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s>
  <calcPr fullCalcOnLoad="1" calcId="145621"/>
</workbook>
</file>

<file path=xl/sharedStrings.xml><?xml version="1.0" encoding="utf-8"?>
<sst xmlns="http://schemas.openxmlformats.org/spreadsheetml/2006/main" count="196970" uniqueCount="31407">
  <si>
    <t xml:space="preserve">מספר כנסת</t>
  </si>
  <si>
    <t xml:space="preserve">תקופה</t>
  </si>
  <si>
    <t xml:space="preserve">סוג הצעת חוק</t>
  </si>
  <si>
    <t xml:space="preserve">קישור</t>
  </si>
  <si>
    <t xml:space="preserve">שם</t>
  </si>
  <si>
    <t xml:space="preserve">מספר פרטית</t>
  </si>
  <si>
    <t xml:space="preserve">מספר חוברת לקריאה ראשונה</t>
  </si>
  <si>
    <t xml:space="preserve">מספר חוברת בספר החוקים</t>
  </si>
  <si>
    <t xml:space="preserve">הערות</t>
  </si>
  <si>
    <t xml:space="preserve">סטטוס</t>
  </si>
  <si>
    <t xml:space="preserve">ועדה מטפלת</t>
  </si>
  <si>
    <t xml:space="preserve">מקום הדיון</t>
  </si>
  <si>
    <t xml:space="preserve">דיון אחרון</t>
  </si>
  <si>
    <t xml:space="preserve">תקציר לחוק שהתקבל</t>
  </si>
  <si>
    <t xml:space="preserve"/>
  </si>
  <si>
    <t xml:space="preserve">ממשלתית</t>
  </si>
  <si>
    <t xml:space="preserve">הצעת חוק התקנים (תיקון מס' 21) (אימוץ הוראות מחייבות החלות בארצות הברית), התשפ"ו-2026</t>
  </si>
  <si>
    <t xml:space="preserve"> (מ/1922)</t>
  </si>
  <si>
    <t xml:space="preserve">הכנה לקריאה שנייה ושלישית</t>
  </si>
  <si>
    <t xml:space="preserve">ועדת הכלכלה</t>
  </si>
  <si>
    <t xml:space="preserve">ועדה</t>
  </si>
  <si>
    <t xml:space="preserve">14.06.2026</t>
  </si>
  <si>
    <t xml:space="preserve">פרטית</t>
  </si>
  <si>
    <t xml:space="preserve">הצעת חוק היועץ המשפטי לממשלה והתובע הכללי (מינוי, כהונה, תפקידים וסמכויות), התשפ"ו–2026</t>
  </si>
  <si>
    <t xml:space="preserve"> (פ/877/25)</t>
  </si>
  <si>
    <t xml:space="preserve"> (כ/1192)</t>
  </si>
  <si>
    <t xml:space="preserve">[מובילה במיזוג] </t>
  </si>
  <si>
    <t xml:space="preserve">ועדת החוקה, חוק ומשפט</t>
  </si>
  <si>
    <t xml:space="preserve">הצעת חוק-יסוד: סמכות חקירה והעמדה לדין (תיקוני חקיקה)</t>
  </si>
  <si>
    <t xml:space="preserve">הצעת חוק זכויות נפגעי עבירה (תיקון - העברת ערכות דגימה), התשפ"ה-2025</t>
  </si>
  <si>
    <t xml:space="preserve"> (פ/5970/25)</t>
  </si>
  <si>
    <t xml:space="preserve">הכנה לקריאה ראשונה</t>
  </si>
  <si>
    <t xml:space="preserve">הצעת חוק הנצחה לאירועי השבעה באוקטובר - שמיני עצרת, התשפ"ו-2025</t>
  </si>
  <si>
    <t xml:space="preserve"> (מ/1906)</t>
  </si>
  <si>
    <t xml:space="preserve">ועדת החינוך התרבות והספורט</t>
  </si>
  <si>
    <t xml:space="preserve">הצעת חוק התקשורת (שידורים), התשפ"ו-2025</t>
  </si>
  <si>
    <t xml:space="preserve"> (מ/1898)</t>
  </si>
  <si>
    <t xml:space="preserve">הוועדה לדיון בהצעת חוק התקשורת (שידורים), התשפ"ו-2025 (מ/1898)</t>
  </si>
  <si>
    <t xml:space="preserve">הצעת חוק יום לציון מורשת יהדות מרוקו, לעליית יהודי מרוקו לישראל ולהנצחת זכרם של הנספים בדרך לישראל, התשפ"ו–2026</t>
  </si>
  <si>
    <t xml:space="preserve"> (פ/6381/25)</t>
  </si>
  <si>
    <t xml:space="preserve"> (כ/1193)</t>
  </si>
  <si>
    <t xml:space="preserve">אושרה בוועדה לקריאה שנייה-שלישית</t>
  </si>
  <si>
    <t xml:space="preserve">פרק ח' (רשויות תחבורה ציבורית (רשויות מטרופוליניות ורשות ארצית)) מתוך הצעת חוק התוכנית הכלכלית (תיקוני חקיקה ליישום המדיניות הכלכלית לשנת התקציב 2025), התשפ"ה-2024 [פוצל לפי סעיף 84(ב) לתקנון] </t>
  </si>
  <si>
    <t xml:space="preserve"> (מ/1822)</t>
  </si>
  <si>
    <t xml:space="preserve">הצעת חוק בינוי ופינוי של אזורי שיקום (כפר שלם), התשפ"ג-2023</t>
  </si>
  <si>
    <t xml:space="preserve"> (פ/2933/25)</t>
  </si>
  <si>
    <t xml:space="preserve">ועדת הפנים והגנת הסביבה</t>
  </si>
  <si>
    <t xml:space="preserve">10.06.2026</t>
  </si>
  <si>
    <t xml:space="preserve">פרק י"ג (ייעול וקידום התחרות במשק הדלק) מתוך הצעת חוק התוכנית הכלכלית (תיקוני חקיקה ליישום המדיניות הכלכלית לשנת התקציב 2026), התשפ"ו-2026 [פוצלה לפי סעיף 84(ב) לתקנון]</t>
  </si>
  <si>
    <t xml:space="preserve"> (מ/1924)</t>
  </si>
  <si>
    <t xml:space="preserve">לאישור פיצול במליאה</t>
  </si>
  <si>
    <t xml:space="preserve">הצעת חוק בתי המשפט (תיקון - חוות דעת פסיכיאטר לעניין איסור פרסומים), התשפ"ו-2026</t>
  </si>
  <si>
    <t xml:space="preserve"> (פ/6707/25)</t>
  </si>
  <si>
    <t xml:space="preserve">הצעת חוק לימוד חובה (תיקון - חובת דיווח על אירועי אלימות על רקע גזעני), התשפ"ו-2026</t>
  </si>
  <si>
    <t xml:space="preserve"> (פ/6601/25)</t>
  </si>
  <si>
    <t xml:space="preserve">הוסרה מסדר היום</t>
  </si>
  <si>
    <t xml:space="preserve">הצעת חוק שירות המדינה (מינויים) (תיקון - מינויים בכירים בשירות המדינה), התשפ"ו-2026</t>
  </si>
  <si>
    <t xml:space="preserve"> (פ/6552/25)</t>
  </si>
  <si>
    <t xml:space="preserve">הצעת חוק-יסוד: הממשלה (תיקון - מינויים בכירים בשירות המדינה)</t>
  </si>
  <si>
    <t xml:space="preserve"> (פ/6551/25)</t>
  </si>
  <si>
    <t xml:space="preserve">בוועדת הכנסת לקביעת הוועדה המטפלת</t>
  </si>
  <si>
    <t xml:space="preserve">הצעת חוק העונשין (תיקון - החמרת ענישה על פגיעה בקטין או בחסר ישע), התשפ"ו-2026</t>
  </si>
  <si>
    <t xml:space="preserve"> (פ/6435/25)</t>
  </si>
  <si>
    <t xml:space="preserve">הצעת חוק מס ערך מוסף (תיקון - מס בשיעור אפס על ספרי לימוד וחומרי לימוד), התשפ"ו-2025</t>
  </si>
  <si>
    <t xml:space="preserve"> (פ/6409/25)</t>
  </si>
  <si>
    <t xml:space="preserve">הוסבה להצעה לסדר היום</t>
  </si>
  <si>
    <t xml:space="preserve">הצעת חוק ועדת חקירה ממלכתית-לאומית לאירועי טבח שמיני עצרת התשפ״ד (טבח 7 באוקטובר 2023), התשפ"ו-2026</t>
  </si>
  <si>
    <t xml:space="preserve"> (פ/6380/25)</t>
  </si>
  <si>
    <t xml:space="preserve"> (כ/1198)</t>
  </si>
  <si>
    <t xml:space="preserve">הונחה על שולחן הכנסת לקריאה ראשונה</t>
  </si>
  <si>
    <t xml:space="preserve">הצעת חוק זכויות הסטודנט (תיקון מס' 11), התשפ"ו–2026</t>
  </si>
  <si>
    <t xml:space="preserve"> (פ/6247/25)</t>
  </si>
  <si>
    <t xml:space="preserve"> (כ/1178)</t>
  </si>
  <si>
    <t xml:space="preserve">הונחה על שולחן הכנסת לקריאה שנייה-שלישית</t>
  </si>
  <si>
    <t xml:space="preserve">הצעת חוק שירות המדינה (תיקון - דרך המינוי), התשפ"ה-2025</t>
  </si>
  <si>
    <t xml:space="preserve"> (פ/5800/25)</t>
  </si>
  <si>
    <t xml:space="preserve">הצעת חוק הפסקת כהונה של נושאי משרה בכירים בתקופת הכהונה הראשונית של ממשלה חדשה, התשפ"ה-2025</t>
  </si>
  <si>
    <t xml:space="preserve"> (פ/5733/25)</t>
  </si>
  <si>
    <t xml:space="preserve">הצעת חוק לתיקון פקודת מס הכנסה (תרומה למוסד ציבורי באזורי עדיפות לאומית), התשפ"ה-2025</t>
  </si>
  <si>
    <t xml:space="preserve"> (פ/5329/25)</t>
  </si>
  <si>
    <t xml:space="preserve">הצעת חוק לעידוד השקעות הון (תיקון - תחולה על מפעל תעשייתי ביישובים הסמוכים לגבול העימות בצפון, בשדרות וביישובי עוטף עזה), התשפ"ה-2024</t>
  </si>
  <si>
    <t xml:space="preserve"> (פ/5189/25)</t>
  </si>
  <si>
    <t xml:space="preserve">ההצעת חוק קבלת ילד למעון יום והשתתפות המדינה בעלות שכר הלימוד בו, התשפ"ו–2026</t>
  </si>
  <si>
    <t xml:space="preserve"> (פ/4931/25)</t>
  </si>
  <si>
    <t xml:space="preserve"> (כ/1199)</t>
  </si>
  <si>
    <t xml:space="preserve">ועדת הכספים</t>
  </si>
  <si>
    <t xml:space="preserve">הצעת חוק-יסוד: לימוד תורה</t>
  </si>
  <si>
    <t xml:space="preserve"> (פ/1540/25)</t>
  </si>
  <si>
    <t xml:space="preserve">הצעת חוק לתיקון פקודת המשטרה (מס' 45), התשפ"ו–2026</t>
  </si>
  <si>
    <t xml:space="preserve"> (פ/586/25)</t>
  </si>
  <si>
    <t xml:space="preserve"> (כ/1172)</t>
  </si>
  <si>
    <t xml:space="preserve">התקבלה בקריאה שלישית</t>
  </si>
  <si>
    <t xml:space="preserve">הצעת חוק לעידוד פעילות בשוק ההון (תיקוני חקיקה), התשפ"ד-2024</t>
  </si>
  <si>
    <t xml:space="preserve"> (מ/1773)</t>
  </si>
  <si>
    <t xml:space="preserve">09.06.2026</t>
  </si>
  <si>
    <t xml:space="preserve">הצעת חוק הגשמת הזהות היהודית במרחב הציבורי, התשפ"ה-2025</t>
  </si>
  <si>
    <t xml:space="preserve"> (פ/5807/25)</t>
  </si>
  <si>
    <t xml:space="preserve">הצעת חוק ההתיישנות (תיקון - הרחבת הגדרת בן משפחה לעניין תקופת ההתיישנות של תביעה בשל תקיפה מינית או התעללות), התשפ"ג-2023</t>
  </si>
  <si>
    <t xml:space="preserve"> (פ/2569/25)</t>
  </si>
  <si>
    <t xml:space="preserve">מוזגה עם הצעת חוק אחרת</t>
  </si>
  <si>
    <t xml:space="preserve">הצעת חוק ההתיישנות (תיקון מס' 10) (הרחבת ההגדרה "בן משפחה" לעניין תביעה בשל תקיפה מינית או התעללות), התשפ"ו–2026</t>
  </si>
  <si>
    <t xml:space="preserve"> (פ/2568/25)</t>
  </si>
  <si>
    <t xml:space="preserve">אושרה בוועדה לקריאה ראשונה</t>
  </si>
  <si>
    <t xml:space="preserve">הצעת חוק לתיקון פקודת בתי הסוהר (מס' 73) (מניעת כניסתם של נציגי ארגון הצלב האדום והעברת מידע לארגון), התשפ"ו–2026</t>
  </si>
  <si>
    <t xml:space="preserve"> (פ/4134/25)</t>
  </si>
  <si>
    <t xml:space="preserve">הוועדה לביטחון לאומי</t>
  </si>
  <si>
    <t xml:space="preserve">הצעת חוק איסור הונאה בכשרות (תיקון מס' 5), התשפ"ו - 2026</t>
  </si>
  <si>
    <t xml:space="preserve"> (מ/1957)</t>
  </si>
  <si>
    <t xml:space="preserve">הוועדה למיזמים ציבוריים</t>
  </si>
  <si>
    <t xml:space="preserve">פרק ו' (פסולת בניין) מתוך הצעת חוק התכנית הכלכלית (תיקוני חקיקה ליישום המדיניות הכלכלית לשנות התקציב 2023 ו-2024), התשפ"ג-2023 [פוצלה לפי סעיף 84(ב) לתקנון]</t>
  </si>
  <si>
    <t xml:space="preserve"> (מ/1612)</t>
  </si>
  <si>
    <t xml:space="preserve">חוק הכרה בתרומתם של כלבים ששירתו בגופים ביטחוניים, התשפ"ו–2026</t>
  </si>
  <si>
    <t xml:space="preserve"> (פ/4647/25)</t>
  </si>
  <si>
    <t xml:space="preserve"> (כ/1138)</t>
  </si>
  <si>
    <t xml:space="preserve">ועדת החוץ והביטחון</t>
  </si>
  <si>
    <t xml:space="preserve">חוק בתי המשפט (תיקון מס' 107), התשפ"ו–2026</t>
  </si>
  <si>
    <t xml:space="preserve"> (פ/612/25)</t>
  </si>
  <si>
    <t xml:space="preserve"> (כ/1187)</t>
  </si>
  <si>
    <t xml:space="preserve">הצעת חוק שכר נושאי משרה ברשויות השלטון, התשפ"ו–2026</t>
  </si>
  <si>
    <t xml:space="preserve"> (פ/5532/25)</t>
  </si>
  <si>
    <t xml:space="preserve"> (כ/1197)</t>
  </si>
  <si>
    <t xml:space="preserve">ועדת הכנסת</t>
  </si>
  <si>
    <t xml:space="preserve">הצעת חוק רשות מקרקעי ישראל (תיקון מס' 16) (הקצאת קרקע לרשות מקומית למיתקן לייצור חשמל מאנרגיה מתחדשת), התשפ"ו–2026</t>
  </si>
  <si>
    <t xml:space="preserve"> (פ/5394/25)</t>
  </si>
  <si>
    <t xml:space="preserve"> (כ/1191)</t>
  </si>
  <si>
    <t xml:space="preserve">הצעת חוק הגבלת שכר טרחה (נכי צבא הגנה לישראל וכוחות הביטחון ונפגעי פעולות איבה), התשפ"ו-2026</t>
  </si>
  <si>
    <t xml:space="preserve"> (מ/1736)</t>
  </si>
  <si>
    <t xml:space="preserve">ועדת העבודה והרווחה</t>
  </si>
  <si>
    <t xml:space="preserve">החוק קובע הגבלה על סכום התשלום המרבי שרשאים לגבות עורכי דין וחברות למימוש זכויות מנכי צה"ל וכוחות הביטחון ומנפגעי פעולות איבה בעד טיפול בתביעות או בבקשות שונות לפי חוק הנכים או חוק התגמולים לנפגעי פעולות איבה, לפי העניין, ובכלל זה בעד הליכי ערעור שונים. כמו כן קובע החוק כי לא יגבה תשלום בעד טיפול בבקשה לתגמול חודשי שאינו תגמול עיקרי ובבקשות לזכאויות נוספות אלא אם כן קבע שר המשפטים אחרת בתקנות.  יוזכר כי הגבלת התשלום הקבועה בחוק לא תחול על טיפול בערר או בערעור על החלטה של קצין תגמולים או של הרשות המאשרת לעניין הכרה, אולם משנקבעה הכרה בהליך כאמור, תחול המגבלה שבחוק על המשך ההליכים שלאחר ההכרה.  נוסף על כך נקבעו הוראות שונות לעניין פריסת התשלום וכן הוראות צרכניות לעניין ההתקשרות שמטרתן להגן על נכים ונפגעים כאמור. בנוסף, נקבעה זכאות לסיוע משפטי ללא מבחן הכנסה בקשר להסכמי התקשרות לגביית תשלום בעד טיפול בתביעה או בבקשה כאמור. לגבי חוזים שנחתמו טרם יום התחילה – נקבע כי יחולו לגביהם חלק מההוראות הצרכניות שנקבעו בחוק. לגבי הסכמים שנחתמו מה-7.10.23 ועד יום התחילה נקבע איסור על גביית תשלום מופרז שהוא תשלום העולה על 140% מהסכום המרבי שמותר לגבות לפי החוק בעד טיפול שבשלו נקבעה דרגת נכות קבועה של 20% לפחות. כמו כן נקבע מהו סכום מופרז לגבי הליכים שהסתיימו בדרגת נכות זמנית של 10% לפחות או שמהטפל הפסיק את ההתקשרות לאחר שנקבעה דרגת נכות זמנית ובטרם נקבעה דרגת נכות קבועה. מי שגבה יותר מהסכום המופרז לפני יום התחילה ישיבו לנכה או לנפגע, בתוך שישה חודשים מיום שהתבקש לכך בכתב על ידיו, ובלבד שהבקשה הוגשה תוך שנה מיום התחילה. ההשבה לא תידרש אם המטפל פנה לבית המשפט המוסמך – לעניין נכה, או לבית הדין האזורי לעבודה – לעניין נפגע, ונפסק כי ההשבה כולה או חלקה אינה צודקת בנסיבות העניין, או אם המטפל קיזז את הסכום המופרז מסכומים נוספים שמגיעים לו כחוק מהנכה או מהנפגע. כמו כן המטפל יכול לפנות לבית משפט או לבית הדין האזורי לעבודה כאמור על מנת שיקבע כי הסכום אינו מופרז וכי ניתן לגבות אותו או סכום אחר כפי שיקבע. </t>
  </si>
  <si>
    <t xml:space="preserve">חוק להקפאת כספים ששילמה הרשות הפלסטינית בזיקה לטרור מהכספים המועברים אליה מממשלת ישראל (תיקון), התשפ"ו–2026</t>
  </si>
  <si>
    <t xml:space="preserve"> (פ/4800/25)</t>
  </si>
  <si>
    <t xml:space="preserve"> (כ/1124)</t>
  </si>
  <si>
    <t xml:space="preserve">08.06.2026</t>
  </si>
  <si>
    <t xml:space="preserve">חוק הכרה בשפת הסימנים הישראלית, התשפ"ו-2026</t>
  </si>
  <si>
    <t xml:space="preserve"> (פ/5693/25)</t>
  </si>
  <si>
    <t xml:space="preserve"> (כ/1182)</t>
  </si>
  <si>
    <t xml:space="preserve">מטרת החוק היא להכיר בשפת הסימנים הישראלית, על ידי הסמכת האקדמיה ללשון העברית לשמר, לפתח ולקדם את שפת הסימנים הישראלית. שר התרבות והספורט ממונה על ביצוע החוק.</t>
  </si>
  <si>
    <t xml:space="preserve">חוק העונשין (תיקון מס' 154), התשפ"ו-2026</t>
  </si>
  <si>
    <t xml:space="preserve"> (מ/1911)</t>
  </si>
  <si>
    <t xml:space="preserve">הצעת חוק העונשין (תיקון - איסור פרסום הסתה לעוינות כלפי ציבור), התשפ"ו-2026</t>
  </si>
  <si>
    <t xml:space="preserve"> (פ/6767/25)</t>
  </si>
  <si>
    <t xml:space="preserve">הונחה על שולחן הכנסת לדיון מוקדם</t>
  </si>
  <si>
    <t xml:space="preserve">הצעת חוק המאבק בנטילת דמי חסות (תיקוני חקיקה), התשפ"ו-2026</t>
  </si>
  <si>
    <t xml:space="preserve"> (פ/6766/25)</t>
  </si>
  <si>
    <t xml:space="preserve">הצעת חוק המפלגות (תיקון - איסור תרומה על ידי שדלן), התשפ"ו-2026</t>
  </si>
  <si>
    <t xml:space="preserve"> (פ/6765/25)</t>
  </si>
  <si>
    <t xml:space="preserve">הצעת חוק סדר הדין הפלילי (תיקון - המצאה מלאה), התשפ"ו-2026</t>
  </si>
  <si>
    <t xml:space="preserve"> (פ/6764/25)</t>
  </si>
  <si>
    <t xml:space="preserve">הצעת חוק הקמת מאגר מידע גנטי לכלבים (תיקון - הסמכת מפקחים, אכיפה ועונשין), התשפ"ו-2026</t>
  </si>
  <si>
    <t xml:space="preserve"> (פ/6763/25)</t>
  </si>
  <si>
    <t xml:space="preserve">הצעת חוק הדרכונים (תיקון - מתן דרכון לעולה), התשפ״ו-2026</t>
  </si>
  <si>
    <t xml:space="preserve"> (פ/6762/25)</t>
  </si>
  <si>
    <t xml:space="preserve"> (פ/6761/25)</t>
  </si>
  <si>
    <t xml:space="preserve">הצעת חוק הרשויות המקומיות (בחירות) (תיקון - הארכת תקופת הכהונה), התשפ"ו-2026</t>
  </si>
  <si>
    <t xml:space="preserve"> (פ/6760/25)</t>
  </si>
  <si>
    <t xml:space="preserve">הצעת חוק משפחות חיילים שנספו במערכה (תגמולים ושיקום) (תיקון - הכרה במי ששלח יד בנפשו כחייל שנספה במערכה) (הוראת שעה - חרבות ברזל), התשפ"ו-2026</t>
  </si>
  <si>
    <t xml:space="preserve"> (פ/6759/25)</t>
  </si>
  <si>
    <t xml:space="preserve">הצעת חוק הרשות השנייה לטלוויזיה ורדיו (תיקון - תקופת זיכיון), התשפ"ו-2026</t>
  </si>
  <si>
    <t xml:space="preserve"> (פ/6758/25)</t>
  </si>
  <si>
    <t xml:space="preserve">הצעת חוק משפחות חיילים שנספו במערכה (תגמולים ושיקום) (תיקון - זכאות להיתר העסקת עובד זר למשפחות שכולות), התשפ"ו-2026</t>
  </si>
  <si>
    <t xml:space="preserve"> (פ/6757/25)</t>
  </si>
  <si>
    <t xml:space="preserve">הצעת חוק הרשויות המקומיות (בחירות) (תיקון - הגבלת הזכות להיבחר בשל כתב אישום),  התשפ"ו-2026</t>
  </si>
  <si>
    <t xml:space="preserve"> (פ/6756/25)</t>
  </si>
  <si>
    <t xml:space="preserve">הצעת חוק משפחות חיילים שנספו במערכה (תגמולים ושיקום) (תיקון - השוואת זכויות של יתום עצמאי ליתום משני הורים), התשפ"ו-2026</t>
  </si>
  <si>
    <t xml:space="preserve"> (פ/6755/25)</t>
  </si>
  <si>
    <t xml:space="preserve">הצעת חוק שיקום נרחב לחבל התקומה כאזור מיקוד לאומי וסיוע ליישובים הסמוכים אליו (תיקון מס' 2), התשפ"ו–2026</t>
  </si>
  <si>
    <t xml:space="preserve"> (פ/6322/25)</t>
  </si>
  <si>
    <t xml:space="preserve"> (כ/1183)</t>
  </si>
  <si>
    <t xml:space="preserve">הצעת חוק הסדרת העיסוק בייעוץ משכנתאות, התשפ"ו–2026</t>
  </si>
  <si>
    <t xml:space="preserve"> (פ/5070/25)</t>
  </si>
  <si>
    <t xml:space="preserve"> (כ/1196)</t>
  </si>
  <si>
    <t xml:space="preserve">הצעת חוק הגנת הסייבר הלאומית, התשפ"ו-2026</t>
  </si>
  <si>
    <t xml:space="preserve"> (מ/1955)</t>
  </si>
  <si>
    <t xml:space="preserve">פרק י"ד (שדות תעופה בשיתוף המגזר הפרטי) מתוך הצעת חוק התוכנית הכלכלית (תיקוני חקיקה ליישום המדיניות הכלכלית לשנת התקציב 2026), התשפ"ו-2026 [פוצלה לפי סעיף 84(ב) לתקנון]</t>
  </si>
  <si>
    <t xml:space="preserve">07.06.2026</t>
  </si>
  <si>
    <t xml:space="preserve">חוק הטבות מס ליישוב אזור קו עימות מזרחי (הוראת שעה), התשפ"ו–2026</t>
  </si>
  <si>
    <t xml:space="preserve"> (פ/5890/25)</t>
  </si>
  <si>
    <t xml:space="preserve"> (כ/1185)</t>
  </si>
  <si>
    <t xml:space="preserve">03.06.2026</t>
  </si>
  <si>
    <t xml:space="preserve">הצעת חוק לתיקון פקודת התעבורה (אכיפת עבירות תעבורה על ידי רשויות מקומיות),  התשפ"ו-2026</t>
  </si>
  <si>
    <t xml:space="preserve"> (פ/6688/25)</t>
  </si>
  <si>
    <t xml:space="preserve">הצעת חוק כלי הירייה (תיקון - הודעה על מסוכנות על ידי משרד הרווחה והביטחון החברתי), התשפ"ו-2026 </t>
  </si>
  <si>
    <t xml:space="preserve"> (פ/6620/25)</t>
  </si>
  <si>
    <t xml:space="preserve">הצעת חוק האזרחים הוותיקים (תיקון - תגמול מחיה לאזרחים ותיקים), התשפ"ו-2026</t>
  </si>
  <si>
    <t xml:space="preserve"> (פ/6596/25)</t>
  </si>
  <si>
    <t xml:space="preserve">הצעת חוק זכויות נפגעי עבירה (תיקון - התרת פרסום שמו של פוגע), התשפ"ו-2026</t>
  </si>
  <si>
    <t xml:space="preserve"> (פ/6593/25)</t>
  </si>
  <si>
    <t xml:space="preserve">הצעת חוק חסינות חברי הכנסת, זכויותיהם וחובותיהם (תיקון - סייג לחסינות בפני מעצר בשל אי-התייצבות לחקירה), התשפ"ו-2026</t>
  </si>
  <si>
    <t xml:space="preserve"> (פ/6578/25)</t>
  </si>
  <si>
    <t xml:space="preserve">הצעת חוק הרשתות החברתיות והגנה על קטינים, התשפ"ו-2026</t>
  </si>
  <si>
    <t xml:space="preserve"> (פ/6543/25)</t>
  </si>
  <si>
    <t xml:space="preserve">הצעת חוק לעידוד השימוש בתחבורה ציבורית על ידי עובדים (תיקוני חקיקה), התשפ"ו-2026</t>
  </si>
  <si>
    <t xml:space="preserve"> (פ/6520/25)</t>
  </si>
  <si>
    <t xml:space="preserve">הצעת חוק העונשין (תיקון - ביטול עבירת המטרד על ידי עיסוק בזנות), התשפ"ה-2025</t>
  </si>
  <si>
    <t xml:space="preserve"> (פ/5948/25)</t>
  </si>
  <si>
    <t xml:space="preserve"> (פ/5947/25)</t>
  </si>
  <si>
    <t xml:space="preserve"> (פ/5946/25)</t>
  </si>
  <si>
    <t xml:space="preserve">הצעת חוק קרן לאזרחי ישראל (תיקון - הבטחת תקצוב הנגב), התשפ"ה-2025</t>
  </si>
  <si>
    <t xml:space="preserve"> (פ/5371/25)</t>
  </si>
  <si>
    <t xml:space="preserve">הצעת חוק הרשות לפיתוח הנגב (תיקון מס' 4) (תיקון מס' 2) (הארכת התקופה להסדרה תכנונית של מיזם חקלאי–תיירותי משולב), התשפ"ו–2025</t>
  </si>
  <si>
    <t xml:space="preserve"> (פ/3877/25)</t>
  </si>
  <si>
    <t xml:space="preserve"> (כ/1162)</t>
  </si>
  <si>
    <t xml:space="preserve">הצעת חוק החקלאות, התשפ"ג-2023</t>
  </si>
  <si>
    <t xml:space="preserve"> (פ/2152/25)</t>
  </si>
  <si>
    <t xml:space="preserve">הצעת חוק צער בעלי חיים (הגנה על בעלי חיים) (תיקון - קביעת עונש מינימום בגין התעללות בבעלי חיים), התשפ"ג-2023</t>
  </si>
  <si>
    <t xml:space="preserve"> (פ/2013/25)</t>
  </si>
  <si>
    <t xml:space="preserve">הצעת חוק העונשין (תיקון - ביטול עבירת המטרד על ידי עיסוק בזנות), התשפ"ג-2023</t>
  </si>
  <si>
    <t xml:space="preserve"> (פ/1242/25)</t>
  </si>
  <si>
    <t xml:space="preserve">הצעת חוק העונשין (תיקון מס' 157) (הארכת תקופת ההתיישנות בעבירות מין בקטינים), התשפ"ה–2025</t>
  </si>
  <si>
    <t xml:space="preserve"> (פ/978/25)</t>
  </si>
  <si>
    <t xml:space="preserve"> (כ/1142)</t>
  </si>
  <si>
    <t xml:space="preserve">הצעת חוק בתי המשפט (תיקון - קביעת הרכבים בבית המשפט העליון וקביעת דיון נוסף), התשפ"ה-2025</t>
  </si>
  <si>
    <t xml:space="preserve"> (פ/5401/25)</t>
  </si>
  <si>
    <t xml:space="preserve">02.06.2026</t>
  </si>
  <si>
    <t xml:space="preserve">הצעת חוק נתוני אשראי (תיקון מס' 6), התשפ"ו–2026</t>
  </si>
  <si>
    <t xml:space="preserve">הצעת חוק רשות המורשת ביהודה והשומרון, התשפ"ו–2026</t>
  </si>
  <si>
    <t xml:space="preserve"> (פ/2346/25)</t>
  </si>
  <si>
    <t xml:space="preserve"> (כ/1184)</t>
  </si>
  <si>
    <t xml:space="preserve">01.06.2026</t>
  </si>
  <si>
    <t xml:space="preserve">הצעת חוק לתיקון פקודת מס הכנסה (הטבות במס ליישוב מאוים ביהודה והשומרון), התשפ"ה-2025</t>
  </si>
  <si>
    <t xml:space="preserve"> (פ/5592/25)</t>
  </si>
  <si>
    <t xml:space="preserve">הצעת חוק התפזרות הכנסת העשרים וחמש, התשפ"ו-2026</t>
  </si>
  <si>
    <t xml:space="preserve"> (פ/6710/25)</t>
  </si>
  <si>
    <t xml:space="preserve"> (פ/6704/25)</t>
  </si>
  <si>
    <t xml:space="preserve"> (כ/1195)</t>
  </si>
  <si>
    <t xml:space="preserve">הצעת חוק התפזרות הכנסת העשרים וחמש, התשפ"ה-2025</t>
  </si>
  <si>
    <t xml:space="preserve"> (פ/6036/25)</t>
  </si>
  <si>
    <t xml:space="preserve">הצעת חוק הבחירות לכנסת (תיקון - ייצוג נשים ברשימות מועמדים), התשפ״ו-2026</t>
  </si>
  <si>
    <t xml:space="preserve"> (פ/6754/25)</t>
  </si>
  <si>
    <t xml:space="preserve">הצעת חוק העונשין (תיקון - השחתת מודעות על רקע מגדר), התשפ"ו-2026</t>
  </si>
  <si>
    <t xml:space="preserve"> (פ/6753/25)</t>
  </si>
  <si>
    <t xml:space="preserve">הצעת חוק החמרת ענישה למורשעים במגע עם סוכן חוץ מטעם מדינת איראן, התשפ"ו-2026</t>
  </si>
  <si>
    <t xml:space="preserve"> (פ/6752/25)</t>
  </si>
  <si>
    <t xml:space="preserve">הצעת חוק העונשין (תיקון - ביטול סעיף העלבת עובד ציבור), התשפ"ו-2026</t>
  </si>
  <si>
    <t xml:space="preserve"> (פ/6751/25)</t>
  </si>
  <si>
    <t xml:space="preserve">הצעת חוק העונשין (תיקון - הפקרה אחרי אירוע אלים), התשפ״ו-2026</t>
  </si>
  <si>
    <t xml:space="preserve"> (פ/6750/25)</t>
  </si>
  <si>
    <t xml:space="preserve">הצעת חוק מרשם האוכלוסין (תיקון - רישום בן זוג שנפטר בספח תעודת הזהות), התשפ"ו-2026</t>
  </si>
  <si>
    <t xml:space="preserve"> (פ/6749/25)</t>
  </si>
  <si>
    <t xml:space="preserve">הצעת חוק-יסוד: הכנסת (תיקון - תמיכה במדינת אויב בעת מאבק מזוין) </t>
  </si>
  <si>
    <t xml:space="preserve"> (פ/6748/25)</t>
  </si>
  <si>
    <t xml:space="preserve">הצעת חוק-יסוד: הממשלה (תיקון - קביעת ממלא מקום ראש הממשלה)</t>
  </si>
  <si>
    <t xml:space="preserve"> (פ/6747/25)</t>
  </si>
  <si>
    <t xml:space="preserve">הצעת חוק הבטחת קשר בין ילדים והוריהם, התשפ"ו-2026</t>
  </si>
  <si>
    <t xml:space="preserve"> (פ/6746/25)</t>
  </si>
  <si>
    <t xml:space="preserve">הצעת חוק העונשין (תיקון - אלימות קבוצתית כנסיבה מחמירה של רצח והחמרת ענישה על המתה בקלות דעת), התשפ"ו-2026</t>
  </si>
  <si>
    <t xml:space="preserve"> (פ/6745/25)</t>
  </si>
  <si>
    <t xml:space="preserve">הצעת חוק-יסוד: חובת שירות לכל</t>
  </si>
  <si>
    <t xml:space="preserve"> (פ/6744/25)</t>
  </si>
  <si>
    <t xml:space="preserve">הצעת חוק העונשין (תיקון - ביטול עבירת המטרד על ידי עיסוק בזנות), התשפ"ו-2026</t>
  </si>
  <si>
    <t xml:space="preserve"> (פ/6743/25)</t>
  </si>
  <si>
    <t xml:space="preserve"> (פ/6742/25)</t>
  </si>
  <si>
    <t xml:space="preserve">הצעת חוק שיקום נרחב לחבל תנופה כאזור מיקוד לאומי, התשפ"ו-2026</t>
  </si>
  <si>
    <t xml:space="preserve"> (פ/6741/25)</t>
  </si>
  <si>
    <t xml:space="preserve">הצעת חוק הפיקוח על שירותים פיננסיים (ביטוח) (תיקון - כתב שירות ללא מעורבות מבטח) (הוראת שעה), התשפ"ו-2026</t>
  </si>
  <si>
    <t xml:space="preserve"> (פ/6740/25)</t>
  </si>
  <si>
    <t xml:space="preserve"> (פ/6739/25)</t>
  </si>
  <si>
    <t xml:space="preserve">הצעת חוק הפעלת תחבורה ציבורית בשבת, התשפ"ו-2026</t>
  </si>
  <si>
    <t xml:space="preserve"> (פ/6738/25)</t>
  </si>
  <si>
    <t xml:space="preserve">הצעת חוק אמצעי מצוקה לאנשים עם מוגבלות ואזרחים ותיקים (תיקוני חקיקה), התשפ"ו-2026</t>
  </si>
  <si>
    <t xml:space="preserve"> (פ/6737/25)</t>
  </si>
  <si>
    <t xml:space="preserve">הצעת חוק קרן לאזרחי ישראל (תיקון - הבטחת תקצוב הנגב), התשפ"ו-2026</t>
  </si>
  <si>
    <t xml:space="preserve"> (פ/6736/25)</t>
  </si>
  <si>
    <t xml:space="preserve">הצעת חוק ההתנתקות והפיצויים לנפגעיה (תיקון - נוכחות וחופש תנועה לישראלים בחבל עזה), התשפ"ו-2026 </t>
  </si>
  <si>
    <t xml:space="preserve"> (פ/6735/25)</t>
  </si>
  <si>
    <t xml:space="preserve"> הצעת חוק ההתגוננות האזרחית (תיקון - פיקוח על מחירי הבנייה של מרחבים מוגנים דירתיים), התשפ"ו-2026</t>
  </si>
  <si>
    <t xml:space="preserve"> (פ/6734/25)</t>
  </si>
  <si>
    <t xml:space="preserve">הצעת חוק לטיפול בכתות פוגעניות, התשפ"ו-2026</t>
  </si>
  <si>
    <t xml:space="preserve"> (פ/6733/25)</t>
  </si>
  <si>
    <t xml:space="preserve">הצעת חוק רשויות מרחביות לתחבורה, התשפ"ו-2026</t>
  </si>
  <si>
    <t xml:space="preserve"> (פ/6732/25)</t>
  </si>
  <si>
    <t xml:space="preserve">הצעת חוק ההוצאה לפועל (תיקון - השהיית הליך ואי-נקיטתו כלפי אסירים משוחררים), התשפ"ו-2026</t>
  </si>
  <si>
    <t xml:space="preserve"> (פ/6731/25)</t>
  </si>
  <si>
    <t xml:space="preserve">הצעת חוק ארגון הפיקוח על העבודה (תיקון - הארכת הוראת שעה), התשפ"ו-2026</t>
  </si>
  <si>
    <t xml:space="preserve"> (פ/6730/25)</t>
  </si>
  <si>
    <t xml:space="preserve">הצעת חוק לתיקון פקודת המשטרה (חיזוק עצמאות המשטרה והגבלת המעורבות הפוליטית בעבודתה), התשפ״ו-2026</t>
  </si>
  <si>
    <t xml:space="preserve"> (פ/6729/25)</t>
  </si>
  <si>
    <t xml:space="preserve">הצעת חוק הממשלה (תיקון - קיום מסיבת עיתונאים עיתית לגופי התקשורת בישראל), התשפ"ו-2026</t>
  </si>
  <si>
    <t xml:space="preserve"> (פ/6728/25)</t>
  </si>
  <si>
    <t xml:space="preserve">הצעת חוק קידום החקלאות, התשפ"ו-2026</t>
  </si>
  <si>
    <t xml:space="preserve"> (פ/6727/25)</t>
  </si>
  <si>
    <t xml:space="preserve">הצעת חוק העונשין (תיקון - תקיפת עיתונאים), התשפ"ו-2026</t>
  </si>
  <si>
    <t xml:space="preserve"> (פ/6726/25)</t>
  </si>
  <si>
    <t xml:space="preserve">הצעת חוק למניעת חרם חברתי בבתי ספר, התשפ"ו-2026</t>
  </si>
  <si>
    <t xml:space="preserve"> (פ/6725/25)</t>
  </si>
  <si>
    <t xml:space="preserve"> (פ/6724/25)</t>
  </si>
  <si>
    <t xml:space="preserve">הצעת חוק הבנקאות (שירות ללקוח) (תיקון מס' 41), התשפ"ו–2026</t>
  </si>
  <si>
    <t xml:space="preserve"> (פ/960/25)</t>
  </si>
  <si>
    <t xml:space="preserve"> (כ/1177)</t>
  </si>
  <si>
    <t xml:space="preserve">לדיון במליאה לקראת קריאה שנייה-שלישית</t>
  </si>
  <si>
    <t xml:space="preserve">הצעת חוק התכנון והבניה (תיקון מס' 168), התשפ"ו-2026</t>
  </si>
  <si>
    <t xml:space="preserve"> (מ/1950)</t>
  </si>
  <si>
    <t xml:space="preserve">הצעת חוק לתיקון פקודת סדר הדין הפלילי (מעצר וחיפוש) (מס' 19) (חיפוש שלא לפי צו חיפוש), התשפ"ו-2026</t>
  </si>
  <si>
    <t xml:space="preserve"> (מ/1956)</t>
  </si>
  <si>
    <t xml:space="preserve">הצעת חוק המרכז להנצחת מורשת הלוחם היהודי במלחמת העולם השנייה, התשפ"ו-2026</t>
  </si>
  <si>
    <t xml:space="preserve"> (פ/4319/25)</t>
  </si>
  <si>
    <t xml:space="preserve"> (כ/1175)</t>
  </si>
  <si>
    <t xml:space="preserve">31.05.2026</t>
  </si>
  <si>
    <t xml:space="preserve">הצעת חוק שלילת הטבות מבכירים במערכת הביטחון, התשפ"ה-2025</t>
  </si>
  <si>
    <t xml:space="preserve"> (פ/5831/25)</t>
  </si>
  <si>
    <t xml:space="preserve">27.05.2026</t>
  </si>
  <si>
    <t xml:space="preserve">הצעת חוק שלילת הטבות מבכירים במערכת הביטחון, התשפ"ה-2025 </t>
  </si>
  <si>
    <t xml:space="preserve"> (פ/5423/25)</t>
  </si>
  <si>
    <t xml:space="preserve">הצעת חוק עסקאות גופים ציבוריים (תיקון מס' 12) (איסור התקשרות עם ספק בשל מעורבות בפשיעה חמורה), התשפ"ה-2025 </t>
  </si>
  <si>
    <t xml:space="preserve"> (מ/1885)</t>
  </si>
  <si>
    <t xml:space="preserve">הצעת חוק זכויות הסטודנט (תיקון מס' 10) (מסלולי לימוד נפרדים בתארים מתקדמים), התשפ"ה–2025</t>
  </si>
  <si>
    <t xml:space="preserve"> (פ/4884/25)</t>
  </si>
  <si>
    <t xml:space="preserve"> (כ/1121)</t>
  </si>
  <si>
    <t xml:space="preserve">הצעת חוק הדיור הציבורי (זכויות רכישה), התשפ"ו–2025</t>
  </si>
  <si>
    <t xml:space="preserve"> (פ/260/25)</t>
  </si>
  <si>
    <t xml:space="preserve"> (כ/1163)</t>
  </si>
  <si>
    <t xml:space="preserve">הצעת חוק חוסן לישראל - הרשות הלאומית לחוסן נפשי ולטראומה, התשפ"ו-2026</t>
  </si>
  <si>
    <t xml:space="preserve"> (פ/6629/25)</t>
  </si>
  <si>
    <t xml:space="preserve">הצעת חוק מחיקת חובות שמקורם בתגמולי מילואים במלחמת חרבות ברזל (תיקוני חקיקה), התשפ"ו-2026</t>
  </si>
  <si>
    <t xml:space="preserve"> (פ/6508/25)</t>
  </si>
  <si>
    <t xml:space="preserve">הצעת חוק השידור הציבורי הישראלי (תיקון מס' 11) (תקציב תאגיד השידור הישראלי),  התשפ"ו–2026</t>
  </si>
  <si>
    <t xml:space="preserve"> (פ/4736/25)</t>
  </si>
  <si>
    <t xml:space="preserve"> (כ/1194)</t>
  </si>
  <si>
    <t xml:space="preserve">הצעת חוק העונשין (תיקון - איסור הנפת דגל של מדינת אויב או של הרשות הפלסטינית בגופים המתוקצבים או הנתמכים על ידי המדינה), התשפ"ד-2024</t>
  </si>
  <si>
    <t xml:space="preserve"> (פ/4779/25)</t>
  </si>
  <si>
    <t xml:space="preserve">26.05.2026</t>
  </si>
  <si>
    <t xml:space="preserve">הצעת חוק חופשה שנתית (תיקון מס' 17), התשפ"ו–2026</t>
  </si>
  <si>
    <t xml:space="preserve"> (פ/4269/25)</t>
  </si>
  <si>
    <t xml:space="preserve"> (כ/1157)</t>
  </si>
  <si>
    <t xml:space="preserve">25.05.2026</t>
  </si>
  <si>
    <t xml:space="preserve">הצעת חוק לתיקון פקודת המועצות המקומיות (מס'  82),  התשפ"ו-2026</t>
  </si>
  <si>
    <t xml:space="preserve"> (מ/1931)</t>
  </si>
  <si>
    <t xml:space="preserve">הצעת חוק השמירה על המקומות הקדושים (תיקון - ייעוץ הרבנות הראשית), התשפ"ג-2023</t>
  </si>
  <si>
    <t xml:space="preserve"> (פ/2788/25)</t>
  </si>
  <si>
    <t xml:space="preserve">חוק הכניסה לישראל (תיקון מס' 41), התשפ"ה–2025</t>
  </si>
  <si>
    <t xml:space="preserve"> (פ/5255/25)</t>
  </si>
  <si>
    <t xml:space="preserve"> (כ/1102)</t>
  </si>
  <si>
    <t xml:space="preserve">מוצע לקבוע כי במקרים שבהם יקבע שר הפנים, בהתבסס על חוות דעת של מנהל רשות האוכלוסין וההגירה, כי מסתנן תומך בממשל מדינתו, תקום חזקה כי לא נשקפת סכנה המונעת את החזרתו למדינתו. במקרה כאמור, שר הפנים ייתן לאותו אדם הזדמנות להשמיע את טענותיו לעניין זה. כמו כן, ניתן יהיה לסתור את החזקה בתוך 30 ימים מיום ההודעה על קביעה כאמור. אם לא נסתרה החזקה בתוך התקופה האמורה, יבוטל רישיון הישיבה שניתן לאותו אדם, והוא יורחק מישראל למדינתו, בהתאם להוראות סעיף 13 לחוק הכניסה לישראל. עוד מוצע לקבוע כי בכל מקרה בו מסתנן הורשע בעבירה שדינה שלוש שנות מאסר ומעלה שר הפנים יבטל את רישיון הישיבה שניתן לו וירחיקו מישראל לאחר שהמסתנן ריצה את עונשו, אם מצא כי שהייתו מסכנת את בטחון המדינה או את שלום הציבור במדינת ישראל.</t>
  </si>
  <si>
    <t xml:space="preserve">חוק התכנון והבנייה (תיקון מס' 162 - הוראת שעה), התשפ"ה-2025</t>
  </si>
  <si>
    <t xml:space="preserve"> (פ/4592/25)</t>
  </si>
  <si>
    <t xml:space="preserve"> (כ/1122)</t>
  </si>
  <si>
    <t xml:space="preserve">מוצע להוסיף סמכויות לוועדות מקומיות בהוראת שעה לתקופה של חמש שנים לשנות ייעוד של קרקעות לייעוד מגורים, ולאשר תוספת שטח של עד 5,000 מ"ר בכל יישוב קיים בתחום מועצה האזורית בצפון ובדרום למטרות מגורים בלבד או לשימושים נלווים למגורים, ובכלל זה לצורכי ציבור, בהתקיים מספר תנאים: ראשית, הוועדה המחוזית אישרה ליישוב תוכנית כוללנית הקובעת מסגרת תכנונית מוסכמת ומקיפה או שהוועדה המקומית הוסמכה כוועדה עצמאית. לחלופין, למשך שנתיים בלבד, התקבלה חוות דעת תומכת ממתכנן המחוז או שהוא לא העביר חוות דעת  בתוך פרק הזמן המוקצב לכך; שנית, השטח שייעודו ישונה לא יעלה על 20 דונם ותוספת השטח לבנייה תשמש ל־40 יחידות דיור חדשות לכל היותר בכל יישוב, ולפחות 30% מהן יהיו דירות קטנות; שלישית, יחידות הדיור שיתווספו לפי תיקון זה יהיה יחידות דיור חדשות בלבד וכן לא יהיה ניתן לעשות שימוש בסמכות זו לשם הקמת יישוב חדש אלא רק לשם הרחבתו.</t>
  </si>
  <si>
    <t xml:space="preserve">הצעת חוק הרשות השנייה לטלוויזיה ורדיו (תיקון - הרחבת המגוון בשידורי הרדיו), התשפ"ד-2024</t>
  </si>
  <si>
    <t xml:space="preserve"> (פ/4656/25)</t>
  </si>
  <si>
    <t xml:space="preserve">הצעת חוק הרשות השנייה לטלוויזיה ורדיו (תיקון - הנגשת רדיו בשפה הערבית בכל הארץ), התשפ"ד-2024</t>
  </si>
  <si>
    <t xml:space="preserve"> (פ/4505/25)</t>
  </si>
  <si>
    <t xml:space="preserve">הצעת חוק פינוי ובינוי של אזורי שיקום (הוראת שעה - כפר שלם), התשפ"ו-2026 </t>
  </si>
  <si>
    <t xml:space="preserve"> (פ/6723/25)</t>
  </si>
  <si>
    <t xml:space="preserve">במליאה לדיון מוקדם</t>
  </si>
  <si>
    <t xml:space="preserve">הצעת חוק עובדים זרים (תיקון - זכאות להיתר להעסקת עובד זר בסיעוד ליחיד שמלאו לו 85 שנים),  התשפ"ו-2026</t>
  </si>
  <si>
    <t xml:space="preserve"> (פ/6722/25)</t>
  </si>
  <si>
    <t xml:space="preserve">הצעת חוק מלחמת שמחת תורה, התשפ"ו-2026</t>
  </si>
  <si>
    <t xml:space="preserve"> (פ/6721/25)</t>
  </si>
  <si>
    <t xml:space="preserve">הצעת חוק לתיקון פקודת האגודות השיתופיות (זכויות חבר שאינו מתגורר בתחום האגודה), התשפ"ו-2026</t>
  </si>
  <si>
    <t xml:space="preserve"> (פ/6720/25)</t>
  </si>
  <si>
    <t xml:space="preserve">הצעת חוק לתיקון פקודת המשטרה (חובת לבישת מדים בהפגנות), התשפ"ו-2026</t>
  </si>
  <si>
    <t xml:space="preserve"> (פ/6719/25)</t>
  </si>
  <si>
    <t xml:space="preserve">הצעת חוק השבות (תיקון - הוספת המילה כהלכה), התשפ"ו-2026</t>
  </si>
  <si>
    <t xml:space="preserve"> (פ/6718/25)</t>
  </si>
  <si>
    <t xml:space="preserve">הצעת חוק השיפוט הצבאי (תיקון - הארכת תחולת החוק על עבירות מין), התשפ"ו-2026</t>
  </si>
  <si>
    <t xml:space="preserve"> (פ/6717/25)</t>
  </si>
  <si>
    <t xml:space="preserve">הצעת חוק לתיקון פקודת המשטרה (מינוי קצינים), התשפ"ו-2026</t>
  </si>
  <si>
    <t xml:space="preserve"> (פ/6716/25)</t>
  </si>
  <si>
    <t xml:space="preserve">הצעת חוק שקיפות אינטרסים כספיים וגילוי עניינים של חברי הכנסת והשרים, התשפ"ו-2026</t>
  </si>
  <si>
    <t xml:space="preserve"> (פ/6715/25)</t>
  </si>
  <si>
    <t xml:space="preserve">הצעת חוק שיקום נזקי מלחמה בדרך של התחדשות עירונית (תיקון - מימון בניית מרחב מוגן והוראות נוספות), התשפ"ו-2026</t>
  </si>
  <si>
    <t xml:space="preserve"> (פ/6714/25)</t>
  </si>
  <si>
    <t xml:space="preserve">הצעת חוק השיפוט הצבאי (תיקון - הבטחת תנאי דת לעצורים ולכלואים), התשפ"ו-2026</t>
  </si>
  <si>
    <t xml:space="preserve"> (פ/6713/25)</t>
  </si>
  <si>
    <t xml:space="preserve">הצעת חוק מימון הוצאות למשפחות שבויים, חטופים ונעדרים (תיקון - מענקי סיוע לטובת שיקום), התשפ"ו-2026</t>
  </si>
  <si>
    <t xml:space="preserve"> (פ/6712/25)</t>
  </si>
  <si>
    <t xml:space="preserve">הצעת חוק מעונות יום שיקומיים (תיקון - הוספת טיפול רגשי לפעוטות עם מוגבלות), התשפ"ו-2026</t>
  </si>
  <si>
    <t xml:space="preserve"> (פ/6711/25)</t>
  </si>
  <si>
    <t xml:space="preserve">הצעת חוק לתיקון פקודת הרופאים (תיקון מס' 19), התשפ"ו-2026</t>
  </si>
  <si>
    <t xml:space="preserve"> (מ/1952)</t>
  </si>
  <si>
    <t xml:space="preserve">הצעת חוק הכשרות המשפטית והאפוטרופסות (תיקון מס' 25), התשפ"ו-2026</t>
  </si>
  <si>
    <t xml:space="preserve"> (מ/1954)</t>
  </si>
  <si>
    <t xml:space="preserve">הצעת חוק לתיקון פקודת הסמים המסוכנים (מס' 23)(חילוט סם מסוכן והשמדתו), התשפ"ו–2026</t>
  </si>
  <si>
    <t xml:space="preserve"> (מ/1953)</t>
  </si>
  <si>
    <t xml:space="preserve">הצעת חוק יום לציון עליית יהודי מרוקו לישראל ולהנצחת זכרם של הנספים בדרך לישראל, התשפ"ו-2025</t>
  </si>
  <si>
    <t xml:space="preserve"> (פ/6382/25)</t>
  </si>
  <si>
    <t xml:space="preserve">24.05.2026</t>
  </si>
  <si>
    <t xml:space="preserve">הצעת חוק שירות ביטחון (תיקון מס' 26) (שילוב תלמידי ישיבות), התשפ"ב-2022 </t>
  </si>
  <si>
    <t xml:space="preserve"> (מ/1502)</t>
  </si>
  <si>
    <t xml:space="preserve">[הוחל דין רציפות]</t>
  </si>
  <si>
    <t xml:space="preserve">20.05.2026</t>
  </si>
  <si>
    <t xml:space="preserve">הצעת חוק שירות ביטחון (תיקון מס' 28 והוראת שעה), התשפ"ד-2024</t>
  </si>
  <si>
    <t xml:space="preserve"> (מ/1778)</t>
  </si>
  <si>
    <t xml:space="preserve">הצעת חוק רשות העתיקות (תיקון - סמכות רשות העתיקות ביהודה והשומרון), התשפ"ד-2024</t>
  </si>
  <si>
    <t xml:space="preserve"> (פ/4879/25)</t>
  </si>
  <si>
    <t xml:space="preserve">חוק סיוע לבני משפחה של נעדרים, התשפ"ו–2026</t>
  </si>
  <si>
    <t xml:space="preserve"> (פ/4861/25)</t>
  </si>
  <si>
    <t xml:space="preserve"> (כ/1140)</t>
  </si>
  <si>
    <t xml:space="preserve">הצעת חוק קידום הליכי הקמת יישוב חדש, התשפ"ו-2026</t>
  </si>
  <si>
    <t xml:space="preserve"> (פ/6614/25)</t>
  </si>
  <si>
    <t xml:space="preserve"> (פ/6563/25)</t>
  </si>
  <si>
    <t xml:space="preserve">הצעת חוק הפיקוח על שירותים פיננסיים (שירותים פיננסיים מוסדרים) (תיקון - מתן רישיון לנותן שירות זר),  התשפ"ו-2026</t>
  </si>
  <si>
    <t xml:space="preserve"> (פ/6505/25)</t>
  </si>
  <si>
    <t xml:space="preserve">הצעת חוק הליכים מזורזים להקמת יישובים חדשים (תיקוני חקיקה), התשפ"ה-2025</t>
  </si>
  <si>
    <t xml:space="preserve"> (פ/6141/25)</t>
  </si>
  <si>
    <t xml:space="preserve"> (פ/6035/25)</t>
  </si>
  <si>
    <t xml:space="preserve"> (פ/5950/25)</t>
  </si>
  <si>
    <t xml:space="preserve"> (פ/5928/25)</t>
  </si>
  <si>
    <t xml:space="preserve"> (פ/5927/25)</t>
  </si>
  <si>
    <t xml:space="preserve">הצעת חוק התפזרות הכנסת העשרים וחמש, התשפ"ד-2023</t>
  </si>
  <si>
    <t xml:space="preserve"> (פ/4115/25)</t>
  </si>
  <si>
    <t xml:space="preserve"> (פ/4071/25)</t>
  </si>
  <si>
    <t xml:space="preserve">הצעת חוק התפזרות הכנסת העשרים וחמש, התשפ"ג-2023</t>
  </si>
  <si>
    <t xml:space="preserve"> (פ/2547/25)</t>
  </si>
  <si>
    <t xml:space="preserve">הצעת חוק התפזרות הכנסת העשרים וחמש, התשפ"ג-2022</t>
  </si>
  <si>
    <t xml:space="preserve"> (פ/535/25)</t>
  </si>
  <si>
    <t xml:space="preserve">הצעת חוק שירות הקבע בצבא הגנה לישראל (גימלאות)(תיקון מס' 39), התשפ"ו-2026</t>
  </si>
  <si>
    <t xml:space="preserve"> (מ/1951)</t>
  </si>
  <si>
    <t xml:space="preserve">הצעת חוק להנצחת זכרה של גולדה מאיר, התשפ"ו–2026</t>
  </si>
  <si>
    <t xml:space="preserve"> (פ/2359/25)</t>
  </si>
  <si>
    <t xml:space="preserve"> (כ/1188)</t>
  </si>
  <si>
    <t xml:space="preserve">19.05.2026</t>
  </si>
  <si>
    <t xml:space="preserve">הצעת חוק פיצול תפקיד היועץ המשפטי לממשלה, התשפ"ה-2025</t>
  </si>
  <si>
    <t xml:space="preserve"> (פ/5808/25)</t>
  </si>
  <si>
    <t xml:space="preserve">הצעת חוק עצמאות היועץ המשפטי של משרד ממשלתי, מעמדו וסמכויותיו, התשפ"ה-2025</t>
  </si>
  <si>
    <t xml:space="preserve"> (פ/5782/25)</t>
  </si>
  <si>
    <t xml:space="preserve">18.05.2026</t>
  </si>
  <si>
    <t xml:space="preserve">הצעת חוק פיצול תפקיד היועץ המשפטי לממשלה, התשפ"ה-2024</t>
  </si>
  <si>
    <t xml:space="preserve"> (פ/5289/25)</t>
  </si>
  <si>
    <t xml:space="preserve"> (פ/5287/25)</t>
  </si>
  <si>
    <t xml:space="preserve"> (פ/5262/25)</t>
  </si>
  <si>
    <t xml:space="preserve">הצעת חוק פיצול תפקיד היועץ המשפטי לממשלה, התשפ"ד-2024</t>
  </si>
  <si>
    <t xml:space="preserve"> (פ/4625/25)</t>
  </si>
  <si>
    <t xml:space="preserve">הצעת חוק פיצול תפקיד היועץ המשפטי לממשלה, התשפ"ג-2023</t>
  </si>
  <si>
    <t xml:space="preserve"> (פ/3825/25)</t>
  </si>
  <si>
    <t xml:space="preserve">הצעת חוק התובע הכללי, התשפ"ג-2023</t>
  </si>
  <si>
    <t xml:space="preserve"> (פ/3198/25)</t>
  </si>
  <si>
    <t xml:space="preserve"> (פ/2785/25)</t>
  </si>
  <si>
    <t xml:space="preserve">הצעת חוק שירותי הדת היהודיים (תיקון - התקנת תקנות באישור ועדה), התשפ"ו-2026</t>
  </si>
  <si>
    <t xml:space="preserve"> (פ/6709/25)</t>
  </si>
  <si>
    <t xml:space="preserve">הצעת חוק הרבנות הראשית לישראל (תיקון - סמכות לעריכת בחינות), התשפ"ו-2026</t>
  </si>
  <si>
    <t xml:space="preserve"> (פ/6708/25)</t>
  </si>
  <si>
    <t xml:space="preserve">הצעת חוק הביטוח הלאומי (תיקון - הבטחת רצף זכאות לקצבת שאירים ליתומים צעירים), התשפ"ו-2026</t>
  </si>
  <si>
    <t xml:space="preserve"> (פ/6706/25)</t>
  </si>
  <si>
    <t xml:space="preserve">הצעת חוק ייצוג ארגונים וגופים ציבוריים, התשפ"ו-2026</t>
  </si>
  <si>
    <t xml:space="preserve"> (פ/6705/25)</t>
  </si>
  <si>
    <t xml:space="preserve">הצעת חוק הפסיכולוגים (תיקון - הכרה בפסיכולוגים מחוץ לישראל על בסיס ניסיון מקצועי), התשפ״ו-2026</t>
  </si>
  <si>
    <t xml:space="preserve"> (פ/6703/25)</t>
  </si>
  <si>
    <t xml:space="preserve">הצעת חוק משפחות חיילים שנספו במערכה (תגמולים ושיקום) (תיקון - הטבות לאח הנספה), התשפ"ו-2026</t>
  </si>
  <si>
    <t xml:space="preserve"> (פ/6702/25)</t>
  </si>
  <si>
    <t xml:space="preserve">הצעת חוק איסור טיפול המרה לקטין, התשפ"ו-2026</t>
  </si>
  <si>
    <t xml:space="preserve"> (פ/6701/25)</t>
  </si>
  <si>
    <t xml:space="preserve">הצעת חוק תאגידי מים וביוב (תיקון - הנחה בתשלום דמי הקמה לתאגיד שהוא מוסד ללא כוונת רווח), התשפ"ו-2026</t>
  </si>
  <si>
    <t xml:space="preserve"> (פ/6700/25)</t>
  </si>
  <si>
    <t xml:space="preserve">הצעת חוק הגנת הצרכן (תיקון - הגנה על אזרחי ישראל מפני טובין מהרשות הפלסטינית), התשפ״ו-2026</t>
  </si>
  <si>
    <t xml:space="preserve"> (פ/6699/25)</t>
  </si>
  <si>
    <t xml:space="preserve">הצעת חוק מס ערך מוסף (תיקון - הפחתת שיעור המס), התשפ"ו-2026</t>
  </si>
  <si>
    <t xml:space="preserve"> (פ/6698/25)</t>
  </si>
  <si>
    <t xml:space="preserve">הצעת חוק הפיקוח על שירותים פיננסיים (קופות גמל) (תיקון - מסלול הלכה), התשפ"ו-2026</t>
  </si>
  <si>
    <t xml:space="preserve"> (פ/6697/25)</t>
  </si>
  <si>
    <t xml:space="preserve">הצעת חוק זכות יוצרים (תיקון - שימוש אדם בתצלום בו הוא מופיע ופסיקת פיצויים על הפרת זכות יוצרים), התשפ״ו-2026</t>
  </si>
  <si>
    <t xml:space="preserve"> (פ/6696/25)</t>
  </si>
  <si>
    <t xml:space="preserve">הצעת חוק רשות מקרקעי ישראל (תיקון - הרחבת ייעודי הקרן לשמירה על שטחים פתוחים), התשפ"ו-2026</t>
  </si>
  <si>
    <t xml:space="preserve"> (פ/6695/25)</t>
  </si>
  <si>
    <t xml:space="preserve">הצעת חוק לתיקון פקודת מס הכנסה (פטור ממס על מלגות קיום לספורטאי הישג פאראלימפיים), התשפ"ו-2026</t>
  </si>
  <si>
    <t xml:space="preserve"> (פ/6694/25)</t>
  </si>
  <si>
    <t xml:space="preserve">הצעת חוק חינוך ממלכתי (תיקון - מועצה לחינוך ממלכתי כללי), התשפ"ו-2026</t>
  </si>
  <si>
    <t xml:space="preserve"> (פ/6693/25)</t>
  </si>
  <si>
    <t xml:space="preserve">הצעת חוק הביטוח הלאומי (תיקון - גמלת ניידות לילד מונשם מגיל שלושה חודשים), התשפ"ו-2026</t>
  </si>
  <si>
    <t xml:space="preserve"> (פ/6692/25)</t>
  </si>
  <si>
    <t xml:space="preserve">הצעת חוק העסקת עובדים על ידי קבלני כוח אדם (תיקון - תגמול מבוסס איכות בענף ההעסקה הקבלנית), התשפ״ו-2026</t>
  </si>
  <si>
    <t xml:space="preserve"> (פ/6691/25)</t>
  </si>
  <si>
    <t xml:space="preserve">הצעת חוק לימוד חובה (תיקון - מספר תלמידים מרבי בכיתה בבית ספר יסודי), התשפ"ו-2026</t>
  </si>
  <si>
    <t xml:space="preserve"> (פ/6690/25)</t>
  </si>
  <si>
    <t xml:space="preserve">הצעת חוק רשות העתיקות (תיקון - סמכות רשות העתיקות ביהודה והשומרון), התשפ"ו-2026</t>
  </si>
  <si>
    <t xml:space="preserve"> (פ/6689/25)</t>
  </si>
  <si>
    <t xml:space="preserve">הצעת חוק סמכויות מיוחדות למאבק בארגוני פשיעה (הוראות שעה), התשפ"ו–2026</t>
  </si>
  <si>
    <t xml:space="preserve"> (פ/6158/25)</t>
  </si>
  <si>
    <t xml:space="preserve"> (כ/1190)</t>
  </si>
  <si>
    <t xml:space="preserve">הצעת חוק לתיקון פקודת העיריות (מס' 162), התשפ"ו–2026</t>
  </si>
  <si>
    <t xml:space="preserve">הצעת חוק שמירה על גבולות המדינה (תיקוני חקיקה), התשפ"ה-2025</t>
  </si>
  <si>
    <t xml:space="preserve"> (פ/5737/25)</t>
  </si>
  <si>
    <t xml:space="preserve">14.05.2026</t>
  </si>
  <si>
    <t xml:space="preserve">חוק זכויות מבצעים ומשדרים (תיקון מס' 10), התשפ"ו–2026</t>
  </si>
  <si>
    <t xml:space="preserve"> (פ/3177/25)</t>
  </si>
  <si>
    <t xml:space="preserve"> (כ/1115)</t>
  </si>
  <si>
    <t xml:space="preserve">13.05.2026</t>
  </si>
  <si>
    <t xml:space="preserve">חוק ביטוח בריאות ממלכתי (תיקון מס' 75), התשפ"ו–2026</t>
  </si>
  <si>
    <t xml:space="preserve"> (פ/41/25)</t>
  </si>
  <si>
    <t xml:space="preserve"> (כ/1137)</t>
  </si>
  <si>
    <t xml:space="preserve">ועדת הבריאות</t>
  </si>
  <si>
    <t xml:space="preserve">הצעת חוק דחיית מועדים (תשלומים של בעל עסק המשרת בשירות מילואים פעיל), התשפ"ה-2025</t>
  </si>
  <si>
    <t xml:space="preserve"> (פ/6043/25)</t>
  </si>
  <si>
    <t xml:space="preserve">הצעת חוק לתיקון פקודת מס הכנסה (נקודות זיכוי להורי חיילים), התשפ"ה-2024</t>
  </si>
  <si>
    <t xml:space="preserve"> (פ/5256/25)</t>
  </si>
  <si>
    <t xml:space="preserve">חוק כלי הירייה (תיקון מס' 25), התשפ"ה–2025</t>
  </si>
  <si>
    <t xml:space="preserve"> (פ/4813/25)</t>
  </si>
  <si>
    <t xml:space="preserve"> (כ/1084)</t>
  </si>
  <si>
    <t xml:space="preserve">12.05.2026</t>
  </si>
  <si>
    <t xml:space="preserve">חוק כלי הירייה, התש"ט–1949, מגביל מתן רישיונות או הרשאה להחזקת כלי נשק למי שטרם מלאו לו 21 שנים. לצד זאת, השר לביטחון פנים רשאי באישור הוועדה לביטחון לאומי של הכנסת, לקבוע כי הגבלה זו לא תחול ביחס לסוגי פעילויות או נסיבות לאדם שמלאו לו 18 שנים וטרם מלאו לו 21 שנים, לרבות בנסיבה של סיום שירות סדיר.  במסגרת התיקון, נקבע כי יותר לרשות מוסמכת לתת רישיון נשק לאדם שמלאו לו 18 שנים אף אם לא השלים את תקופת השירות הסדיר שהוא חייב בה, ובלבד שוועדה רפואית קבעה כי הוא בלתי כשיר לשירות בשל מצבו הרפואי, ושקצין שהוסמך על ידי ראש אגף כוח אדם בצבא ההגנה לישראל הודיעה לוועדה כי שירותו הסתיים בשל פציעה בפעילות מבצעית או שהיה לוחם ושוחרר מסיבות רפואיות. עוד נקבע, כי במסגרת הודעת הקצין המוסמך, יצוין אם אי הכשירות הרפואית נבעה גם מסיבות נפשיות, וכי אדם המבקש רישוי כאמור, יידרש לצרף לבקשתו מסמכים רפואיים הנוגעים לפציעתו או לסיבות הרפואיות שהביאו לסיום שירותו. </t>
  </si>
  <si>
    <t xml:space="preserve">חוק דיווח לכנסת על הטרדות מיניות בכוחות הביטחון והטיפול בהן (תיקוני חקיקה), התשפ"ו-2025</t>
  </si>
  <si>
    <t xml:space="preserve"> (פ/605/25)</t>
  </si>
  <si>
    <t xml:space="preserve"> (כ/978)</t>
  </si>
  <si>
    <t xml:space="preserve">במסגרת החוק הוטלה על משטרת ישראל, שירות בתי הסוהר וצבא הגנה לישראל חובת דיווח שנתית לכנסת בנושא הטרדות מיניות והטיפול בהן. נקבע כי המפקח הכללי של המשטרה ונציב בתי הסוהר יגישו לוועדה לביטחון לאומי, ואילו ראש המטה הכללי של צה"ל יגיש לוועדת החוץ והביטחון, דין וחשבון שנתי עד ל-31 במרץ בכל שנה. הדיווח יתייחס לשנה הקלנדרית שקדמה לו ויכלול פירוט של הפעולות שנקטו הגופים למניעת הטרדות מיניות בארגונים, את מספר הדיווחים שהוגשו לממונה על הטיפול בנושא ואת אופן הטיפול בהם. לשם הגנה על פרטיות המעורבים, נקבע איסור מפורש לכלול בדוח פרטי מידע שיאפשרו את זיהוי המדווחים, המתלוננים, הנילונים או אנשים אחרים המעורבים בדיווח.</t>
  </si>
  <si>
    <t xml:space="preserve">פרק י"ב (פיקוח על מוצרי עישון לצורכי מס) מתוך הצעת חוק התוכנית הכלכלית (תיקוני חקיקה ליישום המדיניות הכלכלית לשנת התקציב 2026), התשפ"ו-2026</t>
  </si>
  <si>
    <t xml:space="preserve">11.05.2026</t>
  </si>
  <si>
    <t xml:space="preserve">חוק העמדה לדין בשל אירועי טבח 7 באוקטובר 2023 (טבח שמיני עצרת), התשפ"ו–2026</t>
  </si>
  <si>
    <t xml:space="preserve"> (פ/5020/25)</t>
  </si>
  <si>
    <t xml:space="preserve"> (כ/1170)</t>
  </si>
  <si>
    <t xml:space="preserve">חוק לתיקון פקודת המשטרה (מס' 44), התשפ"ו-2026</t>
  </si>
  <si>
    <t xml:space="preserve"> (פ/4723/25)</t>
  </si>
  <si>
    <t xml:space="preserve"> (כ/1144)</t>
  </si>
  <si>
    <t xml:space="preserve">הצעת חוק חובת גילוי בדבר עוצמת הקרינה מכלי רכב בפרסומות ובעסקים, התשפ"ו-2026</t>
  </si>
  <si>
    <t xml:space="preserve"> (פ/6687/25)</t>
  </si>
  <si>
    <t xml:space="preserve">הצעת חוק עבודת נשים (תיקון - הרחבת הזכות להיעדר מעבודה במקרים של הורות משותפת עם משרת מילואים), התשפ"ו-2026</t>
  </si>
  <si>
    <t xml:space="preserve"> (פ/6686/25)</t>
  </si>
  <si>
    <t xml:space="preserve">הצעת חוק סיוע למשפחות אזרחים נעדרים, התשפ"ו-2026</t>
  </si>
  <si>
    <t xml:space="preserve"> (פ/6685/25)</t>
  </si>
  <si>
    <t xml:space="preserve">הצעת חוק שלילת הטבות מאדם שלא מילא חובת שירות, התשפ"ו-2026</t>
  </si>
  <si>
    <t xml:space="preserve"> (פ/6684/25)</t>
  </si>
  <si>
    <t xml:space="preserve">הצעת חוק הכרזה על תנועת האחים המוסלמים ועל הפלג הדרומי בתנועה האסלאמית כארגוני טרור ומחיקת מפלגות התומכות בטרור מפנקס המפלגות, התשפ"ו-2026</t>
  </si>
  <si>
    <t xml:space="preserve"> (פ/6683/25)</t>
  </si>
  <si>
    <t xml:space="preserve"> (פ/6682/25)</t>
  </si>
  <si>
    <t xml:space="preserve">הצעת חוק עיטור הפציעה הקרבית, התשפ"ו-2026</t>
  </si>
  <si>
    <t xml:space="preserve"> (פ/6681/25)</t>
  </si>
  <si>
    <t xml:space="preserve"> (פ/6680/25)</t>
  </si>
  <si>
    <t xml:space="preserve">הצעת חוק חישוב התשלום בעד נסיעה בתחבורה ציבורית (תיקוני חקיקה), התשפ"ו-2026</t>
  </si>
  <si>
    <t xml:space="preserve"> (פ/6679/25)</t>
  </si>
  <si>
    <t xml:space="preserve"> (פ/6678/25)</t>
  </si>
  <si>
    <t xml:space="preserve">הצעת חוק למאבק באלימות במוסד חינוכי (תיקוני חקיקה), התשפ"ו-2026</t>
  </si>
  <si>
    <t xml:space="preserve"> (פ/6677/25)</t>
  </si>
  <si>
    <t xml:space="preserve">הצעת חוק המכינות הקדם-צבאיות (תיקון - תקציב ייעודי להנגשה ולשילוב חניכים עם מוגבלות), התשפ״ו-2026</t>
  </si>
  <si>
    <t xml:space="preserve"> (פ/6676/25)</t>
  </si>
  <si>
    <t xml:space="preserve">הצעת חוק עיגון החלטות ממשלה ארוכות טווח, התשפ״ו-2026 </t>
  </si>
  <si>
    <t xml:space="preserve"> (פ/6675/25)</t>
  </si>
  <si>
    <t xml:space="preserve">הצעת חוק ההוצאה לפועל (תיקון - מתן הפטר לחייב מוגבל באמצעים) (הוראת שעה), התשפ"ו-2026</t>
  </si>
  <si>
    <t xml:space="preserve"> (פ/6674/25)</t>
  </si>
  <si>
    <t xml:space="preserve">הצעת חוק העונשין (תיקון - פיצויים בגין הרשעה בעבירות מין ואלימות חמורה), התשפ"ו-2026</t>
  </si>
  <si>
    <t xml:space="preserve"> (פ/6673/25)</t>
  </si>
  <si>
    <t xml:space="preserve">הצעת חוק האקלים, התשפ"ו-2026</t>
  </si>
  <si>
    <t xml:space="preserve"> (פ/6672/25)</t>
  </si>
  <si>
    <t xml:space="preserve"> (פ/6671/25)</t>
  </si>
  <si>
    <t xml:space="preserve">הצעת חוק מניעת רעש בלתי סביר של המואזין, התשפ״ו-2026</t>
  </si>
  <si>
    <t xml:space="preserve"> (פ/6670/25)</t>
  </si>
  <si>
    <t xml:space="preserve">הצעת חוק מניעת סבל מחסרי חוליות מסוימים  (תיקוני חקיקה), התשפ"ו-2026</t>
  </si>
  <si>
    <t xml:space="preserve"> (פ/6669/25)</t>
  </si>
  <si>
    <t xml:space="preserve">הצעת חוק לתיקון פקודת התעבורה (הסדר חניה לאופנוע - איסור העמדה במקביל למדרכה), התשפ"ו-2026</t>
  </si>
  <si>
    <t xml:space="preserve"> (פ/6668/25)</t>
  </si>
  <si>
    <t xml:space="preserve">הצעת חוק להגברת האכיפה של דיני העבודה (תיקון - אחריות מזמיני שירות וקבלנים בשרשורי העסקה), התשפ"ו-2026</t>
  </si>
  <si>
    <t xml:space="preserve"> (פ/6667/25)</t>
  </si>
  <si>
    <t xml:space="preserve">הצעת חוק עידוד הקמת יקבים בקרקעות חקלאיות, התשפ"ו-2026</t>
  </si>
  <si>
    <t xml:space="preserve"> (פ/6666/25)</t>
  </si>
  <si>
    <t xml:space="preserve">הצעת חוק העובדים הסוציאליים (תיקון - איסור העסקת בוגרי הרשות הפלסטינית), התשפ"ו-2026</t>
  </si>
  <si>
    <t xml:space="preserve"> (פ/6665/25)</t>
  </si>
  <si>
    <t xml:space="preserve">הצעת חוק להסדרת הפיקוח על כלבים (תיקון - הסדרת עיסוק באילוף כלבים), התשפ"ו-2026</t>
  </si>
  <si>
    <t xml:space="preserve"> (פ/6664/25)</t>
  </si>
  <si>
    <t xml:space="preserve">הצעת חוק לתיקון פקודת התעבורה (מתן עדיפות תכנונית לקווי אוטובוס שבהם שיעור הנוסעים גבוה), התשפ"ו-2026</t>
  </si>
  <si>
    <t xml:space="preserve"> (פ/6663/25)</t>
  </si>
  <si>
    <t xml:space="preserve">הצעת חוק מדד לזכות לקיום אנושי בכבוד, התשפ"ו-2026</t>
  </si>
  <si>
    <t xml:space="preserve"> (פ/6662/25)</t>
  </si>
  <si>
    <t xml:space="preserve">הצעת חוק לתיקון פקודת בריאות העם (חובת אחזקת מכשיר איתור ורידים), התשפ"ו-2026</t>
  </si>
  <si>
    <t xml:space="preserve"> (פ/6661/25)</t>
  </si>
  <si>
    <t xml:space="preserve"> (פ/6660/25)</t>
  </si>
  <si>
    <t xml:space="preserve">הצעת חוק לתיקון פקודת התעבורה (יידוע הציבור על צילום לצורכי אכיפה), התשפ"ו-2026</t>
  </si>
  <si>
    <t xml:space="preserve"> (פ/6659/25)</t>
  </si>
  <si>
    <t xml:space="preserve">הצעת חוק בתי קברות צבאיים (תיקון - חיילים זכאי חוק השבות), התשפ"ו-2026</t>
  </si>
  <si>
    <t xml:space="preserve"> (פ/6658/25)</t>
  </si>
  <si>
    <t xml:space="preserve">הצעת חוק ההתגוננות האזרחית (תיקון - איסור הצבת צופר על גג מוסד חינוכי לצרכים מיוחדים), התשפ"ו-2026</t>
  </si>
  <si>
    <t xml:space="preserve"> (פ/6657/25)</t>
  </si>
  <si>
    <t xml:space="preserve">הצעת חוק אחריות במרחב הרשת, התשפ"ו-2026</t>
  </si>
  <si>
    <t xml:space="preserve"> (פ/6656/25)</t>
  </si>
  <si>
    <t xml:space="preserve">הצעת חוק הרשות השנייה לטלוויזיה ורדיו (תיקון - הארכת תקופת המעבר), התשפ"ו-2026</t>
  </si>
  <si>
    <t xml:space="preserve"> (פ/6655/25)</t>
  </si>
  <si>
    <t xml:space="preserve">הצעת חוק לתיקון פקודת התעבורה (נסיעת רכב שבו שני נוסעים לפחות בנתיב תחבורה ציבורית), התשפ"ו-2026</t>
  </si>
  <si>
    <t xml:space="preserve"> (פ/6654/25)</t>
  </si>
  <si>
    <t xml:space="preserve">הצעת חוק לתיקון פקודת הרוקחים (מתן מרשם על ידי פודיאטר ופודיאטר מנתח), התשפ"ו-2026</t>
  </si>
  <si>
    <t xml:space="preserve"> (פ/6653/25)</t>
  </si>
  <si>
    <t xml:space="preserve">הצעת חוק הבנקאות (שירות ללקוח) (תיקון - קורס חינוך פיננסי ללקוח בחריגה ממסגרת האשראי או בחריגה תזרימית), התשפ"ו-2026</t>
  </si>
  <si>
    <t xml:space="preserve"> (פ/6652/25)</t>
  </si>
  <si>
    <t xml:space="preserve">הצעת חוק הבחירות (דרכי תעמולה) (תיקון - תעמולה דיגיטלית, תעמולה מבוססת בינה מלאכותית והחמרת ענישה), התשפ"ו-2026</t>
  </si>
  <si>
    <t xml:space="preserve"> (פ/6651/25)</t>
  </si>
  <si>
    <t xml:space="preserve">הצעת חוק בתי קברות צבאיים (תיקון מס' 5) (תיקון - תחולה למפרע), התשפ"ו-2026</t>
  </si>
  <si>
    <t xml:space="preserve"> (פ/6650/25)</t>
  </si>
  <si>
    <t xml:space="preserve">הצעת חוק השמירה על המקומות הקדושים (תיקון - סמכות הרבנות הראשית לישראל), התשפ"ו-2026</t>
  </si>
  <si>
    <t xml:space="preserve"> (פ/6649/25)</t>
  </si>
  <si>
    <t xml:space="preserve">הצעת חוק רישוי עסקים (תיקון - התקנת מכשיר לבדיקת רמת אלכוהול), התשפ"ו-2026</t>
  </si>
  <si>
    <t xml:space="preserve"> (פ/6648/25)</t>
  </si>
  <si>
    <t xml:space="preserve">הצעת חוק זכויות הסטודנט (תיקון - איסור הפליה מחמת נטייה מינית או זהות מגדרית), התשפ"ו-2026</t>
  </si>
  <si>
    <t xml:space="preserve"> (פ/6647/25)</t>
  </si>
  <si>
    <t xml:space="preserve">הצעת חוק שירותי הדת היהודיים (תיקון - הכרזה על בית עלמין סגור), התשפ"ו-2026</t>
  </si>
  <si>
    <t xml:space="preserve"> (פ/6646/25)</t>
  </si>
  <si>
    <t xml:space="preserve">הצעת חוק לימוד חובה (תיקון - מנהל מוסד חינוך), התשפ"ו-2026</t>
  </si>
  <si>
    <t xml:space="preserve"> (פ/6645/25)</t>
  </si>
  <si>
    <t xml:space="preserve">הצעת חוק לתיקון פקודת מס הכנסה (שינוי הקריטריונים ליישוב מוטב), התשפ"ו-2026</t>
  </si>
  <si>
    <t xml:space="preserve"> (פ/6644/25)</t>
  </si>
  <si>
    <t xml:space="preserve">הצעת חוק ביטוח בריאות ממלכתי (תיקון - הרחבת חופש הבחירה ושוויון בנגישות בפריפריה), התשפ"ו-2026</t>
  </si>
  <si>
    <t xml:space="preserve"> (פ/6643/25)</t>
  </si>
  <si>
    <t xml:space="preserve">הצעת חוק הבטחת חיים בכבוד לאזרחים ותיקים (תיקוני חקיקה), התשפ"ו-2026</t>
  </si>
  <si>
    <t xml:space="preserve"> (פ/6642/25)</t>
  </si>
  <si>
    <t xml:space="preserve">הצעת חוק המועצה להשכלה גבוהה (תיקון - מימון לימודים לתואר ראשון לסטודנט תושב קריית שמונה) (הוראת שעה), התשפ״ו-2026</t>
  </si>
  <si>
    <t xml:space="preserve"> (פ/6641/25)</t>
  </si>
  <si>
    <t xml:space="preserve">הצעת חוק הפיקוח על שירותים פיננסיים (שירותים פיננסיים מוסדרים) (תיקון מס' 18), התשפ"ו-2026</t>
  </si>
  <si>
    <t xml:space="preserve"> (מ/1948)</t>
  </si>
  <si>
    <t xml:space="preserve">הצעת חוק הכניסה לישראל (תיקון מס' 45) (סמכויות פיקוח כלפי מגישי בקשה להסדרת מעמד בן זוג), התשפ"ו-2026</t>
  </si>
  <si>
    <t xml:space="preserve"> (מ/1949)</t>
  </si>
  <si>
    <t xml:space="preserve">הצעת חוק הוועדה לטיפול במשפחות נעדרים וחטופים, התשפ"ה-2024</t>
  </si>
  <si>
    <t xml:space="preserve"> (פ/5258/25)</t>
  </si>
  <si>
    <t xml:space="preserve">06.05.2026</t>
  </si>
  <si>
    <t xml:space="preserve">הצעת חוק הוועדה לטיפול במשפחות נעדרים אזרחיים, התשפ"ה-2024</t>
  </si>
  <si>
    <t xml:space="preserve"> (פ/5010/25)</t>
  </si>
  <si>
    <t xml:space="preserve">הצעת חוק הוועדה לטיפול במשפחות נעדרים אזרחיים, התשפ"ד-2024</t>
  </si>
  <si>
    <t xml:space="preserve"> (פ/4488/25)</t>
  </si>
  <si>
    <t xml:space="preserve">הצעת חוק הוועדה לטיפול במשפחות נעדרים אזרחיים, התשפ"ד-2023</t>
  </si>
  <si>
    <t xml:space="preserve"> (פ/4059/25)</t>
  </si>
  <si>
    <t xml:space="preserve">הצעת חוק הוועדה לטיפול במשפחות נעדרים אזרחיים, התשפ"ג-2023</t>
  </si>
  <si>
    <t xml:space="preserve"> (פ/3072/25)</t>
  </si>
  <si>
    <t xml:space="preserve">הצעת חוק הוועדה לטיפול במשפחות נעדרים אזרחיים, התשפ"ג-2022</t>
  </si>
  <si>
    <t xml:space="preserve"> (פ/339/25)</t>
  </si>
  <si>
    <t xml:space="preserve">חוק הכניסה לישראל (תיקון מס' 38), התשפ"ד–2024</t>
  </si>
  <si>
    <t xml:space="preserve"> (פ/3510/25)</t>
  </si>
  <si>
    <t xml:space="preserve"> (כ/1002)</t>
  </si>
  <si>
    <t xml:space="preserve">05.05.2026</t>
  </si>
  <si>
    <t xml:space="preserve">חוק הכניסה לישראל, התשי"ב–1952, מתייחס בין היתר לעבירות העוסקות בהסעה, הלנה והעסקה של תושבי אזור יהודה והשומרון שנכנסו לישראל או שוהים במדינה שלא כדין, וזאת על מנת לצמצם את התופעה זו. בעקבות הגידול שחל בשנים האחרונות בהיקף התופעה לצד השלכותיה על ביטחון אזרחי ישראל, תוקן חוק הכניסה לישראל כך שהוחמרה הענישה בעבירות הרלוונטיות, נקבעו מנגנונים לאכיפתן וקנסות מזעריים.  במסגרת תיקון מספר 38, הוחלט לשנות את עונש המאסר הקבוע בין היתר, בעבירת הסעה, הלנה והעסקה של שוהה שלא כדין כאמור, משנתיים לארבע שנות מאסר, וכן להחמיר את עונשי המאסר הקבועים לאותן עבירות בנסיבות מחמירות, מחמש לשבע שנות מאסר. כמו כן, נקבע כהוראת שעה עד ליום כ"ד בניסן התשפ"ז (1 במאי 2027), עונש מזערי על עבירות הסעה, העסקה והלנה של שוהה שלא כדין, כך שהעונש שיטיל בית המשפט לא יפחת מרבע העונש המרבי הקבוע לעבירות אלו, אלא אם ראה לנכון לסטות מכך לפי שיקול דעתו בנסיבות מתאימות ומטעמים מיוחדים. בנוסף, נקבעה מחדש הוראת השעה בעניין הטלת קנסות מזעריים, לתקופה שעד יום כ"ד בניסן התשפ"ז (1 במאי 2027), תוך קביעת שיעור קנסות מינימלי לצד מתן סמכות לבית המשפט להקל ולסטות מסכומים אלו, אם סבר כי קיימים טעמים מיוחדים לכך. בהוראת שעה נוספת עד ליום כ"ד בניסן התשפ"ז (1 במאי 2027), נקבע גובה מזערי לקנס המוטל על ידי בית המשפט על אדם שהורשע בעבירות הסעת שוהה שלא כדין, כך שלא יפחת ממחצית שווי הרכב, אלא אם סבר בית המשפט שיש לסטות מכך מטעמים מיוחדים.  מעבר לכך, נקבעו הסדרים נוספים שנועדו להיטיב את הטיפול בתופעה כאמור ולצמצמה, לרבות מתן סמכות לבית המשפט להתלות רישיון של חשוד בעבירות הסעה שלא כדין, הטלת חובה על בעל רכב לנקוט באמצעים סבירים למניעת עבירה הכוללת מתן הרשאה לשימוש ברכבו שלא כדין על ידי תושב זר וחובת דיווח שנתית לוועדה לביטחון לאומי.  </t>
  </si>
  <si>
    <t xml:space="preserve">חוק התוכנית לסיוע כלכלי (הוראת שעה) (סיוע לעסקים ולמוסדות ציבור), התשפ"ו-2026</t>
  </si>
  <si>
    <t xml:space="preserve"> (מ/1947)</t>
  </si>
  <si>
    <t xml:space="preserve">04.05.2026</t>
  </si>
  <si>
    <t xml:space="preserve">חוק השמות (תיקון מס' 9), התשפ"ו-2026</t>
  </si>
  <si>
    <t xml:space="preserve"> (מ/1928)</t>
  </si>
  <si>
    <t xml:space="preserve">27.04.2026</t>
  </si>
  <si>
    <t xml:space="preserve">החוק קובע כי הכלל שלפיו יישמרו שמות ההורים המולידים לאחר האימוץ, יחול רק במקרים שבהם האימוץ נעשה בשל פטירת הורים, תוך שמירה על סמכותו של בית המשפט להורות אחרת אם מצא שנכון לעשות זאת בהתאם לטובתו של הקטין. עוד קובע החוק כי ניתן לאפשר את שימור רישומם של שמות שני הורים שנפטרו, גם במקרה של אימוץ שנעשה על ידי בני זוג שהם קרובי משפחה של הקטין.  זאת ועוד, נקבע כי במקרה חריג שבו אחד מהורי הקטין או שניהם נפטרו, והוא מאומץ על ידי אדם שאינו קרוב משפחתו ואינו בן זוגו של ההורה שנותר בחיים, לא יחול הכלל האמור בדבר שמירת שמות ההורה או ההורים שנפטרו ושם משפחתם, ובית המשפט יקבע אם יש לשמר את שם המשפחה ושמות ההורים כאמור בהתאם לטובת הילד.  </t>
  </si>
  <si>
    <t xml:space="preserve">חוק הביטוח הלאומי (תיקון מס' 265), התשפ"ו-2026</t>
  </si>
  <si>
    <t xml:space="preserve"> (מ/1945)</t>
  </si>
  <si>
    <t xml:space="preserve">חוק חובת דיווח על מלאי מזון לבעלי חיים ומלאי חיטה לשם היערכות למחסור משמעותי, התשפ"ו-2026</t>
  </si>
  <si>
    <t xml:space="preserve"> (מ/1914)</t>
  </si>
  <si>
    <t xml:space="preserve">חוק שיקום נזקי מלחמה בדרך של התחדשות עירונית, התשפ"ו-2026</t>
  </si>
  <si>
    <t xml:space="preserve"> (מ/1907)</t>
  </si>
  <si>
    <t xml:space="preserve">החוק קובע מנגנון ייחודי לשיקום אזורים שנפגעו מנזקי מלחמה בדרך של התחדשות עירונית, במטרה לאפשר שיקום מהיר, יעיל ומקיף, תוך איזון בין האינטרס הציבורי לבין שמירה על זכויות הקניין של הפרט .  במסגרת החוק הממשלה רשאית להכריז, בתוך פרק זמן מוגבל, על “אזור לשיקום והתחדשות”, בהתבסס על המלצה מקצועית של צוות מייעץ, באזור זה יכולים להיכלל בניינים שנהרסו בשל נזק מלחמה, בניינים שדורשים שיקום משמעותי,  וכן מגרשים ריקים ובניינים שלא נפגעו כלל במגבלה הקבועה בחוק.  בנוסף, החוק קובע מנגנון לבחירת יזם שיקום בפיקוח המדינה בפרק זמן מוגבל, בכפוף להסכמת רוב מיוחד של בעלי הדירות, וכן מאפשר לבעלי דירות לבחור בין השתתפות בפרויקט לבין מכירת זכויותיהם בתמורה כספית מיידית לפי שומה, בתוספת תמריצים למקדימים . עוד נקבע כי המדינה תסייע במימון הפרויקטים באמצעות קרן הפיצויים, לרבות מתן גב כלכלי לפרויקטים שאינם "כדאיים כלכלית", וכן נקבעו הליכי רישוי ותכנון מהירים והעדפה להליכים אלו בערכאות ובגופים מקצועיים.</t>
  </si>
  <si>
    <t xml:space="preserve">חוק עונש מוות למחבלים, התשפ"ו-2026</t>
  </si>
  <si>
    <t xml:space="preserve"> (פ/1738/25)</t>
  </si>
  <si>
    <t xml:space="preserve"> (כ/1159)</t>
  </si>
  <si>
    <t xml:space="preserve">30.03.2026</t>
  </si>
  <si>
    <t xml:space="preserve">במסגרת חוק עונש מוות למחבלים, התשפ"ו-2026, נקבע כי שר הביטחון יורה למפקד כוחות צה"ל באזור יהודה והשומרון לתקן את הצו בדבר הוראות ביטחון, כך שעל תושב האזור (למעט אזרח ישראלי או תושב ישראל) שגרם בכוונה למותו של אדם במסגרת מעשה טרור, כהגדרתו בחוק המאבק בטרור, יוטל עונש מוות בלבד – אלא אם מצא בית המשפט הצבאי, מנימוקים מיוחדים, כי מתקיימות נסיבות מיוחדות שבשלן ראוי להטיל עונש מאסר עולם. סמכותו של בית המשפט הצבאי לגזור עונש מוות לא תותנה בבקשת התביעה, בהחלטה פה אחד של הרכב השופטים, או בכך שדרגת השופטים אינה פחותה מסגן אלוף. מפקד כוחות צה"ל באזור לא יהיה רשאי לחון, להקל או להמיר עונש מוות שנגזר על מחבל. כמו כן, נקבעה הוראה ייחודית לעניין סמכות השיפוט של תושבי יהודה ושומרון, ולפיה מקום העמדתם לדין – בבתי המשפט האזרחיים בישראל או בבתי המשפט הצבאיים ביהודה והשומרון, ייקבע בהתאם למדיניות שיקבע שר הביטחון בנושא. בנוסף, תוקן חוק העונשין כך שאדם הגורם למותו של אדם מתוך מטרה לשלול את קיומה של מדינת ישראל בנסיבות של מעשה טרור, דינו יהיה מיתה או מאסר עולם בלבד. סמכות בית המשפט האזרחי להטיל עונש מוות בעבירות אלו, ולפי החוק בדבר מניעתו וענישתו של הפשע השמדת עם, לא תותנה בכך שהתביעה ביקשה זאת. עוד נקבע כי גזר דין מוות יבוצע בתלייה בתוך 90 ימים מיום שהפך לחלוט. החוק מסמיך את ראש הממשלה לבקש מבית המשפט לעכב את ביצוע גזר הדין מסיבות מיוחדות שיירשמו ולתקופה מצטברת שלא תעלה על 180 ימים. עוד תוקן חוק הממשלה, כך שאם תחליט לשחרר אסיר מטעמים של ניהול יחסי החוץ והביטחון של המדינה, היא לא תוכל להורות על שחרור ממאסר של אדם שהורשע, חשוד או נאשם בעבירה שדינה מיתה. לבסוף, תוקנה פקודת בתי הסוהר לשם הסדרת תנאי החזקתו של נידון למוות בנפרד משאר האסירים ותוך הגבלת הגישה אליו למורשים בלבד. החוק מחיל הוראות סודיות מחמירות על זהות הסוהרים והנהלים, שהפרתן ופרסום פרטים ללא היתר מהווים עבירה פלילית, ומעגן את זכותם של משפחות נפגעי העבירה לקבל עדכון בעניין ההוצאה להורג ולנציגיהן להיות נוכחים בעת ביצוע גזר הדין.</t>
  </si>
  <si>
    <t xml:space="preserve">חוק הפצת שידורים באמצעות תחנות שידור ספרתיות (תיקון מס' 8 – הוראת שעה), התשפ"ו–2026</t>
  </si>
  <si>
    <t xml:space="preserve"> (מ/1902)</t>
  </si>
  <si>
    <t xml:space="preserve">הוראת השעה קובעת הסדר חדש לעניין תשלום דמי ההפצה שמשלמים גופים משדרים בעד הפצת שידוריהם במערך הפצת שידורים באמצעות תחנות שידור ספרתיות, הידוע כמערך "עידן פלוס".  ראשית, נקבע כי מיום 1.4.2026 עד ליום 1.4.2029 או עד המועד שבו תופסק פעילותן של תחנות השידור הספרתיות לפי חוק, לפי המוקדם מביניהם, תחול הוראת שעה שבמהלכה הגורם המפעיל את תחנות השידור הספרתיות, שכיום הוא הרשות השנייה לטלוויזיה ולרדיו (להלן – הגורם המפעיל), יעשה שימוש במרבב אחד בלבד לשם הפצת השידורים באמצעותן. בתקופה זו, גוף ששידורי הטלוויזיה שלו מופצים באמצעות המערך ישלם דמי הפצה בהתאם לגובה ההכנסה השנתית שלו בשנת 2024 מביצוע שידורים ומתן שירותים, לפי מדרגות הכנסה כמפורט להלן:  גוף כאמור שהכנסתו לא עלתה על 40 מיליון שקלים חדשים יהיה פטור מתשלום דמי הפצה; גוף שהכנסתו עלתה על 40 מיליון שקלים חדשים ולא עלתה על 220 מיליון שקלים חדשים – ישלם 120,000 שקלים חדשים; גוף שהכנסתו עלתה על 220 מיליון שקלים חדשים ולא עלתה על 600 מיליון שקלים חדשים – ישלם 600,000 שקלים חדשים; גוף שהכנסתו עלתה על 600 מיליון שקלים חדשים – ישלם 1,300,000 שקלים חדשים; כמו כן, הכנסת תמשיך לשלם סכום של 5,488,000 שקלים חדשים בשנה עבור הפצת שידורי ערוץ הכנסת באמצעות המערך.  זאת ועוד, תאגיד השידור הישראלי יישא ביתרת התשלומים הכרוכים בהפעלתן ותחזוקתן של תחנות השידור הספרתיות, אולם לגבי הרבעונים השני עד הרביעי בשנת 2026, יישא אוצר המדינה בתשלום של 790,000 שקלים חדשים לכל רבעון. כמו כן, בתקופת הוראת השעה נקבע כי אוצר המדינה יישא בהוצאות שהוציאו הגורם המפעיל או משרד התקשורת לשם טיפול בתקלות שבשלן לא ניתן לצפות או להאזין לשידורים המופצים באמצעות המערך, כך שמיום 1.3.2026 ועד 31.12.2026 – ישלם עד 600,000 שקלים חדשים, ומיום 1.1.2027 עד תום תקופת הוראת השעה (בתאריך 1.4.2029) – ישלם עד 200,000 שקלים חדשים. הוראת השעה אינה משנה את המצב החוקי הקיים, שלפיו על הערוצים הזעירים והזעירים-הייעודיים לא חלה חובה להפיץ את שידוריהם באמצעות המערך, וחובה זו חלה רק על תאגיד השידור הישראלי, על בעלי הרישיונות לשידורי טלוויזיה שהם הערוצים המסחריים הוותיקים (כיום ערוצים 12 ו-13) ועל ערוץ הכנסת. הוראת השעה גם אינה משנה את המצב החוקי לעניין זה בקשר לתחנות הרדיו האזורי, ולפיו שידוריהן יופצו באמצעות המערך אם ביקשו זאת.   בנוסף, נקבעה הוראת מעבר, שתחול מיום 15.6.2025 ועד ליום 31.3.2026, שלפיה על תשלום דמי ההפצה בתקופה זו יחול ההסדר שנקבע בהוראת השעה שפקעה ב-15.6.2025 (הוראת השעה שנקבעה בתיקון מס' 7 לחוק שנחקק בשנת 2024) כלומר כל ערוצי הטלוויזיה המסחריים ובעלי הזיכיונות לשידורי רדיו אזורי פטורים מתשלום דמי הפצה, והגורמים המשלמים את דמי ההפצה הם תאגיד השידור הישראלי והכנסת לגבי ערוץ הכנסת, כאשר אוצר המדינה ישלם את יתרת דמי ההפצה כמפורט בחוק. </t>
  </si>
  <si>
    <t xml:space="preserve">חוק ביטוח בריאות ממלכתי (תיקון מס' 74), התשפ"ו–2026</t>
  </si>
  <si>
    <t xml:space="preserve"> (פ/5881/25)</t>
  </si>
  <si>
    <t xml:space="preserve"> (כ/1176)</t>
  </si>
  <si>
    <t xml:space="preserve">החוק קובע כי בני נוער בגילאי 15 עד 18 יוכלו להיות זכאים לכיסא גלגלים ממונע הניתן להנעה בבטיחות על ידי מלווה, למרות שמצבם הקוגניטיבי, הרפואי או התפקודי אינו מאפשר להם להפעילו בעצמם בבטיחות. הזכאות לתיקונים בכיסא הממונע או להחלפת הכיסא הממונע תסתיים בגיל 18.</t>
  </si>
  <si>
    <t xml:space="preserve">חוק להסדרת אירוע הילולת רבי שמעון בר יוחאי בהר מירון (הוראת שעה), התשפ"ו–2026</t>
  </si>
  <si>
    <t xml:space="preserve"> (מ/1935)</t>
  </si>
  <si>
    <t xml:space="preserve">במסגרת החוק נקבעו הסדרים לארגון ולביצוע של אירוע הילולת רבי שמעון בר יוחאי בהר מירון, שיתקיים כהוראת שעה בשנת התשפ"ו-2026. זמן ההילולה נקבע החל מיום י"ז באייר התשפ"ו (4 במאי 2026) בשעה 06:00 ועד ליום י"ט באייר התשפ"ו (6 במאי 2026) בשעה 08:00. במסגרת זאת, נקבע כי ייערך אירוע הדלקה מרכזי אחד בלבד במתחם קבר רבי שמעון בר יוחאי, שיכלול שני מתקני הדלקה. קיום אירועים נוספים יתאפשר במתחמים מוכרים או מחוץ להם, בכפוף לאישור השר הממונה ולאישורי בטיחות מטעם המשטרה, הרשות הארצית לכבאות והצלה וגורמי תברואה. השר הוסמך לפטור מביצוע התאמות נגישות מסוימות במקרים שבהם ההתאמות יפגעו מהותית בבטיחות או ימנעו אישור מהנדס, ורק לאחר שבחן חלופות להתאמת נגישות. עבודות להכשרת קרקע והקמת תשתיות ומבנים זמניים במתחם הוחרגו מתחולת חוק התכנון והבנייה, בכפוף לאישורי בטיחות ויציבות ממהנדסים, ובתנאי שהקרקע תושב לקדמותה עד ליום ח' בסיוון התשפ"ו (24 במאי 2026). נקבעה הגבלה על כניסה ושהייה במתחם מירון בזמן ההילולה, כך שכל כניסה ושהייה יחייבו החזקה של היתר רשמי אשר יכלול את מספר תעודת הזהות של השוהה, המתחם המדויק אליו הוא רשאי להיכנס ומשך תוקפו. המספר המרבי של השוהים בכל מתחם ייקבע בצו על ידי השר. מרבית היתרי הכניסה והשהייה יינתנו לציבור הרחב בשיטת "כל הקודם זוכה", באמצעות רכישת כרטיסי נסיעה ייעודיים לתחבורה ציבורית, כאשר הגעה אל מתחם מירון תתאפשר אך ורק באמצעות תחבורה זו, למעט חריגים המוגדרים בחוק. השר הוסמך להקצות עד 20 אחוזים מההיתרים שלא באמצעות כרטיסי נסיעה אלו, עבור קהילות שלהן קשר ייחודי ארוך שנים להילולה, קרובי נספים מאסון מירון בשנת התשפ"א, וכן לאנשים בעלי תג נכה אשר יוכלו להגיע ברכבם יחד עם עד שני מלווים. מאיסור הכניסה הכללי הוחרגו גורמים הנדרשים להגיע למקום לשם עבודתם או מילוי תפקידם, ומי שנדרש לסייע לאדם במצוקה, אדם עם מוגבלות או קטין. תושבי מירון פטורים מאיסור הכניסה הכללי, אך נדרשים להיתר ייעודי לכניסה למתחם הקבר, בעוד תושבי היישובים הסמוכים למירון יידרשו להיתר ספציפי לכניסה למתחם מירון. סמכות חלוקת ההיתרים לתושבי האזור יכולה להיות מואצלת על ידי השר לידי ראש המועצה האזורית מרום הגליל. בשעת התקפה או בעת מצב מיוחד בעורף, הוסמך ראש הג"א לקבוע הוראות בנוגע לסגירת שטחים במתחם או לקבוע כי האירוע לא יתקיים כלל. במקרה כזה יבוטלו ההיתרים הרגילים ויופעל מתווה היתרי שהייה מיוחדים לשם השתתפות באירועים, קיום תפילה, ולעיתונאים ונציגי משפחות הנספים. המתווה יופעל תוך שמירה על ייצוג שוויוני לקהילות השונות וייצוג הולם לנשים, ועיקריו יוגשו לוועדה לביטחון לאומי 8 ימים לפני ההילולה. נקבע כי אדם שהורשע בעבירה מסוג פשע, עבירת מין או עבירת אלימות במשפחה, או שהוגש נגדו כתב אישום טרם פסק דין סופי, מנוע מלמלא תפקיד מרכזי בהילולה, אלא אם חלפו עשר שנים ממועד הרשעתו או מסיום ריצוי עונש המאסר. הממונה על ההילולה יהיה אחראי ליידוע הציבור, ניהול הסדרי התנועה וספירת הקהל, וידווח למשטרה על חריגות מהמספר המרבי של השוהים. לשוטרים ניתנו סמכויות להורות על הפסקת הדלקות, מניעת כניסה והוצאת אנשים ורכבים מהמתחמים אף תוך שימוש בכוח סביר. העונש על שהייה במתחם בניגוד להגבלות ללא היתר תקף או על ארגון אירוע הדלקה או אירוע נוסף ללא אישור הינו קנס. </t>
  </si>
  <si>
    <t xml:space="preserve">חוק שירות לאומי-אזרחי (תיקון מס' 9), התשפ"ו-2026</t>
  </si>
  <si>
    <t xml:space="preserve"> (מ/1929)</t>
  </si>
  <si>
    <t xml:space="preserve">חוק שירות לאומי-אזרחי, התשע"ד–2014, הינו הוראת שעה המסדירה את שירותם של בוגרי ישיבות ומוסדות חינוך חרדיים שמלאו להם 21 שנים, המשרתים בשירות לאומי־אזרחי כתחליף לשירותם בצבא הגנה לישראל. השירות מתבצע בשני מסלולים עיקריים: שירות אזרחי-חברתי בתחומי הבריאות, הרווחה, החינוך, ביטחון הפנים והגנת העורף; ושירות אזרחי-ביטחוני בגופים דוגמת משטרת ישראל, שירות בתי הסוהר והרשות הארצית לכבאות והצלה. החוק כולל הוראות מפורטות לעניין ביצוע השירות, תקופתו, תנאיו וחובות הגופים המפעילים, ומסמיך את הרשות לשירות לאומי-אזרחי על ניהול המערך והפיקוח עליו. כדי להמשיך ולאפשר למי ששירותו הצבאי נדחה להשתלב בשירות לאומי-אזרחי, הוארך תוקפו של החוק מעת לעת. כעת, במסגרת תיקון מספר 9 לחוק, נקבע כי תוקף הוראת השעה יוארך פעם נוספת, כך שהחוק יעמוד בתוקפו עד ליום י"ח באלול התשפ"ו (31 באוגוסט 2026).</t>
  </si>
  <si>
    <t xml:space="preserve">חוק עידוד יישוב עירוני מעורב (הוראת שעה), התשפ"ו–2026</t>
  </si>
  <si>
    <t xml:space="preserve"> (פ/5997/25)</t>
  </si>
  <si>
    <t xml:space="preserve"> (כ/1165)</t>
  </si>
  <si>
    <t xml:space="preserve">חוק הטבות מס ליישובים (תיקוני חקיקה), התשפ"ו-2026</t>
  </si>
  <si>
    <t xml:space="preserve"> (מ/1901)</t>
  </si>
  <si>
    <t xml:space="preserve">חוק התוכנית לסיוע כלכלי (הוראת שעה) (תעסוקה), התשפ"ו-2026</t>
  </si>
  <si>
    <t xml:space="preserve"> (מ/1946)</t>
  </si>
  <si>
    <t xml:space="preserve">חוק זה קובע את ההסדר לתשלום ביטוח אבטלה לעובדים שפוטרו או הוצאו לחופשה ללא תשלום (חל"ת) במהלך מבצע שאגת הארי. על פי החוק זכאות לתשלום דמי אבטלה תעמוד למי  שיצא לתקופת חל"ת רצופה של 10 ימים בלבד. בנוסף, במסגרת החוק קוצרה תקופת האכשרה הנדרשת לצורך הזכאות ל-6 חודשים, בוטלו ימי המתנה, ונקבעו הקלות מיוחדות של שלושה חודשי אכשרה בלבד לאוכלוסיות כגון אנשים עם מוגבלות, מפונים, ובני זוג של משרתי מילואים או פצועי מלחמה, תוך מתן זכאות מחודשת גם למי שמיצו את תקופת האבטלה המרבית בעבר תחת הסדרים קודמים במלחמה. במקביל, ניתנה זכאות דומה למענק מיוחד לבני 67 ומעלה מכיוון שאינם זכאים לדמי אבטלה בשל גילם, וכן נקבעו תיקונים בחוק עבודת נשים המבטיחים זכאות לדמי לידה למבוטחות שקיבלו דמי אבטלה בתקופה זו והגנות מפני פיטורים, ובכלל זה נקבע כי תקופת חופשה ללא תשלום לפי ההסדר הנוכחי לא תובא במניין התקופה המוגנת מפני פיטורים לאחר חופשת לידה, וכי היעדרות מעבודה מכוח הוראות חירום לא תיחשב כפגיעה בהיקף המשרה או בהכנסה. עוד נקבע כי לשרי האוצר והעבודה תהיה סמכות להחיל את ההסדר שבחוק זה בצו במידה ויוכרז מצב מיוחד בעורף פעמים נוספות עד לסוף שנת 2027. לבסוף נקבע כי אוצר המדינה ישפה את המוסד לביטוח לאומי בגין העלויות לפי חוק זה.</t>
  </si>
  <si>
    <t xml:space="preserve">הצעת חוק תאגידי מים וביוב (תיקון מס' 21) (הפעלת שירותי מים וביוב על ידי רשות מקומית), התשפ"ו–2026</t>
  </si>
  <si>
    <t xml:space="preserve"> (פ/6063/25)</t>
  </si>
  <si>
    <t xml:space="preserve"> (כ/1189)</t>
  </si>
  <si>
    <t xml:space="preserve">הצעת חוק העונשין (תיקון מס' 162) (תקיפת חייל), התשפ"ו–2026</t>
  </si>
  <si>
    <t xml:space="preserve"> (פ/5249/25)</t>
  </si>
  <si>
    <t xml:space="preserve"> (כ/1174)</t>
  </si>
  <si>
    <t xml:space="preserve">הצעת חוק תאגידי מים וביוב (תיקון מס' 20) (הפעלת שירותי מים וביוב על ידי רשות מקומית), התשפ"ו–2026</t>
  </si>
  <si>
    <t xml:space="preserve"> (פ/1339/25)</t>
  </si>
  <si>
    <t xml:space="preserve">חוק מסגרות תקציב המדינה (הוראות מיוחדות לשנת 2026) (תיקוני חקיקה), התשפ"ו-2026</t>
  </si>
  <si>
    <t xml:space="preserve"> (מ/1944)</t>
  </si>
  <si>
    <t xml:space="preserve">29.03.2026</t>
  </si>
  <si>
    <t xml:space="preserve">חוק ההתייעלות הכלכלית (תיקוני חקיקה להשגת יעדי התקציב לשנת התקציב 2026), התשפ"ו-2026</t>
  </si>
  <si>
    <t xml:space="preserve">חוק התוכנית הכלכלית (תיקוני חקיקה ליישום המדיניות הכלכלית לשנת התקציב 2026), התשפ"ו-2026</t>
  </si>
  <si>
    <t xml:space="preserve">חוק לתיקון פקודת מס הכנסה (מס' 285), התשפ"ו-2026</t>
  </si>
  <si>
    <t xml:space="preserve"> (מ/1940)</t>
  </si>
  <si>
    <t xml:space="preserve">הצעת חוק התקציב לשנת הכספים 2026, התשפ"ו-2026</t>
  </si>
  <si>
    <t xml:space="preserve"> (מ/1923)</t>
  </si>
  <si>
    <t xml:space="preserve">חוק כליאתם של לוחמים בלתי חוקיים (תיקון מס' 4 והוראת שעה - חרבות ברזל) (תיקון מס' 7), התשפ"ו-2026</t>
  </si>
  <si>
    <t xml:space="preserve"> (מ/1943)</t>
  </si>
  <si>
    <t xml:space="preserve">25.03.2026</t>
  </si>
  <si>
    <t xml:space="preserve">חוק כליאתם של לוחמים בלתי חוקיים, התשס"ב–2002, מסדיר את כליאתם של מי שנטלו חלק בפעולות איבה נגד מדינת ישראל או נמנו עם כוחות המבצעים פעולות איבה, ואינם מוגדרים כשבויי מלחמה. החוק קובע הליך מוסדר להוצאת צווי כליאה ומנגנוני בקרה וביקורת שיפוטית, וכולל הסדר מיוחד למקרים שבהם הממשלה הכריזה על מלחמה או על פעולות צבאיות משמעותיות. בשל היקף העצורים הרב במלחמת חרבות ברזל, נקבעה הוראת שעה שהאריכה את התקופות המנויות בחוק והתאימה את הדרגים המאשרים. כעת, במסגרת חוק כליאתם של לוחמים בלתי חוקיים (תיקון מס' 4 והוראת שעה – חרבות ברזל) (תיקון מס' 7), התשפ"ו-2026, הוארך תוקפה של הוראת השעה בשלושה חודשים נוספים. נקבע כי נוכח הצרכים המבצעיים, ההסדרים המיוחדים לתקופת הלחימה יעמדו בתוקפם עד ליום ט"ו בתמוז התשפ"ו (30 ביוני 2026). כמו כן, על מנת לשמור על רצף חקיקתי, נקבע כי התיקון ייכנס לתוקפו ביום י"ד בניסן התשפ"ו (1 באפריל 2026).</t>
  </si>
  <si>
    <t xml:space="preserve">חוק זכויות הסטודנט (תיקון מס' 10), התשפ"ו–2026</t>
  </si>
  <si>
    <t xml:space="preserve"> (מ/1932)</t>
  </si>
  <si>
    <t xml:space="preserve">חוק זכויות הסטודנט (תיקון מס' 11) קובע מספר הקלות והטבות באקדמיה למשרתי מילואים ובני זוגם, ללוחמים ולאוכלוסיות אחרות שנפגעו בעקבות מלחמת "חרבות ברזל" וה-7 באוקטובר:  1. הסמכה למוסדות להשכלה גבוהה ולמוסדות אחרים הנכללים בהגדרת "מוסד" לפי חוק זכויות הסטודנט לתת הקלות בתנאי קבלה ללימודים למועמדים ששירתו בשירות מילואים בהתחשב באופי השירות, תקופתו וסמיכותו למועד הקבלה ללימודים. ההסמכה חלה לשנות הלימודים תשפ"ז ותשפ"ח, והחל משנת הלימודים התשפ"ט היא תהיה מותנית בקביעה של שר החינוך שיש הצדקה להקלות לאור היקפו ואופיו של שירות המילואים שאליו נקראו המועמדים. הקביעה תהיה בצו בהתייעצות עם המועצה להשכלה גבוהה ובאישור ועדת החינוך של הכנסת.  2. הסמכה למוסדות האמורים ביחס לשנות הלימודים תשפ"ז ותשפ"ח - לתת הקלות גם למועמדות ולמועמדים שבן זוגם שירת בשירות מילואים לפחות 42 ימים בשנה שקדמה למועד הרישום ללימודים בהתחשב באמות המידה המפורטות לעיל.  3. הארכת העדיפות שניתנה בשנים תשפ"ה ותשפ"ו לעניין זכאות במעונות סטודנטים למשרתי מילואים, ללוחמים ולמי שנפגעו במלחמת חרבות ברזל וה-7 באוקטובר - לשנתיים נוספות - שנות הלימודים התשפ"ז ו-התשפ"ח.</t>
  </si>
  <si>
    <t xml:space="preserve">חוק הארכת תקופות ודחיית מועדים (הוראת שעה - חרבות ברזל) (אישורים רגולטוריים, עיצומים כספיים ובדיקות מיתקני גז) (תיקון), התשפ"ו-2026</t>
  </si>
  <si>
    <t xml:space="preserve"> (מ/1941)</t>
  </si>
  <si>
    <t xml:space="preserve">חוק הכניסה לישראל (תיקון מס' 44 - הוראת שעה), התשפ"ו-2026</t>
  </si>
  <si>
    <t xml:space="preserve"> (מ/1942)</t>
  </si>
  <si>
    <t xml:space="preserve">החוק קובע, כהוראת שעה לתקופה של שנה, כי ניתן להרחיק שוהים שלא כדין שהשתתפו במשט לרצועת עזה בתוך 24 שעות ממסירת צו ההרחקה, זאת במקום פרק הזמן של שלושה ימים שנקבע בדין הקיים. עוד קובע החוק כי הממשלה רשאית להאריך את תוקף הוראת השעה בתקופות נוספות של עד שנה בכל פעם, ובלבד שסך כל תקופות ההארכה לא יעלה על שנתיים. הארכה כאמור תיעשה בכפוף להמלצת ועדת הפנים והגנת הסביבה ולאישור הכנסת. </t>
  </si>
  <si>
    <t xml:space="preserve">הצעת חוק שיקום, חיזוק ופיתוח העיר קריית שמונה, התשפ"ו-2026</t>
  </si>
  <si>
    <t xml:space="preserve"> (פ/6533/25)</t>
  </si>
  <si>
    <t xml:space="preserve">הצעת חוק הכרזה על קטאר כמדינת אויב, התשפ"ו-2026</t>
  </si>
  <si>
    <t xml:space="preserve"> (פ/6528/25)</t>
  </si>
  <si>
    <t xml:space="preserve">הצעת חוק לפיתוח העיר קריית שמונה ומתן עדיפות למשרתי מילואים ונכי צה"ל בדיור, התשפ״ו-2026</t>
  </si>
  <si>
    <t xml:space="preserve"> (פ/6482/25)</t>
  </si>
  <si>
    <t xml:space="preserve">הצעת חוק הביטוח הלאומי (תיקון - עבודה מועדפת ביישובי קו העימות בצפון ובדרום), התשפ"ו-2025</t>
  </si>
  <si>
    <t xml:space="preserve"> (פ/6348/25)</t>
  </si>
  <si>
    <t xml:space="preserve">הצעת חוק לימוד חובה (תיקון - מנהל מוסד חינוך), התשפ"ה-2025</t>
  </si>
  <si>
    <t xml:space="preserve"> (פ/5932/25)</t>
  </si>
  <si>
    <t xml:space="preserve">הצעת חוק דיווח לכנסת על העברת סיוע הומניטרי מכספי המדינה, התשפ"ה-2025</t>
  </si>
  <si>
    <t xml:space="preserve"> (פ/5874/25)</t>
  </si>
  <si>
    <t xml:space="preserve">הצעת חוק משפחות חיילים שנספו במערכה (תגמולים ושיקום) (תיקון - זכויות ילדים במשפחות אומנה), התשפ"ה-2024</t>
  </si>
  <si>
    <t xml:space="preserve"> (פ/4966/25)</t>
  </si>
  <si>
    <t xml:space="preserve">הצעת חוק ביטוח בריאות ממלכתי (תיקון - צמצום פערים בין הפריפריה למרכז), התשפ"ג-2023</t>
  </si>
  <si>
    <t xml:space="preserve"> (פ/1871/25)</t>
  </si>
  <si>
    <t xml:space="preserve">הצעת חוק העונשין (תיקון מס' 160) (עונש מוות למחבלים), התשפ"ו-2025</t>
  </si>
  <si>
    <t xml:space="preserve"> (פ/2198/25)</t>
  </si>
  <si>
    <t xml:space="preserve">24.03.2026</t>
  </si>
  <si>
    <t xml:space="preserve">הצעת חוק להנצחת זכרה של גולדה מאיר, התשפ"ה-2024</t>
  </si>
  <si>
    <t xml:space="preserve"> (פ/4905/25)</t>
  </si>
  <si>
    <t xml:space="preserve">חוק הגנה על עובדים בשעת חירום (תיקון מס' 6 והוראת שעה), התשפ"ו-2026</t>
  </si>
  <si>
    <t xml:space="preserve"> (מ/1938)</t>
  </si>
  <si>
    <t xml:space="preserve">החוק קובע שלוש הגנות, ותחולתו רטרואקטיבית החל מיום 28.2.2026: א. אסור למעסיק לפטר עובד שנאלץ להיעדר או לא לבצע את עבודתו בשל פינוי מביתו עקב נזק שנגרם לביתו מהתקפה, וזאת למשך שלושה חודשים מיום הפינוי ובלבד שמסר למעסיק אישור על כך כפי שיקבע שר העבודה (לעניין מבצע שאגת הארי  - האישור הנדרש הוא מהרשות המקומית בתחומה נמצא הבית).  ב. בתקופת ההכרזה על מצב מיוחד בעורף שהוכרזה ביום 28.2.2026 תינתן הגנה מפני פיטורים להורים לילדים עד גיל 14 (כולל ילדי אומנה) שבן זוגם או ההורה האחר של ילדם משרת כחייל בסדיר או בקבע או בשירותי חירום מסוימים אחרים כגון שירות עבודה בשעת חירום. החוק כולל הסמכה לשר העבודה, באישור ועדה של הכנסת, להחיל הגנה זו גם בתקופה נוספת אם יוכרז בה על מצב מיוחד בעורף שמשפיע על השירות. ג. בתקופה שעד תום חצי שנה מסיום תוקפה של ההכרזה על מצב מיוחד בעורף שהוכרזה ביום 28.2.2026, ההגנה מפני פיטורים למי שנאלץ להיעדר מעבודה או לא לבצע בשל סגירת מוסד החינוך של ילדו תקפה גם כאשר מוסד החינוך נסגר בהוראת הרשות המקומית או המוסד עצמו. </t>
  </si>
  <si>
    <t xml:space="preserve">הצעת חוק לתיקון פקודת התעבורה (קידום התחרות באמצעות תחבורה שיתופית מקוונת), התשפ"ו-2025</t>
  </si>
  <si>
    <t xml:space="preserve"> (פ/6249/25)</t>
  </si>
  <si>
    <t xml:space="preserve">הצעת חוק לתיקון פקודת התעבורה (מס' 143) (קידום התחרות באמצעות תחבורה שיתופית מקוונת), התשפ"ו–2026 </t>
  </si>
  <si>
    <t xml:space="preserve"> (פ/6038/25)</t>
  </si>
  <si>
    <t xml:space="preserve"> (כ/1186)</t>
  </si>
  <si>
    <t xml:space="preserve">הצעת חוק לתיקון פקודת התעבורה (מס' 142) (קידום התחרות באמצעות תחבורה שיתופית מקוונת), התשפ"ו–2026</t>
  </si>
  <si>
    <t xml:space="preserve"> (פ/5648/25)</t>
  </si>
  <si>
    <t xml:space="preserve">חוק הסכמים קיבוציים (תיקון מס' 12 - הוראת שעה) (הוראות מיוחדות לעניין הרחבת הסכם קיבוצי כללי שנעשה בשל המצב המיוחד בעורף), התשפ"ו-2026</t>
  </si>
  <si>
    <t xml:space="preserve"> (מ/1939)</t>
  </si>
  <si>
    <t xml:space="preserve">23.03.2026</t>
  </si>
  <si>
    <t xml:space="preserve">החוק קובע בהוראת שעה הליך מקוצר כמפורט להלן למתן צווי הרחבה להסכמים קיבוציים שנחתמו בשל המצב המיוחד בעורף שהוכרז ביום 28.2.2026. תוקף הוראת השעה עד שלושה חודשים מסיום ההכרזה על המצב המיוחד בעורף. לפי הוראת השעה, הודעה על כוונה לתת צו הרחבה להסכם קיבוצי שנעשה בשל המצב המיוחד בעורף תפורסם ברשומות ותציין כי ההסכם נעשה בשל המצב המיוחד בעורף וכי יש דחיפות בהרחבתו, ערר לעניין הכוונה לתת צו הרחבה יוגש בתוך 4 ימים מפרסום ההודעה ושר העבודה רשאי לחתום על צו ההרחבה בחלוף  7 ימים מפרסום ההודעה. שהמועד להגשת טענת כשרות בקשר לרישום ההסכם הקיבוצי יהיה לכל המאוחר המועד להגשת ערר על מתן צו ההרחבה, ורישום ההסכם הקיבוצי יוכל להתבצע עד למועד מתן צו ההרחבה. ההליכים המקוצרים הוחלו, בשינויים מסוימים, גם על ההסכם הקיבוצי בעניין משרתי מילואים, בני זוגם וצבירת חופשה שהודעה על כוונה לתת צו הרחבה לגביו פורסמה ביום 3.3.2026.  </t>
  </si>
  <si>
    <t xml:space="preserve">הצעת חוק הסדרת העיסוק במקצועות הטיפול הרפואי, התשפ"ג-2023</t>
  </si>
  <si>
    <t xml:space="preserve"> (פ/680/25)</t>
  </si>
  <si>
    <t xml:space="preserve"> (כ/972)</t>
  </si>
  <si>
    <t xml:space="preserve">חוק שיפוט בתי דין דתיים (בוררות), התשפ"ו–2026</t>
  </si>
  <si>
    <t xml:space="preserve"> (פ/1178/25)</t>
  </si>
  <si>
    <t xml:space="preserve"> (כ/1141)</t>
  </si>
  <si>
    <t xml:space="preserve">הצעת חוק סיוע לנוטלי הלוואות לדיור עקב עליית הריבית (הוראת שעה), התשפ"ו-2026</t>
  </si>
  <si>
    <t xml:space="preserve"> (פ/6640/25)</t>
  </si>
  <si>
    <t xml:space="preserve">הצעת חוק החלת ריבונות על ערי יהודה והשומרון, התשפ"ו-2026</t>
  </si>
  <si>
    <t xml:space="preserve"> (פ/6639/25)</t>
  </si>
  <si>
    <t xml:space="preserve">הצעת חוק-יסוד: הכנסת (תיקון - הצהרת האמונים של חברי הכנסת)</t>
  </si>
  <si>
    <t xml:space="preserve"> (פ/6638/25)</t>
  </si>
  <si>
    <t xml:space="preserve">הצעת חוק חומרי נפץ (תיקון - אסדרת חומרים הודפים), התשפ"ו-2026</t>
  </si>
  <si>
    <t xml:space="preserve"> (פ/6637/25)</t>
  </si>
  <si>
    <t xml:space="preserve">הצעת חוק לתיקון פקודת מס הכנסה (נקודות זיכוי למשפחות אומנה), התשפ"ו-2026</t>
  </si>
  <si>
    <t xml:space="preserve"> (פ/6636/25)</t>
  </si>
  <si>
    <t xml:space="preserve">הצעת חוק הטיס (תיקון - פיקוח על מכירה ורכישה של רחפנים בעלי יכולת נשיאה), התשפ"ו-2026</t>
  </si>
  <si>
    <t xml:space="preserve"> (פ/6635/25)</t>
  </si>
  <si>
    <t xml:space="preserve">הצעת חוק לימוד חובה (תיקון - אחריות המדינה לחינוך בשעת חירום), התשפ"ו-2026</t>
  </si>
  <si>
    <t xml:space="preserve"> (פ/6634/25)</t>
  </si>
  <si>
    <t xml:space="preserve">הצעת חוק הביטוח הלאומי (תיקון - פיקוח פרלמנטרי על שינויים בהסכם הניידות), התשפ"ו-2026</t>
  </si>
  <si>
    <t xml:space="preserve"> (פ/6633/25)</t>
  </si>
  <si>
    <t xml:space="preserve">הצעת חוק למניעת אלימות במשפחה (תיקון - תנאים למתן צו הגנה בפיקוח טכנולוגי), התשפ"ו-2026</t>
  </si>
  <si>
    <t xml:space="preserve"> (פ/6632/25)</t>
  </si>
  <si>
    <t xml:space="preserve">הצעת חוק ביטוח בריאות ממלכתי (תיקון - הפחתה בדמי ביטוח בריאות לתושבי הפריפריה), התשפ"ו-2026</t>
  </si>
  <si>
    <t xml:space="preserve"> (פ/6631/25)</t>
  </si>
  <si>
    <t xml:space="preserve">הצעת חוק לתיקון פקודת מס הכנסה (יישוב מוטב), התשפ"ו-2026</t>
  </si>
  <si>
    <t xml:space="preserve"> (פ/6630/25)</t>
  </si>
  <si>
    <t xml:space="preserve">פרק ז' (מס מיוחד על רווחי בנקים) מתוך הצעת חוק ההתייעלות הכלכלית (תיקוני חקיקה להשגת יעדי התקציב לשנת התקציב 2026), התשפ"ו-2026</t>
  </si>
  <si>
    <t xml:space="preserve">22.03.2026</t>
  </si>
  <si>
    <t xml:space="preserve">הצעת חוק נוכחות עורך דין בחקירת קטינים ואנשים עם מוגבלות (תיקוני חקיקה והוראת שעה), התשפ"ו-2026</t>
  </si>
  <si>
    <t xml:space="preserve"> (מ/1839)</t>
  </si>
  <si>
    <t xml:space="preserve">סעיפים 52 עד 60, 63 (הגברת התחרות בשירותי תאגידים בנקאיים) מתוך הצעת חוק התוכנית הכלכלית (תיקוני חקיקה ליישום המדיניות הכלכלית לשנת התקציב 2026), התשפ"ו-2026 [מתוך פרק ט' קידום התחרות בשוק הבנקאות]</t>
  </si>
  <si>
    <t xml:space="preserve">19.03.2026</t>
  </si>
  <si>
    <t xml:space="preserve">סעיפים 61, 62 (חוק מע"מ) מתוך הצעת חוק התוכנית הכלכלית (תיקוני חקיקה ליישום המדיניות הכלכלית לשנת התקציב 2026), התשפ"ו-2026</t>
  </si>
  <si>
    <t xml:space="preserve">פרק ד' (התחשבנות בין בתי חולים לקופות חולים לשנים 2026 עד 2030) (למעט סעיף 16) מתוך הצעת חוק ההתייעלות הכלכלית (תיקוני חקיקה להשגת יעדי התקציב לשנת התקציב 2026) התשפ"ו-2026 [פוצלה לפי סעיף 84(ב) לתקנון]</t>
  </si>
  <si>
    <t xml:space="preserve">18.03.2026</t>
  </si>
  <si>
    <t xml:space="preserve">פרק י"ט (שונות), סעיפים 97 עד 98 (חוק הביטוח הלאומי) מתוך הצעת חוק התוכנית הכלכלית (תיקוני חקיקה ליישום המדיניות הכלכלית לשנת התקציב 2026), התשפ"ו-2026 [פוצלה לפי סעיף 84(ב) לתקנון]</t>
  </si>
  <si>
    <t xml:space="preserve">פרק ד' (התחשבנות בין בתי חולים לקופות חולים לשנים 2026 עד 2030) (רק סעיף 16) מתוך הצעת חוק ההתייעלות הכלכלית (תיקוני חקיקה להשגת יעדי התקציב לשנת התקציב 2026) התשפ"ו-2026 [פוצלה לפי סעיף 84(ב) לתקנון] </t>
  </si>
  <si>
    <t xml:space="preserve">הצעת חוק המועצה להשכלה גבוהה (תיקון - מימון לימודים לתואר ראשון לסטודנט תושב קריית שמונה - הוראת שעה), התשפ״ו-2026</t>
  </si>
  <si>
    <t xml:space="preserve"> (פ/6492/25)</t>
  </si>
  <si>
    <t xml:space="preserve">הצעת חוק משפחות חיילים שנספו במערכה (תגמולים ושיקום) (תיקון - חובת העסקה של יתומים אחרי גיל הפרישה), התשפ"ה-2025</t>
  </si>
  <si>
    <t xml:space="preserve"> (פ/5784/25)</t>
  </si>
  <si>
    <t xml:space="preserve">הצעת חוק ההתגוננות האזרחית (תיקון - פיקוח על מקלטים משותפים), התשפ"ה-2025</t>
  </si>
  <si>
    <t xml:space="preserve"> (פ/5338/25)</t>
  </si>
  <si>
    <t xml:space="preserve">הצעת חוק עבודת הנשים (תיקון - תגמול לעובדת עצמאית שבן זוגה משרת במילואים), התשפ"ה-2024</t>
  </si>
  <si>
    <t xml:space="preserve"> (פ/5099/25)</t>
  </si>
  <si>
    <t xml:space="preserve">הצעת חוק שירות אזרחי (תיקון - שירות מילואים אזרחי לבוגרי שירות לאומי ושירות אזרחי בעיתות חירום), התשפ"ד-2024</t>
  </si>
  <si>
    <t xml:space="preserve"> (פ/4880/25)</t>
  </si>
  <si>
    <t xml:space="preserve">הצעת חוק הביטוח הלאומי (תיקון - הצמדת הסכום הבסיסי לשכר הממוצע במשק), התשפ"ג-2023</t>
  </si>
  <si>
    <t xml:space="preserve"> (פ/1433/25)</t>
  </si>
  <si>
    <t xml:space="preserve"> (פ/2735/25)</t>
  </si>
  <si>
    <t xml:space="preserve">17.03.2026</t>
  </si>
  <si>
    <t xml:space="preserve">פרק ו' (עידוד עלייה לישראל וחזרה אליה) מתוך הצעת חוק ההתייעלות הכלכלית (תיקוני חקיקה להשגת יעדי התקציב לשנת התקציב 2026), התשפ"ו-2026</t>
  </si>
  <si>
    <t xml:space="preserve">פרק ב' ייעול הליכי התכנון והבנייה (חוק התכנון והבנייה) סעיף 2(11) (הכשרת בקרים) מתוך הצעת חוק התוכנית הכלכלית (תיקוני חקיקה ליישום המדיניות הכלכלית לשנת התקציב 2026), התשפ"ו-2026</t>
  </si>
  <si>
    <t xml:space="preserve">פרק ב' ייעול הליכי התכנון והבנייה (חוק התכנון והבנייה) סעיפים 2(12), (13), 5 (בקר מורשה הגנת הסביבה במכון בקרה) מתוך הצעת חוק התוכנית הכלכלית (תיקוני חקיקה ליישום המדיניות הכלכלית לשנת התקציב 2026), התשפ"ו-2026</t>
  </si>
  <si>
    <t xml:space="preserve">פרק י"א (טיוב האסדרה בתחום בטיחות אש) מתוך הצעת חוק התוכנית הכלכלית (תיקוני חקיקה ליישום המדיניות הכלכלית לשנת התקציב 2026), התשפ"ו-2026 [פוצלה לפי סעיף 84(ב) לתקנון]</t>
  </si>
  <si>
    <t xml:space="preserve">16.03.2026</t>
  </si>
  <si>
    <t xml:space="preserve">הצעת חוק היעדרות קרוב משפחה מעבודה ביום האזכרה הפרטית (תיקוני חקיקה), התשפ"ו-2026</t>
  </si>
  <si>
    <t xml:space="preserve"> (פ/6628/25)</t>
  </si>
  <si>
    <t xml:space="preserve">הצעת חוק לתיקון פקודת מס הכנסה (יישוב עירוני בעל השפעה מטרופולינית) (הוראת שעה), התשפ"ו-2026</t>
  </si>
  <si>
    <t xml:space="preserve"> (פ/6627/25)</t>
  </si>
  <si>
    <t xml:space="preserve">הצעת חוק מניעת שידורים של גוף זר הפוגע בביטחון המדינה, התשפ"ו-2026</t>
  </si>
  <si>
    <t xml:space="preserve"> (פ/6626/25)</t>
  </si>
  <si>
    <t xml:space="preserve">הצעת חוק-יסוד: הממשלה (תיקון - כשירות שר וסגן שר)</t>
  </si>
  <si>
    <t xml:space="preserve"> (פ/6625/25)</t>
  </si>
  <si>
    <t xml:space="preserve">הצעת חוק כלי הירייה (תיקון - הליך הוגן במתן רישיון נשק אישי), התשפ"ו-2026</t>
  </si>
  <si>
    <t xml:space="preserve"> (פ/6624/25)</t>
  </si>
  <si>
    <t xml:space="preserve">הצעת חוק העונשין (תיקון - מעמד אנשי כוחות הביטחון), התשפ״ו-2026</t>
  </si>
  <si>
    <t xml:space="preserve"> (פ/6623/25)</t>
  </si>
  <si>
    <t xml:space="preserve">הצעת חוק איסור צריכת זנות (הוראת שעה ותיקון חקיקה) (תיקון - איסור צריכת תוכן מיני מקוון מותאם אישית), התשפ"ו-2026</t>
  </si>
  <si>
    <t xml:space="preserve"> (פ/6622/25)</t>
  </si>
  <si>
    <t xml:space="preserve"> (פ/6621/25)</t>
  </si>
  <si>
    <t xml:space="preserve">הצעת חוק מימון והקלות בלימודי רפואה ללוחמים ולתומכי לחימה (תיקוני חקיקה), התשפ"ו-2026</t>
  </si>
  <si>
    <t xml:space="preserve"> (פ/6619/25)</t>
  </si>
  <si>
    <t xml:space="preserve">הצעת חוק התכנון והבנייה (תיקון - ביטול התניית חיבור לחשמל, מים וטלפון באישור תאגיד המים), התשפ"ו-2016</t>
  </si>
  <si>
    <t xml:space="preserve"> (פ/6618/25)</t>
  </si>
  <si>
    <t xml:space="preserve">הצעת חוק חינוך ממלכתי (תיקון - שלילת השתתפות בתקציב עקב הפליה), התשפ"ו-2026</t>
  </si>
  <si>
    <t xml:space="preserve"> (פ/6617/25)</t>
  </si>
  <si>
    <t xml:space="preserve">פרק ה' (ריווח מדרגות מס הכנסה) מתוך הצעת חוק ההתייעלות הכלכלית (תיקוני חקיקה להשגת יעדי התקציב לשנת התקציב 2026), התשפ"ו-2026</t>
  </si>
  <si>
    <t xml:space="preserve">15.03.2026</t>
  </si>
  <si>
    <t xml:space="preserve">פרק ב' (מיסוי של קופות גמל) מתוך הצעת חוק ההתייעלות הכלכלית (תיקוני חקיקה להשגת יעדי התקציב לשנת התקציב 2026), התשפ"ו-2026</t>
  </si>
  <si>
    <t xml:space="preserve">פרק י' (עידוד ותמרוץ של מחקר ופיתוח) מתוך הצעת חוק התוכנית הכלכלית (תיקוני חקיקה ליישום המדיניות הכלכלית לשנת התקציב 2026), התשפ"ו-2026</t>
  </si>
  <si>
    <t xml:space="preserve">סעיפים 85, 87, 89 עד 91 (חוק תכנון משק החלב) מתוך הצעת חוק התוכנית הכלכלית (תיקוני חקיקה ליישום המדיניות הכלכלית לשנת התקציב 2026), התשפ"ו-2026</t>
  </si>
  <si>
    <t xml:space="preserve">11.03.2026</t>
  </si>
  <si>
    <t xml:space="preserve">סעיפים 86, 88 (חוק התחרות הכלכלית) מתוך הצעת חוק התוכנית הכלכלית (תיקוני חקיקה ליישום המדיניות הכלכלית לשנת התקציב 2026), התשפ"ו-2026</t>
  </si>
  <si>
    <t xml:space="preserve">פרק ח' (מס רכוש) מתוך הצעת חוק ההתייעלות הכלכלית (תיקוני חקיקה להשגת יעדי התקציב לשנת התקציב 2026), התשפ"ו-2026</t>
  </si>
  <si>
    <t xml:space="preserve">פרק ג' (צמצום ההון השחור), סימן ב' (הגבלה על החלפת שטר במזומן) מתוך הצעת חוק ההתייעלות הכלכלית (תיקוני חקיקה להשגת יעדי התקציב לשנת התקציב 2026), התשפ"ו-2026</t>
  </si>
  <si>
    <t xml:space="preserve">פרק ג' (צמצום ההון השחור), סימן ג' (חובת הצהרה של נותני שירותים פיננסיים) מתוך הצעת חוק ההתייעלות הכלכלית (תיקוני חקיקה להשגת יעדי התקציב לשנת התקציב 2026), התשפ"ו-2026 [פוצלה לפי סעיף 84(ב) לתקנון]</t>
  </si>
  <si>
    <t xml:space="preserve">הצעת חוק-יסוד: הממשלה (תיקון - הגבלות על כהונת שר ביותר ממשרד אחד)</t>
  </si>
  <si>
    <t xml:space="preserve"> (פ/6350/25)</t>
  </si>
  <si>
    <t xml:space="preserve">הצעת חוק הרשות לטיפול בנפגעי הלם קרב, התשפ"ו-2025</t>
  </si>
  <si>
    <t xml:space="preserve"> (פ/6260/25)</t>
  </si>
  <si>
    <t xml:space="preserve">הצעת חוק רשות מקרקעי ישראל (תיקון - העדפת רכישת קרקע בפריפריה לחיילי מילואים), התשפ"ד-2024</t>
  </si>
  <si>
    <t xml:space="preserve"> (פ/4658/25)</t>
  </si>
  <si>
    <t xml:space="preserve">פרק ב ייעול הליכי התכנון והבנייה (חוק התכנון והבנייה) סעיף 2(15) (הרחבת סמכות למתן היתר לרשות רישוי ארצית) מתוך הצעת חוק התוכנית הכלכלית (תיקוני חקיקה ליישום המדיניות הכלכלית לשנת התקציב 2026), התשפ"ו-2026</t>
  </si>
  <si>
    <t xml:space="preserve">10.03.2026</t>
  </si>
  <si>
    <t xml:space="preserve">סעיף 10 (משק הגז הטבעי) מתוך הצעת חוק התוכנית הכלכלית (תיקוני חקיקה ליישום המדיניות הכלכלית לשנת התקציב 2026), התשפ"ו-2026</t>
  </si>
  <si>
    <t xml:space="preserve">09.03.2026</t>
  </si>
  <si>
    <t xml:space="preserve">פרק ז' (קידום התחרות בשוק מתן הערבויות) מתוך הצעת חוק התוכנית הכלכלית (תיקוני חקיקה ליישום המדיניות הכלכלית לשנת התקציב 2026), התשפ"ו-2026</t>
  </si>
  <si>
    <t xml:space="preserve">הצעת חוק הבנקאות (שירות ללקוח) (תיקון - קיצור משך זמן לביטול שעבוד), התשפ"ו-2026</t>
  </si>
  <si>
    <t xml:space="preserve"> (פ/6616/25)</t>
  </si>
  <si>
    <t xml:space="preserve">הצעת חוק התכנון והבנייה (תיקון - ועדת משנה להתחדשות עירונית), התשפ"ו-2026</t>
  </si>
  <si>
    <t xml:space="preserve"> (פ/6615/25)</t>
  </si>
  <si>
    <t xml:space="preserve">הצעת חוק שמירת הקדושה של הכותל המערבי ורחבתו, התשפ"ו-2026</t>
  </si>
  <si>
    <t xml:space="preserve"> (פ/6613/25)</t>
  </si>
  <si>
    <t xml:space="preserve">הצעת חוק חדלות פירעון ושיקום כלכלי (תיקון - נסיבות המצדיקות מתן הפטר על חוב מזונות), התשפ"ו-2026</t>
  </si>
  <si>
    <t xml:space="preserve"> (פ/6612/25)</t>
  </si>
  <si>
    <t xml:space="preserve">הצעת חוק המועצה להשכלה גבוהה (תיקון - מניעת השבתה פוליטית במוסדות מתוקצבים), התשפ"ו-2026</t>
  </si>
  <si>
    <t xml:space="preserve"> (פ/6611/25)</t>
  </si>
  <si>
    <t xml:space="preserve">הצעת חוק לתיקון פקודת התעבורה (שינוי שיטת החישוב של דמי חניה בחניון), התשפ"ו-2026</t>
  </si>
  <si>
    <t xml:space="preserve"> (פ/6610/25)</t>
  </si>
  <si>
    <t xml:space="preserve">הצעת חוק המרכז לגביית קנסות, אגרות והוצאות (תיקון - חובת איתור חייבים ומועד מינימום לתשלום), התשפ"ו-2026</t>
  </si>
  <si>
    <t xml:space="preserve"> (פ/6609/25)</t>
  </si>
  <si>
    <t xml:space="preserve">הצעת חוק-יסוד: העדה הדרוזית </t>
  </si>
  <si>
    <t xml:space="preserve"> (פ/6608/25)</t>
  </si>
  <si>
    <t xml:space="preserve">הצעת חוק לתיקון פקודת התעבורה (השגה וערר על דרישה לתשלום תעריף מוגדל), התשפ"ו-2026</t>
  </si>
  <si>
    <t xml:space="preserve"> (פ/6607/25)</t>
  </si>
  <si>
    <t xml:space="preserve">הצעת חוק התקשורת (בזק ושידורים) (תיקון - תיעוד מכירת כרטיסי SIM אנונימיים), התשפ"ו-2026</t>
  </si>
  <si>
    <t xml:space="preserve"> (פ/6606/25)</t>
  </si>
  <si>
    <t xml:space="preserve">הצעת חוק שמירת הסביבה החופית (תיקון - איסור הכנסת מוצרים חד-פעמיים לתחום הסביבה החופית), התשפ"ו-2026</t>
  </si>
  <si>
    <t xml:space="preserve"> (פ/6605/25)</t>
  </si>
  <si>
    <t xml:space="preserve"> (פ/6604/25)</t>
  </si>
  <si>
    <t xml:space="preserve">הצעת חוק להגדרת רצועת עזה כאזור עוין ואיסור יחסי מסחר, התשפ"ו-2026</t>
  </si>
  <si>
    <t xml:space="preserve"> (פ/6603/25)</t>
  </si>
  <si>
    <t xml:space="preserve">הצעת חוק לפיתוח העיר קריית שמונה ומתן עדיפות לבני מקום בדיור, התשפ"ו-2026</t>
  </si>
  <si>
    <t xml:space="preserve"> (פ/6602/25)</t>
  </si>
  <si>
    <t xml:space="preserve"> (פ/6600/25)</t>
  </si>
  <si>
    <t xml:space="preserve"> (פ/6599/25)</t>
  </si>
  <si>
    <t xml:space="preserve">הצעת חוק איחוד המועצות האזוריות מגידו ועמק יזרעאל, התשפ״ו-2026</t>
  </si>
  <si>
    <t xml:space="preserve"> (פ/6598/25)</t>
  </si>
  <si>
    <t xml:space="preserve"> הצעת חוק הבנקאות (שירות ללקוח) (תיקון - מנגנונים פיננסיים להגנה על עולים חדשים מבוגרים) (הוראת שעה), התשפ"ו-2026</t>
  </si>
  <si>
    <t xml:space="preserve"> (פ/6597/25)</t>
  </si>
  <si>
    <t xml:space="preserve">הצעת חוק הירושה (תיקון מס' 23), התשפ"ו-2026 </t>
  </si>
  <si>
    <t xml:space="preserve"> (מ/1936)</t>
  </si>
  <si>
    <t xml:space="preserve">הצעת חוק הקאדים (תיקון מס' 20) (ייצוג הולם לנשים בוועדה לבחירת קאדים), התשפ"ו-2026 </t>
  </si>
  <si>
    <t xml:space="preserve"> (מ/1937)</t>
  </si>
  <si>
    <t xml:space="preserve">הצעת חוק הפחתת הגירעון והגבלת ההוצאה התקציבית (תיקון מס' 30), התשפ"ו-2026</t>
  </si>
  <si>
    <t xml:space="preserve">05.03.2026</t>
  </si>
  <si>
    <t xml:space="preserve">סעיפים 15, 16 (פקודת היערות) מתוך הצעת חוק התוכנית הכלכלית (תיקוני חקיקה ליישום המדיניות הכלכלית לשנת התקציב 2026), התשפ"ו-2026 [פוצלה לפי סעיף 84(ב) לתקנון]</t>
  </si>
  <si>
    <t xml:space="preserve">26.02.2026</t>
  </si>
  <si>
    <t xml:space="preserve">חוק קיום דיונים בהיוועדות חזותית בעת הכרזה על הגבלה (עצורים, אסירים וכלואים) (הוראת שעה), התשפ"ו-2026</t>
  </si>
  <si>
    <t xml:space="preserve"> (פ/6253/25)</t>
  </si>
  <si>
    <t xml:space="preserve"> (כ/1169)</t>
  </si>
  <si>
    <t xml:space="preserve">25.02.2026</t>
  </si>
  <si>
    <t xml:space="preserve">פרק ה' (גיוון שיטות העסקה במשטרת ישראל), סעיף 22 (תיקון פקודת המשטרה) מתוך הצעת חוק התוכנית הכלכלית (תיקוני חקיקה ליישום המדיניות הכלכלית לשנת התקציב 2026), התשפ"ו-2026</t>
  </si>
  <si>
    <t xml:space="preserve">הצעת חוק-יסוד: הממשלה (תיקון מס' 13)</t>
  </si>
  <si>
    <t xml:space="preserve"> (פ/2314/25)</t>
  </si>
  <si>
    <t xml:space="preserve"> (כ/953)</t>
  </si>
  <si>
    <t xml:space="preserve">הוועדה המיוחדת לתיקונים לחוק יסוד: הממשלה</t>
  </si>
  <si>
    <t xml:space="preserve">חוק הביטוח הלאומי (תיקון מס' 262  – הוראת שעה), התשפ"ו–2026</t>
  </si>
  <si>
    <t xml:space="preserve"> (פ/592/25)</t>
  </si>
  <si>
    <t xml:space="preserve"> (כ/1023)</t>
  </si>
  <si>
    <t xml:space="preserve">החוק קובע בהוראת שעה שתחול מיום י"ב בטבת התשפ"ו (1 בינואר 2026) ועד יום ל' בכסלו התשצ"ו (31 בדצמבר 2035), כי תושב ישראל שהוא עולה חדש ממדינה המנויה בלוח ט"ז לחוק יהיה פטור מתשלום דמי ביטוח לאומי בעד הכנסה מעבודה או ממשלח יד שהוא משלם בעדה דמי ביטוח סוציאלי במדינה שממנה עלה, וזאת למשך חמש שנים מהעלייה. בלוח ט"ז נקבע כי הפטור האמור חל על העולים מארה"ב ושר העבודה, בהסכמת שר האוצר ובהתייעצות עם שר העלייה והקליטה ובאישור ועדת העבודה והרווחה, מוסמך לקבוע כי ההסדר יחול על עולים ממדינות נוספות לאחר ששוכנע כי הדבר יסייע לעידוד עליה ולאחר שהביא בחשבון את גובה דמי הביטוח הסוציאלי באותה מדינה ואת קיומה של אמנה לביטחון סוציאלי עימה. כמו כן, השר מוסמך כאמור להאריך בצו את הוראת השעה בשתי תקופות נוספות שכל אחת מהן לא תעלה על חמש שנים. הפטור האמור לא ישפיע על הזכאות לגמלה או לתוספת לגמלה המותנית בתשלום דמי ביטוח לאומי ולא יחול לגבי החיוב בדמי ביטוח בריאות.  </t>
  </si>
  <si>
    <t xml:space="preserve">הצעת חוק הכנסת (תיקון - בחירת יושב ראש ועדה), התשפ"ו-2026</t>
  </si>
  <si>
    <t xml:space="preserve"> (פ/6428/25)</t>
  </si>
  <si>
    <t xml:space="preserve"> (פ/6225/25)</t>
  </si>
  <si>
    <t xml:space="preserve">הצעת חוק קביעת יום לציון הטבעת הספינה אלטלנה, התשפ"ג-2023</t>
  </si>
  <si>
    <t xml:space="preserve"> (פ/1606/25)</t>
  </si>
  <si>
    <t xml:space="preserve">הצעת חוק חינוך ממלכתי (תיקון - שלילת השתתפות בתקציב עקב הפליה), התשפ"ג-2022</t>
  </si>
  <si>
    <t xml:space="preserve"> (פ/568/25)</t>
  </si>
  <si>
    <t xml:space="preserve">הצעת חוק צער בעלי חיים (הגנה על בעלי חיים) (תיקון - איסור ביצוע פעולות השחתה וריסון בבהמות), התשפ"ג-2022</t>
  </si>
  <si>
    <t xml:space="preserve"> (פ/540/25)</t>
  </si>
  <si>
    <t xml:space="preserve">פרק ג האצת מיזמי תשתית לאומיים (חוק לקידום תשתיות לאומיות) סעיפים 6(1), 7 (מגבלת גובה למרכז למיפוי) מתוך הצעת חוק התוכנית הכלכלית (תיקוני חקיקה ליישום המדיניות הכלכלית לשנת התקציב 2026), התשפ"ו-2026</t>
  </si>
  <si>
    <t xml:space="preserve">24.02.2026</t>
  </si>
  <si>
    <t xml:space="preserve">פרק ה' (גיוון שיטות העסקה במשטרת ישראל), סעיפים 23, 24 (חוק שירות המדינה (גמלאות)) מתוך הצעת חוק התוכנית הכלכלית (תיקוני חקיקה ליישום המדיניות הכלכלית לשנת התקציב 2026), התשפ"ו-2026 [פוצלה לפי סעיף 84(ב) לתקנון]</t>
  </si>
  <si>
    <t xml:space="preserve">הצעת חוק תגמול למשרתים בשירות צבאי או אזרחי באקדמיה, התשפ"ה-2024</t>
  </si>
  <si>
    <t xml:space="preserve"> (פ/5094/25)</t>
  </si>
  <si>
    <t xml:space="preserve">הצעת חוק עידוד שירות צבאי, לאומי או לאומי-אזרחי במוסדות להשכלה גבוהה, התשפ"ה-2024</t>
  </si>
  <si>
    <t xml:space="preserve"> (פ/5031/25)</t>
  </si>
  <si>
    <t xml:space="preserve">הצעת חוק זכויות הסטודנט (תיקון - העדפה מתקנת ללוחמים), התשפ"ג-2022</t>
  </si>
  <si>
    <t xml:space="preserve"> (פ/713/25)</t>
  </si>
  <si>
    <t xml:space="preserve">פרק ב' ייעול הליכי התכנון והבנייה (חוק התכנון והבנייה) סעיף 2(16)(א) (תכנית טעונה אישור ולחו"ף) מתוך הצעת חוק התוכנית הכלכלית (תיקוני חקיקה ליישום המדיניות הכלכלית לשנת התקציב 2026), התשפ"ו-2026</t>
  </si>
  <si>
    <t xml:space="preserve">הצעת חוק לתיקון פקודת התעבורה (שירותי תחבורה שיתופית מקוונת), התשפ"ה-2025</t>
  </si>
  <si>
    <t xml:space="preserve"> (פ/6014/25)</t>
  </si>
  <si>
    <t xml:space="preserve">פרק ג' האצת מיזמי תשתית לאומיים (חוק התכנון והבנייה) סעיף 17(2), (3) (תכנית השינוי) מתוך הצעת חוק התוכנית הכלכלית (תיקוני חקיקה ליישום המדיניות הכלכלית לשנת התקציב 2026), התשפ"ו-2026</t>
  </si>
  <si>
    <t xml:space="preserve">פרק ג' האצת מיזמי תשתית לאומיים (חוק התכנון והבנייה) סעיף 17(6) (הקלה למבנה דרך) מתוך הצעת חוק התוכנית הכלכלית (תיקוני חקיקה ליישום המדיניות הכלכלית לשנת התקציב 2026), התשפ"ו-2026</t>
  </si>
  <si>
    <t xml:space="preserve">הצעת חוק אומנה לילדים (תיקון מס' 8) (הסרת מגבלת הגיל המרבי לאומן), התשפ"ו–2026</t>
  </si>
  <si>
    <t xml:space="preserve"> (פ/5584/25)</t>
  </si>
  <si>
    <t xml:space="preserve"> (כ/1180)</t>
  </si>
  <si>
    <t xml:space="preserve">פרק ג' האצת מיזמי תשתית לאומיים  סעיפים 11, 13(2) מתוך הצעת חוק התוכנית הכלכלית (תיקוני חקיקה ליישום המדיניות הכלכלית לשנת התקציב 2026), התשפ"ו-2026 (חוק רכבת תחתית (מטרו), חוק בתי משפט מינהליים)</t>
  </si>
  <si>
    <t xml:space="preserve">23.02.2026</t>
  </si>
  <si>
    <t xml:space="preserve">פרק ג' האצת מיזמי תשתיות לאומיים (חוק לקידום תשתיות לאומיות) סעיף 6(3) (הטמנת פסולת) מתוך הצעת חוק התוכנית הכלכלית (תיקוני חקיקה ליישום המדיניות הכלכלית לשנת התקציב 2026), התשפ"ו-2026</t>
  </si>
  <si>
    <t xml:space="preserve">פרק י"ט (שונות), סעיף 99 (חוק המים) מתוך הצעת חוק התוכנית הכלכלית (תיקוני חקיקה ליישום המדיניות הכלכלית לשנת התקציב 2026), התשפ"ו-2026</t>
  </si>
  <si>
    <t xml:space="preserve">סעיף 9 (פקודת מסילות הברזל) מתוך הצעת חוק התוכנית הכלכלית (תיקוני חקיקה ליישום המדיניות הכלכלית לשנת התקציב 2026), התשפ"ו-2026</t>
  </si>
  <si>
    <t xml:space="preserve">חוק המידע הפלילי ותקנת השבים (תיקון מס' 10), התשפ"ו–2026</t>
  </si>
  <si>
    <t xml:space="preserve"> (פ/3891/25)</t>
  </si>
  <si>
    <t xml:space="preserve"> (כ/1120)</t>
  </si>
  <si>
    <t xml:space="preserve">הצעת חוק לתיקון פקודת בריאות העם (הוספת מכשור רפואי לפריפריה), התשפ"ו-2026</t>
  </si>
  <si>
    <t xml:space="preserve"> (פ/6595/25)</t>
  </si>
  <si>
    <t xml:space="preserve">הצעת חוק למניעת הפצת תוכן פוגעני ברשת החברתית, התשפ״ו-2026</t>
  </si>
  <si>
    <t xml:space="preserve"> (פ/6594/25)</t>
  </si>
  <si>
    <t xml:space="preserve">הצעת חוק-יסוד: השפיטה (תיקון - מניעת התערבות בית המשפט בסמכות החקיקה של הכנסת)</t>
  </si>
  <si>
    <t xml:space="preserve"> (פ/6592/25)</t>
  </si>
  <si>
    <t xml:space="preserve">הצעת חוק ביטוח בריאות ממלכתי (תיקון - הגדרת שנת היעדרות לגבי לימודים אקדמיים בחו"ל), התשפ"ו-2026</t>
  </si>
  <si>
    <t xml:space="preserve"> (פ/6591/25)</t>
  </si>
  <si>
    <t xml:space="preserve">הצעת חוק-יסוד: הכנסת (תיקון - הצהרת אמונים בפני מליאת הכנסת ועיצומים נגד מי שלא הצהיר)</t>
  </si>
  <si>
    <t xml:space="preserve"> (פ/6590/25)</t>
  </si>
  <si>
    <t xml:space="preserve">הצעת חוק שירות המדינה (מינויים) (תיקון - ייצוג הולם למשרתים בשירות צבאי), התשפ"ו-2026</t>
  </si>
  <si>
    <t xml:space="preserve"> (פ/6589/25)</t>
  </si>
  <si>
    <t xml:space="preserve">הצעת חוק אסדרת משק הפסולת בישראל והקמת הרשות הארצית לטיפול בפסולת, התשפ"ו-2025</t>
  </si>
  <si>
    <t xml:space="preserve"> (פ/6588/25)</t>
  </si>
  <si>
    <t xml:space="preserve">הצעת חוק לתיקון פקודת בריאות העם (עדכון על זכאות אפשרית לגמלה), התשפ"ו-2026</t>
  </si>
  <si>
    <t xml:space="preserve"> (פ/6587/25)</t>
  </si>
  <si>
    <t xml:space="preserve">הצעת חוק אומנה לילדים (תיקון - מתן הסכמה לטיפול פסיכיאטרי), התשפ"ו-2026</t>
  </si>
  <si>
    <t xml:space="preserve"> (פ/6586/25)</t>
  </si>
  <si>
    <t xml:space="preserve">הצעת חוק הפסקת היריון, התשפ"ו-2026</t>
  </si>
  <si>
    <t xml:space="preserve"> (פ/6585/25)</t>
  </si>
  <si>
    <t xml:space="preserve">הצעת חוק לטיפול סביבתי בציוד חשמלי ואלקטרוני ובסוללות (תיקון - חובת מיחזור פסולת רכב חשמלי ורכב היברידי), התשפ"ו-2026</t>
  </si>
  <si>
    <t xml:space="preserve"> (פ/6584/25)</t>
  </si>
  <si>
    <t xml:space="preserve">הצעת חוק הפסקת כהונה של נושאי משרה בכירים בתקופת הכהונה הראשונית של ממשלה חדשה, התשפ"ו-2026</t>
  </si>
  <si>
    <t xml:space="preserve"> (פ/6583/25)</t>
  </si>
  <si>
    <t xml:space="preserve">הצעת חוק זכויות נפגעי עבירה (תיקון - הוספת סרסור והבאת אדם לידי זנות להגדרת עבירת מין או אלימות), התשפ"ו-2026</t>
  </si>
  <si>
    <t xml:space="preserve"> (פ/6582/25)</t>
  </si>
  <si>
    <t xml:space="preserve">הצעת חוק הביטוח הלאומי (תיקון - מענק מוגדל לעבודה מועדפת בחקלאות ובתיירות בקו העימות הצפוני) (הוראת שעה), התשפ"ו-2026</t>
  </si>
  <si>
    <t xml:space="preserve"> (פ/6581/25)</t>
  </si>
  <si>
    <t xml:space="preserve">הצעת חוק להנצחת זכרו של רבי נחמן מברסלב, התשפ"ו-2026</t>
  </si>
  <si>
    <t xml:space="preserve"> (פ/6580/25)</t>
  </si>
  <si>
    <t xml:space="preserve">הצעת חוק לתיקון פקודת המשטרה (מערכת דיווח מאובטחת לקבלת מידע על מחזיקי אמצעי לחימה בלתי חוקיים), התשפ"ו-2026</t>
  </si>
  <si>
    <t xml:space="preserve"> (פ/6579/25)</t>
  </si>
  <si>
    <t xml:space="preserve">הצעת חוק לקידום ולפיתוח העדה הדרוזית בישראל (תיקוני חקיקה), התשפ"ו-2026</t>
  </si>
  <si>
    <t xml:space="preserve"> (פ/6577/25)</t>
  </si>
  <si>
    <t xml:space="preserve">הצעת חוק סדר הדין הפלילי (חילוט תקבולי עבירה), התשפ"ו-2026</t>
  </si>
  <si>
    <t xml:space="preserve"> (מ/1934)</t>
  </si>
  <si>
    <t xml:space="preserve">הצעת חוק מקרקעי ציבור (פינוי קרקע) (תיקון מס' 5), התשפ"ו-2026</t>
  </si>
  <si>
    <t xml:space="preserve">פרק ו' (ייעול וקיצור הליכי הניהול של נכסים עזובים והעברתם לקניין המדינה) מתוך הצעת חוק התוכנית הכלכלית (תיקוני חקיקה ליישום המדיניות הכלכלית לשנת התקציב 2026), התשפ"ו-2026</t>
  </si>
  <si>
    <t xml:space="preserve">22.02.2026</t>
  </si>
  <si>
    <t xml:space="preserve">פרק ח' (חברות ממשלתיות ביטחוניות-תחרותיות) מתוך הצעת חוק התוכנית הכלכלית (תיקוני חקיקה ליישום המדיניות הכלכלית לשנת התקציב 2026), התשפ"ו-2026</t>
  </si>
  <si>
    <t xml:space="preserve">הצעת חוק התקשורת (בזק ושידורים) (תיקון - תיעוד מכירת כרטיסי  SIM אנונימיים), התשפ"ו-2026</t>
  </si>
  <si>
    <t xml:space="preserve"> (פ/6436/25)</t>
  </si>
  <si>
    <t xml:space="preserve">18.02.2026</t>
  </si>
  <si>
    <t xml:space="preserve">הצעת חוק-יסוד: הממשלה (תיקון - תקופה מרבית לכהונה בתפקיד כראש הממשלה)</t>
  </si>
  <si>
    <t xml:space="preserve"> (פ/6371/25)</t>
  </si>
  <si>
    <t xml:space="preserve">הצעת חוק העונשין (תיקון - השחתת מודעות על רקע מגדר), התשפ"ה-2025</t>
  </si>
  <si>
    <t xml:space="preserve"> (פ/5331/25)</t>
  </si>
  <si>
    <t xml:space="preserve">הצעת חוק הממשלה (תיקון - קיום מסיבת עיתונאים עיתית לגופי התקשורת בישראל), התשפ"ה-2024</t>
  </si>
  <si>
    <t xml:space="preserve"> (פ/5186/25)</t>
  </si>
  <si>
    <t xml:space="preserve">הצעת חוק העונשין (תיקון - השחתת מודעות על רקע מגדר), התשפ"ד-2024</t>
  </si>
  <si>
    <t xml:space="preserve"> (פ/4782/25)</t>
  </si>
  <si>
    <t xml:space="preserve">הצעת חוק העונשין (תיקון - השחתת מודעות על רקע מגדר), התשפ"ד-2023</t>
  </si>
  <si>
    <t xml:space="preserve"> (פ/3963/25)</t>
  </si>
  <si>
    <t xml:space="preserve">הצעת חוק לתיקון פקודת בריאות העם (הוספת מכשור רפואי לפריפריה), התשפ"ג-2023</t>
  </si>
  <si>
    <t xml:space="preserve"> (פ/2760/25)</t>
  </si>
  <si>
    <t xml:space="preserve">הצעת חוק קליטת חיילים משוחררים (תיקון מס' 26) (הארכת תקופת זכאות להשתתפות במימון שכר לימוד בשל מלחמה), התשפ"ו–2026</t>
  </si>
  <si>
    <t xml:space="preserve"> (פ/6074/25)</t>
  </si>
  <si>
    <t xml:space="preserve">17.02.2026</t>
  </si>
  <si>
    <t xml:space="preserve">הצעת חוק הרשות לגיל הרך, התשפ"ד-2024</t>
  </si>
  <si>
    <t xml:space="preserve"> (פ/4873/25)</t>
  </si>
  <si>
    <t xml:space="preserve">16.02.2026</t>
  </si>
  <si>
    <t xml:space="preserve">פרק ט"ז (שמירה על זכויות מבוטחים בסיעוד) מתוך הצעת חוק התוכנית הכלכלית (תיקוני חקיקה ליישום המדיניות הכלכלית לשנת התקציב 2026), התשפ"ו-2026 [פוצלה לפי סעיף 84(ב) לתקנון]</t>
  </si>
  <si>
    <t xml:space="preserve"> (פ/6576/25)</t>
  </si>
  <si>
    <t xml:space="preserve">הצעת חוק המאבק בטרור (תיקון - חילוט רכוש פעילי טרור ובעלי זיקה לפעולת טרור), התשפ״ו-2026</t>
  </si>
  <si>
    <t xml:space="preserve"> (פ/6575/25)</t>
  </si>
  <si>
    <t xml:space="preserve">הצעת חוק הקמת שדה תעופה בצקלג (הוראות מיוחדות), התשפ"ו-2026</t>
  </si>
  <si>
    <t xml:space="preserve"> (פ/6574/25)</t>
  </si>
  <si>
    <t xml:space="preserve"> (פ/6573/25)</t>
  </si>
  <si>
    <t xml:space="preserve">הצעת חוק העונשין (תיקון - איסור על עינויים ועל יחס אכזרי, בלתי אנושי ומשפיל),  התשפ"ו-2026</t>
  </si>
  <si>
    <t xml:space="preserve"> (פ/6572/25)</t>
  </si>
  <si>
    <t xml:space="preserve">הצעת חוק העונשין (תיקון - התחזות לעובד ציבור בכוונה לבצע פשע), התשפ״ו-2026</t>
  </si>
  <si>
    <t xml:space="preserve"> (פ/6571/25)</t>
  </si>
  <si>
    <t xml:space="preserve">הצעת חוק הפרשנות (תיקון - הגדרת הפליה על רקע נטייה מינית או זהות מגדרית),  התשפ"ו-2026</t>
  </si>
  <si>
    <t xml:space="preserve"> (פ/6570/25)</t>
  </si>
  <si>
    <t xml:space="preserve">הצעת חוק הרשות הלאומית לתכנון אוכלוסין ומניעת ירידה מהארץ, התשפ"ו-2026</t>
  </si>
  <si>
    <t xml:space="preserve"> (פ/6569/25)</t>
  </si>
  <si>
    <t xml:space="preserve">הצעת חוק סדר הדין הפלילי (סמכויות אכיפה - חיפוש בגוף ונטילת אמצעי זיהוי) (תיקון - הגדרת חיפוש בעירום מלא כחיפוש פנימי), התשפ"ו-2026</t>
  </si>
  <si>
    <t xml:space="preserve"> (פ/6568/25)</t>
  </si>
  <si>
    <t xml:space="preserve">הצעת חוק התקשורת (בזק ושידורים) (תיקון - גיל משתמשים ברשתות חברתיות), התשפ"ו-2026</t>
  </si>
  <si>
    <t xml:space="preserve"> (פ/6567/25)</t>
  </si>
  <si>
    <t xml:space="preserve"> (פ/6566/25)</t>
  </si>
  <si>
    <t xml:space="preserve">הצעת חוק התגמולים לנפגעי פעולות איבה (תיקון - פשעי שנאה), התשפ"ו-2026</t>
  </si>
  <si>
    <t xml:space="preserve"> (פ/6565/25)</t>
  </si>
  <si>
    <t xml:space="preserve">הצעת חוק הביטוח הלאומי (תיקון - הארכת המועד להגשת תביעות ליקוי שמיעה), התשפ"ו-2026</t>
  </si>
  <si>
    <t xml:space="preserve"> (פ/6564/25)</t>
  </si>
  <si>
    <t xml:space="preserve">הצעת חוק העונשין (תיקון - מרמה והפרת אמונים), התשפ"ו-2026</t>
  </si>
  <si>
    <t xml:space="preserve"> (פ/6562/25)</t>
  </si>
  <si>
    <t xml:space="preserve">הצעת חוק הממשלה (תיקון - ועדת שרים לענייני ביטחון לאומי), התשפ״ו-2026</t>
  </si>
  <si>
    <t xml:space="preserve"> (פ/6561/25)</t>
  </si>
  <si>
    <t xml:space="preserve">הצעת חוק קופת חולים (עידוד תרומת תרופות), התשפ"ו-2026</t>
  </si>
  <si>
    <t xml:space="preserve"> (פ/6560/25)</t>
  </si>
  <si>
    <t xml:space="preserve">הצעת חוק הרשויות המקומיות (פטור חיילים, נפגעי מלחמה ושוטרים מארנונה) (תיקון - הנחה בארנונה למשרת בשירות מילואים פעיל) (הוראת שעה),התשפ''ו-2026</t>
  </si>
  <si>
    <t xml:space="preserve"> (פ/6559/25)</t>
  </si>
  <si>
    <t xml:space="preserve"> (פ/6558/25)</t>
  </si>
  <si>
    <t xml:space="preserve">הצעת חוק יום לציון מורשת יהדות הודו, התשפ"ו-2026</t>
  </si>
  <si>
    <t xml:space="preserve"> (פ/6557/25)</t>
  </si>
  <si>
    <t xml:space="preserve">הצעת חוק הרשות הלאומית לתרבות ולשפה המרוקאית יהודית, התשפ"ו-2026</t>
  </si>
  <si>
    <t xml:space="preserve"> (פ/6556/25)</t>
  </si>
  <si>
    <t xml:space="preserve">הצעת חוק נציב תלונות הציבור על שופטים (תיקון - נציבות תלונות הציבור על דיינים וקאדים), התשפ"ו-2026</t>
  </si>
  <si>
    <t xml:space="preserve"> (פ/6555/25)</t>
  </si>
  <si>
    <t xml:space="preserve">הצעת חוק לתיקון פקודת בתי הסוהר (איסור טיפול רפואי באסירים ביטחוניים בבתי חולים ציבוריים), התשפ"ו-2026</t>
  </si>
  <si>
    <t xml:space="preserve"> (פ/6554/25)</t>
  </si>
  <si>
    <t xml:space="preserve">הצעת חוק שירות התעסוקה (תיקון - הסבה מקצועית לעובדי עבודת כפיים), התשפ"ו-2026</t>
  </si>
  <si>
    <t xml:space="preserve"> (פ/6553/25)</t>
  </si>
  <si>
    <t xml:space="preserve">הצעת חוק לתיקון פקודת המכס (מס' 31) (עבירות ההברחה), התשפ"ו-2026</t>
  </si>
  <si>
    <t xml:space="preserve"> (מ/1933)</t>
  </si>
  <si>
    <t xml:space="preserve">הצעת חוק זיכרון אירועי הטרור של כ"ב בתשרי (7 באוקטובר) ומלחמת חרבות ברזל, התשפ"ה-2024</t>
  </si>
  <si>
    <t xml:space="preserve"> (פ/4900/25)</t>
  </si>
  <si>
    <t xml:space="preserve">11.02.2026</t>
  </si>
  <si>
    <t xml:space="preserve">הצעת חוק זיכרון הטבח והנצחת הגבורה ביום כ"ב בתשרי (שמחת תורה) – 7 באוקטובר, התשפ"ה–2025</t>
  </si>
  <si>
    <t xml:space="preserve"> (פ/4043/25)</t>
  </si>
  <si>
    <t xml:space="preserve"> (כ/1153)</t>
  </si>
  <si>
    <t xml:space="preserve">הצעת חוק יסודות התקציב (תיקון - תמיכה בתאגידי חינוך חרדיים), התשפ"ו-2025</t>
  </si>
  <si>
    <t xml:space="preserve"> (פ/6399/25)</t>
  </si>
  <si>
    <t xml:space="preserve">הצעת חוק להגדרת רצועת עזה כאזור עוין ואיסור יחסי מסחר, התשפ"ה-2025</t>
  </si>
  <si>
    <t xml:space="preserve"> (פ/6114/25)</t>
  </si>
  <si>
    <t xml:space="preserve">הצעת חוק העונשין (תיקון - הגדרת סוכן חוץ), התשפ"ה-2025</t>
  </si>
  <si>
    <t xml:space="preserve"> (פ/5871/25)</t>
  </si>
  <si>
    <t xml:space="preserve">חוק תאגידי מים וביוב (תיקון מס' 19), התשפ"ו-2026</t>
  </si>
  <si>
    <t xml:space="preserve"> (מ/1915)</t>
  </si>
  <si>
    <t xml:space="preserve">09.02.2026</t>
  </si>
  <si>
    <t xml:space="preserve">התיקון דוחה ל-1.1.2027 את המועד הקובע, שהוא המועד המחייב להקמה של תאגידי מים וביוב אזוריים שיספקו שירותי מים וביוב למספר רשויות מקומיות. החל במועד הקובע, תאגיד מים וביוב ורשות מקומית לא יספקו שירותי מים וביוב לצרכנים, אלא באמצעות תאגיד אזורי, ובלבד שלא ניתן פטור מהחובה להקים תאגיד אזורי בהתאם לתנאים הקבועים בחוק. כמו כן, ובהתאמה לדחיית המועד הקובע, התיקון דוחה את לוחות הזמנים שבהם על רשות מקומית או תאגיד כאמור, לפי העניין, לבצע כל אחד משלבי ההקמה של תאגיד אזורי, כך שיחולו החל מיום 1.9.2026.</t>
  </si>
  <si>
    <t xml:space="preserve">הצעת חוק שיקום מתמודדי נפש בקהילה (תיקון - תוכנית השיקום ומימושה), התשפ"ו-2026</t>
  </si>
  <si>
    <t xml:space="preserve"> (פ/6550/25)</t>
  </si>
  <si>
    <t xml:space="preserve">הצעת חוק נישואים אזרחיים, התשפ"ו-2026</t>
  </si>
  <si>
    <t xml:space="preserve"> (פ/6549/25)</t>
  </si>
  <si>
    <t xml:space="preserve">הצעת חוק שקיפות בשימוש באמצעים אוטומטיים בפעילות פוליטית מקוונת (הוראת שעה), התשפ״ו-2026</t>
  </si>
  <si>
    <t xml:space="preserve"> (פ/6548/25)</t>
  </si>
  <si>
    <t xml:space="preserve">הצעת חוק לתיקון פקודת העיריות (תקופת כהונה של יועץ משפטי), התשפ״ו-2026</t>
  </si>
  <si>
    <t xml:space="preserve"> (פ/6547/25)</t>
  </si>
  <si>
    <t xml:space="preserve">הצעת חוק הביטוח הלאומי (תיקון - גמלת שאירים לאלמנה שנישאה מחדש), התשפ"ו-2026</t>
  </si>
  <si>
    <t xml:space="preserve"> (פ/6546/25)</t>
  </si>
  <si>
    <t xml:space="preserve">הצעת חוק המוסד העליון ללשון העברית (תיקון - מעמד החלטות המוסד וועדת השמות הממשלתית), התשפ"ו-2026</t>
  </si>
  <si>
    <t xml:space="preserve"> (פ/6545/25)</t>
  </si>
  <si>
    <t xml:space="preserve">הצעת חוק איסור טיפול המרה לקטין, התשפ"ו-2026 ‏  </t>
  </si>
  <si>
    <t xml:space="preserve"> (פ/6544/25)</t>
  </si>
  <si>
    <t xml:space="preserve"> (פ/6542/25)</t>
  </si>
  <si>
    <t xml:space="preserve">הצעת חוק שימור פוריות לאלמנות של חיילים שנספו, התשפ"ו-2026</t>
  </si>
  <si>
    <t xml:space="preserve"> (פ/6541/25)</t>
  </si>
  <si>
    <t xml:space="preserve">הצעת חוק הרשויות המקומיות (מימון בחירות) (תיקון - ייצוג נשים ברשות המקומית), התשפ"ו-2026</t>
  </si>
  <si>
    <t xml:space="preserve"> (פ/6540/25)</t>
  </si>
  <si>
    <t xml:space="preserve"> (פ/6539/25)</t>
  </si>
  <si>
    <t xml:space="preserve">הצעת חוק-יסוד: הכנסת (תיקון - ייצוג הולם לנשים ברשימת מועמדים לכנסת)</t>
  </si>
  <si>
    <t xml:space="preserve"> (פ/6538/25)</t>
  </si>
  <si>
    <t xml:space="preserve">הצעת חוק הנכים (תגמולים ושיקום) (תיקון - התאמה של שירותי אגף השיקום לנכים מהציבור הדתי והחרדי), התשפ"ו-2026</t>
  </si>
  <si>
    <t xml:space="preserve"> (פ/6537/25)</t>
  </si>
  <si>
    <t xml:space="preserve">הצעת חוק הסיוע המשפטי (תיקון - פטור מעמידה במבחן הכנסה לשם סיוע משפטי להלומי קרב), התשפ"ו-2026</t>
  </si>
  <si>
    <t xml:space="preserve"> (פ/6536/25)</t>
  </si>
  <si>
    <t xml:space="preserve"> (פ/6535/25)</t>
  </si>
  <si>
    <t xml:space="preserve">הצעת חוק לתיקון פקודת המשטרה (הסדרת הפעלת מכת"זית ותיעוד חזותי של ההפעלה), התשפ"ה-2025</t>
  </si>
  <si>
    <t xml:space="preserve"> (פ/6121/25)</t>
  </si>
  <si>
    <t xml:space="preserve">04.02.2026</t>
  </si>
  <si>
    <t xml:space="preserve"> (פ/5665/25)</t>
  </si>
  <si>
    <t xml:space="preserve">הצעת חוק לתיקון פקודת המשטרה (תיעוד חזותי של השימוש באמצעים לפיזור הפגנות), התשפ"ד-2023</t>
  </si>
  <si>
    <t xml:space="preserve"> (פ/4040/25)</t>
  </si>
  <si>
    <t xml:space="preserve">הצעת חוק לתיקון פקודת המשטרה (תיעוד חזותי של השימוש באמצעים לפיזור הפגנות), התשפ"ג-2023</t>
  </si>
  <si>
    <t xml:space="preserve"> (פ/3862/25)</t>
  </si>
  <si>
    <t xml:space="preserve">הצעת חוק לתיקון פקודת המשטרה (תיעוד חזותי של השימוש במכת"זית), התשפ"ג-2022</t>
  </si>
  <si>
    <t xml:space="preserve"> (פ/333/25)</t>
  </si>
  <si>
    <t xml:space="preserve">חוק המועצה לענף הלול (ייצור ושיווק) (תיקון מס' 18 והוראת שעה) (תיקון), התשפ"ו–2026</t>
  </si>
  <si>
    <t xml:space="preserve"> (פ/5415/25)</t>
  </si>
  <si>
    <t xml:space="preserve"> (כ/1125)</t>
  </si>
  <si>
    <t xml:space="preserve">התיקון לחוק קובע שביטול משטר התכנון בענף ההטלה (ענף ייצור ביצי מאכל), יידחה וייכנס לתוקף ב–1.1.2042, במקום ב–29.6.2032. לאחר שיבוטל משטר התכנון, לא תיקבע עוד מכסה ארצית לייצור ביצי מאכל בכל שנה וכן לא תיקבע מכסה אישית לכל מגדל. כמו כן, מוצע לבטל את סמכותו של שר החקלאות וביטחון המזון לדחות את מועד התחילה בתקופות מצטברות שלא יעלו על 3 שנים, הקבועה כיום בחוק. ביטול משטר התכנון בענף ההטלה נקבע במסגרת תיקון מס' 18 לחוק המועצה לענף הלול, שנחקק בשנת 2022. לפי תיקון מס' 18, ביום 29.6.2032 אמור היה להתבטל משטר התכנון, ושר החקלאות וביטחון המזון הוסמך כאמור לדחות את ביטולו בתקופות מצטברות שלא יעלו בסך הכל על 3 שנים. כמו כן, בתיקון מס' 18 לחוק נקבע שהחל ב-1.1.2023 ועד לכניסתו לתוקף של ביטול משטר התכנון, יחולו הוראות מעבר להסדרת התכנון בענף. בהתאם לכך, בתקופת המעבר, המכסה הארצית לגידול ביצי מאכל לשיווק היא 2.5 מיליארד ביצים, ושר החקלאות ופיתוח הכפר רשאי להגדילה בצו אם נוצרו תנאים המצדיקים זאת, בשיעור של עד 6% בשנה, או בשיעור של יותר מ-6% באישור ועדת הכלכלה. בנוסף, המגדלים שנקבעו להם מכסות אישיות ערב פרסום התיקון רשאים להמשיך ולגדל את מכסותיהם לאורך כל תקופת המעבר, ויהיו זכאים לפיצוי מהמדינה אם המשיכו לייצר את מכסותיהם עד תום תקופת המעבר. על כן, לאור דחיית מועד ביטול משטר התכנון, הוראות המעבר האמורות ימשיכו לחול עד 31.12.2041. </t>
  </si>
  <si>
    <t xml:space="preserve">חוק איסור אלימות בספורט (תיקון מס' 4), התשפ"ו–2026</t>
  </si>
  <si>
    <t xml:space="preserve"> (פ/5460/25)</t>
  </si>
  <si>
    <t xml:space="preserve"> (כ/1168)</t>
  </si>
  <si>
    <t xml:space="preserve">במסגרת חוק זה נקבעה עבירה פלילית חדשה וייעודית האוסרת על יידוי אמצעים פירוטכניים באירועי ספורט. החוק מגדיר "אמצעי פירוטכני" ככזה הכולל מכלול אמצעים כימיים שהפעלתם גורמת לקולות נפץ, עשן או אור, ובכלל זה חזיזים. על פי החוק, חל איסור מוחלט ליידות אמצעים אלו בזמן קיומו של אירוע ספורט או בסמוך אליו, בין אם היידוי מתבצע בתוך המקום שבו מתקיים האירוע ובין אם הוא מכוון לעבר מקום כזה מבחוץ. נקבע כי אדם שיורשע ביידוי אמצעי פירוטכני באירוע ספורט או לעברו צפוי לעונש של שלוש שנות מאסר, זאת בשונה מהעונש שהיה קבוע עד כה בחוק בגין עבירה כללית של יידוי חפץ שהסתכם בקנס כספי בלבד.</t>
  </si>
  <si>
    <t xml:space="preserve">הצעת חוק זכויות החולה (תיקון - מסירת מידע למניעת פגיעה), התשפ"ו-2025</t>
  </si>
  <si>
    <t xml:space="preserve"> (פ/6365/25)</t>
  </si>
  <si>
    <t xml:space="preserve">הצעת חוק לתיקון פקודת בריאות העם (מרכזים אקוטיים), התשפ"ו-2025</t>
  </si>
  <si>
    <t xml:space="preserve"> (פ/6333/25)</t>
  </si>
  <si>
    <t xml:space="preserve">הצעת חוק כביש אגרה (כביש ארצי לישראל) (תיקון - תשלום מופחת לתושבי אזורי עדיפות לאומית), התשפ"ו-2025</t>
  </si>
  <si>
    <t xml:space="preserve"> (פ/6285/25)</t>
  </si>
  <si>
    <t xml:space="preserve">הצעת חוק ביטוח בריאות ממלכתי (תיקון - שירותי רפואת שיניים), התשפ"ו-2025</t>
  </si>
  <si>
    <t xml:space="preserve"> (פ/6252/25)</t>
  </si>
  <si>
    <t xml:space="preserve">הצעת חוק לתיקון פקודת המשטרה (מינוי קצינים), התשפ"ה-2025</t>
  </si>
  <si>
    <t xml:space="preserve"> (פ/6069/25)</t>
  </si>
  <si>
    <t xml:space="preserve">הצעת חוק שירות ביטחון (תיקון - עיצום כספי), התשפ"ה-2025</t>
  </si>
  <si>
    <t xml:space="preserve"> (פ/5969/25)</t>
  </si>
  <si>
    <t xml:space="preserve">הצעת חוק הביטוח הלאומי (תיקון - שלילת קצבת ילדים ממשפחות פוליגמיות), התשפ"ה-2025</t>
  </si>
  <si>
    <t xml:space="preserve"> (פ/5952/25)</t>
  </si>
  <si>
    <t xml:space="preserve">הצעת חוק מעמד המשרת בשירות צבאי, התשפ"ה-2024</t>
  </si>
  <si>
    <t xml:space="preserve"> (פ/5175/25)</t>
  </si>
  <si>
    <t xml:space="preserve">הצעת חוק הרשות הלאומית לתרבות ולשפה המרוקאית יהודית, התשפ"ה-2024</t>
  </si>
  <si>
    <t xml:space="preserve"> (פ/4983/25)</t>
  </si>
  <si>
    <t xml:space="preserve">הצעת חוק הרבנות הראשית לישראל (תיקון - רב ראשי אחד), התשפ"ג-2023</t>
  </si>
  <si>
    <t xml:space="preserve"> (פ/3782/25)</t>
  </si>
  <si>
    <t xml:space="preserve">הצעת חוק עובדים זרים (תיקון מס' 25) (חובת בדיקה של רישיון עובד זר), התשפ"ו–2026</t>
  </si>
  <si>
    <t xml:space="preserve"> (פ/3363/25)</t>
  </si>
  <si>
    <t xml:space="preserve"> (כ/1179)</t>
  </si>
  <si>
    <t xml:space="preserve">הצעת חוק מדד לזכות לקיום אנושי בכבוד, התשפ"ג-2023</t>
  </si>
  <si>
    <t xml:space="preserve"> (פ/1191/25)</t>
  </si>
  <si>
    <t xml:space="preserve">הצעת חוק מורשי בטיחות באירועים מרובי קהל, התשפ"ו-2026</t>
  </si>
  <si>
    <t xml:space="preserve"> (מ/1930)</t>
  </si>
  <si>
    <t xml:space="preserve">חוק לתיקון פקודת התעבורה (מס' 136), התשפ"ה–2024</t>
  </si>
  <si>
    <t xml:space="preserve"> (פ/234/25)</t>
  </si>
  <si>
    <t xml:space="preserve"> (כ/989)</t>
  </si>
  <si>
    <t xml:space="preserve">02.02.2026</t>
  </si>
  <si>
    <t xml:space="preserve">חוק זה קובע שמפעיל חניון יגבה דמי חנייה בחניון לפי זמן החנייה המחושב לפי מספר הדקות שחנה הרכב החל מהשעה הראשונה. בכך, החוק משנה את ההסדר שהיה קבוע בפקודה, לפיו בשעת החנייה הראשונה נגבו דמי חנייה על כל השעה, ללא תלות במשך הזמן שהרכב חנה בחניון, והחל משעת החנייה השנייה דמי החנייה נגבו לפי זמן החנייה, המחושב לפי כמות פרקי זמן של 15 דקות שהרכב חנה בחניון. בנוסף, החוק מסמיך את שר הפנים, בהסכמת שר התחבורה והבטיחות בדרכים ובאישור ועדת הכלכלה של הכנסת, לקבוע כי ההוראה האמורה לא תחול לגבי חניונים שגובים דמי חנייה הנמוכים מסכום שיקבע בתקנות. </t>
  </si>
  <si>
    <t xml:space="preserve">חוק הנוטריונים (תיקון מס' 12), התשפ"ו-2026</t>
  </si>
  <si>
    <t xml:space="preserve"> (מ/1872)</t>
  </si>
  <si>
    <t xml:space="preserve">הצעת חוק איסור שימוש בבוטים להטעיית הציבור ולהטיית הליכים דמוקרטיים, התשפ"ו-2026</t>
  </si>
  <si>
    <t xml:space="preserve"> (פ/6534/25)</t>
  </si>
  <si>
    <t xml:space="preserve">הצעת חוק איסור לשון הרע (תיקון - פיצוי ללא הוכחת נזק, חובת פנייה מוקדמת ותביעות השתקה), התשפ״ו-2026</t>
  </si>
  <si>
    <t xml:space="preserve"> (פ/6532/25)</t>
  </si>
  <si>
    <t xml:space="preserve"> (פ/6531/25)</t>
  </si>
  <si>
    <t xml:space="preserve">הצעת חוק העונשין (תיקון - מניעת קבלת טיפול רפואי במסגרת יחסי ניצול ושליטה), התשפ"ו-2026</t>
  </si>
  <si>
    <t xml:space="preserve"> (פ/6530/25)</t>
  </si>
  <si>
    <t xml:space="preserve">הצעת חוק מרשם האוכלוסין (תיקון - זכות של אזרח ישראלי המתגורר מחוץ לישראל לקבל תעודת זהות), התשפ"ו-2026</t>
  </si>
  <si>
    <t xml:space="preserve"> (פ/6529/25)</t>
  </si>
  <si>
    <t xml:space="preserve">הצעת חוק חובת קבלת דיווח של קרוב משפחה בעניין חייל במצוקה נפשית, התשפ"ו-2026</t>
  </si>
  <si>
    <t xml:space="preserve"> (פ/6527/25)</t>
  </si>
  <si>
    <t xml:space="preserve">הצעת חוק מעמד המשרת בשירות צבאי או לאומי, התשפ"ו-2026</t>
  </si>
  <si>
    <t xml:space="preserve"> (פ/6526/25)</t>
  </si>
  <si>
    <t xml:space="preserve">הצעת חוק רישוי עסקים (תיקון - היערכות עסקים המחזיקים חומרים מסוכנים לצמצום סיכונים באירועי חירום), התשפ"ו-2026</t>
  </si>
  <si>
    <t xml:space="preserve"> (פ/6525/25)</t>
  </si>
  <si>
    <t xml:space="preserve">הצעת חוק הסכמים קיבוציים (תיקון - הגבלת כהונה), התשפ"ו-2026</t>
  </si>
  <si>
    <t xml:space="preserve"> (פ/6524/25)</t>
  </si>
  <si>
    <t xml:space="preserve">הח"כ המציע חזר בו לפני דיון מוקדם</t>
  </si>
  <si>
    <t xml:space="preserve"> הצעת חוק הביטוח הלאומי (תיקון - שיקום בעלי חיים כעבודה מועדפת),   התשפ"ו-2026</t>
  </si>
  <si>
    <t xml:space="preserve"> (פ/6523/25)</t>
  </si>
  <si>
    <t xml:space="preserve">הצעת חוק ביטוח פיקדונות בתאגיד בנקאי, התשפ"ו-2026</t>
  </si>
  <si>
    <t xml:space="preserve"> (פ/6522/25)</t>
  </si>
  <si>
    <t xml:space="preserve">הצעת חוק העיטורים בצבא הגנה לישראל (תיקון - הכרה בגיבורי מלחמת השחרור), התשפ"ו-2026</t>
  </si>
  <si>
    <t xml:space="preserve"> (פ/6521/25)</t>
  </si>
  <si>
    <t xml:space="preserve">הצעת חוק הפיקוח על שירותים פיננסיים (ביטוח) (תיקון - שקיפות, כללי אתיקה וחובת התקשרות עם סוכני ביטוח), התשפ"ו-2026</t>
  </si>
  <si>
    <t xml:space="preserve"> (פ/6519/25)</t>
  </si>
  <si>
    <t xml:space="preserve">הצעת חוק תרגום תעודות ציבוריות, התשפ"ו-2026</t>
  </si>
  <si>
    <t xml:space="preserve"> (פ/6518/25)</t>
  </si>
  <si>
    <t xml:space="preserve">הצעת חוק עובדים זרים (תיקון - הפחתת אגרות), התשפ"ו-2026</t>
  </si>
  <si>
    <t xml:space="preserve"> (פ/6517/25)</t>
  </si>
  <si>
    <t xml:space="preserve">הצעת חוק התגמולים לנפגעי פעולות איבה (תיקון - הארכת מועד לתביעת גמלה והתקופה שבעדה תשולם), התשפ"ו-2026</t>
  </si>
  <si>
    <t xml:space="preserve"> (פ/6516/25)</t>
  </si>
  <si>
    <t xml:space="preserve">הצעת חוק זכויות הסטודנט (תיקון מס' 12) (התאמות עקב מחלה קשה), התשפ"ו–2026</t>
  </si>
  <si>
    <t xml:space="preserve"> (פ/5966/25)</t>
  </si>
  <si>
    <t xml:space="preserve"> (כ/1181)</t>
  </si>
  <si>
    <t xml:space="preserve">לדיון במליאה לקראת הקריאה הראשונה</t>
  </si>
  <si>
    <t xml:space="preserve">הצעת חוק הכרה בשפת הסימנים הישראלית, התשפ"ה-2025</t>
  </si>
  <si>
    <t xml:space="preserve"> (פ/5829/25)</t>
  </si>
  <si>
    <t xml:space="preserve">28.01.2026</t>
  </si>
  <si>
    <t xml:space="preserve">חוק לתיקון ולהארכת תוקפן של תקנות שעת חירום (חרבות ברזל) (פגישה עם עורך דין של עצור בעבירת ביטחון) (תיקון מס' 7), התשפ"ו-2026</t>
  </si>
  <si>
    <t xml:space="preserve"> (מ/1927)</t>
  </si>
  <si>
    <t xml:space="preserve">הצעת חוק הביטוח הלאומי (תיקון - דמי לידה לעצמאיות - מתן זכות לעבודה חלקית), התשפ"ו-2025</t>
  </si>
  <si>
    <t xml:space="preserve"> (פ/6408/25)</t>
  </si>
  <si>
    <t xml:space="preserve">הצעת חוק הביטוח הלאומי (תיקון - חישוב תגמולי מילואים בתקופת חירום), התשפ"ו-2025</t>
  </si>
  <si>
    <t xml:space="preserve"> (פ/6393/25)</t>
  </si>
  <si>
    <t xml:space="preserve"> (פ/6379/25)</t>
  </si>
  <si>
    <t xml:space="preserve">הצעת חוק סמכויות לשם מניעת ביצוע עבירות באמצעות אתר אינטרנט (תיקון - מניעת הונאות באמצעי תשלום), התשפ"ו-2025</t>
  </si>
  <si>
    <t xml:space="preserve"> (פ/6296/25)</t>
  </si>
  <si>
    <t xml:space="preserve">הצעת חוק השיפוט הצבאי (תיקון - כפיפות הפרקליט הצבאי הראשי), התשפ"ו-2025</t>
  </si>
  <si>
    <t xml:space="preserve"> (פ/6281/25)</t>
  </si>
  <si>
    <t xml:space="preserve">הצעת חוק הביטוח הלאומי (תיקון - גמלת שאירים לאלמנה שנישאה מחדש), התשפ"ו-2025</t>
  </si>
  <si>
    <t xml:space="preserve"> (פ/6240/25)</t>
  </si>
  <si>
    <t xml:space="preserve">הצעת חוק משפחות חיילים שנספו במערכה (תגמולים ושיקום) (תיקון - ועדת חריגים להכרה בנספה), התשפ"ו-2025</t>
  </si>
  <si>
    <t xml:space="preserve"> (פ/6203/25)</t>
  </si>
  <si>
    <t xml:space="preserve">הצעת חוק המרכז להנצחת זכרו ומורשתו של זאב ז'בוטינסקי, התשפ"ה-2025</t>
  </si>
  <si>
    <t xml:space="preserve"> (פ/5978/25)</t>
  </si>
  <si>
    <t xml:space="preserve"> (פ/5972/25)</t>
  </si>
  <si>
    <t xml:space="preserve">הצעת חוק להנצחת זכרו של הרב מאיר נסים מאזוז, התשפ"ה-2025</t>
  </si>
  <si>
    <t xml:space="preserve"> (פ/5821/25)</t>
  </si>
  <si>
    <t xml:space="preserve">הצעת חוק העונשין (תיקון - פרשנות מקלה בפלילים), התשפ"ה-2025</t>
  </si>
  <si>
    <t xml:space="preserve"> (פ/5805/25)</t>
  </si>
  <si>
    <t xml:space="preserve">הצעת חוק השידור הציבורי הישראלי (תיקון - הפסקת שידורי חדשות ועידוד הפקות מקור ויצירה ישראלית בתאגיד השידור הישראלי), התשפ"ה-2025</t>
  </si>
  <si>
    <t xml:space="preserve"> (פ/5609/25)</t>
  </si>
  <si>
    <t xml:space="preserve">הצעת חוק לשינוי מתכונת השידור הציבורי ולהסדרת שידורי רדיו ארציים (תיקוני חקיקה), התשפ"ה-2025</t>
  </si>
  <si>
    <t xml:space="preserve"> (פ/5585/25)</t>
  </si>
  <si>
    <t xml:space="preserve">הצעת חוק מענה אנושי ללא תשלום לאזרחים ותיקים (תיקוני חקיקה), התשפ"ה-2024</t>
  </si>
  <si>
    <t xml:space="preserve"> (פ/5250/25)</t>
  </si>
  <si>
    <t xml:space="preserve">הצעת חוק חינוך ממלכתי (תיקון - חינוך ממלכתי חרדי), התשפ"ה-2024</t>
  </si>
  <si>
    <t xml:space="preserve"> (פ/5185/25)</t>
  </si>
  <si>
    <t xml:space="preserve">הצעת חוק הבנקאות (שירות ללקוח) (תיקון - ביטול עמלת שורה ודמי משמרת), התשפ"ה-2024 </t>
  </si>
  <si>
    <t xml:space="preserve"> (פ/4955/25)</t>
  </si>
  <si>
    <t xml:space="preserve">הצעת חוק שירות הביטחון הכללי (תיקון - קיום בדיקת פוליגרף תקופתית לעובדי מערכת אכיפת החוק), התשפ"ד-2024</t>
  </si>
  <si>
    <t xml:space="preserve"> (פ/4700/25)</t>
  </si>
  <si>
    <t xml:space="preserve">הצעת חוק רשות מקרקעי ישראל (תיקון - ייצוג הולם לאוכלוסייה החרדית במועצת הרשות), התשפ"ג-2023</t>
  </si>
  <si>
    <t xml:space="preserve"> (פ/1633/25)</t>
  </si>
  <si>
    <t xml:space="preserve">הצעת חוק מועצת עורכי הדין בישראל, התשפ"ג-2022</t>
  </si>
  <si>
    <t xml:space="preserve"> (פ/464/25)</t>
  </si>
  <si>
    <t xml:space="preserve">הצעת חוק החברות הממשלתיות (תיקון - הרחבת הייצוג והגיוון בחברות הממשלתיות), התשפ"ה-2025</t>
  </si>
  <si>
    <t xml:space="preserve"> (פ/6154/25)</t>
  </si>
  <si>
    <t xml:space="preserve">27.01.2026</t>
  </si>
  <si>
    <t xml:space="preserve">הצעת חוק אומנה לילדים (תיקון - העלאת גיל אומן), התשפ"ה-2025</t>
  </si>
  <si>
    <t xml:space="preserve"> (פ/5933/25)</t>
  </si>
  <si>
    <t xml:space="preserve">הצעת חוק החברות הממשלתיות (תיקון - כשירות מיוחדת), התשפ"ג-2022</t>
  </si>
  <si>
    <t xml:space="preserve"> (פ/565/25)</t>
  </si>
  <si>
    <t xml:space="preserve">חוק לתיקון ולהארכת תוקפן של תקנות שעת חירום (חרבות ברזל) (הארכת מעצר לחשוד בעבירת ביטחון) (תיקון מס' 8), התשפ"ו-2026</t>
  </si>
  <si>
    <t xml:space="preserve"> (מ/1926)</t>
  </si>
  <si>
    <t xml:space="preserve">26.01.2026</t>
  </si>
  <si>
    <t xml:space="preserve">הצעת חוק העונשין (תיקון - החמרת ענישה בעבירות החזקת נשק שלא כדין), התשפ"ה-2025</t>
  </si>
  <si>
    <t xml:space="preserve"> (פ/5515/25)</t>
  </si>
  <si>
    <t xml:space="preserve">הצעת חוק העונשין (תיקון - החמרת ענישה בגין ירי מנשק חם שלא כדין), התשפ"ג-2023</t>
  </si>
  <si>
    <t xml:space="preserve"> (פ/3408/25)</t>
  </si>
  <si>
    <t xml:space="preserve">חוק משפחות חיילים שנספו במערכה (תגמולים ושיקום) (תיקון מס' 47), התשפ"ו-2026</t>
  </si>
  <si>
    <t xml:space="preserve"> (מ/1852)</t>
  </si>
  <si>
    <t xml:space="preserve">חוק זה מתקן את חוק משפחות חיילים שנספו במערכה (תגמולים ושיקום), התש"י-1959 וקובע הסדרים חדשים והוראות לעניין המעטפת, ההטבות והזכויות שניתנות למשפחות השכולות של חללי צה"ל, כוחות הביטחון ונפגעי פעולות איבה. החוק קובע הוראות שונות ובהן - העלאת "גיל היתמות" מ-21 ל-30, מתן תגמול חודשי ליתום מגיל 21 ועד גיל 40, ומענק חד-פעמי של 50,000 ש"ח ליתומים מעל גיל 30. בנוסף, הוגדל משמעותית סכום מענק הדיור והנישואין לו זכאים יתומים לכ-300,000 ש"ח, הורחב סל הסיוע הרגשי והטיפולים שניתנים במסגרתו, הורחבו המענקים והסיוע בתחום החינוך והלימודים, ונקבע סיוע מיוחד למי שהוכר כ"יתום עצמאי" לפני גיל 18. עוד נקבע כי ליתום עד גיל 30 שאינו משתכר, יינתן סל שיקום תעסוקתי הכולל תגמול והכשרה מקצועית. בנוסף נקבע שיתום שהתייתם, בכל גיל, משני הוריו, כשאחד מהם הוא חלל צה"ל או נרצח בפעולת איבה, יהיה זכאי לתגמול במשך כ13 שנים או עד גיל 50, לפי המאוחר. החוק כולל גם שינויים ותיקונים ביחס לאלמנות ובהם - תגמול חודשי נוסף בגובה השכר הממוצע במשק בשנה הראשונה לשכול, הגדלת הסיוע החודשי והתגמול לאלמנות עם ילדים עד גיל 6, ושיפור במענקי רכב ודיור. להורה שכול ואלמנה נקבע מענק מיוחד למקרי מצוקה וקשיים כלכליים. החוק מעניק גם תגמול חודשי למשפחות המלוות יתומים שהתייתמו משני הוריהם עד גיל 25, לאפוטרופוס ליתום שטרם מלאו לו 6 שנים, וכן סיוע להורים שכולים לילדים קטנים. </t>
  </si>
  <si>
    <t xml:space="preserve">חוק התמודדות עם תקיפות סייבר חמורות במגזר השירותים הדיגיטליים ושירותי האחסון (הוראת שעה) (תיקון מס' 4), התשפ"ו-2026</t>
  </si>
  <si>
    <t xml:space="preserve"> (מ/1921)</t>
  </si>
  <si>
    <t xml:space="preserve">חוק התמודדות עם תקיפות סייבר חמורות במגזר השירותים הדיגיטליים ושירותי האחסון (הוראת שעה), התשפ"ד-2023, מסדיר את הסמכויות להתמודדות עם תקיפות סייבר נגד ספקים אלה. החוק מסמיך את מערך הסייבר הלאומי, שירות הביטחון הכללי, הממונה על הביטחון במשרד הביטחון וצה"ל להכריז על תקיפת סייבר כחמורה, לדרוש מהספקים להציג כל ידיעה או מסמך הנדרשים לשם בחינת חומרת התקיפה, ולהורות להם על נקיטת פעולות לאיתור ולבלימת התקיפה. החוק קובע חובת דיווח מצד החברות בעת זיהוי תקיפה, ומחייב שמירה על פרטיות הלקוחות, מחיקת מידע בתום הטיפול, ודיווח חודשי לכנסת וליועצת המשפטית לממשלה לשם פיקוח. כעת, במסגרת תיקון מס' 4 לחוק, הוארך תוקפה של הוראת השעה בשנה נוספת, כך שהיא תעמוד בתוקפה עד ליום כ"ג בשבט התשפ"ז (31 בינואר 2027). בנוסף, בוצע תיקון טכני בסעיף הדיווח שבחוק, העוסק בעילות שבהן מנהל מוסמך קובע כי תקיפה היא חמורה, על מנת להתאימו להחמרה שנקבעה בתיקון קודם, לפיה תקיפה חמורה היא כזו שעלולה לפגוע באופן חמור ברציפות אספקתם הנאותה של שירותים חיוניים.</t>
  </si>
  <si>
    <t xml:space="preserve">הצעת חוק איסור לשון הרע (תיקון - פיצוי ללא הוכחת נזק), התשפ"ו-2026</t>
  </si>
  <si>
    <t xml:space="preserve"> (פ/6515/25)</t>
  </si>
  <si>
    <t xml:space="preserve">הצעת חוק בתי קברות צבאיים (תיקון - קבורה לחיילים שהתאבדו לאחר שירותם עקב הלם קרב), התשפ"ו-2026</t>
  </si>
  <si>
    <t xml:space="preserve"> (פ/6514/25)</t>
  </si>
  <si>
    <t xml:space="preserve"> (פ/6513/25)</t>
  </si>
  <si>
    <t xml:space="preserve">הצעת חוק להשבת כפיפות בתי הדין למשרד המשפטים, התשפ״ו-2026</t>
  </si>
  <si>
    <t xml:space="preserve"> (פ/6512/25)</t>
  </si>
  <si>
    <t xml:space="preserve">הצעת חוק איסור טיפולי המרה לקטין, התשפ"ו-2026</t>
  </si>
  <si>
    <t xml:space="preserve"> (פ/6511/25)</t>
  </si>
  <si>
    <t xml:space="preserve">הצעת חוק הרבנות הראשית לישראל (תיקון - שירות צבאי כתנאי כשירות), התשפ"ו-2026</t>
  </si>
  <si>
    <t xml:space="preserve"> (פ/6510/25)</t>
  </si>
  <si>
    <t xml:space="preserve">הצעת חוק זכויות נפגעי עבירה (תיקון - הוספת סרסור והבאת אדם לידי זנות להגדרה עבירת מין או אלימות), התשפ"ו-2026</t>
  </si>
  <si>
    <t xml:space="preserve"> (פ/6509/25)</t>
  </si>
  <si>
    <t xml:space="preserve">הצעת חוק מרשם האוכלוסין (תיקון - הגדרת יהודי), התשפ"ו-2026</t>
  </si>
  <si>
    <t xml:space="preserve"> (פ/6507/25)</t>
  </si>
  <si>
    <t xml:space="preserve">הצעת חוק הגנת הצרכן (תיקון - רכישת מוצרי חשמל, אלקטרוניקה וגז בהנחה ללא תקופת אחריות), התשפ"ו-2026</t>
  </si>
  <si>
    <t xml:space="preserve"> (פ/6506/25)</t>
  </si>
  <si>
    <t xml:space="preserve">הצעת חוק חובת דיווח שנתי על מצב הטבע והמגוון הביולוגי בישראל, התשפ"ו-2026</t>
  </si>
  <si>
    <t xml:space="preserve"> (פ/6504/25)</t>
  </si>
  <si>
    <t xml:space="preserve">הצעת חוק העמותות (תיקון - הסדרת מעמדן של אגודות עותמאניות כעמותות רשומות),  התשפ"ו-2026</t>
  </si>
  <si>
    <t xml:space="preserve"> (פ/6503/25)</t>
  </si>
  <si>
    <t xml:space="preserve">הצעת חוק העמותות (תיקון - הסדרת מעמדן של אגודות עותמאניות כעמותות רשומות), התשפ"ו-2026</t>
  </si>
  <si>
    <t xml:space="preserve"> (פ/6502/25)</t>
  </si>
  <si>
    <t xml:space="preserve">הצעת חוק להנצחת האדמו"ר מצאנז - הרב יקותיאל יהודה הלברשטאם, התשפ"ו-2026</t>
  </si>
  <si>
    <t xml:space="preserve"> (פ/6501/25)</t>
  </si>
  <si>
    <t xml:space="preserve">הצעת חוק גמלאות לנושאי משרה ברשויות השלטון (תיקון - התניית זכאות להטבות בשהייה רצופה בישראל), התשפ"ו-2026</t>
  </si>
  <si>
    <t xml:space="preserve"> (פ/6500/25)</t>
  </si>
  <si>
    <t xml:space="preserve">הצעת חוק יום לציון המאבק לעליית יהודי ברית המועצות לשעבר, התשפ"ו-2026</t>
  </si>
  <si>
    <t xml:space="preserve"> (פ/6499/25)</t>
  </si>
  <si>
    <t xml:space="preserve">הצעת חוק לתיקון פקודת מחלות בעלי חיים (שיקולי שמירה על ביטחון המזון של מדינת ישראל), התשפ"ו-2026</t>
  </si>
  <si>
    <t xml:space="preserve"> (פ/6498/25)</t>
  </si>
  <si>
    <t xml:space="preserve">הצעת חוק חובת המכרזים (תיקון - העדפה למעסיק משרתי מילואים), התשפ"ו-2026</t>
  </si>
  <si>
    <t xml:space="preserve"> (פ/6497/25)</t>
  </si>
  <si>
    <t xml:space="preserve">הצעת חוק שימוש חוזר במים אפורים, התשפ"ו-2026</t>
  </si>
  <si>
    <t xml:space="preserve"> (פ/6496/25)</t>
  </si>
  <si>
    <t xml:space="preserve">הצעת חוק הבטחת גישה למזון בשעת חירום, התשפ"ו-2026</t>
  </si>
  <si>
    <t xml:space="preserve"> (פ/6495/25)</t>
  </si>
  <si>
    <t xml:space="preserve"> (פ/6494/25)</t>
  </si>
  <si>
    <t xml:space="preserve">הצעת חוק עידוד העיתונות המקומית והקהילתית, התשפ"ו-2026</t>
  </si>
  <si>
    <t xml:space="preserve"> (פ/6493/25)</t>
  </si>
  <si>
    <t xml:space="preserve">הצעת חוק לתיקון פקודת המשטרה (ביטול הכפיפות לשר וסמכותו להתוות מדיניות), התשפ"ו-2026</t>
  </si>
  <si>
    <t xml:space="preserve"> (פ/6491/25)</t>
  </si>
  <si>
    <t xml:space="preserve">הצעת חוק סמכויות לשם מניעת ביצוע עבירות באמצעות אתר אינטרנט (תיקון - מניעת הונאות באמצעי תשלום), התשפ"ו-2026</t>
  </si>
  <si>
    <t xml:space="preserve"> (פ/6490/25)</t>
  </si>
  <si>
    <t xml:space="preserve">הצעת חוק-יסוד: הממשלה (תיקון - הגבלת כהונת ראש הממשלה לשתי תקופות כהונה רצופות)</t>
  </si>
  <si>
    <t xml:space="preserve"> (פ/6489/25)</t>
  </si>
  <si>
    <t xml:space="preserve">הצעת חוק העונשין (תיקון - הוספת עבירת חרם חברתי חמור על קטין), התשפ"ו-2026</t>
  </si>
  <si>
    <t xml:space="preserve"> (פ/6488/25)</t>
  </si>
  <si>
    <t xml:space="preserve">הצעת חוק ביטוח סיעוד ממלכתי (הקמת ועדה ממלכתית), התשפ"ו-2026</t>
  </si>
  <si>
    <t xml:space="preserve"> (פ/6487/25)</t>
  </si>
  <si>
    <t xml:space="preserve">הצעת חוק התחרות הכלכלית (תיקון - חזקת מחיר מופרז), התשפ"ו-2026</t>
  </si>
  <si>
    <t xml:space="preserve"> (פ/6486/25)</t>
  </si>
  <si>
    <t xml:space="preserve">הצעת חוק הבנקאות (שירות ללקוח) (תיקון - חובת הדרכה פיננסית), התשפ"ו-2026</t>
  </si>
  <si>
    <t xml:space="preserve"> (פ/6485/25)</t>
  </si>
  <si>
    <t xml:space="preserve">הצעת חוק הביטוח הלאומי (תיקון - חישוב תגמולי מילואים בתקופת חירום), התשפ"ו-2026</t>
  </si>
  <si>
    <t xml:space="preserve"> (פ/6484/25)</t>
  </si>
  <si>
    <t xml:space="preserve">חוק מניעת העסקת עובד הוראה שיש לו תואר אקדמי ממוסד ברשות הפלסטינית (תיקוני חקיקה), התשפ"ו–2026</t>
  </si>
  <si>
    <t xml:space="preserve"> (פ/4451/25)</t>
  </si>
  <si>
    <t xml:space="preserve"> (כ/1106)</t>
  </si>
  <si>
    <t xml:space="preserve">21.01.2026</t>
  </si>
  <si>
    <t xml:space="preserve">החוק קובע תיקונים בחוק חינוך ממלכתי ובחוק הפיקוח על בתי ספר, לפיהם בעל תואר אקדמי ממוסד להשכלה גבוהה ברשות הפלסטינית לא יועסק כמורה, כמנהל או כמפקח במוסד חינוך בישראל. מוסד להשכלה גבוהה ברשות הפלסטינית כולל מוסדות הנמצאים ביהודה, שומרון וחבל עזה, שלוחה או סניף של מוסד כאמור וכן מוסד המפוקח על ידי הרשות הפלסטינית או גורם מטעמה. לצד האיסור נקבע סייג ולפיו מנכ"ל משרד החינוך יהיה רשאי להעסיק אדם עם תואר כאמור, אם יש לו גם תואר ראשון ממוסד אקדמי בישראל ותעודת הוראה ממוסד בישראל, אלא אם כן הוכח לו שתהיה להעסקתו השפעה מזיקה על תלמידים או על קטינים. החלטה לסרב להעסקת אדם בשל השפעה מזיקה מחייבת לתת לו זכות שימוע, והוא גם יוכל להגיש לשר החינוך ערר על החלטת הסירוב. החוק לא חל על מי שהועסק כמורה לפני תחילתו. החוק לא חל גם על מי שכבר השלים תואר אקדמי ממוסד ברשות הפלסטינית לפני שהחוק נכנס לתוקף או השלים לפחות שנת לימודים מלאה לתואר כאמור, וזאת גם אם עדיין לא היה מועסק, אך במקרים אלה הוא יהיה מחויב להשלים תעודת הוראה במוסד בישראל בתוך שנתיים ממועד ההחלטה להעסיק אותו. לגבי העסקה כמנהל בית ספר או כמפקח - האיסור יחול רק בחלוף שלוש שנים מתחילת החוק, ובכל מקרה לא יחול על מי שיש לו תואר ראשון או תואר שני נוסף ממוסד אקדמי בישראל.שר החינוך יפרסם הודעה לציבור בדבר הוראות החוק בעברית ובערבית, וידווח על יישומו לוועדת החינוך של הכנסת במשך 5 שנים. </t>
  </si>
  <si>
    <t xml:space="preserve">חוק אומנה לילדים (תיקון מס' 7), התשפ"ו-2026</t>
  </si>
  <si>
    <t xml:space="preserve"> (פ/992/25)</t>
  </si>
  <si>
    <t xml:space="preserve"> (כ/1074)</t>
  </si>
  <si>
    <t xml:space="preserve">תיקון זה לחוק אומנה לילדים מחיל הוראות הקבועות בחוק לעניין הזכות לחינוך והזכות לשירותים ולהטבות, גם לגבי ילדים השוהים במסגרות השמה חוץ־ביתיות שאינן אומנה. במסגרת התיקון נקבע, בין היתר, כי זכותו של ילד שלא להיות מופלה במוסד חינוך, לרבות בכל הנוגע לרישומו למוסד חינוך או קבלתו למוסד חינוך, תחול גם לגבי ילד במסגרת השמה חוץ-ביתית שאינה אומנה. כמו כן, נקבע כי גם ילד המושם במסגרת השמה חוץ-ביתית שאינה אומנה, יהיה זכאי לכל הזכויות, השירותים וההטבות שזכאי להם ילד שהוא תושב הרשות המקומית שבה נמצאת מסגרת ההשמה החוץ-ביתית שבה הושם, לרבות בכל הנוגע לשיוכו למוסדות חינוכיים ברשות המקומית האמורה, בדומה לילד שהושם באומנה. נוסף על כך, תוקן סעיף 3(ב) לחוק, כך שגם ילד שנמצא במסגרת השמה חוץ-ביתית שאינה אומנה או בתהליך השמה במסגרת כאמור, זכאי לכל הזכויות שזכאי להן כל ילד בישראל</t>
  </si>
  <si>
    <t xml:space="preserve">הצעת חוק איסור הכחשת אירועי טבח 7 באוקטובר 2023 (טבח שמיני עצרת) (תיקון - איסור הכחשת חטיפה והחזקת חטוף בשבי), התשפ"ו-2025</t>
  </si>
  <si>
    <t xml:space="preserve"> (פ/6327/25)</t>
  </si>
  <si>
    <t xml:space="preserve">הצעת חוק הממשלה (תיקון - ועדת שרים לענייני ביטחון לאומי), התשפ״ו-2025</t>
  </si>
  <si>
    <t xml:space="preserve"> (פ/6323/25)</t>
  </si>
  <si>
    <t xml:space="preserve">הצעת חוק לתיקון פקודת בתי הסוהר (איסור טיפול רפואי באסירים ביטחוניים בבתי חולים ציבוריים), התשפ"ו-2025</t>
  </si>
  <si>
    <t xml:space="preserve"> (פ/6321/25)</t>
  </si>
  <si>
    <t xml:space="preserve">הצעת חוק שירות המילואים (תיקון - טיפול נפשי וזוגי לבני משפחות משרתי המילואים) (הוראת שעה - חרבות ברזל), התשפ"ה-2024</t>
  </si>
  <si>
    <t xml:space="preserve"> (פ/5302/25)</t>
  </si>
  <si>
    <t xml:space="preserve">הצעת חוק מס ערך מוסף (תיקון - מס בשיעור אפס לבעלי עסקים בחבל תקומה ובקו העימות) (הוראת שעה), התשפ"ה-2024</t>
  </si>
  <si>
    <t xml:space="preserve"> (פ/5054/25)</t>
  </si>
  <si>
    <t xml:space="preserve">הצעת חוק התגמולים לנפגעי פעולות איבה (תיקון - זכאות לטיפול פסיכולוגי), התשפ"ה-2024</t>
  </si>
  <si>
    <t xml:space="preserve"> (פ/4987/25)</t>
  </si>
  <si>
    <t xml:space="preserve">הצעת חוק לתיקון פקודת הבנקאות (מס' 36) (חשבונות ללא תנועה), התשפ"ו–2026</t>
  </si>
  <si>
    <t xml:space="preserve"> (פ/4904/25)</t>
  </si>
  <si>
    <t xml:space="preserve">הצעת חוק דמי מחלה (היעדרות בשל מחלת ילד) (תיקון - היעדרות בשל טיפול במי שנפצע בעת שירותו הצבאי, שירותו בכוחות הביטחון או בפגיעת איבה), התשפ"ד-2024</t>
  </si>
  <si>
    <t xml:space="preserve"> (פ/4729/25)</t>
  </si>
  <si>
    <t xml:space="preserve">הצעת חוק לעיגון מעמדה של העדה הדרוזית, התשפ"ג-2023</t>
  </si>
  <si>
    <t xml:space="preserve"> (פ/3619/25)</t>
  </si>
  <si>
    <t xml:space="preserve"> (פ/1578/25)</t>
  </si>
  <si>
    <t xml:space="preserve">הצעת חוק איסור הפליה במוצרים, בשירותים ובכניסה למקומות בידור ולמקומות ציבוריים (תיקון - איסור הפליה בדיור), התשפ"ג-2022</t>
  </si>
  <si>
    <t xml:space="preserve"> (פ/297/25)</t>
  </si>
  <si>
    <t xml:space="preserve">הצעת חוק תקשורת דיגיטלית עם גופים ציבוריים (תיקון מס' 5) (חובת מתן מענה הולם), התשפ"ה–2025</t>
  </si>
  <si>
    <t xml:space="preserve"> (פ/3886/25)</t>
  </si>
  <si>
    <t xml:space="preserve"> (כ/1156)</t>
  </si>
  <si>
    <t xml:space="preserve">ועדת המדע והטכנולוגיה</t>
  </si>
  <si>
    <t xml:space="preserve">20.01.2026</t>
  </si>
  <si>
    <t xml:space="preserve">חוק חדלות פירעון ושיקום כלכלי (תיקון מס' 9), התשפ"ו-2026</t>
  </si>
  <si>
    <t xml:space="preserve"> (מ/1807)</t>
  </si>
  <si>
    <t xml:space="preserve">19.01.2026</t>
  </si>
  <si>
    <t xml:space="preserve"> (פ/6483/25)</t>
  </si>
  <si>
    <t xml:space="preserve">הצעת חוק רישום קבלנים לעבודות הנדסה בנאיות (תיקון - עיצומים כספיים), התשפ"ו-2026</t>
  </si>
  <si>
    <t xml:space="preserve"> (פ/6481/25)</t>
  </si>
  <si>
    <t xml:space="preserve">הצעת חוק התכנון והבנייה (תיקון - סמכות עיכוב ביצוע צווי הריסה), התשפ"ו-2026</t>
  </si>
  <si>
    <t xml:space="preserve"> (פ/6480/25)</t>
  </si>
  <si>
    <t xml:space="preserve">הצעת חוק החזר רווח עודף למבוטחים בביטוח רכב, התשפ"ו-2026</t>
  </si>
  <si>
    <t xml:space="preserve"> (פ/6479/25)</t>
  </si>
  <si>
    <t xml:space="preserve">הצעת חוק רכזי ביטחון שוטף צבאיים, התשפ"ו-2026</t>
  </si>
  <si>
    <t xml:space="preserve"> (פ/6478/25)</t>
  </si>
  <si>
    <t xml:space="preserve">הצעת חוק גמול לחיילים בשירות סדיר, התשפ"ו-2026</t>
  </si>
  <si>
    <t xml:space="preserve"> (פ/6477/25)</t>
  </si>
  <si>
    <t xml:space="preserve">הצעת חוק הירושה (תיקון - צוואה לטובת מטפל), התשפ"ו-2026</t>
  </si>
  <si>
    <t xml:space="preserve"> (פ/6476/25)</t>
  </si>
  <si>
    <t xml:space="preserve">הצעת חוק הכנסת (תיקון - מסירת מידע למרכז המחקר והמידע), התשפ"ו-2026</t>
  </si>
  <si>
    <t xml:space="preserve"> (פ/6475/25)</t>
  </si>
  <si>
    <t xml:space="preserve">הצעת חוק לתיקון פקודת ביטוח רכב מנועי (איסור ביטוח רכב הרשום בישראל על ידי חברת ביטוח מהאזור), התשפ״ו-2026</t>
  </si>
  <si>
    <t xml:space="preserve"> (פ/6474/25)</t>
  </si>
  <si>
    <t xml:space="preserve">הצעת חוק איסור קבלת תמורה וחובת דיווח על קשרים עם מדינה זרה, התשפ״ו-2026</t>
  </si>
  <si>
    <t xml:space="preserve"> (פ/6473/25)</t>
  </si>
  <si>
    <t xml:space="preserve">הצעת חוק הטבות לניצולי שואה (תיקון - זכאות למענק הטבות שנתי לבן זוג של ניצול שואה שנפטר), התשפ"ו-2026</t>
  </si>
  <si>
    <t xml:space="preserve"> (פ/6472/25)</t>
  </si>
  <si>
    <t xml:space="preserve">הצעת חוק חסינות חברי הכנסת, זכויותיהם וחובותיהם (תיקון - סמכויות ועדת האתיקה בשל הפרעה בבית משפט וסמכויות בית משפט ביחס לחבר הכנסת), התשפ"ו-2026</t>
  </si>
  <si>
    <t xml:space="preserve"> (פ/6471/25)</t>
  </si>
  <si>
    <t xml:space="preserve">הצעת חוק החלת ריבונות על ביתר עילית, התשפ"ו-2026</t>
  </si>
  <si>
    <t xml:space="preserve"> (פ/6470/25)</t>
  </si>
  <si>
    <t xml:space="preserve">הצעת חוק התגמולים לנפגעי פעולות שנאה, התשפ"ו-2026</t>
  </si>
  <si>
    <t xml:space="preserve"> (פ/6469/25)</t>
  </si>
  <si>
    <t xml:space="preserve">הצעת חוק לתיקון פקודת מס הכנסה (מס' 285) (נכס דיגיטלי), התשפ"ו-2026</t>
  </si>
  <si>
    <t xml:space="preserve"> (מ/1925)</t>
  </si>
  <si>
    <t xml:space="preserve">הצעת חוק הבנקאות (שירות ללקוח) (תיקון - שירות מקוון ללקוח), התשפ"ג-2023</t>
  </si>
  <si>
    <t xml:space="preserve"> (פ/1819/25)</t>
  </si>
  <si>
    <t xml:space="preserve">14.01.2026</t>
  </si>
  <si>
    <t xml:space="preserve">חוק יום הוקרה ממלכתי לפצועי מערכות ישראל ונפגעי פעולות איבה, התשפ"ו–2026</t>
  </si>
  <si>
    <t xml:space="preserve"> (פ/4835/25)</t>
  </si>
  <si>
    <t xml:space="preserve"> (כ/1109)</t>
  </si>
  <si>
    <t xml:space="preserve">החוק קובע כי מדי שנה ביום י"ז בכסלו, יקוים יום הוקרה ממלכתי לפצועי מערכות ישראל ונפגעי פעולות איבה. יום ההוקרה יצוין, בין השאר, בקיום דיון מיוחד במליאת הכנסת, בקיום אירוע הוקרה לפצועי מערכות ישראל שיערוך משרד הביטחון, ובאירוע הוקרה לנפגעי פעולות האיבה שיערוך המוסד לביטוח לאומי. שני האירועים יתקיימו בהשתתפות נשיא המדינה; היום  יצויין גם בצה"ל, במשטרת ישראל ובשירות בתי הסוהר. כן ייערכו פעילויות חינוכיות ערכיות במוסדות החינוך, כגון טקסים ופעילויות לעידוד גיוס לצה"ל, אם יחליט על כך שר החינוך, ובמסגרות החינוך הבלתי פורמלי ובמוסדות להשכלה גבוהה, ככל שיבחרו בכך. משרד המורשת יפיק תכנים להנצחת גבורתם של הפצועים והנפגעים, שישמשו בפעילויות שייערכו ביום ההוקרה. האחריות ליישום החוק נתונה לשר הביטחון לעניין פצועי מערכות ישראל ולשר העבודה לעניין נפגעי פעולות האיבה.</t>
  </si>
  <si>
    <t xml:space="preserve">חוק הכשרות המשפטית והאפוטרופסות (תיקון מס' 24), התשפ"ו–2026</t>
  </si>
  <si>
    <t xml:space="preserve"> (פ/4054/25)</t>
  </si>
  <si>
    <t xml:space="preserve"> (כ/1146)</t>
  </si>
  <si>
    <t xml:space="preserve">חוק הרשויות המקומיות (בחירות) (תיקון מס' 58), התשפ"ו–2026</t>
  </si>
  <si>
    <t xml:space="preserve"> (פ/1011/25)</t>
  </si>
  <si>
    <t xml:space="preserve"> (כ/1118)</t>
  </si>
  <si>
    <t xml:space="preserve">החוק קובע כי ניתן למנוע את השתתפותה של רשימת מועמדים בבחירות לרשויות המקומיות אם יש במטרותיה או במעשיה תמיכה במאבק מזוין של מדינת אויב או של ארגון טרור נגד מדינת ישראל. כמו כן, החוק מאפשר למנוע את השתתפותם של מועמדים מסוימים מתוך רשימת המועמדים. בנוסף, החוק קובע כי הן לעניין רשימה מנועה והן לעניין מועמד מנוע, רשאית ועדת הבחירות של הרשות המקומית, או היועץ המשפטי לממשלה או אחד ממשניו, להגיש עתירה ליושב ראש ועדת הבחירות האזורית וכי לעניין רשימה מנועה, יידרש רוב מחבריי ועדת הבחירות, ולעניין מועמד מנוע, שני שליש. לבסוף, החוק קובע כי על החלטה כאמור ניתן יהיה לערור לפני יושב ראש ועדת הבחירות המרכזית לכנסת, ולאחר מכן לבית המשפט העליון בשאלה משפטית בלבד.</t>
  </si>
  <si>
    <t xml:space="preserve">חוק קצבאות שאירים של משרתי שירות הקבע ושירות המדינה וגמלאיהם (תיקוני חקיקה), התשפ"ו-2026</t>
  </si>
  <si>
    <t xml:space="preserve"> (מ/1893)</t>
  </si>
  <si>
    <t xml:space="preserve">החוק עורך מספר תיקונים לעניין זכאות שארים לקצבה בהסדר פנסיה תקציבית לפי חוק שירות הקבע בצבא הגנה לישראל (גמלאות) וחוק שירות המדינה (גמלאות): א. החוק מבטל את ההוראה שהפסיקה את זכאותם של אלמנים ואלמנות או בני זוג לשעבר לקצבת שאירים בשל נישואיהם מחדש. ב. החוק מבטל הגבלות שחלו במקרים שבהם עקב הפטירה היו השאירים זכאים גם לקצבת השאירים בפנסיה תקציבית אמור וגם לתגמולים לפי חוקי השיקום ובהם חוק משפחות חיילים שנספו במערכה (תגמולים ושיקום) או חוק התגמולים לנפגעי פעולות איבה (ובכלל זה הגבלות על קבלת קצבה ותגמולים יחד, תקרה לסך כל  התגמולים והקצבה, והגבלה על זכאות לקצבת שאירים לבן זוג שאין עמו ילד וטרם הגיע לגיל 35) . כך יתאפשר לשאירים של חללי מערכות ישראל ומי שנפטרו מפגיעת איבה, שבחייהם שירתו בשירות קבע או עבדו בשירות המדינה או היו גמלאים משירות כאמור, לקבל הן את קצבת השאירים והן את התגמולים ממשרד הביטחון או מהמוסד לביטוח לאומי.  ג. החוק מגדיל את הסכום הכולל של קצבת כל השאירים (השיעור המרבי או השיעור הקיצוני) כך שיעמוד על מלוא המשכורת הקובעת שהייתה לפעיל או מלוא הקצבה ששולמה לגמלאי.   הוראות החוק חלות גם על שאירים של מי שנפטר לפני כניסת החוק לתוקף (18.1.2026) לגבי תשלומים מכאן ואילך. אם במועדים סמוכים לתחילתו של החוק משולם מענק בשל נישואים מחדש או בשל גיל צעיר מגיל 35 – תחול התאמה במועד תחילת התשלומים והשלמת הסכומים לחישוב המענק. כמו כן נקבעה הוראת מעבר שמאפשרת למי שלא פנה לקבל קצבת שאירים בשל ההגבלות שחלו, לפנות עתה למרות תקופת ההתיישנות. התיקונים יחולו גם לעניין שאירים של חיילי מילואים הזכאים לתשלומים לפי חוק תשלום קצבאות לחיילי מילואים ולבני משפחותיהם, התשס"ב-2002.  </t>
  </si>
  <si>
    <t xml:space="preserve">הצעת חוק-יסוד: הכנסת (תיקון - הזכות להיבחר)</t>
  </si>
  <si>
    <t xml:space="preserve"> (פ/6315/25)</t>
  </si>
  <si>
    <t xml:space="preserve">הצעת חוק יום המודעות לתרומת איברים, התשפ"ו-2025</t>
  </si>
  <si>
    <t xml:space="preserve"> (פ/6295/25)</t>
  </si>
  <si>
    <t xml:space="preserve">הצעת חוק-יסוד: הממשלה (תיקון - הגבלת תקופת כהונה של ראש הממשלה) </t>
  </si>
  <si>
    <t xml:space="preserve"> (פ/6062/25)</t>
  </si>
  <si>
    <t xml:space="preserve">הצעת חוק איסור טיפולי המרה לקטין, התשפ"ה-2025</t>
  </si>
  <si>
    <t xml:space="preserve"> (פ/5983/25)</t>
  </si>
  <si>
    <t xml:space="preserve">הצעת חוק הבטחת גישה למזון בשעת חירום, התשפ"ה-2025</t>
  </si>
  <si>
    <t xml:space="preserve"> (פ/5967/25)</t>
  </si>
  <si>
    <t xml:space="preserve">הצעת חוק לציון אירועי ליל הבדולח, התשפ"ה-2025</t>
  </si>
  <si>
    <t xml:space="preserve"> (פ/5909/25)</t>
  </si>
  <si>
    <t xml:space="preserve">הצעת חוק חובת המכרזים (תיקון - העדפה למעסיק משרתי מילואים), התשפ"ה-2025</t>
  </si>
  <si>
    <t xml:space="preserve"> (פ/5880/25)</t>
  </si>
  <si>
    <t xml:space="preserve">הצעת חוק שירות המדינה (מינויים) (תיקון - מינוי נציב והטלת תפקיד זמני), התשפ״ה-2025</t>
  </si>
  <si>
    <t xml:space="preserve"> (פ/5838/25)</t>
  </si>
  <si>
    <t xml:space="preserve">הצעת חוק הגנה על בתי תפילה ותיקים (תיקוני חקיקה), התשפ"ה-2025</t>
  </si>
  <si>
    <t xml:space="preserve"> (פ/5556/25)</t>
  </si>
  <si>
    <t xml:space="preserve">הצעת חוק שירות ביטחון (תיקון - התמודדות עם הסתה נגד חיילים חרדים), התשפ"ה-2025</t>
  </si>
  <si>
    <t xml:space="preserve"> (פ/5339/25)</t>
  </si>
  <si>
    <t xml:space="preserve">הצעת חוק איסור טיפול המרה לקטין, התשפ"ד-2023 </t>
  </si>
  <si>
    <t xml:space="preserve"> (פ/3951/25)</t>
  </si>
  <si>
    <t xml:space="preserve">הצעת חוק הגנת הצרכן (תיקון מס' 73) (קבלה דיגיטלית ושובר זיכוי דיגיטלי), התשפ"ה–2025</t>
  </si>
  <si>
    <t xml:space="preserve"> (פ/3785/25)</t>
  </si>
  <si>
    <t xml:space="preserve"> (כ/1149)</t>
  </si>
  <si>
    <t xml:space="preserve">הצעת חוק להפחתת סכום הפיצוי הכספי בשל נסיעה ללא תיקוף כרטיס בתחבורה הציבורית (תיקוני חקיקה), התשפ"ו–2026</t>
  </si>
  <si>
    <t xml:space="preserve"> (פ/3404/25)</t>
  </si>
  <si>
    <t xml:space="preserve"> (כ/1103)</t>
  </si>
  <si>
    <t xml:space="preserve"> (פ/2970/25)</t>
  </si>
  <si>
    <t xml:space="preserve">הצעת חוק מרשם האוכלוסין (תיקון - הגדרת יהודי), התשפ"ג-2023</t>
  </si>
  <si>
    <t xml:space="preserve"> (פ/2881/25)</t>
  </si>
  <si>
    <t xml:space="preserve">הצעת חוק איסור טיפול המרה לקטין, התשפ"ג-2022</t>
  </si>
  <si>
    <t xml:space="preserve"> (פ/295/25)</t>
  </si>
  <si>
    <t xml:space="preserve">הצעת חוק משפחות חיילים שנספו במערכה (תגמולים ושיקום) (תיקון - עדכון הסיוע וההטבות לאלמנה), התשפ"ה-2025</t>
  </si>
  <si>
    <t xml:space="preserve"> (פ/5463/25)</t>
  </si>
  <si>
    <t xml:space="preserve">13.01.2026</t>
  </si>
  <si>
    <t xml:space="preserve">הצעת חוק העמותות (תיקון - תרומה מישות מדינית זרה), התשפ"ה-2024</t>
  </si>
  <si>
    <t xml:space="preserve"> (פ/5222/25)</t>
  </si>
  <si>
    <t xml:space="preserve">הצעת חוק משפחות חיילים שנספו במערכה (תגמולים ושיקום) (תיקון - תגמולי יתומים, אלמנות וגרושות), התשפ"ד-2024</t>
  </si>
  <si>
    <t xml:space="preserve"> (פ/4749/25)</t>
  </si>
  <si>
    <t xml:space="preserve">הצעת חוק משפחות חיילים שנספו במערכה (תגמולים ושיקום) (תיקון - תגמולי הורים, יתומים ואחים שכולים), התשפ"ד-2024</t>
  </si>
  <si>
    <t xml:space="preserve"> (פ/4587/25)</t>
  </si>
  <si>
    <t xml:space="preserve">הצעת חוק תגמולים ליתום משני הוריו שאחד מהם נספה במלחמת חרבות ברזל (תיקוני חקיקה), התשפ"ד-2024</t>
  </si>
  <si>
    <t xml:space="preserve"> (פ/4547/25)</t>
  </si>
  <si>
    <t xml:space="preserve">הצעת חוק שירות המדינה (גימלאות) (תיקון - קצבה ליתום משני הוריו), התשפ"ד-2024</t>
  </si>
  <si>
    <t xml:space="preserve"> (פ/4369/25)</t>
  </si>
  <si>
    <t xml:space="preserve">הצעת חוק משפחות חיילים שנספו במערכה (תגמולים ושיקום) (תיקון - הסדרת הזכויות של יתומים בוגרים), התשפ"ד-2024</t>
  </si>
  <si>
    <t xml:space="preserve"> (פ/4287/25)</t>
  </si>
  <si>
    <t xml:space="preserve">הצעת חוק משפחות חיילים שנספו במערכה (תגמולים ושיקום) (תיקון - הרחבת הזכאות ליתומים שמלאו להם 21 שנים), התשפ"ג-2023 </t>
  </si>
  <si>
    <t xml:space="preserve"> (פ/3779/25)</t>
  </si>
  <si>
    <t xml:space="preserve">הצעת חוק משפחות חיילים שנספו במערכה (תיקון - יתומי צה"ל), התשפ"ג-2022</t>
  </si>
  <si>
    <t xml:space="preserve"> (פ/709/25)</t>
  </si>
  <si>
    <t xml:space="preserve">הצעת חוק מסירת מידע סודי לראש הממשלה ולשרים (תיקוני חקיקה), התשפ"ה-2024</t>
  </si>
  <si>
    <t xml:space="preserve"> (פ/5083/25)</t>
  </si>
  <si>
    <t xml:space="preserve">12.01.2026</t>
  </si>
  <si>
    <t xml:space="preserve">הצעת חוק-יסוד: השפיטה (תיקון - רשות ערעור למדינה על זיכוי אדם בפלילים)</t>
  </si>
  <si>
    <t xml:space="preserve"> (פ/6053/25)</t>
  </si>
  <si>
    <t xml:space="preserve"> (פ/5180/25)</t>
  </si>
  <si>
    <t xml:space="preserve">חוק הקולנוע (תיקון מס' 7), התשפ"ו-2026</t>
  </si>
  <si>
    <t xml:space="preserve"> (מ/1854)</t>
  </si>
  <si>
    <t xml:space="preserve">החוק קובע תיקון לחוק הקולנוע כך שיבוטל מאגר הלקטורים המועסקים על ידי קרנות הקולנוע, אשר תפקידם להעריך תסריטים המוגשים לקרנות הקולנוע במסגרת בקשה לסיוע כספי. עוד נקבע כי קרנות הקולנוע יוכלו להתקשר עם לקטורים או להעסיקם באופן עצמאי, בכפוף להוראות שרשאי לקבוע השר במסגרת מבחני תמיכה לפי חוק הקולנוע. הוראות אלו יתייחסו לגיוון בהרכב הלקטורים, תקופת העסקתם, מניעת ניגוד עניינים ושקיפות בעבודתם.</t>
  </si>
  <si>
    <t xml:space="preserve">הצעת חוק השיפוט הצבאי (תיקון - גבולות המעורבות המשפטית בצה״ל), התשפ"ו-2026</t>
  </si>
  <si>
    <t xml:space="preserve"> (פ/6468/25)</t>
  </si>
  <si>
    <t xml:space="preserve">הצעת חוק ביטוח סיעודי ממלכתי (תיקוני חקיקה), התשפ"ו-2026</t>
  </si>
  <si>
    <t xml:space="preserve"> (פ/6467/25)</t>
  </si>
  <si>
    <t xml:space="preserve">הצעת חוק ועדות חקירה (תיקון - הקמת ועדה בהצבעה חשאית בכנסת), התשפ"ו-2026</t>
  </si>
  <si>
    <t xml:space="preserve"> (פ/6466/25)</t>
  </si>
  <si>
    <t xml:space="preserve"> הצעת חוק קבלת ילד של משרת מילואים למעון יום והשתתפות המדינה בעלות שכר הלימוד בו, התשפ"ו-2026</t>
  </si>
  <si>
    <t xml:space="preserve"> (פ/6465/25)</t>
  </si>
  <si>
    <t xml:space="preserve">הצעת חוק-יסוד: משאל עם לאישור חוקת מדינת ישראל</t>
  </si>
  <si>
    <t xml:space="preserve"> (פ/6464/25)</t>
  </si>
  <si>
    <t xml:space="preserve">הצעת חוק למניעת הטרדה מינית (תיקון - הרחבת תחולה על עובדים עצמאים ועובדי כלכלת הפלטפורמה), התשפ״ו-2026</t>
  </si>
  <si>
    <t xml:space="preserve"> (פ/6463/25)</t>
  </si>
  <si>
    <t xml:space="preserve"> (פ/6462/25)</t>
  </si>
  <si>
    <t xml:space="preserve">הצעת חוק הגבלת מכירת מוצרי עישון, התשפ"ו-2026</t>
  </si>
  <si>
    <t xml:space="preserve"> (פ/6461/25)</t>
  </si>
  <si>
    <t xml:space="preserve">הצעת חוק העדפה מתקנת לבני העדה הדרוזית, התשפ"ו-2026</t>
  </si>
  <si>
    <t xml:space="preserve"> (פ/6460/25)</t>
  </si>
  <si>
    <t xml:space="preserve">הצעת חוק שירות המדינה (מינויים) (תיקון - תואר אקדמי רלוונטי), התשפ"ו-2026</t>
  </si>
  <si>
    <t xml:space="preserve"> (פ/6459/25)</t>
  </si>
  <si>
    <t xml:space="preserve">הצעת חוק העונשין (תיקון - עבירת הפרת אמונים), התשפ"ו-2026</t>
  </si>
  <si>
    <t xml:space="preserve"> (פ/6458/25)</t>
  </si>
  <si>
    <t xml:space="preserve">הצעת חוק הפרשנות (תיקון - הגדרת  הפליה על רקע נטייה מינית או זהות מגדרית), התשפ"ו-2026</t>
  </si>
  <si>
    <t xml:space="preserve"> (פ/6457/25)</t>
  </si>
  <si>
    <t xml:space="preserve">הצעת חוק העונשין (תיקון - ביטול עבירת מרמה והפרת אמונים), התשפ"ו-2026</t>
  </si>
  <si>
    <t xml:space="preserve"> (פ/6456/25)</t>
  </si>
  <si>
    <t xml:space="preserve"> (פ/6455/25)</t>
  </si>
  <si>
    <t xml:space="preserve">הצעת חוק מוסר תשלומים לספקים (תיקון - מועדי תשלום בעד ביצוע עבודות הנדסה בנאיות),  התשפ"ו-2026 </t>
  </si>
  <si>
    <t xml:space="preserve"> (פ/6454/25)</t>
  </si>
  <si>
    <t xml:space="preserve">הצעת חוק הפרשנות (תיקון - הגדרת הפליה על רקע זהות מגדרית, נטייה מינית או אמונה דתית), התשפ"ו-2026</t>
  </si>
  <si>
    <t xml:space="preserve"> (פ/6453/25)</t>
  </si>
  <si>
    <t xml:space="preserve">הצעת חוק יום לציון המאבק באלימות נגד נשים, התשפ"ו-2026</t>
  </si>
  <si>
    <t xml:space="preserve"> (פ/6452/25)</t>
  </si>
  <si>
    <t xml:space="preserve">הצעת חוק שחרור על-תנאי ממאסר (תיקון - שינוי ברירת המחדל בהחלטה על שחרור על-תנאי ממאסר), התשפ"ו-2026</t>
  </si>
  <si>
    <t xml:space="preserve"> (פ/6451/25)</t>
  </si>
  <si>
    <t xml:space="preserve">הצעת חוק למניעת אלימות במשפחה (תיקון - הגדרת אלימות במשפחה), התשפ"ו-2026</t>
  </si>
  <si>
    <t xml:space="preserve"> (פ/6450/25)</t>
  </si>
  <si>
    <t xml:space="preserve">הצעת חוק הכרה בשפת הסימנים הישראלית, התשפ"ו-2026</t>
  </si>
  <si>
    <t xml:space="preserve"> (פ/6449/25)</t>
  </si>
  <si>
    <t xml:space="preserve">הצעת חוק לקידום הבנייה במתחמים מועדפים (הוראת שעה) (תיקון מס' 10) (הוספת נציג האוכלוסייה החרדית לוועדה למתחמים מועדפים), התשפ"ו–2026</t>
  </si>
  <si>
    <t xml:space="preserve"> (פ/3654/25)</t>
  </si>
  <si>
    <t xml:space="preserve"> (כ/1173)</t>
  </si>
  <si>
    <t xml:space="preserve">הצעת חוק קרן קיימת לישראל (תיקון - מעבר לחברה ממשלתית), התשפ"ו-2025</t>
  </si>
  <si>
    <t xml:space="preserve"> (פ/6294/25)</t>
  </si>
  <si>
    <t xml:space="preserve">07.01.2026</t>
  </si>
  <si>
    <t xml:space="preserve">הצעת חוק יסודות התקציב (תיקון - מניעת תמיכה במוסדות המסיתים להשתמטות), התשפ"ו-2025</t>
  </si>
  <si>
    <t xml:space="preserve"> (פ/6292/25)</t>
  </si>
  <si>
    <t xml:space="preserve">הצעת חוק כביש אגרה (כביש ארצי לישראל) (תיקון - פטור מאגרה לתחבורה ציבורית), התשפ"ו-2025</t>
  </si>
  <si>
    <t xml:space="preserve"> (פ/6286/25)</t>
  </si>
  <si>
    <t xml:space="preserve">הצעת חוק התגמולים לנפגעי פעולות שנאה, התשפ"ה-2025</t>
  </si>
  <si>
    <t xml:space="preserve"> (פ/6028/25)</t>
  </si>
  <si>
    <t xml:space="preserve">הצעת חוק שירות המדינה (מינויים) (תיקון - הצהרת אמונים), התשפ"ד-2024</t>
  </si>
  <si>
    <t xml:space="preserve"> (פ/4449/25)</t>
  </si>
  <si>
    <t xml:space="preserve">הצעת חוק שירות הציבור (הגבלות לאחר פרישה) (תיקון מס' 6) (תקופת צינון לעובד ציבור ברשויות פיקוח על גופים פיננסיים), התשפ"ו–2026</t>
  </si>
  <si>
    <t xml:space="preserve"> (פ/3753/25)</t>
  </si>
  <si>
    <t xml:space="preserve"> (כ/1171)</t>
  </si>
  <si>
    <t xml:space="preserve">הצעת חוק התגמולים לנפגעי פעולות איבה (תיקון - פשעי שנאה), התשפ"ג-2023</t>
  </si>
  <si>
    <t xml:space="preserve"> (פ/2508/25)</t>
  </si>
  <si>
    <t xml:space="preserve">הצעת חוק התגמולים לנפגעי פעולות שנאה, התשפ"ג-2023</t>
  </si>
  <si>
    <t xml:space="preserve"> (פ/2389/25)</t>
  </si>
  <si>
    <t xml:space="preserve">הצעת חוק לתיקון פקודת התעבורה (איסור נהיגת שטח בדרך שאינה ייעודית לנסיעת שטח), התשפ"ג-2023</t>
  </si>
  <si>
    <t xml:space="preserve"> (פ/1145/25)</t>
  </si>
  <si>
    <t xml:space="preserve">הצעת חוק משכן הכנסת, רחבתו ומשמר הכנסת (תיקון מס' 20) (גבולות רחבת הכנסת), התשפ"ו–2025</t>
  </si>
  <si>
    <t xml:space="preserve"> (כ/1167)</t>
  </si>
  <si>
    <t xml:space="preserve">הצעת חוק שירות הקבע בצבא הגנה לישראל (גמלאות) (תיקון - קצבאות שאירים - תיקונים שונים), התשפ"ה-2025</t>
  </si>
  <si>
    <t xml:space="preserve"> (פ/5574/25)</t>
  </si>
  <si>
    <t xml:space="preserve">06.01.2026</t>
  </si>
  <si>
    <t xml:space="preserve">הצעת חוק שירות הקבע בצבא הגנה לישראל (גמלאות) (תיקון - ביטול ניכוי מקצבה), התשפ"ג-2023</t>
  </si>
  <si>
    <t xml:space="preserve"> (פ/2195/25)</t>
  </si>
  <si>
    <t xml:space="preserve">חוק עבודת נשים (תיקון מס' 67), התשפ"ו–2026</t>
  </si>
  <si>
    <t xml:space="preserve"> (פ/497/25)</t>
  </si>
  <si>
    <t xml:space="preserve"> (כ/1114)</t>
  </si>
  <si>
    <t xml:space="preserve">הצעת חוק סדר הדין הפלילי (תיקון - הגבלת משך זמן החקירה המשטרתית וטיפול התביעה בתיק החקירה עד להגשת כתב אישום), התשפ"ה-2024</t>
  </si>
  <si>
    <t xml:space="preserve"> (פ/5191/25)</t>
  </si>
  <si>
    <t xml:space="preserve">05.01.2026</t>
  </si>
  <si>
    <t xml:space="preserve">חוק החוזים (חלק כללי) (תיקון מס' 3), התשפ"ו-2026</t>
  </si>
  <si>
    <t xml:space="preserve"> (מ/1707)</t>
  </si>
  <si>
    <t xml:space="preserve">הצעת חוק שירות ביטחון (תיקון - השוואת תהליכי המיון, השיבוץ, התקינה וההכשרה, המסלולים המקצועיים ואופקי הקידום לנשים וגברים), התשפ"ו-2026</t>
  </si>
  <si>
    <t xml:space="preserve"> (פ/6448/25)</t>
  </si>
  <si>
    <t xml:space="preserve">הצעת חוק הכנסת נשק ברישיון למקומות ציבוריים, התשפ"ו-2026</t>
  </si>
  <si>
    <t xml:space="preserve"> (פ/6447/25)</t>
  </si>
  <si>
    <t xml:space="preserve">הצעת חוק הסרת תכנים מיניים שמפורסמים ללא הסכמה מרשת חברתית, התשפ״ו-2026</t>
  </si>
  <si>
    <t xml:space="preserve"> (פ/6446/25)</t>
  </si>
  <si>
    <t xml:space="preserve"> (פ/6445/25)</t>
  </si>
  <si>
    <t xml:space="preserve">הצעת חוק האזרחים הוותיקים (תיקון - גיל המקנה אי-המתנה בתור), התשפ״ו-2026</t>
  </si>
  <si>
    <t xml:space="preserve"> (פ/6444/25)</t>
  </si>
  <si>
    <t xml:space="preserve">הצעת חוק הקמת חדר מיון בקריית שמונה, התשפ"ו-2026</t>
  </si>
  <si>
    <t xml:space="preserve"> (פ/6443/25)</t>
  </si>
  <si>
    <t xml:space="preserve">הצעת חוק לתיקון פקודת בתי הסוהר (העסקת סוהרים בתשלום), התשפ"ו-2026</t>
  </si>
  <si>
    <t xml:space="preserve"> (פ/6442/25)</t>
  </si>
  <si>
    <t xml:space="preserve">הצעת חוק לתיקון פקודת התעבורה (אכיפת עבירות תעבורה על ידי רשויות מקומיות), התשפ"ו-2026</t>
  </si>
  <si>
    <t xml:space="preserve"> (פ/6441/25)</t>
  </si>
  <si>
    <t xml:space="preserve"> (פ/6440/25)</t>
  </si>
  <si>
    <t xml:space="preserve">הצעת חוק סדר הדין הפלילי (סמכויות אכיפה - מעצרים) (תיקון - פיצוי לעצור ששוחרר ממעצר), התשפ"ו-2026</t>
  </si>
  <si>
    <t xml:space="preserve"> (פ/6439/25)</t>
  </si>
  <si>
    <t xml:space="preserve">הצעת חוק סדר הדין הפלילי (סמכויות אכיפה - מעצרים) (תיקון - משך מעצר מרבי ועילות מעצר), התשפ"ו-2026</t>
  </si>
  <si>
    <t xml:space="preserve"> (פ/6438/25)</t>
  </si>
  <si>
    <t xml:space="preserve">הצעת חוק-יסוד: הכנסת (תיקון - ייצוג מינימלי לשני המינים ברשימת מועמדים לכנסת) </t>
  </si>
  <si>
    <t xml:space="preserve"> (פ/6437/25)</t>
  </si>
  <si>
    <t xml:space="preserve">הצעת חוק הבנקאות (שירות ללקוח) (תיקון - מחיקת חוב בנקאי לעסקים זעירים, קטנים, בינוניים ואזרחים חדלי פירעון), התשפ"ו-2026</t>
  </si>
  <si>
    <t xml:space="preserve"> (פ/6434/25)</t>
  </si>
  <si>
    <t xml:space="preserve">הצעת חוק עיון במרשמי המקרקעין ביהודה והשומרון, התשפ"ו-2026</t>
  </si>
  <si>
    <t xml:space="preserve"> (פ/6433/25)</t>
  </si>
  <si>
    <t xml:space="preserve">הצעת חוק שירות מידע פיננסי (תיקון - פטור וגישה למידע לסוכני ביטוח), התשפ״ו-2026</t>
  </si>
  <si>
    <t xml:space="preserve"> (פ/6432/25)</t>
  </si>
  <si>
    <t xml:space="preserve">הצעת חוק שיפוט בתי דין רבניים (נישואין וגירושין) (תיקון - מתן פסק דין במקרי אלימות קשים), התשפ"ו-2026</t>
  </si>
  <si>
    <t xml:space="preserve"> (פ/6431/25)</t>
  </si>
  <si>
    <t xml:space="preserve">הצעת חוק לפיצוי קורבנות טרור (פיצויים לדוגמה) (תיקון - דרכי מימוש והחלה על פסקי דין חלוטים), התשפ"ו-2026</t>
  </si>
  <si>
    <t xml:space="preserve"> (פ/6430/25)</t>
  </si>
  <si>
    <t xml:space="preserve">הצעת חוק דיווח לכנסת על הטרדות מיניות בשירות הביטחון הכללי ובמוסד למודיעין ולתפקידים מיוחדים והטיפול בהן, התשפ״ו-2026</t>
  </si>
  <si>
    <t xml:space="preserve"> (פ/6429/25)</t>
  </si>
  <si>
    <t xml:space="preserve">הצעת חוק זכויות הסטודנט (תיקון - איסור הפליה מחמת מוגבלות), התשפ"ו-2026</t>
  </si>
  <si>
    <t xml:space="preserve"> (פ/6427/25)</t>
  </si>
  <si>
    <t xml:space="preserve">הצעת חוק הביטוח הלאומי (תיקון - דמי לידה לעצמאיות - מתן זכות לעבודה חלקית), התשפ"ה-2025</t>
  </si>
  <si>
    <t xml:space="preserve"> (פ/5433/25)</t>
  </si>
  <si>
    <t xml:space="preserve">31.12.2025</t>
  </si>
  <si>
    <t xml:space="preserve">הצעת חוק העונשין (תיקון - עונש מוות למחבלים), התשפ"ג-2023</t>
  </si>
  <si>
    <t xml:space="preserve"> (פ/2761/25)</t>
  </si>
  <si>
    <t xml:space="preserve">חוק להגדלת היצע הדיור ברשויות מקומיות (תיקוני חקיקה), התשפ"ה-2025</t>
  </si>
  <si>
    <t xml:space="preserve"> (פ/5508/25)</t>
  </si>
  <si>
    <t xml:space="preserve"> (כ/1130)</t>
  </si>
  <si>
    <t xml:space="preserve">מוצע לקבוע כי בקביעת מספר התושבים לעניין קביעת מספר חברי המועצה, אישור שכר של עובדים המביא בחשבון את מספר התושבים ברשות המקומית, המשרות התקניות ברשות המקומית שנקבעות לפי מספר התושבים וסיווגן, ומספר סגני ראש הרשות ושכרם - יובאו בחשבון גם מספר התושבים שעתידים להתגורר ביחידות הדיור החדשות הנבנות ברשות המקומית כך שיחושב מספר התושבים כפי שהוא נקבע לאותו עניין בצירוף מכפלה של שני תושבים לכל יחידת דיור חדשה למגורים שטרם ניתנה לגביה תעודת גמר, ובלבד שיש לגביה היתר בנייה בתוקף ואישור תחילת עבודה. כן, מוצע לקבוע כי מניין התושבים יתעדכן רק אם התוספת במספר התושבים על פי הנוסחה המוצעת תעלה על חמישה אחוזים ממספר התושבים ברשות המקומית בעת החישוב ובתנאי שמספר יחידות הדיור החדשות ברשות הוא 1000 לפחות. לבסוף, מוצע לקבוע כי רשות רישוי מקומית תמסור לגזבר העירייה, לשר הפנים ולשר האוצר את מספר יחידות הדיור החדשות, בתחומה של הרשות המקומית במספר מועדים הקבועים בהצעה.</t>
  </si>
  <si>
    <t xml:space="preserve">חוק לתיקון פקודת בתי הסוהר (מס' 70 והוראת שעה), התשפ"ו-2026</t>
  </si>
  <si>
    <t xml:space="preserve"> (מ/1919)</t>
  </si>
  <si>
    <t xml:space="preserve">פקודת בתי הסוהר מעגנת את מנגנון השחרור המינהלי ככלי לריווח מקומות הכליאה, המאפשר לנציב בתי הסוהר לשחרר אסירים לפני תום תקופת מאסרם לתקופות קצובות הקבועות בחוק. במסגרת החוק תוקנה הפקודה והורחבה רשימת העבירות השוללות זכאות לשחרור מינהלי, כך שגם אסירים שהורשעו בעבירות של בגידה וריגול לא יהיו זכאים לקיצור מאסרם במסגרת מנגנון זה. בנוסף, הוארך תוקפה של הוראת השעה המסדירה את הליכי השחרור המינהלי המורחב בשנה נוספת, עד ליום כ"א בטבת התשפ"ז (31 בדצמבר 2026).</t>
  </si>
  <si>
    <t xml:space="preserve">חוק בתי קברות צבאיים (תיקון מס' 5) (תיקון), התשפ"ו–2026</t>
  </si>
  <si>
    <t xml:space="preserve"> (פ/4591/25)</t>
  </si>
  <si>
    <t xml:space="preserve"> (כ/1154)</t>
  </si>
  <si>
    <t xml:space="preserve">חוק בתי קברות צבאיים, התש"י–1950, מסדיר את זכאותם של חללי צה"ל וכוחות הביטחון, ובהם שוטרים, סוהרים ועובדי שירות הביטחון הכללי והמוסד, להיקבר בבית קברות צבאי. במסגרת תיקון מס' 5 לחוק, שאושר בשנת 2024, הורחבה רשימת הזכאים כך שנוספו אליה גם כבאים שנהרגו בעת שירותם ועקב שירותם. כעת, במסגרת תיקון נוסף, הוחלה הרחבת הזכאות הזו למפרע. נקבע כי כבאי שנהרג בעת שירותו ועקב שירותו החל מיום כ"ו באב התשפ"ג (13 באוגוסט 2023) או לאחריו, יהיה זכאי גם הוא להיקבר בבית קברות צבאי. מועד זה נבחר במטרה להחיל את זכאות הקבורה בבית קברות צבאי גם על הכבאים שקיפחו את חייהם בפעולת החילוץ ב"אסון הבור" בדיר אל־אסד, שאירע בתאריך זה.</t>
  </si>
  <si>
    <t xml:space="preserve">חוק שירות הקבע בצבא הגנה לישראל (גמלאות) (תיקון מס' 37), התשפ"ו-2026</t>
  </si>
  <si>
    <t xml:space="preserve"> (מ/1765)</t>
  </si>
  <si>
    <t xml:space="preserve">חוק שירות הקבע בצבא הגנה לישראל (גמלאות) (תיקון מס' 37), התשפ"ו-2026, מעגן מסגרת נורמטיבית חדשה לתשלום רכיב "השלמת תקופות שירות" בפנסיה התקציבית של פורשי צה"ל. במסגרת החוק נקבע מנגנון שחיקה להתאמת עדכוני המדד העתידיים של גמלאים הזכאים לרכיב ההשלמה, שלפיו החל מינואר 2026 תבוצע הפחתה של עד חצי אחוז בשנה מעדכון הגמלה, עד להפחתה מצטברת מרבית של 4.5%. לאחר הגעה לשיעור זה, יתווסף לגמלה חצי אחוז מדי שנה במשך שלוש שנים, כך שבסופו של התהליך תעמוד ההפחתה הכוללת על 3% במצטבר, כאשר הסדר זה לא יחול על גמלאים שאינם מקבלים את רכיב ההשלמה. בנוסף, החוק מגדיר שלושה הסדרים נפרדים לחישוב תוספת ההשלמה בהתאם לגילם ומעמדם של המשרתים בעת כניסת החוק לתוקף ביום י"ב בטבת התשפ"ו (1 בינואר 2026). גמלאים שכבר פרשו ימשיכו לקבל את השיעור שנקבע להם במועד פרישתם. משרתים שמלאו להם 40 וטרם פרשו יקבלו תוספת המשמרת את ההסדרים הקודמים שנהגו עד כה בצבא. ואילו על משרתים שטרם מלאו להם 40 יחול הסדר חדש שיעניק תוספת של עד 7% לגמלה, תוך מתן עדיפות משמעותית ללוחמים שיזכו ל-4% נוספים, וכן תוספת של עד 3% ללוחמים ששירותם לא היה רציף או למשרתים במסלולי העתודה. הוראות החוק חלות אך ורק על משרתי קבע במסלול הפנסיה התקציבית, ואינן חלות על משרתים בפנסיה צוברת.</t>
  </si>
  <si>
    <t xml:space="preserve">הצעת חוק החלת ריבונות על ביתר עילית, התשפ"ו-2025</t>
  </si>
  <si>
    <t xml:space="preserve"> (פ/6272/25)</t>
  </si>
  <si>
    <t xml:space="preserve">הצעת חוק הפרשנות (תיקון - הגדרת הפליה על רקע נטייה מינית או זהות מגדרית), התשפ"ה-2025</t>
  </si>
  <si>
    <t xml:space="preserve"> (פ/6054/25)</t>
  </si>
  <si>
    <t xml:space="preserve">הצעת חוק איסור קבלת תמורה וחובת דיווח על קשרים עם מדינה זרה, התשפ״ה-2025 </t>
  </si>
  <si>
    <t xml:space="preserve"> (פ/5768/25)</t>
  </si>
  <si>
    <t xml:space="preserve">הצעת חוק הרשות הלאומית למאבק בסמים ובשימוש לרעה באלכוהול, התשפ"ה-2025</t>
  </si>
  <si>
    <t xml:space="preserve"> (פ/5625/25)</t>
  </si>
  <si>
    <t xml:space="preserve">הצעת חוק פטור מאגרה ללוחמים בשירות מילואים בנסיעה בכבישי אגרה ובנתיבים מהירים (תיקוני חקיקה), התשפ"ה-2025 </t>
  </si>
  <si>
    <t xml:space="preserve"> (פ/5420/25)</t>
  </si>
  <si>
    <t xml:space="preserve">הצעת חוק להכרה, לחקר האמת, להנצחה ולפיצוי משפחות הנעדרים מפרשת ילדי תימן, המזרח והבלקן, התשפ"ד-2024</t>
  </si>
  <si>
    <t xml:space="preserve"> (פ/4862/25)</t>
  </si>
  <si>
    <t xml:space="preserve">הצעת חוק הפרשנות (תיקון - הגדרת הפליה על רקע נטייה מינית או זהות מגדרית), התשפ"ד-2024</t>
  </si>
  <si>
    <t xml:space="preserve"> (פ/4216/25)</t>
  </si>
  <si>
    <t xml:space="preserve">הצעת חוק הפרשנות (תיקון - הגדרת הפליה על רקע זהות מגדרית, נטייה מינית או אמונה דתית), התשפ"ד-2023</t>
  </si>
  <si>
    <t xml:space="preserve"> (פ/4146/25)</t>
  </si>
  <si>
    <t xml:space="preserve">הצעת חוק התכנון והבנייה (תיקון - ייצוג הולם לנשים במוסדות התכנון), התשפ"ג-2023</t>
  </si>
  <si>
    <t xml:space="preserve"> (פ/3381/25)</t>
  </si>
  <si>
    <t xml:space="preserve">דיור והקצאת קרקעות מתוך הצעת חוק למתן הטבות למשרתים במילואים, התשפ"ה-2024</t>
  </si>
  <si>
    <t xml:space="preserve"> (פ/349/25)</t>
  </si>
  <si>
    <t xml:space="preserve">30.12.2025</t>
  </si>
  <si>
    <t xml:space="preserve">הצעת חוק הפטנטים (תיקון מס' 15), התשפ"ו-2025</t>
  </si>
  <si>
    <t xml:space="preserve"> (מ/1920)</t>
  </si>
  <si>
    <t xml:space="preserve">הצעת חוק הגנת השכר (תיקון מס' 32) (הגברת האכיפה – ניכויים משכר עבודה), התשפ"ה–2025</t>
  </si>
  <si>
    <t xml:space="preserve"> (פ/4233/25)</t>
  </si>
  <si>
    <t xml:space="preserve"> (כ/1093)</t>
  </si>
  <si>
    <t xml:space="preserve">29.12.2025</t>
  </si>
  <si>
    <t xml:space="preserve">חוק להפסקת פעילות אונר"א (תיקון), התשפ"ו-2025</t>
  </si>
  <si>
    <t xml:space="preserve"> (מ/1896)</t>
  </si>
  <si>
    <t xml:space="preserve">חוק להפסקת פעילות אונר"א בשטח מדינת ישראל, התשפ"ה-2024, קבע כי ישראל תפעל להפסקת פעילות אונר"א בשטחה הריבוני, וזאת על רקע מעורבותם העמוקה של אונר"א ועובדיה במתקפת הטרור של 7 באוקטובר ובפעילות ארגוני הטרור ובפעילות עוינת למדינת ישראל שקדמה למועד זה. כעת, במסגרת חוק להפסקת פעילות אונר"א (תיקון), התשפ"ו-2025, שנועד לתת מענה לקשיים ביישום החוק המקורי, נקבעו צעדים אופרטיביים נרחבים לניתוק כל מגע עם הסוכנות. בחוק נקבע כי רשויות המדינה יבטלו כל אישור, רישיון, היתר או הטבה שניתנו לאונר"א במישרין או בעקיפין. כמו כן, הוטל איסור על חברות התשתית לספק חשמל, מים או גז לנכסים שבהם אונר"א רשומה כצרכן, והוסדר מנגנון לניתוקם בתוך 15 ימים מקבלת הודעה. בנוסף, נאסר על מתן שירותי תקשורת, וכן על מתן שירותים בנקאיים ופיננסיים לסוכנות. איסורים אלו חלים גם במקרים שבהם אדם או תאגיד מבקשים לקבל את השירות בשמה או מטעמה של אונר"א, ולשם כך הוסמכו ספקי השירותים להסתייע ברשויות המקומיות, במשטרת ישראל ובגופי ביטחון אחרים לשם בירור זהות מבקש השירות. עוד מסמיך התיקון את המדינה ואת הרשויות המקומיות לתפוס חזקה בתוך 30 ימים במקרקעין המוחזקים בידי אונר"א או מי מטעמה במתחמים המפורטים בחוק, וזאת בסיוע משטרת ישראל וצבא הגנה לישראל. במקביל, נקבע כי עיריית ירושלים תשלים את הפעלתו של מערך פינוי האשפה בתוך 60 ימים בשכונות שבהן פעלה אונר"א בתחומה. לבסוף, החוק שולל מאונר"א, מעובדיה ומנכסיה את החסינויות וזכויות היתר שהוקנו להם מתוקף פקודת החסינויות וזכויות היתר של האומות המאוחדות משנת 1947, וקובע במפורש כי ניתן יהיה להגיש נגד הסוכנות תביעות אזרחיות בגין אירועי השבעה באוקטובר ומלחמת חרבות ברזל.</t>
  </si>
  <si>
    <t xml:space="preserve">חוק מס חברות מזערי בקבוצה רב-לאומית, התשפ"ו-2025</t>
  </si>
  <si>
    <t xml:space="preserve"> (מ/1909)</t>
  </si>
  <si>
    <t xml:space="preserve">חוק קידום התחרות בענפי המזון והפארם (תיקון מס' 9), התשפ"ו–2025</t>
  </si>
  <si>
    <t xml:space="preserve"> (פ/5466/25)</t>
  </si>
  <si>
    <t xml:space="preserve"> (כ/1131)</t>
  </si>
  <si>
    <t xml:space="preserve">החוק משנה את ההגדרה של "קמעונאי פארם גדול", הקבועה בחוק קידום התחרות בענפי המזון והפארם, התשע"ד–2014, כדי להתאים את ההגדרה למאפייני שוק הפארם. כיום, לפי החוק, היקף מחזור המכירות שלפיו מוגדר "קמעונאי פארם" כ"קמעונאי פארם גדול", עומד על סכום של כ-287 מיליון שקלים חדשים (סכום זה זהה לסכום שלפיו קמעונאי בתחום המזון מוגדר כ"קמעונאי גדול"). לפי ההסדר החדש, "קמעונאי פארם" יוגדר כ"קמעונאי פארם גדול", אם מחזור ההכנסות שלו עומד על 450 מיליון שקלים חדשים, במקום 287 מיליון שקלים, וכן הוא יידרש להחזיק 12 חנויות פארם לפחות. יצוין כי ההגדרה תחול רק לעניין קמעונאי פארם, בעוד שהגדרת "קמעונאי גדול" בתחום המזון תישאר כשהייתה. שינוי ההגדרה נועד להתאים את החוק הקיים למאפייני שוק הפארם, שמתאפיין בריכוזיות גבוהה ובקשיים בכניסת שחקנים חדשים לשוק. להגדרה של קמעונאי כ"קמעונאי גדול" יש השלכות רחבות, שכן החוק הקיים מטיל שורה של הוראות מחמירות החלות אך ורק על קמעונאי גדול – הוראות אלה כוללות, בין היתר, מגבלות על פעולות שקמעונאי גדול רשאי לבצע במסגרת יחסיו עם ספקים, הוראות שעניינן שמירה על תחרות בין קמעונאים הפועלים באותו אזור גאוגרפי וכן חובות שונות בעניין שקיפות מחירים. כתוצאה מתיקון החוק, יצטמצם מספרם של קמעונאי פארם שעליהם יחולו הוראות מחמירות כאמור, והדבר יקל על שחקנים חדשים להיכנס לשוק ויקדם את התחרות בענף. </t>
  </si>
  <si>
    <t xml:space="preserve">הצעת חוק הסכמים קיבוציים (תיקון - הסדרת גביית דמי טיפול ארגוני-מקצועי לארגון מעבידים), התשפ"ו-2025</t>
  </si>
  <si>
    <t xml:space="preserve"> (פ/6426/25)</t>
  </si>
  <si>
    <t xml:space="preserve">הצעת חוק בתי המשפט (תיקון - סייגים לעניין חברי הכנסת), התשפ"ו-2025</t>
  </si>
  <si>
    <t xml:space="preserve"> (פ/6425/25)</t>
  </si>
  <si>
    <t xml:space="preserve">הצעת חוק הדיינים (תיקון - תנאי הסמכה להליכים מוסכמים והבטחת ייצוג נשים), התשפ"ו-2025</t>
  </si>
  <si>
    <t xml:space="preserve"> (פ/6424/25)</t>
  </si>
  <si>
    <t xml:space="preserve">הצעת חוק הסיוע המשפטי (תיקון - סיוע משפטי לנכי צה"ל ולנפגעי פעולות איבה),  התשפ"ו-2025</t>
  </si>
  <si>
    <t xml:space="preserve"> (פ/6423/25)</t>
  </si>
  <si>
    <t xml:space="preserve">הצעת חוק הפיקוח על שירותים פיננסיים (ביטוח) (תיקון - החלת הוראות חוק חוזה סוכנות (סוכן מסחרי וספק) על חוזה בין מבטח לסוכן), התשפ"ו-2025</t>
  </si>
  <si>
    <t xml:space="preserve"> (פ/6422/25)</t>
  </si>
  <si>
    <t xml:space="preserve">הצעת חוק לתיקון פקודת בריאות העם (עדכון על זכאות אפשרית לגמלה), התשפ"ו-2025</t>
  </si>
  <si>
    <t xml:space="preserve"> (פ/6421/25)</t>
  </si>
  <si>
    <t xml:space="preserve">הצעת חוק זכויות הסטודנט (תיקון - התאמות בהשכלה גבוהה לסטודנטים עקב מחלה קשה), התשפ"ו-2025</t>
  </si>
  <si>
    <t xml:space="preserve"> (פ/6420/25)</t>
  </si>
  <si>
    <t xml:space="preserve">הצעת חוק שמירת הניקיון (תיקון - טיפול בפסולת בניין), התשפ"ו-2025</t>
  </si>
  <si>
    <t xml:space="preserve"> (פ/6419/25)</t>
  </si>
  <si>
    <t xml:space="preserve">הצעת חוק לתיקון פקודת התעבורה (שינוי שיטת חישוב דמי חניה בחניון ופטור מתשלום עבור עשר הדקות הראשונות),  התשפ"ו-2025</t>
  </si>
  <si>
    <t xml:space="preserve"> (פ/6418/25)</t>
  </si>
  <si>
    <t xml:space="preserve">הצעת חוק רשות מקרקעי ישראל (השגה על שומת מקרקעין), התשפ"ו-2025</t>
  </si>
  <si>
    <t xml:space="preserve"> (פ/6417/25)</t>
  </si>
  <si>
    <t xml:space="preserve">הצעת חוק החברות (תיקון - מכסות ייצוג לנשים בדירקטוריונים של חברות ציבוריות), התשפ"ו-2025</t>
  </si>
  <si>
    <t xml:space="preserve"> (פ/6416/25)</t>
  </si>
  <si>
    <t xml:space="preserve">הצעת חוק הגנה על קטינים ברשת (הגבלת גיל), התשפ״ו-2025</t>
  </si>
  <si>
    <t xml:space="preserve"> (פ/6415/25)</t>
  </si>
  <si>
    <t xml:space="preserve">הצעת חוק מענק לחטוף ששב מן השבי או למשפחתו של חטוף שנרצח בשבי וגופתו הושבה בעקבות מתקפת 7 באוקטובר, התשפ"ו-2025 </t>
  </si>
  <si>
    <t xml:space="preserve"> (פ/6414/25)</t>
  </si>
  <si>
    <t xml:space="preserve"> (פ/6413/25)</t>
  </si>
  <si>
    <t xml:space="preserve">הצעת חוק הגבלת תשלום בעד טיפול בתביעה לגמלת סיעוד ולתגמולי ביטוח סיעודי (תיקוני חקיקה), התשפ"ו-2025</t>
  </si>
  <si>
    <t xml:space="preserve"> (פ/6412/25)</t>
  </si>
  <si>
    <t xml:space="preserve">הצעת חוק הגנה על קטינים (הזכות למחיקת מידע אישי), התשפ"ו-2025</t>
  </si>
  <si>
    <t xml:space="preserve"> (פ/6411/25)</t>
  </si>
  <si>
    <t xml:space="preserve">הצעת חוק נכסי המדינה (תיקון - הרשאת שימוש לשם הקמת מיתקני שידור לתקשורת בשיטה התאית), התשפ"ו-2025</t>
  </si>
  <si>
    <t xml:space="preserve"> (פ/6410/25)</t>
  </si>
  <si>
    <t xml:space="preserve">הצעת חוק לשיקום מהיר של מבנים שניזוקו במלחמת עם כלביא (תיקוני חקיקה), התשפ"ה-2025</t>
  </si>
  <si>
    <t xml:space="preserve"> (פ/5929/25)</t>
  </si>
  <si>
    <t xml:space="preserve">25.12.2025</t>
  </si>
  <si>
    <t xml:space="preserve">חוק כליאתם של לוחמים בלתי חוקיים (תיקון מס' 4 והוראת שעה – חרבות ברזל) (תיקון מס' 6), התשפ"ו-2025</t>
  </si>
  <si>
    <t xml:space="preserve"> (מ/1916)</t>
  </si>
  <si>
    <t xml:space="preserve">24.12.2025</t>
  </si>
  <si>
    <t xml:space="preserve">חוק כליאתם של לוחמים בלתי חוקיים, התשס"ב–2002, מסדיר את כליאתם של מי שנטלו חלק בפעולות איבה נגד מדינת ישראל או נמנו עם כוחות המבצעים פעולות איבה, ואינם מוגדרים כשבויי מלחמה. החוק קובע הליך מוסדר להוצאת צווי כליאה ומנגנוני בקרה וביקורת שיפוטית, וכולל הסדר מיוחד למקרים שבהם הממשלה הכריזה על מלחמה או על פעולות צבאיות משמעותיות. בשל היקף העצורים הרב במלחמת חרבות ברזל, נקבעה הוראת שעה שהאריכה את התקופות המנויות בחוק והתאימה את הדרגים המאשרים. כעת, במסגרת חוק כליאתם של לוחמים בלתי חוקיים (תיקון מס' 4 והוראת שעה – חרבות ברזל) (תיקון מס' 6), התשפ"ו-2025, הוארך תוקפה של הוראת השעה הקובעת הסדרים מיוחדים לתקופת הלחימה עד ליום י"ג בניסן התשפ"ו (31 במרץ 2026). לצד הארכה זו, בוצעו התאמות שנועדו לקצר את המועדים הקבועים בחוק. כך, קוצרה התקופה המרבית להוצאת צו כליאה קבוע מ-30 ל-25 ימים, מועד הביקורת השיפוטית הראשונה קוצר מ-45 ל-40 ימים, והתקופה שבה רשאי הממונה למנוע מפגש של כלוא עם עורך דין קוצרה מ-45 ל-25 ימים. לגבי קטינים, קוצרו המועדים כך שצו כליאה זמני בעניינם יעמוד בתוקפו עד 15 ימים, והבאתם בפני שופט תיעשה לא יאוחר מ-25 ימים מיום הכליאה. בנוסף, עוגן בחוק הסדר עצמאי המאפשר קיום דיונים בעניינם של הכלואים בדרך של היוועדות חזותית, תוך קביעת תנאים מפורטים להבטחת השתתפות הכלוא וזכויותיו בדיון, וזאת במקום ההפניה להוראת שעה כללית שתוקפה פג. הסדר דומה לקיום דיוני מעצר בהיוועדות חזותית עוגן גם במסגרת תיקון משלים לחוק העוסק בהארכת מעצר לחשוד בעבירת ביטחון.</t>
  </si>
  <si>
    <t xml:space="preserve">חוק לתיקון פקודת בתי הסוהר (תיקון מס' 66 – הוראת שעה – חרבות ברזל) (חופשה מיוחדת לאסיר) (תיקון מס' 4), התשפ"ו-2025</t>
  </si>
  <si>
    <t xml:space="preserve"> (מ/1912)</t>
  </si>
  <si>
    <t xml:space="preserve">מנגנון "חופשה מיוחדת לאסיר", שעוגן כהוראת שעה בפקודת בתי הסוהר על רקע משבר הכליאה, מסמיך את נציב בתי הסוהר או סוהר בכיר שהוסמך לכך להעניק לאסירים חופשה מיוחדת לתקופה של עד 45 ימים. הסדר זה חל אך ורק על אסירים שהם אזרחי או תושבי ישראל שיתרת מאסרם ביום היציאה לחופשה אינה עולה על 45 ימים, ואינו חל על אסירים שהורשעו בעבירות חמורות, כגון עבירות ביטחון, אלימות חמורה, עבירות מין ואלימות במשפחה. כעת, במסגרת החוק (תיקון מס' 4), הוארך תוקפה של הוראת השעה המאפשרת מתן חופשות אלו, כך שההסדר יעמוד בתוקפו עד ליום י"ז באב התשפ"ו (31 ביולי 2026).</t>
  </si>
  <si>
    <t xml:space="preserve">חוק שירות ביטחון (תיקון מס' 7 והוראת שעה) (שירות במשטרה ושירות מוכר) (תיקון מס' 19), התשפ"ו-2025</t>
  </si>
  <si>
    <t xml:space="preserve"> (מ/1908)</t>
  </si>
  <si>
    <t xml:space="preserve">במסגרת חוק שירות ביטחון נקבעה הוראת שעה, המוארכת מעת לעת, המאפשרת הצבת חיילים בשירות חובה ביחידות משטרת ישראל שאינן משמר הגבול (מסלול שח"ם), ובלבד שעיקר פעילותן קשור לביטחון המדינה ותושביה. כעת, במסגרת חוק שירות ביטחון (תיקון מס' 7 והוראת שעה) (שירות במשטרה ושירות מוכר) (תיקון מס' 19), התשפ"ו-2025, הוארך תוקפה של הוראת השעה פעם נוספת, כך שתעמוד בתוקפה עד ליום כ"א בטבת התשפ"ז (31 בדצמבר 2026). בנוסף, כדי להגביר את הפיקוח הפרלמנטרי על התהליך, עוגן בחוק מנגנון דיווח חדש שלפיו השר לביטחון לאומי ידווח לוועדת החוץ והביטחון של הכנסת אחת לשישה חודשים על הצבת החיילים במשטרה, תוך פירוט מספר החיילים ששובצו והיחידות הספציפיות שאליהן נשלחושבהן הוצבו.</t>
  </si>
  <si>
    <t xml:space="preserve">חוק הסמכת צבא הגנה לישראל ושירות הביטחון הכללי לביצוע חדירה לחומר מחשב המשמש להפעלת מצלמה נייחת ופעולה בו (הוראת שעה – חרבות ברזל) (תיקון מס' 5), התשפ"ו-2025</t>
  </si>
  <si>
    <t xml:space="preserve"> (מ/1910)</t>
  </si>
  <si>
    <t xml:space="preserve">חוק הסמכת צבא הגנה לישראל ושירות הביטחון הכללי לביצוע חדירה לחומר מחשב המשמש להפעלת מצלמה נייחת ופעולה בו (הוראת שעה), התשפ"ד-2023, מסמיך את צה"ל ושב"כ לחדור למחשבים המפעילים מצלמות אבטחה נייחות ולבצע בהם פעולות, במטרה לסכל ולמנוע גישה של גורמי אויב למידע חזותי. הסמכויות מופעלות בכפוף למנגנוני בקרה, הכוללים חובת שימוש באמצעי שפגיעתו פחותה ולזמן הקצר הנדרש, איסור על שימוש או שמירה של מידע על ענייניו הפרטיים של אדם, וחובת דיווח עיתית לוועדת המשנה למודיעין ולשירותים חשאיים של ועדת החוץ והביטחון של הכנסת. כעת, במסגרת תיקון מס' 5 לחוק, הוארך תוקפה של הוראת השעה בשנה נוספת, כך שהיא תעמוד בתוקפה עד ליום כ"א בטבת התשפ"ז (31 בדצמבר 2026). התיקון מנתק את הסמכויות מהזיקה לפעולות צבאיות משמעותיות, כך שהן ימשיכו לעמוד בתוקפן גם בשגרה, ובהתאם לכך נמחקו המילים "חרבות ברזל" משם החוק. בנוסף לכך, צומצמו העילות להפעלת הסמכויות: סמכות צה"ל הוגדרה ככזו שתופעל רק לשם שמירה על רציפות התפקוד המבצעי שלו, ואילו סמכות השב"כ הוגדרה בהתאם לייעודיו הספציפיים בחוק, בהם סיכול ומניעת פעילות הפוגעת בביטחון המדינה או בסדרי המשטר, ואבטחת אנשים, מידע ומקומות שקבעה הממשלה. כמו כן, בוטלה האפשרות שהייתה קיימת קודם לכן בחוק להאריך את תוקפו בצו של שר הביטחון.</t>
  </si>
  <si>
    <t xml:space="preserve">הצעת חוק מלחמת שמחת תורה, התשפ"ו-2025</t>
  </si>
  <si>
    <t xml:space="preserve"> (פ/6241/25)</t>
  </si>
  <si>
    <t xml:space="preserve">הצעת חוק החברות (תיקון - פרסום דוחות כספיים של מונופול), התשפ"ו-2025</t>
  </si>
  <si>
    <t xml:space="preserve"> (פ/6211/25)</t>
  </si>
  <si>
    <t xml:space="preserve">הצעת חוק-יסוד: הממשלה (תיקון - התניית חברות בוועדת השרים לענייני ביטחון לאומי בשירות צבאי)</t>
  </si>
  <si>
    <t xml:space="preserve"> (פ/6201/25)</t>
  </si>
  <si>
    <t xml:space="preserve">הצעת חוק הליכי שפיטה וייצוג של נוער (תיקוני חקיקה), התשפ"ה-2025</t>
  </si>
  <si>
    <t xml:space="preserve"> (פ/5614/25)</t>
  </si>
  <si>
    <t xml:space="preserve">הצעת חוק קבלת מידע לשם זיהוי חללים ונעדרים בשל אירוע רב-נפגעים, התשפ"ה-2025</t>
  </si>
  <si>
    <t xml:space="preserve"> (פ/5527/25)</t>
  </si>
  <si>
    <t xml:space="preserve">הצעת חוק הכרה אזרחית בהכשרות צבאיות (תיקון - הכרה בניסיון פיקודי כניסיון ניהולי), התשפ"ה-2024</t>
  </si>
  <si>
    <t xml:space="preserve"> (פ/5233/25)</t>
  </si>
  <si>
    <t xml:space="preserve">הצעת חוק הרשויות המקומיות (פטור חיילים, נפגעי מלחמה ושוטרים מארנונה) (תיקון - הנחה בארנונה למשרת בשירות מילואים פעיל) (הוראת שעה), התשפ"ה-2024</t>
  </si>
  <si>
    <t xml:space="preserve"> (פ/5201/25)</t>
  </si>
  <si>
    <t xml:space="preserve">הצעת חוק איסור שימוש בטלפונים חכמים במוסדות חינוך, התשפ"ה-2024</t>
  </si>
  <si>
    <t xml:space="preserve"> (פ/5159/25)</t>
  </si>
  <si>
    <t xml:space="preserve">הצעת חוק זכויות ושירותים לילדים ובני נוער עם קשיים נפשיים, התשפ"ד-2023</t>
  </si>
  <si>
    <t xml:space="preserve"> (פ/3986/25)</t>
  </si>
  <si>
    <t xml:space="preserve">הצעת חוק שיפוט בתי דין רבניים (נישואין וגירושין) (תיקון - מתן פסק דין במקרי אלימות קשים), התשפ"ג-2023</t>
  </si>
  <si>
    <t xml:space="preserve"> (פ/3685/25)</t>
  </si>
  <si>
    <t xml:space="preserve">הצעת חוק שיפוט בתי דין רבניים (נישואין וגירושין) (תיקון - הגבלת משך זמן ההליך), התשפ"ג-2023</t>
  </si>
  <si>
    <t xml:space="preserve"> (פ/3180/25)</t>
  </si>
  <si>
    <t xml:space="preserve">הצעת חוק נישואים אזרחיים, התשפ"ג-2022</t>
  </si>
  <si>
    <t xml:space="preserve"> (פ/1033/25)</t>
  </si>
  <si>
    <t xml:space="preserve">הצעת חוק רישוי שירותים ומקצועות בענף הרכב (תיקון מס' 14) (הוראות לעניין סייבר והעדפת מכס-ארץ המקור), התשפ"ו-2025</t>
  </si>
  <si>
    <t xml:space="preserve"> (מ/1918)</t>
  </si>
  <si>
    <t xml:space="preserve">הצעת חוק תשלומים לפדויי שבי ולחטופים ששוחררו (תיקון - העלאת דרגת הנכות ל-100% לחטופים ששוחררו), התשפ"ה-2025</t>
  </si>
  <si>
    <t xml:space="preserve"> (פ/5759/25)</t>
  </si>
  <si>
    <t xml:space="preserve">22.12.2025</t>
  </si>
  <si>
    <t xml:space="preserve">הצעת חוק תשלומים לפדויי שבי ולחטופים ששוחררו (תיקון - העלאת דרגת הנכות בשנה הראשונה לשחרור), התשפ"ה-2025</t>
  </si>
  <si>
    <t xml:space="preserve"> (פ/5607/25)</t>
  </si>
  <si>
    <t xml:space="preserve">הצעת חוק תשלומים לפדויי שבי ולחטופים ששוחררו (תיקון - הרחבת הזכאויות לחטופים ששוחררו), התשפ"ה-2025 </t>
  </si>
  <si>
    <t xml:space="preserve"> (פ/5526/25)</t>
  </si>
  <si>
    <t xml:space="preserve">הצעת חוק תשלומים לפדויי שבי ולחטופים ששוחררו (תיקון - העלאת דרגת הנכות ל-100% לחטופים ששוחררו), התשפ"ה-2025 </t>
  </si>
  <si>
    <t xml:space="preserve"> (פ/5350/25)</t>
  </si>
  <si>
    <t xml:space="preserve">הצעת חוק תשלומים לפדויי שבי ולחטופים ששוחררו (תיקון מס' 7), התשפ"ה-2025 </t>
  </si>
  <si>
    <t xml:space="preserve"> (מ/1865)</t>
  </si>
  <si>
    <t xml:space="preserve">הצעת חוק הגנת השכר (תיקון - איסור ניכוי חוב או קנס), התשפ"ג-2023</t>
  </si>
  <si>
    <t xml:space="preserve"> (פ/1715/25)</t>
  </si>
  <si>
    <t xml:space="preserve">חוק מניעת פגיעת גוף שידורים זר בביטחון המדינה (הוראת שעה), התשפ"ו–2025</t>
  </si>
  <si>
    <t xml:space="preserve"> (פ/4626/25)</t>
  </si>
  <si>
    <t xml:space="preserve"> (כ/1158)</t>
  </si>
  <si>
    <t xml:space="preserve">במסגרת חוק מניעת פגיעת גוף שידורים זר בביטחון המדינה (הוראת שעה), התשפ"ו-2025, שנקבע כהוראת שעה אשר תעמוד בתוקפה עד ליום א' בטבת התשפ"ח (31 בדצמבר 2027), נקבע כי שר התקשורת רשאי, בהסכמת ראש הממשלה ובאישור הממשלה או ועדת השרים לענייני ביטחון לאומי, להורות על נקיטת אמצעים להגבלת שידורי ערוץ זר ופעילותו. החלטה זו תתקבל אם שוכנע ראש הממשלה, על יסוד חוות דעת מקצועית מאחד או יותר מגורמי הביטחון – צבא הגנה לישראל, שירות הביטחון הכללי, המוסד למודיעין ולתפקידים מיוחדים או משטרת ישראל, כי תכני הערוץ פוגעים באופן ממשי בביטחון המדינה. האמצעים שניתן להפעיל כוללים את הפסקת שידורי הערוץ, סגירת משרדיו בשטח ישראל, תפיסת מכשירים המשמשים לאספקת תוכני הערוץ, הסרת אתר אינטרנט של הערוץ או הגבלת הגישה אליו. בנוסף, הוסמך שר התקשורת להורות לגופים שפעילותם העיקרית היא הפצת תוכני משתמשים באינטרנט להגביל גישה לשידור הערוץ הזר בזמן אמיתי ובאופן רציף. הממשלה או ועדת השרים הוסמכו להנחות את שר הביטחון לבצע פעולות טכנולוגיות למניעת קליטה ישירה של שידורי הערוץ באמצעות לוויין בשטחי ישראל ובאזור יהודה ושומרון, ובלבד שלא יימנעו שידוריו של ערוץ אחר. לעניין סמכות תפיסת המכשירים, הובהר כי לא ייתפס ציוד שעיקר תכליתו היא לשימוש אישי, וכן נקבע איסור מפורש על ביצוע חדירה לציוד קצה (כגון טלפון סלולרי), למחשב או לחומר מחשב שנתפסו. הוראת שר התקשורת תינתן לתקופה שלא תעלה על 90 ימים, עם אפשרות להארכתה לתקופות נוספות של עד 90 ימים בכל פעם, בכפוף להתקיימות התנאים והצגת חוות הדעת הנדרשות. כל הוראה שתינתן, ובפרט החלטה על הארכתה, תובא לביקורת שיפוטית לפני נשיא בית משפט מחוזי או סגנו בהקדם האפשרי, ולא יאוחר מ-24 שעות משעת כניסתה לתוקף. בית המשפט ידון בהוראה בתוך שלושה ימים מיום כניסתה לתוקף, ויקבל החלטה האם לשנותה או לקצוב את תקופת תוקפה.</t>
  </si>
  <si>
    <t xml:space="preserve">הצעת חוק סמכויות לשם שמירה על ביטחון הציבור (תיקון - הסדרת סיירות ביטחון ברשויות המקומיות), התשפ"ו-2025</t>
  </si>
  <si>
    <t xml:space="preserve"> (פ/6407/25)</t>
  </si>
  <si>
    <t xml:space="preserve">הצעת חוק למאבק בהברחות נשק (תיקוני חקיקה), התשפ"ו-2025</t>
  </si>
  <si>
    <t xml:space="preserve"> (פ/6406/25)</t>
  </si>
  <si>
    <t xml:space="preserve">הצעת חוק החלת הריבונות הישראלית על מתחם מערת המכפלה, התשפ"ו-2025</t>
  </si>
  <si>
    <t xml:space="preserve"> (פ/6405/25)</t>
  </si>
  <si>
    <t xml:space="preserve">הצעת חוק להפסקת פעילות אונר"א (תיקון - אי-אספקת חשמל ומים וסמכות תפיסת חזקה במקרקעין), התשפ"ו-2025</t>
  </si>
  <si>
    <t xml:space="preserve"> (פ/6404/25)</t>
  </si>
  <si>
    <t xml:space="preserve">הצעת חוק ביטוח בריאות ממלכתי (תיקון - חידוש חברות בקופת חולים לחייל משוחרר), התשפ״ו-2025</t>
  </si>
  <si>
    <t xml:space="preserve"> (פ/6403/25)</t>
  </si>
  <si>
    <t xml:space="preserve">הצעת חוק חברות ניהול בניין מגורים או משרדים, התשפ"ו-2025</t>
  </si>
  <si>
    <t xml:space="preserve"> (פ/6402/25)</t>
  </si>
  <si>
    <t xml:space="preserve">הצעת חוק סדר הדין הפלילי (סמכויות אכיפה - מעצרים) (תיקון - משך מעצר מרבי ועילות מעצר), התשפ"ו-2025</t>
  </si>
  <si>
    <t xml:space="preserve"> (פ/6401/25)</t>
  </si>
  <si>
    <t xml:space="preserve">הצעת חוק איסור לשון הרע (תיקון - פיצוי ללא הוכחת נזק), התשפ"ו-2025</t>
  </si>
  <si>
    <t xml:space="preserve"> (פ/6400/25)</t>
  </si>
  <si>
    <t xml:space="preserve">הצעת חוק שעות עבודה ומנוחה (תיקון - אי-תחולת החוק על כבאים), התשפ"ו-2025 </t>
  </si>
  <si>
    <t xml:space="preserve"> (פ/6398/25)</t>
  </si>
  <si>
    <t xml:space="preserve">הצעת חוק מינוי תובע מיוחד, התשפ״ו-2025</t>
  </si>
  <si>
    <t xml:space="preserve"> (פ/6397/25)</t>
  </si>
  <si>
    <t xml:space="preserve">הצעת חוק הפיקוח על מוצר ביטוח ארוך טווח, התשפ"ו-2025</t>
  </si>
  <si>
    <t xml:space="preserve"> (פ/6396/25)</t>
  </si>
  <si>
    <t xml:space="preserve">הצעת חוק משפחות חיילים שנספו במערכה (תגמולים ושיקום) (תיקון - הגדלת סכום ההשתתפות בהוצאות אזכרה), התשפ"ו-2025</t>
  </si>
  <si>
    <t xml:space="preserve"> (פ/6395/25)</t>
  </si>
  <si>
    <t xml:space="preserve">הצעת חוק חסינות במילוי תפקיד לראש רשות מקומית (תיקוני חקיקה), התשפ"ו-2025</t>
  </si>
  <si>
    <t xml:space="preserve"> (פ/6394/25)</t>
  </si>
  <si>
    <t xml:space="preserve">הצעת חוק מניעת רעש בלתי סביר של המואזין, התשפ״ו-2025</t>
  </si>
  <si>
    <t xml:space="preserve"> (פ/6392/25)</t>
  </si>
  <si>
    <t xml:space="preserve">הצעת חוק לתיקון פקודת התעבורה (שינוי שיטת החישוב של דמי חניה בחניון), התשפ"ו-2025</t>
  </si>
  <si>
    <t xml:space="preserve"> (פ/6391/25)</t>
  </si>
  <si>
    <t xml:space="preserve">הצעת חוק המזונות (הבטחת תשלום) (תיקון - סכום שלא יובא בחשבון במבחן ההכנסה בשבע השנים הראשונות), התשפ"ו-2025</t>
  </si>
  <si>
    <t xml:space="preserve"> (פ/6390/25)</t>
  </si>
  <si>
    <t xml:space="preserve">הצעת חוק תגמולים לבני משפחה של חטופים ונעדרים בפעולת איבה (תיקון - מתן זכויות של נפגעי איבה לבן משפחה של חטוף), התשפ"ו-2025</t>
  </si>
  <si>
    <t xml:space="preserve"> (פ/6389/25)</t>
  </si>
  <si>
    <t xml:space="preserve">הצעת חוק משפחות חיילים שנספו במערכה (תגמולים ושיקום) (תיקון - שעת הורות בעבודה לאלמן או לאלמנה בשנת האבל הראשונה), התשפ"ו-2025</t>
  </si>
  <si>
    <t xml:space="preserve"> (פ/6388/25)</t>
  </si>
  <si>
    <t xml:space="preserve">הצעת חוק לתיקון פקודת מס הכנסה (פטור ממס למשרת מילואים פעיל) (הוראת שעה - חרבות ברזל), התשפ"ו-2025</t>
  </si>
  <si>
    <t xml:space="preserve"> (פ/6387/25)</t>
  </si>
  <si>
    <t xml:space="preserve">הצעת חוק איסור הפליה במוצרים, בשירותים ובכניסה למקומות בידור ולמקומות ציבוריים (תיקון - הגדלת סכום הפיצוי בלא הוכחת נזק), התשפ"ו-2025</t>
  </si>
  <si>
    <t xml:space="preserve"> (פ/6386/25)</t>
  </si>
  <si>
    <t xml:space="preserve">הצעת חוק לימוד חובה (תיקון - הפחתת תקציב בשל אי-גיוס בוגרים), התשפ"ו- 2025</t>
  </si>
  <si>
    <t xml:space="preserve"> (פ/6385/25)</t>
  </si>
  <si>
    <t xml:space="preserve">הצעת חוק מענק לחטופים ולבני משפחות הנרצחים במתקפת 7 באוקטובר, התשפ"ו-2025</t>
  </si>
  <si>
    <t xml:space="preserve"> (פ/6384/25)</t>
  </si>
  <si>
    <t xml:space="preserve"> (פ/6383/25)</t>
  </si>
  <si>
    <t xml:space="preserve">הצעת חוק חסינות חברי הכנסת, זכויותיהם וחובותיהם (תיקון מס' 46) (אבטחת חבר הכנסת בחוץ לארץ), התשפ"ו–2025</t>
  </si>
  <si>
    <t xml:space="preserve"> (כ/1166)</t>
  </si>
  <si>
    <t xml:space="preserve">הצעת חוק העמותות (תיקון מס' 20) (עיצומים כספיים), התשפ"ו- 2025</t>
  </si>
  <si>
    <t xml:space="preserve"> (מ/1917)</t>
  </si>
  <si>
    <t xml:space="preserve">הצעת חוק רמת הגולן (תיקון - פיתוח וחיזוק רמת הגולן, וקביעת יום לציון רמת הגולן), התשפ"ה-2025</t>
  </si>
  <si>
    <t xml:space="preserve"> (פ/5728/25)</t>
  </si>
  <si>
    <t xml:space="preserve">17.12.2025</t>
  </si>
  <si>
    <t xml:space="preserve">הצעת חוק הגנה על קטינים (הזכות למחיקת מידע אישי), התשפ"ה-2025</t>
  </si>
  <si>
    <t xml:space="preserve"> (פ/5705/25)</t>
  </si>
  <si>
    <t xml:space="preserve"> (פ/5654/25)</t>
  </si>
  <si>
    <t xml:space="preserve"> (פ/5596/25)</t>
  </si>
  <si>
    <t xml:space="preserve">הצעת חוק סדר הדין הפלילי (תיקון - מניעת ניגודי עניינים בחקירת היועץ המשפטי לממשלה ופרקליט המדינה), התשפ"ה-2024</t>
  </si>
  <si>
    <t xml:space="preserve"> (פ/5196/25)</t>
  </si>
  <si>
    <t xml:space="preserve">16.12.2025</t>
  </si>
  <si>
    <t xml:space="preserve">הצעת חוק להפסקת פעילות אונר"א (תיקון - אי-הספקת חשמל ומים וסמכות תפיסת חזקה במקרקעין), התשפ"ו-2025</t>
  </si>
  <si>
    <t xml:space="preserve"> (פ/6236/25)</t>
  </si>
  <si>
    <t xml:space="preserve">הצעת חוק להפסקת פעילות אונר"א בשטח מדינת ישראל (תיקון - תפיסת חזקה בכל שטח שהוחזק בידי אונר"א), התשפ"ה-2025</t>
  </si>
  <si>
    <t xml:space="preserve"> (פ/6169/25)</t>
  </si>
  <si>
    <t xml:space="preserve">הצעת חוק הליכי חקירה והעדה (התאמה לאנשים עם מוגבלות שכלית או נפשית) (תיקון - חקירה והעדה מותאמת למתמודדי נפש), התשפ"ה-2025</t>
  </si>
  <si>
    <t xml:space="preserve"> (פ/5632/25)</t>
  </si>
  <si>
    <t xml:space="preserve">חוק מימון מפלגות (תיקון מס' 44), התשפ"ו–2025</t>
  </si>
  <si>
    <t xml:space="preserve"> (כ/921)</t>
  </si>
  <si>
    <t xml:space="preserve">15.12.2025</t>
  </si>
  <si>
    <t xml:space="preserve">החוק מסדיר באופן מפורט את שכרם ותנאי עבודתם של עובדי הסיעות, שאף שאינם עובדי הכנסת, הם מקבלים את שכרם ישירות הכנסת. עד לתיקון קבע סעיף 3א לחוק מימון מפלגות סכום שנתי שאותו קיבלו הסיעות לפי גודלן ואשר שימש למימון תשלומים לעובדי הסיעות, שכונו "עובדי הצוות הפרלמנטרי". לפי התיקון, אין יותר תקציב שנתי לכל סיעה, אלא מספר עובדי הסיעה, שכרם ושאר תנאי עבודתם נקבעו בחוק עצמו, בסעיף 3א שהוחלף ובתוספת מפורטת שהתווספה לחוק.</t>
  </si>
  <si>
    <t xml:space="preserve">הצעת חוק הממשלה (תיקון - נסיעת שר או סגן שר לחוץ לארץ), התשפ"ו-2025</t>
  </si>
  <si>
    <t xml:space="preserve"> (פ/6378/25)</t>
  </si>
  <si>
    <t xml:space="preserve">הצעת חוק שחרור על-תנאי ממאסר (תיקון - שחרור על-תנאי ממאסר), התשפ"ו-2025</t>
  </si>
  <si>
    <t xml:space="preserve"> (פ/6377/25)</t>
  </si>
  <si>
    <t xml:space="preserve">הצעת חוק שימוע למינויים בכירים ושופטים, התשפ״ו-2025</t>
  </si>
  <si>
    <t xml:space="preserve"> (פ/6376/25)</t>
  </si>
  <si>
    <t xml:space="preserve">הצעת חוק לתיקון פקודת הראיות (אי-קבילות ראיה שהושגה שלא כדין), התשפ״ו-2025</t>
  </si>
  <si>
    <t xml:space="preserve"> (פ/6375/25)</t>
  </si>
  <si>
    <t xml:space="preserve">הצעת חוק הקאדים (תיקון - הבטחת ייצוג נשים בוועדה לבחירת קאדים), התשפ"ו-2025</t>
  </si>
  <si>
    <t xml:space="preserve"> (פ/6374/25)</t>
  </si>
  <si>
    <t xml:space="preserve"> (פ/6373/25)</t>
  </si>
  <si>
    <t xml:space="preserve">הצעת חוק סדר הדין הפלילי (סמכויות אכיפה - מעצרים) (תיקון - פיצוי לעצור ששוחרר ממעצר), התשפ"ו-2025</t>
  </si>
  <si>
    <t xml:space="preserve"> (פ/6372/25)</t>
  </si>
  <si>
    <t xml:space="preserve">הצעת חוק-יסוד: הכנסת (תיקון - שלילת זכות הצבעה מאסירים)</t>
  </si>
  <si>
    <t xml:space="preserve"> (פ/6370/25)</t>
  </si>
  <si>
    <t xml:space="preserve">הצעת חוק הביטוח הלאומי (תיקון - פטור מתשלום דמי ביטוח לאומי עד גיל 21), התשפ"ו-2025</t>
  </si>
  <si>
    <t xml:space="preserve"> (פ/6369/25)</t>
  </si>
  <si>
    <t xml:space="preserve"> (פ/6368/25)</t>
  </si>
  <si>
    <t xml:space="preserve">הצעת חוק ביטוח בריאות ממלכתי (תיקון - מינוי ועדה ציבורית להרחבת סל שירותי הבריאות המפורט בתוספת השנייה), התשפ"ו-2025 </t>
  </si>
  <si>
    <t xml:space="preserve"> (פ/6367/25)</t>
  </si>
  <si>
    <t xml:space="preserve">הצעת חוק חינוך ממלכתי (תיקון - חינוך ממלכתי חרדי), התשפ"ו-2025</t>
  </si>
  <si>
    <t xml:space="preserve"> (פ/6366/25)</t>
  </si>
  <si>
    <t xml:space="preserve">הצעת חוק הלוואות לדיור (תיקון - מענק מיוחד לרכישת דירה בירושלים), התשפ"ו-2025</t>
  </si>
  <si>
    <t xml:space="preserve"> (פ/6364/25)</t>
  </si>
  <si>
    <t xml:space="preserve">הצעת חוק מימון הוצאות למשפחות שבויים, חטופים ונעדרים (תיקון - מענק הסתגלות לבני זוג והורים של חטוף שגופתו הושבה), התשפ"ו-2025</t>
  </si>
  <si>
    <t xml:space="preserve"> (פ/6363/25)</t>
  </si>
  <si>
    <t xml:space="preserve">הצעת חוק בתי קברות צבאיים (תיקון - הצהרת חייל בדבר רצונו בקבורה בבית קברות צבאי), התשפ"ו-2025</t>
  </si>
  <si>
    <t xml:space="preserve"> (פ/6362/25)</t>
  </si>
  <si>
    <t xml:space="preserve">הצעת חוק חג הסיגד (תיקון - דרכי קיום), התשפ"ו-2025</t>
  </si>
  <si>
    <t xml:space="preserve"> (פ/6361/25)</t>
  </si>
  <si>
    <t xml:space="preserve">הצעת חוק שירות מידע פיננסי (תיקון - פטור וגישה למידע לסוכני ביטוח), התשפ״ו-2025</t>
  </si>
  <si>
    <t xml:space="preserve"> (פ/6360/25)</t>
  </si>
  <si>
    <t xml:space="preserve">הצעת חוק השבות (תיקון - הוספת המילה כהלכה), התשפ"ו-2025</t>
  </si>
  <si>
    <t xml:space="preserve"> (פ/6359/25)</t>
  </si>
  <si>
    <t xml:space="preserve"> (פ/6358/25)</t>
  </si>
  <si>
    <t xml:space="preserve">הצעת חוק אספקת החשמל (הוראת שעה), התשפ"ו-2025</t>
  </si>
  <si>
    <t xml:space="preserve"> (פ/6357/25)</t>
  </si>
  <si>
    <t xml:space="preserve">הצעת חוק מס ערך מוסף (תיקון - הגדרת עוסק פטור), התשפ"ו-2025</t>
  </si>
  <si>
    <t xml:space="preserve"> (פ/6356/25)</t>
  </si>
  <si>
    <t xml:space="preserve">הצעת חוק שירותי אבטחה, התשפ"ו-2025</t>
  </si>
  <si>
    <t xml:space="preserve"> (פ/6355/25)</t>
  </si>
  <si>
    <t xml:space="preserve">הצעת חוק המרכז למורשת ארגון אליאנס: כל ישראל חברים, התשפ"ו-2025</t>
  </si>
  <si>
    <t xml:space="preserve"> (פ/6354/25)</t>
  </si>
  <si>
    <t xml:space="preserve">הצעת חוק זכויות החולה (תיקון מס' 20) (מסירת מידע לצורך מניעת פגיעה), התשפ"ו-2025</t>
  </si>
  <si>
    <t xml:space="preserve"> (מ/1913)</t>
  </si>
  <si>
    <t xml:space="preserve">חוק לתיקון פקודת התעבורה (מס' 138), התשפ"ו-2025</t>
  </si>
  <si>
    <t xml:space="preserve"> (פ/5227/25)</t>
  </si>
  <si>
    <t xml:space="preserve"> (כ/1127)</t>
  </si>
  <si>
    <t xml:space="preserve">10.12.2025</t>
  </si>
  <si>
    <t xml:space="preserve">החוק קובע כי נוהג ברכב המיועד להצלת חיי אדם, שמירה על הביטחון, שמירה על שלום הציבור, זיהוי קורבנות אסון או הובלת נפטרים, הנכלל ברשימת סוגי כלי הרכב המפורטת בתוספת השש עשרה לפקודת התעבורה, רשאי לנסוע בנתיב תחבורה ציבורית בכל עת, גם שלא במסגרת נסיעת חירום, וזאת במטרה להקל את ביצוע המשימות שלשמן מיועדים כלי רכב אלה. בין סוגי כלי הרכב המפורטים בתוספת כאמור נכללים אמבולנסים, כבאיות, כלי רכב שמשמשים את שירות בתי הסוהר למשימות מבצעיות או ליווי אסירים, כלי רכב של עמותת זק"א ועוד. יצוין כי לפי הוראות סעיף 41 לפקודת התעבורה, ניתן לשנות את רשימת סוגי כלי הרכב המנויים בתוספת השש עשרה, באמצעות תקנות ששר התחבורה והבטיחות בדרכים מוסמך להתקין באישור ועדת הכלכלה של הכנסת. לצורך אכיפת הוראות החוק, נקבע כי גוף המפעיל כלי רכב מסוגים כאמור יעביר לרשות הרישוי במשרד התחבורה והבטיחות בדרכים רשימה של מספרי הרישום של כלי הרכב האמורים ויעדכן את הרשימה מזמן לזמן. כן נקבע כי מספרי רישום כאמור יהיו זמינים לעיונה של כל רשות מקומית, כדי שזו תוכל להימנע ממתן דוחות תנועה שלא כדין. הוראות החוק לעניין העברת המידע לרשות הרישוי ייכנסו לתוקף בתום שישה חודשים מיום פרסומו של החוק ברשומות. </t>
  </si>
  <si>
    <t xml:space="preserve">הצעת חוק הבנקאות (שירות ללקוח) (תיקון - ביטול פעולה מכוח הרשאה לחיוב בשל היעדר יתרה מספקת בחשבון והגבלת עמלות בשל הרשאה לחיוב), התשפ"ה-2025</t>
  </si>
  <si>
    <t xml:space="preserve"> (פ/5963/25)</t>
  </si>
  <si>
    <t xml:space="preserve">הצעת חוק משפחות חיילים שנספו במערכה (תגמולים ושיקום) (תיקון - שעת הורות בעבודה לאלמן או לאלמנה בשנת האבל הראשונה), התשפ"ה-2025</t>
  </si>
  <si>
    <t xml:space="preserve"> (פ/5898/25)</t>
  </si>
  <si>
    <t xml:space="preserve">הצעת חוק עיון במרשמי המקרקעין ביהודה והשומרון, התשפ"ה-2025</t>
  </si>
  <si>
    <t xml:space="preserve"> (פ/5845/25)</t>
  </si>
  <si>
    <t xml:space="preserve">הצעת חוק למאבק בהברחות נשק (תיקוני חקיקה), התשפ"ה-2025</t>
  </si>
  <si>
    <t xml:space="preserve"> (פ/5832/25)</t>
  </si>
  <si>
    <t xml:space="preserve">הצעת חוק קבלת ילד של משרת מילואים למעון יום והשתתפות המדינה בעלות שכר הלימוד בו, התשפ"ה-2025</t>
  </si>
  <si>
    <t xml:space="preserve"> (פ/5816/25)</t>
  </si>
  <si>
    <t xml:space="preserve">הצעת חוק מניעת חרמות במערכת החינוך, התשפ"ה-2025</t>
  </si>
  <si>
    <t xml:space="preserve"> (פ/5689/25)</t>
  </si>
  <si>
    <t xml:space="preserve"> (פ/5412/25)</t>
  </si>
  <si>
    <t xml:space="preserve">הצעת חוק העונשין (תיקון - תקיפת עיתונאים), התשפ"ה-2024</t>
  </si>
  <si>
    <t xml:space="preserve"> (פ/5048/25)</t>
  </si>
  <si>
    <t xml:space="preserve">הצעת חוק הביטוח הלאומי (תיקון - דמי לידה לעצמאיות - מתן זכות לעבודה חלקית), התשפ"ג-2023</t>
  </si>
  <si>
    <t xml:space="preserve"> (פ/1950/25)</t>
  </si>
  <si>
    <t xml:space="preserve">הצעת חוק לתיקון פקודת התעבורה (הצגת משך הזמן שנותר לאותות ברמזורים), התשפ"ג-2023</t>
  </si>
  <si>
    <t xml:space="preserve"> (פ/1669/25)</t>
  </si>
  <si>
    <t xml:space="preserve">הצעת חוק מינוי תובע מיוחד, התשפ"ו-2025</t>
  </si>
  <si>
    <t xml:space="preserve"> (פ/6353/25)</t>
  </si>
  <si>
    <t xml:space="preserve">08.12.2025</t>
  </si>
  <si>
    <t xml:space="preserve">הצעת חוק קידום הביטחון התזונתי בישראל, התשפ"ו-2025</t>
  </si>
  <si>
    <t xml:space="preserve"> (פ/6352/25)</t>
  </si>
  <si>
    <t xml:space="preserve"> (פ/6351/25)</t>
  </si>
  <si>
    <t xml:space="preserve">הצעת חוק הכללת אמצעי זיהוי ביומטריים ונתוני זיהוי ביומטריים במסמכי זיהוי ובמאגר מידע (תיקון - קבלת תמונת טביעת אצבע של נפטר על ידי יורשו), התשפ"ו-2025</t>
  </si>
  <si>
    <t xml:space="preserve"> (פ/6349/25)</t>
  </si>
  <si>
    <t xml:space="preserve">הצעת חוק לטיפול סביבתי בציוד חשמלי ואלקטרוני ובסוללות (תיקון - חובת מיחזור פסולת סוללות לרכב חשמלי ורכב היברידי), התשפ"ו-2025</t>
  </si>
  <si>
    <t xml:space="preserve"> (פ/6347/25)</t>
  </si>
  <si>
    <t xml:space="preserve">הצעת חוק הרשויות המקומיות (בחירת ראש הרשות וסגניו וכהונתם) (תיקון - סגני ראש הרשות), התשפ״ו-2025</t>
  </si>
  <si>
    <t xml:space="preserve"> (פ/6346/25)</t>
  </si>
  <si>
    <t xml:space="preserve">הצעת חוק מענק לחטוף ששב מן השבי או למשפחתו של חטוף שנרצח בשבי וגופתו הושבה בעקבות מתקפת 7 באוקטובר, התשפ"ו–2025 </t>
  </si>
  <si>
    <t xml:space="preserve"> (פ/6345/25)</t>
  </si>
  <si>
    <t xml:space="preserve"> (פ/6344/25)</t>
  </si>
  <si>
    <t xml:space="preserve">הצעת חוק שירות ביטחון (תיקון - סיוע טיפולי לבוגרי השירות הצבאי), התשפ"ו-2025</t>
  </si>
  <si>
    <t xml:space="preserve"> (פ/6343/25)</t>
  </si>
  <si>
    <t xml:space="preserve">הצעת חוק האזרחות והכניסה לישראל (הוראת שעה) (תיקון - איסור שהייה וישיבה של פעילי טרור וקרוביהם), התשפ"ו-2025</t>
  </si>
  <si>
    <t xml:space="preserve"> (פ/6342/25)</t>
  </si>
  <si>
    <t xml:space="preserve">הצעת חוק הנצחת זכרם של קורבנות הטבח בכפר קאסם, התשפ"ו-2025</t>
  </si>
  <si>
    <t xml:space="preserve"> (פ/6341/25)</t>
  </si>
  <si>
    <t xml:space="preserve">הצעת חוק התכנון והבנייה (תיקון - מורשה להיתר), התשפ"ו-2025</t>
  </si>
  <si>
    <t xml:space="preserve"> (פ/6340/25)</t>
  </si>
  <si>
    <t xml:space="preserve">הצעת חוק הקמת ועדת חקירה ממלכתית לאירועי 7 באוקטובר, התשפ"ו-2025</t>
  </si>
  <si>
    <t xml:space="preserve"> (פ/6339/25)</t>
  </si>
  <si>
    <t xml:space="preserve">הצעת חוק האגודות העותומניות (רישום ופיקוח), התשפ"ו-2025</t>
  </si>
  <si>
    <t xml:space="preserve"> (פ/6338/25)</t>
  </si>
  <si>
    <t xml:space="preserve"> (פ/6337/25)</t>
  </si>
  <si>
    <t xml:space="preserve"> (פ/6336/25)</t>
  </si>
  <si>
    <t xml:space="preserve">חוק לתיקון דיני הראיות (הגנת ילדים) (תיקון מס' 20), התשפ"ו-2025</t>
  </si>
  <si>
    <t xml:space="preserve"> (מ/1904)</t>
  </si>
  <si>
    <t xml:space="preserve">03.12.2025</t>
  </si>
  <si>
    <t xml:space="preserve">הצעת חוק לתיקון דיני הראיות (הגנת ילדים) (תיקון - הרחבת ההסדרים הקבועים בחוק לילדים אשר עברו את גיל 14 במועד העדות), התשפ"ג-2023</t>
  </si>
  <si>
    <t xml:space="preserve"> (פ/2472/25)</t>
  </si>
  <si>
    <t xml:space="preserve">הצעת חוק הביטוח הלאומי (תיקון - הגבלת שכר טרחה עבור טיפול בתביעה לנפגעי איבה), התשפ"ד-2023</t>
  </si>
  <si>
    <t xml:space="preserve"> (פ/4093/25)</t>
  </si>
  <si>
    <t xml:space="preserve">הצעת חוק הנכים (תגמולים ושיקום) (תיקון - הגבלת שכר טרחת עורך דין), התשפ"ג-2023</t>
  </si>
  <si>
    <t xml:space="preserve"> (פ/1662/25)</t>
  </si>
  <si>
    <t xml:space="preserve">הצעת חוק שירות ביטחון (תיקון - מתווה בן-גוריון לדחייה ופטור משירות מטעמי לימודי דת), התשפ"ו-2025</t>
  </si>
  <si>
    <t xml:space="preserve"> (פ/6197/25)</t>
  </si>
  <si>
    <t xml:space="preserve">הצעת חוק התכנון והבנייה (תיקון - הצללת המרחב הציבורי), התשפ"ה-2025</t>
  </si>
  <si>
    <t xml:space="preserve"> (פ/6116/25)</t>
  </si>
  <si>
    <t xml:space="preserve">הצעת חוק-יסוד: הכנסת (תיקון - ייצוג מינימלי לשני המינים ברשימת מועמדים לכנסת)</t>
  </si>
  <si>
    <t xml:space="preserve"> (פ/6058/25)</t>
  </si>
  <si>
    <t xml:space="preserve"> (פ/5562/25)</t>
  </si>
  <si>
    <t xml:space="preserve">הצעת חוק לתיקון פקודת מס הכנסה (פטור ממס למשרת מילואים פעיל) (הוראת שעה - חרבות ברזל), התשפ"ה-2025</t>
  </si>
  <si>
    <t xml:space="preserve"> (פ/5407/25)</t>
  </si>
  <si>
    <t xml:space="preserve">הצעת חוק העונשין (תיקון - החמרת ענישה על סיוע לאויב במלחמה), התשפ"ה-2024</t>
  </si>
  <si>
    <t xml:space="preserve"> (פ/5077/25)</t>
  </si>
  <si>
    <t xml:space="preserve">הצעת חוק משק החשמל (תיקון - תעריף מופחת לבתי חולים בפריפריה), התשפ"ג-2023</t>
  </si>
  <si>
    <t xml:space="preserve"> (פ/2938/25)</t>
  </si>
  <si>
    <t xml:space="preserve"> (פ/1489/25)</t>
  </si>
  <si>
    <t xml:space="preserve">הצעת חוק הטבות לניצולי שואה (תיקון - זכאות למענק הטבות שנתי לבן זוג של ניצול שואה שנפטר), התשפ"ג-2022</t>
  </si>
  <si>
    <t xml:space="preserve"> (פ/366/25)</t>
  </si>
  <si>
    <t xml:space="preserve">הצעת חוק מניעת פגיעת גוף שידורים זר בביטחון המדינה (הוראת שעה - חרבות ברזל) (תיקון - מניעת שידורים), התשפ"ד-2024</t>
  </si>
  <si>
    <t xml:space="preserve"> (פ/4886/25)</t>
  </si>
  <si>
    <t xml:space="preserve">הח"כ המציע חזר בו אחרי דיון מוקדם</t>
  </si>
  <si>
    <t xml:space="preserve">02.12.2025</t>
  </si>
  <si>
    <t xml:space="preserve">חוק הסיוע המשפטי (תיקון מס' 30), התשפ"ו–2025</t>
  </si>
  <si>
    <t xml:space="preserve"> (מ/1859)</t>
  </si>
  <si>
    <t xml:space="preserve">חוק בתי המשפט (תיקון מס' 106), התשפ"ו–2025</t>
  </si>
  <si>
    <t xml:space="preserve"> (פ/3786/24)</t>
  </si>
  <si>
    <t xml:space="preserve"> (כ/917)</t>
  </si>
  <si>
    <t xml:space="preserve">הצעת חוק למניעת אלימות במוסדות למתן טיפול (תיקון - הגברת האכיפה), התשפ״ו-2025</t>
  </si>
  <si>
    <t xml:space="preserve"> (פ/6335/25)</t>
  </si>
  <si>
    <t xml:space="preserve">01.12.2025</t>
  </si>
  <si>
    <t xml:space="preserve"> (פ/6334/25)</t>
  </si>
  <si>
    <t xml:space="preserve"> (פ/6332/25)</t>
  </si>
  <si>
    <t xml:space="preserve">הצעת חוק נציבות תלונות הציבור על עובדים סוציאליים, התשפ"ו-2025</t>
  </si>
  <si>
    <t xml:space="preserve"> (פ/6331/25)</t>
  </si>
  <si>
    <t xml:space="preserve">הצעת חוק סדר הדין הפלילי (תיקון - מניעת ניגודי עניינים בחקירת היועץ המשפטי לממשלה ופרקליט המדינה), התשפ"ו-2025</t>
  </si>
  <si>
    <t xml:space="preserve"> (פ/6330/25)</t>
  </si>
  <si>
    <t xml:space="preserve">הצעת חוק הגנה בסייבר על תלמידי מערכת החינוך, התשפ״ו-2025</t>
  </si>
  <si>
    <t xml:space="preserve"> (פ/6329/25)</t>
  </si>
  <si>
    <t xml:space="preserve">הצעת חוק שלילת הטבות מבכירים במדינת ישראל, התשפ"ו-2025 </t>
  </si>
  <si>
    <t xml:space="preserve"> (פ/6328/25)</t>
  </si>
  <si>
    <t xml:space="preserve">הצעת חוק הטבות לניצולי שואה (תיקון - הגדלת מענק שנתי), התשפ"ו-2025</t>
  </si>
  <si>
    <t xml:space="preserve"> (פ/6326/25)</t>
  </si>
  <si>
    <t xml:space="preserve">הצעת חוק הבנקאות (שירות ללקוח) (תיקון - ביטול פעולה מכוח הרשאה לחיוב בשל היעדר יתרה מספקת בחשבון והגבלת עמלות בשל הרשאה לחיוב), התשפ"ו-2025</t>
  </si>
  <si>
    <t xml:space="preserve"> (פ/6325/25)</t>
  </si>
  <si>
    <t xml:space="preserve">הצעת חוק לתיקון פקודת הבנקאות (חשבונות ללא תנועה), התשפ"ו-2025</t>
  </si>
  <si>
    <t xml:space="preserve"> (פ/6324/25)</t>
  </si>
  <si>
    <t xml:space="preserve">הצעת חוק לביטול ההפליה ברכישת מקרקעין ביהודה והשומרון, התשפ"ו–2025</t>
  </si>
  <si>
    <t xml:space="preserve"> (פ/3468/25)</t>
  </si>
  <si>
    <t xml:space="preserve"> (כ/1164)</t>
  </si>
  <si>
    <t xml:space="preserve">חוק המאבק בטרור (תיקון מס' 9 והוראת שעה) (תיקון), התשפ"ו-2025</t>
  </si>
  <si>
    <t xml:space="preserve"> (מ/1899)</t>
  </si>
  <si>
    <t xml:space="preserve">26.11.2025</t>
  </si>
  <si>
    <t xml:space="preserve">חוק התכנון והבנייה (תיקון מס' 163), התשפ"ה–2025</t>
  </si>
  <si>
    <t xml:space="preserve"> (פ/4940/25)</t>
  </si>
  <si>
    <t xml:space="preserve"> (כ/1126)</t>
  </si>
  <si>
    <t xml:space="preserve">מוצע להרחיב את תחולת ההסדר שנקבע לעניין אזורי עימות המאפשר  תוספת שטח לצורך חדר שירותים או חדר רחצה למרחב מוגן דירתי , לרבות ההוראות לעניין תשלום פיצויים ופטור מהיטל השבחה והליכי הרישוי המקוצרים, לכל רחבי המדינה. כן, לעניין בניין קיים מוצע לקבוע כי גם תוספת למרחב מוגן דירתי שלא תעלה על 3 מ"ר מעל השטח הקבוע לפי חוק ההתגוננות האזרחית, שאינה נועדה להקמת חדר שירותים או חדר רחצה, לא תיחשב כסטייה מתוכנית, גם על שטח זה יחולו ההוראות כאמור לעניין תשלום פיצויים ופטור מהיטל השבחה והליכי רישוי מקוצרים. כמו כן, לעניין בניין שטרם החלה בנייתו מוצע לקבוע כי הוספת השטח הנוסף שאינו לשירותים או חדר רחצה תתאפשר רק בדירות ששטחם עולה על 80 מ"ר לפני הוספת השטח הנוסף . הוראות אלו יחולו רק לגבי תכניות שהופקדו לפני  יום תחילתו של החוק.  עם זאת, יינתן פטור מהיטל השבחה על השטח הנוסף המורחב, ככל שייקבע בתכנית. בנוסף, מוצע להחיל את הוראות התקנות החלות היום רק לגבי תוספת שטח נוסף לצורך שירותים בממ"דים באזורי עימות גם על השטח הנוסף לשירותים בכל הארץ ולגבי השטח הנוסף שלא נועד לצורך חדר שירותים. לבסוף, מוצע להפוך להוראת קבע הוראות אשר אפשרו הקמת מרחב מוגן דירתי בהליך רישוי מקוצר, ולתקן את ההגדרה "דירה קטנה" ולהגדירה כדירה ששטח הבנייה הכולל שלה אינו עולה על 80 מ"ר.</t>
  </si>
  <si>
    <t xml:space="preserve">הצעת חוק לימוד חובה (תיקון - הפחתת תקציב בשל אי-גיוס בוגרים), התשפ"ה- 2025</t>
  </si>
  <si>
    <t xml:space="preserve"> (פ/5910/25)</t>
  </si>
  <si>
    <t xml:space="preserve">הצעת חוק שירותי אבטחה, התשפ"ה-2025</t>
  </si>
  <si>
    <t xml:space="preserve"> (פ/5875/25)</t>
  </si>
  <si>
    <t xml:space="preserve">הצעת חוק מענק לחטוף ששב מן השבי או למשפחתו של חטוף שנרצח בשבי וגופתו הושבה בעקבות מתקפת 7 באוקטובר, התשפ"ה-2025 </t>
  </si>
  <si>
    <t xml:space="preserve"> (פ/5736/25)</t>
  </si>
  <si>
    <t xml:space="preserve">הצעת חוק איסור הפליה במוצרים, בשירותים ובכניסה למקומות בידור ולמקומות ציבוריים (תיקון - הגדלת סכום הפיצוי בלא הוכחת נזק), התשפ"ה-2024</t>
  </si>
  <si>
    <t xml:space="preserve"> (פ/5247/25)</t>
  </si>
  <si>
    <t xml:space="preserve">הצעת חוק-יסוד: השפיטה (תיקון - סמכויות שיפוט ותקנות סדרי דין באישור ועדה)</t>
  </si>
  <si>
    <t xml:space="preserve"> (פ/435/25)</t>
  </si>
  <si>
    <t xml:space="preserve">25.11.2025</t>
  </si>
  <si>
    <t xml:space="preserve">חוק הסדרים במשק המדינה (תיקוני חקיקה להשגת יעדי התקציב) (תיקון מס' 20), התשפ"ו–2025</t>
  </si>
  <si>
    <t xml:space="preserve"> (פ/521/25)</t>
  </si>
  <si>
    <t xml:space="preserve"> (כ/1133)</t>
  </si>
  <si>
    <t xml:space="preserve">הצעת חוק כליאתם והעמדתם לדין של המשתתפים באירועי 7 באוקטובר, התשפ"ו-2025</t>
  </si>
  <si>
    <t xml:space="preserve"> (פ/6320/25)</t>
  </si>
  <si>
    <t xml:space="preserve">24.11.2025</t>
  </si>
  <si>
    <t xml:space="preserve">הצעת חוק לתיקון פקודת הרופאים (אי-הכרה בלימודי רפואה שנערכו במדינות עוינות או ברשות הפלסטינית), התשפ"ו-2025</t>
  </si>
  <si>
    <t xml:space="preserve"> (פ/6319/25)</t>
  </si>
  <si>
    <t xml:space="preserve">הצעת חוק העדפה מתקנת למשרתים בשירות צבאי או לאומי, התשפ"ו-2025</t>
  </si>
  <si>
    <t xml:space="preserve"> (פ/6318/25)</t>
  </si>
  <si>
    <t xml:space="preserve">הצעת חוק בתי הדין הדתיים הדרוזיים (תיקון - כשירות למינוי קאדי מד'הב), התשפ"ו-2025</t>
  </si>
  <si>
    <t xml:space="preserve"> (פ/6317/25)</t>
  </si>
  <si>
    <t xml:space="preserve">הצעת חוק לתיקון פקודת מס הכנסה (ניכוי ריבית על משכנתה וסיוע ברכישת דירה), התשפ"ו-2025</t>
  </si>
  <si>
    <t xml:space="preserve"> (פ/6316/25)</t>
  </si>
  <si>
    <t xml:space="preserve"> (פ/6314/25)</t>
  </si>
  <si>
    <t xml:space="preserve"> (פ/6313/25)</t>
  </si>
  <si>
    <t xml:space="preserve">הצעת חוק העונשין (תיקון - עבירות זיוף עמוק), התשפ"ו-2025</t>
  </si>
  <si>
    <t xml:space="preserve"> (פ/6312/25)</t>
  </si>
  <si>
    <t xml:space="preserve">הצעת חוק העונשין (תיקון - תקיפת עורך דין), התשפ"ו-2025</t>
  </si>
  <si>
    <t xml:space="preserve"> (פ/6311/25)</t>
  </si>
  <si>
    <t xml:space="preserve">הצעת חוק שמירת הניקיון (תיקון - תמרוץ הקמת מיתקני מיון פסולת להגדלת המחזור), התשפ"ו-2025</t>
  </si>
  <si>
    <t xml:space="preserve"> (פ/6310/25)</t>
  </si>
  <si>
    <t xml:space="preserve">הצעת חוק תכנון משק החלב (תיקון - קביעת מחירים וחישוב עלויות ייצור חלב), התשפ"ו-2025</t>
  </si>
  <si>
    <t xml:space="preserve"> (פ/6309/25)</t>
  </si>
  <si>
    <t xml:space="preserve">הצעת חוק הקמת ועדת חקירה ממלכתית למחדלי 7 באוקטובר, התשפ"ו-2025 </t>
  </si>
  <si>
    <t xml:space="preserve"> (פ/6308/25)</t>
  </si>
  <si>
    <t xml:space="preserve"> (פ/6307/25)</t>
  </si>
  <si>
    <t xml:space="preserve">הצעת חוק להנצחת תרומתה של עליית מרכז ומזרח אירופה, התשפ"ו-2025</t>
  </si>
  <si>
    <t xml:space="preserve"> (פ/6306/25)</t>
  </si>
  <si>
    <t xml:space="preserve">הצעת חוק הפיקוח על שירותים פיננסיים (קופות גמל) (תיקון - הפקדה עצמאית לקרן השתלמות), התשפ"ו-2025</t>
  </si>
  <si>
    <t xml:space="preserve"> (פ/6305/25)</t>
  </si>
  <si>
    <t xml:space="preserve">הצעת חוק התכנון והבנייה (תיקון - פטור מהיטל השבחה למוסד ללא כוונות רווח), התשפ"ו-2025</t>
  </si>
  <si>
    <t xml:space="preserve"> (פ/6304/25)</t>
  </si>
  <si>
    <t xml:space="preserve">הצעת חוק העונשין (תיקון - ביטול העבירה על העלבת עובד ציבור), התשפ"ו-2025</t>
  </si>
  <si>
    <t xml:space="preserve"> (פ/6303/25)</t>
  </si>
  <si>
    <t xml:space="preserve">הצעת חוק תגמולים לבני משפחה של חטופים ונעדרים בפעולת איבה (תיקון - תגמול הסתגלות כלכלית), התשפ"ו-2025</t>
  </si>
  <si>
    <t xml:space="preserve"> (פ/6302/25)</t>
  </si>
  <si>
    <t xml:space="preserve">הצעת חוק ביטוח בריאות ממלכתי (תיקון - פנייה לנציב קבילות הציבור), התשפ"ו-2025</t>
  </si>
  <si>
    <t xml:space="preserve"> (פ/6301/25)</t>
  </si>
  <si>
    <t xml:space="preserve">הצעת חוק רישוי שירותים ומקצועות בענף הרכב (תיקון - הסרת מגבלות והרחבת אפשרות יבוא כלי רכב), התשפ"ו-2025</t>
  </si>
  <si>
    <t xml:space="preserve"> (פ/6300/25)</t>
  </si>
  <si>
    <t xml:space="preserve">הצעת חוק הבנקאות (שירות ללקוח) (תיקון - שירות מקוון ללקוח), התשפ"ו-2025</t>
  </si>
  <si>
    <t xml:space="preserve"> (פ/6299/25)</t>
  </si>
  <si>
    <t xml:space="preserve">הצעת חוק זכויות הסטודנט (תיקון - מעונות סטודנטים), התשפ"ו-2025</t>
  </si>
  <si>
    <t xml:space="preserve"> (פ/6298/25)</t>
  </si>
  <si>
    <t xml:space="preserve">חוק לתיקון פקודת מס הכנסה (מס' 283), התשפ"ו-2025</t>
  </si>
  <si>
    <t xml:space="preserve"> (מ/1890)</t>
  </si>
  <si>
    <t xml:space="preserve">19.11.2025</t>
  </si>
  <si>
    <t xml:space="preserve">הצעת חוק שירות המילואים, התשפ"ה-2025</t>
  </si>
  <si>
    <t xml:space="preserve"> (פ/5692/25)</t>
  </si>
  <si>
    <t xml:space="preserve">הצעת חוק קליטת חיילים משוחררים (תיקון - מענק דמי מחייה ללוחמות משוחררות), התשפ"ה-2024</t>
  </si>
  <si>
    <t xml:space="preserve"> (פ/5220/25)</t>
  </si>
  <si>
    <t xml:space="preserve">הצעת חוק הפעלת תחבורה ציבורית בשבת, התשפ"ג-2023</t>
  </si>
  <si>
    <t xml:space="preserve"> (פ/2237/25)</t>
  </si>
  <si>
    <t xml:space="preserve">הצעת חוק החובה למתן חינוך בלתי פורמאלי לילדים ולנוער, התשפ"ג-2023</t>
  </si>
  <si>
    <t xml:space="preserve"> (פ/1398/25)</t>
  </si>
  <si>
    <t xml:space="preserve">הצעת חוק הפעלת תחבורה ציבורית בשבת, התשפ"ג-2022</t>
  </si>
  <si>
    <t xml:space="preserve"> (פ/634/25)</t>
  </si>
  <si>
    <t xml:space="preserve">הצעת חוק המרכז לגביית קנסות, אגרות והוצאות (תיקון מס' 29) (פריסת תשלום בעד חוב שטרם חלף המועד לתשלומו), התשפ"ד-2024</t>
  </si>
  <si>
    <t xml:space="preserve"> (מ/1772)</t>
  </si>
  <si>
    <t xml:space="preserve">18.11.2025</t>
  </si>
  <si>
    <t xml:space="preserve">הצעת חוק הדיור הציבורי (זכויות רכישה) (תיקון - הארכת תוקף והוספת תבחינים לרכישת הדירה), התשפ"ג-2023</t>
  </si>
  <si>
    <t xml:space="preserve"> (פ/3039/25)</t>
  </si>
  <si>
    <t xml:space="preserve">הצעת חוק הדיור הציבורי (זכויות רכישה) (תיקון - הארכת תוקף), התשפ"ג-2023</t>
  </si>
  <si>
    <t xml:space="preserve"> (פ/3016/25)</t>
  </si>
  <si>
    <t xml:space="preserve"> (פ/2727/25)</t>
  </si>
  <si>
    <t xml:space="preserve"> (פ/1395/25)</t>
  </si>
  <si>
    <t xml:space="preserve">הצעת חוק הדיור הציבורי (זכויות רכישה) (תיקון - הארכת תוקף), התשפ"ג-2022</t>
  </si>
  <si>
    <t xml:space="preserve"> (פ/1007/25)</t>
  </si>
  <si>
    <t xml:space="preserve">חוק הכניסה לישראל (תיקון מס' 43 והוראת שעה - חרבות ברזל), התשפ"ו-2025</t>
  </si>
  <si>
    <t xml:space="preserve"> (מ/1867)</t>
  </si>
  <si>
    <t xml:space="preserve">מוצע להרחיב את גדרי פעולת הוועדה המייעצת לשר הפנים, לגביי כל בקשות הארכה לישיבת ביקור לשם העסקה של עובד זר במתן טיפול סיעודי למטופל. עוד מוצע לקבוע כהוראת שעה לתקופה של ארבעה חודשים, הסדר שיאפשר בחינה מחדש ואישור בקשות הארכה של מטופלים שנקלטו במערכת הממוחשבת של רשות האוכלוסין וההגירה, בתקופה שמיום כ"ב בתשרי התשפ"ד (7 באוקטובר 2023) עד יום כ"ב באלול התשפ"ה (15 בספטמבר 2025) או שנדחו באותה תקופה, במקרים בהם הקשר הטיפולי בין המטופל לעובד הזר נמשך מעל שלושה חודשים, ובלבד שהבקשה עומדת בתנאים המוצעים- במועד הגשת בקשת ההארכה העובד לא שהה בישראל מעל התקופה המרבית המוצעת, לא הגיש בקשה למעמד בישראל ולא התקבלה לגביו החלטה שלא לחדש את הרישיון או לבטלו. </t>
  </si>
  <si>
    <t xml:space="preserve">חוק שירות לאומי-אזרחי (תיקון מס' 8), התשפ"ו-2025</t>
  </si>
  <si>
    <t xml:space="preserve"> (מ/1900)</t>
  </si>
  <si>
    <t xml:space="preserve">17.11.2025</t>
  </si>
  <si>
    <t xml:space="preserve">חוק שירות לאומי-אזרחי, התשע"ד–2014, הינו הוראת שעה המסדירה את שירותם של בוגרי ישיבות ומוסדות חינוך חרדיים שמלאו להם 21 שנים, המשרתים בשירות לאומי־אזרחי כתחליף לשירותם בצבא הגנה לישראל. השירות מתבצע בשני מסלולים עיקריים: שירות אזרחי-חברתי בתחומי הבריאות, הרווחה, החינוך, ביטחון הפנים והגנת העורף; ושירות אזרחי-ביטחוני בגופים דוגמת משטרת ישראל, שירות בתי הסוהר והרשות הארצית לכבאות והצלה. החוק כולל הוראות מפורטות לעניין ביצוע השירות, תקופתו, תנאיו וחובות הגופים המפעילים, ומסמיך את הרשות לשירות לאומי-אזרחי על ניהול המערך והפיקוח עליו. כדי להמשיך ולאפשר למי ששירותו הצבאי נדחה להשתלב בשירות לאומי-אזרחי, הוארך תוקפו של החוק מעת לעת. כעת, במסגרת תיקון מס' 8 לחוק, נקבע כי תוקף הוראת השעה יוארך פעם נוספת, כך שהחוק יעמוד בתוקפו עד ליום י"ג בניסן התשפ"ו (31 במרץ 2026). </t>
  </si>
  <si>
    <t xml:space="preserve">הצעת חוק העונשין (תיקון - קנס על החזקת נשק בלתי חוקי), התשפ"ה-2024</t>
  </si>
  <si>
    <t xml:space="preserve"> (פ/5135/25)</t>
  </si>
  <si>
    <t xml:space="preserve">חוק הביטוח הלאומי (תיקון מס' 253 והוראות שעה), התשפ"ה-2025 </t>
  </si>
  <si>
    <t xml:space="preserve"> (מ/1826)</t>
  </si>
  <si>
    <t xml:space="preserve">התיקון לחוק קובע כמה הוראות לעניין חישוב תגמולי מילואים: ראשית, התגמול המינימלי ליום מילואים ימשיך לעמוד על שיעור מוגדל של 95% מהסכום הבסיסי לחודש חלקי 30 (כ-321 ש"ח ליום) עד לסוף שנת 2025.  שנית, כהוראת שעה עבור עובדים עצמאיים ששירתו במילואים בין פברואר 2023 לסוף שנת 2025 והחלו לפעול כעצמאים עד סוף שנת 2024, התגמול יחושב לפי הגבוה מבין אלה: ההכנסה המחושבת לפי השומה הסופית או ההכנסה ששימשה בסיס לחישוב גובה המקדמות ששולמו לביטוח הלאומי ועל פיה שולמו תגמולי המילואים. התיקון יביא, בין השאר לביטול חובות שנוצרו לעצמאים שקיבלו תגמולים לפי המקדמות, הגבוהים מהכנסתם לפי השומה הסופית.  שלישית, נקבע בסעיף 274ב לחוק הביטוח הלאומי כללים לחישוב התגמול במקרה של "סבבי מילואים" בתקופת חירום, כך שמי שנקרא לשירות נוסף בתוך פחות מ-90 ימים מסיום שירות קודם במילואים יקבל תגמול המבוסס על השכר שקדם לסבב המילואים הראשון שלו בתקופת החירום. לפי התיקון, עליית שכר של עד 20% בין הסבבים תובא בחשבון, ואילו עלייה גבוהה מכך תוכר רק אם יוכח שהיא נובעת מעבודה ולא מתגמולי המילואים עצמם; גרירת שכר לפי סעיף 279 לחוק הביטוח הלאומי לא תחול לעניין שירות מילואים נוסף שהחל בתקופת החירום,  למעט לגבי מבוטח שחלו לגביו ההוראות של סעיף 279 לפני תחילת תקופת החירום – שלגביו תתאפשר גרירת השכר אך יחולו ההוראות הנוגעות לחישוב עליית השכר עד 20% ומעל 20%. הוראות אלו לגבי סבבי השירות נכנסו לתוקף ב-1 במאי 2025  לגבי שירות מילואים מאותו מועד ואילך, והן יחולו בתקופת חירום כפי שהיא מוגדרת בתיקון – לפי קריאה למילואים בצו 8, אלא אם כן שר העבודה, בהסכמת שר האוצר ושר הביטחון ובאישור ועדת העבודה והרווחה קבע בצו כי ההוראות לא יחולו בתקופת החירום או חלקה. </t>
  </si>
  <si>
    <t xml:space="preserve">חוק שיפוט בתי דין רבניים (נישואין וגירושין) (תיקון מס' 6 - הוראת שעה), התשפ"ו-2025</t>
  </si>
  <si>
    <t xml:space="preserve"> (מ/1851)</t>
  </si>
  <si>
    <t xml:space="preserve">הצעת חוק למניעת חסימת ציר תנועה חיוני, התשפ״ו-2025</t>
  </si>
  <si>
    <t xml:space="preserve"> (פ/6297/25)</t>
  </si>
  <si>
    <t xml:space="preserve">הצעת חוק קרן סיוע לקבוצות כדורגל חובבניות, התשפ"ו-2025</t>
  </si>
  <si>
    <t xml:space="preserve"> (פ/6293/25)</t>
  </si>
  <si>
    <t xml:space="preserve">הצעת חוק הממשלה (תיקון - כללי אתיקה לחברי הממשלה), התשפ"ו-2025</t>
  </si>
  <si>
    <t xml:space="preserve"> (פ/6291/25)</t>
  </si>
  <si>
    <t xml:space="preserve">הצעת חוק-יסוד: ירושלים בירת ישראל (תיקון - שימור ערכי הטבע והמורשת הלאומית)</t>
  </si>
  <si>
    <t xml:space="preserve"> (פ/6290/25)</t>
  </si>
  <si>
    <t xml:space="preserve">הצעת חוק ההוצאה לפועל (תיקון - איסור עיקול כספים המיועדים לקיום זכויות יסוד), התשפ"ו-2025</t>
  </si>
  <si>
    <t xml:space="preserve"> (פ/6289/25)</t>
  </si>
  <si>
    <t xml:space="preserve">הצעת חוק לביטול חובות עבר לרשויות מקומיות מוחלשות, התשפ״ו-2025</t>
  </si>
  <si>
    <t xml:space="preserve"> (פ/6288/25)</t>
  </si>
  <si>
    <t xml:space="preserve">הצעת חוק איסור הלבנת הון (תיקון - הוספת עבירת סחר לא חוקי בערכי טבע מוגנים), התשפ"ו-2025</t>
  </si>
  <si>
    <t xml:space="preserve"> (פ/6287/25)</t>
  </si>
  <si>
    <t xml:space="preserve">הצעת חוק זכויות הסטודנט (תיקון - התאמות לסטודנטים לא יהודים), התשפ"ו-2025</t>
  </si>
  <si>
    <t xml:space="preserve"> (פ/6284/25)</t>
  </si>
  <si>
    <t xml:space="preserve">הצעת חוק-יסוד: הכנסת (תיקון - התניית הצבעה בשירות צבאי או לאומי)</t>
  </si>
  <si>
    <t xml:space="preserve"> (פ/6283/25)</t>
  </si>
  <si>
    <t xml:space="preserve">הצעת חוק המכר (דירות) (תיקון - חובת מסירת מידע על מנגנון שבת במפרט), התשפ"ו-2025</t>
  </si>
  <si>
    <t xml:space="preserve"> (פ/6282/25)</t>
  </si>
  <si>
    <t xml:space="preserve">הצעת חוק יום לציון עליית יהודי צפון אפריקה לישראל במאה ה-19 (עליית הת"ר), התשפ"ו-2025</t>
  </si>
  <si>
    <t xml:space="preserve"> (פ/6280/25)</t>
  </si>
  <si>
    <t xml:space="preserve">הצעת חוק יום המודעות ליתר לחץ דם, התשפ"ו-2025</t>
  </si>
  <si>
    <t xml:space="preserve"> (פ/6279/25)</t>
  </si>
  <si>
    <t xml:space="preserve"> (פ/6278/25)</t>
  </si>
  <si>
    <t xml:space="preserve">הצעת חוק המקרקעין (תיקון מס' 39) (הצמדת חניות נגישות בבית משותף חדש), התשפ"ו-2025</t>
  </si>
  <si>
    <t xml:space="preserve"> (מ/1905)</t>
  </si>
  <si>
    <t xml:space="preserve"> (פ/6215/25)</t>
  </si>
  <si>
    <t xml:space="preserve">12.11.2025</t>
  </si>
  <si>
    <t xml:space="preserve">הצעת חוק לעידוד השקעות הון (תיקון - הטבות למפעל מתחרה בשוק ריכוזי), התשפ"ה-2025</t>
  </si>
  <si>
    <t xml:space="preserve"> (פ/5923/25)</t>
  </si>
  <si>
    <t xml:space="preserve">הצעת חוק לתיקון פקודת הראיות (חיסיון עיתונאי), התשפ"ה-2025</t>
  </si>
  <si>
    <t xml:space="preserve"> (פ/5793/25)</t>
  </si>
  <si>
    <t xml:space="preserve">הצעת חוק הקמת ועדת חקירה ממלכתית לאירועי 7 באוקטובר, התשפ"ה-2025</t>
  </si>
  <si>
    <t xml:space="preserve"> (פ/5690/25)</t>
  </si>
  <si>
    <t xml:space="preserve">הצעת חוק הביטוח הלאומי (תיקון - הגדלת קצבת אזרח ותיק והצמדתה לשכר הממוצע), התשפ"ה-2024</t>
  </si>
  <si>
    <t xml:space="preserve"> (פ/4936/25)</t>
  </si>
  <si>
    <t xml:space="preserve">הצעת חוק הקמת ועדת חקירה ממלכתית למחדלי 7 באוקטובר, התשפ"ד-2024</t>
  </si>
  <si>
    <t xml:space="preserve"> (פ/4667/25)</t>
  </si>
  <si>
    <t xml:space="preserve">הצעת חוק הביטוח הלאומי (תיקון - תוספת לחייל מילואים בהפקדות לחיסכון ארוך טווח לילד) (הוראת שעה - חרבות ברזל), התשפ"ד-2024</t>
  </si>
  <si>
    <t xml:space="preserve"> (פ/4521/25)</t>
  </si>
  <si>
    <t xml:space="preserve">הצעת חוק העונשין (תיקון - איסור על עינויים ועל יחס אכזרי, בלתי אנושי ומשפיל), התשפ"ג-2023</t>
  </si>
  <si>
    <t xml:space="preserve"> (פ/3699/25)</t>
  </si>
  <si>
    <t xml:space="preserve">הצעת חוק חינוך ממלכתי (תיקון - לימוד מורשת יהודי ברית המועצות לשעבר), התשפ"ג-2023</t>
  </si>
  <si>
    <t xml:space="preserve"> (פ/3230/25)</t>
  </si>
  <si>
    <t xml:space="preserve">הצעת חוק המאבק בטרור (תיקון מס' 12), התשפ"ו–2025</t>
  </si>
  <si>
    <t xml:space="preserve"> (פ/3157/25)</t>
  </si>
  <si>
    <t xml:space="preserve"> (כ/1033)</t>
  </si>
  <si>
    <t xml:space="preserve">הצעת חוק לתיקון פקודת התעבורה (מס' 141), התשפ"ו-2025</t>
  </si>
  <si>
    <t xml:space="preserve"> (מ/1771)</t>
  </si>
  <si>
    <t xml:space="preserve">הצעת חוק זכויות לאנשים עם מוגבלות המועסקים כמשתקמים, התשפ"ג-2023</t>
  </si>
  <si>
    <t xml:space="preserve"> (מ/1634)</t>
  </si>
  <si>
    <t xml:space="preserve">10.11.2025</t>
  </si>
  <si>
    <t xml:space="preserve">הצעת חוק תגמולים לחיילים ולבני משפחותיהם (חבלה שלא בעת מילוי תפקיד) (תיקון - חבלה שאירעה לחייל מילואים בתקופת שירות המילואים במלחמת חרבות ברזל) (הוראת שעה), התשפ"ו-2025</t>
  </si>
  <si>
    <t xml:space="preserve"> (פ/6277/25)</t>
  </si>
  <si>
    <t xml:space="preserve">הצעת חוק לצמצום השימוש במזומן (תיקון - הארכת הוראת השעה לעניין שימוש במזומן בעסקאות עם תושבי האזור או תושבי המועצה הפלסטינית), התשפ"ו-2025</t>
  </si>
  <si>
    <t xml:space="preserve"> (פ/6276/25)</t>
  </si>
  <si>
    <t xml:space="preserve">הצעת חוק המועצה להנצחת מורשת יהדות איראן והמדינות הסמוכות, התשפ"ו-2025</t>
  </si>
  <si>
    <t xml:space="preserve"> (פ/6275/25)</t>
  </si>
  <si>
    <t xml:space="preserve">הצעת חוק קליטת חיילים משוחררים (תיקון - שמירת זכויות לחייל ששירת במילואים בתום שירות סדיר), התשפ"ו-2025</t>
  </si>
  <si>
    <t xml:space="preserve"> (פ/6274/25)</t>
  </si>
  <si>
    <t xml:space="preserve">הצעת חוק לימוד חובה (תיקון - מימון המדינה לביטוח תאונות אישיות והגברת האכיפה והפיקוח על תשלומי הורים), התשפ"ו-2025</t>
  </si>
  <si>
    <t xml:space="preserve"> (פ/6273/25)</t>
  </si>
  <si>
    <t xml:space="preserve">הצעת חוק איסור אלימות בספורט (תיקון - החמרת ענישה ואיסור הסתרת פנים), התשפ"ו-2025</t>
  </si>
  <si>
    <t xml:space="preserve"> (פ/6271/25)</t>
  </si>
  <si>
    <t xml:space="preserve">הצעת חוק לתיקון פקודת מס הכנסה (זיכוי בעד תרומת מזון), התשפ"ו-2025</t>
  </si>
  <si>
    <t xml:space="preserve"> (פ/6270/25)</t>
  </si>
  <si>
    <t xml:space="preserve">הצעת חוק איסור הפליית משרתים בשירות הביטחוני, הלאומי והאזרחי, התשפ"ו-2025 </t>
  </si>
  <si>
    <t xml:space="preserve"> (פ/6269/25)</t>
  </si>
  <si>
    <t xml:space="preserve">הצעת חוק צער בעלי חיים (הגנה על בעלי חיים) (תיקון - איסור שימוש בתרנגולות במנהג הכפרות), התשפ"ו-2025</t>
  </si>
  <si>
    <t xml:space="preserve"> (פ/6268/25)</t>
  </si>
  <si>
    <t xml:space="preserve">הצעת חוק הבנקאות (שירות ללקוח) (תיקון - עיקול זמני), התשפ"ו-2025</t>
  </si>
  <si>
    <t xml:space="preserve"> (פ/6267/25)</t>
  </si>
  <si>
    <t xml:space="preserve">הצעת חוק לתיקון פקודת המשטרה (הצבת מערכת צילום ביומטרית לצורך מניעת אלימות במגרשי הספורט) (הוראת שעה), התשפ"ו-2025</t>
  </si>
  <si>
    <t xml:space="preserve"> (פ/6266/25)</t>
  </si>
  <si>
    <t xml:space="preserve">הצעת חוק הרשות לטיפול בנפגעי פוסט-טראומה והלומי קרב, התשפ"ו-2025</t>
  </si>
  <si>
    <t xml:space="preserve"> (פ/6265/25)</t>
  </si>
  <si>
    <t xml:space="preserve">הצעת חוק התחרות הכלכלית (תיקון - הגבלת העלאת מחירים במונופולין), התשפ"ו-2025</t>
  </si>
  <si>
    <t xml:space="preserve"> (פ/6264/25)</t>
  </si>
  <si>
    <t xml:space="preserve">הצעת חוק המינהל האזרחי (הכפפת קציני מטה למשרדי הממשלה), התשפ״ו-2025</t>
  </si>
  <si>
    <t xml:space="preserve"> (פ/6263/25)</t>
  </si>
  <si>
    <t xml:space="preserve">הצעת חוק יום לציון זכרו ופועלו של אלי כהן, התשפ"ו-2025</t>
  </si>
  <si>
    <t xml:space="preserve"> (פ/6262/25)</t>
  </si>
  <si>
    <t xml:space="preserve">הצעת חוק צער בעלי חיים (ניסויים בבעלי חיים) (תיקון - הגברת הפיקוח על ניסויים), התשפ"ו-2025</t>
  </si>
  <si>
    <t xml:space="preserve"> (פ/6261/25)</t>
  </si>
  <si>
    <t xml:space="preserve">הצעת חוק בתי המשפט (תיקון מס' 108) (פרסום פסיקה בענייני משפחה), התשפ"ו–2025</t>
  </si>
  <si>
    <t xml:space="preserve"> (פ/4798/25)</t>
  </si>
  <si>
    <t xml:space="preserve"> (כ/1161)</t>
  </si>
  <si>
    <t xml:space="preserve">הצעת חוק מרשם בעלי שליטה בתאגידים, התשפ"ו-2025</t>
  </si>
  <si>
    <t xml:space="preserve"> (מ/1903)</t>
  </si>
  <si>
    <t xml:space="preserve">הצעת חוק איסור הלבנת הון (תיקון - הוספת עבירת סחר לא חוקי בערכי טבע מוגנים), התשפ"ה-2025</t>
  </si>
  <si>
    <t xml:space="preserve"> (פ/5779/25)</t>
  </si>
  <si>
    <t xml:space="preserve">05.11.2025</t>
  </si>
  <si>
    <t xml:space="preserve">הצעת חוק לתיקון פקודת התעבורה (זמינות קווי שירות לאוטובוסים בלילה), התשפ"ה-2025</t>
  </si>
  <si>
    <t xml:space="preserve"> (פ/5708/25)</t>
  </si>
  <si>
    <t xml:space="preserve"> (פ/5683/25)</t>
  </si>
  <si>
    <t xml:space="preserve">הצעת חוק הרחבת האמצעים למאבק בארגוני פשיעה (תיקוני חקיקה), התשפ"ו–2025</t>
  </si>
  <si>
    <t xml:space="preserve"> (פ/3887/25)</t>
  </si>
  <si>
    <t xml:space="preserve"> (כ/1160)</t>
  </si>
  <si>
    <t xml:space="preserve">הצעת חוק-יסוד: כבוד האדם וחירותו (תיקון - הוספת סעיף שוויון)</t>
  </si>
  <si>
    <t xml:space="preserve"> (פ/342/25)</t>
  </si>
  <si>
    <t xml:space="preserve">הצעת חוק העסקת עובדים על ידי קבלני כוח אדם (תיקון מס' 13), התשפ"ו-2025</t>
  </si>
  <si>
    <t xml:space="preserve"> (מ/1782)</t>
  </si>
  <si>
    <t xml:space="preserve">04.11.2025</t>
  </si>
  <si>
    <t xml:space="preserve">חוק סדר הדין הפלילי (תיקון מס' 101), התשפ"ו-2025</t>
  </si>
  <si>
    <t xml:space="preserve"> (מ/1840)</t>
  </si>
  <si>
    <t xml:space="preserve">03.11.2025</t>
  </si>
  <si>
    <t xml:space="preserve">הצעת חוק תשלומים לפדויי שבי ולחטופים ששוחררו (תיקון - זכויות לחטופים ששהו בשבי ארגון טרור ושוחררו), התשפ"ו-2025</t>
  </si>
  <si>
    <t xml:space="preserve"> (פ/6259/25)</t>
  </si>
  <si>
    <t xml:space="preserve"> (פ/6258/25)</t>
  </si>
  <si>
    <t xml:space="preserve"> (פ/6257/25)</t>
  </si>
  <si>
    <t xml:space="preserve">הצעת חוק לתיקון פקודת המשטרה (הגבלת הסמכות להורות על מניעת גישה לאזור או למקום), התשפ"ו-2025</t>
  </si>
  <si>
    <t xml:space="preserve"> (פ/6256/25)</t>
  </si>
  <si>
    <t xml:space="preserve">הצעת חוק הביטוח הלאומי (תיקון - עבודה מועדפת במסגרת מגורים עצמאית ומוגנת למתמודדי נפש), התשפ"ו-2025</t>
  </si>
  <si>
    <t xml:space="preserve"> (פ/6255/25)</t>
  </si>
  <si>
    <t xml:space="preserve">הצעת חוק לתיקון פקודת העדה הדתית (המרה) (גיור קטינים על ידי רב עיר), התשפ"ו-2025</t>
  </si>
  <si>
    <t xml:space="preserve"> (פ/6254/25)</t>
  </si>
  <si>
    <t xml:space="preserve">הצעת חוק הביטוח הלאומי (תיקון - אי-זכאות לקצבת ילדים להורה שלא שירת בשירות מזכה), התשפ"ו-2025</t>
  </si>
  <si>
    <t xml:space="preserve"> (פ/6251/25)</t>
  </si>
  <si>
    <t xml:space="preserve">הצעת חוק הכניסה לישראל (תיקון - קיצור תקופת ביטול אשרה לעובד זר), התשפ"ו-2025</t>
  </si>
  <si>
    <t xml:space="preserve"> (פ/6250/25)</t>
  </si>
  <si>
    <t xml:space="preserve">הצעת חוק הנכים (תגמולים ושיקום) (תיקון - מבחנים לקביעת דרגת נכות לפגועי ראש), התשפ"ו-2025</t>
  </si>
  <si>
    <t xml:space="preserve"> (פ/6248/25)</t>
  </si>
  <si>
    <t xml:space="preserve">הצעת חוק-יסוד: הכרה במדינה פלסטינית</t>
  </si>
  <si>
    <t xml:space="preserve"> (פ/6246/25)</t>
  </si>
  <si>
    <t xml:space="preserve">הצעת חוק הגבלת שחרור פעילי טרור בתמורה לחטופים, התשפ"ו-2025</t>
  </si>
  <si>
    <t xml:space="preserve"> (פ/6245/25)</t>
  </si>
  <si>
    <t xml:space="preserve">הצעת חוק הגנת הצרכן (תיקון - קבלת הטבות ללא פעולה), התשפ"ו-2025</t>
  </si>
  <si>
    <t xml:space="preserve"> (פ/6244/25)</t>
  </si>
  <si>
    <t xml:space="preserve">הצעת חוק שעות עבודה ומנוחה (תיקון - שבוע עבודה בן חמישה ימים וקביעת יום ראשון כיום חופשי), התשפ"ו-2025</t>
  </si>
  <si>
    <t xml:space="preserve"> (פ/6243/25)</t>
  </si>
  <si>
    <t xml:space="preserve"> (פ/6242/25)</t>
  </si>
  <si>
    <t xml:space="preserve">הצעת חוק השידור הציבורי הישראלי (תיקון - דרך מינוי מועצת תאגיד השידור הישראלי), התשפ"ה-2025</t>
  </si>
  <si>
    <t xml:space="preserve"> (פ/5389/25)</t>
  </si>
  <si>
    <t xml:space="preserve">29.10.2025</t>
  </si>
  <si>
    <t xml:space="preserve">הצעת חוק לתיקון פקודת מס הכנסה (שלילת הכרה בעמותות המעודדות השתמטות משירות ביטחון), התשפ״ה-2025</t>
  </si>
  <si>
    <t xml:space="preserve"> (פ/6146/25)</t>
  </si>
  <si>
    <t xml:space="preserve">הצעת חוק קליטת חיילים משוחררים (תיקון - שמירת זכויות לחייל ששירת במילואים בתום שירות סדיר), התשפ"ה-2025</t>
  </si>
  <si>
    <t xml:space="preserve"> (פ/5971/25)</t>
  </si>
  <si>
    <t xml:space="preserve">הצעת חוק הנצחת זכרם של קורבנות הטבח בכפר קאסם, התשפ"ה-2025</t>
  </si>
  <si>
    <t xml:space="preserve"> (פ/5809/25)</t>
  </si>
  <si>
    <t xml:space="preserve">הצעת חוק איסור אלימות בספורט (תיקון - החמרת ענישה ואיסור הסתרת פנים), התשפ"ה-2025</t>
  </si>
  <si>
    <t xml:space="preserve"> (פ/5504/25)</t>
  </si>
  <si>
    <t xml:space="preserve">הצעת חוק הרשות לטיפול בנפגעי הלם קרב, התשפ"ה-2024</t>
  </si>
  <si>
    <t xml:space="preserve"> (פ/4921/25)</t>
  </si>
  <si>
    <t xml:space="preserve">הצעת חוק האקלים, התשפ"ג-2023</t>
  </si>
  <si>
    <t xml:space="preserve"> (פ/2141/25)</t>
  </si>
  <si>
    <t xml:space="preserve">הצעת חוק קביעת הזמן (תיקון - ביטול שעון חורף), התשפ"ג- 2022</t>
  </si>
  <si>
    <t xml:space="preserve"> (פ/859/25)</t>
  </si>
  <si>
    <t xml:space="preserve">הצעת חוק להקפאת כספים ששילמה הרשות הפלסטינית בזיקה לטרור מהכספים המועברים אליה מממשלת ישראל (תיקון - הקפאה וקיזוז כספים ששילמה הרשות הפלסטינית לארגון הטרור חמאס), התשפ"ה-2025</t>
  </si>
  <si>
    <t xml:space="preserve"> (פ/5699/25)</t>
  </si>
  <si>
    <t xml:space="preserve">28.10.2025</t>
  </si>
  <si>
    <t xml:space="preserve">הצעת חוק הסדרת העיסוק במקצועות הבריאות (תיקון - מסלול הסבה בדימות רפואי לבוגרי תואר ראשון מחוץ לארץ), התשפ"ו-2025</t>
  </si>
  <si>
    <t xml:space="preserve"> (פ/6239/25)</t>
  </si>
  <si>
    <t xml:space="preserve">27.10.2025</t>
  </si>
  <si>
    <t xml:space="preserve">הצעת חוק מדינות אויב ומדינות עוינות, התשפ"ו-2025</t>
  </si>
  <si>
    <t xml:space="preserve"> (פ/6238/25)</t>
  </si>
  <si>
    <t xml:space="preserve">הצעת חוק לתיקון פקודת החברות (עסקאות פקטורינג), התשפ"ו-2025</t>
  </si>
  <si>
    <t xml:space="preserve"> (פ/6237/25)</t>
  </si>
  <si>
    <t xml:space="preserve">הצעת חוק שיקום מתמודדי נפש בקהילה (תיקון - הסדרת מעמד מדריכי שיקום), התשפ"ו-2025</t>
  </si>
  <si>
    <t xml:space="preserve"> (פ/6235/25)</t>
  </si>
  <si>
    <t xml:space="preserve">הצעת חוק העונשין (תיקון - הגדרת גזענות), התשפ"ו-2025</t>
  </si>
  <si>
    <t xml:space="preserve"> (פ/6234/25)</t>
  </si>
  <si>
    <t xml:space="preserve"> (פ/6233/25)</t>
  </si>
  <si>
    <t xml:space="preserve">הצעת חוק מיסוי מקרקעין (שבח ורכישה) (תיקון - הקניית זכות במקרקעין חלף בית שנהרס או חולל באירוע טרור), התשפ"ו-2025</t>
  </si>
  <si>
    <t xml:space="preserve"> (פ/6232/25)</t>
  </si>
  <si>
    <t xml:space="preserve">הצעת חוק הבנקאות (שירות ללקוח) (תיקון - חובת הדרכה פיננסית), התשפ"ו-2025</t>
  </si>
  <si>
    <t xml:space="preserve"> (פ/6231/25)</t>
  </si>
  <si>
    <t xml:space="preserve">הצעת חוק אסדרת שוק הקנאביס לצריכה עצמית, התשפ"ו-2025</t>
  </si>
  <si>
    <t xml:space="preserve"> (פ/6230/25)</t>
  </si>
  <si>
    <t xml:space="preserve"> (פ/6229/25)</t>
  </si>
  <si>
    <t xml:space="preserve"> (פ/6228/25)</t>
  </si>
  <si>
    <t xml:space="preserve"> (פ/6227/25)</t>
  </si>
  <si>
    <t xml:space="preserve">הצעת חוק קביעת הזמן (תיקון - ביטול שעון חורף), התשפ"ו-2025</t>
  </si>
  <si>
    <t xml:space="preserve"> (פ/6226/25)</t>
  </si>
  <si>
    <t xml:space="preserve">הצעת חוק חסינות חברי הכנסת, זכויותיהם וחובותיהם (תיקון - שירות מילואים לחברי כנסת), התשפ"ו-2025</t>
  </si>
  <si>
    <t xml:space="preserve"> (פ/6224/25)</t>
  </si>
  <si>
    <t xml:space="preserve">הצעת חוק איסור פרסומת והגבלת השיווק של מוצרי טבק ועישון (תיקון - איסור על ייצור ושיווק של מוצר עישון בטעם או בריח מובחן), התשפ"ו-2025 </t>
  </si>
  <si>
    <t xml:space="preserve"> (פ/6223/25)</t>
  </si>
  <si>
    <t xml:space="preserve">הצעת חוק תכנון משק החלב (תיקון - ביטול החוק), התשפ"ו-2025</t>
  </si>
  <si>
    <t xml:space="preserve"> (פ/6222/25)</t>
  </si>
  <si>
    <t xml:space="preserve">הצעת חוק הבנקאות (שירות ללקוח) (תיקון - ביטול צו עיקול), התשפ"ו-2025</t>
  </si>
  <si>
    <t xml:space="preserve"> (פ/6221/25)</t>
  </si>
  <si>
    <t xml:space="preserve">הצעת חוק לתיקון פקודת מס הכנסה (שלילת הכרה בעמותות המעודדות השתמטות משירות ביטחון), התשפ״ו-2025</t>
  </si>
  <si>
    <t xml:space="preserve"> (פ/6220/25)</t>
  </si>
  <si>
    <t xml:space="preserve">הצעת חוק יידוע ודיווח על מינוי יועצים חיצוניים לחברי ועדת השרים לענייני ביטחון לאומי ולראש הממשלה, התשפ"ה-2025</t>
  </si>
  <si>
    <t xml:space="preserve"> (פ/5959/25)</t>
  </si>
  <si>
    <t xml:space="preserve">22.10.2025</t>
  </si>
  <si>
    <t xml:space="preserve">הצעת חוק סיוע כלכלי לעידוד לומדי תורה וסטודנטים נזקקים (תיקון - קיום הוראות חוק שירות ביטחון כתנאי לסיוע), התשפ"ה-2025</t>
  </si>
  <si>
    <t xml:space="preserve"> (פ/5941/25)</t>
  </si>
  <si>
    <t xml:space="preserve">הצעת חוק התניית הטבות בדיור בקיום חובות לפי חוק שירות ביטחון, התשפ"ה-2025 </t>
  </si>
  <si>
    <t xml:space="preserve"> (פ/5939/25)</t>
  </si>
  <si>
    <t xml:space="preserve">הצעת חוק הביטוח הלאומי (תיקון - קיום הוראות חוק שירות ביטחון כתנאי לתשלום דמי ביטוח לאומי מופחתים), התשפ"ה-2025</t>
  </si>
  <si>
    <t xml:space="preserve"> (פ/5938/25)</t>
  </si>
  <si>
    <t xml:space="preserve">הצעת חוק החלת ריבונות על מעלה אדומים, התשפ"ה-2025</t>
  </si>
  <si>
    <t xml:space="preserve"> (פ/5900/25)</t>
  </si>
  <si>
    <t xml:space="preserve">הצעת חוק הביטוח הלאומי (תיקון - אי-זכאות לקצבת ילדים להורה שלא שירת בשירות מזכה), התשפ"ה-2025</t>
  </si>
  <si>
    <t xml:space="preserve"> (פ/5853/25)</t>
  </si>
  <si>
    <t xml:space="preserve">הצעת חוק החלת הריבונות של מדינת ישראל בחבלי יהודה והשומרון, התשפ"ה-2025</t>
  </si>
  <si>
    <t xml:space="preserve"> (פ/5760/25)</t>
  </si>
  <si>
    <t xml:space="preserve">הצעת חוק מינהלת מילואים, התשפ"ה-2025</t>
  </si>
  <si>
    <t xml:space="preserve"> (פ/5470/25)</t>
  </si>
  <si>
    <t xml:space="preserve">חוק לתמיכה בפעולות לטובת נכים ונפגעי פעולות איבה (תיקוני חקיקה), התשפ"ו–2025</t>
  </si>
  <si>
    <t xml:space="preserve"> (פ/5822/25)</t>
  </si>
  <si>
    <t xml:space="preserve"> (כ/1145)</t>
  </si>
  <si>
    <t xml:space="preserve">21.10.2025</t>
  </si>
  <si>
    <t xml:space="preserve">נקבע כי תקציב שנתי לתמיכה במוסדות ציבור לשם קיום פעולות לטובת נכי צה"ל לא יפחת מ-150 מיליון שקלים חדשים בשנה וכי תקציב שנתי לתמיכה במוסדות ציבור לשם קיום פעולות לטובת נפגעי פעולות איבה לא יפחת מ-10 מיליון שקלים חדשים בשנה. הסכום האמור ישמש גם לתמיכה במוסדות ציבור המקיימים פעולות לטובת קרובי משפחה של מי שפגיעת איבה גרמה למותו. התקציב יחולק בהתאם למבחני תמיכה שיקבעו שר הביטחון - לעניין נכי צה"ל והשר שהמוסד לביטוח לאומי נמצא בתחום אחריותו או שר אחר שהסמיכה הממשלה – לעניין נפגעי פעולות איבה. כמו כן נקבעה חובת דיווח שנתית של המוסדות המקבלים תמיכה לשרים ושל השרים לוועדת העבודה והרווחה. </t>
  </si>
  <si>
    <t xml:space="preserve">הצעת חוק הסדרת העיסוק בקרינה מייננת, התשפ"ו-2025</t>
  </si>
  <si>
    <t xml:space="preserve"> (מ/1654)</t>
  </si>
  <si>
    <t xml:space="preserve">20.10.2025</t>
  </si>
  <si>
    <t xml:space="preserve">הצעת חוק האזרחות והכניסה לישראל (הוראת שעה) (תיקון - מתן תושבות לדרוזים מסוריה הדרומית), התשפ"ו-2025</t>
  </si>
  <si>
    <t xml:space="preserve"> (פ/6219/25)</t>
  </si>
  <si>
    <t xml:space="preserve">הצעת חוק סדר הדין הפלילי (תיקון - צמצום מספר הדיונים מטעמי ביטחון המדינה), התשפ״ו-2025</t>
  </si>
  <si>
    <t xml:space="preserve"> (פ/6218/25)</t>
  </si>
  <si>
    <t xml:space="preserve"> (פ/6217/25)</t>
  </si>
  <si>
    <t xml:space="preserve">הצעת חוק רשות ההסברה הלאומית, התשפ"ו-2025</t>
  </si>
  <si>
    <t xml:space="preserve"> (פ/6216/25)</t>
  </si>
  <si>
    <t xml:space="preserve">הצעת חוק זכאות למשרתי מילואים יחידים במסגרת תוכנית מחיר למשתכן, התשפ״ו-2025</t>
  </si>
  <si>
    <t xml:space="preserve"> (פ/6214/25)</t>
  </si>
  <si>
    <t xml:space="preserve">הצעת חוק בתי קברות צבאיים (תיקון - ועדת חריגים להכרה בזכאות לקבורה צבאית), התשפ"ו-2025</t>
  </si>
  <si>
    <t xml:space="preserve"> (פ/6213/25)</t>
  </si>
  <si>
    <t xml:space="preserve">הצעת חוק זכויות הסטודנט (תיקון - העדפה מתקנת לתושבי הנגב), התשפ"ו-2025</t>
  </si>
  <si>
    <t xml:space="preserve"> (פ/6212/25)</t>
  </si>
  <si>
    <t xml:space="preserve"> (פ/6210/25)</t>
  </si>
  <si>
    <t xml:space="preserve">הצעת חוק לעידוד הסעות שיתופיות (תיקוני חקיקה), התשפ"ו-2025</t>
  </si>
  <si>
    <t xml:space="preserve"> (פ/6209/25)</t>
  </si>
  <si>
    <t xml:space="preserve">הצעת חוק הכשרות המשפטית והאפוטרופסות (תיקון - אפוטרופוס לדין), התשפ"ו-2025</t>
  </si>
  <si>
    <t xml:space="preserve"> (פ/6208/25)</t>
  </si>
  <si>
    <t xml:space="preserve">הצעת חוק לתיקון פקודת מסילות הברזל (העלאת אופניים לרכבת), התשפ"ו-2025</t>
  </si>
  <si>
    <t xml:space="preserve"> (פ/6207/25)</t>
  </si>
  <si>
    <t xml:space="preserve">הצעת חוק הגנת הצרכן (תיקון - סיכום פניה), התשפ"ו-2025</t>
  </si>
  <si>
    <t xml:space="preserve"> (פ/6206/25)</t>
  </si>
  <si>
    <t xml:space="preserve">הצעת חוק לתיקון פקודת מסילות הברזל (פטור מתשלום דמי נסיעה לעגלת ילדים), התשפ"ו-2025</t>
  </si>
  <si>
    <t xml:space="preserve"> (פ/6205/25)</t>
  </si>
  <si>
    <t xml:space="preserve"> (פ/6204/25)</t>
  </si>
  <si>
    <t xml:space="preserve">הצעת חוק התכנון והבנייה (תיקון - מכירה ישירה של תוצרת חקלאית), התשפ"ו-2025</t>
  </si>
  <si>
    <t xml:space="preserve"> (פ/6202/25)</t>
  </si>
  <si>
    <t xml:space="preserve">הצעת חוק מרשם האוכלוסין (תיקון - קביעת מינו של אדם בתיעוד ממשלתי - אמת), התשפ"ו-2025</t>
  </si>
  <si>
    <t xml:space="preserve"> (פ/6200/25)</t>
  </si>
  <si>
    <t xml:space="preserve">הצעת חוק-יסוד: הכנסת (תיקון - הורדת גיל הבחירה) </t>
  </si>
  <si>
    <t xml:space="preserve"> (פ/6199/25)</t>
  </si>
  <si>
    <t xml:space="preserve">הצעת חוק רמת הגולן (תיקון - החלת ריבונות על אזורים שהיו בשליטת ישראל בסיום מלחמת יום הכיפורים), התשפ"ו-2025</t>
  </si>
  <si>
    <t xml:space="preserve"> (פ/6198/25)</t>
  </si>
  <si>
    <t xml:space="preserve">הצעת חוק גנים לאומיים, שמורות טבע, אתרים לאומיים ואתרי הנצחה (תיקון - הסדרת תחבורה ציבורית), התשפ"ו-2025</t>
  </si>
  <si>
    <t xml:space="preserve"> (פ/6196/25)</t>
  </si>
  <si>
    <t xml:space="preserve">הצעת חוק התכנון והבנייה (תיקון - הוספת נציגי ארגונים סביבתיים בוועדות התכנון הארציות, האזוריות, המקומיות ובוועדות המיוחדות), התשפ״ו-2025</t>
  </si>
  <si>
    <t xml:space="preserve"> (פ/6195/25)</t>
  </si>
  <si>
    <t xml:space="preserve">הצעת חוק הסיוע המשפטי (תיקון - סיוע משפטי למטופלים סיעודיים), התשפ"ו-2025 </t>
  </si>
  <si>
    <t xml:space="preserve"> (פ/6194/25)</t>
  </si>
  <si>
    <t xml:space="preserve">הצעת חוק הבחירות לכנסת (תיקון - ביטול אחוז החסימה ותיקון הסכמי עודפים), התשפ"ו-2025</t>
  </si>
  <si>
    <t xml:space="preserve"> (פ/6193/25)</t>
  </si>
  <si>
    <t xml:space="preserve">הצעת חוק עידוד תרומות מזון (תיקון - חובת העברת עודפי מזון לארגון לחלוקת מזון), התשפ"ו-2025</t>
  </si>
  <si>
    <t xml:space="preserve"> (פ/6192/25)</t>
  </si>
  <si>
    <t xml:space="preserve">הצעת חוק הרשות הממשלתית להתחדשות עירונית (תיקון - הפחתת התלות בתחבורה ממונעת), התשפ״ו-2025</t>
  </si>
  <si>
    <t xml:space="preserve"> (פ/6191/25)</t>
  </si>
  <si>
    <t xml:space="preserve">הצעת חוק לעידוד השקעות הון (תיקון - מפעל בר-תחרות כמפעל הממוקם עד 2 ק"מ מהגבול הצפוני), התשפ"ו-2025</t>
  </si>
  <si>
    <t xml:space="preserve"> (פ/6190/25)</t>
  </si>
  <si>
    <t xml:space="preserve">הצעת חוק-יסוד: נשיא המדינה (תיקון - ייחוד כהונה) </t>
  </si>
  <si>
    <t xml:space="preserve"> (פ/6189/25)</t>
  </si>
  <si>
    <t xml:space="preserve">הצעת חוק המרכז להנצחת מורשתו של הנשיא יצחק נבון, התשפ"ו-2025</t>
  </si>
  <si>
    <t xml:space="preserve"> (פ/6188/25)</t>
  </si>
  <si>
    <t xml:space="preserve">הצעת חוק התכנון והבנייה (תיקון - הגבלת הספקת חשמל, מים וטלפון), התשפ"ו-2025</t>
  </si>
  <si>
    <t xml:space="preserve"> (פ/6187/25)</t>
  </si>
  <si>
    <t xml:space="preserve">הצעת חוק השכירות והשאילה (תיקון - איסור הטלת דמי תיווך על השוכר), התשפ"ו-2025</t>
  </si>
  <si>
    <t xml:space="preserve"> (פ/6186/25)</t>
  </si>
  <si>
    <t xml:space="preserve">הצעת חוק-יסוד: ההגירה לישראל</t>
  </si>
  <si>
    <t xml:space="preserve"> (פ/6185/25)</t>
  </si>
  <si>
    <t xml:space="preserve">הצעת חוק-יסוד: הכנסת (תיקון - ביטול הפסקת חברות של חבר הכנסת)</t>
  </si>
  <si>
    <t xml:space="preserve"> (פ/6184/25)</t>
  </si>
  <si>
    <t xml:space="preserve">הצעת חוק הממשלה (תיקון - דיווח על נסיעות שרים לחוץ לארץ), התשפ"ו-2025</t>
  </si>
  <si>
    <t xml:space="preserve"> (פ/6183/25)</t>
  </si>
  <si>
    <t xml:space="preserve">הצעת חוק הכרה ברצח העם הארמני וציון יום זיכרון, התשפ"ו-2025</t>
  </si>
  <si>
    <t xml:space="preserve"> (פ/6182/25)</t>
  </si>
  <si>
    <t xml:space="preserve">הצעת חוק היועץ המשפטי לראש הממשלה (מינוי וכהונה), התשפ"ו-2025</t>
  </si>
  <si>
    <t xml:space="preserve"> (פ/6181/25)</t>
  </si>
  <si>
    <t xml:space="preserve">הצעת חוק לביצוע התאמות אקלימיות בדירת מגורים, התשפ"ו-2025</t>
  </si>
  <si>
    <t xml:space="preserve"> (פ/6180/25)</t>
  </si>
  <si>
    <t xml:space="preserve">הצעת חוק לימוד חובה (תיקון - מנהל מוסד חינוך), התשפ"ו-2025</t>
  </si>
  <si>
    <t xml:space="preserve"> (פ/6179/25)</t>
  </si>
  <si>
    <t xml:space="preserve">הצעת חוק הרשויות המקומיות (מימון בחירות) (הוראת שעה) (הארכת מועד לבקשת קבלת מימון), התשפ"ו-2025</t>
  </si>
  <si>
    <t xml:space="preserve"> (פ/6178/25)</t>
  </si>
  <si>
    <t xml:space="preserve">הצעת חוק הכניסה לישראל (תיקון - רישיון ואשרה לעובדים זרים), התשפ"ו-2025</t>
  </si>
  <si>
    <t xml:space="preserve"> (פ/6177/25)</t>
  </si>
  <si>
    <t xml:space="preserve">הצעת חוק השבות (תיקון - זכויות בני משפחה), התשפ"ו-2025</t>
  </si>
  <si>
    <t xml:space="preserve"> (פ/6176/25)</t>
  </si>
  <si>
    <t xml:space="preserve">הצעת חוק שירותי תשלום (תיקון - הודעה למשלם על כרטיס חיוב לא פעיל ועל מועד סיום פטור מדמי השימוש), התשפ"ו-2025</t>
  </si>
  <si>
    <t xml:space="preserve"> (פ/6175/25)</t>
  </si>
  <si>
    <t xml:space="preserve">הצעת חוק הגנת הצרכן (תיקון - החמרת האכיפה והענישה על אי-הצגת מחיר על טובין על ידי קמעונאי גדול), התשפ"ו-2025</t>
  </si>
  <si>
    <t xml:space="preserve"> (פ/6174/25)</t>
  </si>
  <si>
    <t xml:space="preserve">הצעת חוק הביטוח הלאומי (תיקון - דמי פגיעה לעובד עצמאי), התשפ"ו-2025</t>
  </si>
  <si>
    <t xml:space="preserve"> (פ/6173/25)</t>
  </si>
  <si>
    <t xml:space="preserve">הצעת חוק לימוד חובה (תיקון - חינוך חינם לפעוטות), התשפ"ו-2025</t>
  </si>
  <si>
    <t xml:space="preserve"> (פ/6172/25)</t>
  </si>
  <si>
    <t xml:space="preserve">הצעת חוק הטיס (תיקון מס' 7), התשפ"ו–2025</t>
  </si>
  <si>
    <t xml:space="preserve"> (מ/1897)</t>
  </si>
  <si>
    <t xml:space="preserve">הצעת חוק הסניגוריה הציבורית (תיקון מס' 26) (הסתייעות במומחה או בחוקר לצורך ניהול הייצוג המשפטי), התשפ"ו-2025</t>
  </si>
  <si>
    <t xml:space="preserve"> (מ/1894)</t>
  </si>
  <si>
    <t xml:space="preserve">הצעת חוק הקאדים (תיקון מס' 19), התשפ"ו-2025</t>
  </si>
  <si>
    <t xml:space="preserve"> (מ/1895)</t>
  </si>
  <si>
    <t xml:space="preserve">חוק תקציב נוסף לשנת הכספים 2025, התשפ"ו-2025</t>
  </si>
  <si>
    <t xml:space="preserve"> (מ/1892)</t>
  </si>
  <si>
    <t xml:space="preserve">29.09.2025</t>
  </si>
  <si>
    <t xml:space="preserve">חוק הפחתת הגירעון והגבלת ההוצאה התקציבית (תיקון מס' 29), התשפ"ו-2025</t>
  </si>
  <si>
    <t xml:space="preserve"> (מ/1891)</t>
  </si>
  <si>
    <t xml:space="preserve">הצעת חוק תמיכה במימון פעילות ארגון נכי צה"ל ובתי הלוחם ובארגון נפגעי פעולות האיבה, התשפ"ה-2024</t>
  </si>
  <si>
    <t xml:space="preserve"> (פ/5273/25)</t>
  </si>
  <si>
    <t xml:space="preserve">28.09.2025</t>
  </si>
  <si>
    <t xml:space="preserve">הצעת חוק המקרקעין (תיקון - התקנת עמדת טעינה לרכב חשמלי בבית משותף ודייני מקרקעין), התשפ"ג-2022</t>
  </si>
  <si>
    <t xml:space="preserve"> (פ/469/25)</t>
  </si>
  <si>
    <t xml:space="preserve">08.09.2025</t>
  </si>
  <si>
    <t xml:space="preserve">הצעת חוק המקרקעין (תיקון מס' 36) (התקנת עמדת טעינה לרכב חשמלי בבית משותף ודיני מקרקעין), התשפ"ג-2022 </t>
  </si>
  <si>
    <t xml:space="preserve"> (מ/1585)</t>
  </si>
  <si>
    <t xml:space="preserve">הצעת חוק אומנה לילדים (תיקון - הזכות לחינוך לילדים בהשמה חוץ-ביתית), התשפ"ד-2024</t>
  </si>
  <si>
    <t xml:space="preserve"> (פ/4824/25)</t>
  </si>
  <si>
    <t xml:space="preserve">03.09.2025</t>
  </si>
  <si>
    <t xml:space="preserve">חוק התמודדות עם תקיפות סייבר חמורות במגזר השירותים הדיגיטליים ושירותי האחסון (הוראת שעה – חרבות ברזל) (תיקון מס' 3), התשפ"ה-2025</t>
  </si>
  <si>
    <t xml:space="preserve"> (מ/1888)</t>
  </si>
  <si>
    <t xml:space="preserve">13.08.2025</t>
  </si>
  <si>
    <t xml:space="preserve">חוק התמודדות עם תקיפות סייבר חמורות במגזר השירותים הדיגיטליים ושירותי האחסון, התשפ"ד-2023, נועד להקנות למערך הסייבר הלאומי ולגופי הביטחון כלים לאיתור, מניעה ובלימה של תקיפות סייבר נגד חברות המספקות שירותים דיגיטליים ושירותי אחסון. החוק נחקק במקור כהוראת שעה בזיקה למלחמת "חרבות ברזל" במטרה להגן על תשתיות מדינה, גופים ציבוריים וביטחוניים מפני פגיעה. כעת, במסגרת תיקון מס' 3 לחוק, התשפ"ה-2025, נותקה הוראת השעה מהזיקה לפעולות הצבאיות המשמעותיות, כך שההסדר ימשיך לעמוד בתוקפו ללא תלות במצב הלחימה, ובהתאם לכך נמחקו המילים "חרבות ברזל" משם החוק. תוקפה של הוראת השעה הוארך עד ליום י"ג בשבט התשפ"ו (31 בינואר 2026). במסגרת התיקון, הוסמך מנהל מוסמך לדרוש מספק להציג לו כל ידיעה או מסמך, לרבות פלט מחשב, אם ישנו יסוד סביר להניח שמתרחשת או עומדת להתרחש תקיפת סייבר חמורה נגד הספק או באמצעותו. בנוסף, נקבעה חובת דיווח של ספק למערך הסייבר על תקיפות משמעותיות. כמו כן, הוטלה על ספק שהותקף חובה ליידע באופן מיידי ארגונים מקושרים שעלולים להיפגע ישירות מהתקיפה, אלא אם כן הורה גורם מוסמך אחרת. כדי להקל על ספקים, התיקון קובע רשימה מורחבת של תקני אבטחת מידע בין-לאומיים שמאפשרים לספק לקבל פטור ממרבית החובות בחוק, אם יצהיר שהוא עומד בהם. לבסוף, הורחבה חובת הדיווח העיתית לוועדת החוץ והביטחון של הכנסת, כך שתכלול גם נתונים על מספר דרישות המידע שהופנו לספקים, מספר הדיווחים העצמיים שהתקבלו ומספר המקרים שבהם נאסר על ספק לעדכן ארגון מקושר בדבר תקיפה.</t>
  </si>
  <si>
    <t xml:space="preserve">חוק הגנה על עובדים בשעת חירום (תיקון מס' 5 והוראת שעה - חרבות ברזל) (תיקון מס' 4), התשפ"ה-2025</t>
  </si>
  <si>
    <t xml:space="preserve"> (מ/1878)</t>
  </si>
  <si>
    <t xml:space="preserve">חוק זה אוסר על מעסיק לפטר עובד בשל היעדרותו מעבודה או בשל אי ביצוע העבודה שנבעו מכך שהעובד התפנה מביתו בשל נזק שנגרם לביתו כתוצאה מהתקפה בעת מבצע עם כלביא, ובלבד שהעובד מסר למעסיק אישור על הפגיעה מהרשות המקומית שבתחומה מצוי ביתו. תחילת החוק ביום 7 באוגוסט 2025 ואיסור הפיטורים יחול עד תום שלושה חודשים מהמועד שבו העובד התפנה מביתו בשל הנזק כאמור. לגבי התקופה שמיום תחילתו ועד יום הפרסום (13.8.2025), לא תהיה חבות פלילית לגבי פיטורים בנסיבות האמורות.</t>
  </si>
  <si>
    <t xml:space="preserve">חוק למניעת אלימות במשפחה (תיקון מס' 19 – הוראת שעה), התשפ"ג–2023 </t>
  </si>
  <si>
    <t xml:space="preserve"> (מ/1572)</t>
  </si>
  <si>
    <t xml:space="preserve">החוק מסדיר את סמכותו של בית המשפט לתת צו הגנה בתנאי פיקוח טכנולוגי במסגרת הגנה על בני משפחה מפני אלימות, וקובע את הסדרים אלו כהוראת שעה למשך שלוש שנים מיום תחילת החוק. ראשית, החוק קובע שלושה תנאים שעל בית המשפט לבחון בבואו לתן צו הגנה בתנאי פיקוח טכנולוגי, וכן קובע חריג לתנאים אלו במצבים בהם נשקפת סכנה גבוהה או חשש ממשי לחיי בן המשפחה. שנית, נקבע כי בסמכות השר לביטחון לאומי לקבוע בצו את המספר המרבי של אמצעי פיקוח טכנולוגי שניתן לעשות בהם שימוש, וכי מספר זה יעלה על המספר שנקבע בשנה הקודמת. עוד נקבע כי בית המשפט יורה על ביצוע הערכת מסוכנות של מי שכלפיו מבוקש הצו, וכן כי מכסת הערכות המסוכנות תקבע לכל שנה על ידי שר הרווחה והביטחון החברתי, ובלבד שלא תפחת מהמכסה שנקבעה בשנה הקודמת. בנוסף, תוקם יחידת פיקוח טכנולוגי בשירות בתי הסוהר, והיא תהיה אמונה על פיקוח ואכיפה של צווים שניתנו בתנאי פיקוח טכנולוגי. ביחידת הפיקוח הטכנולוגי יעבדו הן עובדי מדינה, והן עובדים מחברה מפעילה אשר ימלאו תפקידי טכנאות וסיוע אזרחי. לבסוף, נקבעה חובת דיווח שנתית על השר לביטחון לאומי לוועדה לביטחון לאומי של הכנסת בדבר קיום החוק, לצד הקמת ועדת היגוי לשם ביצוע מחקר מלווה. לצד זאת, בתום שנה מיום תחילת החוק תבחן הוועדה לביטחון לאומי של הכנסת את האפשרות להאריך את תוקפו של צו הגנה בתנאי פיקוח טכנולוגי שניתן ללא הערכת מסוכנות, ואת פרק הזמן להגשת הערכת המסוכנות לבית המשפט.</t>
  </si>
  <si>
    <t xml:space="preserve">חוק רישוי שירותים ומקצועות בענף הרכב (תיקון מס' 13), התשפ"ה-2025 </t>
  </si>
  <si>
    <t xml:space="preserve"> (מ/1847)</t>
  </si>
  <si>
    <t xml:space="preserve">התיקון קובע הוראות שעה חדשות בנושא ייבוא רכב, המחליפות את הוראות השעה הקודמות שהיו בתוקף ממועד תחילתו של חוק רישוי שירותים ומקצועות בענף הרכב, התשע"ו–2016, ועד ליום 18 באוגוסט 2025. הוראות השעה החדשות הן לעניין כלי הרכב שהיבואנים הזעירים רשאים לייבא, וכן לעניין חובות היבואנים הישירים לטפל בכלי רכב המיובאים על ידי יבואנים זעירים ויבואנים עקיפים או בייבוא אישי אם כלי הרכב הם מאותו תוצר שמייבאים היבואנים הישירים. ראשית, לעניין יבואנים זעירים: התיקון קובע כי יבואן זעיר יוכל לייבא גם רכב מסוג אופנוע ורכב מסוג מכונה ניידת, נוסף על רכב נוסעים ורכב מסחרי שכבר כיום הוא רשאי לייבא. בנוסף, יבואן זעיר יוכל לקבל רישיון לייבוא רכב שאינו רכב חדש, כל עוד נותרו חודשיים עד למועד האחרון לרישומו בישראל הקבוע בתקנות התעבורה ובהתאם לסוג הרכב. כמו כן, התיקון מאפשר ליבואן זעיר לייבא גם אופנוע ומכונה ניידת, וזאת בנוסף לרכב שאינו רכב חדש כאמור. נוסף על כך, התיקון מגדיל את מספר כלי הרכב שמותר ליבואן זעיר לייבא בשנה, מ-20 ל-60 כלי רכב. שנית, לגבי יבואנים ישירים, התיקון קובע כי יבואנים ישירים מחויבים לתת שירות לגבי כל רכב מתוצר שהם מייבאים אף אם יובא על ידי יבואנים עקיפים וזעירים או בייבוא אישי, ולא רק לגבי רכב מסוג רכב נוסעים ורכב מסחרי כפי שקבעה הוראת השעה הקודמת. התיקון קובע כי חובה זו לא תחול לגבי רכב מסוג מכונה ניידת. הוראות השעה החדשות יעמדו בתוקף למשך ארבע שנים, החל מיום 19 באוגוסט 2025. שר התחבורה והבטיחות בדרכים, באישור ועדת הכלכלה של הכנסת, רשאי להאריך בצו את תוקפה של כל הוראת שעה בתקופות נוספות שלא יעלו על שישה חודשים בכל פעם, אך לא יותר מ-4 שנים במצטבר לגבי כל אחת מהוראות השעה. </t>
  </si>
  <si>
    <t xml:space="preserve">הצעת חוק הבנקאות (שירות ללקוח) (תיקון - ריבית על יתרת זכות), התשפ"ג-2023</t>
  </si>
  <si>
    <t xml:space="preserve"> (פ/1446/25)</t>
  </si>
  <si>
    <t xml:space="preserve">11.08.2025</t>
  </si>
  <si>
    <t xml:space="preserve">חוק שירות אזרחי (תיקון מס' 7), התשפ"ה-2025</t>
  </si>
  <si>
    <t xml:space="preserve"> (מ/1870)</t>
  </si>
  <si>
    <t xml:space="preserve">04.08.2025</t>
  </si>
  <si>
    <t xml:space="preserve">חוק זה כולל מספר תיקונים הנוגעים למערך השירות הלאומי או ההתנדבות הקהילתית, המבוצעים מטעם המדינה על ידי מי שפטורים משירות צבאי או לא נקראו אליו. ראשית, הועלה הגיל המרבי לשירות לגבי מתמודדי נפש מ-24 ל-27 שנים. שנית, נקבע כי הסמכות לאשר הפסקות בשירות או מכסה מופחתת של שעות תינתן לא רק למנהל הרשות לשירות אזרחי אלא גם לעובד בכיר שהוסמך לכך, ובשעת חירום יוכל מנהל הרשות לאשר בעצמו הפסקה שאינה עולה על שנה בשל נסיבות החירום. כמו כן נקבע כי פרק הזמן שבין הכשרה מוקדמת הנחשבת חלק מהשירות, לבין תחילת השירות בפועל לא יקטע את רציפות השירות, אך גם לא ייספר כחלק ממשך השירות עצמו. שלישית, מנהל הרשות הוסמך לקבוע כללים שיאפשרו למתנדבים מאוכלוסיות הזקוקות לסיוע בהשתלבות בתעסוקה, וכן למתנדבים בשנתם השנייה, להשתתף על חשבון שעות השירות בהכשרה מקצועית או בהשלמת השכלה. נוסף על כך, החוק קובע הוראות לגבי הגופים המפעילים וסוג הפעילות: ראשית, תתאפשר התנדבות במוסדות הלאומיים (הסוכנות היהודית, ההסתדרות הציונית העולמית, קרן היסוד וקק"ל), וכן אצל גופים מפעילים שאינם רשות ציבורית בתחומי החקלאות והטכנולוגיה שעניינה תוכנת מחשב או חומרת מחשב, ובלבד שפעילותם משפרת את איכות החיים או הבטיחות של כלל האוכלוסייה בישראל. לגבי גופים אלו נקבע כי בתחום החקלאות השירות ייעשה רק בארגונים ללא כוונת רווח, ובתחום הטכנולוגיה רק אם בעל הזכויות יאפשר לכל אזרח או תושב ישראל שימוש חופשי וללא תשלום בתוכנה או בחומרה. כמו כן, נקבע כי תאגיד שהוקם בחוק יוכל להיות גוף מפעיל ובלבד שפעילותו היא באיוד התחומים המנויים בסעיף 65(א)(1) לחוק. עוד נקבע כי גם בבית חולים שאינו ממשלתי והוא מלכ"ר או גוף מבוקר שממלא תפקיד ציבורי יתאפשר שירות ללא ההגבלה לתחומים ספציפיים, כפי שקיים לגבי בתי חולים ממשלתיים ורשויות ציבוריות אחרות. בנוסף, האפשרות של רשות ציבורית לעודד התנדבות על ידי מימון תקנים אצל גופים מפעילים תורחב גם למתנדבים שהם עולים חדשים, ערבים, דרוזים, צ'רקסים או מי שאינו אזרח או תושב ישראל אך אושר לו לבצע שירות לאומי. תיקון נוסף מבהיר אישור לפי סעיף 46 לפקודת מס הכנסה אינו פוטר את הגוף המפעיל מהוכחה שהוא פועל בתחומים הנדרשים בחוק.  לבסוף, החוק דוחה את המועד להשלמת תהליך ההכרה הרשמי עבור גופים שפעלו במועד תחילת החוק בשנת 2018 מ-31.8.2025 ל-31.8.2027. </t>
  </si>
  <si>
    <t xml:space="preserve">הצעת חוק שירות המדינה (מינויים) (תיקון מס' 21) (עדיפות למשרת מילואים פעיל בקבלה לשירות המדינה), התשפ"ה–2024</t>
  </si>
  <si>
    <t xml:space="preserve"> (פ/4168/25)</t>
  </si>
  <si>
    <t xml:space="preserve"> (כ/1068)</t>
  </si>
  <si>
    <t xml:space="preserve">27.07.2025</t>
  </si>
  <si>
    <t xml:space="preserve">העדפה מתקנת מתוך הצעת חוק למתן הטבות למשרתים במילואים, התשפ"ה-2024</t>
  </si>
  <si>
    <t xml:space="preserve">חוק כליאתם של לוחמים בלתי חוקיים (תיקון מס' 4 והוראת שעה - חרבות ברזל) (תיקון מס' 5), התשפ"ה-2025</t>
  </si>
  <si>
    <t xml:space="preserve"> (מ/1879)</t>
  </si>
  <si>
    <t xml:space="preserve">22.07.2025</t>
  </si>
  <si>
    <t xml:space="preserve">חוק כליאתם של לוחמים בלתי חוקיים, התשס"ב–2002, נועד להסדיר את כליאתם של לוחמים בלתי חוקיים, אשר אינם זכאים למעמד של שבויי מלחמה, בדרך העולה בקנה אחד עם מחויבויותיה של מדינת ישראל לפי הוראות המשפט הבין-לאומי ההומניטרי. בין שלל ההסדרים בחוק זה, נכללים גם ביקורת שיפוטית על כליאתו של לוחם בלתי חוקי, זכאותו לפגישה עם עורך דין וייצוגו ותנאי כליאתו. במקרים שבהם הכריזה הממשלה על מלחמה או הודיעה על נקיטת פעולות צבאיות משמעותיות, הממשלה, באישור ועדת החוץ והביטחון, מוסמכת להכריז על שינויים בתחולת החוק. במהלך תקופת תוקפה של ההכרזה, התקופות המנויות בחוק ארוכות יותר והדרג המוסמך לקבל החלטות לפי החוק נמוך יותר. חוק כליאתם של לוחמים בלתי חוקיים (תיקון מס' 4 והוראת שעה – חרבות ברזל), התשפ"ד–2023, קבע, כהוראת שעה, כי במקרה של הכרזה כאמור, יוארכו התקופות המנויות בחוק אף יותר, הורד הדרג המוסמך לאשר הגבלות על פגישה עם עורך דין, וכן נקבע כי ניתן יהיה לקיים דיונים בדרך של היוועדות חזותית. הוראת השעה הוארכה מאז מספר פעמים, בתיקונים שונים. במסגרת תיקון מספר 4, הוארכה הוראת השעה כאמור עד ליום י"א בטבת התשפ"ו (31 בדצמבר 2025), לצד הארכת תקופת תוקפה של ההכרזה מכוח הצעת החוק עד ליום ט' בחשוון התשפ"ו (31 באוקטובר 2025). כן מוצע להבהיר כי סמכות בית המשפט להורות על מניעת פגישה עם עורך דין לתקופה של עד 30 ימים, הקיימת כיום בחוק, תחול לא רק במהלך 75 הימים הראשונים מיום הכליאה, וניתן יהיה להפעילה גם בשלב מאוחר יותר.</t>
  </si>
  <si>
    <t xml:space="preserve">הצעת חוק-יסוד: כניסה, הגירה ומעמד בישראל</t>
  </si>
  <si>
    <t xml:space="preserve"> (פ/4350/25)</t>
  </si>
  <si>
    <t xml:space="preserve">21.07.2025</t>
  </si>
  <si>
    <t xml:space="preserve"> (פ/394/25)</t>
  </si>
  <si>
    <t xml:space="preserve">חוק התוכנית לסיוע כלכלי (הוראת שעה - חרבות ברזל), התשפ"ה-2025</t>
  </si>
  <si>
    <t xml:space="preserve"> (מ/1880)</t>
  </si>
  <si>
    <t xml:space="preserve">החוק דומה בעיקרו להסדר שנקבע בחוק התוכנית לסיוע כלכלי (הוראת שעה – חרבות ברזל), התשפ"ד–2023, החוק קובע מנגנון פיצוי לעסקים ולעובדים שנפגעו ישירות או בעקיפין במהלך מבצע "עם כלביא". עסקים שמחזור עסקאותיהם ירד בשיעור של לפחות 25%, ואינם עולים על 400 מיליון ש"ח בשנה, זכאים לפיצוי בגין הוצאות קבועות, לרבות שכר. הוחל מסלול לפיצוי בגין נזק עקיף בעקבות נזק ישיר לעסק, וכן פיצוי לבעלי דירות שנגרם להן נזק מלחמה והושכרו טרם הפגיעה. לעובדים – נקבעו הסדרים ייחודיים לדמי אבטלה, כולל לחל"ת של 12 ימים, גם אם העובד עבד עד יומיים בתקופה זו, ובכלל זה קיצור תקופת האכשרה. בני 67 ומעלה זכאים למענק יומי של עד 134 ש"ח. נשים מוגנות לפי חוק עבודת נשים לא ייפגעו בזכויותיהן בשל היעדרות הנובעת ממצב חירום או סגירת מסגרות לילדים. החוק כולל הסדרים גם עבור עצמאים, אנשים עם מוגבלות, חיילים משוחררים ומפונים שמיצו את זכאותם לדמי אבטלה.</t>
  </si>
  <si>
    <t xml:space="preserve">חוק לתיקון פקודת בתי הסוהר (מס' 64 - הוראת שעה - חרבות ברזל) (מצב חירום כליאתי) (תיקון מס' 4), התשפ"ה-2025</t>
  </si>
  <si>
    <t xml:space="preserve"> (מ/1877)</t>
  </si>
  <si>
    <t xml:space="preserve">במסגרת תיקון מספר 64 לפקודת בתי הסוהר [נוסח חדש], התשל"ב–1971, נקבע, כהוראת שעה, כי השר לביטחון לאומי, בהמלצת נציב בתי הסוהר ובהסכמת ראש הממשלה ושר הביטחון, יהיה רשאי להכריז על מצב חירום כליאתי אם שוכנע, נוכח הפעולות הצבאיות המשמעותיות שעליהן החליטה ועדת השרים לענייני ביטחון לאומי לפי סעיף 40 לחוק-יסוד: הממשלה, והודיעה לגביהן לוועדת החוץ והביטחון של הכנסת ביום כ"ג בתשרי התשפ"ד (8 באוקטובר 2023), כי יש צורך במקומות כליאה נוספים באופן מיידי או שעל סמך חוות דעת גורמי הביטחון יש סבירות גבוהה שיהיה צורך כאמור. במסגרת זאת יהיה ניתן להלין אסירים ועצורים ביטחוניים, בתנאים מסוימים, תוך חריגה מהוראות הדין לעניין שטח מחיה ולהלינם שלא על מיטה, בחריגה מהוראות הדין לעניין זכאות למיטה. עם זאת, החוק מאפשר למנהל בית הסוהר להפעיל את סמכותו זו גם לעניין תאים שמוחזקים בהם אסירים אחרים. בנוסף, מאפשרת הוראת השעה לחרוג מהוראות הדין לעניין הלנה של עצירים מינהליים ולוחמים בלתי חוקיים בנפרד מאסירים שפוטים.  במסגרת תיקון מס' 4, הוארך תוקפה של הוראת השעה המסדירה את ההכרזה על מצב חירום כליאתי בשל המצב הביטחוני השורר במדינה, עד ליום י"ז באב התשפ"ו (31 ביולי 2026), וכן הוארך תוקף ההכרזה שמכוח הוראת השעה,  עד ליום כ"ב באלול התשפ"ה (15 בספטמבר 2025). </t>
  </si>
  <si>
    <t xml:space="preserve">חוק לתיקון ולהארכת תוקפן של תקנות שעת חירום (חרבות ברזל) (הארכת מעצר לחשוד בעבירת ביטחון) (תיקון מס' 6), התשפ"ה-2025 </t>
  </si>
  <si>
    <t xml:space="preserve"> (מ/1882)</t>
  </si>
  <si>
    <t xml:space="preserve">החוק מאריך את תוקף תקנות שעת החירום, המאריכות את תקופות המעצרים המפורטות בחוק המעצרים בנוגע לעצור שחשוד בעבירת ביטחון בשל פעולות האיבה שהתרחשו בין יום ה-7 באוקטובר לבין ה-13 באוקטובר 2023, או מי שנעצר במסגרת פעולות המלחמה בעזה. ההארכה שנקבעה בחוק זה היא עד ליום ה-29 בינואר 2026.</t>
  </si>
  <si>
    <t xml:space="preserve">חוק לתיקון ולהארכת תוקפן של תקנות שעת חירום (חרבות ברזל) (פגישה עם עורך דין של עצור בעבירת ביטחון) (תיקון מס' 6), התשפ"ה-2025</t>
  </si>
  <si>
    <t xml:space="preserve"> (מ/1881)</t>
  </si>
  <si>
    <t xml:space="preserve">החוק מאריך את תוקפן של תקנות שעת חירום, המאפשרות מניעת פגישה של עצורים ביטחוניים, הקשורים לפעולות האיבה שהתרחשו בין ה-7 באוקטובר לבין ה-13 באוקטובר 2023, או מי שנעצר במסגרת פעולות המלחמה בעזה, עם עורכי הדין שלהם. התקנות יעמדו בתוקף עד ה-29 בינואר 2026.</t>
  </si>
  <si>
    <t xml:space="preserve">הצעת חוק ביטוח בריאות ממלכתי (תיקון - ניפוק תכשיר מרשם שניתן במרשם אלקטרוני או ידני בתנאי הסדר בכל בתי המרקחת), התשפ"ד-2024</t>
  </si>
  <si>
    <t xml:space="preserve"> (פ/4590/25)</t>
  </si>
  <si>
    <t xml:space="preserve">הצעת חוק ביטוח בריאות ממלכתי (תיקון - השתתפות עצמית ברכישת תכשיר מרשם מבית מרקחת שאינו בהסדר עם קופת החולים), התשפ"ג-2023</t>
  </si>
  <si>
    <t xml:space="preserve"> (פ/3903/25)</t>
  </si>
  <si>
    <t xml:space="preserve"> (פ/3515/25)</t>
  </si>
  <si>
    <t xml:space="preserve">הצעת חוק ביטוח בריאות ממלכתי (תיקון - תשלום בעד תכשיר מרשם בבית מרקחת שאין לו הסדר עם קופת חולים), התשפ"ג-2023</t>
  </si>
  <si>
    <t xml:space="preserve"> (פ/3066/25)</t>
  </si>
  <si>
    <t xml:space="preserve">חוק להשגת יעדי התקציב וליישום המדיניות הכלכלית לשנת התקציב 2025 (תיקוני חקיקה), התשפ"ה–2025</t>
  </si>
  <si>
    <t xml:space="preserve">החוק קובע שינויים במספר תחומים מרכזיים: בתחום שינויי מבנה ומיזוגים בחברות הייטק, הופחתו הדרישות להטבות מס, לרבות הקטנת שיעור ההעברה הנדרש של זכויות בחברה מ־80% ל־70%, ביטול חובת החזקה של 25% מהזכויות לאחר שינוי מבנה, והרחבת שיעור התמורה במזומן במיזוגים מ־40% ל־49%; כמו כן, שונה יחס הגודל המותר בפיצולים מ־1:4 ל־1:9. בתחום הדיווח במע"מ, חובת הדיווח המפורט תחול על כל עוסק שמחזור עסקאותיו השנתי עולה על 0.5 מיליון ש"ח, החל מדוחות שיוגשו מאוקטובר 2025. בתחום דיגיטציית החשבוניות, החוק מחייב הגשה מקוונת של חשבוניות מסוג I לעוסקים הרשומים באזור ובשטחי עזה, ומסיר את חובת הדיווח הכפול בגין חשבוניות מסוג P וזאת ביחס לחשבוניות שיופקו החל מאוגוסט 2025.</t>
  </si>
  <si>
    <t xml:space="preserve">הצעת חוק סדר הדין הפלילי (תיקון - עיכוב הליכים משפטיים כנגד חברי הממשלה בידי ועדת הכנסת), התשפ"ה-2025</t>
  </si>
  <si>
    <t xml:space="preserve"> (פ/6171/25)</t>
  </si>
  <si>
    <t xml:space="preserve">הצעת חוק למניעת הטרדה מינית (תיקון - הרחבת תחולה על עובדים עצמאים ועובדי כלכלת הפלטפורמה), התשפ״ה-2025</t>
  </si>
  <si>
    <t xml:space="preserve"> (פ/6170/25)</t>
  </si>
  <si>
    <t xml:space="preserve">הצעת חוק סמכויות שעת חירום (מעצרים) (תיקון - מעצר מינהלי של אזרח ישראלי), התשפ"ה-2025</t>
  </si>
  <si>
    <t xml:space="preserve"> (פ/6168/25)</t>
  </si>
  <si>
    <t xml:space="preserve">הצעת חוק-יסוד: משק המדינה (תיקון - בחינת עלות תקציבית מוניציפלית)</t>
  </si>
  <si>
    <t xml:space="preserve"> (פ/6167/25)</t>
  </si>
  <si>
    <t xml:space="preserve">הצעת חוק החלת הריבונות הישראלית על מתחם קבר יוסף, התשפ"ה-2025</t>
  </si>
  <si>
    <t xml:space="preserve"> (פ/6166/25)</t>
  </si>
  <si>
    <t xml:space="preserve">הצעת חוק המועצה להשכלה גבוהה (תיקון - חיזוק השקיפות והפיקוח הציבורי על המועצה להשכלה גבוהה), התשפ"ה-2025 </t>
  </si>
  <si>
    <t xml:space="preserve"> (פ/6165/25)</t>
  </si>
  <si>
    <t xml:space="preserve">הצעת חוק הסדרת הטיפול בחופי הים התיכון (איגודי ערים חופיות), התשפ"ה-2025 </t>
  </si>
  <si>
    <t xml:space="preserve"> (פ/6164/25)</t>
  </si>
  <si>
    <t xml:space="preserve">הצעת חוק איסור צריכת זנות (הוראת שעה ותיקון חקיקה) (תיקון - עיגון כהוראת קבע), התשפ"ה-2025</t>
  </si>
  <si>
    <t xml:space="preserve"> (פ/6163/25)</t>
  </si>
  <si>
    <t xml:space="preserve">הצעת חוק לתיקון פקודת היערות (הגברת ההגנה על עצים בוגרים), התשפ"ה-2025</t>
  </si>
  <si>
    <t xml:space="preserve"> (פ/6162/25)</t>
  </si>
  <si>
    <t xml:space="preserve">הצעת חוק איסור אלימות בספורט (תיקון - מחלקה לאלימות בספורט בבתי המשפט), התשפ"ה-2025</t>
  </si>
  <si>
    <t xml:space="preserve"> (פ/6161/25)</t>
  </si>
  <si>
    <t xml:space="preserve">הצעת חוק התכנון והבנייה (תיקון - מכירה ישירה של תוצרת חקלאית), התשפ"ה-2025</t>
  </si>
  <si>
    <t xml:space="preserve"> (פ/6160/25)</t>
  </si>
  <si>
    <t xml:space="preserve">הצעת חוק התקנת מנגנון פיקוד שבת במערכת הפעלה אוטומטית ברכוש המשותף (תיקוני חקיקה), התשפ"ה-2025</t>
  </si>
  <si>
    <t xml:space="preserve"> (פ/6159/25)</t>
  </si>
  <si>
    <t xml:space="preserve">הצעת חוק-יסוד: הכנסת (הפסקת חברות בכנסת של חבר הכנסת המכהן כשר או כסגן שר)</t>
  </si>
  <si>
    <t xml:space="preserve"> (פ/6157/25)</t>
  </si>
  <si>
    <t xml:space="preserve">הצעת חוק לתיקון פקודת מסי העירייה ומסי הממשלה (פטורין) (גביית ארנונה מנכסי מדינה ברשויות פריפריאליות), התשפ"ה-2025</t>
  </si>
  <si>
    <t xml:space="preserve"> (פ/6156/25)</t>
  </si>
  <si>
    <t xml:space="preserve">הצעת חוק יסודות התקציב (תיקון - קביעת תקציב הביטחון כשיעור מהתוצר הלאומי הגולמי והסדרה תכנונית), התשפ"ה-2025</t>
  </si>
  <si>
    <t xml:space="preserve"> (פ/6155/25)</t>
  </si>
  <si>
    <t xml:space="preserve">הצעת חוק הגברת הפיקוח על מעונות יום לפעוטות (תיקוני חקיקה), התשפ"ה-2025</t>
  </si>
  <si>
    <t xml:space="preserve"> (פ/6153/25)</t>
  </si>
  <si>
    <t xml:space="preserve">הצעת חוק-יסוד: זכויות בהליך פלילי</t>
  </si>
  <si>
    <t xml:space="preserve"> (פ/6152/25)</t>
  </si>
  <si>
    <t xml:space="preserve">הצעת חוק איות שמות רחובות, דרכים ומקומות ציבוריים (תיקוני חקיקה), התשפ"ה-2025</t>
  </si>
  <si>
    <t xml:space="preserve"> (פ/6151/25)</t>
  </si>
  <si>
    <t xml:space="preserve">הצעת חוק משפחות חיילים שנספו במערכה (תגמולים ושיקום) (תיקון - הרחבת ההגדרה חבלת שירות), התשפ"ה-2025</t>
  </si>
  <si>
    <t xml:space="preserve"> (פ/6150/25)</t>
  </si>
  <si>
    <t xml:space="preserve">הצעת חוק לפיצוי קורבנות טרור (פיצויים לדוגמה) (תיקון - הוראות לעניין התיישנות), התשפ"ה-2025</t>
  </si>
  <si>
    <t xml:space="preserve"> (פ/6149/25)</t>
  </si>
  <si>
    <t xml:space="preserve">הצעת חוק חוזה הביטוח (תיקון - הודעת מבטח בדבר ביטול חוזה הביטוח), התשפ"ה-2025</t>
  </si>
  <si>
    <t xml:space="preserve"> (פ/6148/25)</t>
  </si>
  <si>
    <t xml:space="preserve">הצעת חוק רשות מקרקעי ישראל (תיקון - העדפת רכישת קרקע בפריפריה לחיילי מילואים ונכי צה"ל), התשפ"ה-2025</t>
  </si>
  <si>
    <t xml:space="preserve"> (פ/6147/25)</t>
  </si>
  <si>
    <t xml:space="preserve">הצעת חוק הסדרת התיישבות הבדואים בנגב, התשפ"ה-2025</t>
  </si>
  <si>
    <t xml:space="preserve"> (פ/6145/25)</t>
  </si>
  <si>
    <t xml:space="preserve">הצעת חוק המזונות (הבטחת תשלום) (תיקון - גבייה מינהלית), התשפ"ה-2025</t>
  </si>
  <si>
    <t xml:space="preserve"> (פ/6144/25)</t>
  </si>
  <si>
    <t xml:space="preserve">הצעת חוק סדר הדין הפלילי (תיקון - עקרון שיוריות הדין הפלילי), התשפ"ה-2025</t>
  </si>
  <si>
    <t xml:space="preserve"> (פ/6143/25)</t>
  </si>
  <si>
    <t xml:space="preserve">הצעת חוק ההוצאה לפועל (תיקון - הטלת הגבלות על חייב משרת מילואים), התשפ"ה-2025</t>
  </si>
  <si>
    <t xml:space="preserve"> (פ/6142/25)</t>
  </si>
  <si>
    <t xml:space="preserve">הצעת חוק לעידוד התקשרות עם מפעלים מוגנים (תיקוני חקיקה), התשפ"ה-2025</t>
  </si>
  <si>
    <t xml:space="preserve"> (פ/6140/25)</t>
  </si>
  <si>
    <t xml:space="preserve">הצעת חוק איסור חימוש גורם עוין, התשפ"ה-2025</t>
  </si>
  <si>
    <t xml:space="preserve"> (פ/6139/25)</t>
  </si>
  <si>
    <t xml:space="preserve">הצעת חוק שוויון זכויות לבני העדה הדרוזית, התשפ"ה-2025</t>
  </si>
  <si>
    <t xml:space="preserve"> (פ/6138/25)</t>
  </si>
  <si>
    <t xml:space="preserve">הצעת חוק שירות המדינה (מינויים) (תיקון - ייצוג מגדרי הולם למשרות ניהול כללי במשרדי הממשלה), התשפ"ה-2025</t>
  </si>
  <si>
    <t xml:space="preserve"> (פ/6137/25)</t>
  </si>
  <si>
    <t xml:space="preserve">הצעת חוק לתיקון פקודת המשטרה (דיווח לכנסת), התשפ"ה-2025</t>
  </si>
  <si>
    <t xml:space="preserve"> (פ/6136/25)</t>
  </si>
  <si>
    <t xml:space="preserve">הצעת חוק לחלוקה הוגנת של מזונות, התשפ"ה-2025</t>
  </si>
  <si>
    <t xml:space="preserve"> (פ/6135/25)</t>
  </si>
  <si>
    <t xml:space="preserve">הצעת חוק חוזה הביטוח (תיקון - ביטוח חלופי לנפגעי עבירת גביית דמי חסות), התשפ"ה-2025</t>
  </si>
  <si>
    <t xml:space="preserve"> (פ/6134/25)</t>
  </si>
  <si>
    <t xml:space="preserve">הצעת חוק מימון הוצאות למשפחות שבויים, חטופים ונעדרים (תיקון - תוספת למענק לשם התארגנות לבני משפחה של חטוף שגופתו הושבה), התשפ"ה-2025</t>
  </si>
  <si>
    <t xml:space="preserve"> (פ/6133/25)</t>
  </si>
  <si>
    <t xml:space="preserve">הצעת חוק ביטוח בריאות ממלכתי (תיקון - הוספת נציגי עובדים בדירקטוריון ובמועצת קופות החולים), התשפ"ה-2025 </t>
  </si>
  <si>
    <t xml:space="preserve"> (פ/6132/25)</t>
  </si>
  <si>
    <t xml:space="preserve">הצעת חוק לתיקון פקודת העיריות (מרכזים להגנה ממפגעי מזג אוויר קיצוני ומיתקני צינון), התשפ"ה-2025</t>
  </si>
  <si>
    <t xml:space="preserve"> (פ/6131/25)</t>
  </si>
  <si>
    <t xml:space="preserve">הצעת חוק תמיכה במימון פעילות ארגון נכי צה"ל ובתי הלוחם ובארגון נפגעי פעולות האיבה, התשפ"ה-2025</t>
  </si>
  <si>
    <t xml:space="preserve"> (פ/6130/25)</t>
  </si>
  <si>
    <t xml:space="preserve">הצעת חוק איסור אספקת שירותים חיוניים לגורמים עוינים, התשפ"ה-2025</t>
  </si>
  <si>
    <t xml:space="preserve"> (פ/6129/25)</t>
  </si>
  <si>
    <t xml:space="preserve">הצעת חוק חניה לנכים (תיקון - הקצאת מקום חניה המיועד לשני רכבים מזכים), התשפ"ה-2025</t>
  </si>
  <si>
    <t xml:space="preserve"> (פ/6128/25)</t>
  </si>
  <si>
    <t xml:space="preserve">הצעת חוק תגמולים לאסירי ציון ולבני משפחותיהם (תיקון - התאמה לאסירי ציון יוצאי אתיופיה ומדינות אפריקה), התשפ"ה-2025</t>
  </si>
  <si>
    <t xml:space="preserve"> (פ/6127/25)</t>
  </si>
  <si>
    <t xml:space="preserve">הצעת חוק-יסוד: הכנסת (תיקון - קבלת סעיף בחוק-יסוד שדרוש לביטולו או לשינויו רוב מיוחס)</t>
  </si>
  <si>
    <t xml:space="preserve"> (פ/6126/25)</t>
  </si>
  <si>
    <t xml:space="preserve">הצעת חוק ההתגוננות האזרחית (תיקון - סמכויות אכיפת כניסה למקלט והטלת קנס), התשפ"ה-2025</t>
  </si>
  <si>
    <t xml:space="preserve"> (פ/6125/25)</t>
  </si>
  <si>
    <t xml:space="preserve">הצעת חוק הקמת מערכת סולארית בבית משותף שהוקם במסגרת עסקת פינוי ובינוי, התשפ"ה-2025</t>
  </si>
  <si>
    <t xml:space="preserve"> (פ/6124/25)</t>
  </si>
  <si>
    <t xml:space="preserve">הצעת חוק-יסוד: הכנסת (תיקון - החלטה בדבר הפסקת כהונה של חבר הכנסת)</t>
  </si>
  <si>
    <t xml:space="preserve"> (פ/6123/25)</t>
  </si>
  <si>
    <t xml:space="preserve">הצעת חוק התכנון והבנייה (תיקון - ועדת משנה לעניין חבל תקומה) (הוראת שעה), התשפ"ה-2025</t>
  </si>
  <si>
    <t xml:space="preserve"> (פ/6122/25)</t>
  </si>
  <si>
    <t xml:space="preserve">הצעת חוק שימוש בזרע של נפטר לשם הולדה, התשפ"ה-2025</t>
  </si>
  <si>
    <t xml:space="preserve"> (פ/6120/25)</t>
  </si>
  <si>
    <t xml:space="preserve"> (פ/6119/25)</t>
  </si>
  <si>
    <t xml:space="preserve">הצעת חוק לתיקון פקודת העיריות (הזכות להפגין), התשפ"ה-2025 </t>
  </si>
  <si>
    <t xml:space="preserve"> (פ/6118/25)</t>
  </si>
  <si>
    <t xml:space="preserve">הצעת חוק איסור עיסוק נוסף לנושאי משרה בכירה, התשפ"ה-2025</t>
  </si>
  <si>
    <t xml:space="preserve"> (פ/6117/25)</t>
  </si>
  <si>
    <t xml:space="preserve">הצעת חוק לתיקון פקודת המשטרה (ביטול הכפיפות לשר והבטחת עצמאות המשטרה), התשפ"ה-2025</t>
  </si>
  <si>
    <t xml:space="preserve"> (פ/6115/25)</t>
  </si>
  <si>
    <t xml:space="preserve">הצעת חוק שיקום יישובים בחבל התקומה (תיקוני חקיקה) (הוראת שעה), התשפ"ה-2025 </t>
  </si>
  <si>
    <t xml:space="preserve"> (פ/6113/25)</t>
  </si>
  <si>
    <t xml:space="preserve">הצעת חוק סמכויות שעת חירום (תיקוני חקיקה), התשפ"ה-2025</t>
  </si>
  <si>
    <t xml:space="preserve"> (פ/6112/25)</t>
  </si>
  <si>
    <t xml:space="preserve">הצעת חוק סמכויות לשם שמירה על ביטחון הציבור (תיקון - הסמכת מאבטחים למניעת אלימות באוטובוסים ציבוריים), התשפ"ה-2025 </t>
  </si>
  <si>
    <t xml:space="preserve"> (פ/6111/25)</t>
  </si>
  <si>
    <t xml:space="preserve">הצעת חוק ההוצאה לפועל (תיקון - ביטול צו הבאה בשל חוב כספי נמוך), התשפ״ה-2025</t>
  </si>
  <si>
    <t xml:space="preserve"> (פ/6110/25)</t>
  </si>
  <si>
    <t xml:space="preserve">הצעת חוק שירות המדינה (מינויים) (תיקון - חובת פרסום שאלון לאיתור חשש לניגוד עניינים), התשפ"ה-2025</t>
  </si>
  <si>
    <t xml:space="preserve"> (פ/6109/25)</t>
  </si>
  <si>
    <t xml:space="preserve">הצעת חוק הרשויות המקומיות (בחירת ראש הרשות וסגניו וכהונתם) (תיקון - הגבלת כהונה רביעית לראש רשות), התשפ"ה-2025</t>
  </si>
  <si>
    <t xml:space="preserve"> (פ/6108/25)</t>
  </si>
  <si>
    <t xml:space="preserve">הצעת חוק חובת המכרזים (תיקון - תשלום ריבית על ערבות בנקאית), התשפ"ה-2025</t>
  </si>
  <si>
    <t xml:space="preserve"> (פ/6107/25)</t>
  </si>
  <si>
    <t xml:space="preserve">הצעת חוק לתיקון פקודת מס הכנסה (פטור משווי שימוש ברכב עבודה חשמלי), התשפ"ה-2025</t>
  </si>
  <si>
    <t xml:space="preserve"> (פ/6106/25)</t>
  </si>
  <si>
    <t xml:space="preserve">הצעת חוק שוויון זכויות לאנשים עם מוגבלות (תיקון - הנגשת אוטובוסים בין-עירוניים), התשפ"ה-2025</t>
  </si>
  <si>
    <t xml:space="preserve"> (פ/6105/25)</t>
  </si>
  <si>
    <t xml:space="preserve">הצעת חוק-יסוד: הכנסת (תיקון - הרחבת העילות למניעת השתתפות בבחירות)</t>
  </si>
  <si>
    <t xml:space="preserve"> (פ/6104/25)</t>
  </si>
  <si>
    <t xml:space="preserve">הצעת חוק הסדרי משפט ומינהל (תיקון - ניתוק הזיקה להכרזה על מצב חירום), התשפ"ה-2025</t>
  </si>
  <si>
    <t xml:space="preserve"> (פ/6103/25)</t>
  </si>
  <si>
    <t xml:space="preserve">הצעת חוק מיסוי מקרקעין (שבח ורכישה) (תיקון - הקניית זכות במקרקעין חלף בית שנהרס או חולל באירוע טרור), התשפ"ה-2025</t>
  </si>
  <si>
    <t xml:space="preserve"> (פ/6102/25)</t>
  </si>
  <si>
    <t xml:space="preserve">הצעת חוק מימון הוצאות למשפחות שבויים, חטופים ונעדרים (תיקון - הגדלת מענקי סיוע להורה של חטוף או נעדר שאין לו בן זוג שהוא הורה של אותו חטוף או נעדר), התשפ"ה-2025</t>
  </si>
  <si>
    <t xml:space="preserve"> (פ/6101/25)</t>
  </si>
  <si>
    <t xml:space="preserve">הצעת חוק הסדרת מקומות רחצה (תיקון - הגבלת אחריות רשות מקומית למקום שאינו מוכרז לרחצה), התשפ"ה-2025</t>
  </si>
  <si>
    <t xml:space="preserve"> (פ/6100/25)</t>
  </si>
  <si>
    <t xml:space="preserve">הצעת חוק החלת תקצוב מגדרי על תקציבים ציבוריים בישראל, התשפ"ה-2025</t>
  </si>
  <si>
    <t xml:space="preserve"> (פ/6099/25)</t>
  </si>
  <si>
    <t xml:space="preserve">הצעת חוק-יסוד: הממשלה (תיקון - חובת מינוי ממלא מקום ראש הממשלה)</t>
  </si>
  <si>
    <t xml:space="preserve"> (פ/6098/25)</t>
  </si>
  <si>
    <t xml:space="preserve"> (פ/6097/25)</t>
  </si>
  <si>
    <t xml:space="preserve">הצעת חוק הביטוח הלאומי (תיקון - תשלום קצבת שארים לעגונה ולמסורבי גט שהתאלמנו), התשפ"ה-2025</t>
  </si>
  <si>
    <t xml:space="preserve"> (פ/6096/25)</t>
  </si>
  <si>
    <t xml:space="preserve"> (פ/6095/25)</t>
  </si>
  <si>
    <t xml:space="preserve"> (פ/6094/25)</t>
  </si>
  <si>
    <t xml:space="preserve"> (פ/6093/25)</t>
  </si>
  <si>
    <t xml:space="preserve">הצעת חוק המתווכים במקרקעין (תיקון - הטלת דמי תיווך על שוכר), התשפ"ה-2025</t>
  </si>
  <si>
    <t xml:space="preserve"> (פ/6092/25)</t>
  </si>
  <si>
    <t xml:space="preserve">הצעת חוק לתיקון סדרי המינהל (החלטות והנמקות) (תיקון - קיצור זמן המענה בפניות ציבור), התשפ"ה-2025</t>
  </si>
  <si>
    <t xml:space="preserve"> (פ/6091/25)</t>
  </si>
  <si>
    <t xml:space="preserve">הצעת חוק הפיקוח על שירותים פיננסיים (ביטוח) (תיקון - קביעת הוראות האוסרות על הגבלת שימוש במוסכים), התשפ"ה-2025</t>
  </si>
  <si>
    <t xml:space="preserve"> (פ/6090/25)</t>
  </si>
  <si>
    <t xml:space="preserve">הצעת חוק חקירה והעמדה לדין של פשעי מלחמה, פשעים נגד האנושות והשמדת עם, התשפ"ה-2025</t>
  </si>
  <si>
    <t xml:space="preserve"> (פ/6089/25)</t>
  </si>
  <si>
    <t xml:space="preserve">הצעת חוק סיוע למשפחות נעדרים, התשפ"ה-2025</t>
  </si>
  <si>
    <t xml:space="preserve"> (פ/6088/25)</t>
  </si>
  <si>
    <t xml:space="preserve">הצעת חוק סימון מנות בריאות במסעדות, התשפ"ה-2025</t>
  </si>
  <si>
    <t xml:space="preserve"> (פ/6087/25)</t>
  </si>
  <si>
    <t xml:space="preserve">הצעת חוק הרשויות המקומיות (הקרן להרחבת ההשקעה בתושב ולהגדלת היצע הדיור) (תיקון - החרגת הכנסות מארנונה בגין תקופות שקדמו לשנת 2023), התשפ"ה-2025</t>
  </si>
  <si>
    <t xml:space="preserve"> (פ/6086/25)</t>
  </si>
  <si>
    <t xml:space="preserve">הצעת חוק עובדים זרים (תיקון - שימוש בכספי פיקדון למטרת גביית פיצוי נזיקי ולשיקום תשתיות), התשפ"ה-2025</t>
  </si>
  <si>
    <t xml:space="preserve"> (פ/6085/25)</t>
  </si>
  <si>
    <t xml:space="preserve">הצעת חוק העונשין (תיקון - הורדת גיל האחריות הפלילית לילדי מסתננים לעשר שנים), התשפ"ה-2025</t>
  </si>
  <si>
    <t xml:space="preserve"> (פ/6084/25)</t>
  </si>
  <si>
    <t xml:space="preserve">הצעת חוק הגנת הצרכן (תיקון - החמרת האכיפה והענישה על אי-הצגת מחיר על טובין על ידי קמעונאי גדול), התשפ"ה-2025</t>
  </si>
  <si>
    <t xml:space="preserve"> (פ/6083/25)</t>
  </si>
  <si>
    <t xml:space="preserve">הצעת חוק-יסוד: הממשלה (תיקון - איסור חקירה פלילית והגשת כתב אישום נגד ראש הממשלה במהלך תקופת כהונתו)</t>
  </si>
  <si>
    <t xml:space="preserve"> (פ/6082/25)</t>
  </si>
  <si>
    <t xml:space="preserve">הצעת חוק הפרות מינהליות, התשפ"ה-2025</t>
  </si>
  <si>
    <t xml:space="preserve"> (פ/6081/25)</t>
  </si>
  <si>
    <t xml:space="preserve"> (פ/6080/25)</t>
  </si>
  <si>
    <t xml:space="preserve">הצעת חוק משק החשמל (תיקון - איסור ניתוק חשמל), התשפ"ה-2025</t>
  </si>
  <si>
    <t xml:space="preserve"> (פ/6079/25)</t>
  </si>
  <si>
    <t xml:space="preserve">הצעת חוק שירות מידע פיננסי (תיקון - הסדרת מתן שירותים על ידי עמותה), התשפ"ה-2025</t>
  </si>
  <si>
    <t xml:space="preserve"> (פ/6078/25)</t>
  </si>
  <si>
    <t xml:space="preserve">הצעת חוק סדר הדין הפלילי (תיקון - שינוי פרק זמן ההתיישנות של עבירת המרדה), התשפ"ה-2025</t>
  </si>
  <si>
    <t xml:space="preserve"> (פ/6077/25)</t>
  </si>
  <si>
    <t xml:space="preserve">הצעת חוק-יסוד: הממשלה (תיקון - הגבלת מועמד המצוי בחקירה מהרכבת הממשלה)</t>
  </si>
  <si>
    <t xml:space="preserve"> (פ/6076/25)</t>
  </si>
  <si>
    <t xml:space="preserve">הצעת חוק השיפוט הצבאי (תיקון - כשירות הפרקליט הצבאי הראשי וסגנו), התשפ"ה-2025</t>
  </si>
  <si>
    <t xml:space="preserve"> (פ/6075/25)</t>
  </si>
  <si>
    <t xml:space="preserve">הצעת חוק פנייה לגופים ציבוריים באמצעי קשר דיגיטליים (תיקון - קביעת תור באמצעות האינטרנט), התשפ"ה-2025</t>
  </si>
  <si>
    <t xml:space="preserve"> (פ/6073/25)</t>
  </si>
  <si>
    <t xml:space="preserve">הצעת חוק רישוי עסקים (תיקון - רישיון עסק בחבל תקומה) (הוראת שעה), התשפ"ה-2025</t>
  </si>
  <si>
    <t xml:space="preserve"> (פ/6072/25)</t>
  </si>
  <si>
    <t xml:space="preserve">הצעת חוק האפוטרופוס הכללי (תיקון - ניהול נכסי מקרקעין), התשפ"ה-2025 </t>
  </si>
  <si>
    <t xml:space="preserve"> (פ/6071/25)</t>
  </si>
  <si>
    <t xml:space="preserve">הצעת חוק העונשין (תיקון - עבירת ביזה), התשפ"ה-2025</t>
  </si>
  <si>
    <t xml:space="preserve"> (פ/6070/25)</t>
  </si>
  <si>
    <t xml:space="preserve">הצעת חוק-יסוד: הממשלה (תיקון - הגבלת כהונת ראש הממשלה לשתי תקופות כהונה רצופות), התשפ"ה-2025</t>
  </si>
  <si>
    <t xml:space="preserve"> (פ/6068/25)</t>
  </si>
  <si>
    <t xml:space="preserve"> (פ/6067/25)</t>
  </si>
  <si>
    <t xml:space="preserve">הצעת חוק הבנקאות (שירות ללקוח) (תיקון - מסירת מידע על עמלות וריביות בשל פירעון מוקדם של הלוואה), התשפ"ה-2025</t>
  </si>
  <si>
    <t xml:space="preserve"> (פ/6066/25)</t>
  </si>
  <si>
    <t xml:space="preserve">הצעת חוק תרומת זרע, התשפ"ה-2025</t>
  </si>
  <si>
    <t xml:space="preserve"> (פ/6065/25)</t>
  </si>
  <si>
    <t xml:space="preserve">הצעת חוק לתיקון פקודת המשטרה (תיעוד חזותי של השימוש באמצעי לפיזור הפגנות), התשפ"ה-2025</t>
  </si>
  <si>
    <t xml:space="preserve"> (פ/6064/25)</t>
  </si>
  <si>
    <t xml:space="preserve">הצעת חוק-יסוד: הממשלה (תיקון - הפסקת כהונה של ראש הממשלה מחמת עבירה)</t>
  </si>
  <si>
    <t xml:space="preserve"> (פ/6061/25)</t>
  </si>
  <si>
    <t xml:space="preserve">הצעת חוק מענק לבניית מרחב מוגן, התשפ"ה-2025</t>
  </si>
  <si>
    <t xml:space="preserve"> (פ/6060/25)</t>
  </si>
  <si>
    <t xml:space="preserve">הצעת חוק-יסוד: נשיא המדינה (תיקון - כשירות מועמדים לכהונה כנשיא המדינה)</t>
  </si>
  <si>
    <t xml:space="preserve"> (פ/6059/25)</t>
  </si>
  <si>
    <t xml:space="preserve">הצעת חוק שכר שווה לעובדת ולעובד (תיקון - חובת מסירת מידע), התשפ"ה-2025</t>
  </si>
  <si>
    <t xml:space="preserve"> (פ/6057/25)</t>
  </si>
  <si>
    <t xml:space="preserve">הצעת חוק הנכים (תגמולים ושיקום) (תיקון - תשלום בשל אובדן הכנסה לבן משפחה של נכה בתקופת האשפוז ולאחריה), התשפ"ה-2025</t>
  </si>
  <si>
    <t xml:space="preserve"> (פ/6056/25)</t>
  </si>
  <si>
    <t xml:space="preserve">הצעת חוק שוויון ההזדמנויות בעבודה (תיקון - איסור הפליה על רקע זהות מגדרית), התשפ"ה-2025</t>
  </si>
  <si>
    <t xml:space="preserve"> (פ/6055/25)</t>
  </si>
  <si>
    <t xml:space="preserve">הצעת חוק הסדרת הבתים המאזנים בישראל, התשפ"ה-2025</t>
  </si>
  <si>
    <t xml:space="preserve"> (פ/6052/25)</t>
  </si>
  <si>
    <t xml:space="preserve">הצעת חוק מס רכוש וקרן פיצויים (תיקון - פיצוי נפגעי עבירת גביית דמי חסות), התשפ"ה-2025</t>
  </si>
  <si>
    <t xml:space="preserve"> (פ/6051/25)</t>
  </si>
  <si>
    <t xml:space="preserve">הצעת חוק הביטוח הלאומי (תיקון - עבודה מועדפת ביישובי קו העימות בצפון ובדרום), התשפ"ה-2025</t>
  </si>
  <si>
    <t xml:space="preserve"> (פ/6050/25)</t>
  </si>
  <si>
    <t xml:space="preserve">הצעת חוק הבחירות (דרכי תעמולה) (תיקון - תעמולה דיגיטלית), התשפ"ה-2025</t>
  </si>
  <si>
    <t xml:space="preserve"> (פ/6049/25)</t>
  </si>
  <si>
    <t xml:space="preserve">הצעת חוק מימון מפלגות (תיקון - ייצוג לנשים ברשימת המועמדים), התשפ"ה-2025</t>
  </si>
  <si>
    <t xml:space="preserve"> (פ/6048/25)</t>
  </si>
  <si>
    <t xml:space="preserve">הצעת חוק עובדים זרים (תיקון - תאגיד עובדים זרים מחליפים זמניים), התשפ"ה-2025</t>
  </si>
  <si>
    <t xml:space="preserve"> (פ/6047/25)</t>
  </si>
  <si>
    <t xml:space="preserve">הצעת חוק המשתתף החופשי, התשפ"ה-2025</t>
  </si>
  <si>
    <t xml:space="preserve"> (פ/6046/25)</t>
  </si>
  <si>
    <t xml:space="preserve">הצעת חוק לתיקון פקודת התעבורה (הסמכת רשות מקומית לביצוע תפקידי רישוי), התשפ"ה-2025</t>
  </si>
  <si>
    <t xml:space="preserve"> (פ/6045/25)</t>
  </si>
  <si>
    <t xml:space="preserve">הצעת חוק דמי מחלה (היעדרות בשל מחלת ילד) (תיקון - היעדרות בעקבות פגיעה בעבירת מין או אלימות חמורה), התשפ"ה-2025</t>
  </si>
  <si>
    <t xml:space="preserve"> (פ/6044/25)</t>
  </si>
  <si>
    <t xml:space="preserve">הצעת חוק הממשלה (תיקון - דיווח שר בדבר אי-התקנת תקנות במועד), התשפ"ה-2025</t>
  </si>
  <si>
    <t xml:space="preserve"> (פ/6042/25)</t>
  </si>
  <si>
    <t xml:space="preserve">הצעת חוק עידוד תרומות מזון (תיקון - חובת העברת עודפי מזון לארגון לחלוקת מזון), התשפ"ה-2025</t>
  </si>
  <si>
    <t xml:space="preserve"> (פ/6041/25)</t>
  </si>
  <si>
    <t xml:space="preserve">הצעת חוק חובת פרסום זהותם של אסירים ביטחוניים ששוחררו ממאסר, התשפ"ה-2025</t>
  </si>
  <si>
    <t xml:space="preserve"> (פ/5503/25)</t>
  </si>
  <si>
    <t xml:space="preserve"> (כ/1155)</t>
  </si>
  <si>
    <t xml:space="preserve">הצעת חוק המאבק בתופעת השימוש בחומרים מסכנים (תיקון מס' 6) (הגבלת שיווק של חומר מסכן שיש לו שימושים מותרים), התשפ"ה–2025</t>
  </si>
  <si>
    <t xml:space="preserve"> (פ/5052/25)</t>
  </si>
  <si>
    <t xml:space="preserve"> (כ/1150)</t>
  </si>
  <si>
    <t xml:space="preserve">הצעת חוק להנצחת הרב אברהם יצחק הכהן קוק, התשפ"ה–2025</t>
  </si>
  <si>
    <t xml:space="preserve"> (פ/3713/25)</t>
  </si>
  <si>
    <t xml:space="preserve"> (כ/1152)</t>
  </si>
  <si>
    <t xml:space="preserve">הצעת חוק הסדרת השימוש בקנאביס למטרות רפואיות, התשפ"ה-2025</t>
  </si>
  <si>
    <t xml:space="preserve"> (פ/755/25)</t>
  </si>
  <si>
    <t xml:space="preserve"> (כ/1151)</t>
  </si>
  <si>
    <t xml:space="preserve">הוועדה המיוחדת למאבק בשימוש בסמים ובאלכוהול</t>
  </si>
  <si>
    <t xml:space="preserve">הצעת חוק לתיקון פקודת התעבורה (מס' 140), התשפ"ה–2025</t>
  </si>
  <si>
    <t xml:space="preserve"> (מ/1790)</t>
  </si>
  <si>
    <t xml:space="preserve">הצעת חוק איסור הלבנת הון (תיקון מס' 37) (הטלת חובות על מתווך במקרקעין), התשפ"ה-2025</t>
  </si>
  <si>
    <t xml:space="preserve"> (מ/1889)</t>
  </si>
  <si>
    <t xml:space="preserve">הצעת חוק הגנת הצרכן (תיקון מס' 73), התשפ"ה-2025</t>
  </si>
  <si>
    <t xml:space="preserve"> (מ/1767)</t>
  </si>
  <si>
    <t xml:space="preserve">הצעת חוק לקידום הבנייה במתחמים מועדפים (הוראת שעה) (תיקון מס' 9), התשפ"ה-2025</t>
  </si>
  <si>
    <t xml:space="preserve">הצעת חוק בתי קברות צבאיים (תיקון מס' 5) (תיקון - תחולה למפרע), התשפ"ה-2024</t>
  </si>
  <si>
    <t xml:space="preserve"> (פ/5044/25)</t>
  </si>
  <si>
    <t xml:space="preserve">20.07.2025</t>
  </si>
  <si>
    <t xml:space="preserve">הצעת חוק בתי קברות צבאיים (תיקון מס' 5) (תיקון - תחולה למפרע), התשפ"ד-2024</t>
  </si>
  <si>
    <t xml:space="preserve"> (פ/4676/25)</t>
  </si>
  <si>
    <t xml:space="preserve">הצעת חוק המרכז להנצחת מורשתו של הנשיא יצחק נבון, התשפ"ה-2025</t>
  </si>
  <si>
    <t xml:space="preserve"> (פ/5767/25)</t>
  </si>
  <si>
    <t xml:space="preserve">16.07.2025</t>
  </si>
  <si>
    <t xml:space="preserve"> (פ/5502/25)</t>
  </si>
  <si>
    <t xml:space="preserve">הצעת חוק יום המודעות למאבק במחלת הסרטן, התשפ"ה-2025</t>
  </si>
  <si>
    <t xml:space="preserve"> (פ/5494/25)</t>
  </si>
  <si>
    <t xml:space="preserve">הצעת חוק יום המודעות למחלת הסרטן, התשפ"ה-2025</t>
  </si>
  <si>
    <t xml:space="preserve"> (פ/5457/25)</t>
  </si>
  <si>
    <t xml:space="preserve">הצעת חוק לתיקון פקודת מס הכנסה (נקודת זיכוי בעד שירות מילואים), התשפ"ה-2025</t>
  </si>
  <si>
    <t xml:space="preserve"> (פ/5431/25)</t>
  </si>
  <si>
    <t xml:space="preserve"> (פ/5391/25)</t>
  </si>
  <si>
    <t xml:space="preserve">הצעת חוק חינוך ממלכתי (תיקון - איסור נשיאת דברים במוסד חינוך למורשע בעבירת טרור, גזענות או בגידה), התשפ"ה-2024</t>
  </si>
  <si>
    <t xml:space="preserve"> (פ/5261/25)</t>
  </si>
  <si>
    <t xml:space="preserve"> (פ/5096/25)</t>
  </si>
  <si>
    <t xml:space="preserve">הצעת חוק לתיקון פקודת מס הכנסה (מיסוי קרן הון סיכון נסחרת), התשפ"ג-2022</t>
  </si>
  <si>
    <t xml:space="preserve"> (פ/20/25)</t>
  </si>
  <si>
    <t xml:space="preserve">הצעת חוק חובת פרסום שמותיהם של אסירים ביטחוניים ששוחררו ממאסר, התשפ"ה-2025</t>
  </si>
  <si>
    <t xml:space="preserve"> (פ/5865/25)</t>
  </si>
  <si>
    <t xml:space="preserve">15.07.2025</t>
  </si>
  <si>
    <t xml:space="preserve">חוק חובת המכרזים (תיקון מס' 24 – הוראת שעה) (תיקון מס' 2), התשפ"ה–2025</t>
  </si>
  <si>
    <t xml:space="preserve"> (פ/5866/25)</t>
  </si>
  <si>
    <t xml:space="preserve"> (כ/1147)</t>
  </si>
  <si>
    <t xml:space="preserve">החוק מאריך בשלוש שנים נוספות, עד ל-15 ביולי 2028, את הוראת השעה המסמיכה את הממשלה לקבוע בתקנות, באישור ועדת החוקה של הכנסת, הוראות לעניין העדפה של תוצרת הארץ ברכישת טקסטיל בעבור מערכת הביטחון והמשרד לביטחון הפנים. מכוח הוראה שקיימת בהוראת השעה המקורית, שר האוצר יהיה מוסמך להאריך תקופה זו, בצו, באישור ועדת החוקה של הכנסת, לפרק זמן של שנתיים נוספות.</t>
  </si>
  <si>
    <t xml:space="preserve">הצעת חוק יישום הסכם הביניים בדבר הגדה המערבית ורצועת עזה (הגבלת פעילות) (תיקון מס' 4) (איסור פעילות בתחומי מדינת ישראל, אכיפה ועונשין), התשפ"ה–2025</t>
  </si>
  <si>
    <t xml:space="preserve"> (פ/5011/25)</t>
  </si>
  <si>
    <t xml:space="preserve"> (כ/1148)</t>
  </si>
  <si>
    <t xml:space="preserve">הצעת חוק העונשין (תיקון מס' 153), התשפ"ה–2025</t>
  </si>
  <si>
    <t xml:space="preserve"> (פ/3326/25)</t>
  </si>
  <si>
    <t xml:space="preserve"> (כ/1129)</t>
  </si>
  <si>
    <t xml:space="preserve">חוק לייעול האכיפה והפיקוח העירוניים ברשויות המקומיות (הוראת שעה) (תיקון מס' 18), התשפ"ה–2025 </t>
  </si>
  <si>
    <t xml:space="preserve"> (מ/1823)</t>
  </si>
  <si>
    <t xml:space="preserve">14.07.2025</t>
  </si>
  <si>
    <t xml:space="preserve">במסגרת החוק נקבע כי חוק לייעול האכיפה והפיקוח העירוניים ברשויות המקומיות (הוראת שעה), התשע"א-2011, יהפוך להוראת קבע, לצד קביעת מספר הסדרים. ראשית, הוסדרו אופן ההקמה וההפעלה של מערכי אכיפה מקומיים בהתאם לאמות מידה ותבחינים, תוך קביעת משקלן בתקנות על ידי השר לביטחון לאומי, וזאת לצד קיומו של חריג להקמת רשויות כאמור באזורי עדיפות או מיקוד לאומיים. שנית, נקבע הסדר בנוגע למבנה הכוח במערך השיטור המקומי, המתייחס למספר הכולל של השוטרים והפקחים וליחס ביניהם, ובכלל זה את האפשרות של רשות מקומית להסתייע במתנדב המסייע ליחידות הסיור של משטרת ישראל. שלישית, הוסדר מימון מערכי האכיפה המקומיים על ידי המשרד לביטחון לאומי בהתאם לאמות המידה שנקבעו, לצד חריג לעניין זה במקרה של רשות שהוכרה כאזור עדיפות או מיקוד לאומי בחוק או בהחלטת ממשלה. רביעית, הוסדר אופן החזקת הנשקים בידי מערך אכיפה מקומי בהתאם לרישיון מיוחד לפי חוק כלי הירייה. מעבר לכך, נקבעו המקרים בהם רשאי פקח השיטור המקומי להפעיל את סמכויותיו תוך תחימתם למקרים מסוימים שהם מניעת אלימות, גניבה, נזק חמור לרכוש ומעשה מסכן חיים באמצעות רכב המתבצעים במרחב הציבורי. וזאת, במקום ובדרך שיבטיחו שמירה על זכויות אדם. וכן, ניתנו לפקח השיטור המקומי סמכויות למאבק בתופעת השכרות, כהוראת שעה לשנתיים, באזורים ספציפיים ברשות המקומית המנויים בתוספת, לרבות חופי רחצה, גנים ציבוריים וטיילות.  בנוסף, עוגנה הקמתה של יחידה במשרד לביטחון לאומי שתתכלל את הפעלת המערכים והקמתם כאמור ואף תטפל בתלונות שהוגשו בגין הפעלת סמכות שלא כדין בידי פקחי השיטור המקומיים. עוד נקבעה, חובת דיווח שנתית של השר לביטחון לאומי לוועדה לביטחון לאומי של הכנסת על מספר דברים, ביניהם, רשויות מקומיות שביקשו להקים ולהפעיל מערך אכיפה מקומי וטרם הוקם בהן מערך והסיבות לכך, אירועים חריגים בהפעלת סמכויות של פקחי השיטור המקומיים והטיפול בהם ופירוט הרשויות שניתן להם סיוע במימון מערכי האכיפה המקומיים והיקפו.  </t>
  </si>
  <si>
    <t xml:space="preserve">הצעת חוק הגנת אזרח ישראלי שהוטלו עליו עיצומים כלכליים על ידי מדינה זרה (תיקוני חקיקה), התשפ"ה-2025</t>
  </si>
  <si>
    <t xml:space="preserve"> (פ/6040/25)</t>
  </si>
  <si>
    <t xml:space="preserve">הצעת חוק לתיקון פקודת העיריות (ועדת מכרזים), התשפ"ה-2025</t>
  </si>
  <si>
    <t xml:space="preserve"> (פ/6039/25)</t>
  </si>
  <si>
    <t xml:space="preserve"> (פ/6037/25)</t>
  </si>
  <si>
    <t xml:space="preserve"> (פ/6034/25)</t>
  </si>
  <si>
    <t xml:space="preserve">הצעת חוק לתיקון פקודת העיריות (גמול כספי לחברי מועצה בעירייה), התשפ"ה-2025 </t>
  </si>
  <si>
    <t xml:space="preserve"> (פ/6033/25)</t>
  </si>
  <si>
    <t xml:space="preserve">הצעת חוק הרשויות המקומיות (בחירת ראש הרשות וסגניו וכהונתם) (תיקון - סגנים נוספים), התשפ"ה-2025</t>
  </si>
  <si>
    <t xml:space="preserve"> (פ/6032/25)</t>
  </si>
  <si>
    <t xml:space="preserve">הצעת חוק זכויות בעלי חיים (העברת סמכויות הוועדה בכנסת) (תיקוני חקיקה), התשפ"ה-2025</t>
  </si>
  <si>
    <t xml:space="preserve"> (פ/6031/25)</t>
  </si>
  <si>
    <t xml:space="preserve">הצעת חוק דוד בן-גוריון (תיקון - מינוי נציגי יד בן־גוריון למכון), התשפ"ה-2025</t>
  </si>
  <si>
    <t xml:space="preserve"> (פ/6030/25)</t>
  </si>
  <si>
    <t xml:space="preserve">הצעת חוק עבודת נשים (תיקון - תקופת לידה והורות לגבר), התשפ"ה-2025</t>
  </si>
  <si>
    <t xml:space="preserve"> (פ/6029/25)</t>
  </si>
  <si>
    <t xml:space="preserve">הצעת חוק תרומת ביציות (תיקון - תרומת ביציות בין בנות זוג), התשפ"ה-2025</t>
  </si>
  <si>
    <t xml:space="preserve"> (פ/6027/25)</t>
  </si>
  <si>
    <t xml:space="preserve">הצעת חוק הסכמים לנשיאת עוברים (אישור הסכם ומעמד היילוד) (תיקון - הרחבת הזכאות להליכי נשיאת עוברים), התשפ"ה-2025</t>
  </si>
  <si>
    <t xml:space="preserve"> (פ/6026/25)</t>
  </si>
  <si>
    <t xml:space="preserve">הצעת חוק עבודת נשים (תיקון - הוספת חלקו של חודש במניין), התשפ"ה-2025</t>
  </si>
  <si>
    <t xml:space="preserve"> (פ/6025/25)</t>
  </si>
  <si>
    <t xml:space="preserve">הצעת חוק לשמירה על בטיחות מעליות, התשפ"ה-2025</t>
  </si>
  <si>
    <t xml:space="preserve"> (פ/6024/25)</t>
  </si>
  <si>
    <t xml:space="preserve">הצעת חוק המתווכים במקרקעין (תיקון - אחריות לתשלום דמי תיווך), התשפ"ה-2025</t>
  </si>
  <si>
    <t xml:space="preserve"> (פ/6023/25)</t>
  </si>
  <si>
    <t xml:space="preserve">הצעת חוק הפיקוח על צעצועים מסוכנים, התשפ"ה-2025</t>
  </si>
  <si>
    <t xml:space="preserve"> (פ/6022/25)</t>
  </si>
  <si>
    <t xml:space="preserve">הצעת חוק הקאדים (תיקון - גיל פרישה לקאדי שילדו נפטר), התשפ"ה-2025</t>
  </si>
  <si>
    <t xml:space="preserve"> (פ/6021/25)</t>
  </si>
  <si>
    <t xml:space="preserve">הצעת חוק הרשויות המקומיות (בחירות) (תיקון - העלאת אחוז החסימה), התשפ"ה-2025</t>
  </si>
  <si>
    <t xml:space="preserve"> (פ/6020/25)</t>
  </si>
  <si>
    <t xml:space="preserve"> (פ/6019/25)</t>
  </si>
  <si>
    <t xml:space="preserve">הצעת חוק הרבנות הראשית לישראל (תיקון - מינוי מנהל כללי ותקציב הרבנות הראשית לישראל), התשפ"ה-2025</t>
  </si>
  <si>
    <t xml:space="preserve"> (פ/6018/25)</t>
  </si>
  <si>
    <t xml:space="preserve">הצעת חוק החזקת תעודת זהות והצגתה (תיקון - תעודה מזהה), התשפ"ה-2025</t>
  </si>
  <si>
    <t xml:space="preserve"> (פ/6017/25)</t>
  </si>
  <si>
    <t xml:space="preserve">הצעת חוק מרשם האוכלוסין (תיקון - רישום הורה נוסף), התשפ"ה-2025</t>
  </si>
  <si>
    <t xml:space="preserve"> (פ/6016/25)</t>
  </si>
  <si>
    <t xml:space="preserve">הצעת חוק-יסוד: כבוד האדם וחירותו (תיקון - הזכות לשוויון)</t>
  </si>
  <si>
    <t xml:space="preserve"> (פ/6015/25)</t>
  </si>
  <si>
    <t xml:space="preserve">הצעת חוק העונשין (תיקון - החמרת ענישה בריגול חמור ומגע עם סוכן חוץ), התשפ"ה-2025</t>
  </si>
  <si>
    <t xml:space="preserve"> (פ/6013/25)</t>
  </si>
  <si>
    <t xml:space="preserve">הצעת חוק גנים לאומיים, שמורות טבע, אתרים לאומיים ואתרי הנצחה (תיקון - כניסת חתן וכלה ללא תשלום), התשפ"ה-2025</t>
  </si>
  <si>
    <t xml:space="preserve"> (פ/6012/25)</t>
  </si>
  <si>
    <t xml:space="preserve">הצעת חוק הבנקאות (שירות ללקוח) (תיקון - מתן שירותי הפקדה בכל כספומט בנקאי), התשפ"ה-2025</t>
  </si>
  <si>
    <t xml:space="preserve"> (פ/6011/25)</t>
  </si>
  <si>
    <t xml:space="preserve">הצעת חוק לתיקון פקודת התעבורה (הוראות לעניין סככות המתנה בתחנות אוטובוס), התשפ״ה-2025</t>
  </si>
  <si>
    <t xml:space="preserve"> (פ/6010/25)</t>
  </si>
  <si>
    <t xml:space="preserve"> (פ/6009/25)</t>
  </si>
  <si>
    <t xml:space="preserve"> (פ/6008/25)</t>
  </si>
  <si>
    <t xml:space="preserve">הצעת חוק מחיקת רישומים בגין התקהלות אסורה, התשפ"ה-2025</t>
  </si>
  <si>
    <t xml:space="preserve"> (פ/6007/25)</t>
  </si>
  <si>
    <t xml:space="preserve">הצעת חוק הביטוח הלאומי (תיקון - הודעה לפני גביית חוב), התשפ"ה-2025</t>
  </si>
  <si>
    <t xml:space="preserve"> (פ/6006/25)</t>
  </si>
  <si>
    <t xml:space="preserve">הצעת חוק בתי המשפט (תיקון - תקופת צינון במועמדות חבר כנסת או שר למשרת שופט), התשפ"ה-2025</t>
  </si>
  <si>
    <t xml:space="preserve"> (פ/6005/25)</t>
  </si>
  <si>
    <t xml:space="preserve">הצעת חוק זיכרון השואה והגבורה - יד ושם (תיקון - הגדרת יד ושם כגוף מבוקר וחיזוק הפיקוח הפרלמנטרי עליו), התשפ"ה-2025</t>
  </si>
  <si>
    <t xml:space="preserve"> (פ/6004/25)</t>
  </si>
  <si>
    <t xml:space="preserve">הצעת חוק דחיית תשלומי מס לעסק חדש (תיקוני חקיקה), התשפ"ה-2025</t>
  </si>
  <si>
    <t xml:space="preserve"> (פ/6003/25)</t>
  </si>
  <si>
    <t xml:space="preserve">הצעת חוק לביטול ההתיישנות בעבירות מין במשפחה (תיקוני חקיקה), התשפ"ה-2025</t>
  </si>
  <si>
    <t xml:space="preserve"> (פ/6002/25)</t>
  </si>
  <si>
    <t xml:space="preserve">הצעת חוק לתיקון פקודת מס הכנסה (פטור ממס למקבלי קצבת ילד נכה), התשפ"ה-2025</t>
  </si>
  <si>
    <t xml:space="preserve"> (פ/6001/25)</t>
  </si>
  <si>
    <t xml:space="preserve"> (פ/6000/25)</t>
  </si>
  <si>
    <t xml:space="preserve">הצעת חוק המוזיאונים (תיקון - מוזיאונים להנצחה ולהנחלה של זכר השואה והגבורה), התשפ"ה-2025</t>
  </si>
  <si>
    <t xml:space="preserve"> (פ/5999/25)</t>
  </si>
  <si>
    <t xml:space="preserve">הצעת חוק בית המשפט לענייני משפחה (תיקון - בני זוג מאותו המין), התשפ"ה-2025</t>
  </si>
  <si>
    <t xml:space="preserve"> (פ/5998/25)</t>
  </si>
  <si>
    <t xml:space="preserve">הצעת חוק בתי המשפט (תיקון - צילום בבתי משפט), התשפ"ה-2025</t>
  </si>
  <si>
    <t xml:space="preserve"> (פ/5996/25)</t>
  </si>
  <si>
    <t xml:space="preserve">הצעת חוק לתיקון פקודת מס הכנסה (ניכוי בעד שכר עובדים המשרתים במילואים), התשפ"ה-2025</t>
  </si>
  <si>
    <t xml:space="preserve"> (פ/5995/25)</t>
  </si>
  <si>
    <t xml:space="preserve">הצעת חוק לביטול ההתיישנות בעבירות מין (תיקוני חקיקה), התשפ"ה-2025</t>
  </si>
  <si>
    <t xml:space="preserve"> (פ/5994/25)</t>
  </si>
  <si>
    <t xml:space="preserve">הצעת חוק אימוץ ילדים (תיקון - כשירות לאמץ והתאמת מאמצים לילד), התשפ"ה-2025</t>
  </si>
  <si>
    <t xml:space="preserve"> (פ/5993/25)</t>
  </si>
  <si>
    <t xml:space="preserve">הצעת חוק טיפול בפעוט עם מוגבלות (תיקוני חקיקה), התשפ"ה-2025</t>
  </si>
  <si>
    <t xml:space="preserve"> (פ/5992/25)</t>
  </si>
  <si>
    <t xml:space="preserve">הצעת חוק הבטחת הכנסה (תיקון - זכאי לגמלה ששוהה מחוץ לישראל בשל מצב מיוחד) (הוראת שעה), התשפ"ה-2025</t>
  </si>
  <si>
    <t xml:space="preserve"> (פ/5991/25)</t>
  </si>
  <si>
    <t xml:space="preserve">הצעת חוק הביטוח הלאומי (תיקון - תיאום דמי ביטוח), התשפ"ה-2025</t>
  </si>
  <si>
    <t xml:space="preserve"> (פ/5990/25)</t>
  </si>
  <si>
    <t xml:space="preserve">הצעת חוק לתיקון פקודת מס הכנסה (הודעה בדבר זכאות לנקודת זיכוי), התשפ״ה-2025</t>
  </si>
  <si>
    <t xml:space="preserve"> (פ/5989/25)</t>
  </si>
  <si>
    <t xml:space="preserve">הצעת חוק-יסוד: משק המדינה (תיקון - בחינת העלות לרשויות מקומיות)</t>
  </si>
  <si>
    <t xml:space="preserve"> (פ/5988/25)</t>
  </si>
  <si>
    <t xml:space="preserve">הצעת חוק איסור צריכת זנות (הוראת שעה ותיקון חקיקה) (תיקון - עיגון כהוראת קבע), התשפ"ה- 2025</t>
  </si>
  <si>
    <t xml:space="preserve"> (פ/5987/25)</t>
  </si>
  <si>
    <t xml:space="preserve">הצעת חוק זכויות החולה (תיקון - טיפול רפואי לקטין מגיל 15 ללא נוכחות הורה), התשפ"ה-2025</t>
  </si>
  <si>
    <t xml:space="preserve"> (פ/5986/25)</t>
  </si>
  <si>
    <t xml:space="preserve">הצעת חוק הביטוח הלאומי (תיקון - גמלת אבל), התשפ"ה-2025</t>
  </si>
  <si>
    <t xml:space="preserve"> (פ/5985/25)</t>
  </si>
  <si>
    <t xml:space="preserve">הצעת חוק מסירת מידע לחברי הכנסת ולוועדות הכנסת (תיקוני חקיקה), התשפ"ה-2025</t>
  </si>
  <si>
    <t xml:space="preserve"> (פ/5984/25)</t>
  </si>
  <si>
    <t xml:space="preserve">הצעת חוק התגמולים לנפגעי פעולות איבה (תיקון - משפחה מלווה ליתומים בגירים), התשפ"ה-2025</t>
  </si>
  <si>
    <t xml:space="preserve"> (פ/5982/25)</t>
  </si>
  <si>
    <t xml:space="preserve">הצעת חוק טיפול בכתות פוגעניות, התשפ"ה-2025</t>
  </si>
  <si>
    <t xml:space="preserve"> (פ/5981/25)</t>
  </si>
  <si>
    <t xml:space="preserve"> (פ/5980/25)</t>
  </si>
  <si>
    <t xml:space="preserve">הצעת חוק לתיקון פקודת הרוקחים (רכישת תרופות על ידי קטין מגיל 15), התשפ"ה-2025</t>
  </si>
  <si>
    <t xml:space="preserve"> (פ/5979/25)</t>
  </si>
  <si>
    <t xml:space="preserve">הצעת חוק לתיקון פקודת בתי הסוהר (מס' 69), התשפ"ה–2025</t>
  </si>
  <si>
    <t xml:space="preserve"> (פ/4890/25)</t>
  </si>
  <si>
    <t xml:space="preserve"> (כ/1134)</t>
  </si>
  <si>
    <t xml:space="preserve">הצעת חוק העונשין (תיקון מס' 158) (אסון טבע, מלחמה ומצב חירום), התשפ"ה-2025</t>
  </si>
  <si>
    <t xml:space="preserve"> (מ/1886)</t>
  </si>
  <si>
    <t xml:space="preserve">הצעת חוק מועצת הצמחים (ייצור ושיווק) (תיקון מס' 11), התשפ"ה-2025</t>
  </si>
  <si>
    <t xml:space="preserve"> (מ/1887)</t>
  </si>
  <si>
    <t xml:space="preserve">הצעת חוק הגנת הצרכן (תיקון - חובת הקלטת שיחות, שמירתן ומסירתן לצרכן), התשפ"ג-2023</t>
  </si>
  <si>
    <t xml:space="preserve"> (פ/3535/25)</t>
  </si>
  <si>
    <t xml:space="preserve">09.07.2025</t>
  </si>
  <si>
    <t xml:space="preserve">הצעת חוק הגנת הצרכן (תיקון - חובת הקלטה של עסקה טלפונית), התשפ"ג-2023</t>
  </si>
  <si>
    <t xml:space="preserve"> (פ/2936/25)</t>
  </si>
  <si>
    <t xml:space="preserve">הצעת חוק איסור לכידת בעלי חיים באמצעות מלכודות אסורות, התשפ"ה-2025</t>
  </si>
  <si>
    <t xml:space="preserve"> (פ/865/25)</t>
  </si>
  <si>
    <t xml:space="preserve"> (כ/1090)</t>
  </si>
  <si>
    <t xml:space="preserve">חוק איסור שהייה וישיבה בישראל שלא כדין (תיקוני חקיקה), התשפ"ה-2025</t>
  </si>
  <si>
    <t xml:space="preserve"> (פ/5507/25)</t>
  </si>
  <si>
    <t xml:space="preserve"> (כ/1101)</t>
  </si>
  <si>
    <t xml:space="preserve">במסגרת החוק נקבע כי שר הפנים או מפקד כוחות צבא הגנה לישראל באזור, לפי העניין, לא ייתן היתר שהייה בישראל ולא יחדש רישיון לישיבה בישראל למבקש שהוא פעיל טרור או של מי שהורשע במעשה טרור, וכן למבקש שהוא בן משפחה של אדם כאמור. כמו כן, נקבע כי המונח "בן משפחה" יוגדר אחרת לפי שלב הגשת הבקשה להיתר או לרישיון כאמור. לעניין בקשה ראשונה, המוגשת ככלל טרם הכניסה לישראל, ההגדרה תהיה רחבה ותכלול מעגלים נוספים ואילו לעניין חידוש היתר או רישיון כאמור של אדם שכבר שוהה בישראל ונמצא בהליך להסדרת מעמדו, ההגדרה תהיה מצומצמת ותכלול רק את בני המשפחה הקרובים. עוד נקבע כי מי שנכנס לישראל מהאזור או דרך האזור בניגוד לחוק, או מפר תנאי מהתנאים שנקבעו באשרתו או ברישיון הישיבה שניתנו לו לפי חוק זה, לא יקבל היתר או רישיון כאמור במשך עשר שנים, אלא אם כן יסבור שר הפנים או מפקד האזור, לפי העניין, כי יש לתת לו היתר או רישיון כאמור מטעמים מיוחדים. זאת ועוד, הוחמרה הענישה בגין עבירות ספציפיות של שהייה בישראל שלא כדין, אם בוצעו בידי מי שנכנס לישראל מהאזור או דרך האזור, ובמסגרת זאת נקבע כי העונש המרבי בעבירות אלה יהיה עד שנתיים מאסר במקום שנה אחת. כמו כן, נקבעו חובת הטלת קנס על מי שהורשע בעבירות כאמור, וכן הסדר חילוט, המבוסס על חזקה שלפיה כסף מזומן הנמצא בחזקתו של חשוד בעבירות המבוצעות בנסיבות אלה יראה כשכר שניתן עבור ביצוע העבירה או כאמצעי לביצועה, אלא אם הוכח אחרת. </t>
  </si>
  <si>
    <t xml:space="preserve">הצעת חוק התגמולים לנפגעי פעולות איבה (תיקון - קבורה בחלקה לבחירת המשפחה), התשפ"ה-2025</t>
  </si>
  <si>
    <t xml:space="preserve"> (פ/5825/25)</t>
  </si>
  <si>
    <t xml:space="preserve"> (פ/5788/25)</t>
  </si>
  <si>
    <t xml:space="preserve">הצעת חוק משק החשמל (תיקון - הוזלת תעריפי החשמל בימי שבת), התשפ"ה-2025</t>
  </si>
  <si>
    <t xml:space="preserve"> (פ/5552/25)</t>
  </si>
  <si>
    <t xml:space="preserve">הצעת חוק זכויות הסטודנט (תיקון - הוראת שעה - חרבות ברזל) (מימון שכר לימוד למשרתי מילואים), התשפ״ד-2024</t>
  </si>
  <si>
    <t xml:space="preserve"> (פ/4194/25)</t>
  </si>
  <si>
    <t xml:space="preserve">הצעת חוק הבחירות לכנסת (תיקון - הצבעת אנשי צוות אוויר), התשפ"ג-2023</t>
  </si>
  <si>
    <t xml:space="preserve"> (פ/3706/25)</t>
  </si>
  <si>
    <t xml:space="preserve">הצעת חוק השבות (תיקון - זכויות בני משפחה), התשפ"ג-2023</t>
  </si>
  <si>
    <t xml:space="preserve"> (פ/3171/25)</t>
  </si>
  <si>
    <t xml:space="preserve">הצעת חוק זכויות התלמיד (תיקון - מניעת פגיעה בתלמיד עקב פעילות המתקיימת במוסד חינוך בניגוד לטובת הילד ורצון ההורים), התשפ"ג-2023</t>
  </si>
  <si>
    <t xml:space="preserve"> (פ/2813/25)</t>
  </si>
  <si>
    <t xml:space="preserve">הצעת חוק זכויות הסטודנט (תיקון מס' 10), התשפ"ה–2025</t>
  </si>
  <si>
    <t xml:space="preserve"> (פ/2368/25)</t>
  </si>
  <si>
    <t xml:space="preserve"> (כ/1100)</t>
  </si>
  <si>
    <t xml:space="preserve">הצעת חוק הסדרת הליכים לפני רשם קשרי משפחה, התשפ"ה-2025</t>
  </si>
  <si>
    <t xml:space="preserve"> (מ/1883)</t>
  </si>
  <si>
    <t xml:space="preserve">הצעת חוק הסדרת העיסוק בשירותי מסחר בניירות ערך, התשפ"ה-2025 </t>
  </si>
  <si>
    <t xml:space="preserve"> (מ/1884)</t>
  </si>
  <si>
    <t xml:space="preserve">הצעת חוק המרכז לגביית קנסות, אגרות והוצאות (תיקון מס' 30) (פיצויים שהטיל בית משפט צבאי), התשפ"ד–2024</t>
  </si>
  <si>
    <t xml:space="preserve"> (פ/3384/25)</t>
  </si>
  <si>
    <t xml:space="preserve"> (כ/1040)</t>
  </si>
  <si>
    <t xml:space="preserve">08.07.2025</t>
  </si>
  <si>
    <t xml:space="preserve">הצעת חוק למניעת מפגעי אסבסט ואבק מזיק (תיקון מס' 5), התשפ"ה-2025</t>
  </si>
  <si>
    <t xml:space="preserve"> (מ/1842)</t>
  </si>
  <si>
    <t xml:space="preserve">הצעת חוק איסור פרסומת והגבלת השיווק של מוצרי טבק ועישון (תיקון - איסור על ייצור ושיווק של חומר מילוי בטעם או בריח מובחן), התשפ"ה-2024</t>
  </si>
  <si>
    <t xml:space="preserve"> (פ/5267/25)</t>
  </si>
  <si>
    <t xml:space="preserve">07.07.2025</t>
  </si>
  <si>
    <t xml:space="preserve">הצעת חוק תמיכה במערך הטיפול בחללים (הוראת שעה), התשפ״ה-2025</t>
  </si>
  <si>
    <t xml:space="preserve"> (פ/5977/25)</t>
  </si>
  <si>
    <t xml:space="preserve">הצעת חוק התכנון והבנייה (תיקון - פטור מהיתר בנייה להקמת מערכת פוטו-וולטאית ומתקן לאגירת אנרגיה על גג בית ומבנה ציבור בנגב), התשפ"ה-2025</t>
  </si>
  <si>
    <t xml:space="preserve"> (פ/5976/25)</t>
  </si>
  <si>
    <t xml:space="preserve"> (פ/5975/25)</t>
  </si>
  <si>
    <t xml:space="preserve"> (פ/5974/25)</t>
  </si>
  <si>
    <t xml:space="preserve">הצעת חוק העונשין (תיקון - החמרת ענישה ועונש מזערי על גניבה תוך ניצול מצב חירום), התשפ"ה-2025</t>
  </si>
  <si>
    <t xml:space="preserve"> (פ/5973/25)</t>
  </si>
  <si>
    <t xml:space="preserve"> (פ/5968/25)</t>
  </si>
  <si>
    <t xml:space="preserve">הצעת חוק נציבות תלונות הציבור על מייצגי המדינה בערכאות (תיקון - עצמאות הנציב וייעול הליכי בירור תלונות), התשפ"ה-2025</t>
  </si>
  <si>
    <t xml:space="preserve"> (פ/5965/25)</t>
  </si>
  <si>
    <t xml:space="preserve">הצעת חוק הבנקאות (רישוי) (תיקון - איסור עיסוק במסחר ושמירה של מטבעות וירטואליים) (הוראת שעה), התשפ"ה-2025</t>
  </si>
  <si>
    <t xml:space="preserve"> (פ/5964/25)</t>
  </si>
  <si>
    <t xml:space="preserve">הצעת חוק הרשות הארצית לכבאות והצלה (תיקון - הגבלת התאגדות וגיל פרישה), התשפ"ה-2025 </t>
  </si>
  <si>
    <t xml:space="preserve"> (פ/5962/25)</t>
  </si>
  <si>
    <t xml:space="preserve"> (פ/5961/25)</t>
  </si>
  <si>
    <t xml:space="preserve">הצעת חוק האופוזיציה ברשויות המקומיות (תיקוני חקיקה), התשפ"ה-2025</t>
  </si>
  <si>
    <t xml:space="preserve"> (פ/5960/25)</t>
  </si>
  <si>
    <t xml:space="preserve">הצעת חוק העונשין (תיקון - פיצויים לנפגע עבירת סחיטת דמי חסות), התשפ"ה-2025</t>
  </si>
  <si>
    <t xml:space="preserve"> (פ/5958/25)</t>
  </si>
  <si>
    <t xml:space="preserve"> (פ/5957/25)</t>
  </si>
  <si>
    <t xml:space="preserve">הצעת חוק שירות המילואים (תיקון - הטבה ברכישת דירה ראשונה למשרת מילואים פעיל), התשפ"ה-2025</t>
  </si>
  <si>
    <t xml:space="preserve"> (פ/5956/25)</t>
  </si>
  <si>
    <t xml:space="preserve"> (פ/5955/25)</t>
  </si>
  <si>
    <t xml:space="preserve">הצעת חוק חובת המכרזים (תיקון מס' 24 - הוראת שעה) (תיקון - הארכת הוראת השעה), התשפ"ה-2025</t>
  </si>
  <si>
    <t xml:space="preserve"> (פ/5954/25)</t>
  </si>
  <si>
    <t xml:space="preserve"> (פ/5953/25)</t>
  </si>
  <si>
    <t xml:space="preserve">הצעת חוק הביטוח הלאומי (תיקון - מענק בשל ירידה בהכנסות לעצמאים ששירתו במילואים במלחמת חרבות ברזל), התשפ״ה-2025</t>
  </si>
  <si>
    <t xml:space="preserve"> (פ/5951/25)</t>
  </si>
  <si>
    <t xml:space="preserve"> (פ/5949/25)</t>
  </si>
  <si>
    <t xml:space="preserve"> (פ/5945/25)</t>
  </si>
  <si>
    <t xml:space="preserve"> (פ/5944/25)</t>
  </si>
  <si>
    <t xml:space="preserve">הצעת חוק הירושה (תיקון מס' 22), התשפ"ה–2025</t>
  </si>
  <si>
    <t xml:space="preserve"> (פ/4360/25)</t>
  </si>
  <si>
    <t xml:space="preserve"> (כ/1123)</t>
  </si>
  <si>
    <t xml:space="preserve">הצעת חוק הרשויות המקומיות (תגמול לחברי מועצה), התשפ"ה–2025</t>
  </si>
  <si>
    <t xml:space="preserve"> (פ/3603/25)</t>
  </si>
  <si>
    <t xml:space="preserve"> (כ/1143)</t>
  </si>
  <si>
    <t xml:space="preserve">הצעת חוק הנוער (שפיטה, ענישה ודרכי טיפול) (תיקון - נוכחות עורך דין בחקירת קטין) (הוראת שעה), התשפ"ד-2024</t>
  </si>
  <si>
    <t xml:space="preserve"> (פ/4454/25)</t>
  </si>
  <si>
    <t xml:space="preserve">03.07.2025</t>
  </si>
  <si>
    <t xml:space="preserve"> (פ/5914/25)</t>
  </si>
  <si>
    <t xml:space="preserve">02.07.2025</t>
  </si>
  <si>
    <t xml:space="preserve">הצעת חוק הביטוח הלאומי (תיקון - דמי אבטלה לעצמאים), התשפ"ה-2025</t>
  </si>
  <si>
    <t xml:space="preserve"> (פ/5757/25)</t>
  </si>
  <si>
    <t xml:space="preserve"> (פ/5746/25)</t>
  </si>
  <si>
    <t xml:space="preserve"> (פ/5671/25)</t>
  </si>
  <si>
    <t xml:space="preserve">הצעת חוק שירות ביטחון (תיקון - סיוע טיפולי לבוגרי השירות הצבאי), התשפ"ה-2025</t>
  </si>
  <si>
    <t xml:space="preserve"> (פ/5317/25)</t>
  </si>
  <si>
    <t xml:space="preserve">הצעת חוק ביטוח בריאות ממלכתי (תיקון - הפחתה בדמי ביטוח בריאות לתושבי הפריפריה), התשפ"ד-2024</t>
  </si>
  <si>
    <t xml:space="preserve"> (פ/4776/25)</t>
  </si>
  <si>
    <t xml:space="preserve">הצעת חוק לתיקון פקודת העיריות (ועדת מכרזים), התשפ"ג-2023</t>
  </si>
  <si>
    <t xml:space="preserve"> (פ/3616/25)</t>
  </si>
  <si>
    <t xml:space="preserve">הצעת חוק טיפול בכתות פוגעניות, התשפ"ג-2023</t>
  </si>
  <si>
    <t xml:space="preserve"> (פ/2718/25)</t>
  </si>
  <si>
    <t xml:space="preserve">הצעת חוק קידום התחרות בענפי המזון והפארם (תיקון - היקף מחזור המכירות של קמעונאי פארם גדול), התשפ"ה-2025</t>
  </si>
  <si>
    <t xml:space="preserve"> (פ/5814/25)</t>
  </si>
  <si>
    <t xml:space="preserve">01.07.2025</t>
  </si>
  <si>
    <t xml:space="preserve">הצעת חוק הרשויות המקומיות (גמול השתתפות בישיבות והחזר הוצאות לחברי מועצה), התשפ"ג-2023</t>
  </si>
  <si>
    <t xml:space="preserve"> (פ/3789/25)</t>
  </si>
  <si>
    <t xml:space="preserve">הצעת חוק הרשויות המקומיות (זכויות וחובות של חברי מועצה), התשפ"ג-2023</t>
  </si>
  <si>
    <t xml:space="preserve"> (פ/2268/25)</t>
  </si>
  <si>
    <t xml:space="preserve">הצעת חוק שירות אזרחי (תיקון - הארכת גיל הזכאות של נכה נפש לשרת במסגרת שירות לאומי או התנדבות קהילתית), התשפ"ג-2022</t>
  </si>
  <si>
    <t xml:space="preserve"> (פ/43/25)</t>
  </si>
  <si>
    <t xml:space="preserve">הצעת חוק שיפוט בתי דין דתיים (בוררות), התשפ"ג-2023</t>
  </si>
  <si>
    <t xml:space="preserve"> (פ/1579/25)</t>
  </si>
  <si>
    <t xml:space="preserve">חוק ניוד מידע רפואי (תיקון מס' 2), התשפ"ה–2025</t>
  </si>
  <si>
    <t xml:space="preserve"> (פ/4981/25)</t>
  </si>
  <si>
    <t xml:space="preserve"> (כ/1116)</t>
  </si>
  <si>
    <t xml:space="preserve">תיקון זה לחוק ניוד מידע רפואי, מוסיף לנותני שירותי הבריאות בחוק את חיל הרפואה של צה"ל ואת מחלקת הרפואה של שב"ס וכן גופים ציבוריים אחרים האחראים למתן טיפול רפואי, המנויים בתוספת השנייה: משרד הביטחון לעניין מתן טיפול רפואי לנכי צה"ל ומשרד הרווחה והביטחון החברתי לעניין מתן טיפול רפואי במעונות. גופים אלה יחויבו להעביר מידע רפואי על פי הוראות החוק ויהיו רשאים לבקש היתר לקבלת מידע רפואי למטרות המנויות בחוק. לגבי חיל הרפואה של צה"ל ומחלקת הרפואה של שב"ס, נקבעו הוראות הדומות לאלה הקבועות בחוק לגבי קופת החולים המבטחת של אדם, מכיוון שכל עוד חייל זכאי לשירותי בריאות מחיל הרפואה לפי חוק ביטוח בריאות ממלכתי, חיל הרפואה הוא האחראי למתן הטיפול הרפואי וכך גם מחלקת הרפואה של שב"ס לגבי אסיר כל עוד הוא מוחזק במשמורת. בין היתר, נקבעו הוראות כאמור לעניין העברת התיק הרפואי מקופת החולים שבה היה מבוטח החייל לחיל הרפואה או שבה היה מבוטח האסיר למחלקת הרפואה בשב"ס, וחזרה לקופת החולים המבטחת לאחר סיום זכאותו של חייל לשירותי בריאות כאמור או לאחר סיום החזקת אסיר במשמורת, וכן לעניין הרשאת גישה מתמשכת למידע הרפואי על אודות חייל או אסיר. שנית, התיקון לחוק מסמיך את מנכ"ל משרד הבריאות לתת היתר לקבלת מידע רפואי גם לגוף ציבורי המנוי בתוספת השלישית, המבקש מידע רפואי לגבי אדם, הדרוש לשם מתן זכות או שירות שהגוף הציבורי נותן, לפי דין או מכוח תפקידו הציבורי, והכרוכים בקבלת מידע רפואי, כמפורט באותה תוספת לגבי כל גוף ציבורי, ובלבד שמתקיימים לגבי הגוף הציבורי יתר התנאים שבחוק, וביניהם כאמור דרישה להסכמת אותו אדם. בתוספת השלישית מנויים המוסד לביטוח לאומי, משרד הביטחון, משרד הבריאות, משרד הרווחה והביטחון החברתי, משרד התחבורה והבטיחות בדרכים, ורשות התעופה האזרחית, לגבי זכויות ושירותים המנויים בתוספת זו. לעניין זה נקבע כי הגוף הציבורי לא יתנה מתן זכות או שירות בהסכמה של האדם להעברת המידע הרפואי לגביו לפי החוק, וכי זכויותיו של אדם או השירותים שיינתנו לו לא ייפגעו אם לא הסכים להעברת המידע הרפואי לגביו למטרת מתן זכויות או מתן שירותים לפי החוק.  כמו כן, לגבי הרשאת גישה מתמשכת למידע הרפואי למטרת מתן זכויות או מתן שירותים, נקבע כי בקשת ההסכמה למתן הרשאת גישה למידע הרפואי שתוצג לאדם תכלול גם אפשרות להסכים להרשאת גישה חד-פעמית בלבד, וכן נקבע כי אין לעשות שימוש בהרשאת גישה מתמשכת לאחר קביעת הזכאות לזכות או סיום מתן השירות. המנהל יהיה רשאי לקבוע בנוהל כי לעניין מתן זכות או שירות מסוימים, יכול שתינתן הרשאת גישה מתמשכת גם לתקופות שעולות על שנה, בכפוף לכך שניתנה הסכמת האדם, אם המנהל מצא כי מאפייני מתן הזכות או השירות מצביעים על קיומו של צורך בהרשאת גישה מתמשכת בנסיבות אלה. כמו כן נקבע כי שר הבריאות, בהסכמת שר האוצר והשר הממונה על הגוף הציבורי הנוגע בדבר, ובאישור ועדת הבריאות של הכנסת, יהיה רשאי לתקן בצו את התוספת השנייה ואת התוספת השלישית, ובכך לאפשר הוספת גופים ציבוריים בהמשך.   לבסוף, כדי לאפשר לגופים שנוספו בתיקון זה כנותני שירותי בריאות להיערך ליישום החוק, נקבעה תחולה הדרגתית לגבי שב"ס, משרד הביטחון ומשרד הרווחה והביטחון החברתי, כך שהם יחויבו בהעברת מידע לגבי סלי מידע שנה מאוחר יותר מהמועדים הקבועים כיום בחוק, וכן נקבע כי השר הממונה עליהם, באישור ועדת הבריאות של הכנסת יהיה רשאי לדחות בצו מועדים אלה לגביהם, כולם או חלקם, בתקופות נוספות שלא יעלו על שנה במצטבר, לאחר ששקל, בין השאר, את השלמת ההיערכות ליישום החוק, ובכלל זה המשאבים הנדרשים לכך. כמו כן, תוקנה ההוראה המאפשרת לשר הבריאות, באישור הוועדה, לדחות בצו את המועדים המקוריים הקבועים בחוק בשתי תקופות נוספות שלא יעלו על שנתיים כל אחת, כך שהיא חלה גם לעניין נותני שירותי בריאות שנוספו בתיקון זה.  </t>
  </si>
  <si>
    <t xml:space="preserve">חוק המרכז להנצחת זכרו של דוד לוי, התשפ"ה–2025</t>
  </si>
  <si>
    <t xml:space="preserve"> (פ/4878/25)</t>
  </si>
  <si>
    <t xml:space="preserve"> (כ/1119)</t>
  </si>
  <si>
    <t xml:space="preserve">חוק זה קובע כי יוקם מרכז להנצחת זכרו של דוד לוי, מנהיג חברתי ומדיני שתרם רבות לקידום הפריפריה, לצמצום פערים ולקידום יחסי החוץ. המרכז יקדם חקר חברתי ומדיני, יעמיק את ההיכרות עם פועלו של דוד לוי וישקף את אישיותו; המרכז יהיה תאגיד סטטוטורי עם מועצה ציבורית בת 13 חברים. הוא יכלול אתר הנצחה, מכון חקר וארכיון; הקמת המרכז ופעילותו ימומנו מתקציב המדינה, ומתרומות והכנסות שיהיו למרכז. סכום השתתפות המדינה בתקציב המרכז לא יעלה על 2.5 מיליון ש"ח בשנתיים הראשונות, ובשנה השלישית לא יעלה על 5 מיליון ש"ח. שר החוץ ממונה על ביצוע החוק. </t>
  </si>
  <si>
    <t xml:space="preserve">חוק לתיקון פקודת סדר הדין הפלילי (מעצר וחיפוש) (מס' 18), התשפ"ה-2025</t>
  </si>
  <si>
    <t xml:space="preserve"> (מ/1875)</t>
  </si>
  <si>
    <t xml:space="preserve">30.06.2025</t>
  </si>
  <si>
    <t xml:space="preserve">במסגרת חוק המאבק בכלי הנשק הבלתי חוקיים (תיקון חקיקה והוראת שעה), התשפ"ג–2023, נעשה תיקון לפקודת סדר הדין הפלילי (מעצר וחיפוש) [נוסח חדש], התשכ"ט–1969 (להלן – הפקודה), לפיו נוספו שתי עילות חדשות לביצוע חיפוש ללא צו שופט במטרה להקנות למשטרה כלי אכיפה יעילים למיגור תופעת כלי הנשק הבלתי חוקיים. העילה הראשונה שנוספה מאפשרת לשוטר לבצע חיפוש ללא צו שופט אם התעורר חשד סביר שכלי נשק או חלק מהותי מנשק, שעשוי לשמש ראיה לביצוע עבירה, נמצא במקום, ואם בשל הצורך המיידי לביצוע החיפוש לא ניתן לקבל צו. העילה השנייה שנוספה מאפשרת למשטרה לבצע חיפוש של תיעוד או מצלמה שעשויים לשמש ראיה לביצוע עבירה שדינה עשר שנות מאסר לפחות, הכוללת עבירת נשק, עבירה של ירי במקום מגורים או עבירת סחיטה באיומים. לגבי שתי עילות אלו, נקבע כי החיפוש יבוצע רק באישור בכתב של קצין משטרה בדרגת רב-פקד ומעלה, שיכלול את הנסיבות והנימוקים לצורך בחיפוש מיידי ללא צו. עוד נקבע כי אם במהלך החיפוש נתגלה חפץ שאינו נוגע לעבירה שבשלה ניתן האישור לביצוע החיפוש, השוטר יהיה רשאי לתפוס את החפץ ולהביאו לבחינת שופט, אשר יחליט מה ייעשה בו. הסדרים אלו נקבעו כהוראת שעה לתקופה של שנה, החל מיום כ"ד באייר התשפ"ג (15 במאי 2023), זאת בכדי לאפשר בחינה של ההסדרים המוצעים. במסגרת תיקון מספר 17 לפקודה, נקבע כי הוראת השעה כאמור תוארך בשנה אחת, עד ליום ד' בתמוז התשפ"ה (30 ביוני 2025). כעת, במסגרת תיקון מספר 18, נקבע להאריך את תוקפה של הוראת השעה עד יום ט"ו בתמוז התשפ"ו (30 ביוני 2026), לצד קביעת מועדים חדשים במסגרת חובת הדיווח הקבועה בחוק בעניין זה.  </t>
  </si>
  <si>
    <t xml:space="preserve">הצעת חוק רישוי עסקים (תיקון מס' 40 – הוראת שעה), התשפ"ה–2025</t>
  </si>
  <si>
    <t xml:space="preserve"> (פ/5333/25)</t>
  </si>
  <si>
    <t xml:space="preserve"> (כ/1128)</t>
  </si>
  <si>
    <t xml:space="preserve">הצעת חוק לביטול ההתיישנות בעבירות מין במשפחה (תיקוני חקיקה), התשפ"ג-2023</t>
  </si>
  <si>
    <t xml:space="preserve"> (פ/2779/25)</t>
  </si>
  <si>
    <t xml:space="preserve">הצעת חוק לביטול ההתיישנות בעבירות מין (תיקוני חקיקה), התשפ"ג-2023</t>
  </si>
  <si>
    <t xml:space="preserve"> (פ/2601/25)</t>
  </si>
  <si>
    <t xml:space="preserve"> (פ/2559/25)</t>
  </si>
  <si>
    <t xml:space="preserve">סעיף 9(6) (אישור עשייה במקרקעין) מתוך הצעת חוק התוכנית הכלכלית (תיקוני חקיקה ליישום המדיניות הכלכלית לשנת התקציב 2025), התשפ"ה-2024 [פוצל לפי סעיף 84(ב) לתקנון]</t>
  </si>
  <si>
    <t xml:space="preserve">חוק איסור צריכת זנות (הוראת שעה ותיקון חקיקה) (תיקון), התשפ"ה-2025</t>
  </si>
  <si>
    <t xml:space="preserve"> (מ/1860)</t>
  </si>
  <si>
    <t xml:space="preserve">החוק האריך בחמש שנים נוספות – עד ליום 10.07.2030 את חוק איסור צריכת זנות (הוראת שעה ותיקון חקיקה), התשע"ט–2019, שנחקק כהוראת שעה לתקופה של חמש שנים והיה אמור לפקוע ב-10 ביולי 2025. על פי ההסדר מוטל איסור פלילי על צריכת זנות ועל הימצאות במקום המשמש, באופן חלקי או מלא, למעשה זנות במטרה לצרוך זנות. לצד האיסור הפלילי נקבע שברירת המחדל לאכיפת העבירה היא כעבירה מינהלית, באמצעות קנס מינהלי קצוב ואמצעי חלופי לקנס – סדנה פסיכודינמית בנושא נזקי צריכת זנות. </t>
  </si>
  <si>
    <t xml:space="preserve">חוק לייעול האכיפה והפיקוח העירוניים ברשויות המקומיות (הוראת שעה) (תיקון מס' 17), התשפ"ה-2025</t>
  </si>
  <si>
    <t xml:space="preserve">החוק לייעול האכיפה והפיקוח העירוניים ברשויות המקומיות נחקק כהוראת שעה בשנת 2011, והחל כפיילוט במספר רשויות מקומיות. מטרת החוק הינה ייעול יכולת הפיקוח והאכיפה של הרשויות המקומיות בעבירות שבתחום אחריותן וכן סיוע למשטרת ישראל בפעולות למניעת אלימות. לשם כך החוק מסמיך פקחים עירוניים ומסדיר את הקמתו של מערך שיטור עירוני. לאורך השנים הוראת השעה הוארכה מספר פעמים. בתיקון מספר 17 לחוק, תוקן סעיף 23, כך שתוקפו של החוק הוארך לתקופת זמן נוספת ועד ליום י"ח בתמוז התשפ"ה (14 ביולי 2025).</t>
  </si>
  <si>
    <t xml:space="preserve">הצעת חוק הבנקאות (שירות ללקוח) (תיקון - הצעת הלוואה בריבית מופחתת לכיסוי חריגה בחשבון העובר ושב), התשפ"ה-2025</t>
  </si>
  <si>
    <t xml:space="preserve"> (פ/5943/25)</t>
  </si>
  <si>
    <t xml:space="preserve">הצעת חוק הגנה על בתי עסק (איסור על כפיית שביתה), התשפ"ה-2025</t>
  </si>
  <si>
    <t xml:space="preserve"> (פ/5942/25)</t>
  </si>
  <si>
    <t xml:space="preserve"> (פ/5940/25)</t>
  </si>
  <si>
    <t xml:space="preserve">הצעת חוק זאב ז'בוטינסקי (ציון זכרו ופועלו) (תיקון - הגדלת תקציב הפעילות ומימון המכון), התשפ"ה-2025</t>
  </si>
  <si>
    <t xml:space="preserve"> (פ/5937/25)</t>
  </si>
  <si>
    <t xml:space="preserve">הצעת חוק הרשות הארצית לכבאות והצלה (תיקון - חובת קביעת תקנות בדבר נקיטת אמצעי בטיחות אש והצלה), התשפ"ה-2025 </t>
  </si>
  <si>
    <t xml:space="preserve"> (פ/5936/25)</t>
  </si>
  <si>
    <t xml:space="preserve">הצעת חוק לתיקון פקודת המשטרה (הסדרת ההפעלה של מכת"זית ותיעוד חזותי של ההפעלה), התשפ"ה-2025</t>
  </si>
  <si>
    <t xml:space="preserve"> (פ/5935/25)</t>
  </si>
  <si>
    <t xml:space="preserve">הצעת חוק לתיקון פקודת מס הכנסה (זיכוי ממס לתושבי העיר באר שבע), התשפ"ה-2025 </t>
  </si>
  <si>
    <t xml:space="preserve"> (פ/5934/25)</t>
  </si>
  <si>
    <t xml:space="preserve"> (פ/5931/25)</t>
  </si>
  <si>
    <t xml:space="preserve">הצעת חוק איסור החזקת מכשיר המשמש לביצוע עבירה (עקיפה ושיבוש של מערכות טכנולוגיות) (תיקוני חקיקה), התשפ"ה–2025</t>
  </si>
  <si>
    <t xml:space="preserve"> (פ/4719/25)</t>
  </si>
  <si>
    <t xml:space="preserve"> (כ/1139)</t>
  </si>
  <si>
    <t xml:space="preserve">הצעת חוק מיסוי מקרקעין (שבח ורכישה) (תיקון מס' 106), התשפ"ה-2025</t>
  </si>
  <si>
    <t xml:space="preserve"> (מ/1876)</t>
  </si>
  <si>
    <t xml:space="preserve">חוק הסמכת צבא הגנה לישראל ושירות הביטחון הכללי לביצוע חדירה לחומר מחשב המשמש להפעלת מצלמה נייחת ופעולה בו (הוראת שעה - חרבות ברזל) (תיקון מס' 4), התשפ"ה-2025</t>
  </si>
  <si>
    <t xml:space="preserve"> (מ/1874)</t>
  </si>
  <si>
    <t xml:space="preserve">25.06.2025</t>
  </si>
  <si>
    <t xml:space="preserve">חוק הסמכת צבא הגנה לישראל ושירות הביטחון הכללי לביצוע חדירה לחומר מחשב המשמש להפעלת מצלמה נייחת ופעולה בו (הוראת שעה – חרבות ברזל), התשפ"ד–2023, מסמיך את צבא הגנה לישראל ואת שירות הביטחון הכללי לחדור לחומר מחשב הנמצא במחשב המפעיל מצלמה נייחת, לשם סיכול או מניעה של גישה למידע החזותי המופק במצלמה, אם יש בו כדי לסכן באופן ממשי את ביטחון המדינה או את רציפות התפקוד המבצעי של צבא הגנה לישראל, בקשר לפעילות במסגרת מלחמת "חרבות ברזל". כמו כן, נקבעו בו הסדרים שונים הנוגעים למידתיות הפעלת הסמכויות, תיעוד וחובת דיווח לוועדת המשנה למודיעין ולשירותים חשאיים של ועדת החוץ והביטחון של הכנסת. חוק זה, נקבע כהוראת שעה, שהוארכה מספר פעמים.  כעת, במסגרת התיקון הנוכחי, נקבע כי הוראת השעה תוארך עד ליום י"א בטבת התשפ"ו (31 בדצמבר 2025). </t>
  </si>
  <si>
    <t xml:space="preserve">חוק שירות לאומי-אזרחי (תיקון מס' 7), התשפ"ה-2025</t>
  </si>
  <si>
    <t xml:space="preserve"> (מ/1868)</t>
  </si>
  <si>
    <t xml:space="preserve">חוק שירות לאומי-אזרחי, התשע"ד–2014, הינו הוראת שעה המסדירה את שירותם של מיועדים לשירות ביטחון שהם בוגרי ישיבות ומוסדות חינוך חרדיים שמלאו להם 21 שנים, לשרת בשירות לאומי־אזרחי כתחליף לשירותם בצבא הגנה לישראל. השירות במסגרת החוק נעשה על בסיס שני מסלולים: האחד, שירות אזרחי-חברתי תחת אחד מהתחומים או התפקידים המפורטים בחוק, לרבות ביטחון הפנים והגנת העורף, בריאות, רווחה וחינוך; השני, שירות אזרחי-ביטחוני באחד מהגופים המפורטים, לרבות משטרת ישראל, שירות בתי הסוהר והרשות הארצית לכבאות והצלה. כמו כן, החוק כולל הוראות לעניין ביצוע השירות, תקופת השירות והיקפו, תנאי השירות, הסדרת השירות במסגרת הגוף המפעיל ובכלל זה חובותיו. בנוסף, במסגרת החוק הוקמה הרשות לשירות לאומי-אזרחי, אשר אחראית על הפעלת השירות הלאומי-אזרחי בהתאם להוראות החוק, וזאת לצד מתן אפשרות לשר, שהוא חבר הממשלה שהוסמך על ידה לכך, להסמיך מבין עובדי הרשות, מפקחים לשם פיקוח על ביצוע הוראות החוק, ובכלל זה לעניין אופי השירות הלאומי-אזרחי ואיכותו.  מאחר שתוקפו של ההסדר המאפשר את דחיית השירות לתלמידי ישיבות פקע ב-30.6.2023, ועמו גם פקע תוקפו של חוק שירות לאומי–אזרחי וכדי להמשיך ולאפשר למי ששירותו כבר נדחה להשתלב בשירות לאומי-אזרחי, הוארך תוקפו של חוק שירות לאומי-אזרחי, עד ליום ד' בתמוז התשפ"ה (30 ביוני 2025).  כעת, במסגרת תיקון מספר 7, הוארך תוקפו עד ליום כ"ד בחשוון התשפ"ו (15 בנובמבר 2025). </t>
  </si>
  <si>
    <t xml:space="preserve">הצעת חוק הגנת הפרטיות (תיקון מס' 14), התשפ"ה-2025</t>
  </si>
  <si>
    <t xml:space="preserve"> (פ/4720/25)</t>
  </si>
  <si>
    <t xml:space="preserve"> (כ/1066)</t>
  </si>
  <si>
    <t xml:space="preserve">הצעת חוק איסור צריכת זנות, התשפ"ה-2025</t>
  </si>
  <si>
    <t xml:space="preserve"> (פ/5749/25)</t>
  </si>
  <si>
    <t xml:space="preserve">24.06.2025</t>
  </si>
  <si>
    <t xml:space="preserve">הצעת חוק איסור צריכת זנות, תשפ"ה-2025</t>
  </si>
  <si>
    <t xml:space="preserve"> (פ/5739/25)</t>
  </si>
  <si>
    <t xml:space="preserve">הצעת חוק איסור צריכת זנות (הוראת שעה ותיקון חקיקה) (תיקון - עיגון כהוראת קבע), התשפ"ד-2024</t>
  </si>
  <si>
    <t xml:space="preserve"> (פ/4689/25)</t>
  </si>
  <si>
    <t xml:space="preserve">חוק להשתתפותם של העובדים ובעלי תפקיד בשירות הציבורי, בצעדים לייצוב המצב הפיסקלי במדינה במהלך השנים 2025 ו-2026 (הוראת שעה) (תיקון מס' 2), התשפ"ה-2025</t>
  </si>
  <si>
    <t xml:space="preserve"> (מ/1873)</t>
  </si>
  <si>
    <t xml:space="preserve">23.06.2025</t>
  </si>
  <si>
    <t xml:space="preserve">חוק זה מאפשר למעסיק במגזר הציבורי שעובדיו אינם מאורגנים בארגון יציג לערוך הסדר הפחתה שונה מהסדר ההפחתה שבחוק להשתתפותם של העובדים ובעלי תפקיד בשירות הציבורי, בצעדים לייצוב המצב הפיסקלי במדינה במהלך השנים 2025 ו-2026 (הוראת שעה), התשפ"ה–2025. ההפחתה לפי ההסדר יכולה להיות מרכיבי שכר שאינם חלק מהבסיס הקובע שהוגדר בחוק. הסדר כאמור יכול להיות רק ביחס לשנת 2025 והוא חייב להניב את הסכום שהיה מופחת לעובד לפי ההפחתה שבחוק. הסדר הפחתה כאמור צריך להיות זהה לגבי קבוצות עובדים שיש להם תנאי העסקה ושכר דומים אצל אותו מעסיק. נוסף על כך, נקבע כי כל הסדר הפחתה צריך להיות מאושר על ידי הממונה על השכר והסכמי עבודה במשרד האוצר או על ידי החשב הכללי והממונה על התקציבים במשרד האוצר, לפי סוג המעסיק.  יובהר כי לא נדרשת הסכמה מפורשת של כל עובד ועובד להסכם כאמור, אולם המעסיק צריך להביא את ההסכם שנחתם ואושר כאמור לידיעת עובדיו, וההסכמים יפורסמו באתר האינטרנט של משרד האוצר.  </t>
  </si>
  <si>
    <t xml:space="preserve">חוק משק החשמל (תיקון מס' 20), התשפ"ה-2025 </t>
  </si>
  <si>
    <t xml:space="preserve"> (מ/1841)</t>
  </si>
  <si>
    <t xml:space="preserve">התיקון לחוק מסמיך את שר האנרגיה והתשתיות, בהתייעצות עם שר הרווחה והביטחון החברתי ובהסכמת שר האוצר, להגדיל, בתקנות, את ההנחה בתעריף החשמל הביתי הקבועה כיום בחוק עבור חשמל שצורך צרכן שהגיע לגיל פרישה וזכאי לגמלת הבטחת הכנסה. לפי החוק כנוסחו היום, הצרכנים האמורים זכאים להנחה של 50% בתעריף החשמל בעד 400 הקוט"ש הראשונים שצרכו בשימוש הביתי. התיקון קובע כי השר יהיה רשאי להגדיל את שווי ההנחה כאמור, הן בדרך של הגדלת שיעור ההנחה והן בדרך של הגדלת כמות החשמל שבעדה ניתנת ההנחה. בנוסף, התיקון לחוק מאפשר להגדיל את הסכום הכולל המרבי של ההנחות עבור צריכת חשמל מהן נהנות אוכלוסיות נוספות שקבע בתקנות שר האנרגיה והתשתיות בהתייעצות עם שר הרווחה והביטחון החברתי ובהסכמת שר האוצר, העומד כיום על סכום השווה ל-1.5% מסך התשלומים המשולמים על ידי כלל הצרכנים בעבור צריכת חשמל. לפי התיקון, הסכום המרבי האמור יגדל כך שבשנת 2026 יעמוד על סכום השווה ל-1.7% מסך התשלומים כאמור, ומשנת 2027 ואילך – יעמוד על 1.9% מסך התשלומים כאמור. כמו כן, נקבע בתיקון כי תקנות שלפיהן תבוטל לחלוטין הנחה עבור צריכת חשמל לאוכלוסייה מהאוכלוסיות האמורות, יהיו טעונות גם אישור של ועדת הכלכלה.</t>
  </si>
  <si>
    <t xml:space="preserve">הצעת חוק הנכים (תגמולים ושיקום) (תיקון - הגדלת זכויות לנכה עם הפרעה בתר-חבלתית שמקבל תגמול מיוחד), התשפ"ה-2025</t>
  </si>
  <si>
    <t xml:space="preserve"> (פ/5930/25)</t>
  </si>
  <si>
    <t xml:space="preserve">הצעת חוק שימוש במונח יהודה והשומרון, התשפ"ה–2025</t>
  </si>
  <si>
    <t xml:space="preserve"> (פ/5173/25)</t>
  </si>
  <si>
    <t xml:space="preserve"> (כ/1117)</t>
  </si>
  <si>
    <t xml:space="preserve">חוק הבעת עמדה של נפגע או נפגעת עבירה בנוגע לשחרור על־תנאי ממאסר (תיקוני חקיקה), התשפ"ה–2025</t>
  </si>
  <si>
    <t xml:space="preserve"> (פ/3735/25)</t>
  </si>
  <si>
    <t xml:space="preserve"> (כ/1111)</t>
  </si>
  <si>
    <t xml:space="preserve">16.06.2025</t>
  </si>
  <si>
    <t xml:space="preserve">חוק זה קובע כי בחוק זכויות נפגעי עבירה  תורחב זכותם של נפגעי עבירות מין או אלימות להביע את עמדתם בנוגע לשחרור על־תנאי לפני ועדת השחרורים, והם יוכלו לבחור אם ברצונם להביעה בכתב או להתייצב לדיון ולהביעה בעל פה. עוד נקבע כי עמדת נפגע העבירה תתווסף לרשימת השיקולים שוועדת השחרורים שוקלת לפי חוק שחרור על תנאי ממאסר, לעניין הסיכון הצפוי לשלומו וביטחונו של נפגע העבירה משחרורו של האסיר. בנוסף, החוק מעביר את האחריות למסירת המידע לנפגעי עבירה משירות בתי הסוהר להנהלת בתי המשפט, וכן מחיל הסדרים דומים גם בחוק השיפוט הצבאי. </t>
  </si>
  <si>
    <t xml:space="preserve">חוק הביטוח הלאומי (תיקון מס' 258), התשפ"ה-2025 </t>
  </si>
  <si>
    <t xml:space="preserve"> (מ/1811)</t>
  </si>
  <si>
    <t xml:space="preserve">חוק זה קובע כי לעניין זכאות למענק לימודים מהמוסד לביטוח לאומי עבור ילדיו של הורה עצמאי, גם נקיטה בהליכים משפטיים בבתי המשפט לענייני משפחה המעידים על כוונה לפירוק התא המשפחתי יוכלו להיחשב כפעולה בהליך של השתחררות מקשר הנישואין, וזאת גם אם לא נפתח הליך בבית דין דתי. מוצע כי הזכאות לפי התיקון המוצע תחל רק על תביעות למענק לימודים בעד שנת הלימודים שהחלה ב1.9.2025 ואילך. </t>
  </si>
  <si>
    <t xml:space="preserve">חוק הכללת אמצעי זיהוי ביומטריים ונתוני זיהוי ביומטריים במסמכי זיהוי ובמאגר מידע (תיקון מס' 8 – הוראת שעה), התשפ"ה–2025</t>
  </si>
  <si>
    <t xml:space="preserve"> (מ/1656)</t>
  </si>
  <si>
    <t xml:space="preserve">מוצע לתקן את החוק, כהוראת שעה לשלוש שנים, באופן שיאפשר הנפקת מסמכי זיהוי ביומטריים, ונטילת אמצעי זיהוי ביומטריים גם על ידי עובדי מדינה שאינם עובדי רשות האוכלוסין. עובדי מדינה אלה יעברו את ההכשרות הניתנות לעובדי רשות האוכלוסין. התיקון יאפשר בין היתר לעובדי משרד העליה והקליטה להנפיק לעולים חדשים תעודת זהות עם הגעתם לנתב"ג.</t>
  </si>
  <si>
    <t xml:space="preserve">חוק תקשורת דיגיטלית עם גופים ציבוריים (תיקון מס' 4), התשפ"ה-2025 </t>
  </si>
  <si>
    <t xml:space="preserve">הצעת חוק הכנסת (תיקון - הרכב הוועדה הציבורית לבדיקת כשירות והתאמה של מועמדים למשרת היועץ המשפטי לכנסת), התשפ"ה-2025</t>
  </si>
  <si>
    <t xml:space="preserve"> (פ/5926/25)</t>
  </si>
  <si>
    <t xml:space="preserve">הצעת חוק המועצה הארצית לביטחון תזונתי (תיקון - קרן לשמירה על ביטחון תזונתי), התשפ"ה-2025</t>
  </si>
  <si>
    <t xml:space="preserve"> (פ/5925/25)</t>
  </si>
  <si>
    <t xml:space="preserve">הצעת חוק בעלות אחודה (תיקוני חקיקה), התשפ"ה-2025 </t>
  </si>
  <si>
    <t xml:space="preserve"> (פ/5924/25)</t>
  </si>
  <si>
    <t xml:space="preserve">הצעת חוק להקפאת כספים ששילמה הרשות הפלסטינית בזיקה לטרור מהכספים המועברים אליה מממשלת ישראל (תיקון - איסור העברת כספים מהרשות הפלסטינית לפעיל טרור), התשפ"ה-2025</t>
  </si>
  <si>
    <t xml:space="preserve"> (פ/5922/25)</t>
  </si>
  <si>
    <t xml:space="preserve">הצעת חוק שירות ביטחון (תיקון - גיוס חובה לעולים חדשים), התשפ"ה-2025</t>
  </si>
  <si>
    <t xml:space="preserve"> (פ/5921/25)</t>
  </si>
  <si>
    <t xml:space="preserve">הצעת חוק מכירת רכב משומש (זכאות למידע וגילוי נאות) (תיקון - קבלת מידע לפני רכישת רכב משומש), התשפ"ה-2025</t>
  </si>
  <si>
    <t xml:space="preserve"> (פ/5920/25)</t>
  </si>
  <si>
    <t xml:space="preserve">הצעת חוק סיוע ליצרן חקלאי באזורים הסמוכים לגבול המדינה, התשפ"ה-2025</t>
  </si>
  <si>
    <t xml:space="preserve"> (פ/5919/25)</t>
  </si>
  <si>
    <t xml:space="preserve">הצעת חוק הנכים (תגמולים ושיקום) (תיקון - החזר בשל אובדן הכנסה לבן משפחה של נכה בתקופת האשפוז ולאחריה), התשפ"ה-2025</t>
  </si>
  <si>
    <t xml:space="preserve"> (פ/5918/25)</t>
  </si>
  <si>
    <t xml:space="preserve">הצעת חוק סדר הדין הפלילי (סמכויות אכיפה - מעצרים) (תיקון - החרגת עבירת גביית דמי חסות), התשפ"ה-2025</t>
  </si>
  <si>
    <t xml:space="preserve"> (פ/5917/25)</t>
  </si>
  <si>
    <t xml:space="preserve">הצעת חוק החברות הממשלתיות (תיקון - ייצוג הולם לבני העדה האתיופית), התשפ"ה-2025</t>
  </si>
  <si>
    <t xml:space="preserve"> (פ/5916/25)</t>
  </si>
  <si>
    <t xml:space="preserve"> (פ/5915/25)</t>
  </si>
  <si>
    <t xml:space="preserve">הצעת חוק ועדות חקירה (תיקון - אירועי חובה להקמת ועדת חקירה ממלכתית), התשפ"ה-2025</t>
  </si>
  <si>
    <t xml:space="preserve"> (פ/5913/25)</t>
  </si>
  <si>
    <t xml:space="preserve">הצעת חוק הביטוח הלאומי (תיקון - שיעור קצבת שירותים מיוחדים וגמלת ילד נכה למעסיקים שני מטפלים), התשפ"ה-2025</t>
  </si>
  <si>
    <t xml:space="preserve"> (פ/5912/25)</t>
  </si>
  <si>
    <t xml:space="preserve">הצעת חוק איסור עיסוק נוסף לשופטים, חברי הכנסת ושרים, התשפ"ה-2025</t>
  </si>
  <si>
    <t xml:space="preserve"> (פ/5911/25)</t>
  </si>
  <si>
    <t xml:space="preserve">הצעת חוק עובדים זרים (תיקון - האחראי על טיפול בפניות מעסיקים בענף הסיעוד הביתי), התשפ"ה-2025</t>
  </si>
  <si>
    <t xml:space="preserve"> (פ/5908/25)</t>
  </si>
  <si>
    <t xml:space="preserve">הצעת חוק לתיקון פקודת מסי העיריה ומסי הממשלה (פיטורין) (נכס המשמש כמבנה לארגון נוער), התשפ"ה-2025</t>
  </si>
  <si>
    <t xml:space="preserve"> (פ/5907/25)</t>
  </si>
  <si>
    <t xml:space="preserve">הצעת חוק לעידוד השקעות הון בחקלאות (תיקון - השוואת ההטבות בתעשייה להטבות בחקלאות ותמיכה בתזונה בריאה), התשפ"ה-2025</t>
  </si>
  <si>
    <t xml:space="preserve"> (פ/5906/25)</t>
  </si>
  <si>
    <t xml:space="preserve">חוק התקשורת (בזק ושידורים) (תיקון מס' 82 – הוראת שעה), התשפ"ה–2025</t>
  </si>
  <si>
    <t xml:space="preserve"> (פ/3549/25)</t>
  </si>
  <si>
    <t xml:space="preserve"> (כ/1104)</t>
  </si>
  <si>
    <t xml:space="preserve">11.06.2025</t>
  </si>
  <si>
    <t xml:space="preserve">החוק קובע, בהוראת שעה, כי בכל שנה למשך 5 שנים יוקצה תקציב בסך 1.4 מיליון שקלים חדשים בחוקי התקציב השנתיים, לשם עידוד הפקת תוכניות בשפה הגאורגית. החוק חל לגבי תכנית בשפה הגיאורגית, שרוב יוצריה, רוב מבצעיה, רוב הצוות הטכני־הנדסי שנטל חלק בהפקתה ורוב צוות ההפקה הם תושבי ישראל שנולדו בגיאורגיה או שלפחות אחד מהוריהם נולד בגיאורגיה, ושתשודר בישראל בערוצים שלפחות מחצית מזמן השידור שלהם הוא בשפה הגאורגית, ובלבד שזמן השידורים הכולל של ערוצים אלו לא יפחת מ-12 שעות ביום במשך שישה ימים בשבוע. עוד קובע החוק כי המועצה לשידורי כבלים ולשידורי לווין תחלק את התקציב האמור בהתאם למבחני תמיכה שתקבע, וכי בחלוקת כספי התמיכה תבחן המועצה את התאמת ההפקה המקומית לאחת או יותר מהמטרות הקבועות בחוק, וביניהן  מתן אפשרות לבני הקהילה הגיאורגית לבטא את רחשי לב הקהילה, מסורותיהם ותרבותם; מתן מידע רלוונטי לבני הקהילה על מנת לסייע להם בהתמודדות עם הגופים השונים בישראל, ובכלל זה משרדי הממשלה; והצגת אורח החיים הישראלי, בכדי לסייע בקליטת בני הקהילה בישראל. בנוסף, המועצה תביא בחשבון בעת חלוקת כספי התמיכה את שעות השידור שבהן ישודרו ההפקות בערוצים האמורים. </t>
  </si>
  <si>
    <t xml:space="preserve">הצעת חוק הגנה על הציבור מפני ביצוע עבירות מין (תיקון - סמכויות עיכוב ומעצר), התשפ"ה-2025</t>
  </si>
  <si>
    <t xml:space="preserve"> (פ/5789/25)</t>
  </si>
  <si>
    <t xml:space="preserve">הצעת חוק שירותי תעופה (פיצוי וסיוע בשל ביטול טיסה או שינוי בתנאיה) (תיקון - הודעה לגבי ביטול טיסה או שינוי במועד טיסה), התשפ"ה-2025</t>
  </si>
  <si>
    <t xml:space="preserve"> (פ/5740/25)</t>
  </si>
  <si>
    <t xml:space="preserve">הצעת חוק סמכויות לשם שמירה על ביטחון הציבור (תיקון - הסמכת מאבטחים למניעת פעילות חבלנית עוינת במרחב הציבורי ברשויות המקומיות), התשפ"ה-2025 </t>
  </si>
  <si>
    <t xml:space="preserve"> (פ/5724/25)</t>
  </si>
  <si>
    <t xml:space="preserve">הצעת חוק הגנת הצרכן (תיקון - שינוי יעד של משלוח טובין), התשפ"ה-2025</t>
  </si>
  <si>
    <t xml:space="preserve"> (פ/5670/25)</t>
  </si>
  <si>
    <t xml:space="preserve">הצעת חוק הביטוח הלאומי (תיקון - הגבלת תשלום בעד טיפול בתביעה), התשפ"ה-2025</t>
  </si>
  <si>
    <t xml:space="preserve"> (פ/5624/25)</t>
  </si>
  <si>
    <t xml:space="preserve"> (פ/5352/25)</t>
  </si>
  <si>
    <t xml:space="preserve">הצעת חוק המאבק במדינות תומכות טרור, התשפ"ד-2024</t>
  </si>
  <si>
    <t xml:space="preserve"> (פ/4892/25)</t>
  </si>
  <si>
    <t xml:space="preserve">הצעת חוק התפזרות הכנסת העשרים וחמש, התשפ"ד-2024</t>
  </si>
  <si>
    <t xml:space="preserve"> (פ/4610/25)</t>
  </si>
  <si>
    <t xml:space="preserve"> (פ/3221/25)</t>
  </si>
  <si>
    <t xml:space="preserve"> (פ/3084/25)</t>
  </si>
  <si>
    <t xml:space="preserve"> (פ/1535/25)</t>
  </si>
  <si>
    <t xml:space="preserve"> (פ/534/25)</t>
  </si>
  <si>
    <t xml:space="preserve"> (פ/329/25)</t>
  </si>
  <si>
    <t xml:space="preserve">הצעת חוק איסור הלבנת הון (תיקון מס' 36) (הקפאה זמנית של רכוש או של פעולה ברכוש), התשפ"ה-2025</t>
  </si>
  <si>
    <t xml:space="preserve"> (מ/1871)</t>
  </si>
  <si>
    <t xml:space="preserve"> (פ/3849/25)</t>
  </si>
  <si>
    <t xml:space="preserve">10.06.2025</t>
  </si>
  <si>
    <t xml:space="preserve"> (פ/3185/25)</t>
  </si>
  <si>
    <t xml:space="preserve">חוק הנוטריונים (תיקון מס' 11), התשפ"ה-2025</t>
  </si>
  <si>
    <t xml:space="preserve"> (פ/4753/25)</t>
  </si>
  <si>
    <t xml:space="preserve"> (כ/1088)</t>
  </si>
  <si>
    <t xml:space="preserve">החוק מאפשר לנוטריון להתלות את רישיון הנוטריון שלו באופן יזום. החוק מבהיר מה הן התוצאות של התליית רישיון וחידוש רישיון לאחר התלייה – הן באופן יזום, הן אגב הגבלת חברות בלשכת עורכי הדין והן בעקבות השעיה או התליה משמעתיות. נקבע כי תחילת החוק תהיה מיום ה-1 בינואר 2026, ואולם, נוטריון שלא שימש כנוטריון בשנת 2025 ויבקש להתלות את רישיונו גם ביחס לשנה זו, יוכל להודיע על כך, באופן רטרואקטיבי החל ממועד התחילה ועד ליום 31 במרץ 2026.</t>
  </si>
  <si>
    <t xml:space="preserve">חוק אסטרטגיית הביטחון הלאומי, התשפ"ה–2025</t>
  </si>
  <si>
    <t xml:space="preserve"> (פ/4888/25)</t>
  </si>
  <si>
    <t xml:space="preserve"> (כ/1107)</t>
  </si>
  <si>
    <t xml:space="preserve">במסגרת החוק נקבע כי המטה לביטחון לאומי יגבש, עם כינונה של ממשלה חדשה, הצעת אסטרטגיה מדינית-ביטחונית של מדינת ישראל לקידום האינטרסים המדיניים והביטחוניים לשם חיזוק החוסן הלאומי של מדינת ישראל. הצעת האסטרטגיה המדינית-ביטחונית תתייחס להנחות היסוד בנוגע לאתגרים ולהזדמנויות המדיניים והביטחוניים הניצבים בפני מדינת ישראל, יפורטו בה האיומים והאתגרים ודירוגם וכן האמצעים והדרכים להתמודד עימם, לרבות הצגת החלופות לפירוט וכל מידע נוסף הנדרש לגיבושה ומימושה.   כמו כן, הליך הגיבוש ייעשה בהתייעצות עם משרד הביטחון, משרד החוץ, המשרד לביטחון לאומי וגופי הביטחון, בעוד התייעצות עם משרדי ממשלה אחרים תהיה מסורה לשיקול דעתו של ראש המטה לביטחון לאומי. כל גוף שעימו נערכה התייעצות רשאי להציע חלופה לרכיב מהרכיבים המנויים בחוק, וזו תכלל בהצעת האסטרטגיה המדינית-ביטחונית לצד המלצתו של המטה לביטחון לאומי בדבר החלופה הנבחרת. עוד נקבע כי הממשלה, תאשר את האסטרטגיה המדינית-ביטחונית תוך חמישה חודשים מיום כינון ממשלה חדשה, לאחר שהוצגו בפניה החלופות וההמלצות השונות מטעם הגופים שעימם נערכה ההתייעצות, ככל שישנם, ולאחר שניתנה לה אפשרות לערוך בה שינויים. לצד זאת, הממשלה רשאית להחליט על אצילת סמכות זו, כולה או חלקה, לוועדת השרים לענייני ביטחון לאומי. האסטרטגיה המדינית-ביטחונית תוגש לוועדת החוץ והביטחון של הכנסת וראש הממשלה או ראש המטה לביטחון לאומי יציגו אותה לפני הוועדה בישיבה שתיוחד לעניין זה. בנוסף, נקבע כי האסטרטגיה המדינית-ביטחונית תהיה סודית ואסורה לפרסום, אם כי תמצית שלה תפורסם ברשומות ובאתר האינטרנט של הממשלה. </t>
  </si>
  <si>
    <t xml:space="preserve">הצעת חוק השידור הציבורי הישראלי (תיקון מס' 10 והוראת שעה), התשפ"ה–2025</t>
  </si>
  <si>
    <t xml:space="preserve"> (פ/3776/25)</t>
  </si>
  <si>
    <t xml:space="preserve"> (כ/1113)</t>
  </si>
  <si>
    <t xml:space="preserve">הצעת חוק עבודת נשים (תיקון - הארכת תקופת הלידה וההורות להורי פעוט עם מוגבלות מורכבת), התשפ"ה-2024</t>
  </si>
  <si>
    <t xml:space="preserve"> (פ/5263/25)</t>
  </si>
  <si>
    <t xml:space="preserve">09.06.2025</t>
  </si>
  <si>
    <t xml:space="preserve">הצעת חוק ההתייעלות הכלכלית (תיקוני חקיקה להשגת יעדי התקציב לשנות התקציב 2023 ו-2024) (תיקון מס' 2), התשפ"ה-2025 </t>
  </si>
  <si>
    <t xml:space="preserve"> (מ/1866)</t>
  </si>
  <si>
    <t xml:space="preserve">חוק לשכת עורכי הדין (תיקון מס' 46), התשפ"ה-2025 </t>
  </si>
  <si>
    <t xml:space="preserve"> (מ/1853)</t>
  </si>
  <si>
    <t xml:space="preserve">חוק זה קובע כי תקופת ההתמחות במשפטים תעמוד על 12 חודשים, במקום 18 חודשים כפי שהיה נהוג בעבר. החוק ייכנס לתוקף עם סיומה של הוראת שעה הקובעת הסדר זהה להסדר זה, שנחקקה בעקבות מלחמת חרבות ברזל, ושאמורה לפקוע ב-31.12.2025.</t>
  </si>
  <si>
    <t xml:space="preserve">הצעת חוק שנת שירות, התשפ"ה-2025</t>
  </si>
  <si>
    <t xml:space="preserve"> (פ/5905/25)</t>
  </si>
  <si>
    <t xml:space="preserve"> (פ/5904/25)</t>
  </si>
  <si>
    <t xml:space="preserve">הצעת חוק מימון מפלגות (תיקון - אחריות יושב ראש מפלגה לחובות סיעה שחדלה להתקיים), התשפ"ה-2025</t>
  </si>
  <si>
    <t xml:space="preserve"> (פ/5903/25)</t>
  </si>
  <si>
    <t xml:space="preserve">הצעת חוק הרב יהודה עמיטל והרב אהרון ליכטנשטיין (ציון זכרם ופועלם), התשפ"ה-2025</t>
  </si>
  <si>
    <t xml:space="preserve"> (פ/5902/25)</t>
  </si>
  <si>
    <t xml:space="preserve">הצעת חוק קליטת חיילים משוחררים (תיקון - הכרה בעבודה בפנימיות לילדים ונוער בסיכון כעבודה מועדפת ומתן הטבות), התשפ"ה-2025 </t>
  </si>
  <si>
    <t xml:space="preserve"> (פ/5901/25)</t>
  </si>
  <si>
    <t xml:space="preserve">הצעת חוק הנוער (טיפול והשגחה) (תיקון - טיפול בבריחה ממשמורת), התשפ"ה-2025</t>
  </si>
  <si>
    <t xml:space="preserve"> (פ/5899/25)</t>
  </si>
  <si>
    <t xml:space="preserve">הצעת חוק שידור חי של דיונים בבית המשפט העליון, התשפ"ה-2025</t>
  </si>
  <si>
    <t xml:space="preserve"> (פ/5897/25)</t>
  </si>
  <si>
    <t xml:space="preserve">הצעת חוק חובת המכרזים (תיקון - העדפה מתקנת לנכי צה"ל), התשפ"ה-2025</t>
  </si>
  <si>
    <t xml:space="preserve"> (פ/5896/25)</t>
  </si>
  <si>
    <t xml:space="preserve">הצעת חוק יום העצמאות (תיקון - מועד יום העצמאות), התשפ"ה-2025</t>
  </si>
  <si>
    <t xml:space="preserve"> (פ/5895/25)</t>
  </si>
  <si>
    <t xml:space="preserve">הצעת חוק לאשרור אמנת רומא, התשפ"ה-2025</t>
  </si>
  <si>
    <t xml:space="preserve"> (פ/5894/25)</t>
  </si>
  <si>
    <t xml:space="preserve">הצעת חוק חובת לימודי ליבה וביטול מוסדות הפטור (תיקוני חקיקה), התשפ"ה-2025</t>
  </si>
  <si>
    <t xml:space="preserve"> (פ/5893/25)</t>
  </si>
  <si>
    <t xml:space="preserve">הצעת חוק אחריות לתגמולים ולטיפול בחיילים בשירות מילואים או בשירות קבע ובאנשי כוחות הביטחון בשל חבלה תוך כדי השירות (תיקוני חקיקה), התשפ"ה-2025</t>
  </si>
  <si>
    <t xml:space="preserve"> (פ/5892/25)</t>
  </si>
  <si>
    <t xml:space="preserve">הצעת חוק מגן דוד אדום (תיקון - הבטחת הרציפות התפקודית של מגן דוד אדום), התשפ"ה-2025</t>
  </si>
  <si>
    <t xml:space="preserve"> (פ/5891/25)</t>
  </si>
  <si>
    <t xml:space="preserve">הצעת חוק התקשורת (בזק ושידורים) (תיקון - הגנה על קטינים מפני תוכן פוגעני באינטרנט באמצעות אומדן גיל), התשפ"ה-2025</t>
  </si>
  <si>
    <t xml:space="preserve"> (פ/5889/25)</t>
  </si>
  <si>
    <t xml:space="preserve">הצעת חוק שירות מידע פיננסי (תיקון מס' 3 והוראת שעה), התשפ"ה-2025 </t>
  </si>
  <si>
    <t xml:space="preserve"> (מ/1850)</t>
  </si>
  <si>
    <t xml:space="preserve">הצעת חוק לתיקון סדרי הדין (חקירת עדים) (תיקון - מתן עדות שלא בפני הנאשם בעבירת נטילת דמי חסות), התשפ"ג-2023</t>
  </si>
  <si>
    <t xml:space="preserve"> (פ/3572/25)</t>
  </si>
  <si>
    <t xml:space="preserve">05.06.2025</t>
  </si>
  <si>
    <t xml:space="preserve"> (פ/1190/25)</t>
  </si>
  <si>
    <t xml:space="preserve">הצעת חוק הרשות לפיתוח הנגב (תיקון - הגדרת הנגב), התשפ"ד-2024</t>
  </si>
  <si>
    <t xml:space="preserve"> (פ/4486/25)</t>
  </si>
  <si>
    <t xml:space="preserve">04.06.2025</t>
  </si>
  <si>
    <t xml:space="preserve">חוק כלי הירייה (תיקון מס' 26), התשפ"ה–2025</t>
  </si>
  <si>
    <t xml:space="preserve"> (פ/5276/25)</t>
  </si>
  <si>
    <t xml:space="preserve"> (כ/1110)</t>
  </si>
  <si>
    <t xml:space="preserve">חוק כלי הירייה, התש"ט–1949 קובע כי עובד סוציאלי המטפל באדם ונודע לו כי אותו אדם מחזיק בכלי ירייה, ולדעתו יש בכך משום סכנה לאותו אדם או לציבור, יודיע על כך למנהל משרד העבודה והרווחה, שיהיה רשאי להעביר את הידיעה, בין היתר, לפקיד הרישוי ולצבא הגנה לישראל.  במסגרת תיקון מס' 26, הורחבה הוראה זו, כך שהעובד הסוציאלי יוכל לדווח גם במקרים שבהם נודע לו כי האדם בו הוא מטפל הגיש בקשה לרישיון לכלי ירייה, וכן כאשר נודע לו כי בן משפחתו של המטופל, בעבר או בהווה, מחזיק בכלי ירייה או הגיש בקשה לרישיון לכלי ירייה, ובלבד שיש לדעתו סכנה לאותו אדם, לבן משפחתו או לציבור. בנוסף, הוסדר הליך העברת המידע בין משרד הרווחה והביטחון החברתי, שאליו יועבר הדיווח כאמור, לבין אגף רישוי כלי הירייה, וכן בין המשרד לבין גופים ביטחוניים המספקים כלי ירייה למשרתים בהם. </t>
  </si>
  <si>
    <t xml:space="preserve">הצעת חוק הביטוח הלאומי (תיקון - הארכת הזכאות לדמי אבטלה למשרתי מילואים), התשפ"ה-2024</t>
  </si>
  <si>
    <t xml:space="preserve"> (פ/5213/25)</t>
  </si>
  <si>
    <t xml:space="preserve">הצעת חוק ביטוח בריאות ממלכתי (תיקון - הפחתה בדמי ביטוח בריאות לתושבי העוטף וקו העימות) (הוראת שעה - חרבות ברזל), התשפ"ה-2024</t>
  </si>
  <si>
    <t xml:space="preserve"> (פ/5164/25)</t>
  </si>
  <si>
    <t xml:space="preserve">הצעת חוק גירוש משפחות מחבלים (תיקון - הרחבת והבניית שיקול הדעת), התשפ"ה-2024</t>
  </si>
  <si>
    <t xml:space="preserve"> (פ/5117/25)</t>
  </si>
  <si>
    <t xml:space="preserve">הצעת חוק הקמת יישוב עירוני חדש לאוכלוסייה הדרוזית, התשפ"ה-2024</t>
  </si>
  <si>
    <t xml:space="preserve"> (פ/5069/25)</t>
  </si>
  <si>
    <t xml:space="preserve">הצעת חוק הנכים (תגמולים ושיקום) (תיקון - קביעת זכאויות נוספות לנכים), התשפ"ד-2024</t>
  </si>
  <si>
    <t xml:space="preserve"> (פ/4462/25)</t>
  </si>
  <si>
    <t xml:space="preserve">הצעת חוק איסור הפליה במוצרים, בשירותים ובכניסה למקומות בידור ולמקומות ציבוריים (תיקון - איסור הפליה בדיור), התשפ"ד-2023</t>
  </si>
  <si>
    <t xml:space="preserve"> (פ/4139/25)</t>
  </si>
  <si>
    <t xml:space="preserve">הצעת חוק הביטוח הלאומי (תיקון - שלילת קצבת ילדים ממשפחות פוליגמיות), התשפ"ג-2023</t>
  </si>
  <si>
    <t xml:space="preserve"> (פ/2018/25)</t>
  </si>
  <si>
    <t xml:space="preserve">הצעת חוק הרשות הלאומית לתרבות ולשפה המרוקאית יהודית, התשפ"ג-2023</t>
  </si>
  <si>
    <t xml:space="preserve"> (פ/1380/25)</t>
  </si>
  <si>
    <t xml:space="preserve">הצעת חוק לתיקון פקודת מס הכנסה (ניכוי הוצאות כיבוד לפגישה מחוץ למקום העיסוק), התשפ"ג-2022</t>
  </si>
  <si>
    <t xml:space="preserve"> (פ/40/25)</t>
  </si>
  <si>
    <t xml:space="preserve">הצעת חוק ביטוח בריאות ממלכתי (תיקון - החזר דמי נסיעה באמבולנס עבור מטופל בתחום בריאות הנפש), התשפ"ג-2023</t>
  </si>
  <si>
    <t xml:space="preserve"> (פ/2127/25)</t>
  </si>
  <si>
    <t xml:space="preserve">03.06.2025</t>
  </si>
  <si>
    <t xml:space="preserve"> (פ/1786/25)</t>
  </si>
  <si>
    <t xml:space="preserve">הצעת חוק התקנת מצלמות לשם הגנה על פעוטות במעונות יום לפעוטות (תיקון), התשפ"ד-2024</t>
  </si>
  <si>
    <t xml:space="preserve"> (מ/1744)</t>
  </si>
  <si>
    <t xml:space="preserve">הצעת חוק לתיקון פקודת הסטטיסטיקה (הפניה לאפיון הרשויות המקומיות), התשפ"ה-2024</t>
  </si>
  <si>
    <t xml:space="preserve"> (פ/5214/25)</t>
  </si>
  <si>
    <t xml:space="preserve">חוק עזרה משפטית בין מדינות (תיקון מס' 12), התשפ"ה-2025</t>
  </si>
  <si>
    <t xml:space="preserve"> (מ/1786)</t>
  </si>
  <si>
    <t xml:space="preserve">חוק זה קובע שניתן לאכוף צו חילוט זר הן לגבי רכוש הקשור בעבירה והן לגבי רכוש בשווי רכוש כאמור. אכיפת צו חילוט זר לגבי רכוש בשווי, תיעשה רק אם ניתן לבקש את החילוט של אותו הרכוש לפי הדין בישראל. כמו כן, נקבעה האפשרות למתן סעד זמני לגבי רכוש בשווי הרכוש הקשור לעבירה, לצורך הבטחת חילוט הרכוש בעתיד לבקשת המדינה הזרה.</t>
  </si>
  <si>
    <t xml:space="preserve"> (פ/5888/25)</t>
  </si>
  <si>
    <t xml:space="preserve">הצעת חוק הכנסת (תיקון - צפיית חברי הכנסת בנתוני תקציב המדינה במערכת רוחבית כוללת במשרדי הממשלה), התשפ"ה-2025</t>
  </si>
  <si>
    <t xml:space="preserve"> (פ/5887/25)</t>
  </si>
  <si>
    <t xml:space="preserve">הצעת חוק החיילים המשוחררים (החזרה לעבודה) (תיקון - הגנה על פצוע מלחמה בתקופת האשפוז ולאחריה) (הוראת שעה), התשפ"ה-2025</t>
  </si>
  <si>
    <t xml:space="preserve"> (פ/5886/25)</t>
  </si>
  <si>
    <t xml:space="preserve">הצעת חוק הנזיקים האזרחיים (אחריות המדינה) (תיקון - סייגים לאחריות המדינה בשל פעילות טרור), התשפ״ה-2025</t>
  </si>
  <si>
    <t xml:space="preserve"> (פ/5885/25)</t>
  </si>
  <si>
    <t xml:space="preserve">הצעת חוק-יסוד: הממשלה (תיקון - הגבלת מספר שרים וסגני שרים)</t>
  </si>
  <si>
    <t xml:space="preserve"> (פ/5884/25)</t>
  </si>
  <si>
    <t xml:space="preserve">הצעת חוק לתיקון פקודת מס הכנסה (הקפאת הטבת מס לחייל משוחרר), התשפ"ה-2025</t>
  </si>
  <si>
    <t xml:space="preserve"> (פ/5883/25)</t>
  </si>
  <si>
    <t xml:space="preserve">הצעת חוק הגנת הצרכן (תיקון - עצמאות תקציבית ודיווח), התשפ"ה-2025</t>
  </si>
  <si>
    <t xml:space="preserve"> (פ/5882/25)</t>
  </si>
  <si>
    <t xml:space="preserve">הצעת חוק לתיקון פקודת העיריות (גמול השתתפות בישיבות והחזר הוצאות לחברי מועצה), התשפ"ה-2025</t>
  </si>
  <si>
    <t xml:space="preserve"> (פ/5879/25)</t>
  </si>
  <si>
    <t xml:space="preserve">הצעת חוק זכויות החולה (תיקון - מניעת טיפול רפואי למחבלים במערכת הבריאות הציבורית), התשפ"ה-2025</t>
  </si>
  <si>
    <t xml:space="preserve"> (פ/5878/25)</t>
  </si>
  <si>
    <t xml:space="preserve">הצעת חוק רישוי שירותים ומקצועות בענף הרכב (תיקון - מתווך במתן שירות רכב ומוסכי הסדר), התשפ"ה-2025</t>
  </si>
  <si>
    <t xml:space="preserve"> (פ/5877/25)</t>
  </si>
  <si>
    <t xml:space="preserve">הצעת חוק פיצוי נפגעי אסון טבע (פיצוי לנפגעי שריפה), התשפ"ה-2025</t>
  </si>
  <si>
    <t xml:space="preserve"> (פ/5876/25)</t>
  </si>
  <si>
    <t xml:space="preserve">הצעת חוק הבחירות לכנסת (תיקון - אחוז החסימה), התשפ"ה-2025</t>
  </si>
  <si>
    <t xml:space="preserve"> (פ/5873/25)</t>
  </si>
  <si>
    <t xml:space="preserve">הצעת חוק לתיקון פקודת התעבורה (קידום התחרות באמצעות תחבורה שיתופית מקוונת), התשפ"ה-2025</t>
  </si>
  <si>
    <t xml:space="preserve"> (פ/5872/25)</t>
  </si>
  <si>
    <t xml:space="preserve">הצעת חוק החלת הפחתת שכר על נושאי משרה, התשפ"ה-2025</t>
  </si>
  <si>
    <t xml:space="preserve"> (פ/5870/25)</t>
  </si>
  <si>
    <t xml:space="preserve">הצעת חוק חובת שליחת בקשת תשלום טרם עיקול ותפיסה של נכסים המוחזקים בידי צד שלישי (תיקוני חקיקה), התשפ"ה-2025</t>
  </si>
  <si>
    <t xml:space="preserve"> (פ/5869/25)</t>
  </si>
  <si>
    <t xml:space="preserve">הצעת חוק מיסוי מקרקעין (שבח ורכישה) (תיקון - מכירת דירה שמשמשת למגורי המוכר), התשפ"ה-2025</t>
  </si>
  <si>
    <t xml:space="preserve"> (פ/5868/25)</t>
  </si>
  <si>
    <t xml:space="preserve">הצעת חוק נכסי המדינה (תיקון מס' 9) (הרשאת שימוש לשם הקמת מיתקני שידור לתקשורת בשיטה התאית), התשפ"ה–2025</t>
  </si>
  <si>
    <t xml:space="preserve"> (פ/5019/25)</t>
  </si>
  <si>
    <t xml:space="preserve"> (כ/1135)</t>
  </si>
  <si>
    <t xml:space="preserve">הצעת חוק שירות התעסוקה (תיקון מס' 24) (הגברת התחרות בסיעוד הביתי), התשפ"ה–2025</t>
  </si>
  <si>
    <t xml:space="preserve"> (פ/3367/25)</t>
  </si>
  <si>
    <t xml:space="preserve"> (כ/1136)</t>
  </si>
  <si>
    <t xml:space="preserve">הצעת חוק חדלות פירעון ושיקום כלכלי (צו לשיקום כלכלי על יסוד הכתב) (הוראת שעה), התשפ"ה-2025</t>
  </si>
  <si>
    <t xml:space="preserve"> (מ/1869)</t>
  </si>
  <si>
    <t xml:space="preserve">הצעת חוק ניוד מידע רפואי (תיקון - הוספת גופים ציבוריים), התשפ"ה-2025</t>
  </si>
  <si>
    <t xml:space="preserve"> (פ/5304/25)</t>
  </si>
  <si>
    <t xml:space="preserve">28.05.2025</t>
  </si>
  <si>
    <t xml:space="preserve">הצעת חוק איסור התקשרות בהסדר לקביעת מחיר אחיד למזון במשלוח ובהזמנה בבית האוכל, התשפ"ה-2025</t>
  </si>
  <si>
    <t xml:space="preserve"> (פ/5732/25)</t>
  </si>
  <si>
    <t xml:space="preserve">הצעת חוק שירות המילואים (תיקון - הפחתת שיעור המס שחל על תגמולים למשרתי מילואים), התשפ"ה-2025</t>
  </si>
  <si>
    <t xml:space="preserve"> (פ/5719/25)</t>
  </si>
  <si>
    <t xml:space="preserve">הצעת חוק ביטול הצנזורה על סרטים, התשפ"ה-2025</t>
  </si>
  <si>
    <t xml:space="preserve"> (פ/5679/25)</t>
  </si>
  <si>
    <t xml:space="preserve">הצעת חוק החיילים המשוחררים (החזרה לעבודה) (תיקון - הרחבת תקופת הגנה מפני פיטורים למשרתים במילואים), התשפ"ה-2025</t>
  </si>
  <si>
    <t xml:space="preserve"> (פ/5410/25)</t>
  </si>
  <si>
    <t xml:space="preserve">הצעת חוק גנים לאומיים, שמורות טבע, אתרים לאומיים ואתרי הנצחה (תיקון - שמירה על מעמד האתרים הלאומיים), התשפ"ה-2024</t>
  </si>
  <si>
    <t xml:space="preserve"> (פ/5115/25)</t>
  </si>
  <si>
    <t xml:space="preserve">הצעת חוק בית המשפט לענייני משפחה (תיקון - ביטול האגרה עבור הורה בבקשת מינוי כאפוטרופוס), התשפ״ד-2024</t>
  </si>
  <si>
    <t xml:space="preserve"> (פ/4834/25)</t>
  </si>
  <si>
    <t xml:space="preserve">הצעת חוק הכניסה לישראל (תיקון מס' 41), התשפ"ה-2025 </t>
  </si>
  <si>
    <t xml:space="preserve"> (מ/1845)</t>
  </si>
  <si>
    <t xml:space="preserve">27.05.2025</t>
  </si>
  <si>
    <t xml:space="preserve">הצעת חוק העונשין (תיקון - שימוש במשבש תדרים), התשפ"ה-2024</t>
  </si>
  <si>
    <t xml:space="preserve"> (פ/5064/25)</t>
  </si>
  <si>
    <t xml:space="preserve">26.05.2025</t>
  </si>
  <si>
    <t xml:space="preserve">הצעת חוק-יסוד: משאל עם - ועדת חקירה ממלכתית לאירועי 7 באוקטובר</t>
  </si>
  <si>
    <t xml:space="preserve"> (פ/5867/25)</t>
  </si>
  <si>
    <t xml:space="preserve">הצעת חוק לתיקון פקודת הסמים המסוכנים (איסור פרסום והפצת חומר פרסומי למכירת סמים מסוכנים), התשפ"ה-2025</t>
  </si>
  <si>
    <t xml:space="preserve"> (פ/5864/25)</t>
  </si>
  <si>
    <t xml:space="preserve">הצעת חוק יידוע ודיווח על מינוי יועצים חיצוניים לנושאי משרה ציבורית, התשפ"ה-2025</t>
  </si>
  <si>
    <t xml:space="preserve"> (פ/5863/25)</t>
  </si>
  <si>
    <t xml:space="preserve"> (פ/5862/25)</t>
  </si>
  <si>
    <t xml:space="preserve">הצעת חוק חיפוש במקום שהוכרז כאזור מועד לפשיעה אלימה (תיקוני חקיקה), התשפ"ה-2025</t>
  </si>
  <si>
    <t xml:space="preserve"> (פ/5861/25)</t>
  </si>
  <si>
    <t xml:space="preserve"> (פ/5860/25)</t>
  </si>
  <si>
    <t xml:space="preserve">הצעת חוק מרשם האוכלוסין (תיקון - רישום מען באמצעות נקודת ציון), התשפ"ה-2025</t>
  </si>
  <si>
    <t xml:space="preserve"> (פ/5859/25)</t>
  </si>
  <si>
    <t xml:space="preserve">הצעת חוק להגנת חיית הבר (תיקון - חילוט כלי ציד), התשפ"ה-2025</t>
  </si>
  <si>
    <t xml:space="preserve"> (פ/5858/25)</t>
  </si>
  <si>
    <t xml:space="preserve">הצעת חוק השבת זכויות במקרקעין שנשללו ביהודה והשומרון לפני קום המדינה, התשפ"ה-2025</t>
  </si>
  <si>
    <t xml:space="preserve"> (פ/5857/25)</t>
  </si>
  <si>
    <t xml:space="preserve">הצעת חוק לתיקון פקודת העיריות (תעודה על תשלום חובות), התשפ"ה-2025</t>
  </si>
  <si>
    <t xml:space="preserve"> (פ/5856/25)</t>
  </si>
  <si>
    <t xml:space="preserve">הצעת חוק לתיקון פקודת העיריות (הבטחת תשלומי גמלאות לעובדי עירייה), התשפ"ה-2025</t>
  </si>
  <si>
    <t xml:space="preserve"> (פ/5855/25)</t>
  </si>
  <si>
    <t xml:space="preserve">הצעת חוק שירות המילואים (תיקון - הטבות בדיור לחיילי מילואים), התשפ"ה-2025</t>
  </si>
  <si>
    <t xml:space="preserve"> (פ/5854/25)</t>
  </si>
  <si>
    <t xml:space="preserve">הצעת חוק המאבק במדינות תומכות טרור, התשפ"ה-2025</t>
  </si>
  <si>
    <t xml:space="preserve"> (פ/5852/25)</t>
  </si>
  <si>
    <t xml:space="preserve">הצעת חוק לתיקון פקודת המשטרה (הצבת מערכת צילום ביומטרית לצורך מניעת אלימות במגרשי הספורט) (הוראת שעה), התשפ"ה-2025</t>
  </si>
  <si>
    <t xml:space="preserve"> (פ/5851/25)</t>
  </si>
  <si>
    <t xml:space="preserve">הצעת חוק הוועדה לטיפול במשפחות נעדרים אזרחיים, התשפ"ה-2025</t>
  </si>
  <si>
    <t xml:space="preserve"> (פ/5850/25)</t>
  </si>
  <si>
    <t xml:space="preserve">הצעת חוק החקלאות, התשפ"ה-2025</t>
  </si>
  <si>
    <t xml:space="preserve"> (פ/5849/25)</t>
  </si>
  <si>
    <t xml:space="preserve">הצעת חוק המים (תיקון - הנחות לבתי תפילה), התשפ"ה-2025</t>
  </si>
  <si>
    <t xml:space="preserve"> (פ/5848/25)</t>
  </si>
  <si>
    <t xml:space="preserve"> (פ/5847/25)</t>
  </si>
  <si>
    <t xml:space="preserve"> (פ/5846/25)</t>
  </si>
  <si>
    <t xml:space="preserve">הצעת חוק התכנון והבנייה (תיקון - הקלה בפיצול דירות) התשפ"ה-2025</t>
  </si>
  <si>
    <t xml:space="preserve"> (פ/5844/25)</t>
  </si>
  <si>
    <t xml:space="preserve">הצעת חוק הביטוח הלאומי (תיקון - הצמדת קצבת נכות מעבודה לשכר הממוצע במשק), התשפ"ה-2025</t>
  </si>
  <si>
    <t xml:space="preserve"> (פ/5843/25)</t>
  </si>
  <si>
    <t xml:space="preserve">הצעת חוק להגברת האכיפה של דיני העבודה (תיקון - עיצום כספי בשל אי-הסדרת ביטוח רפואי לעובד זר), התשפ"ה-2025</t>
  </si>
  <si>
    <t xml:space="preserve"> (פ/5842/25)</t>
  </si>
  <si>
    <t xml:space="preserve">הצעת חוק לתיקון פקודת מס הכנסה (הכרה בקרן משפחתית כמוסד ציבורי), התשפ"ה-2025</t>
  </si>
  <si>
    <t xml:space="preserve"> (פ/5841/25)</t>
  </si>
  <si>
    <t xml:space="preserve">הצעת חוק לתיקון פקודת מס הכנסה (הגדלת תקרת תרומה מזכה למוסד ציבורי), התשפ"ה-2025</t>
  </si>
  <si>
    <t xml:space="preserve"> (פ/5840/25)</t>
  </si>
  <si>
    <t xml:space="preserve">הצעת חוק להסדרת עסקאות איגוח, התשפ"ה-2025 </t>
  </si>
  <si>
    <t xml:space="preserve"> (מ/1838)</t>
  </si>
  <si>
    <t xml:space="preserve">חוק מניעת פגיעת גוף שידורים זר בביטחון המדינה (הוראה שעה - חרבות ברזל) (תיקון מס' 3), התשפ"ה-2025</t>
  </si>
  <si>
    <t xml:space="preserve"> (מ/1864)</t>
  </si>
  <si>
    <t xml:space="preserve">21.05.2025</t>
  </si>
  <si>
    <t xml:space="preserve">ביום כ"ג באדר ב' התשפ"ד (2 באפריל 2024), פורסם חוק מניעת פגיעת גוף שידורים זר בביטחון המדינה (הוראת שעה – חרבות ברזל), התשפ"ד–2024, במסגרתו נקבע כהוראת שעה לארבעה חודשים, עד מועד סיום ההכרזה על מצב מיוחד בעורף או עד לסיום הפעולות הצבאיות המשמעותיות, לפי המוקדם שבהם, כי במידה וראש הממשלה שוכנע כי התכנים המשודרים בערוץ זר המשדר בישראל פוגעים באופן ממשי בביטחון המדינה, שר התקשורת יהיה רשאי, בהסכמת ראש הממשלה ובאישור ועדת השרים לענייני ביטחון לאומי או הממשלה להורות על פעולות למניעת או הפסקת פעילות של ערוץ זר, לרבות סגירת משרדי הערוץ הנמצאים בישראל. הוראה זו תינתן לאחר שתוצג בפני ראש הממשלה ושר התקשורת חוות דעת מקצועית אחת לפחות מגורמי הביטחון; ובלבד שטרם אישורה של ועדת השרים לענייני ביטחון לאומי או הממשלה, יוצגו בפניה חוות הדעת מטעם גורמי הביטחון. עוד נקבע כי תוקף הוראות אלו יהיה למשך ארבעים וחמישה ימים, לצד אפשרות להאריך תקופה זו לתקופה זהה לכל היותר בכל פעם, בכפוף, בין היתר, להצגת חוות דעת מקצועית כאמור. כמו כן, נקבע כי הוראה של שר התקשורת כאמור, ובפרט הארכתה, תובא לפני נשיא בית משפט מחוזי או סגנו בהקדם האפשרי לטובת ביקורת שיפוטית, במסגרתה יחליט האם לשנותה. במסגרת התיקון הראשון לחוק, הוארכה הוראת השעה עד ליום כ"ט בחשוון התשפ"ה (30 בנובמבר 2024). במסגרת תיקון מספר 2, הוארך תוקפה של הוראת השעה בעניין מניעת פגיעת גוף שידורים זר בביטחון המדינה עד ליום ד' בסיוון התשפ"ה (31 במאי 2025). בנוסף, נקבע כי  תוקף הוראותיו של שר התקשורת הקבועות בחוק, יוארך מתקופה מרבית של 45 לתקופה שלא תעלה על 60 ימים, ובהתאם לכך תעשה גם כל הארכה נוספת.    כעת, במסגרת תיקון מספר 3, הוארך תוקפה של הוראת השעה עד ליום י' בכסלו התשפ"ו (30 בנובמבר 2025). </t>
  </si>
  <si>
    <t xml:space="preserve">חוק התכנון והבנייה (תיקון מס' 161), התשפ"ה–2025</t>
  </si>
  <si>
    <t xml:space="preserve"> (פ/4516/25)</t>
  </si>
  <si>
    <t xml:space="preserve"> (כ/1108)</t>
  </si>
  <si>
    <t xml:space="preserve">מוצע לקבוע 3 מדרגות לעניין הגדלות חיבור חשמל קיים. ראשית, הגדלות חיבור שגודלן עד 40X3 אמפר – מוצע לאפשר לחברת חשמל לבצע הגדלות כאמור ללא פנייה לרשות הרישוי המקומית; שנית, הגדלות חיבור שגודלן עולה על 40X3 אמפר – מוצע להטיל חברת החשמל חובת דיווח רבעונית לרשות המאשרת על הבקשות להגדלת החיבור שהוגשו לחברת החשמל. על סמך דיווח כאמור, רשות הרישוי תוכל לנקוט אמצעי אכיפה הקבועים בחוק התכנון והבנייה, ובין השאר להורות לחברת החשמל שלא לבצע את הגדלת החיבור או להורות על ניתוק המבנה מחשמל אם כבר חובר לרשת החשמל; שלישית, הגדלות חיבור שגודלן עולה על 63X3 אמפר –מצע להטיל על מבקש הגדלת החיבור כאמור חובה למסור לחברת החשמל הצהרה כי המבנה נושא הבקשה נבנה בהתאם להיתר הבנייה או אישור מאת רשות הרישוי. </t>
  </si>
  <si>
    <t xml:space="preserve">הצעת חוק ציון שירות צבאי או שירות לאומי בהשכלה הגבוהה ובשירות המדינה (תיקוני חקיקה), התשפ"ה-2025</t>
  </si>
  <si>
    <t xml:space="preserve"> (פ/5703/25)</t>
  </si>
  <si>
    <t xml:space="preserve">הצעת חוק תגמול משפחות על תרומתן לשירות בצבא הגנה לישראל, התשפ"ה-2025</t>
  </si>
  <si>
    <t xml:space="preserve"> (פ/5701/25)</t>
  </si>
  <si>
    <t xml:space="preserve">הצעת חוק איסור הכחשת הנכבה, התשפ"ה-2025</t>
  </si>
  <si>
    <t xml:space="preserve"> (פ/5631/25)</t>
  </si>
  <si>
    <t xml:space="preserve"> (פ/5547/25)</t>
  </si>
  <si>
    <t xml:space="preserve">הצעת חוק פיקוח על מחירי מצרכים ושירותים (תיקון - פיקוח על מחירי לחם מלא, דגנים, כוסמין ושיפון), התשפ"ה-2024</t>
  </si>
  <si>
    <t xml:space="preserve"> (פ/5248/25)</t>
  </si>
  <si>
    <t xml:space="preserve">הצעת חוק לתיקון פקודת המשטרה (ביטול הכפיפות לשר וסמכותו להתוות מדיניות), התשפ"ה-2024</t>
  </si>
  <si>
    <t xml:space="preserve"> (פ/5161/25)</t>
  </si>
  <si>
    <t xml:space="preserve">הצעת חוק כלי הירייה (תיקון מס' 27), התשפ"ה–2025</t>
  </si>
  <si>
    <t xml:space="preserve"> (פ/4957/25)</t>
  </si>
  <si>
    <t xml:space="preserve"> (כ/1112)</t>
  </si>
  <si>
    <t xml:space="preserve">הצעת חוק שירות המילואים (תיקון מס' 3) (הטבות בדיור לחיילי מילואים), התשפ"ה–2025</t>
  </si>
  <si>
    <t xml:space="preserve"> (פ/4328/25)</t>
  </si>
  <si>
    <t xml:space="preserve"> (כ/1132)</t>
  </si>
  <si>
    <t xml:space="preserve">הצעת חוק לתיקון דיני הבחירות לרשויות המקומיות, התשפ"ג-2023 - הגשת רשימת מועמדים באופן ממוכן והליכים משפטיים בעניין ביטול בחירות</t>
  </si>
  <si>
    <t xml:space="preserve"> (מ/1615)</t>
  </si>
  <si>
    <t xml:space="preserve">20.05.2025</t>
  </si>
  <si>
    <t xml:space="preserve">חוק הבנקאות (שירות ללקוח) (תיקון מס' 39), התשפ"ה–2025</t>
  </si>
  <si>
    <t xml:space="preserve"> (פ/4598/25)</t>
  </si>
  <si>
    <t xml:space="preserve"> (כ/1080)</t>
  </si>
  <si>
    <t xml:space="preserve">החוק מטיל חובה על תאגיד בנקאי למסור הודעה ללקוחותיו שהם יחידים על יתרת הזכות בחשבון העובר ושב שלהם, אם הצטברה בחשבון, במשך תקופה רצופה של רבעון קלנדרי לפחות, יתרת זכות בסכום העולה על 15,000 שקלים חדשים. בהודעה שתימסר ללקוח יכלול התאגיד הבנקאי הפניה למידע אודות חלופות השקעה אחרות שעשויות להשיא ללקוח תשואה גבוהה יותר לעומת הותרת הסכום ביתרת חשבון העובר ושב. לעניין סכום יתרת הזכות הנקוב בחוק כאמור, החוק מסמיך את שר האוצר, בהסכמת נגיד בנק ישראל ובאישור ועדת הכלכלה של הכנסת, לשנות בצו את הסכום האמור. החוק קובע כי הודעה על יתרת זכות כאמור תימסר ללקוח בתחילת כל רבעון, אך במשך תקופה של 18 חודשים מיום תחילתו של החוק,  ההודעה תימסר בתחילת כל חודש לגבי החודש הקודם. בתום תקופת הוראת השעה, נגיד בנק ישראל יהיה רשאי לקבוע, בצו, באישור ועדת הכלכלה של הכנסת, כי ההודעה כאמור תישלח בתדירות גבוהה יותר מאשר אחת לרבעון. בנוגע לאופן מסירת ההודעה ללקוח, נקבע כי ברירת המחדל היא מסירה בכתב באופן מיידי ונגיש (כמו למשל באמצעות מסרון), אלא אם כן הלקוח ביקש לקבל את ההודעות בדרך אחרת, וכן נקבע כי ההודעה תימסר ללקוח באופן שבו התאגיד הבנקאי שולח לו הודעות, כפי שהוסכם ביניהם. במקרים שבהם ידוע לתאגיד הבנקאי שהלקוח אינו יכול לקבל הודעה כתובה (כמו למשל לקוח שהוא בעל "טלפון כשר"), תימסר ללקוח הודעה קולית כחלופה להודעה הכתובה. עוד נקבע, כי המפקח על הבנקים בבנק ישראל רשאי לקבוע, במסגרת הוראות ניהול בנקאי תקין, הוראות לעניין ההודעה שתימסר ללקוח, אם ראה כי הדבר נדרש. בהוראות כאמור רשאי המפקח לקבוע הוראות לעניין חובת ההפניה למידע אודות חלופות השקעה, ובין היתר חובת הפניה להשקעה בגופים פיננסיים אחרים. לעניין אכיפת הוראות החוק, נקבע כי המפקח על הבנקים מוסמך להטיל עיצום כספי בסכום של 50,000 שקלים חדשים על תאגיד בנקאי שלא שלח ללקוחותיו הודעה כאמור על יתרת זכות בחשבונותיהם, או ששלח הודעה כאמור שלא בהתאם להוראות החוק. החוק ייכנס לתוקף ב-21.11.2025, כלומר בתום שישה חודשים מיום פרסומו ברשומות. </t>
  </si>
  <si>
    <t xml:space="preserve">חוק העונשין (תיקון מס' 133 – הוראת שעה) (תיקון מס' 3), התשפ"ה-2025 </t>
  </si>
  <si>
    <t xml:space="preserve"> (מ/1857)</t>
  </si>
  <si>
    <t xml:space="preserve">החוק מאריך את הוראת השעה הקובעת שתקופת המאסר המרבית שאותה ניתן לשאת בעבודות שירות היא תשעה חודשים ולא שישה חודשי מאסר, לתקופה של שלוש שנים נוספות.</t>
  </si>
  <si>
    <t xml:space="preserve">חוק להשתתפותם של העובדים ובעלי תפקיד בשירות הציבורי, בצעדים לייצוב המצב הפיסקלי במדינה במהלך השנים 2025 ו-2026 (הוראת שעה) (תיקון), התשפ"ה-2025</t>
  </si>
  <si>
    <t xml:space="preserve"> (מ/1863)</t>
  </si>
  <si>
    <t xml:space="preserve">19.05.2025</t>
  </si>
  <si>
    <t xml:space="preserve">החוק להשתתפותם של העובדים ובעלי תפקיד בשירות הציבורי, בצעדים לייצוב המצב הפיסקלי במדינה במהלך השנים 2025 ו-2026 (הוראת שעה), התשפ"ה–2025, קבע הפחתת שכר לעובדי המגזר הציבורי בשיעור של 3.307% מחודש אפריל 2025 עד דצמבר 2025, והפחתה בשיעור של 1.2% במהלך שנת 2026, אלא אם כן נקבעה הפחתה אחרת בהסכם קיבוצי שנחתם עד חודש מרץ 2025 ואושר על ידי שר האוצר או הממונה על השכר. חוק זה מאריך את התקופה שנקבעה לחתימה על הסכם קיבוצי כאמור עד 30.6.2025. יובהר כי על אף הארכת התקופה לחתימה, הסכם כאמור יכול לשנות את הפחתת השכר המתחייבת לפי החוק בתקופה שמתחילת התקופה הקובעת הראשונה, ובלבד שההפחתה לפי ההסכם תואמת את תכליתו של החוק ואת שיעורי ההפחתה הקבועים בו. </t>
  </si>
  <si>
    <t xml:space="preserve">חוק לתיקון פקודת בתי הסוהר (תיקון מס' 66 - הוראת שעה - חרבות ברזל) (חופשה מיוחדת לאסיר) (תיקון מס' 3), התשפ"ה-2025</t>
  </si>
  <si>
    <t xml:space="preserve"> (מ/1858)</t>
  </si>
  <si>
    <t xml:space="preserve">חוק לתיקון פקודת בתי הסוהר (תיקון מס' 66 – הוראת שעה – חרבות ברזל) (חופשה מיוחדת לאסיר), התשפ"ד–2024, נחקק כהוראת שעה, במסגרתה נקבע כי הנציב או סוהר בדרגת גונדר שהוסמך לכך, רשאי לתת לאסיר, בתנאים שייראו לשר לביטחון לאומי, חופשה מיוחדת שלא תעלה על 45 ימים; זאת, בשל העלייה המשמעותית בתפוסת האסירים מעבר לתקן הכליאה, שנגרמה בשל המצב הביטחוני השורר במדינה שבשלו הוכרז מצב מיוחד בעורף כהגדרתו בחוק ההתגוננות האזרחית, התשי"יא–1951 ביום כ"ב בתשרי התשפ"ד (7 באוקטובר 2023). הסדר זה מותנה בכך שהאסיר הינו אזרח ישראלי או תושב ישראל שנשא לפחות מחצית מתקופת המאסר שנגזרה עליו ויתרת מאסרו אינה עולה על 45 ימים ביום היציאה לחופשה. מעבר לכך, נקבע כי הסדר זה לא יחול לגבי אסירים שהורשעו בעבירות מסוימות, לרבות עבירות ביטחון או כאלו שיש לגביהן חזקת מסוכנות, וכי תקופת מאסרו של אסיר לא תוארך בשל חופשה מיוחדת שניתנה לו במסגרת חוק זה. במסגרת התיקון הראשון הוארכה הוראת השעה לתקופה של חמישה חודשים, עד ליום י"ד בחשוון התשפ"ה (15 בנובמבר 2024), ובתיקון השני הוארכה עד ליום י"ז באייר התשפ"ה (15 במאי 2025). במסגרת התיקון השלישי, הוארך תוקפה של הוראת השעה עד ליום י"א בטבת התשפ"ו (31 בדצמבר 2025). </t>
  </si>
  <si>
    <t xml:space="preserve">הצעת חוק כלי הירייה (תיקון - הזכות להגנה עצמית והזכות לסייע בהגנה על המדינה), התשפ"ה-2025 </t>
  </si>
  <si>
    <t xml:space="preserve"> (פ/5839/25)</t>
  </si>
  <si>
    <t xml:space="preserve">הצעת חוק שירות המדינה (מינויים) (תיקון - מינוי נציב שירות המדינה), התשפ"ה-2025 </t>
  </si>
  <si>
    <t xml:space="preserve"> (פ/5837/25)</t>
  </si>
  <si>
    <t xml:space="preserve">הצעת חוק שירות המדינה (מינויים) (תיקון - הרחבת היקף המכרזים), התשפ"ה-2025</t>
  </si>
  <si>
    <t xml:space="preserve"> (פ/5836/25)</t>
  </si>
  <si>
    <t xml:space="preserve">הצעת חוק פיצויים לבעלי זכות במקרקעין מועברים, התשפ"ה-2025</t>
  </si>
  <si>
    <t xml:space="preserve"> (פ/5835/25)</t>
  </si>
  <si>
    <t xml:space="preserve">הצעת חוק הכשרות המשפטית והאפוטרופסות (תיקון - שלילת אפוטרופסות בעקבות הרשעה בעבירת אלימות חמורה), התשפ"ה-2025 </t>
  </si>
  <si>
    <t xml:space="preserve"> (פ/5834/25)</t>
  </si>
  <si>
    <t xml:space="preserve"> (פ/5833/25)</t>
  </si>
  <si>
    <t xml:space="preserve">הצעת חוק המאבק בטרור (תיקון - עבירת הצתה), התשפ"ה-2025</t>
  </si>
  <si>
    <t xml:space="preserve"> (פ/5830/25)</t>
  </si>
  <si>
    <t xml:space="preserve"> (פ/5828/25)</t>
  </si>
  <si>
    <t xml:space="preserve">הצעת חוק סדר הדין הפלילי (תיקון - חקירת עיתונאים), התשפ"ה-2025</t>
  </si>
  <si>
    <t xml:space="preserve"> (פ/5827/25)</t>
  </si>
  <si>
    <t xml:space="preserve">הצעת חוק חניה לנכים (תיקון - תגי נכה), התשפ"ה-2025</t>
  </si>
  <si>
    <t xml:space="preserve"> (פ/5826/25)</t>
  </si>
  <si>
    <t xml:space="preserve">הצעת חוק לתיקון פקודת הרופאים (אי-הכרה בלימודי רפואה שנערכו במדינות עוינות או ברשות הפלסטינית), התשפ"ה-2025</t>
  </si>
  <si>
    <t xml:space="preserve"> (פ/5824/25)</t>
  </si>
  <si>
    <t xml:space="preserve"> (פ/5823/25)</t>
  </si>
  <si>
    <t xml:space="preserve">הצעת חוק הרשויות המקומיות (פטור חיילים, נפגעי מלחמה ושוטרים מארנונה) (תיקון - הנחה בארנונה לחייל מילואים פעיל), התשפ"ה-2025</t>
  </si>
  <si>
    <t xml:space="preserve"> (פ/5820/25)</t>
  </si>
  <si>
    <t xml:space="preserve">הצעת חוק שוויון זכויות לאנשים עם מוגבלות (תיקון - הגנה על חולים במחלה ממארת בזמן הטיפולים וההחלמה), התשפ"ה-2025</t>
  </si>
  <si>
    <t xml:space="preserve"> (פ/5819/25)</t>
  </si>
  <si>
    <t xml:space="preserve"> (פ/5818/25)</t>
  </si>
  <si>
    <t xml:space="preserve">הצעת חוק רישוי שירותים ומקצועות בענף הרכב (תיקון - הוראות לעניין ייבוא רכב מסוג מעונוע), התשפ"ה-2025</t>
  </si>
  <si>
    <t xml:space="preserve"> (פ/5817/25)</t>
  </si>
  <si>
    <t xml:space="preserve"> (פ/5815/25)</t>
  </si>
  <si>
    <t xml:space="preserve">הצעת חוק איסור הפליית משרתים בשירות הביטחוני, הלאומי והאזרחי, התשפ"ה-2025</t>
  </si>
  <si>
    <t xml:space="preserve"> (פ/5813/25)</t>
  </si>
  <si>
    <t xml:space="preserve">הצעת חוק לתיקון פקודת התעבורה (איסור שימוש ברכב שהועמד באופן המפריע לתנועה), התשפ"ה-2025</t>
  </si>
  <si>
    <t xml:space="preserve"> (פ/5812/25)</t>
  </si>
  <si>
    <t xml:space="preserve">הצעת חוק הביטוח הלאומי (תיקון - קביעת אחוזי נכות ללקויי שמיעה - דו-צידי וחד-צידי), התשפ"ה-2025</t>
  </si>
  <si>
    <t xml:space="preserve"> (פ/5811/25)</t>
  </si>
  <si>
    <t xml:space="preserve">הצעת חוק האזרחים הוותיקים (תיקון - לחצן מצוקה לקשיש), התשפ"ה-2025</t>
  </si>
  <si>
    <t xml:space="preserve"> (פ/5810/25)</t>
  </si>
  <si>
    <t xml:space="preserve">הצעת חוק הנכים (תגמולים ושיקום) (תיקון - חבלה שאינה חבלת שירות בזמן מלחמה), התשפ"ה-2025</t>
  </si>
  <si>
    <t xml:space="preserve"> (פ/5704/25)</t>
  </si>
  <si>
    <t xml:space="preserve">14.05.2025</t>
  </si>
  <si>
    <t xml:space="preserve"> (פ/5672/25)</t>
  </si>
  <si>
    <t xml:space="preserve">הצעת חוק לתיקון פקודת מס הכנסה (ניכוי בגין הוצאות טיפול בילדים), התשפ"ה-2025</t>
  </si>
  <si>
    <t xml:space="preserve"> (פ/5512/25)</t>
  </si>
  <si>
    <t xml:space="preserve">הצעת חוק שירות המילואים (תיקון - שיקום נפשי וטיפול זוגי) (הוראת שעה), התשפ"ה-2025</t>
  </si>
  <si>
    <t xml:space="preserve"> (פ/5424/25)</t>
  </si>
  <si>
    <t xml:space="preserve">הצעת חוק שירותי אבטחה, התשפ"ג-2023</t>
  </si>
  <si>
    <t xml:space="preserve"> (פ/3629/25)</t>
  </si>
  <si>
    <t xml:space="preserve">הצעת חוק שירות המדינה (מינויים) (תיקון - חובת פרסום שאלון לאיתור חשש לניגוד עניינים), התשפ"ג-2023</t>
  </si>
  <si>
    <t xml:space="preserve"> (פ/2481/25)</t>
  </si>
  <si>
    <t xml:space="preserve">הצעת חוק חובת הצגה של נתוני צפייה לצופה, התשפ"ד-2024</t>
  </si>
  <si>
    <t xml:space="preserve"> (פ/4726/25)</t>
  </si>
  <si>
    <t xml:space="preserve">13.05.2025</t>
  </si>
  <si>
    <t xml:space="preserve">הצעת חוק הפטנטים (תיקון מס' 14) (הגברת התחרותיות), התשפ"ב-2022</t>
  </si>
  <si>
    <t xml:space="preserve"> (מ/1576)</t>
  </si>
  <si>
    <t xml:space="preserve">הצעת חוק להנחלת מורשתו של הרבי מלובביץ' ושל שושלת תנועת חב"ד, התשפ"ה-2025</t>
  </si>
  <si>
    <t xml:space="preserve"> (פ/5560/25)</t>
  </si>
  <si>
    <t xml:space="preserve">חוק הבנקאות (שירות ללקוח) (תיקון מס' 38), התשפ"ה–2025</t>
  </si>
  <si>
    <t xml:space="preserve"> (פ/4960/25)</t>
  </si>
  <si>
    <t xml:space="preserve"> (כ/1099)</t>
  </si>
  <si>
    <t xml:space="preserve">החוק קובע שהחל מ-1.12.2025, בנק ששווי נכסיו עולה על 5% משווי הנכסים של כלל הבנקים בישראל יהיה חייב לאפשר ללקוחות כל הבנקים לפתוח אצלו פיקדון במטבע ישראלי, מבלי להתנות זאת בפתיחת חשבון עובר ושב בבנק. לפי החוק, אפשרות זו מותנית בכך שהכספים יופקדו בפיקדון באמצעות חשבון במערכת סגורה, שניתן להפקיד בו רק כספים מחשבון של בעל הפיקדון בבנק אחר או בבנק הדואר, וכן להעביר אותם בחזרה רק לחשבון ממנו הועברו, וכן בהתאם לתנאים שקבע נגיד בנק ישראל בצו לפי חוק איסור הלבנת הון. בנוסף, החוק אוסר על בנק להפעיל השפעה בלתי הוגנת על הלקוח בכל עניין הקשור בפתיחת פיקדון כאמור בבנק אחר. כדי להקל על הליך הפקדת הכספים בפיקדון בבנק אחר, החוק מאפשר ללקוח לאשר בכתב לבנק שבו הוא מבקש להפקיד כספים לנהל עבורו את ההליכים הנדרשים לשם כך. המפקח על הבנקים יהיה רשאי להחיל את הוראות החוק גם על הפקדת כספים בפיקדונות במטבע חוץ. עוד קובע החוק כי המפקח על הבנקים יפרסם את מספר הפיקדונות שהופקדו בכל אחד מהבנקים באמצעות חשבון במערכת סגורה. כמו כן, המפקח על הבנקים יעביר לוועדת הכלכלה של הכנסת דיווח שנתי, החל משנת 2027 ולמשך 3 שנים, על יישום הוראות חוק זה.</t>
  </si>
  <si>
    <t xml:space="preserve">חוק הממשלה (תיקון מס' 14), התשפ''ה–2025</t>
  </si>
  <si>
    <t xml:space="preserve"> (כ/1052)</t>
  </si>
  <si>
    <t xml:space="preserve">12.05.2025</t>
  </si>
  <si>
    <t xml:space="preserve">כתיקון משלים לביטול הסדר ממשלת החילופים בחוק-יסוד: הממשלה, חוק זה מבטל את הסעיפים אשר מתייחסים להסדר של ממשלת חילופים בחוק הממשלה, התשס"א–2001.</t>
  </si>
  <si>
    <t xml:space="preserve">חוק-יסוד: הממשלה (תיקון מס' 13)</t>
  </si>
  <si>
    <t xml:space="preserve"> (כ/1070)</t>
  </si>
  <si>
    <t xml:space="preserve">ההסדר החוקתי של ממשלת חילופים נחקק בכנסת העשרים ושלוש, נוכח האתגרים השונים שהמדינה עמדה בהם באותה העת. עתה, נוכח הקשיים שהסדר ייחודי זה עורר, חוק היסוד מבטל את הסעיפים בחוק יסוד: הממשלה, הקובעים את ההסדר החוקתי האמור, ובמקביל עורך תיקוני התאמה בסעיפים השונים בחוק היסוד שמתייחסים להסדר האמור. על פי חוק היסוד ההסדר יבוטל החל מתחילת כהונת הכנסת ה–26.</t>
  </si>
  <si>
    <t xml:space="preserve">הצעת חוק לשכת עורכי הדין (תיקון - מתן ציון מגן לעולים חדשים ולעורכי דין זרים בבחינות ההתמחות), התשפ"ה-2025</t>
  </si>
  <si>
    <t xml:space="preserve"> (פ/5806/25)</t>
  </si>
  <si>
    <t xml:space="preserve">הצעת חוק תכנון משק החלב (תיקון - קביעת מחירים וחישוב עלויות ייצור חלב), התשפ"ה-2025</t>
  </si>
  <si>
    <t xml:space="preserve"> (פ/5804/25)</t>
  </si>
  <si>
    <t xml:space="preserve"> (פ/5803/25)</t>
  </si>
  <si>
    <t xml:space="preserve">הצעת חוק הפיקוח על מוצר ביטוח ארוך טווח, התשפ"ה-2025</t>
  </si>
  <si>
    <t xml:space="preserve"> (פ/5802/25)</t>
  </si>
  <si>
    <t xml:space="preserve">הצעת חוק איסור הפליית משרתים בשירות הביטחוני, הלאומי והאזרחי, התשפ"ה-2025 </t>
  </si>
  <si>
    <t xml:space="preserve"> (פ/5801/25)</t>
  </si>
  <si>
    <t xml:space="preserve">הצעת חוק הממשלה (תיקון - בדיקת פוליגרף שנתית לבירור הדלפות מדיוני ועדת השרים לענייני ביטחון לאומי), התשפ"ה-2025</t>
  </si>
  <si>
    <t xml:space="preserve"> (פ/5799/25)</t>
  </si>
  <si>
    <t xml:space="preserve">הצעת חוק לתיקון פקודת התעבורה (סמכות רשות מקומית בקביעת שפות תמרורים), התשפ"ה-2025</t>
  </si>
  <si>
    <t xml:space="preserve"> (פ/5798/25)</t>
  </si>
  <si>
    <t xml:space="preserve"> (פ/5797/25)</t>
  </si>
  <si>
    <t xml:space="preserve">הצעת חוק איסור הלבנת הון (תיקון - איסור גביית דמי שמירה בלא רישיון), התשפ"ה-2025</t>
  </si>
  <si>
    <t xml:space="preserve"> (פ/5796/25)</t>
  </si>
  <si>
    <t xml:space="preserve">הצעת חוק נטילה ושימוש בזרע של נפטר לשם הולדה, התשפ"ה-2025</t>
  </si>
  <si>
    <t xml:space="preserve"> (פ/5795/25)</t>
  </si>
  <si>
    <t xml:space="preserve">הצעת חוק הכנסת (תיקון - התייצבות בפני ועדות הכנסת), התשפ"ה-2025</t>
  </si>
  <si>
    <t xml:space="preserve"> (פ/5794/25)</t>
  </si>
  <si>
    <t xml:space="preserve"> (פ/5792/25)</t>
  </si>
  <si>
    <t xml:space="preserve">הצעת חוק הרשויות המקומיות (זכויות וחובות של חברי מועצה), התשפ"ה-2025</t>
  </si>
  <si>
    <t xml:space="preserve"> (פ/5791/25)</t>
  </si>
  <si>
    <t xml:space="preserve">הצעת חוק לתיקון פקודת העיריות (ייצוג הולם), התשפ"ה-2025</t>
  </si>
  <si>
    <t xml:space="preserve"> (פ/5790/25)</t>
  </si>
  <si>
    <t xml:space="preserve">הצעת חוק העונשין (תיקון - עונש מינימום למצית נכס ציבורי) (הוראת שעה), התשפ"ה-2025</t>
  </si>
  <si>
    <t xml:space="preserve"> (פ/5787/25)</t>
  </si>
  <si>
    <t xml:space="preserve">הצעת חוק-יסוד: הכנסת (תיקון - מניין חברי הכנסת במליאה)</t>
  </si>
  <si>
    <t xml:space="preserve"> (פ/5786/25)</t>
  </si>
  <si>
    <t xml:space="preserve"> (פ/5785/25)</t>
  </si>
  <si>
    <t xml:space="preserve">הצעת חוק לתיקון פקודת התעבורה (מס' 138), התשפ"ה-2025</t>
  </si>
  <si>
    <t xml:space="preserve"> (מ/1605)</t>
  </si>
  <si>
    <t xml:space="preserve">הצעת חוק אכיפת פסקי חוץ (תיקון מס' 4) (יישום האמנה בדבר הכרה ואכיפה של פסקי חוץ בעניינים אזרחיים ומסחריים), התשפ"ה-2025</t>
  </si>
  <si>
    <t xml:space="preserve"> (מ/1861)</t>
  </si>
  <si>
    <t xml:space="preserve">הצעת חוק שירות התעסוקה (תיקון מס' 23) (ביטול חובת רישוי ללשכה פרטית העוסקת בתיווך עבודה לעובד ישראלי), התשפ"ה-2025</t>
  </si>
  <si>
    <t xml:space="preserve"> (מ/1862)</t>
  </si>
  <si>
    <t xml:space="preserve">הצעת חוק לתיקון דיני הקניין הרוחני (מועד ערעור על החלטות הרשם), התשפ"ה–2025</t>
  </si>
  <si>
    <t xml:space="preserve"> (מ/1801)</t>
  </si>
  <si>
    <t xml:space="preserve">הצעת חוק החברות (תיקון מס' 38), התשפ"ה-2025</t>
  </si>
  <si>
    <t xml:space="preserve"> (מ/1647)</t>
  </si>
  <si>
    <t xml:space="preserve">הצעת חוק להקמת מוסד להשכלה גבוהה בעיר רהט, התשפ"ה-2025</t>
  </si>
  <si>
    <t xml:space="preserve"> (פ/5456/25)</t>
  </si>
  <si>
    <t xml:space="preserve">07.05.2025</t>
  </si>
  <si>
    <t xml:space="preserve">הצעת חוק פיקוח הכנסת על העברת סיוע הומניטרי מכספי המדינה, התשפ"ה-2025</t>
  </si>
  <si>
    <t xml:space="preserve"> (פ/5429/25)</t>
  </si>
  <si>
    <t xml:space="preserve">הצעת חוק משפחות חיילים שנספו במערכה (תגמולים ושיקום) (תיקון - תקופת הסתגלות כלכלית לאלמנה), התשפ"ד-2024</t>
  </si>
  <si>
    <t xml:space="preserve"> (פ/4745/25)</t>
  </si>
  <si>
    <t xml:space="preserve">הצעת חוק לתיקון מונחים בחקיקה (יהודה והשומרון), התשפ"ה-2025</t>
  </si>
  <si>
    <t xml:space="preserve"> (פ/5535/25)</t>
  </si>
  <si>
    <t xml:space="preserve">06.05.2025</t>
  </si>
  <si>
    <t xml:space="preserve">חוק חדלות פירעון ושיקום כלכלי (תיקון מס' 4 - הוראת שעה - נגיף הקורונה החדש) (תיקון מס' 3), התשפ"ה-2025</t>
  </si>
  <si>
    <t xml:space="preserve">החוק מאריך לתקופה קצרה הוראת שעה שמאפשרת לחייבים לבקש צו שיפוטי ל"עיכוב הליכים" לצורך גיבוש הסדר חוב. הוראת השעה פקעה ביום ה-17.03.2025. החוק מאריך את הוראת השעה עד ליום 31.07.2025 ומאפשר לשר המשפטים, באישור ועדת החוקה, להאריך אותה בתקופה של עד 6 חודשים נוספים.</t>
  </si>
  <si>
    <t xml:space="preserve">הצעת חוק כלי הירייה (תיקון - הודעה בגין חשש לחיי אדם מצד המגיש בקשה להחזיק בכלי ירייה), התשפ"ה-2025</t>
  </si>
  <si>
    <t xml:space="preserve"> (פ/5566/25)</t>
  </si>
  <si>
    <t xml:space="preserve">05.05.2025</t>
  </si>
  <si>
    <t xml:space="preserve"> (פ/5351/25)</t>
  </si>
  <si>
    <t xml:space="preserve">הצעת חוק נציב תלונות הציבור על שופטים (תיקון - מינוי הנציב), התשפ"ה-2025</t>
  </si>
  <si>
    <t xml:space="preserve"> (פ/5783/25)</t>
  </si>
  <si>
    <t xml:space="preserve">הצעת חוק המועצה להשכלה גבוהה (תיקון - הענקת תארים שלישיים בכלל המוסדות המוכרים), התשפ"ה-2025</t>
  </si>
  <si>
    <t xml:space="preserve"> (פ/5781/25)</t>
  </si>
  <si>
    <t xml:space="preserve">הצעת חוק העונשין (תיקון - עונש מינימום וקנס על החזקת נשק בלתי חוקי), התשפ"ה-2025</t>
  </si>
  <si>
    <t xml:space="preserve"> (פ/5780/25)</t>
  </si>
  <si>
    <t xml:space="preserve"> (פ/5778/25)</t>
  </si>
  <si>
    <t xml:space="preserve">הצעת חוק לשכת עורכי הדין (תיקון - תקופת ההתמחות), התשפ"ה-2025</t>
  </si>
  <si>
    <t xml:space="preserve"> (פ/5777/25)</t>
  </si>
  <si>
    <t xml:space="preserve">הצעת חוק התכנון והבנייה (תיקון - ניוד זכויות), התשפ"ה-2025</t>
  </si>
  <si>
    <t xml:space="preserve"> (פ/5776/25)</t>
  </si>
  <si>
    <t xml:space="preserve">הצעת חוק לתיקון פקודת הרוקחים (שפות העלון לצרכן), התשפ"ה-2025</t>
  </si>
  <si>
    <t xml:space="preserve"> (פ/5775/25)</t>
  </si>
  <si>
    <t xml:space="preserve">הצעת חוק היער והאילנות, התשפ"ה-2025</t>
  </si>
  <si>
    <t xml:space="preserve"> (פ/5774/25)</t>
  </si>
  <si>
    <t xml:space="preserve"> (פ/5773/25)</t>
  </si>
  <si>
    <t xml:space="preserve"> (פ/5772/25)</t>
  </si>
  <si>
    <t xml:space="preserve">הצעת חוק המכר (דירות) (הבטחת השקעות של רוכשי דירות) (תיקון - ליווי פיננסי על ידי נותני שירותי תשלום בעלי חשיבות יציבותית), התשפ"ה-2025</t>
  </si>
  <si>
    <t xml:space="preserve"> (פ/5771/25)</t>
  </si>
  <si>
    <t xml:space="preserve">הצעת חוק המקרקעין (תיקון - בנייה או הרחבת מרחב מוגן לאדם עם מוגבלות), התשפ"ה-2025</t>
  </si>
  <si>
    <t xml:space="preserve"> (פ/5770/25)</t>
  </si>
  <si>
    <t xml:space="preserve">הצעת חוק אוויר נקי (תיקון - איסור שימוש בתנורים המוסקים בדלק מוצק), התשפ"ה-2025</t>
  </si>
  <si>
    <t xml:space="preserve"> (פ/5769/25)</t>
  </si>
  <si>
    <t xml:space="preserve">הצעת חוק עידוד עזיבה מרצון של תושבי חבל עזה, התשפ"ה-2025</t>
  </si>
  <si>
    <t xml:space="preserve"> (פ/5766/25)</t>
  </si>
  <si>
    <t xml:space="preserve">הצעת חוק מדיניות שווה באכיפת החוק כלפי מפגינים, התשפ"ה-2025</t>
  </si>
  <si>
    <t xml:space="preserve"> (פ/5765/25)</t>
  </si>
  <si>
    <t xml:space="preserve">הצעת חוק העונשין (תיקון - עבירת המרדה וקריאה לסרבנות), התשפ"ה-2025</t>
  </si>
  <si>
    <t xml:space="preserve"> (פ/5764/25)</t>
  </si>
  <si>
    <t xml:space="preserve">הצעת חוק קביעת יום לציון הטבעת הספינה אלטלנה, התשפ"ה-2025</t>
  </si>
  <si>
    <t xml:space="preserve"> (פ/5763/25)</t>
  </si>
  <si>
    <t xml:space="preserve"> (פ/5762/25)</t>
  </si>
  <si>
    <t xml:space="preserve"> (פ/5761/25)</t>
  </si>
  <si>
    <t xml:space="preserve"> (פ/5758/25)</t>
  </si>
  <si>
    <t xml:space="preserve">הצעת חוק להגבלת השיווק של גז קצפות לצרכן, התשפ"ה-2025</t>
  </si>
  <si>
    <t xml:space="preserve"> (פ/5756/25)</t>
  </si>
  <si>
    <t xml:space="preserve">הצעת חוק טיפול בחולי נפש (תיקון - קביעת מועד למתן חוות דעת פסיכיאטרית), התשפ"ה-2025</t>
  </si>
  <si>
    <t xml:space="preserve"> (פ/5755/25)</t>
  </si>
  <si>
    <t xml:space="preserve">הצעת חוק שירות התעסוקה (תיקון - חיזוק הפיקוח הפרלמנטרי על שירות התעסוקה), התשפ"ה-2025 </t>
  </si>
  <si>
    <t xml:space="preserve"> (פ/5754/25)</t>
  </si>
  <si>
    <t xml:space="preserve"> (פ/5753/25)</t>
  </si>
  <si>
    <t xml:space="preserve">הצעת חוק לתיקון פקודת התעבורה (גרימת נזק למצלמה), התשפ"ה-2025</t>
  </si>
  <si>
    <t xml:space="preserve"> (פ/5752/25)</t>
  </si>
  <si>
    <t xml:space="preserve">הצעת חוק לתיקון פקודת מס הכנסה (דחיית הגשת דיווח שנתי לעסק שהוקם ברבעון האחרון של השנה), התשפ"ה-2025</t>
  </si>
  <si>
    <t xml:space="preserve"> (פ/5751/25)</t>
  </si>
  <si>
    <t xml:space="preserve">הצעת חוק שחרור על-תנאי ממאסר (תיקון - המרת עונש מאסר עולם), התשפ"ה-2025</t>
  </si>
  <si>
    <t xml:space="preserve"> (פ/5750/25)</t>
  </si>
  <si>
    <t xml:space="preserve">הצעת חוק ביטול הזכאות לנסיעה חינם בתחבורה ציבורית לחברי הכנסת ולחברי הכנסת לשעבר (תיקוני חקיקה), התשפ"ה-2025 </t>
  </si>
  <si>
    <t xml:space="preserve"> (פ/5748/25)</t>
  </si>
  <si>
    <t xml:space="preserve"> (פ/5747/25)</t>
  </si>
  <si>
    <t xml:space="preserve"> (פ/5745/25)</t>
  </si>
  <si>
    <t xml:space="preserve">הצעת חוק גירוש מסתננים תומכי המשטר במדינת אריתריאה ומסתננים שביצעו עבירות במדינת ישראל, התשפ"ה-2025</t>
  </si>
  <si>
    <t xml:space="preserve"> (פ/5327/25)</t>
  </si>
  <si>
    <t xml:space="preserve">27.04.2025</t>
  </si>
  <si>
    <t xml:space="preserve">הצעת חוק גירוש מסתננים תומכי המשטר במדינת אריתריאה ומסתננים שביצעו עבירות במדינת ישראל, התשפ"ה-2024</t>
  </si>
  <si>
    <t xml:space="preserve"> (פ/5278/25)</t>
  </si>
  <si>
    <t xml:space="preserve">הצעת חוק תובענות ייצוגיות (תיקון - פניה מוקדמת), התשפ"ד-2024</t>
  </si>
  <si>
    <t xml:space="preserve"> (פ/4270/25)</t>
  </si>
  <si>
    <t xml:space="preserve">22.04.2025</t>
  </si>
  <si>
    <t xml:space="preserve">הצעת חוק תובענות ייצוגיות (תיקון - הגשת תובענה נגד גוף אשר פעילותו מחייבת רישיון), התשפ"ג-2023</t>
  </si>
  <si>
    <t xml:space="preserve"> (פ/2910/25)</t>
  </si>
  <si>
    <t xml:space="preserve">הצעת חוק תובענות ייצוגיות (תיקון מס' 16), התשפ"ד-2024</t>
  </si>
  <si>
    <t xml:space="preserve"> (מ/1785)</t>
  </si>
  <si>
    <t xml:space="preserve">חוק הפצת שידורים באמצעות תחנות שידור ספרתיות (תיקון מס' 7 – הוראת שעה) (תיקון), התשפ"ה-2025 </t>
  </si>
  <si>
    <t xml:space="preserve"> (מ/1835)</t>
  </si>
  <si>
    <t xml:space="preserve">31.03.2025</t>
  </si>
  <si>
    <t xml:space="preserve">התיקון מאריך עד ל-15.6.2025 את תוקף הוראת השעה הפוטרת את כלל הערוצים המסחריים ותחנות הרדיו האזוריות מתשלום בעד הפצתם באמצעות מערך עידן פלוס, ומחייבת גם ערוצים זעירים וזעירים ייעודיים להיות מופצים באמצעותו. לפי התיקון, בתקופת הוראת השעה ימומן המערך בידי הערוצים הציבוריים המופצים באמצעותו (תאגיד השידור הישראלי וערוץ הכנסת), ובאופן מוגבל גם מתקציב המדינה. כמו כן, בתקופת הוראת השעה, הערוצים הזעירים והזעירים-ייעודיים פטורים מהחובה להסכים לתת, ללא תמורה, את שידוריהם באינטרנט לספקי תכנים רשומים (שהם גופים שפעילותם העיקרית היא שידור באינטרנט של תכנים לציבור בישראל, ורשומים במרשם שמנהלת המועצה לשידורי כבלים ולשידורי לווין). לשם חיסכון בעלויות ההפצה, החוק קובע כי החל מה-31.1.2025 ועד תום תקופת הוראת השעה, הפצת השידורים באמצעות המערך תיעשה באמצעות מרבב אחד בלבד, ולא יופצו באמצעותו שידורי טלוויזיה ורדיו אלא אם כן קיימת קיבולת פנויה להפצתם, וכן לא יופצו שידורים בטכנולוגיית חדות גבוהה אלא אם כן קיימת קיבולת פנויה להפצתם בטכנולוגיה זו במסגרת אותו מרבב. בנוסף, וכדי לאפשר לממשלה לגבש הסדר חדש לעניין מערך עידן פלוס, התיקון מסמיך את שר התקשורת להאריך בצו, באישור ועדת הכלכלה של הכנסת, את הוראת השעה בתקופות נוספות שלא יעלו במצטבר על 4.5 חודשים נוספים, ובלבד שהתקיימו שני תנאים: האחד, ששר התקשורת הגיש לוועדת הכלכלה, עד ל-29.5.2025, חוות דעת כלכלית בעניין חובת הפצה במערך עידן פלוס ובעניין חובת העברת שידוריהם של ערוצים מסחריים על ידי ספקי תכנים רשומים; השני, שעד 15.6.2025 אושרה בקריאה הראשונה הצעת חוק ממשלתית העוסקת בהפצת שידורים במערך עידן פלוס, וכן בהפצת שידורי טלוויזיה באמצעות האינטרנט.  מאחר שהוראת השעה פקעה ב-31.1.2025, החוק קובע כי תחילתו של התיקון ב-1.2.2025. </t>
  </si>
  <si>
    <t xml:space="preserve">חוק הכשרות המשפטית והאפוטרופסות (תיקון מס' 22 והוראת שעה), התשפ"ה–2025</t>
  </si>
  <si>
    <t xml:space="preserve"> (פ/3443/25)</t>
  </si>
  <si>
    <t xml:space="preserve"> (כ/1098)</t>
  </si>
  <si>
    <t xml:space="preserve">סעיף 27א לחוק הכשרות המשפטית והאפוטרופסות, התשכ"ב–1962 (להלן – החוק), קבע קודם לחקיקת החוק כי אפוטרופסותו של הורה תישלל באופן אוטומטי אם הורשע בעבירות רצח או ניסיון לרצח כלפי ההורה האחר של הקטין או כלפי אחד מילדיו שלו, או אם הורשע בעבירת אינוס באחד מילדיו. תיקון מס' 22 מרחיב את העבירות שעליהן יחול ההסדר כך שיחול גם על עבירה של חבלה בכוונה מחמירה לפי סעיף 329 לחוק העונשין, התשל"ז–1977, שבוצעה על ידי הורה כלפי ההורה האחר של הקטין או כלפי אחד מילדיו שלו. כך שגם בעבירה זו תישלל האפוטרופסות של ההורה באופן אוטומטי. יחד עם זאת, נקבע כי בעבירה זו האפוטרופסות תישלל באופן אוטומטי כאמור רק לאחר הרשעה, ולא תהיה שלילה אוטומטית זמנית בעת הגשת כתב אישום, כפי שקיים לעניין העבירות המנויות כבר בהסדר הקיים.  בנוסף, נקבע תיקון מבהיר בחוק –  מאז חקיקתו של סעיף 27א האמור, אירעו מקרים שבהם הורה שאפוטרופסותו נשללה ניסה לטעון לזכויות הוריות שונות, ובהן הזכות להשיב בהליכים שונים בעניין הקטין והזכות לקשר בינו ובין הקטין. משכך, ובמטרה למנוע התדיינויות מיותרות בעניין זה, נקבע במפורש שהורה שאפוטרופסותו נשללה לא יהיה משיב בבקשה בעניינו של ילדו הקטין וכי במקרה שהוא מגיש בקשה, היא תוגש בצירוף ראיות לכאורה המעידות על כך שבירור הבקשה נדרש לטובת הקטין ושחל שינוי נסיבות המצדיק את בירור הבקשה. הבקשה תידון אחרי שבית המשפט מצא שהוגשו ראיות אלה והוא רשאי למחוק את הבקשה על הסף גם ללא תגובת המשיב.  </t>
  </si>
  <si>
    <t xml:space="preserve">חוק הכללת אמצעי זיהוי ביומטריים ונתוני זיהוי ביומטריים במסמכי זיהוי ובמאגר מידע (תיקון מס' 7 - הוראת שעה), התשפ"ה-2025 </t>
  </si>
  <si>
    <t xml:space="preserve"> (מ/1844)</t>
  </si>
  <si>
    <t xml:space="preserve">החוק קובע כי ניתן להגיש בקשות מקוונות להנפקת תעודות זהות בלבד, בלא צורך בהתייצבות בלשכות רשות האוכלוסין, למי שטביעות אצבעותיו נאגרו במאגר הביומטרי הלאומי, בכפוף לתנאים המפורטים בחוק זה. נקבע כי השירות יינתן רק למי שמגיש את הבקשה כשהוא בגבולות מדינת ישראל. כמו כן, נקבע כי תעודות הזהות שיונפקו באמצעות הגשת בקשות מקוונות יהיו בתוקף ל-5 שנים בלבד. ההסדר עוגן בהוראת שעה שתקפה למשך שנה, עם אפשרות להאריכה לתקופה של עד שנה נוספת. </t>
  </si>
  <si>
    <t xml:space="preserve">חוק התכנון והבנייה (תיקון מס' 160 והוראות שעה), התשפ"ה-2025</t>
  </si>
  <si>
    <t xml:space="preserve">החוק קובע שורת תיקונים בחוק התכנון והבנייה. ראשית, הארכת הפטור מהיטל השבחה למיתקנים פוטו וולטאים שמיועדים לשימוש עצמי בחמש שנים, כמו כן קובע החוק פטור מהיטל השבחה לאותה תקופת זמן  למיתקנים לאגירת אנרגיה שהם חלק מהמתקן הפוטו וולטאי וכן פטור מלא או חלקי מהיטל השבחה, לפי שיקול דעתה של הרשות המקומית למתקן אגירת אנרגיה גדול או שאינו חלק ממתקן פוטו וולטאי. בנוסף,  החוק מאריך את הפטור למתקנים פוטו וולטאים שאינם לשימוש עצמי עד לסוף שנת 2028. שנית, הוספת שימוש אפשרי לכספי היטל השבחה לטובת תחזוקה ארוכת טווח של נכסים ציבוריים שבבעלות רשות מקומית בתנאים הקבועים בחוק. שלישית, מתן סמכות לוועדות מקומיות לתכנון ובנייה לתת הקלה מתוכנית לגבי בניין קיים שבנייתו הושלמה שמונה שנים או יותר ממועד הבקשה להקלה, להגדיל בתכנית שטח כולל מותר לבנייה במגרש שאין בו מבנים הטעונים חיזוק, או במגרש שמיועד למגורים- אם חלפו חמש שנים מיום שאושרה תכנית שחלה על המגרש.  לאשר בתכנית כל דבר שיכלה ועדה מקומית לאשר כהקלה, לרבות לפי משטר ההקלות הקודם. רביעית, הרחבת הסמכות המקבילה של רשות הרישוי של הוועדה לתשתיות לאומיות לדון בסוגים נוספים של בקשות להיתרים לתשתיות לאומיות (מיזמי תשתית חיוניים, תשתית לאומית ע"פ תמ"א ללא תשריט, ושמונה היתרים לקווי תשתית תת קרקעיים למים) והרחבת הסמכות השיניונית במקרים בהם רשות הרישוי המקומית החלה טיפול בבקשה להיתר, אך לא סיימה אותו בחלוף התקופה שנקבעה בחוק. כן, קיצור הזמנים בהעברת בקשה להיתר מרשות רישוי מקומית לרשות רישוי ארצית במקרים בהם קיימת אפשרות להעביר את הבקשה, והחלפת רשות הרישוי המחוזית הפועלת בשטחים גליליים כך שההיתרים בשטחים אלה יינתנו על ידי רשות רישוי ארצית.</t>
  </si>
  <si>
    <t xml:space="preserve">חוק העונשין (תיקון מס' 152), התשפ"ה–2025</t>
  </si>
  <si>
    <t xml:space="preserve"> (פ/4928/25)</t>
  </si>
  <si>
    <t xml:space="preserve"> (כ/1092)</t>
  </si>
  <si>
    <t xml:space="preserve">התיקון כולל שורת תיקונים לעבירות המין בחוק העונשין, בראשם הקביעה כי עבירת האינוס בסעיף 345 לחוק העונשין ועבירת מעשה הסדום בסעיף 347 לחוק העונשין יאוחדו לעבירה אחת של "אינוס". על כן נקבע שכל החדרת איבר או חפץ לאיברים אינטימיים של אישה או גבר, וכן החדרת איבר מין לפיהם של אישה או גבר, תיקרא "אינוס". בנוסף, המונחים "בעילה" ו"מעשה סדום" המשמשים כיום, הוחלפו במונח "חדירה". כמו כן נעשו תיקונים נוספים: תוקן סעיף 346 לחוק העונשין, שעניינו עבירה של "בעילה אסורה בהסכמה", האוסר קיום יחסי מין עם קטינה שגילה 14 עד 16, במידה והבועל אינו נשוי לה, או קיום יחסי מין תוך ניצול יחסי מרות בין הפוגע לנפגע. שם העבירה שונה ל"חדירה אסורה" וחל על קטינה או קטין כאחד, ללא תלות בקשר נישואין. עוד נקבע מפורשות כי מי שהורשע בעבירה לפי סעיף 347 (מעשה סדום) לחוק העונשין כנוסחו ערב ביטולו בחוק זה, יראו אותו כמי שהורשע בעבירה לפי סעיף 345 (אינוס) או 346 (בעילה אסורה) לחוק העונשין, לפי העניין.</t>
  </si>
  <si>
    <t xml:space="preserve">חוק למניעת הפליה ברישוי מחמת מצב בריאותי (תיקוני חקיקה), התשפ"ה–2025</t>
  </si>
  <si>
    <t xml:space="preserve"> (פ/487/25)</t>
  </si>
  <si>
    <t xml:space="preserve"> (כ/1095)</t>
  </si>
  <si>
    <t xml:space="preserve">בפקודת הרופאים, בחוק הפסיכולוגים, בפקודת רופאי השיניים, בפקודת הרוקחים בחוק העובדים הסוציאליים, ובחוק הסדרת העיסוק במקצועות הבריאות, נכללה מחלת נפש בהגדרה "מחלה מסכנת", כאשר בחלק מחיקוקים אלה היא אף נכללה בהגדרה האמורה ללא תלות בשאלת השפעתה על היכולת לעסוק במקצוע או על סכנה אפשרית לבריאות האנשים שבטיפולו של בעל המקצוע. חוק זה מתקן את החיקוקים האמורים ומתאים אותם לרוח חוק שוויון זכויות לאנשים עם מוגבלות ולהוראותיו, בכך שהוא מוחק את ההגדרה "מחלה מסכנת" ואת האזכורים שלה, ומתקן בהתאמה את ההוראות הנוגעות לסמכויות הנתונות לגורמי הרישוי לעניין בדיקת כשירותם הרפואית של מבקשי רישיון ובעלי מקצוע. כך, שבין היתר, אם לגורם הרישוי יש חשש סביר כי למבקש רישיון לעסוק במקצועות המוסדרים בחיקוקים אלה, יש כושר לקוי, לרבות עקב מחלה, העלול לשלול ממנו בנסיבות העניין את היכולת לעסוק במקצוע לחלוטין, זמנית או חלקית, או שיש בו כדי לפגוע בנסיבות העניין בבריאות אנשים שבטיפולו, הוא רשאי לדרוש מהמבקש להתייצב לפני ועדה רפואית לשם בדיקה. בדומה לכך, גורם הרישוי רשאי לדרוש מבעל מקצוע להתייצב לפני ועדה רפואית לשם בדיקה אם ראה שיש לו כושר לקוי כאמור.  כמו כן, החוק מתקן את הרכב הוועדות הרפואיות הבודקות את כשירותם הרפואית של מבקשי רישיון או של בעלי מקצוע, במקרים שבהם הם נדרשים כאמור להתייצב לפני ועדה כזו לשם בדיקה, ומוחק את ההוראה המתייחסת להרכב מיוחד במקרה של בדיקת כושר נפשי. כמו כן, החוק מתקן את הרכב הוועדות הרפואיות כך שהוא כולל שני רופאים מומחים ונציג שהוא בעל אותו מקצוע שלגביו דנים. לבסוף, החוק מתקן את חוק אומנה לילדים, שבו נקבע כי אחד התנאים לקבלת רישיון אומנה הוא שאין למבקש או לכל אדם המתגורר עימו לקות נפשית, מגבלה או מחלה שיש בהן כדי לפגוע ביכולתו לשמש אומן או לפגוע בילד בצורה כלשהי, ומוחק את ההתייחסות המפורשת ללקות נפשית, כך שתנאי זה מתייחס לכל לקות שיש בה כדי לפגוע כאמור. יובהר כי אין בחוק זה כדי לגרוע מהסמכות הנתונה לפי חיקוקים אלה לגורמי הרישוי לבחון את כשירותם הרפואית של מבקשי רישיון ובעלי מקצוע.  </t>
  </si>
  <si>
    <t xml:space="preserve">חוק הרשות הלאומית למאבק בעוני, התשפ"ה-2025</t>
  </si>
  <si>
    <t xml:space="preserve"> (פ/428/25)</t>
  </si>
  <si>
    <t xml:space="preserve"> (כ/1025)</t>
  </si>
  <si>
    <t xml:space="preserve">חוק זה קובע את הקמתה של הרשות הלאומית למאבק בעוני, שתפעל לצמצום העוני, למניעת העמקתו ולחילוץ אנשים מעוני. הרשות תוקם במשרד הרווחה והביטחון החברתי, והיא תהיה עצמאית בהפעלת סמכויותיה. כמו כן, נקבע כי משרדי ממשלה, רשויות מקומיות ותאגידים סטטוטוריים יתייעצו עם הרשות בעניינים שנוגעים למאבק בעוני ומניעתו.  חוק זה קובע את תפקידי הרשות, ובהן: גיבוש תוכנית לאומית רב שנתית ותוכניות שנתיות למאבק בעוני ולמניעת עוני, פיקוח על הגורמים החייבים בביצוע התוכניות, ייעוץ לממשלה בגיבוש מדיניות בתחומי פעילות הרשות, תיאום בין משרדי הממשלה ובינם לבין רשויות מקומיות בתחום המאבק בעוני. עוד נקבע כי במידת הצורך הרשות תעזור לממשלה ולרשויות מקומיות במתן סיוע לחלוקת מזון לאוכלוסיות הזקוקות לכך, וכן למניעת עוני אצל אוכלוסיות שנמצאות בסיכון לעוני. תפקיד נוסף של הרשות הוא להציע חקיקה בתחומי פעולתה, וכן להגיש חוות דעת על הצעות חוק והצעות לחקיקת משנה שנוגעות לתחומי פעולתה, אשר במסגרתן היא תציג השפעות אפשריות שיש לחקיקה המוצעת על המאבק בעוני. חוק זה קובע כי שר הרווחה והביטחון החברתי ימנה לרשות מועצה בת 29 חברים שיהיו בה נציגי הממשלה ונציגי ציבור בעלי ידע וניסיון בתחומי הפעולה של הרשות, ובהם לפחות נציג אחד עם ניסיון חיים בעוני. המועצה תתווה את מדיניות הרשות, תנחה את מנהל הרשות במילוי תפקידו, תאשר את התוכנית הלאומית הרב שנתית ואת התוכניות השנתיות, וכן תדון בהצעת התקציב של הרשות ובדין וחשבון על פעולותיה שתגיש הרשות.  במסגרת הרשות יוקם גם מרכז לאומי למידע ומחקר שיאסוף מידע, יעבד נתונים ויערוך השוואות בינלאומיות בתחום העוני ובתחומי פעולתה של הרשות.  מחקריו של המרכז יבוצעו בתיאום עם המוסד לביטוח לאומי. תקציב הרשות יוגש לאישור מנכ"ל משרד הרווחה בכל שנה והוא ייקבע במסגרת חוק התקציב השנתי, במסגרת תקציב משרד הרווחה והביטחון החברתי.  </t>
  </si>
  <si>
    <t xml:space="preserve">חוק הביטוח הלאומי (תיקון מס' 257), התשפ"ה–2025</t>
  </si>
  <si>
    <t xml:space="preserve"> (פ/916/25)</t>
  </si>
  <si>
    <t xml:space="preserve"> (כ/1096)</t>
  </si>
  <si>
    <t xml:space="preserve">חוק זה מרחיב באופן משמעותי את ההוראות הקיימות היום בחוק הביטוח הלאומי לעניין שלילת גמלאות ממי שהורשע בביצוע עבירות טרור: נקבע כי לא ישולמו ולא יינתנו גמלאות לפי חוק הביטוח הלאומי למי שנדון למאסר בשל עבירת רצח או ניסיון לרצח בנסיבות טרור המוגדרת בחוק זה, או למי שנגזרו עליו עשר שנות מאסר לפחות לאחר שהורשע בעבירת ביטחון, כלומר עבירת טרור חמורה, עבירת בגידה או ריגול חמור או עבירת טרור ביטחונית שבה הורשע בבית משפט צבאי. שלילת הגמלאות תחול גם לעניין תוספות המשולמות בעד תלויים באותו אדם. נוסף על כך, לא יינתנו בשל מותו של אותו אדם זכויות בעת פטירתו לדמי קבורה, מענק במקרה פטירה או זכויות לפי הסכם מכוח סעיף 9, כגון לעניין הובלת נפטרים, ואם נדון למאסר בשל עבירת רצח או ניסיון רצח בנסיבות טרור - לא תשולם במותו גם גמלת שאירים או גמלת תלויים בנפגע עבודה לבני משפחתו.  כמו כן, נקבע כי לא ישולמו לו גמלאות בעד ילדיו, אולם אם בעד ילדו יש זכאות לקצבת ילדים או לקצבת ילד נכה ואין זכאי אחר לקצבה כאמור, ימנה המוסד לביטוח לאומי אדם אחד שיקבל את הגמלה עבור הילד.  עוד נקבע כי תישלל גמלת הבטחת הכנסה ממי שנדון למאסר בשל עבירת רצח או ניסיון רצח בנסיבות טרור, והוא לא ייחשב כבן זוג לעניין חישוב סכום גמלת הבטחת הכנסה של בן זוגו, למעט לעניין חישוב ההכנסות, אך בן זוגו לא ייחשב כהורה עצמאי לעניין זה.  הוראות כאמור לעניין  שלילת גמלת הבטחת הכנסה והגבלת המעמד לעניין חישוב הגמלה לבן הזוג של המורשע יחולו גם לגבי מי שנגזרו עליו עשר שנות מאסר לפחות בשל עבירת ביטחון, ושוחרר לפני תום המאסר שהיה אמור לרצות בנסיבות של שחרור שבויים ישראליים או משא ומתן מדיני, לגבי פרק הזמן שעד תום תקופת המאסר שנגזרה עליו, ונקבע כי גמלת הבטחת ההכנסה המגיעה לבני הזוג לא תשולם למורשע בכל מקרה, גם לאחר שחרורו.  תחילתו של חוק זה ב1.5.2025, והוא יחול גם על מי שנידון למאסר או הורשע לפני יום התחילה, אך גמלאות יישללו רק בעד התקופה שמיום התחילה ואילך. כדי לאפשר למוסד לביטוח לאומי לבצע את הוראות חוק זה, נקבעו כמה מנגנוני עזר שיאפשרו את קבלת המידע על מי שהורשע או נדון למאסר בעבירות כאמור, ובין השאר נקבע כי ועדת השחרורים המיוחדת הפועלת מכוח חוק המאבק בטרור תקבע האם עבירות רצח וניסיון רצח שנעברו לפני תחילתו של חוק המאבק בטרור הן מעשה טרור לעניין חוק זה וכן נקבע כי אם מי שנשללה ממנו גמלה או עוכבה לפי חוק זה הוא אזרח או תושב ישראל שעמד לדין בבית משפט צבאי בשל עבירה שנכללת בהגדרה "עבירת טרור ביטחונית", הוא יוכל לטעון בפני המוסד לביטוח לאומי כי הנסיבות לא היו ביטחוניות.  </t>
  </si>
  <si>
    <t xml:space="preserve">חוק המים (תיקון מס' 31), התשפ"ה–2025</t>
  </si>
  <si>
    <t xml:space="preserve"> (פ/4472/25)</t>
  </si>
  <si>
    <t xml:space="preserve"> (כ/1081)</t>
  </si>
  <si>
    <t xml:space="preserve">התיקון לחוק קובע הסדר חדש לעניין תעריפי מים המסופקים לחקלאות. לפי התיקון, תעריפים לקולחים המסופקים לחקלאות, הנקבעים על ידי מועצת הרשות הממשלתית למים ולביוב (להלן – מועצת רשות המים), ייקבעו ללא התחשבות בעלות טיהור המים עד לרמת איכות המאפשרת שימוש להשקיה לחקלאות, וכן ללא התחשבות בעלות הטיפול בשפכים אם היה נדרש לפנותם לנחל או לים. בנוסף, התיקון מסמיך את מועצת רשות המים לקבוע בכללים תעריפים למים שפירים המסופקים לחקלאות, לפי העלות הממוצעת של הפקה, ייצור והולכה של מים שפירים לחקלאות (להלן – העלות הממוצעת). עוד נקבע כי באזורים שבהם אין חלופה מלאה לשימוש במים שפירים, כלומר שלא ניתן להשתמש בהם במים נחותים (קולחים או מים מליחים) באופן חלקי או מלא, תקבע מועצת רשות המים את התעריפים למים שפירים כאמור כשיעור מהעלות הממוצעת, בהתאם ליחס בין המים הנחותים הזמינים לשימוש לחקלאות לבין כלל צריכת המים לחקלאות באותו אזור. בתום 3 שנים מתחילת התיקון, מועצת רשות המים, תהיה רשאית, באישור ועדת הכלכלה של הכנסת, לקבוע שבאזורים שאין בהם חלופה מלאה לשימוש במים שפירים, התעריפים ייקבעו שלא לפי היחס כאמור. כמו כן, לשם יישום הסכמות בין הממשלה לארגוני החקלאים, נקבע שבמהלך תקופה שלא תעלה על 5 שנים מתחילתו של התיקון, תדרג מועצת רשות המים את התעריפים לדמי המים המסופקים לחקלאות בשיעורים כפי שתקבע, כך שבתום התקופה האמורה ייקבעו התעריפים למים המסופקים לחקלאות (קולחים ושפירים) בהתאם לעקרונות שעוגנו בתיקון. כמו כן, נקבע שבתקופה של 10 שנים מיום תחילת התיקון, תפעל הרשות הממשלתית למים ולביוב ליישום תוכנית אב למשק הקולחים שתאשר מועצת רשות המים, שבמסגרתה בעלי רישיונות להספקת מים יבצעו את עבודות התשתית הנדרשות להולכה והספקה של קולחים לחקלאות. תוכנית האב תמומן בהשתתפות אוצר המדינה. עלות תוכנית האב לא תושת על צרכני מים שאינם צרכנים למטרות חקלאות, למעט עלויות להקמת תשתית הולכה ואיגום של קולחים בין אזורים שונים. נוסף על כך, התיקון כולל שינויים בנושאים אחרים שאינם קשורים בהכרח לתעריפי מים לחקלאות:  ראשית, התיקון לחוק משנה את מועדי עדכון של כלל תעריפי המים הנקבעים מכוח החוק (לא רק את תעריפי המים המסופקים לחקלאות). לפי התיקון, תעריפי המים, המתעדכנים לפי שיעור השינוי בסל מדדים המפורט בחוק, יתעדכנו אחת לשנה ולא אחת לחצי שנה כפי שקבע החוק טרם התיקון. ואולם, אם בתום חצי שנה ממועד העדכון האחרון של תעריפי המים, שיעור השינוי בסל המדדים יגיע ל-3.5% או יותר, יעודכנו התעריפים לפי השינוי האמור, אלא אם כן מועצת רשות המים קבעה אחרת בכללים. שנית, נקבע כי בית משפט לעניינים מנהליים יהיה רשאי יהיה לדון בעתירות נגד החלטות מנהל רשות המים במחלוקות בין בעלי רישיונות לפי החוק ובין חברת "מקורות" (שהיא רשות המים הארצית), באשר לתעריפי המים, לחיובים ולמדידות לפי החוק.  שלישית, נקבע כי בית המשפט שדן בהליך שמתנהל בין בעל רישיון ובין חברת "מקורות" בעניין חיוב לפי החוק, יהיה רשאי לקבוע שלא תומצא לבעל הרישיון דרישה לגביית החוב שבמחלוקת לפי פקודת המסים (גבייה), וכן להתנות אי נקיטה של פעולות גבייה לפי הפקודה האמורה בהפקדת ערובה על ידי בעל הרישיון. רביעית, התיקון קובע שאם הפסיק לכהן נציג ציבור במועצת רשות המים, הממשלה תפעל למינוי נציג ציבור אחר במקומו בהקדם האפשרי. כמו כן, נקבע שקיום מועצת רשות המים, סמכויותיה, תוקף החלטותיה ופעולותיה לא ייפגעו בשל הפסקת כהונת נציג הציבור כאמור, ובלבד שמכהנים בה רוב חבריה. </t>
  </si>
  <si>
    <t xml:space="preserve">חוק הגנת הצרכן (תיקון מס' 72), התשפ"ה–2025</t>
  </si>
  <si>
    <t xml:space="preserve"> (פ/4123/25)</t>
  </si>
  <si>
    <t xml:space="preserve"> (כ/1097)</t>
  </si>
  <si>
    <t xml:space="preserve">התיקון קובע כי עוסק המקבל תשלום באמצעות כרטיס חיוב, ובכלל זה כרטיס אשראי, לא יתנה תשלום כאמור בסכום רכישה מינימלי. עוד קובע התיקון כי שר הכלכלה והתעשייה, בהסכמת שר המשפטים ושר האוצר ובאישור ועדת הכלכלה של הכנסת, רשאי להחיל את האיסור על אמצעי תשלום נוספים. בשל הפרת הוראה זו, התיקון מסמיך את הממונה על הגנת הצרכן והסחר ההוגן להטיל על עוסק שהוא תאגיד עיצום כספי בסכום העומד היום על 22,530 שקלים חדשים, ואם העוסק הוא יחיד - בסכום העומד היום על 7,170 שקלים חדשים.</t>
  </si>
  <si>
    <t xml:space="preserve">חוק להסדרת אירוע הילולת רבי שמעון בר יוחאי בהר מירון (הוראת שעה), התשפ"ה-2025 </t>
  </si>
  <si>
    <t xml:space="preserve"> (מ/1836)</t>
  </si>
  <si>
    <t xml:space="preserve">במסגרת החוק נקבעו הסדרים להיערכות ולקיום אירוע ההילולת רבי שמעון בר יוחאי בהר מירון שיתקיים בל"ג בעומר, כהוראת שעה עד ליום ה' בסיוון התשפ"ה (1 ביוני 2025). במסגרת זאת, נקבע כי יתקיים אירוע הדלקה אחד בלבד, שיכלול שני מתקני הדלקה, לצד אפשרות לקיום אירועים נוספים ובלבד שניתן לכך היתר על ידי השר לירושלים ומסורת ישראל לאחר שנוכח לדעת לפי חוות דעת מאת הממונה על ההילולה שהתקיימו מספר תנאים שניתנו מטעם גורמים שונים, לרבות משטרת ישראל והרשות הארצית לכבאות והצלה.  בנוסף נקבע כי השר יקבע בצו הגבלה על כניסה ושהייה במתחם מירון כולו – כך ששהייה במתחם תחייב החזקה של היתר שהייה שיינתן על ידו ויכלול את המתחם אליו הוא רשאי להיכנס ואת משך תוקפו. כמו כן, כניסה למתחם מירון תתאפשר, בין היתר, גם למי שמשכנו במירון, הנדרש להגיע למתחם לשם עבודתו או מילוי תפקידו ולשם סיוע לאדם עם קושי ובכלל זה אדם עם מוגבלות וקטין. מעבר לכך, נקבע כי הממונה על ההילולה או מי מטעמו יהיה אחראי לספירת השוהים במתחם בכל רגע נתון בזמן ההילולה, ולספירת המשתתפים באירוע ההדלקה המרכזי ובאירוע נוסף. הגעה אל מתחם מירון במהלך ההילולה תיעשה אך באמצעות תחבורה ציבורית וכרטיסי נסיעה שהונפקו לטובת זאת, למעט בחריגים המנויים בחוק.  לצד זאת, לשם אכיפת הוראות חוק זה, ניתנו לשוטר מספר סמכויות, לרבות מניעת כניסה של אדם או רכב לאחד מהמתחמים והוצאתם אף תוך שימוש בכוח סביר, להורות על הפסקת אירוע הדלקה במקרה בו מספר השוהים עולה על המספר שנקבע. כמו כן, נקבע קנס על מי ששוהה במתחם בניגוד להגבלות הכניסה אליו ובפרט ללא היתר כניסה ושהייה ועל מי שעורך אירוע הדלקה או אירוע נוסף ללא אישור. כמו כן, ראש שירות ההתגוננות האזרחית יהיה רשאי לקבוע הוראות, בשעת התקפה או בעת מצב מיוחד בעורף, בנוגע לסגירת שטחים במתחם מירון וכן מגבלות לעניין מספר השוהים במתחם. </t>
  </si>
  <si>
    <t xml:space="preserve">חוק התקשורת (בזק ושידורים) (תיקון מס' 81), התשפ"ה–2025</t>
  </si>
  <si>
    <t xml:space="preserve"> (פ/4190/25)</t>
  </si>
  <si>
    <t xml:space="preserve"> (כ/1064)</t>
  </si>
  <si>
    <t xml:space="preserve">התיקון קובע כי ספק שירות טלפוניה רשאי להעביר למוקד חירום לעזרה ראשונה נפשית או למוקד לסיוע לנפגעות ונפגעי תקיפה מינית, לבקשת המוקד האמור, את שלוש הספרות האחרונות של מספרי הטלפון החסויים שמהם מבוצעות שיחות לאותו מוקד. מוקדי החירום שיהיו רשאים לקבל את המידע האמור הם מוקדי החירום שנקבעו בתקנות שהתקין שר התקשורת, בהסכמת שר הרווחה והביטחון החברתי. עוד נקבע כי המידע שנמסר כאמור יאובטח לפי חוק הגנת הפרטיות, התשמ"א-1981, וישמש את מוקד החירום רק לצורך פנייה למשטרת ישראל במקרה של חשש לשלום הפונה למוקד. לאחר תום הצורך במידע האמור, ולא יאוחר מ-24 שעות לאחר קבלת המידע, המידע יימחק על ידי מי שקיבל אותו. בנוסף, התיקון קובע כי רשימת מוקדי החירום כאמור, וכל שינוי בה, יפורסמו באתר האינטרנט של משרד התקשורת.</t>
  </si>
  <si>
    <t xml:space="preserve">חוק גיל פרישה (הורה שילדו נפטר) (הוראת שעה) (תיקון מס' 3), התשפ"ה–2025</t>
  </si>
  <si>
    <t xml:space="preserve"> (פ/3708/25)</t>
  </si>
  <si>
    <t xml:space="preserve"> (כ/1094)</t>
  </si>
  <si>
    <t xml:space="preserve">התיקון לחוק קובע כי החוק יהפוך מהוראת שעה להוראה קבועה. בנוסף, נקבע כי התקופה שעל עובד להיות מועסק במקום עבודתו בתכוף לגיל חובת הפרישה כתנאי לזכאותו תקוצר, והיא תעמוד על חמש שנים לפני גיל פרישת החובה, במקום שבע שנים. כמו כן, נקבע, כי רשימת החריגים שהחוק לא חל בעניינם תכלול גם את מאבטחי הרשות להגנה על עדים. עוד נקבע, כי השר לשוויון חברתי וקידום מעמד האישה יפעל להביא לידיעתם של הורים שילדם נפטר את זכויותיהם לפי חוק זה, וכי אם במסגרת סמכותו להתקין תקנות לביצוע החוק, יותקנו תקנות העוסקות ביחסי עבודה, הן יהיו טעונות גם את הסכמתו של שר העבודה. </t>
  </si>
  <si>
    <t xml:space="preserve">חוק הספורט (תיקון מס' 18 והוראת שעה), התשפ"ה–2025</t>
  </si>
  <si>
    <t xml:space="preserve"> (פ/3957/25)</t>
  </si>
  <si>
    <t xml:space="preserve"> (כ/1085)</t>
  </si>
  <si>
    <t xml:space="preserve">החוק קובע כי על מדי התחרות של ספורטאי הישגי המייצג את מדינת ישראל בתחרות בין לאומית רשמית יופיע דגל המדינה. ואולם, שר התרבות והספורט רשאי לקבוע שחובה זו לא תחול על ענפי ספורט מסויימים, וכן הוא רשאי לקבוע נוהל לפיו הוראות החוק לא יחולו במקרים מסוימים, בשל נסיבות מיוחדות, לדוגמה נסיבות ביטחוניות.</t>
  </si>
  <si>
    <t xml:space="preserve">חוק הרשויות המקומיות (מימון בחירות) (תיקון מס' 19), התשפ"ה–2025</t>
  </si>
  <si>
    <t xml:space="preserve"> (פ/2671/25)</t>
  </si>
  <si>
    <t xml:space="preserve"> (כ/1069)</t>
  </si>
  <si>
    <t xml:space="preserve">החוק מבטל את האפשרות של מועמד לראשות מועצה אזורית לקבל תרומה מישוב שיתופי הנמצא בתחום המועצה האזורית שבה הוא מועמד. תחילתו של החוק שישה חודשים ממועד פרסומו. </t>
  </si>
  <si>
    <t xml:space="preserve">חוק להנצחת זכרו של מנחם בגין (תיקון מס' 4), התשפ"ה–2025</t>
  </si>
  <si>
    <t xml:space="preserve"> (פ/4649/25)</t>
  </si>
  <si>
    <t xml:space="preserve"> (כ/1089)</t>
  </si>
  <si>
    <t xml:space="preserve">בחוק להנצחת זכרו של מנחם בגין, התשנ"ח–1998, יתווספו הוראות כך שבכל שנה, ב-ד' באדר, יום פטירתו של מנחם בגין, יקויים יום ציון לזכרו. במהלך היום יתקיימו ארועי זכרון והנצחה. במחנות צה"ל יוקדש זמן להנצחת זכרו וללימוד פועלו בהתאם להחלטת הרמטכ"ל, ובבתי הספר יוקדש זמן לכך ככל ששר החינוך יחליט על כך.  </t>
  </si>
  <si>
    <t xml:space="preserve">חוק הצבת מכשירי החייאה במקומות ציבוריים (תיקון מס' 3), התשפ"ה–2025</t>
  </si>
  <si>
    <t xml:space="preserve"> (פ/4893/25)</t>
  </si>
  <si>
    <t xml:space="preserve"> (כ/1087)</t>
  </si>
  <si>
    <t xml:space="preserve">חוק זה קובע כי החובה להציב מכשיר החייאה במקום ציבורי ולדאוג לתקינותו תחול גם לגבי רכבת ארצית המשמשת להסעת נוסעים, וכן לגבי תחנת רכבת מקומית הנמצאת בתוך מבנה סגור. </t>
  </si>
  <si>
    <t xml:space="preserve">חוק שיקום נרחב לחבל התקומה כאזור מיקוד לאומי וסיוע ליישובים הסמוכים אליו, התשפ"ה–2025 </t>
  </si>
  <si>
    <t xml:space="preserve"> (מ/1828)</t>
  </si>
  <si>
    <t xml:space="preserve">החוק קובע את חבל התקומה כאזור מיקוד לאומי שהממשלה תפעל לשיקומו הנרחב. לפי החוק, "חבל התקומה" כולל את שדרות ואת היישובים במועצות האזוריות אשכול, חוף אשקלון, שדות נגב ושער הנגב, שנמצאים בטווח של עד 7 ק"מ מרצועת עזה, בהתאם לרשימת היישובים שבתוספת הראשונה. השיקום הנרחב כולל פעולות בכלל תחומי החיים שיינקטו לטובת יישובי החבל ותושביו, ובכלל זה מתן הטבות, הקצאת משאבים והשקעה בפיתוח. זאת, במטרה להביא לחזרה מלאה, מהירה ומיטבית לשגרה בחבל התקומה, לקידום הצמיחה בו, עידוד גידול דמוגרפי בתחומו וחיזוק החוסן של תושביו. תוקף ההוראות הנוגעות לחבל התקומה כאזור מיקוד לאומי הוא לשבע שנים מיום תחילת החוק. בנוסף, החוק מעגן את תפקידיה וסמכויותיה של מינהלת תקומה, שהיא יחידת סמך ממשלתית שהוקמה לפי החלטת הממשלה ופועלת באופן ייעודי לטובת חבל התקומה החל מחודש אוקטובר 2023. בין השאר, המינהלת תפעל לגיבוש מדיניות לשיקום הנרחב של חבל התקומה בשיתוף משרדי הממשלה ויישומה באמצעותה, או באמצעות משרדי הממשלה הנוגעים לעניין בהתאם לסמכויותיהם ובכפוף להסכמתם. החוק קובע כי תקציב מינהלת תקומה ייקבע בתחום פעולה נפרד וכי ראש המינהלת יהיה הממונה על ביצוע התקציב. תקופת פעילותה של מינהלת תקומה תהיה למשך 5 שנים, אך השר שנקבע בחוק כממונה על ביצועו יהיה רשאי, באישור הממשלה ובאישור ועדת הכלכלה של הכנסת, להאריך בצו את פעילות המינהלת בתקופות נוספות שלא יעלו על שש שנים בסך הכול, אם נוכח כי הדבר נדרש לשם יישום מטרות החוק.  נוסף על שיקומו הנרחב של חבל התקומה, החוק כולל פרק נפרד שעניינו סיוע ליישובים הסמוכים לחבל התקומה, שנפגעו במתקפת ה-7 באוקטובר. לפי החוק, הממשלה תקבע בהחלטתה, בתוך 14 ימים מיום פרסום החוק ברשומות (להלן – יום התחילה), את רשימת היישובים או האזורים שיהיו זכאים לסיוע ואת אמות המידה להכללתם ברשימה זו. בהתאם להחלטת הממשלה, יקבע ראש הממשלה או השר שיוסמך כממונה על הפרק האמור, בצו, את רשימת היישובים במסגרת התוספת השנייה לחוק. כמו כן, הממשלה תקבע, בתוך 3 חודשים מיום התחילה, את פעולות הסיוע שיבצעו משרדי הממשלה לטובת היישובים או האזורים כאמור, בהתאם לצורכיהם, למאפייניהם הייחודיים ולרמת הפגיעה בהם בשל מתקפת ה-7 באוקטובר.  </t>
  </si>
  <si>
    <t xml:space="preserve">חוק תוספות לתגמולים ולהטבות לבני משפחה של חטופים ונעדרים (תיקוני חקיקה), התשפ"ה-2025</t>
  </si>
  <si>
    <t xml:space="preserve"> (מ/1843)</t>
  </si>
  <si>
    <t xml:space="preserve">חוק זה קובע כי הורים, בני זוג, אחים וילדים של חטוף ששוחרר (להלן - בני משפחה) יהיו זכאים למשך שלוש שנים מיום שחרורו של החטוף להטבות הנוגעות לשיקום תעסוקתי ולהטבות רפואיות, בשווי הגבוה ביותר הניתן להורה שכול לפי חוק משפחות חיילים שנספו במערכה, וכן לסיוע במימון לימודים או הכשרה מקצועית, בסכום שלא יעלה על שכר הלימוד לתואר ראשון כפי שקבעה המל"ג, אף אם הלימודים הם לא מהסוג המגיע לבן משפחה לפי חוק משפחות חיילים שנספו במערכה. כמו כן בני המשפחה כאמור יהיו זכאים  למשך ארבע שנים מיום השחרור להטבות פסיכו-סוציאליות. הטבות בתחומים אלה שקיבל בן משפחה בזמן שהותו של החטוף ששוחרר בשבי יבואו על חשבון אותה הטבה שניתנת לפי חוק זה. הטבות אלה יחולו גם על בני משפחה של מי שהיה חטוף ביום 7.10.23 וגופתו הושבה, וגם הן יבואו על חשבון אותן הטבות שקיבל בן המשפחה בזמן השהות של החטוף בשבי או על חשבון אותן זכאויות לפי חוק משפחות חיילים שנספו במערכה. נוסף על כך, נקבע כי ועדת החריגים להטבות שהוקמה לפי חוק משפחות חיילים שנספו במערכה תוכל לקבוע הגדלה של סכומי ההטבות, ולאשר, במקרים חריגים ונדירים שלא ניתן לצפותם, מימון שירותים והחזר הוצאות לצרכים נוספים של בני המשפחה בסכום שלא יעלה על כ-65 אלף שקלים, אם הם נובעים מהחטיפה וקשורים אליה ומיועדים לשיקום מבקש ההטבה.  חוק זה מתקן גם את חוק מימון הוצאות למשפחות שבויים, חטופים ונעדרים, וקובע תוספת בסך 13,500 שקלים למענק הרבעוני שישולם להורה של החטוף אם להורה אין בן זוג שגם הוא הורה של חטוף, כלומר כשהורי החטוף גרושים או פרודים. תוספת זו תינתן רק אם החלק במענק שההורה היה זכאי לו לפני התוספת היה נמוך מ-45,000 שקלים, למשל כאשר נוסף להורים הפרודים יש לחטוף בן זוג הזכאי לחלק מאותו מענק. עוד נקבעה תוספת של 3,000 שקלים למענק הרבעוני המשולם לאחים וילדים של חטופים שמלאו להם 18 שנים, ואם האח או הילד הוא בעצמו הורה לילד סכום התוספת יהיה 4,500 שקלים. התוספות האמורות למענקים ישולמו רטרואקטיבית מיום ה-7.10.23.  מי שהיה זכאי למענק רבעוני טרם שחרורו של החטוף יהיה זכאי באופן חד פעמי לתוספת מענק לשם התארגנות שסכומה משתנה לפי המועד שבו החטוף שוחרר במהלך הרבעון. למענק התארגנות כאמור יהיו זכאים גם ילד אח אחות, שמלאו להם 18 שנים, של מי שהיה חטוף ביום 7.10.23 וגופתו הושבה, בהתאם למועד ההבאה לקבורה.  </t>
  </si>
  <si>
    <t xml:space="preserve">חוק כליאתם של לוחמים בלתי חוקיים (תיקון מס' 4 והוראת שעה – חרבות ברזל) (תיקון מס' 4), התשפ"ה-2025 </t>
  </si>
  <si>
    <t xml:space="preserve"> (מ/1846)</t>
  </si>
  <si>
    <t xml:space="preserve">חוק כליאתם של לוחמים בלתי חוקיים, התשס"ב–2002, נועד להסדיר את כליאתם של לוחמים בלתי חוקיים, אשר אינם זכאים למעמד של שבויי מלחמה, בדרך העולה בקנה אחד עם מחויבויותיה של מדינת ישראל לפי הוראות המשפט הבין-לאומי ההומניטרי. בין שלל ההסדרים בחוק זה, נכללים גם ביקורת שיפוטית על כליאתו של לוחם בלתי חוקי, זכאותו לפגישה עם עורך דין וייצוגו ותנאי כליאתו. במקרים שבהם הכריזה הממשלה על מלחמה או הודיעה על נקיטת פעולות צבאיות משמעותיות, הממשלה, באישור ועדת החוץ והביטחון, מוסמכת להכריז על שינויים בתחולת החוק. במהלך תקופת תוקפה של ההכרזה, התקופות המנויות בחוק ארוכות יותר והדרג המוסמך לקבל החלטות לפי החוק נמוך יותר. חוק כליאתם של לוחמים בלתי חוקיים (תיקון מס' 4 והוראת שעה – חרבות ברזל), התשפ"ד–2023, קבע, כהוראת שעה, כי במקרה של הכרזה כאמור, יוארכו התקופות המנויות בחוק אף יותר, הורד הדרג המוסמך לאשר הגבלות על פגישה עם עורך דין, וכן נקבע כי ניתן יהיה לקיים דיונים בדרך של היוועדות חזותית. הוראת השעה הוארכה מאז מספר פעמים, בתיקונים שונים. במסגרת תיקון מספר 4, הוארכה הוראת השעה כאמור עד ליום ו' באב התשפ"ה (31 ביולי 2025), לצד הארכת תקופת תוקפה של ההכרזה מכוח הצעת החוק עד ליום ג' באייר התשפ"ה (1 במאי 2025). </t>
  </si>
  <si>
    <t xml:space="preserve">חוק לייעול האכיפה והפיקוח העירוניים ברשויות המקומיות (הוראת שעה) (תיקון מס' 16), התשפ"ה–2025 </t>
  </si>
  <si>
    <t xml:space="preserve">החוק לייעול האכיפה והפיקוח העירוניים ברשויות המקומיות נחקק כהוראת שעה בשנת 2011, והחל כפיילוט במספר רשויות מקומיות. מטרת החוק הינה ייעול יכולת הפיקוח והאכיפה של הרשויות המקומיות בעבירות שבתחום אחריותן וכן סיוע למשטרת ישראל בפעולות למניעת אלימות. לשם כך החוק מסמיך פקחים עירוניים ומסדיר את הקמתו של מערך שיטור עירוני. לאורך השנים הוראת השעה הוארכה מספר פעמים ותחולתה הורחבה לרשויות נוספות.  בתיקון מספר 16 לחוק, תוקן סעיף 23, כך שתוקפו של החוק הוארך לתקופת זמן נוספת ועד ליום ד' בתמוז התשפ"ה (30 ביוני 2025). </t>
  </si>
  <si>
    <t xml:space="preserve">חוק התמודדות עם תקיפות סייבר חמורות במגזר השירותים הדיגיטליים ושירותי האחסון (הוראת שעה – חרבות ברזל) (תיקון מס' 2), התשפ"ה-2025 </t>
  </si>
  <si>
    <t xml:space="preserve"> (מ/1849)</t>
  </si>
  <si>
    <t xml:space="preserve">ביום י"ד בטבת התשפ"ד (26 בדצמבר 2023), פורסם חוק התמודדות עם תקיפות סייבר חמורות במגזר השירותים הדיגיטליים ושירותי האחסון (הוראת שעה – חרבות ברזל) (תיקון), התשפ"ד–2024, כהוראת שעה. החוק מסמיך מנהל מוסמך משירות הביטחון הכללי, ממערך הסייבר או מהמלמ"ב לקבוע כי תקיפת סייבר שמתרחשת או עומדת להתרחש אצל מי שעיסוקו אספקת שירותי אחסון או שירותים דיגיטליים, היא תקיפת סייבר חמורה, אם סבר כי קיים חשש ממשי שתפגע בביטחון המדינה, בביטחון הציבור או בקיום האספקה והשירותים החיוניים. קביעה זו תיעשה בכפוף לתנאים הבאים: התקיפה התרחשה במהלך מלחמת חרבות ברזל; התקיפה בעלת השפעה ממשית שאינה מוגבלת לספק הנתקף, והתקיפה היא תקיפת סייבר חמורה בהתחשב במאפייניה. במקרה שנקבע כי תקיפת סייבר היא חמורה, החוק קובע הליך פעולה לטובת איתור התקיפה, מניעתה או בלימתה בהקדם האפשרי. מעבר לכך, נקבעו הוראות בעניין חובת סודיות והגבלת שימוש במידע, וכן חובת דיווח ליועצת המשפטית לממשלה ולוועדת החוץ והביטחון של הכנסת.  במסגרת תיקון מס' 2, הוארכה תקופת תוקפה של הוראת השעה  עד ליום כ"ו בחשוון התשפ"ו (17 בנובמבר 2025). </t>
  </si>
  <si>
    <t xml:space="preserve"> (פ/5744/25)</t>
  </si>
  <si>
    <t xml:space="preserve"> (פ/5743/25)</t>
  </si>
  <si>
    <t xml:space="preserve">הצעת חוק הגנת הצרכן (תיקון - ביטול עסקת מכר מרחוק של שירותי תיירות) (הוראת שעה), התשפ"ה-2025</t>
  </si>
  <si>
    <t xml:space="preserve"> (פ/5742/25)</t>
  </si>
  <si>
    <t xml:space="preserve">הצעת חוק לתמיכה ועידוד שילובם של משרתי המילואים בחקלאות ובהתיישבות, התשפ"ה-2025</t>
  </si>
  <si>
    <t xml:space="preserve"> (פ/5741/25)</t>
  </si>
  <si>
    <t xml:space="preserve">הצעת חוק החלת המשפט, השיפוט והמינהל בחבלי הארץ שבריבונות ישראל, התשפ"ה-2025</t>
  </si>
  <si>
    <t xml:space="preserve"> (פ/5738/25)</t>
  </si>
  <si>
    <t xml:space="preserve">הצעת חוק האזרחות והכניסה לישראל (הוראת שעה) (תיקון - גילאים ומצב לחימה), התשפ״ה-2025</t>
  </si>
  <si>
    <t xml:space="preserve"> (פ/5735/25)</t>
  </si>
  <si>
    <t xml:space="preserve">הצעת חוק הדיור המוגן (תיקון - תנאים לביצוע עבודות בנייה בבית הדיור המוגן), התשפ"ה-2025</t>
  </si>
  <si>
    <t xml:space="preserve"> (פ/5734/25)</t>
  </si>
  <si>
    <t xml:space="preserve">הצעת חוק שידור חי של דיונים בבית המשפט העליון, התשפ”ה-2025</t>
  </si>
  <si>
    <t xml:space="preserve"> (פ/5731/25)</t>
  </si>
  <si>
    <t xml:space="preserve">הצעת חוק העונשין (תיקון - הגנה על קטינים מפני עבירות מין), התשפ"ה-2025</t>
  </si>
  <si>
    <t xml:space="preserve"> (פ/5730/25)</t>
  </si>
  <si>
    <t xml:space="preserve">הצעת חוק מסע עדות ומורשת הטבח והגבורה של אירועי 7 באוקטובר (הוראת שעה), התשפ"ה-2025</t>
  </si>
  <si>
    <t xml:space="preserve"> (פ/5729/25)</t>
  </si>
  <si>
    <t xml:space="preserve">הצעת חוק שלילת תמיכות מגופי ספורט בשל קבלת תרומה מישות מדינית זרה תומכת טרור ואיסור פגיעה בכבוד סמלי המדינה באירוע ספורט (תיקוני חקיקה), התשפ"ה-2025</t>
  </si>
  <si>
    <t xml:space="preserve"> (פ/5727/25)</t>
  </si>
  <si>
    <t xml:space="preserve">הצעת חוק הגנת הפרטיות (תיקון - הגדרת שירות בתי הסוהר כרשות ביטחון), התשפ"ה-2025</t>
  </si>
  <si>
    <t xml:space="preserve"> (פ/5726/25)</t>
  </si>
  <si>
    <t xml:space="preserve">הצעת חוק תרומת עוברים, התשפ"ה-2025</t>
  </si>
  <si>
    <t xml:space="preserve"> (פ/5725/25)</t>
  </si>
  <si>
    <t xml:space="preserve">הצעת חוק לתיקון פקודת מס הכנסה (מס נוסף על פנסיה תקציבית), התשפ"ה-2025</t>
  </si>
  <si>
    <t xml:space="preserve"> (פ/5723/25)</t>
  </si>
  <si>
    <t xml:space="preserve">הצעת חוק סדר הדין הפלילי (תיקון - העברת הטיפול בהגשת כתבי אישום בעבירות גביית דמי חסות לתביעה המשטרתית), התשפ"ה-2025</t>
  </si>
  <si>
    <t xml:space="preserve"> (פ/5722/25)</t>
  </si>
  <si>
    <t xml:space="preserve">הצעת חוק איסור הונאה בכשרות (תיקון - כשרות בלבד ובית אוכל הפתוח בשבת), התשפ"ה-2025</t>
  </si>
  <si>
    <t xml:space="preserve"> (פ/5721/25)</t>
  </si>
  <si>
    <t xml:space="preserve"> (פ/5720/25)</t>
  </si>
  <si>
    <t xml:space="preserve">הצעת חוק תגמולים לנפגעי פשיעה חמורה, התשפ"ה-2025</t>
  </si>
  <si>
    <t xml:space="preserve"> (פ/5718/25)</t>
  </si>
  <si>
    <t xml:space="preserve">הצעת חוק עיטור הפציעה הקרבית, התשפ"ה-2025</t>
  </si>
  <si>
    <t xml:space="preserve"> (פ/5717/25)</t>
  </si>
  <si>
    <t xml:space="preserve">הצעת חוק מאבק בארגוני פשיעה (תיקון - הרחבת הנסיבה המחמירה לזיקה לארגון פשיעה), התשפ"ה-2025</t>
  </si>
  <si>
    <t xml:space="preserve"> (פ/5716/25)</t>
  </si>
  <si>
    <t xml:space="preserve">הצעת חוק עסקאות גופים ציבוריים (תיקון - פסילת ספקים בשל מעורבות בפשיעה מאורגנת), התשפ"ה-2025</t>
  </si>
  <si>
    <t xml:space="preserve"> (פ/5715/25)</t>
  </si>
  <si>
    <t xml:space="preserve">הצעת חוק העונשין (תיקון - איסור ביזוי המת), התשפ"ה-2025</t>
  </si>
  <si>
    <t xml:space="preserve"> (פ/5714/25)</t>
  </si>
  <si>
    <t xml:space="preserve">הצעת חוק הביטוח הלאומי (תיקון - תשלום דמי קבורה בעת קבורת נפטר שלא לפי מקום מושבו), התשפ"ה-2025</t>
  </si>
  <si>
    <t xml:space="preserve"> (פ/5713/25)</t>
  </si>
  <si>
    <t xml:space="preserve">הצעת חוק הדואר (תיקון - אישור שימוש בשם בנק הדואר), התשפ"ה-2025</t>
  </si>
  <si>
    <t xml:space="preserve"> (פ/5712/25)</t>
  </si>
  <si>
    <t xml:space="preserve">הצעת חוק קידום הביטחון התזונתי בישראל, התשפ"ה-2025 </t>
  </si>
  <si>
    <t xml:space="preserve"> (פ/5711/25)</t>
  </si>
  <si>
    <t xml:space="preserve">הצעת חוק השיפוט הצבאי (תיקון - בדיקה או חקירה לפני העמדה לדין בעת לחימה), התשפ"ה-2025</t>
  </si>
  <si>
    <t xml:space="preserve"> (פ/5710/25)</t>
  </si>
  <si>
    <t xml:space="preserve">הצעת חוק הפסקת שידורי גלי צה"ל, התשפ"ה-2025 </t>
  </si>
  <si>
    <t xml:space="preserve"> (פ/5709/25)</t>
  </si>
  <si>
    <t xml:space="preserve">הצעת חוק התחרות הכלכלית (תיקון - שינוי דרך מינוי הממונה על התחרות וקביעת תקופת צינון), התשפ"ה-2025</t>
  </si>
  <si>
    <t xml:space="preserve"> (פ/5707/25)</t>
  </si>
  <si>
    <t xml:space="preserve"> (פ/5706/25)</t>
  </si>
  <si>
    <t xml:space="preserve">הצעת חוק שירות המדינה (מינויים) (תיקון - הפסקת כהונת היועץ המשפטי לממשלה), התשפ"ה-2025</t>
  </si>
  <si>
    <t xml:space="preserve"> (פ/5702/25)</t>
  </si>
  <si>
    <t xml:space="preserve">הצעת חוק פיצויים לבעלי עסקים נפגעי עבודות תשתית מתמשכות, התשפ"ה-2025</t>
  </si>
  <si>
    <t xml:space="preserve"> (פ/5700/25)</t>
  </si>
  <si>
    <t xml:space="preserve"> (פ/5698/25)</t>
  </si>
  <si>
    <t xml:space="preserve">הצעת חוק הסדרת הטיפול בחופי הכנרת (תיקון - הפרדת איגוד ערים כנרת מרשות ניקוז ונחלים כנרת), התשפ"ה-2025</t>
  </si>
  <si>
    <t xml:space="preserve"> (פ/5697/25)</t>
  </si>
  <si>
    <t xml:space="preserve">הצעת חוק חדלות פירעון ושיקום כלכלי (תיקון - העלאת סף החובות לניהול הליך ברשות האכיפה והגבייה), התשפ"ה-2025</t>
  </si>
  <si>
    <t xml:space="preserve"> (פ/5696/25)</t>
  </si>
  <si>
    <t xml:space="preserve">הצעת חוק משפחות חיילים שנספו במערכה (תגמולים ושיקום) (תיקון - הרחבת הסיוע של התערבות לרווחה רגשית), התשפ"ה-2025</t>
  </si>
  <si>
    <t xml:space="preserve"> (פ/5695/25)</t>
  </si>
  <si>
    <t xml:space="preserve">הצעת חוק העונשין (תיקון - היזק בזדון לכלי עבודה), התשפ"ה-2025</t>
  </si>
  <si>
    <t xml:space="preserve"> (פ/5694/25)</t>
  </si>
  <si>
    <t xml:space="preserve">הצעת חוק הממשלה (תיקון - דיווח על מצב רפואי של חבר ועדת השרים לענייני ביטחון לאומי), התשפ"ה-2025</t>
  </si>
  <si>
    <t xml:space="preserve"> (פ/5691/25)</t>
  </si>
  <si>
    <t xml:space="preserve"> (פ/5688/25)</t>
  </si>
  <si>
    <t xml:space="preserve">הצעת חוק שעות עבודה ומנוחה (תיקון - קיצור יום עבודה בחודש הרמדאן), התשפ"ה-2025</t>
  </si>
  <si>
    <t xml:space="preserve"> (פ/5687/25)</t>
  </si>
  <si>
    <t xml:space="preserve"> (פ/5686/25)</t>
  </si>
  <si>
    <t xml:space="preserve">הצעת חוק נכי רדיפות הנאצים (תיקון - קביעת אחוזי נכות מינימליים), התשפ"ה-2025</t>
  </si>
  <si>
    <t xml:space="preserve"> (פ/5685/25)</t>
  </si>
  <si>
    <t xml:space="preserve">הצעת חוק הביטוח הלאומי (תיקון - תשלום גמלת סיעוד לרווק או אלמן שהגיע לגיל 75), התשפ"ה-2025</t>
  </si>
  <si>
    <t xml:space="preserve"> (פ/5684/25)</t>
  </si>
  <si>
    <t xml:space="preserve">הצעת חוק לימוד חובה (תיקון - חינוך חינם לגיל הרך), התשפ"ה-2025</t>
  </si>
  <si>
    <t xml:space="preserve"> (פ/5682/25)</t>
  </si>
  <si>
    <t xml:space="preserve">הצעת חוק מס קנייה (טובין ושירותים) (תיקון - מס קצוב על טבק ומוצריו), התשפ"ה-2025</t>
  </si>
  <si>
    <t xml:space="preserve"> (פ/5681/25)</t>
  </si>
  <si>
    <t xml:space="preserve">הצעת חוק הביטוח הלאומי (תיקון - עבודה בגן ילדים כעבודה מועדפת), התשפ"ה-2025</t>
  </si>
  <si>
    <t xml:space="preserve"> (פ/5680/25)</t>
  </si>
  <si>
    <t xml:space="preserve">הצעת חוק לתיקון פקודת התעבורה (חובת הפעלת קווי תחבורה ציבורית ישירים לבתי חולים), התשפ"ה-2025</t>
  </si>
  <si>
    <t xml:space="preserve"> (פ/5678/25)</t>
  </si>
  <si>
    <t xml:space="preserve">הצעת חוק העונשין (תיקון - עבירות זיוף עמוק), התשפ"ה-2025</t>
  </si>
  <si>
    <t xml:space="preserve"> (פ/5677/25)</t>
  </si>
  <si>
    <t xml:space="preserve">הצעת חוק דמי מחלה (היעדרות בשל מחלת בן זוג) (תיקון - הרחבת הזכאויות), התשפ"ה-2025</t>
  </si>
  <si>
    <t xml:space="preserve"> (פ/5676/25)</t>
  </si>
  <si>
    <t xml:space="preserve">הצעת חוק לתיקון פקודת הרוקחים (סימון אזהרה על שמן שיזוף), התשפ"ה-2025 </t>
  </si>
  <si>
    <t xml:space="preserve"> (פ/5675/25)</t>
  </si>
  <si>
    <t xml:space="preserve">הצעת חוק מרשם האוכלוסין (תיקון - הוספת צו הורות לרשימת מסירת העתקים של פסקי דין והצהרות), התשפ"ה-2025</t>
  </si>
  <si>
    <t xml:space="preserve"> (פ/5674/25)</t>
  </si>
  <si>
    <t xml:space="preserve">הצעת חוק סיוע לתושבי הצפון שלא פונו מבתיהם (תיקוני חקיקה), התשפ"ה-2025</t>
  </si>
  <si>
    <t xml:space="preserve"> (פ/5673/25)</t>
  </si>
  <si>
    <t xml:space="preserve">הצעת חוק לתיקון פקודת העיריות (מס' 159) (גמול והחזר הוצאות לחבר המועצה), התשפ"ה-2025 </t>
  </si>
  <si>
    <t xml:space="preserve"> (מ/1855)</t>
  </si>
  <si>
    <t xml:space="preserve">הצעת חוק התמודדות עם תופעת עבירות נשק (תיקוני חקיקה והוראת שעה), התשפ"ה-2025 </t>
  </si>
  <si>
    <t xml:space="preserve"> (מ/1856)</t>
  </si>
  <si>
    <t xml:space="preserve">חוק בתי המשפט (תיקון מס' 105), התשפ"ה-2025</t>
  </si>
  <si>
    <t xml:space="preserve"> (כ/947)</t>
  </si>
  <si>
    <t xml:space="preserve">26.03.2025</t>
  </si>
  <si>
    <t xml:space="preserve">תיקון חוק משלים לחוק-יסוד: השפיטה (תיקון מס' 4), התשפ"ה–2025. בחוק נקבע כי ככלל, לא ימונה שופט שטרם מלאו לו 55 שנים לבית המשפט העליון, אלא אם הוועדה לבחירת שופטים בחרה בו על דעת כל חבריה. בנוסף, נקבע כי שני שלישים לפחות מהשופטים בבית המשפט העליון יהיו שופטים שכיהנו בבית המשפט המחוזי, בשל החשש שימונו לבית המשפט העליון מספר רב של שופטים שאין להם ניסיון בתחומים מגוונים הרלוונטיים לעיסוקם. זאת ועוד, בשל העובדה שנציגי הציבור וחברי הכנסת החברים בוועדה, נבחרים על ידי הקואליציה והאופוזיציה בכנסת, נקבעו בחוק הוראות משלימות להסדרת המצבים בהם שינויים קואליציוניים יובילו לבחירה חדשה של חברי הוועדה. כמו כן, נקבע כי הגמול שיקבלו נציגי הציבור המשמשים כחברים בוועדה לבחירת שופטים, ייקבע בתקנות של שר המשפטים באישור ועדת החוקה, חוק ומשפט.</t>
  </si>
  <si>
    <t xml:space="preserve">חוק-יסוד: השפיטה (תיקון מס' 4) </t>
  </si>
  <si>
    <t xml:space="preserve">תיקון חוק היסוד קובע כי בהרכב הוועדה לבחירת שופטים, במקום שני נציגי לשכת עורכי הדין, יבחרו סיעות הקואליציה וסיעות האופוזיציה, כל אחת בנפרד, שני נציגי ציבור שהם משפטנים שכשירים להתמנות לשופט בית המשפט העליון. בנוסף, תיקון חוק היסוד מעגן את הנוהג לפיו מקרב שני נציגי הכנסת בוועדה, אחד יהיה מסיעות הקואליציה והשני מסיעות האופוזיציה, וכי כל אחד מהם ייבחר על ידי אותן סיעות. הנציגות של הרשות השופטת ושל הממשלה בוועדה לא תשתנה ותורכב משלושה שופטים ושני שרים. כמו כן, בחוק היסוד נקבעו הוראות מיוחדות למצב שבו סיעות הקואליציה מונות יותר מ-80 חברי כנסת. זאת ועוד, חוק היסוד מסדיר כי בתקופת בחירות, או בתקופה שלאחר שהממשלה התפטרה, לא תבחר הוועדה השופטים, וכי החלטות אחרות של הוועדה יתקבלו על דעת כל חבריה. באשר לסדרי עבודת הוועדה וכללי הכרעה בה נקבע כי המניין החוקי בישיבות הוועדה יעמוד על חמישה חברים, וכן נקבע הסדר לעניין הרוב הדרוש להחלטה לעניין בחירת שופט: במינוי שופט לערכאות הנמוכות – בחירת שופט תתקיים ברוב של חמישה חברים בוועדה, ובלבד שהרוב כולל אחד מארבעת נציגי הקואליציה בוועדה (אחד משני השרים, חבר הכנסת מהקואליציה או נציג הציבור שנבחר על-ידי הקואליציה), אחד משני נציגי האופוזיציה בוועדה (חבר הכנסת מהאופוזיציה או נציג הציבור שנבחר על-ידי האופוזיציה) ואחד משלושת השופטים חברי הוועדה. כלל הכרעה זה הינו כלל ההכרעה ה"רגיל" שחל גם על החלטות אחרות של הוועדה, שאינן בחירה בשופטים. במינוי שופט לבית המשפט העליון – בחירת שופט מחייבת רוב של חמישה מחברי הוועדה, הכולל אחד מנציגי הקואליציה ואחד מנציגי האופוזיציה בוועדה, אך ללא צורך בהסכמת אחד השופטים החברים בוועדה.  בנוסף לכללי הכרעה אלו, נקבע בחוק היסוד מנגנון להכרעה במצב של "מבוי סתום" בבחירת שופטים לבית המשפט העליון, שניתן להפעילו פעם אחת בכל כנסת, ורק אם יש שני תקנים פנויים בבית המשפט העליון, שהוועדה לא מצליחה למלא במשך תקופה של שנה מהיום שבו הסתיימה הכהונה של שופט הראשון, או מתחילת כהונת הכנסת, לפי המאוחר. המנגנון מאפשר לנציגי הקואליציה בוועדה להציע שלושה מועמדים מטעמם ומחייב את יתר החברים לבחור מהם מועמד, ונותן אפשרות מקבילה לנציגי האופוזיציה. </t>
  </si>
  <si>
    <t xml:space="preserve">הצעת חוק הקמת שדה תעופה בנבטים (הוראות מיוחדות), התשפ"ה–2025</t>
  </si>
  <si>
    <t xml:space="preserve"> (פ/5120/25)</t>
  </si>
  <si>
    <t xml:space="preserve"> (כ/1105)</t>
  </si>
  <si>
    <t xml:space="preserve">הצעת חוק הרשויות המקומיות (ניהול סיכונים תאגידי), התשפ"ג-2023 </t>
  </si>
  <si>
    <t xml:space="preserve"> (פ/3628/25)</t>
  </si>
  <si>
    <t xml:space="preserve">25.03.2025</t>
  </si>
  <si>
    <t xml:space="preserve">חוק התקציב לשנת הכספים 2025, התשפ"ה-2025 </t>
  </si>
  <si>
    <t xml:space="preserve"> (מ/1821)</t>
  </si>
  <si>
    <t xml:space="preserve">24.03.2025</t>
  </si>
  <si>
    <t xml:space="preserve">החוק קובע כי תקציב ההוצאה לשנת הכספים 2025 יעמוד על 755,906,699,000 שקלים חדשים המורכב מתקציב רגיל בסך 547,406,561,000 שקלים חדשים ומתקציב פיתוח וחשבון הון בסך 208,500,138,000 שקלים חדשים, כי תקציב ההוצאה המותנית בהכנסה יעמוד על 84,593,530,000 שקלים חדשים, וכי שיא כוח האדם יעמוד על 100,964 משרות.</t>
  </si>
  <si>
    <t xml:space="preserve"> (פ/5669/25)</t>
  </si>
  <si>
    <t xml:space="preserve">הצעת חוק תשלומים לפדויי שבי ולחטופים ששוחררו (תיקון - הרחבת הזכאויות לחטופים ששוחררו), התשפ"ה-2025</t>
  </si>
  <si>
    <t xml:space="preserve"> (פ/5668/25)</t>
  </si>
  <si>
    <t xml:space="preserve">הצעת חוק חיוב ספק תכנים בהשקעה בהפקות מקומיות, התשפ"ה-2025</t>
  </si>
  <si>
    <t xml:space="preserve"> (פ/5667/25)</t>
  </si>
  <si>
    <t xml:space="preserve"> (פ/5666/25)</t>
  </si>
  <si>
    <t xml:space="preserve"> (פ/5664/25)</t>
  </si>
  <si>
    <t xml:space="preserve">הצעת חוק למאבק באלימות משטרתית (תיקוני חקיקה), התשפ"ה-2025</t>
  </si>
  <si>
    <t xml:space="preserve"> (פ/5663/25)</t>
  </si>
  <si>
    <t xml:space="preserve">הצעת חוק השיפוט הצבאי (תיקון - דיווח לכנסת על תלונות בגין הטרדות מיניות בצבא הגנה לישראל ועל אופן הטיפול בהן), התשפ"ה-2025</t>
  </si>
  <si>
    <t xml:space="preserve"> (פ/5662/25)</t>
  </si>
  <si>
    <t xml:space="preserve">הצעת חוק לידה שקטה (תיקוני חקיקה), התשפ"ה-2025</t>
  </si>
  <si>
    <t xml:space="preserve"> (פ/5661/25)</t>
  </si>
  <si>
    <t xml:space="preserve"> (פ/5660/25)</t>
  </si>
  <si>
    <t xml:space="preserve">הצעת חוק לתיקון פקודת מס הכנסה (קרן השתלמות לחקלאי שומר שמיטה), התשפ"ה-2025</t>
  </si>
  <si>
    <t xml:space="preserve"> (פ/5659/25)</t>
  </si>
  <si>
    <t xml:space="preserve">הצעת חוק הפיקוח על שירותים פיננסיים (קופות גמל) (תיקון - הוראות לשמירת זכויות פנסיוניות למשרתי מילואים), התשפ"ה-2025</t>
  </si>
  <si>
    <t xml:space="preserve"> (פ/5658/25)</t>
  </si>
  <si>
    <t xml:space="preserve">הצעת חוק הבנקאות (שירות ללקוח) (תיקון - הפצת כרטיסי אשראי של כלל חברות כרטיסי האשראי), התשפ"ה-2025</t>
  </si>
  <si>
    <t xml:space="preserve"> (פ/5657/25)</t>
  </si>
  <si>
    <t xml:space="preserve">הצעת חוק הצבת מכשירי החייאה במקומות ציבוריים (תיקון - חובת הצבת מכשיר החייאה בבניין רב-קומות), התשפ"ה-2025</t>
  </si>
  <si>
    <t xml:space="preserve"> (פ/5656/25)</t>
  </si>
  <si>
    <t xml:space="preserve"> (פ/5655/25)</t>
  </si>
  <si>
    <t xml:space="preserve">הצעת חוק האזרחות (תיקון - אזרחות למי שנולד במדינת אויב), התשפ"ה-2025</t>
  </si>
  <si>
    <t xml:space="preserve"> (פ/5653/25)</t>
  </si>
  <si>
    <t xml:space="preserve">הצעת חוק האזרחות (תיקון - אי-מתן אזרחות לילדו של אדם שנכנס לישראל שלא כדין), התשפ"ה-2025</t>
  </si>
  <si>
    <t xml:space="preserve"> (פ/5652/25)</t>
  </si>
  <si>
    <t xml:space="preserve">הצעת חוק החברות (תיקון - מכסות ייצוג לנשים בדירקטוריונים של חברות ציבוריות), התשפ"ה-2025</t>
  </si>
  <si>
    <t xml:space="preserve"> (פ/5651/25)</t>
  </si>
  <si>
    <t xml:space="preserve">הצעת חוק פיצוי נפגעי אסון טבע (פיצוי בשל נזקים לתשתיות לחקלאות) (תיקון - פיצוי בשל אסונות מעשה ידי אדם), התשפ"ה-2025</t>
  </si>
  <si>
    <t xml:space="preserve"> (פ/5650/25)</t>
  </si>
  <si>
    <t xml:space="preserve">הצעת חוק זכויות התלמיד (תיקון - חופש דת ופולחן דתי לתלמידים במוסדות חינוך), התשפ"ה-2025 </t>
  </si>
  <si>
    <t xml:space="preserve"> (פ/5649/25)</t>
  </si>
  <si>
    <t xml:space="preserve">הצעת חוק ההוצאה לפועל (תיקון מס' 73) (תחליף המצאת התראה וזכות להתגונן בתביעה על סכום קצוב), התשפ"ב-2022</t>
  </si>
  <si>
    <t xml:space="preserve"> (מ/1575)</t>
  </si>
  <si>
    <t xml:space="preserve">לדיון במליאה על החלת דין רציפות</t>
  </si>
  <si>
    <t xml:space="preserve">23.03.2025</t>
  </si>
  <si>
    <t xml:space="preserve">דיור סטודנטים מתוך הצעת חוק למתן הטבות למשרתים במילואים, התשפ"ה-2024</t>
  </si>
  <si>
    <t xml:space="preserve">פטור מאגרה בכניסה לאתרים מתוך הצעת חוק למתן הטבות למשרתים במילואים, התשפ"ה-2024</t>
  </si>
  <si>
    <t xml:space="preserve">סבסוד קייטנות מתוך הצעת חוק למתן הטבות למשרתים במילואים, התשפ"ה-2024</t>
  </si>
  <si>
    <t xml:space="preserve">סעיף 21(1)(א) (היתר לפי תכנית ללא תשריט) מתוך הצעת חוק התוכנית הכלכלית (תיקוני חקיקה ליישום המדיניות הכלכלית לשנת התקציב 2025), התשפ"ה-2024 [פוצל לפי סעיף 84(ב) לתקנון] </t>
  </si>
  <si>
    <t xml:space="preserve">סעיף 21(1)(ב), (5) ו-(6) (הרחבת האפשרות להעביר היתרים לרשויות רישוי ארציות) מתוך הצעת חוק התוכנית הכלכלית (תיקוני חקיקה ליישום המדיניות הכלכלית לשנת התקציב 2025), התשפ"ה-2024 [פוצל לפי סעיף 84(ב) לתקנון]</t>
  </si>
  <si>
    <t xml:space="preserve">סעיפים 21(2), (4) ו-22 (הסמכת רשות רישוי ארצית בשטחים גליליים) מתוך הצעת חוק התוכנית הכלכלית (תיקוני חקיקה ליישום המדיניות הכלכלית לשנת התקציב 2025), התשפ"ה-2024 [פוצל לפי סעיף 84(ב) לתקנון] </t>
  </si>
  <si>
    <t xml:space="preserve">סעיף 24 (הארכת פטור מהיטל השבחה למתקנים פוטו-וולטאים) מתוך הצעת חוק התוכנית הכלכלית (תיקוני חקיקה ליישום המדיניות הכלכלית לשנת התקציב 2025), התשפ"ה-2024 [פוצל לפי סעיף 84(ב) לתקנון] </t>
  </si>
  <si>
    <t xml:space="preserve">הצעת חוק התכנון והבנייה (תיקון מס' 160), התשפ"ה-2024 </t>
  </si>
  <si>
    <t xml:space="preserve"> (מ/1825)</t>
  </si>
  <si>
    <t xml:space="preserve">הצעת חוק התכנון והבנייה (תיקון מס' 161), התשפ"ה-2025 </t>
  </si>
  <si>
    <t xml:space="preserve"> (מ/1832)</t>
  </si>
  <si>
    <t xml:space="preserve">הצעת חוק הקמת שדה תעופה בנבטים, התשפ"ה-2025</t>
  </si>
  <si>
    <t xml:space="preserve"> (פ/5311/25)</t>
  </si>
  <si>
    <t xml:space="preserve">הצעת חוק עבודת נשים (תיקון - הארכת תקופת הלידה וההורות להורי פעוט עם מוגבלות מורכבת), התשפ"ג-2023</t>
  </si>
  <si>
    <t xml:space="preserve"> (פ/3318/25)</t>
  </si>
  <si>
    <t xml:space="preserve">19.03.2025</t>
  </si>
  <si>
    <t xml:space="preserve"> (פ/3018/25)</t>
  </si>
  <si>
    <t xml:space="preserve">חוק התחשבנות בין בתי חולים לקופות חולים (בריאות הנפש), התשפ"ה-2025</t>
  </si>
  <si>
    <t xml:space="preserve">חוק זה עוסק בהתחשבנות לעניין שירותי בריאות הנפש בין קופות החולים ובתי החולים, שכוללים את בתי החולים הפסיכיאטריים, בתי החולים הציבוריים הכלליים שניתנים בהם שירותי אשפוז פסיכיאטרי ובתי חולים מאוחדים –   שהם בית חולים ציבורי כללי ובית חולים פסיכיאטרי שהוכרזו כמאוחדים לעניין חוק זה. הוראות חוק זה יחולו לגבי שירותים שניתנים לקופות החולים במוסדות הפסיכיאטריים מתחילת שנת 2025 ועד סוף שנת 2028, והשרים האמורים הוסמכו להאריך את תוקפו עד שנת 2031, בכפוף לאישור ועדת הבריאות.   לפי החוק, לכל בית חולים ולכל קופת חולים ייקבע בסיס התחשבנות פרטני לגבי שירותי אשפוז פסיכיאטרי, ומידי חודש קופת החולים תהיה חייבת לשלם לבית החולים את החלק ה-12 של אותו בסיס התחשבנות פרטני. אם בית החולים משתייך לרשת, יוכל מנהל אותה רשת לבקש את אישור השרים להורות על חלוקת אחרת של הסכומים בין המוסדות הפסיכיאטריים של הרשת, ואף יוכל להחליט בעצמו כי שיעור של עד 1.9% מהתשלומים שעל קופות החולים להעביר למוסדות הפסיכיאטריים של הרשת יועבר לרשת, כדי שיחולק בתום השנה על ידיו בין המוסדות הפסיכיאטריים שברשת.  בנוסף, נקבע כי משרד הבריאות ישלם לכל בית חולים תוספת תשלום, מתוך סכום שיקבע שר האוצר בצו ושלא יפחת בשנת 2025 מ-60 מיליון ש"ח, שיחולק בין בתי החולים בהתאם לציון שיקבלו במדד לשיפור השירות שנקבע על ידי שר הבריאות.  בחוק מפורטות הוראות לעניין חישוב בסיס ההתחשבנות הפרטני, ושר האוצר ושר הבריאות הוסמכו להגדילו או לשנותו בהתקיים תנאים שפורטו בחוק ואף הוסמכו להקטין את בסיס ההתחשבנות של מוסד פסיכיאטרי מסוים אם יתברר שנגרמה פגיעה באיכות השירות הרפואי בו או במענה הרפואי הכולל שהוא נותן עקב הפחתה או צמצום בשירותי האשפוז הפסיכיאטרי בו, או מכיוון שלא ניתנו בו שירותים ברמה מספקת, כפי שמפורט בחוק, ובמקרה זה הסכום שהופחת מבסיס ההתחשבנות ישולם על ידי קופות החולים למוסדות הפסיכיאטריים לפי ציונם במדד לשיפור השירות. לגבי שירותי מיון פסיכיאטריים, החוק מסמיך את שר הבריאות ושר האוצר לקבוע, אם התקיימו הנסיבות שפורטו בחוק, תקרת צריכה לגבי שירותים כאמור הניתנים בבתי חולים פסיכיאטריים, שבעד צריכת שירותים מעבר לתקרה ישולמו רק 30% מהמחיר המלא.  עוד נקבעו הוראות ותנאים לעניין קביעת הסכם בין קופת חולים לבית חולים  להתחשבנות לעניין אשפוז-בית פסיכיאטרי ולעניין שירותים פסיכיאטרים אמבולטוריים. הוראות חוק זה חלות על שירותים הניתנים למבוטחי קופות החולים וכן למי שנרשם לקבלת שירותי בריאות מקופת החולים בהתאם לתקנות בעניין נמצאים בישראל שאינם מבוטחים.  במסגרת החוק הוטלה על שר הבריאות ושר האוצר חובת דיווח נרחבת לוועדת הבריאות של הכנסת.  </t>
  </si>
  <si>
    <t xml:space="preserve">חוק מסגרות תקציב המדינה (הוראות מיוחדות לשנת 2025) (תיקוני חקיקה), התשפ"ה-2025</t>
  </si>
  <si>
    <t xml:space="preserve">החוק קובע כי בשנת 2025 תעמוד תקרת הגירעון על 4.7% מהתוצר, וכי ההוצאה הממשלתית המותרת תוגדל בכ-70 מיליארד ש"ח, המשקפים גידול של 13.6% ביחס להוצאה התקציבית הבסיסית לשנת 2024. בנוסף, נקבע כי ככל שיוקצו יתרת כספי החירום, תעודכן תקרת הגירעון לשיעור של 4.9%.</t>
  </si>
  <si>
    <t xml:space="preserve">הצעת חוק הכניסה לישראל (תיקון - החמרת ענישה בעבירה של כניסה בלתי חוקית), התשפ"ה-2025 </t>
  </si>
  <si>
    <t xml:space="preserve"> (פ/5606/25)</t>
  </si>
  <si>
    <t xml:space="preserve">הצעת חוק להקפאת כספים ששילמה הרשות הפלסטינית בזיקה לטרור מהכספים המועברים אליה מממשלת ישראל (תיקון - קיזוז כספים בגין פיצוי על נזקי גניבת רכבים), התשפ"ה-2025 </t>
  </si>
  <si>
    <t xml:space="preserve"> (פ/5555/25)</t>
  </si>
  <si>
    <t xml:space="preserve"> (פ/5472/25)</t>
  </si>
  <si>
    <t xml:space="preserve"> (פ/5411/25)</t>
  </si>
  <si>
    <t xml:space="preserve">הצעת חוק יום בריאות הלב, התשפ"ה-2025</t>
  </si>
  <si>
    <t xml:space="preserve"> (פ/5330/25)</t>
  </si>
  <si>
    <t xml:space="preserve">הצעת חוק להקפאת כספים ששילמה הרשות הפלסטינית בזיקה לטרור מהכספים המועברים אליה מממשלת ישראל (תיקון - קיזוז כספים בגין פיצוי על נזקי גניבת רכבים), התשפ"ה-2024 </t>
  </si>
  <si>
    <t xml:space="preserve"> (פ/5219/25)</t>
  </si>
  <si>
    <t xml:space="preserve">הצעת חוק הריסת בתי מחבלים, התשפ"ה-2024</t>
  </si>
  <si>
    <t xml:space="preserve"> (פ/5215/25)</t>
  </si>
  <si>
    <t xml:space="preserve">הצעת חוק החברות (תיקון - מכסות ייצוג לנשים בדירקטוריונים של חברות ציבוריות), התשפ"ד-2024</t>
  </si>
  <si>
    <t xml:space="preserve"> (פ/4733/25)</t>
  </si>
  <si>
    <t xml:space="preserve">הצעת חוק חינוך מיוחד (תיקון - שילוב בתנועות נוער), התשפ"ד-2024</t>
  </si>
  <si>
    <t xml:space="preserve"> (פ/4523/25)</t>
  </si>
  <si>
    <t xml:space="preserve">הצעת חוק משפחות חיילים שנספו במערכה (תגמולים ושיקום) (תיקון - זכויות הסתגלות לאחים שכולים), התשפ"ד-2024</t>
  </si>
  <si>
    <t xml:space="preserve"> (פ/4230/25)</t>
  </si>
  <si>
    <t xml:space="preserve">הצעת חוק המועצה להשכלה גבוהה (תיקון - פטור משכר לימוד לסטודנטים מתחת לקו העוני), התשפ"ג-2022</t>
  </si>
  <si>
    <t xml:space="preserve"> (פ/355/25)</t>
  </si>
  <si>
    <t xml:space="preserve">פרק ח' (השתתפותם של העובדים ובעלי תפקיד בשירות הציבורי, בצעדים לייצוב המצב הפיסקלי במדינה במהלך השנים 2025 ו-2026 (הוראת שעה) מתוך הצעת חוק ההתייעלות הכלכלית (תיקוני חקיקה להשגת יעדי התקציב לשנת התקציב 2025), התשפ"ה-2024 </t>
  </si>
  <si>
    <t xml:space="preserve">17.03.2025</t>
  </si>
  <si>
    <t xml:space="preserve">סעיף 21 (חוק שירות המדינה (גמלאות)) מתוך הצעת חוק ההתייעלות הכלכלית (תיקוני חקיקה להשגת יעדי התקציב לשנת התקציב 2025), התשפ"ה-2024 [פרק ו']</t>
  </si>
  <si>
    <t xml:space="preserve">סעיף 22 (חוק שירות הקבע בצה"ל (גמלאות)) מתוך הצעת חוק ההתייעלות הכלכלית (תיקוני חקיקה להשגת יעדי התקציב לשנת התקציב 2025), התשפ"ה-2024 [פרק ו']</t>
  </si>
  <si>
    <t xml:space="preserve">הצעת חוק איסור הפליה ברישוי מחמת מצב בריאותי (תיקוני חקיקה), התשפ"ה-2024</t>
  </si>
  <si>
    <t xml:space="preserve"> (פ/5024/25)</t>
  </si>
  <si>
    <t xml:space="preserve">הצעת חוק הדחת נציג ציבור התומך במאבק מזוין נגד מדינת ישראל (תיקוני חקיקה), התשפ"ד-2024</t>
  </si>
  <si>
    <t xml:space="preserve"> (פ/4160/25)</t>
  </si>
  <si>
    <t xml:space="preserve">הצעת חוק הרשויות המקומיות (בחירות) (תיקון - מניעת השתתפות של מועמד או של רשימת מועמדים בבחירות), התשפ"ד-2023</t>
  </si>
  <si>
    <t xml:space="preserve"> (פ/4087/25)</t>
  </si>
  <si>
    <t xml:space="preserve">הצעת חוק בתי המשפט (תיקון - תקופת צינון למינוי שופט שכיהן כפרקליט), התשפ"ג- 2023</t>
  </si>
  <si>
    <t xml:space="preserve"> (פ/3702/25)</t>
  </si>
  <si>
    <t xml:space="preserve">סעיף 8(1)-(3), (5), (7)-(9), 9(2), 10(1) ו-14 (הוצאות שלא מותרות בניכוי והגבלת תשלומים במזומן) מתוך הצעת חוק ההתייעלות הכלכלית (תיקוני חקיקה להשגת יעדי התקציב לשנת התקציב 2025), התשפ"ה-2024 </t>
  </si>
  <si>
    <t xml:space="preserve">סעיפים 11 ו-13 (שינוי מודל החשבוניות הפיקטיביות) מתוך הצעת חוק ההתייעלות הכלכלית (תיקוני חקיקה להשגת יעדי התקציב לשנת התקציב 2025), התשפ"ה-2024 </t>
  </si>
  <si>
    <t xml:space="preserve">הצעת חוק איסור צריכת זנות (תיקון - עיגון כהוראת קבע), התשפ"ה-2025</t>
  </si>
  <si>
    <t xml:space="preserve"> (פ/5647/25)</t>
  </si>
  <si>
    <t xml:space="preserve">הצעת חוק לתיקון פקודת המשטרה (מערכת צילום ביומטרית), התשפ"ה-2025</t>
  </si>
  <si>
    <t xml:space="preserve"> (פ/5646/25)</t>
  </si>
  <si>
    <t xml:space="preserve">הצעת חוק עקרונות לפדיון שבויים ונעדרים, התשפ"ה-2025</t>
  </si>
  <si>
    <t xml:space="preserve"> (פ/5645/25)</t>
  </si>
  <si>
    <t xml:space="preserve">הצעת חוק בתי המשפט (תיקון - בוררות חובה בתובענה כספית), התשפ"ה-2025</t>
  </si>
  <si>
    <t xml:space="preserve"> (פ/5644/25)</t>
  </si>
  <si>
    <t xml:space="preserve">הצעת חוק המאבק בסנקציות נגד מדינת ישראל, התשפ"ה-2025</t>
  </si>
  <si>
    <t xml:space="preserve"> (פ/5643/25)</t>
  </si>
  <si>
    <t xml:space="preserve">הצעת חוק איסור מתן היתרי עבודה לתושבי הרשות הפלסטינית, התשפ"ה-2025</t>
  </si>
  <si>
    <t xml:space="preserve"> (פ/5642/25)</t>
  </si>
  <si>
    <t xml:space="preserve">הצעת חוק לביטול הסכם אוסלו, הסכם חברון והסכם ואי, התשפ"ה-2025</t>
  </si>
  <si>
    <t xml:space="preserve"> (פ/5641/25)</t>
  </si>
  <si>
    <t xml:space="preserve"> (פ/5640/25)</t>
  </si>
  <si>
    <t xml:space="preserve">הצעת חוק הביטוח הלאומי (תיקון - עבודה בחינוך וסיוע להוראה או בטיפול בילדים כעבודה מועדפת), התשפ"ה-2025</t>
  </si>
  <si>
    <t xml:space="preserve"> (פ/5639/25)</t>
  </si>
  <si>
    <t xml:space="preserve">הצעת חוק לתיקון מונחים בחקיקה (בית רפואה), התשפ"ה-2025</t>
  </si>
  <si>
    <t xml:space="preserve"> (פ/5638/25)</t>
  </si>
  <si>
    <t xml:space="preserve"> (פ/5637/25)</t>
  </si>
  <si>
    <t xml:space="preserve"> (פ/5636/25)</t>
  </si>
  <si>
    <t xml:space="preserve">הצעת חוק משפחות חיילים שנספו במערכה (תגמולים ושיקום) (תיקון - שלילת הכרה כבן משפחה), התשפ"ה-2025</t>
  </si>
  <si>
    <t xml:space="preserve"> (פ/5635/25)</t>
  </si>
  <si>
    <t xml:space="preserve"> (פ/5634/25)</t>
  </si>
  <si>
    <t xml:space="preserve"> (פ/5633/25)</t>
  </si>
  <si>
    <t xml:space="preserve">הצעת חוק הגנת הצרכן (תיקון - איסור הפעלת השפעה בלתי הוגנת במצב חירום), התשפ"ה-2025</t>
  </si>
  <si>
    <t xml:space="preserve"> (פ/5630/25)</t>
  </si>
  <si>
    <t xml:space="preserve">הצעת חוק לקביעת התאמות לעניין זכויות סוציאליות של עובדים זרים, התשפ"ה-2025</t>
  </si>
  <si>
    <t xml:space="preserve"> (פ/5629/25)</t>
  </si>
  <si>
    <t xml:space="preserve"> (פ/5628/25)</t>
  </si>
  <si>
    <t xml:space="preserve">הצעת חוק לסבסוד תרכובת מזון לתינוקות, התשפ"ה-2025</t>
  </si>
  <si>
    <t xml:space="preserve"> (פ/5627/25)</t>
  </si>
  <si>
    <t xml:space="preserve"> (פ/5626/25)</t>
  </si>
  <si>
    <t xml:space="preserve"> (פ/5623/25)</t>
  </si>
  <si>
    <t xml:space="preserve">הצעת חוק איסור פרסומת ומכירת משקאות אנרגיה לקטינים, התשפ"ה-2025</t>
  </si>
  <si>
    <t xml:space="preserve"> (פ/5622/25)</t>
  </si>
  <si>
    <t xml:space="preserve"> (פ/5621/25)</t>
  </si>
  <si>
    <t xml:space="preserve"> (פ/5620/25)</t>
  </si>
  <si>
    <t xml:space="preserve">פרק ב' (ביטוח לאומי) מתוך הצעת חוק ההתייעלות הכלכלית (תיקוני חקיקה להשגת יעדי התקציב לשנת התקציב 2025), התשפ"ה-2024 </t>
  </si>
  <si>
    <t xml:space="preserve">13.03.2025</t>
  </si>
  <si>
    <t xml:space="preserve">סעיף 16 (דיגיטציה של חשבוניות מס) מתוך הצעת חוק ההתייעלות הכלכלית (תיקוני חקיקה להשגת יעדי התקציב לשנת התקציב 2025), התשפ"ה-2024 </t>
  </si>
  <si>
    <t xml:space="preserve">סעיפים 7-6 (שינוי מבנה ומיזוג) מתוך הצעת חוק ההתייעלות הכלכלית (תיקוני חקיקה להשגת יעדי התקציב לשנת התקציב 2025), התשפ"ה-2024 </t>
  </si>
  <si>
    <t xml:space="preserve">סעיף 10(2) (הרחבת חובת הגשת דיווח מפורט) מתוך הצעת חוק ההתייעלות הכלכלית (תיקוני חקיקה להשגת יעדי התקציב לשנת התקציב 2025), התשפ"ה-2024 </t>
  </si>
  <si>
    <t xml:space="preserve">חוק להסדרת מגורים בשטחי מרעה, התשפ"ה–2025</t>
  </si>
  <si>
    <t xml:space="preserve"> (פ/1001/25)</t>
  </si>
  <si>
    <t xml:space="preserve"> (כ/1076)</t>
  </si>
  <si>
    <t xml:space="preserve">12.03.2025</t>
  </si>
  <si>
    <t xml:space="preserve">החוק מסדיר את הליך ההקמה של מוקד המרעה הכולל את בית המגורים לרועה ולבני משפחתו ואת המבנים החקלאיים, באזורים שבהם נדרשת השמירה הצמודה של הרועה על העדר, באופן הבא:  ראשית, שר החקלאות יכריז על אזור שבו נדרשת שמירה צמודה על העדר משיקולים של ביטחון, שמירה על הסדר הציבורי ושיקולים נוספים, לאחר שקיבל המלצה מהצוות המייעץ וסקירה ממתכנן המחוז (שלב ההכרזה). בשלב הבא, גוף ציבורי שבשטחו עתיד להיות מוקם מוקד המרעה יקדם את ההליך התכנוני שבמסגרתו יקבע המיקום המדויק של מוקד המרעה תוך התחשובת בשיקולים תכונוניים וסביבתיים (שלב התכנון). לבסוף, רשות מקרקעי ישראל תקנה לגוף הציבורי את השטח כאמור לצורך הקמת המבנים הנדרשים למוקד המרעה (השלב הקנייני). כמו כן, לגביי מבנים הקיימים בשטחי מרעה טרם חקיקת חוק זה באזורים שבהם יש צורך בשמירה צמודה, ניתן יהיה לקדם את ההליך התכנוני וההליך הקנייני, ואם יעמדו בתנאים הקבועים בחוק באשר להליכי התכנון והקניין, ניתן יהיה להשאירם תוך ביצוע ההתאמות הנדרשות. </t>
  </si>
  <si>
    <t xml:space="preserve">הצעת חוק משק החשמל (תיקון - טעינת רכב חשמלי באמצעות יישומון תשלום אחוד), התשפ"ה-2025</t>
  </si>
  <si>
    <t xml:space="preserve"> (פ/5452/25)</t>
  </si>
  <si>
    <t xml:space="preserve">הצעת חוק מיסוי מקרקעין (שבח ורכישה) (תיקון - שווי רכישה), התשפ"ה-2025</t>
  </si>
  <si>
    <t xml:space="preserve"> (פ/5417/25)</t>
  </si>
  <si>
    <t xml:space="preserve"> (פ/5395/25)</t>
  </si>
  <si>
    <t xml:space="preserve"> (פ/5377/25)</t>
  </si>
  <si>
    <t xml:space="preserve"> (פ/5322/25)</t>
  </si>
  <si>
    <t xml:space="preserve">הצעת חוק מיסוי מקרקעין (שבח ורכישה) (תיקון - שווי רכישה), התשפ"ה-2024</t>
  </si>
  <si>
    <t xml:space="preserve"> (פ/5223/25)</t>
  </si>
  <si>
    <t xml:space="preserve">הצעת חוק השתתפות המדינה בעלות שכר הלימוד במעון יום למשרתי מילואים, התשפ"ה-2024</t>
  </si>
  <si>
    <t xml:space="preserve"> (פ/5110/25)</t>
  </si>
  <si>
    <t xml:space="preserve">הצעת חוק למניעת חרם חברתי בבתי ספר, התשפ"ד-2024</t>
  </si>
  <si>
    <t xml:space="preserve"> (פ/4738/25)</t>
  </si>
  <si>
    <t xml:space="preserve">הצעת חוק למניעת חרם חברתי בבתי ספר, התשפ"ד-2024 </t>
  </si>
  <si>
    <t xml:space="preserve"> (פ/4737/25)</t>
  </si>
  <si>
    <t xml:space="preserve"> (פ/4520/25)</t>
  </si>
  <si>
    <t xml:space="preserve">הצעת חוק העונשין (תיקון - קביעת עונש מינימום לעבירות יידוי אבנים), התשפ"ג-2023</t>
  </si>
  <si>
    <t xml:space="preserve"> (פ/3568/25)</t>
  </si>
  <si>
    <t xml:space="preserve"> (פ/3329/25)</t>
  </si>
  <si>
    <t xml:space="preserve"> (פ/1986/25)</t>
  </si>
  <si>
    <t xml:space="preserve"> (פ/5392/25)</t>
  </si>
  <si>
    <t xml:space="preserve">11.03.2025</t>
  </si>
  <si>
    <t xml:space="preserve">הצעת חוק חסינות חברי הכנסת, זכויותיהם וחובותיהם (תיקון -אישור הכנסת לפתיחה בהליך פלילי או אזרחי), התשפ"ה-2024</t>
  </si>
  <si>
    <t xml:space="preserve"> (פ/5037/25)</t>
  </si>
  <si>
    <t xml:space="preserve">הצעת חוק הגנת הצרכן (תיקון - איסור התניית תשלום בכרטיס אשראי בסכום רכישה מזערי), התשפ"ג-2023</t>
  </si>
  <si>
    <t xml:space="preserve"> (פ/2343/25)</t>
  </si>
  <si>
    <t xml:space="preserve">הצעת חוק התכנון והבנייה (תיקון - היטלי השבחה במיתקני אגירת אנרגיה), התשפ"ד-2024 </t>
  </si>
  <si>
    <t xml:space="preserve"> (פ/4195/25)</t>
  </si>
  <si>
    <t xml:space="preserve">10.03.2025</t>
  </si>
  <si>
    <t xml:space="preserve"> (פ/5619/25)</t>
  </si>
  <si>
    <t xml:space="preserve">הצעת חוק העונשין (תיקון - הוספת עבירת יחסי מין אסורים בין מטפל בריאותי למטופל), התשפ"ה-2025</t>
  </si>
  <si>
    <t xml:space="preserve"> (פ/5618/25)</t>
  </si>
  <si>
    <t xml:space="preserve">הצעת חוק רואי חשבון (תיקון - מתן רישיון רואה חשבון לעורך דין שהוא יועץ מס), התשפ"ה-2025</t>
  </si>
  <si>
    <t xml:space="preserve"> (פ/5617/25)</t>
  </si>
  <si>
    <t xml:space="preserve">הצעת חוק שיפוט בתי דין רבניים (נישואין וגירושין) (תיקון - סמכות כריכת מזונות ילדים), התשפ"ה-2025</t>
  </si>
  <si>
    <t xml:space="preserve"> (פ/5616/25)</t>
  </si>
  <si>
    <t xml:space="preserve">הצעת חוק התכנון והבנייה (תיקון - הקלה לבניין קיים), התשפ"ה-2025 </t>
  </si>
  <si>
    <t xml:space="preserve"> (פ/5615/25)</t>
  </si>
  <si>
    <t xml:space="preserve">הצעת חוק הכניסה לישראל (תיקון - החמרת הענישה על הסעת שוהים בלתי חוקיים), התשפ"ה-2025</t>
  </si>
  <si>
    <t xml:space="preserve"> (פ/5613/25)</t>
  </si>
  <si>
    <t xml:space="preserve">הצעת חוק החלת החוק הישראלי על כל היישובים היהודיים בשטחי יהודה והשומרון, התשפ"ה-2025</t>
  </si>
  <si>
    <t xml:space="preserve"> (פ/5612/25)</t>
  </si>
  <si>
    <t xml:space="preserve">הצעת חוק חסינות לחיילי צה"ל באירועים מבצעיים, התשפ"ה-2025</t>
  </si>
  <si>
    <t xml:space="preserve"> (פ/5611/25)</t>
  </si>
  <si>
    <t xml:space="preserve">הצעת חוק לתיקון פקודת התעבורה (ביטול חובת קביעת אזורי חניה), התשפ"ה-2025</t>
  </si>
  <si>
    <t xml:space="preserve"> (פ/5610/25)</t>
  </si>
  <si>
    <t xml:space="preserve"> (פ/5608/25)</t>
  </si>
  <si>
    <t xml:space="preserve"> (פ/5605/25)</t>
  </si>
  <si>
    <t xml:space="preserve">הצעת חוק כליאת אסירים ביטחוניים, התשפ"ה-2025</t>
  </si>
  <si>
    <t xml:space="preserve"> (פ/5604/25)</t>
  </si>
  <si>
    <t xml:space="preserve">הצעת חוק איסור העסקת מחבלים משוחררים בשטחי מדינת ישראל, התשפ"ה-2025</t>
  </si>
  <si>
    <t xml:space="preserve"> (פ/5603/25)</t>
  </si>
  <si>
    <t xml:space="preserve">הצעת חוק הכרזה על ארגון "אדוני השממה" כארגון טרור, התשפ"ה-2025</t>
  </si>
  <si>
    <t xml:space="preserve"> (פ/5602/25)</t>
  </si>
  <si>
    <t xml:space="preserve">הצעת חוק מניעת פגיעת גוף שידורים זר בביטחון המדינה (הוראת שעה - חרבות ברזל) (תיקון - ביטול החוק), התשפ"ה-2025</t>
  </si>
  <si>
    <t xml:space="preserve"> (פ/5601/25)</t>
  </si>
  <si>
    <t xml:space="preserve">הצעת חוק סימון פרסומות המכילות תוכן שנוצר או נערך באמצעות בינה מלאכותית (תיקוני חקיקה), התשפ"ה-2025</t>
  </si>
  <si>
    <t xml:space="preserve"> (פ/5600/25)</t>
  </si>
  <si>
    <t xml:space="preserve">הצעת חוק סמכויות להתמודדות עם כלי טיס בלתי מאויש, התשפ"ה-2025</t>
  </si>
  <si>
    <t xml:space="preserve"> (פ/5599/25)</t>
  </si>
  <si>
    <t xml:space="preserve">הצעת חוק לתיקון פקודת העיריות (השתתפות עובדים במשרות אמון במכרזים פומביים לקבלת עובדים), התשפ"ה-2025</t>
  </si>
  <si>
    <t xml:space="preserve"> (פ/5598/25)</t>
  </si>
  <si>
    <t xml:space="preserve">הצעת חוק זכויות הסטודנט (תיקון - זכויות לסטודנטים הלומדים בחוץ לארץ), התשפ"ה-2025</t>
  </si>
  <si>
    <t xml:space="preserve"> (פ/5597/25)</t>
  </si>
  <si>
    <t xml:space="preserve"> (פ/5595/25)</t>
  </si>
  <si>
    <t xml:space="preserve">הצעת חוק ציונות כערך מנחה בפעולות הממשלה, התשפ"ה-2025</t>
  </si>
  <si>
    <t xml:space="preserve"> (פ/5594/25)</t>
  </si>
  <si>
    <t xml:space="preserve">הצעת חוק הגנת הצרכן (תיקון - חובת הצגת מספרי טלפון של מוקדי סיוע לצרכן בכניסה לרשתות שיווק מזון וחנויות), התשפ"ה-2025</t>
  </si>
  <si>
    <t xml:space="preserve"> (פ/5593/25)</t>
  </si>
  <si>
    <t xml:space="preserve">הצעת חוק מס להפחתת גודש התנועה באזור גוש דן (תיקון - פטור ממס לתושבי יישובים סמוכים לאזור גוש דן), התשפ"ה-2025</t>
  </si>
  <si>
    <t xml:space="preserve"> (פ/5591/25)</t>
  </si>
  <si>
    <t xml:space="preserve">הצעת חוק המרכז למורשת יהדות תוניסיה וג'רבה, התשפ"ה-2025</t>
  </si>
  <si>
    <t xml:space="preserve"> (פ/5590/25)</t>
  </si>
  <si>
    <t xml:space="preserve">הצעת חוק הסיוע המשפטי (תיקון - סיוע משפטי למטופל סיעודי), התשפ"ה-2025</t>
  </si>
  <si>
    <t xml:space="preserve"> (פ/5589/25)</t>
  </si>
  <si>
    <t xml:space="preserve">הצעת חוק הביטוח הלאומי (תיקון - ביטול שלילת קצבת שאירים מאלמנות שנישאו שנית), התשפ"ה-2025</t>
  </si>
  <si>
    <t xml:space="preserve"> (פ/5588/25)</t>
  </si>
  <si>
    <t xml:space="preserve">הצעת חוק לתיקון פקודת התעבורה (מס' 139) (רישיון להפעלת מונית חשמלית), התשפ"ה-2025 </t>
  </si>
  <si>
    <t xml:space="preserve"> (מ/1848)</t>
  </si>
  <si>
    <t xml:space="preserve">פרק ז' (חברות ממשלתיות) מתוך הצעת חוק התוכנית הכלכלית (תיקוני חקיקה ליישום המדיניות הכלכלית לשנת התקציב 2025), התשפ"ה-2024 </t>
  </si>
  <si>
    <t xml:space="preserve">09.03.2025</t>
  </si>
  <si>
    <t xml:space="preserve">פרק ז' (הקפאה והפחתה של דמי הבראה בשנת 2025) מתוך הצעת חוק ההתייעלות הכלכלית (תיקוני חקיקה להשגת יעדי התקציב לשנת התקציב 2025), התשפ"ה-2024 </t>
  </si>
  <si>
    <t xml:space="preserve">06.03.2025</t>
  </si>
  <si>
    <t xml:space="preserve">פרק ד' (תשתיות וביוב) מתוך הצעת חוק התוכנית הכלכלית (תיקוני חקיקה ליישום המדיניות הכלכלית לשנת התקציב 2025), התשפ"ה-2024 </t>
  </si>
  <si>
    <t xml:space="preserve">05.03.2025</t>
  </si>
  <si>
    <t xml:space="preserve">חוק הביטוח הלאומי (תיקון מס' 255), התשפ"ה–2025</t>
  </si>
  <si>
    <t xml:space="preserve"> (פ/4821/25)</t>
  </si>
  <si>
    <t xml:space="preserve"> (כ/1091)</t>
  </si>
  <si>
    <t xml:space="preserve">בתיקון זה לחוק הביטוח הלאומי נקבע כי אדם שלפני שירותו במילואים שוחרר משירות קבע, יחולו עליו הוראות פרק י"ב לחוק הביטוח הלאומי והתקנות שנקבעו לפיו, לעניין חישוב תגמול המילואים, כאילו היה עובד בעת שירותו בשירות הקבע, אף שלא התקיימו לגביו יחסי עבודה, אלא אם כן לטובתו הוא שחישוב התגמול ייעשה ללא התייחסות לשירות הקבע. תחילתו של החוק היא ביום 1 ביוני 2025, והוא יחול על תגמול המגיע בעד שירות מילואים שהחל ביום 7 באוקטובר 2023 או אחריו. </t>
  </si>
  <si>
    <t xml:space="preserve">הצעת חוק מעבר צה"ל דרומה (הוראת שעה - העדפת שירותים מהנגב), התשפ"ד-2024</t>
  </si>
  <si>
    <t xml:space="preserve"> (פ/4728/25)</t>
  </si>
  <si>
    <t xml:space="preserve">הצעת חוק זכויות החולה (תיקון - טיפול בזמן סביר), התשפ"ג-2023</t>
  </si>
  <si>
    <t xml:space="preserve"> (פ/3911/25)</t>
  </si>
  <si>
    <t xml:space="preserve">הצעת חוק סדר הדין הפלילי (סמכויות אכיפה – מעצרים) (תיקון מס' 23 – הוראת שעה) (החמרת תנאי שחרור בערובה של חשוד בעבירות חמורות), התשפ"ד–2024</t>
  </si>
  <si>
    <t xml:space="preserve"> (פ/2646/25)</t>
  </si>
  <si>
    <t xml:space="preserve"> (כ/985)</t>
  </si>
  <si>
    <t xml:space="preserve">04.03.2025</t>
  </si>
  <si>
    <t xml:space="preserve">הצעת חוק מניעת העסקת עובד הוראה בעל תואר אקדמי מהרשות הפלסטינית (תיקוני חקיקה), התשפ"ה-2024</t>
  </si>
  <si>
    <t xml:space="preserve"> (פ/5145/25)</t>
  </si>
  <si>
    <t xml:space="preserve">סעיף 17 (חוק גמלאות לנושאי משרה ברשויות השלטון) מתוך הצעת חוק ההתייעלות הכלכלית (תיקוני חקיקה להשגת יעדי התקציב לשנת התקציב 2025), התשפ"ה-2024 [פרק ד']</t>
  </si>
  <si>
    <t xml:space="preserve">סעיף 18 (גמלאות לראש הרשות וסגניו) מתוך הצעת חוק ההתייעלות הכלכלית (תיקוני חקיקה להשגת יעדי התקציב לשנת התקציב 2025), התשפ"ה-2024 [פרק ד']</t>
  </si>
  <si>
    <t xml:space="preserve">הצעת חוק הרשות הלאומית למאבק בעוני, התשפ"ד-2023</t>
  </si>
  <si>
    <t xml:space="preserve"> (פ/4013/25)</t>
  </si>
  <si>
    <t xml:space="preserve">03.03.2025</t>
  </si>
  <si>
    <t xml:space="preserve">הצעת חוק הקמת שדה תעופה בנבטים, התשפ"ה-2024</t>
  </si>
  <si>
    <t xml:space="preserve"> (פ/5235/25)</t>
  </si>
  <si>
    <t xml:space="preserve">חוק נציב תלונות הציבור על שופטים (תיקון מס' 6), התשפ"ה–2025</t>
  </si>
  <si>
    <t xml:space="preserve"> (פ/4691/25)</t>
  </si>
  <si>
    <t xml:space="preserve"> (כ/1058)</t>
  </si>
  <si>
    <t xml:space="preserve">נקבע כי בחירת נציב תלונות הציבור על השופטים תיעשה על ידי ועדה של שבעה חברים, שאלו חבריה: שר המשפטים, שר העבודה, חבר כנסת שתבחר הכנסת או ועדה מוועדותיה, שופט בדימוס שיבחרו שופטי בית המשפט העליון, שופט בדימוס שיבחרו הנשיאים של בתי המשפט המחוזיים, דיין בדימוס שיבחרו שני הרבנים הראשיים לישראל והסניגור הציבורי הארצי. כל אחד מחברי הוועדה יכול להציע עד שני מועמדים לתפקיד, וההחלטה על מינוי נציב תתקבל על דעת רוב החברים המכהנים בוועדה, כלומר, ככלל, ברוב של ארבעה חברים. הוועדה האמורה מוסמכת גם להעביר את הנציב מכהונתו או להשעותו, ברוב של חמישה מחבריה. ההסדר המוצע מחליף את ההסדר הקודם לפיו הנציב נבחר בידי הוועדה לבחירת שופטים, על פי הצעת שר המשפטים ונשיא בית המשפט העליון כאחד.</t>
  </si>
  <si>
    <t xml:space="preserve"> (פ/5587/25)</t>
  </si>
  <si>
    <t xml:space="preserve">הצעת חוק אסדרת חברות שמירה ושירותי אבטחה, התשפ"ה-2025</t>
  </si>
  <si>
    <t xml:space="preserve"> (פ/5586/25)</t>
  </si>
  <si>
    <t xml:space="preserve"> (פ/5583/25)</t>
  </si>
  <si>
    <t xml:space="preserve"> (פ/5582/25)</t>
  </si>
  <si>
    <t xml:space="preserve">הצעת חוק יחסי ממון בין בני זוג (תיקון - הסכמי ממון), התשפ"ה-2025</t>
  </si>
  <si>
    <t xml:space="preserve"> (פ/5581/25)</t>
  </si>
  <si>
    <t xml:space="preserve">הצעת חוק לתיקון פקודת בתי הסוהר (סמכויות חטיבת חלופות הכליאה והפיקוח), התשפ"ה-2025</t>
  </si>
  <si>
    <t xml:space="preserve"> (פ/5580/25)</t>
  </si>
  <si>
    <t xml:space="preserve">הצעת חוק עיגון סמכותו של שר הביטחון למנות ולפטר קצינים בצבא הגנה לישראל, התשפ"ה-2025</t>
  </si>
  <si>
    <t xml:space="preserve"> (פ/5579/25)</t>
  </si>
  <si>
    <t xml:space="preserve">הצעת חוק לתיקון פקודת התעבורה (איסור מתן רישיון נהיגה למסתנן), התשפ"ה-2025</t>
  </si>
  <si>
    <t xml:space="preserve"> (פ/5578/25)</t>
  </si>
  <si>
    <t xml:space="preserve">הצעת חוק משק החשמל (תיקון - תשלומי חשמל מופחתים לעולים בגיל פרישה שלא זכאים להשלמת הכנסה), התשפ"ה-2025</t>
  </si>
  <si>
    <t xml:space="preserve"> (פ/5577/25)</t>
  </si>
  <si>
    <t xml:space="preserve">הצעת חוק דיווח על הליך פלילי נגד תלמיד בעבירת טרור (תיקוני חקיקה), התשפ"ה-2025</t>
  </si>
  <si>
    <t xml:space="preserve"> (פ/5576/25)</t>
  </si>
  <si>
    <t xml:space="preserve">הצעת חוק איסור העברת כספים לרשות תומכת טרור (תיקוני חקיקה), התשפ"ה-2025</t>
  </si>
  <si>
    <t xml:space="preserve"> (פ/5575/25)</t>
  </si>
  <si>
    <t xml:space="preserve">הצעת חוק לביטול אזרחותו או תושבותו של מי שמתגורר בשטח רצועת עזה (תיקוני חקיקה), התשפ"ה-2025</t>
  </si>
  <si>
    <t xml:space="preserve"> (פ/5573/25)</t>
  </si>
  <si>
    <t xml:space="preserve">הצעת חוק עידוד עזיבה מרצון של תושבי יהודה והשומרון, התשפ"ה-2025</t>
  </si>
  <si>
    <t xml:space="preserve"> (פ/5572/25)</t>
  </si>
  <si>
    <t xml:space="preserve">הצעת חוק התכנון והבנייה (תיקון - הנחיות בדבר שיקולי ביטחון לאומי), התשפ"ה-2025</t>
  </si>
  <si>
    <t xml:space="preserve"> (פ/5571/25)</t>
  </si>
  <si>
    <t xml:space="preserve"> (פ/5570/25)</t>
  </si>
  <si>
    <t xml:space="preserve"> (פ/5569/25)</t>
  </si>
  <si>
    <t xml:space="preserve">הצעת חוק עידוד התיישבות בפריפריה, התשפ"ה-2025</t>
  </si>
  <si>
    <t xml:space="preserve"> (פ/5568/25)</t>
  </si>
  <si>
    <t xml:space="preserve">הצעת חוק לתיקון פקודת סדרי השלטון והמשפט (חקיקה באזור באמצעות צו), התשפ"ה-2025 </t>
  </si>
  <si>
    <t xml:space="preserve"> (פ/5567/25)</t>
  </si>
  <si>
    <t xml:space="preserve">הצעת חוק מקרקעין באזור יהודה והשומרון, התשפ"ה-2025</t>
  </si>
  <si>
    <t xml:space="preserve"> (פ/5565/25)</t>
  </si>
  <si>
    <t xml:space="preserve">הצעת חוק הסיוע המשפטי (תיקון - נפגעות ונפגעי הטרדה מינית), התשפ"ה-2025</t>
  </si>
  <si>
    <t xml:space="preserve"> (פ/5564/25)</t>
  </si>
  <si>
    <t xml:space="preserve">הצעת חוק הנכים (תגמולים ושיקום)(תיקון - החזר בשל אובדן הכנסה לבן משפחה של נכה ששוחרר מאשפוז), התשפ"ה-2025</t>
  </si>
  <si>
    <t xml:space="preserve"> (פ/5563/25)</t>
  </si>
  <si>
    <t xml:space="preserve">הצעת חוק עובדים זרים (תיקון - חובת מעסיק לבדיקת אשרה של עובד זר), התשפ"ד-2024</t>
  </si>
  <si>
    <t xml:space="preserve"> (פ/4346/25)</t>
  </si>
  <si>
    <t xml:space="preserve">26.02.2025</t>
  </si>
  <si>
    <t xml:space="preserve">סעיף 9(1) ו-14 (הכרה בהוצאות הכרוכות בהשבחת נכס) מתוך הצעת חוק ההתייעלות הכלכלית (תיקוני חקיקה להשגת יעדי התקציב לשנת התקציב 2025), התשפ"ה-2024 </t>
  </si>
  <si>
    <t xml:space="preserve">25.02.2025</t>
  </si>
  <si>
    <t xml:space="preserve">הצעת חוק מיסוי מקרקעין (שבח ורכישה) (תיקון - ייצוג נישום על ידי רואה חשבון ויועץ מס מייצג), התשפ"ה-2024</t>
  </si>
  <si>
    <t xml:space="preserve"> (פ/5108/25)</t>
  </si>
  <si>
    <t xml:space="preserve">חוק יום לציון מכתב 18 המשפחות היהודיות מגאורגיה, התשפ"ה–2025</t>
  </si>
  <si>
    <t xml:space="preserve"> (פ/3687/25)</t>
  </si>
  <si>
    <t xml:space="preserve"> (כ/1079)</t>
  </si>
  <si>
    <t xml:space="preserve">החוק קובע כי כי מדי שנה, ביום א' בכסלו, יקוים יום לציון מכתבן של 18 המשפחות היהודיות מגאורגיה. ביום זה יתקיים דיון מיוחד במליאת הכנסת וכן יתקיים טקס מרכזי ככל שתחליט על כך הממשלה. כמו כן, במוסדות החינוך תתקיים פעילות חינוכית ערכית בדבר מכתבן של 18 המשפחות היהודיות מגאורגיה, ככל שיחליט על כך שר החינוך. שר המורשת ממונה על ביצוע החוק. </t>
  </si>
  <si>
    <t xml:space="preserve">הצעת חוק הוראות פתיחה באש במרחב החיץ הביטחוני ברצועת עזה, התשפ"ה-2025</t>
  </si>
  <si>
    <t xml:space="preserve"> (פ/5561/25)</t>
  </si>
  <si>
    <t xml:space="preserve">24.02.2025</t>
  </si>
  <si>
    <t xml:space="preserve">הצעת חוק הרשויות המקומיות (פטור חיילים, נפגעי מלחמה ושוטרים מארנונה) (תיקון - פטור מארנונה לחייל מילואים שהוא סטודנט) (הוראת שעה), התשפ"ה-2025</t>
  </si>
  <si>
    <t xml:space="preserve"> (פ/5559/25)</t>
  </si>
  <si>
    <t xml:space="preserve"> (פ/5558/25)</t>
  </si>
  <si>
    <t xml:space="preserve">הצעת חוק העונשין (תיקון - ביטול סעיפי חילוט שטרי כסף מזוייפים וחיפוש וחילוט של ציוד לזיוף), התשפ"ה-2025</t>
  </si>
  <si>
    <t xml:space="preserve"> (פ/5557/25)</t>
  </si>
  <si>
    <t xml:space="preserve">הצעת חוק העונשין (תיקון - נשיאת מאסר במשמורת בקהילה), התשפ"ה-2025</t>
  </si>
  <si>
    <t xml:space="preserve"> (פ/5554/25)</t>
  </si>
  <si>
    <t xml:space="preserve">הצעת חוק לתיקון פקודת התעבורה (השגה וערר על דרישה לתשלום תעריף מוגדל), התשפ"ה-2025</t>
  </si>
  <si>
    <t xml:space="preserve"> (פ/5553/25)</t>
  </si>
  <si>
    <t xml:space="preserve">הצעת חוק התכנון והבנייה (תיקון - הקמת מבנים ארעיים בשטחים חקלאיים), התשפ"ה-2025</t>
  </si>
  <si>
    <t xml:space="preserve"> (פ/5551/25)</t>
  </si>
  <si>
    <t xml:space="preserve">הצעת חוק לתיקון פקודת התעבורה (אי-חידוש רישיון רכב), התשפ"ה-2025</t>
  </si>
  <si>
    <t xml:space="preserve"> (פ/5550/25)</t>
  </si>
  <si>
    <t xml:space="preserve"> (פ/5549/25)</t>
  </si>
  <si>
    <t xml:space="preserve">הצעת חוק הפיקוח על שירותים פיננסיים (ייעוץ, שיווק ומערכת סליקה פנסיוניים) (תיקון - הגבלת עמלת הפצה), התשפ"ה-2025</t>
  </si>
  <si>
    <t xml:space="preserve"> (פ/5548/25)</t>
  </si>
  <si>
    <t xml:space="preserve">הצעת חוק הגבלת פיטורי עובד שהתאלמן בתקופה הסמוכה לפטירת בן הזוג, התשפ"ה-2025</t>
  </si>
  <si>
    <t xml:space="preserve"> (פ/5546/25)</t>
  </si>
  <si>
    <t xml:space="preserve"> (פ/5545/25)</t>
  </si>
  <si>
    <t xml:space="preserve">הצעת חוק הביטוח הלאומי (תיקון - הדרכה בכפר נוער כעבודה מועדפת), התשפ"ה-2025</t>
  </si>
  <si>
    <t xml:space="preserve"> (פ/5544/25)</t>
  </si>
  <si>
    <t xml:space="preserve">הצעת חוק זכויות אחים מטפלים בנכי צה"ל (תיקוני חקיקה), התשפ"ה-2025</t>
  </si>
  <si>
    <t xml:space="preserve"> (פ/5543/25)</t>
  </si>
  <si>
    <t xml:space="preserve">הצעת חוק תשלומים לפדויי שבי ולחטופים ששוחררו (תיקון - זכאות לבן משפחה של חטוף ששוחרר), התשפ"ה-2025 </t>
  </si>
  <si>
    <t xml:space="preserve"> (פ/5542/25)</t>
  </si>
  <si>
    <t xml:space="preserve">הצעת חוק הביטוח הלאומי (תיקון - דמי אשפוז לעצמאים), התשפ"ה-2025 </t>
  </si>
  <si>
    <t xml:space="preserve"> (פ/5541/25)</t>
  </si>
  <si>
    <t xml:space="preserve"> (פ/5540/25)</t>
  </si>
  <si>
    <t xml:space="preserve">הצעת חוק בתי המשפט (תיקון - קביעת מותבים בבית המשפט העליון), התשפ"ה-2025</t>
  </si>
  <si>
    <t xml:space="preserve"> (פ/5539/25)</t>
  </si>
  <si>
    <t xml:space="preserve"> (פ/5538/25)</t>
  </si>
  <si>
    <t xml:space="preserve">הצעת חוק השיפוט הצבאי (תיקון - בדיקה פסיכיאטרית לחשוד או נאשם בעבירות היעדר מן השירות), התשפ"ה-2025</t>
  </si>
  <si>
    <t xml:space="preserve"> (פ/5537/25)</t>
  </si>
  <si>
    <t xml:space="preserve"> (פ/5536/25)</t>
  </si>
  <si>
    <t xml:space="preserve"> (פ/5534/25)</t>
  </si>
  <si>
    <t xml:space="preserve">הצעת חוק לתיקון סדרי הדין (חקירת עדים) (תיקון - מתן עדות שלא בפני הנאשם בעבירת נטילת דמי חסות), התשפ"ה-2025 </t>
  </si>
  <si>
    <t xml:space="preserve"> (פ/5533/25)</t>
  </si>
  <si>
    <t xml:space="preserve">הצעת חוק התכנון והבנייה (תיקון - מתן הקלה לבניין קיים), התשפ"ה-2025 </t>
  </si>
  <si>
    <t xml:space="preserve"> (פ/5531/25)</t>
  </si>
  <si>
    <t xml:space="preserve">הצעת חוק לתיקון פקודת העיריות (שכר לחבר מועצה), התשפ"ה-2025</t>
  </si>
  <si>
    <t xml:space="preserve"> (פ/5530/25)</t>
  </si>
  <si>
    <t xml:space="preserve">הצעת חוק השיפוט הצבאי (תיקון מס' 82) (הארכת משך תחולת החוק לגבי עבירות מין), התשפ"ה-2025 </t>
  </si>
  <si>
    <t xml:space="preserve"> (מ/1837)</t>
  </si>
  <si>
    <t xml:space="preserve">סעיף 25 (הארכת תוקף היתרים שפקעו) מתוך הצעת חוק התוכנית הכלכלית (תיקוני חקיקה ליישום המדיניות הכלכלית לשנת התקציב 2025), התשפ"ה-2024 [פוצל לפי סעיף 84(ב) לתקנון]</t>
  </si>
  <si>
    <t xml:space="preserve">23.02.2025</t>
  </si>
  <si>
    <t xml:space="preserve">סעיף 21(3) ו-(7) (אישור בשתיקה של גורמים מאשרים להיתר) מתוך הצעת חוק התוכנית הכלכלית (תיקוני חקיקה ליישום המדיניות הכלכלית לשנת התקציב 2025), התשפ"ה-2024 [פוצל לפי סעיף 84(ב) לתקנון] </t>
  </si>
  <si>
    <t xml:space="preserve">חוק לייעול האכיפה והפיקוח העירוניים ברשויות המקומיות (הוראת שעה) (תיקון מס' 15), התשפ"ה–2025</t>
  </si>
  <si>
    <t xml:space="preserve">19.02.2025</t>
  </si>
  <si>
    <t xml:space="preserve">החוק לייעול האכיפה והפיקוח העירוניים ברשויות המקומיות נחקק כהוראת שעה בשנת 2011, והחל כפיילוט במספר רשויות מקומיות. מטרת החוק הינה ייעול יכולת הפיקוח והאכיפה של הרשויות המקומיות בעבירות שבתחום אחריותן וכן סיוע למשטרת ישראל בפעולות למניעת אלימות. לשם כך החוק מסמיך פקחים עירוניים ומסדיר את הקמתו של מערך שיטור עירוני. לאורך השנים הוראת השעה הוארכה מספר פעמים ותחולתה הורחבה לרשויות נוספות.  בתיקון מספר 15 לחוק, תוקן סעיף 23, כך שתוקפו של החוק הוארך לתקופת זמן נוספת ועד ליום ב' בניסן התשפ"ה (31 במרץ 2025). </t>
  </si>
  <si>
    <t xml:space="preserve">חוק הכניסה לישראל (תיקון מס' 40), התשפ"ה–2025</t>
  </si>
  <si>
    <t xml:space="preserve"> (פ/2455/25)</t>
  </si>
  <si>
    <t xml:space="preserve"> (כ/1067)</t>
  </si>
  <si>
    <t xml:space="preserve">נקבע כי בנוסף לאיסור על מתן רישיון כניסה או אשרה לישראל הקיים על הקורא לחרם על ישראל, לא יינתנו, ככלל, אשרה ורישיון ישיבה כאמור גם למי שפרסם דברי הכחשת השואה כמשמעותם בחוק איסור הכחשת השואה, למי שפרסם דברי הכחשת טבח ה-7 באוקטובר כמשמעותם בחוק איסור הכחשת טבח 7 באוקטובר, וכן למי שפרסם דברי תמיכה בהעמדה לדין של אזרחים ישראלים במדינת חוץ או בבית דין בין־לאומי בשל פעולות שעשו במסגרת תפקידם בצבא הגנה לישראל או באחת מזרועות הביטחון של מדינת ישראל. </t>
  </si>
  <si>
    <t xml:space="preserve">הצעת חוק לא תעמוד על דם רעך (תיקון - חובה לפעול להחזרת החטופים), התשפ"ה-2024</t>
  </si>
  <si>
    <t xml:space="preserve"> (פ/5195/25)</t>
  </si>
  <si>
    <t xml:space="preserve">הצעת חוק המאבק בטרור (תיקון - החמרה בענישה בשל עבירה שהיא מעשה טרור), התשפ"ד-2024</t>
  </si>
  <si>
    <t xml:space="preserve"> (פ/4870/25)</t>
  </si>
  <si>
    <t xml:space="preserve">הצעת חוק להגנה על אנשי ציבור ישראלים מפני פעילות של בית הדין הפלילי הבין-לאומי בהאג כנגד מדינת ישראל, התשפ"ד-2024</t>
  </si>
  <si>
    <t xml:space="preserve"> (פ/4711/25)</t>
  </si>
  <si>
    <t xml:space="preserve">הצעת חוק ביטוח בריאות ממלכתי (תיקון - החזר דמי נסיעה באמבולנס למי שהגיע לגיל פרישה), התשפ"ג-2023</t>
  </si>
  <si>
    <t xml:space="preserve"> (פ/2817/25)</t>
  </si>
  <si>
    <t xml:space="preserve">הצעת חוק לתיקון פקודת הנמלים (פרק הזמן המרבי למתן שירות מקדים לפריקת מטען מאוניות), התשפ"ג-2023</t>
  </si>
  <si>
    <t xml:space="preserve"> (פ/1585/25)</t>
  </si>
  <si>
    <t xml:space="preserve">סעיף 8(4), (6) ו-12 (חובת דיווח של זירות מקוונות לביצוע עסקאות להשכרת מקרקעין) מתוך הצעת חוק ההתייעלות הכלכלית (תיקוני חקיקה להשגת יעדי התקציב לשנת התקציב 2025), התשפ"ה-2024 </t>
  </si>
  <si>
    <t xml:space="preserve">18.02.2025</t>
  </si>
  <si>
    <t xml:space="preserve">חוק להסדרה של הצבת כוורות, האבקה וייצור דבש, התשפ"ה–2025</t>
  </si>
  <si>
    <t xml:space="preserve"> (מ/1622)</t>
  </si>
  <si>
    <t xml:space="preserve">17.02.2025</t>
  </si>
  <si>
    <t xml:space="preserve">החוק מסדיר הצבה של כוורות, האבקה וייצור דבש באופן מקיף ורחב, בשים לב למאפייניו הייחודיים של ענף הדבש. החוק מחליף את האסדרה הקודמת בתחום, שהייתה מעוגנת בחקיקת משנה בלבד, בצו הפיקוח על מצרכים ושירותים (ייצור דבש ומכירתו), התשל"ז–1977 ובתקנות להשבחת ייצור חקלאי (בעלי חיים) (דבורים), התשכ"ח–1968 (להלן – הדין הקודם). החוק קובע כי סמכויות האסדרה שהיו נתונות בדין הקודם למועצה להאבקה ודבש, שהיא חברה לתועלת הציבור, יועברו למשרד החקלאות וביטחון המזון. בהתאם לכך, תוקם ועדת היתרים שתפעל במסגרת המשרד, שתהיה מוסמכת לקבוע נקודות הצבה במקרקעי ציבור, שבהן ניתן יהיה להציב כוורות וכן היא תהיה מוסמכת לתת היתרים לדבוראים לשם הצבת כוורות מאוכלסות בנקודות ההצבה. הגדרת "מקרקעי ציבור" בחוק כוללת את מקרקעי ישראל ומקרקעין של רשות מקומית, למעט מקום המשמש למגורים והחצר הצמודה אליו. ועדת ההיתרים תורכב משלושה חברים שימנה שר החקלאות וביטחון המזון: שני נציגי המשרד שאחד יכהן כיושב ראש הוועדה, ונציג ציבור שהוא איש סגל אקדמי בכיר, וכן משקיף (ללא זכות הצבעה) מטעם המועצה להאבקה ודבש. בנוסף, אם יתקין השר תקנות בעניין תנאים להכרה בארגון הפועל לקידום עניינם של הדבוראים כארגון יציג, ימונה משקיף נוסף בוועדת ההיתרים מטעם הארגון היציג.  לפי החוק, בשלב הראשון ועדת ההיתרים תקבע את נקודות ההצבה במקרקעי ציבור, כך שהצבה בסוגים מסוימים של מקרקעי ציבור, כמו שמורת טבע או שטח ביטחוני, תחויב באישור של הגורם המוסמך לכך, ובמקרקעי ציבור המוחזקים על ידי בעל היתר מרשות מקרקעי ישראל – לאחר שניתנה למחזיק זכות טיעון. בשלב השני, ועדת ההיתרים תעניק היתרים להצבת כוורות בתום הליך למתן היתרים שיבוצע, ככלל, אחת לשלוש שנים, אך במקרים מסוימים גם בתדירות נמוכה יותר, והיא תפרסם הודעה על קיום ההליך באתר האינטרנט של המשרד. תוקף ההיתר יהיה, ככלל, לשלוש שנים. היתרי ההצבה יינתנו על בסיס היתרים קודמים, תוך התחשבות בצורך במתן ההיתרים למבקשים חדשים ובהקצאה שוויונית של נקודות הצבה ובשים לב לצורך למנוע ככל האפשר ריכוזיות בהחזקת היתרים. זאת ועוד, נקבעו הוראות לעניין אופן הגשת הבקשות למתן היתרים, הסייגים למתן היתר, התנאים בהתקיימם הוועדה רשאית להתלות היתר, לשנותו או לבטלו, וכן המקרים בהם הוועדה רשאית לסרב לתת היתר, כמו למשל אי עמידה של המבקש בהוראות החוק או הרשעות פליליות שלו.  לעניין הצבת כוורות במקרקעין פרטיים שאינה דרושה היתר, החוק קובע כי הצבה כאמור תהיה מחויבת לעמוד בדרישות החוק הנוגעות להצבת כוורות לשם מתן שירותי האבקה במקרקעי ציבור, וכן בעמידה בהוראות התקנות שהשר רשאי להתקין בעניין, אם יותקנו. עוד קובע החוק כי הצבת כוורות מאוכלסות במקרקעי ציבור לשם מתן שירותי האבקה לגידולים חקלאיים אינה טעונה היתר, אך יחולו לגביה כמה תנאים: על המציב להיות דבוראי בעל היתר הצבה במקום אחר ועליו לדווח לוועדת ההיתרים בטרם ההצבה; וכן על ההצבה להיעשות בכפוף לתנאי החוק לעניין תקופת ההצבה, סוגי גידולים המנויים בתוספת לחוק ומספר הכוורות שמותר להציב.  לגבי תפקידיה של המועצה להאבקה ודבש, החוק קובע כי המועצה לא תמלא עוד תפקידים רגולטוריים אלא תעסוק, בין היתר, בקידום הרמה המקצועית של הדבוראים, בייעול שיטות הטיפול בכוורות ובהבטחת אספקה מרוכזת של אמצעי ייצור וביטוח למגדלים. בשל עיגון מעמדה של המועצה ותפקידיה בחוק, מוחלות עליה בחוק חובות שונות, כמו למשל חובות על עובדי המועצה הממלאים תפקידים לפי חוק, בדומה לחובות החלות על עובדי המדינה. כמו כן, נקבע כי שר החקלאות וביטחון המזון רשאי להחליט כי המועצה להאבקה ודבש תספק לוועדת ההיתרים שירותים הדרושים לפעילותה של הוועדה. בנוסף, החוק מסמיך את השר, באישור שר האוצר ובאישור ועדת הכלכלה של הכנסת, לקבוע בתקנות, בתוך שנתיים מיום תחילתו של החוק, היטלים שישולמו למועצה בעבור הצבה. עד לקביעת התקנות, בעל היתר הצבה ישלם למועצה היטל שנתי בסך של 30 שקלים חדשים בעבור כל כוורת.  החוק קובע הוראות מעבר, שלפיהן היתרים שניתנו לפני תחילתו של החוק ובהתאם לדין הקודם, יעמדו בתוקפם עד לקיומו של הליך ראשון למתן היתרים לפי החוק. בנוסף, נקבע כי במשך תקופה של חמש שנים מיום התחילה, ועדת ההיתרים רשאית לתת היתר להצבת כוורות מאוכלסות במקרקעי ציבור גם בהיעדר אישור הגורם המוסמך כאמור, אם במשך שלוש השנים שלפני יום התחילה ניתן היתר הצבה במקרקעין האמורים. כמו כן נקבעו הוראות בנוגע להעברת מידע מהמועצה להאבקה ודבש אל משרד החקלאות בשל סמכויות האסדרה שהיו נתונות לה בדין הקודם. החוק ייכנס לתוקף בתום שנה מיום פרסומו ברשומות, אך שר החקלאות וביטחון המזון רשאי, בצו, באישור ועדת הכלכלה, לדחות את יום התחילה בתקופות נוספות שלא יעלו במצטבר על שנה.  </t>
  </si>
  <si>
    <t xml:space="preserve">הצעת חוק הפיקוח על שירותים פיננסיים (ביטוח) (תיקון - שקיפות, כללי אתיקה וחובת התקשרות עם סוכני ביטוח), התשפ"ה-2025</t>
  </si>
  <si>
    <t xml:space="preserve"> (פ/5529/25)</t>
  </si>
  <si>
    <t xml:space="preserve"> (פ/5528/25)</t>
  </si>
  <si>
    <t xml:space="preserve">הצעת חוק לעידוד השקעות הון (תיקון - מרכזים לוגיסטיים), התשפ"ה-2025</t>
  </si>
  <si>
    <t xml:space="preserve"> (פ/5525/25)</t>
  </si>
  <si>
    <t xml:space="preserve">הצעת חוק הגנה על ריבונות ישראלית והגבלת שיתוף פעולה עם בית הדין הפלילי הבין-לאומי, התשפ"ה-2025</t>
  </si>
  <si>
    <t xml:space="preserve"> (פ/5524/25)</t>
  </si>
  <si>
    <t xml:space="preserve">הצעת חוק הביטוח הלאומי (תיקון - עבודות בתחומי החינוך, התרבות והספורט כעבודות מועדפות), התשפ"ה-2025</t>
  </si>
  <si>
    <t xml:space="preserve"> (פ/5523/25)</t>
  </si>
  <si>
    <t xml:space="preserve">הצעת חוק מערך רפואה מונעת בגוף ביטחוני, התשפ"ה-2025</t>
  </si>
  <si>
    <t xml:space="preserve"> (פ/5522/25)</t>
  </si>
  <si>
    <t xml:space="preserve">הצעת חוק תגמולים לבני משפחה של חטופים ונעדרים בפעולת איבה (תיקון - זכאות לאחר חזרת חטוף או נעדר), התשפ"ה-2025</t>
  </si>
  <si>
    <t xml:space="preserve"> (פ/5521/25)</t>
  </si>
  <si>
    <t xml:space="preserve">הצעת חוק יום הרבי מלובביץ' (ציון פועלו), התשפ"ה-2025</t>
  </si>
  <si>
    <t xml:space="preserve"> (פ/5520/25)</t>
  </si>
  <si>
    <t xml:space="preserve">הצעת חוק שירות הציבור (תקופת חופשה ללא תשלום), התשפ"ה-2025</t>
  </si>
  <si>
    <t xml:space="preserve"> (פ/5519/25)</t>
  </si>
  <si>
    <t xml:space="preserve">הצעת חוק לביטול ההפליה ברכישת מקרקעין ביהודה והשומרון, התשפ"ה- 2025</t>
  </si>
  <si>
    <t xml:space="preserve"> (פ/5518/25)</t>
  </si>
  <si>
    <t xml:space="preserve">הצעת חוק מאבק בארגוני פשיעה (תיקון - החמרת הענישה כנגד ארגוני סחיטה ושחיתות), התשפ"ה-2025</t>
  </si>
  <si>
    <t xml:space="preserve"> (פ/5517/25)</t>
  </si>
  <si>
    <t xml:space="preserve">הצעת חוק הרשויות המקומיות (גמול השתתפות בישיבות והחזר הוצאות לחברי מועצה), התשפ"ה-2025</t>
  </si>
  <si>
    <t xml:space="preserve"> (פ/5516/25)</t>
  </si>
  <si>
    <t xml:space="preserve">הצעת חוק התכנון והבנייה (תיקון - חדרי הנקה בבניינים ציבוריים), התשפ"ה-2025</t>
  </si>
  <si>
    <t xml:space="preserve"> (פ/5514/25)</t>
  </si>
  <si>
    <t xml:space="preserve">הצעת חוק העונשין (תיקון - בעילה אסורה בהסכמה תוך ניצול מעמד ציבורי מיוחד), התשפ"ה-2025</t>
  </si>
  <si>
    <t xml:space="preserve"> (פ/5513/25)</t>
  </si>
  <si>
    <t xml:space="preserve">הצעת חוק דיווח על הליך פלילי בעבירת טרור נגד תלמיד (תיקוני חקיקה), התשפ"ה-2025</t>
  </si>
  <si>
    <t xml:space="preserve"> (פ/5511/25)</t>
  </si>
  <si>
    <t xml:space="preserve">הצעת חוק איסור הפליה במוצרים, בשירותים ובכניסה למקומות בידור ולמקומות ציבוריים (תיקון - איסור הפליה בשל נשיאת נשק), התשפ"ה-2025</t>
  </si>
  <si>
    <t xml:space="preserve"> (פ/5510/25)</t>
  </si>
  <si>
    <t xml:space="preserve">הצעת חוק התגמולים לנפגעי פעולות איבה (תיקון - הארכת מועד לתביעת גמלה והתקופה שבעדה תשולם), התשפ"ה-2025</t>
  </si>
  <si>
    <t xml:space="preserve"> (פ/5509/25)</t>
  </si>
  <si>
    <t xml:space="preserve">הצעת חוק לביטול הפליה ברכישת מקרקעין ביהודה והשומרון, התשפ"ה-2024</t>
  </si>
  <si>
    <t xml:space="preserve"> (פ/5090/25)</t>
  </si>
  <si>
    <t xml:space="preserve">13.02.2025</t>
  </si>
  <si>
    <t xml:space="preserve">הצעת חוק חסינות חברי הכנסת, זכויותיהם וחובותיהם (תיקון - כינוס ועדת האתיקה וסמכויותיה בקשר למסירת מידע לכנסת על ידי שרים), התשפ"ה-2024</t>
  </si>
  <si>
    <t xml:space="preserve"> (פ/5230/25)</t>
  </si>
  <si>
    <t xml:space="preserve">12.02.2025</t>
  </si>
  <si>
    <t xml:space="preserve">הצעת חוק אזור סחר חופשי באילת (פטורים והנחות ממסים) (תיקון - אזור קו עימות) (הוראת שעה - חרבות ברזל), התשפ"ה-2024</t>
  </si>
  <si>
    <t xml:space="preserve"> (פ/5218/25)</t>
  </si>
  <si>
    <t xml:space="preserve">הצעת חוק בתי דין רבניים (הקדשות רבניים), התשפ"ד-2024</t>
  </si>
  <si>
    <t xml:space="preserve"> (פ/4560/25)</t>
  </si>
  <si>
    <t xml:space="preserve">הצעת חוק התכנון והבנייה (תיקון - הקמת ועדה מיוחדת לקידום והסדרת התכנון ביישובים הדרוזים) (הוראת שעה), התשפ"ג-2023</t>
  </si>
  <si>
    <t xml:space="preserve"> (פ/1840/25)</t>
  </si>
  <si>
    <t xml:space="preserve">הצעת חוק יסוד: משאל עם - תיקון</t>
  </si>
  <si>
    <t xml:space="preserve">10.02.2025</t>
  </si>
  <si>
    <t xml:space="preserve">הצעת חוק זכאות לאבחון לקויות למידה לילדים ממשפחות מעוטות יכולת, התשפ"ג-2023</t>
  </si>
  <si>
    <t xml:space="preserve"> (פ/1531/25)</t>
  </si>
  <si>
    <t xml:space="preserve"> (פ/1397/25)</t>
  </si>
  <si>
    <t xml:space="preserve">הצעת חוק להסדרת המגורים בשטחי מרעה, התשפ"ד-2024</t>
  </si>
  <si>
    <t xml:space="preserve"> (פ/4787/25)</t>
  </si>
  <si>
    <t xml:space="preserve">הצעת חוק להסדרת המגורים בשטחי מרעה, התשפ"ג-2023</t>
  </si>
  <si>
    <t xml:space="preserve"> (פ/3551/25)</t>
  </si>
  <si>
    <t xml:space="preserve">הצעת חוק להטמעת מורשת יהדות ספרד והמזרח במערכת החינוך וההשכלה הגבוהה, התשפ"ג-2023</t>
  </si>
  <si>
    <t xml:space="preserve"> (פ/3758/25)</t>
  </si>
  <si>
    <t xml:space="preserve">חוק שירותי תעופה (פיצוי וסיוע בשל ביטול טיסה או שינוי בתנאיה) (תיקון מס' 2 והוראת שעה – חרבות ברזל), התשפ"ה–2025</t>
  </si>
  <si>
    <t xml:space="preserve"> (מ/1755)</t>
  </si>
  <si>
    <t xml:space="preserve">התיקון מסמיך את שר התחבורה והבטיחות בדרכים, לאחר התייעצות עם שר הכלכלה והתעשייה ובאישור ועדת הכלכלה, לקבוע בצו התאמות לעניין חובותיהן של חברות תעופה לפי החוק לתת הטבות לנוסעים, במקרה של ביטול טיסה, איחור במועד המראתה או הקדמתה בעקבות הכרזה על מצב חירום ("מצב מיוחד" בלשון החוק) שנמשך יותר מ-14 ימים. "מצב מיוחד" מוגדר בחוק כמצב מיוחד בעורף, הכרזה על אירוע חירום אזרחי (דוגמת אסון טבע) או מצב חירום בריאותי לפי חוק (דוגמת המצב ששרר עקב מגפת הקורונה).   לפי התיקון, אלה ההתאמות שהשר יהיה רשאי לקבוע בצו כאמור במקרה שבו הוכרז על מצב מיוחד:  -הגבלת מספר הלילות שחברת תעופה תהיה חייבת להלין נוסע שטיסתו בוטלה או שתנאיה שונו, למספר לילות שלא יפחת משני לילות. הפעלת סמכות זו מותנית בכך שהשר שוכנע כי בשל מצב החירום יש פגיעה משמעותית בהיצע של טיסות מישראל ואליה.  -צמצום החובה של חברת תעופה להציע לנוסע כרטיס טיסה חלופי, ובלבד שמדובר בחברת תעופה שהפסיקה לחלוטין את טיסותיה לישראל וממנה. השר יהיה רשאי לקבוע בצו כי על החברה תחול חובה של "ביצוע בקירוב", קרי החובה להציע לנוסע כרטיס טיסה שתנאיו דומים ככל האפשר לתנאים של הטיסה המקורית, ובכלל זה כרטיס טיסה שנקודת המוצע שלה או היעד שלה שונים מהטיסה המקורית, וזאת במטרה לסייע לנוסע להגיע ליעד הנקוב בכרטיס הטיסה המקורי שהונפק לו.  -צמצום תקופת ההודעה מראש על ביטול טיסה או הקדמתה ביותר משמונה שעות, וכן ביטול זכות הנוסע לפיצוי בשל ביטול או הקדמה כאמור, אם שוכנע השר כי בשל מצב החירום יכולת חברות התעופה לתכנן את לוח הטיסות נפגעה באופן משמעותי.  עוד נקבע כי חברות תעופה וסוכנויות נסיעות חייבות להודיע לנוסעים שרכשו כרטיס טיסה לפני קביעת הצו, על ההתאמות בזכויותיהם שנקבעו בצו האמור. בנוסף, התיקון קובע הוראת שעה לעניין מלחמת "חרבות ברזל", שבמסגרתה נקבעו התאמות בהטבות שחברות התעופה מחויבות להעניק לנוסעים עקב ביטול טיסה, איחור במועד המראתה או הקדמתה. לפי הוראת השעה, נוסע שרכש כרטיס טיסה שמועד המראתה היה באחת מתקופות המפורטות להלן (שנקבעו בשל אירועים ביטחוניים משמעותיים שהתרחשו בהן), לא זכאי לפיצוי כספי בשל ביטול הטיסה או הקדמתה: 07.10.23-30.11.23; 12.04.24-18.04.24; 03.08.24-08.08.24; 01.10.24-05.10.24.  עוד נקבע שנוסע שקנה כרטיס טיסה שמועד המראתה הוא בין 01.12.23-29.02.24 לא יהיה זכאי לפיצוי עקב ביטול או הקדמת מועד טיסה, אם חברת התעופה הוכיחה שמסרה לנוסע הודעה על כך 3 ימים מראש.כמו כן, נקבע כי התאמות אלו לא יחולו על תביעות לפיצוי שהוגשו טרם כניסת תיקון זה לתוקף, שבהן החליט בית המשפט כי הנוסע זכאי לפיצוי מכוח החוק. בנוסף נקבע שבמהלך התקופה שבה עומדת בתוקפה ההכרזה על מצב חירום עקב מלחמת "חרבות ברזל", חלה על חברות התעופה שהפסיקו לחלוטין את טיסותיהן לישראל החובה להציע לנוסע כרטיס טיסה שתנאיו דומים ככל האפשר לתנאים של הטיסה המקורית, ובכלל זה כרטיס טיסה שנקודת המוצע שלה או היעד שלה שונים מהטיסה המקורית, או לחלופין להשיב לו את המחיר ששולם בעד כרטיס הטיסה. זאת, במטרה לסייע לנוסע להגיע ליעד הנקוב בכרטיס הטיסה המקורי שהונפק לו.  </t>
  </si>
  <si>
    <t xml:space="preserve">חוק לתיקון פקודת סימני מסחר (מס' 9), התשפ"ה–2025 </t>
  </si>
  <si>
    <t xml:space="preserve"> (מ/1819)</t>
  </si>
  <si>
    <t xml:space="preserve">מטרת החוק המתקן היא להתאים את הוראות פקודת סימני מסחר [נוסח חדש], התשל"ב–1972, למחויבויותיה הבין-לאומיות של מדינת ישראל הנובעות מהפרוטוקול המתייחס להסכם מדריד בנוגע לרישום בין-לאומי של סימני מסחר (להלן – פרוטוקול מדריד), שישראל היא מדינה חברה בו.  פרוטוקול מדריד קובע הליך לרישום בין-לאומי של סימני מסחר, שבהתאם לו בעל הסימן רשאי להגיש למשרד הבין-לאומי של הארגון הבין-לאומי לקניין רוחני בקשה אחת לרישומו של הסימן, ולרשום את סימן המסחר על סמך אותה בקשה בכל המדינות החברות בפרוטוקול כפי שביקש. לאחר רישום סימן המסחר הבין-לאומי, בעל הסימן יכול לעשות פעולות שונות בסימן, כגון שינוי הבעלות בו, באופן מרוכז דרך המשרד הבין-לאומי. מכאן, שרישום סימן מסחר בהתאם להוראות הפרוטוקול חוסך לבעל הסימן זמן ומשאבים משמעותיים. החוק המתקן מתאים את הוראות הדין הישראלי לפרשנות חדשה להוראות פרוטוקול מדריד, שעוגנה בתיקונים לתקנות מכוח הפרוטוקול, בכך שהוא קובע שרישום סימן מסחר בין-לאומי יבוא במקום רישום סימן המסחר הלאומי-הישראלי, גם אם סימן המסחר הבין-לאומי רשום, לעניין ישראל, רק לגבי חלק מהטובין שלגביהם רשום הסימן הלאומי, וזאת לעניין אותם טובין. בנוסף, ובהתאם להוראות פרוטוקול מדריד, החוק המתקן קובע כי ציון החלפה זו בפנקס סימני המסחר ייעשה לבקשת מי שסימן המסחר הלאומי רשום על שמו. הוראותיו האמורות החוק של המתקן, המיטיבות עם ציבור בעלי סימני המסחר, נכנסו לתוקף ב-1.2.2025, כנדרש לפי התיקונים מכוח הפרוטוקול, והן חלות גם לגבי סימן מסחר בין-לאומי שבמועד האמור הייתה תלויה ועומדת לגביו בקשה המייעדת את ישראל. </t>
  </si>
  <si>
    <t xml:space="preserve">הצעת חוק התקשורת (בזק ושידורים) (תיקון - הרשות והמועצה לתקשורת משודרת), התשפ"ה-2025</t>
  </si>
  <si>
    <t xml:space="preserve"> (פ/5506/25)</t>
  </si>
  <si>
    <t xml:space="preserve">הצעת חוק מאבק בארגוני פשיעה (תיקון - הרחבת הענישה על עבירות גניבת רכב כדין ענישה בגין חברות בארגון פשיעה), התשפ"ה-2025</t>
  </si>
  <si>
    <t xml:space="preserve"> (פ/5505/25)</t>
  </si>
  <si>
    <t xml:space="preserve">הצעת חוק עקרונות לפדיון שבויים, התשפ"ה-2025 </t>
  </si>
  <si>
    <t xml:space="preserve"> (פ/5501/25)</t>
  </si>
  <si>
    <t xml:space="preserve"> (פ/5500/25)</t>
  </si>
  <si>
    <t xml:space="preserve">הצעת חוק החלת הריבונות הישראלית על בקעת הירדן, התשפ"ה-2025</t>
  </si>
  <si>
    <t xml:space="preserve"> (פ/5499/25)</t>
  </si>
  <si>
    <t xml:space="preserve">הצעת חוק למניעת הטרדה מינית (תיקון - חשיפת זהותו של מטריד ברשת תקשורת אלקטרונית), התשפ"ה-2025</t>
  </si>
  <si>
    <t xml:space="preserve"> (פ/5498/25)</t>
  </si>
  <si>
    <t xml:space="preserve"> (פ/5497/25)</t>
  </si>
  <si>
    <t xml:space="preserve">הצעת חוק-יסוד: הצבא (תיקון - שמירה על אורח חיים דתי)</t>
  </si>
  <si>
    <t xml:space="preserve"> (פ/5496/25)</t>
  </si>
  <si>
    <t xml:space="preserve">הצעת חוק-יסוד: הצבא (תיקון - עקרונות היסוד של הצבא)</t>
  </si>
  <si>
    <t xml:space="preserve"> (פ/5495/25)</t>
  </si>
  <si>
    <t xml:space="preserve">הצעת חוק העונשין (תיקון - הכרה באינוס גברים), התשפ"ה-2025</t>
  </si>
  <si>
    <t xml:space="preserve"> (פ/5493/25)</t>
  </si>
  <si>
    <t xml:space="preserve"> (פ/5492/25)</t>
  </si>
  <si>
    <t xml:space="preserve">הצעת חוק הביטוח הלאומי (תיקון - שלילת זכויות סוציאליות לאדם שהורשע ברצח או בניסיון לרצח על רקע לאומני), התשפ"ה-2025</t>
  </si>
  <si>
    <t xml:space="preserve"> (פ/5491/25)</t>
  </si>
  <si>
    <t xml:space="preserve">הצעת חוק תשלומים לפדויי שבי ולחטופים ששוחררו (תיקון - זכאות לבן משפחה של חטוף ששוחרר), התשפ"ה-2025</t>
  </si>
  <si>
    <t xml:space="preserve"> (פ/5490/25)</t>
  </si>
  <si>
    <t xml:space="preserve">הצעת חוק-יסוד: הכנסת (תיקון - הפחתת הרוב הדרוש להפסקת חברותו של חבר הכנסת)</t>
  </si>
  <si>
    <t xml:space="preserve"> (פ/5489/25)</t>
  </si>
  <si>
    <t xml:space="preserve">הצעת חוק צער בעלי חיים (הגנה על בעלי חיים) (תיקון - איסור שימוש בבעלי חיים במוסד חינוך או תרבות), התשפ"ה-2025</t>
  </si>
  <si>
    <t xml:space="preserve"> (פ/5488/25)</t>
  </si>
  <si>
    <t xml:space="preserve">הצעת חוק עובדים זרים (תיקון - הגבלת שכר טרחת עורך דין), התשפ"ה-2025</t>
  </si>
  <si>
    <t xml:space="preserve"> (פ/5487/25)</t>
  </si>
  <si>
    <t xml:space="preserve">הצעת חוק המוהלים, התשפ"ה-2025</t>
  </si>
  <si>
    <t xml:space="preserve"> (פ/5486/25)</t>
  </si>
  <si>
    <t xml:space="preserve">הצעת חוק למניעת מפגעים (בטיחות מקררים) (תיקון - ביטול איסור הפקרת מקרר), התשפ"ה-2025</t>
  </si>
  <si>
    <t xml:space="preserve"> (פ/5485/25)</t>
  </si>
  <si>
    <t xml:space="preserve">הצעת חוק-יסוד: הכנסת (תיקון - הצהרת אמונים של חבר הכנסת) </t>
  </si>
  <si>
    <t xml:space="preserve"> (פ/5484/25)</t>
  </si>
  <si>
    <t xml:space="preserve">הצעת חוק הביטוח הלאומי (תיקון - גמלת אבל לעצמאים), התשפ״ה-2025</t>
  </si>
  <si>
    <t xml:space="preserve"> (פ/5483/25)</t>
  </si>
  <si>
    <t xml:space="preserve">הצעת חוק העונשין (תיקון - המאבק בפוליגמיה), התשפ"ה-2025</t>
  </si>
  <si>
    <t xml:space="preserve"> (פ/5482/25)</t>
  </si>
  <si>
    <t xml:space="preserve">הצעת חוק הגנת הצרכן (תיקון - ביטול עסקת מכר מרחוק למתן שירותי תיירות בישראל), התשפ"ה-2025</t>
  </si>
  <si>
    <t xml:space="preserve"> (פ/5481/25)</t>
  </si>
  <si>
    <t xml:space="preserve">הצעת חוק המקרקעין (תיקון - בנייה או הרחבה של מרחב מוגן דירתי לאדם עם מוגבלות), התשפ"ה-2025</t>
  </si>
  <si>
    <t xml:space="preserve"> (פ/5480/25)</t>
  </si>
  <si>
    <t xml:space="preserve">הצעת חוק חסיון שמות ראש המטה הכללי, ראש המוסד למודיעין ולתפקידים מיוחדים וראש שירות הביטחון הכללי, התשפ"ה-2025</t>
  </si>
  <si>
    <t xml:space="preserve"> (פ/5479/25)</t>
  </si>
  <si>
    <t xml:space="preserve">הצעת חוק דרישת פירוט מקורות רכוש בלתי מוסבר מאדם הפעיל בארגון פשיעה, התשפ״ה-2025</t>
  </si>
  <si>
    <t xml:space="preserve"> (פ/5478/25)</t>
  </si>
  <si>
    <t xml:space="preserve">הצעת חוק הוקרה לאזרחים נושאי נשק ברישיון פרטי שהצילו חיים בפיגוע, התשפ"ה-2025</t>
  </si>
  <si>
    <t xml:space="preserve"> (פ/5477/25)</t>
  </si>
  <si>
    <t xml:space="preserve">הצעת חוק-יסוד: רמת הגולן </t>
  </si>
  <si>
    <t xml:space="preserve"> (פ/5476/25)</t>
  </si>
  <si>
    <t xml:space="preserve">הצעת חוק הסיוע המשפטי (תיקון - העמדת סיוע לנפגע פעולות איבה), התשפ"ה-2025</t>
  </si>
  <si>
    <t xml:space="preserve"> (פ/5475/25)</t>
  </si>
  <si>
    <t xml:space="preserve">הצעת חוק ועדת חקירה ממלכתית בגין אירועי 7 באוקטובר ומלחמת חרבות ברזל, התשפ"ה-2025</t>
  </si>
  <si>
    <t xml:space="preserve"> (פ/5474/25)</t>
  </si>
  <si>
    <t xml:space="preserve">חוק הגנה על עובדים בשעת חירום (תיקון מס' 5 והוראת שעה – חרבות ברזל) (תיקון מס' 3), התשפ"ה–2025</t>
  </si>
  <si>
    <t xml:space="preserve"> (מ/1830)</t>
  </si>
  <si>
    <t xml:space="preserve">05.02.2025</t>
  </si>
  <si>
    <t xml:space="preserve">חוק זה מאריך את תוקפה של הוראת השעה הקובעת הגנה לקבוצות מסוימות של עובדים בהקשר של מלחמת חרבות ברזל, עד 30.6.2026, אך קובעת תקופות שונות להחלת ההגנה ביחס לכל קבוצה של עובדים שעליה חלה ההגנה. לגבי עובדים שהם מפונים ובשל כך נעדרים מעבודה או אינם מבצעים אותה, הוארכה תקופת ההגנה עד 6.7.2025, עם אפשרות להארכה בצו לארבעה חודשים בכל פעם, עד 31.12.25. לגבי עובדים שהם בני זוג של חיילים בסדיר או בקבע או של מי שמנויים בסעיף 11 לחוק, שעמם ילד עד גיל 14, וכן לגבי עובד שנאלץ להיעדר או לא לבצע את העבודה לשם השגחה על ילדו שטרם מלאו לו 14 בשל סגירת מוסד החינוך שבו לומד לפי החלטה של הרשות המקומית או מוסד החינוך – הוארכה ההגנה עד 6.7.25 עם אפשרות הארכה בצו, לארבעה חודשים בכל פעם, עד 31.12.25, ואולם כשתסתיים תוקפה של ההכרזה על מצב מיוחד בעורף תפקע ההגנה מפני פיטורים. לגבי עובדים שהם חטופים או שהם בני משפחה של חטוף או נעדר הוארכה ההגנה עד 31.12.2025.  החוק הוסיף לקבוצות המוגנות מפני פיטורים גם עובדים שהם חטופים ששוחררו עד 31.12.25, או שהם בני זוג, הורים, ילדים או אחים של חטוף ששוחרר עד 31.12.25. ההגנה לגביהם תחול במשך שישה חודשים מיום השחרור של החטוף. נוסף על כך, תוקן לחוק תגמולים לבני משפחה של חטופים ונעדרים בפעולת איבה, התשפ"ד-2023 ונקבע בו כי לעניין בן משפחה של חטוף שגופתו הושבה, תימנה תקופת ההגנה מפני פיטורים, הוצאה לחופשה ללא תשלום, ופגיעה בהיקף המשרה או בהכנסה, שנעשו ללא היתר, החל מיום הבאת החטוף לקבורה ולא מיום הפטירה.   </t>
  </si>
  <si>
    <t xml:space="preserve">חוק לתיקון ולהארכת תוקפן של תקנות שעת חירום (חרבות ברזל) (פגישה עם עורך דין של עצור בעבירת ביטחון) (תיקון מס' 5), התשפ"ה-2025 </t>
  </si>
  <si>
    <t xml:space="preserve"> (מ/1833)</t>
  </si>
  <si>
    <t xml:space="preserve">החוק מאריך את תוקפן של תקנות שעת חירום, המאפשרות מניעת פגישה של עצורים ביטחוניים, הקשורים לפעולות האיבה שהתרחשו בין ה-7 באוקטובר לבין ה-13 באוקטובר 2023, או מי שנעצר במסגרת פעולות המלחמה בעזה, עם עורכי הדין שלהם. התקנות יעמדו בתוקף עד ה-31 ביולי 2025.</t>
  </si>
  <si>
    <t xml:space="preserve">חוק לתיקון ולהארכת תוקפן של תקנות שעת חירום (חרבות ברזל) (הארכת מעצר לחשוד בעבירת ביטחון) (תיקון מס' 5), התשפ"ה-2025 </t>
  </si>
  <si>
    <t xml:space="preserve"> (מ/1834)</t>
  </si>
  <si>
    <t xml:space="preserve">החוק מאריך את תוקף תקנות שעת החירום, המאריכות את תקופות המעצרים המפורטות בחוק המעצרים בנוגע לעצור שחשוד בעבירת ביטחון בשל פעולות האיבה שהתרחשו בין יום ה-7 באוקטובר לבין ה-13 באוקטובר 2023, או מי שנעצר במסגרת פעולות המלחמה בעזה. ההארכה שנקבעה בחוק זה היא עד ליום ה-31 ביולי 2025.</t>
  </si>
  <si>
    <t xml:space="preserve">הצעת חוק המרכז לגביית קנסות, אגרות והוצאות (תיקון - חובת איתור חייבים), התשפ"ה-2024</t>
  </si>
  <si>
    <t xml:space="preserve"> (פ/5102/25)</t>
  </si>
  <si>
    <t xml:space="preserve">הצעת חוק נכי רדיפות הנאצים (תיקון - השוואת זכאות לשורדים שעלו אחרי 1 באוקטובר 1953), התשפ"ד-2024</t>
  </si>
  <si>
    <t xml:space="preserve"> (פ/4790/25)</t>
  </si>
  <si>
    <t xml:space="preserve">הצעת חוק החברות (תיקון - פרסום דוחות כספיים של מונופול), התשפ"ד-2024</t>
  </si>
  <si>
    <t xml:space="preserve"> (פ/4424/25)</t>
  </si>
  <si>
    <t xml:space="preserve">הצעת חוק חכירה הוגנת, התשפ"ד-2024</t>
  </si>
  <si>
    <t xml:space="preserve"> (פ/4337/25)</t>
  </si>
  <si>
    <t xml:space="preserve"> (פ/3972/25)</t>
  </si>
  <si>
    <t xml:space="preserve"> (פ/3726/25)</t>
  </si>
  <si>
    <t xml:space="preserve">הצעת חוק העונשין (תיקון - החמרת ענישה בעבירות החזקת נשק שלא כדין), התשפ"ג-2023</t>
  </si>
  <si>
    <t xml:space="preserve"> (פ/1949/25)</t>
  </si>
  <si>
    <t xml:space="preserve">הצעת חוק העונשין (תיקון - הגנה על חושפי שחיתויות ומתריעים בנסיבות ביטחוניות), התשפ"ה-2024</t>
  </si>
  <si>
    <t xml:space="preserve"> (פ/5089/25)</t>
  </si>
  <si>
    <t xml:space="preserve">04.02.2025</t>
  </si>
  <si>
    <t xml:space="preserve">הצעת חוק יום ציון ממלכתי לוועידת סן רמו, התשפ"ג-2023</t>
  </si>
  <si>
    <t xml:space="preserve"> (פ/2996/25)</t>
  </si>
  <si>
    <t xml:space="preserve">הצעת חוק יום ציון ממלכתי לוועידת סן רמו, התשפ''ג-2023</t>
  </si>
  <si>
    <t xml:space="preserve"> (פ/2475/25)</t>
  </si>
  <si>
    <t xml:space="preserve">פרק ג' (גבייה) מתוך הצעת חוק התוכנית הכלכלית (תיקוני חקיקה ליישום המדיניות הכלכלית לשנת התקציב 2025), התשפ"ה-2024 </t>
  </si>
  <si>
    <t xml:space="preserve">הצעת חוק גיל פרישה (הורה שילדו נפטר) (הוראת שעה) (תיקון - הפיכת הוראת שעה להוראה קבועה), התשפ"ד-2024</t>
  </si>
  <si>
    <t xml:space="preserve"> (פ/4410/25)</t>
  </si>
  <si>
    <t xml:space="preserve">סעיפים 9(11) ו-11(2) (היטלי פיתוח) מתוך הצעת חוק התוכנית הכלכלית (תיקוני חקיקה ליישום המדיניות הכלכלית לשנת התקציב 2025), התשפ"ה-2024 [פוצל לפי סעיף 84(ב) לתקנון] </t>
  </si>
  <si>
    <t xml:space="preserve">חוק יום לציון עליית יהודי תימן לישראל ולהנצחת זכרם של הנספים בדרך לישראל, התשפ"ה–2025</t>
  </si>
  <si>
    <t xml:space="preserve"> (פ/4883/25)</t>
  </si>
  <si>
    <t xml:space="preserve"> (כ/1077)</t>
  </si>
  <si>
    <t xml:space="preserve">מדי שנה, ביום ט"ו בכסלו, יקוים יום לציון עליית יהודי תימן לישראל ולהנצחת זכרם של הנספים בדרך ארצה. יום זה יצויין בדיון מיוחד בכנסת. כמו כן, ייערך כנס עיוני בנושא עליית יהודי תימן לישראל והנצחת זכרם של הנספים בדרך, ברוח ערכי המסורת והמורשת של יהדות תימן. במוסדות החינוך תתקיים פעילות חינוכית-ערכית ככל שיחליט על כך שר החינוך.</t>
  </si>
  <si>
    <t xml:space="preserve">הצעת חוק הביטוח הלאומי (תיקון מס' 254) (מועד תשלום דמי לידה), התשפ"ה-2024</t>
  </si>
  <si>
    <t xml:space="preserve"> (פ/4469/25)</t>
  </si>
  <si>
    <t xml:space="preserve"> (כ/1082)</t>
  </si>
  <si>
    <t xml:space="preserve">חוק הגנת הצרכן (תיקון מס' 70), התשפ"ד–2024</t>
  </si>
  <si>
    <t xml:space="preserve"> (פ/4317/25)</t>
  </si>
  <si>
    <t xml:space="preserve"> (כ/1004)</t>
  </si>
  <si>
    <t xml:space="preserve">03.02.2025</t>
  </si>
  <si>
    <t xml:space="preserve">החוק נועד להתמודד עם העלאת מחירים באופן חריג ומשמעותי לאחר הכרזה על מצב חירום. מצב חירום מוגדר כאחד מאלה: מצב מיוחד בעורף, מצב של אירוע חירום אזרחי או מצב חירום שנקבע לפי חוק לשם התמודדות עם מחלה מידבקת מסוכנת. החוק קובע כי אם הוכרז על מצב חירום, ושר הכלכלה והתעשייה שוכנע כי יש חשש ממשי שעוסקים ינצלו את מצב החירום כדי להעלות מחירים של טובין ושירותים חיוניים, הוא רשאי, בהתייעצות עם שר האוצר, להכריז הכרזה על איסור השפעה בלתי הוגנת במצב חירום. החוק קובע כי בתקופת תוקפה של הכרזה זו עוסק לא יציע, יציג או ימכור לצרכן שירות או טובין המנויים ברשימה כאמור, במחיר העולה באופן ניכר וחריג על מחירו הממוצע בשלושת החודשים שקדמו להכרזה על מצב חירום.  לעניין המוצרים והשירותים שעליהם יחולו הוראות אלו, החוק קובע כי בתקופת תוקפה של הכרזה על איסור השפעה בלתי הוגנת במצב חירום, הממונה על הגנת הצרכן והסחר ההוגן והממונה על התקציבים במשרד האוצר יהיו מוסמכים לקבוע רשימה של טובין ושירותים חיוניים, שתפורסם ברשומות, וכן יהיו מוסמכים לעדכן את הרשימה. רשימה זו תיקבע בהתחשב במאפייניו ובנסיבותיו של מצב החירום שעליו יוכרז. מחלוקת בין שני הגורמים הללו ביחס להכללת טובין או שירות מסוים ברשימה, תובא להכרעתו של נציג ציבור שימונה על ידי שר האוצר ושר הכלכלה והתעשייה, אך לא יהיה בכך כדי למנוע פרסום של רשימת הטובין והשירותים שיש לגביהם הסכמה.  לצד איסור העלאת מחירים בעת מצב חירום נקבעו בחוק חריגים שבהם לא יראו עוסק שביצע את האמור לעיל כמי שהפעיל השפעה בלתי הוגנת. לדוגמה: מקרים שבהם העלאת המחיר נעשתה לפי דין או לפי הסכם בין עוסק לצרכן, שנחתם טרם ההכרזה על מצב חירום או מקרים שבהם העלייה במחיר השירות או הטובין נובעת מהתייקרות העלויות שבהן העוסק נדרש לשאת כדי לספק את השירות או הטובין. לצורך אכיפת הוראות החוק הוסמך הממונה על הצרכן והסחר ההוגן להוציא צו מינהלי להפסקת הפרה לפי סעיף 21ג לחוק לעוסק שהפעיל השפעה בלתי הוגנת בנסיבות כאמור, וכן להטיל עיצומים כספיים על עוסק שיפר את הצו המינהלי. העיצום הכספי אותו מוסמך הממונה להטיל אינו סכום קצוב מהסכומים המנויים בחוק הגנת הצרכן, אלא שיעור מתוך מחזור המכירות של המפר.  </t>
  </si>
  <si>
    <t xml:space="preserve">הצעת חוק לקביעת תקציב למרכזי ההנצחה - מרכז בגין, מרכז רבין ומכון למורשת בן-גוריון (תיקוני חקיקה), התשפ"ה-2025</t>
  </si>
  <si>
    <t xml:space="preserve"> (פ/5473/25)</t>
  </si>
  <si>
    <t xml:space="preserve">הצעת חוק מניעת סיוע הומניטרי לאויב, התשפ"ה-2025</t>
  </si>
  <si>
    <t xml:space="preserve"> (פ/5471/25)</t>
  </si>
  <si>
    <t xml:space="preserve"> (פ/5469/25)</t>
  </si>
  <si>
    <t xml:space="preserve"> (פ/5468/25)</t>
  </si>
  <si>
    <t xml:space="preserve">הצעת חוק הביטוח הלאומי (תיקון - מטרות המוסד, מינוי מנהל ופיקוח פרלמנטרי על מאזן ודוח כספי), התשפ"ה-2025</t>
  </si>
  <si>
    <t xml:space="preserve"> (פ/5467/25)</t>
  </si>
  <si>
    <t xml:space="preserve"> (פ/5465/25)</t>
  </si>
  <si>
    <t xml:space="preserve">הצעת חוק עובדים זרים (תיקון - אי-תחולת הסדר פנסיוני על עובד זר המועסק אצל יחיד בענף הסיעוד), התשפ"ה-2025</t>
  </si>
  <si>
    <t xml:space="preserve"> (פ/5464/25)</t>
  </si>
  <si>
    <t xml:space="preserve">הצעת חוק הגנה על מתחם הר הבית, התשפ"ה-2025</t>
  </si>
  <si>
    <t xml:space="preserve"> (פ/5462/25)</t>
  </si>
  <si>
    <t xml:space="preserve">הצעת חוק עידוד שירות צבאי, לאומי או לאומי-אזרחי במוסדות להשכלה גבוהה, התשפ"ה-2025</t>
  </si>
  <si>
    <t xml:space="preserve"> (פ/5461/25)</t>
  </si>
  <si>
    <t xml:space="preserve">הצעת חוק יסוד: רמת הגולן</t>
  </si>
  <si>
    <t xml:space="preserve"> (פ/5459/25)</t>
  </si>
  <si>
    <t xml:space="preserve">הצעת חוק לעידוד השקעות הון (תיקון - פעילות ייצורית הכוללת אריזה), התשפ"ה-2025</t>
  </si>
  <si>
    <t xml:space="preserve"> (פ/5458/25)</t>
  </si>
  <si>
    <t xml:space="preserve">הצעת חוק לצמצום הריכוזיות בענף הפרסום במדיה, התשפ"ה-2025</t>
  </si>
  <si>
    <t xml:space="preserve"> (פ/5455/25)</t>
  </si>
  <si>
    <t xml:space="preserve">הצעת חוק שירותי תעופה (פיצוי וסיוע בשל ביטול טיסה או שינוי בתנאיה) (תיקון - התאמת השירות והפיצוי לצורכי הלקוח), התשפ"ה-2025</t>
  </si>
  <si>
    <t xml:space="preserve"> (פ/5454/25)</t>
  </si>
  <si>
    <t xml:space="preserve">הצעת חוק הבנקאות (שירות ללקוח) (תיקון - הודעה ללקוח בדבר הטלת עיקול על חשבונו), התשפ"ה-2025</t>
  </si>
  <si>
    <t xml:space="preserve"> (פ/5453/25)</t>
  </si>
  <si>
    <t xml:space="preserve"> (פ/5451/25)</t>
  </si>
  <si>
    <t xml:space="preserve">הצעת חוק הפיקוח הפרלמנטרי, התשפ"ה-2025</t>
  </si>
  <si>
    <t xml:space="preserve"> (פ/5450/25)</t>
  </si>
  <si>
    <t xml:space="preserve"> (פ/5449/25)</t>
  </si>
  <si>
    <t xml:space="preserve"> (פ/5448/25)</t>
  </si>
  <si>
    <t xml:space="preserve">הצעת חוק החזקת תכשיר אפינפרין במוסדות חינוך ובמקומות ציבוריים (תיקון - החזקת תכשיר אפינפרין בכלי טיס וברכבות), התשפ"ה-2025</t>
  </si>
  <si>
    <t xml:space="preserve"> (פ/5447/25)</t>
  </si>
  <si>
    <t xml:space="preserve">הצעת חוק גירוש מיידי של מסתננים התומכים במשטר מדינתם, התשפ"ה-2025</t>
  </si>
  <si>
    <t xml:space="preserve"> (פ/5446/25)</t>
  </si>
  <si>
    <t xml:space="preserve"> (פ/5445/25)</t>
  </si>
  <si>
    <t xml:space="preserve"> (פ/5444/25)</t>
  </si>
  <si>
    <t xml:space="preserve">הצעת חוק איסור לשון הרע (תיקון - פיצוי בגין האשמות שווא בדבר פשעי מלחמה), התשפ"ה-2025</t>
  </si>
  <si>
    <t xml:space="preserve"> (פ/5443/25)</t>
  </si>
  <si>
    <t xml:space="preserve"> (פ/5442/25)</t>
  </si>
  <si>
    <t xml:space="preserve">הצעת חוק חינוך טכנולוגי חובה, התשפ"ה-2025</t>
  </si>
  <si>
    <t xml:space="preserve"> (פ/5441/25)</t>
  </si>
  <si>
    <t xml:space="preserve"> (פ/5440/25)</t>
  </si>
  <si>
    <t xml:space="preserve"> (פ/5439/25)</t>
  </si>
  <si>
    <t xml:space="preserve">הצעת חוק הסדרת העיסוק בייעוץ השקעות, בשיווק השקעות ובניהול תיקי השקעות (תיקון - לקוח כשיר), התשפ"ה-2025</t>
  </si>
  <si>
    <t xml:space="preserve"> (פ/5438/25)</t>
  </si>
  <si>
    <t xml:space="preserve">הצעת חוק הנגישות הלשונית, התשפ"ה-2025</t>
  </si>
  <si>
    <t xml:space="preserve"> (פ/5437/25)</t>
  </si>
  <si>
    <t xml:space="preserve">הצעת חוק שירות המדינה (מינויים) (תיקון - שקיפות בתהליך קבלה לעבודה), התשפ"ה-2025</t>
  </si>
  <si>
    <t xml:space="preserve"> (פ/5436/25)</t>
  </si>
  <si>
    <t xml:space="preserve">הצעת חוק איסור שהייה וישיבה בישראל שלא כדין (תיקוני חקיקה), התשפ"ה–2025</t>
  </si>
  <si>
    <t xml:space="preserve"> (פ/4476/25)</t>
  </si>
  <si>
    <t xml:space="preserve"> (כ/1086)</t>
  </si>
  <si>
    <t xml:space="preserve">סעיף 9(10) (פרסום התקשרויות רבעוני) מתוך הצעת חוק התוכנית הכלכלית (תיקוני חקיקה ליישום המדיניות הכלכלית לשנת התקציב 2025), התשפ"ה-2024 [פוצל לפי סעיף 84(ב) לתקנון]</t>
  </si>
  <si>
    <t xml:space="preserve">02.02.2025</t>
  </si>
  <si>
    <t xml:space="preserve">סעיפים 9(1), (2), (8), (9) ו-11(1) (הרכב ועדת המכרזים) מתוך הצעת חוק התוכנית הכלכלית (תיקוני חקיקה ליישום המדיניות הכלכלית לשנת התקציב 2025), התשפ"ה-2024 [פוצל לפי סעיף 84(ב) לתקנון] </t>
  </si>
  <si>
    <t xml:space="preserve">סעיף 9(3) עד (5) (ועדות המועצה) מתוך הצעת חוק התוכנית הכלכלית (תיקוני חקיקה ליישום המדיניות הכלכלית לשנת התקציב 2025), התשפ"ה-2024 [פוצל לפי סעיף 84(ב) לתקנון] </t>
  </si>
  <si>
    <t xml:space="preserve">הנחה בתשלומי ארנונה, חשמל ומים מתוך הצעת חוק למתן הטבות למשרתים במילואים, התשפ"ה-2024</t>
  </si>
  <si>
    <t xml:space="preserve">29.01.2025</t>
  </si>
  <si>
    <t xml:space="preserve">קיזוז 5% בניכוי מס במקור מתוך הצעת חוק למתן הטבות למשרתים במילואים, התשפ"ה-2024</t>
  </si>
  <si>
    <t xml:space="preserve">נקודות זיכוי מתוך הצעת חוק למתן הטבות למשרתים במילואים, התשפ"ה-2024</t>
  </si>
  <si>
    <t xml:space="preserve">חוק רישוי עסקים (תיקון מס' 39), התשפ"ה–2025</t>
  </si>
  <si>
    <t xml:space="preserve"> (פ/3567/25)</t>
  </si>
  <si>
    <t xml:space="preserve"> (כ/1062)</t>
  </si>
  <si>
    <t xml:space="preserve">נקבע פטור מחובת רישוי עסקים לקייטנות של תנועות נוער, ארגוני נוער וחוגי סיור שעומדים בתנאים הבאים- ראשית, הקייטנה מנוהלת על ידי גוף נתמך על ידי משרד החינוך או על ידי גוף נתמך כחוג סיור. שנית, הפעילות בקייטנה היא המשך של הפעילות החינוכית של אותו גוף במהלך השנה. לבסוף, היא פועלת באתר של גופים ציבוריים כגון בתי ספר, גני ילדים או מבנים של רשות מקומית שמיועדים לפעילות חינוכית או באתר הקבע של אותו גוף. </t>
  </si>
  <si>
    <t xml:space="preserve">הצעת חוק הסיוע המשפטי (תיקון - העמדת סיוע לנפגע פעולות איבה), התשפ"ה-2024</t>
  </si>
  <si>
    <t xml:space="preserve"> (פ/5183/25)</t>
  </si>
  <si>
    <t xml:space="preserve">הצעת חוק תמיכה בביטחון תזונתי אצל תינוקות, התשפ"ה-2024</t>
  </si>
  <si>
    <t xml:space="preserve"> (פ/5123/25)</t>
  </si>
  <si>
    <t xml:space="preserve">הצעת חוק הביטוח הלאומי (תיקון - שיפוי המעסיק על הפרשות פנסיוניות בעד עובדו המשרת במילואים בנסיבות חירום) (הוראת שעה - חרבות ברזל), התשפ"ד- 2024</t>
  </si>
  <si>
    <t xml:space="preserve"> (פ/4229/25)</t>
  </si>
  <si>
    <t xml:space="preserve">הצעת חוק שירותי רווחה (זכויות נשים ששהו במקלט לנשים מוכות) (תיקון - זכות למגורים בדיור ציבורי), התשפ"ג-2023</t>
  </si>
  <si>
    <t xml:space="preserve"> (פ/3126/25)</t>
  </si>
  <si>
    <t xml:space="preserve">הצעת חוק לתיקון פקודת המכס (איסור השמדת טובין חבי מכס), התשפ"ג-2023</t>
  </si>
  <si>
    <t xml:space="preserve"> (פ/2991/25)</t>
  </si>
  <si>
    <t xml:space="preserve"> (פ/2885/25)</t>
  </si>
  <si>
    <t xml:space="preserve">הצעת חוק לתיקון פקודת המכס (איסור השמדת טובין חבי מכס), התשפ"ג-2022</t>
  </si>
  <si>
    <t xml:space="preserve"> (פ/308/25)</t>
  </si>
  <si>
    <t xml:space="preserve">הצעת חוק תמיכה בביטחון תזונתי אצל תינוקות, התשפ"ג-2022</t>
  </si>
  <si>
    <t xml:space="preserve"> (פ/25/25)</t>
  </si>
  <si>
    <t xml:space="preserve">סעיף 1(3)-(ג), סעיף קטן (א2) המוצע; סעיף 1(3)-(ה) ההגדרה "הכנסה חייבת" המוצעת; וסעיף 4(ג) מתוך הצעת חוק ההתייעלות הכלכלית (תיקוני חקיקה להשגת יעדי התקציב לשנת התקציב 2025) (הקפאת עדכוני מס ומס יסף), התשפ"ה-2024 (מס יסף על השבח) </t>
  </si>
  <si>
    <t xml:space="preserve"> (מ/1799)</t>
  </si>
  <si>
    <t xml:space="preserve">28.01.2025</t>
  </si>
  <si>
    <t xml:space="preserve">פטור מתשלום אגרות רישום ורישוי מתוך הצעת חוק למתן הטבות למשרתים במילואים, התשפ"ה-2024</t>
  </si>
  <si>
    <t xml:space="preserve">חוק הכללת אמצעי זיהוי ביומטריים ונתוני זיהוי ביומטריים במסמכי זיהוי ובמאגר מידע (תיקון מס' 6), התשפ"ה-2025</t>
  </si>
  <si>
    <t xml:space="preserve"> (מ/1745)</t>
  </si>
  <si>
    <t xml:space="preserve">החוק קובע הסדרים הנוגעים לסמכויות האיסוף והשימוש באמצעי זיהוי ביומטריים. בין ההסדרים- הסמכת איש ביטחון כהגדרתו בחוק הטיס וממונה ביטחון או מאבטח שמונה לפי חוק להסדרת הביטחון של גופים מסויימים ליטול אמצעי זיהוי ביומטריים. בהתאם לכך, בנתב״ג, במעברים היבשתיים ובטיסות נכנסות לישראל של חברות ישראליות בחו"ל יוצבו מכונות אוטומטיות (אמצעי ממוכן) לבדיקה בטחונית באמצעות תווי פנים, תוך שמירה על ביטחון המידע והפרטיות.החוק קובע כי יתבצע  זיהוי בפני בעל תפקיד במקרה ובו בשל גיל או מוגבלות, נמנע מאדם להשתמש באמצעי הממוכן. בנוסף, קובע החוק כי צפייה בתמונת תווי פנים השמורה בשבב מסמך הזיהוי תחשב כשימוש מותר, תוך הטלת איסור על שמירתה שדין הפרתו מאסר שלוש שנים. זאת, על מנת לשפר יכולת זיהוי בביצוע עסקאות בין פרטים. לבסוף, מוצע כי רש״ת והגוף המוסמך ליטול אמצעי זיהוי בחו״ל ידווחו לשר התחבורה מדי שנה על נטילת טביעות אצבע לשם זיהוי בשדות תעופה בארץ ובטיסות של חברות תעופה ישראליות בחו"ל, וכן על נסיונות התחזות שדווחו למשטרה, והוא ידווח על כך לכנס</t>
  </si>
  <si>
    <t xml:space="preserve">חוק לתיקון פקודת הרוקחים (מס' 38), התשפ"ה–2025</t>
  </si>
  <si>
    <t xml:space="preserve">חוק זה מסדיר מקצוע חדש של טכנאי בית מרקחת. עיסוק כטכנאי בית מרקחת יתאפשר למי שנרשם במרשם טכנאי בית מרקחת שינוהל במשרד הבריאות, ועמד בתנאי כשירות המפורטים בחוק, וביניהם: השכלה של 12 שנות לימוד, שליטה בעברית ובאנגלית ועמידה בהכשרה עיונית והכשרה מעשית. החוק קובע מקרים שבהם יימחק טכנאי בית מרקחת מהמרשם. טכנאי בית המרקחת יוכל לבצע תפקידים של הרחפה ומזיגה של תכשיר, מסירה של תכשיר מרשם או של תכשיר ללא מרשם רק לאחר שניתן למטופל ייעוץ רוקחי על ידי רוקח, וכן מסירה של תכשיר מרשם קבוע אך זאת רק בתנאי שזו מסירה חוזרת למטופל בתוך שנה מאז שהתכשיר נופק למטופל על ידי רוקח. שר הבריאות הוסמך, באישור וועדת הבריאות, לקבוע תפקידים נוספים שיבוצעו על ידי טכנאי בית מרקחת.  לפי החוק, בעל בית מרקחת לא יעסיק יותר מ-3 טכנאי בית מרקחת לכל רוקח שהוא מעסיק באותה משמרת, אך בבתי מרקחת של בתי חולים מסוימים בהם מתבצעות פעולות רקיחה במעבדה או בבתי מרקחת פרטיים שעיקר עיסוקם בהכנות רוקחיות – יהיה היחס של עד חמישה טכנאים לכל רוקח.  החוק קובע הוראות לעניין ניהול מרשם טכנאי בית מרקחת ומחיקה מהמרשם, וכן קובע כי אם המנהל הכללי של משרד הבריאות מצא שיש סיכון ממשי לפגיעה בבריאות הציבור בשל פעילות טכנאי בית מרקחת הוא רשאי בהחלטה מנומקת לאסור לגבי בית מרקחת מסויים על העסקת טכנאי לביצוע הפעולות המותרות או לקבוע העסקה בתנאים, לתקופה מסוימת.  נוסף על כך, החוק מאפשר למנכ"ל משרד הבריאות לאשר לרוקח לשמש רוקח אחראי לשני בתי מרקחת התנאים המפורטים בחוק ובכפוף לכך שמצא כי אין בכך כדי לפגוע בניהולם התקין של בתי המרקחת. החוק קובע כי החובות להחזקת תכשירים בתנאים נאותים יחולו גם על עסק למכירת תכשירים ללא מרשם במכונות אוטומטיות. החוק מסמיך רוקח לתקן טעות במרשם, מבלי ליצור קשר עם נותן המרשם, אך זאת רק אם התיקון במרשם נדרש לשם השלמת פרטים במרשם המנויים בחוק, בלבד.  </t>
  </si>
  <si>
    <t xml:space="preserve">חוק משפחות חיילים שנספו במערכה (תגמולים ושיקום) (תיקון מס' 46), התשפ"ה–2025</t>
  </si>
  <si>
    <t xml:space="preserve"> (פ/4585/25)</t>
  </si>
  <si>
    <t xml:space="preserve"> (כ/1078)</t>
  </si>
  <si>
    <t xml:space="preserve">חוק זה קובע הגנות בתעסוקה בשנת האבל הראשונה לגבי עובד שהוא בן משפחה של נספה לפי חוק משפחות חיילים שנספו במערכה או של מי שמת כתוצאה מפגיעת איבה.  מיהו העובד המוגן: ההגדרה "בן משפחה" תכלול, נוסף לאלמנים והורים שכולים, יתומים ואחים בכל גיל. ההגנה תחול בהתאם להוראות שבחוק גם על ארוסה של הנספה (אף אם טרם הוכרה זכאותה לתגמול והטבות) וגם על הורהו האחר של יתום של הנפטר שטרם מלאו לו 18 שנים או על  אפוטרופוס או אומן של היתום כאמור, שהודיעו למעסיק על הזיקה לנפטר. ואולם ההגנה לא תחול לגבי מעסיק שהוא יחיד (ולא תאגיד) אם העובד הזכאי להגנה הוא העובד היחידי שלו.  ההגנה בתקופה של שלושת החודשים הראשונים לאחר הפטירה הדוקה יותר: אסור לפטר את העובד המוגן, אסור לפגוע בהכנסתו (למעט פגיעה שנובעת משינוי בדין או משינוי בתפוקת העבודה שמקורה אינו במעסיק) ואסור לפגוע בהיקף משרתו - למעט שינוי זמני שהעובד יזם בשל מצבו הרפואי או המשפחתי. בתקופה זו רק בנסיבות חמורות התלויות בעובד, או כשעסקו של המעסיק חדל לפעול באופן סופי, המעסיק יוכל לבקש מועדת תעסוקה לתת היתר לפיטורים. במקרה שעסקו של המעסיק חדל לפעול באופן זמני בנסיבות שאינן תלויות במעסיק והשפיעו על כל העובדים בו המעסיק יוכל לבקש היתר זמני לפגיעה בהיקף המשרה עד לחידוש הפעילות בעסק - ובלבד שהשינוי אינו כרוך בפגיעה בהכנסה.  בתקופה שמתום שלושת חודשים שלאחר הפטירה ועד תום השנה הראשונה לפטירה נאסר לפטר את העובד המוגן או להוציאו לחל"ת, ואולם ועדת תעסוקה תוכל להתיר את הפיטורים או לתת היתר להוצאה לחל"ת אם התקיימו התנאים לכך בנסיבות המפורטות בחוק.  אם העובד המוגן בחר להתפטר בשנת האבל הראשונה, הוא יהיה זכאי לפיצויי הפיטורים שהיה זכאי להם אילו פוטר, והתפטרות זו תיחשב כמוצדקת לעניין מועד תחילת הזכאות לדמי אבטלה.  עובד מוגן יוכל לקבל סיוע משפטי ללא מבחן הכנסה בהליך כנגד מעסיקו בבית הדין לעבודה או בוועדת תעסוקה, בקשר להגנה שבחוק או בקשר לקבלת פיצויי פיטורים. כמו כן במקרה של הפרה ניתן להטיל עיצום כספי, וזאת בנוסף לאפשרות להגיש תביעה לבית הדין לעבודה. </t>
  </si>
  <si>
    <t xml:space="preserve">הצעת חוק להפחתת סכום הפיצוי הכספי בשל נסיעה ללא תיקוף כרטיס בתחבורה ציבורית (תיקוני חקיקה), התשפ"ג-2023</t>
  </si>
  <si>
    <t xml:space="preserve"> (פ/3766/25)</t>
  </si>
  <si>
    <t xml:space="preserve">27.01.2025</t>
  </si>
  <si>
    <t xml:space="preserve"> (פ/3696/25)</t>
  </si>
  <si>
    <t xml:space="preserve">הצעת חוק לתיקון פקודת מס הכנסה (קרן השתלמות לחקלאי שומר שמיטה), התשפ"ה-2024</t>
  </si>
  <si>
    <t xml:space="preserve"> (פ/5279/25)</t>
  </si>
  <si>
    <t xml:space="preserve">הצעת חוק לתיקון פקודת מס הכנסה (קרן השתלמות לחקלאי שומר שמיטה), התשפ"ד-2024</t>
  </si>
  <si>
    <t xml:space="preserve"> (פ/4756/25)</t>
  </si>
  <si>
    <t xml:space="preserve">חוק להנצחת זכרו של מרן הרב עובדיה יוסף, התשפ"ה-2025</t>
  </si>
  <si>
    <t xml:space="preserve"> (פ/452/25)</t>
  </si>
  <si>
    <t xml:space="preserve"> (כ/980)</t>
  </si>
  <si>
    <t xml:space="preserve">החוק קובע הוראות לעניין הנצחת זכרו של מרן הרב עובדיה יוסף זצ"ל, בין השאר בקביעת יום ציון לזכרו, בקיום פעילויות חינוכיות-ערכיות וטקסים במוסדות המדינה וכן קיום לימוד ופעילויות כאמור בבתי הספר, ככל שיחליט על כך שר החינוך; עוד מאפשר החוק מתן מלגות למחקר ומתן תמיכות למוסדות ציבור הפועלים להגשמת מטרותיו. תוקם מועצה ציבורית אשר תייעץ לשר לשירותי דת הממונה על החוק, בכל הנוגע ליישומו. עיריית ירושלים רשאית להקים בתחומה תאגיד עירוני שישמש מרכז הנצחה לפועלו ולמורשתו של הרב עובדיה יוסף. </t>
  </si>
  <si>
    <t xml:space="preserve">חוק לתיקון פקודת בתי הסוהר (מס' 68), התשפ"ה–2025</t>
  </si>
  <si>
    <t xml:space="preserve">פקודת בתי הסוהר [נוסח חדש], התשל"ב–1971 מקנהלסוהר את הסמכויות המסורות לשוטר בנוגע למעצר בלא צו ולעיכוב חשוד במקום לפי חוק סדר הדין הפלילי (סמכויות אכיפה – מעצרים), התשנ"ו–1996, בעת מילוי תפקידו ולצורך כך, בתחום בית הסוהר וסביבתו, מתקניו שמחוץ לתחומיו וסביבתם, וכן בעת ליווי אסיר מחוץ לבית הסוהר או בעת רדיפה אחרי אסיר נמלט. במסגרת תיקון מס' 68, נקבע כי סמכויותיו של סוהר, בעת מילוי תפקידו ולצורך מילוי תפקידו, בסביבתם הקרובה של בית הסוהר או של מתקני שירות בתי הסוהר שמחוץ לתחומיו, יורחבו כך שיכללו גם סמכויות אלה: מתן הוראה סבירה לאדם המונע מסוהר לבצע את תפקידו, דרישת הזדהות מאדם, עריכת חיפוש על גופו של אדם או בכלי תחבורה תוך שימוש בכוח סביר במקרה של סירוב ותפיסת חפץ לשם שמירה על ביטחון בית הסוהר והשוהים בו. כמו כן מוסדרת חובת הזדהות מצד הסוהר בעת שימוש בסמכויותיו. עוד נקבע, כי סמכויות אלו, יהיו נתונות לסוהר גם בעת ליווי אסיר מחוץ לבית הסוהר או בעת רדיפה אחר אסיר נמלט, ולסוהר הנמנע עם יחידת ההתערבות והליווי המרכזית או היחידה המיוחדת להשתלטות על אסירים בעת שהוא מאבטח עובד של שירות בתי הסוהר, ובלבד שהפעלתן תעשה כלפי אדם שיש חשד סביר כי הוא עומד לסכן את האסיר, למלטו, להעביר לו חפץ אסור מסוכן או לפגוע בסוהר. </t>
  </si>
  <si>
    <t xml:space="preserve">חוק הביטוח הלאומי (תיקון מס' 254), התשפ"ה-2025 </t>
  </si>
  <si>
    <t xml:space="preserve"> (מ/1831)</t>
  </si>
  <si>
    <t xml:space="preserve">החוק מאפשר למוסד לביטוח לאומי להעניק לנפגעים מהשבעה באוקטובר ולבני משפחות הנספים מהשבעה באוקטובר, גם אם אינם תושבי ישראל, את ההטבות הסוציאליות שנקבעו בהסכם לפי סעיף 9 בין המדינה ובין המוסד לביטוח לאומי המאמץ את המלצות הוועדה הציבורית בעניין. </t>
  </si>
  <si>
    <t xml:space="preserve"> (פ/5435/25)</t>
  </si>
  <si>
    <t xml:space="preserve"> (פ/5434/25)</t>
  </si>
  <si>
    <t xml:space="preserve">הצעת חוק לתיקון פקודת סדר הדין הפלילי (מעצר וחיפוש) (חיפוש שלא על פי צו חיפוש) (הארכת הוראת השעה), התשפ"ה-2025 </t>
  </si>
  <si>
    <t xml:space="preserve"> (פ/5432/25)</t>
  </si>
  <si>
    <t xml:space="preserve">הצעת חוק הפיקוח על שירותים פיננסיים (ייעוץ, שיווק ומערכת סליקה פנסיוניים) (תיקון - חובת ייעוץ או שיווק פנסיוני בעת משיכת כספים שלא כדין), התשפ"ה-2025</t>
  </si>
  <si>
    <t xml:space="preserve"> (פ/5430/25)</t>
  </si>
  <si>
    <t xml:space="preserve">הצעת חוק הגנה על ישראלים מפני מוסדות בין-לאומיים עוינים, התשפ״ה-2025</t>
  </si>
  <si>
    <t xml:space="preserve"> (פ/5428/25)</t>
  </si>
  <si>
    <t xml:space="preserve"> (פ/5427/25)</t>
  </si>
  <si>
    <t xml:space="preserve">הצעת חוק שיקים ללא כיסוי (תיקון - הודעה על אי-כיבוד הרשאה לחיוב חשבון), התשפ"ה-2025</t>
  </si>
  <si>
    <t xml:space="preserve"> (פ/5426/25)</t>
  </si>
  <si>
    <t xml:space="preserve"> (פ/5425/25)</t>
  </si>
  <si>
    <t xml:space="preserve">הצעת חוק תקשורת דיגיטלית עם גופים ציבוריים (תיקון - אישור קבלה ועדכון על מצב הטיפול בפנייה), התשפ"ה-2025</t>
  </si>
  <si>
    <t xml:space="preserve"> (פ/5422/25)</t>
  </si>
  <si>
    <t xml:space="preserve">הצעת חוק-יסוד: משק המדינה (תיקון - סנקציה לאי-עמידה בזמני הגשת התקציב)</t>
  </si>
  <si>
    <t xml:space="preserve"> (פ/5421/25)</t>
  </si>
  <si>
    <t xml:space="preserve">הצעת חוק להסדרת הביטחון בגופים ציבוריים (תיקון - אבטחה במוסדות להשכלה גבוהה), התשפ"ה-2025</t>
  </si>
  <si>
    <t xml:space="preserve"> (פ/5419/25)</t>
  </si>
  <si>
    <t xml:space="preserve">הצעת חוק זכויות הסטודנט (תיקון - איסור הפליה מחמת מוגבלות), התשפ"ה-2025</t>
  </si>
  <si>
    <t xml:space="preserve"> (פ/5418/25)</t>
  </si>
  <si>
    <t xml:space="preserve">הצעת חוק הביטוח הלאומי (תיקון - חישוב התגמול לעצמאים בשירות מילואים), התשפ"ה-2025</t>
  </si>
  <si>
    <t xml:space="preserve"> (פ/5416/25)</t>
  </si>
  <si>
    <t xml:space="preserve">הצעת חוק תוספת ימי היעדרות והרחבת התקופה המוגנת מפני פיטורים לבן זוג של משרת מילואים (תיקוני חקיקה), התשפ"ה-2025</t>
  </si>
  <si>
    <t xml:space="preserve"> (פ/5414/25)</t>
  </si>
  <si>
    <t xml:space="preserve"> (פ/5413/25)</t>
  </si>
  <si>
    <t xml:space="preserve">הצעת חוק לתיקון פקודת התעבורה (פיצוי בשל איחור אוטובוס), התשפ"ה-2025</t>
  </si>
  <si>
    <t xml:space="preserve"> (פ/5409/25)</t>
  </si>
  <si>
    <t xml:space="preserve">הצעת חוק סיוע למשפחות נרצחי מאורעות 7 באוקטובר, התשפ"ה-2025</t>
  </si>
  <si>
    <t xml:space="preserve"> (פ/5408/25)</t>
  </si>
  <si>
    <t xml:space="preserve">הצעת חוק הגנת השכר (תיקון - תלוש שכר אחיד בשירות המדינה), התשפ"ה-2025</t>
  </si>
  <si>
    <t xml:space="preserve"> (פ/5406/25)</t>
  </si>
  <si>
    <t xml:space="preserve"> (פ/5405/25)</t>
  </si>
  <si>
    <t xml:space="preserve"> (פ/5404/25)</t>
  </si>
  <si>
    <t xml:space="preserve">הצעת חוק חסינות חברי הכנסת, זכויותיהם וחובותיהם (תיקון - ביקור במוסדות ציבוריים), התשפ"ה-2025</t>
  </si>
  <si>
    <t xml:space="preserve"> (פ/5403/25)</t>
  </si>
  <si>
    <t xml:space="preserve">הצעת חוק מס ערך מוסף (תיקון - פטור ממס על תשר), התשפ"ה-2024</t>
  </si>
  <si>
    <t xml:space="preserve"> (פ/4947/25)</t>
  </si>
  <si>
    <t xml:space="preserve">22.01.2025</t>
  </si>
  <si>
    <t xml:space="preserve"> (פ/4901/25)</t>
  </si>
  <si>
    <t xml:space="preserve">חוק לשכת עורכי הדין (תיקון מס' 45), התשפ"ה–2025</t>
  </si>
  <si>
    <t xml:space="preserve"> (פ/3787/25)</t>
  </si>
  <si>
    <t xml:space="preserve"> (כ/1075)</t>
  </si>
  <si>
    <t xml:space="preserve">בחוק זה נקבעו מספר שינויים באופן הגבייה והשימוש בדמי החבר והאגרות שמטילה לשכת עורכי הדין על ציבור עורכי הדין. ראשית, נקבע כי תשלומי חובה ייגבו רק לשם ביצוע התפקידים ופעולות הליבה של הלשכה הקבועים בחוק, כגון רישוי ואתיקה. לתשלומים אלו יתווספו 150% שייגבו גם כן באופן מחייב במסגרת דמי החבר. לצד זאת, יוכלו הלשכה ומחוזותיה לגבות תשלומי רשות שנתיים או לצורך עניין מסוים. שנית, נקבעו הוראות מפורטות לעניין חלוקת התקציב שמתקבל מציבור עורכי הדין, בין הלשכה הראשית לבין המחוזות. שלישית, נקבעו הוראות שנועדו לחזק את העצמאות התקציבית של המחוזות, וביניהן נקבע כי הלשכה לא תוכל לקזז חובות של המחוזות מתשלומים שהיא חייבת להעביר להם, ולא תוכל להשתמש ברזרבות שנותרו בתקציבי המחוזות ללא הסכמתם. רביעית, נקבע כי תינתן הנחה של 50% בדמי החבר למשרתי המילואים. חמישית, נקבע לעניין תחולת החוק שמרבית הוראות החוק יחולו משנת הכספים 2026, מלבד הפחתה של 20% בדמי החבר, שתחול כבר משנת 2025.</t>
  </si>
  <si>
    <t xml:space="preserve">הצעת חוק ועדת חקירה ממלכתית בגין אירועי 7 באוקטובר ומלחמת חרבות ברזל, התשפ"ה-2024 </t>
  </si>
  <si>
    <t xml:space="preserve"> (פ/5000/25)</t>
  </si>
  <si>
    <t xml:space="preserve">הצעת חוק הרחבת לימודי הבסיס בחינוך שאינו ממלכתי (הוראת שעה), התשפ"ג-2023</t>
  </si>
  <si>
    <t xml:space="preserve"> (פ/3795/25)</t>
  </si>
  <si>
    <t xml:space="preserve">הצעת חוק החלת הריבונות הישראלית על בקעת הירדן, התשפ"ג-2023</t>
  </si>
  <si>
    <t xml:space="preserve"> (פ/2975/25)</t>
  </si>
  <si>
    <t xml:space="preserve">הצעת חוק מיקוד לאומי לשיקום מרחיב לחבל התקומה, התשפ"ה-2024</t>
  </si>
  <si>
    <t xml:space="preserve"> (פ/5210/25)</t>
  </si>
  <si>
    <t xml:space="preserve">21.01.2025</t>
  </si>
  <si>
    <t xml:space="preserve">חוק איסור הכחשת אירועי טבח 7 באוקטובר 2023 (טבח שמיני עצרת), התשפ"ה–2025</t>
  </si>
  <si>
    <t xml:space="preserve"> (פ/4067/25)</t>
  </si>
  <si>
    <t xml:space="preserve"> (כ/1072)</t>
  </si>
  <si>
    <t xml:space="preserve">חוק זה קובע איסור פלילי על הכחשת אירועי טבח 7 באוקטובר 2023. על פי החוק, מי שיפרסם דברים המכחישים את טבח 7 באוקטובר 2023, בכוונה להגן על מי שביצע את המעשים או להביע להם אהדה או הזדהות, יואשם בעבירה פלילית שהעונש בצידה הוא חמש שנות מאסר. עוד נקבע כי פרסום כאמור לא יהווה עבירה פלילית אם הוא נעשה באקראי, בתום לב או למטרה כשרה. עוד נקבע כי כתב אישום בעבירה זו יוגש על ידי היועץ המשפטי לממשלה או בהסכמתו.</t>
  </si>
  <si>
    <t xml:space="preserve">חוק תאגידי מים וביוב (תיקון מס' 17), התשפ"ה-2025</t>
  </si>
  <si>
    <t xml:space="preserve"> (מ/1829)</t>
  </si>
  <si>
    <t xml:space="preserve">התיקון דוחה ל-1.1.2026 את המועד הקובע, שהוא המועד המחייב להקמה של תאגידי מים וביוב אזוריים שיספקו שירותי מים וביוב לכמה רשויות מקומיות. החל במועד הקובע, תאגיד מים וביוב ורשות מקומית לא יספקו  שירותי מים וביוב לצרכנים, אלא באמצעות תאגיד אזורי, ובלבד שלא ניתן פטור מהחובה להקים תאגיד אזורי בהתאם לתנאים הקבועים בחוק. כמו כן, ובהתאמה לדחיית המועד הקובע, התיקון דוחה את המועד לתחילת ביצועם של השלבים להקמת תאגידים אזוריים, כך שיחול ב-1.9.2025.</t>
  </si>
  <si>
    <t xml:space="preserve">הצעת חוק הביטוח הלאומי (תיקון מס' 255) (תשלום גמלה לשמירת היריון), התשפ"ה-2024</t>
  </si>
  <si>
    <t xml:space="preserve"> (פ/786/25)</t>
  </si>
  <si>
    <t xml:space="preserve"> (כ/1083)</t>
  </si>
  <si>
    <t xml:space="preserve">סעיפים 9(7), 13 ו-14 (אישור מיזמים משותפים) מתוך הצעת חוק התוכנית הכלכלית (תיקוני חקיקה ליישום המדיניות הכלכלית לשנת התקציב 2025), התשפ"ה-2024 [פוצל לפי סעיף 84(ב) לתקנון]</t>
  </si>
  <si>
    <t xml:space="preserve">20.01.2025</t>
  </si>
  <si>
    <t xml:space="preserve">חוק הגז הפחמימני המעובה (תיקון מס' 2), התשפ"ה-2025 </t>
  </si>
  <si>
    <t xml:space="preserve"> (מ/1802)</t>
  </si>
  <si>
    <t xml:space="preserve">החוק קובע כי מנהל מינהל הדלק רשאי להחליט על דחיית מועד לביצוע בדיקה תקופתית של מיתקן גז או להחלפת מכל נייח או מונה גז של בעל רישיון ספק גז שביקש זאת , בתקופה של ארבעה חודשים לכל היותר, אם שוכנע כי קיים קושי ממשי לביצועם במועד, שנובע מנסיבות חריגות. כמו כן, רשאי המנהל להורות על דחייה כאמור לכל בעלי רישיונות ספקי הגז,  אם שוכנע כי יש קושי של ממש אשר נובע ממצב מיוחד. מצב מיוחד מוגדר כאחד מאלה : מצב מיוחד בעורף, שהוא המצב הנוכחי מאז ה 7- באוקטובר, מצב של אירוע חירום אזרחי כגון אסון טבע או מצב חירום שנקבע לפי חוק לשם התמודדות עם מחלה מידבקת מסוכנת, כגון מצב החירום שהוכרז בעת מגפת הקורונה.  המנהל רשאי להאריך תקופה זו לתקופות מוגבלות, אם המשיכה להתקיים העילה לדחייה המקורית או אם העילה אינה מתקיימת, אך המנהל ראה כי הדבר נדרש בעקבות הנסיבות החריגות או המצב המיוחד שבשלהם ניתנה הדחייה ושההארכה נדרשת לצורך השלמת ביצוע הבדיקות או ההחלפות. המנהל רשאי להורות על תנאים למתן הדחייה המקורית או להארכתה, ובכלל זה לקבוע כי יחולו על כלל מיתקני הגז שבעל רישיון ספק גז מספק להם גז או על חלקם. החוק קובע אפשרות נוספת למתן דחייה וזאת בהתקיים נסיבות חריגות כפי שקבע שר האנרגיה והתשתיות בתקנות באישור ועדת הכלכלה של הכנסת  לאחר ששקל שיקולים הנוגעים לטובת הציבור ובטיחותו ושוכנע כי יש קושי של ממש לבצע  חובות אלו במועד.  כמו כן, החוק מוסיף הפרה מנהלית חדשה, מעבר להפרה המנהלית הקיימת היום, הנוגעת לאי ביצוע בדיקות במועד, ביחס לאי ביצוע תנאי או חובה שנקבעו בהוראות מנהל מינהל הדלק או בתקנות מכוח תיקון זה. </t>
  </si>
  <si>
    <t xml:space="preserve"> (פ/5402/25)</t>
  </si>
  <si>
    <t xml:space="preserve">הצעת חוק שירות המדינה (מינויים) (תיקון - מינוי יועצים משפטיים של משרדים), התשפ"ה-2025</t>
  </si>
  <si>
    <t xml:space="preserve"> (פ/5400/25)</t>
  </si>
  <si>
    <t xml:space="preserve"> (פ/5399/25)</t>
  </si>
  <si>
    <t xml:space="preserve">הצעת חוק-יסוד: השפיטה (תיקון - הגבלת זכות העמידה)</t>
  </si>
  <si>
    <t xml:space="preserve"> (פ/5398/25)</t>
  </si>
  <si>
    <t xml:space="preserve">הצעת חוק מעמד המשרת בשירות צבאי או לאומי, התשפ"ה-2025</t>
  </si>
  <si>
    <t xml:space="preserve"> (פ/5397/25)</t>
  </si>
  <si>
    <t xml:space="preserve"> (פ/5396/25)</t>
  </si>
  <si>
    <t xml:space="preserve">הצעת חוק-יסוד: השפיטה (תיקון - הפרדת רשויות)</t>
  </si>
  <si>
    <t xml:space="preserve"> (פ/5393/25)</t>
  </si>
  <si>
    <t xml:space="preserve">הצעת חוק רשות מקרקעי ישראל (תיקון - העדפת רכישת קרקע בפריפריה לחיילי מילואים), התשפ"ה-2025</t>
  </si>
  <si>
    <t xml:space="preserve"> (פ/5390/25)</t>
  </si>
  <si>
    <t xml:space="preserve">הצעת חוק מרשם האוכלוסין (תיקון - שינוי שם משפחה של קורבנות עבירת רצח שבוצעה על ידי בני משפחתם), התשפ"ה-2025</t>
  </si>
  <si>
    <t xml:space="preserve"> (פ/5388/25)</t>
  </si>
  <si>
    <t xml:space="preserve">הצעת חוק העברת הודעת פטירה, התשפ"ה-2025</t>
  </si>
  <si>
    <t xml:space="preserve"> (פ/5387/25)</t>
  </si>
  <si>
    <t xml:space="preserve">הצעת חוק האזנת סתר (תיקון - האזנת סתר באמצעות כלים טכנולוגיים), התשפ"ה-2025</t>
  </si>
  <si>
    <t xml:space="preserve"> (פ/5386/25)</t>
  </si>
  <si>
    <t xml:space="preserve">הצעת חוק קיום תפילה ומצוות דת בידי אסירים ועצירים (תיקוני חקיקה), התשפ"ה-2025</t>
  </si>
  <si>
    <t xml:space="preserve"> (פ/5385/25)</t>
  </si>
  <si>
    <t xml:space="preserve">הצעת חוק הפיקוח על יצוא ביטחוני (תיקון - מניעת יצוא ושיווק ביטחוני בשל הטלת אמברגו נשק על ישראל), התשפ"ה-2025</t>
  </si>
  <si>
    <t xml:space="preserve"> (פ/5384/25)</t>
  </si>
  <si>
    <t xml:space="preserve"> (פ/5383/25)</t>
  </si>
  <si>
    <t xml:space="preserve">הצעת חוק קידום התחרות בענפי המזון והפארם (תיקון - שידור נתוני מכר למאגר), התשפ"ה-2025</t>
  </si>
  <si>
    <t xml:space="preserve"> (פ/5382/25)</t>
  </si>
  <si>
    <t xml:space="preserve">הצעת חוק התגמולים לנפגעי פעולות איבה (תיקון - זכאויות לבני משפחה נוספים), התשפ"ה-2025</t>
  </si>
  <si>
    <t xml:space="preserve"> (פ/5381/25)</t>
  </si>
  <si>
    <t xml:space="preserve"> (פ/5380/25)</t>
  </si>
  <si>
    <t xml:space="preserve"> (פ/5379/25)</t>
  </si>
  <si>
    <t xml:space="preserve">הצעת חוק גיל פרישה (תיקון - ביטול גיל פרישת חובה), התשפ"ה-2025</t>
  </si>
  <si>
    <t xml:space="preserve"> (פ/5378/25)</t>
  </si>
  <si>
    <t xml:space="preserve">הצעת חוק העונשין (תיקון - ביטול עבירת מעשה סדום ושינוי מושגי בעבירות בעילה), התשפ"ה-2025</t>
  </si>
  <si>
    <t xml:space="preserve"> (פ/5376/25)</t>
  </si>
  <si>
    <t xml:space="preserve">הצעת חוק הגנת הצרכן (תיקון - איסור התניית תשלום בכרטיס אשראי בסכום רכישה מזערי), התשפ"ה-2025</t>
  </si>
  <si>
    <t xml:space="preserve"> (פ/5375/25)</t>
  </si>
  <si>
    <t xml:space="preserve"> (פ/5374/25)</t>
  </si>
  <si>
    <t xml:space="preserve">הצעת חוק-יסוד: השפיטה (תיקון - בחירת נשיא בית המשפט העליון בידי הכנסת)</t>
  </si>
  <si>
    <t xml:space="preserve"> (פ/5373/25)</t>
  </si>
  <si>
    <t xml:space="preserve">הצעת חוק לחיזוק ריבונותה ועצמאותה של מערכת הבריאות הישראלית ביחס לתקנות ארגון הבריאות העולמי, התשפ"ה-2025</t>
  </si>
  <si>
    <t xml:space="preserve"> (פ/5372/25)</t>
  </si>
  <si>
    <t xml:space="preserve">הצעת חוק לתיקון פקודת מס הכנסה (פטור ממס על תגמול מילואים ונקודות זיכוי מס למשרת מילואים פעיל), התשפ"ה-2025</t>
  </si>
  <si>
    <t xml:space="preserve"> (פ/5370/25)</t>
  </si>
  <si>
    <t xml:space="preserve">הצעת חוק לשכת עורכי הדין (תיקון - הורדת סף המעבר בבחינת ההתמחות של מועד דצמבר 2024), התשפ"ה-2025</t>
  </si>
  <si>
    <t xml:space="preserve"> (פ/5369/25)</t>
  </si>
  <si>
    <t xml:space="preserve">הצעת חוק המתווכים במקרקעין (תיקון - הגבלת דמי תיווך), התשפ"ה-2025</t>
  </si>
  <si>
    <t xml:space="preserve"> (פ/5368/25)</t>
  </si>
  <si>
    <t xml:space="preserve">הצעת חוק הפיקוח על שירותים פיננסיים (קופות גמל) (תיקון - מתן שיקול דעת לחברה מנהלת בהשתתפות ובהצבעה באסיפה של חברה דואלית), התשפ"ה-2025</t>
  </si>
  <si>
    <t xml:space="preserve"> (פ/5367/25)</t>
  </si>
  <si>
    <t xml:space="preserve">הצעת חוק ניירות ערך (תיקון - קביעת חלופת הגשת דוח חצי שנתי לתאגיד קטן), התשפ"ה-2025</t>
  </si>
  <si>
    <t xml:space="preserve"> (פ/5366/25)</t>
  </si>
  <si>
    <t xml:space="preserve">הצעת חוק התכנון והבנייה (תיקון - פטור מהיתר בנייה למעלית לנגישות), התשפ"ה-2025</t>
  </si>
  <si>
    <t xml:space="preserve"> (פ/5365/25)</t>
  </si>
  <si>
    <t xml:space="preserve">הצעת חוק בנק ישראל (תיקון - הרחבת שיקול הדעת של הוועדה המוניטרית), התשפ"ה-2025</t>
  </si>
  <si>
    <t xml:space="preserve"> (פ/5364/25)</t>
  </si>
  <si>
    <t xml:space="preserve">הצעת חוק הרשות הלאומית לרפואה משפטית, התשפ"ה-2025</t>
  </si>
  <si>
    <t xml:space="preserve"> (פ/5363/25)</t>
  </si>
  <si>
    <t xml:space="preserve">הצעת חוק עקרונות האסדרה (תיקון) (בחינה תקופתית של אסדרה ואי-הטלת אחריות בשל אי-פרסום אסדרה), התשפ''ד–2024</t>
  </si>
  <si>
    <t xml:space="preserve"> (פ/1521/25)</t>
  </si>
  <si>
    <t xml:space="preserve"> (כ/1056)</t>
  </si>
  <si>
    <t xml:space="preserve">הצעת חוק הביטוח הלאומי (תיקון - תגמול מילואים לעובד עצמאי) (הוראת שעה - חרבות ברזל), התשפ"ה-2024</t>
  </si>
  <si>
    <t xml:space="preserve"> (פ/4927/25)</t>
  </si>
  <si>
    <t xml:space="preserve">15.01.2025</t>
  </si>
  <si>
    <t xml:space="preserve">הצעת חוק רשות מקרקעי ישראל (תיקון - הקצאת קרקעות בנגב ובגליל לחיילים משוחררים), התשפ"ג-2022</t>
  </si>
  <si>
    <t xml:space="preserve"> (פ/569/25)</t>
  </si>
  <si>
    <t xml:space="preserve">הצעת חוק רשות מקרקעי ישראל (תיקון - הקצאת קרקעות בנגב ובגליל לחיילים משוחררים ומשרתי שירות לאומי-אזרחי), התשפ"ג-2022</t>
  </si>
  <si>
    <t xml:space="preserve"> (פ/566/25)</t>
  </si>
  <si>
    <t xml:space="preserve">הצעת חוק איסור לשון הרע (תיקון - חשיפת פרטי מידע של מנוי ברשת תקשורת אלקטרונית), התשפ"ג-2022</t>
  </si>
  <si>
    <t xml:space="preserve"> (פ/301/25)</t>
  </si>
  <si>
    <t xml:space="preserve">הצעת חוק הפרטת תאגיד השידור הציבורי הישראלי, התשפ"ג-2022</t>
  </si>
  <si>
    <t xml:space="preserve"> (פ/176/25)</t>
  </si>
  <si>
    <t xml:space="preserve">הצעת חוק התוכנית הכלכלית (תיקוני חקיקה ליישום המדיניות הכלכלית לשנת התקציב 2025), התשפ"ה-2024 </t>
  </si>
  <si>
    <t xml:space="preserve">חוק שירותי הדת היהודיים (תיקון מס' 27), התשפ"ה–2025</t>
  </si>
  <si>
    <t xml:space="preserve"> (פ/4540/25)</t>
  </si>
  <si>
    <t xml:space="preserve"> (כ/1036)</t>
  </si>
  <si>
    <t xml:space="preserve">חוק זה מאפשר לממשלה לתקצב שכר ותקנים של בעלי תפקידים שונים במועצות הדתיות שמונו כדין (למשל רבנים שמונו או שנבחרו, לרבות רבנים אזוריים, רבני יישובים ורבנים וקייסים לעדה האתיופית, בלניות, וכן בעלי תפקידים נוספים), נוסף על סכומי ההשתתפות שמועצות דתיות מקבלות בהתאם להוראות החוק, ובלי שיהיה בכך כדי לחייב את הרשות המקומית בסכומי ההשתתפות מטעמה בשל הוצאות אלו. התקציב יועבר על פי אמות מידה שוויוניות שייקבעו על ידי השר לשירותי דת, בהתייעצות עם שר האוצר. בחוק נקבע שהוראה זו תחול גם ביחס לרשויות מקומיות (עיריות, מועצות מקומיות ומועצות אזוריות) שאין בתחומן מועצה דתית.</t>
  </si>
  <si>
    <t xml:space="preserve">חוק לתיקון פקודת התעבורה (מס' 137), התשפ"ה-2025</t>
  </si>
  <si>
    <t xml:space="preserve"> (מ/1812)</t>
  </si>
  <si>
    <t xml:space="preserve">החוק דוחה את כניסתו לתוקף של ההסדר שנקבע במסגרת תיקון 129 לפקודת התעבורה (להלן – התיקון), לפיו הפער בין תעריפי החנייה שקובעת רשות מקומית לתושביה ולאילו שאינם תושביה לא יעלה על 30%, ל-1.1.2027.  בנוסף, החוק דוחה את כניסתו לתוקף של ההסדר, שנקבע במסגרת התיקון, האוסר על רשות מקומית לפטור את תושביה מתשלום בעד חנייה רק בשל היותם תושביה ל-1.1.2027. הסדר זה היה אמור היה לחול על רשויות מקומיות שמספר תושביהן הוא 40,000 ומעלה. חוק זה מצמצם את היקף תחולת ההסדר, כך שיחול רק על רשויות מקומיות שמספר תושביהן עולה על 120,000 איש. בהתאמה לדחיית מועד כניסת ההסדר לתוקף, תוקפן של הוראות שקבעה רשות מקומית לפני 1.1.2022, הפוטרות את תושביה מתשלום בעד חנייה, יוארך עד ליום 31.12.2026, אלא אם כן קבעה קודם לכן אזורי חנייה מוסדרים שתושבי אותם אזורים לא ישלמו בעד חנייה באזורים אלו.  עוד נקבע בחוק זה כי התקנות לעניין אמות מידה ותנאים לקביעת אזורי חנייה מוסדרים, ששר התחבורה והבטיחות בדרכים מוסמך להתקין בהתייעצות עם שר הפנים, יהיו טעונות אישור ועדת הכלכלה של הכנסת. </t>
  </si>
  <si>
    <t xml:space="preserve">הצעת חוק הקלות בבחינות לתלמידים וסטודנטים בעת מצב מיוחד בעורף או בשעת התקפה (תיקוני חקיקה), התשפ"ד-2024</t>
  </si>
  <si>
    <t xml:space="preserve"> (פ/4556/25)</t>
  </si>
  <si>
    <t xml:space="preserve">הצעת חוק דחיית מועדים (הוראת שעה - חרבות ברזל) (חוזה, פסק דין או תשלום לרשות) (תיקון - דחיית תשלום משכנתה למשרת מילואים), התשפ"ד-2024</t>
  </si>
  <si>
    <t xml:space="preserve"> (פ/4272/25)</t>
  </si>
  <si>
    <t xml:space="preserve">הצעת חוק הבנקאות (שירות ללקוח) (תיקון - כללים לעניין שיעורי ריבית ללקוחות), התשפ"ג-2023</t>
  </si>
  <si>
    <t xml:space="preserve"> (פ/3542/25)</t>
  </si>
  <si>
    <t xml:space="preserve">הצעת חוק הגנה על ישראלים מפני מוסדות בין-לאומיים עוינים, התשפ"ג-2023</t>
  </si>
  <si>
    <t xml:space="preserve"> (פ/3049/25)</t>
  </si>
  <si>
    <t xml:space="preserve">הצעת חוק לימוד חובה (תיקון - חובת דיווח על היעדרות תלמיד), התשפ"ג-2023</t>
  </si>
  <si>
    <t xml:space="preserve"> (פ/1693/25)</t>
  </si>
  <si>
    <t xml:space="preserve">הצעת חוק משפחות חיילים שנספו במערכה (תגמולים ושיקום) (תיקון - איסור פיטורים של בן משפחה בשנת השכול הראשונה), התשפ"ד-2024</t>
  </si>
  <si>
    <t xml:space="preserve"> (פ/4784/25)</t>
  </si>
  <si>
    <t xml:space="preserve">14.01.2025</t>
  </si>
  <si>
    <t xml:space="preserve">הצעת חוק הביטוח הלאומי (תיקון - תגמול מילואים לעובד עצמאי) (הוראת שעה - חרבות ברזל), התשפ''ה-2024</t>
  </si>
  <si>
    <t xml:space="preserve"> (פ/4989/25)</t>
  </si>
  <si>
    <t xml:space="preserve">חוק להנצחת זכרו של הרב חיים דרוקמן, התשפ"ה–2025</t>
  </si>
  <si>
    <t xml:space="preserve"> (פ/1648/25)</t>
  </si>
  <si>
    <t xml:space="preserve"> (כ/981)</t>
  </si>
  <si>
    <t xml:space="preserve">החוק להנצחת זכרו של הרב חיים דרוקמן מקים מרכז שינציח לדורות את פועלו ומורשתו של הרב דרוקמן ואת תרומתו לקירוב חלקי החברה הישראלית. המרכז הינו תאגיד חקוק והוא יכלול מכון מחקר, מוזיאון הנצחה וארכיון. למרכז תהיה מועצה ציבורית המורכבת מנציגי המדינה במשרדים הרלוונטיים, ומנציגי ציבור שיכללו איש אקדמיה, אנשי רוח, נציג תנועת נוער וראש הרשות המקומית שבתחומה פועל המרכז. הקמת המרכז ופעילותו ימומנו מאוצר המדינה ומכספי תרומות. בשנות הכספים 2025-2027 תחול מגבלה תקציבית על המימון מאוצר המדינה. השר הממונה על ביצוע החוק הוא שר ההתיישבות והמשימות הלאומיות. </t>
  </si>
  <si>
    <t xml:space="preserve">חוק עבודת נשים (תיקון מס' 65), התשפ"ה–2025</t>
  </si>
  <si>
    <t xml:space="preserve"> (פ/622/25)</t>
  </si>
  <si>
    <t xml:space="preserve"> (כ/1054)</t>
  </si>
  <si>
    <t xml:space="preserve">חוק זה קובע כי עובד שהילד שבת זוגו ילדה אושפז בבית החולים לאחר הלידה לתקופה שעולה על שבועיים, יהיה זכאי להיעדר מעבודתו 20 ימים בתקופת האשפוז על חשבון ימי המחלה הצבורים שלו או על חשבון ימי חופשה, לפי בחירתו.  היעדרות כאמור יכולה להיות לא רצופה, ובנוסף העובד יוכל להיעדר מהעבודה חלקי ימים. כמו כן, ימי ההיעדרות של העובד על חשבון ימי המחלה יימנו ברצף מהיום הראשון שבו נעדר העובד על חשבון ימי המחלה שלו, אף אם ההיעדרות לא היתה רציפה, זאת גם ביחס להיעדרות על חשבון ימי מחלה לפי סעיף 7(ג3) לחוק עבודת נשים, התשי"ד–1954, שקובע את הזכות של אב להיעדר אחרי הלידה. יובהר כי הסדר זה לא יגרע מזכותו של האב להיעדר 5 ימים לאחר הלידה לפי סעיף 7(ג3) האמור וכן לא תגרע מזכותו להיעדר לפי חוק דמי מחלה (היעדרות עקב היריון ולידה של בת הזוג), התש"ס–2000. לסיום, נקבע כי עובד יוכל לממש את זכאותו לפי ההסדר המוצע אם הוא מסר למעסיקו אישור רפואי על אשפוז הילד והצהיר כי בימי ההיעדרות הוא שהה עם הילד שאושפז או עם ילדיו האחרים. </t>
  </si>
  <si>
    <t xml:space="preserve">חוק שירות הקבע בצבא הגנה לישראל (גמלאות) (תיקון מס' 35), התשפ"ה-2025</t>
  </si>
  <si>
    <t xml:space="preserve"> (פ/3791/25)</t>
  </si>
  <si>
    <t xml:space="preserve"> (כ/1022)</t>
  </si>
  <si>
    <t xml:space="preserve">סעיף 33 לחוק שירות הקבע בצבא הגנה לישראל (גמלאות)[נוסח משולב], התשמ"ה-1985 קבע כי מי שזכאי לקצבת פרישה לאחר שפרש משירות קבע, וחזר לשרת בשירות הקבע או החל לעבוד כאזרח עובד צה"ל, והכנסתו הכוללת מהקצבה ומהמשכורת בעד השירות או העבודה כאמור, עולה על "המשכורת הקובעת המשוקללת" לפי החוק, יופחת חלק מהקצבה המשולמת לו כל עוד לא הגיע לגיל 57.  התיקון לחוק קובע כי ההפחתה של חלק מהקצבה לא תחול לגבי פורש משירות הקבע שהפך לאזרח עובד צה"ל לגבי הקצבאות המשולמות בעד התקופה שהחל מ-1 באפריל 2025.  </t>
  </si>
  <si>
    <t xml:space="preserve">הצעת חוק-יסוד: הממשלה (תיקון - ביטול ממשלת חילופים)</t>
  </si>
  <si>
    <t xml:space="preserve"> (פ/4646/25)</t>
  </si>
  <si>
    <t xml:space="preserve">13.01.2025</t>
  </si>
  <si>
    <t xml:space="preserve">הצעת חוק-יסוד: ביטול ממשלת החילופים (תיקוני חקיקה)</t>
  </si>
  <si>
    <t xml:space="preserve"> (פ/1294/25)</t>
  </si>
  <si>
    <t xml:space="preserve">חוק הביטוח הלאומי (תיקון מס' 252 והוראת שעה), התשפ"ה–2025</t>
  </si>
  <si>
    <t xml:space="preserve"> (מ/1809)</t>
  </si>
  <si>
    <t xml:space="preserve">במסגרת החקיקה שנועדה להשלים את הגירעונות הגדולים בתקציב המדינה שנוצרו עקב המלחמה, נקבע כי סכום קצבת הילדים על כל מרכיביה לא יעודכן בשנת 2025. יחד עם זאת מענק הלימודים המשולם לחלק מהמשפחות יעודכן כרגיל.  כמו כן, נקבעו בחקיקה הוראות שהיו קבועות בתקנות בעניין חובת תשלום דמי ביטוח נפגעי עבודה ודמי ביטוח אימהות למי שנמצא בהכשרה מקצועית או בשיקום מקצועי. בתשלומים אלה נושא מי שרואים אותו כמעסיק של אותו אדם שנמצא בהכשרה או בשיקום כאמור, וזאת מעבר לחובת אותו אדם לשלם בעד עצמו דמי ביטוח כמי שאינו עובד או עובד עצמאי.  נוסף על כך, נקבעו בחקיקה הוראות שהיו קבועות בתקנות לעניין דמי ביטוח לאומי המשולמים בעד עובד במשק בית, כלומר מי שמועסק אצל יחיד שלא במסגרת עסק או משלח יד, אשר שיעור דמי הביטוח עבורו קבוע כשיעור אחד של 6.25% ללא חלוקה לענפים שונים או הבחנה לפי גובה ההכנסה. למעסיק של העובד כאמור ניתנה אפשרות לנכות שיעור של 1% מהשכר שבעדו שילם דמי ביטוח. לגבי עובד כאמור שאינו מבוטח בביטוח אזרחים ותיקים ושאירים או שהגיע לגיל המזכה בקצבת אזרח ותיק ללא תלות בהכנסה או מקבל קצבת נכות כללית או נכות מעבודה, נקבעו דמי ביטוח מופחתים של 2%.   כהוראת שעה לשנים 2025 ו-2026 הועלו דמי הביטוח הלאומי המשולמים בעד חלק מההכנסה שעד 60% מהשכר הממוצע, וכן הועלו דמי הביטוח בעד עובד במשק בית ודמי ביטוח נפגעי עבודה ואימהות המשולמים בידי המעסיק בעד מי שנמצא בהכשרה מקצועית או שיקום מקצועי. כנגד העלאה זו תופחת ההקצבה מאוצר המדינה למוסד לביטוח לאומי. אף שהעלאת דמי הביטוח והפחת ההקצבה כאמור נקבעה כהוראת שעה לשנתיים בלבד, נקבע כי שר האוצר בהיוועצות עם שר העבודה ובאישור ועדת העבודה והרווחה יוכל להאריך את ההסדר לשנים 2027 ו-2028 בשנה כל פעם, תוך הפחתה מקבילה של הקצבות המדינה באותן שנים.  ההעלאה האמורה היא בשיעור של 1.6% מהשכר בעד עובד ובעד עובד עצמאי כשההעלאה לגבי ענפי הביטוח השונים בוצעה באופן מתאים לשיעוריהם היחסיים. נטל התוספת לדמי הביטוח בעד העובד לפי לוח י' לחוק הביטוח הלאומי יחולק בין המעסיק לעובד כך שהמעסיק יישא בחלק של 60% מאותה תוספת והעובד יישא בחלק של 40%. בעד מי שאינו עובד ואינו עובד עצמאי שיעור ההעלאה הוא 50% מדמי הביטוח.  </t>
  </si>
  <si>
    <t xml:space="preserve">חוק ביטוח בריאות ממלכתי (תיקון מס' 72 והוראת שעה), התשפ"ה-2025</t>
  </si>
  <si>
    <t xml:space="preserve"> (מ/1815)</t>
  </si>
  <si>
    <t xml:space="preserve">חוק זה מפחית ב0.005% את שיעור דמי ביטוח הבריאות ברמת ההכנסה הנמוכה, כך שיעמוד על 3.23%, ומנגד, מגדיל ב0.005% את שיעור דמי ביטוח הבריאות ברמת ההכנסה הגבוהה, כך שיעמוד על 5.17%. הגדלת שיעור דמי ביטוח הבריאות של רמת ההכנסה הגבוהה תחול רק מחודש פברואר של שנת 2025, ובחודש ינואר של שנת 2025, יעמוד אותו שיעור על 5.16%. </t>
  </si>
  <si>
    <t xml:space="preserve"> (פ/5362/25)</t>
  </si>
  <si>
    <t xml:space="preserve"> (פ/5361/25)</t>
  </si>
  <si>
    <t xml:space="preserve"> (פ/5360/25)</t>
  </si>
  <si>
    <t xml:space="preserve"> (פ/5359/25)</t>
  </si>
  <si>
    <t xml:space="preserve"> (פ/5358/25)</t>
  </si>
  <si>
    <t xml:space="preserve">הצעת חוק למניעת הסתננות (עבירות ושיפוט) (תיקון - מניעת שחרור בעירבון כספי), התשפ"ה-2025</t>
  </si>
  <si>
    <t xml:space="preserve"> (פ/5357/25)</t>
  </si>
  <si>
    <t xml:space="preserve">הצעת חוק מס ערך מוסף (תיקון - סובסידיה בגני ילדים), התשפ"ה-2025</t>
  </si>
  <si>
    <t xml:space="preserve"> (פ/5356/25)</t>
  </si>
  <si>
    <t xml:space="preserve">הצעת חוק שחרור על-תנאי ממאסר (תיקון - העברת הסמכות לדון בעבירות מין מהיחידה למאסרים קצרים לוועדת השחרורים), התשפ"ה-2025</t>
  </si>
  <si>
    <t xml:space="preserve"> (פ/5355/25)</t>
  </si>
  <si>
    <t xml:space="preserve">הצעת חוק האזרחות (תיקון - אזרחות לבן משפחה של חייל), התשפ"ה-2025</t>
  </si>
  <si>
    <t xml:space="preserve"> (פ/5354/25)</t>
  </si>
  <si>
    <t xml:space="preserve">הצעת חוק-יסוד: משאל עם (תיקון - משאל עם בעניין פינוי התיישבות חוקית באזור יהודה והשומרון)</t>
  </si>
  <si>
    <t xml:space="preserve"> (פ/5353/25)</t>
  </si>
  <si>
    <t xml:space="preserve">הצעת חוק השכירות והשאילה (תיקון - הארכת הסכמי חכירה לדורות), התשפ"ה-2025</t>
  </si>
  <si>
    <t xml:space="preserve"> (פ/5349/25)</t>
  </si>
  <si>
    <t xml:space="preserve">הצעת חוק ליווי בני משפחות של משרתים בגופי ביטחון ששלחו יד בנפשם, התשפ"ה-2025</t>
  </si>
  <si>
    <t xml:space="preserve"> (פ/5348/25)</t>
  </si>
  <si>
    <t xml:space="preserve">הצעת חוק הממשלה (תיקון - ועדת שרים לענייני חקיקה), התשפ"ה-2025</t>
  </si>
  <si>
    <t xml:space="preserve"> (פ/5347/25)</t>
  </si>
  <si>
    <t xml:space="preserve"> (פ/5346/25)</t>
  </si>
  <si>
    <t xml:space="preserve"> (פ/5345/25)</t>
  </si>
  <si>
    <t xml:space="preserve">הצעת חוק הדרכונים (תיקון - הנפקת דרכון או תעודת מעבר לקטין שמלאו לו 16 שנים), התשפ"ה-2025</t>
  </si>
  <si>
    <t xml:space="preserve"> (פ/5344/25)</t>
  </si>
  <si>
    <t xml:space="preserve">הצעת חוק הכניסה לישראל (תיקון - תוקף צווי הגבלת שימוש במקום וסמכויות תפיסה וחילוט), התשפ"ה-2025</t>
  </si>
  <si>
    <t xml:space="preserve"> (פ/5343/25)</t>
  </si>
  <si>
    <t xml:space="preserve"> (פ/5342/25)</t>
  </si>
  <si>
    <t xml:space="preserve">הצעת חוק שעות עבודה ומנוחה (תיקון - הגבלת שעות העסקה של מתמחה ברפואה), התשפ"ה-2025</t>
  </si>
  <si>
    <t xml:space="preserve"> (פ/5341/25)</t>
  </si>
  <si>
    <t xml:space="preserve"> (פ/5340/25)</t>
  </si>
  <si>
    <t xml:space="preserve"> (פ/5337/25)</t>
  </si>
  <si>
    <t xml:space="preserve">הצעת חוק-יסוד: הכנסת (תיקון - הצבעה מרחוק ונבצרות)</t>
  </si>
  <si>
    <t xml:space="preserve"> (פ/5336/25)</t>
  </si>
  <si>
    <t xml:space="preserve"> (פ/5335/25)</t>
  </si>
  <si>
    <t xml:space="preserve"> (פ/5334/25)</t>
  </si>
  <si>
    <t xml:space="preserve">הצעת חוק תרגום תעודות ציבוריות, התשפ"ה-2025</t>
  </si>
  <si>
    <t xml:space="preserve"> (פ/5332/25)</t>
  </si>
  <si>
    <t xml:space="preserve">הצעת חוק מס ערך מוסף (תיקון - מס בשיעור אפס במכירת מזונות המסייעים לקידום בריאות הציבור והביטחון התזונתי), התשפ"ה-2025</t>
  </si>
  <si>
    <t xml:space="preserve"> (פ/5328/25)</t>
  </si>
  <si>
    <t xml:space="preserve"> (פ/5326/25)</t>
  </si>
  <si>
    <t xml:space="preserve">הצעת חוק-יסוד: ישראל - מדינת הלאום של העם היהודי (תיקון - הוספת מחויבות לשוויון זכויות)</t>
  </si>
  <si>
    <t xml:space="preserve"> (פ/5325/25)</t>
  </si>
  <si>
    <t xml:space="preserve">הצעת חוק סדר הדין הפלילי (תיקון - הגבלת משך זמן החקירה המשטרתית וחקירת הפרקליטות), התשפ"ה-2025</t>
  </si>
  <si>
    <t xml:space="preserve"> (פ/5324/25)</t>
  </si>
  <si>
    <t xml:space="preserve">חוק הסדרת העיסוק בעבודה במערכת קירור או מיזוג אוויר, התשפ"ה-2025</t>
  </si>
  <si>
    <t xml:space="preserve"> (מ/1578)</t>
  </si>
  <si>
    <t xml:space="preserve">08.01.2025</t>
  </si>
  <si>
    <t xml:space="preserve">חוק זה מסדיר לראשונה בחקיקה את העיסוק במערכות קירור ומיזוג אוויר, בעקבות המעבר לשימוש בקררים חדשים הכוללים גזים דליקים, נפיצים ורעילים.  החוק קובע כי עבודה במערכות קירור או מיזוג אוויר טעונה אחד משלושת הרישיונות הבאים – רישיון דרגה 1 לביצוע עבודות במערכת שתפוקת הקירור שלה עד 18 קילו ואט, רישיון דרגה 2 לביצוע עבודות במערכות גדולות יותר, שתפוקת הקירור שלהן עד 70 קילו ואט או רישיון דרגה 3 לביצוע עבודה בכל מערכת קירור ומיזוג אוויר.  רישיונות אלו יינתנו לתקופה של חמש שנים ולצורך חידושו בעל הרישיון יידרש להשתתף בהשתלמות בהיקף של 8 שעות לפחות.  בהמשך לכך, החוק קובע מהן הפעולות מסוג התקנה ותחזוקה שייחשבו עבודות במערכת קירור או מיזוג אוויר שלצורך ביצוען יידרש רישיון. במסגרת עבודות אלה, המנויות בתוספת הראשונה ישנן עבודות של חיבור צנרת, בדיקת אטימות, תליית יחידת המיזוג, מילוי הקררים, מדידת לחץ ועוד.  בנוסף, החוק קובע את ההכשרה והלימודים שיידרשו לכל אחד מסוגי הרישיונות, בהתחשב בהכשרה או הניסיון הקודמים של מי שמבקש לעסוק בתחום. כמו כן, נקבע כי תהיה תקופה של 3 שנים במסגרתה מי שיש לו ניסיון קיים בעבודה במערכות קירור או מיזוג אוויר יוכל לעבור מסלול הכשרה מקוצר ולקבל רישיון על פי החוק. עוד נקבע כי בעל רישיון יבצע עבודה במערכת קירור או מיזוג אוויר על פי התקן הישראלי 994, הכולל את החובה לבצע בדיקת אטימות בסיום ההתקנה, שבאמצעותה ניתן לגלות אם יש דליפה מסוכנת של גז.  החוק כולל הוראות נוספות ובהן הוראות לעניין מינוי רשם, מינוי מועצה שחבריה ייעצו לשר ולרשם, הסמכת מפקחים וקביעת הסמכויות שיינתנו להם, מינוי מפקח בכיר, הסתייעות בבדיקות עזר ובחוות דעת מומחה, והסמכה של בודקים ומומחים שיסייעו לביצוע עבודות הפיקוח. בנוסף לכך, החוק כולל הוראות של אכיפה מנהלית והטלת עיצומים כספיים על בעלי רישיונות ועל העוסקים בתחום, כולל מפעילים.  הוראות חוק זה ייכנסו לתוקף שלושה חודשים מיום פרסומן לגבי מי שיבצע עבודות במערכות קירור ומיזוג אוויר שיש בהן גזים דליקים שמנויים בתוספת. לגבי כל שאר המערכות, תחילת החוק תהיה שנה וחצי מיום פרסומן.  </t>
  </si>
  <si>
    <t xml:space="preserve">חוק העונשין (תיקון מס' 140 – הוראת שעה) (תיקון), התשפ"ה-2025</t>
  </si>
  <si>
    <t xml:space="preserve"> (מ/1818)</t>
  </si>
  <si>
    <t xml:space="preserve">החוק מאריך עד ה-31 בדצמבר 2026, את הוראת השעה לפיה יוטל עונש מינימום של רבע מהעונש המרבי למי שהורשע בעבירות של החזקה, נשיאה וסחר בנשק, וזאת למעט במקרים מיוחדים.</t>
  </si>
  <si>
    <t xml:space="preserve">הצעת חוק לתיקון פקודת מס הכנסה (פטור ממס על תגמול מילואים ונקודות זיכוי מס למשרת מילואים פעיל), התשפ"ה-2024</t>
  </si>
  <si>
    <t xml:space="preserve"> (פ/5074/25)</t>
  </si>
  <si>
    <t xml:space="preserve">הצעת חוק לתיקון פקודת מס הכנסה (נקודת זיכוי בעד שירות מילואים), התשפ"ה-2024</t>
  </si>
  <si>
    <t xml:space="preserve"> (פ/5057/25)</t>
  </si>
  <si>
    <t xml:space="preserve">הצעת חוק-יסוד: הכנסת (תיקון - הזכות להיבחר) </t>
  </si>
  <si>
    <t xml:space="preserve"> (פ/4995/25)</t>
  </si>
  <si>
    <t xml:space="preserve">הצעת חוק הרשות הלאומית לרפואה משפטית, התשפ"ד-2024</t>
  </si>
  <si>
    <t xml:space="preserve"> (פ/4735/25)</t>
  </si>
  <si>
    <t xml:space="preserve">הצעת חוק הרשות הלאומית למאבק בסמים ובשימוש לרעה באלכוהול, התשפ"ד-2024</t>
  </si>
  <si>
    <t xml:space="preserve"> (פ/4245/25)</t>
  </si>
  <si>
    <t xml:space="preserve">הצעת חוק חינוך ממלכתי (תיקון - חינוך ממלכתי חרדי), התשפ"ג-2023</t>
  </si>
  <si>
    <t xml:space="preserve"> (פ/3797/25)</t>
  </si>
  <si>
    <t xml:space="preserve">הצעת חוק גנים לאומיים, שמורות טבע, אתרים לאומיים ואתרי הנצחה (תיקון - הגנה על סמלי הנצחה ומורשת), התשפ"ג-2023</t>
  </si>
  <si>
    <t xml:space="preserve"> (פ/3175/25)</t>
  </si>
  <si>
    <t xml:space="preserve">הצעת חוק חובת המכרזים (תיקון - העדפה מתקנת לנכי צה"ל), התשפ"ג-2023</t>
  </si>
  <si>
    <t xml:space="preserve"> (פ/2617/25)</t>
  </si>
  <si>
    <t xml:space="preserve">הצעת חוק החלת תקצוב מגדרי על תקציבים ציבוריים בישראל, התשפ"ג-2023</t>
  </si>
  <si>
    <t xml:space="preserve"> (פ/2336/25)</t>
  </si>
  <si>
    <t xml:space="preserve">הצעת חוק מרשם האוכלוסין (תיקון - שינוי שם משפחה של קורבנות עבירת רצח שבוצעה על ידי בני משפחתם), התשפ"ג-2023</t>
  </si>
  <si>
    <t xml:space="preserve"> (פ/2291/25)</t>
  </si>
  <si>
    <t xml:space="preserve">הצעת חוק שימוש בזרע של נפטר לשם הולדה, התשפ"ג-2022 </t>
  </si>
  <si>
    <t xml:space="preserve"> (פ/976/25)</t>
  </si>
  <si>
    <t xml:space="preserve">הצעת חוק החלת תקצוב מגדרי על תקציבים ציבוריים בישראל, התשפ"ג-2022</t>
  </si>
  <si>
    <t xml:space="preserve"> (פ/778/25)</t>
  </si>
  <si>
    <t xml:space="preserve">הצעת חוק ההתגוננות האזרחית (תיקון - פיקוח על מקלטים משותפים), התשפ"ד-2024</t>
  </si>
  <si>
    <t xml:space="preserve"> (פ/4167/25)</t>
  </si>
  <si>
    <t xml:space="preserve">07.01.2025</t>
  </si>
  <si>
    <t xml:space="preserve">חוק מרשם האוכלוסין (תיקון מס' 22), התשפ"ה-2025</t>
  </si>
  <si>
    <t xml:space="preserve"> (מ/1820)</t>
  </si>
  <si>
    <t xml:space="preserve">נקבע כי ביחס לחטוף שנפטר מחוץ לישראל יחולו כל ההוראות שחלות ביחס לפטירה בישראל כגון: הוראות לעניין מסירת הודעת פטירה, רישום הפטירה והנפקת תעודת פטירה, בשינויים המחויבים.</t>
  </si>
  <si>
    <t xml:space="preserve">חוק שחרור על־תנאי ממאסר (תיקון מס' 17 – הוראת שעה) (תיקון מס' 4), התשפ"ה-2025 </t>
  </si>
  <si>
    <t xml:space="preserve"> (מ/1816)</t>
  </si>
  <si>
    <t xml:space="preserve">06.01.2025</t>
  </si>
  <si>
    <t xml:space="preserve">ביום י"ד באב התשע"ח (26 ביולי 2018) פורסם חוק שחרור על-תנאי ממאסר (תיקון מס' 17 – הוראת שעה), התשע"ח–2018. במסגרת זו נקבע כהוראת שעה, לתקופה של שלוש שנים, כי תוקם יחידה מנהלית בשירות בתי הסוהר – יחידה לשחרור ממאסרים קצרים, שתוסמך לבחון בקשות לשחרור על תנאי של אסירים שנשפטו לתקופת מאסר שבין שלושה חודשים לשנה, שנשאו שני שלישים לפחות מתקופתם מאסרם. זאת במקום נציב בתי הסוהר שלו הייתה הסמכות לעניין אסירים שנשפטו לתקופה העולה על שלושה חודשים ושלא עולה על שישה חודשים, ובמקום ועדת השחרורים לעניין אסירים שנשפטו לתקופה העולה על שישה חודשים. היחידה לא תשחרר אסיר אלא אם שוכנעה שהוא ראוי לשחרור כאמור וכי הוא לא מסכן את שלום הציבור. בקשת האסיר לשחרורו על תנאי תיבחן ככלל על בסיס הבקשה בכתב ומסמכים שיובאו בפני היחידה. בקשות לשחרור על תנאי של אסירים המרצים את עונשם בשל עבירות מין, עבירות אלימות במשפחה ואסירים הלוקים בנפשם ידונו בפני היחידה המנהלית רק אם נגזרו עליהם בין שלושה לשישה חודשי מאסר. אסירים כאמור אשר נגזרה עליהם תקופה העולה על שישה חודשי מאסר יידונו בפני וועדת השחרורים, בשל מורכבותם. הסדר זה יחול גם על בקשות קטינים לשחרור על תנאי.  מאוחר יותר, במסגרת תיקונים נוספים, הוארכה הוראת השעה לתקופות נוספות.  במסגרת התיקון הרביעי, נקבע כי הוראת השעה תהפוך להסדר קבוע. עוד נקבע כי הדיווח בדבר אופן פעילות היחידה, הניתן אחת לשנה, מטעם השר לביטחון פנים לוועדת החוקה חוק ומשפט של הכנסת, ימשיך כל עוד עומדת בתוקפה הכרזה על מצב חירום כליאתי בהתאם לסעיף 19כ לפקודת בתי הסוהר [נוסח חדש], התשל"ב–1971. </t>
  </si>
  <si>
    <t xml:space="preserve">הצעת חוק רישוי שירותים ומקצועות בענף הרכב (תיקון - קידום תחרות בשוק שירותי הרכב), התשפ"ה-2025</t>
  </si>
  <si>
    <t xml:space="preserve"> (פ/5323/25)</t>
  </si>
  <si>
    <t xml:space="preserve">הצעת חוק חסינות חברי הכנסת, זכויותיהם וחובותיהם (תיקון - חובת גילוי של מסחר בניירות ערך לחבר בוועדת הכספים או הכלכלה של הכנסת), התשפ"ה-2025</t>
  </si>
  <si>
    <t xml:space="preserve"> (פ/5321/25)</t>
  </si>
  <si>
    <t xml:space="preserve"> (פ/5320/25)</t>
  </si>
  <si>
    <t xml:space="preserve">הצעת חוק למניעת אלימות במשפחה (תיקון - מתן צו הגנה בהליך פלילי), התשפ"ה-2025</t>
  </si>
  <si>
    <t xml:space="preserve"> (פ/5319/25)</t>
  </si>
  <si>
    <t xml:space="preserve">הצעת חוק סיירות ביטחון ברשויות המקומיות (הוראת שעה), התשפ"ה-2025</t>
  </si>
  <si>
    <t xml:space="preserve"> (פ/5318/25)</t>
  </si>
  <si>
    <t xml:space="preserve"> (פ/5316/25)</t>
  </si>
  <si>
    <t xml:space="preserve">הצעת חוק חינוך ממלכתי (תיקון - חינוך ממלכתי חרדי), התשפ"ה-2025</t>
  </si>
  <si>
    <t xml:space="preserve"> (פ/5315/25)</t>
  </si>
  <si>
    <t xml:space="preserve">הצעת חוק העונשין (תיקון - עונש מינימום על החזקת נשק בלתי חוקי), התשפ''ה-2025</t>
  </si>
  <si>
    <t xml:space="preserve"> (פ/5314/25)</t>
  </si>
  <si>
    <t xml:space="preserve">הצעת חוק הגנת הצרכן (תיקון - משלוח חשבונית ושובר זיכוי לצרכן בדרך מקוונת), התשפ"ה-2025</t>
  </si>
  <si>
    <t xml:space="preserve"> (פ/5313/25)</t>
  </si>
  <si>
    <t xml:space="preserve">הצעת חוק-יסוד: ישראל - מדינת הלאום של העם היהודי (תיקון - עיגון מעמדה של העדה הדרוזית)</t>
  </si>
  <si>
    <t xml:space="preserve"> (פ/5312/25)</t>
  </si>
  <si>
    <t xml:space="preserve">הצעת חוק חובת פרסום הודעות באינטרנט, התשפ"ה-2025 </t>
  </si>
  <si>
    <t xml:space="preserve"> (פ/5310/25)</t>
  </si>
  <si>
    <t xml:space="preserve">הצעת חוק הגנת הפרטיות (תיקון - איסור פרסום שמו של נפגע), התשפ"ה-2025</t>
  </si>
  <si>
    <t xml:space="preserve"> (פ/5309/25)</t>
  </si>
  <si>
    <t xml:space="preserve"> (פ/5308/25)</t>
  </si>
  <si>
    <t xml:space="preserve"> (פ/5307/25)</t>
  </si>
  <si>
    <t xml:space="preserve"> (פ/5306/25)</t>
  </si>
  <si>
    <t xml:space="preserve">הצעת חוק סדר הדין הפלילי (סמכויות אכיפה - מעצרים) (תיקון - מעצר עד תום ההליכים בגין עבירה של סחיטה באיומים), התשפ"ה-2025</t>
  </si>
  <si>
    <t xml:space="preserve"> (פ/5305/25)</t>
  </si>
  <si>
    <t xml:space="preserve">הצעת חוק הביטוח הלאומי (תיקון - מענק חודשי לתושבי הצפון שלא פונו מבתיהם) (הוראת שעה), התשפ"ה-2025</t>
  </si>
  <si>
    <t xml:space="preserve"> (פ/5303/25)</t>
  </si>
  <si>
    <t xml:space="preserve">הצעת חוק סמכויות שעת חירום (מעצרים) (תיקון - מעצרים מינהליים בגין חברות בארגון טרור), התשפ"ד-2024</t>
  </si>
  <si>
    <t xml:space="preserve"> (פ/4558/25)</t>
  </si>
  <si>
    <t xml:space="preserve">01.01.2025</t>
  </si>
  <si>
    <t xml:space="preserve">הצעת חוק מעמד המשרת בשירות צבאי או לאומי, התשפ"ה-2024</t>
  </si>
  <si>
    <t xml:space="preserve"> (פ/5006/25)</t>
  </si>
  <si>
    <t xml:space="preserve"> (פ/4970/25)</t>
  </si>
  <si>
    <t xml:space="preserve"> (פ/4657/25)</t>
  </si>
  <si>
    <t xml:space="preserve">הצעת חוק החיילים המשוחררים (החזרה לעבודה) (תיקון - הרחבת ההגנה מפני פיטורין), התשפ"ד-2024</t>
  </si>
  <si>
    <t xml:space="preserve"> (פ/4254/25)</t>
  </si>
  <si>
    <t xml:space="preserve">הצעת חוק-יסוד: מניעת חקיקה למטרות יחיד או קבוצות קטנות</t>
  </si>
  <si>
    <t xml:space="preserve"> (פ/3899/25)</t>
  </si>
  <si>
    <t xml:space="preserve">הצעת חוק חינוך ממלכתי (תיקון - חינוך פיננסי), התשפ"ג-2023</t>
  </si>
  <si>
    <t xml:space="preserve"> (פ/3846/25)</t>
  </si>
  <si>
    <t xml:space="preserve">הצעת חוק הביטוח הלאומי (תיקון - השוואת קצבת אזרח ותיק וקצבת נכות לשכר מינימום), התשפ"ג-2023</t>
  </si>
  <si>
    <t xml:space="preserve"> (פ/1628/25)</t>
  </si>
  <si>
    <t xml:space="preserve">חוק ההתייעלות הכלכלית (תיקוני חקיקה להשגת יעדי התקציב לשנת 2025) (מיסוי רווחים לא מחולקים), התשפ"ה-2024 </t>
  </si>
  <si>
    <t xml:space="preserve"> (מ/1808)</t>
  </si>
  <si>
    <t xml:space="preserve">31.12.2024</t>
  </si>
  <si>
    <t xml:space="preserve">החוק מסדיר את מיסוי הרווחים שלא חולקו בחברות מעטים. החוק קובע כי בעל מניות יחיד, הפעיל בחברה שמחזור עסקיה נמוך מ-30 מיליון ש"ח ושיעור רווחיותה עולה על 25%, יחויב במס שולי על הרווחים העודפים. נקבע מנגנון מיסוי לחברות מעטים המחזיקות בשותפויות, בהתאם להיקף הרווחים המיוחסים להן. בנוסף, הוטל מס של 2% על רווחים לא מחולקים, עם אפשרות לחלופה בדמות חלוקה של 6% מהרווחים בפועל. החוק כולל פטור לחברות עם רווחים צבורים הנמוכים מ-750,000 ש"ח, החרגה לחברות תעשייתיות וקבלנים, וכן הוראת שעה לשנת 2025 המאפשרת פירוק חברות בפטור ממס.</t>
  </si>
  <si>
    <t xml:space="preserve">הצעת חוק העונשין (תיקון - עונש מינימום על עבירת אונס וביטול סייג הקלה מטעמים מיוחדים), התשפ"ה-2024</t>
  </si>
  <si>
    <t xml:space="preserve"> (פ/5301/25)</t>
  </si>
  <si>
    <t xml:space="preserve">30.12.2024</t>
  </si>
  <si>
    <t xml:space="preserve">הצעת חוק חסינות חברי הכנסת, זכויותיהם וחובותיהם (תיקון - ביקור במוסדות ובמתקנים סגורים ותחולה באזור), התשפ"ה-2024</t>
  </si>
  <si>
    <t xml:space="preserve"> (פ/5300/25)</t>
  </si>
  <si>
    <t xml:space="preserve">הצעת חוק זיהוי קורבנות אסון (זק"א), התשפ"ה-2024</t>
  </si>
  <si>
    <t xml:space="preserve"> (פ/5299/25)</t>
  </si>
  <si>
    <t xml:space="preserve">הצעת חוק האזורים הימיים, התשפ"ה-2024</t>
  </si>
  <si>
    <t xml:space="preserve"> (פ/5298/25)</t>
  </si>
  <si>
    <t xml:space="preserve">הצעת חוק מרכזי חירום ושליטה ביישובים סמוכי גבול, התשפ"ה-2024</t>
  </si>
  <si>
    <t xml:space="preserve"> (פ/5297/25)</t>
  </si>
  <si>
    <t xml:space="preserve">הצעת חוק שירות המילואים (תיקון - חייל מילואים בודד), התשפ"ה-2024</t>
  </si>
  <si>
    <t xml:space="preserve"> (פ/5296/25)</t>
  </si>
  <si>
    <t xml:space="preserve">הצעת חוק הדחת נציג ציבור התומך במאבק מזוין נגד מדינת ישראל (תיקוני חקיקה), התשפ''ה-2024 </t>
  </si>
  <si>
    <t xml:space="preserve"> (פ/5295/25)</t>
  </si>
  <si>
    <t xml:space="preserve">הצעת חוק שלילת הטבות מבכירים במערכת הביטחון, התשפ"ה-2024 </t>
  </si>
  <si>
    <t xml:space="preserve"> (פ/5294/25)</t>
  </si>
  <si>
    <t xml:space="preserve">הצעת חוק שירות המילואים (תיקון - הפחתת שיעור המס שחל על תגמולים למשרתי מילואים), התשפ"ה-2024</t>
  </si>
  <si>
    <t xml:space="preserve"> (פ/5293/25)</t>
  </si>
  <si>
    <t xml:space="preserve">הצעת חוק הרשות הארצית לכבאות והצלה (תיקון - איסור התארגנות), התשפ"ה-2024 </t>
  </si>
  <si>
    <t xml:space="preserve"> (פ/5292/25)</t>
  </si>
  <si>
    <t xml:space="preserve">הצעת חוק להגדלת היצע הדיור ברשויות מקומיות (תיקוני חקיקה), התשפ"ה-2024</t>
  </si>
  <si>
    <t xml:space="preserve"> (פ/5291/25)</t>
  </si>
  <si>
    <t xml:space="preserve">הצעת חוק-יסוד: משאל עם (תיקון - חובת אישור החלת ריבונות במשאל עם)</t>
  </si>
  <si>
    <t xml:space="preserve"> (פ/5290/25)</t>
  </si>
  <si>
    <t xml:space="preserve">הצעת חוק גירוש מיידי של מסתננים התומכים במשטר מדינתם, התשפ"ה-2024</t>
  </si>
  <si>
    <t xml:space="preserve"> (פ/5288/25)</t>
  </si>
  <si>
    <t xml:space="preserve">הצעת חוק העונשין (תיקון - תקיפת עיתונאי או איש תקשורת), התשפ"ה-2024</t>
  </si>
  <si>
    <t xml:space="preserve"> (פ/5286/25)</t>
  </si>
  <si>
    <t xml:space="preserve">הצעת חוק שירות המדינה (מינויים) (תיקון - שקיפות בתהליך קבלה לעבודה), התשפ"ה-2024</t>
  </si>
  <si>
    <t xml:space="preserve"> (פ/5285/25)</t>
  </si>
  <si>
    <t xml:space="preserve">הצעת חוק האפוטרופוס הכללי (תיקון - ניהול נכסי מקרקעין), התשפ"ה-2024 </t>
  </si>
  <si>
    <t xml:space="preserve"> (פ/5284/25)</t>
  </si>
  <si>
    <t xml:space="preserve">הצעת חוק שוויון יישובים דרוזיים וצ'רקסיים, התשפ"ה-2024</t>
  </si>
  <si>
    <t xml:space="preserve"> (פ/5283/25)</t>
  </si>
  <si>
    <t xml:space="preserve">הצעת חוק התובע הכללי, התשפ"ה-2024</t>
  </si>
  <si>
    <t xml:space="preserve"> (פ/5282/25)</t>
  </si>
  <si>
    <t xml:space="preserve">הצעת חוק הבנקאות (שירות ללקוח) (תיקון - ניוד פקדונות ללקוחות הבנקים ללא העברת חשבון בנק), התשפ"ה-2024</t>
  </si>
  <si>
    <t xml:space="preserve"> (פ/5281/25)</t>
  </si>
  <si>
    <t xml:space="preserve">הצעת חוק צער בעלי חיים (הגנה על בעלי חיים) (תיקון - המעמד המשפטי של בעלי חיים), התשפ"ה-2024</t>
  </si>
  <si>
    <t xml:space="preserve"> (פ/5280/25)</t>
  </si>
  <si>
    <t xml:space="preserve">הצעת חוק תשלומים לפדויי שבי ולחטופים ששוחררו (תיקון - החזר הוצאות לקרוב של פדוי שבי מאושפז או של פדוי שבי שנדרש להשגחה צמודה), התשפ"ה-2024</t>
  </si>
  <si>
    <t xml:space="preserve"> (פ/5277/25)</t>
  </si>
  <si>
    <t xml:space="preserve">הצעת חוק התגמולים לנפגעי פעולות איבה (תיקון - משפחה מלווה ליתומים בגירים), התשפ"ה-2024</t>
  </si>
  <si>
    <t xml:space="preserve"> (פ/5275/25)</t>
  </si>
  <si>
    <t xml:space="preserve">הצעת חוק תקשורת דיגיטלית עם גופים ציבוריים (תיקון - אישור קבלה ועדכון על מצב הטיפול בפנייה), התשפ"ה-2024 </t>
  </si>
  <si>
    <t xml:space="preserve"> (פ/5274/25)</t>
  </si>
  <si>
    <t xml:space="preserve">הצעת חוק הבחירות לכנסת (תיקון - הצבעה על ידי אזרחים בחוץ לארץ), התשפ"ה-2024</t>
  </si>
  <si>
    <t xml:space="preserve"> (פ/5272/25)</t>
  </si>
  <si>
    <t xml:space="preserve"> (פ/5271/25)</t>
  </si>
  <si>
    <t xml:space="preserve">הצעת חוק למתן הטבות למשרתים במילואים (קדימות בתור לטיפולי בריאות הפה והשיניים - הוראת שעה - חרבות ברזל), התשפ"ה-2024 </t>
  </si>
  <si>
    <t xml:space="preserve"> (פ/5270/25)</t>
  </si>
  <si>
    <t xml:space="preserve">הצעת חוק לידה שקטה (תיקוני חקיקה), התשפ"ה-2024</t>
  </si>
  <si>
    <t xml:space="preserve"> (פ/5269/25)</t>
  </si>
  <si>
    <t xml:space="preserve">הצעת חוק זכויות הסטודנט (תיקון - הקלות בקבלה ללימודים אקדמיים למי ששירת כלוחם), התשפ"ה-2024</t>
  </si>
  <si>
    <t xml:space="preserve"> (פ/5268/25)</t>
  </si>
  <si>
    <t xml:space="preserve">הצעת חוק שירות המילואים (תיקון - הקצאת מקומות למשרתי מילואים באירועי תרבות וספורט), התשפ"ה-2024</t>
  </si>
  <si>
    <t xml:space="preserve"> (פ/5266/25)</t>
  </si>
  <si>
    <t xml:space="preserve">הצעת חוק לתיקון פקודת התעבורה (חובת הפעלת קווי תחבורה ציבורית ישירים לבתי חולים), התשפ"ה-2024</t>
  </si>
  <si>
    <t xml:space="preserve"> (פ/5265/25)</t>
  </si>
  <si>
    <t xml:space="preserve">הצעת חוק הבנקאות (שירות ללקוח) (תיקון - מתן שירותי הפקדה בכל כספומט בנקאי), התשפ"ה-2024</t>
  </si>
  <si>
    <t xml:space="preserve"> (פ/5264/25)</t>
  </si>
  <si>
    <t xml:space="preserve">הצעת חוק קבלת ילד של משרת מילואים למעון יום והשתתפות המדינה בעלות שכר הלימוד בו, התשפ"ה-2024</t>
  </si>
  <si>
    <t xml:space="preserve"> (פ/5002/25)</t>
  </si>
  <si>
    <t xml:space="preserve">25.12.2024</t>
  </si>
  <si>
    <t xml:space="preserve"> (פ/5001/25)</t>
  </si>
  <si>
    <t xml:space="preserve">הצעת חוק העונשין (תיקון - פריצה למיתקן ביטחוני), התשפ"ה-2024</t>
  </si>
  <si>
    <t xml:space="preserve"> (פ/4914/25)</t>
  </si>
  <si>
    <t xml:space="preserve">הצעת חוק הביטוח הלאומי (תיקון - משלוח הודעה בדבר זכאות המבוטח), התשפ"ג-2023</t>
  </si>
  <si>
    <t xml:space="preserve"> (פ/2795/25)</t>
  </si>
  <si>
    <t xml:space="preserve"> (פ/1176/25)</t>
  </si>
  <si>
    <t xml:space="preserve">24.12.2024</t>
  </si>
  <si>
    <t xml:space="preserve">חוק ההתייעלות הכלכלית (תיקוני חקיקה להשגת יעדי התקציב לשנת התקציב 2025) (הקפאת עדכוני מס ומס יסף), התשפ"ה-2024</t>
  </si>
  <si>
    <t xml:space="preserve">החוק קובע הקפאה של עדכוני סכומים במס הכנסה ובמיסוי מקרקעין כהוראת שעה לשנים 2025-2027, לרבות תקרות הכנסה, נקודות זיכוי, קצבאות, מדרגות מס רכישה ופטור ממס שבח. ההקפאה לא חלה על מענק מס הכנסה שלילי. כמו כן, הוטל מס יסף נוסף של 2% על הכנסה ממקורות הוניים, החורגת מתקרת הכנסה שנתית של 721,560 ש"ח (לשנת 2024). </t>
  </si>
  <si>
    <t xml:space="preserve">חוק הסמכת צבא הגנה לישראל ושירות הביטחון הכללי לביצוע חדירה לחומר מחשב המשמש להפעלת מצלמה נייחת ופעולה בו (הוראת שעה – חרבות ברזל) (תיקון מס' 3), התשפ"ה-2024</t>
  </si>
  <si>
    <t xml:space="preserve"> (מ/1824)</t>
  </si>
  <si>
    <t xml:space="preserve">חוק הסמכת צבא הגנה לישראל ושירות הביטחון הכללי לביצוע חדירה לחומר מחשב המשמש להפעלת מצלמה נייחת ופעולה בו (הוראת שעה – חרבות ברזל), התשפ"ד–2023, מסמיך את צבא הגנה לישראל ואת השירות הביטחון הכללי לחדור לחומר מחשב הנמצא במחשב המפעיל מצלמה נייחת, לשם סיכול או מניעה של גישה למידע החזותי המופק במצלמה, אם יש בו כדי לסכן באופן ממשי את ביטחון המדינה או את רציפות התפקוד המבצעי של צבא הגנה לישראל, בקשר לפעילות במסגרת מלחמת "חרבות ברזל". כמו כן, נקבעו בו הסדרים שונים הנוגעים למידתיות הפעלת הסמכויות, תיעוד וחובת דיווח לוועדת המשנה למודיעין ולשירותים חשאיים של ועדת החוץ והביטחון של הכנסת.  במסגרת תיקון מס' 3, הוארך תקופת תוקפה של הוראת השעה עד ליום ד' בתמוז התשפ"ה (30 ביוני 2025). </t>
  </si>
  <si>
    <t xml:space="preserve">חוק לתיקון פקודת בתי הסוהר (מס' 64 – הוראת שעה – חרבות ברזל) (מצב חירום כליאתי) (תיקון מס' 3), התשפ"ה-2024 </t>
  </si>
  <si>
    <t xml:space="preserve"> (מ/1827)</t>
  </si>
  <si>
    <t xml:space="preserve">במסגרת תיקון מספר 64 לפקודת בתי הסוהר [נוסח חדש], התשל"ב–1971, נקבע, כהוראת שעה, כי השר לביטחון לאומי, בהמלצת נציב בתי הסוהר ובהסכמת ראש הממשלה ושר הביטחון, יהיה רשאי להכריז על מצב חירום כליאתי אם שוכנע, נוכח הפעולות הצבאיות המשמעותיות שעליהן החליטה ועדת השרים לענייני ביטחון לאומי לפי סעיף 40 לחוק-יסוד: הממשלה, והודיעה לגביהן לוועדת החוץ והביטחון של הכנסת ביום כ"ג בתשרי התשפ"ד (8 באוקטובר 2023), כי יש צורך במקומות כליאה נוספים באופן מיידי או שעל סמך חוות דעת גורמי הביטחון יש סבירות גבוהה שיהיה צורך כאמור. במסגרת זאת יהיה ניתן להלין אסירים ועצורים ביטחוניים, בתנאים מסוימים, תוך חריגה מהוראות הדין לעניין שטח מחיה ולהלינם שלא על מיטה, בחריגה מהוראות הדין לעניין זכאות למיטה. עם זאת, החוק מאפשר למנהל בית הסוהר להפעיל את סמכותו זו גם לעניין תאים שמוחזקים בהם אסירים אחרים.  בתיקון מספר 3, הוארך תוקפה של הוראת השעה המסדירה את ההכרזה על מצב חירום כליאתי בשל המצב הביטחוני השורר במדינה, עד ליום ו' באב התשפ"ה (31 ביולי 2025); לצד הארכת תוקפה של ההכרזה על מצב חירום כליאתי, עד ליום ל' בשבט התשפ"ה (28 בפברואר 2025). עוד נקבע כי בעת ההכרזה כאמור, תתאפשר חריגה מהוראות הדין גם לעניין החזקה בנפרד של עצורים מינהליים ולוחמים בלתי חוקיים מאסירים ביטחוניים שפוטים, כפי שכעת מתאפשר לעניין שטח המחיה וזכאות למיטה. כן נקבע כי הממשלה תהיה רשאית להאריך את ההכרזה לתקופות של עד חודשיים בכל פעם, ורווחו פרקי הזמן להעברת הדיווחים שמועברים לוועדה לביטחון לאומי של הכנסת במסגרת ההכרזה על מצב חירום כליאתי, כך שהם יועברו אחת לחודש במקום אחת לשבועיים. </t>
  </si>
  <si>
    <t xml:space="preserve">חוק הפחתת הגירעון והגבלת ההוצאה התקציבית (תיקון מס' 27), התשפ"ה-2024</t>
  </si>
  <si>
    <t xml:space="preserve"> (מ/1814)</t>
  </si>
  <si>
    <t xml:space="preserve">23.12.2024</t>
  </si>
  <si>
    <t xml:space="preserve"> מוצע להעלות את תקרת הגירעון לשנת 2024 כך ששיעור הגירעון הכולל לא יעלה על 7.7% מהתוצר הלאומי הגולמי (במקום שיעור של 6.6%), וכן להגדיל את ההוצאה הממשלתית המותרת בשנת 2024 בשיעור של 17.8% מסך ההוצאה הממשלתית לשנת 2023 לצורך המשך מימון הצרכים הצבאיים ובשיעור של 4.3% לצורך המשך מימון הצרכים האזרחיים הנובעים במישרין מהלחימה.    </t>
  </si>
  <si>
    <t xml:space="preserve">חוק תקציב נוסף לשנת הכספים 2024 (מס' 3), התשפ"ה-2024</t>
  </si>
  <si>
    <t xml:space="preserve"> (מ/1817)</t>
  </si>
  <si>
    <t xml:space="preserve">מוצע לקבוע כי תקציב ההוצאה לשנת הכספים 2024 יעמוד על 760,585,079,000 שקלים חדשים המורכב מתקציב רגיל בסך 557,712,771,000 שקלים חדשים ומתקציב פיתוח וחשבון הון בסך 202,872,308,000 שקלים חדשים.</t>
  </si>
  <si>
    <t xml:space="preserve">הצעת חוק הפיקוח על שירותים פיננסיים (ביטוח) (תיקון - חברות זרות), התשפ"ה-2024</t>
  </si>
  <si>
    <t xml:space="preserve"> (פ/5260/25)</t>
  </si>
  <si>
    <t xml:space="preserve">הצעת חוק הצמדת שכר שוטרים וסוהרים לשכר משרתי קבע בצה"ל (תיקוני חקיקה), התשפ"ה-2024</t>
  </si>
  <si>
    <t xml:space="preserve"> (פ/5259/25)</t>
  </si>
  <si>
    <t xml:space="preserve">הצעת חוק הממשלה (תיקון - ביצוע בדיקת פוליגרף לחברי ועדת השרים לענייני ביטחון לאומי), התשפ"ה-2024</t>
  </si>
  <si>
    <t xml:space="preserve"> (פ/5257/25)</t>
  </si>
  <si>
    <t xml:space="preserve">הצעת חוק גנים לאומיים, שמורות טבע, אתרים לאומיים ואתרי הנצחה (תיקון - כניסת חתן וכלה ללא תשלום), התשפ"ה-2024</t>
  </si>
  <si>
    <t xml:space="preserve"> (פ/5254/25)</t>
  </si>
  <si>
    <t xml:space="preserve">הצעת חוק מסירת מידע לחברי הכנסת ולוועדות הכנסת (תיקוני חקיקה), התשפ"ה-2024</t>
  </si>
  <si>
    <t xml:space="preserve"> (פ/5253/25)</t>
  </si>
  <si>
    <t xml:space="preserve">הצעת חוק שירות המדינה (מינויים) (תיקון - מניעת העסקת קרובי משפחה בשירות הציבורי), התשפ"ה-2024</t>
  </si>
  <si>
    <t xml:space="preserve"> (פ/5252/25)</t>
  </si>
  <si>
    <t xml:space="preserve">הצעת חוק קידום התחרות בענפי המזון והפארם (תיקון - עדכון הגדרת קמעונאי גדול), התשפ"ה-2024</t>
  </si>
  <si>
    <t xml:space="preserve"> (פ/5251/25)</t>
  </si>
  <si>
    <t xml:space="preserve">הצעת חוק הנגישות הלשונית, התשפ"ה-2024</t>
  </si>
  <si>
    <t xml:space="preserve"> (פ/5246/25)</t>
  </si>
  <si>
    <t xml:space="preserve">הצעת חוק הדגל, הסמל והמנון המדינה (תיקון - הצבת דגל המדינה בכל כיתות הלימוד בבתי הספר היסודיים והתיכוניים במדינת ישראל), התשפ"ה-2024</t>
  </si>
  <si>
    <t xml:space="preserve"> (פ/5245/25)</t>
  </si>
  <si>
    <t xml:space="preserve">הצעת חוק העונשין (תיקון - איסור מכירה והחזקה של צעצועים מסוכנים), התשפ"ה-2024</t>
  </si>
  <si>
    <t xml:space="preserve"> (פ/5244/25)</t>
  </si>
  <si>
    <t xml:space="preserve"> (פ/5243/25)</t>
  </si>
  <si>
    <t xml:space="preserve">הצעת חוק הביטוח הלאומי (תיקון - דמי ביטוח מופחתים למעסיק קולט עלייה), התשפ"ה-2024</t>
  </si>
  <si>
    <t xml:space="preserve"> (פ/5242/25)</t>
  </si>
  <si>
    <t xml:space="preserve">הצעת חוק הביטוח הלאומי (תיקון - הקלות בניידות), התשפ"ה-2024</t>
  </si>
  <si>
    <t xml:space="preserve"> (פ/5241/25)</t>
  </si>
  <si>
    <t xml:space="preserve">הצעת חוק הסיוע המשפטי (תיקון - סיוע משפטי למטופל סיעודי), התשפ"ה-2024</t>
  </si>
  <si>
    <t xml:space="preserve"> (פ/5240/25)</t>
  </si>
  <si>
    <t xml:space="preserve"> (פ/5239/25)</t>
  </si>
  <si>
    <t xml:space="preserve">הצעת חוק חינוך טכנולוגי חובה, התשפ"ה-2024</t>
  </si>
  <si>
    <t xml:space="preserve"> (פ/5238/25)</t>
  </si>
  <si>
    <t xml:space="preserve">הצעת חוק חינוך חינם לילדים חולים (תיקון - חלופות אשפוז), התשפ"ה-2024</t>
  </si>
  <si>
    <t xml:space="preserve"> (פ/5237/25)</t>
  </si>
  <si>
    <t xml:space="preserve">הצעת חוק הביטוח הלאומי (תיקון - תיאום דמי ביטוח), התשפ"ה-2024</t>
  </si>
  <si>
    <t xml:space="preserve"> (פ/5236/25)</t>
  </si>
  <si>
    <t xml:space="preserve">הצעת חוק הכניסה לישראל (תיקון - הרחקת מבצעי עבירת פשע), התשפ"ה-2024</t>
  </si>
  <si>
    <t xml:space="preserve"> (פ/5234/25)</t>
  </si>
  <si>
    <t xml:space="preserve">הצעת חוק פיקוח על מחירי מצרכים ושירותים (תיקון - פיקוח על מחיר מלח מועשר ביוד), התשפ"ה-2024</t>
  </si>
  <si>
    <t xml:space="preserve"> (פ/5232/25)</t>
  </si>
  <si>
    <t xml:space="preserve">הצעת חוק פטור מאגרה ללוחמים בשירות מילואים בנסיעה בכבישי אגרה ובנתיבים מהירים (תיקוני חקיקה), התשפ"ה-2024 </t>
  </si>
  <si>
    <t xml:space="preserve"> (פ/5231/25)</t>
  </si>
  <si>
    <t xml:space="preserve">הצעת חוק פיקוח על רווחי שיווק בתוצרת חקלאית, התשפ"ה-2024</t>
  </si>
  <si>
    <t xml:space="preserve"> (פ/5229/25)</t>
  </si>
  <si>
    <t xml:space="preserve"> (פ/5228/25)</t>
  </si>
  <si>
    <t xml:space="preserve"> (פ/5226/25)</t>
  </si>
  <si>
    <t xml:space="preserve">חוק ההתייעלות הכלכלית (תיקוני חקיקה להשגת יעדי התקציב לשנת התקציב 2025) (הקפאת שכר נושאי משרה ברשויות השלטון וברשויות מקומיות בשנת 2025), התשפ"ה–2024</t>
  </si>
  <si>
    <t xml:space="preserve">18.12.2024</t>
  </si>
  <si>
    <t xml:space="preserve">מוצע לקבוע כי בשנת 2025 לא תעודכן משכורתם של נושאי משרה מסוימים ברשויות השלטון וברשויות המקומיות בהתאם לשינוי השכר הממוצע, וכן שלא תעודכן משכורתם של נושאי משרה כאמור שמשכורתם מעודכנת לפי מדד המחירים לצרכן.</t>
  </si>
  <si>
    <t xml:space="preserve">חוק לתיקון פקודת מס הכנסה (מס' 275), התשפ"ה–2024</t>
  </si>
  <si>
    <t xml:space="preserve">החוק קובע כי שיעור הפטור ממס על קצבה פנסיונית יעלה בהדרגה במהלך השנים, כך שבשנת 2025 יעמוד הפטור על 57%, בשנת 2026 על 57.5%, בשנת 2027 על 62.5%, ובשנת 2028 ואילך יעמוד על 67%. </t>
  </si>
  <si>
    <t xml:space="preserve">חוק לייעול האכיפה והפיקוח העירוניים ברשויות המקומיות (הוראת שעה) (תיקון מס' 14), התשפ"ה-2024</t>
  </si>
  <si>
    <t xml:space="preserve">החוק לייעול האכיפה והפיקוח העירוניים ברשויות המקומיות נחקק כהוראת שעה בשנת 2011, והחל כפיילוט במספר רשויות מקומיות. מטרת החוק הינה ייעול יכולת הפיקוח והאכיפה של הרשויות המקומיות בעבירות שבתחום אחריותן וכן סיוע למשטרת ישראל בפעולות למניעת אלימות. לשם כך החוק מסמיך פקחים עירוניים ומסדיר את הקמתו של מערך שיטור עירוני. לאורך השנים הוראת השעה הוארכה מספר פעמים ותחולתה הורחבה לרשויות נוספות.  בתיקון מספר 14 לחוק, תוקן סעיף 23, כך שתוקפו של החוק הוארך לתקופת זמן נוספת ועד ליום כ"א בשבט התשפ"ה (19 בפברואר 2025). </t>
  </si>
  <si>
    <t xml:space="preserve">הצעת חוק מעמד המשרת בשירות סדיר או בשירות אזרחי, התשפ"ד-2024</t>
  </si>
  <si>
    <t xml:space="preserve"> (פ/4865/25)</t>
  </si>
  <si>
    <t xml:space="preserve">הצעת חוק מעמד המשרת בשירות צבאי או לאומי, התשפ"ד-2024</t>
  </si>
  <si>
    <t xml:space="preserve"> (פ/4709/25)</t>
  </si>
  <si>
    <t xml:space="preserve">הצעת חוק קדימות בתור לחיילים, התשפ"ד-2024 </t>
  </si>
  <si>
    <t xml:space="preserve"> (פ/4402/25)</t>
  </si>
  <si>
    <t xml:space="preserve">הצעת חוק שירות המדינה (מינויים) (תיקון - מתן העדפה למשרתים בהעדפה מתקנת), התשפ"ג-2023</t>
  </si>
  <si>
    <t xml:space="preserve"> (פ/3040/25)</t>
  </si>
  <si>
    <t xml:space="preserve">הצעת חוק זכויות התורמים למדינה, התשפ"ג-2023</t>
  </si>
  <si>
    <t xml:space="preserve"> (פ/2561/25)</t>
  </si>
  <si>
    <t xml:space="preserve">הצעת חוק למתן הטבות למשרתים במילואים, התשפ"ה-2024</t>
  </si>
  <si>
    <t xml:space="preserve">הצעת חוק לימוד חובה (תיקון - ביטול גביית תשלומי הורים והשתתפות עצמית), התשפ"ד-2024</t>
  </si>
  <si>
    <t xml:space="preserve"> (פ/4537/25)</t>
  </si>
  <si>
    <t xml:space="preserve">הצעת חוק העונשין (תיקון - איסור מכירה והחזקה של צעצועים מסוכנים), התשפ"ד-2024</t>
  </si>
  <si>
    <t xml:space="preserve"> (פ/4535/25)</t>
  </si>
  <si>
    <t xml:space="preserve">הצעת חוק חינוך ממלכתי (תיקון - מועצה לחינוך ממלכתי כללי), התשפ"ד-2024</t>
  </si>
  <si>
    <t xml:space="preserve"> (פ/4385/25)</t>
  </si>
  <si>
    <t xml:space="preserve">הצעת חוק-יסוד: ישראל - מדינת הלאום של העם היהודי (תיקון - ביטול החוק)</t>
  </si>
  <si>
    <t xml:space="preserve"> (פ/1118/25)</t>
  </si>
  <si>
    <t xml:space="preserve">הצעת חוק זכויות התלמיד (תיקון - הנפקת תעודות בגרות), התשפ"ג-2022</t>
  </si>
  <si>
    <t xml:space="preserve"> (פ/562/25)</t>
  </si>
  <si>
    <t xml:space="preserve">הצעת חוק איסור לכידת בעלי חיים באמצעות מלכודות, התשפ"ג-2023</t>
  </si>
  <si>
    <t xml:space="preserve"> (פ/3509/25)</t>
  </si>
  <si>
    <t xml:space="preserve">17.12.2024</t>
  </si>
  <si>
    <t xml:space="preserve">חוק משפחות חיילים שנספו במערכה (תגמולים ושיקום) (תיקון מס' 45), התשפ"ה–2024</t>
  </si>
  <si>
    <t xml:space="preserve"> (פ/4708/25)</t>
  </si>
  <si>
    <t xml:space="preserve"> (כ/1065)</t>
  </si>
  <si>
    <t xml:space="preserve">חוק זה מגדיל את סל ההטבות והמענים שניתנים לבנות ובני זוג לשעבר של נופלי מערכות ישראל ולכל אדם שמגדל יתום של נספה כאמור שאינו אלמן או אלמנה של הנספה. ראשית, הוגדל סכום התגמול בעד יתום שסמוך על שולחנה של בת זוג לשעבר מ-5,800 ₪ ל-8,500 ₪. תגמול זה ישולם גם לאדם אחר שיתום של נספה סמוך על שולחנו. שנית, נקבע מענק חד פעמי לרכישת רכב בסכום 52,866 שקלים. שלישית, נקבע מענק חודשי לסיוע בהוצאות מימון מדור של משכנתא או שכירות בסכום של עד 2,500 שקלים לחודש, לתקופה של עד שלוש שנים או עד שצעיר היתומים הגיע לגיל 21. רביעית, נקבע סיוע במימון טיפול נפשי עד שצעיר היתומים הגיע לגיל 30. לבסוף, נקבעה למי שיתום של נספה סמוך על שולחנו זכאות להיעדר מהעבודה ביום הזיכרון לחללי מערכות ישראל ונפגעי פעולות האיבה. הוראות אלו יחולו גם על בת זוג לשעבר של אדם שנפטר כתוצאה מפגיעת איבה או על אדם שיתום של מי שנפטר כתוצאה מפגיעה כאמור סמוך על שולחנו.  הוראות אלה יחולו גם  אם יום פטירת הנספה היה לפני יום תחילתו של החוק, אולם התשלומים לפיהן ישולמו מכאן ואילך. נוסף על כך, נקבע כי העלאת התגמול עבור יתום תעשה מיום כ"ב בתשרי התשפ"ד (7 באוקטובר 2023), וההפרש בין סכום התגמול שכבר שולם מאז המועד האמור לבין הסכום הגבוה לפי הצעת החוק ישולם לזכאים באופן רטרואקטיבי. כמו כן, נקבע כי מענק הרכב והמענק למדור ישולמו גם הם החל מיום התחילה למי שיתום של נספה היה סמוך על שולחנו לפני יום התחילה, בתנאי שביום התחילה היתום טרם הגיע לגיל 21.  </t>
  </si>
  <si>
    <t xml:space="preserve">הצעת חוק מס ערך מוסף (תיקון - סובסידיה בגני ילדים), התשפ"ה-2024</t>
  </si>
  <si>
    <t xml:space="preserve"> (פ/5225/25)</t>
  </si>
  <si>
    <t xml:space="preserve">16.12.2024</t>
  </si>
  <si>
    <t xml:space="preserve">הצעת חוק רשות מקרקעי ישראל (תיקון - הקצאת קרקע בלא תמורה באזורי עדיפות לאומית לחיילים וחיילות בתפקידי לוחמה ולמשרתי מילואים), התשפ"ה-2024</t>
  </si>
  <si>
    <t xml:space="preserve"> (פ/5224/25)</t>
  </si>
  <si>
    <t xml:space="preserve">הצעת חוק חינוך פיננסי חובה, התשפ"ה-2024</t>
  </si>
  <si>
    <t xml:space="preserve"> (פ/5221/25)</t>
  </si>
  <si>
    <t xml:space="preserve">הצעת חוק מגבלות על חזרתו של מורשע בעבירת אלימות חמורה לסביבת נפגעי העבירה, התשפ"ה-2024</t>
  </si>
  <si>
    <t xml:space="preserve"> (פ/5217/25)</t>
  </si>
  <si>
    <t xml:space="preserve"> (פ/5216/25)</t>
  </si>
  <si>
    <t xml:space="preserve">הצעת חוק רשות מקרקעי ישראל (תיקון - הקצאת קרקע בלא תמורה בנגב או בגליל למשרת מילואים), התשפ"ה-2024</t>
  </si>
  <si>
    <t xml:space="preserve"> (פ/5212/25)</t>
  </si>
  <si>
    <t xml:space="preserve">הצעת חוק המאבק בטרור (תיקון - העלאת רף ענישה לנותני שירות או מידע לארגוני טרור או מדינות אויב המממנות פעילויות טרור), התשפ"ה-2024</t>
  </si>
  <si>
    <t xml:space="preserve"> (פ/5211/25)</t>
  </si>
  <si>
    <t xml:space="preserve">הצעת חוק העונשין (תיקון - עונש מנימום והחמרת הענישה בעבירת הסתה לגזענות שנעברה בידי עובד ציבור), התשפ"ה-2024</t>
  </si>
  <si>
    <t xml:space="preserve"> (פ/5209/25)</t>
  </si>
  <si>
    <t xml:space="preserve">הצעת חוק המאבק בטרור (תיקון - החמרת ענישה), התשפ"ה-2024</t>
  </si>
  <si>
    <t xml:space="preserve"> (פ/5208/25)</t>
  </si>
  <si>
    <t xml:space="preserve"> (פ/5207/25)</t>
  </si>
  <si>
    <t xml:space="preserve">הצעת חוק הבנקאות (שירות ללקוח) (תיקון - מסירת מידע על פוליסות ביטוח), התשפ"ה-2024</t>
  </si>
  <si>
    <t xml:space="preserve"> (פ/5206/25)</t>
  </si>
  <si>
    <t xml:space="preserve">הצעת חוק עוסק בכלכלת הפלטפורמה, התשפ"ה-2024</t>
  </si>
  <si>
    <t xml:space="preserve"> (פ/5205/25)</t>
  </si>
  <si>
    <t xml:space="preserve">הצעת חוק שיקים ללא כיסוי (תיקון - הודעה על אי-כיבוד הרשאה לחיוב חשבון), התשפ"ה-2024</t>
  </si>
  <si>
    <t xml:space="preserve"> (פ/5204/25)</t>
  </si>
  <si>
    <t xml:space="preserve">הצעת חוק הבנקאות (שירות ללקוח) (תיקון - מסירת מידע על עמלות וריביות בשל פירעון מוקדם של הלוואה), התשפ"ה-2024</t>
  </si>
  <si>
    <t xml:space="preserve"> (פ/5203/25)</t>
  </si>
  <si>
    <t xml:space="preserve">הצעת חוק שירות המילואים (תיקון - ביטוח פנסיוני), התשפ"ה-2024</t>
  </si>
  <si>
    <t xml:space="preserve"> (פ/5202/25)</t>
  </si>
  <si>
    <t xml:space="preserve">הצעת חוק הביטוח הלאומי (תיקון - מסלול ברירת מחדל בהפקדות לחיסכון ארוך טווח לילד), התשפ"ה-2024</t>
  </si>
  <si>
    <t xml:space="preserve"> (פ/5200/25)</t>
  </si>
  <si>
    <t xml:space="preserve">הצעת חוק ההתנתקות והפיצויים לנפגעיה (תיקון - נוכחות וחופש תנועה לישראלים בחבל עזה), התשפ"ה-2024 </t>
  </si>
  <si>
    <t xml:space="preserve"> (פ/5199/25)</t>
  </si>
  <si>
    <t xml:space="preserve">הצעת חוק מס ערך מוסף (תיקון - העברת חובות לתשלום מס ערך מוסף בייבוא שירותים דיגיטליים), התשפ"ה-2024</t>
  </si>
  <si>
    <t xml:space="preserve"> (פ/5198/25)</t>
  </si>
  <si>
    <t xml:space="preserve">הצעת חוק טיפול בפעוט עם מוגבלות (תיקוני חקיקה), התשפ"ה-2024</t>
  </si>
  <si>
    <t xml:space="preserve"> (פ/5197/25)</t>
  </si>
  <si>
    <t xml:space="preserve">הצעת חוק פיתוח והתחדשות של יישובים באזור חבל תקומה (תיקוני חקיקה, פיצויים, הטבות, הנצחה והוראת שעה), התשפ"ה-2024</t>
  </si>
  <si>
    <t xml:space="preserve"> (פ/5194/25)</t>
  </si>
  <si>
    <t xml:space="preserve">הצעת חוק תקצוב מיוחד לרשויות חינוך מקומיות מרוחקות, התשפ"ה-2024</t>
  </si>
  <si>
    <t xml:space="preserve"> (פ/5193/25)</t>
  </si>
  <si>
    <t xml:space="preserve">הצעת חוק הרשות לגיל הרך, התשפ"ה-2024</t>
  </si>
  <si>
    <t xml:space="preserve"> (פ/5192/25)</t>
  </si>
  <si>
    <t xml:space="preserve">הצעת חוק חינוך ממלכתי (תיקון - חינוך פיננסי), התשפ"ה-2024</t>
  </si>
  <si>
    <t xml:space="preserve"> (פ/5190/25)</t>
  </si>
  <si>
    <t xml:space="preserve">הצעת חוק לתיקון פקודת מס הכנסה (זיכוי למעסיק שעובדיו משרתים במילואים), התשפ"ה-2024</t>
  </si>
  <si>
    <t xml:space="preserve"> (פ/5188/25)</t>
  </si>
  <si>
    <t xml:space="preserve">הצעת חוק החברות (תיקון - פרסום דוחות כספיים של מונופול), התשפ"ה-2024</t>
  </si>
  <si>
    <t xml:space="preserve"> (פ/5187/25)</t>
  </si>
  <si>
    <t xml:space="preserve">הצעת חוק אסדרת שוק הקנאביס לצריכה עצמית, התשפ"ה-2024</t>
  </si>
  <si>
    <t xml:space="preserve"> (פ/5184/25)</t>
  </si>
  <si>
    <t xml:space="preserve">הצעת חוק הרשות לפיתוח הנגב (תיקון - הגדרת הנגב), התשפ"ה-2024</t>
  </si>
  <si>
    <t xml:space="preserve"> (פ/5182/25)</t>
  </si>
  <si>
    <t xml:space="preserve"> (פ/5181/25)</t>
  </si>
  <si>
    <t xml:space="preserve">הצעת חוק חסינות חברי הכנסת, זכויותיהם וחובותיהם (תיקון - התנהגות חברי הכנסת במליאה ובוועדות), התשפ"ה-2024</t>
  </si>
  <si>
    <t xml:space="preserve"> (פ/5179/25)</t>
  </si>
  <si>
    <t xml:space="preserve"> (פ/5178/25)</t>
  </si>
  <si>
    <t xml:space="preserve"> (פ/5177/25)</t>
  </si>
  <si>
    <t xml:space="preserve">הצעת חוק צער בעלי חיים (הגנה על בעלי חיים) (תיקון - איסור שימוש בבעלי חיים במוסד חינוך או תרבות), התשפ"ה-2024</t>
  </si>
  <si>
    <t xml:space="preserve"> (פ/5176/25)</t>
  </si>
  <si>
    <t xml:space="preserve">הצעת חוק הרשויות המקומיות (בחירת ראש הרשות וסגניו וכהונתם) (תיקון מס' 40), התשפ"ה-2024</t>
  </si>
  <si>
    <t xml:space="preserve"> (פ/4611/25)</t>
  </si>
  <si>
    <t xml:space="preserve"> (כ/1063)</t>
  </si>
  <si>
    <t xml:space="preserve">חוק הגנה על הציבור מפני ארגוני פשיעה, התשפ"ה-2024</t>
  </si>
  <si>
    <t xml:space="preserve"> (פ/4386/25)</t>
  </si>
  <si>
    <t xml:space="preserve"> (כ/1034)</t>
  </si>
  <si>
    <t xml:space="preserve">11.12.2024</t>
  </si>
  <si>
    <t xml:space="preserve">במסגרת החוק נקבע, כהוראת שעה למשך שנתיים, כי נשיא בית המשפט המחוזי או סגנו רשאי, לבקשת המפכ"ל או קצין בדרגת ניצב המכהן כראש אגף החקירות והמודיעין במשטרת ישראל ולאחר אישור היועץ המשפטי לממשלה או מי שהוא הסמיך לכך מטעמו או אצל לו את סמכותו, להטיל בצו מגבלות על אדם הפועל במסגרת ארגון פשיעה, אם שוכנע כי יש יסוד סביר להניח כי הוצאת הצו והמגבלות הקבועות בו, בהתחשב ברמת הסיכון הנשקפת מאותו אדם, חיונית למניעת פגיעה חמורה בביטחונו של אדם, וכי לא ניתן להשיג את מטרת הצו באמצעות הדין הפלילי ובדרך שפגיעתה פחותה (להלן – צו הגבלה שיפוטי). המגבלות אותן ניתן להטיל כאמור מנויות בחוק, וכוללות, בין היתר, מגבלה על כניסה למקום בארץ, איסור יציאה ממקום המגורים, איסור על קיום קשר עם אדם ואף איסור יציאה מהארץ. לצד זאת, נקבע כי תוקפו של הצו שיינתן לא יעלה על חודשיים, למעט בצו הנוגע למגבלת איסור יציאה ממקום מגורים, שתוקפו לא יעלה על 45 ימים. ניתן להטיל צו לתקופה קצרה מכך, ולהאריכו לתקופות נוספות שלא יעלו במצטבר על התקופה המרבית. יחד עם זאת, אין מניעה להורות על הוצאת צו הגבלה שיפוטי חדש בתום התקופה המרבית. מעבר לכך, בית המשפט שהוציא את הצו, רשאי לקבוע בו סמכויות למשטרת ישראל לשם הבטחת קיומו של הצו, לרבות כניסה למקום המשמש למגוריו של האדם שכלפיו הוצא הצו, חיפוש על גופו וחדירה לחומר מחשב הנמצא בחזקתו או שליטתו.  כמו כן, נקבעו הסדרים נוספים בחוק, וביניהם: סדרי הדין להגשת הבקשה להוצאת צו כאמור והדיון בבקשה, עיון חוזר בבקשה וערר, סמכות מעצר נגד אדם שהפר צו הגבלה שיפוטי ובכלל זה עונש מאסר של ארבע שנים אשר לא יפחת מרבע מהעונש, אלא אם כן החליט בית המשפט להקל בעונש מטעמים מיוחדים שיירשמו, וכן חובת דיווח של השר לביטחון לאומי לוועדה לביטחון לאומי של הכנסת אחת לארבעה חודשים בדבר מימוש החוק.  </t>
  </si>
  <si>
    <t xml:space="preserve">חוק מניעת מימון לייצוג משפטי בידי מדינת ישראל (חשוד, נאשם או מורשע בעבירת ביטחון - חרבות ברזל), התשפ"ה–2024</t>
  </si>
  <si>
    <t xml:space="preserve"> (פ/4154/25)</t>
  </si>
  <si>
    <t xml:space="preserve"> (כ/1047)</t>
  </si>
  <si>
    <t xml:space="preserve">החוק קובע ששכרם של סניגורים שימונו או שמונו החל מה-7 באוקטובר 2023 על ידי בית המשפט למי שחשוד, נאשם או הורשע בעבירת ביטחון הקשורה לאירועי ה-7 באוקטובר או במסגרת מלחמת חרבות ברזל, יקוזז מהכספים אותם מעבירה ממשלת ישראל לרשות הפלסטינית.</t>
  </si>
  <si>
    <t xml:space="preserve">הצעת חוק הכניסה לישראל (תיקון - אי-מתן אשרה ורישיון ישיבה לקורא להשמדתה של מדינת ישראל או אזרחיה), התשפ"ד-2024</t>
  </si>
  <si>
    <t xml:space="preserve"> (פ/4604/25)</t>
  </si>
  <si>
    <t xml:space="preserve">הצעת חוק דמי מחלה (היעדרות בשל מחלת ילד) (תיקון - ימי מחלה נוספים בשל מחלת ילד לבני זוג של משרתי מילואים), התשפ"ד-2024</t>
  </si>
  <si>
    <t xml:space="preserve"> (פ/4235/25)</t>
  </si>
  <si>
    <t xml:space="preserve">הצעת חוק לתיקון פקודת מס הכנסה (נקודות זיכוי להורי חיילים), התשפ"ד-2023</t>
  </si>
  <si>
    <t xml:space="preserve"> (פ/3977/25)</t>
  </si>
  <si>
    <t xml:space="preserve">הצעת חוק בתי המשפט (תיקון - שקיפות בארגונים נתמכים), התשפ"ג-2023</t>
  </si>
  <si>
    <t xml:space="preserve"> (פ/3174/25)</t>
  </si>
  <si>
    <t xml:space="preserve">הצעת חוק איסור הפליה במוצרים, בשירותים ובכניסה למקומות בידור ולמקומות ציבוריים (תיקון - הגדלת סכום הפיצוי בלא הוכחת נזק), התשפ"ג-2023</t>
  </si>
  <si>
    <t xml:space="preserve"> (פ/3136/25)</t>
  </si>
  <si>
    <t xml:space="preserve">הצעת חוק לתיקון פקודת תעריף המכס והפטורים (העלאת רף הפטור ממכס על חפצים ל-400 דולר), התשפ"ג-2023</t>
  </si>
  <si>
    <t xml:space="preserve"> (פ/2441/25)</t>
  </si>
  <si>
    <t xml:space="preserve">הצעת חוק המאבק בטרור (תיקון - אי-החזרת גופות מחבלים), התשפ"ג-2023</t>
  </si>
  <si>
    <t xml:space="preserve"> (פ/1219/25)</t>
  </si>
  <si>
    <t xml:space="preserve">הצעת חוק-יסוד: שירות מילואים</t>
  </si>
  <si>
    <t xml:space="preserve"> (פ/4582/25)</t>
  </si>
  <si>
    <t xml:space="preserve">10.12.2024</t>
  </si>
  <si>
    <t xml:space="preserve">הצעת חוק הקפאת כספים ששילמה הרשות הפלסטינית בזיקה לטרור מהכספים המועברים אליה מממשלת ישראל (תיקון - חילוט הכספים וניהולם), התשפ"ד-2024</t>
  </si>
  <si>
    <t xml:space="preserve"> (פ/4379/25)</t>
  </si>
  <si>
    <t xml:space="preserve">הצעת חוק הקפאת כספים ששילמה הרשות הפלסטינית בזיקה לטרור מהכספים המועברים אליה מממשלת ישראל (תיקון - חילוט הכספים וניהולם), התשפ"ג-2023</t>
  </si>
  <si>
    <t xml:space="preserve"> (פ/2453/25)</t>
  </si>
  <si>
    <t xml:space="preserve">חוק רישום קבלנים לעבודות הנדסה בנאיות (תיקון מס' 8), התשפ"ה-2024</t>
  </si>
  <si>
    <t xml:space="preserve"> (מ/1784)</t>
  </si>
  <si>
    <t xml:space="preserve">09.12.2024</t>
  </si>
  <si>
    <t xml:space="preserve">הוסמך רשם הקבלנים לפי חוק רישום קבלנים לעבודות הנדסה בנאיות, התשכ"ט–1969 שלא לרשום או לבטל את הרישום בפנקס הקבלנים או לנקוט הליכים משמעתיים אחרים נגד מי שהרשם השתכנע בעקבות המלצת משטרת ישראל שנתן קצין משטרה בכיר, כי הוא מעורב במעשים העלולים לגרום לפגיעה בשלום הציבור וביטחונו או של פגיעה מהותית בענף, בהחלטה יתחשב הרשם בחומרת המעשים, מהותם, זיקתם לביצוע עבודה ועוד פרטיים המנויים בהצעה.  שונה הרכב המועצה המייעצת לשר, המועצה המוצעת תכלול 8 חברים ולא 17 שרובם נציגי ציבור והיא תייעץ לשר לעניין קביעת הוראות לפי החוק. כמו כן נקבעה סמכות לשר להסמכת פקחים לפי החוק האמור ולתת בהתאמה סמכויות פיקוח לפקחים שיוסמכו. </t>
  </si>
  <si>
    <t xml:space="preserve">חוק להסדרת הפיקוח על כלבים (תיקון מס' 6 – הוראת שעה – חרבות ברזל) (תיקון), התשפ"ה-2024</t>
  </si>
  <si>
    <t xml:space="preserve"> (מ/1813)</t>
  </si>
  <si>
    <t xml:space="preserve">החוק מאריך את תוקפה של הוראת השעה שנועדה להתמודד עם תופעת הכלבים המשוטטים שנכנסו מרצועת עזה לשטחי המדינה בשל פריצת גדר המערכת ומלחמת חרבות ברזל. לפי הוראת השעה, וטרינר עירוני מוסמך להורות על המתת כלב שנתפס בטווח של עד 20 קילומטרים מגדר המערכת המקיפה את רצועת עזה, שמתקיימים לגביו תנאים כמפורט בהוראת השעה, ארבעה ימים ממועד העברתו למכלאה ("מאורת הרשות" בלשון החוק), ולא לאחר עשרה ימים מהמועד האמור כפי שקובע החוק המקורי. הוראת השעה עמדה בתוקפה עד ליום כ"ט בחשוון התשפ"ה (30 בנובמבר 2024), והחוק מאריך את תוקפה עד ליום ב' בניסן התשפ"ה (31 במרץ 2025.(  בנוסף, החוק משנה את המועד הקבוע בחוק לדיווח שר החקלאות וביטחון המזון לוועדת הכלכלה על יישום הוראת השעה, כך שבמקום חודש לאחר תום תקופת הוראת השעה, ידווח השר לוועדה על יישום הוראת השעה לא יאוחר מיום ל' בכסלו התשפ"ה (31 בדצמבר 2024), וכן במועד נוסף הסמוך לתום תוקפה של הוראת השעה, כפי שהוארכה, וזאת לא יאוחר מיום ט"ז באדר התשפ"ה (16 במרץ 2025(</t>
  </si>
  <si>
    <t xml:space="preserve">הצעת חוק-יסוד: השפיטה (תיקון - מינוי נשיא לבית המשפט העליון)</t>
  </si>
  <si>
    <t xml:space="preserve"> (פ/5174/25)</t>
  </si>
  <si>
    <t xml:space="preserve">הצעת חוק משפחות חיילים שנספו במערכה (תגמולים ושיקום) (תיקון - פטור מתשלום בתחבורה ציבורית), התשפ"ה-2024</t>
  </si>
  <si>
    <t xml:space="preserve"> (פ/5172/25)</t>
  </si>
  <si>
    <t xml:space="preserve">הצעת חוק התכנון והבנייה (תיקון - האצת פיתוח תשתיות מלונאות) (הוראת שעה), התשפ"ה-2024</t>
  </si>
  <si>
    <t xml:space="preserve"> (פ/5171/25)</t>
  </si>
  <si>
    <t xml:space="preserve">הצעת חוק-יסוד: הממשלה (תיקון - ייצוג הממשלה בערכאות משפטיות)</t>
  </si>
  <si>
    <t xml:space="preserve"> (פ/5170/25)</t>
  </si>
  <si>
    <t xml:space="preserve">הצעת חוק לייעול הפיקוח של ועדת החוץ והביטחון של הכנסת, התשפ"ה-2024</t>
  </si>
  <si>
    <t xml:space="preserve"> (פ/5169/25)</t>
  </si>
  <si>
    <t xml:space="preserve">הצעת חוק שירות המילואים (תיקון - חובת יידוע חיילי מילואים בלתי מועסקים בדבר אחריות להפקדות פנסיוניות), התשפ"ה-2024</t>
  </si>
  <si>
    <t xml:space="preserve"> (פ/5168/25)</t>
  </si>
  <si>
    <t xml:space="preserve">הצעת חוק הסדרים במשק המדינה (תיקוני חקיקה להשגת יעדי התקציב) (תיקון - זכאות כפולה להנחה בארנונה למשרת מילואים שהוא הורה לילד נכה), התשפ"ה-2024</t>
  </si>
  <si>
    <t xml:space="preserve"> (פ/5167/25)</t>
  </si>
  <si>
    <t xml:space="preserve">הצעת חוק הממשלה (תיקון - ועדת שרים לענייני ביטחון לאומי), התשפ"ה-2024</t>
  </si>
  <si>
    <t xml:space="preserve"> (פ/5166/25)</t>
  </si>
  <si>
    <t xml:space="preserve"> (פ/5165/25)</t>
  </si>
  <si>
    <t xml:space="preserve">הצעת חוק התקשורת (בזק ושידורים) (תיקון - איסור על שליחת מסרוני פלאש), התשפ"ה-2024</t>
  </si>
  <si>
    <t xml:space="preserve"> (פ/5163/25)</t>
  </si>
  <si>
    <t xml:space="preserve"> (פ/5162/25)</t>
  </si>
  <si>
    <t xml:space="preserve"> (פ/5160/25)</t>
  </si>
  <si>
    <t xml:space="preserve">הצעת חוק-יסוד: הכנסת (תיקון - סמכויות ועדת חקירה פרלמנטרית)</t>
  </si>
  <si>
    <t xml:space="preserve"> (פ/5158/25)</t>
  </si>
  <si>
    <t xml:space="preserve">הצעת חוק הפצת שידורים באמצעות תחנות שידור ספרתיות (תיקון מס' 7 - הוראת שעה) (תיקון - הארכת הוראת השעה), התשפ"ה-2024</t>
  </si>
  <si>
    <t xml:space="preserve"> (פ/5157/25)</t>
  </si>
  <si>
    <t xml:space="preserve">הצעת חוק הביטוח הלאומי (תיקון מס' 231) (תיקון - הפיכת הוראת השעה לעניין תשלום דמי ביטוח לסטודנטים הלומדים בחוץ לארץ להוראת קבע), התשפ"ה-2024</t>
  </si>
  <si>
    <t xml:space="preserve"> (פ/5156/25)</t>
  </si>
  <si>
    <t xml:space="preserve"> (פ/5155/25)</t>
  </si>
  <si>
    <t xml:space="preserve"> (פ/5154/25)</t>
  </si>
  <si>
    <t xml:space="preserve"> (פ/5153/25)</t>
  </si>
  <si>
    <t xml:space="preserve">הצעת חוק האזרחות והכניסה לישראל (הוראת שעה) (תיקון - הפיכת הוראת השעה להוראת קבע), התשפ"ה-2024 </t>
  </si>
  <si>
    <t xml:space="preserve"> (פ/5152/25)</t>
  </si>
  <si>
    <t xml:space="preserve">הצעת חוק סיירות ביטחון ברשויות המקומיות (הוראת שעה), התשפ"ה-2024</t>
  </si>
  <si>
    <t xml:space="preserve"> (פ/5151/25)</t>
  </si>
  <si>
    <t xml:space="preserve">הצעת חוק לתיקון פקודת התעבורה (אישור שימוש לרכב מנועי דו-גלגלי בנתיב תחבורה ציבורית), התשפ"ה-2024</t>
  </si>
  <si>
    <t xml:space="preserve"> (פ/5150/25)</t>
  </si>
  <si>
    <t xml:space="preserve">הצעת חוק לתיקון פקודת הרופאים (תנאים לקבלה ללימודי רפואה בעיר אילת), התשפ"ה-2024</t>
  </si>
  <si>
    <t xml:space="preserve"> (פ/5149/25)</t>
  </si>
  <si>
    <t xml:space="preserve">הצעת חוק פיקוח על מחירי מצרכים ושירותים (תיקון - הוספת נציגי משרד הבריאות לוועדה לפיקוח על המחירים), התשפ"ה-2024 </t>
  </si>
  <si>
    <t xml:space="preserve"> (פ/5148/25)</t>
  </si>
  <si>
    <t xml:space="preserve">הצעת חוק שירות המדינה (מינויים) (תיקון - ייצוג הולם ללוחמים), התשפ"ה-2024</t>
  </si>
  <si>
    <t xml:space="preserve"> (פ/5147/25)</t>
  </si>
  <si>
    <t xml:space="preserve">הצעת חוק-יסוד: ישראל - מדינת הלאום של העם היהודי (תיקון - קביעת מעמד מגילת העצמאות)</t>
  </si>
  <si>
    <t xml:space="preserve"> (פ/5146/25)</t>
  </si>
  <si>
    <t xml:space="preserve">הצעת חוק לתיקון פקודת המסים (גבייה) (חובת איתור חייבים), התשפ"ה-2024</t>
  </si>
  <si>
    <t xml:space="preserve"> (פ/5144/25)</t>
  </si>
  <si>
    <t xml:space="preserve">הצעת חוק תאגידי מים וביוב (תיקון - פטור ממס חברות, מס דיבידנד ומס ריבית על הלוואה לשנים 2024 עד 2026), התשפ"ה-2024</t>
  </si>
  <si>
    <t xml:space="preserve"> (פ/5143/25)</t>
  </si>
  <si>
    <t xml:space="preserve">הצעת חוק הפרטת תאגיד השידור הציבורי הישראלי, התשפ"ה-2024</t>
  </si>
  <si>
    <t xml:space="preserve"> (פ/5142/25)</t>
  </si>
  <si>
    <t xml:space="preserve">הצעת חוק הפרטת גלי צה"ל, התשפ"ה-2024</t>
  </si>
  <si>
    <t xml:space="preserve"> (פ/5141/25)</t>
  </si>
  <si>
    <t xml:space="preserve"> (פ/5140/25)</t>
  </si>
  <si>
    <t xml:space="preserve">הצעת חוק הגנה על עובדים בשעת חירום (תיקון - זכות לשכר בהיעדרות בשעת חירום), התשפ"ה-2024</t>
  </si>
  <si>
    <t xml:space="preserve"> (פ/5139/25)</t>
  </si>
  <si>
    <t xml:space="preserve">הצעת חוק שירות אזרחי (תיקון - מתנדב בודד או חסר עורף משפחתי), התשפ"ה-2024</t>
  </si>
  <si>
    <t xml:space="preserve"> (פ/5138/25)</t>
  </si>
  <si>
    <t xml:space="preserve"> (פ/5137/25)</t>
  </si>
  <si>
    <t xml:space="preserve">הצעת חוק זכויות הסטודנט (תיקון - שוויון בתקציב מלגות לסטודנטים במוסדות), התשפ"ה-2024</t>
  </si>
  <si>
    <t xml:space="preserve"> (פ/5136/25)</t>
  </si>
  <si>
    <t xml:space="preserve">הצעת חוק ליישוב תחת איום מיידי (הוראת שעה), התשפ"ה-2024</t>
  </si>
  <si>
    <t xml:space="preserve"> (פ/5134/25)</t>
  </si>
  <si>
    <t xml:space="preserve"> (פ/5133/25)</t>
  </si>
  <si>
    <t xml:space="preserve"> (פ/5132/25)</t>
  </si>
  <si>
    <t xml:space="preserve">הצעת חוק זכויות הסטודנט (תיקון - העדפה מתקנת ללוחמים), התשפ"ה-2024</t>
  </si>
  <si>
    <t xml:space="preserve"> (פ/5131/25)</t>
  </si>
  <si>
    <t xml:space="preserve">הצעת חוק להקמת אוניברסיטה בעיר אשדוד, התשפ"ה-2024</t>
  </si>
  <si>
    <t xml:space="preserve"> (פ/5130/25)</t>
  </si>
  <si>
    <t xml:space="preserve">הצעת חוק הביטוח הלאומי (תיקון - חישוב התגמול למשרתים במילואים), התשפ"ה-2024</t>
  </si>
  <si>
    <t xml:space="preserve"> (פ/5129/25)</t>
  </si>
  <si>
    <t xml:space="preserve">הצעת חוק לתיקון פקודת מס הכנסה (מס למשתכרים בשכר נמוך), התשפ"ה-2024</t>
  </si>
  <si>
    <t xml:space="preserve"> (פ/5128/25)</t>
  </si>
  <si>
    <t xml:space="preserve">הצעת חוק שירות התעסוקה (תיקון - הקמת לשכות תעסוקה), התשפ"ה-2024</t>
  </si>
  <si>
    <t xml:space="preserve"> (פ/5127/25)</t>
  </si>
  <si>
    <t xml:space="preserve">הצעת חוק יסודות התקציב (תיקון - תקציב המשטרה), התשפ"ה-2024</t>
  </si>
  <si>
    <t xml:space="preserve"> (פ/5126/25)</t>
  </si>
  <si>
    <t xml:space="preserve">הצעת חוק העברת הודעת פטירה, התשפ"ה-2024</t>
  </si>
  <si>
    <t xml:space="preserve"> (פ/5125/25)</t>
  </si>
  <si>
    <t xml:space="preserve"> (פ/5124/25)</t>
  </si>
  <si>
    <t xml:space="preserve">הצעת חוק המרכז לגביית קנסות, אגרות והוצאות (תיקון - פיצויים שהוטלו על ידי בית משפט צבאי), התשפ"ד-2024</t>
  </si>
  <si>
    <t xml:space="preserve"> (פ/4759/25)</t>
  </si>
  <si>
    <t xml:space="preserve">04.12.2024</t>
  </si>
  <si>
    <t xml:space="preserve">הצעת חוק המים (תיקון - קביעת תעריפי מים לחקלאות), התשפ"ד-2024</t>
  </si>
  <si>
    <t xml:space="preserve"> (פ/4640/25)</t>
  </si>
  <si>
    <t xml:space="preserve"> (פ/4473/25)</t>
  </si>
  <si>
    <t xml:space="preserve">חוק התכנון והבנייה (תיקון מס' 159), התשפ"ה-2024 </t>
  </si>
  <si>
    <t xml:space="preserve"> (מ/1803)</t>
  </si>
  <si>
    <t xml:space="preserve">הוחלט להאריך בשנה את הוראת השעה הנותנת סמכות לשר הפנים לתת צו הפוטר, בין השאר, מאישור תכנית וקבלת היתרים לצורך הקמת מתחם שישמש למגורים למי שפונו מביתהם בשל המצב הביטחוני המיוחד. </t>
  </si>
  <si>
    <t xml:space="preserve">חוק הרבנות הראשית לישראל (תיקון מס' 8), התשפ"ה-2024</t>
  </si>
  <si>
    <t xml:space="preserve"> (מ/1794)</t>
  </si>
  <si>
    <t xml:space="preserve">החוק עורך שינויים בהרכב האסיפה הבוחרת לרבנים הראשיים ולמועצת הרבנות הראשית. החוק מגדיר כי "רב" שניתן למנותו במסגרת 10 הרבנים שממונים לאסיפה הבוחרת על ידי הרבנים הראשיים, הוא רב שמוסמך לרבנות מטעם הרבנות הראשית לישראל או רב שבידו תעודת כשירות לכהונת רב עיר, רב אזורי, רב מושב או רב שכונה. כמו כן, נקבע רף מינימלי למינוי של נשים לנציגות ציבור, מכל אחת מהקבוצות המיוצגות באסיפה הבוחרת ומנגנון למקרים שבהם אין מספיק נשים שמשמשות בתפקידים בקבוצות האמורות. בנוסף, נקבעו הסדרים בנושא ניגוד עניינים. לבסוף, נקבע כי החל מהבחירות שיתקיימו אחרי הבחירות הקרובות למועצת הרבנות הראשית, הגדרות בעלי התפקידים שחברים באסיפה הבוחרת, יחולו גם לגבי מי שממלא תפקיד זה ביהודה ושומרון.</t>
  </si>
  <si>
    <t xml:space="preserve">הצעת חוק מנהלת מילואים, התשפ"ד-2024</t>
  </si>
  <si>
    <t xml:space="preserve"> (פ/4772/25)</t>
  </si>
  <si>
    <t xml:space="preserve">הצעת חוק סנקציות על תומכי טרור, התשפ"ד-2024</t>
  </si>
  <si>
    <t xml:space="preserve"> (פ/4377/25)</t>
  </si>
  <si>
    <t xml:space="preserve">הצעת חוק הרשויות המקומיות (פטור חיילים, נפגעי מלחמה ושוטרים מארנונה) (תיקון - הנחה בארנונה למשרת בשירות מילואים פעיל) (הוראת שעה), התשפ"ד-2024</t>
  </si>
  <si>
    <t xml:space="preserve"> (פ/4285/25)</t>
  </si>
  <si>
    <t xml:space="preserve">הצעת חוק הביטוח הלאומי (תיקון - עבודה מועדפת ביישובי עוטף הגבול הדרומי והצפוני) (הוראת שעה), התשפ"ד-2024</t>
  </si>
  <si>
    <t xml:space="preserve"> (פ/4207/25)</t>
  </si>
  <si>
    <t xml:space="preserve">הצעת חוק התגמולים לנפגעי פעולות איבה (תיקון - תגמול לכל החיים ליתום מהורה אחד), התשפ"ד-2023</t>
  </si>
  <si>
    <t xml:space="preserve"> (פ/4099/25)</t>
  </si>
  <si>
    <t xml:space="preserve">הצעת חוק לעידוד השקעות הון (תיקון - תחולה על מפעל תעשייתי ביישובים הסמוכים לגבול העימות בצפון, בשדרות וביישובי עוטף עזה), התשפ"ג-2023</t>
  </si>
  <si>
    <t xml:space="preserve"> (פ/3546/25)</t>
  </si>
  <si>
    <t xml:space="preserve">הצעת חוק האקלים, התשפ"ד-2024</t>
  </si>
  <si>
    <t xml:space="preserve"> (מ/1735)</t>
  </si>
  <si>
    <t xml:space="preserve">03.12.2024</t>
  </si>
  <si>
    <t xml:space="preserve">חוק מכוני כושר (רישוי ופיקוח) (תיקון מס' 4), התשפ"ה-2024</t>
  </si>
  <si>
    <t xml:space="preserve"> (מ/1795)</t>
  </si>
  <si>
    <t xml:space="preserve">02.12.2024</t>
  </si>
  <si>
    <t xml:space="preserve">החוק מבטל את חובת נוכחות מדריך במכון כושר בכל עת שנמצאים בו מתאמינים בגירים, עם זאת, נותרה עומדת בעינה חובת נוכחות מדריך לאימון קטינים בעת שקטינים מתאמנים במכון. בחוק נקבעה חובה לפיה כשמתאמן מצהיר בעת הרשמתו למכון כושר, כי זו הפעם הראשונה שבה הוא מתאמן במכון כושר, על המכון לספק לו מדריך שיעביר לו הדרכה הכוללת: תוכנית אימון מותאמת אישית, כללי הבטיחות במכון הכושר ודרכי הפעלת המכשירים. כמו כן, נקבעה חובת נוכחות של אדם שעבר קורס עזרה ראשונה במתחם בו נמצא מכון כושר בכל עת שבה לא נוכח מדריך. דרישות אלו לא יחולו על מכון כושר הנמצא בבניין מגורים, במקום עבודה או בבית מלון ובלבד שהוא אינו פתוח לציבור הרחב. </t>
  </si>
  <si>
    <t xml:space="preserve">הצעת חוק חידוש ופיתוח חבל התקומה (תיקוני חקיקה) (הוראת שעה), התשפ"ה-2024 </t>
  </si>
  <si>
    <t xml:space="preserve"> (פ/5122/25)</t>
  </si>
  <si>
    <t xml:space="preserve">הצעת חוק חידוש ופיתוח חבל התקומה, התשפ"ה-2024</t>
  </si>
  <si>
    <t xml:space="preserve"> (פ/5121/25)</t>
  </si>
  <si>
    <t xml:space="preserve"> (פ/5119/25)</t>
  </si>
  <si>
    <t xml:space="preserve">הצעת חוק מתן עדיפות בהשכרה לטווח ארוך למשרתי מילואים פעילים בתפקידי לחימה (תיקוני חקיקה), התשפ"ה-2024</t>
  </si>
  <si>
    <t xml:space="preserve"> (פ/5118/25)</t>
  </si>
  <si>
    <t xml:space="preserve">הצעת חוק התאמות בבחינת השתתפות המדינה בעלות שכר הלימוד במעון יום למשרתי מילואים, התשפ"ה-2024</t>
  </si>
  <si>
    <t xml:space="preserve"> (פ/5116/25)</t>
  </si>
  <si>
    <t xml:space="preserve">הצעת חוק-יסוד: הממשלה (תיקון - התפטרות ראש הממשלה או שר עקב הגשת כתב אישום)</t>
  </si>
  <si>
    <t xml:space="preserve"> (פ/5114/25)</t>
  </si>
  <si>
    <t xml:space="preserve"> (פ/5113/25)</t>
  </si>
  <si>
    <t xml:space="preserve">הצעת חוק הטבות למשרתים בשירות צבאי או אזרחי, התשפ"ה-2024</t>
  </si>
  <si>
    <t xml:space="preserve"> (פ/5112/25)</t>
  </si>
  <si>
    <t xml:space="preserve">הצעת חוק להקפאת קצבאות שמשולמות לפעיל טרור ומשפחתו מקופת המדינה, התשפ"ה-2024</t>
  </si>
  <si>
    <t xml:space="preserve"> (פ/5111/25)</t>
  </si>
  <si>
    <t xml:space="preserve">הצעת חוק להסדר ההימורים בספורט (תיקון - שימוש ביתרת ההכנסות על ידי המועצה), התשפ"ה-2024</t>
  </si>
  <si>
    <t xml:space="preserve"> (פ/5109/25)</t>
  </si>
  <si>
    <t xml:space="preserve"> (פ/5107/25)</t>
  </si>
  <si>
    <t xml:space="preserve">הצעת חוק מס ערך מוסף (תיקון - פטור ממס על בניית מרחב מוגן ביישוב צמוד גדר), התשפ"ה-2024</t>
  </si>
  <si>
    <t xml:space="preserve"> (פ/5106/25)</t>
  </si>
  <si>
    <t xml:space="preserve">הצעת חוק הצבת מכשירי החייאה במקומות ציבוריים (תיקון - הוספת רכבת לתוספת), התשפ"ה-2024</t>
  </si>
  <si>
    <t xml:space="preserve"> (פ/5105/25)</t>
  </si>
  <si>
    <t xml:space="preserve">הצעת חוק האזרחים הוותיקים (תיקון - הנחה בארנונה לאזרח ותיק המתגורר בדירה שאינה בהחזקתו), התשפ"ה-2024</t>
  </si>
  <si>
    <t xml:space="preserve"> (פ/5104/25)</t>
  </si>
  <si>
    <t xml:space="preserve">הצעת חוק לתיקון פקודת מס הכנסה (פטור ממס למשרת מילואים פעיל) (הוראת שעה - חרבות ברזל), התשפ"ה-2024</t>
  </si>
  <si>
    <t xml:space="preserve"> (פ/5103/25)</t>
  </si>
  <si>
    <t xml:space="preserve"> (פ/5101/25)</t>
  </si>
  <si>
    <t xml:space="preserve">הצעת חוק-יסוד: השפיטה (תיקון - שלילת זכות עמידה למתגמל טרור)</t>
  </si>
  <si>
    <t xml:space="preserve"> (פ/5100/25)</t>
  </si>
  <si>
    <t xml:space="preserve">הצעת חוק הגבלת השימוש ורישום פעולות בחלקי רכב משומשים (מניעת גניבות) (תיקון - חובות החלות בעת רכישה או מכירה של רכב ניזוק), התשפ"ה-2024</t>
  </si>
  <si>
    <t xml:space="preserve"> (פ/5098/25)</t>
  </si>
  <si>
    <t xml:space="preserve">הצעת חוק לתיקון פקודת הדיג (איסור דיג מכמורת), התשפ"ה-2024</t>
  </si>
  <si>
    <t xml:space="preserve"> (פ/5097/25)</t>
  </si>
  <si>
    <t xml:space="preserve">הצעת חוק הביטוח הלאומי (תיקון - חישוב התגמול לעצמאים בשירות מילואים), התשפ"ה-2024</t>
  </si>
  <si>
    <t xml:space="preserve"> (פ/5095/25)</t>
  </si>
  <si>
    <t xml:space="preserve">הצעת חוק לתיקון פקודת העיריות (עובדים משטחי הרשות הפלסטינית), התשפ"ה-2024</t>
  </si>
  <si>
    <t xml:space="preserve"> (פ/5093/25)</t>
  </si>
  <si>
    <t xml:space="preserve">הצעת חוק קרן פיצויים לנזקי הפשיעה החקלאית, התשפ"ה-2024</t>
  </si>
  <si>
    <t xml:space="preserve"> (פ/5092/25)</t>
  </si>
  <si>
    <t xml:space="preserve">הצעת חוק פיקוח על מחירי מצרכים ושירותים (תיקון - פיקוח על מוצרי מזון בריא בסיסיים), התשפ"ה-2024 </t>
  </si>
  <si>
    <t xml:space="preserve"> (פ/5091/25)</t>
  </si>
  <si>
    <t xml:space="preserve">חוק העונשין (תיקון מס' 151), התשפ"ה–2024</t>
  </si>
  <si>
    <t xml:space="preserve"> (פ/4485/25)</t>
  </si>
  <si>
    <t xml:space="preserve"> (כ/1035)</t>
  </si>
  <si>
    <t xml:space="preserve">27.11.2024</t>
  </si>
  <si>
    <t xml:space="preserve">החוק קובע כי עבירת תקיפת סוהר, שהייתה מוסדרת כחלק מעבירת 'תקיפת עובד ציבור' תקבל התייחסות פרטנית בחוק העונשין, וכי הסימן בחוק העונשין שעניינו בתקיפה או הפרעה לשוטר, יחול בשינויים מסוימים גם על תקיפה או הפרעה לסוהר.</t>
  </si>
  <si>
    <t xml:space="preserve">חוק שוויון ההזדמנויות בעבודה (תיקון מס' 27), התשפ"ה–2024</t>
  </si>
  <si>
    <t xml:space="preserve"> (פ/1084/25)</t>
  </si>
  <si>
    <t xml:space="preserve"> (כ/1049)</t>
  </si>
  <si>
    <t xml:space="preserve">חוק זה מאריך  לחמש שנים את תקופת ההתיישנות בתביעה אזרחית על הפרת הוראות חוק שוויון ההזדמנויות בעבודה, התשמ"ח–1988, או הוראות פרק ד' שבחוק שוויון זכויות לאנשים עם מוגבלות, התשנ"ח–1988, (שעמדה קודם לכן על שלוש שנים). אולם, אם התביעה כאמור היא של דורש עבודה, תקופת ההתיישנות לעניינו תישאר שלוש שנים. </t>
  </si>
  <si>
    <t xml:space="preserve">חוק לתיקון פקודת בתי הסוהר (מס' 67 והוראת שעה), התשפ"ה-2024 </t>
  </si>
  <si>
    <t xml:space="preserve"> (מ/1804)</t>
  </si>
  <si>
    <t xml:space="preserve">ביום כ"ט בחשוון התשע"ט (7 בנובמבר 2018), פורסם חוק לתיקון פקודת בתי הסוהר (מס' 54 והוראת שעה), התשע"ט–2018, כאחד המענים לפסיקת בית המשפט העליון בבג"ץ 1892/14 האגודה לזכויות האזרח בישראל נ' השר לביטחון פנים, בה נקבע כי יש להגדיל את מרחב המחיה של האסירים בבתי הסוהר, וזאת באמצעות הרחבת תקופות השחרור המנהלי הקבועות בפקודת בתי הסוהר. מנגנון השחרור המנהלי קובע כי נציב בתי הסוהר יורה על שחרור אסירים לפני תום תקופת מאסרם ובתנאי שריצו לפחות מחצית מתקופת מאסרם, כדי להקל על הצפיפות בבתי הסוהר, לפי התקופות הקבועות כחוק. ההרחבה דאז לא הוחלה על אסירים ביטחוניים, ובהמשך נערכו שינויים נוספים, במסגרתם נקבע, כהוראת שעה, כי אסירים ביטחוניים לא יהיו זכאים לשחרור מנהלי כלל, וכן נקבעו מגבלות שונות ביחס לאסירים שהורשעו בעבירות מין ואלימות. במסגרת תיקון מס' 67, הוארכה תקופת תוקפה של הוראת השעה המסדירה תקופות שחרור מינהלי מורחבות עד ליום י"א בטבת התשפ"ו (31 בדצמבר 2025). בנוסף, נקבע כי ההוראה הקובעת כי אסירים ביטחוניים לא יהיו זכאים לשחרור מינהלי תהפוך להוראה קבועה. עוד נקבע כי תקן הכליאה, שהוא מספר האסירים שאם חורגים ממנו יש להחיל בשחרור מנהלי, ימשיך לעמוד על 14,500 מקומות כליאה עד ליום ד' בתמוז התשפ"ה (30 ביוני 2025). </t>
  </si>
  <si>
    <t xml:space="preserve">חוק כליאתם של לוחמים בלתי חוקיים (תיקון מס' 4 והוראת שעה – חרבות ברזל) (תיקון מס' 3), התשפ"ה-2024</t>
  </si>
  <si>
    <t xml:space="preserve"> (מ/1810)</t>
  </si>
  <si>
    <t xml:space="preserve">חוק כליאתם של לוחמים בלתי חוקיים, התשס"ב–2002, נועד להסדיר את כליאתם של לוחמים בלתי חוקיים, אשר אינם זכאים למעמד של שבויי מלחמה, בדרך העולה בקנה אחד עם מחויבויותיה של מדינת ישראל לפי הוראות המשפט הבין-לאומי ההומניטרי. בין שלל ההסדרים בחוק זה, נכללים גם ביקורת שיפוטית על כליאתו של לוחם בלתי חוקי, זכאותו לפגישה עם עורך דין וייצוגו ותנאי כליאתו. במקרים שבהם הכריזה הממשלה על מלחמה או הודיעה על נקיטת פעולות צבאיות משמעותיות, הממשלה, באישור ועדת החוץ והביטחון, מוסמכת להכריז על שינויים בתחולת החוק. במהלך תקופת תוקפה של ההכרזה, התקופות המנויות בחוק ארוכות יותר והדרג המוסמך לקבל החלטות לפי החוק נמוך יותר. חוק כליאתם של לוחמים בלתי חוקיים (תיקון מס' 4 והוראת שעה – חרבות ברזל), התשפ"ד–2023, קבע, כהוראת שעה, כי במקרה של הכרזה כאמור, יוארכו התקופות המנויות בחוק אף יותר, הורד הדרג המוסמך לאשר הגבלות על פגישה עם עורך דין, וכן נקבע כי ניתן יהיה לקיים דיונים בדרך של היוועדות חזותית. הוראת השעה הוארכה מאז מספר פעמים, בתיקונים שונים. במסגרת תיקון מספר 3, הוארכה תוקפה של הוראת השעה כאמור עד ליום ב' בניסן התשפ"ה (31 במרץ 2025), וכן הוארכה תקופת תוקפה של הכרזת הממשלה על שינויים בתחולת החוק עד ליום ל' בשבט התשפ"ה (28 בפברואר 2025). עוד נקבע כי ההוראות הנוגעות לקיום דיונים בנוכחות הכלוא דרך היוועדות חזותית ולמבקרים רשמיים במתקן הכליאה יחולו במנותק מהכרזת הממשלה כאמור אך עדיין במסגרת הוראת השעה. </t>
  </si>
  <si>
    <t xml:space="preserve"> (פ/4453/25)</t>
  </si>
  <si>
    <t xml:space="preserve">הצעת חוק הממשלה (תיקון - ביצוע בדיקת פוליגרף לחברי ועדת השרים לענייני ביטחון לאומי), התשפ"ד-2024</t>
  </si>
  <si>
    <t xml:space="preserve"> (פ/4197/25)</t>
  </si>
  <si>
    <t xml:space="preserve">הצעת חוק ביטוח בריאות ממלכתי (תיקון - סבסוד מחוללי חמצן ניידים), התשפ"ג-2023</t>
  </si>
  <si>
    <t xml:space="preserve"> (פ/2789/25)</t>
  </si>
  <si>
    <t xml:space="preserve">הצעת חוק ההוצאה לפועל (תיקון מס' 78) (דיין הוצאה לפועל), התשפ"ה-2024 </t>
  </si>
  <si>
    <t xml:space="preserve"> (מ/1805)</t>
  </si>
  <si>
    <t xml:space="preserve">26.11.2024</t>
  </si>
  <si>
    <t xml:space="preserve">הצעת חוק הקמת מחלקה לגיבוש תפיסת מודיעין חלופית ("איפכא מסתברא") מגופי המודיעין, התשפ"ה-2024</t>
  </si>
  <si>
    <t xml:space="preserve"> (פ/4939/25)</t>
  </si>
  <si>
    <t xml:space="preserve">25.11.2024</t>
  </si>
  <si>
    <t xml:space="preserve">חוק עידוד תרומות מזון (תיקון), התשפ"ה–2024</t>
  </si>
  <si>
    <t xml:space="preserve"> (פ/2417/25)</t>
  </si>
  <si>
    <t xml:space="preserve"> (כ/1055)</t>
  </si>
  <si>
    <t xml:space="preserve">התיקון לחוק קובע כי גוף ציבורי המספק, בעצמו או על ידי ספק שירות מטעמו, שירותי הסעדה בהיקף של 500 מנות ליום עבודה, לא יוכל לסרב סירוב שאינו מוצדק, לבקשת ארגון לחלוקת מזון להתקשר עמו לצורך איסוף המזון העודף שנותר בחצריו. מזון עודף הוגדר כמזון ראוי למאכל אדם, שלא הוגש לסועדים, ושאין כל כוונה, של הגוף הציבורי או ספק השירות מטעמו, לעשות בו שימוש נוסף, ואם לא ייתרם הוא יושלך לאשפה. החובה להתקשר עם ארגון לחלוקת מזון לא תחול, אם איסוף המזון מטיל על הגוף הציבורי עלות עודפת ישירה. ההגדרה "גוף ציבורי" בחוק זה כוללת משרד ממשלתי או יחידת סמך שלו למעט יחידות ביטחוניות מסוימות, הכנסת, מבקר המדינה, רשות מקומית, חברה עירונית ומועצה דתית, חברה ממשלתית וחברה בת ממשלתית, תאגיד שהוקם בחוק או לפיו, צה"ל, משטרת ישראל ושב"ס. ואולם מוסד רפואי, לא ייחשב גוף ציבורי לעניין זה. לגבי צה"ל, המשטרה, השב"ס והרשות להגנה על עדים, נקבע כי השר הממונה עליהם יוכל להורות בנוהל על התאמות בתחולת ההסדר לגביהם או להורות בנוהל על פטור מתחולת ההסדר מסיבות ביטחוניות ליחידות מסוימות בגופים אלה ובלבד שהפטור יוגבל לעד שנה בכל פעם. ארגון לחלוקת מזון ימסור לגוף הציבורי שאיתו התקשר אחת לשנה אישור על כמות המזון שאסף ממנו והשימושים בו. ההסדר שתחילתו מיידית לא יחול על התקשרות קיימת של הגוף הציבורי עם ספק שירות למתן שירותי הסעדה, ובכלל זה על מכרז שפורסם כבר להתקשרות עם ספק שירות כאמור או על מימוש אופציה שניתנה לפי התקשרות קיימת. עוד נקבע שההוראות הקיימות בחוק עידוד תרומות מזון לעניין אחריות תורם מזון ומתן אות הוקרה לתורמי מזון, יחולו הן על הגוף ציבורי, והן על ספק שירותי ההסעדה מטעמו, בלי קשר לשאלת הבעלות במזון.</t>
  </si>
  <si>
    <t xml:space="preserve">חוק הטיס (תיקון מס' 6), התשפ"ה-2024 </t>
  </si>
  <si>
    <t xml:space="preserve"> (מ/1540)</t>
  </si>
  <si>
    <t xml:space="preserve">התיקון משנה את משטר האכיפה הקבוע בחוק הטיס, התשע"א–2011 (להלן – החוק), באמצעות ביטול חלק מהעבירות הפליליות הקבועות בו והרחבת הסמכות הנתונה למנהל רשות התעופה האזרחית להטיל עיצום כספי על מי שהפר את הוראות החוק, וכן משנה את המשטר החל לגבי הפעלת כלי טיס זר בישראל.  התיקון מבטל עבירות שנמצא כי אינן מתאימות לאכיפה באמצעות הליך פלילי, ונוגעות להפרות אסדרתיות במהותן – הפרות של כללי רגולציה שמכוונות לגורמים מפוקחים ובעלי ממשק מהותי עם הרגולטור – רשות התעופה האזרחית. את העבירות האמורות ניתן יהיה להמשיך ולאכוף באמצעות עיצומים כספיים. העבירות שלא בוטלו בתיקון, כלומר העבירות שנותרו על כנן בחוק העיקרי, הן עבירות שהשימוש בעיצומים כספיים אינו מתאים לגביהן, בשל חומרתן או בשל היותן עבירות המכוונות לציבור רחב שאינו מפוקח בידי הרגולטור.  התיקון מוסיף לחוק אמצעי אכיפה מנהליים – סמכות להטלת עיצומים כספיים – לעניין הפרות מסוימות דוגמת קיום פעילות תעופתית החייבת ברישיון לפי החוק, ללא רישיון מתאים (במקביל לעבירות פליליות שהיו קיימות ערב התיקון לעניין זה) והפרת הוראות שונות בעת הפעלת כלי טיס זר בישראל.  בנוסף, החוק משנה את המשטר שחל לגבי הפעלת כלי טיס זר בישראל, וקובע שעל כלי טיס כאמור לציית לסטנדרטים הבין-לאומיים של ארגון התעופה האזרחית הבין-לאומי החלים על כלי הטיס, על צוותו ועל הפעלתו, בהתאמה למקובל בעולם בעניין זה. אם לא חלים על כלי הטיס סטנדרטים בין-לאומיים, יחולו לגביו דיני הטיס הרגילים החלים על כלי טיס ישראלי. עוד קובע התיקון כי מנהל רשות התעופה האזרחית רשאי להכיר בתעודות וברישיונות שניתנו על ידי המדינה בה רשום כלי הטיס הזר, או מדינת מקום עסקיו העיקרי של המפעיל האווירי של כלי הטיס הזר, כשווי ערך לתעודות ולרישיונות הנדרשים לפי דיני הטיס הישראליים ולכן כמספקים לצורך הפעלתו בישראל. כן קובע התיקון, בנוסף לסמכות להטיל עיצומים כספיים על מי שמפעיל כלי טיס זר בישראל תוך הפרת הוראות החוק החלות לגביו, גם עבירות פליליות מתאימות לעניין זה. </t>
  </si>
  <si>
    <t xml:space="preserve">הצעת חוק הנוער (שפיטה, ענישה ודרכי טיפול) (תיקון - דלתיים סגורות), התשפ"ה-2024</t>
  </si>
  <si>
    <t xml:space="preserve"> (פ/5088/25)</t>
  </si>
  <si>
    <t xml:space="preserve"> (פ/5087/25)</t>
  </si>
  <si>
    <t xml:space="preserve">הצעת חוק להקפאת כספים ששילמה הרשות הפלסטינית בזיקה לטרור מהכספים המועברים אליה מממשלת ישראל (תיקון - הקפאת כספי הרשות הפלסטינית בגין טיפולים רפואיים לאסיר ביטחוני), התשפ"ה-2024</t>
  </si>
  <si>
    <t xml:space="preserve"> (פ/5086/25)</t>
  </si>
  <si>
    <t xml:space="preserve">הצעת חוק להקפאת כספים ששילמה הרשות הפלסטינית בזיקה לטרור מהכספים המועברים אליה מממשלת ישראל (תיקון - קיזוז עלויות טיפולים רפואיים במחבלים), התשפ"ה-2024</t>
  </si>
  <si>
    <t xml:space="preserve"> (פ/5085/25)</t>
  </si>
  <si>
    <t xml:space="preserve">הצעת חוק זכות יוצרים (תיקון - תשלום תמלוגים), התשפ"ה-2024</t>
  </si>
  <si>
    <t xml:space="preserve"> (פ/5084/25)</t>
  </si>
  <si>
    <t xml:space="preserve">הצעת חוק סמכויות להתמודדות עם כלי טיס בלתי מאויש, התשפ"ה-2024</t>
  </si>
  <si>
    <t xml:space="preserve"> (פ/5082/25)</t>
  </si>
  <si>
    <t xml:space="preserve">הצעת חוק הכניסה לישראל (תיקון - תוקף צווי הגבלת שימוש במקום וסמכויות תפיסה וחילוט), התשפ"ה-2024</t>
  </si>
  <si>
    <t xml:space="preserve"> (פ/5081/25)</t>
  </si>
  <si>
    <t xml:space="preserve">הצעת חוק לתיקון פקודת בתי הסוהר (שלילת ביקורים מאסירים המשתייכים לארגון טרור), התשפ"ה-2024 </t>
  </si>
  <si>
    <t xml:space="preserve"> (פ/5080/25)</t>
  </si>
  <si>
    <t xml:space="preserve"> (פ/5079/25)</t>
  </si>
  <si>
    <t xml:space="preserve">הצעת חוק הביטוח הלאומי (תיקון - פטור מהשבת תשלום ביתר של תגמול מילואים לעצמאי) (הוראת שעה - חרבות ברזל), התשפ"ה-2024</t>
  </si>
  <si>
    <t xml:space="preserve"> (פ/5078/25)</t>
  </si>
  <si>
    <t xml:space="preserve"> (פ/5076/25)</t>
  </si>
  <si>
    <t xml:space="preserve"> (פ/5075/25)</t>
  </si>
  <si>
    <t xml:space="preserve">הצעת חוק למניעת העסקה של עברייני מין במוסדות מסוימים (תיקון - איסור העסקה במוסד אקדמי), התשפ"ה-2024 </t>
  </si>
  <si>
    <t xml:space="preserve"> (פ/5073/25)</t>
  </si>
  <si>
    <t xml:space="preserve"> (פ/5072/25)</t>
  </si>
  <si>
    <t xml:space="preserve">הצעת חוק העונשין (תיקון - החמרת ענישה על החזקת מכשיר לשיבוש תדרי קליטה), התשפ"ה-2024</t>
  </si>
  <si>
    <t xml:space="preserve"> (פ/5071/25)</t>
  </si>
  <si>
    <t xml:space="preserve">הצעת חוק הביטוח הלאומי (תיקון - שלילת קצבאות ממחבלים), התשפ"ה-2024</t>
  </si>
  <si>
    <t xml:space="preserve"> (פ/5068/25)</t>
  </si>
  <si>
    <t xml:space="preserve">הצעת חוק משפחות חיילים שנספו במערכה (תגמולים ושיקום) (תיקון - הכרה במי שנספה בפגיעת איבה כחייל שנספה במערכה) (הוראת שעה - חרבות ברזל), התשפ"ה-2024</t>
  </si>
  <si>
    <t xml:space="preserve"> (פ/5067/25)</t>
  </si>
  <si>
    <t xml:space="preserve">הצעת חוק הביטוח הלאומי (תיקון - חישוב תגמול מילואים למשוחרר משירות קבע או לפורש ממנו) (הוראת שעה - חרבות ברזל), התשפ"ה-2024</t>
  </si>
  <si>
    <t xml:space="preserve"> (פ/5066/25)</t>
  </si>
  <si>
    <t xml:space="preserve"> (פ/5065/25)</t>
  </si>
  <si>
    <t xml:space="preserve">הצעת חוק שיפוט בתי דין דתיים (בוררות), התשפ"ה-2024</t>
  </si>
  <si>
    <t xml:space="preserve"> (פ/5063/25)</t>
  </si>
  <si>
    <t xml:space="preserve"> (פ/5062/25)</t>
  </si>
  <si>
    <t xml:space="preserve">הצעת חוק לביטול ההתיישנות בעבירות מין (תיקוני חקיקה), התשפ"ה-2024</t>
  </si>
  <si>
    <t xml:space="preserve"> (פ/5061/25)</t>
  </si>
  <si>
    <t xml:space="preserve"> (פ/5060/25)</t>
  </si>
  <si>
    <t xml:space="preserve"> (פ/5059/25)</t>
  </si>
  <si>
    <t xml:space="preserve">הצעת חוק העונשין (תיקון - איסור הנפת דגל של ישות עוינת), התשפ"ה-2024</t>
  </si>
  <si>
    <t xml:space="preserve"> (פ/5058/25)</t>
  </si>
  <si>
    <t xml:space="preserve"> (פ/5056/25)</t>
  </si>
  <si>
    <t xml:space="preserve">הצעת חוק לחילוט תקבולי עבירה בשווי בעבירת גניבה חקלאית ובעבירות הגורמות נזק לרכוש חקלאי, התשפ"ה-2024</t>
  </si>
  <si>
    <t xml:space="preserve"> (פ/5055/25)</t>
  </si>
  <si>
    <t xml:space="preserve">הצעת חוק לשכת עורכי הדין (תיקון מס' 45) (אימון שני מתמחים), התשפ"ה–2024</t>
  </si>
  <si>
    <t xml:space="preserve"> (פ/4579/25)</t>
  </si>
  <si>
    <t xml:space="preserve"> (כ/1073)</t>
  </si>
  <si>
    <t xml:space="preserve">הצעת חוק אומנה לילדים (תיקון - הזכות לחינוך לילדים בהשמה חוץ-ביתית), התשפ"ג-2023</t>
  </si>
  <si>
    <t xml:space="preserve"> (פ/1409/25)</t>
  </si>
  <si>
    <t xml:space="preserve">20.11.2024</t>
  </si>
  <si>
    <t xml:space="preserve">חוק מגבלות על חזרתו של עבריין מין לסביבת נפגע העבירה (תיקון מס' 10), התשפ"ה–2024 </t>
  </si>
  <si>
    <t xml:space="preserve"> (פ/4510/25)</t>
  </si>
  <si>
    <t xml:space="preserve"> (כ/1045)</t>
  </si>
  <si>
    <t xml:space="preserve">חוק מגבלות על חזרתו של עבריין מין לסביבת נפגע העבירה, התשס"ה-2004, נועד לאפשר לבית המשפט להטיל מגבלות על מי שהורשע בביצוע עבירת מין, במטרה למנוע מפגש בינו לבין נפגע העבירה בסביבת חייו השגרתית. החוק קבע כי ניתן להטיל את המגבלות רק אם בית המשפט השתכנע כי חזרת העבריין לסביבת הנפגע עלולה לגרום לו לנזק נפשי של ממש. כעת, במסגרת תיקון מס' 10 לחוק, התשפ"ה-2024, נמחקו המילים "של ממש" כדי להקל על דרישה זו, כך שבית המשפט מוסמך להורות על הטלת המגבלות אם סבר שמפגש כזה עלול לגרום לנפגע נזק נפשי, וזאת בלא צורך להוכיח רף מחמיר של נזק נפשי של ממש.</t>
  </si>
  <si>
    <t xml:space="preserve">חוק מניעת פגיעת גוף שידורים זר בביטחון המדינה (הוראת שעה – חרבות ברזל) (תיקון מס' 2), התשפ"ה-2024 </t>
  </si>
  <si>
    <t xml:space="preserve"> (מ/1806)</t>
  </si>
  <si>
    <t xml:space="preserve">ביום כ"ג באדר ב' התשפ"ד (2 באפריל 2024), פורסם חוק מניעת פגיעת גוף שידורים זר בביטחון המדינה (הוראת שעה – חרבות ברזל), התשפ"ד–2024, במסגרתו נקבע כהוראת שעה לארבעה חודשים, עד מועד סיום ההכרזה על מצב מיוחד בעורף או עד לסיום הפעולות הצבאיות המשמעותיות, לפי המוקדם שבהם, כי במידה וראש הממשלה שוכנע כי התכנים המשודרים בערוץ זר המשדר בישראל פוגעים באופן ממשי בביטחון המדינה, שר התקשורת יהיה רשאי, בהסכמת ראש הממשלה ובאישור ועדת השרים לענייני ביטחון לאומי או הממשלה להורות על פעולות למניעת או הפסקת פעילות של ערוץ זר, לרבות סגירת משרדי הערוץ הנמצאים בישראל. הוראה זו תינתן לאחר שתוצג בפני ראש הממשלה ושר התקשורת חוות דעת מקצועית אחת לפחות מגורמי הביטחון; ובלבד שטרם אישורה של ועדת השרים לענייני ביטחון לאומי או הממשלה, יוצגו בפניה חוות הדעת מטעם גורמי הביטחון. עוד נקבע כי תוקף הוראות אלו יהיה למשך ארבעים וחמישה ימים, לצד אפשרות להאריך תקופה זו לתקופה זהה לכל היותר בכל פעם, בכפוף, בין היתר, להצגת חוות דעת מקצועית כאמור. כמו כן, נקבע כי הוראה של שר התקשורת כאמור, ובפרט הארכתה, תובא לפני נשיא בית משפט מחוזי או סגנו בהקדם האפשרי לטובת ביקורת שיפוטית, במסגרתה יחליט האם לשנותה. במסגרת התיקון הראשון לחוק, הוארכה הוראת השעה עד ליום כ"ט בחשוון התשפ"ה (30 בנובמבר 2024). במסגרת תיקון מספר 2, הוארך תוקפה של הוראת השעה בעניין מניעת פגיעת גוף שידורים זר בביטחון המדינה עד ליום ד' בסיוון התשפ"ה (31 במאי 2025). בנוסף, נקבע כי  תוקף הוראותיו של שר התקשורת הקבועות בחוק, יוארך מתקופה מרבית של 45 לתקופה שלא תעלה על 60 ימים, ובהתאם לכך תעשה גם כל הארכה נוספת.    </t>
  </si>
  <si>
    <t xml:space="preserve">הצעת חוק קליטת חיילים משוחררים (תיקון - זכאות משרתי צבא ההגנה לישראל מקרן "ממדים ללימודים"), התשפ"ד-2024</t>
  </si>
  <si>
    <t xml:space="preserve"> (פ/4885/25)</t>
  </si>
  <si>
    <t xml:space="preserve">הצעת חוק כלי הירייה (תיקון - זכאות לרישיון כלי ירייה ללוחם שסיים את שירותו עקב פציעה בפעילות מבצעית), התשפ"ד-2024</t>
  </si>
  <si>
    <t xml:space="preserve"> (פ/4815/25)</t>
  </si>
  <si>
    <t xml:space="preserve">הצעת חוק הפיקוח על שירותים פיננסיים (שירותים פיננסיים מוסדרים) (תיקון - מסירת מידע על עמלות וריביות בידי נותן שירותים פיננסיים), התשפ"ד-2024</t>
  </si>
  <si>
    <t xml:space="preserve"> (פ/4660/25)</t>
  </si>
  <si>
    <t xml:space="preserve">הצעת חוק שירות ביטחון (תיקון - סיוע טיפולי לבוגרי השירות הצבאי), התשפ"ג-2023</t>
  </si>
  <si>
    <t xml:space="preserve"> (פ/1663/25)</t>
  </si>
  <si>
    <t xml:space="preserve">הצעת חוק עידוד שירות צבאי, לאומי או לאומי-אזרחי, התשפ"ג-2023</t>
  </si>
  <si>
    <t xml:space="preserve"> (פ/1609/25)</t>
  </si>
  <si>
    <t xml:space="preserve">הצעת חוק שירות המדינה (מינויים) (תיקון - ייצוג הולם ללוחמים), התשפ"ד-2024</t>
  </si>
  <si>
    <t xml:space="preserve"> (פ/4789/25)</t>
  </si>
  <si>
    <t xml:space="preserve">19.11.2024</t>
  </si>
  <si>
    <t xml:space="preserve">חוק העונשין (תיקון מס' 150), התשפ"ה-2024</t>
  </si>
  <si>
    <t xml:space="preserve"> (פ/4536/25)</t>
  </si>
  <si>
    <t xml:space="preserve"> (כ/1061)</t>
  </si>
  <si>
    <t xml:space="preserve">התיקון לחוק קובע כי עבירת השוטטות, שהעונש הקבוע בצידה היה שישה חודשי מאסר, אשר הופיעה כאחת מההתנהגויות שנחשבות כעבירה של "התנהגות פסולה במקום ציבורי", תימחק מחוק העונשין, התשל"ז–1977. </t>
  </si>
  <si>
    <t xml:space="preserve">חוק הביטוח הלאומי (תיקון מס' 251), התשפ"ה–2024</t>
  </si>
  <si>
    <t xml:space="preserve"> (פ/4232/25)</t>
  </si>
  <si>
    <t xml:space="preserve"> (כ/1053)</t>
  </si>
  <si>
    <t xml:space="preserve">נקבע, כי בתקופה שבה ילד שהורשע בעבירת ביטחון לפי סעיף 326(ג) לחוק הביטוח הלאומי, דהיינו בעבירת טרור חמורה לפי חוק המאבק בטרור, נמצא במאסר בשל הרשעתו, לא ישולמו להוריו גמלאות לפי פרק ג' לחוק הביטוח הלאומי, ובכלל זה קצבת ילדים ומענק לימודים וכן תוספות תלויים בעבור הילד – לעניין קצבת נפגעי עבודה, קצבת נכות, קצבת אזרח ותיק וקצבת שארים ותוספות בעד הילד לגמלת הבטחת הכנסה או לתשלום לפי חוק המזונות (הבטחת תשלום). כמו כן, בתקופת המאסר הילד לא יבוא במניין ילדיו של ההורה לצורך חישוב גמלאות כאמור. הוראות חוק זה יחולו לגבי מי שנמצא במאסר ביום תחילתו של חוק זה או לאחריו. </t>
  </si>
  <si>
    <t xml:space="preserve">חוק הביטוח הלאומי (תיקון מס' 250), התשפ"ה–2024</t>
  </si>
  <si>
    <t xml:space="preserve"> (פ/4664/25)</t>
  </si>
  <si>
    <t xml:space="preserve"> (כ/1048)</t>
  </si>
  <si>
    <t xml:space="preserve">נקבע כי מי שאינו תושב ישראל וזכאי, מכוח עצמו או מכוח בן משפחתו, לתשלום גמלה לפי חוק הביטוח הלאומי בהיותו מחוץ לישראל, לא תשולם לו הגמלה אם הוא הורשע בעבירת טרור חמורה לפי חוק המאבק בטרור או בעבירה שבית המשפט קבע כי היא מעשה טרור לפי חוק המאבק בטרור או שהורשע בעבירת טרור ביטחונית בבית משפט צבאי. עוד נקבע כי כבר בתקופת המעצר עד תום ההליכים של מי שאינו תושב ישראל וזכאי לגמלה כאמור, תשלום הגמלה יעוכב אם העבירה המיוחסת לו בכתב האישום היא אחת מן העבירות האמורות. בין מועד ההרשעה  ועד שפסק הדין לא יהיה ניתן לערעור הגמלה תעוכב בידי המוסד לביטוח לאומי.  לגבי אדם כאמור שנשפט בבית משפט צבאי, נקבעה רשימת עבירות שייכללו בהגדרה "עבירת טרור ביטחונית", כך שהרשעה בהן תביא לאי-תשלום הגמלה, ואולם מי שהגמלה נשללה ממנו או עוכבה בשל עבירת טרור בטחונית בבית המשפט הצבאי, יוכל לטעון בפני המוסד לביטוח לאומי כי עבירת הטרור הבטחונית שעבר לא נעברה בנסיבות של פגיעה בביטחון המדינה ובזיקה לטרור, אלא בנסיבות פליליות אחרות. אם המוסד לביטוח לאומי ישתכנע בכך על בסיס פסק הדין וכתב האישום, לא תחול ההוראה לעניין אי תשלום הגמלה. לשם החלטה מסוג זה, המוסד לביטוח לאומי יוכל לקבל מידע מהתובע המוסמך לדון בעבירה.  כמו כן, מוצע כי לא תשולם גמלה למי שאינו תושב ישראל וזכאי לגמלה לפי חוק הביטוח הלאומי בהיותו מחוץ לישראל, אם הוא הוכרז כפעיל טרור לפי חוק המאבק בטרור, וכל עוד ההכרזה עומדת בתוקף.  החוק קובע הסדר לקבלת מידע באופן חודשי משירות בתי הסוהר על מעצרים עד תום ההליכים בעברות כאמור, וממשרד הביטחון על הכרזות על פעיל טרור שעומדות בתוקפן. החוק מאפשר למוסד לביטוח לאומי לקבל מידע מהמרשם הפלילי, כולל מידע שהתיישן, לצורך ביצוע ההוראות האמורות, ולשם ביצוע הוראות סעיף 326 לחוק הביטוח הלאומי שקבועות בו הוראות לעניין שלילת גמלאות בשל פשעים שונים.  תחילתו של חוק זה תהיה ב1.1.2025 והוא יחול גם לעניין עבירות שנעברו לפני תחילתו, ככל שההרשעות לגביהן מופיעות במרשם הפלילי, או שנמשך מעצר עד תום ההליכים לגביהן, וכן על הכרזות על פעילי טרור לפני יום התחילה שעודן בתוקף. ואולם, אי העיכוב או אי התשלום יחולו רק לגבי גמלאות המגיעות בעד יום התחילה ואילך.  המוסד לביטוח לאומי יידרש לדווח לוועדת העבודה והרווחה אחת לשנה במשך חמש שנים על הגמלאות שלא שולמו או עוכבו, בנוסף לדיווח נוסף בתום שישה חודשים מתחילתו של חוק זה. נוסף על כך, חוק זה מאריך עד סוף שנת 2026 את הוראת סעיף 406(ה) לחוק הביטוח הלאומי שלפיה מענקים שניתנים לפי הסכמים מכוח סעיף 9, בשל מלחמת חרבות ברזל, לא ייחשבו כהכנסה בידי מקבליהם.  </t>
  </si>
  <si>
    <t xml:space="preserve">הצעת חוק יסוד: השפיטה (תיקון - שלילת זכות עמידה למתגמל טרור)</t>
  </si>
  <si>
    <t xml:space="preserve"> (פ/4860/25)</t>
  </si>
  <si>
    <t xml:space="preserve">18.11.2024</t>
  </si>
  <si>
    <t xml:space="preserve">חוק לתיקון פקודת בתי הסוהר (תיקון מס' 66 – הוראת שעה – חרבות ברזל) (חופשה מיוחדת לאסיר) (תיקון מס' 2), התשפ"ה-2024</t>
  </si>
  <si>
    <t xml:space="preserve"> (מ/1800)</t>
  </si>
  <si>
    <t xml:space="preserve">חוק לתיקון פקודת בתי הסוהר (תיקון מס' 66 – הוראת שעה – חרבות ברזל) (חופשה מיוחדת לאסיר), התשפ"ד–2024, נקבע כהוראת שעה לשלושה חודשים. במסגרתו נקבע כי הנציב או סוהר בדרגת גונדר שהוסמך, רשאי לתת לאסיר, בתנאים שייראו לשר לביטחון לאומי, חופשה מיוחדת שלא תעלה על 45 ימים; וזאת בשל העלייה המשמעותית בתפוסת האסירים מעבר לתקן הכליאה, שנגרמה בשל המצב הביטחוני השורר במדינה שבשלו הוכרז מצב מיוחד בעורף כהגדרתו בחוק ההתגוננות האזרחית, התשי"יא–1951 ביום כ"ב בתשרי התשפ"ד (7 באוקטובר 2023). הסדר זה מותנה בכך שהאסיר הינו אזרח ישראלי או תושב ישראל שנשא לפחות מחצית מתקופת המאסר שנגזרה עליו ויתרת מאסרו אינה עולה על 45 ימים ביום היציאה לחופשה. מעבר לכך, נקבע כי הסדר זה לא יחול לגבי אסירים שהורשעו בעבירות מסוימות, לרבות עבירות ביטחון או כאלו שיש לגביהן חזקת מסוכנות, וכי תקופת מאסרו של אסיר לא תוארך בשל חופשה מיוחדת שניתנה לו במסגרת חוק זה. במסגרת התיקון הראשון הוארכה הוראת השעה לתקופה של חמישה חודשים, עד ליום י"ד בחשוון התשפ"ה (15 בנובמבר 2024). במסגרת תיקון מספר 2, הוארך תוקפה של הוראת השעה כאמור עד ליום י"ז באייר התשפ"ה (15 במאי 2025). </t>
  </si>
  <si>
    <t xml:space="preserve">הצעת חוק-יסוד: הכנסת (תיקון - מניעת התמודדות בבחירות של תומכי ומעודדי טרור)</t>
  </si>
  <si>
    <t xml:space="preserve"> (פ/5053/25)</t>
  </si>
  <si>
    <t xml:space="preserve">הצעת חוק הרשות לקידום הורות טובה ומיטיבה ותפקוד הורי ומשפחתי בריא, התשפ"ה-2024</t>
  </si>
  <si>
    <t xml:space="preserve"> (פ/5051/25)</t>
  </si>
  <si>
    <t xml:space="preserve">הצעת חוק סדר הדין הפלילי (סמכויות אכיפה - נתוני תקשורת) (תיקון - צו לקבלת נתוני מנוי ונתוני תקשורת ממקור אחר), התשפ"ה-2024</t>
  </si>
  <si>
    <t xml:space="preserve"> (פ/5050/25)</t>
  </si>
  <si>
    <t xml:space="preserve">הצעת חוק להנגשת מזון בריא לציבור, התשפ"ה-2024</t>
  </si>
  <si>
    <t xml:space="preserve"> (פ/5049/25)</t>
  </si>
  <si>
    <t xml:space="preserve"> (פ/5047/25)</t>
  </si>
  <si>
    <t xml:space="preserve">הצעת חוק להקפאת כספים ששילמה הרשות הפלסטינית בזיקה לטרור מהכספים המועברים אליה מממשלת ישראל (תיקון - קיזוז דוחות תעבורה), התשפ"ה-2024 </t>
  </si>
  <si>
    <t xml:space="preserve"> (פ/5046/25)</t>
  </si>
  <si>
    <t xml:space="preserve">הצעת חוק איסור הפליה במוצרים, בשירותים ובכניסה למקומות בידור ולמקומות ציבוריים (תיקון - הסמכת בית משפט למתן צו מניעה או צו עשה), התשפ"ה-2024</t>
  </si>
  <si>
    <t xml:space="preserve"> (פ/5045/25)</t>
  </si>
  <si>
    <t xml:space="preserve">הצעת חוק למניעת אלימות במשפחה (תיקון - הגדרת אלימות במשפחה), התשפ"ה-2024</t>
  </si>
  <si>
    <t xml:space="preserve"> (פ/5043/25)</t>
  </si>
  <si>
    <t xml:space="preserve">הצעת חוק הרבנות הראשית לישראל (תיקון - הגדלת הייצוג הנשי באסיפה הבוחרת ובחירת נציגים מיהודה והשומרון), התשפ"ה-2024</t>
  </si>
  <si>
    <t xml:space="preserve"> (פ/5042/25)</t>
  </si>
  <si>
    <t xml:space="preserve"> (פ/5041/25)</t>
  </si>
  <si>
    <t xml:space="preserve">הצעת חוק התכנון והבנייה (הוראות מיוחדות לעניין אכיפה ביישובי מיעוטים ללא תוכנית) (הוראת שעה), התשפ"ה-2024</t>
  </si>
  <si>
    <t xml:space="preserve"> (פ/5040/25)</t>
  </si>
  <si>
    <t xml:space="preserve"> (פ/5039/25)</t>
  </si>
  <si>
    <t xml:space="preserve"> (פ/5038/25)</t>
  </si>
  <si>
    <t xml:space="preserve">הצעת חוק לתיקון פקודת מס הכנסה (משיכת כספי קרן השתלמות) (הוראת שעה - חרבות ברזל), התשפ"ה-2024</t>
  </si>
  <si>
    <t xml:space="preserve"> (פ/5036/25)</t>
  </si>
  <si>
    <t xml:space="preserve"> (פ/5035/25)</t>
  </si>
  <si>
    <t xml:space="preserve"> (פ/5034/25)</t>
  </si>
  <si>
    <t xml:space="preserve">הצעת חוק רשות מקרקעי ישראל (תיקון - הקצאת קרקעות בנגב ובגליל לחיילים משוחררים ומשרתי שירות לאומי-אזרחי), התשפ"ה-2024</t>
  </si>
  <si>
    <t xml:space="preserve"> (פ/5033/25)</t>
  </si>
  <si>
    <t xml:space="preserve">הצעת חוק משפחות חיילים שנספו במערכה (תגמולים ושיקום) (תיקון - ביטול מגבלת גיל להכרה ביתומי צה"ל וכוחות הביטחון), התשפ"ה-2024</t>
  </si>
  <si>
    <t xml:space="preserve"> (פ/5032/25)</t>
  </si>
  <si>
    <t xml:space="preserve"> (פ/5030/25)</t>
  </si>
  <si>
    <t xml:space="preserve">הצעת חוק משפחות חיילים שנספו במערכה (תגמולים ושיקום) (תיקון - תגמולי הורים, יתומים ואחים שכולים), התשפ"ה-2024</t>
  </si>
  <si>
    <t xml:space="preserve"> (פ/5029/25)</t>
  </si>
  <si>
    <t xml:space="preserve"> (פ/5028/25)</t>
  </si>
  <si>
    <t xml:space="preserve"> (פ/5027/25)</t>
  </si>
  <si>
    <t xml:space="preserve">הצעת חוק יום לציון עליית יהודי תימן ולזכר הנספים בדרך לישראל, התשפ"ה-2024</t>
  </si>
  <si>
    <t xml:space="preserve"> (פ/5026/25)</t>
  </si>
  <si>
    <t xml:space="preserve"> (פ/5025/25)</t>
  </si>
  <si>
    <t xml:space="preserve">הצעת חוק משפחות חיילים שנספו במערכה (תגמולים ושיקום) (תיקון - תגמול לגרושות), התשפ"ה-2024</t>
  </si>
  <si>
    <t xml:space="preserve"> (פ/5023/25)</t>
  </si>
  <si>
    <t xml:space="preserve">חוק כביש אגרה (כביש ארצי לישראל) (תיקון מס' 5), התשפ"ה–2024</t>
  </si>
  <si>
    <t xml:space="preserve"> (פ/2069/25)</t>
  </si>
  <si>
    <t xml:space="preserve"> (כ/1015)</t>
  </si>
  <si>
    <t xml:space="preserve">13.11.2024</t>
  </si>
  <si>
    <t xml:space="preserve">החוק קובע כי חיילי מילואים שנקראו להתייצב לשירות מילואים ונוסעים ברכבם הפרטי לבסיס השירות או ממנו בכביש מספר 6 ("כביש ארצי לישראל"), יהיו זכאים להחזר הוצאות בעד אגרת הנסיעה ששולמה עבור נסיעה בכביש כאמור. החוק מסמיך את שר הביטחון ושר האוצר, בהסכמת שר התחבורה והבטיחות בדרכים ובאישור ועדת הכלכלה של הכנסת, לקבוע בתקנות הוראות לעניין אופן הגשת הבקשה להחזר הוצאות האגרה, אופן קבלת ההחזר ומועד קבלתו וכן לעניין סכום ההחזר המרבי שיינתן. כמו כן החוק קובע כי תקנות ראשונות כאמור יובאו לאישור ועדת הכלכלה של הכנסת בתוך ארבעה חודשים מיום פרסומו של החוק. החוק ייכנס לתוקף ביום א' בטבת התשפ"ה (1 בינואר 2025). </t>
  </si>
  <si>
    <t xml:space="preserve">הצעת חוק המשטרה (חדירה לחומר מחשב), התשפ"ד-2024</t>
  </si>
  <si>
    <t xml:space="preserve"> (פ/4707/25)</t>
  </si>
  <si>
    <t xml:space="preserve">הצעת חוק מס הכנסה (פטור ממס על הכנסה מהשכרת דירת מגורים) (תיקון - אי-תחולת הפטור ממס על מי שהשכיר דירת מגורים לשוהים שלא כדין), התשפ"ד-2024</t>
  </si>
  <si>
    <t xml:space="preserve"> (פ/4353/25)</t>
  </si>
  <si>
    <t xml:space="preserve">הצעת חוק הרשות הארצית לכבאות והצלה (תיקון - תגמולים לכבאים ועובדים), התשפ"ד-2024</t>
  </si>
  <si>
    <t xml:space="preserve"> (פ/4198/25)</t>
  </si>
  <si>
    <t xml:space="preserve">הצעת חוק גמול לחיילים בשירות סדיר, התשפ"ג-2023</t>
  </si>
  <si>
    <t xml:space="preserve"> (פ/2818/25)</t>
  </si>
  <si>
    <t xml:space="preserve">הצעת חוק ביטוח סיעוד ממלכתי (תיקוני חקיקה), התשפ"ג-2023</t>
  </si>
  <si>
    <t xml:space="preserve"> (פ/1736/25)</t>
  </si>
  <si>
    <t xml:space="preserve">הצעת חוק-יסוד: ישראל - מדינת הלאום של העם היהודי (תיקון - שוויון ברוח עקרונות הכרזת העצמאות של מדינת ישראל)</t>
  </si>
  <si>
    <t xml:space="preserve"> (פ/1688/25)</t>
  </si>
  <si>
    <t xml:space="preserve">חוק לתיקון דיני הבחירות לרשויות המקומיות (הוראת שעה), התשפ"ה-2024</t>
  </si>
  <si>
    <t xml:space="preserve"> (פ/4964/25)</t>
  </si>
  <si>
    <t xml:space="preserve"> (כ/1071)</t>
  </si>
  <si>
    <t xml:space="preserve">12.11.2024</t>
  </si>
  <si>
    <t xml:space="preserve">נקבעו בהוראת שעה מספר תיקונים לעניין הבחירות שנדחו ליום כ' בשבט התשפ"ה, 18 בפברואר 2025 בצפון הארץ, ולבחירות שנדחו ליום י"ח חשוון התשפ"ה 19 בנובמבר 2024 בדרום הארץ: יום הבחירות נקבע כיום שבתון לתושבי הרשויות בהם יתקיימו בחירות, נקבעה חובה להצבת קלפיות חיילים בצה"ל, תינתן אפשרות לתושב להצביע במעטפות כפולות בקלפיות שיוצבו ברחבי הארץ, ונקבעה השוואה של שיעור המס לעובדים המועסקים בתקפות הבחירות לשיעור המס שנקבע בהוראת השעה.</t>
  </si>
  <si>
    <t xml:space="preserve">הצעת חוק לתיקון דיני הבחירות לרשויות המקומיות (הוראת שעה), התשפ"ה-2024</t>
  </si>
  <si>
    <t xml:space="preserve"> (פ/4975/25)</t>
  </si>
  <si>
    <t xml:space="preserve">הצעת חוק לתיקון פקודת מס הכנסה (ניכוי הוצאות הנפקה), התשפ"ג-2023</t>
  </si>
  <si>
    <t xml:space="preserve"> (פ/2373/25)</t>
  </si>
  <si>
    <t xml:space="preserve"> (פ/1782/25)</t>
  </si>
  <si>
    <t xml:space="preserve">חוק התקנת מצלמות לשם הגנה על פעוטות במעונות יום לפעוטות (תיקון), התשפ"ה–2024</t>
  </si>
  <si>
    <t xml:space="preserve"> (פ/2800/25)</t>
  </si>
  <si>
    <t xml:space="preserve"> (כ/1041)</t>
  </si>
  <si>
    <t xml:space="preserve"> החוק מסמיך מפעיל מעון יום לפעוטות, למעט מעון יום שיקומי, לאפשר, באופן יזום, להורי הפעוטות בגן, לצפות בצילומים ממצלמות המותקנות במעון לפי חוק התקנת מצלמות לשם הגנה על פעוטות במעונות יום לפעוטות, התשע"ט–2018. מפעיל מעון רשאי לאפשר דרך צפייה אחת בלבד מבין השלוש הבאות: צפייה מקוונת מרחוק בזמן אמת (און-ליין) לכל הורה, באמצעות מכשיר שאושר מראש (טלפון, מחשב וכיו"ב). דרך שנייה היא גם צפייה מקוונת מרחוק באמצעות מכשיר שאושר מראש (טלפון, מחשב וכיו"ב), אולם לא בשידור ישיר און ליין אלא מעת לעת, כפי שיוסכם בין מפעיל המעון והורי הפעוטות במעון, בתדירות שלא תעלה על אחת לחודש לפרק זמן של עד 48 שעות בו ניתן יהיה לצפות בצילומים שהצטברו במערכת המצלמות בגן עד למועד הצפייה. דרך שלישית היא צפייה מעת לעת, כפי שיוסכם בין מפעיל המעון והורי הפעוטות במעון, על ידי נציגות של הורי הפעוטות במעון, בצילומים שהצטברו במערכת המצלמות בגן עד למועד הצפייה, בשטח המעון, בתדירות שלא תעלה על אחת לשבוע. בצפייה כאמור מפעיל המעון יוכל לצפות אף הוא בצילומים ביחד עם נציגות ההורים. כדי לאפשר צפייה כאמור להורים, על המפעיל לעמוד במספר תנאים, ובכלל זה, יידוע ההורים, העובדים והמועמדים לעבודה במעון על כוונתו להפעיל את הצפייה, ואם הסתיים מועד הרישום למעון – עליו לקבל את הסכמת כלל הורי המעון; להציב במעון שילוט על הפעלת הצפייה וליידע גם את נותני השירותים הקבועים במעון; לעניין צפייה מקוונת מרחוק (און ליין או מעת לעת) על המפעיל לדאוג לקיומם של מנגנונים נאותים לאבטחת מידע ולהגנת הסייבר של המצלמות ולהגיש לממונה במשרד החינוך אישור שנתי שהמערכת עומדת בדרישות האבטחה והסייבר. כן קובע החוק איסורים על הורים אשר נועדו לשמור על פרטיות עובדות המעון והפעוטות המתחנכים במעון– כמו איסור העתקת צילומים או מתן אפשרות לאחר לצפות בהם או שימוש במידע שעולה מן הצילומים– שהפרתם תהווה עבירה פלילית ועוולה אזרחית לפי חוק הגנת הפרטיות, התשמ"א–1981. כן מעניק החוק למשרד החינוך סמכות להטיל עיצום כספי על מפעיל מעון יום, למעט מעון יום שיקומי, שהפר הוראה מהוראות החוק, וקובע כי שר החינוך ידווח אחד לשנה לוועדת החינוך, תרבות וספורט של הכנסת נתונים הקשורים לביצוע ויישום הצעת החוק. </t>
  </si>
  <si>
    <t xml:space="preserve">חוק שירותי הובלה (תיקון מס' 3), התשפ"ה–2024</t>
  </si>
  <si>
    <t xml:space="preserve"> (פ/2103/25)</t>
  </si>
  <si>
    <t xml:space="preserve"> (כ/1059)</t>
  </si>
  <si>
    <t xml:space="preserve">התיקון קובע חובה, שחלה על מוסר מטען, לבדוק בעת העמסת מטען על רכב מסחרי כי המטען מתאים למטען שהותר להובלה ברכב לפי התנאים שנקבעו לכך ברישיון הרכב, ולדרוש מהמוביל להפסיק מיד את ההעמסה אם המטען אינו תואם תנאי מהתנאים האמורים. בכך, התיקון מרחיב את החובה שהייתה מוטלת על מוסר המטען ערב התיקון, לפיה היה עליו לבדוק רק את התאמת משקל המטען המועמס על גבי הרכב למשקל שהותר להובלה לפי רישיון הרכב. הפרת החובה החדשה דינה קנס כאמור בסעיף 61(א)(3) לחוק העונשין, התשל"ז–1977 (העומד כיום על סך של עד 75,300 שקלים חדשים). אם נעברה העבירה בידי תאגיד, דינו של התאגיד קנס בגובה פי ארבעה מהקנס האמור. אולם, החובה האמורה אינה חלה על התאגיד הנמליים (נמלים), משום שנמצא כי הטלת חובה זו על הנמלים עלולה לגרום לעיכובים משמעותיים בשחרור סחורות מהנמלים.     בנוסף, התיקון קובע כי על נושא משרה בתאגיד מוטלת החובה לפקח ולעשות כל שניתן כדי למנוע ביצוע עבירות כאמור לעיל, כלומר, העמסה על רכב של מטען שאינו תואם את המטען המותר להובלה לפי תנאי רישיון הרכב, ובכלל זה מטען שמשקלו אינו תואם את המשקל המותר להובלה ברכב, בידי התאגיד ועובדיו. הפרת חובה זו דינה קנס כאמור בסעיף 61(א)(3) לחוק העונשין. כמו כן, התיקון מתקן את הסעיפים שהיו קיימים בחוק ערב תיקונו לעניין אחריות נושאי משרה, כך שיחול לגביהם הנוסח המקובל בעניין זה בחקיקה העדכנית. לעניין זה נותר על כנו משטר הענישה הקיים, כך שהפרת חובת הפיקוח האמורה לגבי חלק מהעבירות המנויות בחוק דינה קנס כאמור בסעיף 61(א)(3) לחוק העונשין, ואילו לעניין הפרת חובת הפיקוח לגבי עבירות אחרות, ובכלל זה לגבי ביצוע עבירה בעת הובלת חומרים מסוכנים, יוטל על נושא המשרה קנס כאמור בסעיף 61(א)(4) לחוק העונשין (העומד כיום על סך של עד 226,000 שקלים חדשים).  </t>
  </si>
  <si>
    <t xml:space="preserve">חוק סדר הדין הפלילי (סמכויות אכיפה – נתוני תקשורת) (תיקון מס' 3), התשפ"ה–2024</t>
  </si>
  <si>
    <t xml:space="preserve"> (פ/3531/25)</t>
  </si>
  <si>
    <t xml:space="preserve"> (כ/1046)</t>
  </si>
  <si>
    <t xml:space="preserve">התיקון קובע כי חובת הדיווח לועדת החוקה, חוק ומשפט אחת לשנה, בדבר יישומו של החוק, שהייתה בתוקף כהוראת שעה עד שנת 2011, ושלא הייתה בתוקף מאז, תתחדש ותעוגן כהוראת קבע. </t>
  </si>
  <si>
    <t xml:space="preserve">חוק לתיקון ולהארכת תוקפן של תקנות שעת חירום (חרבות ברזל) (פגישה עם עורך דין של עצור בעבירת ביטחון) (תיקון מס' 4), התשפ"ה-2024</t>
  </si>
  <si>
    <t xml:space="preserve"> (מ/1797)</t>
  </si>
  <si>
    <t xml:space="preserve">החוק מאריך את תוקפן של תקנות שעת חירום, המאפשרות מניעת פגישה של עצורים ביטחוניים, הקשורים לפעולות האיבה שהתרחשו בין ה-7 באוקטובר לבין ה-13 באוקטובר 2023, או מי שנעצר במסגרת פעולות המלחמה בעזה, עם עורכי הדין שלהם. התקנות יעמדו בתוקף עד ה-15 בפברואר 2025.</t>
  </si>
  <si>
    <t xml:space="preserve">חוק לתיקון ולהארכת תוקפן של תקנות שעת חירום (חרבות ברזל) (הארכת מעצר לחשוד בעבירת ביטחון) (תיקון מס' 4), התשפ"ה-2024</t>
  </si>
  <si>
    <t xml:space="preserve"> (מ/1796)</t>
  </si>
  <si>
    <t xml:space="preserve">החוק מאריך את תוקף תקנות שעת החירום, המאריכות את תקופות המעצרים המפורטות בחוק המעצרים בנוגע לעצור שחשוד בעבירת ביטחון בשל פעולות האיבה שהתרחשו בין יום ה-7 באוקטובר לבין ה-13 באוקטובר 2023, או מי שנעצר במסגרת פעולות המלחמה בעזה. ההארכה שנקבעה בחוק זה היא עד ליום ה-15 בפברואר 2025.</t>
  </si>
  <si>
    <t xml:space="preserve">חוק התכנון והבנייה (תיקון מס' 158), התשפ"ה-2024</t>
  </si>
  <si>
    <t xml:space="preserve"> (פ/4141/25)</t>
  </si>
  <si>
    <t xml:space="preserve">11.11.2024</t>
  </si>
  <si>
    <t xml:space="preserve">נקבע כי ייעוד קרקע למגורים יראו אותו ככולל גם בתים מאזנים (מסגרת טיפולית למתמודדי נפש), זאת בנוסף למסגרות טיפוליות שיקומיות אחרות למתמודדי נפש הכלולות כבר היום על פי חוק.  </t>
  </si>
  <si>
    <t xml:space="preserve">הצעת חוק חימוש כל אדם מכוחות הביטחון המוצב בקו עימות או סמוך אליו, התשפ"ה-2024</t>
  </si>
  <si>
    <t xml:space="preserve"> (פ/5022/25)</t>
  </si>
  <si>
    <t xml:space="preserve">הצעת חוק תשלומי פיצוי על כניסת מוצרים שאינם סיוע הומניטרי, התשפ"ה-2024 </t>
  </si>
  <si>
    <t xml:space="preserve"> (פ/5021/25)</t>
  </si>
  <si>
    <t xml:space="preserve">הצעת חוק העברת אמצעי לחימה רוסיים שנתפסו בלבנון וברשות הפלסטינית לטובת חימוש אוקראינה, התשפ"ה-2024</t>
  </si>
  <si>
    <t xml:space="preserve"> (פ/5018/25)</t>
  </si>
  <si>
    <t xml:space="preserve">הצעת חוק כלי הירייה (תיקון - חימוש אזרחים בנשק ארוך בשעת חירום), התשפ"ה-2024</t>
  </si>
  <si>
    <t xml:space="preserve"> (פ/5017/25)</t>
  </si>
  <si>
    <t xml:space="preserve"> (פ/5016/25)</t>
  </si>
  <si>
    <t xml:space="preserve"> (פ/5015/25)</t>
  </si>
  <si>
    <t xml:space="preserve">הצעת חוק הרבנות הראשית לישראל (תיקון - הגדלת הייצוג הנשי באסיפה הבוחרת), התשפ"ה-2024</t>
  </si>
  <si>
    <t xml:space="preserve"> (פ/5014/25)</t>
  </si>
  <si>
    <t xml:space="preserve">הצעת חוק התכנון והבנייה (תיקון - הקלת רגולציה במסגרת שיקום עוטף עזה ויישובי הגדר בקו העימות הצפוני), התשפ"ה-2024</t>
  </si>
  <si>
    <t xml:space="preserve"> (פ/5013/25)</t>
  </si>
  <si>
    <t xml:space="preserve">הצעת חוק איסור שיתוף פעולה עם סנקציות של מדינות זרות על אזרחי ישראל, התשפ”ה-2024</t>
  </si>
  <si>
    <t xml:space="preserve"> (פ/5012/25)</t>
  </si>
  <si>
    <t xml:space="preserve">הצעת חוק השתתפות המדינה בעלות שכר הלימוד במעון יום למשרתי מילואים וקדימות בקבלה למעון, התשפ"ה-2024</t>
  </si>
  <si>
    <t xml:space="preserve"> (פ/5009/25)</t>
  </si>
  <si>
    <t xml:space="preserve"> (פ/5008/25)</t>
  </si>
  <si>
    <t xml:space="preserve"> (פ/5007/25)</t>
  </si>
  <si>
    <t xml:space="preserve"> (פ/5005/25)</t>
  </si>
  <si>
    <t xml:space="preserve">הצעת חוק העברת מידע בין רשויות, התשפ"ה-2024</t>
  </si>
  <si>
    <t xml:space="preserve"> (פ/5004/25)</t>
  </si>
  <si>
    <t xml:space="preserve">הצעת חוק לימוד חובה (תיקון - איסור על גביית תשלומי הורים), התשפ"ה-2024</t>
  </si>
  <si>
    <t xml:space="preserve"> (פ/5003/25)</t>
  </si>
  <si>
    <t xml:space="preserve">הצעת חוק חובת המכרזים (תיקון - הגדרת קווי העימות) (הוראת שעה), התשפ"ה-2024</t>
  </si>
  <si>
    <t xml:space="preserve"> (פ/4999/25)</t>
  </si>
  <si>
    <t xml:space="preserve"> (פ/4998/25)</t>
  </si>
  <si>
    <t xml:space="preserve"> (פ/4997/25)</t>
  </si>
  <si>
    <t xml:space="preserve">הצעת חוק-יסוד: ישראל - מדינת הלאום של העם היהודי (תיקון - הוספת ערך השוויון ברוח עקרונות הכרזת העצמאות)</t>
  </si>
  <si>
    <t xml:space="preserve"> (פ/4996/25)</t>
  </si>
  <si>
    <t xml:space="preserve">הצעת חוק הביטוח הלאומי (תיקון - גמלה בשל דיכאון סב לידתי), התשפ"ה-2024</t>
  </si>
  <si>
    <t xml:space="preserve"> (פ/4994/25)</t>
  </si>
  <si>
    <t xml:space="preserve">הצעת חוק מרשם האוכלוסין (תיקון - הוספת לאום ארמי), התשפ"ה-2024 </t>
  </si>
  <si>
    <t xml:space="preserve"> (פ/4993/25)</t>
  </si>
  <si>
    <t xml:space="preserve">הצעת חוק התכנון והבנייה (תיקון - פרסום שומות היטל השבחה), התשפ"ה-2024</t>
  </si>
  <si>
    <t xml:space="preserve"> (פ/4992/25)</t>
  </si>
  <si>
    <t xml:space="preserve">הצעת חוק לתיקון פקודת מס הכנסה (מס מופחת לנושאים בנטל), התשפ"ה-2024</t>
  </si>
  <si>
    <t xml:space="preserve"> (פ/4991/25)</t>
  </si>
  <si>
    <t xml:space="preserve">הצעת חוק הבנקאות (שירות ללקוח) (תיקון - הודעה ללקוח על אודות יתרה בחשבון עובר ושב שאינה נושאת ריבית), התשפ"ה-2024</t>
  </si>
  <si>
    <t xml:space="preserve"> (פ/4990/25)</t>
  </si>
  <si>
    <t xml:space="preserve"> (פ/4988/25)</t>
  </si>
  <si>
    <t xml:space="preserve">הצעת חוק הממשלה (תיקון - חובת עריכת הסכמים בכתב), התשפ"ה-2024</t>
  </si>
  <si>
    <t xml:space="preserve"> (פ/4986/25)</t>
  </si>
  <si>
    <t xml:space="preserve"> (פ/4985/25)</t>
  </si>
  <si>
    <t xml:space="preserve">חוק גירוש משפחות מחבלים, התשפ"ה–2024</t>
  </si>
  <si>
    <t xml:space="preserve"> (פ/729/25)</t>
  </si>
  <si>
    <t xml:space="preserve"> (כ/1037)</t>
  </si>
  <si>
    <t xml:space="preserve">06.11.2024</t>
  </si>
  <si>
    <t xml:space="preserve">נקבע כי שר הפנים רשאי להורות, לאחר קיום שימוע, על גירושו של בן משפחה של מחבל, אם הוא ידע מראש על תוכניתו של בן משפחתו לבצע מעשה טרור ולא עשה את כל המאמצים הנדרשים כדי למנוע את עשייתו, אם הביע תמיכה או הזדהות עם מעשה הטרור או אם פרסם דברי שבח, אהדה או עידוד למעשה טרור או לארגון טרור. תוקף צו הגירוש לעניין אזרח ישראלי לא יפחת משבע שנים ולא יעלה על 15 שנים, ולעניין תושב קבע או ארעי - לא יפחת מעשר שנים ולא יעלה על עשרים שנים</t>
  </si>
  <si>
    <t xml:space="preserve">חוק הנוער (שפיטה, ענישה ודרכי טיפול) (תיקון מס' 25 - הוראות שעה), התשפ"ד–2024</t>
  </si>
  <si>
    <t xml:space="preserve"> (פ/3058/25)</t>
  </si>
  <si>
    <t xml:space="preserve"> (כ/1006)</t>
  </si>
  <si>
    <t xml:space="preserve">התיקון לחוק נועד לתת מענה למקרים של קטינים בני 12 עד 14 שהורשעו בעבירות הטרור החמורות ביותר – עבירות רצח בנסיבות מחמירות או ניסיון לרצח, שהן מעשה טרור או שנעשו במסגרת ארגון טרור. במקרים אלה, נקבע כי גם אם לא מלאו לקטין 14 שנים בעת מתן גזר הדין, ניתן יהיה להטיל על הקטין עונש מאסר שירוצה במאסר בהגיעו לגיל 14 וכי עד הגיעו לגיל זה הוא יוחזק במעון נעול. ההסדר נקבע כהוראת שעה לחמש שנים, עם אפשרות הארכה לתקופות נוספות של עד שנתיים בכל פעם, בצו של שר המשפטים, בהסכמת שר הרווחה ובאישור ועדת החוקה. בנוסף, נקבעה הוראת שעה לשלוש שנים, הקובעת הסדרים לגבי קטינים המרצים עונש מאסר או מעצר במעון נעול עד לגיל 14, בגין העבירות האמורות. לעניין קטין שהורשע ונגזר עליו לרצות עונש מאסר לאחר שימלאו לו 14, הממונה על המעונות רשאי לבקש להחזיקו במאסר לתקופה של עד 10 ימים. זאת, אם הקטין מסכן או פוגע באחרים, או שעלול לסכן או לפגוע באחרים באופן שאינו מאפשר לקיים את הצו במעון נעול. אם לאחר חזרתו של הקטין למעון הנעול הוא ממשיך לסכן או לפגוע כאמור, רשאי בית המשפט להמיר את הצו במאסר לתקופה שייקבע ושלא תעלה על הזמן שנותר להשלמת הצו המקורי. לעניין קטין שנאשם ומוחזק במעון נעול במעצר, נקבע כי אם בית המשפט שוכנע, לבקשת הממונה על המעונות, שהקטין מסכן או פוגע באחרים, או עלול לסכן או לפגוע באחרים באופן שלא מאפשר את קיום הצו במעון, ניתן להורות, כי הקטין ייעצר לתקופה של עד 10 ימים. אם לאחר שחזר למעון התקיימו שוב הנסיבות האמורות, רשאי בית המשפט, לקבוע כי הקטין ייעצר לתקופה שייקבע ושלא תעלה על 30 ימים. אם לאחר חזרת הקטין למעון, חזרו והתקיימו שוב אותן נסיבות, רשאי בית המשפט להורות על מעצרו של הקטין לתקופות שלא יעלו על 45 ימים כל פעם.  </t>
  </si>
  <si>
    <t xml:space="preserve">הצעת חוק שירותי הדת היהודיים (תיקון - הכרזה על בית עלמין סגור), התשפ"ד-2024</t>
  </si>
  <si>
    <t xml:space="preserve"> (פ/4819/25)</t>
  </si>
  <si>
    <t xml:space="preserve">הצעת חוק הביטוח הלאומי (תיקון - זכאות לדמי לידה עבור משרתות מילואים), התשפ"ד-2024</t>
  </si>
  <si>
    <t xml:space="preserve"> (פ/4698/25)</t>
  </si>
  <si>
    <t xml:space="preserve">הצעת חוק לייצוב מחירי מצרכים בעת חירום, התשפ"ד-2024</t>
  </si>
  <si>
    <t xml:space="preserve"> (פ/4348/25)</t>
  </si>
  <si>
    <t xml:space="preserve">הצעת חוק לימוד חובה (תיקון - עובד סוציאלי או פסיכולוג חינוכי במוסד חינוכי ביישוב סמוך גבול), התשפ"ג-2023</t>
  </si>
  <si>
    <t xml:space="preserve"> (פ/2714/25)</t>
  </si>
  <si>
    <t xml:space="preserve">הצעת חוק הנצחת זכרם של קורבנות הטבח בכפר קאסם, התשפ"ג-2022</t>
  </si>
  <si>
    <t xml:space="preserve"> (פ/277/25)</t>
  </si>
  <si>
    <t xml:space="preserve">הצעת חוק זכויות הסטודנט (תיקון - העדפה מתקנת למשרתי מילואים), התשפ"ד-2024</t>
  </si>
  <si>
    <t xml:space="preserve"> (פ/4567/25)</t>
  </si>
  <si>
    <t xml:space="preserve">05.11.2024</t>
  </si>
  <si>
    <t xml:space="preserve">הצעת חוק זכויות הסטודנט (תיקון - הקלות בתנאי קבלה ללוחמים ולמשרתי מילואים), התשפ"ד-2024</t>
  </si>
  <si>
    <t xml:space="preserve"> (פ/4405/25)</t>
  </si>
  <si>
    <t xml:space="preserve">הצעת חוק זכויות הסטודנט (תיקון - העדפה מתקנת ללוחמים), התשפ"ד-2024</t>
  </si>
  <si>
    <t xml:space="preserve"> (פ/4189/25)</t>
  </si>
  <si>
    <t xml:space="preserve">הצעת חוק זכויות הסטודנט (תיקון - העדפה מתקנת ללוחמים), התשפ"ג-2023</t>
  </si>
  <si>
    <t xml:space="preserve"> (פ/2659/25)</t>
  </si>
  <si>
    <t xml:space="preserve">חוק התכנון והבנייה (תיקון מס' 157), התשפ"ה–2024</t>
  </si>
  <si>
    <t xml:space="preserve"> (פ/109/25)</t>
  </si>
  <si>
    <t xml:space="preserve"> (כ/1057)</t>
  </si>
  <si>
    <t xml:space="preserve">נקבע בחוק מנגנון מזורז לקביעת שומת השבחה כאשר ישנה מחלוקת על גובהו של היטל השבחה בסכומים של עד 90,000 ש"ח.  במקרה כזה, יוכל החייב להגיש לוועדה בקשה לבחינה מחודשת של השומה בצירוף שומה שלו. שמאי מטעם הועדה המקומית יבחן את הפניה והוא רשאי להפחית את ההיטל ולקבוע שומה מוסכמת באישור החייב. ההחלטה תועבר לעיונו של השמאי הממשלתי הראשי שרשאי שלא לאשרה. אם לא הודיע השמאי הממשלתי על החלטתו בתקופה האמורה בהצעת החוק יראו את השומה המתוקנת מוסכמת. במידה וההליך לא עבר במנגנון מזורז ניתן יהיה לפנות למנגנוגים הקבועים כיום בחוק של ערר או שמאי מכריע.</t>
  </si>
  <si>
    <t xml:space="preserve">חוק חובת המכרזים (תיקון מס' 26), התשפ"ה–2024</t>
  </si>
  <si>
    <t xml:space="preserve"> (פ/4422/25)</t>
  </si>
  <si>
    <t xml:space="preserve"> (כ/1050)</t>
  </si>
  <si>
    <t xml:space="preserve">החוק קובע שתינתן העדפה במכרזים של המדינה ושל גופים החייבים במכרז לפי חוק חובת המכרזים לעסק זעיר, קטן או בינוני ש-50% או יותר מאמצעי השליטה בו נמצאים בהחזקתו של משרת מילואים פעיל, ששירת שירות מילואים 20 ימים לפחות במהלך 12 החודשים לפני המועד האחרון להגשת ההצעות במכרז.  במצב בו שתי הצעות או יותר קיבלו תוצאה משוקללת זהה במכרז, שהיא ההצעה הגבוהה ביותר, ואחת מהן היא של עסק בשליטת משרת מילואים פעיל – תיבחר הצעתו של משרת המילואים כהצעה הזוכה.  על משרת המילואים לצרף להצעתו הצהרה בדבר היותו משרת מילואים פעיל, שהעסק בשליטתו ושההצעה אינה של חברת בת של עסק המעסיק יותר מ-100 עובדים או שמחזור העסקאות השנתי שלו עולה על 100 מיליון שקלים חדשים. </t>
  </si>
  <si>
    <t xml:space="preserve">הצעת חוק לתיקון פקודת מס הכנסה (פטור ממס במכירת מטבעות דיגיטליים לתושבי חוץ ובהקצאת מטבעות דיגיטליים לעובדים), התשפ"ג-2023</t>
  </si>
  <si>
    <t xml:space="preserve"> (פ/3071/25)</t>
  </si>
  <si>
    <t xml:space="preserve">04.11.2024</t>
  </si>
  <si>
    <t xml:space="preserve">הצעת חוק לתיקון פקודת התעבורה (סימון מקום חניה לרכב חשמלי), התשפ"ג-2023</t>
  </si>
  <si>
    <t xml:space="preserve"> (פ/2637/25)</t>
  </si>
  <si>
    <t xml:space="preserve">חוק איסור העסקת עובדי הוראה ושלילת תקציב ממוסדות חינוך עקב הזדהות עם מעשה טרור או עם ארגון טרור (תיקוני חקיקה), התשפ"ה–2024</t>
  </si>
  <si>
    <t xml:space="preserve"> (פ/2265/25)</t>
  </si>
  <si>
    <t xml:space="preserve"> (כ/988)</t>
  </si>
  <si>
    <t xml:space="preserve">החוק מסמיך את מנכ"ל משרד החינוך לפטר בפיטורים מינהליים, עובד הוראה שהוא עובד מדינה שהורשע בעבירת ביטחון חמורה או בעבירת טרור או הזדהה עם מעשה טרור בפומבי או פרסם קריאה ישירה לביצוע מעשה טרור או דברי שבח ואהדה למעשה טרור, או במקרה שהעובד ביצע מעשה המהווה עבירת טרור כהגדרתה בחוק המאבק בטרור, למעט כמשמעותה בסעיף 24 לחוק האמור, ובלבד ששירות הביטחון הכללי או משטרת ישראל  החליטו להעביר מידע בעניין למנהל הכללי של משרד החינוך. כל זאת בכפוף לתהליך הכולל יידוע של נציב שירות המדינה ומתן אפשרות תגובה לגורמים נוספים כמו למשל ארגון עובדים וכן עריכת שימוע.  החוק מסמיך את המנכ"ל לסרב לתת אישור העסקה לעובד חינוך שאיננו מועסק על ידי המדינה, בכל הנסיבות האמורות לעיל. החוק מסמיך את שר החינוך לשלול או להפחית את ההשתתפות בתקציבו של מוסד חינוך המקבל מאוצר המדינה תמיכה או השתתפות בתקציבו, אם התקיימו במוסד החינוך גילויי תמיכה או הזדהות עם מעשה טרור או עם ארגון טרור, שהנהלת המוסד היתה צריכה לדעת עליהם, זאת בכפוף להליך שימוע. בנסיבות כאלה גם רשות החינוך המקומית לא תשתתף בתקציבו של מוסד החינוך. </t>
  </si>
  <si>
    <t xml:space="preserve"> (פ/4984/25)</t>
  </si>
  <si>
    <t xml:space="preserve">הצעת חוק בנק ישראל (תיקון - חשבון חלופי ללקוח שהוטלו עליו עיצומים כלכליים על ידי מדינה זרה או חבר מדינות זרות), התשפ"ה-2024</t>
  </si>
  <si>
    <t xml:space="preserve"> (פ/4982/25)</t>
  </si>
  <si>
    <t xml:space="preserve">הצעת חוק קליטת חיילים משוחררים (תיקון - השקעת הפיקדון הצבאי בחסכון ארוך טווח), התשפ"ה-2024</t>
  </si>
  <si>
    <t xml:space="preserve"> (פ/4980/25)</t>
  </si>
  <si>
    <t xml:space="preserve">הצעת חוק-יסוד: הממשלה (תיקון - הפסקת כהונה של ראש הממשלה או שר מחמת הגשת כתב אישום)</t>
  </si>
  <si>
    <t xml:space="preserve"> (פ/4979/25)</t>
  </si>
  <si>
    <t xml:space="preserve">הצעת חוק אסטרטגיית הביטחון הלאומי, התשפ"ה-2024</t>
  </si>
  <si>
    <t xml:space="preserve"> (פ/4978/25)</t>
  </si>
  <si>
    <t xml:space="preserve">הצעת חוק הסיוע המשפטי (תיקון - סיוע משפטי לתובע בגין הפליה), התשפ"ה-2024</t>
  </si>
  <si>
    <t xml:space="preserve"> (פ/4977/25)</t>
  </si>
  <si>
    <t xml:space="preserve">הצעת חוק יישובים ושכונות בהליכי הסדרה, התשפ"ה-2024</t>
  </si>
  <si>
    <t xml:space="preserve"> (פ/4976/25)</t>
  </si>
  <si>
    <t xml:space="preserve">הצעת חוק בתי המשפט (תיקון - פרסום פסיקה בענייני משפחה), התשפ"ה-2024</t>
  </si>
  <si>
    <t xml:space="preserve"> (פ/4974/25)</t>
  </si>
  <si>
    <t xml:space="preserve"> (פ/4973/25)</t>
  </si>
  <si>
    <t xml:space="preserve">הצעת חוק הביטוח הלאומי (תיקון - מניין הימים לעניין מבוטח בשירות מילואים בנסיבות חירום), התשפ"ה-2024 </t>
  </si>
  <si>
    <t xml:space="preserve"> (פ/4972/25)</t>
  </si>
  <si>
    <t xml:space="preserve">הצעת חוק מס ערך מוסף (תיקון - פטור ממס במכירת תרופות לזכאים לקצבת אזרח ותיק), התשפ"ה-2024</t>
  </si>
  <si>
    <t xml:space="preserve"> (פ/4971/25)</t>
  </si>
  <si>
    <t xml:space="preserve">הצעת חוק פרעות התשפ"ד, התשפ"ה-2024</t>
  </si>
  <si>
    <t xml:space="preserve"> (פ/4969/25)</t>
  </si>
  <si>
    <t xml:space="preserve">הצעת חוק לתיקון פקודת המשטרה (תוקף סמכות שוטר לתת הוראות לציבור), התשפ"ה-2024</t>
  </si>
  <si>
    <t xml:space="preserve"> (פ/4968/25)</t>
  </si>
  <si>
    <t xml:space="preserve">הצעת חוק איסור הלבנת הון (תיקון - מתן סמכות פיקוח לרשות לאיסור הלבנת הון ומימון טרור על נותני שירותים פיננסיים), התשפ"ה-2024</t>
  </si>
  <si>
    <t xml:space="preserve"> (פ/4967/25)</t>
  </si>
  <si>
    <t xml:space="preserve">הצעת חוק שירות המדינה (מינויים) (תיקון - תקופת צינון במעבר מהמגזר הפרטי לשירות המדינה), התשפ"ה-2024</t>
  </si>
  <si>
    <t xml:space="preserve"> (פ/4965/25)</t>
  </si>
  <si>
    <t xml:space="preserve">חוק לייעול האכיפה והפיקוח העירוניים ברשויות המקומיות (הוראת שעה) (תיקון מס' 13), התשפ"ה-2024</t>
  </si>
  <si>
    <t xml:space="preserve"> (מ/1798)</t>
  </si>
  <si>
    <t xml:space="preserve">30.10.2024</t>
  </si>
  <si>
    <t xml:space="preserve">החוק לייעול האכיפה והפיקוח העירוניים ברשויות המקומיות נחקק כהוראת שעה בשנת 2011, והחל כפיילוט במספר רשויות מקומיות. מטרת החוק הינה ייעול יכולת הפיקוח והאכיפה של הרשויות המקומיות בעבירות שבתחום אחריותן וכן סיוע למשטרת ישראל בפעולות למניעת אלימות. לשם כך החוק מסמיך פקחים עירוניים ומסדיר את הקמתו של מערך שיטור עירוני. לאורך השנים הוראת השעה הוארכה מספר פעמים ותחולתה הורחבה לרשויות נוספות.  בתיקון מספר 13 לחוק, תוקן סעיף 23, כך שתוקפו של החוק הוארך לתקופת זמן נוספת ועד ליום י"ז בכסלו התשפ"ה (18 בדצמבר 2024). </t>
  </si>
  <si>
    <t xml:space="preserve"> (פ/4891/25)</t>
  </si>
  <si>
    <t xml:space="preserve">הצעת חוק הממשלה (תיקון - קיום מסיבת עיתונאים עיתית לגופי התקשורת בישראל), התשפ"ד-2024</t>
  </si>
  <si>
    <t xml:space="preserve"> (פ/4722/25)</t>
  </si>
  <si>
    <t xml:space="preserve">הצעת חוק סגירה מוחלטת של מעברי הגבול לרצועת עזה (תיקוני חקיקה), התשפ"ד-2024 </t>
  </si>
  <si>
    <t xml:space="preserve"> (פ/4706/25)</t>
  </si>
  <si>
    <t xml:space="preserve">הצעת חוק העונשין (תיקון - נשק לפגיעה המונית), התשפ"ד-2024</t>
  </si>
  <si>
    <t xml:space="preserve"> (פ/4531/25)</t>
  </si>
  <si>
    <t xml:space="preserve">הצעת חוק שנת שירות, התשפ"ד-2024</t>
  </si>
  <si>
    <t xml:space="preserve"> (פ/4509/25)</t>
  </si>
  <si>
    <t xml:space="preserve">הצעת חוק כליאתם של לוחמים בלתי חוקיים (תיקון - החלפת המונח לוחמים בלתי חוקיים), התשפ"ד-2024 </t>
  </si>
  <si>
    <t xml:space="preserve"> (פ/4378/25)</t>
  </si>
  <si>
    <t xml:space="preserve">הצעת חוק הפיקוח על מעונות יום לפעוטות (תיקון - חובת מרחב מוגן כתנאי לרישיון), התשפ"ד-2024 </t>
  </si>
  <si>
    <t xml:space="preserve"> (פ/4273/25)</t>
  </si>
  <si>
    <t xml:space="preserve">הצעת חוק הגנת הצרכן (תיקון - מענה אנושי בשירות טלפוני לאזרח ותיק), התשפ"ג-2023</t>
  </si>
  <si>
    <t xml:space="preserve"> (פ/2932/25)</t>
  </si>
  <si>
    <t xml:space="preserve">חוק-יסוד: ירושלים בירת ישראל (תיקון מס' 3) </t>
  </si>
  <si>
    <t xml:space="preserve"> (פ/2437/25)</t>
  </si>
  <si>
    <t xml:space="preserve"> (כ/1043)</t>
  </si>
  <si>
    <t xml:space="preserve">29.10.2024</t>
  </si>
  <si>
    <t xml:space="preserve">התיקון לחוק היסוד קובע כי לא יוקמו בירושלים נציגויות רשמיות של מדינות זרות, אלא אם הן נציגויות דיפלומטיות המאומנות למדינת ישראל, כלומר, שגרירויות. כמו כן, נקבע כי מדינת ישראל תעודד הקמת נציגויות דיפלומטיות (שגרירויות) המאומנות למדינת ישראל בתחומי ירושלים בירת ישראל.</t>
  </si>
  <si>
    <t xml:space="preserve">חוק הסיוע המשפטי (תיקון מס' 27 – הוראת שעה), התשפ"ה–2024</t>
  </si>
  <si>
    <t xml:space="preserve"> (מ/1639)</t>
  </si>
  <si>
    <t xml:space="preserve">החוק קובע הוראת שעה לפיה למשך שלוש שנים, לשכות הסיוע המשפטי במשרד המשפטים יתנו סיוע משפטי בתביעות לפי חוק איסור הפליה במוצרים, בשירותים ובכניסה למקומות בידור ולמקומות ציבוריים, התשס"א–2000, ללא בדיקת זכאות כלכלית.</t>
  </si>
  <si>
    <t xml:space="preserve">הצעת חוק החברות הממשלתיות (תיקון - חובת תרומת מזון עודף), התשפ"ג-2023</t>
  </si>
  <si>
    <t xml:space="preserve"> (פ/2793/25)</t>
  </si>
  <si>
    <t xml:space="preserve">28.10.2024</t>
  </si>
  <si>
    <t xml:space="preserve">הצעת חוק שירות המדינה (מינויים) (תיקון - עדיפות למשרת מילואים פעיל), התשפ"ד-2024</t>
  </si>
  <si>
    <t xml:space="preserve"> (פ/4447/25)</t>
  </si>
  <si>
    <t xml:space="preserve"> (פ/4327/25)</t>
  </si>
  <si>
    <t xml:space="preserve">חוק הסכמים קיבוציים (תיקון מס' 11 – הוראת שעה – חרבות ברזל) (הוראות מיוחדות לעניין הרחבת הסכם קיבוצי כללי שנעשה בשל פעולות האיבה או פעולות המלחמה) (תיקון), התשפ"ד-2024</t>
  </si>
  <si>
    <t xml:space="preserve"> (מ/1787)</t>
  </si>
  <si>
    <t xml:space="preserve">הוארך תוקפן של הוראות השעה בחוק הסכמים קיבוציים שמקצרות את המועדים ומפשטות את ההליכים למתן צו הרחבה להסכם קיבוצי כללי, שלגביו שר העבודה ציין כי העניינים בו נובעים בעיקרם ממלחמת חרבות ברזל, ושוכנע שיש דחיפות בהרחבתו. הוראות אלו יחולו ברציפות עד תום שלושה חודשים מסיום התוקף של ההכרזה על מצב מיוחד בעורף שהוכרזה בתחילת המלחמה. </t>
  </si>
  <si>
    <t xml:space="preserve">חוק להפסקת פעילות אונר"א, התשפ"ה-2024</t>
  </si>
  <si>
    <t xml:space="preserve"> (פ/4323/25)</t>
  </si>
  <si>
    <t xml:space="preserve"> (כ/1044)</t>
  </si>
  <si>
    <t xml:space="preserve">במרוצת השנים התגלו אי סדרים שונים בפעילותה של אונר"א, ונמצאו הוכחות ישירות למעורבות שלה ושל עובדיה בפעילות טרור נגד ישראל, לרבות באמצעות מערכת החינוך של אונר"א המסיטה להסתה, שנאה ואלימות נגד ישראל ובכלל זה השתתפות עובדי אונר"א במתקפת הטרור שהחלה ביום כ״ב בתשרי התשפ״ד (7 באוקטובר 2023). לאור זאת, נחקקו שני חוקים העוסקים באופנים שונים בהפסקת פעילות סוכנות אונר"א. הראשון – חוק להפסקת פעילות אונר"א, התשפ"ה–2024, והשני – חוק להפסקת פעילות אונר"א בשטח מדינת ישראל, התשפ"ה–2024. במסגרת החוק הראשון, נקבע כי הזמנת אונר"א בהסתמך על חילופי האיגרות בין ישראל ובין אונר"א משנת 1967 תפקע, וכי שר החוץ יודיע על כך לאומות המאוחדות בתוך שבעה ימים מיום קבלתו של חוק זה בכנסת. עוד נקבע כי רשות מרשויות המדינה, לרבות גופים ואנשים הממלאים תפקידים ציבוריים על פי דין, לא יקיימו כל מגע עם אונר"א או עם מי מטעמה; וכי הוראות החוק לא ייתרו כל הליך פלילי נגד עובדי אונר"א ובפרט הליך כאמור בשל אירועי 7 באוקטובר 2023 ומלחמת חרבות ברזל.  בנוסף, נקבעו הוראות דיווח לכנסת ותחילה מאוחרת של הוראות החוק, תוך החרגת ההוראה בדבר פקיעת חילופי האגרות שתכנס לתוקף ביום ה' בתשרי התשפ"ה (7 באוקטובר 2024) או ביום הפרסום של החוק, לפי המאוחר. </t>
  </si>
  <si>
    <t xml:space="preserve">חוק להפסקת פעילות אונר"א בשטח מדינת ישראל, התשפ"ה-2024</t>
  </si>
  <si>
    <t xml:space="preserve"> (פ/1416/25)</t>
  </si>
  <si>
    <t xml:space="preserve">במרוצת השנים התגלו אי סדרים שונים בפעילותה של אונר"א ונמצאו הוכחות ישירות למעורבות שלה ושל עובדיה בפעילות טרור נגד ישראל, לרבות באמצעות מערכת החינוך של אונר"א המסיטה להסתה, שנאה ואלימות נגד ישראל ובכלל זה השתתפות עובדי אונר"א במתקפת הטרור שהחלה ביום כ״ב בתשרי התשפ״ד (7 באוקטובר 2023). לאור זאת, נחקקו שני חוקים העוסקים באופנים שונים בהפסקת פעילות סוכנות אונר"א. הראשון – חוק להפסקת פעילות אונר"א, התשפ"ה–2024, והשני – חוק להפסקת פעילות אונר"א בשטח מדינת ישראל, התשפ"ה–2024. במסגרת החוק האחרון, נקבע כי אונר"א לא תפעיל כל נציגות, לא תספק כל שירות ולא תקיים כל פעילות, במישרין או בעקיפין, בשטחה הריבוני של מדינת ישראל. בנוסף, נקבע כי תחילתו של חוק זה יהיה שלושה חודשים מיום פרסומו, וחובת דיווח של ראש המטה לביטחון לאומי או נציגו לוועדת החוץ והביטחון של הכנסת, אחת לשישה חודשים, ובשנה הראשונה מיום תחילתו של חוק זה – אחת לחודשיים, בנוגע ליישום הוראות חוק זה.  </t>
  </si>
  <si>
    <t xml:space="preserve">הצעת חוק יום לציון המאבק בגזענות, התשפ"ה-2024</t>
  </si>
  <si>
    <t xml:space="preserve"> (פ/4963/25)</t>
  </si>
  <si>
    <t xml:space="preserve">הצעת חוק העונשין (תיקון – נשיאת מאסר במשמורת בקהילה), התשפ"ה–2024</t>
  </si>
  <si>
    <t xml:space="preserve"> (פ/4962/25)</t>
  </si>
  <si>
    <t xml:space="preserve">הצעת חוק מס ערך מוסף (תיקון - תשלום המס במתן שירותי כוח אדם ועבודות בנייה), התשפ"ה-2024</t>
  </si>
  <si>
    <t xml:space="preserve"> (פ/4961/25)</t>
  </si>
  <si>
    <t xml:space="preserve">הצעת חוק כינון בית משפט צבאי מיוחד לשיפוט פשעים נגד העם היהודי, אזרחי ישראל ותושביה, התשפ"ה-2024</t>
  </si>
  <si>
    <t xml:space="preserve"> (פ/4959/25)</t>
  </si>
  <si>
    <t xml:space="preserve">הצעת חוק לקידום תשתיות לאומיות (תיקון - תחולה באזור), התשפ"ה-2024 </t>
  </si>
  <si>
    <t xml:space="preserve"> (פ/4958/25)</t>
  </si>
  <si>
    <t xml:space="preserve"> (פ/4956/25)</t>
  </si>
  <si>
    <t xml:space="preserve">הצעת חוק ביטוח בריאות ממלכתי (תיקון - הוספת מכשירי ניידות ממונעים לתוספת השנייה), התשפ"ה-2024</t>
  </si>
  <si>
    <t xml:space="preserve"> (פ/4954/25)</t>
  </si>
  <si>
    <t xml:space="preserve">הצעת חוק משפחות חיילים שנספו במערכה (תגמולים ושיקום) (הוראת שעה - חרבות ברזל) (תיקון - הכרה במי שנספה בפגיעת איבה כחייל שנספה במערכה), התשפ"ה-2024</t>
  </si>
  <si>
    <t xml:space="preserve"> (פ/4953/25)</t>
  </si>
  <si>
    <t xml:space="preserve"> (פ/4952/25)</t>
  </si>
  <si>
    <t xml:space="preserve"> (פ/4951/25)</t>
  </si>
  <si>
    <t xml:space="preserve">הצעת חוק סדר הדין הפלילי (תיקון - הגשת קובלנה בעבירות הקשורות לסדר הציבורי), התשפ״ה-2024 </t>
  </si>
  <si>
    <t xml:space="preserve"> (פ/4950/25)</t>
  </si>
  <si>
    <t xml:space="preserve">הצעת חוק שיקום שכונות דרום תל-אביב (תמריצים לפיזור גיאוגרפי של מסתננים) (הוראת שעה), התשפ"ה-2024</t>
  </si>
  <si>
    <t xml:space="preserve"> (פ/4949/25)</t>
  </si>
  <si>
    <t xml:space="preserve">הצעת חוק לתיקון פקודת העיריות (קביעת שירותי תחבורה ציבורית בתחומי הרשות המקומית), התשפ"ה-2024</t>
  </si>
  <si>
    <t xml:space="preserve"> (פ/4948/25)</t>
  </si>
  <si>
    <t xml:space="preserve">הצעת חוק אומנה לילדים (תיקון - הזכות לחינוך לילדים בהשמה חוץ-ביתית), התשפ"ה-2024</t>
  </si>
  <si>
    <t xml:space="preserve"> (פ/4946/25)</t>
  </si>
  <si>
    <t xml:space="preserve">הצעת חוק הרבנות הראשית לישראל (תיקון - כשירות רב ראשי והרכב האסיפה הבוחרת), התשפ"ה-2024</t>
  </si>
  <si>
    <t xml:space="preserve"> (פ/4945/25)</t>
  </si>
  <si>
    <t xml:space="preserve">הצעת חוק התכנון והבנייה (תיקון - הארכת הסמכות של ועדות מקומיות בגליל ובנגב), התשפ"ה-2024</t>
  </si>
  <si>
    <t xml:space="preserve"> (פ/4944/25)</t>
  </si>
  <si>
    <t xml:space="preserve">הצעת חוק התכנון והבנייה (תיקון מס' 116) (תיקון - ביטול החוק), התשפ"ה-2024</t>
  </si>
  <si>
    <t xml:space="preserve"> (פ/4943/25)</t>
  </si>
  <si>
    <t xml:space="preserve">הצעת חוק הביטוח הלאומי (תיקון - מועדי תשלום דמי לידה), התשפ"ה-2024</t>
  </si>
  <si>
    <t xml:space="preserve"> (פ/4942/25)</t>
  </si>
  <si>
    <t xml:space="preserve">הצעת חוק רישוי עסקים (תיקון - פטור מרישוי עסק לקייטנה לתנועות ולארגוני נוער), התשפ"ה-2024 </t>
  </si>
  <si>
    <t xml:space="preserve"> (פ/4941/25)</t>
  </si>
  <si>
    <t xml:space="preserve">הצעת חוק-יסוד: השפיטה (תיקון - זכות עמידה בבית המשפט הגבוה לצדק)</t>
  </si>
  <si>
    <t xml:space="preserve"> (פ/4938/25)</t>
  </si>
  <si>
    <t xml:space="preserve">הצעת חוק לעשיית דין במחבלי החמאס ובעוזריהם, התשפ"ה-2024</t>
  </si>
  <si>
    <t xml:space="preserve"> (פ/4937/25)</t>
  </si>
  <si>
    <t xml:space="preserve">הצעת חוק כלי הירייה (תיקון - איסור השתתפות בהתארגנות חמושה אסורה), התשפ"ה-2024</t>
  </si>
  <si>
    <t xml:space="preserve"> (פ/4935/25)</t>
  </si>
  <si>
    <t xml:space="preserve">הצעת חוק המרכז לזכר אירועי 7 באוקטובר ומלחמת חרבות ברזל, התשפ"ה-2024</t>
  </si>
  <si>
    <t xml:space="preserve"> (פ/4934/25)</t>
  </si>
  <si>
    <t xml:space="preserve">הצעת חוק הבנקאות (שירות ללקוח) (תיקון - איסור על תפעול הנפקה והסכמי הפצת כרטיסי אשראי), התשפ"ה-2024</t>
  </si>
  <si>
    <t xml:space="preserve"> (פ/4933/25)</t>
  </si>
  <si>
    <t xml:space="preserve">הצעת חוק הפיקוח על שירותים פיננסיים (קופות גמל) (תיקון - הגדלת הסכום המרבי להפקדה בקופות גמל להשקעה), התשפ"ה-2024</t>
  </si>
  <si>
    <t xml:space="preserve"> (פ/4932/25)</t>
  </si>
  <si>
    <t xml:space="preserve">הצעת חוק לתיקון פקודת התעבורה (חניית נשים בהריון והורה לתינוק), התשפ"ה-2024</t>
  </si>
  <si>
    <t xml:space="preserve"> (פ/4930/25)</t>
  </si>
  <si>
    <t xml:space="preserve">הצעת חוק בתי דין רבניים (קיום פסקי דין של גירושין) (תיקון - שלילת זכאות לסיוע משפטי לסרבני גט), התשפ"ה-2024 </t>
  </si>
  <si>
    <t xml:space="preserve"> (פ/4929/25)</t>
  </si>
  <si>
    <t xml:space="preserve">הצעת חוק אשראי הוגן (תיקון - ריבית מקסימלית על הלוואה), התשפ"ה-2024</t>
  </si>
  <si>
    <t xml:space="preserve"> (פ/4926/25)</t>
  </si>
  <si>
    <t xml:space="preserve"> (פ/4925/25)</t>
  </si>
  <si>
    <t xml:space="preserve">הצעת חוק בתי המשפט (תיקון - רוב מיוחד לבחירת נשיא בית המשפט העליון), התשפ"ה-2024</t>
  </si>
  <si>
    <t xml:space="preserve"> (פ/4924/25)</t>
  </si>
  <si>
    <t xml:space="preserve">הצעת חוק התגמולים לנפגעי פעולות איבה (תיקון - זכויות למי שמתגורר אצלו יתום ששני הוריו נפטרו כתוצאה מפעולות איבה) (הוראת שעה), התשפ"ה-2024</t>
  </si>
  <si>
    <t xml:space="preserve"> (פ/4923/25)</t>
  </si>
  <si>
    <t xml:space="preserve">הצעת חוק האזרחות (תיקון - אזרחות לבן משפחה של חלל), התשפ"ה-2024</t>
  </si>
  <si>
    <t xml:space="preserve"> (פ/4922/25)</t>
  </si>
  <si>
    <t xml:space="preserve">הצעת חוק משפחות חיילים שנספו במערכה (תגמולים ושיקום) (תיקון - סיוע בתשלום ביטוח רכב ואגרת רישיון לשכול), התשפ"ה-2024</t>
  </si>
  <si>
    <t xml:space="preserve"> (פ/4920/25)</t>
  </si>
  <si>
    <t xml:space="preserve">הצעת חוק הרבנות הראשית לישראל (תיקון - מינוי רבנים שהוסמכו לרבנות על ידי מועצת הרבנות הראשית לישראל), התשפ"ה-2024</t>
  </si>
  <si>
    <t xml:space="preserve"> (פ/4919/25)</t>
  </si>
  <si>
    <t xml:space="preserve">הצעת חוק התפזרות הכנסת העשרים וחמש, התשפ"ה-2024</t>
  </si>
  <si>
    <t xml:space="preserve"> (פ/4918/25)</t>
  </si>
  <si>
    <t xml:space="preserve">הצעת חוק משפחות חיילים שנספו במערכה (תגמולים ושיקום) (תיקון - תוספת תגמול להורים שכולים בגיל 60), התשפ"ה-2024</t>
  </si>
  <si>
    <t xml:space="preserve"> (פ/4917/25)</t>
  </si>
  <si>
    <t xml:space="preserve">הצעת חוק חסינות מפני אחריות פלילית בגין אירועי 7 באוקטובר, התשפ"ה-2024</t>
  </si>
  <si>
    <t xml:space="preserve"> (פ/4916/25)</t>
  </si>
  <si>
    <t xml:space="preserve">הצעת חוק האזרחים הוותיקים (תיקון - הנחה בארנונה), התשפ"ה-2024</t>
  </si>
  <si>
    <t xml:space="preserve"> (פ/4915/25)</t>
  </si>
  <si>
    <t xml:space="preserve">הצעת חוק עיקול מידתי של נכסים המוחזקים בידי צד שלישי (תיקוני חקיקה), התשפ"ה-2024</t>
  </si>
  <si>
    <t xml:space="preserve"> (פ/4913/25)</t>
  </si>
  <si>
    <t xml:space="preserve">הצעת חוק-יסוד: ישראל - מדינת הלאום של העם היהודי (תיקון - הוספת עקרון השוויון בפני החוק ועיגון מעמדה של מגילת העצמאות)</t>
  </si>
  <si>
    <t xml:space="preserve"> (פ/4912/25)</t>
  </si>
  <si>
    <t xml:space="preserve">הצעת חוק-יסוד: השפיטה (תיקון - הגבלת ערעורים של המדינה על פסקי דין פליליים)</t>
  </si>
  <si>
    <t xml:space="preserve"> (פ/4911/25)</t>
  </si>
  <si>
    <t xml:space="preserve">הצעת חוק שירות ביטחון (תיקון - הסדרי פטור משירות), התשפ"ה-2024</t>
  </si>
  <si>
    <t xml:space="preserve"> (פ/4910/25)</t>
  </si>
  <si>
    <t xml:space="preserve">הצעת חוק כליאתם של לוחמים בלתי חוקיים (תיקון - החלפת המונח לוחמים בלתי חוקיים), התשפ"ה-2024 </t>
  </si>
  <si>
    <t xml:space="preserve"> (פ/4909/25)</t>
  </si>
  <si>
    <t xml:space="preserve">הצעת חוק ההתנתקות והפיצויים לנפגעיה (תיקון - נוכחות וחופש תנועה לישראלים בחבל עזה), התשפ"ה-2024</t>
  </si>
  <si>
    <t xml:space="preserve"> (פ/4908/25)</t>
  </si>
  <si>
    <t xml:space="preserve">הצעת חוק הגנת הצרכן (תיקון - חובת הצגת מחיר מומלץ של ירקות), התשפ"ה-2024</t>
  </si>
  <si>
    <t xml:space="preserve"> (פ/4907/25)</t>
  </si>
  <si>
    <t xml:space="preserve">הצעת חוק הביטוח הלאומי (תיקון - ביטוח שאירים לאלמן), התשפ"ה-2024</t>
  </si>
  <si>
    <t xml:space="preserve"> (פ/4906/25)</t>
  </si>
  <si>
    <t xml:space="preserve">הצעת חוק שירות הציבור (הגבלות לאחר פרישה) (תיקון - תקופת צינון לעובד ציבור ברשויות פיננסיות), התשפ"ה-2024</t>
  </si>
  <si>
    <t xml:space="preserve"> (פ/4903/25)</t>
  </si>
  <si>
    <t xml:space="preserve"> (פ/4902/25)</t>
  </si>
  <si>
    <t xml:space="preserve"> (פ/4899/25)</t>
  </si>
  <si>
    <t xml:space="preserve">הצעת חוק להקמת פקולטה בין-לאומית ללימודי רפואה בעיר אילת, התשפ"ה-2024 </t>
  </si>
  <si>
    <t xml:space="preserve"> (פ/4898/25)</t>
  </si>
  <si>
    <t xml:space="preserve">הצעת חוק עיטור הפציעה הקרבית, התשפ"ה-2024</t>
  </si>
  <si>
    <t xml:space="preserve"> (פ/4897/25)</t>
  </si>
  <si>
    <t xml:space="preserve">הצעת חוק לתיקון פקודת מס הכנסה (הגדלת מספר התושבים ביישוב מוטב), התשפ"ה-2024</t>
  </si>
  <si>
    <t xml:space="preserve"> (פ/4896/25)</t>
  </si>
  <si>
    <t xml:space="preserve">הצעת חוק משפחות חיילים שנספו במערכה (תגמולים ושיקום) (תיקון - הגדלת הטבות להנצחה), התשפ"ה-2024</t>
  </si>
  <si>
    <t xml:space="preserve"> (פ/4895/25)</t>
  </si>
  <si>
    <t xml:space="preserve">הצעת חוק עידוד תרומות מזון (תיקון - הצלת מזון), התשפ"ה-2024</t>
  </si>
  <si>
    <t xml:space="preserve"> (פ/4894/25)</t>
  </si>
  <si>
    <t xml:space="preserve">חוק הגנה על עובדים בשעת חירום (תיקון מס' 5 והוראת שעה - חרבות ברזל) (תיקון מס' 2), התשפ"ד-2024</t>
  </si>
  <si>
    <t xml:space="preserve"> (מ/1793)</t>
  </si>
  <si>
    <t xml:space="preserve">30.09.2024</t>
  </si>
  <si>
    <t xml:space="preserve">תוקף הוראת השעה בחוק הגנה על עובדים בשעת חירום (תיקון מס' 5 והוראת שעה – חרבות ברזל) מוארך עד יום ט' בשבט התשפ"ה (7 בפברואר 2025), וסמכות השר להאריך את תוקף הוראת השעה מעבר לכך מבוטלת. הוראת השעה כאמור קובעת הגנות מפני פיטורים לגבי עובדים שהם מפונים, עובדים שהם חטופים או שהם בני משפחה של חטוף או נעדר, ועובדים שהם בני זוג של חיילים בסדיר או בקבע או בני זוג של מי שמנויים בסעיף 11 לחוק.</t>
  </si>
  <si>
    <t xml:space="preserve">הצעת חוק להפסקת יחסי מדינת ישראל עם סוכנות הסעד והתעסוקה של האו"ם לפליטי פלסטין במזרח הקרוב (אונר"א) והכרזה עליה כארגון טרור, התשפ"ד-2024</t>
  </si>
  <si>
    <t xml:space="preserve"> (פ/4332/25)</t>
  </si>
  <si>
    <t xml:space="preserve">29.09.2024</t>
  </si>
  <si>
    <t xml:space="preserve">חוק הרבנות הראשית לישראל (הארכת כהונה של הרבנים הראשיים לישראל ושל חברי מועצת הרבנות הראשית לישראל והוראות נוספות) (הוראת שעה) (תיקון מס' 2), התשפ"ד-2024</t>
  </si>
  <si>
    <t xml:space="preserve"> (מ/1789)</t>
  </si>
  <si>
    <t xml:space="preserve">הוארך תוקפו של חוק הרבנות הראשית לישראל (הארכת כהונה של הרבנים הראשיים לישראל ושל חברי מועצת הרבנות הראשית לישראל והוראות נוספות( (הוראת שעה), התשפ"ג–2023, עד לתאריך 28 בפברואר 2025, במקום 15 בספטמבר 2024.</t>
  </si>
  <si>
    <t xml:space="preserve">חוק תקציב נוסף לשנת הכספים 2024 (מס' 2), התשפ"ד-2024</t>
  </si>
  <si>
    <t xml:space="preserve"> (מ/1792)</t>
  </si>
  <si>
    <t xml:space="preserve">מוצע לקבוע כי תקציב ההוצאה לשנת הכספים 2024 יעמוד על 727,405,079,000 שקלים חדשים המורכב מתקציב רגיל בסך 524,522,771,000 שקלים חדשים ומתקציב פיתוח וחשבון הון בסך 202,882,308,000 שקלים חדשים.</t>
  </si>
  <si>
    <t xml:space="preserve">חוק הפחתת הגירעון והגבלת ההוצאה התקציבית (תיקון מס' 26), התשפ"ד-2024</t>
  </si>
  <si>
    <t xml:space="preserve"> (מ/1791)</t>
  </si>
  <si>
    <t xml:space="preserve">מוצע לתקן את חוק הפחתת הגירעון והגבלת ההוצאה התקציבית התשנ"ב-1992, ולהגדיל את ההוצאה הממשלתית בשנת 2024 בסכום של 3,357 מיליארד שקלים חדשים לצורך מימון ההוצאות הדרושות לצרכים אזרחיים הנובעים ממלחמת חרבות ברזל.</t>
  </si>
  <si>
    <t xml:space="preserve">הצעת חוק זיכרון אירועי הטרור של כ"ב בתשרי (ה-7 באוקטובר) ומלחמת חרבות ברזל, התשפ"ד-2024</t>
  </si>
  <si>
    <t xml:space="preserve"> (פ/4597/25)</t>
  </si>
  <si>
    <t xml:space="preserve">25.09.2024</t>
  </si>
  <si>
    <t xml:space="preserve"> (פ/4596/25)</t>
  </si>
  <si>
    <t xml:space="preserve"> (פ/4570/25)</t>
  </si>
  <si>
    <t xml:space="preserve">הצעת חוק זיכרון טבח ה-7 באוקטובר - יד עוטף ישראל, התשפ"ד-2023</t>
  </si>
  <si>
    <t xml:space="preserve"> (פ/4096/25)</t>
  </si>
  <si>
    <t xml:space="preserve">הצעת חוק הסיוע המשפטי (תיקון - סיוע משפטי לתובע בהליך אזרחי), התשפ"ג-2023</t>
  </si>
  <si>
    <t xml:space="preserve"> (פ/3095/25)</t>
  </si>
  <si>
    <t xml:space="preserve">23.09.2024</t>
  </si>
  <si>
    <t xml:space="preserve">הצעת חוק התכנון והבנייה (תיקון - הכללת בתים מאזנים בהיתר מגורים לחוסים), התשפ"ד-2024</t>
  </si>
  <si>
    <t xml:space="preserve"> (פ/4192/25)</t>
  </si>
  <si>
    <t xml:space="preserve">17.09.2024</t>
  </si>
  <si>
    <t xml:space="preserve">הצעת חוק לתיקון פקודת מס הכנסה (מס' 274), התשפ"ד-2024</t>
  </si>
  <si>
    <t xml:space="preserve"> (מ/1788)</t>
  </si>
  <si>
    <t xml:space="preserve">16.09.2024</t>
  </si>
  <si>
    <t xml:space="preserve">חוק החברות (תיקון מס' 37), התשפ"ד-2024</t>
  </si>
  <si>
    <t xml:space="preserve"> (מ/1719)</t>
  </si>
  <si>
    <t xml:space="preserve">09.09.2024</t>
  </si>
  <si>
    <t xml:space="preserve">בחוק נעשו מספר תיקונים לחוק החברות שנועדו לטייב את הרגולציה ולשפר את מהימנות המרשמים. התיקון המרכזי עניינו בהוספת הסדר המסמיך את רשם החברות למחוק חברות לא פעילות ממרשמי הרשם. התיקון כולל שורה של תיקונים נוספים, ובהם: ביטול החובה על חברת חוץ להגיש תרגום לעברית של מסמכי ההתאגדות שלה אם המסמכים הוגשו באנגלית, קיצור פרק הזמן להגשת תביעת חוב בהליך פירוק מרצון ל-90 ימים, הקלה בבקשה לרישום עמותה כך שלא יידרש לצרף לה תצהיר של המייסדים החתום בידי עורך דין וניתן יהיה להסתפק באימות דיגיטלי, והוראה בעניין עדכון סכומים במנגנון העדכון הקבוע לעניין הגדרת חברה או עמותה לא פעילה שרשאית לא למנות רואה חשבון מבקר.</t>
  </si>
  <si>
    <t xml:space="preserve">חוק לתיקון פקודת בריאות העם (מס' 43), התשפ"ד–2024</t>
  </si>
  <si>
    <t xml:space="preserve"> (פ/4088/25)</t>
  </si>
  <si>
    <t xml:space="preserve"> (כ/1051)</t>
  </si>
  <si>
    <t xml:space="preserve">בתיקון זה לפקודת בריאות העם נקבע כי שר הבריאות יקים מאגר חיסונים לאומי ממוחשב, שיכלול מידע לגבי חיסונים שניתנו על ידי גורמים מחסנים, ביניהם משרד הבריאות, קופות החולים, בתי חולים ומרפאות וארגונים הנותנים שירותי רפואת חירום. שר הבריאות מוסמך לפי חוק זה לקבוע גורמים מחסנים נוספים, בכפוף לאישור ועדת הבריאות של הכנסת.  השימוש במאגר החיסונים יוגבל למטרות הקבועות בחוק בלבד, ביניהן מתן טיפול רפואי, הצגת מידע לאדם בדבר החיסונים שקיבל, פנייה יזומה מטעם משרד הבריאות לאדם למתן חיסון או לטיפול מונע כנגד מחלה מידבקת, לשם מניעת התפשטות של המחלה, ולשם מעקב אחר שיעור הכיסוי החיסוני באוכלוסייה. כמו כן, נקבע כי על הגורמים המחסנים לדווח למשרד הבריאות, לגבי אדם שהם נתנו לו חיסון, את הפרטים הקבועים בחוק בסמוך ככל האפשר למועד מתן החיסון ולא יאוחר מ- 72 שעות ממועד מתן החיסון. שר הבריאות, בהסכמת שר המשפטים ובאישור ועדת הבריאות של הכנסת, רשאי לקבוע פרטים נוספים שעל הגורמים המחסנים לדווח עליהם. העברת המידע תיעשה כמפורט בחוק באמצעות ממשק ייעודי ומאובטח, עם זאת מנכ"ל משרד הבריאות יהיה מוסמך להורות, מטעמים מיוחדים שיירשמו, על דיווח בדרך מאובטחת אחרת או על פטור מחובת הדיווח לגורם מחסן מסוים. משרד הבריאות יאפשר למתחסן לצפות באופן דיגיטלי בחיסונים שקיבל באמצעות הגורמים המחסנים, וקופות החולים יציגו את הנתונים הללו באזור האישי של המבוטח באתר האינטרנט של הקופה, בהתאם למידע שיועבר אל קופת החולים ממשרד הבריאות. משרד הבריאות יחויב בהעברת מידע מהמאגר למקבל מידע על פי הסכמת המטופל, בהתאם לחוק ניוד מידע רפואי, התשפ"ד-2024. לעניין אבטחת המידע שבמאגר, מנכ"ל משרד הבריאות ייקבע בנוהל הוראות הדרושות לשם אבטחת המידע הכלול במאגר והנמסר ממנו. המערכת הטכנולוגית שתשמש את המאגר תמזער, ככל האפשר, את הסיכון לפגיעה בפרטיות של מי שיש לגביו מידע במאגר, תוך בחינת חלופות טכנולוגיות מקובלות מזמן לזמן.  אי-דיווח של גורם מחסן למשרד הבריאות לגבי אדם שקיבל חיסון על ידו בניגוד להוראות החוק, יהיה עבירה פלילית.  תחילתו של חוק זה היא שישה חודשים מיום פרסומו, וחובת הדיווח החלה על הגורמים המחסנים, כמו גם העבירה הפלילית הכרוכה בהפרתה, תחול לגבי חיסון שניתן ביום התחילה או לאחריו. על הגורמים המחסנים להעביר את הפרטים הקיימים ברשותם גם לגבי חיסונים שניתנו לפי יום התחילה, אך אי קיום הוראה זו לא יהיה עבירה פלילית.  </t>
  </si>
  <si>
    <t xml:space="preserve">חוק ההוצאה לפועל (תיקון מס' 77), התשפ"ד-2024 </t>
  </si>
  <si>
    <t xml:space="preserve"> (מ/1769)</t>
  </si>
  <si>
    <t xml:space="preserve">החוק כולל מספר תיקונים לחוק ההוצאה לפועל, התשפ"ד–2024. בין התיקונים, הגבלת שכר טרחת עורך הדין בתיקי הוצאה לפועל בחובות שסכומם נמוך מ-4,500 שקלים, כך שיעמוד על סכום של 244 שקלים או עד 10 אחוזים מהחוב, לפי הגבוה מביניהם. סכום שכר הטרחה יעודכן בתחילת כל שנה בהתאם למדד המחירים לצרכן. כמו כן, החוק מפריד בין התנאים לעיקול מיטלטלין מעסק, לרבות עסק הפועל בבית החייב, ובין התנאים לעיקול מיטלטלין מביתו של החייב שלא מנוהל בו עסק. בנוסף, קובע החוק כי הסמכות להורות על עיקול ברישום של מיטלטלין מבית החייב תהיה נתונה להחלטת הרשם, שיוכל להפעילה במקרים שבהם מתקיימות הנסיבות הנדרשות כגון חלוף שישה חודשים מיום המצאת האזהרה לחייב ומיצוי ההליכים האחרים לגביית החוב. כמו כן, יוכל הרשם להורות על הוצאות המיטלטלין מבית מגורי החייב, אם שוכנע בתועלת הכלכלית הצפויה ממכירת המיטלטלין ולאחר ששקל את קיומן של נסיבות מיוחדות המצדיקות את אי-עיקולו, כגון הפגיעה בחייב ובבני ביתו. בנוסף, קובע החוק כי מחשבים אישיים וטלפונים ניידים המשמשים את החייב ובני ביתו יוגדרו כנכסים שאינם ברי עיקול.</t>
  </si>
  <si>
    <t xml:space="preserve">הצעת חוק שירות לאומי-אזרחי (תיקון מס' 4), התשפ"ב-2021 </t>
  </si>
  <si>
    <t xml:space="preserve"> (מ/1489)</t>
  </si>
  <si>
    <t xml:space="preserve">02.09.2024</t>
  </si>
  <si>
    <t xml:space="preserve">הצעת חוק לתיקון פקודת התעבורה (מס' 136), התשפ"ד-2024</t>
  </si>
  <si>
    <t xml:space="preserve"> (מ/1781)</t>
  </si>
  <si>
    <t xml:space="preserve">לא התקבלה בקריאה הראשונה</t>
  </si>
  <si>
    <t xml:space="preserve">14.08.2024</t>
  </si>
  <si>
    <t xml:space="preserve">חוק הפצת שידורים באמצעות תחנות שידור ספרתיות (תיקון מס' 7 - הוראת שעה), התשפ"ד–2024</t>
  </si>
  <si>
    <t xml:space="preserve"> (פ/3653/25)</t>
  </si>
  <si>
    <t xml:space="preserve"> (כ/1042)</t>
  </si>
  <si>
    <t xml:space="preserve">06.08.2024</t>
  </si>
  <si>
    <t xml:space="preserve">התיקון קובע הוראת שעה שתוקפה עד ליום ב' בשבט התשפ"ה (31 בינואר 2025), ובמהלכה מוטלת חובה על הערוצים הזעירים והזעירים-הייעודיים להפיץ את שידוריהם באמצעות מערך הפצת השידורים באמצעות תחנות השידור הספרתיות, הידוע כמערך "עידן פלוס". זאת, במקום הרשות שהייתה נתונה להם לעשות כן לפי חוק הפצת שידורים באמצעות תחנות שידור ספרתיות, התשע"ב–2012 (להלן – החוק) טרם התיקון, ולצד החובה שמוטלת לפי החוק על תאגיד השידור הישראלי, על בעלי הרישיונות לשידורי טלוויזיה שהם הערוצים המסחריים הוותיקים ועל ערוץ הכנסת להפיץ את שידוריהם באמצעות המערך, ממנה התיקון אינו משנה. התיקון גם אינו משנה את המצב החוקי לעניין זה בקשר לתחנות הרדיו, ולפיו שידוריהן יופצו באמצעות המערך אם ביקשו זאת. ככלל, הפצת השידורים באמצעות המערך כרוכה בתשלום דמי הפצה שמשלמים הגורמים המופצים לגורם המפעיל את המערך – כיום מדובר ברשות השנייה לטלוויזיה ורדיו.  בשל הטלת החובה כאמור, התיקון פוטר את הערוצים הזעירים והזעירים-ייעודיים, למשך תקופת הוראת השעה, מהחובה שחלה לפי החוק על כל הערוצים המופצים באמצעות מערך עידן פלוס לתת לספקי תכנים רשומים, המשדרים באמצעות האינטרנט, הסכמה להעביר את שידוריהם בלא תמורה. בנוסף, התיקון קובע כי כל בעלי הרישיונות לשידורי טלוויזיה ובעלי הזיכיונות לשידורי רדיו יהיו פטורים מתשלום דמי הפצה לגורם המפעיל, החל מיום כ"ב בתשרי התשפ"ד (7 באוקטובר 2023), בהתאמה למועד פרוץ מלחמת חרבות ברזל ונוכח הצורך להפיץ התראות ביטחוניות לציבור נרחב ככל האפשר באמצעות ערוצי התקשורת, ועד תום תוקפה של הוראת השעה. עוד קובע התיקון כי תאגיד השידור הישראלי, הכנסת ואוצר המדינה הם שיישאו בדמי ההפצה האמורים לגבי הפצת שידוריהם של כלל בעלי הרישיונות לשידורי טלוויזיה בתקופת הפטור, לפי חישוב הקבוע כיום בחוק. אוצר המדינה הוא שיישא בדמי ההפצה לגבי הפצת שידוריהם של בעלי הזיכיונות לשידורי רדיו. הפטור מתשלום דמי ההפצה כאמור ייכנס לתוקפו רק אם תופסק פעילותו של אחד המרבבים – רכיב מיושן שהוא חלק ממערך עידן פלוס ועלותו גבוהה – וזאת עד למועד פקיעתה של הוראת השעה. הפסקת פעילותו של המרבב כרוכה בעלות של כשלושה וחצי מיליון שקלים חדשים, והתיקון קובע כי עלות זו תשולם לגורם המפעיל בידי הגופים שצפויים ליהנות מהחיסכון שבהפסקת פעילותו: תאגיד השידור הישראלי, הכנסת והערוצים המסחריים הוותיקים. אם הגורם המפעיל לא יפסיק את פעילותו של המרבב עד תום הוראת השעה, הוא ישיב את הסכומים שהועברו לו כאמור, ויישא בדמי ההפצה של הגופים שקיבלו פטור מדמי הפצה, מסכום שאוצר המדינה יעביר לו לשם כך.</t>
  </si>
  <si>
    <t xml:space="preserve">חוק הגנת הפרטיות (תיקון מס' 13), התשפ"ד-2024</t>
  </si>
  <si>
    <t xml:space="preserve"> (מ/1496)</t>
  </si>
  <si>
    <t xml:space="preserve">05.08.2024</t>
  </si>
  <si>
    <t xml:space="preserve">החוק מהווה תיקון מקיף לחוק הגנת הפרטיות, ובכלל זה עדכון של המונחים הבסיסיים וההגדרות של החוק וצמצום חובת הרישום כך שתחול רק על גופים ציבוריים ועל סוחרי מידע שבבעלותם מאגר מידע על 10,000 בני אדם ומעלה. עוד נקבע, כי יש לקבוע ולעדכן הגבלות על עיבוד מידע במאגר מידע, ובכלל זה איסור על עיבוד מידע אישי שלא למטרה שלשמה נמסר, איסור על עיבוד מידע ללא הרשאה או בחריגה מהרשאת בעל השליטה במאגר מידע ואיסור על עיבוד מידע אשר נוצר, התקבל, נצבר או נאסף בניגוד להוראות החוק או כל דין אחר המסדיר עיבוד מידע. נקבעה גם חובה למינוי ממונה על הגנת הפרטיות בגופים המחויבים בחובת רישום ובגופים המעבדים מידע אישי בהיקף ניכר.  בנוסף, החוק מחזק את הרשות להגנת הפרטיות ומקנה לה סמכויות מפורשות ומעודכנות של פיקוח, בירור מינהלי, אכיפה מינהלית וחקירה פלילית, בכפוף להגבלות ולתנאים המנויים בחוק. עוד נקבע כי לרשות תהיה סמכות לבקש מבית המשפט לעניינים מינהליים צו להפסקת עיבוד מידע אישי ומחיקתו. החוק מחליף את עבירות האחריות קפידה במתן סמכות לרשות לקביעת עיצומים כספיים או בעבירות עם כוונה נפשית, לפי העניין. לבסוף, נקבע לתת לבני אדם שזכויותיהם לפי החוק הופרו, זכות לתביעת פיצוי כספי ללא הוכחת נזק ולבטל את מגבלת ההתיישנות בת השנתיים בתביעות אזרחיות. עוד נקבע כי תחילתו של חוק זה שנה מיום פרסומו ברשומות. </t>
  </si>
  <si>
    <t xml:space="preserve">חוק התקנים (תיקון מס' 19), התשפ"ד-2024</t>
  </si>
  <si>
    <t xml:space="preserve"> (מ/1743)</t>
  </si>
  <si>
    <t xml:space="preserve"> חוק זה כולל תיקונים משמעותיים בחוק התקנים ובפקודת היבוא והיצוא, שהעיקרי שבהם הוא יצירת מסלול חדש ואופציונלי לייבוא, ייצור ושיווק טובין המתאימים לדרישות רגולציות או דירקטיבות אירופאיות, כתחליף לחובה לעמוד בדרישות התקינה הישראלית. החוק כולל הסדר ייחודי בדין הישראלי, שמאפשר להחיל בישראל את הדין האירופי, כאשר הנוסח המחייב יהיה בשפה האנגלית. לצד זאת, החוק מחייב את משרד הכלכלה לפרסם לציבור תרגום מקצועי ומהימן של האסדרות האירופיות שיחולו בישראל, וכן לבחון באופן ספציפי כל עדכון של האסדרה, כך ששינויים שייערכו בה באירופה לא יאומצו באופן אוטומטי בישראל. בחוק  מנויות האסדרות האירופיות – דירקטיבות ורגולציות אחרות –  שיחולו בישראל מכוחו וכן התנאים להחלתן ומועדי התחילה שלהן. החוק מסמיך את שר הכלכלה והתעשייה להרחיב בצו את רשימת האסדרות, ובכלל זה נספחים ועדכונים שלהן, תוך אימוצן בלא כל שינוי, וזאת בשים לב לשיקולים הנוגעים לאפשרות האכיפה של ההוראות הכלולות בצו. באופן דומה רשאי השר, מיוזמתו או לפי בקשת שר אחר, לדחות את מועדי התחילה לאימוץ האסדרות השונות החלות בדין האירופי, לתקופות שלא יעלו במצטבר על שנה, בהתאם להיערכות ליישומן. לעומת זאת, הסרה של דירקטיבה, החלתה בשינויים או הוספת תנאים בה וכן דחיית מועדי התחילה לתקופה של מעל שנה, ייעשו בצו של שר הכלכלה, אך רק לאחר שקיבל את המלצת ועדת החריגים לכך. ועדת החריגים הוא גוף ממשלתי מייעץ, הפועל מכוח פקודת הייבוא והייצוא בהתאם לרפורמה בייבוא שאושרה בשנת 2021. בחוק קבועות הוראות המסדירות את אופן הפניה לוועדת החריגים ואת האפשרות לפנות להכרעת הממשלה לאחר החלטת ועדת החריגים, וכן המקרים בהם שר הכלכלה יהיה מוסמך לפעול אף בלא המלצה של ועדת החריגים.  בחוק נקבעו החרגות למוצרים שונים, כגון: מוצרי מזון, רכב מנועי, וכל מצרך או תהליך עבודה שחל עליו תקן רשמי שעניינו בטיחות אש, למעט ציוד כיבוי מיטלטל שאינו מחובר חיבור של קבע למקרקעין או לבניין, חומרי כיבוי וגלאי עשן עצמאי. כמו כן נקבעו בחוק דרישות נוספות, מעבר לאילו של האסדרה האירופית המאומצת, ביחס למוצרים שיש בהם סכנה, כגון מכשירים המופעלים ע"י גז בישול (גפ"מ) או ביחס למוצרים שיש מקום לקבוע ביחס אליהם דרישות שונות בגלל תנאים ייחודיים בישראל המצדיקים זאת, כגון דרישות ביחס לריכוזי חומרים בנוזלי ניקוי למדיח כלים שעלולים לפגוע במי הקולחין, שבישראל, בניגוד לאירופה, נעשה בהם שימוש לצורך השקיית גידולים חקלאיים. בחוק קיימות גם הוראות שמטרתן להאיץ את תהליך התאמת החקיקה הישראלית לסטנדטים האירופיים, והן כוללות מנגנון ייחודי ותקדימי, לפיו שר הכלכלה יהיה מוסמך להוסיף בצו לתוספת השביעית לחוק, חקיקת משנה שהיא בתחום סמכותו של משרד אחר, ובכך לקבוע שלצד חיקוק בדין הישראלי, יחולו גם הוראות האסדרה האירופית, צו זה טעון אישור של ועדה מוועדות הכנסת שהנושא המוסדר הוא בתחום ענייניה.  החוק כולל גם הקלות נוספות ללא קשר למסלול היבוא החדש, לדוגמא, יבואן או יצרן של דוגמאות שאינן מיועדות לשיווק והפצה לציבור, לא יידרש לעמוד בדרישות תקינה כלשהן. רוב הוראות החוק יכנסו לתוקף ב- 1 בינואר 2025, אך חלקן ייכנסו לתוקף מאוחר יותר.  </t>
  </si>
  <si>
    <t xml:space="preserve">חוק הכשרות המשפטית והאפוטרופסות (תיקון מס' 21), התשפ"ד-2024</t>
  </si>
  <si>
    <t xml:space="preserve"> (מ/1763)</t>
  </si>
  <si>
    <t xml:space="preserve">החוק מסמיך את האפוטרופוס הכללי לאשר בקשות של אפוטרופוס, מיופה כוח או הורה לקטין, אשר בעבר נדרש בהן אישור מראש מבית המשפט כתנאי לביצוע הפעולה. החוק קובע כי ככל שיהיה מדובר בבירור מורכב, שתתעורר התנגדות לבקשה או שהאפוטרופוס הכללי לא ימצא לנכון לאשר את הבקשה, היא תועבר להכרעה של בית המשפט. בנוסף, נקבע כי השר, באישור ועדת החוקה, חוק ומשפט של הכנסת, יוכל לקבוע סוגי נכסים ופעולות שבעניינם האפוטרופוס יהיה מוסמך לעשות פעולה או לייצג את הקטין גם בלי אישור מראש.</t>
  </si>
  <si>
    <t xml:space="preserve">חוק בתי דין רבניים (קיום פסקי דין של גירושין) (תיקון מס' 9), התשפ"ד-2024</t>
  </si>
  <si>
    <t xml:space="preserve"> (מ/1626)</t>
  </si>
  <si>
    <t xml:space="preserve">החוק מרחיב את צווי ההגבלה שבית הדין הרבני רשאי להטיל על סרבן גט. במסגרת התיקון, הוספו צווי הגבלה כלכליים עליהם רשאי בית הדין להורות. כמו כן, החוק מסמיך את בית הדין להטיל בצו הגבלה תשלומי כפיית ציות לטובת מי שפסק הדין ניתן לזכותו בשים לב למצבו הכלכלי של מי שניתן נגדו הצו. עוד נקבע כי לבית הדין סמכות להכריז כי הרחקות דרבנו תם יחולו על מי שניתן נגדו פסק הדין או על אדם שלישי הגורם לסרבן לסרב למתן הגט. זאת ועוד, החוק מבצע הבחנה וקובע כי אם ננקטה לשון של כפיה, חובה או מצווה ולא קבע בית הדין אחרת, אזי ברי כי ניתן להטיל צווי הגבלה. ואולם, לעניין לשון הצעה או לשון אחרת, בית הדין יקבע האם ניתן יהיה לתת צווי הגבלה מכוח פסק הדין. בנוסף לכך, מוצע לשנות את הדין לעניין נשים שבית הדין קבע שעליהן לקבל את הגט, ולקבוע בהוראת שעה כי יהיה ניתן להטיל צו הגבלה על נשים כאמור גם ללא אישור מיוחד של נשיא בית הדין הרבני הגדול כפי שהיה נדרש עד לתיקון זה. </t>
  </si>
  <si>
    <t xml:space="preserve">חוק לשכת עורכי הדין (תיקון מס' 44), התשפ"ד–2024</t>
  </si>
  <si>
    <t xml:space="preserve"> (פ/3826/25)</t>
  </si>
  <si>
    <t xml:space="preserve"> (כ/1003)</t>
  </si>
  <si>
    <t xml:space="preserve">החוק מעביר את הסמכות להכרה בתארים זרים במשפטים מהאוניברסיטה העברית בירושלים, לממונה שימנה שר המשפטים מקרב עובדי משרד המשפטים. הממונה יפעל בהתאם לאמות המידה שתקבע ועדה שתמונה על ידי שר המשפטים, וחבריה יהיו עובד בכיר במשרד המשפטים, נציג לשכת עורכי הדין וחבר סגל אקדמי המתמחה במשפטים. כמו כן, מוצע לקבוע כי הפטור מבחינת התמחות הניתן כיום במקרים מסוימים לעורכי דין שהוסמכו בחו"ל כמו גם הקלות בנושא ההתמחות, יחולו גם על מי ששימש בחוץ לארץ כעורך דין במשך תקופה מסוימת אף אם לא הוסמך כעורך דין, במדינות שבהן ניתן לפעול כעורך דין ללא הסמכה. זאת, בתנאי שניסיונו הוכר כמספק לדעת הלשכה ועל פי אמות המידה שתקבע הוועדה האמורה בנושא.</t>
  </si>
  <si>
    <t xml:space="preserve">חוק התכנון והבנייה (תיקון מס' 156 - הוראת שעה), התשפ"ד-2024 </t>
  </si>
  <si>
    <t xml:space="preserve"> (מ/1768)</t>
  </si>
  <si>
    <t xml:space="preserve">הוחלט שבתקופה שבין ה30.06.24 לבין ה-31.12.25, יוכל שר הפנים לתת רישיון להפעלת מכון בקרה גם ללא בקר מורשה של הגנת הסביבה, תקופה זו ניתנת להארכה בצו של שר הפנים בזמן של עד שנה לכל הארכה, ועד שנתיים במצטבר לכלל ההארכות.</t>
  </si>
  <si>
    <t xml:space="preserve">חוק פיצויי פיטורים (תיקון מס' 34 – הוראת שעה – חרבות ברזל), התשפ"ד-2024</t>
  </si>
  <si>
    <t xml:space="preserve"> (מ/1749)</t>
  </si>
  <si>
    <t xml:space="preserve">לפי סעיף 5 לחוק פיצויי פיטורים, התשכ"ג-1963, מעסיק חייב לשלם לשאריו המפורטים בחוק של עובד שנפטר את פיצויי הפיטורים שהיה משלם לו אילו היו מפטר אותו, ואם אין לנפטר בן זוג או ילדים התלויים בו, נדרש הליך בבית הדין לעבודה לעניין מתן פיצויי הפיטורים לשאירים האחרים. התיקון לחוק נועד לייתר את הפנייה לבית הדין לעבודה בכך שהוא קובע כהוראת שעה לגבי עובד שנפטר בתקופה שמיום 7.10.23 ועד שנה מתום תקופת תוקפה של ההכרזה על מצב מיוחד בעורף שהוכרזה ביום האמור, שפיצויי הפיטורים ישולמו על ידי המעסיק לשאריו של העובד שנפטר, ואם אין שארים ישולמו הפיצויים ליורשים על פי דין או לזוכים לפי צוואה לפי חוק הירושה. החוק מסמיך את שר העבודה להאריך את התקופה שלגבי הנפטרים בה יחול ההסדר, בתקופות נוספות שמשכן הכולל לא יעלה על 12 חודשים אם הדבר נדרש עקב הימשכות מלחמת חרבות ברזל.</t>
  </si>
  <si>
    <t xml:space="preserve">חוק התכנון והבנייה (תיקון מס' 155), התשפ"ד-2024</t>
  </si>
  <si>
    <t xml:space="preserve">הוחלט שיתאפשר לבצע פיצול דירות בהקלה בשני מסלולים, האחד פיצול של היחידה הקיימת לשתי יחידות, במסלול זה מוצע שהועדה המקומית תהיה חייבת לאשר את הפיצול אלא אם ישנה חוות דעת של מהנדס הועדה כי התשתיות הקיימות לא נותנת מענה מספק להגדלת יחידות הדיור. במסלול השני, מוצע לאשר הוספה של עד 45 מ"ר ליחידה קיימת לטובת היחידה החדשה, בתנאים המנויים בהצעה ובכללם חובת תוספת של מרחב מוגן לדירה אם נוסף לה השטח המינימלי למרחב מוגן, לפחות. בנוסף מוצע שבמחוז הצפון והדרום, יחידות הדיור שפוצלו לא ייחשבו לעניין מגבלת כמות יחידות הדיור לפי תמ"א 35 עד לשיעור של 20% מהיחידות הקבועות לאותו ישוב. נקבעה הוראה נוספת שקובעת שיחידת הדיור שפוצלה תישאר בידי אותם בעלים והיא תוכל לשמש לשכירות או מגורים של בני אותה משפחה בלבד. הוחלט גם שהיטל ההשבחה יהיה בשיעור מופחת של 34%  על פיצול ללא תוספת שטח והיטל רגיל של 50% אם הפיצול כולל תוספת שטח.</t>
  </si>
  <si>
    <t xml:space="preserve">הצעת חוק-יסוד: הממשלה (תיקון מס' 17) (ביטול ממשלת חילופים)</t>
  </si>
  <si>
    <t xml:space="preserve">חוק סיוע לסטודנטים ששירתו במילואים (תיקוני חקיקה והוראת שעה), התשפ"ד-2024</t>
  </si>
  <si>
    <t xml:space="preserve"> (מ/1645)</t>
  </si>
  <si>
    <t xml:space="preserve">29.07.2024</t>
  </si>
  <si>
    <t xml:space="preserve">החוק כולל מספר תיקונים שמטרתם מתן סיוע כספי, הקלות והתאמות לסטודנטים ששירתו במילואים או בסדיר ולבני זוגם, בין היתר על רקע מלחמת חרבות ברזל. בחוק המועצה להשכלה גבוהה, התשי"ח–1958 הוסמכה קרן הסיוע של המל"ג להתחשב בחלוקת המענקים גם בשירות צבאי ובשירות מילואים. בחוק עידוד מעורבות סטודנטים בפעילות חברתית וקהילתית, השתע"ח–2018 שופרו תנאי ההכרה בשירות מילואים כמזכה בנקודות זכות במסגרת תואר אקדמי. בחוק זכויות הסטודנט, התשס"ז–2007 נקבע כי על המל"ג לקבוע כללים שעל בסיסם יקבעו המוסדות התאמות מיוחדות לסטודנטים ששירתו במילואים בנסיבות חירום ובהתראה קצרה מעל 30 ימים, ולבני זוג של מי ששירתו כאמור. בנוסף, נקבע כי מוסד מוסמך לתת הקלות בתנאי קבלה למי ששירתו בשירות סדיר כלוחמים, בכפוף לתנאים, וכן נקבע בהוראת שעה כי מוסד מוסמך לתת הקלות בתנאי קבלה לשנה"ל תשפ"ד ותשפ"ה למי ששירתו במלחמת חרבות ברזל, בהתחשב באופי ובתקופת השירות. הוראת השעה תחול עד תום 3 חודשים מתחילת החוק ושר החינוך רשאי להאריכה ב-6 חודשים נוספים בכפוך להמשך הלחימה.</t>
  </si>
  <si>
    <t xml:space="preserve">חוק כליאתם של לוחמים בלתי חוקיים (תיקון מס' 4 והוראת שעה – חרבות ברזל) (תיקון מס' 2), התשפ"ד-2024</t>
  </si>
  <si>
    <t xml:space="preserve"> (מ/1779)</t>
  </si>
  <si>
    <t xml:space="preserve">28.07.2024</t>
  </si>
  <si>
    <t xml:space="preserve">חוק כליאתם של לוחמים בלתי חוקיים, התשס"ב–2002, נועד להסדיר את כליאתם של לוחמים בלתי חוקיים, אשר אינם זכאים למעמד של שבויי מלחמה, בדרך העולה בקנה אחד עם מחויבויותיה של מדינת ישראל לפי הוראות המשפט הבין-לאומי ההומניטרי. בין שלל ההסדרים בחוק זה, נכללים גם ביקורת שיפוטית על כליאתו של לוחם בלתי חוקי, זכאותו לפגישה עם עורך דין וייצוגו ותנאי כליאתו. חוק כליאתם של לוחמים בלתי חוקיים (תיקון מס' 4 והוראת שעה – חרבות ברזל), התשפ"ד–2023, מאריך את תקופת הכליאה הזמנית של לוחמים בלתי חוקיים, וקובע כי במקרה בו הודיעה הממשלה לוועדת החוץ והביטחון של הכנסת על החלטה לפתוח במלחמה או על פעולות צבאיות משמעותיות לפי חוק-יסוד: הממשלה, רשאית היא להכריז כי אלו מצריכות תחולה של הוראות שונות בחוק.  במסגרת תיקון מספר 2, הוארכה הוראת השעה לעניין התקופות המנויות בחוק כליאתם של לוחמים בלתי חוקיים, בין היתר לעניין משך הוראת כליאה זמנית, מועד ההבאה בפני שופט והתקופות שניתן למנוע בהן פגישה עם עורך דין, וכן לעניין דרגת הדרג הצבאי המאשר פעולות שונות לפי החוק, עד ליום כ"ט בחשוון התשפ"ה (30 בנובמבר 2024). כמו כן, קוצרו התקופות המרביות הקבועות בחוק, ובכלל זאת תקופת תוקפה של הוראת הכליאה הזמנית, התקופות הנוגעות למניעת מפגש עם עורך דין, והתקופה במהלכה ניתן לערוך ביקורת שיפוטית. זאת ועוד, נקבע כי בעת קביעתו של שר הביטחון מקום כליאה לטובת מימוש החוק, הוא ימנה מבקרים רשמיים למתקן כליאה מסוים, לחלק ממנו או באופן כללי לכל מתקן כליאה – ביניהם, יושב ראש ועדת החוץ והביטחון של הכנסת, היועץ המשפטי לממשלה והפרקליט הצבאי הראשי. מבקר רשמי כאמור רשאי להיכנס למתקן, לבדוק את תנאיו, ניהולו התקין והטיפול בכלואים, כשבסוף ביקורו יגיש דוח למפקד מיתקן הכליאה, שהתייחסותו תוגש בצירוף הדוח למספר גורמים, ביניהם שר הביטחון, הרמטכ"ל, היועץ המשפטי לממשלה ויושב ראש ועדת החוץ והביטחון של הכנסת. כמו כן, נקבעה חובת דיווח בעניין זה לוועדת החוץ והביטחון של הכנסת, וכי הכרזת הממשלה על שינויים בתחולתו של החוק בעקבות הכרזה על מלחמה, פעולה צבאית משמעותית או פעולות צבאיות אחרות, תעמוד בתוקפה עד ליום כ"ז באלול התשפ"ד (30 בספטמבר 2024). </t>
  </si>
  <si>
    <t xml:space="preserve">חוק לתיקון פקודת בתי הסוהר (הוראת שעה), התשפ"ד-2024</t>
  </si>
  <si>
    <t xml:space="preserve"> (מ/1783)</t>
  </si>
  <si>
    <t xml:space="preserve">ביום כ"ט בחשוון התשע"ט (7 בנובמבר 2018), פורסם חוק לתיקון פקודת בתי הסוהר (מס' 54 והוראת שעה), התשע"ט–2018, כאחד המענים לפסיקת בית המשפט העליון בבג"ץ 1892/14 האגודה לזכויות האזרח בישראל נ' השר לביטחון פנים, בה נקבע כי יש להגדיל את מרחב המחיה של האסירים בבתי הסוהר. החוק קבע, בהתבסס על מנגנון השחרור המנהלי הקיים בפקודת בתי הסוהר, כי הנציב יורה לשחרר אסירים לפני תום תקופת מאסרם ובתנאי שריצו לפחות מחצית מתקופת מאסרם, כדי להקל על הצפיפות בבתי הסוהר. כמו כן, נקבע כהוראת שעה לשלוש שנים, כי התקופות המרביות של השחרור המנהלי יוגדלו, כדי להקל עוד יותר על הצפיפות. עוד נקבע כי הרחבות השחרורים המנהליים במסגרת החוק לא יחולו על אסירים ביטחוניים. במסגרת חוק לתיקון פקודת בתי הסוהר (מס' 57 והוראות שעה), התשפ"ב–2021, הוארכה הוראת השעה הקובעת תקופות שחרור מינהלי מורחבות בשבעה חודשים, בשני שינויים. ראשית, נקבע כי אסירים שהורשעו בעבירות מין, אלימות במשפחה ואלימות חמורה, שנגזרו עליהם פחות משלוש שנות מאסר, יהיו זכאים לשחרור המינהלי המורחב רק אם ועדת השחרורים בחנה את עניינם באופן פרטני ומצאה שהם מתאימים לשחרור מוקדם. שנית, צומצמו תקופות השחרור המינהלי המורחב לגבי אסירים שנגזרו עליהם בין 18 ל-36 חודשי מאסר. מאוחר יותר, במסגרת חוק לתיקון פקודת בתי הסוהר (הוראות שעה), התשפ"ג–2023, הוארכה הוראת השעה בעניין הסדר השחרור המנהלי המורחב הקבוע בפקודת בתי הסוהר עד לתאריך כ"ה בתמוז התשפ"ד (31 ביולי 2023), במספר שינויים שעיקרם ביטול השחרור המינהלי לאסירים ביטחוניים, הרחבת תקופת השחרור המינהלי לאסירים שנגזרו עליהם 18 עד 36 חודשי מאסר וקביעה כי תקן הכליאה בבתי הסוהר יהיה 14,500. כעת, במסגרת התיקון הנוכחי, נקבע כי תוקפו של הסדר השחרור המנהלי המורחב כאמור יוארך עד ליום כ"ט בחשוון התשפ"ה (30 בנובמבר 2024), וכי תקן הכליאה יוסיף לעמוד על 14,500 מקומות כליאה עד ליום כ"ט בחשוון התשפ"ה (30 בנובמבר 2024). </t>
  </si>
  <si>
    <t xml:space="preserve">חוק הביטוח הלאומי (תיקון מס' 248), התשפ"ד-2024</t>
  </si>
  <si>
    <t xml:space="preserve"> (מ/1780)</t>
  </si>
  <si>
    <t xml:space="preserve">החוק קובע זכאות לתגמול חלף שכר למי שנחטף או נעדר בשל אירועי ה-7.10.23 (שעוגן עד כה בהסכם לפי סעיף 9 לחוק הביטוח הלאומי). גובה התגמול לא יפחת מכ-7,300 ₪ (או מ-9,500 ₪ אם מדובר בהורה) ויתבסס על הכנסתו של החטוף או הנעדר טרם חטיפתו או העדרותו, ככול שהוא עבד. גובה התגמול לא יעלה על כ-49,000 ₪. הזכאות תהיה כל עוד החטוף לא שוחרר או הנעדר לא אותר. ההסדר יעמוד בתוקפו עד ל-6.10.26. שר העבודה, באישור ועדת העבודה והרווחה של הכנסת, יוכל להאריך את התוקף בתקופות נוספות שמשכן לא יעלה על שנה בכל פעם. ההסדר לא יחול על חטופים שהם חיילים או משרתים בכוחות הביטחון.</t>
  </si>
  <si>
    <t xml:space="preserve">חוק הפרות תעבורה מינהליות, התשפ"ד-2024</t>
  </si>
  <si>
    <t xml:space="preserve"> (מ/1478)</t>
  </si>
  <si>
    <t xml:space="preserve">24.07.2024</t>
  </si>
  <si>
    <t xml:space="preserve">בהתאם לחוק, עבירות תעבורה שהן עבירות קנס, דהיינו עבירות שלמבצע אותן מוקנית האפשרות לבחור האם לשלם את הקנס או להישפט, יטופלו במישור המנהלי במסגרת בית דין מנהלי חדש וייעודי שיוקם במשרד המשפטים, ויקרא בית הדין לתעבורה. הדיונים בבית הדין לתעבורה, בשונה מהדיונים בבית המשפט לתעבורה, יתנהלו ככלל שלא בנוכחות הצדדים, על בסיס טענות וראיות שיוגשו בכתב בלבד, אלא אם כן ימצא בית הדין כי יש בכך כדי לפגוע בעשיית הצדק. אם יחליט בית הדין לדון בנוכחות הצדדים, הדיון יתקיים באמצעים טכנולוגיים, למעט במקרים בהם יחליט בית הדין כי יש בכך כדי לפגוע בעשיית הצדק, ואז יתקיים הדיון בנוכחות פיזית של הצדדים. בחוק מעוגנת חובת משרד המשפטים להפעיל עמדות שירות שתפקידן לסייע למי שמבקש לעשות שימוש במערכת המקוונת בהליכי ערר בבית הדין לתעבורה. עמדות אלה, שבהן יעמדו לרשות הציבור גם נציגי שירות, יוצבו בפריסה ארצית לפי מחוזות השיפוט, ותינתן בהן האפשרות גם להשתתף בדיונים המקוונים וגם להגיש את מסמכי הערר.  החוק כולל הוראות לעניין מינוי חברי בית הדין לתעבורה וכשירותם, וכן הוראות לעניין מרשם תעבורה מינהלי, שתנהל המשטרה ויחליף את מרשם עבירות התעבורה הקיים היום לגבי עבירות התעבורה שיהפכו להפרות תעבורה. מועד תחילתו של החוק הוא 15 חודשים מיום פרסומו ברשומות, אך שר התחבורה, באישור ועדת הכלכלה של הכנסת, רשאי לדחות מועד זה בשתי תקופות, שכל אחת מהן לא תעלה על 6 חודשים, אם שוכנע כי טרם הושלמה ההיערכות ליישום חוק זה. החוק יחול באופן מדורג – תחילה על עבירות תעבורה שהקנס הקבוע להן כיום מצוי בטווח שבין 100 ₪ ל-500 ₪ שהן אינן עבירות מהירות ורק חצי שנה לאחר מכן על עבירות תעבורה ששיעור הקנס הקבוע להן היום מצוי בטווח שבין  750 ₪ ל-1,500 ₪ וכן על עבירות מהירות. חריג למועדי תחילה אלו נקבע ביחס להוראה לעניין החלת שיטת הניקוד לגבי הפרות תעבורה. שיטת הניקוד היא הסדר לעניין רישום נקודות לחובתו של מי שעובר עבירת תעבורה, שערכן עולה ככל שהעבירה חמורה יותר. על מנת לתת שהות להתאים את התקנות בנושא להפרות תעבורה נקבע כי מועד כניסתה לתוקף של ההוראה לעניין החלת שיטת הניקוד לגבי הפרות תעבורה  יהיה במועד תחילתן של אותן תקנות, ונקבע בחוק מועד להבאתן של תקנות אלו לאישור ועדת הכלכלה.</t>
  </si>
  <si>
    <t xml:space="preserve">חוק רכבת תחתית (מטרו) (תיקון מס' 4), התשפ"ד-2024 </t>
  </si>
  <si>
    <t xml:space="preserve"> (מ/1443)</t>
  </si>
  <si>
    <t xml:space="preserve">החוק כולל הסדרים משלימים לטובת קידום מיזם המטרו. בין היתר, הוחלט להקים מועצה מאסדרת ברשות המטרו, המועצה תהיה אחראית על היבטים שונים של אסדרת עניינים הנוגים לקידום מיזם המטרו ועל היבטים של תיאום תשתיות בין חברה מבצעת לגופי תשתית אחרים. בנוסף מוצעת השלמה של היבטי המימון של המיזם, לרבות קביעת היטל מימון וקביעת הוראות למימוש המקרקעין במטרופולין גוש דן, ובייחוד אלה הכלולים במתחמי ההשפעה שייקבעו בתמ"א 70, בלוחות זמינים המקבילים לפיתוח המיזם. הוחלט שבכל תוכנית שתאושר בותמ"ל או בות"ל לעניין בינוי בתחומי תוכנית המטרו יוקצו 30% מיחידות הדיור בקרקע שהיא מקרקעי ישראל לדיור בהשיג יד– השכרה לטווח ארוך, השכרה במחיר מופחת, מעונות סטודנטים ודיור מוגן. בנוסף נקבע, הוחלט כי מי שיגיש בקשה להיתר בניה בשש וחצי השנים הקרובות, עד סוף שנת 2030, ישלם מס מופחת, כך ששיעור היטל ההשבחה ומס המטרו שהוא ישלם יחד יהיה 60% מההשבחה בלבד. בנוסף הוחלט שהיטל המימון לא יחול יחול על בעלי נכסים שסך גודל הנכסים בבעלותם נמוך מ-100 מ"ר. כמו כן, מוצעים פרקים העוסקים בפעילותם של גורמים מוסמכים לקידום המיזם, בתיאום תשתיות והסרת חסמים לרבות קביעת הסדרים מיוחדים בענייני רעש ותיקונים עקיפים בענייני תכנון ובנייה, חברות ממשלתיות, פקודת מסילות הברזל ועוד. מוצע להפחית את מס המטרו, הן בהסדר מיוחד למספר שנים והן באופן קבוע וכן מוצע מנגנון סיוע לעסקים הסמוכים לתוואי העבודות בשיעור שלא יפחת מ-500 מיליון ₪.</t>
  </si>
  <si>
    <t xml:space="preserve">חוק הגנה על בריאות הציבור (מזון) (תיקון מס' 10 והוראת שעה), התשפ"ד-2024</t>
  </si>
  <si>
    <t xml:space="preserve"> (מ/1742)</t>
  </si>
  <si>
    <t xml:space="preserve">התיקון לחוק קובע הקלות שונות על יבואנים ולעניין יבוא מזון. כמו כןן הרחיב התיקון לחוק את אימוץ הדין האירופי לעניין מזון בישראל, על בסיס תפיסת ניהול סיכונים בידי העוסק במזון, ובין השאר אומצו במסגרתו דירקטיבות ותקנות אירופיות בעניינים שונים כגון סימון מזון ובכלל זה סימון אלרגנים, סימון גלוטן, סימון תזונתי וכן ייחוס מסרים למזון,  הוראות בעניין תוספי מזון וחומרי טעם וריח, הוראות בעניין אריזת מזון וחומרים הבאים במגע עם מזון, הוראות לעניין מים מינרליים, והוראות נוספות לעניין בטיחות מזון. לפי התיקןן לחוק בתקופה שעד 31.12.2027 ההוראות האירופיות החדשות יחולו רק באופן מצומצם על יבואנים מאירופה ועל עוסקים במזון שיש להם מערכות בקרת בטיחות מזון עצמיות  ובחרו בכך, ונקבעו הוראות למניעת כפל והתנגשות עם הדין הישראלי. כמו כן נקבע כי תוקם ועדה מקצועית מייעצת שתוכל לאפשר שימוש מעבר למותר באירופה. נוסף על כך נקבעו הקלות במנגנון עדכון ההוראות המאומצות מאירופה.  </t>
  </si>
  <si>
    <t xml:space="preserve">חוק לתיקון פקודת הרוקחים (תיקון מס' 37), התשפ"ד-2024</t>
  </si>
  <si>
    <t xml:space="preserve"> (מ/1760)</t>
  </si>
  <si>
    <t xml:space="preserve">החוק קובע הסדרים המרחיבים את תחולת הדין האירופי לעניין עיסוק בתמרוקים בישראל וכולל שלושה נדבכים עיקריים: 1. ראשית, נקבע מסלול יבוא חלופי למסלול הקיים שמבוסס על העקרונות שבבסיס כללי האיחוד האירופי, המיועד ליבואנים נאותים כהגדרתם בחוק שמקיימים תוכנית בקרת איכות ובטיחות מקיפה בעבור כל תמרוק המיובא על ידם. מסלול זה יאפשר ליבואן נאות לייבא תמרוק באופן מהיר ויעיל יותר, בלי שנערכה לתמרוק הערכת בטיחות ובלי להחזיק תיק תמרוק, כפי שנדרש במסלול הקיים, כל זאת בכפוף לתנאים המפורטים בחוק. 2. שנית, נקבע כי הוראות האיחוד האירופי בעניין תמרוקים, יחולו בישראל, בתנאים, בהגבלות ובשינויים המפורטים בחוק, אימוץ זה יתרום להבטחת רמת בטיחות גבוהה בתמרוקים. כן נקבע מנגנון לאימוץ הוראות הדין האירופי בעתיד ודרך להכנסת תיקונים, התאמות ושינויים  3. שלישית, נקבע כי הרישום במרשם העוסקים יתאפשר באמצעות הצהרה עצמית על קיום תנאי ייצור נאותים (כפי שקיים באיחוד האירופי) שינוי זה יוביל לייעול הליך הרישום במרשם והוזלתו. בנוסף קובע החוק הסדרים והוראות מעבר לגבי רישיונות תמרוקים קיימים לעוסקים בתמרוקים. </t>
  </si>
  <si>
    <t xml:space="preserve">חוק הסיוע המשפטי (תיקון מס' 26 והוראת שעה), התשפ"ד-2024</t>
  </si>
  <si>
    <t xml:space="preserve"> (מ/1505)</t>
  </si>
  <si>
    <t xml:space="preserve">החוק מעגן סיוע משפטי למשפחותיהם של נפגעי עבירות המתה לרבות ליווי וקבלת ייעוץ וסיוע במימוש זכויותיהם בהליכים המשפטיים. החוק מרחיב את רשימת עבירות המין שבעניינן ניתן לקבל סיוע משפטי. בנוסף, החוק קובע הוראת שעה לפיה יורחב הסיוע המשפטי הניתן לנפגעי עבירות מין ועבירות של סחר בבני אדם, כך שיחול כבר משלב החקירה וגם על הליכים אזרחיים הנובעים מהעבירה.</t>
  </si>
  <si>
    <t xml:space="preserve">חוק התקשורת (בזק ושידורים) (תיקון מס' 79), התשפ"ד–2024</t>
  </si>
  <si>
    <t xml:space="preserve"> (פ/3637/24)</t>
  </si>
  <si>
    <t xml:space="preserve"> (כ/927)</t>
  </si>
  <si>
    <t xml:space="preserve">התיקון קובע הסדר מפורט המעגן את זכותו של מנוי לקבל, לפי בקשתו, שירותי תקשורת מספק מורשה (חברת התקשורת), בכפוף להגבלות או חסימות, כפי שיפורט להלן. עד לחקיקת התיקון, קבע סעיף 51ג לחוק התקשורת (בזק ושידורים), התשמ"ב–1982, הסדר לעניין אפשרותם של מנוי או קבוצת מנויים לקבל מספק תקשורת שירותים הכפופים להגבלות או לחסימות, אם ביקשו זאת בבקשה פרטנית ומפורשת שנמסרה בנפרד מהסכם ההתקשרות. לפי אותו סעיף, ניתן היה לבקש הגבלות וחסימות בנוגע לעניינים הבאים: שירותים המסופקים על גבי רשת האינטרנט; תכונות ומאפיינים של ציוד קצה או של ציוד תקשורת (כגון מכשירי הסלולר עצמם); ואפשרות המנוי לעשות שימוש בציוד כאמור בכל רשת בזק מתאימה. מכוח הסעיף האמור, פעל בשוק הסלולר משך שנים רבות הסדר שחל על כ-600,000 מנויים, הידוע בשם "הקומה הכשרה", שבמסגרתו קיבלו המנויים שבחרו בכך שירותי טלפוניה בכפוף להגבלות ולחסימות התואמות את אורחות חייהם, ובכלל זה הגבלת גישה לשירותי אינטרנט, חסימת שיחות למספרים מסוימים, ואף הגבלת ניידות מספרי טלפון כך שלא ניתן לנייד את המספר לתוכנית הכוללת שירותי תקשורת שאינם כפופים להגבלות אותן ביקש המנוי לכתחילה. התיקון מאפשר, בין השאר, את המשך פעולתה של הקומה הכשרה. התיקון עוסק במערכת היחסים שבין חברת התקשורת ובין המנוי שהתקשר עמה בהסכם, והוא מבוסס על הסכמתו של המנוי. התיקון קובע כי מנוי או קבוצת מנויים רשאים לבקש מספק מורשה, בבקשה מפורשת שנמסרה באופן הניתן לתיעוד, לקבל שירות בזק, כלומר שירות טלפוניה, בכפוף להגבלות או לחסימות ("סל שירותים ייעודי"). המנוי או קבוצת המנויים יכולים גם לבקש לקבל את השירות האמור בכפוף להגבלות או לחסימות שקבע תאגיד מסוים שציינו בבקשתם. בין ההגבלות או החסימות שרשאי מנוי לבקש במסגרת סל שירותים ייעודי: הגבלת חיוג למספרי טלפון; הגבלות שיחולו על מכשיר הסלולר והגבלת ניידות מספרים. לצד זאת קובע התיקון סייגים והגנות על המנויים המבקשים את ההגבלות או החסימות, וכן סייגים לשם שמירה על התחרות בתחום התקשורת. לעניין הגבלת החיוג למספרי טלפון, התיקון קובע כי ספק מורשה ישלח הודעה למנוי שהחיוג למספר הטלפון שלו הוגבל, ובהודעה יצוין גם מיהו התאגיד שביקש לחסום את המספר. כן קובע התיקון הוראות שתכליתן הגברת השקיפות לגבי מספרי טלפון של תאגידים שנחסמו והוראות האוסרות על ספק מורשה להעביר לתאגידים הקובעים הגבלות או חסימות מידע הכלול במאגר מידע שלו. לעניין ציוד קצה רט"ן, כלומר מכשיר הסלולר עצמו, קובע התיקון כי מנוי רשאי לבקש הגבלות או חסימות של המכשיר, ייחודו לציוד תקשורת מסוים, וכן ייחוד סל שירותים ייעודי למכשיר, לטווח מספרי טלפון, ועוד. הקשירה בין המכשיר ובין סל שירותים ייעודי אפשרית, לפי התיקון, רק אם המכשיר יכול לפעול במסגרת אותו סל שירותים ייעודי שמציע ספק מורשה אחר, ורק אם יש שלושה דגמים של מכשירים סלולריים המיוצרים על ידי יצרנים שונים שניתן להשתמש בהם במסגרת זו. לעניין ניידות מספרים, התיקון קובע כי ניתן להגבילה בהסכמה מפורשת של המנוי ובכפוף לכמה סייגים, שלפיהם הגבלה כאמור אפשרית רק אם למנוי נתונה האפשרות לנייד את מספר הטלפון שלו בתוך סל השירותים הייעודי, כלומר בין ספקי סלולר; רק אם פועלים בשוק כמה ספקים הנותנים שירות בהתאם לסל השירותים הייעודי והמקיפים מספר מינימלי של מנויים; ורק אם סל השירותים הייעודי כולל הגבלה משמעותית או חסימה של יותר משירות בזק אחד. לפי התיקון, אם ההתקשרות בין המנוי לבין הספק כוללת הגבלת ניידות כאמור, במקרה של ביטול ההתקשרות, המנוי לא יוכל לנייד את מספר הטלפון שלו אל מחוץ לסל השירותים הייעודי, והספק המורשה יהיה רשאי להקצות את מספר הטלפון רק במסגרת סל השירותים הייעודי שאליו משויך המספר. במקביל קובע התיקון הוראות שמטרתן להקל על מעבר של המנוי אל מחוץ לסל השירותים הייעודי אם הוא בחר בכך, ובכלל זה הוראות לפיהן הספק המורשה לא יקצה לאדם אחר את מספר הטלפון של המנוי שההתקשרות עמו בוטלה במשך 9 חודשים מיום ביטולה, וישמיע הודעה קולית למתקשרים למספר הטלפון, לפיה המנוי החליף את מספר הטלפון שלו ומהו המספר החדש, לפי בקשת המנוי.  לעניין הגבלת חיוג למספרי טלפון, התיקון קובע חובה על הספק המורשה לקבוע וליישם אמות מידה ברורות, מפורטות ושוויוניות להגבלת חיוג כאמור, ובלבד שיישום אמות המידה ייעשה בשים לב למאפייני קבוצת המנויים שביקשה את ההגבלות או החסימות. עוד קובע התיקון כי ניתן להשיג הן על אמות המידה עצמן והן על הגבלת החיוג למספר טלפון מסוים בניגוד לאמות המידה, בפני גורם מוסמך במשרד התקשורת. בעניין זה מחיל התיקון חובות שקיפות על הספק המורשה, ולפיהן עליו, בין השאר, למסור לשר התקשורת ולפרסם באתר האינטרנט שלו דיווחים ובהם נתונים כלליים לגבי הגבלת חיוג למספרי טלפון שביצע. עוד קובע התיקון איסור על חסימת מספרי טלפון מסוגים שונים, ובהם מספרי טלפון חיוניים ומספרי טלפון של המדינה ומוסדותיה, מספרי טלפון מקוצרים בני 3 או 4 ספרות, מספרי טלפון של רשויות מקומיות המיועדים למתן שירותים עירוניים חיוניים, איסור חסימה גורפת של מנויי חברת תקשורת מסוימת וכן איסור חסימת מספרי טלפון של מפלגות בתקופת בחירות. בנוסף קובע התיקון איסור על חסימה של הודעות "מסר אישי", שהן הודעות ביטחוניות הנשלחות בטכנולוגיה ייעודית. זאת, לצד קביעת איסור על שימוש בטכנולוגיה זו לשם משלוח הודעות שאינן ביטחוניות.  התיקון מוסיף וקובע איסור על חסימת מספרי טלפון של מוקדי חירום וסיוע לעזרה ראשונה פיזית או נפשית, כפי שיקבע שר התקשורת בתקנות, בהתייעצות עם שר הבריאות ושר הרווחה והביטחון החברתי ובאישור ועדת הכלכלה של הכנסת. תקנות ראשונות לעניין זה יובאו לאישור ועדת הכלכלה בתוך ארבעה חודשים מיום פרסום התיקון, ואם לא יובאו לאישור כאמור, החל מאותו מועד ספק מורשה לא יאפשר חסימת חיוג למספרי טלפון של מוקדי סיוע אם יש התקשרות בהיקף משמעותי, הכוללת הפעלת מענה אנושי, בין משרד ממשרדי הממשלה לבין הגוף שמפעיל את המוקד. עוד מקנה התיקון למנכ"ל משרד התקשורת סמכות להטיל עיצום כספי על ספק מורשה שביצע הגבלה או חסימה בניגוד להוראות האמורות. מאחר שבמסגרת ההגבלות והחסימות שרשאי מנוי לבקש לפי התיקון, הוא גם רשאי לבקש כי מכשיר הסלולר שלו יוגבל או ייחסם כך שלא ניתן להשתמש בו "מחוץ" לסל השירותים הייעודי, נקבע בתיקון כי ספק מורשה שמוכר מכשירי סלולר הכפופים להגבלה או לחסימה כאמור, חייב להציע במקביל למכירתם גם מסלול של השכרת המכשיר חלף רכישתו, לבחירת הלקוח, כדי להקל עליו במעבר למכשיר שאינו כפוף למגבלות.  התיקון כולל גם תיקון עקיף לחוק הגנת הצרכן, התשמ"א-1981, העוסק באיסור הטעיה של הצרכן לגבי פרט מהותי בעסקה. התיקון קובע כי ייראו מצג בנכס או על גבי הנכס שמעיד על השימוש, התועלת או הסיכונים הכרוכים בו כפרט מהותי בעסקה. בכך, מבהיר התיקון כי סימון מכשירים שאינם תואמים את ההגבלות והחסימות הרלוונטיות כמכשירים שכן תואמים אותן, הוא הפרה של איסור הטעיית הצרכן בנוגע לפרט מהותי בעסקה. זאת, כדי לתת מענה לתופעה של זיוף "מספרי הזיהוי" של מכשירי הטלפון שחלות עליהם הגבלות או חסימות. עוד קובע התיקון הוראות מעבר שיאפשרו להסדרים שפעלו ערב כניסתו של התיקון לתוקף, דוגמת הקומה הכשרה, להמשיך לפעול. לעניין זה קובע התיקון כי הכפפת השירות שצורך מנוי להגבלות או לחסימות חדשות, שלא נכללו בהתקשרות הקיימת עמו, טעונה הסכמה מפורשת של המנוי. בנוסף כולל התיקון גם מנגנון המחייב את חברות התקשורת לפנות לכל המנויים הקיימים כדי לוודא כי הם אכן מסכימים להגבלות ולחסימות שבמסגרת סל השירותים הייעודי. התיקון נכנס לתוקף ב-29.10.2024.</t>
  </si>
  <si>
    <t xml:space="preserve">חוק הספריות הציבוריות, התשפ"ד-2024 </t>
  </si>
  <si>
    <t xml:space="preserve"> (מ/1766)</t>
  </si>
  <si>
    <t xml:space="preserve">חוק הספריות הציבוריות, תשל"ה–1975 הוחלף בחוק חדש שמותאם למצב בפועל ומסדיר סוגיות נוספות, ובהן: 1. מינוי מועצת הספריות הציבוריות, הגדרת תפקידיה, שיפור והסדרת פעולתה כמקובל בחקיקה עדכנית לעניין מועצות ציבוריות; המועצה אף תגיש דוח שנתי על פעילותה והמלצותיה לשר התרבות והספורט ולוועדת החינוך. 2. התקציב לפעילות הספריות - סכום השתתפות הממשלה יעמוד על 100 מיליון ש"ח בשנה החל מ-2026, ויוצמד למדד החל מ-2027, וכן נקבע בהוראת שעה כי ב-2024 הסכום יהיה 89 מיליון ש"ח וב-2025 - 95 מיליון ש"ח. שר התרבות והספורט רשאי להקצות 10% מהתקציב לפרויקט או מיזם מיוחד שיש לו זיקה משמעותית ותרומה ניכרת לתחום הספריות הציבוריות. השתתפות הרשות המקומית תהיה לפחות זהה לסכום התמיכה של הממשלה בספריה, אך השר רשאי לקבוע בתקנות השתתפות שונה בהתחשב במדד החברתי-כלכלי והפריפריאלי של הרשויות המקומיות. שיעור התמיכה בכל ספרייה ייקבע לפי מבחני תמיכה, אשר יכללו, בין השאר, הוראות שיאפשרו לספריות ודאות ותכנון תקציבי, למשל באמצעות תשלום מקדמות וחובת פרסום ה"קול קורא" במועד מסוים. הרשות המקומית תחויב לנהל את כספי התמיכה הממשלתיים בחשבון נפרד והם יהיו מוגנים מעיקול ושעבוד. 3. שירותי הספריה הציבורית - עוגנו בחוק והורחבו השירותים שעל הספריות לספק לציבור, לרבות שירותים בחינם ושירותים אחרים כמו פעילויות לציבור בכלל ובפרט לתלמידי מערכת החינוך.</t>
  </si>
  <si>
    <t xml:space="preserve">חוק הרשות השנייה לטלוויזיה ורדיו (תיקון מס' 49), התשפ"ד-2024</t>
  </si>
  <si>
    <t xml:space="preserve"> (מ/1777)</t>
  </si>
  <si>
    <t xml:space="preserve">התיקון מאריך בשנה וחצי את תוקפה של הוראת מעבר שנקבעה בתיקון מס' 44 לחוק הרשות השנייה לטלוויזיה ולרדיו, התש"ן–1990 (להלן – תיקון 44), שהתקבל בכנסת בשנת 2018. בתיקון 44 נקבעה שורה של הקלות רגולטוריות לערוצים זעירים ולערוצים זעירים ייעודיים, שהם ערוצים בעלי היקף הכנסה מצומצם שנועדו לתת מענה לקהלים ולנושאים ספציפיים שלא מקבלים ייצוג הולם בערוצי התקשורת המרכזיים. ערוצים אלו היו בפיקוח של המועצה לשידורי כבלים ולשידורי לוויין, ועברו בתיקון 44 לפיקוח הרשות השנייה לטלוויזיה ולרדיו, ומשמעות המעבר היא שאותם ערוצים זכו להקלות משמעותיות במחויבויות החלות עליהם. מדובר בערוץ בשפה הערבית ("הלא TV"), בערוץ בשפה הרוסית (ערוץ 9), בערוץ 24 ובערוץ 14. נוסף על ההקלות שנקבעו בתיקון 44, נקבעה גם הוראת מעבר לתקופה של חמש שנים, עד ליום ד' באדר התשפ"ג (25.2.2023), שעניינה מתן הקלות נוספות וזמניות לערוצים האמורים, במטרה לאפשר את המשך קיומם נוכח היקף הכנסתם המצומצם. לקראת פקיעתה, הוארכה הוראת המעבר בתיקון חקיקה, לתקופה נוספת של שנה וחצי (ובסך הכל לתקופה של שש וחצי שנים), עד ליום כ"א באב התשפ"ד (25.8.2024). התיקון מאריך את הוראת המעבר בשנה וחצי נוספות, ובסך הכל לתקופה של שמונה שנים. ההקלות הזמניות שנקבעו בהוראת המעבר, ותוקפן מוארך לפי התיקון, הן פטור מתשלום דמי רישיון שנתיים;  חובה של חברות הכבלים והלוויין (כיום הוט ויס) להעביר במסגרת שידוריהם את שידורי הערוצים ופטור מתשלום עבור שידור כאמור;  פטור מחובת הפקדת בטוחות מעבר לערבויות קיימות;  וכן החרגתם של ערוצים אלה מהוראות מסוימות בחוק, כגון הוראות לעניין הגבלות על בעלויות צולבות של שידורי רדיו או טלוויזיה בנסיבות מסוימות וכן לעניין האיסור על החזקת אמצעי שליטה על ידי בעלים יחיד.</t>
  </si>
  <si>
    <t xml:space="preserve">הצעת חוק שירות ביטחון (תיקון - תגמול לחיילים סדירים בסוף שירותם בתנאי קבע) (הוראת שעה), התשפ"ד-2024</t>
  </si>
  <si>
    <t xml:space="preserve"> (פ/4889/25)</t>
  </si>
  <si>
    <t xml:space="preserve">הצעת חוק לתיקון פקודת המסים (גבייה) (חובת איתור חייבים), התשפ"ד-2024</t>
  </si>
  <si>
    <t xml:space="preserve"> (פ/4887/25)</t>
  </si>
  <si>
    <t xml:space="preserve">הצעת חוק להטמעת מורשת יהדות ספרד והמזרח במערכת החינוך וההשכלה הגבוהה, התשפ"ד-2024</t>
  </si>
  <si>
    <t xml:space="preserve"> (פ/4882/25)</t>
  </si>
  <si>
    <t xml:space="preserve">הצעת חוק זכויות הסטודנט (תיקון - הרחקת סטודנטים תומכי טרור ממוסד לימוד ופירוק תאים תומכי טרור), התשפ"ד-2024</t>
  </si>
  <si>
    <t xml:space="preserve"> (פ/4881/25)</t>
  </si>
  <si>
    <t xml:space="preserve">הצעת חוק מגבלות על חזרתו של עבריין מין לסביבת נפגע העבירה (תיקון - הגדרת גילו של העבריין), התשפ"ד-2024</t>
  </si>
  <si>
    <t xml:space="preserve"> (פ/4877/25)</t>
  </si>
  <si>
    <t xml:space="preserve"> (פ/4876/25)</t>
  </si>
  <si>
    <t xml:space="preserve">הצעת חוק מניעת ייצוג משפטי של מדינת ישראל ממחבלים זרים (תיקוני חקיקה), התשפ"ד-2024</t>
  </si>
  <si>
    <t xml:space="preserve"> (פ/4875/25)</t>
  </si>
  <si>
    <t xml:space="preserve">הצעת חוק דרישת פירוט מקורות רכוש בלתי מוסבר מאדם הפעיל בארגון פשיעה, התשפ״ד-2024</t>
  </si>
  <si>
    <t xml:space="preserve"> (פ/4874/25)</t>
  </si>
  <si>
    <t xml:space="preserve">הצעת חוק הנוער (טיפול והשגחה) (תיקון - טיפול בבריחה ממשמורת), התשפ"ד-2024</t>
  </si>
  <si>
    <t xml:space="preserve"> (פ/4872/25)</t>
  </si>
  <si>
    <t xml:space="preserve">הצעת חוק הרבנות הראשית לישראל (תיקון - שינוי הרכב האסיפה הבוחרת והגדלת הייצוג הנשי בה), התשפ"ד-2024</t>
  </si>
  <si>
    <t xml:space="preserve"> (פ/4871/25)</t>
  </si>
  <si>
    <t xml:space="preserve">הצעת חוק הרבנות הראשית לישראל (תיקון - הגדלת הייצוג הנשי באסיפה הבוחרת), התשפ"ד-2024</t>
  </si>
  <si>
    <t xml:space="preserve"> (פ/4869/25)</t>
  </si>
  <si>
    <t xml:space="preserve">הצעת חוק שירות ביטחון (תיקון - הסדרי פטור משירות), התשפ"ד-2024</t>
  </si>
  <si>
    <t xml:space="preserve"> (פ/4868/25)</t>
  </si>
  <si>
    <t xml:space="preserve">הצעת חוק העונשין (תיקון - עבירות אלימות במתחם הר הבית), התשפ"ד-2024</t>
  </si>
  <si>
    <t xml:space="preserve"> (פ/4867/25)</t>
  </si>
  <si>
    <t xml:space="preserve">הצעת חוק המרכז לגביית קנסות, אגרות והוצאות (תיקון - חובת איתור חייבים), התשפ"ד-2024</t>
  </si>
  <si>
    <t xml:space="preserve"> (פ/4866/25)</t>
  </si>
  <si>
    <t xml:space="preserve">הצעת חוק לשכת עורכי הדין (תיקון - מתן הקלות במבחני לשכה למשרתי מילואים) (הוראת שעה), התשפ"ד-2024 </t>
  </si>
  <si>
    <t xml:space="preserve"> (פ/4864/25)</t>
  </si>
  <si>
    <t xml:space="preserve">הצעת חוק החברות הממשלתיות (תיקון - הוועדה לבדיקת מינויים ושינוי מבנה הרשות), התשפ"ד-2024</t>
  </si>
  <si>
    <t xml:space="preserve"> (פ/4863/25)</t>
  </si>
  <si>
    <t xml:space="preserve">הצעת חוק הכשרות המשפטית והאפוטרופסות (תיקון - צמצום סמכותו של בית המשפט להטיל את ההכרעה בעניינו של קטין על עובד סוציאלי וגורמים אחרים), התשפ"ד-2024</t>
  </si>
  <si>
    <t xml:space="preserve"> (פ/4859/25)</t>
  </si>
  <si>
    <t xml:space="preserve">הצעת חוק קרן פיצויים לנזקי הפשיעה החקלאית, התשפ"ד-2024</t>
  </si>
  <si>
    <t xml:space="preserve"> (פ/4858/25)</t>
  </si>
  <si>
    <t xml:space="preserve">הצעת חוק המרכז למורשת יהדות קווקז, תשפ"ד-2024</t>
  </si>
  <si>
    <t xml:space="preserve"> (פ/4857/25)</t>
  </si>
  <si>
    <t xml:space="preserve">הצעת חוק הרשויות המקומיות (אזורי פיתוח אקלימיים) (הוראת שעה), התשפ"ד-2024 </t>
  </si>
  <si>
    <t xml:space="preserve"> (פ/4856/25)</t>
  </si>
  <si>
    <t xml:space="preserve">הצעת חוק זכויות הסטודנט (תיקון - הקלות בתנאי קבלה למשרתי מילואים), התשפ"ד-2024</t>
  </si>
  <si>
    <t xml:space="preserve"> (פ/4855/25)</t>
  </si>
  <si>
    <t xml:space="preserve">הצעת חוק להפסקת יחסי מדינת ישראל עם סוכנות הסעד והתעסוקה של האו"ם לפליטי פלסטין במזרח הקרוב (אונר"א) והכרזתה כארגון טרור, התשפ"ד-2024</t>
  </si>
  <si>
    <t xml:space="preserve"> (פ/4854/25)</t>
  </si>
  <si>
    <t xml:space="preserve">הצעת חוק חובת התקנת מתקנים פוטו-וולטאיים ומתקני אגירת אנרגיה בבתי חולים ציבוריים כלליים, התשפ״ד-2024</t>
  </si>
  <si>
    <t xml:space="preserve"> (פ/4853/25)</t>
  </si>
  <si>
    <t xml:space="preserve">הצעת חוק לתיקון פקודת העיריות (חובת איתור חייבים), התשפ"ד-2024</t>
  </si>
  <si>
    <t xml:space="preserve"> (פ/4852/25)</t>
  </si>
  <si>
    <t xml:space="preserve">הצעת חוק עידוד תרומות עודפי תוצרת חקלאית, התשפ"ד-2024</t>
  </si>
  <si>
    <t xml:space="preserve"> (פ/4851/25)</t>
  </si>
  <si>
    <t xml:space="preserve">הצעת חוק העברת עודפי מזון שנותר ברשות בית חולים ציבורי כללי לארגון לחלוקת מזון, התשפ"ד-2024</t>
  </si>
  <si>
    <t xml:space="preserve"> (פ/4850/25)</t>
  </si>
  <si>
    <t xml:space="preserve">הצעת חוק שכר חיילים לוחמים בשירות סדיר, התשפ"ד-2024</t>
  </si>
  <si>
    <t xml:space="preserve"> (פ/4849/25)</t>
  </si>
  <si>
    <t xml:space="preserve">הצעת חוק הבנקאות (שירות ללקוח) (תיקון - הלוואה לדיור לחסרי דיור לרכישת זכות מקרקעין בדירה ראשונה), התשפ"ד-2024</t>
  </si>
  <si>
    <t xml:space="preserve"> (פ/4848/25)</t>
  </si>
  <si>
    <t xml:space="preserve">הצעת חוק לתיקון פקודת החסינויות וזכויות-היתר של האומות המאוחדות (ביטול החסינויות וזכויות-היתר של סוכנות הסעד והתעסוקה של האו"ם לפליטי פלסטין במזרח הקרוב (אונר"א)), התשפ"ד-2024</t>
  </si>
  <si>
    <t xml:space="preserve"> (פ/4847/25)</t>
  </si>
  <si>
    <t xml:space="preserve">הצעת חוק הבנקאות (שירות ללקוח) (תיקון - מחיקת חוב בנקאי לעסקים זעירים, קטנים, בינוניים ואזרחים חדלי פירעון), התשפ"ד-2024</t>
  </si>
  <si>
    <t xml:space="preserve"> (פ/4846/25)</t>
  </si>
  <si>
    <t xml:space="preserve">הצעת חוק מרשם האוכלוסין (תיקון - לאום ארמי), התשפ"ד-2024</t>
  </si>
  <si>
    <t xml:space="preserve"> (פ/4845/25)</t>
  </si>
  <si>
    <t xml:space="preserve">הצעת חוק שירותי תעופה (פיצוי וסיוע בשל ביטול טיסה או שינוי בתנאיה) (תיקון - החלת החוק על מחלקת תיירים פרימיום), התשפ"ד-2024</t>
  </si>
  <si>
    <t xml:space="preserve"> (פ/4844/25)</t>
  </si>
  <si>
    <t xml:space="preserve">הצעת חוק הבחירות לכנסת (תיקון - כתובת לצורכי בחירות), התשפ״ד-2024</t>
  </si>
  <si>
    <t xml:space="preserve"> (פ/4843/25)</t>
  </si>
  <si>
    <t xml:space="preserve">הצעת חוק תעריפי התחבורה הציבורית (תיקון - הגבלת תעריפי תחבורה ציבורית), התשפ"ד-2024</t>
  </si>
  <si>
    <t xml:space="preserve"> (פ/4842/25)</t>
  </si>
  <si>
    <t xml:space="preserve">הצעת חוק המים (תיקון - קביעת תעריפי מים לתעשיית עיבוד תוצרת חקלאית הגדלה בישראל), התשפ"ד-2024</t>
  </si>
  <si>
    <t xml:space="preserve"> (פ/4841/25)</t>
  </si>
  <si>
    <t xml:space="preserve">הצעת חוק שחרור על-תנאי ממאסר (תיקון - המרת עונש מאסר עולם), התשפ"ד-2024</t>
  </si>
  <si>
    <t xml:space="preserve"> (פ/4840/25)</t>
  </si>
  <si>
    <t xml:space="preserve"> (פ/4839/25)</t>
  </si>
  <si>
    <t xml:space="preserve">הצעת חוק למאבק באלימות משטרתית (תיקוני חקיקה), התשפ"ד-2024</t>
  </si>
  <si>
    <t xml:space="preserve"> (פ/4838/25)</t>
  </si>
  <si>
    <t xml:space="preserve">הצעת חוק לתיקון פקודת הבנקאות (חובת איתור בעלי חשבונות ללא תנועה), התשפ"ד-2024</t>
  </si>
  <si>
    <t xml:space="preserve"> (פ/4837/25)</t>
  </si>
  <si>
    <t xml:space="preserve">הצעת חוק הבנקאות (שירות ללקוח) (תיקון - הודעה ללקוח על אודות יתרה בחשבון עובר ושב שאינה נושאת ריבית), התשפ"ד-2024</t>
  </si>
  <si>
    <t xml:space="preserve"> (פ/4836/25)</t>
  </si>
  <si>
    <t xml:space="preserve">הצעת חוק משפחות חיילים שנספו במערכה (תגמולים ושיקום) (תיקון – סיוע בתשלום ביטוח רכב ואגרת רישיון לשכול), התשפ"ד–2024</t>
  </si>
  <si>
    <t xml:space="preserve"> (פ/4833/25)</t>
  </si>
  <si>
    <t xml:space="preserve">הצעת חוק מגן דוד אדום (תיקון - חיזוק הפיקוח הפרלמנטרי על האגודה), התשפ"ד-2024</t>
  </si>
  <si>
    <t xml:space="preserve"> (פ/4832/25)</t>
  </si>
  <si>
    <t xml:space="preserve">הצעת חוק-יסוד: הממשלה (תיקון - הכרה בערך הציונות)</t>
  </si>
  <si>
    <t xml:space="preserve"> (פ/4831/25)</t>
  </si>
  <si>
    <t xml:space="preserve">הצעת חוק העברת הודעת פטירה, התשפ"ד-2024</t>
  </si>
  <si>
    <t xml:space="preserve"> (פ/4830/25)</t>
  </si>
  <si>
    <t xml:space="preserve">הצעת חוק ביטוח סיעודי ממלכתי (תיקוני חקיקה), התשפ"ד-2024</t>
  </si>
  <si>
    <t xml:space="preserve"> (פ/4829/25)</t>
  </si>
  <si>
    <t xml:space="preserve">הצעת חוק איסור ניהול חשבון ביישומון החשוף לשליטת מדינה זרה, התשפ"ד-2024</t>
  </si>
  <si>
    <t xml:space="preserve"> (פ/4828/25)</t>
  </si>
  <si>
    <t xml:space="preserve">הצעת חוק הביטוח הלאומי (תיקון - חישוב תגמול עבור שירות מילואים), התשפ"ד-2024</t>
  </si>
  <si>
    <t xml:space="preserve"> (פ/4827/25)</t>
  </si>
  <si>
    <t xml:space="preserve">הצעת חוק התכנון והבנייה (תיקון - חלף היטל השבחה), התשפ"ד-2024</t>
  </si>
  <si>
    <t xml:space="preserve"> (פ/4826/25)</t>
  </si>
  <si>
    <t xml:space="preserve">הצעת חוק דמי נסיעה לעובדי בתי חולים ציבוריים כלליים בתחבורה ציבורית (תיקוני חקיקה), התשפ"ד-2024</t>
  </si>
  <si>
    <t xml:space="preserve"> (פ/4825/25)</t>
  </si>
  <si>
    <t xml:space="preserve">הצעת חוק אומנה לילדים (תיקון - המשך השמה באומנה לבגיר והעלאת גיל אומן), התשפ"ד-2024</t>
  </si>
  <si>
    <t xml:space="preserve"> (פ/4823/25)</t>
  </si>
  <si>
    <t xml:space="preserve">הצעת חוק מס להפחתת גודש התנועה באזור גוש דן (תיקון - תנאים להחלת המס), התשפ"ד-2024</t>
  </si>
  <si>
    <t xml:space="preserve"> (פ/4822/25)</t>
  </si>
  <si>
    <t xml:space="preserve">הצעת חוק זכויות העיוור, התשפ"ד-2024</t>
  </si>
  <si>
    <t xml:space="preserve"> (פ/4820/25)</t>
  </si>
  <si>
    <t xml:space="preserve">הצעת חוק הסדרת העיסוק במקצועות הבריאות (תיקון - הסדרת מקצוע הליצנות הרפואית), התשפ"ד-2024</t>
  </si>
  <si>
    <t xml:space="preserve"> (פ/4818/25)</t>
  </si>
  <si>
    <t xml:space="preserve">הצעת חוק משפחות חיילים שנספו במערכה (תגמולים ושיקום) (תיקון - הכרה בסבו וסבתו של הנספה), התשפ"ד-2024</t>
  </si>
  <si>
    <t xml:space="preserve"> (פ/4817/25)</t>
  </si>
  <si>
    <t xml:space="preserve">הצעת חוק הסיוע המשפטי (תיקון - סיוע משפטי לנכי צה"ל ולנפגעי פעולות איבה), התשפ"ד-2024 </t>
  </si>
  <si>
    <t xml:space="preserve"> (פ/4816/25)</t>
  </si>
  <si>
    <t xml:space="preserve">הצעת חוק הגנה על מתחם הר הבית, התשפ"ד-2024</t>
  </si>
  <si>
    <t xml:space="preserve"> (פ/4814/25)</t>
  </si>
  <si>
    <t xml:space="preserve">הצעת חוק עידוד העסקת קציני ים ישראלים (הוראת שעה), התשפ"ד-2024</t>
  </si>
  <si>
    <t xml:space="preserve"> (פ/4812/25)</t>
  </si>
  <si>
    <t xml:space="preserve">הצעת חוק להגברת הפיקוח על תהליכי אסדרה של מפוקחי רשות שוק ההון, התשפ"ד-2024</t>
  </si>
  <si>
    <t xml:space="preserve"> (פ/4811/25)</t>
  </si>
  <si>
    <t xml:space="preserve">הצעת חוק להגברת הפיקוח על אסדרת גופים פיננסיים (תיקוני חקיקה), התשפ"ד-2024</t>
  </si>
  <si>
    <t xml:space="preserve"> (פ/4810/25)</t>
  </si>
  <si>
    <t xml:space="preserve">הצעת חוק שירות התעסוקה (תיקון - הקמת לשכות תעסוקה), התשפ"ד-2024</t>
  </si>
  <si>
    <t xml:space="preserve"> (פ/4809/25)</t>
  </si>
  <si>
    <t xml:space="preserve"> (פ/4808/25)</t>
  </si>
  <si>
    <t xml:space="preserve">הצעת חוק העונשין (תיקון מס' 153) (החזקה, נשיאה והובלה של כמה כלי נשק), התשפ"ד–2024</t>
  </si>
  <si>
    <t xml:space="preserve"> (פ/3311/25)</t>
  </si>
  <si>
    <t xml:space="preserve"> (כ/1060)</t>
  </si>
  <si>
    <t xml:space="preserve">חוק לתיקון סדרי הדין (חקירת עדים) (תיקון מס' 10), התשפ"ד–2024</t>
  </si>
  <si>
    <t xml:space="preserve"> (פ/3475/25)</t>
  </si>
  <si>
    <t xml:space="preserve"> (כ/1009)</t>
  </si>
  <si>
    <t xml:space="preserve">23.07.2024</t>
  </si>
  <si>
    <t xml:space="preserve">החוק מחיל את ההסדרים הקבועים לגבי עדות במשפט פלילי גם על תביעה נזיקית נגד נתבע שהוגש נגדו כתב אישום בעבירה שבה נמסרת עדות של קטין או חסר ישע שהוא נפגע עבירת מין, עבירת סחר בבני אדם או עבירת אלימות חמורה המנויה בתוספת, כך שהקטין יוכל למסור את עדותו בבית המשפט באופן המותאם לו. החוק קובע  הסדר שלפיו במשפט פלילי בשל עבירת מין או סחר בבני אדם או בשל עבירות אלימות חמורה במשפחה, בית המשפט רשאי להורות כי קטין או נפגע עבירת מין או סחר בבני אדם, ימסור את עדותו שלא בנוכחות הנאשם, אם נוכח שמסירת העדות בנוכחותו עלולה לפגוע במתלונן או לפגום בעדות. בית המשפט לא יחליט כאמור אלא לאחר שנתן הזדמנות לבעלי הדין להשמיע את טענותיהם ונעשו הסידורים הדרושים כדי לאפשר לבית המשפט ולנאשם לצפות בעדות. עוד קובע החוק לעניין קטינים כי בעדות בעניין עבירה המנויה בתוספת לחוק, הנאשם לא יחקור בעצמו את הקטין אלא באמצעות סניגורו. נוסף על כך, החוק מחיל את ההסדר הקבוע לגבי עדות במשפט פלילי גם על עדות של בגיר נפגע עבירת מין או סחר בבני אדם בתביעת נזיקין נגד נתבע שהוגש נגדו כתב אישום בעבירה כאמור. בנוסף נקבע כי במקרה שבו לא הוגש כתב אישום נגד הנתבע יחולו חלק מההסדרים כך שבמקרים של תקיפה מינית או התעללות שבוצעה בקטין על ידי בן משפחה או אחראי, ובמקרים של תקיפה מינית שבוצעה במי שטרם מלאו לו 21 שנים תוך ניצול יחסי מרות או על ידי בן משפחה, בית המשפט יהיה רשאי לקבוע שהנפגע יעיד שלא בנוכחות הנתבע, ואולם, לא תאסר חקירה נגדית על ידי הנתבע. כמו כן, נקבע כי תיאסר חקירתו בדבר עברו המיני. בנוסף, הורחבה התוספת לחוק המפרטת את העבירות שבהן יחול ההסדר לעניין קטינים ושעניינן עבירות מין ועבירות אלימות מסוימות והמתייחסת הן להסדרים הקבועים לגבי עדות במשפט פלילי והן לנקבע בחוק זה בדבר עדות בתביעה נזיקית, והוספו לה עבירות חמורות נוספות.</t>
  </si>
  <si>
    <t xml:space="preserve">חוק לתיקון פקודת הנמלים (מס' 6), התשפ"ד–2024</t>
  </si>
  <si>
    <t xml:space="preserve"> (פ/4017/25)</t>
  </si>
  <si>
    <t xml:space="preserve"> (כ/1018)</t>
  </si>
  <si>
    <t xml:space="preserve">החוק קובע לראשונה איסור גורף על השטת כלי שיט ומילוי תפקיד בכלי שיט תחת השפעת אלכוהול או סם מסוכן, באמצעות הוספת פרק חדש העוסק בעניין לפקודת הנמלים [נוסח חדש], התשל"א–1971. ככלל, ההסדרים הקבועים בחוק דומים להסדרים הקיימים בפקודת התעבורה ובחוק הטיס, התשע"א–2011, לעניין נהיגה ברכב או מילוי תפקיד בכלי טיס תחת השפעת אלכוהול או סם מסוכן. החוק קובע כי הפרת האיסור על השטת כלי שיט ומילוי תפקיד בכלי שיט תחת השפעת אלכוהול או סם מסוכן היא עבירה פלילית. האיסור חל על משיט כלי השיט בפועל, על נתב הנמצא בכלי השיט במסגרת תפקידו, על כל מי שממלא תפקיד בכלי השיט כתנאי לכשירותו ולהשטתו לפי כל דין, וכן, בשל אופן השטתו של אופנוע ים – גם על נוסע באופנוע ים. הענישה הפלילית בשל הפרת האיסור עומדת על שלוש שנות מאסר או קנס לפי סעיף 61(א)(3) לחוק העונשין, התשל"ז–1977, או שני העונשים גם יחד. בנוסף קובע החוק כי בית המשפט יטיל על מי שהורשע בעבירה כאמור פסילת מינימום לתקופה של שנתיים, שבהתאם לה לא יוכל להחזיק או לקבל תעודות למילוי תפקיד בכלי שיט או להשטתו לפי חוק הספנות (ימאים) התשל"ג–1973, אלא אם כן התקיימו נסיבות מיוחדות המצדיקות להטיל את הפסילה לתקופה קצרה יותר. אם אדם הורשע בעבירה מאותו סוג גם בשנה הקודמת, תעמוד תקופת פסילת המינימום על ארבע שנים. בית המשפט רשאי להטיל גם פסילה על תנאי. בנוסף, במקרים מסוימים יוכלו גם שוטר או קצין משטרה להטיל פסילה כאמור, וזאת לזמן מוגבל.  החוק קובע עבירה נוספת, שעניינה אדם שנמסרה לו הודעה על פסילתו מלהחזיק או מלקבל תעודות כאמור, ולמרות זאת הוא ממלא תפקיד בכלי שיט או שהוא ממלא את תפקידו בניגוד לתנאים שנוספו בתעודתו. העונש בשל עבירה זו יהיה מאסר של שלוש שנים, קנס לפי סעיף 61(א)(3) לחוק העונשין, או שניהם. עוד כולל החוק הוראות מפורטות לעניין סמכותם של שוטרים לבצע בדיקות וליטול דגימות מאדם העומד למלא תפקיד בכלי שיט, מאדם הממלא תפקיד בכלי שיט, או מאדם שסיים זה עתה למלא תפקיד כאמור, כדי לבחון האם מצוי בגופם אלכוהול או סם מסוכן, ובכלל זה הוראות לעניין אופן נטילת הדגימות.  החוק קובע כי בית המשפט, ובתנאים מסוימים גם שוטר, יוכלו להורות על איסור שימוש בכלי השיט, אם נמצא כי אדם מילא בו תפקיד בהיותו תחת השפעת אלכוהול או סם מסוכן, או לאחר שאדם הורשע כאמור.  עוד קובע החוק כי שופטי תעבורה הם שיהיו מוסמכים לדון בעבירות לפי החוק, וזאת בשל המומחיות שלהם בטיפול בתיקי נהיגה בשכרות, הדומים לתיקים שצפויים להגיע לפתחם לפי החוק. מועד כניסתו לתוקף של החוק הוא ביום ג' בניסן התשפ"ה (1.4.2025). </t>
  </si>
  <si>
    <t xml:space="preserve">חוק זכויות הסטודנט (תיקון מס' 9 – הוראת שעה – חרבות ברזל), התשפ"ד–2024</t>
  </si>
  <si>
    <t xml:space="preserve"> (פ/4381/25)</t>
  </si>
  <si>
    <t xml:space="preserve"> (כ/1038)</t>
  </si>
  <si>
    <t xml:space="preserve">נקבע תיקון לחוק בהוראת שעה לשנה"ל האקדמיות התשפ"ה והתשפ"ו, שקובע מתן עדיפות בזכאות לדיור במעונות - לסטודנט או למועמד ששירת במלחמת "חרבות ברזל" כלוחם בסדיר לתקופה ממושכת או כלוחם במילואים ל-30 יום לפחות, או שנפצע ובשל כך לא השלים את התקופה, וכן למי שפונה בשל המלחמה והיה מפונה חצי שנה לפני תחילת שנה"ל ולחטופים ששוחררו ולמשפחות החטופים והנעדרים. העדיפות תינתן בשני מסלולים: בראשון - המוסד יעניק ניקוד למועמד או לסטודנט כאמור לצורך קביעת זכאות למעונות, ובהתחשב בשיקולים נוספים כמו מצב חברתי-כלכלי; בשני - המוסד יקצה 30-25% מכלל המקומות במעונות לסטודנטים ולמועמדים כאמור. השיעור המדויק יקבע ע"י המוסד בהתחשב במאפייניו. ההסדר יחול על מי ששירתו כאמור או היו מפונים בתקופה שמ-7.10.23 ועד 3 חודשים מתחילת החוק; שר החינוך, בהתייעצות עם המל"ג ובאישור ועדת החינוך, יוכל להאריך את התקופה בשתי תקופות נוספות של עד 6 חודשים כל אחת, עקב הימשכות המלחמה. זכאות למעונות שנקבעה לפני תחילת החוק לא תבוטל.</t>
  </si>
  <si>
    <t xml:space="preserve">חוק הבנקאות (רישוי) (תיקון מס' 32), התשפ"ד–2024</t>
  </si>
  <si>
    <t xml:space="preserve"> (פ/2480/25)</t>
  </si>
  <si>
    <t xml:space="preserve"> (כ/1029)</t>
  </si>
  <si>
    <t xml:space="preserve">חוק הבנקאות (רישוי) מסמיך את המפקח על הבנקים או עובד בנק ישראל שהמפקח על הבנקים הסמיך לכך, לאשר בקשה של תאגיד בנקאי לסגור סניף בנק קבוע או להתנגד לסגירתו. כמו כן, רשאי המפקח להתנות את סגירת הסניף בתנאים, לרבות דחיית מועד הסגירה. בהחלטה כאמור, נדרש המפקח לאזן בין מגוון שיקולים שונים, ובהם תרומת הסניף לשירותים הניתנים ללקוחות התאגיד הבנקאי, להתפתחות עסקי התאגיד הבנקאי ולטובת הציבור, והכול כמפורט בחוק. בשל ההשלכות השליליות שעלולות להיות לסגירת סניף בנק על ציבור הלקוחות שלו, ובמיוחד על הקשישים שבהם, נקבע כי כל החלטה בבקשה לסגירת סניף תהיה טעונה אישור של ועדת הרישיונות, ולא רק החלטה בהתנגדות לסגירת סניף כפי שהיה קבוע עד היום. בהתאם לכך, ומשום שוועדת הרישיונות מתכנסת אחת למספר חודשים, הוארכו לוחות הזמנים למתן החלטת המפקח כך שזו תינתן בתוך 90 ימים מיום קבלת הבקשה לסגירת סניף או מיום קבלת פרטים נוספים הדרושים לבדיקת הבקשה, לפי העניין. ועדת הרישיונות הינה ועדה המורכבת מנציגי ציבור ותפקידה הוא לייעץ לנגיד בנק ישראל ולמפקח במתן רישיונות, היתרים ואישורים על פי החוק.  כמו כן, נקבע כי המפקח ידווח לוועדת הכלכלה של הכנסת, פעמיים בשנה, במהלך שלוש שנות הדיווח הראשונות, ולאחר מכן אחת לשנה, על יישום הוראות ההסדר הנוגעות לסגירת סניפי בנק קבועים וכן על מדיניות המפקח וועדת הרשיונות בבחינת בקשה לסגירת סניף בנק קבוע.  מעבר לכך, נקבע כי התאגיד הבנקאי יהיה חייב לפרסם הודעה על סגירת הסניף באתר האינטרנט שלו וזאת בנוסף לחובת ההודעה בדרך של הודעה בכתב וכן בדרכים שבהן הוא נוהג למסור הודעות ללקוחות, החלה עליו כבר היום. </t>
  </si>
  <si>
    <t xml:space="preserve">חוק לתיקון פקודת מס הכנסה (מס' 273), התשפ"ד–2024</t>
  </si>
  <si>
    <t xml:space="preserve"> (פ/4392/25)</t>
  </si>
  <si>
    <t xml:space="preserve"> (כ/1039)</t>
  </si>
  <si>
    <t xml:space="preserve">החוק קובע כי יחיד, שהוא או בן זוגו שירת שירות מילואים בתקופה שמיום 7 באוקטובר 2023 ועד סוף שנת המס 2023, יהיה רשאי לבקש לראות לעניין הטבות מס, סכומים ששילם לקופת גמל לקצבה או לקרן השתלמות לעצמאיים, כאילו שולמו בשנת המס 2023, אף אם שולמו בשנת 2024.</t>
  </si>
  <si>
    <t xml:space="preserve">חוק למניעת הטרדה מינית (תיקון מס' 16), התשפ"ד–2024</t>
  </si>
  <si>
    <t xml:space="preserve"> (פ/2705/25)</t>
  </si>
  <si>
    <t xml:space="preserve"> (כ/1024)</t>
  </si>
  <si>
    <t xml:space="preserve">הוועדה לקידום מעמד האישה ולשוויון מגדרי</t>
  </si>
  <si>
    <t xml:space="preserve">חוק הקמת מאגר מידע גנטי של כלבים, התשפ"ד–2024</t>
  </si>
  <si>
    <t xml:space="preserve"> (פ/690/25)</t>
  </si>
  <si>
    <t xml:space="preserve"> (כ/999)</t>
  </si>
  <si>
    <t xml:space="preserve">החוק מאפשר לרשות מקומית שתרצה בכך להקים ולהפעיל בתחומה מאגר DNA מקומי לכלבים אשר בעליהם מתגוררים דרך קבע באותה רשות. רשות מקומית שהקימה מאגר כאמור תהיה רשאית ליטול מכלבים אשר בעליהם מתגוררים דרך קבע בתחומה, באופן חד פעמי, דגימת DNA לשם עריכת בדיקה גנטית לכלב אולם לא תהיה סנקציה פלילית על בעל כלב שסירב לתת דגימה. הרשות תהיה רשאית להשתמש במידע הגנטי המצוי במאגר כדי לאתר בעלי כלב שגלליו נמצאו ברשות הרבים בתחומה. </t>
  </si>
  <si>
    <t xml:space="preserve">חוק יום בריאות הנפש, התשפ"ד-2024</t>
  </si>
  <si>
    <t xml:space="preserve"> (פ/47/25)</t>
  </si>
  <si>
    <t xml:space="preserve"> (כ/1027)</t>
  </si>
  <si>
    <t xml:space="preserve">נקבע בחוק כי יתקיים בישראל יום ציון שנתי לבריאות הנפש ב-10 באוקטובר, המועד שבו מצוין יום זה בעולם. זאת, לשם הגברת מודעות הציבור לנושא, קידום ההכרה בזכויות של מתמודדי נפש ולשם הפחתת דעות קדומות כלפיהם. יום זה יצוין, בין השאר, במליאת הכנסת, בבית הנשיא, במערכת הבריאות, במשרד הרווחה ובשירותי הרווחה ברשויות המקומיות, במוסד לביטוח לאומי, במשרדי העבודה, השיכון, המשפטים, העלייה והקליטה והתרבות והספורט; כן יצוין בערכאות השיפוט, בצה"ל ובמשטרה, ברשויות המקומיות, ובמסגרות החינוך הבלתי פורמלי. יום זה יצוין גם במערכת החינוך, אם יחליט על כך שר החינוך. שר הבריאות הוא הממונה על ביצוע החוק.</t>
  </si>
  <si>
    <t xml:space="preserve">חוק נטילת אמצעי זיהוי ביומטריים מזרים, הפקת נתוני זיהוי ביומטריים ומאגר מידע, התשפ"ד-2024</t>
  </si>
  <si>
    <t xml:space="preserve"> (מ/1458)</t>
  </si>
  <si>
    <t xml:space="preserve">22.07.2024</t>
  </si>
  <si>
    <t xml:space="preserve">נקבע שעובד משרד הפנים או עובד ציבורי אחר אותו הסמיך השר רשאים ליטול אמצעי זיהוי ביומטריים ולהפיק מהם נתוני זיהוי ביומטריים, לצורך הכללתם במאגר הביומטרי שהוקם לפי החוק. בנוסף הוחלט לאפשר לעובדי משרד החוץ לבצע פעולות טרם הגעתם של זרים ארצה לשם ייעול הליך הזיהוי, כמו כן הוחלט לאפשר שימוש באמצעים ממוענים לצורך קבלת המידע הביומטרי. בנוסף קובע החוק את בעלי התפקידים שרשאים לערוך השוואה בין אמצעי הזיהוי הביומטרים הניטלים מזר לבין מסמך נסיעה שלו, ופירוט של בעלי התפקידים שרשאים להשוות את אמצעי הזיהוי שניטלו לאלה הכלולים במאגר המידע. וכן נקבעו התנאים שבהם ניתן ליטול אמצעי זיהוי ביומטריים תוך שימוש בכוח סביר והאופן בו תבוצע נטילה במקרים חריגים אלה.    כמו כן, קובע החוק המוצע הסדרים שמטרתם לשמור על פרטיותם של הזרים שמהם ניטלו אמצעי זיהוי ביומטריים, הסדרים לשמירה על כבוד האדם ועל פרטיותו של זר שניטלים ממנו אמצעים ביומטריים, הגבלות על בעלי הסמכויות לביצוע פעולות על פי ההסדר שנקבע, הוראות מיוחדות לעניין השמירה על המידע ומניעת אגירתו במאגרים משניים שאינם המתנהלים לפי חוק זה. בנוסף, נקבעו בו הוראות שנועדו להבטיח את סודיות המידע שבמאגר, אבטחת המידע שבו, בין היתר, באמצעות מנגנוני פיקוח ובקרה שיופעלו בידי הממונה על יישומים ביומטריים וכן הפיקוח על שמירת המידע והגנת הפרטיות בידי עובד שזה יהיה תפקידו.</t>
  </si>
  <si>
    <t xml:space="preserve">חוק ניוד מידע רפואי, התשפ"ד-2024</t>
  </si>
  <si>
    <t xml:space="preserve"> (פ/956/25)</t>
  </si>
  <si>
    <t xml:space="preserve"> (כ/1032)</t>
  </si>
  <si>
    <t xml:space="preserve">מטרת החוק היא להסדיר את זכותו של כל אדם לניוד המידע הרפואי על אודותיו לשם שיפור הטיפול הרפואי בו ומצבו הבריאותי, והכול תוך שמירה על פרטיותו ובהסכמתו. נקבע כי נותני שירותי בריאות המנויים בחוק יחויבו בהעברת מידע רפואי ביניהם, אם ניתנה הסכמת המטופל להעברת המידע לגביו ורק למטרות הקבועות בחוק שהן: טיפול רפואי במטופל, העברת מידע מקופת חולים שבה היה אדם מבוטח לקופת החולים שעבר אליה ושירות של הצגת כלל המידע הרפואי למבוטח על ידי קופת החולים שבה הוא מבוטח. נותני שירותי הבריאות שיחויבו בהעברת מידע כאמור הם, בין היתר, קופת חולים, בית חולים ציבורי, מרכז רפואי גריאטרי ומשרד הבריאות לעניין שירותי הבריאות שהוא נותן לפי התוספת השלישית לחוק ביטוח בריאות ממלכתי (כגון טיפות החלב). המידע יועבר באמצעות ממשק שנועד להעברת מידע בין גופים באופן מאובטח ויבוקש לפי סלי המידע הדרושים למימוש המטרה ובהיקף הקטן ביותר הדרוש מתוך סלי המידע המנויים בתוספת לחוק. המנהל הכללי של משרד הבריאות מוסמך לקבוע הוראות לעניין אופן העברת המידע בממשק, ובכלל זה קידוד המידע והבניית הנתונים. כמו כן, המנהל מוסמך לקבוע הוראות לעניין הגנה על המידע הרפואי שיעבור בממשק לפי ההסדר. עוד נקבעו הוראות לעניין היתר לקבלת מידע רפואי לפי החוק, הסכמה להעברת המידע הרפואי, סייגים להעברת המידע, מערכת לניהול הרשאות גישה, אפשרות לכלול בתי חולים נוספים בהסדר, שמירת דינים, עונשין, דיווח של נותני שירותי הבריאות למנהל הכללי של משרד הבריאות ושל המנהל לוועדת הבריאות של הכנסת ותקנות ראשונות. תחילתו של החוק ב-24.7.2027, אך לגבי סלי מידע מסוימים נקבעה תחילה מאוחרת יותר. כמו כן, על פי החוק, שר הבריאות, באישור ועדת הבריאות של הכנסת, רשאי לדחות, בצו, את תחילת החוק בשתי תקופות נוספות שלא יעלו על שנתיים כל אחת כמפורט בחוק. </t>
  </si>
  <si>
    <t xml:space="preserve">חוק הבנקאות (רישוי) (תיקון מס' 31), התשפ"ד-2024</t>
  </si>
  <si>
    <t xml:space="preserve"> (מ/1738)</t>
  </si>
  <si>
    <t xml:space="preserve">החוק מטפל בשני נושאים: האחד, הקלה על מכירת אחזקותיה של חברת כרטיסי האשראי "כאל" על ידי בנק דיסקונט, וזאת על ידי ביטול האיסורים החלים על גוף מוסדי גדול ועל תאגיד ריאלי משמעותי הנוגעים לרכישת אמצעי שליטה בחברת כרטיסי אשראי מבנק בעל היקף פעילות רחב, וכן על ידי הארכת המועדים האחרונים להפרדה בין בנק דיסקונט לחברת כאל. הנושא השני נוגע לעידוד התחרות בשוק האשראי על ידי הרחבת האיסור לגבי שליטה בחברת כרטיסי אשראי גם לבנק בעל היקף פעילות בינוני, ועל ידי כך מניעת מצב שבו יש שחקן השולט בחברת כרטיסי אשראי, אך הוא נעדר תמריצים לפעול באופן אגרסיבי באותו שוק.  </t>
  </si>
  <si>
    <t xml:space="preserve">חוק הגישה לתוכן דיגיטלי לאחר פטירתו של אדם, התשפ"ד–2024</t>
  </si>
  <si>
    <t xml:space="preserve"> (פ/4163/25)</t>
  </si>
  <si>
    <t xml:space="preserve"> (כ/1016)</t>
  </si>
  <si>
    <t xml:space="preserve">החוק קובע כי ספקי שירות תוכן דיגיטלי יקבעו ויפרסמו כללים בנוגע לאופן הטיפול והגישה לתוכן אישי של משתמש לאחר פטירתו. נקבע כי אותם כללים יפורסמו באופן נגיש וברור בשפה שבה ניתן השירות. במסגרת אותם כללים, על הספק לקבוע הוראות שיאפשרו למשתמש לבחור להעניק לאדם אחר גישה לתוכן האישי שלו או לחלק ממנו, או לא להעניק גישה לאדם אחר כלל. עם זאת, הספק רשאי לקבוע כי לחלק מהתוכן האמור לא תינתן גישה. בנוסף, נקבע כי בנוגע לתקשורת בין אישית, בין אדם לאדם, לא תחול על הספק החובה לקבוע הוראות כאמור. כמו כן, נקבע כי שר המשפטים יהיה מוסמך, באישור ועדת החוקה, להוסיף בתוספת שירותים שעליהם לא תחול החובה לקביעת הוראות. נקבע כי על הספק לעדכן את המשתמשים על הכללים שקבע ועל בחירת המשתמש מעת לעת, וכי הוראות אלו יחולו גם על ספק שירות תוכן דיגיטלי שאינו מישראל ככל שהוא מציע את שירותיו למשתמשים ישראלים ומכוון את שירותיו למשתמשים כאמור.</t>
  </si>
  <si>
    <t xml:space="preserve">חוק בתי המשפט (תיקון מס' 103), התשפ"ד–2024</t>
  </si>
  <si>
    <t xml:space="preserve"> (מ/1633)</t>
  </si>
  <si>
    <t xml:space="preserve">החוק נחקק במטרה לאפשר לממשלה לאשרר את אמנת סינגפור, שישראל הייתה מעורבת במשא ומתן לגיבושה וחתמה עליה בשנת 2019. האמנה מבקשת להגביר את השימוש בהסדרי גישור בעניינים מסחריים ובינלאומיים, על ידי הענקת ודאות שהסדרי הגישור יכובדו וייאכפו במדינות שונות, בלי צורך לפרשנות דיני החוזים של כל מדינה. על כן, האמנה קובעת כי הרשויות המוסמכות במדינות שהן צד לאמנה יפעלו במהירות בעת דיון בבקשה לסעד מכוחה, יאכפו בתחומן הסדרי גישור בינלאומיים חתומים בעניינים מסחריים ויאפשרו שימוש בהסכמי גישור כטענת הגנה בהליך משפטי על ידי צד לסכסוך.  בחוק נקבע שהוראות האמנה יחולו רק על הסדרי גישור שהצדדים להם הסכימו שהאמנה תחול עליהם. </t>
  </si>
  <si>
    <t xml:space="preserve">חוק התמודדות עם תקיפות סייבר חמורות במגזר השירותים הדיגיטליים ושירותי האחסון (הוראת שעה – חרבות ברזל) (תיקון), התשפ"ד-2024</t>
  </si>
  <si>
    <t xml:space="preserve"> (מ/1754)</t>
  </si>
  <si>
    <t xml:space="preserve">ביום י"ד בטבת התשפ"ד (26 בדצמבר 2023), פורסם חוק התמודדות עם תקיפות סייבר חמורות במגזר השירותים הדיגיטליים ושירותי האחסון (הוראת שעה – חרבות ברזל) (תיקון), התשפ"ד–2024, כהוראת שעה למשך שבעה חודשים. החוק מסמיך מנהל מוסמך משירות הביטחון הכללי, ממערך הסייבר או מהמלמ"ב לקבוע כי תקיפת סייבר שמתרחשת או עומדת להתרחש אצל מי שעיסוקו אספקת שירותי אחסון או שירותים דיגיטליים, היא תקיפת סייבר חמורה, אם סבר כי קיים חשש ממשי שתפגע בביטחון המדינה, בביטחון הציבור או בקיום האספקה והשירותים החיוניים. קביעה זו תיעשה בכפוף לתנאים הבאים: התקיפה התרחשה במהלך מלחמת חרבות ברזל; התקיפה בעלת השפעה ממשית שאינה מוגבלת לספק הנתקף, והתקיפה היא תקיפת סייבר חמורה בהתחשב במאפייניה. במקרה שנקבע כי תקיפת סייבר היא חמורה, החוק קובע הליך פעולה לטובת איתור התקיפה, מניעתה או בלימתה בהקדם האפשרי. מעבר לכך, נקבעו הוראות בעניין חובת סודיות והגבלת שימוש במידע, וכן חובת דיווח ליועצת המשפטית לממשלה ולוועדת החוץ והביטחון של הכנסת.  במסגרת התיקון לחוק, נוספה לחובת הדיווח כאמור חובת דיווח בעניין מספר המקרים שבהם ניתנה לספק הזדמנות להשמיע את טענותיו כאשר העובד המוסמך הודיע לספק על כוונתו לתת לו הוראות לביצוע פעולות לרבות להגנת סייבר בחומר מחשב, במידה והספק לא פעל באופן הולם לאיתור התקיפה, מניעתה או בלימתה, ולא מסר תצהיר לעובד המוסמך בדבר פעולות אלו. כמו כן, הוארכה הוראת השעה כאמור עד ליום ב' בניסן התשפ"ה (31 במרץ 2025). </t>
  </si>
  <si>
    <t xml:space="preserve"> (פ/4807/25)</t>
  </si>
  <si>
    <t xml:space="preserve">הצעת חוק הנחה לחיילי צה"ל לוחמים בתחבורה ציבורית, התשפ"ד-2024</t>
  </si>
  <si>
    <t xml:space="preserve"> (פ/4806/25)</t>
  </si>
  <si>
    <t xml:space="preserve">הצעת חוק ליווי בני משפחות של משרתים בגופי ביטחון ששלחו יד בנפשם, התשפ"ד-2024</t>
  </si>
  <si>
    <t xml:space="preserve"> (פ/4805/25)</t>
  </si>
  <si>
    <t xml:space="preserve">הצעת חוק משפחות חיילים שנספו במערכה (תגמולים ושיקום) (תיקון - תגמולים לשכול שאין לו בן זוג שכול), התשפ"ד-2024</t>
  </si>
  <si>
    <t xml:space="preserve"> (פ/4804/25)</t>
  </si>
  <si>
    <t xml:space="preserve">הצעת חוק הכרה בתרומתם של כלבים בשירות ביטחון, התשפ"ד-2024</t>
  </si>
  <si>
    <t xml:space="preserve"> (פ/4803/25)</t>
  </si>
  <si>
    <t xml:space="preserve">הצעת חוק משפחות חיילים שנספו במערכה (תגמולים ושיקום) (תיקון - תוספת תגמול להורים שכולים מבוגרים), התשפ"ד-2024</t>
  </si>
  <si>
    <t xml:space="preserve"> (פ/4802/25)</t>
  </si>
  <si>
    <t xml:space="preserve">הצעת חוק שירות חובה לכל, התשפ"ד-2024</t>
  </si>
  <si>
    <t xml:space="preserve"> (פ/4801/25)</t>
  </si>
  <si>
    <t xml:space="preserve">הצעת חוק נציבות תלונות אסירים, התשפ"ד-2024</t>
  </si>
  <si>
    <t xml:space="preserve"> (פ/4799/25)</t>
  </si>
  <si>
    <t xml:space="preserve">הצעת חוק מימון שכר לימוד לסטודנטים באזורי מלחמה ועימות (הוראת שעה - חרבות ברזל), התשפ"ד-2024</t>
  </si>
  <si>
    <t xml:space="preserve"> (פ/4797/25)</t>
  </si>
  <si>
    <t xml:space="preserve">הצעת חוק מרשם האוכלוסין (תיקון - לאום ארמי), התשפ"ד-2024 </t>
  </si>
  <si>
    <t xml:space="preserve"> (פ/4796/25)</t>
  </si>
  <si>
    <t xml:space="preserve">הצעת חוק הפיקוח על שירותים פיננסיים (קופות גמל) (תיקון - הגדלת הסכום המרבי להפקדה בקופות גמל להשקעה), התשפ"ד-2024</t>
  </si>
  <si>
    <t xml:space="preserve"> (פ/4795/25)</t>
  </si>
  <si>
    <t xml:space="preserve">הצעת חוק הביטוח הלאומי (תיקון - שלילת קצבאות שמשולמות לפעילי טרור ובני משפחותיהם מחוץ לישראל), התשפ"ד-2024</t>
  </si>
  <si>
    <t xml:space="preserve"> (פ/4794/25)</t>
  </si>
  <si>
    <t xml:space="preserve">הצעת חוק הביטוח הלאומי (תיקון - הגבלת שכר טרחה עבור טיפול בתביעה לנפגעי איבה), התשפ"ד-2024</t>
  </si>
  <si>
    <t xml:space="preserve"> (פ/4793/25)</t>
  </si>
  <si>
    <t xml:space="preserve">הצעת חוק ביטוח סיעוד ממלכתי (תיקוני חקיקה), התשפ"ד-2024</t>
  </si>
  <si>
    <t xml:space="preserve"> (פ/4792/25)</t>
  </si>
  <si>
    <t xml:space="preserve">הצעת חוק הרשות הלאומית למאבק בעוני, התשפ"ד-2024</t>
  </si>
  <si>
    <t xml:space="preserve"> (פ/4791/25)</t>
  </si>
  <si>
    <t xml:space="preserve">הצעת חוק היקף עבודה במתכונת חודשית, התשפ"ד-2024</t>
  </si>
  <si>
    <t xml:space="preserve"> (פ/4788/25)</t>
  </si>
  <si>
    <t xml:space="preserve">הצעת חוק העונשין (תיקון - מאבק בפשיעה החקלאית), התשפ"ד-2024 </t>
  </si>
  <si>
    <t xml:space="preserve"> (פ/4786/25)</t>
  </si>
  <si>
    <t xml:space="preserve">הצעת חוק לתיקון פקודת מס הכנסה (הוראת שעה - חרבות ברזל) (נקודות זיכוי בעד בן זוג במילואים), התשפ"ד-2024</t>
  </si>
  <si>
    <t xml:space="preserve"> (פ/4785/25)</t>
  </si>
  <si>
    <t xml:space="preserve">הצעת חוק הסיוע המשפטי (תיקון - נפגעי עבירות מין), התשפ"ד-2024</t>
  </si>
  <si>
    <t xml:space="preserve"> (פ/4783/25)</t>
  </si>
  <si>
    <t xml:space="preserve">הצעת חוק סל הקליטה (תיקון - זכאות בני משפחה של עולה), התשפ"ד-2024</t>
  </si>
  <si>
    <t xml:space="preserve"> (פ/4781/25)</t>
  </si>
  <si>
    <t xml:space="preserve">הצעת חוק הביטוח הלאומי (תיקון - מענק לכיסוי הוצאות בלידת בית), התשפ"ד-2024</t>
  </si>
  <si>
    <t xml:space="preserve"> (פ/4780/25)</t>
  </si>
  <si>
    <t xml:space="preserve">הצעת חוק לשכת עורכי הדין (תיקון - התמחות ומבחני הסמכה), התשפ"ד-2024</t>
  </si>
  <si>
    <t xml:space="preserve"> (פ/4778/25)</t>
  </si>
  <si>
    <t xml:space="preserve">הצעת חוק משפחות חיילים שנספו במערכה (תגמולים ושיקום) (תיקון - תגמולים ושיקום לאישה שהיא הורה ליתומיו של נספה), התשפ"ד-2024</t>
  </si>
  <si>
    <t xml:space="preserve"> (פ/4777/25)</t>
  </si>
  <si>
    <t xml:space="preserve">הצעת חוק התאמת לוח חופשות הלימודים לשעות העבודה והמנוחה במשק (תיקוני חקיקה), התשפ"ד-2024</t>
  </si>
  <si>
    <t xml:space="preserve"> (פ/4775/25)</t>
  </si>
  <si>
    <t xml:space="preserve">הצעת חוק הפיקוח על מעונות יום לפעוטות (תיקון - סמכות משרד החינוך), התשפ"ד-2024</t>
  </si>
  <si>
    <t xml:space="preserve"> (פ/4774/25)</t>
  </si>
  <si>
    <t xml:space="preserve">הצעת חוק המאבק בטרור (תיקון - סנקציות על מוסדות פיננסיים), התשפ"ד-2024</t>
  </si>
  <si>
    <t xml:space="preserve"> (פ/4773/25)</t>
  </si>
  <si>
    <t xml:space="preserve">הצעת חוק מוכנות ותגובה לתקריות של זיהום הים והסביבה החופית בשמן, התשפ"ד-2024</t>
  </si>
  <si>
    <t xml:space="preserve"> (פ/4771/25)</t>
  </si>
  <si>
    <t xml:space="preserve">הצעת חוק הנכים (תגמולים ושיקום) (תיקון - פצועים בשירות סדיר), התשפ"ד-2024</t>
  </si>
  <si>
    <t xml:space="preserve"> (פ/4770/25)</t>
  </si>
  <si>
    <t xml:space="preserve">הצעת חוק התכנון והבנייה (תיקון - חובת הקמת מערכת סולארית לייצור חשמל במבנים), התשפ"ד-2024</t>
  </si>
  <si>
    <t xml:space="preserve"> (פ/4769/25)</t>
  </si>
  <si>
    <t xml:space="preserve">הצעת חוק חובת המכרזים (תיקון - עידוד עסקים קטנים ובינוניים בשליטת משרתי מילואים), התשפ"ד-2024</t>
  </si>
  <si>
    <t xml:space="preserve"> (פ/4768/25)</t>
  </si>
  <si>
    <t xml:space="preserve">הצעת חוק הרשויות המקומיות (פטור חיילים, נפגעי מלחמה ושוטרים מארנונה) (תיקון - פטור מארנונה לבית עסק של משרת בשירות מילואים פעיל), התשפ"ד-2024</t>
  </si>
  <si>
    <t xml:space="preserve"> (פ/4767/25)</t>
  </si>
  <si>
    <t xml:space="preserve">הצעת חוק החיילים המשוחררים (החזרה לעבודה) (תיקון - הרחבת תקופת הגנה מפני פיטורים למשרתים במילואים), התשפ"ד-2024</t>
  </si>
  <si>
    <t xml:space="preserve"> (פ/4766/25)</t>
  </si>
  <si>
    <t xml:space="preserve">הצעת חוק-יסוד: הממשלה (תיקון - תקופת כהונה מרבית בתפקיד ראש הממשלה)</t>
  </si>
  <si>
    <t xml:space="preserve"> (פ/4765/25)</t>
  </si>
  <si>
    <t xml:space="preserve">הצעת חוק תחנות טיפת חלב, התשפ''ד-2024</t>
  </si>
  <si>
    <t xml:space="preserve"> (פ/4764/25)</t>
  </si>
  <si>
    <t xml:space="preserve"> (פ/4763/25)</t>
  </si>
  <si>
    <t xml:space="preserve">הצעת חוק הכנסת (תיקון – חובת התייצבות בפני ועדות הכנסת), התשפ"ד–2024</t>
  </si>
  <si>
    <t xml:space="preserve"> (פ/4762/25)</t>
  </si>
  <si>
    <t xml:space="preserve">הצעת חוק זיכרון השואה והגבורה - יד ושם (תיקון - הנצחת גבורתם ופעילותם של יהודים שחרפו נפשם על מנת להציל את בני עמם בשטחים הכבושים על ידי הנאצים), התשפ"ד-2024</t>
  </si>
  <si>
    <t xml:space="preserve"> (פ/4761/25)</t>
  </si>
  <si>
    <t xml:space="preserve">הצעת חוק החיילים המשוחררים (החזרה לעבודה) (תיקון - צבירת חופשה למשרתים במילואים), התשפ"ד-2024</t>
  </si>
  <si>
    <t xml:space="preserve"> (פ/4760/25)</t>
  </si>
  <si>
    <t xml:space="preserve">הצעת חוק להפסקת פעילות סוכנות הסעד והתעסוקה של האו"ם לפליטי פלסטין במזרח הקרוב (אונר"א), התשפ"ג-2022</t>
  </si>
  <si>
    <t xml:space="preserve"> (פ/741/25)</t>
  </si>
  <si>
    <t xml:space="preserve">הצעת חוק העונשין (תיקון - חזקת סוחר בכלי נשק), התשפ"ג-2023</t>
  </si>
  <si>
    <t xml:space="preserve"> (פ/3683/25)</t>
  </si>
  <si>
    <t xml:space="preserve">21.07.2024</t>
  </si>
  <si>
    <t xml:space="preserve">הצעת חוק הסיוע המשפטי (תיקון - נפגעי עבירות מין), התשפ"ג-2023</t>
  </si>
  <si>
    <t xml:space="preserve"> (פ/2088/25)</t>
  </si>
  <si>
    <t xml:space="preserve">הצעת חוק צער בעלי חיים (הגנה על בעלי חיים) (תיקון מס' 12) (איסור עיסוק ברבייה ובמכירה של כלבים ללא היתר), התשפ"ד–2024</t>
  </si>
  <si>
    <t xml:space="preserve"> (פ/2130/25)</t>
  </si>
  <si>
    <t xml:space="preserve"> (כ/1005)</t>
  </si>
  <si>
    <t xml:space="preserve">18.07.2024</t>
  </si>
  <si>
    <t xml:space="preserve">הצעת חוק ביטוח בריאות ממלכתי (תיקון - מתן מענה מנומק על ידי קופת החולים), התשפ"ד-2024</t>
  </si>
  <si>
    <t xml:space="preserve"> (פ/4601/25)</t>
  </si>
  <si>
    <t xml:space="preserve"> (פ/4349/25)</t>
  </si>
  <si>
    <t xml:space="preserve">הצעת חוק ביטוח בריאות ממלכתי (תיקון מס' 70) (מענה מנומק על אי-אישור קבלת שירות בריאות מקופת חולים), התשפ"ד–2024</t>
  </si>
  <si>
    <t xml:space="preserve"> (פ/4193/25)</t>
  </si>
  <si>
    <t xml:space="preserve"> (כ/1031)</t>
  </si>
  <si>
    <t xml:space="preserve">הצעת חוק הכשרות המשפטית והאפוטרופסות (תיקון - סמכויות האפוטרופוס), התשפ"ג-2023</t>
  </si>
  <si>
    <t xml:space="preserve"> (פ/3748/25)</t>
  </si>
  <si>
    <t xml:space="preserve">הצעת חוק עקרונות האסדרה (תיקון - פקיעת אסדרה), התשפ"ג-2023</t>
  </si>
  <si>
    <t xml:space="preserve"> (פ/2213/25)</t>
  </si>
  <si>
    <t xml:space="preserve">17.07.2024</t>
  </si>
  <si>
    <t xml:space="preserve">הצעת חוק המועצה להשכלה גבוהה (תיקון - פיטורי סגל אקדמי בשל הסתה או תמיכה בטרור והפחתת תקציב), התשפ"ד-2024</t>
  </si>
  <si>
    <t xml:space="preserve"> (פ/4684/25)</t>
  </si>
  <si>
    <t xml:space="preserve">חוק מניעת פגיעת גוף שידורים זר בביטחון המדינה (הוראת שעה – חרבות ברזל) (תיקון), התשפ"ד–2024</t>
  </si>
  <si>
    <t xml:space="preserve"> (מ/1776)</t>
  </si>
  <si>
    <t xml:space="preserve">ביום כ"ג באדר ב' התשפ"ד (2 באפריל 2024), פורסם חוק מניעת פגיעת גוף שידורים זר בביטחון המדינה (הוראת שעה – חרבות ברזל), התשפ"ד–2024, במסגרתו נקבע כהוראת שעה לארבעה חודשים, עד מועד סיום ההכרזה על מצב מיוחד בעורף או עד לסיום הפעולות הצבאיות המשמעותיות, לפי המוקדם שבהם, כי במידה וראש הממשלה שוכנע כי התכנים המשודרים בערוץ זר המשדר בישראל פוגעים באופן ממשי בביטחון המדינה, שר התקשורת יהיה רשאי, בהסכמת ראש הממשלה ובאישור ועדת השרים לענייני ביטחון לאומי או הממשלה להורות על פעולות למניעת או הפסקת פעילות של ערוץ זר, לרבות סגירת משרדי הערוץ הנמצאים בישראל. הוראה זו תינתן לאחר שתוצג בפני ראש הממשלה ושר התקשורת חוות דעת מקצועית אחת לפחות מגורמי הביטחון; ובלבד שטרם אישורה של ועדת השרים לענייני ביטחון לאומי או הממשלה, יוצגו בפניה חוות הדעת מטעם גורמי הביטחון.  עוד נקבע כי תוקף הוראות אלו יהיה למשך ארבעים וחמישה ימים, לצד אפשרות להאריך תקופה זו לתקופה זהה לכל היותר בכל פעם, בכפוף, בין היתר, להצגת חוות דעת מקצועית כאמור. כמו כן, נקבע כי הוראה של שר התקשורת כאמור, ובפרט הארכתה, תובא לפני נשיא בית משפט מחוזי או סגנו בהקדם האפשרי לטובת ביקורת שיפוטית, במסגרתה יחליט האם לשנותה.   במסגרת התיקון, הוארכה הוראת השעה כאמור עד ליום כ"ט בחשוון התשפ"ה (30 בנובמבר 2024).  </t>
  </si>
  <si>
    <t xml:space="preserve">הצעת חוק הקמת ועדת חקירה ממלכתית לאירועי 7 באוקטובר ומלחמת חרבות ברזל, התשפ"ד-2024</t>
  </si>
  <si>
    <t xml:space="preserve"> (פ/4620/25)</t>
  </si>
  <si>
    <t xml:space="preserve">הצעת חוק הקמת ועדת חקירה ממלכתית לאירועי 7 באוקטובר, התשפ"ד-2024</t>
  </si>
  <si>
    <t xml:space="preserve"> (פ/4618/25)</t>
  </si>
  <si>
    <t xml:space="preserve">הצעת חוק היחידה המיוחדת לחילופי מידע של גופי הביטחון והרשויות האזרחיות, התשפ"ד-2024 </t>
  </si>
  <si>
    <t xml:space="preserve"> (פ/4480/25)</t>
  </si>
  <si>
    <t xml:space="preserve">הצעת חוק הביטוח הלאומי (תיקון - החשבת תקופת מילואים לעניין עבודה מועדפת), התשפ"ד-2024</t>
  </si>
  <si>
    <t xml:space="preserve"> (פ/4183/25)</t>
  </si>
  <si>
    <t xml:space="preserve">הצעת חוק הביטוח הלאומי (תיקון - הארכת תקופת הזכאות למענק עבודה מועדפת בחקלאות ובבנייה) (הוראת שעה), התשפ"ד-2024</t>
  </si>
  <si>
    <t xml:space="preserve"> (פ/4159/25)</t>
  </si>
  <si>
    <t xml:space="preserve">הצעת חוק יום הזיכרון לטבח שמחת תורה, התשפ"ד-2023</t>
  </si>
  <si>
    <t xml:space="preserve"> (פ/4100/25)</t>
  </si>
  <si>
    <t xml:space="preserve">הצעת חוק הביטוח הלאומי (תיקון - עבודה במסגרות טיפוליות), התשפ"ג-2023</t>
  </si>
  <si>
    <t xml:space="preserve"> (פ/3784/25)</t>
  </si>
  <si>
    <t xml:space="preserve">הצעת חוק להענקת זכויות במקרקעין ביישוב מיעוטים למי שנבצר ממנו להשלים את שירותו הצבאי ולאלמנות צה"ל (תיקוני חקיקה), התשפ"ג-2023</t>
  </si>
  <si>
    <t xml:space="preserve"> (פ/2246/25)</t>
  </si>
  <si>
    <t xml:space="preserve">הצעת חוק סדר הדין הפלילי (סמכויות אכיפה - מעצרים) (תיקון - הגדרת מסוכנות של פוגעים בבעלי חיים), התשפ"ג-2023</t>
  </si>
  <si>
    <t xml:space="preserve"> (פ/1939/25)</t>
  </si>
  <si>
    <t xml:space="preserve">הצעת חוק הביטוח הלאומי (תיקון - עבודה מועדפת בענף המסעדנות), התשפ"ג-2023</t>
  </si>
  <si>
    <t xml:space="preserve"> (פ/1667/25)</t>
  </si>
  <si>
    <t xml:space="preserve">הצעת חוק רכזי ביטחון שוטף צבאיים, התשפ''ג-2023</t>
  </si>
  <si>
    <t xml:space="preserve"> (פ/1246/25)</t>
  </si>
  <si>
    <t xml:space="preserve">הצעת חוק הרשות לטיפול בנפגעי הלם קרב, התשפ"ג-2022</t>
  </si>
  <si>
    <t xml:space="preserve"> (פ/763/25)</t>
  </si>
  <si>
    <t xml:space="preserve">הצעת חוק מס ערך מוסף (תיקון - מס בשיעור אפס על ספרי לימוד), התשפ"ג-2022</t>
  </si>
  <si>
    <t xml:space="preserve"> (פ/357/25)</t>
  </si>
  <si>
    <t xml:space="preserve">הצעת חוק רכזי ביטחון שוטף צבאיים, התשפ"ג-2022</t>
  </si>
  <si>
    <t xml:space="preserve"> (פ/216/25)</t>
  </si>
  <si>
    <t xml:space="preserve">הצעת חוק העונשין (תיקון - השחתת מודעות על רקע מגדר), התשפ"ג-2022</t>
  </si>
  <si>
    <t xml:space="preserve"> (פ/115/25)</t>
  </si>
  <si>
    <t xml:space="preserve">הצעת חוק ההוצאה לפועל (תיקון - טלפונים ניידים ומחשבים אישיים), התשפ"ג-2022</t>
  </si>
  <si>
    <t xml:space="preserve"> (פ/45/25)</t>
  </si>
  <si>
    <t xml:space="preserve">16.07.2024</t>
  </si>
  <si>
    <t xml:space="preserve">הצעת חוק לתיקון פקודת מסי העירייה ומסי הממשלה (פטורין) (פטור מארנונה למצללה), התשפ"ג-2023 </t>
  </si>
  <si>
    <t xml:space="preserve"> (פ/3467/25)</t>
  </si>
  <si>
    <t xml:space="preserve">הצעת חוק לתיקון פקודת בריאות העם (הנגשת מידע ופנקס חיסונים למחוסן), התשפ"ד-2024</t>
  </si>
  <si>
    <t xml:space="preserve"> (פ/4359/25)</t>
  </si>
  <si>
    <t xml:space="preserve">חוק מחיקת רישומים פליליים ומשטרתיים של יוצאי אתיופיה, התשפ"ד–2024</t>
  </si>
  <si>
    <t xml:space="preserve"> (פ/4005/25)</t>
  </si>
  <si>
    <t xml:space="preserve"> (כ/1019)</t>
  </si>
  <si>
    <t xml:space="preserve">החוק קובע כי יימחק פרט רישום פלילי ויבוטל פרט רישום משטרתי של יוצא אתיופיה, שעניינו עבירה של הפרת סדר ציבורי המנויה בתוספת לחוק ואשר נעברה עד סוף שנת 2020. זאת, בתנאי שלא הוטל על אותו אדם עונש מאסר בפועל לגבי אותה עבירה או שאין לו פרט רישום פלילי או משטרתי נוסף. בין העבירות המנויות בתוספת: עבירת ההפרעה לסדר ציבורי, העלבה והפרעה לעובד ציבור, הפרעה לשוטר במילוי תפקידו, התפרעות והתקהלות אסורה, התנהגות פסולה במקום ציבורי והכשלת מעצר חוקי. </t>
  </si>
  <si>
    <t xml:space="preserve">חוק שיקום נכי נפש בקהילה (תיקון מס' 2), התשפ"ד-2024</t>
  </si>
  <si>
    <t xml:space="preserve"> (פ/4255/25)</t>
  </si>
  <si>
    <t xml:space="preserve"> (כ/1026)</t>
  </si>
  <si>
    <t xml:space="preserve">חוק זה מחליף בחוק שיקום נכי נפש בקהילה, התש"ס-2000, את המונח "נכה נפש" על הטיותיו במונח "מתמודד נפש", וכן מתקן בהתאמה אזכורים של חוק שיקום נכי נפש בקהילה בחוקים אחרים.</t>
  </si>
  <si>
    <t xml:space="preserve">חוק הגנה על זכויות בדירת המשפחה של ילד שהורהו הומת בידי בן זוגו, התשפ"ד-2024</t>
  </si>
  <si>
    <t xml:space="preserve"> (פ/358/25)</t>
  </si>
  <si>
    <t xml:space="preserve"> (כ/1013)</t>
  </si>
  <si>
    <t xml:space="preserve">החוק קובע שבמקרה בו אדם מורשע בהמתה של בן זוגו ולבני הזוג יש דירת מגורים משותפת, ההחלטות באשר לניהול הדירה יתקבלו על ידי הילדים המשותפים או ילדי בן הזוג שהומת בלבד, ללא צורך בהסכמת בן הזוג הממית. הילדים יוכלו להחליט לגור בדירה ללא הסכמת בן הזוג הממית כאמור, או לחילופין להשכיר או למכור את הדירה, ואולם החלטה על מכירת הדירה תהיה טעונה את אישורו של בית המשפט. בכל מקרה, ככל שהתקבלה תמורה מהשכרה או ממכירה של הדירה, בן הזוג שהמית יקבלו את חלקו. החוק קובע כי למעט החלטה באשר לעסקה במקרקעין הטעונה רישום, ההסדר יחול כבר מעת הגשת כתב האישום. בנוסף, אם חויב בן הזוג הממית במזונות או במדור עבור הילדים, יוכלו הילדים לקזז את הסכומים המגיעים להם מהכספים להם הוא זכאי מהם כתמורה מהשכרה או מכירה של הדירה.</t>
  </si>
  <si>
    <t xml:space="preserve"> (פ/2729/25)</t>
  </si>
  <si>
    <t xml:space="preserve">15.07.2024</t>
  </si>
  <si>
    <t xml:space="preserve"> (פ/2376/25)</t>
  </si>
  <si>
    <t xml:space="preserve"> (פ/2375/25)</t>
  </si>
  <si>
    <t xml:space="preserve"> (פ/2374/25)</t>
  </si>
  <si>
    <t xml:space="preserve">חוק שוויון זכויות לאנשים עם מוגבלות (תיקון מס' 22 והוראת שעה) (תיקון), התשפ"ד-2024</t>
  </si>
  <si>
    <t xml:space="preserve"> (מ/1637)</t>
  </si>
  <si>
    <t xml:space="preserve">בהתחשב בעיכוב שחל בהפעלת ההסדר בעניין נגישות אדם עם מוגבלות המסתייע בחיית סיוע, וכדי הקל על אדם כאמור, התיקון לחוק מעדכן את מועדי הוראות השעה והוראות המעבר המפורטים להלן שנקבעו בחוק שוויון זכויות לאנשים עם מוגבלות (תיקון מס' 22), התשפ"ב–2022:  א. ההוראה הפוטרת אדם עם מוגבלות המלווה בחיית סיוע מנשיאת תעודת חיית סיוע הוארכה עד ליום 1.7.2025 (במקום 1.11.2023).  ב. ההוראה המזכה את מי שכבר נעזר בחיית סיוע לקבל עבורה תעודה בכפוף להשלמת מבחן כשירות, תתייחס למי שהייתה לו חיית סיוע ביום 31.12.2024 (במקום רק למי שהיתה לו חיית סיוע ביום 30.4.2023).  ג. שלוש השנים שבהן הליך ההכשרה יוכר גם אם הוא בוצע שלא על ידי מרכז הכשרה והדרכה, והשנתיים שבהן יוכל השר להכיר במרכז הכשרה והדרכה גם אם רק החל בהליך הכרה בארגון הגג יחלו להימנות מיום 1.1.2025 (במקום מיום 1.5.2023). </t>
  </si>
  <si>
    <t xml:space="preserve">חוק סמכויות לשם שמירה על ביטחון הציבור (תיקון מס' 8), התשפ"ד–2024</t>
  </si>
  <si>
    <t xml:space="preserve"> (כ/1020)</t>
  </si>
  <si>
    <t xml:space="preserve">חוק סמכויות לשם שמירה על ביטחון הציבור, התשס"ה–2005, נועד להקנות סמכויות שונות לשוטרים, חיילים ומאבטחים לשם שמירה על ביטחון הציבור מפני פעילות חבלנית עוינת ומפני אלימות, וזאת במקום ובדרך שיבטיחו שמירה מרבית על כבוד האדם, פרטיותו וזכויותיו.  במסגרת תיקון מספר 8, נקבע כי לחייל שנתמנה לפי פקודות הצבא לשמור על מקום המוחזק על ידי צבא הגנה לישראל או המשמש למטרה ביטחונית, תהא סמכות חיפוש על גופו של אדם או בכלי תחבורה אם ישנו חשד סביר כי ניסה להיכנס או לחדור לאותו מקום ללא רשות כדין, על מנת לברר האם אותו אדם נושא עימו נשק שלא כדין או מחזיק בכלי התחבורה נשק שלא כדין. כמו כן, נקבע כי חייל כאמור יהיה רשאי לעכב אדם המנסה להיכנס או לחדור ללא רשות כדין למקום עליו הוא שומר, עד לבואו של שוטר. עוד נקבע כי ראש המטה הכללי, או מי שהסמיך לכך, יקבע הוראות לעניין סימון ומעקב אחר כלי נשק צבאי, אחריות קצין המפקד על בסיסי צבא הגנה לישראל לשמור על כלי נשק המוחזקים בו וסימון וגידור מתחמים המוחזקים על ידי צבא הגנה לישראל.  </t>
  </si>
  <si>
    <t xml:space="preserve">חוק מקורות אנרגיה (תיקון מס' 5), התשפ"ד-2024</t>
  </si>
  <si>
    <t xml:space="preserve"> (מ/1741)</t>
  </si>
  <si>
    <t xml:space="preserve">מטרת החוק היא להפחית את הנטל הרגולטורי על יבוא מכשירי חשמל ובכך להפחית את יוקר המחיה. מוצע להקל על יבואני מכשירים צורכי אנרגיה ולאפשר להם להציג מסמך התאמה לדרישות חוקית היבוא האירופיות כתנאי לאישור היבוא, להסמיך את השר לפטור סוגי מכשירים שיקבע מקבל אישור יבוא ולקבוע כי אישור שניתן ינתן לתקופה בלתי מוגבלת אלא אם השתנו דרישות הנצילות האנרגטית שעל בסיסה ניתן האישור. כן מוצע להוסיף פרק שעוסק בהתראה מינהלית שאותה ניתן להמציא חלף הטלת עיצום כספי.</t>
  </si>
  <si>
    <t xml:space="preserve">חוק הביטוח הלאומי (תיקון מס' 247), התשפ"ד–2024</t>
  </si>
  <si>
    <t xml:space="preserve"> (פ/775/24)</t>
  </si>
  <si>
    <t xml:space="preserve"> (כ/902)</t>
  </si>
  <si>
    <t xml:space="preserve">החוק קובע כי חיסכון ארוך טווח לילד שהוריו לא בחרו היכן יופקדו הכספים תוך שישה חודשים מיום לידתו, ינוהל בקופת גמל להשקעה במסלול בסיכון מוגבר עד גיל 15. בהגיע הילד לגיל 15, יועבר החיסכון למסלול בסיכון מועט באותה קופת גמל. </t>
  </si>
  <si>
    <t xml:space="preserve">חוק לתיקון ולהארכת תוקפן של תקנות שעת חירום (חרבות ברזל) (פגישה עם עורך דין של עצור בעבירת ביטחון) (תיקון מס' 3), התשפ"ד-2024</t>
  </si>
  <si>
    <t xml:space="preserve"> (מ/1775)</t>
  </si>
  <si>
    <t xml:space="preserve">החוק מאריך את תוקפן של תקנות שעת חירום המאפשרות מניעת פגישה של עצורים ביטחוניים, הקשורים לפעולות האיבה שהתרחשו בין יום ה-7 באוקטובר לבין ה-10 באוקטובר 2023 או למלחמה בעזה, עם עורכי הדין שלהם התקנות יעמדו בתוקף עד ה-15 בנובמבר 2024.</t>
  </si>
  <si>
    <t xml:space="preserve">חוק לתיקון ולהארכת תוקפן של תקנות שעת חירום (חרבות ברזל) (הארכת מעצר לחשוד בעבירת ביטחון) (תיקון מס' 3), התשפ"ד-2024</t>
  </si>
  <si>
    <t xml:space="preserve"> (מ/1774)</t>
  </si>
  <si>
    <t xml:space="preserve">החוק מאריך את תוקף תקנות שעת החירום, המאריכות את תקופות המעצרים המפורטות בחוק המעצרים בנוגע לעצור שחשוד בעבירת ביטחון בשל פעולות האיבה שהתרחשו בין יום ה-7 באוקטובר לבין ה-10 באוקטובר 2023, או מי שנעצר במסגרת פעולות המלחמה בעזה. ההארכה שנקבעה בחוק זה היא עד ליום ה-15 בנובמבר 2024.</t>
  </si>
  <si>
    <t xml:space="preserve">הצעת חוק הכנסת (תיקון - אמירת אמת והתייצבות בפני ועדות הכנסת), התשפ"ד-2024</t>
  </si>
  <si>
    <t xml:space="preserve"> (פ/4758/25)</t>
  </si>
  <si>
    <t xml:space="preserve">הצעת חוק יסודות התקציב (תיקון - אישור תוספת שכרית לגוף ביטחוני והעברת תקציב בין תוכניות ובין משרדים - הוראת שעה), התשפ"ד-2024</t>
  </si>
  <si>
    <t xml:space="preserve"> (פ/4757/25)</t>
  </si>
  <si>
    <t xml:space="preserve"> (פ/4755/25)</t>
  </si>
  <si>
    <t xml:space="preserve">הצעת חוק התחשבנות בין בתי חולים לקופות חולים לשנים 2021 עד 2025 (התחשבנות בעד שירותי בריאות בבתי חולים ציבוריים כלליים) (תיקון - מועד התשלום לבית חולים ציבורי כללי עצמאי), התשפ"ד-2024</t>
  </si>
  <si>
    <t xml:space="preserve"> (פ/4754/25)</t>
  </si>
  <si>
    <t xml:space="preserve">הצעת חוק עיטור הפציעה הקרבית, התשפ"ד-2024 </t>
  </si>
  <si>
    <t xml:space="preserve"> (פ/4752/25)</t>
  </si>
  <si>
    <t xml:space="preserve">הצעת חוק העונשין (תיקון מס' 140 - הוראת שעה) (תיקון - הארכת תוקף ושינוי הוועדה המפקחת), התשפ"ד-2024</t>
  </si>
  <si>
    <t xml:space="preserve"> (פ/4751/25)</t>
  </si>
  <si>
    <t xml:space="preserve">הצעת חוק יום לציון אסון יהודי תימן (גירוש מוזע), התשפ"ד-2024</t>
  </si>
  <si>
    <t xml:space="preserve"> (פ/4750/25)</t>
  </si>
  <si>
    <t xml:space="preserve"> (פ/4748/25)</t>
  </si>
  <si>
    <t xml:space="preserve">הצעת חוק זכויות החולה (תיקון - קבלת חוות דעת נוספת על מצב רפואי), התשפ"ד-2024</t>
  </si>
  <si>
    <t xml:space="preserve"> (פ/4747/25)</t>
  </si>
  <si>
    <t xml:space="preserve">הצעת חוק הירושה (תיקון - זכאות מתמודד נפש לרשת), התשפ"ד-2024</t>
  </si>
  <si>
    <t xml:space="preserve"> (פ/4746/25)</t>
  </si>
  <si>
    <t xml:space="preserve">הצעת חוק הנצחת זכרם וגבורתם של נופלי ושורדי מלחמת עוטף ישראל, התשפ"ד-2024</t>
  </si>
  <si>
    <t xml:space="preserve"> (פ/4744/25)</t>
  </si>
  <si>
    <t xml:space="preserve">הצעת חוק להטמעת מורשת יהדות צפון אפריקה במערכת החינוך וההשכלה הגבוהה, התשפ"ד-2024</t>
  </si>
  <si>
    <t xml:space="preserve"> (פ/4743/25)</t>
  </si>
  <si>
    <t xml:space="preserve">הצעת חוק צער בעלי חיים (הגנה על בעלי חיים) (תיקון - המעמד המשפטי של בעל חיים כיצור חי בעל תחושות ורגשות), התשפ"ד-2024</t>
  </si>
  <si>
    <t xml:space="preserve"> (פ/4742/25)</t>
  </si>
  <si>
    <t xml:space="preserve">הצעת חוק התגמולים לנפגעי פעולות איבה (תיקון - קבורה בחלקה לבחירת המשפחה), התשפ"ד-2024</t>
  </si>
  <si>
    <t xml:space="preserve"> (פ/4741/25)</t>
  </si>
  <si>
    <t xml:space="preserve">הצעת חוק שוויון זכויות לאנשים עם מוגבלות (תיקון - הנפקת תעודות לבעלי מוגבלות בראיה), התשפ"ד-2024</t>
  </si>
  <si>
    <t xml:space="preserve"> (פ/4740/25)</t>
  </si>
  <si>
    <t xml:space="preserve"> (פ/4739/25)</t>
  </si>
  <si>
    <t xml:space="preserve">הצעת חוק הבנקאות (שירות ללקוח) (תיקון - סירוב בלתי סביר למתן שירות בנקאי בשל הטלת עיצומים מצד מדינה זרה), התשפ"ד-2024</t>
  </si>
  <si>
    <t xml:space="preserve"> (פ/4734/25)</t>
  </si>
  <si>
    <t xml:space="preserve">הצעת חוק הגבלת השימוש ורישום פעולות בחלקי רכב משומשים (מניעת גניבות) (תיקון - חובות החלות בעת רכישה או מכירה של רכב ניזוק), התשפ"ד-2024</t>
  </si>
  <si>
    <t xml:space="preserve"> (פ/4732/25)</t>
  </si>
  <si>
    <t xml:space="preserve">הצעת חוק הכשרות המשפטית והאפוטרופסות (תיקון - קבלת אישור מראש לביצוע עסקה), התשפ"ד-2024</t>
  </si>
  <si>
    <t xml:space="preserve"> (פ/4731/25)</t>
  </si>
  <si>
    <t xml:space="preserve">הצעת חוק התקשורת (בזק ושידורים) (תיקון - הקפאת שימוש במספר טלפון של חייל שנספה במערכה או אדם שנספה בפעולת איבה), התשפ"ד-2024</t>
  </si>
  <si>
    <t xml:space="preserve"> (פ/4730/25)</t>
  </si>
  <si>
    <t xml:space="preserve">הצעת חוק הסיוע המשפטי (תיקון - סיוע משפטי לנפגעי עבירות), התשפ"ג-2022</t>
  </si>
  <si>
    <t xml:space="preserve"> (פ/344/25)</t>
  </si>
  <si>
    <t xml:space="preserve">11.07.2024</t>
  </si>
  <si>
    <t xml:space="preserve">הצעת חוק פיקוח על מחירי מצרכים ושירותים (תיקון - פיקוח על מוצרי מזון בריא בסיסיים), התשפ"ד-2024 </t>
  </si>
  <si>
    <t xml:space="preserve"> (פ/4395/25)</t>
  </si>
  <si>
    <t xml:space="preserve">10.07.2024</t>
  </si>
  <si>
    <t xml:space="preserve">הצעת חוק חניה לנכים (תיקון - זכאות תג נכה לצמיתות), התשפ"ד-2024</t>
  </si>
  <si>
    <t xml:space="preserve"> (פ/4388/25)</t>
  </si>
  <si>
    <t xml:space="preserve"> (פ/4109/25)</t>
  </si>
  <si>
    <t xml:space="preserve">הצעת חוק פיקוח על מחירי מצרכים ושירותים (תיקון - פיקוח על מוצרי מזון בריא בסיסיים), התשפ"ג-2023 </t>
  </si>
  <si>
    <t xml:space="preserve"> (פ/1469/25)</t>
  </si>
  <si>
    <t xml:space="preserve">הצעת חוק זכויות הסטודנט (תיקון - התאמות לאוכלוסייה הערבית - חגים), התשפ"ג-2023</t>
  </si>
  <si>
    <t xml:space="preserve"> (פ/1267/25)</t>
  </si>
  <si>
    <t xml:space="preserve">הצעת חוק התכנון והבנייה (תיקון - ביטול התניית חיבור לחשמל, מים וטלפון באישור תאגיד המים), התשפ"ג-2022</t>
  </si>
  <si>
    <t xml:space="preserve"> (פ/555/25)</t>
  </si>
  <si>
    <t xml:space="preserve">הצעת חוק עבודת נשים (תיקון - תקופת לידה והורות להורה יחיד), התשפ"ג-2022</t>
  </si>
  <si>
    <t xml:space="preserve"> (פ/541/25)</t>
  </si>
  <si>
    <t xml:space="preserve">הצעת חוק הסדרים במשק המדינה (תיקוני חקיקה להשגת יעדי התקציב) (תיקון - חישוב עליית מחירי הארנונה), התשפ"ג-2023</t>
  </si>
  <si>
    <t xml:space="preserve"> (פ/1928/25)</t>
  </si>
  <si>
    <t xml:space="preserve">09.07.2024</t>
  </si>
  <si>
    <t xml:space="preserve">הצעת חוק לתיקון פקודת החסינות וזכויות-היתר של האומות המאוחדות (ביטול החסינויות וזכויות-היתר של סוכנות הסעד והתעסוקה של האו"ם לפליטי פלסטין במזרח הקרוב (אונר"א)), התשפ"ד-2024</t>
  </si>
  <si>
    <t xml:space="preserve"> (פ/4333/25)</t>
  </si>
  <si>
    <t xml:space="preserve">הצעת חוק-יסוד: ירושלים בירת ישראל (תיקון - איסור על פתיחת נציגות דיפלומטית זרה)</t>
  </si>
  <si>
    <t xml:space="preserve"> (פ/3570/25)</t>
  </si>
  <si>
    <t xml:space="preserve">הצעת חוק שוויון ההזדמנויות בעבודה (תיקון - הארכת תקופת ההתיישנות), התשפ"ג-2023</t>
  </si>
  <si>
    <t xml:space="preserve"> (פ/3600/25)</t>
  </si>
  <si>
    <t xml:space="preserve">08.07.2024</t>
  </si>
  <si>
    <t xml:space="preserve"> (פ/1431/25)</t>
  </si>
  <si>
    <t xml:space="preserve">פרק ז' (רכבת תחתית (מטרו) – רכיב למימון) מתוך הצעת חוק ההתייעלות הכלכלית (תיקוני חקיקה להשגת יעדי התקציב לשנות התקציב 2023 ו-2024), התשפ"ג-2023 [פוצלה לפי סעיף 84(ב) לתקנון]</t>
  </si>
  <si>
    <t xml:space="preserve"> (פ/4727/25)</t>
  </si>
  <si>
    <t xml:space="preserve">הצעת חוק המועצה לענף הלול (ייצור ושיווק) (תיקון - סימון ביצים), התשפ"ד-2024</t>
  </si>
  <si>
    <t xml:space="preserve"> (פ/4725/25)</t>
  </si>
  <si>
    <t xml:space="preserve">הצעת חוק שירות המדינה (מינויים) (תיקון - מינוי נציב שירות המדינה ומינויים באמצעות ועדת איתור), התשפ"ד-2024</t>
  </si>
  <si>
    <t xml:space="preserve"> (פ/4724/25)</t>
  </si>
  <si>
    <t xml:space="preserve">הצעת חוק העונשין (תיקון - חיוב בהוצאות משפט שהוציא נפגע העבירה), התשפ"ד-2024</t>
  </si>
  <si>
    <t xml:space="preserve"> (פ/4721/25)</t>
  </si>
  <si>
    <t xml:space="preserve">הצעת חוק מועדי כינוס הכנסת בתקופת מלחמת חרבות ברזל וביטול הפגרה (הוראת שעה), התשפ"ד-2024 </t>
  </si>
  <si>
    <t xml:space="preserve"> (פ/4718/25)</t>
  </si>
  <si>
    <t xml:space="preserve">הצעת חוק הכנסת (תיקון - כינוס הכנסת בעת מצב מיוחד בעורף או מצב מלחמה), התשפ"ד-2024</t>
  </si>
  <si>
    <t xml:space="preserve"> (פ/4717/25)</t>
  </si>
  <si>
    <t xml:space="preserve">הצעת חוק לתיקון פקודת התעבורה (סימון אחיד להסדרי חניה), התשפ"ד-2024</t>
  </si>
  <si>
    <t xml:space="preserve"> (פ/4716/25)</t>
  </si>
  <si>
    <t xml:space="preserve">הצעת חוק דמי הבראה, התשפ"ד-2024</t>
  </si>
  <si>
    <t xml:space="preserve"> (פ/4715/25)</t>
  </si>
  <si>
    <t xml:space="preserve">הצעת חוק המכר (דירות) (תיקון - חובת מסירת תוכניות הדירה לקונה), התשפ"ד-2024</t>
  </si>
  <si>
    <t xml:space="preserve"> (פ/4714/25)</t>
  </si>
  <si>
    <t xml:space="preserve"> (פ/4713/25)</t>
  </si>
  <si>
    <t xml:space="preserve"> (פ/4712/25)</t>
  </si>
  <si>
    <t xml:space="preserve">חוק הירושה (תיקון מס' 21), התשפ"ד–2024</t>
  </si>
  <si>
    <t xml:space="preserve"> (פ/514/25)</t>
  </si>
  <si>
    <t xml:space="preserve">03.07.2024</t>
  </si>
  <si>
    <t xml:space="preserve">בתיקון החוק נקבע כי די יהיה בכך שבית המשפט יקבע, בהליך אזרחי ועל פי כללי המשפט האזרחי, כי אדם גרם, בכוונה או באדישות, למותו של המוריש, כדי שהוא יהיה פסול לרשת אותו ולא רק אם הוא הורשע בהמתה בדין פלילי כפי שהיה עד לתיקון. אולם, ההרחבה האמורה לא תחול על יורש שיוכיח, ברמת ההוכחה הנדרשת במשפט אזרחי, כי מתקיימות נסיבות של סייג לפליליות המעשה. נקבע כי לבית המשפט יש שיקול דעת לקבוע, מנימוקים מיוחדים שיירשמו, כי מי שגרם למותו של המוריש לא ייפסל מלרשת אותו או ייפסל רק חלקית מלרשת אותו, בהתחשב בנסיבות ההמתה או ההרשעה, אם שוכנע כי זה היה רצון המוריש. בנוסף, הצעת החוק קובעת הסדרים הנוגעים לחליפים של אותם יורשים שנפסלו מלרשת. לגבי ילדיו של יורש שפסול לרשת, שהוא ילדו או צאצא ילדו של המוריש נקבע כי ברירת המחדל היא שילדים אלה יורשים את המוריש במקום ההורה שנפסל לרשת. ואולם, בית המשפט מוסמך לקבוע כי הילדים האמורים לא ירשו במקום ההורה, אם שוכנע כי זהו רצון המוריש. לגבי ילדיו של יורש שפסול לרשת שהוא קרובו של המוריש אך אינו ילדו או צאצא ילדו נקבע כי ברירת מחדל תהיה הפוכה, כלומר ילדים אלה לא ירשו את המוריש במקום ההורה שנפסל לרשת. גם במקרה זה בית המשפט מוסמך לקבוע כי הילדים האמורים כן ירשו במקום ההורה, אם שוכנע כי זהו רצון המוריש.</t>
  </si>
  <si>
    <t xml:space="preserve">חוק לדחיית הבחירות הכלליות לרשויות המקומיות (תיקון מס' 2), התשפ"ד-2024</t>
  </si>
  <si>
    <t xml:space="preserve"> (מ/1759)</t>
  </si>
  <si>
    <t xml:space="preserve">נקבע שאוצר המדינה ישפה סיעה, מועמד או רשימה שהתמודדו בבחירות האחרונות לרשויות המקומיות ובהם לא התרחשו לבסוף בחירות, בסכום השווה להוצאות הבחירות שהוציאו בפועל וכדין, ובלבד שהסכום לא יעלה על 75% מסכום המימון הכולל ברשות, בניכוי מקדמות שהתקבלו. עלה הסכום הכולל לתשלום לכלל המועמדים על 115% מסכום המימון לכלל הרשויות המקומיות הרלוונטיות, יופחתו סכומי התשלום אותם יקבלו המועמדים בשיעור שווה. התשלום יותנה בהגשת בקשה תוך 30 ימים לשר הפנים והגשת דוח כספי למבקר המדינה. בנוסף מוצע שתותר תרומה נוספת מאדם, אף אם תרם את התרומה המירבית לטובת הבחירות שלא התקיימו.</t>
  </si>
  <si>
    <t xml:space="preserve">חוק הכנסת (תיקון מס' 52), התשפ"ד–2024</t>
  </si>
  <si>
    <t xml:space="preserve"> (כ/1021)</t>
  </si>
  <si>
    <t xml:space="preserve">תיקון מס' 52 לחוק הכנסת מסדיר את הליך הערעור על החלטה של ועדת הכנסת שלפיה חבר הכנסת פרש מסיעתו. לפי התיקון, חבר הכנסת שהוגדר כפורש וסיעתו יהיו רשאים לערער לבית המשפט העליון (ולא המחוזי כקבוע היום). כמו כן נקצבו זמנים להליך: הערעור יוגש בתוך 14 ימים מיום ההחלטה, ופסק הדין יינתן בהקדם האפשרי ולא יאוחר מ-30 ימים מיום הגשת הערעור.</t>
  </si>
  <si>
    <t xml:space="preserve">חוק העונשין (תיקון מס' 143 והוראת שעה) (תיקון), התשפ"ד–2024</t>
  </si>
  <si>
    <t xml:space="preserve"> (פ/4062/25)</t>
  </si>
  <si>
    <t xml:space="preserve"> (כ/1028)</t>
  </si>
  <si>
    <t xml:space="preserve">תיקון החוק קובע הוראת שעה, עד ל-5 ביולי 2028, לפיה בחוק העונשין נקבעו עונשי מינימום בגין פגיעה בקטינים ובחסרי ישע בידי האחראים עליהם במסגרת חינוכית או טיפולית, שאינם בני משפחתם. כך, נקבע שככלל, על בית המשפט להטיל עליהם עונש מאסר בפועל, בגין עבירת חבלה של ממש או חבלה חמורה, ועונש מינימום של חמישית מהעונש המרבי בגין עבירה של התעללות. </t>
  </si>
  <si>
    <t xml:space="preserve">חוק הגנת הסביבה (ייעול הליכי רישוי סביבתי) (תיקוני חקיקה), התשפ"ד-2024</t>
  </si>
  <si>
    <t xml:space="preserve">מטרת החוק להביא לרפורמה כוללת במשטר הרישוי הנוהג של מפעלים ועסקים שהם בעלי פוטנציאל לגרימת מפגעים וסיכונים לבריאות הציבור ולסביבה , זאת באמצעות תיקון מקיף לחוק אויר נקי התשס"ח - 2008 ולחוק החמרים המסוכנים התשנ"ג - 1993 החוק קובע הסדר לקבלת היתר אחוד לפיו יידרשו מפעלים או עסקים להחזיק באחד מתוך שני היתרים, לפי סוג  הפעילות המבוצעת בהם – היתר פליטה אחוד מכוח חוק אוויר נקי או היתר רעלים אחוד מכוח חוק החמרים המסוכנים. ההיתר האחוד יחליף את הצורך בקבלת כמה סוגי היתרים כפי שנדרש במצב הקיים ערב חקיקת החוק, והוא יכלול  תנאים המסדירים את כלל ההשפעות של העיסוק טעון ההיתר על בריאות הציבור והסביבה בהיבטים של צמצום פליטות וזיהום לאוויר, לקרקע ולמים, להגנה על בריאות הציבור ולמניעת מפגעים ומטרדים לסביבה. קביעת התנאים בהיתרים תיעשה מתוך בחינת מכלול ההשפעות הסביבתיות של העיסוק ותוך איזון ביניהן. עיקרון מרכזי נוסף בחוק קובע כי הליכי הרישוי ובכללם אופן הגשת הבקשה להיתר והתנאים שיקבעו בו, וכן תקנות שייקבעו מכוח החוק  ייעשו ככלל  בהתאם לאסדרה המקובלת באיחוד האירופי,  ולסטנדרטים המקובלים הקבועים בה, זאת בהתאם להנחיות שיפרסם בעניין המשרד להגנת הסביבה..  לעניין תיקון חוק החמרים המסוכנים כולל החוק גם תיקונים משמעותיים להוראות החוק הקיים שהיה צורך בעדכונן. בנוסף, במסגרת תיקון זה  סווגו מחדש סוגי הפעילויות שטעונות היתר רעלים לפי החוק, גם כן בהתאם לאסדרה האירופית, כך שנקבעו בו שני סוגי היתרי רעלים (היתר רעלים א' ו-ב') וכן נקבע פטור מהיתר לחלק מהפעילויות הטעונות היתר כיום. עוד נקבע כי תוקף היתרי הרעלים יוארך משמעותית ויעמוד על עשר שנים. עוד נקבעו בחוק הוראות מעבר, לפיהן תיושם הרפורמה באופן הדרגתי עד להחלתה על כלל סוגי העיסוקים המוסדרים בחוק. </t>
  </si>
  <si>
    <t xml:space="preserve">הצעת חוק חיילים משוחררים (החזרה לעבודה) (תיקון - הרחבת תקופת הגנה מפני פיטורים למשרתים במילואים), התשפ"ד-2024</t>
  </si>
  <si>
    <t xml:space="preserve"> (פ/4339/25)</t>
  </si>
  <si>
    <t xml:space="preserve"> (פ/4261/25)</t>
  </si>
  <si>
    <t xml:space="preserve"> (פ/4114/25)</t>
  </si>
  <si>
    <t xml:space="preserve"> (פ/4105/25)</t>
  </si>
  <si>
    <t xml:space="preserve">הצעת חוק החברות (תיקון - מכסות ייצוג לנשים בדירקטוריונים של חברות ציבוריות), התשפ"ג-2023</t>
  </si>
  <si>
    <t xml:space="preserve"> (פ/3833/25)</t>
  </si>
  <si>
    <t xml:space="preserve"> (פ/3369/25)</t>
  </si>
  <si>
    <t xml:space="preserve">הצעת חוק העונשין (תיקון מס' 148) (תחולת הדין הישראלי על עבירת חוץ שנעברה בידי אזרח ישראלי או תושב ישראל), התשפ"ג-2022 </t>
  </si>
  <si>
    <t xml:space="preserve"> (מ/1583)</t>
  </si>
  <si>
    <t xml:space="preserve">02.07.2024</t>
  </si>
  <si>
    <t xml:space="preserve">הצעת חוק העסקת עובדים על ידי קבלני כוח אדם (תיקון - קבלן שירות בתחום הסיעוד), התשפ"ד-2024</t>
  </si>
  <si>
    <t xml:space="preserve"> (פ/4407/25)</t>
  </si>
  <si>
    <t xml:space="preserve">הצעת חוק עובדים זרים (תיקון - אי־תחולת הסדר פנסיוני על עובד זר המועסק אצל יחיד בענף הסיעוד), התשפ"ג-2023</t>
  </si>
  <si>
    <t xml:space="preserve"> (פ/3818/25)</t>
  </si>
  <si>
    <t xml:space="preserve"> (פ/3579/25)</t>
  </si>
  <si>
    <t xml:space="preserve">הצעת חוק עובדים זרים (תיקון - אי-תחולת הסדר פנסיוני על עובד זר המועסק אצל יחיד בענף הסיעוד), התשפ"ג-2023</t>
  </si>
  <si>
    <t xml:space="preserve"> (פ/3038/25)</t>
  </si>
  <si>
    <t xml:space="preserve">הצעת חוק עובדים זרים (תיקון - אי-תחולת הסדר פנסיוני על עובד זר המועסק אצל יחיד בענף הסיעוד), התשפ"ג-2022</t>
  </si>
  <si>
    <t xml:space="preserve"> (פ/749/25)</t>
  </si>
  <si>
    <t xml:space="preserve">הצעת חוק העונשין (תיקון מס' 146) (תקיפת עובד ציבור שהוא מטפל או ממלא תפקיד בארגון חירום והצלה טרום אשפוז או בחדר מיון), התשפ"ב-2022</t>
  </si>
  <si>
    <t xml:space="preserve"> (מ/1573)</t>
  </si>
  <si>
    <t xml:space="preserve">[מובילה במיזוג] [הוחל דין רציפות]</t>
  </si>
  <si>
    <t xml:space="preserve">הצעת חוק נציב תלונות הציבור על רבנים, התשפ"ד-2024 </t>
  </si>
  <si>
    <t xml:space="preserve"> (פ/4541/25)</t>
  </si>
  <si>
    <t xml:space="preserve">חוק יום לציון אירועי הפרהוד, התשפ"ד–2024</t>
  </si>
  <si>
    <t xml:space="preserve"> (פ/312/25)</t>
  </si>
  <si>
    <t xml:space="preserve"> (כ/1014)</t>
  </si>
  <si>
    <t xml:space="preserve">נקבע בחוק יום לציון אירועי הפרהוד, הפרעות שהתחוללו ביהודי בגדד בחג השבועות של שנת 1941, אשר יחול מדי שנה ביום החול הראשון שלאחר חג השבועות ואסרו חג. יום זה יצויין בטקס מרכזי לפי החלטת השר לשוויון חברתי וקידום מעמד האישה ובהתייעצות עם שר המורשת, בדיון מיוחד במליאת הכנסת וכן במוסדות החינוך ככל שיחליט על כך שר החינוך.</t>
  </si>
  <si>
    <t xml:space="preserve">חוק התקשורת (בזק ושידורים) (תיקון מס' 78), התשפ"ד–2024</t>
  </si>
  <si>
    <t xml:space="preserve"> (פ/2994/25)</t>
  </si>
  <si>
    <t xml:space="preserve"> (כ/1017)</t>
  </si>
  <si>
    <t xml:space="preserve">נקבע כי בעל דירה יהיה רשאי להתקין במקום סביר בגג הבית המשותף שהוא רכוש משותף מתקן של חובב רדיו, בתנאים המנוים בהצעת החוק ובתנאי שלא הובעה התנגדות בכתב מצד רוב הדיירים בבית המשותף להתקנה או בתנאי שהמפקח לא אסר את ההתקנה לאחר בחינת פנייה של אחד מדיירי הבניין. בהתאם לכך נקבע כי ההתקנה והתחזוקה תהיה על חשבונו של הדייר המתקין ויהיה עליו להסיר את המיתקן  בנסיבות הקבועות בחוק.  </t>
  </si>
  <si>
    <t xml:space="preserve">חוק הרשויות המקומיות (ריבית והפרשי הצמדה על תשלומי חובה) (תיקון מס' 3), התשפ"ד–2024</t>
  </si>
  <si>
    <t xml:space="preserve"> (פ/3614/25)</t>
  </si>
  <si>
    <t xml:space="preserve"> (כ/1007)</t>
  </si>
  <si>
    <t xml:space="preserve">נקבע שבמקרה בו אדם הודיע לרשות המקומית כי חדל להיות מחזיק או בעלים בנכס ונגבו ממנו שיעורי תשלומי חובה עודפים, העירייה תשיב את תשלום היתר ששולם באופן יזום לאדם בתוך 30 ימים ממסירת ההודעה. בנוסף נקבע כי 10 ימים לאחר מסירת ההודעה על העזיבה, יראו בה כהודאה בכתב לפי הכתוב בסעיף 6(א), ההוראה לא תחול אם הרשות ביקשה ממוסר ההודעה פרטים לגבי אופן ההשבה והוא לא מסר לרשות פרטים כאמור, אלא אם פרטי המבקש ידועים לרשות.</t>
  </si>
  <si>
    <t xml:space="preserve">חוק קידום התחרות בענף המזון (תיקון מס' 8 והוראת שעה), התשפ"ד–2024</t>
  </si>
  <si>
    <t xml:space="preserve"> (פ/2592/25)</t>
  </si>
  <si>
    <t xml:space="preserve"> (כ/992)</t>
  </si>
  <si>
    <t xml:space="preserve">01.07.2024</t>
  </si>
  <si>
    <t xml:space="preserve">חוק קידום התחרות בענף המזון (להלן – החוק העיקרי) קובע הוראות לעניין התנהגויות שעלולות לפגוע בתחרות ולהביא לעליית מחירים לגבי כל אחד משלושת יחסי הכוחות העיקריים בתחום שיווק מוצרי מזון: קמעונאי–ספק, קמעונאי–קמעונאי וקמעונאי–צרכן. לעניין זה, קמעונאי מוגדר בחוק כאדם המחזיק בחנות וכן כל אדם הקשור אליו, ואילו ספק מוגדר בחוק כמי שמספק לקמעונאי, או באמצעות קמעונאי, במישרין או באמצעות מפיץ, מצרכים, ובכלל זה מצרכי מותג פרטי וכן כל אדם קשור לאלה. פרק ב' לחוק, שעניינו הסדרת פעילות ספקים וקמעונאים, חל היום רק על רשתות שיווק מזון, וקובע בין השאר חובות מוגברות שיחולו על קמעונאים גדולים ועל ספקים גדולים, המוגדרים בחוק על פי היקף המכירות שלהם (נכון לשנת 2024, מחזור מכירות של כ-333 מיליון שקלים חדשים לספק גדול, ומחזור מכירות של כ-277 מיליון שקלים חדשים לקמעונאי גדול). בפרק זה שני חלקים:  סימן א' שקובע איסורים והגבלות החלים לעניין יחסי קמעונאי–ספק, ובהם איסור על ספקים וקמעונאים להתערב זה אצל זה לעניין ההסדרים של הקמעונאי עם ספק אחר או של הספק עם קמעונאי אחר, איסור על ספקים גדולים להתערב בסידור מצרכים בחנויות של קמעונאים גדולים ואיסורים לעניין תימחור ומתן הנחות;  סימן ב' מסדיר את התחרות הגאוגרפית בין קמעונאים גדולים, ובעיקר קביעת החובה של קמעונאי גדול, בתנאים מסוימים כמפורט בחוק, לפנות לממונה על התחרות אם הוא מעוניין לפתוח חנות חדשה באזור שהוא כבר פועל בו. בשל מספרם המצומצם של קמעונאי הפארם ובהתחשב בכך שלא מתקיימת תחרות מלאה בענף זה, נקבע בחוק קידום התחרות בענף המזון (תיקון מס' 8 והוראת שעה), התשפ"ד–2024 (להלן – תיקון מס' 8) כי הוראות פרק ב' לחוק העיקרי יחולו גם על רשתות הפארם הגדולות. בהתאם לכך, בתיקון מס' 8 נקבע כי "חנות פארם" תוגדר כחנות שבה נמכרים דרך קבע מוצרי טואלטיקה, תמרוקים ועוד, ואשר יותר מרבע ממחזור המכירות בה הוא ממכירת אותם מוצרים. כמו כן, נקבע כי "קמעונאי פארם גדול" יוגדר כקמעונאי פארם שמחזור המכירות שלו בחנויות הפארם שלו עולה על סכום העומד היום על כ-277 מיליון שקלים חדשים, שהוא כאמור הסכום הקבוע היום לגבי רשתות המזון הגדולות. בנוסף נקבע כי בעקבות החלת פרק ב' על ענף הפארם, ישונה שם החוק העיקרי ל"חוק לקידום התחרות בענפי המזון והפארם". בהתאם לתיקון, האיסורים וההגבלות הקבועים בסימן א' לפרק ב' יחולו, בשינויים המחויבים, גם על חנות פארם, על מצרך פארם, על קמעונאי פארם גדול ועל ספק גדול בעת התקשרות עם קמעונאי פארם גדול.  כלומר, כל אותם איסורים אשר חלים על רשתות המזון, יחולו גם על רשתות הפארם הגדולות. ביחס לסימן ב' לפרק ב', שכאמור עוסק בהסדרת התחרות הגאוגרפית בין קמעונאים גדולים, הוראות הסימן לא הוחלו כפי שהן על ענף הפארם, ובמקומן נקבעו הוראות חדשות ביחס לפתיחת חנות פארם נוספת על ידי קמעונאי פארם גדול, אם זו ממוקמת במרכז מסחרי. ההוראות כאמור נקבעו רק ביחס לפתיחת חנות פארם נוספת במרכז מסחרי, לרבות קניון, שסך שטחי המסחר שבו עולה על 3,000 מ"ר. חנות תיחשב כ"חנות נוספת" אם לקמעונאי פארם הגדול יש חנות פארם במרחק מסוים מאותו מרכז מסחרי שבו הוא מבקש לפתוח את חנות הפארם.  עוד נקבע כי לעניין רשות מקומית גדולה, שתוגדר כרשות מקומית שמספר תושביה הרשומים במרשם האוכלוסין עולה על 200 אלף, המרחק בין החנות הקיימת למרכז המסחרי שבו קמעונאי פארם גדול מבקש לפתוח חנות פארם נוספת יעמוד על עד קילומטר, ואילו לעניין רשות מקומית קטנה, שהיא רשות מקומית שאינה רשות מקומית גדולה כאמור, המרחק בין החנות הקיימת למרכז המסחרי שבו קמעונאי כאמור מבקש לפתוח חנות פארם נוספת יעמוד על עד שני קילומטרים.  החובה שתוטל על קמעונאי פארם גדול שמתקיימים בו התנאים לעיל היא לערוך "הערכה עצמית" ביחס לאפשרות שפתיחת חנות הפארם במרכז המסחרי תגרום לפגיעה בתחרות, ורק אם אין חשש כאמור הוא יכול לפתוח את החנות. כלומר, קמעונאי הפארם יידרש לערוך בעצמו את כל הבדיקות הכלכליות והמשפטיות כדי לוודא כי פתיחת חנות לא תביא לחשש לפגיעה בתחרות. עם זאת, מכיוון שמדובר בהוראה חדשה, וכדי להגדיל את הוודאות בקרב קמעונאי הפארם, ההסדר כאמור נקבע בהוראת שעה שלפיה בתקופה של חמש שנים מיום פרסום תיקון מס' 8, קמעונאי פארם גדול המבקש לפתוח חנות כאמור יהיה חייב לפנות לממונה על התחרות בבקשה לקבל אישור לפתיחת החנות. הממונה יהיה רשאי להתנגד לבקשה לפתיחת חנות או להתנות אותה בתנאים, אם לדעתו קיים חשש סביר כי פתיחת החנות תגרום לפגיעה בתחרות. כחצי שנה לפני תום הוראת השעה, רשות התחרות תידרש לפרסם "גילוי דעת" לעניין יישום האיסור שיחול על קמעונאי פארם גדול לערוך את אותה הערכה עצמית. </t>
  </si>
  <si>
    <t xml:space="preserve">חוק להגנה על הצרכן מפני עוסקים המבצעים הפרות בנסיבות מחמירות (תיקוני חקיקה), התשפ"ד-2024</t>
  </si>
  <si>
    <t xml:space="preserve"> (מ/1733)</t>
  </si>
  <si>
    <t xml:space="preserve">החוק מבקש לחזק את הכלים במאבק של עוקץ ועושק של קשישים וצרכנים נוספים הנמצאים בעמדת חולשה משמעותית במיוחד זאת אל מול עוסקים שעמם הם מבקשים להתקשר. החוק מרחיב ומבסס את ההגנה על צרכנים כאמור וזאת באמצעות תיקון של שלושה חוקים – חוק הגנת הצרכן, התשמ"א–1981 (להלן – חוק הגנת הצרכן), חוק שירותי תשלום, התשע"ט–2019 (להלן – חוק שירותי תשלום) וחוק ההוצאה לפועל, התשכ"ז–1967 (להלן – חוק ההוצאה לפועל). חוק הגנת הצרכן קובע כי הממונה להגנת הצרכן ולסחר הוגן (להלן – הממונה) רשאי להסמיך מפקחים מבין עובדי הרשות להגנת הצרכן ולסחר הוגן או עובדי משרד הכלכלה, באישור שר הכלכלה והתעשייה, שיהיו אמונים על אכיפת הוראות חוק הגנת הצרכן. ערב כניסתו לתוקף של החוק, לממונה ולמפקחים לא הייתה, בין כלל הסמכויות המוקנות להם לשם אכיפת הוראות חוק הגנת הצרכן, סמכות חדירה לחומר מחשב. העדר סמכות כאמור פוגעת במקרים רבים בקידום החקירה הפלילית ומונעת ממפקחי הרשות לתפוס ראיות אשר נדרשות לביסוס ולהוכחת העבירה, וזאת בשל העובדה שרובם המוחלט של העוסקים שומרים את התיעוד וההתנהלות העסקית שלהם על גבי המחשב. בהתאם לכך, החוק תיקן את חוק הגנת הצרכן וקבע כי אם היה לממונה או למפקח שהוסמך כאמור חשד סביר כי עוסק עבר עבירה בנסיבות מחמירות, רשאי מי מהם לבקש מבית המשפט צו חדירה לחומר מחשב וכן הפקת פלט תוך חדירה כאמור. החוק מקנה לממונה סמכות לקבוע כי עוסק הוא מפר בנסיבות מחמירות, זאת לשם החלת הגבלות על עוסק כאמור לפי התיקונים שנעשו בחוק שירותי תשלום ובחוק ההוצאה לפועל. יש לציין כי הפרה בנסיבות מחמירות יכולה להיות הפרה הנעשית תוך שימוש חוזר ונשנה של התנהגות כלפי צרכן שהוא אדם בעל מאפיינים מיוחדים, כלומר כלפיי אדם עם מוגבלות, אזרח ותיק, עולה חדש, קטין, חסר ישע או אדם שאינו מבין את השפה בה נקשרת העסקה במידה מספקת לשם הבנת העסקה. החוק מסמיך את שר הכלכלה והתעשייה, באישור ועדת הכלכלה של הכנסת, לקבוע צרכנים נוספים שייחשבו כאנשים עם מאפיינים מיוחדים לצורך החוק. כמו כן, הפרה בנסיבות מחמירות יכולה להיות הפרה שנעשית תוך כדי איום או נקיטת אמצעי הפחדה כלשהו כלפי צרכן או כלפי בני משפחתו, או ביצוע הפרה הגורמת נזק משמעותי למספר רב של צרכנים.  החוק מסדיר את השלבים לקביעה כי עוסק הוא מפר בנסיבות מחמירות. ראשית בטרם יקבע הממונה כי עוסק ביצע הפרה בנסיבות מחמירות, ימסור הממונה לעוסק הודעה על כוונתו לקבוע כי הוא עוסק מפר כאמור. בהודעה יציין הממונה, בין השאר, את המעשה או המחדל המהווים את ההפרה, ההגבלות שיחולו על העוסק אם יקבע כי הוא אכן עוסק מפר בנסיבות מחמירות ואת זכותו של עוסק לטעון את טענותיו בפני הממונה. העתק מההודעה כאמור יועבר לנותן שירותי תשלום ולמנהל מערכת ההוצאה לפועל. משמעות ההודעה לנותן שירותי תשלום היא שנותן שירותי תשלום כאמור יפסיק לבצע סליקה עבור עוסק שהממונה מסר לו הודעה על הכוונה לקבוע כי הוא עוסק מפר בנסיבות מחמירות, כלומר מתבצעת הקפאה של כספים שצרכנים שילמו אך הם טרם הועברו לעוסק. אם ייקבע באופן סופי, לאחר שימוע, כי העוסק הוא עוסק מפר בנסיבות מחמירות, כספים אלו יוחזרו לצרכנים. משמעות ההודעה למנהל מערכת ההוצאה לפועל היא שמנהל המערכת יעכב הליכים וכספים בתיקים שבהם העוסק שלגביו נמסרה הודעת הכוונה, הוא הזוכה. שנית, במהלך 14 הימים שלאחר משלוח הודעת הכוונה או 21 ימים לאחריה, במקרה של הארכה תינתן לעוסק הזדמנות, לטעון את טענותיו בפני הממונה. אם טען העוסק את טענותיו כאמור, יחליט הממונה, בתוך 14 ימים או 21 ימים במקרה של הארכה, מתום תקופת השימוע או מהיום שבו התקבלו טענות העוסק, לפי המוקדם, אם לקבוע כי עוסק הוא מפר בנסיבות מחמירות ואם לאו. אף על פי כן, הממונה יוכל לתת את החלטתו בדבר קביעה כאמור בתוך תקופה ארוכה יותר של 45 ימים מתום תקופת השימוע או מהיום שבו התקבלו טענות העוסק, לפי המוקדם, אך תקופת הקפאת הכספים לא תעלה על אותם  21 יום. יש לציין כי אם עוסק לא טען את טענותיו בתקופה של 14 ימים, או במקרה של הארכה בתוך תקופה של 21 ימים מיום מסירת הודעת הכוונה – ייקבע הממונה כי הועסק הוא עוסק מפר בנסיבות מחמירות.  בשלב השלישי, אם החליט הממונה לקבוע כי עוסק הוא עוסק מפר בנסיבות מחמירות או אם החליט שלא לקבוע כי עוסק הוא עוסק מפר בנסיבות מחמירות – ימסור הממונה הודעה על החלטתו לעוסק, לנותן שירותי תשלום ולמנהל מערכת ההוצאה לפועל. מעבר לסמכויות המוקנות לממונה לקבוע כי עוסק הוא עוסק מפר בנסיבות מחמירות עוד נקבע כי הממונה יוסמך לקבוע כי גם עוסק שהוא בעל זיקה לעוסק שנקבע כי הוא עוסק מפר בנסיבות מחמירות, הוא עוסק מפר בנסיבות מחמירות בעצמו, בהתקיים אחת משתי חלופות: הראשונה, העברת הפעילות העסקית של העוסק המפר הראשון לבעל הזיקה והשנייה - זיהוי דפוס התנהגות דומה לזה של המפר בנסיבות מחמירות אצל בעל הזיקה. הזיקה בין שני העוסקים יכולה להתבטא ביחסי שליטה הקיימים בין העוסקים, יחסי קרבת משפחה ועוד. הקביעה לגבי עוסק בעל זיקה תתבצע רק על ידי הממונה ורק בהתאם לנהלים שיורה עליהם הממונה. נהלים כאמור יאושרו על ידי היועץ המשפטי לממשלה ויפורסמו באתר האינטרנט של הרשות.   עוד נקבע, וזאת לאור המודל התקדימי שאומץ בחוק לעניין הסמכויות שהוקנו לממונה, נוספה חובת דיווח לוועדת הכלכלה, שלפיה הממונה ידווח לוועדה על הודעות הקביעה שמסר לעוסקים, ובפרט על הודעות שנמסרו לבעל זיקה לעוסק מפר, וכן על קשיים ביישום הוראות החוק, ככל שיהיו, כל זאת בהתאם להוראות החוק.  </t>
  </si>
  <si>
    <t xml:space="preserve">חוק הרשות לחקירה בטיחותית בתעופה, התשפ"ד-2024</t>
  </si>
  <si>
    <t xml:space="preserve"> (מ/1630)</t>
  </si>
  <si>
    <t xml:space="preserve">חוק הרשות לחקירה בטיחותית בתעופה, התשפ"ד–2024 (להלן – החוק) מקים רשות ממשלתית לחקירה בטיחותית בתעופה שמחליפה את משרד "החוקר הראשי" במשרד התחבורה והבטיחות בדרכים, ובכך מתאים את הדין הישראלי למחויבויותיה הבין-לאומיות של מדינת ישראל לנספח 13 ל"אמנת שיקגו" ולהסכם "השמיים הפתוחים". הרשות החדשה תוקם במסגרת משרד התחבורה והבטיחות בדרכים, ותהיה אמונה על ביצוען של חקירות הנוגעות לאירועים בטיחותיים בתחום התעופה. יצוין כי מטרתה של חקירה בטיחותית בתעופה אינה למצוא או להצביע על אשמים, אלא לשפר את בטיחות התעופה, והכל בהתאם להוראות שנקבעו באמנות בין-לאומיות בעניין. פרק ז' לחוק הטיס, התשע"א–2011 (להלן – חוק הטיס), כנוסחו טרם התיקון, הסדיר את ביצוען של חקירות בטיחותיות בתחום התעופה ואת מעמדו של החוקר הראשי שהיה הממונה על ביצוע חקירות בטיחותיות בתעופה בישראל טרם התיקון. הוראות פרק ז' מבוססות על הוראות נספח 13 ל"אמנת שיקגו" – אמנת התעופה האזרחית הבין-לאומית מ-1944, שבה חברה מדינת ישראל. נספח 13 לאמנה קובע הסדרים לעניין החובה של כל מדינה החברה באמנה לבצע חקירות בטיחותיות של תאונות ותקריות חמורות של כלי טיס בתעופה האזרחית. בנוסף, ישראל חתמה על "הסכם השמיים הפתוחים" עם האיחוד האירופי, ובמסגרתו מחויבת ישראל לעמוד בסטנדרטים הקבועים בחקיקה האירופאית בעניין חקירה של תאונות ותקריות בתעופה האזרחית, המבוססים גם הם על הוראות נספח 13. אולם, בביקורת שערך ארגון התעופה האזרחית הבין-לאומי (ICAO) בשנת 2016, נמצא כי ההסדר הקיים בישראל לוקה בחסר ואינו עומד במלוא תנאי הנספח. בביקורת זו נמצא כי על ישראל להקים רשות עצמאית לחקירה בטיחותית בתעופה, ולא להסתפק בהסדרה הקיימת בחוק הטיס לעניין החוקר הראשי; וכן נמצא כי חלק מההסדרים שאותם מחויבת ישראל ליישם בהתאם לנספח 13 לוקים בחסר או כלל אינם קיימים.  כחלק מיישום מסקנות הביקורת, הוקמה מכוח החוק רשות עצמאית לחקירה בטיחותית בתעופה. נקבע כי הרשות החדשה תהיה אמונה על ביצוען של חקירות הנוגעות לאירועים בטיחותיים בתחום התעופה – תאונות טיס, תקריות שכמעט והביאו לתאונות טיס, ותקריות שהיה בהן כדי להשפיע על בטיחות הפעלתו של כלי טיס. תפקידי הרשות עוגנו בחוק, ונקבע שתפקידיה הם, בין השאר, ביצוע חקירות בטיחותיות; איסוף, תיעוד וניתוח כל מידע הקשור לאירוע בטיחותי; קביעת הסיבות והגורמים לאירוע בטיחותי; עריכה, הגשה ופרסום של דוחות חקירה בטיחותית; שמירה על חיסיון וסודיות של חומרי חקירה בטיחותית; עריכה ופרסום של מחקרים בתחום וכן ייעוץ לשר התחבורה והבטיחות בדרכים בכל עניין הנוגע לתחום חקירת אירועים בטיחותיים. עוד נקבעו בחוק הוראות רבות ומשמעותיות שנועדו להבטיח את מעמדה העצמאי של הרשות החדשה בכלל, ואת עצמאותו של מנהל הרשות בפרט, וכך לשפר את התאמת הדין הישראלי להוראות אמנת שיקגו והסכם "השמיים הפתוחים". בין השאר נקבע כי מנהל הרשות ימונה בידי שר התחבורה והבטיחות בדרכים באישור הממשלה, ותקופת כהונתו נקבעה בחוק. עוד נקבע כי ימונה ממלא מקום למנהל הרשות, וזאת בדומה לקבוע בחוק הטיס כנוסחו טרם התיקון לגבי ממלא מקום החוקר הראשי. כמו כן, נקבע כי תקציב הרשות ייקבע בתחום פעולה נפרד במסגרת סעיף תקציב משרד התחבורה והבטיחות בדרכים בחוק התקציב השנתי, וכי לשם ביצוע תפקידיה, הרשות תחזיק ותפעיל את כלל הציוד והאמצעים הנדרשים לביצוע חקירות בטיחותיות במקרה הצורך. כחלק מהתאמת החקיקה הישראלית להוראות אמנת שיקגו והסכם השמיים הפתוחים, הוסדר הליך החקירה הבטיחותית בתחום התעופה, ובכלל זה החובה למנות חוקר שיהיה ממונה על ביצוע החקירה של אירוע בטיחותי נתון ("חוקר ממונה"), גיבושן ופרסומן של הצהרות ביניים לעניין החקירה, וגיבושו ופרסומו של הדוח הסופי. עוד כולל החוק הוראות הנוגעות להמלצות בטיחות שמטרתן למנוע אירועים בטיחותיים עתידיים, אותן רשאי מנהל הרשות לתת, והוראות הנוגעות למעקב אחר יישומן.  בשל טבעו של תחום התעופה האזרחית, פעמים רבות תאונות ותקריות טיס מערבות יותר ממדינה אחת. כך למשל, במקרים רבים המדינה שבה התרחשה התאונה, מדינת מושבו של יצרן כלי הטיס, ומדינת מושבו של מפעיל כלי הטיס, שונות זו מזו, אך כולן באות בגדר "מדינה מעורבת" לעניין חקירת האירוע הבטיחותי. לפיכך, החוק מכיל גם הוראות שמטרתן להסדיר את הממשק של הרשות עם מדינות ורשויות אחרות המעורבות בתאונה, כולל הודעות שיש לשלוח להן ומצבים שבהם ניתן לשתף נציגים של רשות מקבילה במדינה אחרת, בחקירת אירוע בטיחותי שנערכת בישראל. בין התיקונים נקבעו גם הוראות הנוגעות למחויבותה של ישראל לפתוח בחקירת אירוע בטיחותי חמור שאירע בשטח של מדינה שאינה חברה באמנה, וכן הוראות הנוגעות למסירת הודעות ומידע למדינות החברות באמנת שיקגו ולגורמים אחרים, כגון מי שנפגעו באירוע בטיחותי ומשפחותיהם, ואף לארגון התעופה הבין-לאומי עצמו. כמו כן נקבעו הוראות לעניין העברת הסמכות לביצוע חקירה בטיחותית לגבי אירוע בטיחותי חמור שאירע בישראל למדינה אחרת החברה באמנה או לארגון אזורי לחקירת תאונות טיס ותקריות טיס, שהוא הליך שמדינת ישראל מחויבת לעגן בחקיקה מכוח הוראות אמנת שיקגו. נקבע כי הליך כאמור יופעל רק אם מנהל הרשות לחקירה בטיחותית מצא כי מתקיימים טעמים מיוחדים לכך. כן נקבע שמנהל הרשות לחקירה בטיחותית יפרסם הודעה על ההחלטה להעביר את סמכות ביצוע החקירה כאמור ואת הטעמים המיוחדים לכך באתר האינטרנט של הרשות לחקירה בטיחותית. זאת, כדי להדגיש את החשיבות ואת העדיפות המובהקת בכך שישראל היא שתחקור אירועים בטיחותיים חמורים בתעופה שאירעו בשטחה, וכדי להגביר את השקיפות לציבור בעניין.  </t>
  </si>
  <si>
    <t xml:space="preserve">חוק השקעות משותפות בנאמנות (תיקון מס' 31), התשפ"ד-2024</t>
  </si>
  <si>
    <t xml:space="preserve"> (מ/1734)</t>
  </si>
  <si>
    <t xml:space="preserve">החוק מעודד את השקעת הציבור בקרנות כספיות באמצעות הסדרת הרגולציה, הסרת חסמים והגברת הנגישות. </t>
  </si>
  <si>
    <t xml:space="preserve">חוק הביטוח הלאומי (תיקון מס' 246 - הוראת שעה), התשפ"ד-2024</t>
  </si>
  <si>
    <t xml:space="preserve"> (מ/1732)</t>
  </si>
  <si>
    <t xml:space="preserve">חוק זה קובע כי האחריות לאספקת שירותים של מכשירי שיקום וניידות לנפגעי תאונות עבודה תמשיך לחול על המוסד לביטוח לאומי מתוקף ההסכם שנחתם בין המוסד לביטוח לאומי ובין קופות החולים ולא תועבר לקופות החולים מכח צו ביטוח בריאות ממלכתי (תיקון התוספות השנייה והשלישית לחוק), התשפ"ג-2022 שהעביר את האחריות לספק מכשירי שיקום וניידות מהמדינה לקופות החולים. תוקפו של תיקון זה יהיה מיום תחילתו של  הצו האמור ועד לתאריך 26.03.2026. שר העבודה, באישור ועדת העבודה והרווחה של הכנסת, יהיה רשאי להאריך בצו את תוקפו של החוק לתקופה אחת שלא תעלה על שנה.</t>
  </si>
  <si>
    <t xml:space="preserve">הצעת חוק ליישוב תחת איום מיידי (הוראת שעה), התשפ"ד-2024</t>
  </si>
  <si>
    <t xml:space="preserve"> (פ/4710/25)</t>
  </si>
  <si>
    <t xml:space="preserve">הצעת חוק הרשויות המקומיות (בחירות) (תיקון - קיצור תקופת הצינון למנהל כללי), התשפ"ד-2024</t>
  </si>
  <si>
    <t xml:space="preserve"> (פ/4705/25)</t>
  </si>
  <si>
    <t xml:space="preserve"> (פ/4704/25)</t>
  </si>
  <si>
    <t xml:space="preserve">הצעת חוק בתי קברות צבאיים (תיקון - הוספת ביטוי אישי בקדמת המצבה לבקשת קרוב משפחה של חייל שנפטר), התשפ"ד-2024</t>
  </si>
  <si>
    <t xml:space="preserve"> (פ/4703/25)</t>
  </si>
  <si>
    <t xml:space="preserve">הצעת חוק בתי קברות צבאיים (תיקון - כתיבת האותיות הי"ד על מצבת חלל), התשפ"ד-2024</t>
  </si>
  <si>
    <t xml:space="preserve"> (פ/4702/25)</t>
  </si>
  <si>
    <t xml:space="preserve"> (פ/4701/25)</t>
  </si>
  <si>
    <t xml:space="preserve">הצעת חוק הסדרים במשק המדינה (תיקוני חקיקה להשגת יעדי התקציב) (תיקון - חובת הענקת הנחה בארנונה לבעלי עסקים של תושבי אזור הצפון שנפגעו בעקבות מלחמת חרבות ברזל), התשפ"ד-2024</t>
  </si>
  <si>
    <t xml:space="preserve"> (פ/4699/25)</t>
  </si>
  <si>
    <t xml:space="preserve">הצעת חוק עיקול מידתי של נכסים המוחזקים בידי צד שלישי (תיקוני חקיקה), התשפ"ד-2024</t>
  </si>
  <si>
    <t xml:space="preserve"> (פ/4697/25)</t>
  </si>
  <si>
    <t xml:space="preserve">הצעת חוק הרשויות המקומיות (פטור חיילים, נפגעי מלחמה ושוטרים מארנונה) (תיקון - סיוע לחיילים בודדים), התשפ"ד-2024</t>
  </si>
  <si>
    <t xml:space="preserve"> (פ/4696/25)</t>
  </si>
  <si>
    <t xml:space="preserve">הצעת חוק כביש אגרה (כביש ארצי לישראל) (תיקון - גביית קנסות ופיגורי תשלומים דרך המרכז לגביית קנסות), התשפ"ד-2024</t>
  </si>
  <si>
    <t xml:space="preserve"> (פ/4695/25)</t>
  </si>
  <si>
    <t xml:space="preserve"> (פ/4694/25)</t>
  </si>
  <si>
    <t xml:space="preserve">הצעת חוק הסדרים במשק המדינה (תיקוני חקיקה להשגת יעדי התקציב) (תיקון - חישוב עליית מחירי הארנונה), התשפ"ד-2024</t>
  </si>
  <si>
    <t xml:space="preserve"> (פ/4693/25)</t>
  </si>
  <si>
    <t xml:space="preserve">הצעת חוק העונשין (תיקון - עונש מינימום למתעלל בקטין או חסר ישע), התשפ"ד-2024</t>
  </si>
  <si>
    <t xml:space="preserve"> (פ/4692/25)</t>
  </si>
  <si>
    <t xml:space="preserve">הצעת חוק שירות ביטחון (תיקון מס' 27) (העלאת גיל הפטור – חרבות ברזל – הארכת הוראת שעה), התשפ"ד-2024</t>
  </si>
  <si>
    <t xml:space="preserve"> (מ/1770)</t>
  </si>
  <si>
    <t xml:space="preserve">26.06.2024</t>
  </si>
  <si>
    <t xml:space="preserve">חוק הרשויות המקומיות (מימון בחירות) (הוראת שעה), התשפ"ד–2024</t>
  </si>
  <si>
    <t xml:space="preserve"> (פ/4593/25)</t>
  </si>
  <si>
    <t xml:space="preserve"> (כ/1030)</t>
  </si>
  <si>
    <t xml:space="preserve">נקבע שרשימה, סיעה או מועמד שזכאים למימון ולא מסרו הודעה לשר הפנים לעניין מימון הבחירות בבחירות האחרונות, רשאים למסור הודעה בתקופה של 30 יום לאחר כניסת החוק לתוקף, ולקבל את המימון בכפוף לתנאי החוק. </t>
  </si>
  <si>
    <t xml:space="preserve">חוק שירות לאומי-אזרחי (תיקון מס' 6), התשפ"ד-2024</t>
  </si>
  <si>
    <t xml:space="preserve"> (מ/1762)</t>
  </si>
  <si>
    <t xml:space="preserve">חוק שירות לאומי-אזרחי, התשע"ד–2014, הינו הוראת שעה המסדירה את שירותם של מיועדים לשירות ביטחון שהם בוגרי ישיבות ומוסדות חינוך חרדיים שמלאו להם 21 שנים, לשרת בשירות לאומי־אזרחי כתחליף לשירותם בצבא הגנה לישראל. השירות במסגרת החוק נעשה על בסיס שני מסלולים: האחד, שירות אזרחי-חברתי תחת אחד מהתחומים או התפקידים המפורטים בחוק, לרבות ביטחון הפנים והגנת העורף, בריאות, רווחה וחינוך; השני, שירות אזרחי-ביטחוני באחד מהגופים המפורטים, לרבות משטרת ישראל, שירות בתי הסוהר והרשות הארצית לכבאות והצלה. כמו כן, החוק כולל הוראות לעניין ביצוע השירות, תקופת השירות והיקפו, תנאי השירות, הסדרת השירות במסגרת הגוף המפעיל ובכלל זה חובותיו. בנוסף, במסגרת החוק הוקמה הרשות לשירות לאומי-אזרחי, אשר אחראית על הפעלת השירות הלאומי-אזרחי בהתאם להוראות החוק, וזאת לצד מתן אפשרות לשר, שהוא חבר הממשלה שהוסמך על ידה לכך, להסמיך מבין עובדי הרשות, מפקחים לשם פיקוח על ביצוע הוראות החוק, ובכלל זה לעניין אופי השירות הלאומי-אזרחי ואיכותו.  מאחר שתוקפו של ההסדר המאפשר את דחיית השירות לתלמידי ישיבות פקע ב-30.6.2023, ועמו גם פקע תוקפו של חוק שירות לאומי–אזרחי וכדי להמשיך ולאפשר למי ששירותו כבר נדחה להשתלב בשירות לאומי-אזרחי, הוארך תוקפו של חוק שירות לאומי-אזרחי, עד ליום כ"ד בסיוון התשפ"ד (30 ביוני 2024).  במסגרת תיקון מספר 6, הוארך תוקפו עד ליום ד' בתמוז התשפ"ה (30 ביוני 2025).</t>
  </si>
  <si>
    <t xml:space="preserve">חוק לתיקון פקודת סדר הדין הפלילי (מעצר וחיפוש) (מס' 17), התשפ"ד–2024</t>
  </si>
  <si>
    <t xml:space="preserve"> (מ/1756)</t>
  </si>
  <si>
    <t xml:space="preserve">במסגרת חוק המאבק בכלי הנשק הבלתי חוקיים (תיקון חקיקה והוראת שעה), התשפ"ג–2023, נעשה תיקון לפקודת סדר הדין הפלילי (מעצר וחיפוש) [נוסח חדש], התשכ"ט–1969 (להלן – הפקודה), לפיו נוספו שתי עילות חדשות לביצוע חיפוש ללא צו שופט במטרה להקנות למשטרה כלי אכיפה יעילים למיגור תופעת כלי הנשק הבלתי חוקיים. העילה הראשונה שנוספה מאפשרת לשוטר לבצע חיפוש ללא צו שופט אם התעורר חשד סביר שכלי נשק או חלק מהותי מנשק, שעשוי לשמש ראיה לביצוע עבירה, נמצא במקום, ואם בשל הצורך המיידי לביצוע החיפוש לא ניתן לקבל צו. העילה השנייה שנוספה מאפשרת למשטרה לבצע חיפוש של תיעוד או מצלמה שעשויים לשמש ראיה לביצוע עבירה שדינה עשר שנות מאסר לפחות, הכוללת עבירת נשק, עבירה של ירי במקום מגורים או עבירת סחיטה באיומים. לגבי שתי עילות אלו, נקבע כי החיפוש יבוצע רק באישור בכתב של קצין משטרה בדרגת רב-פקד ומעלה, שיכלול את הנסיבות והנימוקים לצורך בחיפוש מיידי ללא צו. עוד נקבע כי אם במהלך החיפוש נתגלה חפץ שאינו נוגע לעבירה שבשלה ניתן האישור לביצוע החיפוש, השוטר יהיה רשאי לתפוס את החפץ ולהביאו לבחינת שופט, אשר יחליט מה ייעשה בו. הסדרים אלו נקבעו כהוראת שעה לתקופה של שנה, החל מיום כ"ד באייר התשפ"ג (15 במאי 2023), זאת בכדי לאפשר בחינה של ההסדרים המוצעים. במסגרת תיקון מספר 17 לפקודה, נקבע כי הוראת השעה כאמור תוארך בשנה אחת, עד ליום ד' בתמוז התשפ"ה (30 ביוני 2025). </t>
  </si>
  <si>
    <t xml:space="preserve"> (פ/4497/25)</t>
  </si>
  <si>
    <t xml:space="preserve">הצעת חוק הגנת הצרכן (תיקון - צמצום בזבוז מזון שתוקפו עומד לפוג ברשתות הקמעונאות הגדולות), התשפ"ד-2023</t>
  </si>
  <si>
    <t xml:space="preserve"> (פ/4150/25)</t>
  </si>
  <si>
    <t xml:space="preserve">הצעת חוק ביטוח בריאות ממלכתי (תיקון - מתן שירותים במרפאה ביישוב קטן לחברי קופה אחרת), התשפ"ג-2023</t>
  </si>
  <si>
    <t xml:space="preserve"> (פ/3532/25)</t>
  </si>
  <si>
    <t xml:space="preserve">הצעת חוק גירוש משפחות מחבלים, התשפ"ד-2023</t>
  </si>
  <si>
    <t xml:space="preserve"> (פ/4131/25)</t>
  </si>
  <si>
    <t xml:space="preserve">25.06.2024</t>
  </si>
  <si>
    <t xml:space="preserve">הצעת חוק גירוש משפחות מחבלים, התשפ"ג-2023</t>
  </si>
  <si>
    <t xml:space="preserve"> (פ/1700/25)</t>
  </si>
  <si>
    <t xml:space="preserve"> (פ/1299/25)</t>
  </si>
  <si>
    <t xml:space="preserve">הצעת חוק הפיקוח על שירותים פיננסיים (קופות גמל) (תיקון - הגדלת הסכום המרבי להפקדה בקופות גמל להשקעה), התשפ"ג-2023</t>
  </si>
  <si>
    <t xml:space="preserve"> (פ/2600/25)</t>
  </si>
  <si>
    <t xml:space="preserve">הצעת חוק הפיקוח על שירותים פיננסיים (קופות גמל) (תיקון - הגדלת הסכום המרבי להפקדה בקופות גמל להשקעה), התשפ"ג-2023 </t>
  </si>
  <si>
    <t xml:space="preserve"> (פ/2333/25)</t>
  </si>
  <si>
    <t xml:space="preserve">הצעת חוק העונשין (תיקון - החמרת ענישה בשל תקיפת צוות רפואי), התשפ"ג-2023</t>
  </si>
  <si>
    <t xml:space="preserve"> (פ/2456/25)</t>
  </si>
  <si>
    <t xml:space="preserve">הצעת חוק העונשין (תיקון - תקיפת עובד ציבור מטפל), התשפ"ג-2023</t>
  </si>
  <si>
    <t xml:space="preserve"> (פ/2361/25)</t>
  </si>
  <si>
    <t xml:space="preserve">הצעת חוק העונשין (תיקון - החמרת הענישה על עבירות כלפי אנשי צוות רפואי), התשפ"ג-2023</t>
  </si>
  <si>
    <t xml:space="preserve"> (פ/2066/25)</t>
  </si>
  <si>
    <t xml:space="preserve">הצעת חוק העונשין (תיקון - החמרת הענישה על עבירות כלפי אנשי צוות רפואי), התשפ"ג-2022</t>
  </si>
  <si>
    <t xml:space="preserve"> (פ/827/25)</t>
  </si>
  <si>
    <t xml:space="preserve">הצעת חוק העונשין (תיקון - החמרת ענישה בשל תקיפת צוות רפואי), התשפ"ג-2022</t>
  </si>
  <si>
    <t xml:space="preserve"> (פ/392/25)</t>
  </si>
  <si>
    <t xml:space="preserve">הצעת חוק ביטוח בריאות ממלכתי (תיקון - העברת מידע בין קופות החולים בעת מעבר תושב), התשפ"ג-2023</t>
  </si>
  <si>
    <t xml:space="preserve"> (פ/3061/25)</t>
  </si>
  <si>
    <t xml:space="preserve">הצעת חוק המאבק בטרור (תיקון - הסתה לטרור ברשתות חברתיות), התשפ"ד-2024</t>
  </si>
  <si>
    <t xml:space="preserve"> (פ/4345/25)</t>
  </si>
  <si>
    <t xml:space="preserve">24.06.2024</t>
  </si>
  <si>
    <t xml:space="preserve">הצעת חוק המאבק בטרור (תיקון - עבירת הזדהות עם ארגון טרור ופיצוי בגין פרסום דברי הסתה לטרור), התשפ"ד-2023</t>
  </si>
  <si>
    <t xml:space="preserve"> (פ/4138/25)</t>
  </si>
  <si>
    <t xml:space="preserve">הצעת חוק המאבק בטרור (תיקון - מניעת הזדהות עם ארגון טרור), התשפ"ג-2023</t>
  </si>
  <si>
    <t xml:space="preserve"> (פ/2227/25)</t>
  </si>
  <si>
    <t xml:space="preserve">חוק הספורט (תיקון מס' 17), התשפ"ד-2024 </t>
  </si>
  <si>
    <t xml:space="preserve"> (מ/1547)</t>
  </si>
  <si>
    <t xml:space="preserve">החוק כולל תיקונים שמטרתם לטייב ולשפר את מערך הסדרת העיסוק של מאמנים בענפי ספורט שבהם נדרשת תעודת הסמכה לפי החוק, ובכלל זה: יצירת ארבע דרגות הסמכה למאמני ספורט, קביעת תנאים למתן תעודת הסמכה בידי מוסד להכשרה והסמכת משרד התרבות והספורט לערוך בחינות מטעמו; הקמת מרשם בעלי תעודות הסמכה והסמכת הממונה במשרד לבדוק מידע פלילי כתנאי לרישום במרשם; שיפור ההסדרים להכרה במאמנים בעלי תעודות או נסיון מחוץ לישראל; הסדרת ההכרה במוסדות להכשרת מאמנים והקמת מרשם של המוסדות; הוקנו למשרד הספורט סמכויות מנהליות לשם פיקוח ואכיפה של הוראות החוק, כגון סמכויות מפקחים לדרוש מידע והזדהות, אפשרות הסתייעות בבודקים חיצוניים, וסמכות להטיל עיצומים כספיים. תחילת החוק תהיה בתוך שנתיים מיום פרסומו עם אפשרות הארכה של חצי שנה בצו.</t>
  </si>
  <si>
    <t xml:space="preserve">הצעת חוק רכבת תחתית (מטרו) (תיקון), התשפ"ד-2024</t>
  </si>
  <si>
    <t xml:space="preserve"> (פ/4690/25)</t>
  </si>
  <si>
    <t xml:space="preserve">הצעת חוק איסור שימוש בסוסים בפיזור אי-סדר ציבורי (תיקוני חקיקה), התשפ"ד-2024</t>
  </si>
  <si>
    <t xml:space="preserve"> (פ/4688/25)</t>
  </si>
  <si>
    <t xml:space="preserve">הצעת חוק מתן פטור מתשלום חשבונות עבור שירותים חיוניים לחיילים בודדים, התשפ"ד-2024</t>
  </si>
  <si>
    <t xml:space="preserve"> (פ/4687/25)</t>
  </si>
  <si>
    <t xml:space="preserve">הצעת חוק קליטת חיילים משוחררים (תיקון - סיוע בשכר דירה לחיילים בודדים), התשפ"ד-2024</t>
  </si>
  <si>
    <t xml:space="preserve"> (פ/4686/25)</t>
  </si>
  <si>
    <t xml:space="preserve">הצעת חוק חיזוק הפיקוח על עבירות צער בעלי חיים (תיקוני חקיקה), התשפ"ד-2024</t>
  </si>
  <si>
    <t xml:space="preserve"> (פ/4685/25)</t>
  </si>
  <si>
    <t xml:space="preserve"> (פ/4683/25)</t>
  </si>
  <si>
    <t xml:space="preserve">הצעת חוק ייסוד כיתות כוננות ביישובים, התשפ"ד-2024</t>
  </si>
  <si>
    <t xml:space="preserve"> (פ/4682/25)</t>
  </si>
  <si>
    <t xml:space="preserve">הצעת חוק הסדרת העיסוק במקצועות הבריאות (תיקון - הסדרת העיסוק בניתוח התנהגות), התשפ"ד-2024</t>
  </si>
  <si>
    <t xml:space="preserve"> (פ/4681/25)</t>
  </si>
  <si>
    <t xml:space="preserve">הצעת חוק פיצוי מפונים בני רשות, התשפ"ד-2024</t>
  </si>
  <si>
    <t xml:space="preserve"> (פ/4680/25)</t>
  </si>
  <si>
    <t xml:space="preserve"> (פ/4679/25)</t>
  </si>
  <si>
    <t xml:space="preserve">הצעת חוק לתיקון פקודת המשטרה (השעיית שוטר בגין תלונה על אלימות), התשפ"ד-2024</t>
  </si>
  <si>
    <t xml:space="preserve"> (פ/4678/25)</t>
  </si>
  <si>
    <t xml:space="preserve">הצעת חוק המקרקעין (תיקון - מנגנון מכני לפתיחת דלת בשבת), התשפ"ד-2024</t>
  </si>
  <si>
    <t xml:space="preserve"> (פ/4677/25)</t>
  </si>
  <si>
    <t xml:space="preserve">הצעת חוק זיהוי קורבנות אסון, התשפ"ד-2024</t>
  </si>
  <si>
    <t xml:space="preserve"> (פ/4675/25)</t>
  </si>
  <si>
    <t xml:space="preserve">הצעת חוק לתיקון פקודת מס הכנסה (הגדלת מספר התושבים ביישוב מוטב), התשפ"ד-2024</t>
  </si>
  <si>
    <t xml:space="preserve"> (פ/4674/25)</t>
  </si>
  <si>
    <t xml:space="preserve"> (פ/4673/25)</t>
  </si>
  <si>
    <t xml:space="preserve"> (פ/4672/25)</t>
  </si>
  <si>
    <t xml:space="preserve">הצעת חוק הביטוח הלאומי (תיקון - הגבלת קיזוז גמלת נכות לתשלום מזונות), התשפ״ד-2024</t>
  </si>
  <si>
    <t xml:space="preserve"> (פ/4671/25)</t>
  </si>
  <si>
    <t xml:space="preserve"> (פ/4670/25)</t>
  </si>
  <si>
    <t xml:space="preserve">הצעת חוק הרשויות המקומיות (מנהל יחידת ספורט), התשפ"ד-2024</t>
  </si>
  <si>
    <t xml:space="preserve"> (פ/4669/25)</t>
  </si>
  <si>
    <t xml:space="preserve"> (פ/4668/25)</t>
  </si>
  <si>
    <t xml:space="preserve">הצעת חוק הקמת חדרי מיון קדמיים, התשפ"ד-2024 </t>
  </si>
  <si>
    <t xml:space="preserve"> (פ/4666/25)</t>
  </si>
  <si>
    <t xml:space="preserve">הצעת חוק הבחירות לכנסת (תיקון - אחוז החסימה), התשפ"ד-2024</t>
  </si>
  <si>
    <t xml:space="preserve"> (פ/4665/25)</t>
  </si>
  <si>
    <t xml:space="preserve">הצעת חוק הביטוח הלאומי (תיקון - תשלום גמלה לשמירת היריון בעד כל התקופה), התשפ"ד-2024</t>
  </si>
  <si>
    <t xml:space="preserve"> (פ/4663/25)</t>
  </si>
  <si>
    <t xml:space="preserve">חוק רישוי עסקים (תיקון מס' 38), התשפ"ד-2024</t>
  </si>
  <si>
    <t xml:space="preserve"> (פ/1313/25)</t>
  </si>
  <si>
    <t xml:space="preserve"> (כ/998)</t>
  </si>
  <si>
    <t xml:space="preserve">19.06.2024</t>
  </si>
  <si>
    <t xml:space="preserve">נקבע חריג לאיסור מכירת משקאות משכרים בשעות הלילה, כך שהותרה מכירתם של יינות בלבד בימי חמישי ובימים הקודמים לחגי ישראל בין השעון 23:00-02:00, בחנות ששטחה גדול מ-280 מ"ר והיא מוכרת באופן קבוע מוצרי נקיון, חלב וירקות, ובתנאי שתבוצע רכישה ביותר מ-300 ש"ח לא כולל עלות היין. עוד נקבע כי בתום שנה מיום פרסום החוק שר הפנים, בהתייעצות עם השר לביטחון לאומי יוכל לקבוע בצו  שמכירת יין כאמור תותר בחנויות ששטחן גדול יותר מ-280 מ"ר. </t>
  </si>
  <si>
    <t xml:space="preserve">הצעת חוק התקשורת (בזק ושידורים) (תיקון - איסור על מסרוני פלאש), התשפ"ד-2024</t>
  </si>
  <si>
    <t xml:space="preserve"> (פ/4522/25)</t>
  </si>
  <si>
    <t xml:space="preserve"> (פ/4257/25)</t>
  </si>
  <si>
    <t xml:space="preserve">הצעת חוק הכרה בחטוף כנכה או כחלל צה"ל (תיקוני חקיקה), התשפ"ד-2024</t>
  </si>
  <si>
    <t xml:space="preserve"> (פ/4214/25)</t>
  </si>
  <si>
    <t xml:space="preserve">הצעת חוק חובת המכרזים (תיקון - משרד החינוך), התשפ"ג-2023</t>
  </si>
  <si>
    <t xml:space="preserve"> (פ/3837/25)</t>
  </si>
  <si>
    <t xml:space="preserve">הצעת חוק הפיקוח על מעונות יום לפעוטות (תיקון - העסקת עובד זר בתחזוקה וניקיון במעון היום), התשפ"ג-2023</t>
  </si>
  <si>
    <t xml:space="preserve"> (פ/3118/25)</t>
  </si>
  <si>
    <t xml:space="preserve">הצעת חוק שירותי הדת היהודיים (בחירות רבני עיר, רבנים אזוריים, רבני יישוב ורבני שכונות), התשפ"ג-2023</t>
  </si>
  <si>
    <t xml:space="preserve"> (פ/3446/25)</t>
  </si>
  <si>
    <t xml:space="preserve">18.06.2024</t>
  </si>
  <si>
    <t xml:space="preserve">הצעת חוק לתיקון פקודת מס הכנסה (העברת מידע לבקשת הנישום), התשפ"ד-2024</t>
  </si>
  <si>
    <t xml:space="preserve"> (פ/4186/25)</t>
  </si>
  <si>
    <t xml:space="preserve">הצעת חוק הרשויות המקומיות (מימון בחירות) (הוראת שעה) (הארכת מועד לבקשת קבלת מימון), התשפ"ד-2024</t>
  </si>
  <si>
    <t xml:space="preserve"> (פ/4595/25)</t>
  </si>
  <si>
    <t xml:space="preserve"> (פ/4594/25)</t>
  </si>
  <si>
    <t xml:space="preserve">חוק לתיקון פקודת בתי הסוהר (תיקון מס' 66 – הוראת שעה – חרבות ברזל) (חופשה מיוחדת לאסיר) (תיקון), התשפ"ד–2024</t>
  </si>
  <si>
    <t xml:space="preserve"> (מ/1764)</t>
  </si>
  <si>
    <t xml:space="preserve">חוק לתיקון פקודת בתי הסוהר (תיקון מס' 66 – הוראת שעה – חרבות ברזל) (חופשה מיוחדת לאסיר), התשפ"ד–2024, נקבע כהוראת שעה לשלושה חודשים. במסגרתו נקבע כי הנציב או סוהר בדרגת גונדר שהוסמך, רשאי לתת לאסיר, בתנאים שייראו לשר לביטחון לאומי, חופשה מיוחדת שלא תעלה על 45 ימים; וזאת בשל העלייה המשמעותית בתפוסת האסירים מעבר לתקן הכליאה, שנגרמה בשל המצב הביטחוני השורר במדינה שבשלו הוכרז מצב מיוחד בעורף כהגדרתו בחוק ההתגוננות האזרחית, התשי"יא–1951 ביום כ"ב בתשרי התשפ"ד (7 באוקטובר 2023). הסדר זה מותנה בכך שהאסיר הינו אזרח ישראלי או תושב ישראל שנשא לפחות מחצית מתקופת המאסר שנגזרה עליו ויתרת מאסרו אינה עולה על 45 ימים ביום היציאה לחופשה. מעבר לכך, נקבע כי הסדר זה לא יחול לגבי אסירים שהורשעו בעבירות מסוימות, לרבות עבירות ביטחון או כאלו שיש לגביהן חזקת מסוכנות, וכי תקופת מאסרו של אסיר לא תוארך בשל חופשה מיוחדת שניתנה לו במסגרת חוק זה. במסגרת התיקון נקבע כי הוראת השעה כאמור תוארך לתקופה של חמישה חודשים, עד ליום י"ד בחשוון התשפ"ה (15 בנובמבר 2024). </t>
  </si>
  <si>
    <t xml:space="preserve">חוק זכויות נפגעי עבירה (תיקון מס' 18), התשפ"ד–2024</t>
  </si>
  <si>
    <t xml:space="preserve"> (פ/4286/25)</t>
  </si>
  <si>
    <t xml:space="preserve"> (כ/1012)</t>
  </si>
  <si>
    <t xml:space="preserve">מטרת החוק היא לתת מענה לקשיים הייחודיים במימוש זכויות נפגעי עבירה לעניין האירועים הקשים של מתקפת הטרור הרצחנית של ה-7 באוקטובר והימים שלאחריו. החוק מרחיב את מעגל בני המשפחה ומכליל גם סבים, נכדים, דודים ואחיינים, כדי לתת מענה למקרים שבהם לא נותרו בני משפחה בחיים מהמעגלים הקרובים כמפורט בחוק כיום. החוק מאפשר לבני משפחתו של אדם שנהרג כתוצאה ממעשה טרור או פעולות איבה מהשבעה עד התשעה באוקטובר 2023, לקבל את זכויותיו של המנוח לפי סדר קדימויות המפורט בחוק. ביחס לנפגעי עבירה שנחטפו, נקבע שהענקת הזכויות לבין משפחה תהיה כפופה לבחינה של פגיעה בפרטיות החטוף. אם פרקליט המחוז או ממונה בכיר בפרקליטות שהוא הסמיך קבע כי זכות מסוימת או מידע תפגע בפרטיותו, היא לא תמסר. בנוסף נקבע כי נפגע העבירה או מי מטעמו שזכאי לקבל את זכויותיו לפי החוק, רשאי לתת הסכמה להעברת מימוש הזכויות לאדם אחר, ואם מדובר בבן משפחה של חטוף, ככל שהצהיר בכתב על קרבה אישית בין החטוף לאותו אדם.</t>
  </si>
  <si>
    <t xml:space="preserve">חוק לתיקון ולהארכת תוקפן של תקנות שעת חירום (חרבות ברזל) (הארכת מעצר לחשוד בעבירת ביטחון) (תיקון מס' 2), התשפ"ד-2024</t>
  </si>
  <si>
    <t xml:space="preserve"> (מ/1758)</t>
  </si>
  <si>
    <t xml:space="preserve">17.06.2024</t>
  </si>
  <si>
    <t xml:space="preserve">החוק מאריך בחודש את תוקף תקנות שעת החירום, המאריכות את תקופות המעצרים המפורטות בחוק המעצרים בנוגע לעצור שחשוד בעבירת ביטחון בשל פעולות האיבה שהתרחשו בין יום ה-7 באוקטובר לבין ה-10 באוקטובר 2023, או מי שנעצר במסגרת פעולות המלחמה בעזה. ההארכה שנקבעה בחוק זה היא עד ליום ה-18 ביולי 2024.</t>
  </si>
  <si>
    <t xml:space="preserve">חוק לתיקון ולהארכת תוקפן של תקנות שעת חירום (חרבות ברזל) (פגישה עם עורך דין של עצור בעבירת ביטחון) (תיקון מס' 2), התשפ"ד-2024</t>
  </si>
  <si>
    <t xml:space="preserve"> (מ/1757)</t>
  </si>
  <si>
    <t xml:space="preserve">החוק מאריך בחודש בדיוק את תוקפן של תקנות שעת חירום המאפשרות מניעת פגישה של עצורים ביטחוניים, הקשורים לפעולות האיבה שהתרחשו בין ה-7 באוקטובר לבין ה-10 לאוקטובר 2023 או למלחמה בעזה, עם עורכי הדין שלהם. התקנות יעמדו בתוקף עד ה-18 ביולי 2024.</t>
  </si>
  <si>
    <t xml:space="preserve">הצעת חוק העונשין (תיקון - ייצוא חומר הנחשב לסם מסוכן בחוץ לארץ), התשפ''ד-2024</t>
  </si>
  <si>
    <t xml:space="preserve"> (פ/4662/25)</t>
  </si>
  <si>
    <t xml:space="preserve"> (פ/4661/25)</t>
  </si>
  <si>
    <t xml:space="preserve"> (פ/4659/25)</t>
  </si>
  <si>
    <t xml:space="preserve">הצעת חוק התחדשות עירונית (הסכמים לארגון עסקאות) (תיקון - אסדרת עבודת עורך דין), התשפ"ד-2024</t>
  </si>
  <si>
    <t xml:space="preserve"> (פ/4655/25)</t>
  </si>
  <si>
    <t xml:space="preserve">הצעת חוק הלוואות למיגון דירות, התשפ"ד-2024</t>
  </si>
  <si>
    <t xml:space="preserve"> (פ/4654/25)</t>
  </si>
  <si>
    <t xml:space="preserve"> (פ/4653/25)</t>
  </si>
  <si>
    <t xml:space="preserve">הצעת חוק אסדרת שוק הקנאביס לצריכה עצמית, התשפ"ד-2024</t>
  </si>
  <si>
    <t xml:space="preserve"> (פ/4652/25)</t>
  </si>
  <si>
    <t xml:space="preserve">הצעת חוק פיקוח על מחירי מצרכים ושירותים (תיקון - פיקוח על מחירי ענף ביטוחי הרכב) (הוראת שעה), התשפ"ד-2024</t>
  </si>
  <si>
    <t xml:space="preserve"> (פ/4651/25)</t>
  </si>
  <si>
    <t xml:space="preserve"> (פ/4650/25)</t>
  </si>
  <si>
    <t xml:space="preserve">הצעת חוק לתיקון פקודת השותפויות (מס' 6), התשפ"ד-2024</t>
  </si>
  <si>
    <t xml:space="preserve"> (מ/1761)</t>
  </si>
  <si>
    <t xml:space="preserve">הצעת חוק הגנה על הציבור מפני ארגוני פשיעה, התשפ"ד-2024</t>
  </si>
  <si>
    <t xml:space="preserve"> (פ/4489/25)</t>
  </si>
  <si>
    <t xml:space="preserve">10.06.2024</t>
  </si>
  <si>
    <t xml:space="preserve">הצעת חוק שירות ביטחון (תיקון - פטור זקן לחיילים), התשפ"ד-2024</t>
  </si>
  <si>
    <t xml:space="preserve"> (פ/4648/25)</t>
  </si>
  <si>
    <t xml:space="preserve"> (פ/4645/25)</t>
  </si>
  <si>
    <t xml:space="preserve">הצעת חוק העונשין (תיקון - ייצוא חומר הנחשב לסם מסוכן בחוץ לארץ), התשפ"ד-2024</t>
  </si>
  <si>
    <t xml:space="preserve"> (פ/4644/25)</t>
  </si>
  <si>
    <t xml:space="preserve">הצעת חוק הבחירות לכנסת (תיקון - הצבעה של אזרחים המשרתים שירות לאומי-אזרחי בחוץ לארץ), התשפ"ד-2024</t>
  </si>
  <si>
    <t xml:space="preserve"> (פ/4643/25)</t>
  </si>
  <si>
    <t xml:space="preserve">הצעת חוק הכרה בוותק של עולים, התשפ"ד-2024</t>
  </si>
  <si>
    <t xml:space="preserve"> (פ/4642/25)</t>
  </si>
  <si>
    <t xml:space="preserve"> (פ/4641/25)</t>
  </si>
  <si>
    <t xml:space="preserve">הצעת חוק תקשורת דיגיטלית עם גופים ציבוריים (תיקון - אימות זהות באמצעות מסר קולי מוקלט), התשפ"ד-2024</t>
  </si>
  <si>
    <t xml:space="preserve"> (פ/4639/25)</t>
  </si>
  <si>
    <t xml:space="preserve"> (פ/4638/25)</t>
  </si>
  <si>
    <t xml:space="preserve"> (פ/4637/25)</t>
  </si>
  <si>
    <t xml:space="preserve"> (פ/4636/25)</t>
  </si>
  <si>
    <t xml:space="preserve">הצעת חוק-יסוד: הממשלה (תיקון - איסור מינוי אדם שהורשע בעבירת טרור לשר בעל אחריות ביטחונית)</t>
  </si>
  <si>
    <t xml:space="preserve"> (פ/4635/25)</t>
  </si>
  <si>
    <t xml:space="preserve">הצעת חוק הסיוע המשפטי (תיקון - סיוע משפטי למטופל סיעודי), התשפ"ד-2024</t>
  </si>
  <si>
    <t xml:space="preserve"> (פ/4634/25)</t>
  </si>
  <si>
    <t xml:space="preserve"> (פ/4633/25)</t>
  </si>
  <si>
    <t xml:space="preserve"> (פ/4632/25)</t>
  </si>
  <si>
    <t xml:space="preserve">הצעת חוק החברות הממשלתיות (תיקון - ביטוי הולם בדירקטוריונים לתושבי יישובי הצפון והדרום), התשפ"ד-2024</t>
  </si>
  <si>
    <t xml:space="preserve"> (פ/4631/25)</t>
  </si>
  <si>
    <t xml:space="preserve">הצעת חוק הבחירות לכנסת (תיקון - מועדים לעניין בחירות מוקדמות), התשפ"ד-2024</t>
  </si>
  <si>
    <t xml:space="preserve"> (פ/4630/25)</t>
  </si>
  <si>
    <t xml:space="preserve">הצעת חוק-יסוד: קיצור תקופת הבחירות (תיקוני חקיקה)</t>
  </si>
  <si>
    <t xml:space="preserve"> (פ/4629/25)</t>
  </si>
  <si>
    <t xml:space="preserve">הצעת חוק שירות המדינה (מינויים) (תיקון - ועדת איתור למינוי נציב שירות המדינה), התשפ"ד-2024</t>
  </si>
  <si>
    <t xml:space="preserve"> (פ/4628/25)</t>
  </si>
  <si>
    <t xml:space="preserve">הצעת חוק מניעת פגיעת גוף שידורים זר בביטחון המדינה (הוראת שעה - חרבות ברזל) (תיקון - הארכת תוקף), התשפ"ד-2024</t>
  </si>
  <si>
    <t xml:space="preserve"> (פ/4627/25)</t>
  </si>
  <si>
    <t xml:space="preserve">הצעת חוק משפחות חיילים שנספו במערכה (תגמולים ושיקום) (תיקון - מעטפת שיקומית לאחים שכולים), התשפ"ד-2024</t>
  </si>
  <si>
    <t xml:space="preserve"> (פ/4624/25)</t>
  </si>
  <si>
    <t xml:space="preserve">הצעת חוק דמי מחלה (היעדרות בשל מחלת ילד) (תיקון - היעדרות בעקבות תקיפה או התעללות בילד), התשפ"ד-2024</t>
  </si>
  <si>
    <t xml:space="preserve"> (פ/4623/25)</t>
  </si>
  <si>
    <t xml:space="preserve">הצעת חוק צער בעלי חיים (הגנה על בעלי חיים) (תיקון - איסור שימוש באביזרים חשמליים), התשפ"ד-2024</t>
  </si>
  <si>
    <t xml:space="preserve"> (פ/4622/25)</t>
  </si>
  <si>
    <t xml:space="preserve">חוק הסמכת צבא הגנה לישראל ושירות הביטחון הכללי לביצוע חדירה לחומר מחשב המשמש להפעלת מצלמה נייחת ופעולה בו (הוראת שעה - חרבות ברזל) (תיקון), התשפ"ד-2024</t>
  </si>
  <si>
    <t xml:space="preserve"> (מ/1752)</t>
  </si>
  <si>
    <t xml:space="preserve">05.06.2024</t>
  </si>
  <si>
    <t xml:space="preserve">חוק הסמכת צבא הגנה לישראל ושירות הביטחון הכללי לביצוע חדירה לחומר מחשב המשמש להפעלת מצלמה נייחת ופעולה בו (הוראת שעה – חרבות ברזל), התשפ"ד–2023, מסמיך את צבא הגנה לישראל ואת השירות הביטחון הכללי לחדור לחומר מחשב הנמצא במחשב המפעיל מצלמה נייחת, לשם סיכול או מניעה של גישה למידע החזותי המופק במצלמה, אם יש בו כדי לסכן באופן ממשי את ביטחון המדינה או את רציפות התפקוד המבצעי של צבא הגנה לישראל, בקשר לפעילות במסגרת מלחמת "חרבות ברזל". כמו כן, נקבעו בו הסדרים שונים הנוגעים למידתיות הפעלת הסמכויות, תיעוד וחובת דיווח לוועדת המשנה למודיעין ולשירותים חשאיים של ועדת החוץ והביטחון של הכנסת. חוק זה, נקבע כהוראת שעה לשישה חודשים, עם אפשרות להארכה לתקופה של עד שלושה חודשים. במסגרת התיקון נקבע כי הוראת השעה כאמור תוארך עד ליום ל' בכסלו התשפ"ה (31 בדצמבר 2024). </t>
  </si>
  <si>
    <t xml:space="preserve">הצעת חוק-יסוד: הכנסת (תיקון - הצהרה בדבר זהותה של מדינת ישראל)</t>
  </si>
  <si>
    <t xml:space="preserve"> (פ/4366/25)</t>
  </si>
  <si>
    <t xml:space="preserve">הצעת חוק לתיקון פקודת המשטרה (פתיחה בחקירה פלילית), התשפ"ג-2023</t>
  </si>
  <si>
    <t xml:space="preserve"> (פ/3917/25)</t>
  </si>
  <si>
    <t xml:space="preserve">הצעת חוק הגנת הצרכן (תיקון - ביטול עסקת מכר מרחוק למתן שירותי תיירות בישראל), התשפ"ג-2023</t>
  </si>
  <si>
    <t xml:space="preserve"> (פ/3335/25)</t>
  </si>
  <si>
    <t xml:space="preserve"> (פ/3281/25)</t>
  </si>
  <si>
    <t xml:space="preserve">הצעת חוק לתיקון פקודת המשטרה (טיוב הטיפול בתלונות בגין אלימות משטרתית), התשפ"ג-2023</t>
  </si>
  <si>
    <t xml:space="preserve"> (פ/1847/25)</t>
  </si>
  <si>
    <t xml:space="preserve">הצעת חוק הרשות הלאומית למאבק בעוני, התשפ"ג-2023</t>
  </si>
  <si>
    <t xml:space="preserve"> (פ/1645/25)</t>
  </si>
  <si>
    <t xml:space="preserve">04.06.2024</t>
  </si>
  <si>
    <t xml:space="preserve">הצעת חוק הרשות הלאומית למאבק בעוני, התשפ"ג-2022</t>
  </si>
  <si>
    <t xml:space="preserve"> (פ/430/25)</t>
  </si>
  <si>
    <t xml:space="preserve">הצעת חוק העונשין (תיקון - מאבק בפשיעה החקלאית), התשפ"ג-2023 </t>
  </si>
  <si>
    <t xml:space="preserve"> (פ/3752/25)</t>
  </si>
  <si>
    <t xml:space="preserve">הצעת חוק הביטוח הלאומי (תיקון - פטור מכפל תשלום דמי ביטוח לאומי), התשפ"ג-2023</t>
  </si>
  <si>
    <t xml:space="preserve"> (פ/3003/25)</t>
  </si>
  <si>
    <t xml:space="preserve"> (פ/2643/25)</t>
  </si>
  <si>
    <t xml:space="preserve">הצעת חוק הביטוח הלאומי (תיקון - פטור מכפל תשלום דמי ביטוח לאומי), התשפ"ג-2022</t>
  </si>
  <si>
    <t xml:space="preserve"> (פ/706/25)</t>
  </si>
  <si>
    <t xml:space="preserve">הצעת חוק לעידוד השקעות הון בחקלאות (תיקון - השוואת ההטבות בתעשייה להטבות בחקלאות), התשפ"ג-2023</t>
  </si>
  <si>
    <t xml:space="preserve"> (פ/1951/25)</t>
  </si>
  <si>
    <t xml:space="preserve"> (פ/1763/25)</t>
  </si>
  <si>
    <t xml:space="preserve">חוק יום האחדות, התשפ"ד-2024</t>
  </si>
  <si>
    <t xml:space="preserve"> (מ/1699)</t>
  </si>
  <si>
    <t xml:space="preserve">בחוק זה נקבע יום ציון שנתי שייקרא "יום האחדות" לשם ציון וקידום הלכידות החברתית והערבות ההדדית בחברה הישראלית ובעם היהודי בארץ ובתפוצות. יום האחדות יתקיים מדי שנה ביום א' בסיוון, ויצוין, בין השאר, בממשלה, בבית הנשיא, בכנסת, במערכת החינוך, בפעילות המשרד לשוויון חברתי וקידום מעמד האישה, בצה"ל, ברשויות המקומיות בפעילות מטעם יחידות הנוער, וכן בפעילות מסגרות החינוך הבלתי פורמלי והמכינות הקדם-צבאיות אם יבחרו לעשות כן. הפעולות לציון יום האחדות ימומנו מתקציב משרד החינוך כפי שייקבע בחוק התקציב השנתי.</t>
  </si>
  <si>
    <t xml:space="preserve">חוק תשלומים לפדויי שבי (תיקון מס' 6), התשפ"ד-2024</t>
  </si>
  <si>
    <t xml:space="preserve"> (מ/1750)</t>
  </si>
  <si>
    <t xml:space="preserve">מטרת התיקון לשפר את הזכויות המוקנות לפדויי שבי ולחטופים ששוחררו.  ראשית, התשלום החודשי לפדוי שבי הועלה ל-3,300 שקלים חדשים. ההגדלה חלה גם על מי שהוכר כפדוי שבי לפני תחילתו של החוק אך הזכאות להגדלה חלה מה-.1.6.24 שנית, מי שהוכר כפדוי שבי לאחר 7.10.23 זכאי למענק הסתגלות חד-פעמי של 50,000 שקלים חדשים.  שלישית, מי שנחטף ב-7.10.23 והוכר כפדוי שבי זכאי לכל הזכויות שלהן זכאי נכה צה"ל או נפגע פעולות איבה שנקבעה לו דרגת נכות של 50% בשל הפרעה בתר-חבלתית ולמימון טיפול רפואי למשך 36 חודשים, אשר לא יינתן על טיפולים הכלולים בתוספת השניה או השלישית לחוק ביטוח בריאות ממלכתי, אם החטוף זכאי להם לפי החוק האמור, ועל טיפולים המוענקים על ידי ביטוח הבריאות הקולקטיבי שהמדינה משתתפת במימונו. הזכאויות כאמור חלות מהמועד שבו הוכר החטוף ששוחרר  כפדוי שבי, אלא אם מדובר בחייל בסדיר או בחייל מילואים שיקבל את הזכויות רק מיום שחרורו. הזכאות האוטומטית אינה מונעת קביעת נכות נפשית של מעל 50% או קביעת נכות פיזית על ידי ועדה רפואית.  עוד מוצע לקבוע כי הוועדה להכרה בפדויי שבי לא תכיר באדם שנחטף שלא בעת שירותו הצבאי או שירותו בכוחות ההביטחון כפדוי שבי, גם אם מתקיימים בו התנאים להכרה, אם מצאה שהוא משתייך לכוחות אויב, מסייע להם או פועל בשליחותם או מטעמם או על מנת לקדם את מטרותיהם, בדומה להוראה שקיימת בחוק התגמולים לנפגעי פעולות איבה. כמו כן מוצע לתקן את תנאי הזכאות בחוק תגמולים לבני משפחה של חטופים ונעדרים בפעולת איבה, ובעקבות כך גם את ההכרה באדם כפדויי שבי, בהתאמה לתנאים המפורטים בהגדרת "נפגע" בחוק התגמולים לנפגעי פעולות איבה. כלומר, להתנות את ההכרה בחטוף שהוא אזרח ישראלי שבמועד החטיפה חלפה יותר משנה מהמועד שבו הוא חדל להיות תושב ישראל בכך שהחטיפה היתה בישראל או באזור, ולגבי מי שאינו אזרח או תושב אך נכנס כדין לישראל להתנות בכך שהחטיפה היתה בישראל או בשטח אחר שקבע שר הביטחון.  </t>
  </si>
  <si>
    <t xml:space="preserve">הצעת חוק למניעת הטרדה מינית (תיקון - הרחבת תחולה על עובד של קבלן שירות המועסק אצל מזמין השירות), התשפ"ג-2023</t>
  </si>
  <si>
    <t xml:space="preserve"> (פ/3561/25)</t>
  </si>
  <si>
    <t xml:space="preserve">03.06.2024</t>
  </si>
  <si>
    <t xml:space="preserve">הצעת חוק ניוד מידע רפואי, התשפ"ד-2024</t>
  </si>
  <si>
    <t xml:space="preserve"> (פ/4436/25)</t>
  </si>
  <si>
    <t xml:space="preserve">הצעת חוק ביטוח בריאות ממלכתי (תיקון - העברת מידע מלא בעת מעבר בין קופות החולים), התשפ"ג-2023</t>
  </si>
  <si>
    <t xml:space="preserve"> (פ/2628/25)</t>
  </si>
  <si>
    <t xml:space="preserve">הצעת חוק בריאות ממלכתי (תיקון - העברת מידע מלא בעת מעבר בין קופות החולים), התשפ"ג-2022</t>
  </si>
  <si>
    <t xml:space="preserve"> (פ/655/25)</t>
  </si>
  <si>
    <t xml:space="preserve">חוק עדכון סכומי תגמולים לנכי רדיפות הנאצים ולנכי המלחמה בנאצים וביטול המרת תגמולים (תיקוני חקיקה), התשפ"ד-2024</t>
  </si>
  <si>
    <t xml:space="preserve"> (מ/1739)</t>
  </si>
  <si>
    <t xml:space="preserve">מדובר בהצעת חוק ממשלתית שבה מוצע להחליף את ההסדר הקיים לעניין אופן עדכון סכומי התגמולים לזכאים מכוח חוק נכי רדיפות הנאצים, התשי"ז-1957, וחוק נכי המלחמה בנאצים, התשי"ד-1957, וזאת בדומה לאופן עדכון התגמולים לפי חוק הנכים (תגמולים ושיקום), התשי"ט-1959. ההסדר החדש יגלם עלייה חצי-שנתית של המדד ויביא בחשבון את כלל התוספות הניתנות על פני תקופה זו, וכך יטיב עם הזכאים. העדכון יעשה באופן אוטומטי, ולכן נוספה חובת דיווח שנתית לוועדת הכספים מהרשות לניצולי שואה, ביחס לזכאות לתגמולים, להטבות ולמענקים על פי חוקים אלה, וזאת בפילוח לפי סוג הזכאות ומספר הזכאים, וכן בעניין סכום התגמולים או ההטבות וכיוצב'. חובת הדיווח תוכל ללמד על צרכים נוספים, ככל שיידרשו, ויש בה כדי להבטיח את פיקוח הוועדה ביחס לאוכלוסייה זו.</t>
  </si>
  <si>
    <t xml:space="preserve">חוק עבודת הנוער (תיקון מס' 22), התשפ"ד-2024</t>
  </si>
  <si>
    <t xml:space="preserve"> (מ/1629)</t>
  </si>
  <si>
    <t xml:space="preserve">התיקון לחוק קובע  כי מעסיק יהיה רשאי להעסיק צעיר (בגילאים 16 עד 18) עד השעה 1:00 בלילה (במקום עד השעה 20.00) בתקופת חופשת לימודים רשמית, למעט ביום שלמחרתו מתקיימים לימודים. כמו כן התיקון לחוק קובע כי אם עבודתו של הצעיר בחופשה כאמור הסתיימה לאחר השעה 23:00, המעסיק יהיה מחויב להחזיר את הצעיר הביתה בעצמו או על ידי מי מטעמו, ולעניין זה קובע התיקון כי אם הפרש הזמנים בין סיום העבודה לאחר השעה 23:00 ובין יציאת הצעיר בחזרה לביתו עלה על חצי שעה, יראו במעסיק כמי שלא החזיר את הצעיר לביתו בסיום העבודה. התיקון מסמיך את שר העבודה לקבוע, לשם הגנה על צעירים, שההוראות האמורות לא יחולו בעבודות או בענפי עבודה מסוימים. התיקון לחוק קובע עבירה פלילית וכן עיצום כספי לגבי מעסיק שהפר את החובה להחזיר את הצעיר לביתו. עוד קובע התיקון לחוק כי באפשרות בית הדין לעבודה לפסוק פיצויים לדוגמה (דהיינו, פיצויים שאינם תלויים בנזק) בסכום שלא יעלה על 5,000 ש"ח בתביעה אזרחית שהגיש נער או ארגון עובדים מטעמו, בשל כך שהנער שהועסק בשעות הלילה שלא במסגרת השעות שנקבעו בחוק או שהועסק אחרי השעה 23.00 בלא שהמעסיק החזירו לביתו. כמו כן נקבע כי בתביעה אזרחית כאמור שבה המעסיק לא הציג רישומי נוכחות של הנער או הצעיר תהיה חובת ההוכחה עליו שלא העסיק את הנער בניגוד להוראות האמורות.</t>
  </si>
  <si>
    <t xml:space="preserve">הצעת חוק להפסקת פעילות סוכנות הסעד והתעסוקה של האו"ם לפליטי פלסטין במזרח הקרוב (אונר"א), התשפ"ד-2024</t>
  </si>
  <si>
    <t xml:space="preserve"> (פ/4621/25)</t>
  </si>
  <si>
    <t xml:space="preserve">הצעת חוק מניעת פגיעת גוף שידורים זר בביטחון המדינה (הוראת שעה - חרבות ברזל) (תיקון - אכיפה והארכת הוראת השעה), התשפ"ד-2024</t>
  </si>
  <si>
    <t xml:space="preserve"> (פ/4619/25)</t>
  </si>
  <si>
    <t xml:space="preserve">הצעת חוק מס ערך מוסף (תיקון - מס בשיעור אפס על מרחבים מוגנים), התשפ"ד-2024</t>
  </si>
  <si>
    <t xml:space="preserve"> (פ/4617/25)</t>
  </si>
  <si>
    <t xml:space="preserve"> (פ/4616/25)</t>
  </si>
  <si>
    <t xml:space="preserve">הצעת חוק הבחירות לכנסת (תיקון - קיצור תקופת צינון לבכירים במערכת הביטחון), התשפ"ד-2024</t>
  </si>
  <si>
    <t xml:space="preserve"> (פ/4615/25)</t>
  </si>
  <si>
    <t xml:space="preserve">הצעת חוק זיכרון השואה והגבורה - יד ושם (תיקון - זיכרון גבורת היהודים שהצילו את בני עמם), התשפ"ד-2024</t>
  </si>
  <si>
    <t xml:space="preserve"> (פ/4614/25)</t>
  </si>
  <si>
    <t xml:space="preserve">הצעת חוק לתיקון פקודת היערות (הגברת ההגנה על עצים בוגרים), התשפ"ד-2024</t>
  </si>
  <si>
    <t xml:space="preserve"> (פ/4613/25)</t>
  </si>
  <si>
    <t xml:space="preserve">הצעת חוק סדר הדין הפלילי (סמכויות אכיפה - מעצרים) (תיקון - פיצוי בשל מעצר), התשפ"ד-2024</t>
  </si>
  <si>
    <t xml:space="preserve"> (פ/4612/25)</t>
  </si>
  <si>
    <t xml:space="preserve">הצעת חוק חסינות חברי הכנסת, זכויותיהם וחובותיהם (תיקון - חבר כנסת ערבי בוועדת האתיקה), התשפ"ד-2024</t>
  </si>
  <si>
    <t xml:space="preserve"> (פ/4609/25)</t>
  </si>
  <si>
    <t xml:space="preserve"> (פ/4608/25)</t>
  </si>
  <si>
    <t xml:space="preserve">הצעת חוק הטבות לניצולי שואה (תיקון - הטבות לניצולים שעלו לאחר שנת 1953), התשפ"ד-2024</t>
  </si>
  <si>
    <t xml:space="preserve"> (פ/4607/25)</t>
  </si>
  <si>
    <t xml:space="preserve">הצעת חוק משפחות חיילים שנספו במערכה (תגמולים ושיקום) (תיקון - הסדרת זכויות יתומים בוגרים), התשפ"ד-2024</t>
  </si>
  <si>
    <t xml:space="preserve"> (פ/4606/25)</t>
  </si>
  <si>
    <t xml:space="preserve">הצעת חוק צער בעלי חיים (הגנה על בעלי חיים) (תיקון - בעלי חיים כיצורים תחושתיים), התשפ"ד-2024</t>
  </si>
  <si>
    <t xml:space="preserve"> (פ/4605/25)</t>
  </si>
  <si>
    <t xml:space="preserve">הצעת חוק הביטוח הלאומי (תיקון - מניין הימים לעניין מבוטח בשירות מילואים בנסיבות חירום), התשפ"ד-2024 </t>
  </si>
  <si>
    <t xml:space="preserve"> (פ/4603/25)</t>
  </si>
  <si>
    <t xml:space="preserve">הצעת חוק משפחות חיילים שנספו במערכה (תגמולים ושיקום) (תיקון - מלווה למימון הוצאות משק הבית לשכול ולאלמנה), התשפ״ד-2024</t>
  </si>
  <si>
    <t xml:space="preserve"> (פ/4602/25)</t>
  </si>
  <si>
    <t xml:space="preserve">הצעת חוק החולה הנוטה למות (תיקון - תוקף ההנחיות המקדימות), התשפ"ד- 2024</t>
  </si>
  <si>
    <t xml:space="preserve"> (פ/4600/25)</t>
  </si>
  <si>
    <t xml:space="preserve"> (פ/4599/25)</t>
  </si>
  <si>
    <t xml:space="preserve">הצעת חוק סדנה מורשית לשיפור כלי רכב, התשפ"ד-2024</t>
  </si>
  <si>
    <t xml:space="preserve"> (פ/4559/25)</t>
  </si>
  <si>
    <t xml:space="preserve">29.05.2024</t>
  </si>
  <si>
    <t xml:space="preserve"> (פ/4356/25)</t>
  </si>
  <si>
    <t xml:space="preserve"> (פ/4303/25)</t>
  </si>
  <si>
    <t xml:space="preserve">הצעת חוק הביטוח הלאומי (תיקון - תגמולים למשרתים במילואים) (הוראת שעה - חרבות ברזל), התשפ"ד-2024</t>
  </si>
  <si>
    <t xml:space="preserve"> (פ/4253/25)</t>
  </si>
  <si>
    <t xml:space="preserve"> (פ/4202/25)</t>
  </si>
  <si>
    <t xml:space="preserve"> (פ/4158/25)</t>
  </si>
  <si>
    <t xml:space="preserve">הצעת חוק ביטוח בריאות ממלכתי (תיקון - בחירה מבין נותני השירותים), התשפ"ג-2023</t>
  </si>
  <si>
    <t xml:space="preserve"> (פ/3041/25)</t>
  </si>
  <si>
    <t xml:space="preserve"> (פ/2000/25)</t>
  </si>
  <si>
    <t xml:space="preserve">הצעת חוק העונשין (תיקון - הגנה על בסיסי צה"ל, שטחי אש, תחנות משטרה ומתקנים ביטחוניים), התשפ"ג-2023 </t>
  </si>
  <si>
    <t xml:space="preserve"> (פ/3393/25)</t>
  </si>
  <si>
    <t xml:space="preserve">28.05.2024</t>
  </si>
  <si>
    <t xml:space="preserve">הצעת חוק התקנת מצלמות לשם הגנה על פעוטות במעונות יום לפעוטות (תיקון - החלה על גני ילדים והגברת האכיפה), התשפ"ד-2023</t>
  </si>
  <si>
    <t xml:space="preserve"> (פ/3959/25)</t>
  </si>
  <si>
    <t xml:space="preserve">הצעת חוק התקנת מצלמות לשם הגנה על פעוטות במעונות יום לפעוטות (תיקון - החלה על גני ילדים והגברת האכיפה), התשפ"ג-2023</t>
  </si>
  <si>
    <t xml:space="preserve"> (פ/3597/25)</t>
  </si>
  <si>
    <t xml:space="preserve">הצעת חוק תשלומים לפדויי שבי (תיקון - סכומי התשלומים ומועדיהם), התשפ"ד-2024</t>
  </si>
  <si>
    <t xml:space="preserve"> (פ/4466/25)</t>
  </si>
  <si>
    <t xml:space="preserve">הצעת חוק הפסקת הליכים ומחיקת רישומים בעניין המחאה כנגד אלימות משטרתית כלפי יוצאי אתיופיה, התשפ"ד-2024</t>
  </si>
  <si>
    <t xml:space="preserve"> (פ/4331/25)</t>
  </si>
  <si>
    <t xml:space="preserve">הצעת חוק הפסקת הליכים ומחיקת רישומים בעניין עבירה על רקע מחאות יוצאי אתיופיה, התשפ"ד-2024</t>
  </si>
  <si>
    <t xml:space="preserve"> (פ/4322/25)</t>
  </si>
  <si>
    <t xml:space="preserve">חוק החיילים המשוחררים (החזרה לעבודה) (תיקון מס' 19 והוראת שעה), התשפ"ד–2024</t>
  </si>
  <si>
    <t xml:space="preserve"> (פ/4314/25)</t>
  </si>
  <si>
    <t xml:space="preserve"> (כ/1011)</t>
  </si>
  <si>
    <t xml:space="preserve">בתיקון זה לחוק החיילים המשוחררים (החזרה לעבודה), התש"ט-1949, הורחבה ההגנה הקבועה כיום בחוק לגבי משרת במילואים, כך שבתקופת ההגנה של 30 הימים שלאחר תום שירות המילואים, חל גם איסור לפגוע בהיקף משרתו או בהכנסתו בלא היתר מוועדת התעסוקה שבמשרד הביטחון (נוסף על איסור הפיטורים). על הפרת הוראה זו יחולו אותן ההוראות החלות לגבי איסור הפיטורים ובכלל זה ניתן יהיה להטיל בשלה עיצום כספי.  כמו כן, נקבע כי מעסיק לא יפטר עובד בשל שירותו במילואים של בן זוגו או הורהו האחר של ילדו, ואם פיטרו – בטלים הפיטורים, ונקבעה הגנה על עובדים כאמור בחוק שוויון ההזדמנויות בעבודה, מפני אפליה כעובדים או כדורשי עבודה – בשל שירות המילואים של בני הזוג או ההורה האחר של ילדם. עוד נקבע כהוראת שעה, כי מעסיק יידרש לקבל היתר מוועדת התעסוקה לשם פיטורים של עובד שיש עימו ילד עד גיל 14, בתקופת שירות המילואים של בן זוגו אם השירות הוא בצו 8 או שמשכו הוא 21 ימים רצופים לפחות או לשם הוצאה של עובד כאמור לחופשה ללא תשלום כמפורט בהצעת החוק. הזכאות להגנה תותנה בכך שהעובד מסר הודעה למעסיק לגבי שירות המילואים בתוך שלושה ימים מההודעה על כוונה לפטרו או להוציאו לחל"ת. מעסיק שיפטר עובד או יוציאו לחל"ת בניגוד להוראות אלה יישא באחריות פלילית וניתן יהיה להטיל עליו עיצומים כספיים.  הוראת שעה זו תחול לתקופה שעד 31.12.2025 וניתן יהיה להאריכה לתקופות של עד שלוש שנים נוספות. בתקופה שעד 31.12.24 נקבע שההגנה תחול גם ב-14 הימים שלאחר תום שירות המילואים – ותקופה זו ניתן יהיה להאריך לתקופות של עד שנתיים נוספות. לבסוף, נקבעה זכאות למענק חד פעמי לעובדים שיש עימם ילד עד גיל 14, ובני זוגם משרתים בשירות מילואים בנסיבות חירום לפי סעיף 8 לחוק שירות המילואים, או שמשכו הצפוי של שירות המילואים הוא 21 ימים רצופים לפחות והם עומדים ביתר התנאים הקבועים בחוק, ובין היתר שההוצאה לחל"ת היא לתקופה של 21 ימים לפחות, בתקופה שמ-7.10.2023 ועד 31.12.2024 (אף אם העובדים יצאו לחל"ת ביוזמתם). הזכאות למענק תהיה בעד הימים שבהם שהו העובדים בחופשה ללא תשלום בעת שירות המילואים כאמור, ולא יותר מ-30 ימים. המענק יהיה בסכום של 70% מההכנסה הממוצעת כמפורט בתיקון לחוק. תחילתו של ההסדר האמור תהיה ב-16.6.24, אך הזכאות למענק תחול גם לגבי מי שיצא לחל"ת לפני תחילתו של התיקון לחוק – החל מ-7.10.2023. מידע לגבי זכויות הנובעות מהתיקון ייכלל במסגרת המידע שנמסר לחיילים בשירות מילואים בדבר זכויותיהם וכן במידע המפורסם באתר האינטרנט של צה"ל. </t>
  </si>
  <si>
    <t xml:space="preserve">חוק לתיקון פקודת בתי הסוהר (מס' 64 – הוראת שעה – חרבות ברזל) (מצב חירום כליאתי) (תיקון מס' 2), התשפ"ד–2024</t>
  </si>
  <si>
    <t xml:space="preserve"> (מ/1753)</t>
  </si>
  <si>
    <t xml:space="preserve">במסגרת תיקון מספר 64 לפקודת בתי הסוהר [נוסח חדש], התשל"ב–1971, נקבע, כהוראת שעה לשלושה חודשים, כי השר לביטחון לאומי, בהמלצת נציב בתי הסוהר ובהסכמת ראש הממשלה ושר הביטחון, יהיה רשאי להכריז על מצב חירום כליאתי אם שוכנע לנוכח המצב הביטחוני שבשלו הוכרז מצב מיוחד בעורף, יש צורך במקומות כליאה נוספים באופן מיידי או שעל סמך חוות דעת גורמי הביטחון יש סבירות גבוהה שיהיה צורך כאמור. במסגרת זאת יהיה ניתן להלין אסירים ועצורים ביטחוניים, בתנאים מסוימים, תוך חריגה מהוראות הדין לעניין שטח מחיה ולהלינם שלא על מיטה, בחריגה מהוראות הדין לעניין זכאות למיטה. עם זאת, החוק מאפשר למנהל בית הסוהר להפעיל את סמכותו זו גם לעניין תאים שמוחזקים בהם אסירים אחרים.  לאחר מכן, תוקנה הוראת השעה כך שהכרזת השר לביטחון לאומי בדבר מצב חירום כליאתי תתאפשר לא על יסוד המצב המיוחד בעורף אלא על יסוד הפעולות הצבאיות המשמעותיות שעליהן החליטה ועדת השרים לענייני ביטחון לאומי לפי סעיף 40 לחוק-יסוד: הממשלה, והודיעה לגביהן לוועדת החוץ והביטחון של הכנסת ביום כ"ג בתשרי התשפ"ד (8 באוקטובר 2023).  במסגרת תיקון מספר 2, הוארכה תוקפה של הוראת השעה, במסגרתה מוסמך השר לביטחון לאומי, באישור הממשלה והוועדה לביטחון לאומי של הכנסת, להכריז על מצב חירום כליאתי ולאפשר חריגה מהוראות הדין לעניין שטח מחיה מזערי בבתי הסוהר עד ליום ל' בכסלו התשפ"ה (31 בדצמבר 2024). זאת ועוד, נקבע כי תוקף הכרזתו של השר על מצב חירום כליאתי, שניתנה מכוח הוראת השעה, תוארך עד ליום כ"ד בסיוון התשפ"ד (30 ביוני 2024). </t>
  </si>
  <si>
    <t xml:space="preserve"> (פ/4589/25)</t>
  </si>
  <si>
    <t xml:space="preserve">27.05.2024</t>
  </si>
  <si>
    <t xml:space="preserve">חוק הכניסה לישראל (תיקון מס' 39), התשפ"ד–2024</t>
  </si>
  <si>
    <t xml:space="preserve"> (פ/4281/25)</t>
  </si>
  <si>
    <t xml:space="preserve"> (כ/1010)</t>
  </si>
  <si>
    <t xml:space="preserve">22.05.2024</t>
  </si>
  <si>
    <t xml:space="preserve">חוק הכניסה לישראל, התשי"ב–1952, מתייחס בין היתר לעבירות העוסקות בהסעה, הלנה והעסקה של תושבי אזור יהודה והשומרון שנכנסו לישראל או שוהים במדינה שלא כדין, וזאת על מנת לצמצם את התופעה זו. בעקבות הגידול שחל בשנים האחרונות בהיקף התופעה לצד השלכותיה על ביטחון אזרחי ישראל, תוקן חוק הכניסה לישראל כך שהוחמרה הענישה בעבירות הרלוונטיות.  במסגרת תיקון מספר 39, נקבע כי בית המשפט יצווה, ללא תלות בכל עונש אחר, על התליית רישיון או היתר עיסוק שניתנו, בעיסוק הקשור בעבירה, לתקופה שלא תעלה על שנה, בעת הרשעה של יחיד או תאגיד בעבירות של הסעה, הלנה והעסקה בנסיבות מחמירות, ניהול או ארגון שירותי הסעה של תושבי אזור יהודה והשומרון שנכנסו לישראל שלא כדין, אלא אם כן סבר בית המשפט שלא לעשות זאת מטעמים מיוחדים שיירשמו. עוד נקבע כי בית המשפט יצווה, ללא תלות בכל עונש אחר, על חילוט רכוש הקשור לעבירה של מי שהורשע בעבירות כאמור, ובכלל זה דירת המגורים או העסק שבהם נעברה העבירה, ולחלופין חילוט שווי הרכוש הקשור לעבירה, אלא אם כן סבר בית המשפט שלא לעשות זאת מטעמים מיוחדים שיירשמו. </t>
  </si>
  <si>
    <t xml:space="preserve">הצעת חוק אספקת החשמל, התשפ"ד-2024</t>
  </si>
  <si>
    <t xml:space="preserve"> (פ/4271/25)</t>
  </si>
  <si>
    <t xml:space="preserve"> (פ/4127/25)</t>
  </si>
  <si>
    <t xml:space="preserve">הצעת חוק לחלוקה הוגנת של מזונות, התשפ"ג-2023</t>
  </si>
  <si>
    <t xml:space="preserve"> (פ/3883/25)</t>
  </si>
  <si>
    <t xml:space="preserve">הצעת חוק הביטוח הלאומי (תיקון - תשלום קצבת ילדים לאחר גיל 18 בעד ילד המשרת בשירות צבאי, לאומי או אזרחי), התשפ"ג-2023</t>
  </si>
  <si>
    <t xml:space="preserve"> (פ/2029/25)</t>
  </si>
  <si>
    <t xml:space="preserve">הצעת חוק הגנה על זכויות ילדים נפגעי עבירת המתה בדירת המשפחה, התשפ"ד-2024</t>
  </si>
  <si>
    <t xml:space="preserve"> (פ/2883/25)</t>
  </si>
  <si>
    <t xml:space="preserve">21.05.2024</t>
  </si>
  <si>
    <t xml:space="preserve">הצעת חוק הירושה (תיקון - פסלות לרשת ומניעת עסקאות בזכות יורש שהמית את המוריש), התשפ"ג-2023</t>
  </si>
  <si>
    <t xml:space="preserve"> (פ/2405/25)</t>
  </si>
  <si>
    <t xml:space="preserve">חוק הסדרת העיסוק במקצועות הבריאות (תיקון מס' 10), התשפ"ד-2024</t>
  </si>
  <si>
    <t xml:space="preserve"> (מ/1730)</t>
  </si>
  <si>
    <t xml:space="preserve">התיקון לחוק מעדכן את הוראות המעבר למקצוע הכירופרקטיקה שהוסדר כבר בשנת 2010 אך בשל אי התקנת תקנות לא ניתנו עד מועד התיקון תעודות מקצוע לכירופרקטים (יצוין כי במקביל לתיקון הותקנו גם התקנות): הוראות המעבר שנקבעו הן: (א) ניתן לתת תעודת כירופרקט ללא צורך בעבודה בפיקוח ובעמידה בבחינות בישראל למי שעסק בישראל בכירופרקטיקה בהיקף ניכר במשך חמש שנים לפחות ערב כניסתן לתוקף של התקנות בעניין הכשרה מעשית, והוכיח ידע וניסיון, ובלבד שהגיש בקשה לקבלת התעודה בתוך 12 חודשים ממועד הכניסה לתוקף של התקנות; (ב) ניתן לתת תעודת כירופרקט ללא צורך בעמידה בבחינות בישראל למי שעסק בישראל בכירופרקטיקה ערב כניסתן לתוקף של התקנות בעניין הכשרה מעשית או התקנות בעניין עבודה בפיקוח, ובלבד שהגיש בקשה לקבלת התעודה בתוך שנתיים ממועד כניסתן לתוקף של התקנות. (ג) ניתן לתת תעודת כירופרקט למי שלמד את לימודי הכירופרקטיקה כלימודי תעודה (במקום לימודים אקדמיים) בתנאי שתעודת סיום הלימודים הוכרה לפי התנאים שפורטו בחוק, ושהלימודים החלו עד 1 במאי 2029 – ובלבד שמתקיימים בו שאר התנאים לקבלת תעודת המקצוע, או התנאים שנקבעו בהוראות המעבר שפורטו לעיל. הזכאות לפי הוראת מעבר זו מיועדת לעולים והיא לא תחול על מי שמרכז חייו היה בישראל ויצא ממנה לצורך הלימודים, ובעניין זה דויקו ההגדרות של תכניות הגעת צעירים בישראל, שהמשתתפים בהן לא ייחשבו כמי שמרכז חייהם בישראל. נוסף על כך נקבע כי עד תום שנתיים מיום פרסום החוק או מיום כניסתן לתוקף של התקנות, לפי המאוחר, לא יחולו האיסורים שבחוק בעניין התחזות לכירופרקט או שימוש בתואר זה. עוד נקבע כי תנאי להכרה בעבודה בפיקוח הוא כי בסיומה של העבודה בפיקוח ניתנה חוות דעת חיובית. התיקון לחוק כולל הסדרים גם לעניין מקצועות בריאות אחרים:  נקבע כי האיסור שבחוק על ביצוע פעולות ייחודיות למקצוע מסוים, לא ימנע ביצוע עבודה בפיקוח הנדרשת באותו מקצוע.  כמו כן נקבע בעל המקצוע דימותן רפואי נכלל בהגדרה "מטפל "לעניין חוק זכויות החולה. כמו כן תוקנה פקודת הרופאים כך שבוטלה ההשלכה הפלילית של תקנות מסוימות מכוח סעיף 61 לפקודת הרופאים, שעיקרן הוראות טכניות או פרוצדורליות. </t>
  </si>
  <si>
    <t xml:space="preserve">חוק להסדרת אירוע הילולת רבי שמעון בר יוחאי בהר מירון (הוראת שעה), התשפ"ד–2024 </t>
  </si>
  <si>
    <t xml:space="preserve"> (מ/1748)</t>
  </si>
  <si>
    <t xml:space="preserve">אירוע הילולת רבי שמעון בר יוחאי בהר מירון בל"ג בעומר הוא אירוע המוני המושך אליו מדי שנה מאות אלפי מבקרים. בעקבות האסון הכבד שאירע בשנת 2021, הוקמה ועדת חקירה ממלכתית שהגישה את המלצותיה לשיפור הבטיחות באתר. על רקע המצב הביטחוני המיוחד השורר בצפון הארץ במלחמת "חרבות ברזל", ובהתאם להערכות גורמי הביטחון, התעורר צורך להסדיר את קיום ההילולה במתכונת מצומצמת כדי למנוע פגיעה בחיי אדם. כעת, במסגרת חוק להסדרת אירוע הילולת רבי שמעון בר יוחאי בהר מירון (הוראת שעה), התשפ"ד-2024, עוגנה תשתית חקיקתית זמנית המגבילה משמעותית את אירועי ההילולה בשנת התשפ"ד. בחוק נקבע כי יתקיימו שלושה אירועי הדלקה בלבד שייערכו בזמנים שונים, ובהם אירוע הדלקה מרכזי במתחם קבר רבי שמעון בר יוחאי ושני אירועים נוספים במתחם ישיבת בני עקיבא. קיום האירועים הותנה בקבלת היתר משר ירושלים ומסורת ישראל, וכן באישורם של משטרת ישראל, הרשות הארצית לכבאות והצלה ומהנדס רשוי לשם הבטחת בטיחות האירוע. בנוסף, הוטלה הגבלה מחמירה על כניסה ושהייה במתחם מירון כולו, כך ששהייה בו מחייבת החזקת היתר כניסה או שהייה מיוחדת או אישור תושב המעיד על מגורים קבועים במקום. כדי למנוע צפיפות, הוגבל מספר השוהים במתחם הקבר ובמתחם בני עקיבא בכל רגע נתון לעד 30 בעלי היתר שהייה מיוחד, לצד חמישה עיתונאים מורשים. לשם הפעלת המתחם, הוחרגו מחובת קבלת ההיתר מספר קבוצות, ובהן כוחות הביטחון, החירום וההצלה, פקחי רשות הטבע והגנים, נהגי תחבורה ציבורית וגורמים המספקים סיוע רפואי דחוף. נוסף על כך, הוסמך מפקד פיקוד העורף (ראש הג"א) לקבוע בצו את השטחים שייסגרו כליל. כדי להבטיח את אכיפת ההגבלות, נאסר על השכרת יחידות אירוח במתחם מירון למי שאינו נמנה עם צוות ההפקה, הוגבלה ההגעה למתחם בתחבורה ציבורית, ונקבעו קנסות וסמכויות פינוי למשטרה כלפי מי ששוהה במתחם או מארגן אירועים ללא היתר. החוק כולל גם פטור זמני מדיני התכנון והבנייה להקמת תשתיות זמניות הנדרשות לאירוע, וקובע כי תוקפו יפקע ביום כ"ה באייר התשפ"ד (2 ביוני 2024), מועד שעד אליו יש להשיב את השטח לקדמותו.</t>
  </si>
  <si>
    <t xml:space="preserve">הצעת חוק סיוע למשפחות נפגעי מאורעות ה-7 באוקטובר, התשפ"ד-2024</t>
  </si>
  <si>
    <t xml:space="preserve"> (פ/4365/25)</t>
  </si>
  <si>
    <t xml:space="preserve">20.05.2024</t>
  </si>
  <si>
    <t xml:space="preserve">הצעת חוק יום בריאות הנפש, התשפ"ג-2023</t>
  </si>
  <si>
    <t xml:space="preserve"> (פ/1817/25)</t>
  </si>
  <si>
    <t xml:space="preserve">הצעת חוק הנוער (טיפול והשגחה) (תיקון - תינוקות בודדים), התשפ"ד-2024</t>
  </si>
  <si>
    <t xml:space="preserve"> (פ/4588/25)</t>
  </si>
  <si>
    <t xml:space="preserve">הצעת חוק משפחות חיילים שנספו במערכה (תגמולים ושיקום) (תיקון - תגמולי הורים, יתומים ואחים שכולים), התשפ"ד -2024</t>
  </si>
  <si>
    <t xml:space="preserve"> (פ/4586/25)</t>
  </si>
  <si>
    <t xml:space="preserve">הצעת חוק לימוד חובה (תיקון - איסור על גביית תשלומי הורים), התשפ"ד-2024</t>
  </si>
  <si>
    <t xml:space="preserve"> (פ/4584/25)</t>
  </si>
  <si>
    <t xml:space="preserve">הצעת חוק החלת הריבונות הישראלית על בקעת הירדן, התשפ"ד-2024</t>
  </si>
  <si>
    <t xml:space="preserve"> (פ/4583/25)</t>
  </si>
  <si>
    <t xml:space="preserve">הצעת חוק לעידוד תחבורת אופניים (שילוב אופניים בתחבורה ציבורית ותמריצים לשימוש בהם), התשפ"ד-2024</t>
  </si>
  <si>
    <t xml:space="preserve"> (פ/4581/25)</t>
  </si>
  <si>
    <t xml:space="preserve">הצעת חוק הכרה אזרחית בהכשרות צבאיות (תיקון - הכרה בניסיון פיקודי כניסיון ניהולי), התשפ"ד-2024</t>
  </si>
  <si>
    <t xml:space="preserve"> (פ/4580/25)</t>
  </si>
  <si>
    <t xml:space="preserve">הצעת חוק התחרות הכלכלית (תיקון - הכרזה על קיום מונופולין ואיסור על מחיר מופרז וטורפני), התשפ"ד-2024</t>
  </si>
  <si>
    <t xml:space="preserve"> (פ/4578/25)</t>
  </si>
  <si>
    <t xml:space="preserve">הצעת חוק עיטור הפציעה הקרבית, התשפ"ד-2024</t>
  </si>
  <si>
    <t xml:space="preserve"> (פ/4577/25)</t>
  </si>
  <si>
    <t xml:space="preserve">הצעת חוק התחרות הכלכלית (תיקון - הגברת השקיפות של דיוני הוועדה לפטורים ולמיזוגים), התשפ"ד-2024</t>
  </si>
  <si>
    <t xml:space="preserve"> (פ/4576/25)</t>
  </si>
  <si>
    <t xml:space="preserve">הצעת חוק שמירת הסביבה החופית (תיקון - התאמת תוכניות ישנות), התשפ"ד-2024</t>
  </si>
  <si>
    <t xml:space="preserve"> (פ/4575/25)</t>
  </si>
  <si>
    <t xml:space="preserve">הצעת חוק מאבק בארגוני פשיעה (תיקון - הרחבת הנסיבה המחמירה לזיקה בארגון פשיעה), התשפ"ד-2024</t>
  </si>
  <si>
    <t xml:space="preserve"> (פ/4574/25)</t>
  </si>
  <si>
    <t xml:space="preserve">הצעת חוק המתווכים במקרקעין (תיקון - הגבלת דמי תיווך), התשפ"ד-2024</t>
  </si>
  <si>
    <t xml:space="preserve"> (פ/4573/25)</t>
  </si>
  <si>
    <t xml:space="preserve">הצעת חוק התכנון והבנייה (תיקון - תסקיר תחבורה ציבורית), התשפ"ד-2024</t>
  </si>
  <si>
    <t xml:space="preserve"> (פ/4572/25)</t>
  </si>
  <si>
    <t xml:space="preserve">הצעת חוק הכנסת (תיקון - כינוס הכנסת במצב מלחמה), התשפ"ד-2024</t>
  </si>
  <si>
    <t xml:space="preserve"> (פ/4571/25)</t>
  </si>
  <si>
    <t xml:space="preserve">הצעת חוק העונשין (תיקון - החמרת ענישה בעבירות ביזה) (הוראת שעה), התשפ"ד-2024</t>
  </si>
  <si>
    <t xml:space="preserve"> (פ/4569/25)</t>
  </si>
  <si>
    <t xml:space="preserve"> (פ/4568/25)</t>
  </si>
  <si>
    <t xml:space="preserve">הצעת חוק מימון מפלגות (תיקון - שלילת מימון ממפלגה שקוראת להטלת חרם על מדינת ישראל), התשפ"ד-2024</t>
  </si>
  <si>
    <t xml:space="preserve"> (פ/4566/25)</t>
  </si>
  <si>
    <t xml:space="preserve">הצעת חוק הביטוח הלאומי (תיקון - מניין הימים לעניין מבוטח בשירות מילואים בנסיבות חירום), התשפ"ד-2024</t>
  </si>
  <si>
    <t xml:space="preserve"> (פ/4565/25)</t>
  </si>
  <si>
    <t xml:space="preserve"> (פ/4564/25)</t>
  </si>
  <si>
    <t xml:space="preserve">הצעת חוק הכשרות לאנשי מקצוע בנושא זיהוי ודיווח על התעללות בילדים, התשפ"ד-2024</t>
  </si>
  <si>
    <t xml:space="preserve"> (פ/4563/25)</t>
  </si>
  <si>
    <t xml:space="preserve">הצעת חוק עבודת נשים (תיקון - תקופת לידה והורות להורה אומנה), התשפ"ד-2024</t>
  </si>
  <si>
    <t xml:space="preserve"> (פ/4562/25)</t>
  </si>
  <si>
    <t xml:space="preserve">הצעת חוק הסדרת העיסוק במקצועות הבריאות (תיקון - טיפול באמצעות בעלי חיים), התשפ"ד-2024</t>
  </si>
  <si>
    <t xml:space="preserve"> (פ/4561/25)</t>
  </si>
  <si>
    <t xml:space="preserve">הצעת חוק הכניסה לישראל (תיקון מס' 40) (סמכויות קצין ביקורת הגבולות ופקח), התשפ"ד-2024</t>
  </si>
  <si>
    <t xml:space="preserve"> (מ/1746)</t>
  </si>
  <si>
    <t xml:space="preserve">חוק לתיקון פקודת סדר הדין הפלילי (מעצר וחיפוש) (מס' 16), התשפ"ד–2024</t>
  </si>
  <si>
    <t xml:space="preserve"> (מ/1751)</t>
  </si>
  <si>
    <t xml:space="preserve">08.05.2024</t>
  </si>
  <si>
    <t xml:space="preserve">במסגרת חוק המאבק בכלי הנשק הבלתי חוקיים (תיקון חקיקה והוראת שעה), התשפ"ג–2023, נעשה תיקון לפקודת סדר הדין הפלילי (מעצר וחיפוש) [נוסח חדש], התשכ"ט–1969 (להלן – הפקודה), לפיו נוספו שתי עילות חדשות לביצוע חיפוש ללא צו שופט במטרה להקנות למשטרה כלי אכיפה יעילים למיגור תופעת כלי הנשק הבלתי חוקיים. העילה הראשונה שנוספה מאפשרת לשוטר לבצע חיפוש ללא צו שופט אם התעורר חשד סביר שכלי נשק או חלק מהותי מנשק, שעשוי לשמש ראיה לביצוע עבירה, נמצא במקום, ואם בשל הצורך המיידי לביצוע החיפוש לא ניתן לקבל צו. העילה השנייה שנוספה מאפשרת למשטרה לבצע חיפוש של תיעוד או מצלמה שעשויים לשמש ראיה לביצוע עבירה שדינה עשר שנות מאסר לפחות, הכוללת עבירת נשק, עבירה של ירי במקום מגורים או עבירת סחיטה באיומים. לגבי שתי עילות אלו, נקבע כי החיפוש יבוצע רק באישור בכתב של קצין משטרה בדרגת רב-פקד ומעלה, שיכלול את הנסיבות והנימוקים לצורך בחיפוש מיידי ללא צו. עוד נקבע כי אם במהלך החיפוש נתגלה חפץ שאינו נוגע לעבירה שבשלה ניתן האישור לביצוע החיפוש, השוטר יהיה רשאי לתפוס את החפץ ולהביאו לבחינת שופט, אשר יחליט מה ייעשה בו. הסדרים אלו נקבעו כהוראת שעה לתקופה של שנה, החל מיום כ"ד באייר התשפ"ג (15 במאי 2023), זאת בכדי לאפשר בחינה של ההסדרים המוצעים. במסגרת תיקון מספר 16 לפקודה, נקבע כי הוראת השעה תוארך עד ליום כ"ה בסיוון התשפ"ד (1 ביולי 2024). </t>
  </si>
  <si>
    <t xml:space="preserve">חוק כלי הירייה (תיקון מס' 24) (תיקון), התשפ"ד–2024</t>
  </si>
  <si>
    <t xml:space="preserve"> (מ/1747)</t>
  </si>
  <si>
    <t xml:space="preserve">במסגרת חוק כלי הירייה (תיקון מס' 24), התשפ"ג–2023 (להלן – החוק), נקבע כי דמוי כלי ירייה, הינו כלי בעל קנה שאינו כלי ירייה, לרבות חלק ממנו, שניתן להסב אותו לכלי ירייה והוא מסוג המנוי ברשימה שיקבע השר לביטחון פנים בצו לאחר התייעצות עם המפקח הכללי של המשטרה. כמו כן נקבע כי פעילות ייצור, יצוא, יבוא, אחסנה, הובלה ומסחר בדמויי כלי ירייה יחויבו ברישיון, וכי החזקה ונשיאה של דמויי כלי ירייה ייעשו רק במועדוני קליעה שקיבלו רישיון לכך. זאת ועוד, כהוראת שעה לשנה, יתאפשר גם מתן הרשאה להחזקה ונשיאה של דמוי כלי ירייה לצורכי אימונים ותחרויות, במספר מוגבל ובכפוף לתנאים שייקבעו בתקנות.  במסגרת התיקון לחוק נדחה באופן רטרואקטיבי מועד פרסום הצו המפרט את רשימת הכלים הכלולים בהגדרה של "דמוי כלי יריה" בתשעה חודשים, כך שהצו יפורסם עד יום ב' באב התשפ"ד (6 באוגוסט 2024), וכי תחילת תיקון זה יהיה ביום כ"ב בחשוון התשפ"ד (6 בנובמבר 2023). כמו כן, נקבע לדחות את מועד פקיעת איסור הייבוא בעניין זה, כל עוד לא נכנס הצו כאמור לתוקף או עד שמונה עשרה חודשים מיום תחילת החוק, לפי המוקדם.  </t>
  </si>
  <si>
    <t xml:space="preserve">חוק לייעול האכיפה והפיקוח העירוניים ברשויות המקומיות (הוראת שעה) (תיקון מס' 12), התשפ"ד-2024</t>
  </si>
  <si>
    <t xml:space="preserve"> (מ/1740)</t>
  </si>
  <si>
    <t xml:space="preserve">15.04.2024</t>
  </si>
  <si>
    <t xml:space="preserve">החוק לייעול האכיפה והפיקוח העירוניים ברשויות המקומיות נחקק כהוראת שעה בשנת 2011, והחל כפיילוט במספר רשויות מקומיות. מטרת החוק הינה ייעול יכולת הפיקוח והאכיפה של הרשויות המקומיות בעבירות שבתחום אחריותן וכן סיוע למשטרת ישראל בפעולות למניעת אלימות. לשם כך החוק מסמיך פקחים עירוניים ומסדיר את הקמתו של מערך שיטור עירוני. לאורך השנים הוראת השעה הוארכה מספר פעמים ותחולתה הורחבה לרשויות נוספות.  בתיקון מספר 12 לחוק, תוקן סעיף 23, כך שתוקפו של החוק הוארך לתקופת זמן נוספת ועד ליום כ"ט בתשרי התשפ"ה (31 באוקטובר 2024). </t>
  </si>
  <si>
    <t xml:space="preserve">חוק שירותי הדת היהודיים (תיקון מס' 26), התשפ"ד-2024</t>
  </si>
  <si>
    <t xml:space="preserve"> (מ/1724)</t>
  </si>
  <si>
    <t xml:space="preserve">03.04.2024</t>
  </si>
  <si>
    <t xml:space="preserve">תיקון חוק שירותי הדת היהודיים (תיקון מס' 26) מוסיף את סעיף 11א1, הקובע כי מתוך סכום ההשתתפות הרגיל של הממשלה בכל שנת כספים, יופרש 5% לרזרבה שתשמש לכיסוי הוצאות בלתי צפויות של המועצות הדתיות. הרזרבה תחולק במהלך שלושת החודשים האחרונים של שנת הכספים, בהתאם לקריטריונים שיקבע שר שירותי הדת. אם סכום הרזרבה לא ינוצל, הוא יחולק בין המועצות בהתאם לחלקן היחסי בסכום ההשתתפות הרגיל של הממשלה. תיקון נוסף בסעיף 11ה קובע הוראות ברורות כיצד יתבצע שינוי בחלוקת הרזרבה אם סכום ההשתתפות של הממשלה משתנה במהלך השנה – לפני או אחרי חלוקתה של הרזרבה.</t>
  </si>
  <si>
    <t xml:space="preserve">חוק כליאתם של לוחמים בלתי חוקיים (תיקון מס' 4 והוראת שעה – חרבות ברזל) (תיקון), התשפ"ד–2024</t>
  </si>
  <si>
    <t xml:space="preserve"> (מ/1731)</t>
  </si>
  <si>
    <t xml:space="preserve">חוק כליאתם של לוחמים בלתי חוקיים, התשס"ב–2002, נועד להסדיר את כליאתם של לוחמים בלתי חוקיים, אשר אינם זכאים למעמד של שבויי מלחמה, בדרך העולה בקנה אחד עם מחויבויותיה של מדינת ישראל לפי הוראות המשפט הבין-לאומי ההומניטרי. בין שלל ההסדרים בחוק זה, נכללים גם ביקורת שיפוטית על כליאתו של לוחם בלתי חוקי, זכאותו לפגישה עם עורך דין וייצוגו ותנאי כליאתו.  חוק כליאתם של לוחמים בלתי חוקיים (תיקון מס' 4 והוראת שעה – חרבות ברזל), התשפ"ד–2023, קובע כי במקרה בו הודיעה הממשלה לוועדת החוץ והביטחון של הכנסת על החלטה לפתוח במלחמה או על פעולות צבאיות משמעותיות לפי חוק-יסוד: הממשלה, רשאית היא להכריז כי אלו מצריכות תחולה של הוראות שונות בחוק. הכרזה זו, תתאפשר גם לוועדת השרים לענייני ביטחון לאומי במידה והממשלה האצילה את סמכותה בדבר החלטה על פתיחת מלחמה או נקיטת פעולה צבאית משמעותית. עוד נקבע, בהוראת שעה למשך ארבעה חודשים, הארכה למשך תקופת הכליאה הזמנית של לוחמים בלתי חוקיים, מועד ההבאה בפני שופט והתקופות בהן ניתן למנוע פגישה עם עורך דין. בנוסף, נקבע כי במקרים של שינויים בתחולת החוק תרד דרגת הגורם הצבאי המוסמך לאשר פעולות שונות לפי החוק, וכן יתאפשר קיום דיונים לפי החוק בדרך של היוועדות חזותית.  במסגרת התיקון הוארכה הוראת השעה לעניין התקופות המנויות בחוק כליאתם של לוחמים בלתי חוקיים, בין היתר לעניין משך הוראת כליאה זמנית, מועד ההבאה בפני שופט והתקופות שניתן למנוע בהן פגישה עם עורך דין, וכן לעניין דרגת הדרג הצבאי המאשר פעולות שונות לפי החוק, בשלושה וחצי חודשים עד יום כ"ה בתמוז התשפ"ד (31 ביולי 2024). עוד נקבע כי בית המשפט יהיה רשאי להאריך את מניעת המפגש של כלוא עם עורך דין לתקופה מרבית של 90 ימים, במקום 180 ימים. </t>
  </si>
  <si>
    <t xml:space="preserve">הצעת חוק מעמדן של ההסתדרות הציונית העולמית ושל הסוכנות היהודית לארץ ישראל (תיקון - הסדרת מעמדה של החטיבה להתיישבות בקידום התיישבות כפרית ובעיירות פיתוח), התשפ"ד-2024</t>
  </si>
  <si>
    <t xml:space="preserve"> (פ/4557/25)</t>
  </si>
  <si>
    <t xml:space="preserve">הצעת חוק מערך רפואה מונעת בגוף ביטחוני, התשפ"ד-2024</t>
  </si>
  <si>
    <t xml:space="preserve"> (פ/4555/25)</t>
  </si>
  <si>
    <t xml:space="preserve">הצעת חוק ועדת חקירה לאירועים שקדמו למלחמת חרבות ברזל, התשפ"ד-2024</t>
  </si>
  <si>
    <t xml:space="preserve"> (פ/4554/25)</t>
  </si>
  <si>
    <t xml:space="preserve">הצעת חוק זכאות לאבחון לקויות למידה לילדים ממשפחות מעוטות יכולת, התשפ"ד-2024</t>
  </si>
  <si>
    <t xml:space="preserve"> (פ/4553/25)</t>
  </si>
  <si>
    <t xml:space="preserve">הצעת חוק העונשין (תיקון - החמרת ענישה על החזקת מכשיר לשיבוש תדרי קליטה), התשפ"ד-2024</t>
  </si>
  <si>
    <t xml:space="preserve"> (פ/4552/25)</t>
  </si>
  <si>
    <t xml:space="preserve">הצעת חוק הבחירות (דרכי תעמולה) (תיקון - הגבלות על תעמולת בחירות שבה התייחסות לאנשים שהלכו לעולמם), התשפ"ד-2024</t>
  </si>
  <si>
    <t xml:space="preserve"> (פ/4551/25)</t>
  </si>
  <si>
    <t xml:space="preserve">הצעת חוק העונשין (תיקון - עונש מוות על-תנאי למי שהורשע במעשה טרור של רצח בנסיבות מחמירות), התשפ"ד-2024</t>
  </si>
  <si>
    <t xml:space="preserve"> (פ/4550/25)</t>
  </si>
  <si>
    <t xml:space="preserve">הצעת חוק הסדרת הטיפול בחולי נפש (תיקוני חקיקה), התשפ"ד-2024</t>
  </si>
  <si>
    <t xml:space="preserve"> (פ/4549/25)</t>
  </si>
  <si>
    <t xml:space="preserve">הצעת חוק לתיקון פקודת מס הכנסה (משיכה מקרן השתלמות לתושבי יישובים מפונים) (הוראת שעה - חרבות הברזל), התשפ"ד-2024</t>
  </si>
  <si>
    <t xml:space="preserve"> (פ/4548/25)</t>
  </si>
  <si>
    <t xml:space="preserve">הצעת חוק התקנת מצלמות לשם הגנה על פעוטות במעונות יום לפעוטות (תיקון - החלה על גני ילדים והגברת האכיפה), התשפ"ד-2024</t>
  </si>
  <si>
    <t xml:space="preserve"> (פ/4546/25)</t>
  </si>
  <si>
    <t xml:space="preserve">הצעת חוק הגנה על בסיסי צה"ל (תיקוני חקיקה), התשפ"ד-2024 </t>
  </si>
  <si>
    <t xml:space="preserve"> (פ/4545/25)</t>
  </si>
  <si>
    <t xml:space="preserve">הצעת חוק הצבעת מתנדבי השירות האזרחי (תיקוני חקיקה), התשפ"ד-2024</t>
  </si>
  <si>
    <t xml:space="preserve"> (פ/4544/25)</t>
  </si>
  <si>
    <t xml:space="preserve">הצעת חוק מניעת העסקה של עובד הוראה שהוכשר במוסד שנתמך על ידי ישות מדינית זרה תומכת טרור (תיקוני חקיקה), התשפ"ד-2024</t>
  </si>
  <si>
    <t xml:space="preserve"> (פ/4543/25)</t>
  </si>
  <si>
    <t xml:space="preserve">הצעת חוק סיוע כלכלי לסטודנטים המשרתים במילואים (הוראת שעה - חרבות ברזל), התשפ"ד-2024</t>
  </si>
  <si>
    <t xml:space="preserve"> (פ/4542/25)</t>
  </si>
  <si>
    <t xml:space="preserve">הצעת חוק לתיקון פקודת הרוקחים (תכשיר המכיל בנזודיאזפינים), התשפ"ד-2024</t>
  </si>
  <si>
    <t xml:space="preserve"> (פ/4539/25)</t>
  </si>
  <si>
    <t xml:space="preserve">הצעת חוק חילוט תקבולי עבירה בפשיעה חקלאית, התשפ"ד-2024</t>
  </si>
  <si>
    <t xml:space="preserve"> (פ/4538/25)</t>
  </si>
  <si>
    <t xml:space="preserve">הצעת חוק פרס ישראל, התשפ"ד-2024</t>
  </si>
  <si>
    <t xml:space="preserve"> (פ/4534/25)</t>
  </si>
  <si>
    <t xml:space="preserve">הצעת חוק מימון קייטנות להורים עובדים בפריפריה, התשפ"ד-2024</t>
  </si>
  <si>
    <t xml:space="preserve"> (פ/4533/25)</t>
  </si>
  <si>
    <t xml:space="preserve">הצעת חוק טיפול בחולי נפש (תיקון - בחירת מקום אשפוז), התשפ"ד-2024</t>
  </si>
  <si>
    <t xml:space="preserve"> (פ/4532/25)</t>
  </si>
  <si>
    <t xml:space="preserve">הצעת חוק הנכים (תגמולים ושיקום) (תיקון - ליווי רפואי ומשפטי במהלך הליכי ההכרה כנכה וקביעת דרגת הנכות), התשפ"ד-2024</t>
  </si>
  <si>
    <t xml:space="preserve"> (פ/4530/25)</t>
  </si>
  <si>
    <t xml:space="preserve">הצעת חוק התאמות בבחינות רישוי מקצועיות לחיילי מילואים (תיקוני חקיקה), התשפ"ד-2024</t>
  </si>
  <si>
    <t xml:space="preserve"> (פ/4529/25)</t>
  </si>
  <si>
    <t xml:space="preserve">הצעת חוק הבטחת הכנסה (תיקון - ביטול הוראות מיוחדות לענין נכס שהוא רכב מנועי), התשפ"ד-2024</t>
  </si>
  <si>
    <t xml:space="preserve"> (פ/4528/25)</t>
  </si>
  <si>
    <t xml:space="preserve">הצעת חוק-יסוד: הגנת הסביבה</t>
  </si>
  <si>
    <t xml:space="preserve"> (פ/4527/25)</t>
  </si>
  <si>
    <t xml:space="preserve">הצעת חוק העונשין (תיקון - התארגנות חמושה אסורה), התשפ"ד-2024</t>
  </si>
  <si>
    <t xml:space="preserve"> (פ/4526/25)</t>
  </si>
  <si>
    <t xml:space="preserve">הצעת חוק לתיקון פקודת התעבורה (הוראות לעניין סככות המתנה בתחנות אוטובוס), התשפ"ד-2024</t>
  </si>
  <si>
    <t xml:space="preserve"> (פ/4525/25)</t>
  </si>
  <si>
    <t xml:space="preserve">הצעת חוק העונשין (תיקון - עונשי מינימום בעבירות בחוק העונשין), התשפ"ד-2024</t>
  </si>
  <si>
    <t xml:space="preserve"> (פ/4524/25)</t>
  </si>
  <si>
    <t xml:space="preserve">הצעת חוק הביטוח הלאומי (תיקון - הצמדת קצבת אזרח ותיק לשכר הממוצע במשק והעלאת שיעור הגמלה), התשפ"ד-2024</t>
  </si>
  <si>
    <t xml:space="preserve"> (פ/4519/25)</t>
  </si>
  <si>
    <t xml:space="preserve">הצעת חוק התקשורת (בזק ושידורים) (תיקון - הגנה על קטינים מפני תוכן פוגעני באינטרנט באמצעות אומדן גיל), התשפ"ד-2024</t>
  </si>
  <si>
    <t xml:space="preserve"> (פ/4518/25)</t>
  </si>
  <si>
    <t xml:space="preserve">הצעת חוק הנכים (תגמולים ושיקום) (תיקון - הכרה בפדויי שבי), התשפ"ד-2024</t>
  </si>
  <si>
    <t xml:space="preserve"> (פ/4517/25)</t>
  </si>
  <si>
    <t xml:space="preserve">הצעת חוק הספקת החשמל (הוראת שעה), התשפ"ד–2024</t>
  </si>
  <si>
    <t xml:space="preserve"> (פ/4182/25)</t>
  </si>
  <si>
    <t xml:space="preserve"> (כ/1008)</t>
  </si>
  <si>
    <t xml:space="preserve">הצעת חוק חופשה שנתית (תיקון - אי-קיזוז ימי חופשה למתנדב במסגרת כוחות הביטחון וההצלה בשעת חירום), התשפ"ד-2023</t>
  </si>
  <si>
    <t xml:space="preserve"> (פ/4111/25)</t>
  </si>
  <si>
    <t xml:space="preserve">02.04.2024</t>
  </si>
  <si>
    <t xml:space="preserve">הצעת חוק הביטוח הלאומי (תיקון - תגמול מתנדבי זק"א במלחמת חרבות ברזל), התשפ"ד-2023 </t>
  </si>
  <si>
    <t xml:space="preserve"> (פ/4092/25)</t>
  </si>
  <si>
    <t xml:space="preserve">הצעת חוק למניעת הוצאה של כספים מישראל על ידי מסתנן או נתין זר או עבורו, התשפ"ג-2023</t>
  </si>
  <si>
    <t xml:space="preserve"> (פ/3420/25)</t>
  </si>
  <si>
    <t xml:space="preserve">הצעת חוק לתיקון סדרי הדין (חקירת עדים) (תיקון - עדות קטין בהליך אזרחי), התשפ"ד-2024</t>
  </si>
  <si>
    <t xml:space="preserve"> (פ/4297/25)</t>
  </si>
  <si>
    <t xml:space="preserve">חוק לתיקון פקודת מס הכנסה (מס' 272), התשפ"ד–2024</t>
  </si>
  <si>
    <t xml:space="preserve"> (מ/1726)</t>
  </si>
  <si>
    <t xml:space="preserve">החוק נועד לתת מענה להמלצות הפורום העולמי לשקיפות וחילופי מידע למטרות מס הפועל תחת ה-OECD , בנוגע למידע על בעלי שליטה סופיים בתאגידים ולעולים חדשים ותושבים חוזרים ותיקים. החוק מחייב דיווח על בעלי שליטה ותושבותם במסגרת דיווחי נאמנות ובדו"ח השנתי. כמו כן, מבטל את הפטור מדיווח על הכנסות עולים חדשים ותושבים חוזרים ותיקים, אך אינו משנה את הפטור ממס הקבוע בסעיף 14 לפקודה לתקופה של עשר שנים. הדיווחים יתאפשרו בשפת המקור ויונגשו באמצעות תרגום טפסים. בנוסף, רשות המסים תוכל למסור מידע מזהה למוסדות פיננסיים לצורך יישום הסכמים בין-לאומיים בלבד, ולא תעשה בו שימוש לצרכים אחרים. </t>
  </si>
  <si>
    <t xml:space="preserve">חוק שוויון זכויות לאנשים עם מוגבלות (תיקון מס' 25), התשפ"ד-2024</t>
  </si>
  <si>
    <t xml:space="preserve"> (מ/1638)</t>
  </si>
  <si>
    <t xml:space="preserve">נקבע כי חברות ממשלתיות וחברות בת ממשלתיות המעסיקות 100 עובדים לפחות יחויבו לפעול לייצוג הולם של אנשים עם מוגבלות בקרב עובדיהם כפי שקבוע היום החוק לגבי גופים ציבוריים שהם מעסיקים גדולים. נקבע כי הוראות אלה יכנסו לתוקף ב-7 באפריל 2025 וכי התחולה תהיה מדורגת כך שבשנה הראשונה יהיה יעד הייצוג ההולם 3.5% מהעובדים ורק בתום השנה האמורה יהיה יעד הייצוג  5% מהעובדים. נוסף על כך, בשל העברת סמכויות משר הכלכלה והתעשייה לשר העבודה, נקבעו תיקונים שונים להוראות בחוק אשר קובעות סמכות לשר הכלכלה והתעשייה או למשרד הכלכלה והתעשייה.</t>
  </si>
  <si>
    <t xml:space="preserve">חוק לתיקון ולהארכת תוקפן של תקנות שעת חירום (חרבות ברזל) (פגישה עם עורך דין של עצור בעבירת ביטחון) (תיקון), התשפ"ד-2024</t>
  </si>
  <si>
    <t xml:space="preserve"> (מ/1737)</t>
  </si>
  <si>
    <t xml:space="preserve">החוק מאריך את תוקפן של תקנות שעת חירום המאפשרות מניעת פגישה של עצורים ביטחוניים, הקשורים לפעולות האיבה שהתרחשו בין ה-7 באוקטובר לבין ה-10 באוקטובר 2023 או למלחמה בעזה, עם עורכי הדין שלהם. בנוסף, התיקון קובע כי המניעה תחול עד לתום 60 ימים מהמועד הראשוני שבו החלה מניעת הפגישה של העצורים, אלא אם נמצא בהליך אישור מיוחד טעם להארכה לאור חשש לפגיעה בחיי אדם הקשורה לפעולות המלחמה. במקרה שכזה, רשאי בית המשפט המחוזי להאריך את התקופה  עד ל-120 ימים. התקנות יעמדו בתוקף עד ה-18 ביוני 2024.</t>
  </si>
  <si>
    <t xml:space="preserve">הצעת חוק חובת מיגון לנכים, לקשישים, לאלו שידם אינה משגת, לאזרחים שיש בידם דירת מגורים אחת בלבד ולמתגוררים ביישובי קו העימות, התשפ"ד-2023</t>
  </si>
  <si>
    <t xml:space="preserve"> (פ/4132/25)</t>
  </si>
  <si>
    <t xml:space="preserve">01.04.2024</t>
  </si>
  <si>
    <t xml:space="preserve">הצעת חוק למניעת פגיעה כלכלית בצרכן (תיקוני חקיקה), התשפ"ד-2024</t>
  </si>
  <si>
    <t xml:space="preserve"> (פ/4364/25)</t>
  </si>
  <si>
    <t xml:space="preserve">חוק מגבלות על חזרתו של מורשע במעשה טרור לסביבת נפגעי העבירה, התשפ"ד-2024</t>
  </si>
  <si>
    <t xml:space="preserve"> (פ/2852/25)</t>
  </si>
  <si>
    <t xml:space="preserve"> (כ/993)</t>
  </si>
  <si>
    <t xml:space="preserve">מטרת חוק זה היא להגן על נפגע עבירת טרור ולמנוע נזק נוסף, שעלול להיגרם לו מהיתקלות בפעיל טרור שפגע בו, בלי לפגוע במידה העולה על הנדרש בזכויותיו של פעיל הטרור.  הסדר דומה נקבע בעבר לגבי עברייני מין, בחוק מגבלות על חזרתו של עבריין מין לסביבת נפגע העבירה, התשס"ה–2004. החוק קובע כי בית המשפט יהיה רשאי להטיל מגבלות על חזרתו של מורשע בעבירות טרור לסביבת נפגעי עבירה, המתייחסות למגורים, לעבודה או ללימודים במוסד לימודים בקרבת מקום המגורים או מקום העבודה של נפגע העבירה או מוסד הלימודים שנפגע העבירה לומד בו.  בקשה להטלת מגבלות תוגש בידי נפגע עבירה, מי מטעמו או התובע, לפני שחרורו של פעיל הטרור מהמאסר או בתוך שישה חודשים לאחר שחרורו, ואילו בית המשפט רשאי לדון בבקשה שהוגשה בחלוף שישה חודשים אם מצא שיש בכך צורך מטעמים מיוחדים שיירשמו. בית המשפט יבחן את הבקשה, ורשאי הוא להטיל מגבלות כאמור, ובלבד ששוכנע, לאחר שקיים דיון בעניין, כי יש צורך בהן בשל נזק נפשי שעלול להיגרם לנפגע העבירה אם פעיל הטרור יתגורר, יעבוד או ילמד בקרבת מקום מגוריו, מקום עבודתו או מוסד הלימודים בו הוא לומד, וזאת לצד שיקולים נוספים שהביא בחשבון כגון נסיבות עבירת הטרור וחומרתה. בעת קביעת המגבלות כאמור, בית המשפט יקבע גם את תקופת הזמן בה יחולו המגבלות, האזור בו יחולו המגבלות, וכן יהיה רשאי למנות מומחה מטעמו בכדי לחוות דעתו על מצב נפגע העבירה, ולתת הערכה בדבר הנזק הנפשי שעלול להיגרם לנפגע העבירה עקב מגורים, עבודה או לימודים של פעיל הטרור בקרבת מקום מגוריו, עבודתו או מוסד לימודיו של נפגע העבירה.   בנוסף, נקבעו זכות עיון חוזר, ערר וערעור למבצע העבירה שהוטלו עליו המגבלות האמורות, וכן חובת דיווח של שר המשפטים לוועדה לביטחון לאומי של הכנסת, אחת לשנה, במשך חמש שנים החל מתום שנה מיום תחילתו של החוק בנוגע לאכיפת החוק, לרבות מספר הבקשות שהוגשו להטלת מגבלות, מספר הצווים שניתנו להטלת מגבלות, סוג המגבלות שהוטלו והתקופות שנקבעו להן.  </t>
  </si>
  <si>
    <t xml:space="preserve">חוק לתיקון פקודת העיריות (מס' 157) , התשפ"ד–2024</t>
  </si>
  <si>
    <t xml:space="preserve"> (פ/3168/25)</t>
  </si>
  <si>
    <t xml:space="preserve"> (כ/974)</t>
  </si>
  <si>
    <t xml:space="preserve">תיקון החוק קובע כי סמכות שר הפנים לחלוקת הכנסות מארנונה בין רשויות מקומיות סמוכות או גובלות באזור שאיננו אזור למגורים בלבד, תורחב גם למקרים בהם הרשויות הסמוכות או הגובלות המקבלות נמצאות באזור יהודה ושומרון.</t>
  </si>
  <si>
    <t xml:space="preserve">חוק להסדרת הפיקוח על כלבים (תיקון מס' 6 – הוראת שעה – חרבות ברזל), התשפ"ד–2024 </t>
  </si>
  <si>
    <t xml:space="preserve"> (מ/1725)</t>
  </si>
  <si>
    <t xml:space="preserve">חוק להסדרת הפיקוח על כלבים, התשס"ה-2005 קובע כי לאחר עשרה ימים בכלבייה עירונית, כלב ללא בעלים יכול להימסר למערכת הביטחון, או לגורם אחר שקבע השר בתקנות – ואלו הם בעלים חדשים, ארגון למען בעלי חיים או עמותה שעיסוקה בהכשרת כלבי נחייה. אם לא ניתן למוסרו, רשאי הווטרינר העירוני להורות על המתת הכלב. בעקבות מלחמת חרבות ברזל והרס גדר המערכת המקיפה את רצועת עזה, נכנסו כלבים רבים מעזה לשטחי מדינת ישראל המקיפים את הרצועה. כלבים אלו אינם מבויתים, לרוב חיים בלהקות ותרים אחר כל מזון שיוכלו להשיג בתנאים החדשים שנוצרו. היות והם אינם רגילים לחברת בני אדם, יש חשש כי הם יתקפו בני אדם ובעלי חיים והטענה היא כי אף קרו מספר מקרים כאלו. כניסת הכלבים מרצועת עזה העצימה את בעיית הכלבים המשוטטים והעזובים שכבר קיימת בישראל. רשויות מקומיות בטווח ה-20 ק"מ מהרצועה מתקשות להתמודד עם בעיית הכלבים המשוטטים בשטחן. בשגרה, כלבים משוטטים שנתפסים בשטח רשות מקומית, מועברים ומוחזקים בכלביות. במצב החדש שנוצר, הכלביות מתמלאות מהר ולא ניתן לקלוט בהן את כל הכלבים שנתפסים, כלבים רבים אינם ניתנים לאימוץ או שיקום והם חווים סבל בהיותם כלואים בכלובים בכלביות.  לפיכך, התיקון לחוק קובע, בהוראת שעה עד ה-30 בנובמבר 2024 או עד תום תוקפה של ההכרזה על מצב מיוחד בעורף, לפי המוקדם, כי וטרינר עירוני של רשות מקומית בטווח של עד 20 קילומטרים מגדר המערכת המקיפה את רצועת עזה, יהיה רשאי להורות על המתת כלב שאינו מסומן ושנתפס בטווח ה-20 קילומטרים כאמור, וזאת אף אם טרם חלפו עשרה ימים מיום הבאתו לכלבייה העירונית.  התיקון לחוק מעגן מערכת שיקולים שעל הרופא הווטרינר לשקול בטרם יחליט על המתת הכלב, בין השאר, האם הכלב עלול להוות סכנה לשלום הציבור או בטחונו בשל התנהגותו, האם לא ניתן להחזיקו בכלביות מחמת בריאותו או התנהגותו או אם אינו בר אימוץ. עוד נקבע כי המתה כאמור תתאפשר רק לאחר השארתו של הכלב ארבעה ימים לפחות בכלבייה, וזאת כדי לתת לווטרינר העירוני אפשרות לבחון את מצבו של הכלב בטרם קבלת ההחלטה. כמו כן, נקבע כי כל המתה של כלב, תחייב את הווטרינר לנמק את החלטתו. אם החליט הווטרינר העירוני כי הכלב הינו בר אימוץ יהיה עליו להודיע על כך למערכת הביטחון או לגוף אחר שקבע השר כאמור, כי ניתן להעביר אליו את הכלב. במקרה כזה לא יחול קיצור הזמן של 4 ימים, וניתן יהיה להשאירו בכלבייה 10 ימים כפי שקבוע היום בחוק. עוד נקבע כי שר החקלאות ופיתוח הכפר, באישור ועדת הכלכלה של הכנסת ולאחר התייעצות עם מנהל השירותים הווטרינריים במשרד החקלאות ופיתוח הכפר, יהיה רשאי להפעיל סמכות דומה בעניינם של כלבים משוטטים לא מסומנים בתחומי רשויות מקומיות בטווח שיקבע השר מגבול לבנון, אם מצא השר שמתקיימות נסיבות המצדיקות זאת, בשל כניסה נרחבת וחריגה של כלבים שאינם מסומנים מלבנון לשטח ישראל, עקב פריצת גדר המערכת.  כמו כן, נקבעו סעיפי דיווח של שר החקלאות ופיתוח הכפר לוועדת הכלכלה של הכנסת על יישום הוראת השעה, וזאת בסמוך לאחר סיום תקופת הוראת השעה. הדיווח יכלול בין היתר נתונים לגבי כלבים שהומתו, השיקולים שנשקלו וכן דיווח על פעולות משרד החקלאות בתקופת הוראת השעה ובטווח הקבוע לטיפול בכלבים המשוטטים. דיווח כאמור יימסר גם לגבי אזור גבול הצפון אם ייקבע כי הוראת השעה תחול גם עליו. לצורך הדיווח של שר החקלאות לוועדה, הווטרינרים העירוניים יחויבו להעביר למשרד החקלאות דיווח חודשי על מספר הכלבים שנתפסו והומתו בכלביות.  </t>
  </si>
  <si>
    <t xml:space="preserve">חוק מניעת פגיעת גוף שידורים זר בביטחון המדינה (הוראת שעה – חרבות ברזל), התשפ"ד-2024</t>
  </si>
  <si>
    <t xml:space="preserve"> (מ/1720)</t>
  </si>
  <si>
    <t xml:space="preserve">נקבע כהוראת שעה לארבעה חודשים, עד מועד סיום ההכרזה על מצב מיוחד בעורף או עד לסיום הפעולות הצבאיות המשמעותיות, לפי המוקדם שבהם, כי במידה וראש הממשלה שוכנע כי התכנים המשודרים בערוץ זר המשדר בישראל פוגעים באופן ממשי בביטחון המדינה, שר התקשורת יהיה רשאי, בהסכמת ראש הממשלה ובאישור ועדת השרים לענייני ביטחון לאומי או הממשלה להורות על פעולות למניעת או הפסקת פעילות של ערוץ זר, לרבות סגירת משרדי הערוץ הנמצאים בישראל, תפיסת מכשיר המשמש לאספקת תוכני הערוץ והסרת אתר האינטרנט של הערוץ. הוראה זו, תיכנס לתוקפה עם מסירתה למי שהיא חלה עליו ותפורסם ברשומות. זאת ועוד, נקבע כי הוראה כאמור תינתן לאחר שתוצג בפני ראש הממשלה ושר התקשורת חוות דעת מקצועית אחת לפחות מגורמי הביטחון, ובכלל זה תשתית עובדתית; ובלבד שטרם אישורה של ועדת השרים לענייני ביטחון לאומי או הממשלה, יוצגו בפניה חוות הדעת מטעם גורמי הביטחון.  עוד נקבע כי תוקף הוראות אלו יהיה למשך ארבעים וחמישה ימים, ואולם אם ראש הממשלה שוכנע כי ימשיכו להתקיים התנאים כאמור לאחר התקופה האמורה, שר התקשורת יהיה רשאי בהסכמת ראש הממשלה ובאישור ועדת השרים לענייני ביטחון לאומי או הממשלה, להאריך את תקופת תוקפה לתקופה שלא תעלה על ארבעים וחמישה ימים נוספים בכל פעם ובכפוף להצגת חוות דעת מקצועית כאמור.  כמו כן, נקבע כי הוראה של שר התקשורת כאמור, ובפרט הארכתה, תובא לפני נשיא בית משפט מחוזי או סגנו בהקדם האפשרי ולא יאוחר מ-24 שעות משעת כניסתה לתוקף, והוא ידון בה בתוך שלושה ימים ממסירתה, ויחליט האם לשנותה או לקצוב את תקופת תוקפה.  </t>
  </si>
  <si>
    <t xml:space="preserve">הצעת חוק עבודת נשים (תיקון - זכות להיעדר מעבודה בעת שירות מילואים של בן הזוג), התשפ"ד-2024</t>
  </si>
  <si>
    <t xml:space="preserve"> (פ/4515/25)</t>
  </si>
  <si>
    <t xml:space="preserve">הצעת חוק הביטוח הלאומי (תיקון - עדכון לוח ח'), התשפ"ד-2024</t>
  </si>
  <si>
    <t xml:space="preserve"> (פ/4514/25)</t>
  </si>
  <si>
    <t xml:space="preserve"> (פ/4513/25)</t>
  </si>
  <si>
    <t xml:space="preserve">הצעת חוק האזרחים הוותיקים (תיקון - תור שנקבע בתיאום מראש), התשפ"ד-2024</t>
  </si>
  <si>
    <t xml:space="preserve"> (פ/4512/25)</t>
  </si>
  <si>
    <t xml:space="preserve">הצעת חוק לעידוד השקעות הון (תיקון - השכרה לטווח ארוך במסלול זכאות לרכישה), התשפ"ד-2024</t>
  </si>
  <si>
    <t xml:space="preserve"> (פ/4511/25)</t>
  </si>
  <si>
    <t xml:space="preserve"> (פ/4508/25)</t>
  </si>
  <si>
    <t xml:space="preserve"> (פ/4507/25)</t>
  </si>
  <si>
    <t xml:space="preserve">הצעת חוק הביטוח הלאומי (תיקון - זכאות לקצבת אזרח ותיק לנכה), התשפ"ד-2024</t>
  </si>
  <si>
    <t xml:space="preserve"> (פ/4506/25)</t>
  </si>
  <si>
    <t xml:space="preserve">הצעת חוק לתיקון פקודת העיריות (קביעת שירותי תחבורה ציבורית בתחומי הרשות המקומית), התשפ"ד-2024</t>
  </si>
  <si>
    <t xml:space="preserve"> (פ/4504/25)</t>
  </si>
  <si>
    <t xml:space="preserve">הצעת חוק הביטוח הלאומי (תיקון - דמי ביטוח מופחתים למעסיק קולט עלייה), התשפ"ד-2024</t>
  </si>
  <si>
    <t xml:space="preserve"> (פ/4503/25)</t>
  </si>
  <si>
    <t xml:space="preserve">הצעת חוק ביטול מאסר חלף קנס (תיקוני חקיקה), התשפ"ד-2024</t>
  </si>
  <si>
    <t xml:space="preserve"> (פ/4502/25)</t>
  </si>
  <si>
    <t xml:space="preserve">הצעת חוק חובת המכרזים (תיקון - עידוד אגודות שיתופיות ותאגידים שחל עליהם הסכם קיבוצי מיוחד), התשפ"ד-2024</t>
  </si>
  <si>
    <t xml:space="preserve"> (פ/4501/25)</t>
  </si>
  <si>
    <t xml:space="preserve">הצעת חוק העונשין (תיקון - מרחק סביר משוטר בעת מילוי תפקידו), התשפ"ד-2024 </t>
  </si>
  <si>
    <t xml:space="preserve"> (פ/4500/25)</t>
  </si>
  <si>
    <t xml:space="preserve">הצעת חוק הרשות הלאומית לעידוד הגירה ומאבק במסתננים מארצות אסיה ואפריקה, התשפ"ד-2024</t>
  </si>
  <si>
    <t xml:space="preserve"> (פ/4499/25)</t>
  </si>
  <si>
    <t xml:space="preserve">הצעת חוק ערבויות מטעם המדינה (תיקון - חיוב תאגיד בנקאי במתן הלוואה), התשפ"ד-2024</t>
  </si>
  <si>
    <t xml:space="preserve"> (פ/4498/25)</t>
  </si>
  <si>
    <t xml:space="preserve">הצעת חוק הגבלת אספקת שירותים ומוצרים לגורמי ביטחון, התשפ"ד-2024</t>
  </si>
  <si>
    <t xml:space="preserve"> (פ/4496/25)</t>
  </si>
  <si>
    <t xml:space="preserve"> (פ/4495/25)</t>
  </si>
  <si>
    <t xml:space="preserve">הצעת חוק פיתוח והתחדשות של יישובים באזור חבל תקומה (הוראת שעה), התשפ"ד-2024</t>
  </si>
  <si>
    <t xml:space="preserve"> (פ/4494/25)</t>
  </si>
  <si>
    <t xml:space="preserve"> (פ/4493/25)</t>
  </si>
  <si>
    <t xml:space="preserve">הצעת חוק ביטוח בריאות ממלכתי (תיקון - ניטור זמינות שירותי רפואה), התשפ"ד-2024</t>
  </si>
  <si>
    <t xml:space="preserve"> (פ/4492/25)</t>
  </si>
  <si>
    <t xml:space="preserve">הצעת חוק לתיקון פקודת המשטרה (המחלקה לחקירת שוטרים), התשפ"ד-2024</t>
  </si>
  <si>
    <t xml:space="preserve"> (פ/4491/25)</t>
  </si>
  <si>
    <t xml:space="preserve">הצעת חוק הנכים (תגמולים ושיקום) (תיקון - קביעת מועד להחלטה בבקשות הכרה ולקביעת דרגת נכות), התשפ"ד-2024</t>
  </si>
  <si>
    <t xml:space="preserve"> (פ/4490/25)</t>
  </si>
  <si>
    <t xml:space="preserve">הצעת חוק משק החשמל (תיקון - סקירת השפעות על הסביבה), התשפ"ד-2024</t>
  </si>
  <si>
    <t xml:space="preserve"> (פ/4487/25)</t>
  </si>
  <si>
    <t xml:space="preserve">הצעת חוק העונשין (תיקון - מאבק בפשיעה חקלאית), התשפ"ד -2024 </t>
  </si>
  <si>
    <t xml:space="preserve"> (פ/4484/25)</t>
  </si>
  <si>
    <t xml:space="preserve">הצעת חוק ההתיישנות (תיקון - הרחבת הזכות לתביעה בגין עבירות שהוגש בהם כתב אישום), התשפ"ד-2024</t>
  </si>
  <si>
    <t xml:space="preserve"> (פ/4483/25)</t>
  </si>
  <si>
    <t xml:space="preserve">הצעת חוק לתיקון פקודת התעבורה (איסור התניית שכר לנציג בעל רישיון להפעלת קו אוטובוס כנגד מתן קנס לנוסע בלא כרטיס), התשפ"ד-2024</t>
  </si>
  <si>
    <t xml:space="preserve"> (פ/4482/25)</t>
  </si>
  <si>
    <t xml:space="preserve">הצעת חוק הגנת הצרכן (תיקון - מענה אנושי בשירות טלפוני לאזרח ותיק), התשפ"ד-2024</t>
  </si>
  <si>
    <t xml:space="preserve"> (פ/4481/25)</t>
  </si>
  <si>
    <t xml:space="preserve">הצעת חוק הרשויות המקומיות (בחירת ראש הרשות וסגניו וכהונתם) (תיקון - הגבלת כהונה שלישית לראש רשות), התשפ"ד-2024</t>
  </si>
  <si>
    <t xml:space="preserve"> (פ/4479/25)</t>
  </si>
  <si>
    <t xml:space="preserve">הצעת חוק הגנה על בריאות הציבור (מזון) (תיקון - שאריות חומרי הדברה במזון), התשפ"ד-2024</t>
  </si>
  <si>
    <t xml:space="preserve"> (פ/4478/25)</t>
  </si>
  <si>
    <t xml:space="preserve">הצעת חוק הנכים (תגמולים ושיקום) (תיקון - אחריות תקציבית), התשפ"ד-2024</t>
  </si>
  <si>
    <t xml:space="preserve"> (פ/4477/25)</t>
  </si>
  <si>
    <t xml:space="preserve">הצעת חוק סל הקליטה (תיקון - זכאות לדיור ציבורי), התשפ"ד-2024</t>
  </si>
  <si>
    <t xml:space="preserve"> (פ/4475/25)</t>
  </si>
  <si>
    <t xml:space="preserve">הצעת חוק הנכים (תגמולים ושיקום) (תיקון - ראש אגף שיקום נכים), התשפ"ד-2024</t>
  </si>
  <si>
    <t xml:space="preserve"> (פ/4474/25)</t>
  </si>
  <si>
    <t xml:space="preserve">הצעת חוק הנכים (תגמולים ושיקום) (תיקון - העברת תגמולים וזכאויות לבן משפחה של נכה), התשפ"ד-2024</t>
  </si>
  <si>
    <t xml:space="preserve"> (פ/4471/25)</t>
  </si>
  <si>
    <t xml:space="preserve">הצעת חוק הכניסה לישראל (תיקון - החמרת הענישה בעבירות של הסעה, הלנה והעסקה שלא כדין של שוהים בלתי חוקיים), התשפ"ד-2024</t>
  </si>
  <si>
    <t xml:space="preserve"> (פ/4409/25)</t>
  </si>
  <si>
    <t xml:space="preserve">31.03.2024</t>
  </si>
  <si>
    <t xml:space="preserve">הצעת חוק הבחירות לכנסת (תיקון - הצבעה של אזרחים המשרתים שירות לאומי אזרחי בחוץ לארץ), התשפ"ג-2023</t>
  </si>
  <si>
    <t xml:space="preserve"> (פ/3153/25)</t>
  </si>
  <si>
    <t xml:space="preserve">28.03.2024</t>
  </si>
  <si>
    <t xml:space="preserve">חוק העונשין (תיקון מס' 149), התשפ"ד–2024</t>
  </si>
  <si>
    <t xml:space="preserve"> (פ/2415/25)</t>
  </si>
  <si>
    <t xml:space="preserve"> (כ/994)</t>
  </si>
  <si>
    <t xml:space="preserve">27.03.2024</t>
  </si>
  <si>
    <t xml:space="preserve">החוק עוסק בתוספות פיגור בגין איחור בתשלום קנסות פליליים, בין שהוטלו על ידי בית המשפט בסוף הליך פלילי לפי חוק העונשין, ובין שהוטלו בקנס שניתן בברירת משפט על ידי פקח או שוטר, מכוח חוק סדר הדין הפלילי או חוק העבירות המינהליות. מטרתו של התיקון לייצר תמריץ לתשלום קנסות במועד, בלי להכביד בצורה מופרזת על החייב. החוק קובע כי תוספת הפיגור על קנס שלא שולם במועד תעמוד על 30% מקרן הקנס או מחלקה שטרם שולם, זאת במקום 50% שהיו קבועים בחוק טרם התיקון. עוד נקבע שמהמועד האמור ועד לתשלום בפועל, יתווספו לקרן הקנס ריבית שקלית ודמי פיגורים, כך שבמקום תוספת פיגור של 5% נוספים בכל חצי שנה בתקופת האיחור בתשלום, יחולו הוראות חוק פסיקת ריבית והצמדה, התשכ"א–1961 ודמי הפיגורים יצטרפו לחוב אחת לשלושה חודשים, ללא מנגנון של "ריבית דריבית". בכך, החוק משלים את הרפורמה שנעשתה בתחום תוספות הפיגור בחוק פסיקת ריבית והצמדה (תיקון מס' 9), התשפ"ד–2023, ומוביל לכך שדמי פיגורים וריבית שקלית כהגדרתם בתיקון 9 יתווספו למרבית החובות שלא שולמו במועד, עד התשלום בפועל – חובות אזרחיים, מנהליים ופליליים. החוק יכנס לתוקף ב-1 לינואר 2025. </t>
  </si>
  <si>
    <t xml:space="preserve">הצעת חוק איסור ביזוי אנשי כוחות הביטחון ופגיעה בכבודם, התשפ"ד-2023</t>
  </si>
  <si>
    <t xml:space="preserve"> (פ/4135/25)</t>
  </si>
  <si>
    <t xml:space="preserve">הצעת חוק למניעת חרם חברתי בבתי ספר, התשפ"ג-2023</t>
  </si>
  <si>
    <t xml:space="preserve"> (פ/3829/25)</t>
  </si>
  <si>
    <t xml:space="preserve"> (פ/4262/25)</t>
  </si>
  <si>
    <t xml:space="preserve">26.03.2024</t>
  </si>
  <si>
    <t xml:space="preserve">חוק לתיקון פקודת העיריות (מס' 156 – הוראת שעה – החלטה על הטלת ארנונה כללית לגבי שנת הכספים 2024), התשפ"ד–2024</t>
  </si>
  <si>
    <t xml:space="preserve"> (מ/1729)</t>
  </si>
  <si>
    <t xml:space="preserve">נקבע שלעניין שנת הכספים הנוכחית, ברשויות מקומיות בהן התקיימו הבחירות לראש הרשות עד ה-31.03, תוכל המועצה להחליט על הארנונה הכללית עד שלושה חודשים מיום תחילת כהונתה. בנוסף, ברשויות מקומיות בהן הבחירות לראש העירייה לא התקיימו עד ה-31.03, תתקבל החלטת המועצה על הארנונה הכללית עד ה-15.04. בנוסף קוצר הזמן לאישור השרים לבקשה בשינוי גובה הארנונה לשנה זו לארבעה חודשים ולא לשישה כפי שמופיע בחוק כיום. </t>
  </si>
  <si>
    <t xml:space="preserve">חוק איסור התערבות גנטית (שיבוט אדם ושינוי גנטי בתאי רבייה) (תיקון מס' 5), התשפ"ד-2024</t>
  </si>
  <si>
    <t xml:space="preserve"> (מ/1721)</t>
  </si>
  <si>
    <t xml:space="preserve">תוקף החוק הוארך ב-4 שנים נוספות, זאת בעקבות המלצת הוועדה המייעצת (ועדת הלסינקי העליונה לניסויים בבני אדם), שעל בסיס המלצותיה החוק מוארך מדי מספר שנים. עוד נקבע להרחיב את האיסור לפי החוק על שיבוט או על שימוש בתאי רבייה (זרע וביצית) שעברו שינוי גנטי מכוון על מנת להוליד אדם, כך שיכלול גם איסור על שימוש בתאים שאינם תאי רבייה ולמעשה על כל סוגי התאים. בהתאמה, עודכן סעיף העבירה הפלילית על ביצוע פעולות בניגוד לחוק גם בתאים שאינם תאי רבייה.</t>
  </si>
  <si>
    <t xml:space="preserve">חוק לשכת עורכי הדין (תיקון מס' 43), התשפ"ד–2024</t>
  </si>
  <si>
    <t xml:space="preserve"> (פ/4321/25)</t>
  </si>
  <si>
    <t xml:space="preserve"> (כ/1001)</t>
  </si>
  <si>
    <t xml:space="preserve">החוק מצמצם את ההגבלה על הכהונה בוועדות האתיקה של לשכת עורכי הדין, כך שבמקום שתי תקופות כהונה רצופות יהיה ניתן לכהן בהן עד שלוש תקופות כהונה רצופות. ועדת האתיקה היא ועדה סטטוטורית, האמונה בין היתר על דיון בתלונות נגד עורכי דין, על מתן חוות דעת מקדימות ועל העמדה לדין בענייני משמעת של עורכי דין, ועל השעיית עורכי דין במקרים בהם הוגש כתב אישום בשל עבירה פלילית שיש עמה קלון.</t>
  </si>
  <si>
    <t xml:space="preserve">חוק תובענות ייצוגיות (תיקון מס' 15), התשפ"ד-2024</t>
  </si>
  <si>
    <t xml:space="preserve"> (מ/1625)</t>
  </si>
  <si>
    <t xml:space="preserve">התיקון לחוק קובע כי שר המשפטים רשאי, באישור ועדת החוקה חוק ומשפט של הכנסת, לשנות בצו פרטים בתוספת השנייה לחוק, לאחר התייעצות עם שר האוצר, וזאת בשונה מהדין שהיה קיים ולפיו שר המשפטים יכול רק להוסיף פרטים לתוספת השנייה. כמו כן, תוקן פריט 11 לתוספת השנייה, ונקבע כי תביעה ייצוגית כלפי רשות מקרקעי ישראל, להשבת סכומים שגבתה שלא כדין, במסגרת פעילותה לפי חוק רשות מקרקעי ישראל, התש"ך–1960, תוגש לפי פריט 11 בלבד. משמעות תיקון זה כי לרשות מקרקעי ישראל תהיינה ההגנות שניתנו למדינה ובכלל זה האפשרות להימנע מאישור התביעה כתובענה אזרחית אם הרשות הודיעה על חדילה, וכן הגבלת תקופת ההשבה לשנתיים בלבד.</t>
  </si>
  <si>
    <t xml:space="preserve">חוק איסור פרסומת והגבלת השיווק של מוצרי טבק ועישון (תיקון מס' 9), התשפ"ד–2024</t>
  </si>
  <si>
    <t xml:space="preserve"> (פ/3487/25)</t>
  </si>
  <si>
    <t xml:space="preserve"> (כ/995)</t>
  </si>
  <si>
    <t xml:space="preserve">חוק איסור פרסומת והגבלת השיווק של מוצרי טבק ועישון, התשמ"ג–1983 (להלן – החוק), קובע הגבלות על פרסומת ושיווק של מוצרי טבק ועישון כדי לצמצם את חשיפת הציבור בכלל וצעירים ומעשנים לשעבר בפרט למוצרים אלו, הגורמים נזק בריאותי כבד לאדם הצורך אותם, וכן לסביבתו באמצעות עישון פסיבי. החוק קובע כי חפיסות ואריזות של מוצרי עישון חייבות להיות אחידות וקובע הוראות ואיסורים נוספים לגביהן, ובין השאר הוא מטיל חובת פרסום אזהרה בדבר נזקי העישון על גבי החפיסה או האריזה של מוצר העישון, מחייב גוון מסוים של החפיסה או האריזה ומחייב את סימונה בסימונים כמפורט בחוק ובהם בלבד. מוצר עישון מוגדר בחוק בהגדרה רחבה, ונכללים בה בין השאר מוצרי טבק, מוצרים המשמשים לעישון טבק וסיגריות אלקטרוניות. התיקון לחוק קובע חובה להציג תמונה של נזקי העישון על גבי חפיסה או אריזה של מוצר עישון. עוד נקבע בתיקון כי הפרת החובה בדבר הצגת של תמונה כאמור תהיה עבירה פלילית, בדומה להפרת החובה בדבר ציון אזהרה על נזקי עישון, המנויה ברשימת העבירות החמורות לפי החוק. העונש הקבוע על הפרת החובה כאמור הוא קנס בסכום השווה כיום ל-226,000 שקלים חדשים וכפל סכום זה אם העבירה מבוצעת על ידי תאגיד. כמו כן, נקבע כי שר הבריאות, באישור ועדת הכלכלה של הכנסת, יקבע, בתקנות חובה את התמונות השונות שיוצגו, וכן הוראות לעניין התמונות – גודלן וצורתן ביחס לגודל האריזה וצורתה, עיצובן, אופן הצגתן, תדירות החלפתן התאמת התמונות לאזהרות, וכן מיקומן של התמונות על גבי האריזות – בהתייחס לסוגים שונים של אריזות. עוד נקבע כי שר הבריאות רשאי לקבוע הוראות שונות ותמונות שונות לסוגים שונים של מוצרי עישון, וכן לקבוע כי החובה להציג תמונה על גבי חפיסה או אריזה של מוצר עישון תחול רק על מוצר או מוצרי עישון מסוימים. מכיוון שכניסת התיקון המוצע לתוקף תלויה בהתקנת תקנות, וכדי למנוע עיכוב בכניסתה לתוקף של החובה להציג על גבי חפיסה או אריזה של מוצר עישון תמונה של נזקי העישון, נקבע כי תקנות ראשונות יובאו לאישור ועדת הכלכלה בתוך תשעה חודשים מיום תחילתו של התיקון. </t>
  </si>
  <si>
    <t xml:space="preserve">חוק התגמולים לנפגעי פעולות איבה (תיקון מס' 44), התשפ"ד-2024</t>
  </si>
  <si>
    <t xml:space="preserve"> (מ/1696)</t>
  </si>
  <si>
    <t xml:space="preserve">החוק קובע כי המוסד לביטוח לאומי יהיה אחראי לניהולו, להפעלתו ולאחזקתו של היכל ההנצחה לזכר חללי פעולות האיבה שעתיד להיבנות בהר הרצל בירושלים. אוצר המדינה ישפה את המוסד בשל כך בסכום שלא יפחת ממיליון שקלים חדשים מדי שנה, החל בשנת 2026 או בשנת הקמת ההיכל, לפי המאוחר. סכום זה יוצמד מדי שנה למדד המחירים לצרכן.</t>
  </si>
  <si>
    <t xml:space="preserve">חוק התגמולים לנפגעי פעולות איבה (תיקון מס' 43), התשפ"ד-2024</t>
  </si>
  <si>
    <t xml:space="preserve"> (פ/881/25)</t>
  </si>
  <si>
    <t xml:space="preserve"> (כ/971)</t>
  </si>
  <si>
    <t xml:space="preserve">נקבע כי יש לאפשר לנפגעי פעולות איבה ולנכי צה"ל שנפגעו ממעשה טרור, וכן לבני משפחותיהם של מי שנספו כתוצאה ממנו, לגבות לפחות 75% מהפיצויים הנזיקיים שמגיעים להם בשל מעשה הטרור ממבצע מעשה הטרור, מהמתגמל שלו או ממי שאחראי לו לפי סעיפים 12 עד 14 לפקודת הנזיקין, וזאת בנוסף על התגמולים המגיעים להם לפי חוקי השיקום (חוק התגמולים לנפגעי פעולות איבה, התש"ל–1970, חוק הנכים (תגמולים ושיקום), התשי"ט–1959 [נוסח משולב] וחוק משפחות חיילים שנספו במערכה [תגמולים ושיקום], התש"י–1950). בכך מבוטלת ברירת העילה שחייבה אותם לבחור בין קבלת התגמולים לגביית הפיצויים. כהשלמה לכך נקבע כי התובע יידרש להודיע למוסד לביטוח לאומי או למדינה על התביעה שהגיש, וכי זכות  המוסד לביטוח לאומי או המדינה לחזור אל המזיק ולתבוע ממנו את סכומי התגמולים תקטן בהתאמה ותחול רק לגבי יתרת סכום הפיצויים. נקבע כי יום התחילה של חוק זה יהיה ביום 1 ביוני 2024. הסדר זה חל גם על תביעות תלויות ועומדות וגם לעניין מקרים של נזק ממעשי טרור שאירעו לפני יום התחילה וטרם הוגשה בעניינם תביעה – ובלבד שעדיין לא חלה לגביהם התיישנות. לגבי פסק דין שביום התחילה כבר הפך לפסק דין חלוט שאין עוד ערעור עליו, ועדיין לא התיישן ואף לא הוגש לביצוע בהוצאה לפועל, נקבע כי ניתן יהיה להגיש לגבייה 75% מהפיצויים שנפסקו באותו פסק הדין.</t>
  </si>
  <si>
    <t xml:space="preserve">הצעת חוק הביטוח הלאומי (תיקון - חישוב התגמול למשרתים במילואים), התשפ"ד-2024</t>
  </si>
  <si>
    <t xml:space="preserve"> (פ/4470/25)</t>
  </si>
  <si>
    <t xml:space="preserve"> (פ/4468/25)</t>
  </si>
  <si>
    <t xml:space="preserve">הצעת חוק החברות הממשלתיות (תיקון - פעילות פוליטית של דירקטור בחברה ממשלתית ציבורית), התשפ"ד-2024</t>
  </si>
  <si>
    <t xml:space="preserve"> (פ/4467/25)</t>
  </si>
  <si>
    <t xml:space="preserve">הצעת חוק האזנת סתר (תיקון - אחריות של הורה לקטין שטרם מלאו לו 10 שנים), התשפ"ד-2024 </t>
  </si>
  <si>
    <t xml:space="preserve"> (פ/4465/25)</t>
  </si>
  <si>
    <t xml:space="preserve">הצעת חוק הנכים (תגמולים ושיקום) (תיקון - תגמול לנכה שאינו מסוגל להשתכר למחייתו), התשפ"ד-2024</t>
  </si>
  <si>
    <t xml:space="preserve"> (פ/4464/25)</t>
  </si>
  <si>
    <t xml:space="preserve">הצעת חוק הדיור הציבורי (הגדלת המלאי), התשפ"ד-2024</t>
  </si>
  <si>
    <t xml:space="preserve"> (פ/4463/25)</t>
  </si>
  <si>
    <t xml:space="preserve">הצעת חוק ההוצאה לפועל (תיקון - הגבלת סכום חוב פסוק מינימלי), התשפ"ד-2024</t>
  </si>
  <si>
    <t xml:space="preserve"> (פ/4461/25)</t>
  </si>
  <si>
    <t xml:space="preserve">הצעת חוק סדר הדין הפלילי (חקירת חשודים) (תיקון - נוכחות עורך דין בחקירת חשוד), התשפ"ד-2024</t>
  </si>
  <si>
    <t xml:space="preserve"> (פ/4460/25)</t>
  </si>
  <si>
    <t xml:space="preserve">הצעת חוק החברות הממשלתיות (תיקון - רציפות כהונת דירקטורים מקרב העובדים), התשפ"ד-2024</t>
  </si>
  <si>
    <t xml:space="preserve"> (פ/4459/25)</t>
  </si>
  <si>
    <t xml:space="preserve">הצעת חוק החברות הממשלתיות (תיקון - קציבת זמן לוועדה למסירת ממצאים), התשפ"ד-2024</t>
  </si>
  <si>
    <t xml:space="preserve"> (פ/4458/25)</t>
  </si>
  <si>
    <t xml:space="preserve">הצעת חוק סדר הדין הפלילי (סמכויות אכיפה - מעצרים) (תיקון - שיפוט משמעתי של עצורים), התשפ"ד-2024</t>
  </si>
  <si>
    <t xml:space="preserve"> (פ/4457/25)</t>
  </si>
  <si>
    <t xml:space="preserve"> (פ/4456/25)</t>
  </si>
  <si>
    <t xml:space="preserve">הצעת חוק העונשין (תיקון - סיוג חסינות נושא משרה שיפוטית מפני אחריות פלילית), התשפ"ד-2024</t>
  </si>
  <si>
    <t xml:space="preserve"> (פ/4455/25)</t>
  </si>
  <si>
    <t xml:space="preserve">הצעת חוק מס ערך מוסף (תיקון - מס בשיעור אפס על תרכובת מזון לתינוקות), התשפ"ד-2024</t>
  </si>
  <si>
    <t xml:space="preserve"> (פ/4452/25)</t>
  </si>
  <si>
    <t xml:space="preserve">הצעת חוק הנכים (תגמולים ושיקום) (תיקון - ועדה רפואית), התשפ"ד-2024</t>
  </si>
  <si>
    <t xml:space="preserve"> (פ/4450/25)</t>
  </si>
  <si>
    <t xml:space="preserve">הצעת חוק שכר ביום בחירות (תיקוני חקיקה), התשפ"ד-2024</t>
  </si>
  <si>
    <t xml:space="preserve"> (פ/4448/25)</t>
  </si>
  <si>
    <t xml:space="preserve">הצעת חוק להחלפת המונח שיקום נכה נפש (תיקוני חקיקה), התשפ"ד-2024</t>
  </si>
  <si>
    <t xml:space="preserve"> (פ/4446/25)</t>
  </si>
  <si>
    <t xml:space="preserve">הצעת חוק הרשויות המקומיות (פטור חיילים, נפגעי מלחמה ושוטרים מארנונה) (תיקון - הנחה בארנונה למשרת בשירות מילואים פעיל), התשפ"ד-2024</t>
  </si>
  <si>
    <t xml:space="preserve"> (פ/4445/25)</t>
  </si>
  <si>
    <t xml:space="preserve">הצעת חוק לתיקון פקודת מס הכנסה (נקודת זיכוי בעד בן זוג במילואים), התשפ"ד-2024</t>
  </si>
  <si>
    <t xml:space="preserve"> (פ/4444/25)</t>
  </si>
  <si>
    <t xml:space="preserve">הצעת חוק הנכים (תגמולים ושיקום) (תיקון - הוראות לגבי אישה נכה), התשפ"ד-2024</t>
  </si>
  <si>
    <t xml:space="preserve"> (פ/4443/25)</t>
  </si>
  <si>
    <t xml:space="preserve">הצעת חוק הביטוח הלאומי (תיקון - תשלום דמי אבטלה לנשים שיצאו לחופשה ללא תשלום לאחר לידה מסיבות מוצדקות), התשפ"ד-2024</t>
  </si>
  <si>
    <t xml:space="preserve"> (פ/4442/25)</t>
  </si>
  <si>
    <t xml:space="preserve">הצעת חוק התגמולים לנפגעי פעולות איבה (תיקון - הנצחת אזרחי ישראל חללי פעולות איבה), התשפ"ד-2024</t>
  </si>
  <si>
    <t xml:space="preserve"> (פ/4441/25)</t>
  </si>
  <si>
    <t xml:space="preserve">הצעת חוק האזרחים הוותיקים (תיקון - הקצאת מקומות חניה במקום ציבורי לאזרח ותיק), התשפ"ד-2024</t>
  </si>
  <si>
    <t xml:space="preserve"> (פ/4440/25)</t>
  </si>
  <si>
    <t xml:space="preserve"> (פ/4439/25)</t>
  </si>
  <si>
    <t xml:space="preserve">הצעת חוק הביטוח הלאומי (תיקון - פטור מתשלומי חובה בעד תגמול מילואים), התשפ"ד-2024</t>
  </si>
  <si>
    <t xml:space="preserve"> (פ/4438/25)</t>
  </si>
  <si>
    <t xml:space="preserve">הצעת חוק הביטוח הלאומי (תיקון - זכאות לקצבת אזרח ותיק לנכה), התשפ"ד-2024 </t>
  </si>
  <si>
    <t xml:space="preserve"> (פ/4437/25)</t>
  </si>
  <si>
    <t xml:space="preserve">הצעת חוק לתיקון פקודת הרוקחים (מס' 35), התשפ"ג-2023</t>
  </si>
  <si>
    <t xml:space="preserve"> (מ/1649)</t>
  </si>
  <si>
    <t xml:space="preserve">20.03.2024</t>
  </si>
  <si>
    <t xml:space="preserve">חוק בתי קברות צבאיים (תיקון מס' 5), התשפ"ד–2024</t>
  </si>
  <si>
    <t xml:space="preserve"> (פ/2819/25)</t>
  </si>
  <si>
    <t xml:space="preserve"> (כ/1000)</t>
  </si>
  <si>
    <t xml:space="preserve">חוק בתי קברות צבאיים, התש"י–1950 (להלן – החוק), קובע את הזכאות לקבורה של אנשי כוחות הביטחון. סעיף 4 לחוק קובע את זכאותו של חייל שנפטר להיקבר בבית קברות צבאי, אלא אם כן בחר קרובו להביאו לקבורה בבית קברות אזרחי. סעיף 4ו לחוק קובע זכות דומה לגבי קבורתם של חללי כוחות הביטחון, כגון עובדי שירות הביטחון הכללי, שוטרים והמוסד למודיעין ותפקידים מיוחדים. לפי הוראות החוק, סוהרים שנפטרו יהיו זכאים להיקבר בבתי קברות צבאיים אף אם לא נהרגו בעת ועקב שירותם, וכן כי כבאים יהיו זכאים לקבורה בבתי קברות צבאיים אם נהרגו בעת ועקב שירותם. בנוסף, נקבע כי מי שכיהן כנציב הרשות הארצית לכבאות והצלה יהיה זכאי לקבורה בבית קברות צבאי, וכן לאפשר לרשות המוסמכת לייחד חלקה בבית קברות צבאי גם לכבאים, בנוסף לאנשי כוחות הביטחון השונים. </t>
  </si>
  <si>
    <t xml:space="preserve">הצעת חוק מס ערך מוסף (תיקון - תשלום המס במתן שירותי כוח אדם ועבודות בנייה), התשפ"ד-2024</t>
  </si>
  <si>
    <t xml:space="preserve"> (פ/4242/25)</t>
  </si>
  <si>
    <t xml:space="preserve">הצעת חוק שירות הקבע בצבא הגנה לישראל (גמלאות) (תיקון - ביטול ניכוי מקצבה), התשפ"ד-2023</t>
  </si>
  <si>
    <t xml:space="preserve"> (פ/4083/25)</t>
  </si>
  <si>
    <t xml:space="preserve">הצעת חוק האזרחים הוותיקים (תיקון - הקצאת מקומות חניה במקום ציבורי לאזרח ותיק), התשפ"ג-2023</t>
  </si>
  <si>
    <t xml:space="preserve"> (פ/3923/25)</t>
  </si>
  <si>
    <t xml:space="preserve">הצעת חוק סדר הדין הפלילי (סמכויות אכיפה - מעצרים) (תיקון - מעצר עד תום ההליכים בגין עבירה של סחיטה באיומים), התשפ"ג-2023</t>
  </si>
  <si>
    <t xml:space="preserve"> (פ/3602/25)</t>
  </si>
  <si>
    <t xml:space="preserve">הצעת חוק איסור הלבנת הון (תיקון - מתן סמכות פיקוח לרשות לאיסור הלבנת הון ומימון טרור על נותני שירותים פיננסיים), התשפ"ג-2023</t>
  </si>
  <si>
    <t xml:space="preserve"> (פ/2312/25)</t>
  </si>
  <si>
    <t xml:space="preserve">הצעת חוק שירות ביטחון (תיקון - השוואת תהליכי המיון, השיבוץ, התקינה וההכשרה, המסלולים המקצועיים ואופקי הקידום לנשים וגברים), התשפ"ג-2023</t>
  </si>
  <si>
    <t xml:space="preserve"> (פ/2041/25)</t>
  </si>
  <si>
    <t xml:space="preserve">הצעת חוק הבנקאות (שירות ללקוח) (תיקון - הגבלת עמלת ערבות בנקאית שמובטחת בפיקדון כספי מסוים), התשפ"ג-2023</t>
  </si>
  <si>
    <t xml:space="preserve"> (פ/1467/25)</t>
  </si>
  <si>
    <t xml:space="preserve">הצעת חוק הבנקאות (שירות ללקוח) (תיקון - הגבלת עמלת ערבות בנקאית שמובטחת בפיקדון כספי מסוים), התשפ"ג-2022</t>
  </si>
  <si>
    <t xml:space="preserve"> (פ/253/25)</t>
  </si>
  <si>
    <t xml:space="preserve">חוק משפחות חיילים שנספו במערכה (תגמולים ושיקום) (תיקון מס' 43), התשפ"ד–2024</t>
  </si>
  <si>
    <t xml:space="preserve"> (פ/4058/25)</t>
  </si>
  <si>
    <t xml:space="preserve"> (כ/996)</t>
  </si>
  <si>
    <t xml:space="preserve">19.03.2024</t>
  </si>
  <si>
    <t xml:space="preserve">נקבע כי מי שהייתה מאורסת לחייל שנספה תהיה זכאית לתגמול חודשי לתקופה של חמש שנים ממועד פטירת הנספה וכן תהיה זכאית באותה תקופה להטבות רפואיות וסיוע במימון לימודים אקדמאים ולמימון סיוע נפשי לתקופה של 10 שנים ממועד פטירת הנספה. ארוסה מוגדרת כמי שביום מותו של הנספה הייתה מיועדת להינשא לו והוכיחה כוונה שלהם להינשא, אף אם לא התגוררו יחד. ניתן להוכיח כוונה להינשא אם הנספה והארוסה הגישו בקשה להירשם לנישואין ברבנות או ברשות הרושמת או אם התקיימו שתיים מהנסיבות הבאות: (1) נעשתה הצעת נישואין או התקיימה מסיבת אירוסין והכוונה להינשא פורסמה וידועה לבני המשפחה וקרובי המשפחה של הנספה והארוסה (2) נקבעו מועד ומקום לחתונה ויש הסכם לעריכת החתונה במקום מסוים או הסכם לשירותי הסעדה לחתונה (3) בהצעת הנישואין או בתקופת האירוסין אחד מבני הזוג רכש או נתן טבעת (4) הנספה והארוסה התקשרו בהסכם לרכישה או לשכירה של דירת מגורים. לבסוף, נקבע כי הוראות החוק יחולו גם על ארוסות של נפגעים שנפטרו כתוצאה מפגיעת איבה וכן על ארוסות של שוטרים, סוהרים, אנשי משמר הכנסת, עובדי שירות הביטחון ואנשי הגא שנפטרו במסגרת תפקידם. נקבע כי החוק ייכנס לתוקף ב-5 במאי 2024 וכי תחילת ההסדר תהיה לגבי ארוסות של נפטרים כאמור שמועד פטירתם הוא ביום כ"ב בתשרי התשפ"ד (7 באוקטובר 2023) או לאחריו והן תהיינה זכאיות לתשלומים והטבות האמורות ממועד פטירת הנספה. </t>
  </si>
  <si>
    <t xml:space="preserve">חוק לתיקון ולהארכת תוקפן של תקנות שעת חירום (חרבות ברזל) (הארכת מעצר לחשוד בעבירת ביטחון) (תיקון), התשפ"ד-2024</t>
  </si>
  <si>
    <t xml:space="preserve"> (מ/1728)</t>
  </si>
  <si>
    <t xml:space="preserve">החוק מאריך את תוקף תקנות שעת החירום, המאריכות את תקופות המעצרים המפורטות בחוק המעצרים בנוגע לעצור שחשוד בעבירת ביטחון בשל פעולות האיבה שהתרחשו בין יום ה-7 באוקטובר לבין ה-10 באוקטובר 2023, או מי שנעצר במסגרת פעולות המלחמה בעזה. ההארכה שנקבעה בחוק זה היא עד ליום ה-18 ביוני 2024.</t>
  </si>
  <si>
    <t xml:space="preserve">הצעת חוק משפחות חיילים שנספו במערכה (תגמולים ושיקום) (תיקון - הכרה בארוסות חיילים שנספו במערכה), התשפ"ד-2024</t>
  </si>
  <si>
    <t xml:space="preserve"> (פ/4234/25)</t>
  </si>
  <si>
    <t xml:space="preserve">חוק הכללת אמצעי זיהוי ביומטריים ונתוני זיהוי ביומטריים במסמכי זיהוי ובמאגר מידע (תיקון מס' 4 – הוראת שעה), התשפ"ד–2024</t>
  </si>
  <si>
    <t xml:space="preserve"> (מ/1727)</t>
  </si>
  <si>
    <t xml:space="preserve">נוכח מלחמת חרבות ברזל ובכלל זה הצורך של רבים מהמפונים במסמכי זיהוי חדשים והיעדר האפשרות של חיילי המילואים להתייצב בלשכות האוכלוסין להנפקת מסמכי זיהוי, נקבע בהוראת שעה כי יהיה ניתן להגיש בקשות מקוונות להנפקת מסמכי זיהוי, בלא צורך בהתייצבות בלשכות האוכלוסין, למי שכבר הונפק לו מסמך זיהוי או דרכון ביומטרי ובעת הגשת הבקשה הוא שוהה בישראל, בכפוף לתנאים המפורטים בחוק לרבות קיומן של טביעות אצבע של המבקש במאגר הביומטרי ושגיל המבקש להנפיק דרכון יהיה בין 21 - 60. תוקף הוראת השעה הוא חצי שנה, עם אפשרות להאריך לתקופה של עד חצי שנה נוספת.</t>
  </si>
  <si>
    <t xml:space="preserve">חוק יום משפחות היתומים בישראל, התשפ"ד–2024</t>
  </si>
  <si>
    <t xml:space="preserve"> (פ/287/25)</t>
  </si>
  <si>
    <t xml:space="preserve"> (כ/982)</t>
  </si>
  <si>
    <t xml:space="preserve">החוק קובע כי ביום כ"ה בכסלו יקוים יום ציון שנתי למשפחות היתומים שיצויין בדיון מיוחד במליאת הכנסת ובאחת מוועדות הכנסת, בדיון מיוחד אצל האפוטרופוס הכללי בהשתתפות משרדי ממשלה וגורמים אחרים העוסקים בקידום זכויותיהם וצורכיהם של משפחות היתומים, וכן בבית נשיא המדינה כפי שיחליט הנשיא. עוד נקבע כי שר התרבות והספורט רשאי להורות על דרכי ציון נוספות בתחומי פעילות משרדו בכפוף לתקציב ייעודי מאוצר המדינה. </t>
  </si>
  <si>
    <t xml:space="preserve">הצעת חוק התגמולים לנפגעי פעולות איבה (תיקון - תביעה נגד מפגע), התשפ"ג-2022 </t>
  </si>
  <si>
    <t xml:space="preserve"> (פ/585/25)</t>
  </si>
  <si>
    <t xml:space="preserve">18.03.2024</t>
  </si>
  <si>
    <t xml:space="preserve">חוק סיוע להורים לילדים עד גיל שלוש (תיקוני חקיקה), התשפ"ד-2024</t>
  </si>
  <si>
    <t xml:space="preserve"> (מ/1711)</t>
  </si>
  <si>
    <t xml:space="preserve">החוק קובע כי בחישוב המס של יחיד תושב ישראל שהוא הורה לילד עד גיל שלוש, יובאו בחשבון שש נקודות זיכוי נוספות בסך הכל, בגין כל ילד כאמור. נקודות זיכוי אלו יינתנו בנוסף על נקודות הזיכוי הניתנות כבר כיום לפי הפקודה. כמו כן, החוק קובע כי יינתן מענק מיוחד להורים בעלי הכנסה נמוכה, שלהם ילד שטרם מלאו לו שלוש שנים, ובכך הורחב טווח ההכנסה המזכה את ההורה היחיד בקבלת מענק להורה לפעוט.</t>
  </si>
  <si>
    <t xml:space="preserve">חוק התכנון והבנייה (תיקון מס' 151), התשפ"ד-2024</t>
  </si>
  <si>
    <t xml:space="preserve"> (מ/1606)</t>
  </si>
  <si>
    <t xml:space="preserve">בתיקון מס' 151 נקבעו מספר שינויים בהרכב מוסדות התכנון: במועצה הארצית לתכנון ובנייה נוסף נציג ממשלה, וכן נוספו שני נציגי ציבור – האחד, בן  האוכלוסיה הערבית לרבות הדרוזית והצ'רקסית והשני בן האוכלוסייה החרדית. בנוסף לכך, נקבע שממלא המקום של נציג המהנדסים והאדריכלים יהיה מקרב ארגון המייצג את הקבלנים. בנוסף מוצע להרחיב את האפשרות למינוי נציג מהמוסדות להשכלה הגבוהה כך שניתן יהיה למנות נציג ממוסדות השכלה גבוהים שאינם בהכרח הטכניון.  בועדה לתשתיות לאומיות נוסף נציג שר הנגב, הגליל והחוסן הלאומי נציג ארגון העוסק בנושאי חברה ורווחה, ומשקיף של רשות הטבע והגנים. בוועדות המחוזיות נוסף נציג של משרד משרד הנגב, הגליל והחוסן הלאומי ונציג ארגון העוסק בחברה ורווחה. בוועדות המקומיות נוספו נציגים בעלי דעה מייעצת. בוועדה לשמירה על הקרקע החקלאית נוספו נציגים של משרד הנגב, הגליל והחוסן הלאומי ונציג המוסדות להשכלה גבוהה ובוועדה לשמירת הסביבה החופית נוסף נציג משרד הנגב, הגליל והחוסן הלאומי ונציג הרשויות המקומיות."  עוד נקבע כי בכל מוסדות התכנון ניתן יהיה להאריך את כהונתם של חברי מוסד התכנון (למעט בעלי תפקידים מסוימים) בשתי תקופות כהונה נוספות ולא אחת כפי שהיה קודם לכן. </t>
  </si>
  <si>
    <t xml:space="preserve">חוק התכנון והבנייה (תיקון מס' 152), התשפ"ד-2024</t>
  </si>
  <si>
    <t xml:space="preserve"> (מ/1609)</t>
  </si>
  <si>
    <t xml:space="preserve">תיקון חוק התכנון והבנייה שעניינו הרכב מוסדות התכנון. בתיקון החוק נקבע שבמועצה הארצית לתכנון ובנייה יהיו 13 נציגים לממשלה. בנוסף, להרכב הוועדות המחוזיות במחוזות הצפון והדרום, נוסף נציג של שר ההתיישבות והמשימות הלאומיות, ונציג שימנה שר הפנים על פי המלצות של הרשויות המקומיות באותו מחוז.</t>
  </si>
  <si>
    <t xml:space="preserve">חוק הסיוע המשפטי (תיקון מס' 25), התשפ"ד–2024</t>
  </si>
  <si>
    <t xml:space="preserve"> (מ/1717)</t>
  </si>
  <si>
    <t xml:space="preserve">החוק מרחיב את הסיוע המשפטי שמעניקה המדינה לניצולי שואה, לוותיקי מלחמת העולם השנייה, ליוצאי מרוקו ואלג'יר תחת שלטון וישי ולניצולי הפרהוד בעיראק.  עד לחקיקתו, ניצולי שואה היו זכאים לסיוע משפטי ללא עמידה במבחן של זכאות כלכלית רק בעניינים הנוגעים להטבות, מענקים ותגמולים להם הם זכאים בשל היותם ניצולי שואה. החוק מרחיב הן את רשימת הקבוצות הזכאיות לסיוע, והן את היקף העניינים שבהם יהיו זכאים לסיוע. כן, הוא קובע כי הן זכאיות לשירות בכלל העניינים שבהם ניתן שירות על ידי לשכות הסיוע המשפטי, וזאת ללא תלות במבחן של זכאות כלכלית. כך לדוגמה, בעקבות החקיקה, הם יהיו זכאים לסיוע משפטי חינם בענייני דיור ציבורי ועריכת ייפויי כוח מתמשכים.  </t>
  </si>
  <si>
    <t xml:space="preserve">הצעת חוק המסייעים לנטרול תוצאות אסון צ'רנוביל (תיקון - ציון יום המסייעים), התשפ"ד-2024</t>
  </si>
  <si>
    <t xml:space="preserve"> (פ/4435/25)</t>
  </si>
  <si>
    <t xml:space="preserve"> (פ/4434/25)</t>
  </si>
  <si>
    <t xml:space="preserve">הצעת חוק החומרים המסוכנים (תיקון - פרטי התקשרות למרכז רעלים), התשפ"ד-2024</t>
  </si>
  <si>
    <t xml:space="preserve"> (פ/4433/25)</t>
  </si>
  <si>
    <t xml:space="preserve"> (פ/4432/25)</t>
  </si>
  <si>
    <t xml:space="preserve">הצעת חוק דמי מחלה (תיקון - חישוב היעדרות לעובד המצוי בסיכון מוגבר לחלות במחלה ממארת), התשפ"ד-2024</t>
  </si>
  <si>
    <t xml:space="preserve"> (פ/4431/25)</t>
  </si>
  <si>
    <t xml:space="preserve">הצעת חוק פנייה לגופים ציבוריים באמצעי קשר דיגיטליים (תיקון - קביעת תור באמצעות האינטרנט), התשפ"ד-2024</t>
  </si>
  <si>
    <t xml:space="preserve"> (פ/4430/25)</t>
  </si>
  <si>
    <t xml:space="preserve">הצעת חוק הרשות הלאומית לתרבות של יהודים דוברי רוסית, התשפ"ד-2024</t>
  </si>
  <si>
    <t xml:space="preserve"> (פ/4429/25)</t>
  </si>
  <si>
    <t xml:space="preserve"> (פ/4428/25)</t>
  </si>
  <si>
    <t xml:space="preserve"> (פ/4427/25)</t>
  </si>
  <si>
    <t xml:space="preserve">הצעת חוק עידוד מעורבות סטודנטים בפעילות חברתית וקהילתית (תיקון - הכרה בנקודות זכות בשל שירות מילואים ממושך בנסיבות חירום), התשפ"ד-2024</t>
  </si>
  <si>
    <t xml:space="preserve"> (פ/4426/25)</t>
  </si>
  <si>
    <t xml:space="preserve">הצעת חוק הרבנות הראשית לישראל (תיקון - רב ראשי אחד), התשפ"ד-2024</t>
  </si>
  <si>
    <t xml:space="preserve"> (פ/4425/25)</t>
  </si>
  <si>
    <t xml:space="preserve">הצעת חוק ההוצאה לפועל (תיקון - החלת אגרה על החייב בהליך של נפגע פעולות איבה), התשפ"ד-2024 </t>
  </si>
  <si>
    <t xml:space="preserve"> (פ/4423/25)</t>
  </si>
  <si>
    <t xml:space="preserve">הצעת חוק עקרונות האסדרה (תיקון - הוראה בעניין מסים), התשפ"ד-2024</t>
  </si>
  <si>
    <t xml:space="preserve"> (פ/4421/25)</t>
  </si>
  <si>
    <t xml:space="preserve"> (פ/4420/25)</t>
  </si>
  <si>
    <t xml:space="preserve">הצעת חוק דוד בן-גוריון (תיקון - מינוי נציגי יד בן-גוריון למכון), התשפ"ד-2024</t>
  </si>
  <si>
    <t xml:space="preserve"> (פ/4419/25)</t>
  </si>
  <si>
    <t xml:space="preserve">הצעת חוק מינהלת תקומה בצפון, התשפ"ד-2024</t>
  </si>
  <si>
    <t xml:space="preserve"> (פ/4418/25)</t>
  </si>
  <si>
    <t xml:space="preserve">הצעת חוק המרכז למורשת יהדות אתיופיה (תיקון - פעילויות חינוך והנצחה), התשפ"ד-2024</t>
  </si>
  <si>
    <t xml:space="preserve"> (פ/4417/25)</t>
  </si>
  <si>
    <t xml:space="preserve">הצעת חוק דמי נסיעה לעובדים, התשפ"ד-2024 </t>
  </si>
  <si>
    <t xml:space="preserve"> (פ/4416/25)</t>
  </si>
  <si>
    <t xml:space="preserve">הצעת חוק לתיקון פקודת בריאות העם (פטור מבחינות לאחיות ממדינות חוץ), התשפ"ד-2024</t>
  </si>
  <si>
    <t xml:space="preserve"> (פ/4415/25)</t>
  </si>
  <si>
    <t xml:space="preserve"> (פ/4414/25)</t>
  </si>
  <si>
    <t xml:space="preserve">הצעת חוק הסכמים לנשיאת עוברים (אישור הסכם ומעמד היילוד) (תיקון - מעמד אפוטרופוס להורי היילוד), התשפ"ד-2024</t>
  </si>
  <si>
    <t xml:space="preserve"> (פ/4413/25)</t>
  </si>
  <si>
    <t xml:space="preserve"> (פ/4412/25)</t>
  </si>
  <si>
    <t xml:space="preserve"> (פ/4411/25)</t>
  </si>
  <si>
    <t xml:space="preserve">חוק תקציב נוסף לשנת הכספים 2024, התשפ"ד-2024</t>
  </si>
  <si>
    <t xml:space="preserve"> (מ/1714)</t>
  </si>
  <si>
    <t xml:space="preserve">12.03.2024</t>
  </si>
  <si>
    <t xml:space="preserve">מוצע לקבוע כי תקציב ההוצאה לשנת הכספים 2024 יעמוד על 724,047,992,000 שקלים חדשים המורכב מתקציב רגיל בסך 520,813,466,000 שקלים חדשים ומתקציב פיתוח וחשבון הון בסך 203,234,526,000 שקלים חדשים.</t>
  </si>
  <si>
    <t xml:space="preserve">חוק הקפאה והפחתה של דמי הבראה בשנת 2024 לשם תקצוב הטבות לחיילי מילואים, התשפ"ד-2024</t>
  </si>
  <si>
    <t xml:space="preserve"> (מ/1708)</t>
  </si>
  <si>
    <t xml:space="preserve">לשם מימון הטבות לחיילי מילואים עקב מלחמת חרבות ברזל, נקבע כי יוקפא תעריף יום ההבראה לעניין חישוב דמי ההבראה בשנת 2024 וכי יופחת יום הבראה אחד לכלל העובדים הזכאים לדמי הבראה בשנת 2024. ההוראות יחולו גם לגבי חייל בשירות קבע וגם לגבי נושאי משרה שאינם עובדים, עם התאמות לגבי אופן הפחתת הסכום. לגבי עובד שהכנסתו הממוצעת אינה עולה על 6000 ₪ וזכאי בשנת 2024 לחמישה ימי הבראה תופחת רק מחצית יום הבראה. המעסיק יעביר לפקיד השומה, כניכוי מס במקור במועד שבו היה עליו לשלם לעובד את דמי ההבראה בשנת 2024, את מחיר יום ההבראה שהפחית כאמור, בתוספת תשלומי חובה החלים עליו לביטוח לאומי, למע"מ ולקרן השתלמות, ואם חלה על המעסיק חובת עדכון של תעריף דמי ההבראה בשנת 2024 יעביר לפקיד השומה גם את הסכום שחסך בשל אי עדכון תעריף יום הבראה בשנת 2024 לגבי שאר ימי ההבראה ואת תשלומי החובה החלים לגביו. נקבעו הוראות לעניין דרך חישוב הסכומים בכל אחת מהצורות האפשריות לתשלום דמי ההבראה – כתשלום חד שנתי, כחלק מהתשלום החודשי או התקופתי, או בדרך של מימון חופשה או הטבה בעין, וכן מפורטות דרכי החישוב לגבי עובד במשרה חלקית, עובד העובד חלק משנה או עובד שעתי. החוק מסמיך לקבוע תקנות לגבי אופן חישוב ההפחתה מדמי ההבראה ככל שאינם משולמים כרכיב נפרד. עוד נקבע כי הוראות הסכם קיבוצי שחתמה ההסתדרות לעניין הפחתת דמי ההבראה יחולו במקום הוראת ההפחתה על העובדים שעליהם הוא חל – ואולם על העובדים שלפי החוק זכאים להפחתה חלקית יחול ההסדר המיטיב של הפחתה חלקית לפי החוק. יחד עם זאת נקבע כי הפחתת דמי ההבראה לא תשפיע על חישוב הזכאות לעניינים המנויים בחוק ובהם בין השאר תשלומים פנסיוניים. עוד נקבעו הוראות המונעות עקיפה של חיוב התשלום הקבוע, ובכלל זה הפעלת סמכויות בחוק יסודות התקציב על מעסיק ציבורי שפועל שלא בהתאם להוראות בחוק. בחוק נקבעה גם חובת דיווח עד תום שנת 2026 על ביצוע התקציב למתן הטבות לחיילי המילואים ועל הסכומים שגבה פקיד השומה.</t>
  </si>
  <si>
    <t xml:space="preserve">חוק הפחתת הגירעון והגבלת ההוצאה התקציבית (תיקון מס' 25), התשפ"ד-2024</t>
  </si>
  <si>
    <t xml:space="preserve">מוצע להעלות את תקרת הגירעון לשנת 2024 כך ששיעור הגירעון הכולל לא יעלה על 6.6% מהתוצר הלאומי הגולמי (במקום שיעור של 2.25%), וכן להגדיל את ההוצאה הממשלתית המותרת בשנת 2024 בשיעור של 11.35% מסך ההוצאה הממשלתית לשנת 2023 לצורך המשך מימון הצרכים הצבאיים ובשיעור של 3.2% לצורך המשך מימון הצרכים האזרחיים הנובעים במישרין מהלחימה.</t>
  </si>
  <si>
    <t xml:space="preserve">חוק הביטוח הלאומי (תיקון מס' 244 והוראת שעה), התשפ"ד-2024</t>
  </si>
  <si>
    <t xml:space="preserve">החוק קובע כי עדכון השכר הממוצע לעניין שיעור גביית דמי הביטוח הלאומי יוקפא בשנת 2025 וכתוצאה בכך השכר הממוצע לעניין שיעורי גביית דמי ביטוח לאומי ודמי ביטוח בריאות בשנת 2025 יהיה השכר הממוצע נכון ליום 31 בדצמבר 2024. הקפאת העדכון נעשית לשם הגדלת דמי ביטוח לאומי שיגבו בשנת 2025. כתוצאה מהקפאה זו יוגדלו גם דמי ביטוח בריאות שנגבים לפי חוק ביטוח בריאות ממלכתי, התשנ"ד-1994. בנוסף, על מנת לשקף את הגידול בתקבולי המוסד לביטוח לאומי בשל הקפאת השכר, נקבעה הפחתה בשיעור ההקצבות שיעביר האוצר למוסד לביטוח לאומי. כמו כן, נקבעה חובת דיווח לוועדת העבודה והרווחה על הגידול בגבייה בעקבות הקפאת השכר הממוצע ועל התוספת התקציבית לתוכנית הלאומית לבריאות הנפש ולמבחני התמיכה למערכת בריאות הנפש. </t>
  </si>
  <si>
    <t xml:space="preserve">חוק ביטוח בריאות ממלכתי (תיקון מס' 69 והוראת שעה), התשפ"ד-2024</t>
  </si>
  <si>
    <t xml:space="preserve">נקבע כי החל משנת 2025 יועלו דמי ביטוח הבריאות לשיעור של 5.165% (במקום 5% כיום), ולגבי הכנסות של עובדים ועצמאיים שעד 60% מהשכר הממוצע – יועלו לשיעור של 3.235% (במקום 3.1% כיום). כמו כן נקבע כי שר הבריאות ידווח לוועדת הבריאות ב-1 בנובמבר בכל שנה החל משנת 2025 עד שנת 2032 על התוספת התקציבית לתוכנית הלאומית לבריאות הנפש ולמבחני התמיכה למערכת בריאות הנפש המוצעת בחוק התקציב השנתי שהונח באותה שנה, וכפי שמומשה באותה שנה עד למועד הדיווח, תוך פירוט ההוצאות לפי התחומים שנכללו במסמך המשותף שהגישו המשרדים. כמו כן נקבע כי במועד האמור שר הבריאות ידווח, על בסיס נתונים שיקבל מהמוסד לביטוח לאומי, על הגידול בגביית דמי ביטוח בריאות שנובע מתיקון החוק באותה שנת תקציב עד למועד הדיווח, וכן על תחזית הגידול הצפויה בגבייה בשנת התקציב הבאה.</t>
  </si>
  <si>
    <t xml:space="preserve">חוק תשלום מיוחד לשם השגת יעדי התקציב (הוראת שעה – חרבות ברזל), התשפ"ד–2024 </t>
  </si>
  <si>
    <t xml:space="preserve">החוק מחייב בנקים בעלי רווחיות גבוהה לשלם תשלום שנתי לאוצר המדינה בשיעור של 6% מהרווחים שלהם בישראל, לתקופה שמיום 1 באפריל 2024 ועד סוף שנת 2025.  החובה חלה על בנקים ששווי נכסיהם מהווה לפחות 5% מהיקף נכסי כלל הבנקים בישראל. סך התשלום מכלל הבנקים לא יעלה על 1.2 מיליארד ש"ח לשנת 2024, ועל 1.3 מיליארד ש"ח לשנת 2025. שר האוצר מוסמך, באישור ועדת הכספים, לבטל את התשלום לשנת 2025, אם יחול שינוי מהותי בתנאים הכלכליים.  </t>
  </si>
  <si>
    <t xml:space="preserve">חוק חדלות פירעון ושיקום כלכלי (תיקון מס' 4 – הוראת שעה – נגיף הקורונה החדש) (תיקון מס' 2) (הארכת תוקף – חרבות ברזל), התשפ"ד-2024</t>
  </si>
  <si>
    <t xml:space="preserve"> (מ/1722)</t>
  </si>
  <si>
    <t xml:space="preserve">החוק מאריך בתשעה חודשים, עד ליום 17 בדצמבר 2024, את ההסדר הזמני המאפשר עיכוב הליכים כנגד החייב לשם גיבוש הסדר חוב. שר המשפטים יהיה רשאי להאריך תקופה זו בצו באישור הוועדה לתקופה שלא תעלה על שלושה חודשים.</t>
  </si>
  <si>
    <t xml:space="preserve">חוק לתיקון פקודת בתי הסוהר (תיקון מס' 66 – הוראת שעה – חרבות ברזל) (חופשה מיוחדת לאסיר), התשפ"ד–2024</t>
  </si>
  <si>
    <t xml:space="preserve"> (מ/1712)</t>
  </si>
  <si>
    <t xml:space="preserve">11.03.2024</t>
  </si>
  <si>
    <t xml:space="preserve">נקבע, כהוראת שעה לשלושה חודשים, כי הנציב או סוהר בדרגת גונדר שהוסמך על ידו לעניין זה, רשאי לתת לאסיר, בתנאים שייראו לשר לביטחון לאומי, חופשה מיוחדת שלא תעלה על 45 ימים; וזאת בשל העלייה המשמעותית בתפוסת האיסרים מעבר לתקן הכליאה שנגרמה בשל המצב הביטחוני השורר במדינה שבשלו הוכרז מצב מיוחד בעורף כהגדרתו בחוק ההתגוננות האזרחית, התשי"יא–1951, ביום כ"ב בתשרי התשפ"ד (7 באוקטובר 2023). הסדר זה מותנה בכך שהאסיר הינו אזרח ישראלי או תושב ישראל שנשא לפחות מחצית מתקופת המאסר שנגזרה עליו ויתרת מאסרו אינה עולה על 45 ימים ביום היציאה לחופשה. מעבר לכך, הסדר זה לא יחול לגבי אסירים שהורשעו בעבירות ביטחון, או בעבירות שלגביהן יש חזקת מסוכנות, כגון עבירות מין, עבירות אלימות במשפחה ועבירות אלימות חמורה. כן הוחרגו עבירות חמורות נוספות, כגון עבירות המתה ועבירות כניסה והתפרצות למבנה. כמו כן, נקבע כי תקופת מאסרו של אסיר לא תוארך בשל חופשה מיוחדת שניתנה לו במסגרת חוק זה. </t>
  </si>
  <si>
    <t xml:space="preserve">חוק לפיצוי קורבנות טרור (פיצויים לדוגמה), התשפ"ד-2024</t>
  </si>
  <si>
    <t xml:space="preserve"> (פ/2967/25)</t>
  </si>
  <si>
    <t xml:space="preserve"> (כ/975)</t>
  </si>
  <si>
    <t xml:space="preserve">החוק מסדיר את זכאותם של נפגעי טרור ומשפחותיהם לפיצויים לדוגמה ממבצע מעשה טרור, מי שנתן תגמול בעד ביצוע מעשה טרור וכן מי שנקבעה חבותו לפי פקודת הנזיקין. נקבע כי סכום הפיצויים לדוגמה יהיה עשרה מיליון שקלים חדשים אם מעשה הטרור גרם למותו של אדם, וחמישה מיליון שקלים חדשים אם מעשה הטרור גרם לאדם נכות צמיתה. במסגרת זאת, מוצע שפיצויים אלו לא יהיו ניתנים לניכוי מכל סכום המשולם לנפגעי מעשה הטרור מטעם המדינה או מוסד ממוסדותיה. עוד נקבע כי נפגעי הטרור יוכלו לממש את פסק הדין מכל נכס של מתגמל הטרור; וביחס למתגמל טרור או מי שנקבעה חבותו לפי פקודת הנזיקין שהוא הרשות הפלסטינית גם מהכספים המוקפאים לפי חוק להקפאת כספים ששילמה הרשות הפלסטינית בזיקה לטרור המועברים אליה מממשלת ישראל, התשע"ח-2018, למעט הכספים המועברים לרשות הפלסטינית מכוח חוקי היישום. בנוסף, נקבעה חזקה לפיה אם מדיניות מתמגל הטרור בעניין העברת תשלומים למבצעי מעשי טרור מיושמת בחקיקה ראשית, חקיקת משנה או הנחיות, הוא ייחשב מתמגל טרור לעניין מעשה טרור שגרם למוות או נכות, אלא אם הוכח אחרת.</t>
  </si>
  <si>
    <t xml:space="preserve">הצעת חוק המשטרה (סמכויות), התשפ"ד-2024</t>
  </si>
  <si>
    <t xml:space="preserve"> (פ/4408/25)</t>
  </si>
  <si>
    <t xml:space="preserve"> (פ/4406/25)</t>
  </si>
  <si>
    <t xml:space="preserve">הצעת חוק צוותי התערבות במשבר, התשפ"ד-2024</t>
  </si>
  <si>
    <t xml:space="preserve"> (פ/4404/25)</t>
  </si>
  <si>
    <t xml:space="preserve">הצעת חוק עידוד מעורבות סטודנטים בפעילות חברתית וקהילתית (תיקון - הכרה בהתנדבות למען המפונים והחטופים), התשפ"ד-2024</t>
  </si>
  <si>
    <t xml:space="preserve"> (פ/4403/25)</t>
  </si>
  <si>
    <t xml:space="preserve">הצעת חוק המים (תיקון - מניעת זיהום מים במוקדי זיהום אפשריים בשגרה ובחירום), התשפ"ד-2024 </t>
  </si>
  <si>
    <t xml:space="preserve"> (פ/4401/25)</t>
  </si>
  <si>
    <t xml:space="preserve">הצעת חוק שכר לחיילים בשירות סדיר, התשפ"ד-2024</t>
  </si>
  <si>
    <t xml:space="preserve"> (פ/4400/25)</t>
  </si>
  <si>
    <t xml:space="preserve">הצעת חוק הבנקאות (שירות ללקוח) (תיקון - הגברת השקיפות לגבי רמת הריביות בשוק האשראי), התשפ"ד-2024</t>
  </si>
  <si>
    <t xml:space="preserve"> (פ/4399/25)</t>
  </si>
  <si>
    <t xml:space="preserve">הצעת חוק איסור העברת כספים לרשות תומכת טרור (תיקוני חקיקה), התשפ"ד-2024</t>
  </si>
  <si>
    <t xml:space="preserve"> (פ/4398/25)</t>
  </si>
  <si>
    <t xml:space="preserve">הצעת חוק קידום התחרות בענף המזון (תיקון - איסור העלאת מחירים של מוצרי מזון בתקופת חירום), התשפ"ד-2024</t>
  </si>
  <si>
    <t xml:space="preserve"> (פ/4397/25)</t>
  </si>
  <si>
    <t xml:space="preserve">הצעת חוק צמצום פערי שכר מגדריים (תיקוני חקיקה), התשפ"ד-2024</t>
  </si>
  <si>
    <t xml:space="preserve"> (פ/4396/25)</t>
  </si>
  <si>
    <t xml:space="preserve">הצעת חוק הנחה בדמי נסיעה בתחבורה ציבורית לעובדי בתי החולים הציבוריים הכלליים (תיקוני חקיקה), התשפ"ד-2024</t>
  </si>
  <si>
    <t xml:space="preserve"> (פ/4394/25)</t>
  </si>
  <si>
    <t xml:space="preserve">הצעת חוק החיילים המשוחררים (החזרה לעבודה) (תיקון - הגנה על בן זוג של חייל מילואים), התשפ"ד-2024</t>
  </si>
  <si>
    <t xml:space="preserve"> (פ/4393/25)</t>
  </si>
  <si>
    <t xml:space="preserve">הצעת חוק שירות הביטחון הכללי (תיקון - בדיקת פוליגרף למשתתפים בוועדת החוץ והביטחון של הכנסת), התשפ"ד-2024 </t>
  </si>
  <si>
    <t xml:space="preserve"> (פ/4391/25)</t>
  </si>
  <si>
    <t xml:space="preserve">הצעת חוק קביעת דרגת הקדימות לקבלת ילד למעון או למשפחתון בהתחשב בשירות מילואים, התשפ"ד-2024</t>
  </si>
  <si>
    <t xml:space="preserve"> (פ/4390/25)</t>
  </si>
  <si>
    <t xml:space="preserve">הצעת חוק שירותי תשלום (תיקון - דיווח על ניצול כלכלי של אזרח ותיק או חסר ישע), התשפ"ד-2024</t>
  </si>
  <si>
    <t xml:space="preserve"> (פ/4389/25)</t>
  </si>
  <si>
    <t xml:space="preserve">הצעת חוק בתי קברות צבאיים (תיקון - קבורה לסוהרים ולכבאים), התשפ"ד-2023</t>
  </si>
  <si>
    <t xml:space="preserve"> (פ/4032/25)</t>
  </si>
  <si>
    <t xml:space="preserve">06.03.2024</t>
  </si>
  <si>
    <t xml:space="preserve">הצעת חוק לתיקון פקודת הראיות (מס' 20) (חיסיון קרימינולוג קליני), התשפ"ב–2022</t>
  </si>
  <si>
    <t xml:space="preserve"> (פ/3032/24)</t>
  </si>
  <si>
    <t xml:space="preserve"> (כ/918)</t>
  </si>
  <si>
    <t xml:space="preserve">הצעת חוק למניעת אלימות במשפחה (תיקון - מניעת אלימות כלכלית) (הוראת שעה), התשפ"ד-2024</t>
  </si>
  <si>
    <t xml:space="preserve"> (פ/4249/25)</t>
  </si>
  <si>
    <t xml:space="preserve">הצעת חוק הנכים (תגמולים ושיקום) (תיקון - סיוע לבן משפחה של נכה עם הפרעה בתר-חבלתית), התשפ"ד-2024</t>
  </si>
  <si>
    <t xml:space="preserve"> (פ/4201/25)</t>
  </si>
  <si>
    <t xml:space="preserve">הצעת חוק עובדים זרים (תיקון - הפחתת אגרה לעובדים בענף המלונאות), התשפ"ד-2024</t>
  </si>
  <si>
    <t xml:space="preserve"> (פ/4191/25)</t>
  </si>
  <si>
    <t xml:space="preserve">הצעת חוק העונשין (תיקון - החמרת ענישה בעבירות ביזה) (הוראת שעה), התשפ"ד-2023</t>
  </si>
  <si>
    <t xml:space="preserve"> (פ/4122/25)</t>
  </si>
  <si>
    <t xml:space="preserve">הצעת חוק שירות חובה לכול, התשפ"ג-2023</t>
  </si>
  <si>
    <t xml:space="preserve"> (פ/3438/25)</t>
  </si>
  <si>
    <t xml:space="preserve">הצעת חוק למניעת אלימות במשפחה (תיקון - מניעת אלימות כלכלית), התשפ"ג-2022</t>
  </si>
  <si>
    <t xml:space="preserve"> (פ/26/25)</t>
  </si>
  <si>
    <t xml:space="preserve">חוק הסדרת העיסוק במקצועות הבריאות (תיקון מס' 9), התשפ"ד–2024</t>
  </si>
  <si>
    <t xml:space="preserve"> (פ/918/25)</t>
  </si>
  <si>
    <t xml:space="preserve"> (כ/987)</t>
  </si>
  <si>
    <t xml:space="preserve">05.03.2024</t>
  </si>
  <si>
    <t xml:space="preserve">נקבע כי המנהל הכללי של משרד הבריאות או מי שהוא הסמיך לעניין זה, יהיה רשאי להעניק תעודה בפודיאטריה המוגבלת לפעולות בפודיאטריה שאינן כוללות טיפול פולשני והרדמה מקומית בכף הרגל המנויות בתוספת החמישית לחוק הסדרת העיסוק במקצועות הבריאות, התשס"ח-2008, למי שיש בידו תעודה המעידה על סיום לימודיו בפודולוגיה מחוץ לישראל ועומד בכל התנאים הנדרשים כמפורט בחוק. בעל מקצוע בריאות זה ייקרא פודולוג. תעודת סיום לימודים כאמור תוכר רק אם הלימודים התחילו לפני יום ט"ז באייר התשפ"ט (1 במאי 2029). שר הבריאות, באישור ועדת הבריאות של הכנסת,  יהיה רשאי לדחות, בצו, את המועד האמור בשתי תקופות נוספות שכל אחת מהן לא תעלה על שלוש שנים. עוד נקבע כי תקופת הניסיון הקודם שתידרש מפודיאטרים ומפודיאטרים מנתחים לשם קבלת תעודת מקצוע, תקוצר משנתיים וחצי לשנה וחצי בסך הכל, כשמתוכן לפחות חצי שנה של עבודה בפיקוח. עוד נקבע שההסדר לא יחול על תושב ישראל שמרכז חייו היה בישראל בטרם יצא ממנה לשם לימודים בתחום. כמו כן נקבעו הוראות מעבר לעניין מי שעסק כפודולוג בישראל ערב יום תחילתו של החוק, כדי לאפשר לו לקבל תעודת מקצוע בתנאים המפורטים בחוק. לבסוף, תוקן חוק זכויות החולה, התשנ"ו-1996, כך שפודולוג הוא מטפל לעניין החוק. תחילתו של התיקון ביום כ"ג בניסן התשפ"ד (1 במאי 2024). </t>
  </si>
  <si>
    <t xml:space="preserve">חוק הארכת השעיה של עובד המדינה ופיטורים של עובד הוראה לשם הגנה על קטין או חסר ישע (תיקוני חקיקה), התשפ"ד–2024</t>
  </si>
  <si>
    <t xml:space="preserve"> (פ/3571/24)</t>
  </si>
  <si>
    <t xml:space="preserve"> (כ/919)</t>
  </si>
  <si>
    <t xml:space="preserve">החוק כולל מספר תיקונים חקיקה שמטרתם לייעל את הליכי הפיטורים של עובדי הוראה המועסקים על ידי המדינה וההשעיה של עובדי מדינה שיש בהתנהגותם כדי לסכן את שלומם של קטינים או חסרי ישע השוהים במוסדות חינוך או במוסדות אחרים. חוק חינוך ממלכתי תוקן כדי להסמיך את מנכ"ל משרד החינוך לפטר עובד הוראה שהוא עובד המדינה במוסד חינוך רשמי, אם הוכח להנחת דעתו שהעובד נקט בהתנהגות בעלת אופי מיני שיש בה חומרה מיוחדת לנוכח היותו עובד הוראה, זאת בכפוף למתן זכות טיעון וזכות ערעור לעובד. בנוסף, תוקן ההסדר הקיים בחוק הפיקוח על בתי ספר ובחוק מוסדות חינוך תרבותיים ייחודיים, לגבי עובדי הוראה המועסקים על ידי מעסיקים פרטיים ורשויות מקומיות, והמנכ"ל הוסמך שלא לאשר את העסקתם אם הורשעו בעבירה שעקב מהותה, חומרתה או נסיבותיה, אין הם ראויים לשמש עובדי חינוך. באותו אופן, תוקנה סמכות המנכ"ל לדרוש את פיטוריו של עובד שירות המועסק על ידי הרשות המקומית במוסד חינוך. כמו כן, הוארכה תקופת ההשעיה המידית של עובד המדינה המועסק במוסד כהגדרתו בחוק למניעת העסקה של עברייני מין במוסדות מסוימים, כגון בתי ספר, גני ילדים ומתנ"ס, לתקופה של עד 60 ימים. לצד זאת, החוק מאפשר לגורם המוסמך להשעות עובד שבמסגרת עבודתו אחראי על קטין או חסר ישע והוגש נגדו כתב אישום בחשד לביצוע עבירת מין או אלימות חמורה בכל קטין או בחסר ישע ולא רק בקטין שעליו היה אחראי במסגרת תפקידו, בכפוף להפעלת שיקול דעת ומטעמים מיוחדים, בהתאם להליכים החלים על עובדים אלה לפי סוג המעסיק.</t>
  </si>
  <si>
    <t xml:space="preserve">חוק פיקוח על בתי ספר (תיקון מס' 11), התשפ"ד–2024</t>
  </si>
  <si>
    <t xml:space="preserve"> (פ/3260/25)</t>
  </si>
  <si>
    <t xml:space="preserve"> (כ/990)</t>
  </si>
  <si>
    <t xml:space="preserve">לגבי מתן רישיון לבית ספר לראשונה או לאחר שינויים מהותיים במבנה יישאר ההסדר הדורש אישור רשות הבריאות לעניין תברואה ודרישות חוק האפניפרין, ואולם לגבי בקשות שיוגשו מיום 1.5.2024 לגבי שנת הלימודים התשפ"ה ואילך נקבע כי אם רשות הבריאות לא נתנה את החלטתה בתוך חודשיים, יוכל מנכ"ל משרד החינוך לתת רישיון זמני לשנה אחת על סמך אישור עובד משרד החינוך שהוא בעל כשירות של עובד בריאות הסביבה.  לעניין בקשות לחידוש רישיון לגבי שנת הלימודים התשפ"ו ואילך, נקבע כי אם במהלך 18 החודשים הקודמים נערכה ביקורת וניתן אישור של רשות הבריאות או של עובד בריאות הסביבה כי ישנה רמה נאותה מבחינת תברואה ומבחינת דרישות חוק האפינפרין ניתן יהיה לחדש את הרישיון. אם לא התקיימה ביקורת כאמור יוכל מנכ"ל המשרד לחדש את הרישיון לתקופה של שנה בלבד על סמך הצהרת מגיש הבקשה כי ישנה רמה נאותה מבחינת תברואה ומבחינת דרישות חוק האפינפרין. אם ברישיון הקודם נכללו תנאים מיוחדים לעניין תברואה, תנאים אלה יכללו גם ברישיון המחודש.  עוד נקבע כי התברואה בבית הספר ודרישות חוק האפניפרין יהיו מהתנאים למתן רישיון לבית הספר. </t>
  </si>
  <si>
    <t xml:space="preserve">הצעת חוק צער בעלי חיים (הגנה על בעלי חיים) (תיקון - איסור על זיווג ומכירה של כלבים וחתולים), התשפ״ד-2024</t>
  </si>
  <si>
    <t xml:space="preserve"> (פ/4177/25)</t>
  </si>
  <si>
    <t xml:space="preserve">04.03.2024</t>
  </si>
  <si>
    <t xml:space="preserve">חוק התקנים (תיקון מס' 18), התשפ"ד–2024</t>
  </si>
  <si>
    <t xml:space="preserve">כחלק מצעדי הממשלה לביצוע התאמות לשם התכנסות למסגרות הפיסקאליות לשנת 2024 ואילך, אשר נועדו לסייע למשק להתמודד עם ההוצאות הנגרמות ממלחמת "חרבות ברזל", נקבע כי מכון התקנים יעביר לאוצר המדינה סכום חד פעמי של 105 מיליון שקלים חדשים בתוך שישה חודשים מיום תחילתו של החוק. מקור הכספים יהיו מתוך עודפי מכון התקנים שהם סכומים הכלולים בהון העצמי של המכון ומקורם ברווח הנקי שלו, כפי שנקבע לפי כללי חשבונאות מקובלים, כמפורט בדוחות הכספיים האחרונים של המכון שפורסמו לפני מועד העברת הסכום.</t>
  </si>
  <si>
    <t xml:space="preserve">הצעת חוק שירות ביטחון (תיקון - שילוב גברים תלמידי ישיבות), התשפ"ד-2024</t>
  </si>
  <si>
    <t xml:space="preserve"> (פ/4387/25)</t>
  </si>
  <si>
    <t xml:space="preserve">הצעת חוק הביטוח הלאומי (תיקון - דמי קיום לעצמאי יחיד) (הוראת שעה - חרבות ברזל), התשפ"ד-2024</t>
  </si>
  <si>
    <t xml:space="preserve"> (פ/4384/25)</t>
  </si>
  <si>
    <t xml:space="preserve">הצעת חוק-יסוד: פרס ישראל</t>
  </si>
  <si>
    <t xml:space="preserve"> (פ/4383/25)</t>
  </si>
  <si>
    <t xml:space="preserve">הצעת חוק חדלות פירעון ושיקום כלכלי (תיקון - הפטר לאלתר לחייב יחיד מעבר לגיל פרישה), התשפ"ד-2024</t>
  </si>
  <si>
    <t xml:space="preserve"> (פ/4382/25)</t>
  </si>
  <si>
    <t xml:space="preserve">הצעת חוק שירות אזרחי (תיקון - ארגונים מפעילים), התשפ"ד-2024 </t>
  </si>
  <si>
    <t xml:space="preserve"> (פ/4380/25)</t>
  </si>
  <si>
    <t xml:space="preserve"> (פ/4376/25)</t>
  </si>
  <si>
    <t xml:space="preserve">הצעת חוק לתיקון פקודת העיריות (הוספת ועדה לטיפול בתופעת המסתננים והשוהים הבלתי חוקיים), התשפ"ד-2024 </t>
  </si>
  <si>
    <t xml:space="preserve"> (פ/4375/25)</t>
  </si>
  <si>
    <t xml:space="preserve">הצעת חוק התניית יום שבתון בהצבעה בבחירות (תיקוני חקיקה), התשפ"ד-2024</t>
  </si>
  <si>
    <t xml:space="preserve"> (פ/4374/25)</t>
  </si>
  <si>
    <t xml:space="preserve">הצעת חוק לתיקון פקודת העיריות (ועדה לקליטת עלייה), התשפ"ד-2024 </t>
  </si>
  <si>
    <t xml:space="preserve"> (פ/4373/25)</t>
  </si>
  <si>
    <t xml:space="preserve">הצעת חוק עבודת נשים (תיקון - תקופת לידה והורות למשפחת אומנה), התשפ"ד-2024</t>
  </si>
  <si>
    <t xml:space="preserve"> (פ/4372/25)</t>
  </si>
  <si>
    <t xml:space="preserve">הצעת חוק מס קנייה (טובין ושירותים) (תיקון - שיעור המס על רכב חשמלי), התשפ"ד-2024</t>
  </si>
  <si>
    <t xml:space="preserve"> (פ/4371/25)</t>
  </si>
  <si>
    <t xml:space="preserve">הצעת חוק הרשויות המקומיות (הגבלת הזכות להיבחר) (תיקון - חברי כנסת, שרים וסגני שרים), התשפ"ד-2024</t>
  </si>
  <si>
    <t xml:space="preserve"> (פ/4370/25)</t>
  </si>
  <si>
    <t xml:space="preserve">הצעת חוק הביטוח הלאומי (תיקון - שיפוי מעסיקים על הפרשות פנסיוניות בעד עובדות בתקופת לידה והורות או בשמירת היריון), התשפ"ד-2024</t>
  </si>
  <si>
    <t xml:space="preserve"> (פ/4368/25)</t>
  </si>
  <si>
    <t xml:space="preserve">הצעת חוק הגבלת מכירה של קנביס רפואי בסביבת בתי ספר, התשפ"ד-2024</t>
  </si>
  <si>
    <t xml:space="preserve"> (פ/4367/25)</t>
  </si>
  <si>
    <t xml:space="preserve">הצעת חוק מגבלות על חזרתו של עבריין טרור לסביבת נפגע עבירה, התשפ"ד-2024</t>
  </si>
  <si>
    <t xml:space="preserve"> (פ/4171/25)</t>
  </si>
  <si>
    <t xml:space="preserve">הצעת חוק מגבלות על חזרתו של מורשע במעשה טרור לסביבת נפגע העבירה, התשפ"ד-2023</t>
  </si>
  <si>
    <t xml:space="preserve"> (פ/4136/25)</t>
  </si>
  <si>
    <t xml:space="preserve">חוק שירות ביטחון (תיקון מס' 26 – הוראת שעה – חרבות ברזל), התשפ"ד-2024</t>
  </si>
  <si>
    <t xml:space="preserve"> (מ/1709)</t>
  </si>
  <si>
    <t xml:space="preserve">28.02.2024</t>
  </si>
  <si>
    <t xml:space="preserve">סעיף 36א לחוק שירות ביטחון [נוסח משולב], התשמ"ו-1986, קובע הסדר למתן פטור משירות בצבא הגנה לישראל מחמת גיל, כך שאזרח ישראלי או תושב קבע שאינו קצין ומלאו לו ארבעים שנים או קצין שמלאו לו ארבעים וחמש שנים יהיה פטור מחובת שירות ביטחון. לצד זאת, נקבע כי שר הביטחון רשאי לקבוע, בצו, באישור ועדת החוץ והביטחון של הכנסת, מקצועות או תפקידים שבגינם יינתן פטור רק בגיל ארבעים ותשע; ואילו במידה והגיע לגיל ארבעים או ארבעים וחמש, לפי העניין כאמור, ייקרא האדם לשירות מילואים רק בתפקידו או במקצועו. כמו כן, צו זה יינתן לתקופה שלא תעלה על שלוש שנים, כאשר ניתן יהיה להאריכו לתקופות נוספות שלא יעלו על שלוש שנים בכל פעם.  במסגרת תיקון מס' 26, בשל מלחמת חרבות ברזל, הוחלט כי בתקופה שמיום כ"א באדר א' התשפ"ד (1 במרץ 2024) ועד יום כ"ד בסיוון התשפ"ד (30 ביוני 2024), יעלה גיל הפטור כך שבמקום ארבעים הוא יעמוד על ארבעים ואחת, ולגבי קצין – במקום ארבעים וחמש הוא יעמוד על ארבעים ושש. וכן, נקבע כי במסגרת צו כאמור גיל הפטור יעמוד על חמישים, כאשר מגיל ארבעים וחמש או ארבעים ושש, לפי העניין, יהיה ניתן לקורא לאדם לשירות רק בתפקידו או במקצועו. כמו כן, קריאה לשירות מילואים כאמור תיעשה רק לתפקידים במערך הלוחם, אלא אם כן יחולו נסיבות חירום שלפיהן ביטחון המדינה מחייב לקרוא גם למשרתים שאינם במערך הלוחם. עוד נקבע כי חייל מילואים שביצע שירות מילואים לפי חוק זה, יהיה זכאי לתמול מיוחד מהיום הראשון ועד ליום ה-31 לשירותו שבוצע בתקופה שמיום כ' בטבת התשפ"ד (1 בינואר 2024) עד יום כ"ד בסיוון התשפ"ד (30 ביוני 2024) מבלי שהוא יהיה חייב בתשלום מס הכנסה על התגמול. בנוסף, נקבעה חובת דיווח של שר הביטחון לוועדת החוץ והביטחון של הכנסת בתחילת כל חודש שקדם למועד הדיווח בעניין שירות מילואים, החל מיום כ"ב באדר ב' התשפ"ד (1 באפריל 2024), לרבות מספר חיילי המילואים שנקראו לשירות כאמור, מספר צווי הפטור משירות מילואים שנתן שר הביטחון והחלופות שנבחנו להפחתת הנטל על חיילי המילואים והצעדים שננקטו.  </t>
  </si>
  <si>
    <t xml:space="preserve">חוק הסכמים קיבוציים (תיקון מס' 11 - הוראת שעה - חרבות ברזל) (הוראות מיוחדות לעניין הרחבת הסכם קיבוצי כללי שנעשה בשל פעולות האיבה או פעולות המלחמה), התשפ"ד-2024</t>
  </si>
  <si>
    <t xml:space="preserve"> (מ/1723)</t>
  </si>
  <si>
    <t xml:space="preserve">נקבעו בהוראת שעה עד ה-29 באוגוסט 2024 הוראות המקצרות את ההליכים לעניין מתן צו הרחבה לגבי הסכם קיבוצי כללי שנעשה בשל מלחמת חרבות ברזל ושר העבודה שוכנע כי יש דחיפות לתת צו הרחבה לגביו. נקבע כי ההודעה על כוונת שר העבודה לתת צו הרחבה להסכם כאמור תפורסם ברשומות ותצוין בה קביעתו כי מדובר בהסכם שהעניינים בו נובעים בעיקרם ממלחמת חרבות ברזל וכי הוא שוכנע כי יש דחיפות בהרחבת תחולתו של ההסכם הקיבוצי. כמו כן במקום שצו ההרחבה יינתן רק לאחר חודש ממועד פרסום ההודעה על הכוונה לתיתו, ניתן יהיה להחליט על מתן הצו כבר לאחר שבעה ימים. נוסף על כך, נקבע קיצור המועד להגשת ערר לגבי הכוונה למתן צו הרחבה, שיוגש באופן מקוון, מעשרים יום לארבעה ימים ממועד פרסום ההודעה, אלא אם כן השר קבע בהודעה מועד מאוחר יותר. כמו כן נקבע כי אם השר הודיע על כוונתו לתת צו הרחבה לגבי הסכם כאמור שהוגש לרישום, יקוצרו גם המועדים להליכים הנוגעים לרישומו של ההסכם, כך שהמועד להגשת טענת כשרות בקשר לרישום ההסכם הקיבוצי יהיה לכל המאוחר המועד להגשת ערר על מתן צו ההרחבה והמועד לרישום ההסכם הקיבוצי יהיה לכל המאוחר מועד מתן צו ההרחבה. לגבי הסכם קיבוצי שלפני תחילת החוק כבר פורסמה הודעת שר העבודה על כוונה לתת צו הרחבה לגביו אם הוא נעשה בשל פעולות האיבה או פעולות המלחמה ויש דחיפות במתן צו הרחבה לגביו, נקבעו הוראות מותאמות. נוסף על כך נקבע כי טענת כשרות של ארגון עובדים, הנוגעת להסכם, שביום תחילתו של החוק טרם חלף המועד להגשתה, תוגש לא יאוחר מתום שלושה ימים מיום תחילתו של החוק.</t>
  </si>
  <si>
    <t xml:space="preserve">הצעת חוק לשכת עורכי הדין (תיקון - התמחות ומבחני הסמכה) (הוראת שעה - חרבות ברזל), התשפ"ד-2023</t>
  </si>
  <si>
    <t xml:space="preserve"> (פ/4155/25)</t>
  </si>
  <si>
    <t xml:space="preserve">חוק לתיקון פקודת בריאות העם (מס' 41), התשפ"ד-2024</t>
  </si>
  <si>
    <t xml:space="preserve"> (מ/1655)</t>
  </si>
  <si>
    <t xml:space="preserve">נקבע כי מנהל מוסד רפואי לא יפעיל אדם בביצוע פעולות שונות במערכת גז רפואי אלא אם אותו אדם עומד בתנאי הכשירות כמפורט בתוספת, או שהוא עובד בפיקוחו ובהדרכתו של מי שעומד בתנאי הכשירות. תנאי הכשירות כוללים דרישות של השכלה, עמידה בתוכנית הכשרה מטעם משרד הבריאות, ניסיון מעשי, וידע בסיסי בשפה העברית ,והם משתנים בהתאם לסוג העיסוק במערכת גז רפואי שבו מדובר – איש אחזקה, מתקין, מפקח או מהנדס בודק. מי שצבר ניסיון מעשי של 5 שנים בעבודה עם מערכת גז רפואי עד ליום 1.7.24 יוכל לשמש כמתקין או כמפקח - וזאת גם אם לא עמד ביתר תנאי הכשירות, ולגבי איש אחזקה יידרשו שלוש שנות ניסיון כאמור. כדי לאפשר לאנשים לעבור תוכניות הדרכה שהן תנאי כשירות לעיסוק, מוצע כי עד יום 31.12.24 מנהל מוסד רפואי יוכל להעסיק אדם כאיש אחזקה,  מפקח או מתקין - גם אם לא עבר תוכנית הכשרה, ולגבי מהנדס בודק, שתוכנית ההכשרה שלו היא הארוכה ביותר, עד ליום 1.7.25. לבסוף נקבע כי שר הבריאות מוסמך לקבוע כללים להכרה בתוכניות הדרכה שהן לא מטעם משרד הבריאות. כמו כן, השר מוסמך לשנות בצו, באישור ועדת הבריאות של הכנסת, את תנאי הכשירות, למעט דרישות ההשכלה, ובכלל זה לקבוע חובת עמידה בבחינות עיוניות או מעשיות. </t>
  </si>
  <si>
    <t xml:space="preserve">הצעת חוק אוויר נקי (תיקון - איסור שימוש בתנורים המוסקים בדלק מוצק), התשפ"ג-2023</t>
  </si>
  <si>
    <t xml:space="preserve"> (פ/3493/25)</t>
  </si>
  <si>
    <t xml:space="preserve"> (פ/2238/25)</t>
  </si>
  <si>
    <t xml:space="preserve">26.02.2024</t>
  </si>
  <si>
    <t xml:space="preserve">הצעת חוק המאבק בטרור (תיקון - איסור החזרת גופות מחבלים), התשפ"ג-2023</t>
  </si>
  <si>
    <t xml:space="preserve"> (פ/1599/25)</t>
  </si>
  <si>
    <t xml:space="preserve">חוק זכויות הדייר בדיור הציבורי (הוראת שעה – חרבות ברזל) (דייר ממשיך מיוחד), התשפ"ד-2024</t>
  </si>
  <si>
    <t xml:space="preserve"> (מ/1703)</t>
  </si>
  <si>
    <t xml:space="preserve">נקבע הסדר מיוחד לעניין "דייר ממשיך מיוחד" במסגרתו משרד הבינוי והשיכון יהיה רשאי לאשר למי שהם בני משפחה של החטופים, הנעדרים או הנרצחים, שהם גם בני משפחה של זכאי לדיור ציבורי, ושהתגוררו בדירה הציבורית עם הזכאי ערב פטירתו או ערב מעבר הזכאי למוסד סיעודי, להמשיך להתגורר בדירה ציבורית לתקופה שלא תעלה על שש שנים, וזאת על בסיס בקשתם לכך.</t>
  </si>
  <si>
    <t xml:space="preserve">חוק התוכנית הכלכלית (תיקוני חקיקה ליישום המדיניות הכלכלית לשנות התקציב 2023 ו-2024) (תיקון), התשפ"ד-2024</t>
  </si>
  <si>
    <t xml:space="preserve"> (מ/1685)</t>
  </si>
  <si>
    <t xml:space="preserve">במסגרת חוק ההתייעלות הכלכלית (תיקוני חקיקה להשגת יעדי התקציב לשנות התקציב 2023 ו-2024), התשפ"ג–2023 , בוצעו מספר תיקונים בחוק הבנקאות (שירות ללקוח), התשמ"א-1981, שעסקו בהגברת השקיפות ללקוחות הבנקים. אחד מהתיקונים כאמור היה תיקון סעיף 5א לחוק הבנקאות, בו נקבע כי בתחילת כל חודש קלנדרי ישלחו הבנקים לכל לקוחותיהם, באמצעי המאפשר תקשורת מיידית ונגישה, ככל האפשר, הודעה שבה יפרטו את הסכומים הכוללים של העמלות ושל הריביות שגבה הבנק מהלקוח בחודש שקדם למועד שליחת ההודעה. עוד נקבע כי מועד תחילתו של התיקון לעניין עמלות יהיה ב-1 בינואר 2024, ולעניין ריביות וכן עמלות וריביות שנגבו בעבור הלוואה לדיור, ב-2 ביוני 2024.  נוכח מלחמת "חרבות ברזל" שפרצה ב-7 באוקטובר 2023, הוכרז מצב מיוחד בעורף שהוחל על כל שטחי המדינה והחל גיוס מילואים נרחב. עובדים רבים בכל מערכות המשק לרבות המערכת הבנקאית גויסו, ועיקר המשאבים הופנו לטיפול בנפגעים ובמקרים הדחופים. המציאות החדשה השפיעה על היערכותם של הבנקים ליישום הוראות התיקון במועד שנקבע.   החוק נועד לאפשר לבנקים ארכה להיערכות ליישום משלוח ההודעות ללקוחותיהם. בהתאם לכך, החוק דוחה בחודשיים, עד ליום ה-1 במרץ 2024, את מועד תחילתה של ההוראה המחייבת תאגיד בנקאי לשלוח ללקוחותיו, בתחילת כל חודש קלנדרי, הודעה לעניין עמלות כאמור. כמו כן, החוק חל רטרואקטיבית מה-1 בינואר 2024 שהוא מועד תחילתה המקורי של ההוראה כאמור. </t>
  </si>
  <si>
    <t xml:space="preserve">הצעת חוק משפחות חיילים שנספו במערכה (תגמולים ושיקום) (תיקון - העלאת סכום הסיוע למימון שיעורי נהיגה), התשפ"ד-2024</t>
  </si>
  <si>
    <t xml:space="preserve"> (פ/4363/25)</t>
  </si>
  <si>
    <t xml:space="preserve">הצעת חוק התכנון והבנייה (תיקון - פטור מהיטל השבחה עבור מיתקני אגירה), התשפ"ד-2024</t>
  </si>
  <si>
    <t xml:space="preserve"> (פ/4362/25)</t>
  </si>
  <si>
    <t xml:space="preserve">הצעת חוק לייצור אמצעי לחימה בתעשיות הביטחוניות בישראל, התשפ"ד-2024</t>
  </si>
  <si>
    <t xml:space="preserve"> (פ/4361/25)</t>
  </si>
  <si>
    <t xml:space="preserve">הצעת חוק הבטחת הכנסה (תיקון - מימון תרופות שאינן בסל שירותי הבריאות לילדים שהוריהם מקבלים גמלת הבטחת הכנסה), התשפ"ד-2024</t>
  </si>
  <si>
    <t xml:space="preserve"> (פ/4358/25)</t>
  </si>
  <si>
    <t xml:space="preserve"> (פ/4357/25)</t>
  </si>
  <si>
    <t xml:space="preserve">הצעת חוק-יסוד: כבוד האדם וחירותו (תיקון - תוקפו של חוק חורג בעניין מסתננים) </t>
  </si>
  <si>
    <t xml:space="preserve"> (פ/4355/25)</t>
  </si>
  <si>
    <t xml:space="preserve">הצעת חוק התכנון והבנייה (תיקון - מיתקן אגירת אנרגיה בבניין רב קומות), התשפ"ד-2024</t>
  </si>
  <si>
    <t xml:space="preserve"> (פ/4354/25)</t>
  </si>
  <si>
    <t xml:space="preserve">הצעת חוק הרשויות המקומיות (מימון בחירות) (תיקון - עידוד התמודדות נשים לראשות רשות מקומית או מועצה אזורית), התשפ"ד-2024</t>
  </si>
  <si>
    <t xml:space="preserve"> (פ/4352/25)</t>
  </si>
  <si>
    <t xml:space="preserve"> (פ/4351/25)</t>
  </si>
  <si>
    <t xml:space="preserve">הצעת חוק שמירה על זכויות תעסוקה של משרתי מילואים ובני זוגם (תיקוני חקיקה), התשפ"ד-2024</t>
  </si>
  <si>
    <t xml:space="preserve"> (פ/4347/25)</t>
  </si>
  <si>
    <t xml:space="preserve">הצעת חוק חינוך אקלימי בבתי חולים ציבוריים כלליים, התשפ"ד-2024</t>
  </si>
  <si>
    <t xml:space="preserve"> (פ/4344/25)</t>
  </si>
  <si>
    <t xml:space="preserve"> (פ/4343/25)</t>
  </si>
  <si>
    <t xml:space="preserve">הצעת חוק תשלום בכרטיס אשראי בעד נסיעה בתחבורה ציבורית (תיקוני חקיקה), התשפ"ד–2024</t>
  </si>
  <si>
    <t xml:space="preserve"> (פ/3200/25)</t>
  </si>
  <si>
    <t xml:space="preserve"> (כ/997)</t>
  </si>
  <si>
    <t xml:space="preserve">הצעת חוק הפיקוח על שירותים פיננסיים (ייעוץ, שיווק ומערכת סליקה פנסיוניים) (תיקון מס' 13), התשפ"ד-2024</t>
  </si>
  <si>
    <t xml:space="preserve"> (מ/1718)</t>
  </si>
  <si>
    <t xml:space="preserve"> (פ/4165/25)</t>
  </si>
  <si>
    <t xml:space="preserve">21.02.2024</t>
  </si>
  <si>
    <t xml:space="preserve">חוק שירותי רווחה (זכויות נשים ששהו במקלט לנשים מוכות) (תיקון מס' 4), התשפ"ד–2024</t>
  </si>
  <si>
    <t xml:space="preserve"> (פ/2908/25)</t>
  </si>
  <si>
    <t xml:space="preserve"> (כ/967)</t>
  </si>
  <si>
    <t xml:space="preserve">חוק זה קובע כי סכום מענק ההסתגלות, שמשולם לאישה ששהתה במקלט לנשים מוכות בעת יציאתה מהמקלט, יעלה מ-8,000 שקלים חדשים ל-11,000 שקלים חדשים. בנוסף, בעת היציאה מהמקלט תקבל האישה תוספת סיוע למענק בגובה 1,000 שקלים חדשים, עבור כל אחד מילדיה הנמצא עימה, ולא רק עבור 2 ילדים כפי שהיה קבוע בחוק לפני תיקון זה. כמו כן חוק זה קובע כי מענק ההסתגלות ישולם לאישה בסמוך ליציאתה מהמקלט, וככל האפשר לפני יציאתה, ובכל מקרה לא יאוחר מ-30 יום ממועד שהוגשה הבקשה לתשלום המענק וזאת בשונה מהמצב שהיה עד תיקון זה לפיו המענק היה משולם לאחר יציאת האישה מהמקלט ועד 60 ימים לאחר שהוגשה הבקשה.</t>
  </si>
  <si>
    <t xml:space="preserve">הצעת חוק שירות המדינה (מינויים) (תיקון - העדפת מועמדים תושבי פריפריה), התשפ"ד-2023</t>
  </si>
  <si>
    <t xml:space="preserve"> (פ/3961/25)</t>
  </si>
  <si>
    <t xml:space="preserve">הצעת חוק ההסדרים במשק המדינה (תיקוני חקיקה להשגת יעדי התקציב) (תיקון - הנחה בארנונה לנכים), התשפ"ג-2023</t>
  </si>
  <si>
    <t xml:space="preserve"> (פ/3834/25)</t>
  </si>
  <si>
    <t xml:space="preserve">הצעת חוק הגנת הצרכן (תיקון - איסור גביית תשלום בכרטיסי חיוב בלבד), התשפ"ג-2023</t>
  </si>
  <si>
    <t xml:space="preserve"> (פ/1492/25)</t>
  </si>
  <si>
    <t xml:space="preserve">הצעת חוק לתיקון פקודת מס הכנסה (תיקון מס' 268), התשפ"ג-2023</t>
  </si>
  <si>
    <t xml:space="preserve"> (מ/1631)</t>
  </si>
  <si>
    <t xml:space="preserve">19.02.2024</t>
  </si>
  <si>
    <t xml:space="preserve">הצעת חוק הקמת מאגר מידע גנטי של כלבים, התשפ"ג-2023</t>
  </si>
  <si>
    <t xml:space="preserve"> (פ/2708/25)</t>
  </si>
  <si>
    <t xml:space="preserve">הצעת חוק מיסוי מקרקעין (שבח ורכישה) (תיקון מס' 104), התשפ"ד-2024</t>
  </si>
  <si>
    <t xml:space="preserve"> (מ/1715)</t>
  </si>
  <si>
    <t xml:space="preserve">הצעת חוק רישוי עסקים (תיקון - מכירת יין בחנות גדולה), התשפ"ד-2023</t>
  </si>
  <si>
    <t xml:space="preserve"> (פ/3945/25)</t>
  </si>
  <si>
    <t xml:space="preserve">הצעת חוק רישוי עסקים (תיקון - מכירת יין בחנות גדולה), התשפ"ג-2023</t>
  </si>
  <si>
    <t xml:space="preserve"> (פ/3582/25)</t>
  </si>
  <si>
    <t xml:space="preserve"> (פ/2954/25)</t>
  </si>
  <si>
    <t xml:space="preserve">הצעת חוק לתיקון פקודת התעבורה (תשלום עבור נסיעה בתחבורה ציבורית בכרטיס אשראי), התשפ"ג-2023</t>
  </si>
  <si>
    <t xml:space="preserve"> (פ/3334/25)</t>
  </si>
  <si>
    <t xml:space="preserve">חוק עובדים זרים (תיקון מס' 24), התשפ"ד-2024</t>
  </si>
  <si>
    <t xml:space="preserve"> (מ/1698)</t>
  </si>
  <si>
    <t xml:space="preserve"> נקבע הסדר חלופי לניכוי מכספי הפיקדון של עובדים זרים, לפיו 25% מכספי הפיקדון של עובד זר ישולמו לו גם אם יצא מישראל לאחר תום התקופה המותרת לשהייתו בה, בתוספת הרווחים שנצברו ובניכוי דמי ניהול ומיסים, ובלבד שהגיש לממונה בקשה בכתב לקבלת הכספים כמפורט בחוק. את יתרת 75% מכספי הפיקדון, יהיה העובד הזר זכאי לקבל אם עזב את ישראל לא יאוחר משנים עשר חודשים מתום התקופה שבה הורשה לשהות בה, בתוספת הרווחים ובניכוי הוצאות הרחקה וכן בניכוי סכום בשיעור הולך וגדל בהתאם לתקופת השיהוי ביציאה כמפורט בתוספת הראשונה 1ב' לחוק עובדים זרים, התשנ"א-1991 (להלן – החוק), ומיסים. כמו כן נקבע כי הממונה יהיה רשאי, לפי בקשה של עובד זר, להחליט על הפחתת תקופת השיהוי שתיזקף לחובתו של העובד הזר אם הממונה מצא כי נבצר מהעובד הזר לעזוב את ישראל עד תום התקופה שבה הורשה לשהות בה לפי הוראות חוק הכניסה לישראל או בנסיבות נוספות הקבועות בחוק, ובלבד שלא חלפו מעל שלוש שנים מתום התקופה שבה הורשה לשהות בישראל עד המועד שבו התקבלה בקשתו במשרדי הממונה. על החלטת הממונה ניתן יהיה להגיש השגה בהתאם להוראות החוק. כמו כן, נקבע כי רשות האוכלוסין וההגירה תאפשר לעובד זר לצפות בכל עת באתר האינטרנט שלה או באמצעי דיגיטלי במידע לעניין כספי הפיקדון המתנהלים לגביו, אופן הגשת הבקשה לקבלת כספי הפיקדון ותוקף האשרה והרישיון של העובד הזר. עוד נקבעו הוראות תחולה כמפורט בחוק. </t>
  </si>
  <si>
    <t xml:space="preserve">חוק לשכת עורכי הדין (תיקון מס' 42), התשפ"ד-2024</t>
  </si>
  <si>
    <t xml:space="preserve"> (מ/1705)</t>
  </si>
  <si>
    <t xml:space="preserve">החוק מסדיר בחקיקה ראשית את השמירה של חומר ארכיוני בידי עורך דין בעניין לקוחו. לפי החוק, עורך דין ישמור על חומר ארכיוני לתקופת זמן של שבע שנים מיום סיום הטיפול בעניין שמסר לו הלקוח או מיום סיום ההליכים המשפטיים שבהם ייצג את הלקוח, אלא אם כן סרק את המסמך בהתאם לתנאים המנויים בחוק שאז תחול חובת השמירה על החומר הסרוק. עורך הדין ולקוחו רשאים להסכים בכתב על תקופת שמירה אחרת, ארוכה או קצרה יותר. במהלך התקופה שבה החומר נשמר רשאי הלקוח לבקש לידיו את החומר הארכיוני, ובסופה, רשאי עורך הדין לבער את החומר מבלי שהוא נדרש לפנות לשם כך ללקוח, והכל תוך שמירה על פרטיות הלקוח. ההוראה לא חלה על מסמכים המפורטים בתוספת לחוק הנתונה לשינוי על ידי שר המשפטים. התיקון לחוק גם לא חל על מסמכים שנמסרו למשמרת על פי הסכם, או על חומר שחלה לגביו חובת שמירה לפי חוק אחר.</t>
  </si>
  <si>
    <t xml:space="preserve">חוק הביטוח הלאומי (תיקון מס' 243), התשפ"ד–2024</t>
  </si>
  <si>
    <t xml:space="preserve"> (פ/2421/25)</t>
  </si>
  <si>
    <t xml:space="preserve"> (כ/986)</t>
  </si>
  <si>
    <t xml:space="preserve">נקבע כי גמלת ילד נכה המגיעה בעד ילד נכה המושם באומנה, תשולם לאומן של הילד בעד תקופת האומנה, תוך הבחנה בין שני מצבים: במקרה שבו השתלמה גמלת נכה בעד הילד בסמוך לפני השמתו באומנה, המפקח הארצי על האומנה יודיע על כך למוסד לביטוח לאומי, והמוסד ישלם את הגמלה לאומן. במקרה שבו לא השתלמה בעד הילד גמלת ילד נכה בסמוך לפני שהושם באומנה, יתאפשר לאומן להגיש תביעה לגמלת ילד נכה. כמו כן, נקבע כי במשפחת אומנה שבה שני ילדים או יותר שמשתלמת בעדם גמלת ילד נכה, תשולם תוספת של 50% על שיעור הגמלה בעד כל ילד נכה וכן כי מענק הניתן במקרה שבו נפטר ילד נכה שהושם באומנה ישולם להורה הביולוגי של הילד. בנוסף, נקבעו הוראות משלימות בחוק אומנה לילדים, לפיהן אומן יהיה זכאי לקבל גמלת ילד נכה בעד ילד נכה שהושם אצלו באומנה, וכן לקבל את ההטבות והזכויות הנלוות לגמלה. לשם כך ניתנה לאומן סמכות להגיש תביעה לקבלת גמלה כאמור ולבצע את כל הפעולות הנדרשות לשם כך, ובלבד שיידע את הורי הילד זמן סביר מראש על תכניותיו להגיש תביעה כאמור. נקבע כי תחילתו של התיקון המוצע תהיה שלושה חודשים מיום פרסומו, וגמלת ילד נכה תשולם לאומן לפי הוראות ההסדר המוצע בעד התקופה האמורה ואילך. נקבע כי התיקון לחוק אומנה לילדים ייכנס לתוקף מיד עם פרסום החוק.</t>
  </si>
  <si>
    <t xml:space="preserve">חוק אומנה לילדים (תיקון מס' 3), התשפ"ד-2024</t>
  </si>
  <si>
    <t xml:space="preserve"> (מ/1636)</t>
  </si>
  <si>
    <t xml:space="preserve">נקבע כי לאומן באומנת חירום תהיה סמכות לתת הסכמה לבדיקה רפואית ולטיפול רפואי, לרבות נטילת תרופות, ביצוע בדיקות דם וקבלת חיסונים הניתנים לכלל ילדי ישראל, ולמעט טיפולים רפואיים המנויים בתוספת הראשונה לחוק זכויות החולה, כגון ניתוחים ודיאליזה. עוד נקבע כי במקרה שבו ילד שהושם באומנת חירום אושפז בבית חולים מכוח סמכות האומן כאמור, עובד סוציאלי לפי חוק הנוער (טיפול והשגחה) או עובד סוציאלי לפי חוק הסעד (טיפול באנשים עם מוגבלות שכלית–התפתחותית), לפי העניין, יודיע על כך לבית המשפט הדן בעניינו של הילד, בסמוך לאחר אשפוזו. בנוסף נקבע כי בנוגע למתן רישיון לאומן באומנת חירום, לא תחול הגבלת גיל מרבי של 56 שנים, בשונה מאומנה רגילה.</t>
  </si>
  <si>
    <t xml:space="preserve">הצעת חוק הטלת סנקציות על תומכי טרור, התשפ"ד-2024</t>
  </si>
  <si>
    <t xml:space="preserve"> (פ/4342/25)</t>
  </si>
  <si>
    <t xml:space="preserve">הצעת חוק חיילים משוחררים (החזרה לעבודה) (תיקון - הארכת תקופת הגנה מפני פיטורים למשרתי מילואים ובני ובנות זוגם), התשפ"ד-2024</t>
  </si>
  <si>
    <t xml:space="preserve"> (פ/4341/25)</t>
  </si>
  <si>
    <t xml:space="preserve">הצעת חוק שוויון ההזדמנויות בעבודה (תיקון - איסור הפליה), התשפ"ד-2024</t>
  </si>
  <si>
    <t xml:space="preserve"> (פ/4340/25)</t>
  </si>
  <si>
    <t xml:space="preserve"> (פ/4338/25)</t>
  </si>
  <si>
    <t xml:space="preserve">הצעת חוק התכנון והבנייה (תיקון - תוקף היתר בנייה), התשפ"ד-2024</t>
  </si>
  <si>
    <t xml:space="preserve"> (פ/4336/25)</t>
  </si>
  <si>
    <t xml:space="preserve">הצעת חוק הרשויות המקומיות (בחירות) (תיקון - סמכות השר לדחיית מועד בחירות ופיצוי כספי בגין דחייה), התשפ"ד-2024 </t>
  </si>
  <si>
    <t xml:space="preserve"> (פ/4335/25)</t>
  </si>
  <si>
    <t xml:space="preserve">הצעת חוק למניעת הוצאה של כספים מישראל על ידי מסתנן או נתין זר או עבורו, התשפ"ד-2024</t>
  </si>
  <si>
    <t xml:space="preserve"> (פ/4334/25)</t>
  </si>
  <si>
    <t xml:space="preserve">הצעת חוק שירות ביטחון (תיקון - הזדמנות שווה לנשים בצה"ל), התשפ"ד-2024</t>
  </si>
  <si>
    <t xml:space="preserve"> (פ/4330/25)</t>
  </si>
  <si>
    <t xml:space="preserve"> (פ/4329/25)</t>
  </si>
  <si>
    <t xml:space="preserve">הצעת חוק סל הקליטה (תיקון - שעות לימוד עברית), התשפ"ד-2024</t>
  </si>
  <si>
    <t xml:space="preserve"> (פ/4326/25)</t>
  </si>
  <si>
    <t xml:space="preserve">הצעת חוק יום לציון זכרם של חללי ונפגעי יהדות התפוצות על רקע אנטישמי, התשפ"ד-2024</t>
  </si>
  <si>
    <t xml:space="preserve"> (פ/4325/25)</t>
  </si>
  <si>
    <t xml:space="preserve">הצעת חוק לתיקון פקודת מס הכנסה (הגדלת זיכוי מס על תרומה לבתי חולים בפריפריה), התשפ"ד-2024</t>
  </si>
  <si>
    <t xml:space="preserve"> (פ/4324/25)</t>
  </si>
  <si>
    <t xml:space="preserve">חוק הרבנות הראשית לישראל (הארכת כהונה של הרבנים הראשיים לישראל ושל חברי מועצת הרבנות הראשית לישראל) (הוראת שעה) (תיקון), התשפ"ד-2024</t>
  </si>
  <si>
    <t xml:space="preserve"> (מ/1713)</t>
  </si>
  <si>
    <t xml:space="preserve">14.02.2024</t>
  </si>
  <si>
    <t xml:space="preserve">נקבע כי מועד סיום כהונתם של הרבנים הראשיים לישראל המכהנים כיום, יידחה ליום כ"ה בסיוון התשפ"ד (1 ביולי 2024) וכן כי מועד סיום כהונת חברי המועצה הנבחרים יידחה ליום י"ב באלול התשפ"ד (15 בספטמבר 2024). בנוסף, נקבע כי לעניין הבחירות הראשונות לרב הראשי לישראל ולחברי המועצה הנבחרים, שיתקיימו לאחר תחילתה של הוראת השעה, יהיו חברים מסוימים באסיפה הבוחרת (רבני עיר, רבנים אזוריים, רבני יישוב, רבני שכונה וראשי המועצות הדתיות) רק מי ששימשו בתפקידם לפי אותן פסקאות ערב תחילתו של תיקון זה והמשיכו לשמש בתפקידם כאמור במועד הבחירות. כמו כן, נקבע כי רב עיר ברשות מקומית שמועד סיום כהונתו חל בתקופה שמיום כ"ב בתשרי התשפ"ד (7 באוקטובר 2023) עד מועד הבחירות הכלליות לרשויות המקומיות, ולא הודיע בכתב לגורם הממנה כי אין להאריך את תקופת כהונתו – ישוב ויכהן החל ביום תחילתו של החוק, עד ליום ה-90 שלאחר מועד הבחירות לרשויות המקומיות. רב עיר ששב לכהן כאמור, לא יכהן באסיפה הבוחרת לבחירת הרבנים הראשיים לישראל.</t>
  </si>
  <si>
    <t xml:space="preserve">הצעת חוק לתיקון פקודת מס הכנסה (קרנות השקעה), התשפ"ג-2023</t>
  </si>
  <si>
    <t xml:space="preserve"> (פ/3930/25)</t>
  </si>
  <si>
    <t xml:space="preserve"> (פ/3460/25)</t>
  </si>
  <si>
    <t xml:space="preserve">הצעת חוק הכרה אזרחית בהכשרות צבאיות (תיקון - הכרה בניסיון פיקודי כניסיון ניהולי), התשפ"ג-2023</t>
  </si>
  <si>
    <t xml:space="preserve"> (פ/1664/25)</t>
  </si>
  <si>
    <t xml:space="preserve">הצעת חוק הביטוח הלאומי (תיקון - תשלום דמי אבטלה לנשים שיצאו לחופשה ללא תשלום לאחר לידה מסיבות מוצדקות), התשפ"ג-2022</t>
  </si>
  <si>
    <t xml:space="preserve"> (פ/1047/25)</t>
  </si>
  <si>
    <t xml:space="preserve">חוק מימון הוצאות למשפחות שבויים, חטופים ונעדרים (תיקון מס' 2), התשפ"ד-2024</t>
  </si>
  <si>
    <t xml:space="preserve"> (פ/4205/25)</t>
  </si>
  <si>
    <t xml:space="preserve"> (כ/991)</t>
  </si>
  <si>
    <t xml:space="preserve">13.02.2024</t>
  </si>
  <si>
    <t xml:space="preserve">החוק מבטל את התנאי שלפיו אח או ילד של חטוף, שבוי או נעדר יהיה זכאי למענק רבעוני בסך של 21,000 שקלים חדשים, רק אם לא משתלמים לו או בעדו תשלומים לפי חוק תגמולים לבני משפחה של חטופים ונעדרים בפעולת איבה, התשפ"ד–2023. החוק קובע כי המענק ישולם לאח או ילד כאמור שמלאו לו 18 שנים בקיזוז של שלוש פעמים התגמול שמשתלם לו או התוספת לתגמול המשתלמת בעדו לפי החוק האמור, לפי חוק משפחות חיילים שנספו במערכה (תגמולים ושיקום) או לפי חוק התגמולים לנפגעי פעולות איבה. התשלום לזכאים לכך לפי תנאי החוק ייעשה באופן רטרואקטיבי החל מה-7.10.23. כמו כן החוק קובע שהטבות סוציאליות המשולמות לפי הסכמים שנערכו מיום ה-1.1.24 ועד יום 31.3.24 לפי סעיף 9 לחוק הביטוח הלאומי בשל המצב הביטחוני המיוחד, לא יחשבו כהכנסה לעניין כל דין אלא אם נקבע בהם אחרת.</t>
  </si>
  <si>
    <t xml:space="preserve">פרק א' (מטרת החוק) מתוך הצעת חוק התוכנית המאזנת (תיקוני חקיקה להשגת יעדי התקציב לשנת התקציב 2024), התשפ"ד-2024 [פוצלה לפי סעיף 84(ב) לתקנון]</t>
  </si>
  <si>
    <t xml:space="preserve">12.02.2024</t>
  </si>
  <si>
    <t xml:space="preserve">חוק לתיקון דיני הבחירות לרשויות המקומיות והוראות שעה לעניין הבחירות הקרובות, התשפ"ד-2024</t>
  </si>
  <si>
    <t xml:space="preserve"> (מ/1710)</t>
  </si>
  <si>
    <t xml:space="preserve">בשל המלחמה והצורך לבצע את ההתאמות והשינויים הנדרשים לקיום הבחירות לרשויות המקומיות בקרב חיילים במהלכה, נקבע כי כהוראת שעה לבחירות הקרובות, משך ההצבעה בקלפיות חיילים יוארך ויכול שיתקיים במהלך השבוע המסתיים במועד סיום ההצבעה בקלפיות רגילות. עם פקיעת הוראת השעה, יהיה ניתן לקיים את ההצבעה בקלפיות חיילים במשך 72 שעות המסתיימות במועד סיום ההצבעה בקלפיות רגילות. כמו כן, נקבע כהוראת שעה כי לא רק חייל חובה יוכל להיות בוועדת הקלפי, אלא גם חייל קבע עד דרגת רב סמל ראשון וחייל מילואים  עד דרגת רב סמל מתקדם. בנוסף, נקבע כי בכל בית אבות בו מתגוררים לפחות 100 דיירים, תוצב קלפי אחת לפחות. כמו כן, נקבע כהוראת שעה כי בבחירות הקרובות, בשל חג הרמדאן, ברשויות בהן אף אחד מהמועמדים לא הגיע ל-40%, הבחירות החוזרות בין שני המועמדים המובילים יערכו בתוך 12 ימים במקום בתוך 14 ימים.</t>
  </si>
  <si>
    <t xml:space="preserve">חוק הבוררות המסחרית הבין-לאומית, התשפ"ד-2024</t>
  </si>
  <si>
    <t xml:space="preserve"> (מ/1651)</t>
  </si>
  <si>
    <t xml:space="preserve">אומץ בשינויים מסויימים חוק המודל בעניין בוררות מסחרית בין-לאומית המסדיר את השלבים השונים של הליך בוררות מסחרית בין-לאומית, החל בשלב ההסכמה לבוררות ועד לשלב אכיפת פסק הבוררות. החוק יחליף את ההסדרים הנוגעים לבוררות מסחרת בין-לאומית שנידונים היום בהתאם לחוק הבוררות, התשכ"ח–1968.</t>
  </si>
  <si>
    <t xml:space="preserve">הצעת חוק רכזי ביטחון שוטף לאומי ביישובי ישראל המוגדרים, התשפ"ד-2024</t>
  </si>
  <si>
    <t xml:space="preserve"> (פ/4320/25)</t>
  </si>
  <si>
    <t xml:space="preserve"> (פ/4318/25)</t>
  </si>
  <si>
    <t xml:space="preserve">הצעת חוק הביטוח הלאומי (תיקון - תשלום דמי אבטלה לנשים שיצאו לחופשה ללא תשלום לאחר לידה מסיבות מוצדקות) (הוראת שעה - חרבות ברזל), התשפ"ד-2024</t>
  </si>
  <si>
    <t xml:space="preserve"> (פ/4316/25)</t>
  </si>
  <si>
    <t xml:space="preserve">הצעת חוק הביטוח הלאומי (תיקון - גמלה בשל דיכאון לאחר לידה), התשפ"ד-2024</t>
  </si>
  <si>
    <t xml:space="preserve"> (פ/4315/25)</t>
  </si>
  <si>
    <t xml:space="preserve">הצעת חוק הגנה על עובדים בשעת חירום (תיקון - הגנה על בני ובנות זוג של משרתי מילואים) (הוראת שעה - חרבות ברזל), התשפ"ד-2024</t>
  </si>
  <si>
    <t xml:space="preserve"> (פ/4313/25)</t>
  </si>
  <si>
    <t xml:space="preserve">הצעת חוק הביטוח הלאומי (תיקון - דמי אבטלה למתמחים), התשפ"ד-2024</t>
  </si>
  <si>
    <t xml:space="preserve"> (פ/4312/25)</t>
  </si>
  <si>
    <t xml:space="preserve">הצעת חוק הביטוח הלאומי (תיקון - ביטול מבחן הכנסה לצורך קביעת זכאות ניצול שואה לגמלת סיעוד), התשפ"ד-2024</t>
  </si>
  <si>
    <t xml:space="preserve"> (פ/4311/25)</t>
  </si>
  <si>
    <t xml:space="preserve"> (פ/4310/25)</t>
  </si>
  <si>
    <t xml:space="preserve"> (פ/4309/25)</t>
  </si>
  <si>
    <t xml:space="preserve">הצעת חוק עבודת נשים (תיקון - תקופת לידה והורות לנשים בעבודה פיזית קשה), התשפ"ד-2024</t>
  </si>
  <si>
    <t xml:space="preserve"> (פ/4308/25)</t>
  </si>
  <si>
    <t xml:space="preserve">הצעת חוק זכויות הסטודנט (תיקון - התאמות למועמד ללימודים שעברית אינה שפת אמו), התשפ"ד-2024</t>
  </si>
  <si>
    <t xml:space="preserve"> (פ/4307/25)</t>
  </si>
  <si>
    <t xml:space="preserve">הצעת חוק החברות הממשלתיות (תיקון - מינוי דירקטורים מקרב עובדי החברה), התשפ"ד-2024</t>
  </si>
  <si>
    <t xml:space="preserve"> (פ/4306/25)</t>
  </si>
  <si>
    <t xml:space="preserve">הצעת חוק הסיוע המשפטי (תיקון - סיוע משפטי לנפגעי הונאה ועושק), התשפ"ד-2024</t>
  </si>
  <si>
    <t xml:space="preserve"> (פ/4305/25)</t>
  </si>
  <si>
    <t xml:space="preserve">הצעת חוק בתי המשפט (תיקון - ערעור על החלטת שופט בית המשפט העליון בטענת פסלות), התשפ"ד-2024</t>
  </si>
  <si>
    <t xml:space="preserve"> (פ/4304/25)</t>
  </si>
  <si>
    <t xml:space="preserve">הצעת חוק העונשין (תיקון - החמרת הענישה בעבירת סחר בנשק של כוחות הביטחון), התשפ"ד-2024</t>
  </si>
  <si>
    <t xml:space="preserve"> (פ/4302/25)</t>
  </si>
  <si>
    <t xml:space="preserve">הצעת חוק לתיקון פקודת התעבורה (סייגים למתן רישיון נהיגה), התשפ"ד-2024</t>
  </si>
  <si>
    <t xml:space="preserve"> (פ/4301/25)</t>
  </si>
  <si>
    <t xml:space="preserve">הצעת חוק-יסוד: השפיטה (תיקון - פיקוח על עבודת השופטים)</t>
  </si>
  <si>
    <t xml:space="preserve"> (פ/4300/25)</t>
  </si>
  <si>
    <t xml:space="preserve"> (פ/4299/25)</t>
  </si>
  <si>
    <t xml:space="preserve">הצעת חוק הביטוח הלאומי (תיקון - קצבת לידה בשל לידת תאומים), התשפ"ד-2024</t>
  </si>
  <si>
    <t xml:space="preserve"> (פ/4298/25)</t>
  </si>
  <si>
    <t xml:space="preserve">הצעת חוק העונשין (תיקון - הגנה על בסיסי צה"ל, שטחי אש, תחנות משטרה ומתקנים ביטחוניים), התשפ"ד-2024 </t>
  </si>
  <si>
    <t xml:space="preserve"> (פ/4296/25)</t>
  </si>
  <si>
    <t xml:space="preserve"> (פ/4295/25)</t>
  </si>
  <si>
    <t xml:space="preserve">הצעת חוק כבישי אגרה (תיקוני חקיקה), התשפ"ד-2024</t>
  </si>
  <si>
    <t xml:space="preserve"> (פ/4294/25)</t>
  </si>
  <si>
    <t xml:space="preserve">הצעת חוק העונשין (תיקון - פריצה למיתקן ביטחוני), התשפ"ד-2024</t>
  </si>
  <si>
    <t xml:space="preserve"> (פ/4293/25)</t>
  </si>
  <si>
    <t xml:space="preserve">הצעת חוק העונשין (תיקון - חילוט בעבירות החזקת נשק בלתי חוקי ללא אישום או הרשעה), התשפ"ד-2024</t>
  </si>
  <si>
    <t xml:space="preserve"> (פ/4292/25)</t>
  </si>
  <si>
    <t xml:space="preserve">הצעת חוק זיכרון השואה והגבורה - יד ושם (תיקון - עידוד יצירה להנצחת זיכרון השואה והגבורה), התשפ"ד-2024</t>
  </si>
  <si>
    <t xml:space="preserve"> (פ/4291/25)</t>
  </si>
  <si>
    <t xml:space="preserve">הצעת חוק מענק יובל לעובדי הוראה עולים, התשפ"ד-2024</t>
  </si>
  <si>
    <t xml:space="preserve"> (פ/4290/25)</t>
  </si>
  <si>
    <t xml:space="preserve">הצעת חוק זכויות הסטודנט (תיקון - התאמות לסטודנטית לאחר לידה), התשפ"ד-2024</t>
  </si>
  <si>
    <t xml:space="preserve"> (פ/4289/25)</t>
  </si>
  <si>
    <t xml:space="preserve">הצעת חוק לצמצום השימוש במזומן (תיקון מס' 2) (הגבלה על מתן הלוואות במזומן על ידי גופים פיננסיים מפוקחים), התשפ"ד-2024</t>
  </si>
  <si>
    <t xml:space="preserve"> (מ/1716)</t>
  </si>
  <si>
    <t xml:space="preserve">הצעת חוק העבירות המינהליות (תיקון - הפחתת תוספת הפיגור על אי-תשלום קנס), התשפ"ד-2024 פ/4166/25</t>
  </si>
  <si>
    <t xml:space="preserve"> (פ/4166/25)</t>
  </si>
  <si>
    <t xml:space="preserve">08.02.2024</t>
  </si>
  <si>
    <t xml:space="preserve">הצעת חוק העבירות המינהליות (תיקון - הפחתת תוספת הפיגור על אי-תשלום קנס), התשפ"ג-2023 פ/3253/25</t>
  </si>
  <si>
    <t xml:space="preserve"> (פ/3253/25)</t>
  </si>
  <si>
    <t xml:space="preserve">הצעת חוק שימוש בזרע של נפטר לשם הולדה, התשפ"ג-2023 </t>
  </si>
  <si>
    <t xml:space="preserve"> (פ/2867/25)</t>
  </si>
  <si>
    <t xml:space="preserve">07.02.2024</t>
  </si>
  <si>
    <t xml:space="preserve">הצעת חוק אומנה לילדים (תיקון - אומנת חירום), התשפ"ג-2023</t>
  </si>
  <si>
    <t xml:space="preserve"> (פ/2165/25)</t>
  </si>
  <si>
    <t xml:space="preserve">06.02.2024</t>
  </si>
  <si>
    <t xml:space="preserve">הצעת חוק מגבלות על חזרתו של מורשע במעשה טרור לסביבת נפגעי העבירה, התשפ"ג-2023</t>
  </si>
  <si>
    <t xml:space="preserve"> (פ/3024/25)</t>
  </si>
  <si>
    <t xml:space="preserve">הצעת חוק הרשויות המקומיות (בחירות) (תיקון - הצבעת חיילים), התשפ"ד-2023</t>
  </si>
  <si>
    <t xml:space="preserve"> (פ/4157/25)</t>
  </si>
  <si>
    <t xml:space="preserve">05.02.2024</t>
  </si>
  <si>
    <t xml:space="preserve">חוק לשכת עורכי הדין (תיקון מס' 41 - הוראת שעה – חרבות ברזל), התשפ"ד-2024</t>
  </si>
  <si>
    <t xml:space="preserve"> (מ/1694)</t>
  </si>
  <si>
    <t xml:space="preserve">חוקקה הוראת שעה עד לסוף שנת 2024, שתיתן מענה למתמחים שהתחילו את התמחותם החל מחודש ספטמבר 2023, כך שמשך התמחותם של מתמחים אלה יקוצר מתקופה של 18 חודשים ל-12 חודשים. באשר למתמחים שהחלו את התמחותם החל מינואר 2023 ועד סוף אוגוסט 2023, נקבע בהוראת מעבר כי תקופת התמחותם תקוצר ל-15 חודשים. נוסף על כך, נקבע כי היעדרויות אשר נסיבותיהן קשורות בזיקה ישירה ללחימה ולמצב המיוחד בעורף בהתאם לקטגוריות שנמנו בחוק, ייחשבו כהיעדרויות שנכללות בתוך תקופת ההתמחות של המתמחה ושאינן פוגעות ברציפות תקופת ההתמחות. </t>
  </si>
  <si>
    <t xml:space="preserve">הצעת חוק העונשין (תיקון - פיצוי עבור בעל חיים שניזוק), התשפ"ד-2024</t>
  </si>
  <si>
    <t xml:space="preserve"> (פ/4288/25)</t>
  </si>
  <si>
    <t xml:space="preserve">הצעת חוק שימוש בזרע של נפטר לשם הולדה, התשפ"ד-2024</t>
  </si>
  <si>
    <t xml:space="preserve"> (פ/4284/25)</t>
  </si>
  <si>
    <t xml:space="preserve">הצעת חוק שירות ביטחון (תיקון - מינוי קצינה לקידום נשים לתפקידים בכירים ויצירת מסלולים לקידום קצינות בדרג הבכיר), התשפ"ד-2024</t>
  </si>
  <si>
    <t xml:space="preserve"> (פ/4283/25)</t>
  </si>
  <si>
    <t xml:space="preserve">הצעת חוק שירות לאומי-אזרחי (תיקון - משרת בודד), התשפ"ד-2024</t>
  </si>
  <si>
    <t xml:space="preserve"> (פ/4282/25)</t>
  </si>
  <si>
    <t xml:space="preserve">הצעת חוק משפחות חיילים שנספו במערכה (תגמולים ושיקום) (תיקון - מימון שימור פיריון לאלמנה), התשפ"ד-2024</t>
  </si>
  <si>
    <t xml:space="preserve"> (פ/4280/25)</t>
  </si>
  <si>
    <t xml:space="preserve">הצעת חוק החיילים המשוחררים (החזרה לעבודה) (תיקון - הארכת תקופת ההגנה מפיטורים למשרתי מילואים), התשפ"ד-2024</t>
  </si>
  <si>
    <t xml:space="preserve"> (פ/4279/25)</t>
  </si>
  <si>
    <t xml:space="preserve">הצעת חוק הרשויות המקומיות (פטור חיילים, נפגעי מלחמה ושוטרים מארנונה) (תיקון - פטור מארנונה לבית עסק של משרת בשירות מילואים פעיל) (הוראת שעה), התשפ"ד-2024</t>
  </si>
  <si>
    <t xml:space="preserve"> (פ/4278/25)</t>
  </si>
  <si>
    <t xml:space="preserve">הצעת חוק תקופת כהונה סטטוטורית של ראשי גופים ביטחוניים, התשפ"ד-2024</t>
  </si>
  <si>
    <t xml:space="preserve"> (פ/4277/25)</t>
  </si>
  <si>
    <t xml:space="preserve"> (פ/4276/25)</t>
  </si>
  <si>
    <t xml:space="preserve">הצעת חוק מיסוי מקרקעין (שבח ורכישה) (תיקון - מדרגות המס על דירה יחידה) (הוראת שעה - חרבות ברזל), התשפ"ד-2024</t>
  </si>
  <si>
    <t xml:space="preserve"> (פ/4275/25)</t>
  </si>
  <si>
    <t xml:space="preserve">הצעת חוק לקביעת מועד בחירות חדש ברשויות בקו העימות, התשפ"ד-2024</t>
  </si>
  <si>
    <t xml:space="preserve"> (פ/4274/25)</t>
  </si>
  <si>
    <t xml:space="preserve">הצעת חוק פיקוח על עסקאות רכש מערכת הביטחון, התשפ"ד-2024</t>
  </si>
  <si>
    <t xml:space="preserve"> (פ/4268/25)</t>
  </si>
  <si>
    <t xml:space="preserve">הצעת חוק מיגון יישוב מאוים ביטחונית, התשפ"ד-2024</t>
  </si>
  <si>
    <t xml:space="preserve"> (פ/4267/25)</t>
  </si>
  <si>
    <t xml:space="preserve">הצעת חוק לתיקון פקודת מס הכנסה (הפחתת מס רווחי הון), התשפ"ד-2024</t>
  </si>
  <si>
    <t xml:space="preserve"> (פ/4266/25)</t>
  </si>
  <si>
    <t xml:space="preserve">הצעת חוק לתיקון פקודת המשטרה (ביטול הצורך בקבלת רישיון להפגנה), התשפ"ד-2024</t>
  </si>
  <si>
    <t xml:space="preserve"> (פ/4265/25)</t>
  </si>
  <si>
    <t xml:space="preserve">הצעת חוק הרשות הארצית לכבאות והצלה (נכים ונספים), התשפ"ד-2024</t>
  </si>
  <si>
    <t xml:space="preserve"> (פ/4264/25)</t>
  </si>
  <si>
    <t xml:space="preserve">הצעת חוק לעידוד הקמת מרחבים מוגנים דירתיים, התשפ"ד-2024</t>
  </si>
  <si>
    <t xml:space="preserve"> (פ/4263/25)</t>
  </si>
  <si>
    <t xml:space="preserve">הצעת חוק-יסוד: הממשלה (תיקון - מינוי שרי הממשלה)</t>
  </si>
  <si>
    <t xml:space="preserve"> (פ/4260/25)</t>
  </si>
  <si>
    <t xml:space="preserve">הצעת חוק לתיקון פקודת התעבורה (איסור נסיעת משאיות בנתיב תחבורה ציבורית), התשפ"ד-2024</t>
  </si>
  <si>
    <t xml:space="preserve"> (פ/4259/25)</t>
  </si>
  <si>
    <t xml:space="preserve"> (פ/4258/25)</t>
  </si>
  <si>
    <t xml:space="preserve">הצעת חוק הבטחת הכנסה (תיקון - גמלה למי שבן זוגו משרת במילואים בנסיבות חירום), התשפ"ד-2024</t>
  </si>
  <si>
    <t xml:space="preserve"> (פ/4256/25)</t>
  </si>
  <si>
    <t xml:space="preserve">חוק לתיקון ולהארכת תוקפן של תקנות שעת חירום (חרבות ברזל) (הארכת מעצר לחשוד בעבירת ביטחון), התשפ"ד-2024</t>
  </si>
  <si>
    <t xml:space="preserve"> (מ/1706)</t>
  </si>
  <si>
    <t xml:space="preserve">31.01.2024</t>
  </si>
  <si>
    <t xml:space="preserve">הוארך תוקפן של התקנות המאפשרות הארכת מעצר של העצורים בשל פעולות האיבה שהתרחשו בין יום ה-7 באוקטובר 2023 לבין ה-10 באוקטובר 2023 או מי שנעצר במסגרת פעולות המלחמה בעזה שאירעו בין יום ה-07 באוקטובר לבין תום הפעולות הצבאיות. הארכה של התקנות לשעת חירום תהיה עד ליום ה-20 במרץ 2024. </t>
  </si>
  <si>
    <t xml:space="preserve">הצעת חוק עצירת כספים קואליציוניים במצב חירום (הוראת שעה - חרבות ברזל), התשפ"ד-2023</t>
  </si>
  <si>
    <t xml:space="preserve"> (פ/4106/25)</t>
  </si>
  <si>
    <t xml:space="preserve">הצעת חוק לצמצום משרדי ממשלה ולהעברת תקציבם למאמץ המלחמתי (הוראת שעה - חרבות ברזל), התשפ״ד-2023</t>
  </si>
  <si>
    <t xml:space="preserve"> (פ/4104/25)</t>
  </si>
  <si>
    <t xml:space="preserve">הצעת חוק-יסוד: כבוד האדם וחירותו (תיקון - שוויון בפני החוק ואיסור הפליה)</t>
  </si>
  <si>
    <t xml:space="preserve"> (פ/4090/25)</t>
  </si>
  <si>
    <t xml:space="preserve">הצעת חוק חובת המכרזים (תיקון - עידוד הצלת מזון עודף), התשפ"ג-2023</t>
  </si>
  <si>
    <t xml:space="preserve"> (פ/3562/25)</t>
  </si>
  <si>
    <t xml:space="preserve"> (פ/3466/25)</t>
  </si>
  <si>
    <t xml:space="preserve">הצעת חוק תאגידי מים וביוב (תיקון - הקמת ועדת הנחות), התשפ"ג-2023</t>
  </si>
  <si>
    <t xml:space="preserve"> (פ/1641/25)</t>
  </si>
  <si>
    <t xml:space="preserve">הצעת חוק לתיקון פקודת מס הכנסה (הגדלת זיכוי מס על תרומה לבתי חולים בפריפריה), התשפ"ג-2022</t>
  </si>
  <si>
    <t xml:space="preserve"> (פ/860/25)</t>
  </si>
  <si>
    <t xml:space="preserve">הצעת חוק יום האחדות, התשפ"ג–2023</t>
  </si>
  <si>
    <t xml:space="preserve"> (פ/1956/25)</t>
  </si>
  <si>
    <t xml:space="preserve">30.01.2024</t>
  </si>
  <si>
    <t xml:space="preserve">הצעת חוק יום האחדות, התשפ"ג-2023</t>
  </si>
  <si>
    <t xml:space="preserve"> (פ/1435/25)</t>
  </si>
  <si>
    <t xml:space="preserve">הצעת חוק סיוע לסטודנטים המשרתים במילואים (הוראת שעה - חרבות ברזל), התשפ"ד-2023</t>
  </si>
  <si>
    <t xml:space="preserve"> (פ/4144/25)</t>
  </si>
  <si>
    <t xml:space="preserve">הצעת חוק עידוד מעורבות סטודנטים בפעילות חברתית וקהילתית (תיקון – הקלות למשרתי מילואים), התשפ"ג–2023</t>
  </si>
  <si>
    <t xml:space="preserve"> (פ/1349/25)</t>
  </si>
  <si>
    <t xml:space="preserve">הצעת חוק לתיקון פקודת התעבורה (תשלום דמי חניה), התשפ"ג-2023</t>
  </si>
  <si>
    <t xml:space="preserve"> (פ/2959/25)</t>
  </si>
  <si>
    <t xml:space="preserve">29.01.2024</t>
  </si>
  <si>
    <t xml:space="preserve"> (פ/1827/25)</t>
  </si>
  <si>
    <t xml:space="preserve">הצעת חוק לתיקון פקודת התעבורה (תיקון - תשלום דמי חניה), התשפ"ג-2022</t>
  </si>
  <si>
    <t xml:space="preserve"> (פ/698/25)</t>
  </si>
  <si>
    <t xml:space="preserve">הצעת חוק בתי דין רבניים (סדרי דין בעת מצב חירום מיוחד), התשפ"ג-2023</t>
  </si>
  <si>
    <t xml:space="preserve"> (מ/1627)</t>
  </si>
  <si>
    <t xml:space="preserve">הצעת חוק סיוע למשפחות משרתי כוחות ביטחון ומשרתי מילואים בשעת חירום (תיקוני חקיקה), התשפ"ד-2024</t>
  </si>
  <si>
    <t xml:space="preserve"> (פ/4252/25)</t>
  </si>
  <si>
    <t xml:space="preserve">הצעת חוק סגירת ערוץ אלג'זירה, התשפ"ד-2024</t>
  </si>
  <si>
    <t xml:space="preserve"> (פ/4251/25)</t>
  </si>
  <si>
    <t xml:space="preserve"> (פ/4250/25)</t>
  </si>
  <si>
    <t xml:space="preserve">הצעת חוק הפיקוח על שירותים פיננסיים (ביטוח) (תיקון - איסור סירוב התקשרות של גוף מוסדי עם סוכן ביטוח), התשפ"ד-2024</t>
  </si>
  <si>
    <t xml:space="preserve"> (פ/4248/25)</t>
  </si>
  <si>
    <t xml:space="preserve">הצעת חוק שיקום שכונות דרום תל-אביב ותמריצים לפיזור גאוגרפי של מסתננים (הוראת שעה), התשפ"ד-2024</t>
  </si>
  <si>
    <t xml:space="preserve"> (פ/4247/25)</t>
  </si>
  <si>
    <t xml:space="preserve">הצעת חוק גנים לאומיים, שמורות טבע, אתרים לאומיים ואתרי הנצחה (תיקון - העצמת הפיקוח הפרלמנטרי), התשפ"ד-2024</t>
  </si>
  <si>
    <t xml:space="preserve"> (פ/4246/25)</t>
  </si>
  <si>
    <t xml:space="preserve">הצעת חוק להסדר ההימורים בספורט (תיקון - העברת יתרת ההכנסות למדינה), התשפ"ד-2024</t>
  </si>
  <si>
    <t xml:space="preserve"> (פ/4244/25)</t>
  </si>
  <si>
    <t xml:space="preserve">הצעת חוק הפיקוח על מעונות יום לפעוטות (תיקון - חובת מרחב מוגן), התשפ"ד-2024</t>
  </si>
  <si>
    <t xml:space="preserve"> (פ/4243/25)</t>
  </si>
  <si>
    <t xml:space="preserve"> (פ/4241/25)</t>
  </si>
  <si>
    <t xml:space="preserve">הצעת חוק טוס כחול לבן, התשפ"ד-2024</t>
  </si>
  <si>
    <t xml:space="preserve"> (פ/4240/25)</t>
  </si>
  <si>
    <t xml:space="preserve">הצעת חוק הרשות הלאומית למניעת התאבדויות, התשפ"ד-2024</t>
  </si>
  <si>
    <t xml:space="preserve"> (פ/4239/25)</t>
  </si>
  <si>
    <t xml:space="preserve">הצעת חוק מס ערך מוסף (תיקון - מס בשיעור אפס על מתן שירותי בנייה לצורך הוספת מרחבים מוגנים ביישובים סמוכי גבול), התשפ"ד-2024</t>
  </si>
  <si>
    <t xml:space="preserve"> (פ/4238/25)</t>
  </si>
  <si>
    <t xml:space="preserve">הצעת חוק זכאות למענק להוספת מרחב מוגן דירתי ומרחב מוגן קומתי ביישובים סמוכים לגבול (הוראת שעה), התשפ"ד-2024</t>
  </si>
  <si>
    <t xml:space="preserve"> (פ/4237/25)</t>
  </si>
  <si>
    <t xml:space="preserve">הצעת חוק הבנקאות (רישוי) (תיקון - הפרדה בין בנקים), התשפ"ד-2024</t>
  </si>
  <si>
    <t xml:space="preserve"> (פ/4236/25)</t>
  </si>
  <si>
    <t xml:space="preserve">חוק הבנקאות (שירות ללקוח) (תיקון מס' 37), התשפ"ד–2024</t>
  </si>
  <si>
    <t xml:space="preserve"> (פ/2871/25)</t>
  </si>
  <si>
    <t xml:space="preserve"> (כ/977)</t>
  </si>
  <si>
    <t xml:space="preserve">24.01.2024</t>
  </si>
  <si>
    <t xml:space="preserve">החוק מעגן את חובתם של תאגידים בנקאיים (בנקים וחברות כרטיסי האשראי), ליידע את לקוחותיהם באופן אפקטיבי על סיום הטבות בנקאיות הניתנות ללקוחות או על שינויים בתקופת ההטבה אם שינויים אלה הוסכמו מראש עם הלקוח. החוק חל על הטבה בנקאית הנוגעת לשיעור ריבית או עמלה או לסכום של עמלה, הניתנת לתקופה העולה על שלושה חודשים. נכון להיום, תאגידים בנקאיים מחויבים, מכוח כללי הבנקאות (שירות ללקוח) (גילוי נאות ומסירת מסמכים), התשנ"ב–1991, שקובע נגיד בנק ישראל, להודיע ללקוחותיהם על שינויים בתנאי ניהול החשבון, ובכלל זה על שינויים בשיעורי ריביות ובתעריפי עמלות ועל סיומן של הטבות שניתנו לתקופה העולה על שלושה חודשים. עוד נקבע בכללים האמורים כי על תאגיד בנקאי לשלוח הודעה על סיום הטבה כאמור 14 ימים לפחות לפני מועד השינוי. אופן מסירת ההודעות ללקוחות התאגידים הבנקאיים מוסדר בהוראות ניהול בנקאי תקין שקובע המפקח על הבנקים. עם זאת, הודעות אלה נמסרות לעיתים במובלע, כחלק מהודעה הכוללת כמה נושאים, או נמסרות באופן שאינו מיידי ונגיש, ובשל כך לקוחות רבים אינם ערים לסיום ההטבה, ונושאים בתשלומים שיכלו להימנע מהם אם היו מקבלים הודעה מספקת מראש. לאור זאת, בהתאם לחוק, תאגידים בנקאיים יהיו חייבים למסור ללקוחותיהם הודעה, 21 ימים לפחות לפני סיום תקופת הטבה בנקאית, וכן לפני כניסתו לתוקף של שינוי בתנאי ההטבה שהוסכם מראש עם הלקוח (אם הוסכם עם הלקוח על "הטבה מדורגת", כלומר על הטבה הניתנת לתקופה שבמהלכה יחולו שינויים בתנאי ההטבה במועדים שהוסכמו מראש). לעניין סיום הטבה בדמי כרטיס חיוב, חברת כרטיסי האשראי תציין בהודעה שתישלח ללקוח בדבר סיום ההטבה, גם את הדרך לסיום ההתקשרות לעניין כרטיס החיוב, אם יחליט הלקוח לבטלו בשל סיום ההטבה שניתנה לו בדמי הכרטיס. עוד קובע החוק כי הודעה כאמור תישלח ללקוח בכתב, בדרך שמאפשרת תקשורת מיידית ונגישה ככל האפשר (לדוגמא באמצעות מסרון), אלא אם כן ביקש הלקוח שלא לקבל הודעות בדרך זו, ובנוסף לכך גם באופן שבו התאגיד הבנקאי שולח הודעות ללקוח כפי שהוסכם ביניהם. מסירת שתי הודעות ללקוח כאמור נועדה להבטיח כי הלקוח אכן יקבל את ההודעה. כדי לתת מענה למקרים שבהם ידוע לתאגיד הבנקאי כי הלקוח אינו יכול לקבל הודעה כתובה בתקשורת מיידית ונגישה (לדוגמא כאשר הלקוח מחזיק במכשיר טלפון כשר), מוצע לקבוע כי תישלח לאותו לקוח הודעה קולית כחלופה להודעה הכתובה. עוד נקבע כי המפקח על הבנקים יוסמך לקבוע במסגרת הוראות ניהול בנקאי תקין, הוראות לעניין אופן מסירת הודעות אלו, אם ראה כי הדבר נדרש. לעניין אכיפת הוראות החוק, המפקח על הבנקים יהיה מוסמך להטיל עיצום כספי בסכום של 50,000 שקלים חדשים על תאגיד בנקאי שלא שלח ללקוח הודעה על סיום הטבה או על שינוי שהוסכם מראש, או ששלח הודעה כאמור שלא בהתאם להוראות שנקבעו בחוק.  החוק ייכנס לתוקף בתום חצי שנה מיום פרסומו ברשומות. </t>
  </si>
  <si>
    <t xml:space="preserve">חוק ההתיישנות (תיקון מס' 8 – חרבות ברזל), התשפ"ד–2024</t>
  </si>
  <si>
    <t xml:space="preserve"> (מ/1700)</t>
  </si>
  <si>
    <t xml:space="preserve">על רקע המצב המיוחד בעורף, נקבע כלל עקרוני לפיו תקופות התיישנות של עילות תביעה אזרחיות "יושעו" למשך חצי שנה מה-7.10, ותקופה זו לא תבוא במניין הזמן לחישוב "מירוץ ההתיישנות". זאת בכפוף לשלוש התאמות. ראשית, לגבי תביעות שכבר התיישנו בין ה-7.10 ליום חקיקת החוק, נקבע כלל של "החייאה" אוטומטית, אך נותר שיקול דעת לבית המשפט לקבוע כי ההסדר לא יחול מטעמים מיוחדים שיירשמו במקרים מסוימים, זאת בשל חריגות ההסדר. שנית, לגבי תביעות במקרקעין, נקבע כי הכלל האמור יחול רק אם התביעה הייתה בחצי השנה האחרונה להתיישנותה ב-7.10, בשל תקופות ההתיישנות הארוכות יחסית בתביעות אלה. שלישית, מתחולת ההסדר הוחרגו מספר הוראות התיישנות בחיקוקים שונים הקובעות התיישנות מהותית, לרוב מכוח אמנות בין-לאומיות, וכן חקיקה שהפסיקה קבעה לגביה שהחלת עילות ההשעייה של חוק ההתיישנות מנוגדת לתכלית החוק הספציפי.</t>
  </si>
  <si>
    <t xml:space="preserve">הצעת חוק הביטוח הלאומי (תיקון - תשלום גמלת ילד נכה לאומן בעד ילד הנמצא אצלו באומנה), התשפ"ג-2023</t>
  </si>
  <si>
    <t xml:space="preserve"> (פ/2754/25)</t>
  </si>
  <si>
    <t xml:space="preserve">22.01.2024</t>
  </si>
  <si>
    <t xml:space="preserve"> (פ/2753/25)</t>
  </si>
  <si>
    <t xml:space="preserve">הצעת חוק הסדרת העיסוק במקצועות הבריאות (תיקון - הסדרת העיסוק בפודולוגיה), התשפ"ג-2023</t>
  </si>
  <si>
    <t xml:space="preserve"> (פ/2194/25)</t>
  </si>
  <si>
    <t xml:space="preserve">הצעת חוק הביטוח הלאומי (תיקון - מענק חד-פעמי לנפגעים ממתקפת הטרור שהביאה למלחמת חרבות ברזל), התשפ"ד-2024</t>
  </si>
  <si>
    <t xml:space="preserve"> (פ/4231/25)</t>
  </si>
  <si>
    <t xml:space="preserve"> (פ/4228/25)</t>
  </si>
  <si>
    <t xml:space="preserve"> (פ/4227/25)</t>
  </si>
  <si>
    <t xml:space="preserve">הצעת חוק החקלאות, התשפ"ד-2024</t>
  </si>
  <si>
    <t xml:space="preserve"> (פ/4226/25)</t>
  </si>
  <si>
    <t xml:space="preserve">הצעת חוק הסכמים לנשיאת עוברים (אישור הסכם ומעמד היילוד) (תיקון - הבאת ביציות מופרות מחוץ לישראל), התשפ"ד-2024</t>
  </si>
  <si>
    <t xml:space="preserve"> (פ/4225/25)</t>
  </si>
  <si>
    <t xml:space="preserve"> (פ/4224/25)</t>
  </si>
  <si>
    <t xml:space="preserve">הצעת חוק איסור סיום התקשרות עם משתתף חופשי המשרת במילואים, התשפ"ד-2024 </t>
  </si>
  <si>
    <t xml:space="preserve"> (פ/4223/25)</t>
  </si>
  <si>
    <t xml:space="preserve">הצעת חוק תרומת ביציות (תיקון - תרומת ביציות בין בנות זוג), התשפ"ד-2024</t>
  </si>
  <si>
    <t xml:space="preserve"> (פ/4222/25)</t>
  </si>
  <si>
    <t xml:space="preserve">הצעת חוק לימוד חובה (תיקון - משקל ילקוט תקין לתלמידים), התשפ"ד-2024</t>
  </si>
  <si>
    <t xml:space="preserve"> (פ/4221/25)</t>
  </si>
  <si>
    <t xml:space="preserve">הצעת חוק שוויון ההזדמנויות בעבודה (תיקון - איסור הפליה בשל דרישות כשרות), התשפ"ד-2024</t>
  </si>
  <si>
    <t xml:space="preserve"> (פ/4220/25)</t>
  </si>
  <si>
    <t xml:space="preserve">הצעת חוק זכרון השואה והגבורה - יד ושם (תיקון - חיזוק הבקרה והפיקוח הפרלמנטרי), התשפ"ד-2024</t>
  </si>
  <si>
    <t xml:space="preserve"> (פ/4219/25)</t>
  </si>
  <si>
    <t xml:space="preserve">הצעת חוק שיווי זכויות האישה (תיקון - ייצוג לנשים בוועדות איתור), התשפ"ד-2024</t>
  </si>
  <si>
    <t xml:space="preserve"> (פ/4218/25)</t>
  </si>
  <si>
    <t xml:space="preserve"> (פ/4217/25)</t>
  </si>
  <si>
    <t xml:space="preserve">הצעת חוק ההסדרים במשק המדינה (תיקוני חקיקה להשגת יעדי התקציב) (תיקון - הנחה בארנונה לנכים), התשפ"ד-2024</t>
  </si>
  <si>
    <t xml:space="preserve"> (פ/4215/25)</t>
  </si>
  <si>
    <t xml:space="preserve">הצעת חוק הודעה מוקדמת לפיטורים ולהתפטרות (תיקון - עובד שהורשע או נאשם בעבירה של גילוי הזדהות עם ארגון טרור והסתה לטרור), התשפ"ד-2024</t>
  </si>
  <si>
    <t xml:space="preserve"> (פ/4213/25)</t>
  </si>
  <si>
    <t xml:space="preserve">הצעת חוק הבחירות לכנסת (תיקון - הצבעה בקלפיות של בעלי מוגבלויות), התשפ"ד-2024</t>
  </si>
  <si>
    <t xml:space="preserve"> (פ/4212/25)</t>
  </si>
  <si>
    <t xml:space="preserve"> (פ/4211/25)</t>
  </si>
  <si>
    <t xml:space="preserve">הצעת חוק מס קנייה (טובין ושירותים) (תיקון – שיעור המס על רכב חשמלי), התשפ"ד–2024</t>
  </si>
  <si>
    <t xml:space="preserve"> (פ/4210/25)</t>
  </si>
  <si>
    <t xml:space="preserve"> (פ/4209/25)</t>
  </si>
  <si>
    <t xml:space="preserve">הצעת חוק תרומת זרע, התשפ"ד-2024</t>
  </si>
  <si>
    <t xml:space="preserve"> (פ/4208/25)</t>
  </si>
  <si>
    <t xml:space="preserve">חוק לתיקון פקודת בתי הסוהר (מס' 64 – הוראת שעה – חרבות ברזל) (מצב חירום כליאתי) (תיקון), התשפ"ד-2024</t>
  </si>
  <si>
    <t xml:space="preserve"> (מ/1704)</t>
  </si>
  <si>
    <t xml:space="preserve">17.01.2024</t>
  </si>
  <si>
    <t xml:space="preserve">בתיקון מספר 64 לפקודת בתי הסוהר [נוסח חדש], התשל"ב–1971, נקבע, כהוראת שעה לשלושה חודשים, כי השר לביטחון לאומי, בהמלצת נציב בתי הסוהר ובהסכמת ראש הממשלה ושר הביטחון, יהיה רשאי להכריז על מצב חירום כליאתי אם שוכנע לנוכח המצב הביטחוני שבשלו הוכרז מצב מיוחד בעורף, יש צורך במקומות כליאה נוספים באופן מיידי או שעל סמך חוות דעת גורמי הביטחון יש סבירות גבוהה שיהיה צורך כאמור. במסגרת זאת יהיה ניתן להלין אסירים ועצורים ביטחוניים, בתנאים מסוימים, תוך חריגה מהוראות הדין לעניין שטח מחיה ולהלינם שלא על מיטה, בחריגה מהוראות הדין לעניין זכאות למיטה. עם זאת, החוק מאפשר למנהל בית הסוהר להפעיל את סמכותו זו גם לעניין תאים שמוחזקים בהם אסירים אחרים. תוקפה של הכרזת השר תהיה לחמישה ימים, והממשלה רשאית להאריך אותה, לתקופה אחת נוספת של חמישה ימים, וכן לתקופות נוספות באישור הוועדה לביטחון לאומי של הכנסת. במסגרת תיקון הוראת השעה נקבע כי הכרזת השר לביטחון לאומי בדבר מצב חירום כליאתי תתאפשר לא על יסוד המצב המיוחד בעורף אלא על יסוד הפעולות הצבאיות המשמעותיות שעליהן החליטה ועדת השרים לענייני ביטחון לאומי לפי סעיף 40 לחוק-יסוד: הממשלה, והודיעה לגביהן לוועדת החוץ והביטחון של הכנסת ביום כ"ג בתשרי התשפ"ד (8 באוקטובר 2023). כמו כן, נקבע כי הארכת תוקף ההכרזה על ידי הממשלה לתקופות נוספת תתאפשר לאחר הודעה לוועדה לביטחון לאומי של הכנסת, אשר רשאית לאשרה, עם או בלי שינויים או לא לאשרה. במקרה זה, תוקפה של הכרזה יפקע בתוך שלושה ימים מיום שניתנה אלא אם כן אישרה אותה הוועדה לביטחון לאומי של הכנסת לפני תום המועד. עוד נקבע כי הוראת השעה תוארך עד יום כ"ג באייר התשפ"ד (31 במאי 2024), ותוקפה של ההכרזה הנוכחית על מצב חירום כליאתי תוארך בחודש, עד ליום ט' באדר א' התשפ"ד (18 בפברואר 2024). </t>
  </si>
  <si>
    <t xml:space="preserve">הצעת חוק הרשות הארצית לכבאות והצלה (נכים ונספים), התשפ"ד-2023</t>
  </si>
  <si>
    <t xml:space="preserve"> (פ/4056/25)</t>
  </si>
  <si>
    <t xml:space="preserve"> (פ/4041/25)</t>
  </si>
  <si>
    <t xml:space="preserve"> (פ/4037/25)</t>
  </si>
  <si>
    <t xml:space="preserve">הצעת חוק שירות המילואים (תיקון - הפחתת שיעור המס שחל על תגמולים למשרתי מילואים), התשפ"ד-2023</t>
  </si>
  <si>
    <t xml:space="preserve"> (פ/4035/25)</t>
  </si>
  <si>
    <t xml:space="preserve"> (פ/3757/25)</t>
  </si>
  <si>
    <t xml:space="preserve"> (פ/3336/25)</t>
  </si>
  <si>
    <t xml:space="preserve">חוק זכויות החולה (תיקון מס' 16), התשפ"ד-2024</t>
  </si>
  <si>
    <t xml:space="preserve"> (מ/1689)</t>
  </si>
  <si>
    <t xml:space="preserve">15.01.2024</t>
  </si>
  <si>
    <t xml:space="preserve">נקבע כי כאשר רופא מומחה סבור כי נדרש לבצע במטופל בגיר טיפול רפואי דחוף, והמטופל אינו מסוגל לתת הסכמה מדעת לטיפול, ואין יפוי כוח מתמשך בתוקף ולא מונה אפוטרופוס לעניינים רפואיים, יוכל עובד סוציאלי במוסד הרפואי, באישור מנהל המוסד או מי שהוסמך על ידו, לאשר לאדם בגיר לשמש כמקבל החלטות זמני עבור המטופל. מקבל ההחלטות הזמני יוכל, בתקופה של שישה חודשים לקבל החלטות לעניין ביצוע הטיפול הדחוף במטופל וכן לקבל החלטות לעניין ביצוע טיפול רפואיים נוספים שיידרשו לו. בחירת מקבל ההחלטות הזמני תהיה לפי לפי סדר הקרבה: בן זוג, ילד בגיר, הורה, אחים, או הסכמה של בני המשפחה לפי הכללים שנקבעו בחוק, ויכול גם שייבחר לכך אדם אחר  - אם המטופל הביע את רצונו כי אותו אדם יהיה מיופה כוח עבורו או שימונה כאפוטרופוס עבורו, וזאת עד לכניסת יפוי הכוח או מינוי האפוטרופוס לתוקף. נוסף על כך, נקבעו העקרונות ודרכי הפעולות שלפיהם יפעל מקבל ההחלטות הזמני, הכוללים בין היתר את השמירה על פרטיותו וכיבוד רצונו של המטופל וכן את התנאים לפניה אליו לקבלת הסכמתו. אם נודע על כוונה לפנות בבקשה לבית המשפט למינוי אפוטרופוס או לקבלת הוראות לעניין הטיפול הרפואי המסוים, תושעה ל-24 שעות אפשרות מינוי מקבל ההחלטות הזמני או אם מונה - אפשרות פעולתו עבור המטופל,  הסכמה על ידי מקבל ההחלטות הזמני. אם נודע כי הוגשה בקשה לקבלת הוראות לטיפול המסויים – יפעלו לפי קביעת בית המשפט, ואם נודע כי הוגשה בקשה למינוי אפוטרופוס, או שניתנה החלטה למינוי אפוטרופוס או לכניסת יפוי הכוח לתוקף, יפקע האישור שניתן למקבל ההחלטות הזמני. נקבע כי העובד הסוציאלי יתעד ברשומה הרפואית את האישור שנתן והודעות שמשפיעות על תוקפו. נקבע שעד ה17 בינואר 2027, או במועד שנקבע בצו שר הבריאות, לפי המוקדם ביניהם, האפשרות למנות מקבל החלטות זמני תהיה לעובד סוציאלי בבית חולים בלבד, ולאחר מכן תהיה אפשרות מינוי גם לעו"ס בקופת חולים - אך גם בתקופה זו, מרגע שמקבל החלטות זמני מונה על ידי עו"ס בבי"ח, הוא יוכל לקבל החלטות לגבי טיפול גם אם הוא ניתן בקופת החולים. כמו כן, נקבעה חובת דיווח לוועדה ב17 בינואר 2024 - על השפעות החוק והאישורים שניתנו בבתי החולים .</t>
  </si>
  <si>
    <t xml:space="preserve">חוק לתיקון פקודת היבוא והיצוא (מס' 6), התשפ"ד-2024</t>
  </si>
  <si>
    <t xml:space="preserve"> (מ/1653)</t>
  </si>
  <si>
    <t xml:space="preserve">בהמשך לתיקוני חקיקה שנחקקו בשנים האחרונות במטרה להסיר חסמים בייבוא טובין שחל עליהם תקן רשמי, החוק מקל את התנאים הנדרשים לשם ייבוא טובין כאמור, שאינם משתייכים לקבוצה הכוללת טובין שברמת המסוכנות הגבוהה ביותר. צו היבוא והיצוא [נוסח חדש], התשל"ט–1979, מפרט ארבע קבוצות טובין לפי רמת המסוכנות של הטובין, ועל פי חלוקה זו נקבעת רמת הרגולציה החלה על ייבואם של הטובין. כך, ככל שהטובין משתייכים לקבוצה המדורגת גבוה יותר ברמת המסוכנות, תחול לגביהם רגולציה מחמירה יותר. מרבית הטובין המיובאים כיום לישראל אינם משתייכים לקבוצה שברמת המסוכנות הגבוהה ביותר (קבוצה מספר 1) אלא לקבוצות טובין בדרגות מסוכנות בינונית ונמוכה (קבוצות מספר 2 ו-3 בהתאמה). כחלק מהחוק נעשו מספר תיקוני חקיקה בפקודת היבוא והיצוא לעניין קבוצות טובין בדרגות 2 ו-3 כפי שיפורט להלן: 1.  ביחס למוצרים שאינם משתייכים לקבוצה מספר 1, לא יידרש היבואן להגיש הצהרה לממונה על התקינה (להלן – הממונה) לצורך שחרור הטובין מפיקוח המכס. במקום חובת הגשת הצהרה לממונה, תחול על היבואן חובה להחזיק בידיו הצהרה, שבה יצוין כי על הטובין המיובאים חל תקן רשמי וכי הם עומדים בדרישות התקן, ובכלל זה כי בוצעו לגבי דגם הטובין בדיקות המעבדה הנדרשות לגביהם. כפועל יוצא מהחוק, היבואן יהיה פטור מפנייה למעבדת בדיקה לצורך ייבוא טובין אלו. ההצהרה תישמר בתיק מוצר אשר יוגש על פי דרישה, בעת ביצוע פיקוח, בין הפיקוח נעשה כחלק מדגימת משלוח בנמל ובין אם הפיקוח נעשה בשווקים. 2. נקבע כי במשרדי המכס יישב, בנוסף לנציג המכס, גם נציג של הממונה שיסייע בקביעת רמת סיכון של טובין מיובאים, שממנה נגזרת ההחלטה אם לדגום משלוח של טובין בנמל. 3. על מנת לייעל את הפעלת סמכויותיו של הממונה, נקבע כי מנהל המכס או עובד רשות המיסים שמנהל המכס הסמיך לכך, ימסרו לממונה או לעובד משרד הכלכלה והתעשייה שהממונה הסמיך לכך, כל מידע או מסמך הדרושים לממונה לשם הפעלת סמכויותיו בכל הנוגע לטובין מיובאים או בנוגע ליבואני טובין. 4. לפי פקודת היבוא והיצוא ערב תחילתו של החוק, כל יבואן חדש שרצה לייבא לישראל מוצר שחל עליו תקן רשמי, היה חייב ברישום במרשם היבואנים בטרם יחל את תהליך היבוא. לאור הרחבת שיתוף הפעולה בין הממונה לבין המכס כאמור לעיל בסעיפים 2 ו-3, הוחלט לבטל את מרשם היבואנים שניהל הממונה. 5. הממונה על התקינה הוסמך בחוק לקבוע בהנחיותיו הוראות לעניין חובתן של מעבדות בדיקה לפרסם דגמי טובין שהן נתנו לגביהן אישורי דגם. כפועל יוצא מפרסום אישורי הדגם, יוכלו יבואנים לבחור שלא לערוך בדיקת דגם לצורך יבוא הטובין, ובמקומה יוכלו לבצע בדיקת השוואה לדגם שאושר – בדיקה זולה משמעותית מבדיקת הדגם. 6. נקבעה בחוק הוראת שעה שלפיה יינתן לכלל היבואנים המייבאים מוצרים שאינם משתייכים לקבוצה מספר 1, פטור מחובת החזקה של מסמכים מסוימים בתיק מוצר. מדובר במסמכים שלעיתים קרובות יבואנים מקבילים מתקשים בהשגתם. מאחר שמדובר בשינוי משמעותי שיש לבחון את השלכותיו, הוחלט כי הוראת השעה תחול למשך שנה, ושר הכלכלה והתעשייה יהיה רשאי להאריכה בצו, באישור ועדת הכלכלה של הכנסת, בתקופות נוספות שלא יעלו במצטבר על שנה נוספת. 7. הוחלט לאפשר ליבואן בנסיבות מסוימות, להצהיר כי הטובין המיובאים עומדים רק בחלק מדרישות התקינה וכי העמידה בשאר הדרישות תושלם לאחר הייבוא ובטרם שיווק הטובין. 8. הורחבה רשימת המסמכים שיבואן יוכל להוכיח באמצעותם התאמה של הטובין המיובאים לדרישות תקן בינלאומי ואסדרה זרה. 9. נקבע כי יבואן שיפנה לגורם מוסמך כמפורט בחוק כדי שיבדוק עבורו את תיק המוצר, יהיה זכאי להפחתה משמעותית של 40% בסכום העיצום הכספי שהממונה על התקינה רשאי להטיל עליו, אם התברר כי למרות הבדיקה המקדימה יש ליקוי בתיק מוצר. 10. על מנת להגביר את השקיפות, נקבע כי הממונה יפרסם לציבור מידי שנה דוח לגבי פעולות הפיקוח והאכיפה שביצע בשנה הקודמת לשם אכיפת הוראות הפקודה וחוק התקנים. </t>
  </si>
  <si>
    <t xml:space="preserve">חוק לתיקון פקודת התעבורה (מס' 132 - הוראת שעה – חרבות ברזל), התשפ"ד-2024</t>
  </si>
  <si>
    <t xml:space="preserve"> (מ/1702)</t>
  </si>
  <si>
    <t xml:space="preserve">פקודת התעבורה מקנה לשרת התחבורה והבטיחות בדרכים סמכות להאריך בצו, מטעמים מיוחדים, את תוקפם של רישיונות רכב בתקופה של עד 90 ימים. החוק מקנה לשרת התחבורה והבטיחות בדרכים סמכות להאריך את תוקפם של רישיונות הרכב בתקופה של עד 90 ימים נוספים, כלומר, בסך הכול בתקופה של עד 180 ימים מהמועד שבו פקע רישיון הרכב, עבור מי שזכאים לכך מכוח חוק דחיית מועדים (הוראת שעה – חרבות ברזל) (חוזה, פסק דין או תשלום לרשות), התשפ"ד–2023 (להלן – חוק דחיית מועדים). עם הזכאים מכוח חוק דחיית מועדים נמנים, בין היתר, חטופים, נעדרים, מפונים, אנשי כוחות הביטחון וחיילי מילואים (להלן – זכאים לדחייה). כן נקבע כי השרה רשאית להתנות את ההארכה בתנאים או לקבוע סוגים מסוימים של זכאים לדחייה שההארכה תחול לגבי רישיון רכב בבעלותם. חוק דחיית מועדים, שנחקק עקב מלחמת חרבות ברזל, דחה עבור הזכאים לדחייה את המועד לתשלום תשלומים שונים, ובהם את המועד לתשלום אגרת רישיון הרכב, החל מפרוץ המלחמה. במקביל, עשתה השרה שימוש בסמכותה לפי הפקודה, והאריכה בתקופות שונות את תוקפם של רישיונות רכב שפקעו, תחילה עבור כלל האוכלוסייה, ולאחר מכן עבור הזכאים לדחייה. בדצמבר 2023 תוקן חוק דחיית מועדים, וניתנה לזכאים דחייה נוספת בתשלום אגרת רישיון הרכב. אולם, סמכותה של השרה לעניין הארכת תוקפם של רישיונות הרכב מוצתה לגבי חלק מרישיונות אלה, משום שחלפו יותר מ-90 ימים ממועד פקיעתם. לאור הקושי של אוכלוסיית הזכאים לעמוד בדרישות חידוש רישיון הרכב (אגרה וביצוע מבחן כשירות שנתי – "טסט"), כדי לוודא כי הם יחזיקו ברישיון רכב תקף אף אם אין באפשרותם לעמוד בדרישות תשלום האגרה וביצוע הטסט השנתי, וכדי ליצור הלימה בין דחיית המועד לתשלום האגרה עבור רישיון הרכב מכוח חוק דחיית מועדים לבין תוקף רישיון הרכב, נחקק החוק וניתנה לשרה סמכות להאריך את תוקפם של רישיונות רכב כאמור.  </t>
  </si>
  <si>
    <t xml:space="preserve">חוק לתיקון ולהארכת תוקפן של תקנות שעת חירום (חרבות ברזל) (פגישה עם עורך דין של עצור בעבירת ביטחון), התשפ"ד-2024</t>
  </si>
  <si>
    <t xml:space="preserve"> (מ/1701)</t>
  </si>
  <si>
    <t xml:space="preserve">הוארך תוקפן של תקנות שעת חירום המאפשרות מניעת פגישה של עצורים בטחוניים עם עורכי הדין שלהם. שתי הקבוצות שבהן מדובר: עצורים בשל פעולות האיבה שהתרחשו בין יום ה-7 באוקטובר 2023 לבין ה-10 באוקטובר 2023 או מי שנעצר במסגרת פעולות המלחמה בעזה שאירעו בין יום ה-07 באוקטובר לבין תום הפעולות הצבאיות עם עורכי הדין שלהם. המניעה תחול עד לתום 180 ימים מהמועד הראשוני שבו החלה מניעת הפגישה של העצורים. הארכה של התקנות לשעת חירום תהיה עד ליום ה-3 באפריל 2024.</t>
  </si>
  <si>
    <t xml:space="preserve">הצעת חוק לדחיית הבחירות הכלליות לרשויות המקומיות (תיקון - מועד הבחירות), התשפ"ד-2024</t>
  </si>
  <si>
    <t xml:space="preserve"> (פ/4206/25)</t>
  </si>
  <si>
    <t xml:space="preserve">הצעת חוק מס רכוש וקרן פיצויים (תיקון - הוראת שעה - חרבות ברזל), התשפ"ד-2024</t>
  </si>
  <si>
    <t xml:space="preserve"> (פ/4204/25)</t>
  </si>
  <si>
    <t xml:space="preserve"> (פ/4203/25)</t>
  </si>
  <si>
    <t xml:space="preserve">הצעת חוק הרשות הארצית לכבאות והצלה (נספים), התשפ"ד-2024</t>
  </si>
  <si>
    <t xml:space="preserve"> (פ/4200/25)</t>
  </si>
  <si>
    <t xml:space="preserve"> (פ/4199/25)</t>
  </si>
  <si>
    <t xml:space="preserve">הצעת חוק לתיקון פקודת מס הכנסה (דחיית מימוש נקודות זיכוי לחייל משוחרר עצמאי), התשפ"ד-2024</t>
  </si>
  <si>
    <t xml:space="preserve"> (פ/4196/25)</t>
  </si>
  <si>
    <t xml:space="preserve">הצעת חוק שמאי ביטוח, התשפ"ד-2024</t>
  </si>
  <si>
    <t xml:space="preserve"> (פ/4188/25)</t>
  </si>
  <si>
    <t xml:space="preserve">הצעת חוק מס ערך מוסף (תיקון - מס בשיעור אפס על דירה ראשונה ללוחם משוחרר), התשפ"ד-2024</t>
  </si>
  <si>
    <t xml:space="preserve"> (פ/4187/25)</t>
  </si>
  <si>
    <t xml:space="preserve">הצעת חוק ההתגוננות האזרחית (תיקון - מנגנון נעילת דלת מרחב מוגן דירתי), התשפ"ד-2024</t>
  </si>
  <si>
    <t xml:space="preserve"> (פ/4185/25)</t>
  </si>
  <si>
    <t xml:space="preserve">הצעת חוק המפלגות (תיקון - חובת הקמת גוף פנימי בוחר), התשפ"ד-2024</t>
  </si>
  <si>
    <t xml:space="preserve"> (פ/4184/25)</t>
  </si>
  <si>
    <t xml:space="preserve">הצעת חוק משפחות חיילים שנספו במערכה (תגמולים ושיקום) (תיקון - המונח יתום), התשפ"ד-2024</t>
  </si>
  <si>
    <t xml:space="preserve"> (פ/4181/25)</t>
  </si>
  <si>
    <t xml:space="preserve">08.01.2024</t>
  </si>
  <si>
    <t xml:space="preserve">הצעת חוק הרשות לפיתוח הנגב (תיקון - קידום הקמתם של יישובים חקלאיים חדשים בנגב), התשפ"ד-2024</t>
  </si>
  <si>
    <t xml:space="preserve"> (פ/4180/25)</t>
  </si>
  <si>
    <t xml:space="preserve">הצעת חוק שירות המילואים (תיקון - הרחבת מתווה התגמולים לחיילי מילואים שאינם מפקדים), התשפ"ד-2024</t>
  </si>
  <si>
    <t xml:space="preserve"> (פ/4179/25)</t>
  </si>
  <si>
    <t xml:space="preserve">הצעת חוק הקאדים (תיקון - חברי הוועדה לבחירת קאדים), התשפ"ד-2024</t>
  </si>
  <si>
    <t xml:space="preserve"> (פ/4178/25)</t>
  </si>
  <si>
    <t xml:space="preserve">הצעת חוק נתוני אשראי (תיקון - אי-הכללת מידע במצב מיוחד בעורף), התשפ"ד-2024</t>
  </si>
  <si>
    <t xml:space="preserve"> (פ/4176/25)</t>
  </si>
  <si>
    <t xml:space="preserve">הצעת חוק השלכות חלוקתיות בחקיקה, התשפ"ד-2024</t>
  </si>
  <si>
    <t xml:space="preserve"> (פ/4175/25)</t>
  </si>
  <si>
    <t xml:space="preserve">הצעת חוק משפחות חיילים שנספו במערכה (תגמולים ושיקום) (תיקון - ביטול מגבלת גיל להכרה ביתומי צה"ל וכוחות הביטחון), התשפ"ד-2024</t>
  </si>
  <si>
    <t xml:space="preserve"> (פ/4174/25)</t>
  </si>
  <si>
    <t xml:space="preserve">הצעת חוק מניעת ביצוע עבירות באמצעות פרסום באינטרנט (הסרת תוכן), התשפ"ד-2024</t>
  </si>
  <si>
    <t xml:space="preserve"> (פ/4173/25)</t>
  </si>
  <si>
    <t xml:space="preserve">הצעת חוק עבודת נשים (תיקון - הרחבת ההקלות לבני ולבנות זוגם של משרתים במילואים), התשפ"ד-2024 </t>
  </si>
  <si>
    <t xml:space="preserve"> (פ/4172/25)</t>
  </si>
  <si>
    <t xml:space="preserve">הצעת חוק חינוך ממלכתי (תיקון - איסור תמיכה בטרור), התשפ"ד-2024</t>
  </si>
  <si>
    <t xml:space="preserve"> (פ/4170/25)</t>
  </si>
  <si>
    <t xml:space="preserve"> (פ/4169/25)</t>
  </si>
  <si>
    <t xml:space="preserve">חוק לתיקון פקודת המשטרה (מס' 40), התשפ"ד-2024</t>
  </si>
  <si>
    <t xml:space="preserve"> (מ/1600)</t>
  </si>
  <si>
    <t xml:space="preserve">03.01.2024</t>
  </si>
  <si>
    <t xml:space="preserve">תיקון מספר 40 לפקודת המשטרה, נועד להסדיר את השימוש במערכות צילום בעלות יכולת ניתוח ועיבוד לזיהוי חד-ערכי של חפצים על מנת לסייע לגורמי אכיפת החוק ולגופי הביטחון למלא את תפקידם באופן יעיל, ויובהר כי התיקון אינו מתייחס למערכות צילום בעלות יכולת זיהוי ביומטרי של בני אדם. השימוש במידע יכול להיות בשני מתווים – באמצעות התראת זמן אמת, שתסייע באיתור החפץ בזמן אמת או באמצעות חיפוש בדיעבד בחומר שצולם במערכות הצילום ונאגר. יצוין כי בעת חקיקת החוק, המערכת היחידה שקיימת ברשות המשטרה היא כזו המזהה לוחיות רישוי של כלי רכב, אך החוק יוצר מסגרת חוקית שתאפשר את יישומו גם לגבי זיהוי חפצים אחרים, ככל שתהיה טכנולוגיה כזו. הצבת המצלמות תעשה בהתאם למטרות המנויות בחוק, ביניהם מניעה, סיכול או גילוי של עבירות פשע או של עבירות שעלולות לסכן את שלומו או ביטחונו של אדם, את שלום הציבור או את ביטחון המדינה, וכן גילוי מעורבים בתכנונן ובביצוען של עבירות אלה. בנוסף, ניתן יהיה להציב את המצלמות לשם מניעת פגיעה חמורה בביטחון הנפש או הרכוש, איתור נעדרים או אנשים שיש חשש לשלומם וכן אכיפת איסורי כניסה למקומות ציבוריים. שעה שהופעלו המצלמות, ניתן יהיה להשתמש בחומר שצולם בהן גם למטרות נוספות הקבועות בחוק, לרבות הצלת חיי אדם או הגנה עליהם, גילוי עבירות פשע או עבירות עוון המוגדות בחוק והליכים פליליים בעניינן וחילוט רכוש על פי דין.  במסגרת החוק, מוטלות מגבלות על הצבת המצלמות במרחב הציבורי, על השימוש במערכות המצלמות אדם ברשות היחיד, והכל תוך קביעת מנגנוני בקרה על אלו. בנוסף, מוסדר אופן השימוש בחומר שצולם במערכות תוך קביעת מגבלות לעניין זה, לרבות לתקופה בה יישמר המידע הנאגר במערכות וסנקציה פלילית במקרה של הפרת ההוראות. מעבר לכך, החוק מאפשר להעביר מידע ממערכות הצילום גם לגופים אחרים בתחומי אכיפת החוק והביטחון, המנויים בחוק, ובתנאים הקבועים בו. </t>
  </si>
  <si>
    <t xml:space="preserve">חוק שירות המדינה (מינויים) (תיקון מס' 20), התשפ"ד–2024</t>
  </si>
  <si>
    <t xml:space="preserve"> (מ/1648)</t>
  </si>
  <si>
    <t xml:space="preserve">נקבע כי יש לחייב את מי שמונה על ידי הממשלה למשרת ראש נציגות דיפלומטית או קונסולרית בחוץ לארץ, להצהיר בפני שר החוץ או עובד מדינה שהוסמך לכך בתקנות כי הוא מתחייב לשמור אמונים למדינת ישראל כמדינה יהודית ודמוקרטית ולמלא באמונה את תפקידו.</t>
  </si>
  <si>
    <t xml:space="preserve">חוק רשות התעופה האזרחית (תיקון מס' 3), התשפ"ד-2024</t>
  </si>
  <si>
    <t xml:space="preserve"> (מ/1608)</t>
  </si>
  <si>
    <t xml:space="preserve">החוק מעגן את סמכותה של רשות התעופה האזרחית לתת אישור בדבר כשירותו האווירית של כלי טיס של מדינה זרה, לבקשת המדינה ומוסדותיה או תאגיד ישראלי, כמו גם את סמכותה לגבות ממבקש האישור תשלום בעד שעות העבודה שהשקיעו עובדי רשות התעופה האזרחית לשם מתן האישור, וכן החזר הוצאות שהוציאה הרשות או מי מעובדיה לשם מתן האישור, בין שהאישור ניתן ובין שלא ניתן.  אישור כשירות כאמור הוא אישור כי התקנה של ציוד תעופתי או של מערכת שאינה בגדר ציוד כאמור, בכלי טיס של מדינה זרה, או ביצוע שינוי בציוד תעופתי או במערכת כאמור המותקנים בכלי טיס של מדינה זרה, אינם פוגעים בכשירותו האווירית של אותו כלי הטיס. אישור כשירות זה נדרש מאחר שחברות ישראליות הנמנות עם התעשיות הביטחוניות, מעוניינות להתמודד במכרזים בין-לאומיים לביצוע התקנות של ציוד תעופתי ושל מערכות בכלי טיס של צבאות זרים, או לביצוע שינויים בציוד ובמערכות כאמור המותקנים באותם כלי טיס. במסגרת תנאי המכרז לביצוע פרויקטים מעין אלה, נדרשים המציעים, כלומר החברות הישראליות, להצהיר כי קיים במדינה הרלוונטית קיים גוף ממלכתי חיצוני שאינו בעל עניין ושבתחום מומחיותו וסמכותו לתת אישורים בתחום התעופה, ושיכול לאשר שההתקנות או השינויים שבוצעו בכלי הטיס לא פגעו בכשירותו האווירית ובהטסתו הבטוחה. לפי החוק, רשות התעופה האזרחית תוכל כעת לגבות תשלום והחזר הוצאות ממבקשי האישור, בהתאם להוראות המפורטות בתוספת לחוק. </t>
  </si>
  <si>
    <t xml:space="preserve">חוק הטיס (תיקון מס' 4), התשפ"ד-2024</t>
  </si>
  <si>
    <t xml:space="preserve"> (מ/1472)</t>
  </si>
  <si>
    <t xml:space="preserve">01.01.2024</t>
  </si>
  <si>
    <t xml:space="preserve">החוק מרחיב את סמכותו של מנהל רשות התעופה האזרחית בסעיף 165 לחוק הטיס, התשע"א–2011 (להלן – חוק הטיס), לתת פטור מהוראות החוק, כך שיהיה מוסמך לתת פטור גם מהוראות סעיף 35 לחוק הטיס לעניין הפעלת מיתקן עזר לטיסה. סעיף 165 לחוק הטיס מסמיך את מנהל רשות התעופה האזרחית לתת פטור מהוראות לפי חוק הטיס, רק לגבי רשימת סעיפים המנויה בסעיף, בהתקיים נסיבות המפורטות בסעיף ובכפוף לכך שיינקטו צעדים מתאימים לשמירה על בטיחות הטיסה וסדירותה. סעיף 35 לחוק הטיס, קובע כי הפעלת מיתקן עזר לטיסה, המשמש או המיועד לשמש כלי טיס אזרחיים, טעונה אישור מנהל רשות התעופה האזרחית לכך שהמיתקן בנוי או מותקן, מתוחזק ומופעל בהתאם לתנאי האישור. האישור ניתן, ככלל, לאחר שהמנהל נוכח כי מתקיימות לגבי המיתקן דרישות ארגון התעופה הבינלאומי. נכון להיום, קיימים ברשות שדות התעופה מיתקנים שאינם עומדים, מבחינת ביצועים ותחזוקה, בדרישות ארגון התעופה העולמי, ולפיכך מנהל רשות התעופה האזרחית אינו יכול לאשרם לפי סעיף 35 לחוק הטיס. עם זאת, לרשות שדות התעופה אין ברירה אלא להמשיך שימוש במיתקנים כאמור עד להחלפתם העתידית, שכן הימנעות משימוש בהם, משמעותה הפסקת הפעילות האווירית האזרחית. עם כניסתו לתוקף, יאפשר החוק למנהל רשות התעופה האזרחית לתת פטור למיתקנים האמורים מקיום הוראות סעיף 35 לחוק הטיס. </t>
  </si>
  <si>
    <t xml:space="preserve">הצעת חוק העונשין (תיקון - החמרת ענישה בעבירות ממניע גזעני), התשפ"ד-2024</t>
  </si>
  <si>
    <t xml:space="preserve"> (פ/4164/25)</t>
  </si>
  <si>
    <t xml:space="preserve">הצעת חוק-יסוד: ברית החיים</t>
  </si>
  <si>
    <t xml:space="preserve"> (פ/4162/25)</t>
  </si>
  <si>
    <t xml:space="preserve">הצעת חוק כלי הירייה (תיקון - פיקוח פרלמנטרי), התשפ"ד-2024</t>
  </si>
  <si>
    <t xml:space="preserve"> (פ/4161/25)</t>
  </si>
  <si>
    <t xml:space="preserve">הצעת חוק צוותי התערבות במשבר נפשי, התשפ"ג-2023</t>
  </si>
  <si>
    <t xml:space="preserve"> (פ/5/25)</t>
  </si>
  <si>
    <t xml:space="preserve"> (כ/979)</t>
  </si>
  <si>
    <t xml:space="preserve">חוק דחיית מועדים (הוראת שעה – חרבות ברזל) (חוזה, פסק דין או תשלום לרשות) (תיקון) (דחיית מועדים בתקופה הקובעת השנייה), התשפ"ד-2023</t>
  </si>
  <si>
    <t xml:space="preserve"> (מ/1697)</t>
  </si>
  <si>
    <t xml:space="preserve">27.12.2023</t>
  </si>
  <si>
    <t xml:space="preserve">החוק מאריך את תוקף ההסדר לפיו תתאפשר דחייה לביצוע חיובים שנקבעו בחוזה או בהחלטות שיפוטיות ודחיית מועד לתשלום לרשות ציבורית עד ליום כ' באדר א' התשפ"ד (29 בפברואר 2024). ביחס למועדי תשלום לרשות ציבורית חל החוק על כל מי שהוא חל עליו עד כה: חיילים בשירות סדיר, קבע ומילואים, משרתים בגופי ביטחון פנים (שוטרים, סוהרים ביחידות מסוימות וכבאים), עובדים בארגוני ההצלה מד"א, זק"א ואיחוד הצלה ומתנדבים בארגונים אלה בהיקף המקביל למשרה מלאה, ואוכלוסייה אזרחית שנפגעה מהאירועים: נעדרים, חטופים, שבויים תושבי יישובים שהתפנו ומי שאושפז לתקופה העולה על שבוע כתוצאה מפציעה שנגרמה לו בשל הלחימה. כן חודדה תחולת החוק על מי שאושפז בהיותו חייל. ביחס לביצוע חיובים הקבועים בחוזים או בהחלטות שיפוטיות, נקבע כי הסדר זה יחול באופן מצומצם יותר, ואוכלוסיית הזכאים תכלול חיילים בשירות סדיר וקבע בתפקידי לחימה, משרתי מילואים שנקראו בצו 8, משרתים בגופי ביטחון הפנים ביחידות מסוימות שמנויות בחוק, נעדרים, חטופים, שבויים ותושבי יישובים שהתפנו. כל הזכויות יחולו גם על בני זוגם של הזכאים, אם הם אחראים לחיוב עמם, על עזבונותיהם ועל חברות מעטים ושותפויות שהשליטה בהן מצויה בידי הזכאים.</t>
  </si>
  <si>
    <t xml:space="preserve">חוק שירות ביטחון (תיקון מס' 25 – הוראת שעה – חרבות ברזל) (העלאת גיל הפטור משירות מילואים), התשפ"ד-2023</t>
  </si>
  <si>
    <t xml:space="preserve"> (מ/1691)</t>
  </si>
  <si>
    <t xml:space="preserve">החוק קבע כי מי שאמור היה לקבל פטור משירות מילואים מטעמי גיל ב-31.12.2023, ימשיך להיות חלק ממערך המילואים עד ה-29.2.2024. מדובר בחיילי מילואים שאינם קצינים ומלאו להם 40 בשנת 2023, קצינים שמלאו להם 45 בשנת 2023, ומי שמשרתים בתפקידים ובמקצועות הקבועים בצו חריגי הגיל ומלאו להם בשנת 2023 45 או 49, לפי העניין.</t>
  </si>
  <si>
    <t xml:space="preserve">חוק לייעול האכיפה והפיקוח העירוניים ברשויות המקומיות (הוראת שעה) (תיקון מס' 11), התשפ"ד-2023</t>
  </si>
  <si>
    <t xml:space="preserve"> (מ/1695)</t>
  </si>
  <si>
    <t xml:space="preserve">החוק לייעול האכיפה והפיקוח העירוניים ברשויות המקומיות נחקק כהוראת שעה בשנת 2011, והחל כפיילוט במספר רשויות מקומיות. מטרת החוק הינה ייעול יכולת הפיקוח והאכיפה של הרשויות המקומיות בעבירות שבתחום אחריותן וכן סיוע למשטרת ישראל בפעולות למניעת אלימות. לשם כך החוק מסמיך פקחים עירוניים ומסדיר את הקמתו של מערך שיטור עירוני. לאורך השנים הוראת השעה הוארכה מספר פעמים ותחולתה הורחבה לרשויות נוספות.  בתיקון מספר 11 לחוק, תוקן סעיף 23, כך שתוקפו של החוק הוארך לתקופת זמן נוספת ועד ליום כ"ב בניסן התשפ"ד (30 באפריל 2024). כמו כן, תוקנה התוספת השנייה לחוק באופן המרחיב את סמכויותיו של "פקח מסייע" גם למרחבים חקלאיים המוגדרים כ"שטח שבו מתבצעות פעולות של עיבוד קרקע, או של ניהול משק חי או צומח". הרחבה זו נעשתה על רקע אתגרים ייחודיים שהתגלו במערכי האכיפה במועצות האזוריות, שלא זכו למענה בחוק הקיים שאפשר ל"פקח מסייע", להפעיל את סמכויותיו לטובת סיוע למשטרת ישראל במניעת אלימות במקומות מוגדרים אשר תחת שיפוטה של הרשות המקומית, לרבות בגנים ציבוריים, אזורי מסחר וחופי רחצה.  </t>
  </si>
  <si>
    <t xml:space="preserve">חוק הסדרים במשק המדינה (תיקוני חקיקה) (תיקון מס' 19), התשפ"ד-2023</t>
  </si>
  <si>
    <t xml:space="preserve"> (מ/1692)</t>
  </si>
  <si>
    <t xml:space="preserve">החוק הופך שתי הוראות שעה לעניין קידום התחרות במשק הגז הביתי, הקבועות בסעיפים 17א ו-17ב לחוק הסדרים במשק המדינה (תיקוני חקיקה), התשמ"ט–1989 (להלן – חוק הסדרים במשק המדינה), להוראות קבועות.  בשנת 2008 נחקק חוק משק הגז (קידום תחרות בגז לצריכה ביתית) (תיקוני חקיקה), התשס"ח–2008, ובמסגרתו תוקן חוק הסדרים במשק המדינה, ונקבעו בו הסדרים שנועדו לקדם את התחרות במשק הגז הביתי ובהם שתי הוראות שעה. הוראת השעה הראשונה נקבעה בסעיף 17א לחוק הסדרים במשק המדינה, והיא קובעת כי אם צרכן גז ביתי מסר לספק גז הודעה על החלטתו להתנתק ממנו, אסור לאותו ספק גז או למי מטעמו להתקשר עם הצרכן או להציע הטבות כלשהן לעניין אספקת גז במשך שישה חודשים מיום מסירת ההודעה על ידי הצרכן.   הוראת השעה השנייה נקבעה בסעיף 17ב לחוק הסדרים במשק המדינה, ולפיה ספק גז אינו רשאי לסרב סירוב בלתי סביר לתת שירות לצרכן גז ביתי המבקש להתקשר עמו. כלומר, אסור לספק גז לסרב לתת שירות לצרכן גז ביתי, אם מדובר על מתן שירות באותו אזור ובתנאים דומים לתנאים שבהם ספק הגז מספק את השירות לצרכן גז ביתי דומה, אלא אם כן הראה כי קיימים טעמים המצדיקים שלא לתת את השירות בתנאים דומים כאמור. הוראות שעה אלה הוארכו כמה פעמים כדי לבחון את השפעותיהן על קידום התחרות במשק הגז הביתי. מאחר שלפי נתוני משרד האנרגיה והתשתיות ורשות התחרות, הוראות השעה תרמו לקידום התחרות במשק הגז הביתי ובכלל זה לשיפור כושר התחרות של ספקי הגז הקטנים, הוחלט להפוך אותן להוראות קבועות.  </t>
  </si>
  <si>
    <t xml:space="preserve">חוק גיל פרישה (הורה שילדו נפטר) (הוראת שעה) (תיקון מס' 2), התשפ"ד-2023</t>
  </si>
  <si>
    <t xml:space="preserve"> (מ/1693)</t>
  </si>
  <si>
    <t xml:space="preserve">חוק זה מאריך בשנתיים את תוקף ההוראה לפיה מעסיק לא יחייב עובד שהוא הורה שילדו נפטר לפרוש מעבודתו בשל גילו,  עד ארבע שנים מיום שהגיע לגיל פרישת חובה, כל זאת בהתקיים התנאים הקבועים בחוק. עוד קובע החוק המשך חובת דיווח של הממשלה לוועדת עבודה ורווחה, אחת לשנה, על פעילותם בעניין פרסום הוראות החוק לעובדים ולמעסיקים</t>
  </si>
  <si>
    <t xml:space="preserve">חוק משק הגז הטבעי (תיקון מס' 13), התשפ"ד-2023 </t>
  </si>
  <si>
    <t xml:space="preserve">החוק כולל שני תיקונים לחוק משק הגז הטבעי, התשס"ב–2002 (להלן – חוק משק הגז הטבעי). התיקון הראשון עניינו מתן סמכות לשר האנרגיה והתשתיות להאריך את רישיון חברת נתיבי גז לישראל (נתג"ז) שהיא החברה הממשלתית המחזיקה היום ברישיון הולכה, שהוא רישיון להקמה ולהפעלה של מערכת הולכת גז טבעי. סעיף 8(ב) לחוק משק הגז הטבעי קובע כי לא יינתנו רישיונות, בין היתר רישיון הולכה או רישיון חלוקה, לחברה ממשלתית. אולם סעיף 11א לחוק האמור מסמיך את שר האנרגיה והתשתיות לתת רישיון הולכה לחברה ממשלתית, אם מצא כי קיימים צרכים דחופים של משק האנרגיה. מכוח אותו סעיף, ניתן בשנת 2004 רישיון הולכה לחברת נתג"ז. לפי סעיף 15 לחוק משק הגז הטבעי, התקופה המרבית של רישיון הולכה היא 30 שנים. בהתאם לכך רישיון ההולכה שניתן לחברת נתג"ז יעמוד בתוקפו עד לשנת 2034. לפי התיקון הראשון, שר האנרגיה והתשתיות יהיה מוסמך להאריך את תוקפו של רישיון ההולכה שניתן לחברה ממשלתית המחזיקה ברישיון הולכה לפי סעיף 11א לחוק, כיום – נתג"ז, בתקופה אחת נוספת של 15 שנים.  התיקון השני נועד לאפשר לחברת נתג"ז להיכנס לפעילות במקטע החלוקה ולתת לה רישיון חלוקה, בכפוף למספר תנאים. רישיון חלוקה הוא רישיון שניתן לגבי אזור מסוים, לשם הקמה והפעלה של רשת חלוקה שהיא מערכת קווי צינורות להעברה של גז טבעי בלחץ נמוך ומתקני הגז הקשורים למערכת זו. טרם התיקון, החוק איפשר לשר האנרגיה והתשתיות לתת רישיון חלוקה רק לחברת-בת של בעל רישיון הולכה, ובלבד שקיימים לדעתו ולדעת שר האוצר צרכים דחופים של משק האנרגיה. לפי התיקון, חברה ממשלתית שקיבלה רישיון הולכה תוכל לקבל משר האנרגיה והתשתיות גם רישיון חלוקה, בכפוף למספר תנאים. ראשית, רישיון חלוקה כאמור יינתן אם שר האוצר ושר האנרגיה והתשתיות השתכנעו כי לשם פיתוח משק האנרגיה, אין זה נכון לתת את הרישיון לגורם מהמגזר הפרטי ויותר מתאים לתת אותו לחברה ממשלתית. שנית, וכדי למנוע ריכוזיות בענף, לא יינתן רישיון חלוקה כאמור באזור מסוים, אם כתוצאה מכך חברה ממשלתית תחזיק ברישיונות חלוקה בשלושה אזורים או במחצית מכלל האזורים שלגביהם כבר ניתנו רישיונות חלוקה, לפי הגבוה מבניהם.  </t>
  </si>
  <si>
    <t xml:space="preserve">הצעת חוק הקמת חדרי מיון קדמיים, התשפ"ג-2023</t>
  </si>
  <si>
    <t xml:space="preserve"> (פ/3714/25)</t>
  </si>
  <si>
    <t xml:space="preserve">הצעת חוק חינוך ממלכתי (תיקון - איסור תמיכה בטרור), התשפ"ג-2023</t>
  </si>
  <si>
    <t xml:space="preserve"> (פ/2476/25)</t>
  </si>
  <si>
    <t xml:space="preserve">חוק התמודדות עם תקיפות סייבר חמורות במגזר השירותים הדיגיטליים ושירותי האחסון (הוראת שעה - חרבות ברזל), התשפ"ד-2023</t>
  </si>
  <si>
    <t xml:space="preserve"> (מ/1688)</t>
  </si>
  <si>
    <t xml:space="preserve">25.12.2023</t>
  </si>
  <si>
    <t xml:space="preserve">החוק מסמיך מנהל מוסמך משירות הביטחון הכללי, ממערך הסייבר או מהמלמ"ב לקבוע כי תקיפת סייבר שמתרחשת או עומדת להתרחש אצל מי שעיסוקו אספקת שירותי אחסון או שירותים דיגיטליים, היא תקיפת סייבר חמורה, אם סבר כי קיים חשש ממשי שתפגע בביטחון המדינה, בביטחון הציבור או בקיום האספקה והשירותים החיוניים. קביעה זו תיעשה בכפוף לתנאים הבאים: התקיפה התרחשה במהלך מלחמת חרבות ברזל; התקיפה בעלת השפעה ממשית שאינה מוגבלת לספק הנתקף, והתקיפה היא תקיפת סייבר חמורה בהתחשב במאפייניה. בנוסף, נקבע כי הסמכות לקבוע כי תקיפת סייבר היא חמורה נתונה גם לרח"ט הגנה בסייבר בצה"ל, אם מצא שיש בתקיפה כדי לפגוע ברציפות התפקוד המבצעי של צה"ל בשל התנאים כאמור. במקרה שנקבע כי תקיפת סייבר היא חמורה, החוק קובע הליך פעולה מדורג: ראשית, העובד המוסמך יפרט לספק את התשתית העובדתית לקביעתו כי תקיפת סייבר היא חמורה, ויאפשר לספק הזדמנות לפעול לצורך איתור התקיפה, מניעתה או בלימתה בהקדם האפשרי. בהמשך לכך, הספק יידרש לעדכן את העובד המוסמך בדבר הפעולות שביצע או למסור תצהיר בדבר יישום הנחיות אבטחה בהתאם לתקן. אם הספק לא הגיש תצהיר או העובד המוסמך מצא שלא פעל באופן הולם לאיתור התקיפה, מניעתה ובלימתה, יהיה רשאי העובד המוסמך למסור הוראות לביצוע פעולות הגנה בסייבר. בנוסף, החוק קובע הוראות בעניין חובת סודיות והגבלת שימוש במידע. עוד קובע החוק חובת דיווח ליועצת המשפטית לממשלה ולוועדת החוץ והביטחון של הכנסת בדבר המקרים בהם ניתנו הוראות לפי החוק. החוק נקבע כהוראת שעה למשך שבעה חודשים. </t>
  </si>
  <si>
    <t xml:space="preserve">חוק ההתייעלות הכלכלית (תיקוני חקיקה להשגת יעדי התקציב לשנות התקציב 2023 ו-2024), התשפ"ג-2023</t>
  </si>
  <si>
    <t xml:space="preserve">החוק קובע שורה של תיקונים בחוקים שונים בהתאם ליעדי התקציב לשנות התקציב 2023 ו-2024, בין היתר בנושאים: מסים, מיסוי בשוק הדיור, ביטוח לאומי, גבייה ממשלתית וגמלאות.</t>
  </si>
  <si>
    <t xml:space="preserve">הצעת חוק לדחיית הבחירות הכלליות לרשויות המקומיות (תיקון - מועד הבחירות), התשפ"ד-2023 </t>
  </si>
  <si>
    <t xml:space="preserve"> (פ/4156/25)</t>
  </si>
  <si>
    <t xml:space="preserve">הצעת חוק דמי מחלה עבור מלווה בן משפחה לבדיקה רפואית (תיקוני חקיקה), התשפ"ד-2023</t>
  </si>
  <si>
    <t xml:space="preserve"> (פ/4153/25)</t>
  </si>
  <si>
    <t xml:space="preserve">הצעת חוק ההוצאה לפועל (תיקון - השהיית הליך ואי-נקיטתו כלפי אסירים משוחררים), התשפ"ד-2023</t>
  </si>
  <si>
    <t xml:space="preserve"> (פ/4152/25)</t>
  </si>
  <si>
    <t xml:space="preserve">הצעת חוק שיקום נכי נפש בקהילה (תיקון - שינוי מונחים בתחום הדיור), התשפ"ד-2023</t>
  </si>
  <si>
    <t xml:space="preserve"> (פ/4151/25)</t>
  </si>
  <si>
    <t xml:space="preserve">הצעת חוק כביש אגרה (כביש ארצי לישראל) (תיקון - פטור מאגרה בשל האטה ממהירות הנסיעה המותרת), התשפ"ד-2023</t>
  </si>
  <si>
    <t xml:space="preserve"> (פ/4149/25)</t>
  </si>
  <si>
    <t xml:space="preserve">הצעת חוק פיקוח על מחירים, שיווק וסבסוד של מזון ללא גלוטן, התשפ"ד-2023</t>
  </si>
  <si>
    <t xml:space="preserve"> (פ/4148/25)</t>
  </si>
  <si>
    <t xml:space="preserve">הצעת חוק הביטוח הלאומי (תיקון - מענק שעת חירום לעובד עצמאי), התשפ"ד-2023</t>
  </si>
  <si>
    <t xml:space="preserve"> (פ/4147/25)</t>
  </si>
  <si>
    <t xml:space="preserve">הצעת חוק לשכת עורכי הדין (תיקון - קיצור תקופת ההתמחות), התשפ"ד-2023</t>
  </si>
  <si>
    <t xml:space="preserve"> (פ/4145/25)</t>
  </si>
  <si>
    <t xml:space="preserve">הצעת חוק הביטוח הלאומי (תיקון - שיפוי המעסיק על הפרשות פנסיוניות בעד עובדו המשרת במילואים בנסיבות חירום) (הוראת שעה - חרבות ברזל), התשפ"ד- 2023</t>
  </si>
  <si>
    <t xml:space="preserve"> (פ/4143/25)</t>
  </si>
  <si>
    <t xml:space="preserve">הצעת חוק הביטוח הלאומי (תיקון - שיפוי המעסיק על הפרשות פנסיוניות בעד עובדו המשרת במילואים בנסיבות חירום) (הוראת שעה - חרבות ברזל), התשפ"ד-2023</t>
  </si>
  <si>
    <t xml:space="preserve"> (פ/4142/25)</t>
  </si>
  <si>
    <t xml:space="preserve">חוק קליטת חיילים משוחררים (תיקון מס' 25), התשפ"ד–2023</t>
  </si>
  <si>
    <t xml:space="preserve"> (פ/4/25)</t>
  </si>
  <si>
    <t xml:space="preserve"> (כ/984)</t>
  </si>
  <si>
    <t xml:space="preserve">20.12.2023</t>
  </si>
  <si>
    <t xml:space="preserve">נקבע כי יינתן מימון מלא של שכר לימוד שנתי לחיילים משוחררים זכאים (חיילים ששירתו כלוחמים, חיילים בודדים, עולים חדשים, חיילים בני האוכלוסייה הערבית, לרבות הדרוזית או הצ'רקסית, וחיילים שקיבלו תשלומי משפחה בשל מצבם הכלכלי של הוריהם), זאת במקום מימון בשיעור 75%. השתתפות במימון שכר הלימוד תתבצע באופן מדורג, כך שבכל שנת לימודים יקבל החייל המשוחרר הזכאי 85% משכר הלימוד השנתי, או אם שכר הלימוד ששילם בפועל קטן משכר הלימוד השנתי – את שכר הלימוד ששילם בפועל, ובשנה האחרונה יקבל את היתרה השווה להשלמת שכר הלימוד לשלוש או ארבע שנות לימוד, לפי העניין. עוד נקבעה הארכה לפרק הזמן למימוש הזכאות לחמש שנים לאחר תום השנה שבה החייל השתחרר משירות סדיר, ולעניין חייל ששירת שירות נוסף – לא תובא תקופת השירות הנוסף במניין חמש השנים לזכאות, ובלבד שהחל את לימודיו בתוך שבע שנים מתום השנה שבה השתחרר. בנוסף, נקבע כי הוראות החוק יחולו על חיילים משוחררים זכאים שביום תחילת החוק טרם סיימו את שנות הלימוד המזכות במימון לפי החוק, כך שיתרת ההשתתפות במימון תינתן בשנת הלימודים האחרונה. </t>
  </si>
  <si>
    <t xml:space="preserve">הצעת חוק מגבלות על חזרתו של עבריין טרור לסביבת נפגע עבירה, התשפ"ג-2023</t>
  </si>
  <si>
    <t xml:space="preserve"> (פ/3048/25)</t>
  </si>
  <si>
    <t xml:space="preserve">הצעת חוק הדחת נציג ציבור התומך במאבק מזוין נגד מדינת ישראל (תיקוני חקיקה), התשפ"ג-2023</t>
  </si>
  <si>
    <t xml:space="preserve"> (פ/1519/25)</t>
  </si>
  <si>
    <t xml:space="preserve">הצעת חוק הביטוח הלאומי (תיקון - ביטול מבחני התלות לקבלת גמלת סיעוד לאזרח שמלאו לו 80 שנים), התשפ"ג-2022</t>
  </si>
  <si>
    <t xml:space="preserve"> (פ/511/25)</t>
  </si>
  <si>
    <t xml:space="preserve">חוק כליאתם של לוחמים בלתי חוקיים (תיקון מס' 4 והוראת שעה – חרבות ברזל), התשפ"ד-2023</t>
  </si>
  <si>
    <t xml:space="preserve"> (מ/1690)</t>
  </si>
  <si>
    <t xml:space="preserve">18.12.2023</t>
  </si>
  <si>
    <t xml:space="preserve">חוק כליאתם של לוחמים בלתי חוקיים קובע כי במקרה בו הודיעה הממשלה לוועדת החוץ והביטחון של הכנסת על החלטה לפתוח במלחמה או על פעולות צבאיות משמעותיות לפי חוק יסוד: הממשלה, רשאית היא להכריז כי אלו מצריכות תחולה של הוראות שונות בחוק. בחוק זה נקבעו הוראות אשר נועדו להתאים לתיקונים שנעשו בחוק יסוד: הממשלה, כך שתהיה התייחסות להכרזה על פעולות צבאיות משמעותיות העלולות להוביל בהסתברות קרובה לוודאי למלחמה. עוד נקבעה, בהוראת שעה למשך ארבעה חודשים, הארכה למשך תקופת הכליאה הזמנית של לוחמים בלתי חוקיים, מועד ההבאה בפני שופט והתקופות בהן ניתן למנוע פגישה עם עורך דין. בנוסף, נקבע כי במקרים של שינויים בתחולת החוק תרד דרגת הגורם הצבאי המוסמך לאשר פעולות שונות לפי החוק, וכן יתאפשר קיום דיונים לפי החוק בדרך של היוועדות חזותית.</t>
  </si>
  <si>
    <t xml:space="preserve">חוק קיום דיונים בהיוועדות חזותית בהשתתפות עצורים, אסירים וכלואים (הוראת שעה – חרבות ברזל), התשפ"ד-2023</t>
  </si>
  <si>
    <t xml:space="preserve"> (מ/1674)</t>
  </si>
  <si>
    <t xml:space="preserve">נקבע כי שר המשפטים רשאי, לאחר התייעצות עם השר לביטחון לאומי, להכריז כי יהיה ניתן לקיים דיונים בבתי המשפט ובבתי הדין, במדינה כולה או בחלק ממנה, שלא בנוכחות עצורים ואסירים אלא בהשתתפותם בהיוועדות חזותית, זאת לאחר ששוכנע כי קיים סיכון ממשי בהבאתם לדיונים בשל מצב החירום המיוחד. בנוסף נקבע כי שר המשפטים והשר לביטחון לאומי רשאים להכריז יחד כי ניתן לקיים דיונים בבתי המשפט שלא בנוכחות עצורים ואסירים בעבירות ביטחוניות, זאת לאחר ששוכנעו כי קיימת סכנת חיים או סיכון ביטחוני מוגבר בהבאתם לדיונים בשל מצב מלחמה השורר במדינה. במטרה למזער ככל האפשר את הפגיעה בעצור או באסיר, נקבעו הוראות מפורטות בדבר אופן קיום הדיון בהיוועדות חזותית, כך שניתן יהיה להבטיח את השתתפותו הרציפה בדיון. כמו כן, נקבעה אפשרות לחרוג מההסדרים הכלליים במקרים מיוחדים.</t>
  </si>
  <si>
    <t xml:space="preserve">חוק הגז (בטיחות ורישוי) (תיקון מס' 9), התשפ"ד–2023</t>
  </si>
  <si>
    <t xml:space="preserve"> (מ/1682)</t>
  </si>
  <si>
    <t xml:space="preserve">חוק הגז (בטיחות ורישוי) (תיקון מס' 9), התשפ"ד–2023, מבטל את סעיף 8י לחוק הגז (בטיחות ורישוי) התשמ"ט–1989 (להלן – החוק), שעניינו סמכות הממונה על הבטיחות ברשות הגז הטבעי לעניין מיתקן גז טבעי לצריכה. מיתקני גז טבעי לצריכה הם מיתקני גז לצריכת גז טבעי המשמשים בין היתר במפעלי תעשייה.  בשנת 2015 אושרה בכנסת, במסגרת חוק ההסדרים, הרפורמה לחיבור מפעלי תעשייה לרשת הגז הטבעי. עיקרה של הרפורמה היה הסמכת גופים פרטיים כגופים בודקים על ידי הרשות הלאומית להסמכת מעבדות, שיהיו מורשים לערוך בדיקות בטיחות להתקנתם ולהפעלתם של מיתקני גז טבעי לצריכה ויהיו מורשים לתת אישורי תקינות לגבי מיתקנים אלה. לעניין זה, החוק קובע כי גם מכון התקנים נחשב לגוף בודק. בהתאם להוראות סעיף 8י האמור, במקרים שבהם יש חשש כי מיתקן גז טבעי לצריכה מהווה סכנה לבטיחות הציבור, רשאי הממונה על הבטיחות ברשות הגז הטבעי להורות לגוף בודק, ובכלל זה למכון התקנים, לבצע בדיקת תקינות למיתקן, ובלבד שהגוף שיבדוק את המתקן לא יהיה אותו הגוף שנתן את אישור התקינות לגבי המתקן.  מאחר שבעת חקיקת הרפורמה  היה ברור כי מכון התקנים יהיה הגוף הבודק העיקרי עד שיוסמכו גופים בודקים נוספים, נקבעה בסעיף 8טו(ב) לחוק הוראת מעבר לעניין סעיף 8י, שלפיה הממונה על הבטיחות ברשות הגז הטבעי רשאי, במהלך תקופת המעבר, להורות למכון התקנים לבצע בדיקת תקינות במתקן גז טבעי במקרה של סכנה לבטיחות הציבור כאמור, גם אם מכון התקנים היה הגוף שנתן את אישור התקינות לגבי אותו מתקן. אולם, מאז שאושרה הרפורמה ב-2015, הוסמכו שני גופים בודקים בלבד, אשר בשונה ממכון התקנים, הם אינם מוסמכים לבדוק את כל הסוגים של מתקני הגז הטבעי. כפועל יוצא מכך, תוקף הוראת המעבר הוארך שלוש פעמים, שכן ללא הארכתה, הממונה לא היה רשאי להורות למכון התקנים לערוך בדיקת תקינות במקרה של סכנה לציבור.  מאחר שסעיף 8י לחוק כמעט ולא יושם מאז חקיקתו, ובהתחשב בכך שהממונה על הבטיחות ברשות הגז הטבעי אינו הרגולטור של הגופים הבודקים, הוחלט לבטל את הסעיף, וכפועל יוצא – גם את הוראת המעבר בעניינו, הקבועה בסעיף 8ט(ב) לחוק.  </t>
  </si>
  <si>
    <t xml:space="preserve">חוק זכויות החולה (תיקון מס' 15), התשפ"ד-2023</t>
  </si>
  <si>
    <t xml:space="preserve"> (מ/1686)</t>
  </si>
  <si>
    <t xml:space="preserve">התיקון לסעיף 20 לחוק זכויות החולה, התשנ"ו-1996 קובע כי מוסד רפואי ומטפל יוכלו להעביר (בכפוף לכללים הקבועים כבר בסעיף האמור) מידע רפואי הנחוץ לשם זיהוי גופה או לשם קביעת סיבת מוות אל המרכז הלאומי לרפואה משפטית, ובכלל זה לגורמים שרופאי המרכז הלאומי האמור מסתייעים בהם (כגון מומחים אנתרופולגיים), או אל מטפל אחר המוסמך על פי דין לזיהוי גופה או לקביעת סיבת מוות (כגון רופא בלשכת הבריאות המחוזית שתפקידו לקבוע סיבת מוות, או רופאי השיניים הפועלים כחלק ממשטרת ישראל בזיהוי גופה לפי מישנן). החוק מבהיר כי לעניין זה יראו במסירת המידע כאמור כמסירת מידע לשם טיפול במטופל.  </t>
  </si>
  <si>
    <t xml:space="preserve">הצעת חוק פיתוח והתחדשות של יישובים באזור חבל תקומה (תיקוני חקיקה, פיצויים, הטבות, הנצחה והוראת שעה), התשפ"ד-2023</t>
  </si>
  <si>
    <t xml:space="preserve"> (פ/4140/25)</t>
  </si>
  <si>
    <t xml:space="preserve">הצעת חוק לתיקון פקודת מס הכנסה (הוראת שעה - חרבות ברזל) (פטור ממס במשיכת תשלומי מעביד מקרן השתלמות), התשפ"ד-2023</t>
  </si>
  <si>
    <t xml:space="preserve"> (פ/4137/25)</t>
  </si>
  <si>
    <t xml:space="preserve">הצעת חוק כלי הירייה (תיקון - חובת שקיפות במינוי פקידי רישוי), התשפ"ד-2023</t>
  </si>
  <si>
    <t xml:space="preserve"> (פ/4133/25)</t>
  </si>
  <si>
    <t xml:space="preserve">הצעת חוק קליטת חיילים משוחררים (תיקון - מימון שכר לימוד מלא ללוחמים), התשפ"ד-2023</t>
  </si>
  <si>
    <t xml:space="preserve"> (פ/4130/25)</t>
  </si>
  <si>
    <t xml:space="preserve">הצעת חוק הכניסה לישראל (תיקון - חובת הפקדת ערובה בהגשת ערר לבית הדין לעררים), התשפ"ד-2023</t>
  </si>
  <si>
    <t xml:space="preserve"> (פ/4129/25)</t>
  </si>
  <si>
    <t xml:space="preserve">הצעת חוק ההוצאה לפועל (תיקון - סייג להגבלה על יציאה מהארץ), התשפ"ד-2023</t>
  </si>
  <si>
    <t xml:space="preserve"> (פ/4128/25)</t>
  </si>
  <si>
    <t xml:space="preserve">חוק תקציב נוסף לשנת הכספים 2023, התשפ"ד-2023</t>
  </si>
  <si>
    <t xml:space="preserve"> (מ/1687)</t>
  </si>
  <si>
    <t xml:space="preserve">14.12.2023</t>
  </si>
  <si>
    <t xml:space="preserve">נוכח שינוי הנסיבות שמקורו במלחמת חרבות ברזל, המצריך תיקונים משמעותיים ברוב סעיפי חוק התקציב, שינוי בתעדוף הוצאות הממשלה והגדלת מסגרת ההוצאה הממשלתית, החוק קובע תקציב נוסף ביחס לשנת 2023, שהוראותיו יבואו במקום הוראותיו של חוק התקציב לשנת הכספים 2023, התשפ"ג–2023.</t>
  </si>
  <si>
    <t xml:space="preserve">חוק הפחתת הגירעון והגבלת ההוצאה התקציבית (תיקון מס' 24), התשפ"ד-2023</t>
  </si>
  <si>
    <t xml:space="preserve"> (מ/1684)</t>
  </si>
  <si>
    <t xml:space="preserve">בשל מלחמת חרבות ברזל, נדרשה הממשלה להגדיל את מסגרת התקציב בחוק התקציב לשנת הכספים 2023, התשפ"ג–2023, כדי שניתן יהיה להוציא סכומים נוספים, לצורכי הלחימה ולצרכים האזרחיים הנובעים ממנה, אשר לא ניתן היה לחזות בעת שהתקבל חוק התקציב לשנת התקציב 2023. לנוכח האמור, החוק מגדיל את תקרת הגירעון לשנת 2023 וקובע כי בשנת 2023 לא יעלה שיעור הגירעון הכולל על 3.7% (במקום שיעור של 2.75%) מהתוצר המקומי הגולמי. כמו כן, החוק מגדיל את ההוצאה הממשלתית המותרת לשנת 2023 בשיעור של 3.75% לצורך מימון ההוצאות הדרושות לצרכים צבאיים (המשקף סכום של 17 מיליארד ש"ח) ובשיעור של 1.95% לצורך מימון ההוצאות הדרושות לצרכים אזרחיים הנובעים במישרין ממצב הלחימה (המשקף סכום של 8.8 מיליארד ש"ח). עוד נקבע כי הגידול בסכום ההוצאה הממשלתית לא יובא בחשבון לצורך חישוב ההוצאה הממשלתית בשנים הבאות.</t>
  </si>
  <si>
    <t xml:space="preserve">חוק-יסוד: משק המדינה (תיקון מס' 14)</t>
  </si>
  <si>
    <t xml:space="preserve"> (מ/1661)</t>
  </si>
  <si>
    <t xml:space="preserve">מוצע לאפשר דחיית מועדים למנגנון ההתכנסות הקבוע בסעיף 3א1 לחוק היסוד, בתקופה שלא תעלה על 50 ימים, במצבים בהם התרחש אירוע חריג ובלתי צפוי שיש לו השלכה תקציבית משמעותית בסמוך למועד הגשת דוח ההפרשים.</t>
  </si>
  <si>
    <t xml:space="preserve">הצעת חוק המועצה להשכלה גבוהה (תיקון - שלילת זכאות לתואר אקדמי בשל תמיכה בטרור), התשפ"ד-2023</t>
  </si>
  <si>
    <t xml:space="preserve"> (פ/4126/25)</t>
  </si>
  <si>
    <t xml:space="preserve">11.12.2023</t>
  </si>
  <si>
    <t xml:space="preserve">הצעת חוק חינוך ממלכתי (תיקון - חובת לימוד עברית וערבית), התשפ"ד-2023</t>
  </si>
  <si>
    <t xml:space="preserve"> (פ/4125/25)</t>
  </si>
  <si>
    <t xml:space="preserve">הצעת חוק הנוער (טיפול והשגחה) (תיקון - ביטול הגנת קטין מפני פרסומים מזיקים במקרה של טיפול ואשפוז פסיכיאטריים), התשפ"ד-2023</t>
  </si>
  <si>
    <t xml:space="preserve"> (פ/4124/25)</t>
  </si>
  <si>
    <t xml:space="preserve">הצעת חוק שירות המילואים (תיקון - התנדבות למילואים במג"ב), התשפ"ד-2023</t>
  </si>
  <si>
    <t xml:space="preserve"> (פ/4121/25)</t>
  </si>
  <si>
    <t xml:space="preserve">הצעת חוק הכנסת (תיקון - שעת שאלות לראש הממשלה), התשפ"ד-2023</t>
  </si>
  <si>
    <t xml:space="preserve"> (פ/4120/25)</t>
  </si>
  <si>
    <t xml:space="preserve">הצעת חוק הרשות הארצית לכבאות והצלה (נספים), התשפ"ד-2023</t>
  </si>
  <si>
    <t xml:space="preserve"> (פ/4119/25)</t>
  </si>
  <si>
    <t xml:space="preserve">חוק התכנון והבנייה (תיקון מס' 150 והוראת שעה - חרבות ברזל), התשפ"ד-2023</t>
  </si>
  <si>
    <t xml:space="preserve"> (מ/1681)</t>
  </si>
  <si>
    <t xml:space="preserve">06.12.2023</t>
  </si>
  <si>
    <t xml:space="preserve">מטרת החוק היא לאפשר הקמת מתחמי מגורים זמניים למפוני עוטף עזה במלחמת "חרבות ברזל" באופן מזורז באמצעות קביעת הליכים ייעודיים. נקבע כי שר הפנים יהיה רשאי לקבוע בצו הקמת מתחם מגורים זמני לאותם תושבים ללא צורך בקבלת היתר בנייה. במקרים שהקמת המתחם תיעשה בשטח שאין לגביו תוכנית, רשאי שר הפנים לאשר את הקמת המתחם אף בפטור מתוכנית. זאת בתנאי שהתקבלה חוות דעתו של מתכנן המחוז לפיה יש אפשרות סבירה להסדרת העבודות בתכנית עתידית ותוך מתן אפשרות לראש הרשות המקומית שבתחומה מוצע הצו להציג את עמדתו בפני השר. עוד נקבע כי במצב בו נקבע בצו פטור מתכנית, יפקע תוקפו של הצו אם לא הוגשה תכנית הכוללת הוראות להסדרת העבודות כפי שנקבעו בצו בתוך שנתיים, אם לא התקבלה החלטה על אישור התכנית תוך 3 שנים וחצי, אם התכנית לא נכנסה לתוקף בתוך 5 שנים או אם התכנית המסדירה את העבודות בצו נכנסה לתוקף. כמו כן, ניתנה לשר הפנים סמכות להאריך את תוקפו של הצו במצבים מסוימים. פקע הצו בלא שאושרה תכנית מסדירה כאמור, יהיה אחראי מבצע העבודות לפי הצו להשיב את המצב לקדמותו.  עוד נקבע כי מספר הצווים להקמת מתחם שחל בשטח שאיננו תואם תכנית שאושרה או שהוחלט על הפקדתה, לא יעלה על 12. שר הפנים, באישור ועדת הפנים והגנת הסביבה רשאי להגדיל את מספר הצווים כאמור.  כמו כן, נקבע כי מתן האפשרות לבנות שירותים ומקלחת בממ"דים באזורי עימות המצויה בסעיף 151(ג)(2) לחוק התכנון והבנייה, תורחב גם לאזור הסמוך לגבול עם סוריה.</t>
  </si>
  <si>
    <t xml:space="preserve">חוק הסמכת צבא הגנה לישראל ושירות הביטחון הכללי לביצוע חדירה לחומר מחשב המשמש להפעלת מצלמה נייחת ופעולה בו (הוראת שעה – חרבות ברזל), התשפ"ד-2023</t>
  </si>
  <si>
    <t xml:space="preserve"> (מ/1680)</t>
  </si>
  <si>
    <t xml:space="preserve">החוק מסמיך את צה"ל ואת השב"כ לחדור לחומר מחשב הנמצא במחשב המפעיל מצלמה נייחת, לשם סיכול או מניעה של גישה למידע החזותי המופק במצלמה, אם יש בו כדי לסכן באופן ממשי את ביטחון המדינה או את רציפות התפקוד המבצעי של צה"ל, בקשר לפעילות במסגרת מלחמת "חרבות ברזל". החוק נקבע כהוראת שעה לשישה חודשים, עם אפשרות להארכה לתקופה של עד שלושה חודשים.</t>
  </si>
  <si>
    <t xml:space="preserve">חוק לתיקון דיני הראיות (הגנת ילדים) (תיקון מס' 19 - הוראת שעה - חרבות ברזל), התשפ"ד-2023</t>
  </si>
  <si>
    <t xml:space="preserve"> (מ/1683)</t>
  </si>
  <si>
    <t xml:space="preserve">04.12.2023</t>
  </si>
  <si>
    <t xml:space="preserve">חוקר ילדים אחראי על חקירת ילדים וגביית העדות בעבירות המפורטות בתוספת בחוק. בחוק זה, הורחבה סמכותו של חוקר ילדים כאמור לעניין עבירות המתה, עבירות התעללות ועבירות חטיפה בקשר למעשה טרור או פגיעת איבה שבוצעו בתקופה מיום ה-7 באוקטובר 2023 עד תום שנה מיום תחילתו של החוק זאת בתנאי שהילד אינו חשוד ומתחת לגיל 14. שר המשפטים רשאי להאריך את התקופה בהסכמת שר הרווחה והביטחון חברתי, ובאישור ועדת החוקה, חוק ומשפט. כמו כן, הורחבה סמכותו של חוקר ילדים אף לעניין כל עבירה שבוצעה בקשר למעשה טרור או פגיעת איבה בתקופה מיום ה-7 באוקטובר 2023 עד יום 9 באוקטובר 2023, זאת בתנאי שהילד אינו חשוד ומתחת לגיל 15. במידה והילד נפגע עבירת החטיפה, חוקר הילדים יוכל לחקור אותו גם אם המעשה או פגיעת האיבה התרחשה לאחר התקופה המנויה. לבסוף, נקבע שבטרם קבלת ההחלטה על חקירת ילדים בקשר למעשה הטרור או פגיעת האיבה שבוצעו, יתייעץ הקצין הממונה על חקירת העבירה במשטרה עם חוקר ילדים. </t>
  </si>
  <si>
    <t xml:space="preserve">הצעת חוק הסכם לקליטת תושבים מרצועת עזה, התשפ"ד-2023</t>
  </si>
  <si>
    <t xml:space="preserve"> (פ/4118/25)</t>
  </si>
  <si>
    <t xml:space="preserve">הצעת חוק להקפאת כספים ששילמה הרשות הפלסטינית בזיקה לטרור מהכספים המועברים אליה מממשלת ישראל (תיקון - הקמת קרן ייעודית לטובת נפגעי פעולות טרור), התשפ"ד-2023</t>
  </si>
  <si>
    <t xml:space="preserve"> (פ/4117/25)</t>
  </si>
  <si>
    <t xml:space="preserve">הצעת חוק הקמת קרן למלחמה בעישון ולצמצום והטבת נזקי הטבק ומוצריו, התשפ"ד-2023</t>
  </si>
  <si>
    <t xml:space="preserve"> (פ/4116/25)</t>
  </si>
  <si>
    <t xml:space="preserve">הצעת חוק רכש טובין ושירותים מתוצרת הארץ או מעוסק ישראלי (חרבות ברזל - הוראת שעה), התשפ"ד-2023</t>
  </si>
  <si>
    <t xml:space="preserve"> (פ/4113/25)</t>
  </si>
  <si>
    <t xml:space="preserve">הצעת חוק הגנה על עובדים בשעת חירום (תיקון - אובדן ימי עבודה בשל מצב מיוחד בעורף), התשפ"ד-2023</t>
  </si>
  <si>
    <t xml:space="preserve"> (פ/4112/25)</t>
  </si>
  <si>
    <t xml:space="preserve">חוק התכנון והבנייה (תיקון מס' 149 והוראת שעה), התשפ"ד-2023</t>
  </si>
  <si>
    <t xml:space="preserve">29.11.2023</t>
  </si>
  <si>
    <t xml:space="preserve">נקבע כי יושב ראש מוסד תכנון רשאי להורות על דרכי פרסום נוספות על האמור בחוק אם מצא כי הפרסום איננו יעיל בשל נוכחות מעטה של תושבים בשטח שהתכנית חלה עליו, עקב מצב מיוחד בעורף.  עוד נקבע כי יחול הליך רישוי בדרך מקוצרת על הקמת מרחב מוגן במבנה קיים. כמו כן, גורם מאשר או גורם נוסף ישיב לפנייה בנוגע להקמת מרחב מוגן כאמור שהגיש מבקש ההיתר בתוך 15 ימים. לא השיב הגורם בתוך התקופה האמורה, יראו בו כמי שנתן את הסכמתו. שר הפנים רשאי לקבוע את התנאים שרשות הרישוי או מהנדס ועדה רשאים לקבוע כתנאי למתן היתר או כתנאי ביתר לעניין הקמת מרחב מוגן כאמור. בנוסף, לא תידרש הסכמת רשות מקרקעי ישראל להקמת המרחב המוגן, והיא לא תגבה כל תשלום בשל הקמתו. כמו כן, נקבע כי באזורי עימות לא יראו כסטייה ניכרת תוספת של 3 מ"ר של שטר רצפה לשם חדר שירותים או רחצה למרחב מוגן דירתי שאינו מרחב מוגן ליחידת דיור קיימת בבניין רב קומות. כמו כן, נקבע כי לא יראו קרקע כנפגעת אם נפגעה על ידי תכנית שמטרתה היחידה היא קביעת הוראות לבניית מרחב מוגן או חדר עם שיפורי מיגון במבנה קיים. בנוסף, לא יהיה תשלום היטל השבחה בגין השבחה בשל תכנית שמטרתה העיקרית היא קביעת הוראות לבניית מרחב מוגן או שיפורי מיגון.</t>
  </si>
  <si>
    <t xml:space="preserve">חוק הגנה על עובדים בשעת חירום (תיקון מס' 5 והוראת שעה – חרבות ברזל), התשפ"ד-2023</t>
  </si>
  <si>
    <t xml:space="preserve"> (מ/1672)</t>
  </si>
  <si>
    <t xml:space="preserve">27.11.2023</t>
  </si>
  <si>
    <t xml:space="preserve">חוק זה קובע כהוראת שעה לשלושה חודשים (עם אפשרות הארכה של כולה או חלקה, עד 12 חודשים), הגנה מפני פיטורים לעובד שנעדר מעבודתו או לא ביצע את עבודתו, מאחת הסיבות המפורטות:  (א) העובד שהתפנה מאחד הישובים שמנויים בתוספת;  (ב) העובד הוא הורה או בן זוג של נעדר או חטוף, או שהוא ילדו או אחיו של החטוף או קרוב משפחה אחר של חטוף או נעדר והצהיר שההיעדרות או אי ביצוע העבודה נגרמו עקב כך. (ג) העובד שנעדר משום שיש עמו ילד עד גיל 14 ובן זוגו או הורהו האחר של הילד הוא חייל או שהוא בשירות עבודה או בשירות אחר שמנוי בסעיף 11 לחוק.  (4) העובד נעדר מעבודתו משום שהוא חטוף או נעדר.  (5) העובד נעדר בשל סגירת מוסד החינוך של ילדו  - גם  אם הסגירה היא עקב הודעה מהרשות המקומית או ממוסד החינוך עצמו בלבד. כמו כן החוק קובע כהוראת שעה לשנתיים, שניתן להאריכה בשנה נוספת, שמעסיק של עובד חטוף או נעדר יהיה חייב להמשיך להפריש עבורו בתקופה שהוא חטוף או נעדר את מלוא ההפרשות לקופת גמל לקצבה לשם שמירת רצף הזכויות והמוסד לביטוח לאומי ישפה את המעסיק על כך. המוסד לביטוח לאומי ישלם את ההפקדות לקופת גמל לקצבה עבור חטוף או נעדר שהוא עצמאי, וכן עבור חטוף או נעדר שעבודתו הסתיימה בחמשת החודשים שקדמו לחטיפה או ההיעדרות וגם למי שתסתיים העסקתו לאחר מכן, בתקופה שהוא חטוף או נעדר. החוק קובע כהוראה קבועה כי ההגנה מפני פיטורים הניתנת בשל הצורך בהשגחה על ילד קיימת גם לגבי ילד במשפחת אומנה וזאת בכפוף לאישור של מנחה האומנה.  </t>
  </si>
  <si>
    <t xml:space="preserve">הצעת חוק קליטת חיילים משוחררים (תיקון - מימון מלא לתוכנית "ממדים ללימודים"), התשפ"ג-2023</t>
  </si>
  <si>
    <t xml:space="preserve"> (פ/1761/25)</t>
  </si>
  <si>
    <t xml:space="preserve">הצעת חוק קליטת חיילים משוחררים (תיקון - מימון שכר לימוד מלא ללוחמים), התשפ"ג-2023</t>
  </si>
  <si>
    <t xml:space="preserve"> (פ/1424/25)</t>
  </si>
  <si>
    <t xml:space="preserve"> (פ/1280/25)</t>
  </si>
  <si>
    <t xml:space="preserve">חוק הארכת תקופות ודחיית מועדים (הוראת שעה – חרבות ברזל) (הליכי מס ומענקי סיוע), התשפ"ד-2023 </t>
  </si>
  <si>
    <t xml:space="preserve"> (מ/1677)</t>
  </si>
  <si>
    <t xml:space="preserve">מוצע להאריך תוקפן של תקופות קצובות בזמן שנקבעו בהליכי מס שונים. לפי המוצע, אם מועד תחילת ביצוע הפעולה חל לפני תום התקופה הקובעת (תקופה של שלושה חודשים שתחילתה ביום 7 באוקטובר 2023) ומועד סיום ביצוע הפעולה, חל במהלך התקופה הקובעת או בחודשיים שאחריה, תקופה זו לא תבוא במניין הימים לביצוע הפעולה. כמו כן, מוצע להוסיף ימים למניין התקופות בעניין מכירת דירת מגורים מזכה לפי חוק מיסוי מקרקעין (שבח ורכישה), התשכ"ג–1963.</t>
  </si>
  <si>
    <t xml:space="preserve">הצעת חוק-יסוד: מדינת ישראל</t>
  </si>
  <si>
    <t xml:space="preserve"> (פ/4110/25)</t>
  </si>
  <si>
    <t xml:space="preserve">הצעת חוק-יסוד: ישראל - מדינת הלאום של העם היהודי (תיקון - שוויון זכויות לעדה הדרוזית)</t>
  </si>
  <si>
    <t xml:space="preserve"> (פ/4108/25)</t>
  </si>
  <si>
    <t xml:space="preserve">הצעת חוק-יסוד: עיגון מעמדה של העדה הדרוזית כשוות זכויות אזרחיות במדינת ישראל</t>
  </si>
  <si>
    <t xml:space="preserve"> (פ/4107/25)</t>
  </si>
  <si>
    <t xml:space="preserve">הצעת חוק-יסוד: ישראל - מדינת הלאום של העם היהודי (תיקון - שוויון, שפה והתיישבות)</t>
  </si>
  <si>
    <t xml:space="preserve"> (פ/4103/25)</t>
  </si>
  <si>
    <t xml:space="preserve">הצעת חוק זכויות נפגעי עבירה (תיקון - מתן קדימות בהליכים פליליים לנפגעי עבירה קטינים בגין עבירת מין או אלימות חמורה), התשפ"ד-2023</t>
  </si>
  <si>
    <t xml:space="preserve"> (פ/4102/25)</t>
  </si>
  <si>
    <t xml:space="preserve"> (פ/4101/25)</t>
  </si>
  <si>
    <t xml:space="preserve">הצעת חוק ההתיישנות (תיקון - הרחבת הזכות לתביעה בגין עבירות שהוגש בהם כתב אישום), התשפ"ד-2023</t>
  </si>
  <si>
    <t xml:space="preserve"> (פ/4098/25)</t>
  </si>
  <si>
    <t xml:space="preserve">הצעת חוק החמרת ענישה ושלילת אזרחות (תיקוני חקיקה), התשפ"ד-2023</t>
  </si>
  <si>
    <t xml:space="preserve"> (פ/4097/25)</t>
  </si>
  <si>
    <t xml:space="preserve">הצעת חוק הקפאה של העברת כספים לרשות הפלסטינית בזמן מלחמה, בעת ביצוע פעולות צבאיות משמעותיות ובתקופת מצב מיוחד בעורף (תיקוני חקיקה), התשפ"ד-2023 </t>
  </si>
  <si>
    <t xml:space="preserve"> (פ/4095/25)</t>
  </si>
  <si>
    <t xml:space="preserve">הצעת חוק חיילים משוחררים (החזרה לעבודה) (תיקון - הגנה לבני ובנות זוג של משרתי מילואים מפני פיטורים), התשפ"ד-2023</t>
  </si>
  <si>
    <t xml:space="preserve"> (פ/4094/25)</t>
  </si>
  <si>
    <t xml:space="preserve">הצעת חוק הנצחת זכרם וגבורתם של נופלי ושורדי מלחמת עוטף ישראל, התשפ"ד-2023</t>
  </si>
  <si>
    <t xml:space="preserve"> (פ/4091/25)</t>
  </si>
  <si>
    <t xml:space="preserve">הצעת חוק יום הזיכרון למתקפה על ישראל בשמחת תורה ולעוז הרוח, התשפ"ד-2023</t>
  </si>
  <si>
    <t xml:space="preserve"> (פ/4089/25)</t>
  </si>
  <si>
    <t xml:space="preserve">הצעת חוק הדגל, הסמל והמנון המדינה (תיקון - הצבת דגל המדינה בכיתות במוסדות חינוך מוכרים ובמוסדות להשכלה גבוהה), התשפ"ד-2023</t>
  </si>
  <si>
    <t xml:space="preserve"> (פ/4086/25)</t>
  </si>
  <si>
    <t xml:space="preserve">חוק הארכת תקופות ודחיית מועדים (הוראת שעה – חרבות ברזל) (סדרי מינהל, תקופות כהונה ותאגידים), התשפ"ד-2023</t>
  </si>
  <si>
    <t xml:space="preserve"> (מ/1673)</t>
  </si>
  <si>
    <t xml:space="preserve">22.11.2023</t>
  </si>
  <si>
    <t xml:space="preserve">נקבע הסדר שעניינו מתן ארכה לרשויות ולאזרחים לביצוע פעולות שונות, על רקע מלחמת "חרבות ברזל". בכל הנוגע לאזרחים – ניתנת הארכה גורפת של חודשיים לביצוע פעולות רבות אשר מועד ביצוען חל בין 7.10.2023 ל-7.1.2024, זאת מלבד חריגים המפורטים בתוספת שאינם מוארכים. לעניין, קבלת החלטות מינהליות בנושאים שונים נעשתה הבחנה בין התקופה עד חקיקת החוק והתקופה שלאחריה. לגבי מועדים טרם חקיקת החוק (מיום 7.10.23 ועד 22.11.23), לרשויות תינתן דחייה גורפת של חודשיים על כל ההחלטות המנהליות שהיו צריכות להתקבל (מלבד חריגים המנויים בתוספת). לגבי החלטות מיום 23.11.2023 ועד ליום 7.1.2024, אין דחייה גורפת והשר הרלוונטי יידרש לקבל החלטה ספציפית כדי לקבל דחייה וזאת בהתאם להליך שנקבע בחוק. התקופה הקובעת ותקופות הדחייה שנקבעו בחוק ניתנות להארכה בצו, באישור ועדת החוקה.  כמו כן, החוק כולל שורה של הסדרים ספציפיים המאריכים מועדים בתחומים שונים ובהם חופש המידע, כהונת נושאי משרה בגופים ציבוריים, כהונת דירקטורים בתאגידים ועוד. </t>
  </si>
  <si>
    <t xml:space="preserve">חוק התגמולים לנפגעי פעולות איבה (תיקון מס' 41 - הוראת שעה – חרבות ברזל) (מינוי רופא מוסמך), התשפ"ד-2023</t>
  </si>
  <si>
    <t xml:space="preserve"> (מ/1679)</t>
  </si>
  <si>
    <t xml:space="preserve">20.11.2023</t>
  </si>
  <si>
    <t xml:space="preserve">חוק זה קובע הוראת שעה לשנתיים, שלפיה קביעת דרגת נכות של נפגע פעולות איבה תוכל להיעשות גם על ידי רופא מוסמך כהגדרתו בסעיף 208(ב) לחוק הביטוח הלאומי, כלומר, על ידי רופא שמוסמך בדרך כלל לקבוע אחוזי נכות בנכות כללית, ואולם נדרש כי הוא יהיה בעל ידע בתחומים הנכללים בתוכנית ההכשרה של רופא שקובע כיום דרגת נכות לנפגע איבה. בנוסף, החוק מסמיך את שר העבודה להאריך את הוראת השעה אם נוכח כי הדבר נדרש בשל ריבוי תביעות, בתקופות נוספות, שבמצטבר לא יעלו על שנה. ערר על החלטת רופא מוסמך תוגש לוועדה רפואית לעררים לפי סעיף 122 לחוק הביטוח הלאומי.  החוק קובע כי הוראת השעה תחול גם על תביעות לתגמול שהוגשו לפני תחילתה, מיום 8.10.23. עוד החוק מתקן את חוק התוכנית לסיוע כלכלי (הוראת שעה – חרבות ברזל) ומבהיר כי עובד שיצא לחל"ת ומעסיקו פטור מתשלום דמי ביטוח בעדו, יראו אותו כאילו שולמו בעדו דמי ביטוח, וזאת כדי להבטיח בין היתר רצף של זכויות. בנוסף חוק זה מתקן את תיקון מס' 238 לחוק הביטוח הלאומי, ומבהיר כי הוראת השעה לעניין תגמול מזערי למשרתי מילואים תחול בתקופת הוראת השעה גם אם תוארך בצו מעבר ל-31.12.23. </t>
  </si>
  <si>
    <t xml:space="preserve">הצעת חוק לתיקון פקודת בתי הסוהר (שלילת זכאות למימון שירותי בריאות משפרי איכות חיים לאסיר ביטחוני), התשפ"ג-2022</t>
  </si>
  <si>
    <t xml:space="preserve"> (פ/231/25)</t>
  </si>
  <si>
    <t xml:space="preserve"> (פ/37/25)</t>
  </si>
  <si>
    <t xml:space="preserve">חוק ארגון הפיקוח על העבודה (תיקון מס' 12), התשפ"ד-2023</t>
  </si>
  <si>
    <t xml:space="preserve"> (מ/1619)</t>
  </si>
  <si>
    <t xml:space="preserve">חוק זה מאריך את תוקף הוראת השעה לעניין עוזרי בטיחות בשנתיים נוספות וכן מכניס בהוראה זו מספר שינויים. ראשית, החוק מבהיר כי החובה למנות עוזר בטיחות חלה רק באתר בנייה בו נדרש מינוי של מנהל עבודה. שנית, בחוק נוספה הוראה המאפשרת גם לאוכלוסיות נוספות להיות עוזרי בטיחות -  כך שכעת גם אדם ללא ניסיון בעבודות בניה או בניה הנדסית יוכל לשמש כעוזר בטיחות וזאת אם עבר בהצלחה הכשרה מעשית בהיקף של יותר ממאה שעות, וכן יוכל לשמש כעוזר בטיחות מי שהוא מהנדס או הנדסאי בענף הנדסה אזרחית או מי שהוא כשיר להיות מנהל עבודה או ממונה בטיחות, כל עוד לא מונה לתפקידים אלה באותו אתר בנייה. שלישית, בחוק נוספו תפקידים נוספים לתפקידים של עוזר הבטיחות, כמו תפקיד של סיוע למנהל העבודה במעקב אחר תיקון של הוראת בטיחות שהחובה לקיומה מוטלת על מנהל העבודה. </t>
  </si>
  <si>
    <t xml:space="preserve">הצעת חוק ההתנתקות והפיצויים לנפגעיה (תיקון - נוכחות וחופש תנועה לישראלים בחבל עזה), התשפ"ד-2023 </t>
  </si>
  <si>
    <t xml:space="preserve"> (פ/4085/25)</t>
  </si>
  <si>
    <t xml:space="preserve">הצעת חוק העונשין (תיקון - פריצה למיתקן ביטחוני), התשפ"ד-2023</t>
  </si>
  <si>
    <t xml:space="preserve"> (פ/4084/25)</t>
  </si>
  <si>
    <t xml:space="preserve">הצעת חוק איסור כספים קואליציוניים, התשפ"ד-2023</t>
  </si>
  <si>
    <t xml:space="preserve"> (פ/4082/25)</t>
  </si>
  <si>
    <t xml:space="preserve">הצעת חוק משפחות חיילים שנספו במערכה (תגמולים ושיקום) (תיקון - הרחבת הזכאות ליתומים שמלאו להם 21 שנים), התשפ"ד-2023</t>
  </si>
  <si>
    <t xml:space="preserve"> (פ/4081/25)</t>
  </si>
  <si>
    <t xml:space="preserve">הצעת חוק תשלום קצבאות לחיילי מילואים ולבני משפחותיהם (תיקון - השוואת תנאי אלמנות חללי המילואים), התשפ"ד-2023 </t>
  </si>
  <si>
    <t xml:space="preserve"> (פ/4080/25)</t>
  </si>
  <si>
    <t xml:space="preserve">הצעת חוק למניעת חרם חברתי בבתי ספר, התשפ"ד-2023</t>
  </si>
  <si>
    <t xml:space="preserve"> (פ/4079/25)</t>
  </si>
  <si>
    <t xml:space="preserve">הצעת חוק התכנון והבנייה (תיקון - פיצול דירות) (הוראת שעה), התשפ"ד-2023</t>
  </si>
  <si>
    <t xml:space="preserve"> (פ/4078/25)</t>
  </si>
  <si>
    <t xml:space="preserve">הצעת חוק העונשין (תיקון - עונש מינימום וקנס על החזקת נשק בלתי חוקי), התשפ"ד-2023</t>
  </si>
  <si>
    <t xml:space="preserve"> (פ/4077/25)</t>
  </si>
  <si>
    <t xml:space="preserve">הצעת חוק מס ערך מוסף (תיקון - מכירת טובין למלכ"ר המיועדים לתרומה לכוחות הביטחון וההצלה), התשפ"ד-2023</t>
  </si>
  <si>
    <t xml:space="preserve"> (פ/4076/25)</t>
  </si>
  <si>
    <t xml:space="preserve">הצעת חוק הסדרים במשק המדינה (תיקוני חקיקה להשגת יעדי התקציב) (תיקון - פטור מארנונה לנכס שפונה בעת מצב הלחימה - חרבות ברזל), התשפ"ד-2023</t>
  </si>
  <si>
    <t xml:space="preserve"> (פ/4075/25)</t>
  </si>
  <si>
    <t xml:space="preserve">הצעת חוק התגמולים לנפגעי פעולות איבה (תיקון - נכי ארגוני הצלה במלחמת חרבות ברזל), התשפ"ד-2023 </t>
  </si>
  <si>
    <t xml:space="preserve"> (פ/4074/25)</t>
  </si>
  <si>
    <t xml:space="preserve">הצעת חוק לתיקון פקודת מס הכנסה (פטור ממס על משיכה הונית מקופת גמל), התשפ"ד-2023</t>
  </si>
  <si>
    <t xml:space="preserve"> (פ/4073/25)</t>
  </si>
  <si>
    <t xml:space="preserve">הצעת חוק למניעת הוצאה של כספים מישראל על ידי מסתנן או נתין זר או עבורו, התשפ"ד-2023</t>
  </si>
  <si>
    <t xml:space="preserve"> (פ/4072/25)</t>
  </si>
  <si>
    <t xml:space="preserve">הצעת חוק העונשין (תיקון - ניקוי ישראל מנשק לא חוקי), התשפ"ד-2023 </t>
  </si>
  <si>
    <t xml:space="preserve"> (פ/4070/25)</t>
  </si>
  <si>
    <t xml:space="preserve">הצעת חוק הנגשה לשונית והתאמה תרבותית, התשפ"ד-2023</t>
  </si>
  <si>
    <t xml:space="preserve"> (פ/4069/25)</t>
  </si>
  <si>
    <t xml:space="preserve">הצעת חוק החומרים המסוכנים (תיקון - פרטי התקשרות למרכז רעלים), התשפ"ד-2023</t>
  </si>
  <si>
    <t xml:space="preserve"> (פ/4068/25)</t>
  </si>
  <si>
    <t xml:space="preserve">חוק הארכת תקופות ודחיית מועדים (הוראת שעה – חרבות ברזל) (תכנון ובנייה ומקרקעי ציבור), התשפ"ד-2023</t>
  </si>
  <si>
    <t xml:space="preserve">15.11.2023</t>
  </si>
  <si>
    <t xml:space="preserve">נקבע הסדר שעניינו הארכת תקופות ודחיית מועדים לביצוע פעולות בנושאי התכנון והבנייה. כך למשל נקבעה תקופת הקפאה גורפת בכל הארץ, ותקופת הקפאה ארוכה יותר ביישובים שפונו בשל המצב הביטחוני המיוחד, אשר במסגרתן, אם חלה תקופה שנקבעה לפי הוראות חוק מסוימות המצוינות בחוק זה, לא יבואו הימים שבתקופת ההקפאה במניין הימים של התקופה האמורה. כמו כן, ניתנה סמכות ליושב ראש מוסד תכנון להורות על הארכת תקופה המוגדרת בחוק או להורות על דיון בהתנגדות שהוגשה לאחר תום המועד להגשת התנגדות לפי כל דין, אם סבר שיש לכך הצדקה בשל המצב הביטחוני המיוחד. בנוסף, הוראות פקיעה של תכנית שחלה בתקופה של 5 חודשים מיום כ"ב בתשרי התשפ"ד (7 באוקטובר 2023), יידחה מועד פקיעת התכנית בשישה חודשים. עוד נקבע כי ועדה מקומית עצמאית שהסמכתה הסתיימה בתקופה שמיום י"ד באב התשפ"ג (1 באוגוסט 2023), תוארך הסמכתה לתקופה של שנה. נוסף על כן, נקבע הסדר בהוראת שעה למשך שנה, במסגרתו במידה וועדה מקומית לא החליטה בבקשה להיתר בתוך 90 ימים ממועד קליטתה, בהינתן תנאים מסוימים הבקשה תעבור לדיון בוועדת הערר, לה יהיו את כל הסמכויות הנתונות לוועדה המקומית לעניין זה. </t>
  </si>
  <si>
    <t xml:space="preserve">חוק קיום דיונים בהיוועדות חזותית בהשתתפות עצורים ואסירים (הוראת שעה – חרבות ברזל), התשפ"ד-2023</t>
  </si>
  <si>
    <t xml:space="preserve">לתקופת זמן של חודש עד ל-18 בדצמבר 2023 או עד לתום תקופת תוקפה של ההכרזה על מצב מיוחד בעורף, לפי המוקדם, יהיה ניתן לקיים דיוני מעצר בעבירות ביטחון, דיוני הקראה ודיון שאינו דיון פלילי שהוא צד בו או שנדרשת נוכחותו של העציר או האסיר, בבתי המשפט ובבתי הדין שלא בנוכחות עצורים ואסירים אלא בהשתתפותם בהיוועדות חזותית. ואולם, כל זמן שלא התקיים דיון בהשתתפות פיזית של האסיר או העציר הארכת המעצר תהיה לשבועיים בלבד. כמו כן, נקבעו הוראות על אופן קיומו של דיון בהיוועדות חזותית כגון מיזעור הפגיעה בעצור או באסיר, חובת נוכחות סניגורו של העצור בדיון, תירגום בידי מתורגמן, עריכת התאמות בעניינו של עצור או אסיר עם מוגבלות ועוד.</t>
  </si>
  <si>
    <t xml:space="preserve">חוק הענקת אזרחות כבוד לחללי מערכות ישראל, התשפ"ד-2023</t>
  </si>
  <si>
    <t xml:space="preserve"> (מ/1678)</t>
  </si>
  <si>
    <t xml:space="preserve">נקבע כי שר הפנים, בהמלצת שר הביטחון, יעניק אזרחות כבוד של מדינת ישראל לחלל מערכות ישראל שבמועד פטירתו לא היה אזרח ישראלי.  עוד נקבע כי במידה והורה, בן זוג, ילד או אח של חלל שהוענקה לו אזרחות כבוד יגיש בקשה לשר הפנים לבטלה, שר הפנים יעשה כן כך שיראוה כאילו לא ניתנה כלל.</t>
  </si>
  <si>
    <t xml:space="preserve">חוק הארכת תקופות (הוראת שעה – חרבות ברזל) (אומנה לילדים), התשפ"ד-2023 </t>
  </si>
  <si>
    <t xml:space="preserve">13.11.2023</t>
  </si>
  <si>
    <t xml:space="preserve">חוק זה קובע כי במקרים שבהם האריך המפקח הארצי על האומנה את תקופת שהייתו של ילד באומנת חירום בשלושה חודשים נוספים לפי הוראות סעיף 62 לחוק האומנה לילדים, התשע"ו-2016, והיום האחרון של הארכת תקופת השהייה כאמור חל בתקופה של שלושה חודשים שתחילתה ביום 7 באוקטובר 2023, יהיה המפקח הארצי על האומנה, בהתייעצות עם גורמי המקצוע ומטעמים מיוחדים שיירשמו, רשאי להאריך את תקופת השהייה של הילד באומנת החירום בתקופה נוספת שלא תעלה על שלושה חודשים נוספים. כל זאת בלי לגרוע מחובת המפקח הארצי על האומנה לפעול במהירות הראויה בהתאם לנסיבות העניין.</t>
  </si>
  <si>
    <t xml:space="preserve">חוק חינוך מיוחד (הוראת שעה – חרבות ברזל) (הארכת זכאות), התשפ"ד-2023 </t>
  </si>
  <si>
    <t xml:space="preserve"> (מ/1671)</t>
  </si>
  <si>
    <t xml:space="preserve">החוק קובע בהוראת שעה כי זכאות לשירותי חינוך מיוחדים של תלמיד שנקבעה על ידי ועדת זכאות ואפיון או יל ידי ועדת השגה בשנות הלימוד תשפ"א-תשפ"ג, תוארך בשנה נוספת בלא צורך בקיום דיון חוזר בוועדה; זאת מבלי לגרוע מהסמכות לקיים דיון חוזר בוועדה לגבי התלמיד אם הוגשה בקשה לעשות כן, לרבות ע"י ההורים. עוד נקבע סייג לפיו יתקיים דיון חוזר בעניינם של תלמידים שנקבעה להם זכאות בשנים התשפ"ב-התשפ"ג, אם תום תקופת הזכאות המקורית הוא לקראת מעבר בין שלבי הגיל (מגן חובה לבי"ס יסודי, מיסודי לחטיבת הביניים או מחטיבת הביניים לחטיבה העליונה). החוק מחייב את משרד החינוך, ככל הניתן, להודיע להורים בתוך חודש מתחילתו על תקופת הארכת הזכאות, הזכות לבקש דיון חוזר ודרך הגשת הבקשה לדיון חוזר. </t>
  </si>
  <si>
    <t xml:space="preserve">חוק פסיקת ריבית והצמדה (תיקון מס' 9), התשפ"ד-2023 </t>
  </si>
  <si>
    <t xml:space="preserve"> (מ/1542)</t>
  </si>
  <si>
    <t xml:space="preserve"> חוק פסיקת ריבית והצמדה, התשכ"א–1961 תוקן לאור השינויים שחלו במשק הישראלי ובמטרה להבטיח כי ההסדר יאזן בצורה מדויקת יותר בין האינטרסים של הנושים והחייבים, תוך שמירה על פשטות ההסדר ככל הניתן. בכלל זה, נקבעה הריבית השקלית כריבית ברירת מחדל, נקבע מנגנון הוספת "דמי פיגורים" במקום "ריבית פיגורים" ובוטל מנגנון ה"ריבית דריבית" עליו, וכן בוטלה הריבית על מטבע החוץ.  כמו כן, נעשו תיקונים עקיפים לחוקים המפנים להוראות החוק האמור או להגדרות המופיעות בו, לצורך התאמתם להסדר החדש. התיקון העקיף המשמעותי ביותר הינו בחוק ההוצאה לפועל, התשכ"ז–1967, ולפיו דמי הפיגורים לא יחולו לגבי חייבים המשלמים את חובם בתשלומים. כמו כן הורחב שיקול הדעת של רשמי ההוצאה לפועל להפחית את דמי הפיגורים לצורך קידום הגבייה בתיקים וסגירת חובות. בנוסף, נעשו תיקונים שונים בחוק האמור שמטרתם ליישם את השינויים בחוק פסיקת ריבית והצמדה. </t>
  </si>
  <si>
    <t xml:space="preserve">חוק המאבק בטרור (תיקון מס' 10), התשפ"ד-2023</t>
  </si>
  <si>
    <t xml:space="preserve"> (מ/1668)</t>
  </si>
  <si>
    <t xml:space="preserve">החוק מתקן את פרק ב' לחוק המאבק בטרור, התשע"ו-2016, כך ששר הביטחון יוכל להכריז באופן עצמאי וישיר גם על אדם זר כפעיל טרור, אף מבלי שגורם מוסמך מחוץ לישראל הכריז עליו קודם לכן ככזה.  עוד נקבעה הרחבה להגדרה הקיימת כיום בחוק האמור של "פעיל טרור", כך שגם מי שנוטל חלק באופן ממשי במימון פעילות של ארגון טרור מוכרז או בהעמדת אמצעים לארגון כאמור, גם אם אינו חבר בו, יכנס לגדר ההגדרה "פעיל טרור". כן תוקנה הגדרת המונח "נשק" כך שההגדרה תכלול גם נשק שאינו תקין. </t>
  </si>
  <si>
    <t xml:space="preserve">הצעת חוק משפחות חיילים שנספו במערכה (תגמולים ושיקום) (תיקון - הכרה בארוסות חיילים שנספו במערכה), התשפ"ד-2023</t>
  </si>
  <si>
    <t xml:space="preserve"> (פ/4066/25)</t>
  </si>
  <si>
    <t xml:space="preserve">הצעת חוק להקפאת כספים ששילמה הרשות הפלסטינית בזיקה לטרור מהכספים המועברים אליה מממשלת ישראל (תיקון - עלות החזקת אסיר או עצור שהוא פעיל טרור פלסטיני), התשפ"ד-2023 </t>
  </si>
  <si>
    <t xml:space="preserve"> (פ/4065/25)</t>
  </si>
  <si>
    <t xml:space="preserve">הצעת חוק יום הזיכרון לטבח שמחת תורה בעוטף עזה, התשפ"ד-2023</t>
  </si>
  <si>
    <t xml:space="preserve"> (פ/4064/25)</t>
  </si>
  <si>
    <t xml:space="preserve">הצעת חוק העונשין (תיקון - קנס בעבירת גניבת נשק), התשפ"ד-2023</t>
  </si>
  <si>
    <t xml:space="preserve"> (פ/4063/25)</t>
  </si>
  <si>
    <t xml:space="preserve">הצעת חוק פדיון הבית, התשע"ד-2023</t>
  </si>
  <si>
    <t xml:space="preserve"> (פ/4061/25)</t>
  </si>
  <si>
    <t xml:space="preserve">הצעת חוק המאבק בטרור (תיקון - מניעת הזדהות עם ארגון טרור), התשפ"ד-2023</t>
  </si>
  <si>
    <t xml:space="preserve"> (פ/4060/25)</t>
  </si>
  <si>
    <t xml:space="preserve">הצעת חוק המאבק בטרור (תיקון - החמרת ענישה), התשפ"ד-2023 </t>
  </si>
  <si>
    <t xml:space="preserve"> (פ/4057/25)</t>
  </si>
  <si>
    <t xml:space="preserve">הצעת חוק איסור אספקת חשמל, מים, תקשורת ודלק לישות הנשלטת על ידי חמאס, התשפ"ד-2023</t>
  </si>
  <si>
    <t xml:space="preserve"> (פ/4055/25)</t>
  </si>
  <si>
    <t xml:space="preserve">הצעת חוק איסור לשון הרע (תיקון - הגנה על דיווחים לרשויות החוק), התשפ"ד-2023</t>
  </si>
  <si>
    <t xml:space="preserve"> (פ/4053/25)</t>
  </si>
  <si>
    <t xml:space="preserve">הצעת חוק שירות ביטחון (תיקון - פטור מטעמי הכרה דתית), התשפ"ד-2023</t>
  </si>
  <si>
    <t xml:space="preserve"> (פ/4052/25)</t>
  </si>
  <si>
    <t xml:space="preserve">הצעת חוק-יסוד: מגילת העצמאות</t>
  </si>
  <si>
    <t xml:space="preserve"> (פ/4051/25)</t>
  </si>
  <si>
    <t xml:space="preserve">הצעת חוק יום אבל לאומי לזכרם של נרצחי אירועי ה-7 באוקטובר, התשפ"ד-2023</t>
  </si>
  <si>
    <t xml:space="preserve"> (פ/4050/25)</t>
  </si>
  <si>
    <t xml:space="preserve">חוק הביטוח הלאומי (תיקון מס' 238 - הוראת שעה – חרבות ברזל) (תגמולים למשרתים במילואים), התשפ"ד-2023</t>
  </si>
  <si>
    <t xml:space="preserve"> (מ/1676)</t>
  </si>
  <si>
    <t xml:space="preserve">09.11.2023</t>
  </si>
  <si>
    <t xml:space="preserve">חוק זה קובע כהוראת שעה לגבי מי ששירת במילואים בתקופה שמיום 7.10.2023 ועד יום 31.12.2023, ששיעור התגמול המזערי בעד יום מילואים עבורו יעלה לסכום של 300.61 שקלים חדשים במקום 215.17 שקלים חדשים שהיו ניתנים עד היום. בנוסף, החוק מאפשר לשר העבודה בהסכמת שר הביטחון ושר האוצר ובאישור ועדת העבודה והרווחה של הכנסת להאריך בצו את התקופה האמורה אם הדבר יידרש בשל הימשכות מלחמת חרבות ברזל. </t>
  </si>
  <si>
    <t xml:space="preserve">חוק התוכנית לסיוע כלכלי (הוראת שעה – חרבות ברזל), התשפ"ד-2023</t>
  </si>
  <si>
    <t xml:space="preserve"> (מ/1670)</t>
  </si>
  <si>
    <t xml:space="preserve">08.11.2023</t>
  </si>
  <si>
    <t xml:space="preserve">מוצע לתקן את חוק מס רכוש וקרן פיצויים, התשכ"א–1961, ולקבוע בו מתווה סיוע לעסקים קטנים ובינוניים להשתתפות בהוצאותיהם הקבועות וכן בחלק מהוצאות השכר עקב מלחמת "חרבות ברזל". כמו כן, מוצע לתקן את חוק הביטוח הלאומי [נוסח משולב], התשנ"ה–1995, חוק עבודת נשים, התשי"ד–1954 וחוק מענק הסתגלות מיוחד לבני 67 ומעלה (הוראת שעה – נגיף הקורונה החדש), התש"ף–2020, לשם מתן הקלות והטבות בעניין קבלת דמי אבטלה לעובדים שהעסקתם הופסקה בעקבות המלחמה. </t>
  </si>
  <si>
    <t xml:space="preserve">חוק המאבק בטרור (תיקון מס' 9 והוראת שעה), התשפ"ד-2023</t>
  </si>
  <si>
    <t xml:space="preserve"> (מ/1664)</t>
  </si>
  <si>
    <t xml:space="preserve">נוספה כהוראה שעה לתקופה של שנתיים עבירה שתאסור על צריכה שיטתית וממושכת, בנסיבות של הזדהות עם ארגון הטרור, של פרסומים מסוימים של ארגון חמאס ודאע"ש שכוללים קריאה ישירה לביצוע מעשי טרור, דברי שבח, אהדה או עידוד למעשי הטרור או תיעוד של מעשה הטרור המתלווה לצריכת פרסומים הכוללים קריאה לביצוע מעשה טרור או דברי שבח או אהדה למעשים אלה. דינו של הצורך לפי חוק זה ¬¬– מאסר שנה. עם זאת, צריכה של פרסומים שנעשתה באקראי, בתום לב או במטרה כשרה לא תהיה צריכה אסורה. על שר המשפטים לדווח כל חצי שנה לוועדת החוקה, חוק ומשפט באופן פרטני על אופן הפעלתה של עבירה זו.  כמו כן, נקבע כי היועץ המשפטי לממשלה יהיה רשאי לאצול לפרקליט המדינה ולמשנה לפרקליט המדינה את הסמכות לאשר הגשת כתבי אישום על מכלול עבירות הביטוי הקשורות במאבק בטרור.</t>
  </si>
  <si>
    <t xml:space="preserve">חוק איסור הלבנת הון (תיקון מס' 33), התשפ"ד-2023</t>
  </si>
  <si>
    <t xml:space="preserve"> (מ/1666)</t>
  </si>
  <si>
    <t xml:space="preserve">המטה הלאומי ללוחמה כלכלית בטרור שהוקם במשרד הבטחון התווסף לרשימת הגופים אשר ניתן להעביר אליהם מידע באופן ישיר מהרשות לאיסור הלבנת הון ומימון טרור כאשר תתבצע בקשה מנומקת להעברת המידע, זאת לצורך ביצוע תפקידיו של המטה הלאומי ללוחמה כלכלית בטרור בנוגע לפעילות של ארגוני טרור ובנוגע לפעילות של מימון טרור. כמו כן, המטה התווסף לרשימה של גורמים שלגביהם ראש הרשות המוסמכת צריך לדווח מדי שנה לועדת חוקה, חוק ומשפט על מספר בקשות מידע והעברות מידע ממאגר המידע של הרשות.</t>
  </si>
  <si>
    <t xml:space="preserve">חוק העברת מידע לצורך זיהוי או אימות זהות של אדם לרבות גופה, ואיתור נעדר או שבוי, הנדרשים בשל פעולות האיבה או פעולות המלחמה (הוראות שעה – חרבות ברזל), התשפ"ד-2023</t>
  </si>
  <si>
    <t xml:space="preserve"> (מ/1675)</t>
  </si>
  <si>
    <t xml:space="preserve"> נוספו בהוראת שעה ההוראות שנקבעו בתקנות שעת החירום לצורך הסדרת הגישה של גופי הביטחון למידע מהמאגר הביומטרי במשרד הפנים לצורך זיהוי ואיתור הנרצחים, הנעדרים והשבויים בעקבות מלחמת חרבות ברזל, וכן את אפשרות המשטרה לקבל מידע לרבות מידע גנטי ורפואי שיוכל לסייע במשימה זו. עוד נוספו תיקונים הנוגעים לנושא שמירת טביעות האצבעות במאגר הביומטרי ואיסור מחיקתן בתקופת הוראת השעה,  השימוש בתמונות תווי פנים ע"י רשות האוכלוסין, וכן הוראות בדבר סמכות דרישת ידיעות ומסמכים ע"י צה"ל. התיקונים עוגנו במסגרת שלוש הוראות שעה: האחת - בחוק הכללת אמצעי זיהוי ביומטריים ונתוני זיהוי ביומטריים במסמכי זיהוי ובמאגר מידע, התש"ע-2009, השנייה - בפקודת משטרה, והשלישית במסגרת החוק המוצע. הוראות השעה יעמדו בתוקפן למשך שנה מיום תחילת החוק, עד ליום 7.11.24, ובכפוף לסמכות הארכת תקופה זו, על ידי שר הפנים או השר לביטחון לאומי או שר הביטחון, לפי העניין, לתקופות נוספות שלא יעלו על 12 חודשים במצטבר. כן נקבע כי בתקופת הוראת השעה יהיה ניתן להשתמש בסמכויות האמורות גם לצורך איתור נעדרים והרוגים במסגרת אירוע אזרחי רב נפגעים עליו הכריז שר הפנים. </t>
  </si>
  <si>
    <t xml:space="preserve">חוק נציב תלונות הציבור על שופטים (תיקון מס' 5 - הוראת שעה), התשפ"ד-2023</t>
  </si>
  <si>
    <t xml:space="preserve"> (מ/1669)</t>
  </si>
  <si>
    <t xml:space="preserve">06.11.2023</t>
  </si>
  <si>
    <t xml:space="preserve">נקבע בהוראת שעה לתקופה של חצי שנה, כי שר המשפטים ונשיא בית המשפט העליון, יחד, יהיו רשאים להאריך את תקופת כהונתו של נציב תלונות הציבור על שופטים בתקופה של חצי שנה בלבד.</t>
  </si>
  <si>
    <t xml:space="preserve">חוק תגמולים לבני משפחה של חטופים ונעדרים בפעולת איבה, התשפ"ד–2023</t>
  </si>
  <si>
    <t xml:space="preserve"> (פ/4030/25)</t>
  </si>
  <si>
    <t xml:space="preserve"> (כ/983)</t>
  </si>
  <si>
    <t xml:space="preserve">חוק זה קובע כמה הסדרים לעניין חטופים ונעדרים ובני משפחותיהם. ראשית, החוק קובע שבני משפחה של מי שנקבע כי הוא חטוף או נעדר יהיו זכאים לתגמולים ולהטבות הניתנים לבן משפחה של נספה בפעולת איבה או של חלל צה"ל ואולם שר הביטחון יהיה רשאי לקבוע בתקנות שינויים והתאמות במתן הזכאויות באופן שיתאים לצרכי בני משפחות החטופים. שנית קובע החוק, בהוראת שעה לשנתיים שניתן להאריכה בשנה נוספת, כי למשפחות של שבויים, נעדרים וחטופים ישולם מענק כספי אחת לשלושה חודשים בסכום של 90,000 ש"ח – מחצית מן המענק ישולם לבן הזוג ומחציתו להורים, ובהעדרם – ישולם לבני משפחה אחרים לפי הפירוט שבחוק. כמו כן ישולם מענק, תלת חודשי כאמור, בסך 21,000 שקלים חדשים לכל אחד מאחיו של החטוף או הנעדר, כולל אחים חורגים, וכן לילדיו, אך זאת בתנאי שלא משולמים בעד האחים או הילדים או להם תגמולים בשל אותו חטוף או נעדר. למענקים המשולמים במועד אחד לאדם מסוים נקבעה תקרה של 200,000 ש"ח.  שלישית החוק קובע כי גם חטוף שאינו חייל או איש כוחות הביטחון יהיה זכאי עם שחרורו לתשלומים חודשיים לפי חוק התשלומים לפדויי שבי, התשס"ה–2005. בנוסף, החוק מעגן הגנה מפני עיקולים על הסכומים המשולמים, קובע פטור ממס הכנסה על תשלומים אלו וכן קובע הגבלה על  שכר הטרחה המרבי בעד הטיפול בתביעה לקבלת תשלומים אלה, שלא בשלב המחייב פנייה לערכאות</t>
  </si>
  <si>
    <t xml:space="preserve">חוק הירושה (תיקון מס' 19), התשפ"ד-2023</t>
  </si>
  <si>
    <t xml:space="preserve"> (מ/1667)</t>
  </si>
  <si>
    <t xml:space="preserve">החוק נועד לתת מענה לבעיות יישומיות בתחום הירושה שנובעות ממתקפת הטרור של 7 ו-8 באוקטובר 2023. נקבע כי יורש של אדם שמת כתוצאה מפעולות המלחמה המנויות בחוק בתקופה שמיום ה-7 באוקטובר 2023 ועד שנה מתום תקופת תוקפה של ההכרזה על מצב מיוחד בעורף, רשאי להסתלק מחלקו בעיזבון לא רק לטובת בן זוגו, ילדו או אחיו של המוריש, אלא גם לטובת בני המשפחה של המוריש וכן לטובת בן זוגו לשעבר, ילדו או ילד שהמוריש ראה אותו כילדו. תקופה זו ניתנת להארכה. כמו כן, נקבע כי כאשר מתו בני משפחה בפעולות המלחמה ומותם היה ב-7 באוקטובר 2023 או ב-8 באוקטובר 2023, יראו אותם ככאלה שלא ניתן לקבוע מי מהם מת תחילה, זאת במטרה למעט דיונים בסדר הפטירות וכחריג לעיקרון לפיו העיזבון עובר ליורש של הנפטר האחרון מבני המשפחה. עם זאת, הרשם רשאי לאשר חלוקה אחרת בין היורשים אם היורש הסכים לכך או מטעמים מיוחדים שיירשמו.</t>
  </si>
  <si>
    <t xml:space="preserve">חוק הרשות הלאומית לביטחון קהילתי (תיקון מס' 2), התשפ"ד-2023</t>
  </si>
  <si>
    <t xml:space="preserve"> (מ/1451)</t>
  </si>
  <si>
    <t xml:space="preserve">נקבעו תיקוני חקיקה המשלימים להחלטת הממשלה בדבר סגירת המשרד לחיזוק וקידום קהילתי והעברת הרשות לביטחון קהילתי למשרד לביטחון הפנים.</t>
  </si>
  <si>
    <t xml:space="preserve">חוק התכנון והבנייה (תיקון מס' 146), התשפ"ד-2023</t>
  </si>
  <si>
    <t xml:space="preserve"> (פ/936/25)</t>
  </si>
  <si>
    <t xml:space="preserve"> (כ/976)</t>
  </si>
  <si>
    <t xml:space="preserve">נקבע כי לא יראו העברת מקרקעין או הענקת זכויות בהם הטעונה רישום בפנקסי המקרקעין, בתמורה או ללא תמורה, כמימוש זכויות המחייב בהיטל השבחה, ובלבד שהעברת הזכויות כאמור התבצעה אגב הליך פירוד בין בני זוג. עוד נקבע כי ההסדר כאמור יחול בין היתר על גירושין, ביטול נישואין או הפקעתם, ואף כשהנישואין טרם פקעו אך בית המשפט או בית דין קבע הסדר איזון משאבים בין בני הזוג וכי תחולתו של ההסדר תהיה לעניין שומת השבחה שטרם הפכה לשומה סופית. בנוסף, נקבע לקבוע פטור מהיטל השבחה על השבחה שנוצרה בשל בניית חדר עם שיפורי מיגון במידה ולא ניתן לבנות מרחב מוגן באותו מבנה וזאת על היתר לשיפור מיגון שניתן מיום תחילתו של חוק זה ואילך. </t>
  </si>
  <si>
    <t xml:space="preserve">הצעת חוק הגנת הצרכן (תיקון - הצגת מחיר בשעת חירום), התשפ"ד-2023</t>
  </si>
  <si>
    <t xml:space="preserve"> (פ/4049/25)</t>
  </si>
  <si>
    <t xml:space="preserve">הצעת חוק קליטת חיילים משוחררים (תיקון - הכנסת מקצועות הסיעוד לקרן ממדים ללימודים), התשפ"ד-2023</t>
  </si>
  <si>
    <t xml:space="preserve"> (פ/4048/25)</t>
  </si>
  <si>
    <t xml:space="preserve">הצעת חוק זכויות החולה (תיקון - אדם הנזקק לטיפול רפואי בשל מעשה טרור), התשפ"ד-2023 </t>
  </si>
  <si>
    <t xml:space="preserve"> (פ/4047/25)</t>
  </si>
  <si>
    <t xml:space="preserve">הצעת חוק הבטחת הכנסה (תיקון - מימון תרופות שאינן בסל שירותי הבריאות לילדים שהוריהם מקבלים גמלת הבטחת הכנסה), התשפ"ד-2023</t>
  </si>
  <si>
    <t xml:space="preserve"> (פ/4046/25)</t>
  </si>
  <si>
    <t xml:space="preserve">הצעת חוק צער בעלי חיים (הגנה על בעלי חיים) (תיקון - איסור משלוחים ימיים של צאן חי לשחיטה), התשפ"ד-2023</t>
  </si>
  <si>
    <t xml:space="preserve"> (פ/4045/25)</t>
  </si>
  <si>
    <t xml:space="preserve">הצעת חוק מס ערך מוסף (תיקון - מס בשיעור אפס על מרחבים מוגנים), התשפ"ד-2023</t>
  </si>
  <si>
    <t xml:space="preserve"> (פ/4044/25)</t>
  </si>
  <si>
    <t xml:space="preserve">חוק הגנה על מענקים מיוחדים (חרבות ברזל), התשפ"ד-2023</t>
  </si>
  <si>
    <t xml:space="preserve"> (מ/1665)</t>
  </si>
  <si>
    <t xml:space="preserve">01.11.2023</t>
  </si>
  <si>
    <t xml:space="preserve">החוק קובע הגנה מפני עיקול על המענקים המפורטים בתוספת לחוק, וכן מקנה לשר האוצר ולשר המשפטים סמכות לקבוע מענקים מינהליים נוספים, שכולם או חלקם, יהיו מוגנים מפני עיקול אם נמצא שיש הצדקה לעשות כן בנסיבות.</t>
  </si>
  <si>
    <t xml:space="preserve">חוק לדחיית הבחירות הכלליות לרשויות המקומיות (תיקון), התשפ"ד-2023</t>
  </si>
  <si>
    <t xml:space="preserve"> (מ/1657)</t>
  </si>
  <si>
    <t xml:space="preserve">בחוק זה נקבעו מספר הסדרים משלימים הנובעים מדחיית הבחירות הכלליות לרשויות המקומיות עקב מלחמת "חרבות ברזל". כך למשל, נקבע מנגנון פיצוי עיזבון של מועמד בבחירות לראשות מועצה אזורית שהוכר כחלל מערכות ישראל או מי שנפטר כתוצאה מפגיעת איבה בקשר למצב הביטחוני המיוחד, על הוצאות בחירות שהוציא המועמד כדין. עוד נקבע, כי החובה לצאת לחופשה או להפסיק את השירות מיום הגשת הרשימות, החלה על המועמדים העובדים בשירות המדינה ועל אנשי הקבע של צה"ל, לא תחול עד היום ה-30 שלפני מועד הבחירות החדש. כמו כן, נקבע כי מועמד שנדרש לצאת לחופשה ללא תשלום או להפסיק את שירותו על מנת להתמודד בבחירות, ועשה כן לפי כל דין, זכאי לתשלום מיוחד ממעסיקו בעד התקופה בה שהה בחופשה או שהופסק בה שירותו בשיעור של 70% מהשכר הרגיל שלו, ולא יותר מ-11,870 ש"ח. בנוסף, נקבע כי במסגרת הוראת שעה, יוקלו התנאים לנטילת מקדמות למימון בחירות, יתאפשר החזר חלקי מוקדם של ערבונות שניתנו לשם התמודדות בבחירות ואף סכום התרומות המותר למועמד או לרשימה יעלה.   </t>
  </si>
  <si>
    <t xml:space="preserve">חוק המקרקעין (תיקון מס' 37), התשפ"ד-2023</t>
  </si>
  <si>
    <t xml:space="preserve"> (מ/1663)</t>
  </si>
  <si>
    <t xml:space="preserve">30.10.2023</t>
  </si>
  <si>
    <t xml:space="preserve">נקבע כי לשם בניית מרחב מוגן דירתי או מרחב מוגן קומתי במבנה או באגף מסוים בבית מורכב (בית משותף המורכב מכמה מבנים או אגפים), או במקום בו לא ניתן לבנות אחד מאלו, בנייה של שיפורי מיגון, תידרש הסכמה של בעלי דירות שבבעלותם שישים אחוזים מהדירות באותו מבנה או אגף, בהתקיים התנאים המפורטים בחוק. הוראה דומה קיימת כבר היום בחוק ביחס לבית משותף שאיננו בית מורכב.</t>
  </si>
  <si>
    <t xml:space="preserve">הצעת חוק משפחות חיילים שנספו במערכה (תגמולים ושיקום) (תיקון - הגדרת אלמן ושכול), התשפ"ד-2023</t>
  </si>
  <si>
    <t xml:space="preserve"> (פ/4042/25)</t>
  </si>
  <si>
    <t xml:space="preserve">הצעת חוק החמרת ענישה בעבירות מין על רקע לאומני (תיקוני חקיקה) (תיקון - ביטול החוק), התשפ"ד-2023 </t>
  </si>
  <si>
    <t xml:space="preserve"> (פ/4039/25)</t>
  </si>
  <si>
    <t xml:space="preserve">הצעת חוק קליטת חיילים משוחררים (תיקון - שימוש בפיקדון לטיפול נפשי), התשפ"ד-2023</t>
  </si>
  <si>
    <t xml:space="preserve"> (פ/4038/25)</t>
  </si>
  <si>
    <t xml:space="preserve"> (פ/4036/25)</t>
  </si>
  <si>
    <t xml:space="preserve">הצעת חוק השיפוט הצבאי (תיקון - משך תחולת החוק על מי שחדל מהיות חייל ועבר עבירת מין), התשפ"ד-2023</t>
  </si>
  <si>
    <t xml:space="preserve"> (פ/4034/25)</t>
  </si>
  <si>
    <t xml:space="preserve">הצעת חוק השיפוט הצבאי (תיקון - הגבלה על פרסום של פרטי חייל, צילום פניו או כל פרט מזהה אחר בעת מילוי תפקידו), התשפ"ד-2023 </t>
  </si>
  <si>
    <t xml:space="preserve"> (פ/4033/25)</t>
  </si>
  <si>
    <t xml:space="preserve">חוק הארכת תקופות ודחיית מועדים (הוראת שעה – חרבות ברזל) (אישורים רגולטוריים, עיצומים כספיים ובדיקות מיתקני גז), התשפ"ד-2023</t>
  </si>
  <si>
    <t xml:space="preserve"> (מ/1662)</t>
  </si>
  <si>
    <t xml:space="preserve">25.10.2023</t>
  </si>
  <si>
    <t xml:space="preserve">נקבעו בחוק זה הסדרים לצורך הקלה על המשק והבטחת רציפות תפקודית תקינה של אספקת מצרכים ושירותים לציבור בשל מצב החירום. זאת, באמצעות הארכת אישורים רגולטוריים בשלושה חודשים (ובחלק מהמקרים - בארבעה חודשים), דחיית מועדים הקשורים לעיצומים כספיים בשלושה חודשים ודחיית מועד לביצוע בדיקה תקופתית של מתקן גז בשלושה חודשים. ראש הממשלה רשאי, בצו, באישור הממשלה להאריך את תקופת הדחייה של נתינת אישור רגולטורי ואת המועד לביצוע בדיקה תקופתית של מתקן גז אם נוכח כי מתקיימות נסיבות המצדיקות זאת עקב המצב הבטחוני המיוחד. שר המשפטים רשאי, בצו, באישור ממשלה להאריך את תקופת הדחייה של דחיית מועדים הקשורים לעיצומים כספיים אם נוכח כי מתקיימות נסיבות המצדיקות זאת עקב המצב הבטחוני המיוחד.</t>
  </si>
  <si>
    <t xml:space="preserve">חוק לדחיית הבחירות הכלליות לרשויות המקומיות, התשפ"ד-2023</t>
  </si>
  <si>
    <t xml:space="preserve">23.10.2023</t>
  </si>
  <si>
    <t xml:space="preserve">על רקע מצב המלחמה שבו מצויה מדינת ישראל בימים אלה והקשיים המשמעותיים הנובעים מקיום מערכת בחירות במהלך תקופה זו, נקבע כי יידחה מועד הבחירות הכלליות לרשויות המקומיות ולמועצות האזוריות בשלושה חודשים, ליום כ' בשבט התשפ"ד (30בינואר 2024). בנוסף, נקבע כי אם נוכחה הממשלה כי נתקיימו נסיבות אשר מונעות עריכת הבחירות במועד זה, היא רשאית, בצו שיאושר בכנסת, לאחר קבלת המלצתה של ועדת הפנים והגנת הסביבה על ידי שלושה רבעים מחבריה, לדחות את מועד הבחירות ליום י"ח באדר א' התשפ"ד (27 בפברואר 2024).</t>
  </si>
  <si>
    <t xml:space="preserve">חוק אמנת הבנק האסייני לפיתוח, התשפ"ד-2023</t>
  </si>
  <si>
    <t xml:space="preserve"> (מ/1643)</t>
  </si>
  <si>
    <t xml:space="preserve">החוק קובע כי לבנק האסייני לפיתוח תהיה אישיות משפטית בישראל בהתאם להסכם בדבר הקמת הבנק אשר נחתם במנילה בדצמבר 1965, אשר אליו הצטרפה מדינת ישראל באפריל 2022 (להלן – אמנת הבנק). בנוסף, עוגנו בחוק המעמד, החסינויות וזכויות היתר המפורטים באמנת הבנק עבור הבנק ונושאי המשרה בו ונקבע כי שר האוצר ייצג את המדינה לעניין חברותה בבנק ויביא לידיעת הממשלה תיקונים באמנת הבנק, טרם כניסתם לתוקף.</t>
  </si>
  <si>
    <t xml:space="preserve">הצעת חוק הרשויות המקומיות (בחירות) (תיקון מס' 53) (תיקון - ביטול החוק), התשפ"ד-2023</t>
  </si>
  <si>
    <t xml:space="preserve"> (פ/4031/25)</t>
  </si>
  <si>
    <t xml:space="preserve">הצעת חוק פיצויי פיטורים (תיקון - התפטרות בזמן מלחמת חרבות ברזל) (הוראת שעה), התשפ"ד-2023</t>
  </si>
  <si>
    <t xml:space="preserve"> (פ/4029/25)</t>
  </si>
  <si>
    <t xml:space="preserve">הצעת חוק דמי הבראה, התשפ"ד-2023</t>
  </si>
  <si>
    <t xml:space="preserve"> (פ/4028/25)</t>
  </si>
  <si>
    <t xml:space="preserve">הצעת חוק הרשויות המקומיות (יועצת לקידום מעמד האישה) (תיקון - תפקיד וסמכויות), התשפ"ד-2023</t>
  </si>
  <si>
    <t xml:space="preserve"> (פ/4027/25)</t>
  </si>
  <si>
    <t xml:space="preserve">הצעת חוק האזרחים הוותיקים (תיקון - חניה חינם לאזרח ותיק שמלאו לו 75 שנים), התשפ"ד-2023</t>
  </si>
  <si>
    <t xml:space="preserve"> (פ/4026/25)</t>
  </si>
  <si>
    <t xml:space="preserve"> (פ/4025/25)</t>
  </si>
  <si>
    <t xml:space="preserve">הצעת חוק הגנת השכר (תיקון - פטור מדמי טיפול מקצועי-ארגוני), התשפ"ד-2023</t>
  </si>
  <si>
    <t xml:space="preserve"> (פ/4024/25)</t>
  </si>
  <si>
    <t xml:space="preserve">הצעת חוק הרשות הלאומית לתרבות ולשפה המרוקאית יהודית, התשפ"ד-2023</t>
  </si>
  <si>
    <t xml:space="preserve"> (פ/4023/25)</t>
  </si>
  <si>
    <t xml:space="preserve">הצעת חוק שוויון זכויות לאנשים עם מוגבלות (תיקון - מוקד להנגשת שירותים), התשפ"ד-2023</t>
  </si>
  <si>
    <t xml:space="preserve"> (פ/4022/25)</t>
  </si>
  <si>
    <t xml:space="preserve">הצעת חוק ביטוח בריאות ממלכתי (תיקון - מנגנון להעברת כספים מקופות החולים למגן דוד אדום), התשפ"ד-2023</t>
  </si>
  <si>
    <t xml:space="preserve"> (פ/4021/25)</t>
  </si>
  <si>
    <t xml:space="preserve">חוק דחיית מועדים (הוראת שעה – חרבות ברזל) (חוזה, פסק דין או תשלום לרשות), התשפ"ד-2023</t>
  </si>
  <si>
    <t xml:space="preserve"> (מ/1660)</t>
  </si>
  <si>
    <t xml:space="preserve">18.10.2023</t>
  </si>
  <si>
    <t xml:space="preserve">החוק קובע, בהוראת שעה, דחיית מועדים וחיובים מסוגים שונים, שאירעו במהלך "תקופה קובעת", שהיא התקופה שבין יום תחילת מתקפת הטרור, ה-7 באוקטובר 2023, ועד למועד תום תקופת התיקון הזמני, ה-7 בנובמבר 2023. החוק גם כולל מנגנון הארכה של תקופה זו, באישור ועדת החוץ והביטחון של הכנסת. בפרט, החוק מאפשר דחייה של 30 ימים למועד עשיית פעולה שנקבעה בחוזה, מועד לעשיית פעולה שנקבעה בפסק דין או בהחלטה סופית של בית משפט ומועד תשלום לרשות, להוציא חיובי תשלום מזונות וחוזי עבודה, כל עוד מועדים אלו חלים במהלך התקופה הקובעת. הזכאים לדחיית מועדים וחיובים אלו הם חיילים בשירות סדיר, קבע ומילואים, משרתים בגופי ביטחון הפנים (שוטרים, סוהרים וכבאים), עובדים בארגוני ההצלה מד"א, זק"א ואיחוד הצלה ומתנדבים בארגונים אלה בהיקף המקביל למשרה מלאה, ואוכלוסייה אזרחית שנפגעה מהאירועים, ובכלל זאת נעדרים, חטופים, שבויים ותושבי היישובים הסמוכים לרצועת עזה ולגבול לבנון, המנויים בתוספת לחוק. עוד נכללים בקבוצת הזכאים בני זוגם של הזכאים כל עוד הם אחראים לחיוב יחד עימם, עיזבונותיהם של הזכאים, חברות מעטים ושותפויות שהשליטה בהן מצויה בידי מי מהזכאים ומי שאושפזו למשך 7 ימים לפחות בשל פציעה שנגרמה בשל האירועים במהלך התקופה הקובעת. בדומה לתקופה הקובעת, החוק כולל מנגנון של הארכת התקופה גם לגבי תקופת הדחייה.</t>
  </si>
  <si>
    <t xml:space="preserve">חוק סדר הדין הפלילי (תיקון מס' 93 - הוראת שעה – חרבות ברזל) (היוועדות חזותית), התשפ"ד-2023</t>
  </si>
  <si>
    <t xml:space="preserve"> (מ/1659)</t>
  </si>
  <si>
    <t xml:space="preserve">חוק סדר הדין הפלילי תוקן כך שניתן יהיה לקיים בהיוועדות חזותית גם דיוני הקראה של פתיחת המשפט הפלילי, המתקיימים בעניינים של נאשמים עצורים או אסירים, זאת בשל מצב החירום. במקרים שבהם אין דרך לקיים דיון אפילו בהיוועדות חזותית, ניתן יהיה לקיים את ההקראה במכשיר טכנולוגי המאפשר שמיעה בלבד, אם ניתנה לכך הסכמת הנאשם וסניגורו או שבית המשפט הוראה כאמור לאחר ששוכנע כי יש דחיפות לקיים את הדיון באותה עת. בנוסף, התווספה אפשרות לקיים דיונים בהיוועדות חזותית אם יש בהם כדי לסיים את ההליך בעניינו של הנאשם והוא ביקש זאת באמצעות סניגורו. הדיונים יתקיימו בנוכחות סנגורו של הנאשם, ואם אינו מיוצג אז ימונה לו סנגור ובדרך שתבטיח כי הסנגור, הנאשם והשופט ישמעו זה את זה ויראו זה את זה. הסדר זה נקבע כהוראת שעה לתקופת זמן של חודשיים וחצי, ובנוסף - ההוראות יחולו רק בתקופת תוקפן של ההודעה על הגבלת הדיונים בבתי המשפט והכרזה על קיומים של דיוני מעצר בהיוועדות חזותית מתוקף התקש"ח האמור.</t>
  </si>
  <si>
    <t xml:space="preserve">חוק לתיקון פקודת בתי הסוהר (מס' 64 – הוראת שעה – חרבות ברזל) (מצב חירום כליאתי), התשפ"ד–2023</t>
  </si>
  <si>
    <t xml:space="preserve"> (מ/1658)</t>
  </si>
  <si>
    <t xml:space="preserve">החוק נועד לאפשר לשירות בתי הסוהר לקלוט עצורים נוספים רבים בתקופה הקרובה, נוכח העלייה במספר הכלואים והעצורים המוחזקים במתקני שירות בתי הסוהר בעקבות הלחימה. החוק קובע, בהוראת שעה למשך שלושה חודשים, כי השר לביטחון לאומי, בהמלצת נציבת בתי הסוהר ובהסכמת ראש הממשלה ושר הביטחון, יהיה רשאי להכריז על מצב חירום כליאתי אם נוכח כי לאור המצב הביטחוני השורר במדינה יש צורך במקומות כליאה נוספים באופן מיידי, או שעל בסיס חוות דעת של גורמי ביטחון נוכח כי קיימת סבירות גבוהה לכך. הכרזה על מצב חירום כליאתי תאפשר למנהל בית סוהר להלין אסיר תוך חריגה מהוראות הדין לעניין שטח מחיה מינימלי, וככל הנדרש – גם להלינו שלא על מיטה בחריגה מהוראות לעניין זכאות למיטה. עם זאת, הלנת אסיר שלא על מיטה תיעשה רק בנסיבות בהן אין אפשרות לספק לו מיטה, ויש להגביל זאת לתקופה קצרה ככל האפשר. בנוסף, לאסיר שלא סופקה לו מיטה יסופק מזרן כפול, והדבר ייעשה תוך התחשבות בגודל התא ובמאפייניו. חריגה זו מהוראות הדין תיעשה, ככלל, לגבי אסירים ועצירים ביטחוניים. עם זאת, החוק מאפשר למנהל בית הסוהר להפעיל את סמכותו זו גם לעניין תאים שמוחזקים בהם אסירים אחרים, אם שוכנע שהחריגה מההוראות לעניין שטח מחיה או לעניין זכאות למיטה נדרשת נוכח המצב הביטחוני השורר במדינה, ולאחר שלא נמצאו חלופות אחרות. הכרזת השר תעמוד בתוקף למשך חמישה ימים, והממשלה תהיה רשאית להאריך את תוקף ההכרזה לתקופה אחת נוספת בת חמישה ימים. בנוסף, הממשלה, באישור הוועדה לביטחון לאומי של הכנסת, תוכל להאריך את תוקף ההכרזה לתקופות נוספות. פניית הממשלה לוועדה לביטחון לאומי של הכנסת תלווה בדיווח של השר לביטחון לאומי בדבר צעדים נוספים להתמודדות עם מצב החירום הכליאתי, וכן דיווח של נציבת בתי הסוהר על נתונים הנוגעים ליישום סמכויותיה לפי ההסדר במתקני הכליאה. דיווחי השר והנציבה יועברו לוועדה אחת לשבועיים, כל עוד ההכרזה עומדת בתוקפה. </t>
  </si>
  <si>
    <t xml:space="preserve">הצעת חוק שמירת הניקיון (הוראת שעה), התשפ"ג-2023 - החלק שנותר</t>
  </si>
  <si>
    <t xml:space="preserve"> (מ/1652)</t>
  </si>
  <si>
    <t xml:space="preserve">16.10.2023</t>
  </si>
  <si>
    <t xml:space="preserve">חוק שמירת הניקיון (תיקון מס' 25 והוראת שעה), התשפ"ד-2023</t>
  </si>
  <si>
    <t xml:space="preserve">מוצע לעגן פעם נוספת, כהוראת שעה לתקופה של עד ליום ה-31.12.2027, את ההסדר שהיה קבוע בהוראת השעה שפקעה בחודש פברואר 2023, בה נקבע כי במידה ונותרה יתרה מחשבון היטל ההטמנה בשנה מסוימת, ניתן לממן מיתרה זו, בנוסף למטרות הנוספות המוגדרות היום בחוק, גם סיוע לרשויות המקומיות המשויכות לאשכולות 1 עד 5 במדרג החברתי-כלכלי בטיפול במפגעי פסולת, בהקמת תשתיות לטיפול בפסולת  וכן בסיוע להסדרת הטיפול השוטף בפסולת באותן רשויות לתקופה שלא תעלה על שלוש שנים (במקום לתקופה של שנה כפי שנקבע בהוראות השעה הקודמות).  עוד מוצע, כתיקון קבוע לחוק, לקבוע מועדים מדויקים למסירת הדיווחים לכנסת הנדרשים לפי החוק לגבי פעילות הקרן הכנסותיה והוצאותיה.</t>
  </si>
  <si>
    <t xml:space="preserve">הצעת חוק לעשיית דין במחבלי החמאס ובעוזריהם, התשפ"ד-2023</t>
  </si>
  <si>
    <t xml:space="preserve"> (פ/4020/25)</t>
  </si>
  <si>
    <t xml:space="preserve">הצעת חוק פרעות התשפ"ד, התשפ"ד-2023</t>
  </si>
  <si>
    <t xml:space="preserve"> (פ/4019/25)</t>
  </si>
  <si>
    <t xml:space="preserve">הצעת חוק חניה לנכים (תיקון - החלטה בבקשה לתג נכה), התשפ"ד-2023</t>
  </si>
  <si>
    <t xml:space="preserve"> (פ/4018/25)</t>
  </si>
  <si>
    <t xml:space="preserve">הצעת חוק-יסוד: הממשלה (תיקון - מספר סגני שרים)</t>
  </si>
  <si>
    <t xml:space="preserve"> (פ/4016/25)</t>
  </si>
  <si>
    <t xml:space="preserve">הצעת חוק חג המימונה, התשפ"ד-2023</t>
  </si>
  <si>
    <t xml:space="preserve"> (פ/4015/25)</t>
  </si>
  <si>
    <t xml:space="preserve">הצעת חוק הביטוח הלאומי (תיקון - פטור מתשלום דמי ביטוח לאומי לנכי צה"ל), התשפ"ד-2023</t>
  </si>
  <si>
    <t xml:space="preserve"> (פ/4014/25)</t>
  </si>
  <si>
    <t xml:space="preserve">הצעת חוק הבנקאות (שירות ללקוח) (תיקון - חובת הצבת מכשיר אוטומטי למשיכת והפקדת מזומנים ושיקים), התשפ"ד-2023</t>
  </si>
  <si>
    <t xml:space="preserve"> (פ/4012/25)</t>
  </si>
  <si>
    <t xml:space="preserve">הצעת חוק הסכמים קיבוציים (תיקון - תחרות בין ארגוני עובדים ויציגות ארגון עובדים בשירות המדינה), התשפ"ד-2023</t>
  </si>
  <si>
    <t xml:space="preserve"> (פ/4011/25)</t>
  </si>
  <si>
    <t xml:space="preserve">הצעת חוק למניעת אלימות במשפחה (תיקון - ממונה על נושא האלימות במשפחה במקומות עבודה גדולים), התשפ"ד-2023</t>
  </si>
  <si>
    <t xml:space="preserve"> (פ/4010/25)</t>
  </si>
  <si>
    <t xml:space="preserve">הצעת חוק הביטוח הלאומי (תיקון - טיפול בפעוטות במעונות יום כעבודה מועדפת), התשפ"ד-2023</t>
  </si>
  <si>
    <t xml:space="preserve"> (פ/4009/25)</t>
  </si>
  <si>
    <t xml:space="preserve">הצעת חוק הרשויות המקומיות (ריבית והפרשי הצמדה על תשלומי חובה) (תיקון - הפחתת אחוז הריבית ברשויות המקומיות), התשפ"ד-2023</t>
  </si>
  <si>
    <t xml:space="preserve"> (פ/4008/25)</t>
  </si>
  <si>
    <t xml:space="preserve">הצעת חוק הרשות הממשלתית להתחדשות עירונית (תיקון - נשיאת הוצאות בבית משותף מחודש), התשפ"ד-2023</t>
  </si>
  <si>
    <t xml:space="preserve"> (פ/4007/25)</t>
  </si>
  <si>
    <t xml:space="preserve">הצעת חוק לתיקון פקודת העיריות (גמול השתתפות בישיבות והחזר הוצאות לחברי מועצה), התשפ"ד-2023</t>
  </si>
  <si>
    <t xml:space="preserve"> (פ/4006/25)</t>
  </si>
  <si>
    <t xml:space="preserve">הצעת חוק מניעת ביצוע עבירות באמצעות פרסום באינטרנט וברשתות החברתיות (הסרת תכנים אנטישמיים), התשפ"ד-2023</t>
  </si>
  <si>
    <t xml:space="preserve"> (פ/4004/25)</t>
  </si>
  <si>
    <t xml:space="preserve">הצעת חוק חובת המכרזים (תיקון - עידוד עסקים קטנים ובינוניים באזור פריפריה במכרז), התשפ"ד-2023</t>
  </si>
  <si>
    <t xml:space="preserve"> (פ/4003/25)</t>
  </si>
  <si>
    <t xml:space="preserve">הצעת חוק שיפוט בתי דין רבניים (נישואין וגירושין) (תיקון - גירושין אזרחיים), התשפ"ד-2023</t>
  </si>
  <si>
    <t xml:space="preserve"> (פ/4002/25)</t>
  </si>
  <si>
    <t xml:space="preserve">הצעת חוק הרשויות המקומיות (גמול השתתפות בישיבות והחזר הוצאות לחברי מועצה), התשפ"ד-2023</t>
  </si>
  <si>
    <t xml:space="preserve"> (פ/4001/25)</t>
  </si>
  <si>
    <t xml:space="preserve">הצעת חוק-יסוד: הממשלה (תיקון - חובת מינוי ממלא מקום ראש הממשלה) </t>
  </si>
  <si>
    <t xml:space="preserve"> (פ/4000/25)</t>
  </si>
  <si>
    <t xml:space="preserve">הצעת חוק לתיקון פקודת המכס (איסור השמדת טובין חבי מכס), התשפ"ד-2023</t>
  </si>
  <si>
    <t xml:space="preserve"> (פ/3999/25)</t>
  </si>
  <si>
    <t xml:space="preserve">הצעת חוק לתיקון פקודת מס הכנסה (הגדלת מספר התושבים ביישוב מוטב), התשפ"ד-2023</t>
  </si>
  <si>
    <t xml:space="preserve"> (פ/3998/25)</t>
  </si>
  <si>
    <t xml:space="preserve">הצעת חוק שוברים להשלמת לימודי בסיס בחינוך הבלתי פורמלי, התשפ"ד-2023</t>
  </si>
  <si>
    <t xml:space="preserve"> (פ/3997/25)</t>
  </si>
  <si>
    <t xml:space="preserve">הצעת חוק הסכמים קיבוציים (תיקון - אי-תחולה על עובד זר בענף החקלאות), התשפ"ד-2023</t>
  </si>
  <si>
    <t xml:space="preserve"> (פ/3996/25)</t>
  </si>
  <si>
    <t xml:space="preserve">הצעת חוק לתיקון פקודת מס הכנסה (הארכת הפטור ממס עבור נכה שנקבעה לו נכות עקב מחלת הסרטן), התשפ"ד-2023</t>
  </si>
  <si>
    <t xml:space="preserve"> (פ/3995/25)</t>
  </si>
  <si>
    <t xml:space="preserve">הצעת חוק שילוב פעוטות עם צורך במענים ייחודיים במעונות יום, התשפ"ד-2023</t>
  </si>
  <si>
    <t xml:space="preserve"> (פ/3994/25)</t>
  </si>
  <si>
    <t xml:space="preserve">הצעת חוק קידום התחרות בענף המזון (תיקון - החלת החוק על ענף מוצרי הצריכה), התשפ"ד-2023</t>
  </si>
  <si>
    <t xml:space="preserve"> (פ/3993/25)</t>
  </si>
  <si>
    <t xml:space="preserve">הצעת חוק מעונות יום שיקומיים (תיקון - פעוטות עם צרכים רפואיים וחלופה ביתית), התשפ"ד-2023</t>
  </si>
  <si>
    <t xml:space="preserve"> (פ/3992/25)</t>
  </si>
  <si>
    <t xml:space="preserve">הצעת חוק נפגעי תאונות דרכים (סיוע לבני משפחה) (תיקון - הרחבת הסיוע), התשפ"ד-2023</t>
  </si>
  <si>
    <t xml:space="preserve"> (פ/3991/25)</t>
  </si>
  <si>
    <t xml:space="preserve">הצעת חוק לצמצום רגולציה ושעורי אגרות לעסקים קטנים, התשפ"ד-2023</t>
  </si>
  <si>
    <t xml:space="preserve"> (פ/3990/25)</t>
  </si>
  <si>
    <t xml:space="preserve">הצעת חוק לתיקון פקודת בריאות העם (העדפות מתן רישיון למכשור רפואי בפריפריה), התשפ"ד-2023</t>
  </si>
  <si>
    <t xml:space="preserve"> (פ/3989/25)</t>
  </si>
  <si>
    <t xml:space="preserve"> (פ/3988/25)</t>
  </si>
  <si>
    <t xml:space="preserve">הצעת חוק יום לציון זכרם של חללי ונפגעי יהדות התפוצות על רקע אנטישמי, התשפ"ד-2023</t>
  </si>
  <si>
    <t xml:space="preserve"> (פ/3987/25)</t>
  </si>
  <si>
    <t xml:space="preserve">הצעת חוק חינוך ממלכתי (תיקון - סמכויות המועצה לחינוך ממלכתי דתי), התשפ"ד-2023</t>
  </si>
  <si>
    <t xml:space="preserve"> (פ/3985/25)</t>
  </si>
  <si>
    <t xml:space="preserve">הצעת חוק הרשות לוועדות רפואיות, התשפ"ד-2023</t>
  </si>
  <si>
    <t xml:space="preserve"> (פ/3984/25)</t>
  </si>
  <si>
    <t xml:space="preserve">הצעת חוק העברת מידע בין רשויות, התשפ"ד-2023</t>
  </si>
  <si>
    <t xml:space="preserve"> (פ/3983/25)</t>
  </si>
  <si>
    <t xml:space="preserve">הצעת חוק הגנת הצרכן (תיקון - מענה אנושי בשירות טלפוני לאזרח ותיק), התשפ"ד-2023</t>
  </si>
  <si>
    <t xml:space="preserve"> (פ/3982/25)</t>
  </si>
  <si>
    <t xml:space="preserve">הצעת חוק הכניסה לישראל (הוראת שעה), התשפ"ד-2023</t>
  </si>
  <si>
    <t xml:space="preserve"> (פ/3981/25)</t>
  </si>
  <si>
    <t xml:space="preserve">הצעת חוק הבחירות לכנסת (תיקון - שינוי מבנה פתק ההצבעה), התשפ"ד-2023</t>
  </si>
  <si>
    <t xml:space="preserve"> (פ/3980/25)</t>
  </si>
  <si>
    <t xml:space="preserve">הצעת חוק ביטוח בריאות ממלכתי (תיקון - הפחתה בדמי ביטוח בריאות לתושבי הפריפריה), התשפ"ד-2023</t>
  </si>
  <si>
    <t xml:space="preserve"> (פ/3979/25)</t>
  </si>
  <si>
    <t xml:space="preserve"> (פ/3978/25)</t>
  </si>
  <si>
    <t xml:space="preserve">הצעת חוק העונשין (תיקון - איסור הנפת דגל של ישות עוינת), התשפ"ד-2023</t>
  </si>
  <si>
    <t xml:space="preserve"> (פ/3976/25)</t>
  </si>
  <si>
    <t xml:space="preserve"> (פ/3975/25)</t>
  </si>
  <si>
    <t xml:space="preserve">הצעת חוק לתיקון פקודת הסמים המסוכנים (שימוש עצמי בקנבוס), התשפ"ד-2023</t>
  </si>
  <si>
    <t xml:space="preserve"> (פ/3974/25)</t>
  </si>
  <si>
    <t xml:space="preserve">הצעת חוק בתי דין רבניים (קיום פסקי דין של גירושין) (תיקון - הגבלת שימוש בכרטיסי אשראי לסרבני גט), התשפ"ד-2023</t>
  </si>
  <si>
    <t xml:space="preserve"> (פ/3973/25)</t>
  </si>
  <si>
    <t xml:space="preserve"> (פ/3971/25)</t>
  </si>
  <si>
    <t xml:space="preserve">הצעת חוק הביטוח הלאומי (תיקון - עבודה במסגרת לאנשים עם מוגבלויות כעבודה מועדפת), התשפ"ד-2023</t>
  </si>
  <si>
    <t xml:space="preserve"> (פ/3970/25)</t>
  </si>
  <si>
    <t xml:space="preserve">הצעת חוק לתיקון פקודת התעבורה (חובת נשיאת לוחית זיהוי באופניים ממונעים ובקורקינט ממונע), התשפ"ד-2023</t>
  </si>
  <si>
    <t xml:space="preserve"> (פ/3969/25)</t>
  </si>
  <si>
    <t xml:space="preserve">הצעת חוק הרשויות המקומיות (התאמת תקציב הרווחה), התשפ"ד-2023</t>
  </si>
  <si>
    <t xml:space="preserve"> (פ/3968/25)</t>
  </si>
  <si>
    <t xml:space="preserve">הצעת חוק העונשין (תיקון - גזענות נגד קבוצה דתית), התשפ"ד-2023</t>
  </si>
  <si>
    <t xml:space="preserve"> (פ/3967/25)</t>
  </si>
  <si>
    <t xml:space="preserve">הצעת חוק הגנת הצרכן (תיקון - הגבלות על מכירה מיוחדת), התשפ"ד-2023</t>
  </si>
  <si>
    <t xml:space="preserve"> (פ/3966/25)</t>
  </si>
  <si>
    <t xml:space="preserve">הצעת חוק הביטוח הלאומי (תיקון - מסלול ברירת מחדל בהפקדות לחיסכון ארוך טווח לילד), התשפ"ד-2023</t>
  </si>
  <si>
    <t xml:space="preserve"> (פ/3965/25)</t>
  </si>
  <si>
    <t xml:space="preserve">הצעת חוק הביטוח הלאומי (תיקון - ביטול דרישה לחתימת הורים כתנאי למשיכת כספי החיסכון), התשפ"ד-2023</t>
  </si>
  <si>
    <t xml:space="preserve"> (פ/3964/25)</t>
  </si>
  <si>
    <t xml:space="preserve">הצעת חוק רשות מקרקעי ישראל (תיקון - ייצוג הולם לאוכלוסייה החרדית במועצת הרשות), התשפ"ד-2023</t>
  </si>
  <si>
    <t xml:space="preserve"> (פ/3962/25)</t>
  </si>
  <si>
    <t xml:space="preserve">הצעת חוק בתי המשפט (תיקון - נציגי הכנסת בוועדה לבחירת שופטים), התשפ"ד-2023</t>
  </si>
  <si>
    <t xml:space="preserve"> (פ/3960/25)</t>
  </si>
  <si>
    <t xml:space="preserve">הצעת חוק לצמצום רגולציה ושיעורי אגרות לעסקים קטנים, התשפ"ד-2023</t>
  </si>
  <si>
    <t xml:space="preserve"> (פ/3958/25)</t>
  </si>
  <si>
    <t xml:space="preserve"> (פ/3956/25)</t>
  </si>
  <si>
    <t xml:space="preserve">הצעת חוק להקמת קרן למוצרי מזון בריא, התשפ''ד-2023</t>
  </si>
  <si>
    <t xml:space="preserve"> (פ/3955/25)</t>
  </si>
  <si>
    <t xml:space="preserve">הצעת חוק לתיקון פקודת מס הכנסה (שווי השימוש ברכב או ברדיו טלפון נייד), התשפ"ד-2023 </t>
  </si>
  <si>
    <t xml:space="preserve"> (פ/3954/25)</t>
  </si>
  <si>
    <t xml:space="preserve">הצעת חוק משק החשמל (תיקון - תשלומי חשמל מופחתים בשל ילד עם מוגבלות), התשפ"ד-2023</t>
  </si>
  <si>
    <t xml:space="preserve"> (פ/3953/25)</t>
  </si>
  <si>
    <t xml:space="preserve">הצעת חוק הסדרת העיסוק בייצוג על ידי יועצי מס (תיקון - היתר לבעל רישיון פנסיוני לייצג לפני רשות מס), התשפ"ד-2023</t>
  </si>
  <si>
    <t xml:space="preserve"> (פ/3952/25)</t>
  </si>
  <si>
    <t xml:space="preserve"> (פ/3950/25)</t>
  </si>
  <si>
    <t xml:space="preserve">הצעת חוק מאבק בנטילת דמי חסות (אכיפה וענישה) (תיקוני חקיקה והוראת שעה), התשפ"ד-2023</t>
  </si>
  <si>
    <t xml:space="preserve"> (פ/3949/25)</t>
  </si>
  <si>
    <t xml:space="preserve">הצעת חוק חניה לנכים (תיקון - זכאות תג נכה לצמיתות), התשפ"ד-2023</t>
  </si>
  <si>
    <t xml:space="preserve"> (פ/3948/25)</t>
  </si>
  <si>
    <t xml:space="preserve">הצעת חוק לתיקון פקודת התעבורה (מחירי חניה ברשויות מקומיות), התשפ"ד-2023</t>
  </si>
  <si>
    <t xml:space="preserve"> (פ/3947/25)</t>
  </si>
  <si>
    <t xml:space="preserve">הצעת חוק סיוע לצעירים חסרי עורף משפחתי, התשפ"ד-2023</t>
  </si>
  <si>
    <t xml:space="preserve"> (פ/3946/25)</t>
  </si>
  <si>
    <t xml:space="preserve"> (פ/3944/25)</t>
  </si>
  <si>
    <t xml:space="preserve">הצעת חוק להקמת אוניברסיטה בעיר אשדוד, התשפ"ד-2023</t>
  </si>
  <si>
    <t xml:space="preserve"> (פ/3943/25)</t>
  </si>
  <si>
    <t xml:space="preserve">הצעת חוק העונשין (תיקון - העלבת חייל והפרעה לחייל במילוי תפקידו), התשפ"ד-2023</t>
  </si>
  <si>
    <t xml:space="preserve"> (פ/3942/25)</t>
  </si>
  <si>
    <t xml:space="preserve">הצעת חוק לתיקון פקודת התעבורה (פיצוי כספי בגין איחור אוטובוס), התשפ"ד-2023</t>
  </si>
  <si>
    <t xml:space="preserve"> (פ/3941/25)</t>
  </si>
  <si>
    <t xml:space="preserve">הצעת חוק שוויון זכויות לאנשים עם מוגבלות (תיקון - חובת נגישות באוטובוסים בין-עירוניים), התשפ"ד-2023</t>
  </si>
  <si>
    <t xml:space="preserve"> (פ/3940/25)</t>
  </si>
  <si>
    <t xml:space="preserve">הצעת חוק למניעת הטרדה מינית (תיקון - חובת הדרכה שנתית), התשפ"ד-2023</t>
  </si>
  <si>
    <t xml:space="preserve"> (פ/3939/25)</t>
  </si>
  <si>
    <t xml:space="preserve">הצעת חוק הביטוח הלאומי (תיקון - הכרה בפגיעה מינית בעבודה כתאונת עבודה), התשפ"ד-2023</t>
  </si>
  <si>
    <t xml:space="preserve"> (פ/3938/25)</t>
  </si>
  <si>
    <t xml:space="preserve">הצעת חוק הבטחת מסגרת השמה חוץ-ביתית לקטינים נזקקים, התשפ"ד-2023</t>
  </si>
  <si>
    <t xml:space="preserve"> (פ/3937/25)</t>
  </si>
  <si>
    <t xml:space="preserve"> (פ/3936/25)</t>
  </si>
  <si>
    <t xml:space="preserve">הצעת חוק איסור חקירה בדבר עברו המיני של נפגע עבירה (תיקוני חקיקה), התשפ"ד-2023</t>
  </si>
  <si>
    <t xml:space="preserve"> (פ/3935/25)</t>
  </si>
  <si>
    <t xml:space="preserve"> (פ/3934/25)</t>
  </si>
  <si>
    <t xml:space="preserve">הצעת חוק שירותי הסעד (תיקון - איסור התניית מימון שירותי רווחה ברשויות מוחלשות), התשפ"ד-2023</t>
  </si>
  <si>
    <t xml:space="preserve"> (פ/3933/25)</t>
  </si>
  <si>
    <t xml:space="preserve">חוק שחרור על-תנאי ממאסר (תיקון מס' 17 – הוראת שעה) (תיקון מס' 3), התשפ"ד-2023</t>
  </si>
  <si>
    <t xml:space="preserve"> (מ/1641)</t>
  </si>
  <si>
    <t xml:space="preserve">19.09.2023</t>
  </si>
  <si>
    <t xml:space="preserve">נקבעה הארכה להוראת השעה המסדירה את פעילות היחידה לשחרור ממאסרים קצרים, שדנה בבקשות לשחרור מוקדם של אסירים שנגזרו עליהם תקופות מאסר של 3 חודשים עד שנה, עד ליום י"ד בכסלו התשפ"ה (15 בדצמבר 2024).</t>
  </si>
  <si>
    <t xml:space="preserve">הצעת חוק לתיקון פקודת התעבורה (חובת נשיאת לוחית זיהוי באופניים ממונעים ובקורקינט ממונע), התשפ"ג-2023</t>
  </si>
  <si>
    <t xml:space="preserve"> (פ/2948/25)</t>
  </si>
  <si>
    <t xml:space="preserve">05.09.2023</t>
  </si>
  <si>
    <t xml:space="preserve">הצעת חוק לתיקון פקודת התעבורה (חובת נשיאת לוחית זיהוי באופניים ממונעים ובקורקינט ממונע), התשפ"ג-2022</t>
  </si>
  <si>
    <t xml:space="preserve"> (פ/135/25)</t>
  </si>
  <si>
    <t xml:space="preserve">חוק תשלומים לחיילים בשירות סדיר (הגנה על תשלומים) (תיקון מס' 2), התשפ"ג-2023</t>
  </si>
  <si>
    <t xml:space="preserve"> (מ/1524)</t>
  </si>
  <si>
    <t xml:space="preserve">16.08.2023</t>
  </si>
  <si>
    <t xml:space="preserve">חוק זה קובע כי תשלומים שמשולמים על ידי משרד העלייה והקליטה לעולה חדש שהוא חייל, משרת בשירות לאומי-אזרחי, מתנדב בשירות לאומי או מתנדב בשירות קהילתי, יהיו מוגנים מפני העברה, שעבוד או עיקול, למעט אם מדובר בחוב מזונות. תשלומים כאמור יהיו מוגנים כאשר הם בידי משרד העלייה והקליטה וגם ב-30 הימים הראשונים בחשבון הבנק. למשרד העלייה והקליטה נשמרת הזכות לקזז את התשלום המגיע לזכאי כנגד חוב שהוא חייב לאותו משרד. עוד נקבע בחוק זה ששר הביטחון או השר הממונה על השירות האזרחי, לפי העניין, יוכלו לקבוע בתקנות כי תשלומים המשולמים לחיילים, למשרתים בשירות לאומי אזרחי או למתנדבים כאמור, על ידי משרד ממשלתי אחר למטרות קיום, יהיו גם הם מוגנים מפני העברה, שיעבוד או עיקול.</t>
  </si>
  <si>
    <t xml:space="preserve">הצעת חוק לתיקון פקודת העיריות (צדק חלוקתי בכל הרשויות המתוקצבות במדינת ישראל), התשפ"ג-2023</t>
  </si>
  <si>
    <t xml:space="preserve"> (פ/3349/25)</t>
  </si>
  <si>
    <t xml:space="preserve">הצעת חוק לתיקון פקודת העיריות (צדק חלוקתי בכל הרשויות המתוקצבות במדינת ישראל), התשפ"ג-2022</t>
  </si>
  <si>
    <t xml:space="preserve"> (פ/454/25)</t>
  </si>
  <si>
    <t xml:space="preserve">הצעת חוק התכנון והבנייה (תיקון מס' 146), התשפ"ג-2023</t>
  </si>
  <si>
    <t xml:space="preserve"> (מ/1650)</t>
  </si>
  <si>
    <t xml:space="preserve">הצעת חוק ההוצאה לפועל (תיקון מס' 71) (ריבית ודמי פיגורים), התשפ"ב-2022 </t>
  </si>
  <si>
    <t xml:space="preserve">09.08.2023</t>
  </si>
  <si>
    <t xml:space="preserve">חוק הסדרת העיסוק במקצועות הבריאות (תיקון מס' 8), התשפ"ג-2023 </t>
  </si>
  <si>
    <t xml:space="preserve"> (מ/1552)</t>
  </si>
  <si>
    <t xml:space="preserve">30.07.2023</t>
  </si>
  <si>
    <t xml:space="preserve">חוק זה מסדיר במסגרת חוק הסדרת העיסוק במקצועות הבריאות, התשסח-2008 שני מקצועות בריאות חדשים: א. מקצוע הבריאות "עמית רופא" – שמהותו היא ביצוע מגוון של פעולות רפואיות בפיקוח רופא מומחה ולפי הרשאה אישית ממנו, בהתאם להוראות בפקודת הרופאים. החוק קובע את דרישות ההשכלה האקדמית – במקצוע עמית רופא או במקצוע הרפואה בתנאים מסוימים, ההכשרה המעשית והבחינות לשם קבלת תעודת המקצוע, וקובע את ההסדרים למתן ההרשאה האישית ולפיקוח על עבודת עמית הרופא ועוד תנאים בנוגע לפעולת עמית הרופא, וכן קובעת הוראות מעבר לגבי מי שכבר מועסקים היום בישראל כעמיתי רופא. ב. מקצוע הבריאות "דימותן רפואי" - שלגביו נקבעו בחוק התנאים לקבלת תעודת דימותן רפואי, וכן נקבעו פעולות יחודיות לדימותן רפואי, מקרים שבהם פעולות ייחודיות אלה יותרו לגורמים נוספים, והוראות מעבר. החוק גם מאפשר לאחות מוסמכת לתת מרשם אפילו אם זה ניתן לראשונה למטופל ובתנאי שזה בתחום מומחיותה ושלא חלפה שנה מהיום שבו המטופל נבדק על ידי רופא מאותו התחום. שנית, החוק מאפשר גם לעמית רופא לתת מרשם לתרופות ולהשתמש בתרופה במהלך הטיפול. כמו כן תוקנה ההגדרה "מרפאה" שבפקודת בריאות העם כך שתכלול גם מתן שירותים מקוונים או טלפוניים או טיפול בבית החולה, וגם מקום שאינו בית חולים ובו מקבלים נשים ללידה. עוד נקבעו בחוק הוראות לעניין הבטחת טוהר המידות בוועדות המייעצות של מקצועות הבריאות השונים, תקופת הכהונה של חברי הוועדות המיעצות והפסקת הכהונה. </t>
  </si>
  <si>
    <t xml:space="preserve">חוק כלי הירייה (תיקון מס' 24), התשפ"ג-2023</t>
  </si>
  <si>
    <t xml:space="preserve"> (מ/1520)</t>
  </si>
  <si>
    <t xml:space="preserve">החוק קובע כי פעילות ייצור, יצוא, יבוא, אחסנה, הובלה ומסחר בדמויי כלי ירייה יחויבו ברישיון, וכן  כי החזקה ונשיאה של דמויי כלי ירייה ייעשו רק במועדונים שקיבלו רישיון לכך. בנוסף, החזקת דמויי כלי ירייה מחוץ למועדונים, וכן רכישה, הובלה, ייצור, ייצוא, ייבוא ומסחר בהם ללא רישיון לכך יהוו עבירה פלילית. כהוראת שעה לשנה, נקבע כי ניתן לאפשר גם מתן הרשאה להחזקה ונשיאה של דמוי כלי ירייה מחוץ למועדון לצורכי אימונים ותחרויות, במספר מוגבל ובכפוף לתנאים שייקבעו בתקנות. בנוסף, הוסדרו סמכויות הפיקוח של האגף לרישוי כלי ירייה, הכוללות דרישת הזדהות, מסירת ידיעות ומסמכים וסמכות כניסה למקומות, כאשר סמכות כניסה למקומות מגורים טעונה צו מבית המשפט. כמו כן, נקבע כי במקרים חריגים של אירועי בטיחות חמורים, מנהל האגף לרישוי כלי ירייה יהיה רשאי להוציא צו הפסקה מנהלי לבעל רישיון למשך שלושה ימים, או עד לקבלת החלטה בידי הרשות המוסמכת לבטל את הרישיון או להטיל עליו תנאים והגבלות. לבסוף, תוקנו סעיפי העונשין בחוק וכן נוספו סנקציות פליליות בגין ביצוע פעולות בדמוי כלי ירייה ללא רישיון ובגין אי-הודעה למשטרה במקרה של אובדן, גניבה או השמדה של כלי ירייה או דמוי כלי ירייה. </t>
  </si>
  <si>
    <t xml:space="preserve">חוק עבודת הנוער (תיקון מס' 21), התשפ"ג-2023</t>
  </si>
  <si>
    <t xml:space="preserve"> (פ/2046/24)</t>
  </si>
  <si>
    <t xml:space="preserve"> (כ/888)</t>
  </si>
  <si>
    <t xml:space="preserve">הוועדה המיוחדת לזכויות הילד</t>
  </si>
  <si>
    <t xml:space="preserve">החוק קובע שכל העסקה של נער בגילאי 15 עד 18 בתחום הדוגמנות או הצילומים, לרבות בשלבים מוקדמים של ההעסקה כגון תיווך להעסקה ומבחני במה, ייעשו בכפוף לאישור של הנער והורהו או האפוטרופוס. האישור יינתן בכתב בהתאם לטופס מובנה שיפורסם באתר משרד הכלכלה. כמו כן, במקרה של תיווך או העסקה חוזרת אצל אותו מתווך או מעסיק בתוך תקופה של שנה, ההסכמה יכולה להינתן באמצעות מסרון או אמצעי דיגיטלי אחר שהמתווך או המעסיק יוכלו לשמור אותו. כמו כן נקבע שמעסיק הפועל בניגוד לאמור עובר עבירה שדינה קנס או מאסר, ושלהורה או לבן משפחה בגיר אחר יש זכות להיות נוכח בזמן ובמקום שבהם מועסק הנער. </t>
  </si>
  <si>
    <t xml:space="preserve">חוק החמרת ענישה בעבירות מין על רקע לאומני (תיקוני חקיקה), התשפ"ג-2023</t>
  </si>
  <si>
    <t xml:space="preserve"> (פ/715/25)</t>
  </si>
  <si>
    <t xml:space="preserve"> (כ/970)</t>
  </si>
  <si>
    <t xml:space="preserve">החוק מבהיר כי הוראות ההחמרה בענישה בגין מעשה טרור חלות על עבירות מין, וכן מחיל את הוראות ההחמרה בענישה בגין עבירה ממניע גזענות או עוינות כלפי ציבור, כמשמעותה בחוק העונשין, על עבירות הטרדה מינית. בנוסף, בית המשפט רשאי לפסוק כפל הפיצוי הקבוע בחוק בגין עבירות הטרדה מינית שבוצעו ממניע של גזענות או עוינות כלפי ציבור. לצד זאת, נקבעה חובת דיווח שנתית לוועדה לביטחון לאומי של הכנסת אודות מספר כתבי האישום שהוגשו ומספר תיקי החקירה שנפתחו בגין עבירות מין ועבירות הטרדה מינית שבוצעו ממניע של גזענות או עוינות כלפי ציבור, או שהן מעשה טרור.</t>
  </si>
  <si>
    <t xml:space="preserve">חוק הגנת הצרכן (תיקון מס' 66), התשפ"ג-2023</t>
  </si>
  <si>
    <t xml:space="preserve"> (מ/1628)</t>
  </si>
  <si>
    <t xml:space="preserve">התיקון לחוק נחקק על רקע תופעות חוזרות ונשנות של עוקץ ועושק אזרחים ותיקים וצרכנים פגיעים אחרים באמצעות שיטות שיווק אגרסיביות שיש בהן הטעיית הצרכן, השפעה בלתי הוגנת על הצרכן או הפרה אחרת של חוק הגנת הצרכן, התשמ"א-1981. החוק בנוסחו לפני התיקון מסמיך את הממונה על הגנת הצרכן והסחר ההוגן (להלן – הממונה) להטיל עיצום כספי בשל הפרה מהוראות החוק, ואם ההפרה נעשתה בנסיבות מחמירות (שכוללות רק הפרות הנוגעות למספר רב במיוחד של צרכנים), סכום העיצום הכספי יהיה בשיעור פי אחד וחצי מהסכום המקורי שניתן להטיל בשל אותה הפרה. התיקון לחוק מרחיב את ההגדרה של הפרה בנסיבות מחמירות, כך שזו תכלול גם הפרה של הוראה מהוראות החוק המנויה בתוספת השביעית לחוק, שנעשתה כלפי צרכן שהוא אזרח ותיק, עולה חדש, קטין, אדם שניכר כי הוא נתון במצב של חולשה שכלית, נפשית או גופנית ואדם שניכר כי אינו שולט בשפה שבה נקשרה העסקה במידה מספקת לשם התקשרות בעסקה.  התוספת השביעית כוללת הפרות שניתן להטיל בשלהן עיצום כספי בנסיבות מחמירות, בין היתר, הפרות שעניינן הטעייה של צרכן והפרות הנוגעות לביטול עסקה. לפי התיקון לחוק, שר הכלכלה והתעשייה, באישור ועדת הכלכלה של הכנסת, רשאי לשנות בצו את התוספת האמורה. עם זאת, הממונה יהיה רשאי להטיל עיצום כספי בנסיבות מחמירות כאמור רק בהתאם לנהלים שיורה עליהם. נהלים אלו יהיו טעונים אישור של היועץ המשפטי לממשלה ויפורסמו באתר האינטרנט של הרשות להגנת הצרכן ולסחר הוגן. כמו כן, התיקון לחוק מגדיל את סכום העיצום הכספי שניתן להטיל בשל הפעלת השפעה בלתי הוגנת על צרכנים תוך ניצול מוגבלות נפשית, שכלית או גופנית של צרכן או תוך ניצול העובדה שצרכן אינו יודע במידה מספקת את השפה שבה נקשרת העסקה. בהתאם לכך, התיקון לחוק יצר מדרגה חדשה של סכום העיצום – הגבוהה ביותר שניתן להטיל לפי החוק, כך שהסכום לגבי יחיד יעמוד על כ-38,000 ₪ ולגבי תאגיד – כ-69,000 ₪. עוד נקבע כי במסגרת הודעה על כוונת חיוב, אותה מוסר הממונה למפר טרם הטלת עיצום כספי עליו, יפרט הממונה את הנסיבות המחמירות לעניין ההפרה, אם היו. בהמשך לכך, זכות טיעון המוקנית למפר בחוק תחול גם ביחס לטענות בנוגע להתקיימותן של נסיבות מחמירות. </t>
  </si>
  <si>
    <t xml:space="preserve">חוק להסדר ההימורים בספורט (תיקון מס' 15), התשפ"ג-2023</t>
  </si>
  <si>
    <t xml:space="preserve"> (מ/1623)</t>
  </si>
  <si>
    <t xml:space="preserve">החוק כולל תיקונים שמטרתם שיפור תפקוד המועצה להסדר הימורים בספורט, שהיא תאגיד שהוקם בחוק המסדיר חלק משמעותי מההימורים החוקיים במדינה, ובכלל זה עדכון ושיפור הסדרי המשטר התאגידי בשים לב לאופי פעילות התאגיד, כגון: שינוי הרכב המועצה הציבורית, הרחבתה, דרכי מינוי, תנאי כשירות וכהונה והוראות בענין גמול והוצאות, קציבת מינוי וכהונה של חברי המועצה והמנכ"ל, הסדרי ניגוד עניינים וסמכות לבדיקת עבר פלילי ומשמעתי של חברי מועצה, עובדי התאגיד והזכניים שלו. בנוסף, החוק מגדיל את הסכום המרבי לעריכת הסכמי שיווק ותפעול של התאגיד עם גופי ספורט מ-46 מיליון ל-70 מיליון ש"ח וכן מאפשר הגדלת התשלומים לזוכים על חשבון כספים המועברים לאוצר המדינה, וזאת לתקופה של 5 שנים בלבד. לבסוף, החוק מגביר ומדגיש את האחריות החברתית של התאגיד - הן בעיגון המחויבות לפעול לפי תקנים בינלאומיים של הימורים באחריות, בחובת ייעוד כספים למטרות חברתיות, בגיוון הרכב המועצה של התאגיד כך שתכלול נציגי ממשלה ונציגי ציבור העוסקים בטיפול בהשפעות חברתיות של הימורים, ובבחינת שיקולים חברתיים ומניעתיים בעת אישור ותיקון תוכניות הימורים.</t>
  </si>
  <si>
    <t xml:space="preserve">חוק העונשין (תיקון מס' 146 והוראת שעה), התשפ"ג–2023</t>
  </si>
  <si>
    <t xml:space="preserve"> (פ/2156/25)</t>
  </si>
  <si>
    <t xml:space="preserve"> (כ/965)</t>
  </si>
  <si>
    <t xml:space="preserve">נקבעה עבירה של גביית דמי חסות בשתי דרגות חומרה. האחת, עניינה בגביית דמי חסות תוך ניצול מצוקה ללא איום. במצב זה נקבעה חזקת מודעות של העבריין הגובה דמי חסות באופן מתמשך, למצוקתו של הקורבן, אם התבצעו לכאורה עבירות גוף או רכוש בסביבתו של הקורבן. דרגת החומרה השנייה, עניינה בגביית דמי חסות תוך שימוש באיום. בנוסף, נקבעו כהוראת שעה ל-5 שנים – עונש מינימום על העבירה החדשה וכן הסדרי חילוט על ידי בית-המשפט בהליך פלילי ובהליך אזרחי ללא הרשעה. על יישום הוראות סעיפים אלה, נקבעה חובת דיווח ל-10 שנים.</t>
  </si>
  <si>
    <t xml:space="preserve">חוק למניעת העסקה במוסדות מסוימים של מי שהורשע באלימות כלפי ילדים וחסרי ישע, התשפ"ג-2023</t>
  </si>
  <si>
    <t xml:space="preserve"> (פ/935/25)</t>
  </si>
  <si>
    <t xml:space="preserve"> (כ/960)</t>
  </si>
  <si>
    <t xml:space="preserve">החוק קובע איסור עיסוק והעסקה במוסדות מסוימים על בגיר שהורשע בעבירות אלימות והתעללות כלפי ילדים עד גיל 6 וחסרי ישע. תקופת האיסור תעמוד על 10 או 18 שנים בהתאם לחומרת העבירה בה הורשע. לשם אכיפת האיסור, החוק קובע חובה על מעסיק לקבל אישור משטרה כתנאי להעסקה במוסדות כאמור. כן תוקם ועדת מומחים שתוסמך לפטור מהאיסור אדם ששוכנעה כי אינו מהווה סכנה לילדים או לחסרי ישע. בנוסף, החוק כולל הסדר המאפשר להורה של ילד או לאחראי על חסר ישע, לבקש הצגת אישור משטרה לגבי מועסקים במוסדות כאמור, וכן לגבי מטפלת המועסקת בבית ההורה או האחראי. החוק קובע הסדר ייחודי לעניין מעסיק שהוא רשות מקומית וכן שמשרד החינוך מוחרג מהסדר זה. לצד זאת, החוק קובע איסור על העברת המידע או על כל שימוש אחר באישור המשטרה. בנוסף, החוק כולל תיקון עקיף לחוק סדר הדין הפלילי (סמכויות אכיפה - מעצרים), התשנ"ו-1996, שלפיו אם הוגש כתב אישום בעבירות אלה, יהיה על בית המשפט לשקול במסגרת תנאי שחרור, קביעת איסור על עיסוק במוסד כאמור, ואם לא קבע איסור כזה - יהיה עליו לנמק זאת. בית משפט שקבע איסור עיסוק יורה למשטרה שלא לתת למשוחרר אישור משטרה. תחילתו של חוק זה שנה מיום פרסומו, וזאת בשל משך הזמן הנדרש להקמת המערכת הממוחשבת במשטרה ולהקמת ועדת המומחים, שתוקם בתוך חצי שנה מיום הפרסום. לעניין מועסקים קיימים, תחילת החוק שנה ו-3 חודשים מיום הפרסום, וזאת כדי לאפשר להם ולמעסיקיהם להיערך. כמו כן, בשל משך הזמן שיידרש לבדיקה ידנית של המשטרה בתיקי עבר, נקבע סייג מיוחד מאחריות פלילית למעסיק שיאפשר במקרה הצורך העסקת עובד למשך 3 חודשים, גם בטרם התקבל אישור משטרה. סייג זה יעמוד בתוקפו למשך 10 שנים. בנוסף, כדי ליידע את הציבור בכלל ואת המעסיקים והמועסקים בפרט, החוק קובע חובת פרסום לציבור בדבר ההסדר החדש בסמוך למועד תחילת החוק ובסמוך להקמת ועדת המומחים. </t>
  </si>
  <si>
    <t xml:space="preserve">חוק התאגיד לפיקוח וטרינרי (תיקוני חקיקה), התשפ"ג-2023</t>
  </si>
  <si>
    <t xml:space="preserve">החוק קובע כי התאגיד לפיקוח וטרינרי יפעל בניהול תקציבו ביעילות, על יסוד חישובים כלכליים כמשק כספים סגור ותוך מזעור עלויות הפיקוח. החוק משנה את סכום האגרה הבסיסי וקובע מנגנון לעדכון שנתי של סכום האגרה הבסיסי – בהתאם לשינוי הממוצע השנתי של השכר הממוצע של עובדי החברות הממשלתיות. החוק קובע כי השר יקבע בתקנות את האגרות שהתאגיד יוכל לגבות בעד הפיקוח הוטרינרי במפעלים השונים ובבתי השחיטה. אגרות אלה והאגרות שהתאגיד גובה בעד פיקוח וטרינרי במפעלי יצוא הבשר וכן בבתי המטבחיים, ייקבעו בתקנות בזיקה לסכום האגרה הבסיסי ותוך הבחנה בין פיקוח בשעות רגילות, שעות לילה ושעות נוספות ובין תפקידי הפיקוח השונים הנדרשים על ידי משרד הבריאות או משרד החקלאות. כמו כן נקבע בחוק כי סכומי אגרות אלה ישולמו בתוספת מע"מ.  נוסף על כך החוק משנה את סכום אגרת פיקוח בשווקים שהתאגיד גובה ומעביר לרשויות המקומיות, וכן קובע כי גם על סכום אגרה זו יתווסף מע"מ, ויחול לגבי חישובה מנגנון העדכון השנתי בהתאמות מסוימות. </t>
  </si>
  <si>
    <t xml:space="preserve">חוק מיסוי תשלומים בתקופת בחירות (תיקון מס' 9 - הוראת שעה), התשפ"ג–2023</t>
  </si>
  <si>
    <t xml:space="preserve"> (פ/3671/25)</t>
  </si>
  <si>
    <t xml:space="preserve"> (כ/973)</t>
  </si>
  <si>
    <t xml:space="preserve">נקבעה הוראת שעה שתחול לתקופה של שנה, שמטרה לאחד את הכלל בין הבחירות לרשויות המקומיות לבין הבחירות לכנסת, לפיו "תקופת הבחירות" לעניין מיסוי תשלומים לעובדים בתקופת בחירות תוגדר כתקופה של 60 ימים המסתיימת ביום ה-14 שלאחר יום הבחירות. עוד נקבע, כי המס המיוחד שמשולם בגין עבודה בתקופת בחירות יופחת מ-25% ל-18%.</t>
  </si>
  <si>
    <t xml:space="preserve">חוק שירות ביטחון (הוראת שעה) (הצבת יוצאי צבא בשירות בתי הסוהר) (תיקון מס' 11), התשפ"ג-2023</t>
  </si>
  <si>
    <t xml:space="preserve"> (מ/1646)</t>
  </si>
  <si>
    <t xml:space="preserve">הוראת השעה המסדירה הצבת חיילים בשירות בתי הסוהר צפויה לפקוע ביום כ"ח באב התשפ"ג (15 באוגוסט 2023). על כן נקבע כי חיילים שהוצבו בשירות בתי הסוהר לפי יום הפקיעה ימשיכו לשרת גם לאחר יום הפקיעה, עד לתום תקופת שירותם או עד ליום ל' בכסלו התשפ"ה (31 בדצמבר 2024), לפי המוקדם מבין השניים.</t>
  </si>
  <si>
    <t xml:space="preserve">חוק שירות אזרחי (תיקון מס' 4), התשפ"ג-2023</t>
  </si>
  <si>
    <t xml:space="preserve"> (מ/1632)</t>
  </si>
  <si>
    <t xml:space="preserve">חוק זה מאריך עד יום 31 באוגוסט 2025 את הוראת המעבר הקבועה בסעיף 112(ד)(1) לחוק שירות אזרחי, התשע"ז-2017 אשר פקעה ב-1 באפריל 2022. הוראת הסעיף שתוקפה מוארך קובעת כי גוף שקיבל הכרה כגוף מוכר ערב יום התחילה של חוק שירות אזרחי לפי תקנות הביטוח הלאומי (בנות בשירות לאומי בהתנדבות), התשס"ב-2002, יראו אותו כגוף שהוכר לפי סעיף 48 לחוק גם אם אינו מקיים את תנאי אותו סעיף. תיקון זה נדרש מכיוון שטרם הושלמה התקנת התקנות לפי סעיף 48 שייקבעו את התנאים להכרה בגוף כגוף מוכר, וזאת על מנת לשמור על רציפות פעילותם של הגופים המוכרים שפועלים כעת ולמנוע פגיעה בזכויות המתנדבים. </t>
  </si>
  <si>
    <t xml:space="preserve">חוק רישוי שירותים ומקצועות בענף הרכב (תיקון מס' 11), התשפ"ג-2023</t>
  </si>
  <si>
    <t xml:space="preserve"> (מ/1642)</t>
  </si>
  <si>
    <t xml:space="preserve">התיקון לחוק מאריך את תוקף צווי הפיקוח וכן שתי הוראות שעה הקבועות בחוק רישוי שירותים ומקצועות בענף הרכב, התשע"ו–2016 (להלן – החוק), כפי שיפורט להלן. לעניין תוקף צווי הפיקוח – החוק מסדיר באופן מקיף תחומים שונים בענף הרכב, ובהם ייבוא רכב, מוסכים ושמאות רכב, ובמסגרתו נקבעו הסדרים עדכניים שנועדו להחליף את צווי הפיקוח – צווים שהותקנו מכוח חוק הפיקוח על מצרכים ושירותים, התשי"ח–1957, שהם חקיקה לשעת חירום, ובהם הוסדרו תחומים אלה עד לחקיקת החוק. נושאים מסוימים מוסדרים בהוראות נוהל שנקבעו לפי צווי הפיקוח. לשם יישומו המלא של החוק יש צורך בהתקנת מספר רב של תקנות, חלקן באישור ועדת הכלכלה של הכנסת. כדי לאפשר לשר התחבורה והבטיחות בדרכים להשלים את התקנתן של כל התקנות הנדרשות, נקבע בחוק כי צווי הפיקוח והוראות הנוהל מכוחם ימשיכו לעמוד בתוקף עד שיותקנו אותן תקנות. התיקון לחוק מאריך בשנה, עד 16 באוגוסט 2024, את התקופה שבה יעמדו בתוקפם צווי הפיקוח לעניין ייצור וייבוא רכב, מוצרי תעבורה, מוסכים ושמאות רכב. בנוסף, התיקון לחוק מאריך עד אותו מועד גם שתי הוראות שעה: הוראת השעה המאפשרת לייבואן זעיר (שהוא יבואן רכב המורשה לייבא עד 20 כלי רכב בשנה) לייבא רכב גם אם טרם חלפו 12 חודשים ממועד ייצורו של הרכב עד מועד רישומו בישראל, וכן הוראת שעה הקובעת כי החובות החלות על יבואן ישיר לטפל בכלי רכב מאותו תוצר שיובאו על ידי יבואנים עקיפים וזעירים, לא יחולו על רכב שאינו מסוג רכב נוסעים או רכב מסחרי. לפי התיקון, שר התחבורה והבטיחות בדרכים רשאי להאריך בצו, באישור ועדת הכלכלה של הכנסת, את תוקף צווי הפיקוח לתקופות נוספות שלא יעלו במצטבר על 6 חודשים, וכן את שתי הוראות השעה כאמור לשתי תקופות נוספות שכל אחת מהן לא תעלה על 6 חודשים, כאשר לעניין הוראת השעה הנוגעת לחובות ייבואן ישיר לגבי כלי רכב שאינם רכב נוסעים או רכב מסחרי (כגון רכב דו-גלגלי), השר יהיה רשאי להאריך את תוקפה רק לעניין סוגי כלי רכב מסוימים כפי שיקבע בצו.</t>
  </si>
  <si>
    <t xml:space="preserve">חוק ביטוח בריאות ממלכתי (תיקון מס' 67), התשפ"ג–2023</t>
  </si>
  <si>
    <t xml:space="preserve"> (פ/621/24)</t>
  </si>
  <si>
    <t xml:space="preserve"> (כ/924)</t>
  </si>
  <si>
    <t xml:space="preserve">חוק זה מרחיב את הזכאות לפי חוק ביטוח בריאות ממלכתי, התשנ"ד-1994 להחזר דמי נסיעה בניידת טיפול נמרץ או באמבולנס כך שיינתן החזר מלא  בעד הוצאות הסעה לבית חולים בניידת טיפול נמרץ או באמבולנס כשהמבוטח שהוסע נפטר בטרם אושפז, - אך לא יותר מסכום האגרה הקבוע לנסיעה באמבולנס או בניידת טיפול נמרץ של מד"א. כמו כן  נקבע כי מבוטח שמלאו לו 80 שנים והוא זכאי לגמלת סיעוד ברמה 5 או ברמה 6 לפי חוק הביטוח הלאומי וזכאי גם לגמלת הבטחת הכנסה, יהיה זכאי להחזר של 50% מסכום ההוצאה ששילם, בעד הוצאות הנסיעה לבית החולים בניידת טיפול נמרץ או באמבולנס.</t>
  </si>
  <si>
    <t xml:space="preserve">חוק הנכים (תגמולים ושיקום) (תיקון מס' 32), התשפ"ג-2023</t>
  </si>
  <si>
    <t xml:space="preserve"> (מ/1574)</t>
  </si>
  <si>
    <t xml:space="preserve">עניינו של החוק עיגון והרחבה של זכויות נכי צה"ל. בחוק עוגנו זכאויות שונות בתחום הדיור והוקמה ועדה מייעצת, שבהתאם להמלצתה מוסמך קצין תגמולים לאשר סיוע בדיור שלא לפי כללים הרגילים.  בתחום הניידות - עוגנה הזכאות לסיוע ברכישת רכב רפואי ולהחלפתו מדי שלוש וחצי שנים. אם הותקנו ברכב אבזרי עזר שערכם עולה על 50% מעלות הרכב, החלפת הרכב תהיה כל חמש שנים. הסיוע יינתן בהתאם לסכומים המפורטים בחוק. כמו כן עוגנה הזכאות לרכב רפואי בבעלות המדינה והיא הורחבה לכלל הנכים בעלי דרגת נכות מיוחדת. כדי למנוע שחיקה של הסכומים הם הוצמדו למדד המכוניות החדשות. נוסף על כך עוגנה הזכאות לדמי ניידות והם הוצמדו למדד דלק ושמנים לכלי רכב. כמו כן עוגנו זכאויות נוספות בתחום הניידות וביניהן: סיוע במימון דמי ביטוח שנתיים, סיוע במימון אגרת רישוי, מימון של אבזרי עזר לרכב וסיוע במימון שיעורי נהיגה ומבחני נהיגה. במסגרת החוק הוקמה גם ועדת חריגים לניידות.  בנושא תגמולי הקיום המשתלמים לנכים - הוספה לחוק הוראת קבע לעניין מבחני הכנסה מקלים בכל הנוגע להכנסה מעבודה. הכנסות שאינן מעבודה או ממשלח יד לא יובאו כלל בחשבון. נקבע מנגנון עדכון אוטומטי לתגמולים פעמיים בשנה לפי ממוצע חצי שנתי של מדד השכר החודשי הממוצע למשרת שכיר בסך כל השירותים הציבוריים. מנגנון זה הוחל גם על תגמולים המשתלמים לפי חוק משפחות חיילים שנספו במערכה.  תיקונים נוספים עניינם ניכוי תשלומים ששולמו ביתר, אופן התשלום של תגמולים וזכאויות נוספות באיחור והגדרת הפרעה בתר-חבלתית – פוסט טראומה. במסגרת החוק תוקן גם חוק התגמולים לנפגעי פעולות איבה והוחלו בו הוראות שונות מחוק הנכים (תגמולים ושיקום).  </t>
  </si>
  <si>
    <t xml:space="preserve"> (פ/3932/25)</t>
  </si>
  <si>
    <t xml:space="preserve">26.07.2023</t>
  </si>
  <si>
    <t xml:space="preserve">הצעת חוק סדר הדין הפלילי (סמכויות אכיפה - מעצרים) (תיקון - סייג לקביעת קצין משטרה את תנאי השחרור ממעצר המגבילים את זכות ההפגנה), התשפ"ג-2023</t>
  </si>
  <si>
    <t xml:space="preserve"> (פ/3931/25)</t>
  </si>
  <si>
    <t xml:space="preserve">הצעת חוק סדר הדין הפלילי (חקירת חשודים) (תיקון - נוכחות עורך דין בחקירת חשוד בעבירות פשע), התשפ"ג-2023</t>
  </si>
  <si>
    <t xml:space="preserve"> (פ/3929/25)</t>
  </si>
  <si>
    <t xml:space="preserve">הצעת חוק לתיקון פקודת בריאות העם (העדפות מתן רישיון למכשור רפואי בפריפריה), התשפ"ג-2023</t>
  </si>
  <si>
    <t xml:space="preserve"> (פ/3928/25)</t>
  </si>
  <si>
    <t xml:space="preserve">הצעת חוק זכויות נפגעי ונפגעות עבירת מין או אלימות במשפחה בהליך אזרחי, התשפ"ג-2023</t>
  </si>
  <si>
    <t xml:space="preserve"> (פ/3927/25)</t>
  </si>
  <si>
    <t xml:space="preserve">הצעת חוק זכויות מבצעים ומשדרים (תיקון - הרחבת היקף הזכויות), התשפ"ג-2023</t>
  </si>
  <si>
    <t xml:space="preserve"> (פ/3926/25)</t>
  </si>
  <si>
    <t xml:space="preserve">הצעת חוק הכשרות לאנשי מקצוע בנושא זיהוי ודיווח על התעללות בילדים, התשפ"ג-2023</t>
  </si>
  <si>
    <t xml:space="preserve"> (פ/3925/25)</t>
  </si>
  <si>
    <t xml:space="preserve"> (פ/3924/25)</t>
  </si>
  <si>
    <t xml:space="preserve">הצעת חוק יישוב סכסוכי עבודה (תיקון - אחריות ארגוני עובדים ומעבידים לשביתות בלתי מוגנות), התשפ"ג-2023</t>
  </si>
  <si>
    <t xml:space="preserve"> (פ/3922/25)</t>
  </si>
  <si>
    <t xml:space="preserve">הצעת חוק לתיקון פקודת בריאות העם (חובת הקצאת מקום לתפילת מוסלמים בבתי חולים), התשפ"ג-2023</t>
  </si>
  <si>
    <t xml:space="preserve"> (פ/3921/25)</t>
  </si>
  <si>
    <t xml:space="preserve">הצעת חוק לתיקון פקודת מס הכנסה (ניכוי סכומים שהוצאו לצורך טיפול בילד), התשפ"ג-2023</t>
  </si>
  <si>
    <t xml:space="preserve"> (פ/3920/25)</t>
  </si>
  <si>
    <t xml:space="preserve">הצעת חוק ביטוח בריאות ממלכתי (תיקון - בחירת נותן שירותים על ידי מבוטח), התשפ"ג-2023</t>
  </si>
  <si>
    <t xml:space="preserve"> (פ/3919/25)</t>
  </si>
  <si>
    <t xml:space="preserve">הצעת חוק לתיקון פקודת התעבורה (איסור שימוש במצלמות ניידות לאכיפת עבירות חניה), התשפ"ג-2023</t>
  </si>
  <si>
    <t xml:space="preserve"> (פ/3918/25)</t>
  </si>
  <si>
    <t xml:space="preserve">הצעת חוק לתיקון פקודת בריאות העם (שינוי הוראת התקנת מצלמות לשם הגנה על מאושפזים בבית חולים גריאטרי), התשפ"ג-2023</t>
  </si>
  <si>
    <t xml:space="preserve"> (פ/3916/25)</t>
  </si>
  <si>
    <t xml:space="preserve">הצעת חוק הביטוח הלאומי (תיקון - קצבת ילדים כפולה בלידת תאומים או יותר), התשפ"ג-2023</t>
  </si>
  <si>
    <t xml:space="preserve"> (פ/3915/25)</t>
  </si>
  <si>
    <t xml:space="preserve">הצעת חוק הביטוח הלאומי (תיקון - תשלום למי שסיפק מצרכים חיוניים), התשפ"ג-2023</t>
  </si>
  <si>
    <t xml:space="preserve"> (פ/3914/25)</t>
  </si>
  <si>
    <t xml:space="preserve">הצעת חוק דיווח לכנסת על תלונות וטיפול בהטרדות מיניות במשטרת ישראל, בשירות בתי הסוהר, בצבא ההגנה לישראל והטיפול בהן (תיקוני חקיקה), התשפ"ג-2023</t>
  </si>
  <si>
    <t xml:space="preserve"> (פ/3913/25)</t>
  </si>
  <si>
    <t xml:space="preserve">הצעת חוק הגנת השכר (תיקון - התיישנות), התשפ"ג-2023</t>
  </si>
  <si>
    <t xml:space="preserve"> (פ/3912/25)</t>
  </si>
  <si>
    <t xml:space="preserve">הצעת חוק נפגעי תאונות דרכים (סיוע לבני משפחה) (תיקון - הרחבת הסיוע), התשפ"ג-2023</t>
  </si>
  <si>
    <t xml:space="preserve"> (פ/3910/25)</t>
  </si>
  <si>
    <t xml:space="preserve">הצעת חוק האזרחים הוותיקים (תיקון - הנחה ברכישת אמצעי לזיהוי מצב חירום רפואי), התשפ"ג-2023</t>
  </si>
  <si>
    <t xml:space="preserve"> (פ/3909/25)</t>
  </si>
  <si>
    <t xml:space="preserve"> (פ/3908/25)</t>
  </si>
  <si>
    <t xml:space="preserve">הצעת חוק לתיקון פקודת התעבורה (רישום רכב), התשפ"ג-2023</t>
  </si>
  <si>
    <t xml:space="preserve"> (פ/3907/25)</t>
  </si>
  <si>
    <t xml:space="preserve">הצעת חוק בטיחות בטיולים ובפעילויות חוץ של מסגרות לבוגרי תיכון לפני שירות (תיקוני חקיקה), התשפ"ג-2023</t>
  </si>
  <si>
    <t xml:space="preserve"> (פ/3906/25)</t>
  </si>
  <si>
    <t xml:space="preserve">הצעת חוק הביטוח הלאומי (תיקון - ביטול מעמד עקרת בית), התשפ"ג-2023</t>
  </si>
  <si>
    <t xml:space="preserve"> (פ/3905/25)</t>
  </si>
  <si>
    <t xml:space="preserve">הצעת חוק הפיקוח על שירותים פיננסיים (ביטוח) (תיקון - ביטוח חיים עם מרכיב חיסכון שלא אושר כקופת גמל), התשפ"ג-2023</t>
  </si>
  <si>
    <t xml:space="preserve"> (פ/3904/25)</t>
  </si>
  <si>
    <t xml:space="preserve">הצעת חוק דמי מחלה (היעדרות בשל מחלת ילד) (תיקון - היעדרות בעקבות פגיעה בעבירת מין או אלימות חמורה), התשפ"ג-2023</t>
  </si>
  <si>
    <t xml:space="preserve"> (פ/3902/25)</t>
  </si>
  <si>
    <t xml:space="preserve">הצעת חוק ביטוח בריאות ממלכתי (תיקון - קדימות בתור לטיפול או שירות רפואי לאדם עם מוגבלות), התשפ"ג-2023</t>
  </si>
  <si>
    <t xml:space="preserve"> (פ/3901/25)</t>
  </si>
  <si>
    <t xml:space="preserve">הצעת חוק הביטוח הלאומי (תיקון - ביטוח שאירים לאלמן), התשפ"ג-2023</t>
  </si>
  <si>
    <t xml:space="preserve"> (פ/3900/25)</t>
  </si>
  <si>
    <t xml:space="preserve">הצעת חוק מס ערך מוסף (תיקון - מס בשיעור אפס על תרופות), התשפ"ג-2023</t>
  </si>
  <si>
    <t xml:space="preserve"> (פ/3898/25)</t>
  </si>
  <si>
    <t xml:space="preserve">הצעת חוק הסדרת העיסוק בייצוג על ידי יועצי מס (תיקון - היתר ליועץ פנסיוני לייצג לפני רשות מס), התשפ"ג-2023</t>
  </si>
  <si>
    <t xml:space="preserve"> (פ/3897/25)</t>
  </si>
  <si>
    <t xml:space="preserve">הצעת חוק אימות חתימה על מסמכי עמיתים (תיקוני חקיקה), התשפ"ג-2023</t>
  </si>
  <si>
    <t xml:space="preserve"> (פ/3896/25)</t>
  </si>
  <si>
    <t xml:space="preserve">הצעת חוק הפיקוח על שירותים פיננסיים (קופות גמל) (תיקון - משיכת כספים בסכום צבירה מזערי, בסכום חד-פעמי שלא בדרך של היוון קצבה), התשפ"ג-2023</t>
  </si>
  <si>
    <t xml:space="preserve"> (פ/3895/25)</t>
  </si>
  <si>
    <t xml:space="preserve">הצעת חוק הפיקוח על שירותים פיננסיים (ייעוץ, שיווק ומערכת סליקה פנסיוניים) (תיקון - ייעוץ פנסיוני דיגיטלי), התשפ"ג-2023</t>
  </si>
  <si>
    <t xml:space="preserve"> (פ/3894/25)</t>
  </si>
  <si>
    <t xml:space="preserve">הצעת חוק סדר הדין הפלילי (סמכויות אכיפה - מעצרים) (תיקון - מאבק בעיכובי שווא), התשפ"ג-2023</t>
  </si>
  <si>
    <t xml:space="preserve"> (פ/3893/25)</t>
  </si>
  <si>
    <t xml:space="preserve">הצעת חוק הביטוח הלאומי (תיקון - מימון הסעת יולדת באמבולנס), התשפ"ג-2023</t>
  </si>
  <si>
    <t xml:space="preserve"> (פ/3892/25)</t>
  </si>
  <si>
    <t xml:space="preserve">הצעת חוק הביטוח הלאומי (תיקון - פטור מתשלום דמי ביטוח לתלמיד על יסודי), התשפ"ג-2023</t>
  </si>
  <si>
    <t xml:space="preserve"> (פ/3890/25)</t>
  </si>
  <si>
    <t xml:space="preserve">הצעת חוק הביטוח הלאומי (תיקון - השוואת זכויות אלמן ואלמנה), התשפ"ג-2023</t>
  </si>
  <si>
    <t xml:space="preserve"> (פ/3889/25)</t>
  </si>
  <si>
    <t xml:space="preserve">הצעת חוק-יסוד: השפיטה (תיקון - עילת הסבירות)</t>
  </si>
  <si>
    <t xml:space="preserve"> (פ/3888/25)</t>
  </si>
  <si>
    <t xml:space="preserve">הצעת חוק התקנת מצלמות לשם הגנה על פעוטות במעונות יום לפעוטות (תיקון - היתר צפייה בצילומים ללא המתנה לצו שיפוטי), התשפ"ג-2023</t>
  </si>
  <si>
    <t xml:space="preserve"> (פ/3885/25)</t>
  </si>
  <si>
    <t xml:space="preserve">הצעת חוק חינוך ממלכתי (תיקון - סמכויות המועצה לחינוך ממלכתי דתי), התשפ"ג-2023</t>
  </si>
  <si>
    <t xml:space="preserve"> (פ/3884/25)</t>
  </si>
  <si>
    <t xml:space="preserve">הצעת חוק התקשורת (בזק ושידורים) (תיקון - איסור סימון בשלט), התשפ"ג-2023</t>
  </si>
  <si>
    <t xml:space="preserve"> (פ/3882/25)</t>
  </si>
  <si>
    <t xml:space="preserve">הצעת חוק להנצחת חנה סנש (ציון זכרה ופועלה), התשפ"ג-2023</t>
  </si>
  <si>
    <t xml:space="preserve"> (פ/3881/25)</t>
  </si>
  <si>
    <t xml:space="preserve">הצעת חוק טיפול במכורים לסמים קשים ואשפוזם (תיקוני חקיקה), התשפ"ג-2023</t>
  </si>
  <si>
    <t xml:space="preserve"> (פ/3880/25)</t>
  </si>
  <si>
    <t xml:space="preserve">הצעת חוק המועצה לענף הלול (ייצור ושיווק) (תיקון - סימון ביצים), התשפ"ג-2023</t>
  </si>
  <si>
    <t xml:space="preserve"> (פ/3879/25)</t>
  </si>
  <si>
    <t xml:space="preserve">הצעת חוק מבקר הפרקליטות, התשפ"ג-2023 </t>
  </si>
  <si>
    <t xml:space="preserve"> (פ/3878/25)</t>
  </si>
  <si>
    <t xml:space="preserve">הצעת חוק איסור מכירת צעצועים המדמים כלי נשק, התשפ"ג-2023</t>
  </si>
  <si>
    <t xml:space="preserve"> (פ/3876/25)</t>
  </si>
  <si>
    <t xml:space="preserve">הצעת חוק טיפול בחולי נפש (תיקון - תנאי אשפוז הולמים), התשפ"ג-2023</t>
  </si>
  <si>
    <t xml:space="preserve"> (פ/3875/25)</t>
  </si>
  <si>
    <t xml:space="preserve">הצעת חוק הביטוח הלאומי (תיקון - תשלום גמלה בעד תקופה שקדמה להגשת התביעה), התשפ"ג-2023</t>
  </si>
  <si>
    <t xml:space="preserve"> (פ/3874/25)</t>
  </si>
  <si>
    <t xml:space="preserve"> (פ/3873/25)</t>
  </si>
  <si>
    <t xml:space="preserve">הצעת חוק הדגל, הסמל והמנון המדינה (תיקון - שימוש בהמנון המדינה בידי מוסדות להשכלה גבוהה), התשפ"ג-2023</t>
  </si>
  <si>
    <t xml:space="preserve"> (פ/3872/25)</t>
  </si>
  <si>
    <t xml:space="preserve">הצעת חוק הבחירות לכנסת (תיקון - זכות לשכר ביום הבחירות), התשפ"ג-2023</t>
  </si>
  <si>
    <t xml:space="preserve"> (פ/3871/25)</t>
  </si>
  <si>
    <t xml:space="preserve">הצעת חוק הקמת חדרי מיון בשדרות ובקריית שמונה, התשפ"ג-2023</t>
  </si>
  <si>
    <t xml:space="preserve"> (פ/3870/25)</t>
  </si>
  <si>
    <t xml:space="preserve">הצעת חוק הביטוח הלאומי (תיקון - הגדלת הסכום שאינו מובא בחשבון וסכום לקביעת זכאות לנכה), התשפ"ג-2023</t>
  </si>
  <si>
    <t xml:space="preserve"> (פ/3869/25)</t>
  </si>
  <si>
    <t xml:space="preserve">הצעת חוק ההתגוננות האזרחית (תיקון - מרחב מוגן דירתי ביישובים סמוכי גבול), התשפ"ג-2023</t>
  </si>
  <si>
    <t xml:space="preserve"> (פ/3868/25)</t>
  </si>
  <si>
    <t xml:space="preserve"> (פ/3867/25)</t>
  </si>
  <si>
    <t xml:space="preserve">הצעת חוק העונשין (תיקון - גזענות נגד קבוצה דתית), התשפ"ג-2022</t>
  </si>
  <si>
    <t xml:space="preserve"> (פ/3866/25)</t>
  </si>
  <si>
    <t xml:space="preserve">הצעת חוק הביטוח הלאומי (תיקון - גמלת אבל לעצמאים), התשפ"ג-2023</t>
  </si>
  <si>
    <t xml:space="preserve"> (פ/3865/25)</t>
  </si>
  <si>
    <t xml:space="preserve">הצעת חוק העונשין (תיקון - עונש מינימום בעבירת גניבת נשק), התשפ"ג-2023</t>
  </si>
  <si>
    <t xml:space="preserve"> (פ/3864/25)</t>
  </si>
  <si>
    <t xml:space="preserve">הצעת חוק הביטוח הלאומי (תיקון - גמלת אבל), התשפ"ג-2023</t>
  </si>
  <si>
    <t xml:space="preserve"> (פ/3863/25)</t>
  </si>
  <si>
    <t xml:space="preserve">הצעת חוק הלוואות לדיור (תיקון - עדכון זכאות ותנאי הלוואה לדיור), תשפ"ג-2023</t>
  </si>
  <si>
    <t xml:space="preserve"> (פ/3861/25)</t>
  </si>
  <si>
    <t xml:space="preserve">הצעת חוק חכירה הוגנת, התשפ"ג-2023 </t>
  </si>
  <si>
    <t xml:space="preserve"> (פ/3860/25)</t>
  </si>
  <si>
    <t xml:space="preserve">הצעת חוק הסיוע המשפטי (תיקון - סיוע משפטי לנפגעי הונאה ועושק), התשפ"ג-2023</t>
  </si>
  <si>
    <t xml:space="preserve"> (פ/3859/25)</t>
  </si>
  <si>
    <t xml:space="preserve">הצעת חוק העונשין (תיקון - עונש מינימום בעבירות כניסה והתפרצות), התשפ"ג-2023</t>
  </si>
  <si>
    <t xml:space="preserve"> (פ/3858/25)</t>
  </si>
  <si>
    <t xml:space="preserve">הצעת חוק לעידוד הסעות עובדים מאורגנות (תיקוני חקיקה), התשפ"ג-2023</t>
  </si>
  <si>
    <t xml:space="preserve"> (פ/3857/25)</t>
  </si>
  <si>
    <t xml:space="preserve">הצעת חוק העונשין (תיקון - עונש מינימום בעבירות גניבה מרכב), התשפ"ג-2023</t>
  </si>
  <si>
    <t xml:space="preserve"> (פ/3856/25)</t>
  </si>
  <si>
    <t xml:space="preserve">הצעת חוק תגמול ספורטאים בעלי דירוג עולמי, התשפ"ג-2023</t>
  </si>
  <si>
    <t xml:space="preserve"> (פ/3855/25)</t>
  </si>
  <si>
    <t xml:space="preserve">הצעת חוק ההוצאה לפועל (תיקון - החרגת עיקול ביטוח רפואי בידי צד שלישי), התשפ"ג-2023</t>
  </si>
  <si>
    <t xml:space="preserve"> (פ/3854/25)</t>
  </si>
  <si>
    <t xml:space="preserve">הצעת חוק הלוואות לדיור (תיקון - מניעת מגבלה על שיעור המימון מבנק), התשפ"ג-2023</t>
  </si>
  <si>
    <t xml:space="preserve"> (פ/3853/25)</t>
  </si>
  <si>
    <t xml:space="preserve">הצעת חוק לתיקון פקודת סדרי השלטון והמשפט (חקיקה באזור באמצעות צו), התשפ"ג-2023</t>
  </si>
  <si>
    <t xml:space="preserve"> (פ/3852/25)</t>
  </si>
  <si>
    <t xml:space="preserve">הצעת חוק העונשין (תיקון - עונש מינימום על עבירת אונס), התשפ"ג-2023</t>
  </si>
  <si>
    <t xml:space="preserve"> (פ/3851/25)</t>
  </si>
  <si>
    <t xml:space="preserve">הצעת חוק זכויות החולה (תיקון - הסכמה מדעת של קטין), התשפ"ג-2023</t>
  </si>
  <si>
    <t xml:space="preserve"> (פ/3850/25)</t>
  </si>
  <si>
    <t xml:space="preserve">הצעת חוק למניעת הטרדה מינית (תיקון - הרחבת תחולה על עובדים עצמאים, מתנדבים ועובדי כלכלת הפלטפורמה), התשפ"ג-2023</t>
  </si>
  <si>
    <t xml:space="preserve"> (פ/3848/25)</t>
  </si>
  <si>
    <t xml:space="preserve">הצעת חוק העונשין (תיקון - עונש מינימום על תקיפת שוטר), התשפ"ג-2023 </t>
  </si>
  <si>
    <t xml:space="preserve"> (פ/3847/25)</t>
  </si>
  <si>
    <t xml:space="preserve">הצעת חוק מגן דוד אדום (תיקון - פריסת ניידות טיפול נמרץ ברחבי המדינה), התשפ"ג-2023 </t>
  </si>
  <si>
    <t xml:space="preserve"> (פ/3845/25)</t>
  </si>
  <si>
    <t xml:space="preserve">הצעת חוק הארכת תקופת צינון למשרתים במערכת הביטחון (תיקוני חקיקה), התשפ"ג-2023</t>
  </si>
  <si>
    <t xml:space="preserve"> (פ/3844/25)</t>
  </si>
  <si>
    <t xml:space="preserve">הצעת חוק מס ערך מוסף (תיקון - הגדרת עוסק פטור), התשפ"ג-2023</t>
  </si>
  <si>
    <t xml:space="preserve"> (פ/3843/25)</t>
  </si>
  <si>
    <t xml:space="preserve">הצעת חוק הביטוח הלאומי (תיקון - זכאות לקצבת נכות), התשפ"ג-2023</t>
  </si>
  <si>
    <t xml:space="preserve"> (פ/3842/25)</t>
  </si>
  <si>
    <t xml:space="preserve">הצעת חוק המשטרה (סמכויות), התשפ"ג-2023</t>
  </si>
  <si>
    <t xml:space="preserve"> (פ/3841/25)</t>
  </si>
  <si>
    <t xml:space="preserve">הצעת חוק הכרת מדינת ישראל באחריות על הטבח בכפר קאסם, התשפ"ג-2023</t>
  </si>
  <si>
    <t xml:space="preserve"> (פ/3840/25)</t>
  </si>
  <si>
    <t xml:space="preserve">הצעת חוק הביטוח הלאומי (תיקון - הרחבת הזכאות לגמלת ניידות לפי הסכם מכוח סעיף 9), התשפ"ג-2023</t>
  </si>
  <si>
    <t xml:space="preserve"> (פ/3839/25)</t>
  </si>
  <si>
    <t xml:space="preserve">הצעת חוק צער בעלי חיים (הגנה על בעלי חיים) (תיקון - המעמד המשפטי של בעלי חיים), התשפ"ג-2023</t>
  </si>
  <si>
    <t xml:space="preserve"> (פ/3838/25)</t>
  </si>
  <si>
    <t xml:space="preserve">הצעת חוק תפיסת הביטחון הלאומי, התשפ"ג-2023</t>
  </si>
  <si>
    <t xml:space="preserve"> (פ/3836/25)</t>
  </si>
  <si>
    <t xml:space="preserve">הצעת חוק העונשין (תיקון - עונש מינימום על עבירת הפרעה לשוטר), התשפ"ג-2023</t>
  </si>
  <si>
    <t xml:space="preserve"> (פ/3835/25)</t>
  </si>
  <si>
    <t xml:space="preserve">הצעת חוק העונשין (תיקון - עונש מינימום על עבירות ירי בנשק חם), התשפ"ג-2023</t>
  </si>
  <si>
    <t xml:space="preserve"> (פ/3832/25)</t>
  </si>
  <si>
    <t xml:space="preserve">הצעת חוק לתיקון פקודת התעבורה (הגבלת תשלום למורה נהיגה בעד שימוש ברכבו במבחן נהיגה), התשפ"ג-2023</t>
  </si>
  <si>
    <t xml:space="preserve"> (פ/3831/25)</t>
  </si>
  <si>
    <t xml:space="preserve">הצעת חוק התקנים (תיקון - גוף וולונטרי), התשפ"ג-2023</t>
  </si>
  <si>
    <t xml:space="preserve"> (פ/3830/25)</t>
  </si>
  <si>
    <t xml:space="preserve">הצעת חוק מס רכוש וקרן פיצויים (תיקון - תשלום פיצויים לאזרחים שהתפנו מבתיהם בעת מצב מיוחד בעורף), התשפ"ג-2023</t>
  </si>
  <si>
    <t xml:space="preserve"> (פ/3828/25)</t>
  </si>
  <si>
    <t xml:space="preserve">הצעת חוק העונשין (תיקון - עונש מינימום על עבירת החזקת נשק בלתי חוקי), התשפ"ג-2023</t>
  </si>
  <si>
    <t xml:space="preserve"> (פ/3827/25)</t>
  </si>
  <si>
    <t xml:space="preserve">הצעת חוק ביטוח בריאות ממלכתי (תיקון - העברת תיק רפואי במעבר בין קופות חולים), התשפ"ג-2023</t>
  </si>
  <si>
    <t xml:space="preserve"> (פ/3824/25)</t>
  </si>
  <si>
    <t xml:space="preserve"> (פ/3823/25)</t>
  </si>
  <si>
    <t xml:space="preserve">הצעת חוק הכנסת (תיקון - הגברת פיקוח הכנסת), התשפ"ג-2023</t>
  </si>
  <si>
    <t xml:space="preserve"> (פ/3822/25)</t>
  </si>
  <si>
    <t xml:space="preserve">הצעת חוק הכנסת (תיקון - אמירת אמת והתייצבות בפני ועדות הכנסת), התשפ"ג-2023 </t>
  </si>
  <si>
    <t xml:space="preserve"> (פ/3821/25)</t>
  </si>
  <si>
    <t xml:space="preserve">הצעת חוק חובת המכרזים (תיקון - עידוד עסקים להעסקת בני החברה הערבית והחרדית), התשפ"ג-2023</t>
  </si>
  <si>
    <t xml:space="preserve"> (פ/3820/25)</t>
  </si>
  <si>
    <t xml:space="preserve"> (פ/3819/25)</t>
  </si>
  <si>
    <t xml:space="preserve"> (פ/3817/25)</t>
  </si>
  <si>
    <t xml:space="preserve">הצעת חוק ביטוח בריאות ממלכתי (תיקון - זמן סביר לעניין שירות רפואי), התשפ"ג-2023</t>
  </si>
  <si>
    <t xml:space="preserve"> (פ/3816/25)</t>
  </si>
  <si>
    <t xml:space="preserve"> (פ/3815/25)</t>
  </si>
  <si>
    <t xml:space="preserve">חוק לעידוד תעשייה עתירת ידע (הוראת שעה), התשפ"ג-2023</t>
  </si>
  <si>
    <t xml:space="preserve"> (מ/1577)</t>
  </si>
  <si>
    <t xml:space="preserve">25.07.2023</t>
  </si>
  <si>
    <t xml:space="preserve">החוק קובע הטבות מס מסוגים שונים למשקיעים בחברות היי-טק ולחברות היי-טק בהוראת שעה עד תום שנת 2026: הענקת זיכוי ממס למשקיעים בחברות הזנק (סטארט-אפ); דחיית תשלום המס על רווח ההון במכירה של חברה לבעל מניות אשר משתמש בחלק מהתמורה מהמכירה לצורך השקעה בחברת סטארט-אפ; התרת השקעה במניות כהוצאה לצורכי מס, לחברה אשר רוכשת שליטה בחברה אחרת – ישראלית או זרה, כך שניתן יהיה לנכות את עלות ההשקעה במשך 5 שנים לאחר השגת השליטה; הענקת פטור ממס למוסד פיננסי זר על הכנסותיו מריבית או מהפרשי הצמדה, שבהם נושאת חברה ישראלית כחלק מההחזר על ההלוואה שנתן לה אותו מוסד פיננסי; הארכת ההטבה הקבועה בסעיף 92א לפקודה בשל השקעות בחברת מו"פ אשר מונפקות בבורסה, כך שהשקעה מזכה במניה של חברת מו"פ תוכר למשקיע כהפסד הון בשנה שבה ביצע את ההשקעה עד לגובה של 5 מיליון שקלים חדשים. עוד קובע החוק כי מנהל רשות המסים והמנהל הכללי של הרשות לחדשנות ידווחו לוועדת הכספים לא יאוחר משישה חודשים לפני תום תקופת הוראת השעה על מידת מימוש הטבות המס, סכום ההטבות שניתנו, התועלת שנצמחה מהצעת החוק, ואם מן הראוי להמשיך להחיל את ההטבות.</t>
  </si>
  <si>
    <t xml:space="preserve">חוק שירות לאומי־אזרחי (תיקון מס' 4), התשפ"ג-2023</t>
  </si>
  <si>
    <t xml:space="preserve"> (מ/1640)</t>
  </si>
  <si>
    <t xml:space="preserve">החוק מאפשר לתלמידי ישיבות שניתן להן צו דחיית שירות טרם פקיעתו של ההסדר שאפשר זאת ב-30.6.2023, לשרת בשירות לאומי-אזרחי, אם מלאו להם 21 שנים, אם ביקשו לשרת בשירות לאומי-אזרחי ואם בקשה זו אושרה על ידי פוקד. ההסדר נקבע כהוראת שעה לשנה, עד יום 30.6.2024.</t>
  </si>
  <si>
    <t xml:space="preserve">חוק הצלילה הספורטיבית (תיקון מס' 3), התשפ"ג-2023</t>
  </si>
  <si>
    <t xml:space="preserve"> (מ/1603)</t>
  </si>
  <si>
    <t xml:space="preserve">החוק מבקש לעגן בחקיקה ראשית את המצב הקיים בפועל, לפיו ילדים החל מגיל 8 יוכלו לבצע צלילת היכרות בכפוף לתנאים והגבלות שיפורטו בחוק. ההגבלות על צלילת היכרות לילדים החל מגיל 8, כוללות הגבלת עומק הצלילה ל-6 מטרים, ליווי צמוד של מדריך צלילה לכל צולל, בדיקת כשירות רפואית ותפקודית, אישור הורים חתום, ציוד המותאם לילד, משך הצלילה לא יעלה על 45 דקות, ולילדים עד גיל 10 לא ניתן לבצע יותר משתי צלילות היכרות ביום ועוד. כמו כן, החוק קובע ששר התרבות והספורט רשאי לקבוע תנאים שונים לצלילת היכרות בבריכת שחייה מסוג שהוא יקבע, השונים מהתנאים שפורטו לעיל, ובלבד שלא תיפגע בטיחות הצוללים, ושלא ניתן יהיה לקבוע גיל הנמוך מגיל 8 לצלילת היכרות בבריכת שחייה. עוד נקבע שהרשות המוסמכת רשאית לקבוע הוראות שיחולו על מרכזי צלילה לעניין עריכת צלילת היכרות. </t>
  </si>
  <si>
    <t xml:space="preserve">חוק לתיקון פקודת האגודות השיתופיות (מס' 12), התשפ"ג–2023</t>
  </si>
  <si>
    <t xml:space="preserve"> (פ/1862/24)</t>
  </si>
  <si>
    <t xml:space="preserve"> (כ/934)</t>
  </si>
  <si>
    <t xml:space="preserve">תורחב האפשרות לקיים הליכי מיון באמצעות ועדות הקבלה בשני היבטים עיקריים. ראשית, החוק יורחב לאזורים נוספים כך שבנוסף לנגב והגליל, הוא יחול גם על יישוב קהילתי שיוגדר כ"יישוב עדיפות לאומית", שנמצא במפת העדיפות הלאומית של משרד הבינוי והשיכון, ומסווג באשכול 1 עד 5 במדד הפריפריאליות. שנית, החוק יורחב ליישובים קהילתיים גדולים יותר, כך שבהליך מדורג ותוך קבלת אישור מוועדה מינהלית מיוחדת, ניתן יהיה לקיים ועדות קבלה גם ביישובים קהילתיים שיגדלו וימנו מעל 400 יחידות דיור. במקביל לכך, תעודכן אחת מהעילות המרכזיות לדחייה של מועמדים תוך התאמתה ליישובים הגדולים יותר, יתוקן הרכב ועדת הקבלה כך שלא יתאפשר בה רוב מובנה לנציגי היישוב הקהילתי, ויוסדר בצורה מפורטת יותר את אופן פעולת ועדת הקבלה.</t>
  </si>
  <si>
    <t xml:space="preserve">חוק לתיקון פקודת בתי הסוהר (הוראות שעה), התשפ"ג-2023</t>
  </si>
  <si>
    <t xml:space="preserve"> (מ/1644)</t>
  </si>
  <si>
    <t xml:space="preserve">24.07.2023</t>
  </si>
  <si>
    <t xml:space="preserve">הוארכה הוראת השעה בעניין הסדר השחרור המנהלי המורחב הקבוע בפקודת בתי הסוהר עד לתאריך כ"ה בתמוז התשפ"ד (31 ביולי 2023), במספר שינויים שעיקרם ביטול השחרור המינהלי לאסירים ביטחוניים והרחבת תקופת השחרור המינהלי לאסירים שנגזרו עליהם 18 עד 36 חודשי מאסר. כן נקבע כי תקן הכליאה בבתי הסוהר יעמוד על 14,5000 מקומות עד יום כ"א בשבט התשפ"ד (31 בינואר 2024).</t>
  </si>
  <si>
    <t xml:space="preserve">הצעת חוק הארכת מועדים (תיקון - שירות לפי סעיף 8 או 9 לחוק שירות המילואים), התשפ"ג-2023</t>
  </si>
  <si>
    <t xml:space="preserve"> (פ/3814/25)</t>
  </si>
  <si>
    <t xml:space="preserve">הצעת חוק סמכויות שעת-חירום (מעצרים) (תיקון - מעצר מינהלי של אזרח ישראלי), התשפ"ג-2023</t>
  </si>
  <si>
    <t xml:space="preserve"> (פ/3813/25)</t>
  </si>
  <si>
    <t xml:space="preserve">הצעת חוק הגנת הצרכן (תיקון - שלוחה טלפונית ייעודית לביטול עסקה), התשפ"ג-2023</t>
  </si>
  <si>
    <t xml:space="preserve"> (פ/3812/25)</t>
  </si>
  <si>
    <t xml:space="preserve"> (פ/3811/25)</t>
  </si>
  <si>
    <t xml:space="preserve">הצעת חוק ארגון הפיקוח על העבודה (תיקון - תחולה באזור), התשפ"ג-2023</t>
  </si>
  <si>
    <t xml:space="preserve"> (פ/3810/25)</t>
  </si>
  <si>
    <t xml:space="preserve"> (פ/3809/25)</t>
  </si>
  <si>
    <t xml:space="preserve">הצעת חוק שוויון זכויות לאנשים עם מוגבלות (תיקון - הנפקת תעודות לבעלי מוגבלות בראייה), התשפ"ג-2023</t>
  </si>
  <si>
    <t xml:space="preserve"> (פ/3808/25)</t>
  </si>
  <si>
    <t xml:space="preserve">הצעת חוק הביטוח הלאומי (תיקון - תשלום קצבת ילדים לילדי החינוך המיוחד עד גיל 21 שנשארים במערכת החינוך), התשפ"ג-2023</t>
  </si>
  <si>
    <t xml:space="preserve"> (פ/3807/25)</t>
  </si>
  <si>
    <t xml:space="preserve">הצעת חוק עבודת נשים (תיקון - תקופת לידה והורות להורה יחיד), התשפ"ג-2023</t>
  </si>
  <si>
    <t xml:space="preserve"> (פ/3806/25)</t>
  </si>
  <si>
    <t xml:space="preserve">הצעת חוק דמי מחלה (היעדרות בשל מחלת ילד) (תיקון - היעדרות בעקבות תקיפה או התעללות בילד), התשפ"ג-2023</t>
  </si>
  <si>
    <t xml:space="preserve"> (פ/3805/25)</t>
  </si>
  <si>
    <t xml:space="preserve">הצעת חוק חובת הודעה להורים על אי-הגעת ילד למוסד חינוך או למעון יום (תיקוני חקיקה), התשפ"ג-2023</t>
  </si>
  <si>
    <t xml:space="preserve"> (פ/3804/25)</t>
  </si>
  <si>
    <t xml:space="preserve">הצעת חוק שירותי הסעד (תיקון - הגבלת מספר התיקים בטיפול עובד סוציאלי המטפל במשפחות), התשפ"ג-2023</t>
  </si>
  <si>
    <t xml:space="preserve"> (פ/3803/25)</t>
  </si>
  <si>
    <t xml:space="preserve">הצעת חוק פיקוח על בתי ספר (תיקון - חובת הכנת תסקיר בטיחות), התשפ"ג-2023</t>
  </si>
  <si>
    <t xml:space="preserve"> (פ/3802/25)</t>
  </si>
  <si>
    <t xml:space="preserve">הצעת חוק החומרים המסוכנים (תיקון - פרטי התקשרות למרכז רעלים), התשפ"ג-2023</t>
  </si>
  <si>
    <t xml:space="preserve"> (פ/3801/25)</t>
  </si>
  <si>
    <t xml:space="preserve">הצעת חוק להבטחת קיום הסכמים מדיניים, התשפ"ג-2023</t>
  </si>
  <si>
    <t xml:space="preserve"> (פ/3800/25)</t>
  </si>
  <si>
    <t xml:space="preserve">הצעת חוק הרשות לשיקום האסיר (תיקון - חיזוק הפיקוח הפרלמנטרי על הרשות), התשפ"ג-2023</t>
  </si>
  <si>
    <t xml:space="preserve"> (פ/3799/25)</t>
  </si>
  <si>
    <t xml:space="preserve">הצעת חוק חובת המכרזים (תיקון - הרחבת חובת העדפה של תוצרת הארץ), התשפ"ג-2023</t>
  </si>
  <si>
    <t xml:space="preserve"> (פ/3798/25)</t>
  </si>
  <si>
    <t xml:space="preserve">הצעת חוק חובת הנגשה לשונית של אתרי אינטרנט ושירותים ממשלתיים מקוונים, התשפ"ג-2023</t>
  </si>
  <si>
    <t xml:space="preserve"> (פ/3796/25)</t>
  </si>
  <si>
    <t xml:space="preserve">הצעת חוק המאבק בטרור (תיקון - הסתה למעשה טרור), התשפ"ג-2023</t>
  </si>
  <si>
    <t xml:space="preserve"> (פ/3794/25)</t>
  </si>
  <si>
    <t xml:space="preserve">הצעת חוק בתי דין רבניים (קיום פסקי דין של גירושין) (תיקון - גט אוטומטי), התשפ"ג-2023</t>
  </si>
  <si>
    <t xml:space="preserve"> (פ/3793/25)</t>
  </si>
  <si>
    <t xml:space="preserve"> (פ/3792/25)</t>
  </si>
  <si>
    <t xml:space="preserve">הצעת חוק לתיקון פקודת העיריות (ביטול סמכויות גבייה מינהליות), התשפ"ג-2023</t>
  </si>
  <si>
    <t xml:space="preserve"> (פ/3790/25)</t>
  </si>
  <si>
    <t xml:space="preserve">הצעת חוק למניעת הטרדה מינית (תיקון - עונש מינימום), התשפ"ג-2023</t>
  </si>
  <si>
    <t xml:space="preserve"> (פ/3788/25)</t>
  </si>
  <si>
    <t xml:space="preserve">הצעת חוק נציב תלונות הציבור על שופטים (תיקון - הארכת תקופת כהונה), התשפ"ג-2023</t>
  </si>
  <si>
    <t xml:space="preserve"> (פ/3786/25)</t>
  </si>
  <si>
    <t xml:space="preserve">הצעת חוק ההוצאה לפועל (תיקון - שופט אכיפה), התשפ"ג-2023</t>
  </si>
  <si>
    <t xml:space="preserve"> (פ/3783/25)</t>
  </si>
  <si>
    <t xml:space="preserve">הצעת חוק ייצוג גופים ציבוריים שעניינם בשמירת איכות הסביבה (תיקוני חקיקה), התשפ"ג-2023</t>
  </si>
  <si>
    <t xml:space="preserve"> (פ/3781/25)</t>
  </si>
  <si>
    <t xml:space="preserve">הצעת חוק שילוב פעוטות עם צורך במענים ייחודיים במעונות יום, התשפ"ג-2023</t>
  </si>
  <si>
    <t xml:space="preserve"> (פ/3780/25)</t>
  </si>
  <si>
    <t xml:space="preserve">הצעת חוק מגבלות על חזרתו של עבריין מין לסביבת נפגע העבירה (תיקון - הרחבת סמכות בית המשפט להטלת מגבלות), התשפ"ג-2023</t>
  </si>
  <si>
    <t xml:space="preserve"> (פ/3778/25)</t>
  </si>
  <si>
    <t xml:space="preserve">הצעת חוק תובענות ייצוגיות (תיקון - מעמדם של ארגוני סביבה), התשפ"ג-2023</t>
  </si>
  <si>
    <t xml:space="preserve"> (פ/3777/25)</t>
  </si>
  <si>
    <t xml:space="preserve">הצעת חוק הבטחת הכנסה (תיקון - גמלה לתלמיד שהוא הורה עצמאי), התשפ"ג-2023 </t>
  </si>
  <si>
    <t xml:space="preserve"> (פ/3775/25)</t>
  </si>
  <si>
    <t xml:space="preserve">הצעת חוק בתי המשפט (תיקון - צילום בבתי משפט), התשפ"ג-2023</t>
  </si>
  <si>
    <t xml:space="preserve"> (פ/3774/25)</t>
  </si>
  <si>
    <t xml:space="preserve">הצעת חוק לתיקון פקודת העיריות (מס' 151) (תיקון - דחיית מועד תחילת סעיף 330כד), התשפ"ג-2023</t>
  </si>
  <si>
    <t xml:space="preserve"> (פ/3773/25)</t>
  </si>
  <si>
    <t xml:space="preserve">הצעת חוק הכנסת (תיקון - הקמת ועדות זמניות לענייני חוקה, חוק ומשפט וביטחון לאומי על ידי הוועדה המסדרת), התשפ"ג-2023</t>
  </si>
  <si>
    <t xml:space="preserve"> (פ/3772/25)</t>
  </si>
  <si>
    <t xml:space="preserve">הצעת חוק העונשין (תיקון - הרחבת הגדרת הגזענות), התשפ"ג-2023</t>
  </si>
  <si>
    <t xml:space="preserve"> (פ/3771/25)</t>
  </si>
  <si>
    <t xml:space="preserve">הצעת חוק מחקר ופיתוח בקנאביס למטרות רפואיות, התשפ"ג-2023</t>
  </si>
  <si>
    <t xml:space="preserve"> (פ/3770/25)</t>
  </si>
  <si>
    <t xml:space="preserve">הצעת חוק הרשות השנייה לטלוויזיה ורדיו (תיקון - ביטול זיכיון לשידורים או רישיון לשידורים, פקיעתו או התלייתו), התשפ"ג-2023</t>
  </si>
  <si>
    <t xml:space="preserve"> (פ/3769/25)</t>
  </si>
  <si>
    <t xml:space="preserve"> (פ/3768/25)</t>
  </si>
  <si>
    <t xml:space="preserve">הצעת חוק שידורי טלוויזיה (כתוביות ושפת סימנים) (תיקון - העלאת שיעור השידורים שילוו בתרגום לשפת סימנים), התשפ"ג-2023</t>
  </si>
  <si>
    <t xml:space="preserve"> (פ/3767/25)</t>
  </si>
  <si>
    <t xml:space="preserve">הצעת חוק שוויון ההזדמנויות בעבודה (תיקון - איסור הפליה לפי מקום ביצוע העבודה), התשפ"ג-2023</t>
  </si>
  <si>
    <t xml:space="preserve"> (פ/3765/25)</t>
  </si>
  <si>
    <t xml:space="preserve">הצעת חוק הסדרים במשק המדינה (תיקוני חקיקה להשגת יעדי התקציב) (תיקון - שיפוי רשויות מקומיות בגין הנחה כפויה בארנונה), התשפ"ג-2023</t>
  </si>
  <si>
    <t xml:space="preserve"> (פ/3764/25)</t>
  </si>
  <si>
    <t xml:space="preserve">הצעת חוק רשות שדות התעופה (תיקון - דיווח לוועדת הכלכלה של הכנסת), התשפ"ג-2023</t>
  </si>
  <si>
    <t xml:space="preserve"> (פ/3763/25)</t>
  </si>
  <si>
    <t xml:space="preserve">הצעת חוק הוועדה למינוי בכירים (תיקוני חקיקה), התשפ"ג-2023</t>
  </si>
  <si>
    <t xml:space="preserve"> (פ/3762/25)</t>
  </si>
  <si>
    <t xml:space="preserve">הצעת חוק זכות יוצרים (תיקון - תשלום תמלוגים), התשפ"ג-2023</t>
  </si>
  <si>
    <t xml:space="preserve"> (פ/3761/25)</t>
  </si>
  <si>
    <t xml:space="preserve">הצעת חוק העונשין (תיקון - מאבק בפשיעה החקלאית), התשפ"ג-2023</t>
  </si>
  <si>
    <t xml:space="preserve"> (פ/3760/25)</t>
  </si>
  <si>
    <t xml:space="preserve">הצעת חוק הגנת הצרכן (תיקון - אישור הצרכן מראש להעלאת תעריפים בעסקה מתמשכת שאינה עסקה לתקופה קצובה), התשפ"ג-2023</t>
  </si>
  <si>
    <t xml:space="preserve"> (פ/3759/25)</t>
  </si>
  <si>
    <t xml:space="preserve">חוק-יסוד: השפיטה (תיקון מס' 3) </t>
  </si>
  <si>
    <t xml:space="preserve"> (כ/968)</t>
  </si>
  <si>
    <t xml:space="preserve">23.07.2023</t>
  </si>
  <si>
    <t xml:space="preserve">נקבע בחוק-יסוד: השפיטה כי רשות שיפוטית לא תדון בעניין סבירות ההחלטה של הממשלה במליאתה, של ראש הממשלה או של שר אחר ולא תיתן צו בעניין סבירות ההחלטה.</t>
  </si>
  <si>
    <t xml:space="preserve">חוק הגנת הצרכן (תיקון מס' 65), התשפ"ג–2023</t>
  </si>
  <si>
    <t xml:space="preserve"> (פ/519/24)</t>
  </si>
  <si>
    <t xml:space="preserve"> (כ/922)</t>
  </si>
  <si>
    <t xml:space="preserve">19.07.2023</t>
  </si>
  <si>
    <t xml:space="preserve">החוק מחייב עוסק לסמן באופן בולט את ארץ הייצור של תוצרת חקלאית שאינה ארוזה בעת הצגתה למכירה או תוצרת חקלאית הנארזת במקום בו היא נמכרת או משווקת לצרכן, בצמוד לתוצרת החקלאית כאמור. חובת הסימון תחול על פירות וירקות טריים, מוצרי חלב ובשר טרי (עופות, בשר ודגים), למעט בשר טרי כאמור המשווק באופן מקוון. כמו כן, בחוק זה נקבע כי שר הכלכלה והתעשייה, באישור ועדת הכלכלה של הכנסת, יהיה רשאי לקבוע בתקנות כי חובת סימון כאמור לא תחול על שיווק באופן מקוון על סוגי תוצרת חקלאית כפי שיקבע. תחילתו של חוק זה חמישה חודשים מיום פרסומו, ולעניין תוצרת חקלאית המשווקת באופן מקוון – שבעה חודשים מיום פרסומו. </t>
  </si>
  <si>
    <t xml:space="preserve">הצעת חוק הקרימינולוגים השיקומיים, התשפ"ג-2023</t>
  </si>
  <si>
    <t xml:space="preserve"> (פ/3704/25)</t>
  </si>
  <si>
    <t xml:space="preserve">הצעת חוק הפרות מינהליות, התשפ"ג-2023</t>
  </si>
  <si>
    <t xml:space="preserve"> (פ/3172/25)</t>
  </si>
  <si>
    <t xml:space="preserve">הצעת חוק פיקוח על מחירים, שיווק וסבסוד של מזון ללא גלוטן, התשפ"ג-2023</t>
  </si>
  <si>
    <t xml:space="preserve"> (פ/2716/25)</t>
  </si>
  <si>
    <t xml:space="preserve"> (פ/2666/25)</t>
  </si>
  <si>
    <t xml:space="preserve">הצעת חוק סל הקליטה (תיקון - שעות לימוד עברית), התשפ"ג-2023</t>
  </si>
  <si>
    <t xml:space="preserve"> (פ/2519/25)</t>
  </si>
  <si>
    <t xml:space="preserve">הצעת חוק הסיוע המשפטי (תיקון - סיוע משפטי לנפגעי עבירות) (הוראת שעה), התשפ"ג-2023</t>
  </si>
  <si>
    <t xml:space="preserve"> (פ/2340/25)</t>
  </si>
  <si>
    <t xml:space="preserve">הצעת חוק השיפוט הצבאי (תיקון - משך תחולת החוק על מי שחדל מהיות חייל ועבר עבירת מין), התשפ"ג-2023 </t>
  </si>
  <si>
    <t xml:space="preserve"> (פ/2247/25)</t>
  </si>
  <si>
    <t xml:space="preserve">הצעת חוק למניעת אלימות במשפחה (תיקון - מניעת אלימות כלכלית) (הוראת שעה), התשפ"ג-2023</t>
  </si>
  <si>
    <t xml:space="preserve"> (פ/2024/25)</t>
  </si>
  <si>
    <t xml:space="preserve">הצעת חוק שוויון זכויות לאנשים עם מוגבלות (תיקון - הנפקת תעודות לבעלי מוגבלות בראיה), התשפ"ג-2023</t>
  </si>
  <si>
    <t xml:space="preserve"> (פ/1813/25)</t>
  </si>
  <si>
    <t xml:space="preserve">הצעת חוק-יסוד: כבוד האדם וחירותו (תיקון - הזכות לשוויון) </t>
  </si>
  <si>
    <t xml:space="preserve"> (פ/1595/25)</t>
  </si>
  <si>
    <t xml:space="preserve">הצעת חוק הביטוח הלאומי (תיקון - שמירה חקלאית כעבודה מועדפת), התשפ"ג-2023</t>
  </si>
  <si>
    <t xml:space="preserve"> (פ/1562/25)</t>
  </si>
  <si>
    <t xml:space="preserve">הצעת חוק משק החשמל (תיקון - איסור ניתוק חשמל לצרכן ביתי), התשפ"ג-2023</t>
  </si>
  <si>
    <t xml:space="preserve"> (פ/1464/25)</t>
  </si>
  <si>
    <t xml:space="preserve">הצעת חוק סבסוד מוצרים ללא גלוטן, התשפ"ג-2023</t>
  </si>
  <si>
    <t xml:space="preserve"> (פ/1244/25)</t>
  </si>
  <si>
    <t xml:space="preserve"> (פ/337/25)</t>
  </si>
  <si>
    <t xml:space="preserve"> (פ/103/25)</t>
  </si>
  <si>
    <t xml:space="preserve">הצעת חוק לקידום הנשים בישראל, התשפ"ג-2023</t>
  </si>
  <si>
    <t xml:space="preserve"> (פ/3670/25)</t>
  </si>
  <si>
    <t xml:space="preserve">18.07.2023</t>
  </si>
  <si>
    <t xml:space="preserve">הצעת חוק העונשין (תיקון - הגדרת איום), התשפ"ג-2023</t>
  </si>
  <si>
    <t xml:space="preserve"> (פ/3248/25)</t>
  </si>
  <si>
    <t xml:space="preserve">17.07.2023</t>
  </si>
  <si>
    <t xml:space="preserve">הצעת חוק הגנת הצרכן (תיקון - הפרה בנסיבות מחמירות), התשפ"ג-2023</t>
  </si>
  <si>
    <t xml:space="preserve"> (פ/2075/25)</t>
  </si>
  <si>
    <t xml:space="preserve"> (פ/2964/25)</t>
  </si>
  <si>
    <t xml:space="preserve">הצעת חוק הנוער (טיפול והשגחה) (תיקון - מתווה הוצאת ילד ממשמורתו), התשפ"ג-2023</t>
  </si>
  <si>
    <t xml:space="preserve"> (פ/3756/25)</t>
  </si>
  <si>
    <t xml:space="preserve"> (פ/3755/25)</t>
  </si>
  <si>
    <t xml:space="preserve">הצעת חוק הגנה על בתי תפילה ותיקים (תיקוני חקיקה), התשפ"ג-2023</t>
  </si>
  <si>
    <t xml:space="preserve"> (פ/3754/25)</t>
  </si>
  <si>
    <t xml:space="preserve">הצעת חוק הביטוח הלאומי (תיקון - הארכת המועד להגשת תביעה לגמלה והתקופה שבעדה תשולם), התשפ"ג-2023</t>
  </si>
  <si>
    <t xml:space="preserve"> (פ/3751/25)</t>
  </si>
  <si>
    <t xml:space="preserve"> (פ/3750/25)</t>
  </si>
  <si>
    <t xml:space="preserve"> (פ/3749/25)</t>
  </si>
  <si>
    <t xml:space="preserve">הצעת חוק הביטוח הלאומי (תיקון - פטור מתשלום דמי ביטוח לאומי לנכי צה"ל), התשפ"ג-2023</t>
  </si>
  <si>
    <t xml:space="preserve"> (פ/3747/25)</t>
  </si>
  <si>
    <t xml:space="preserve">הצעת חוק חינוך ממלכתי (תיקון - חינוך למניעת הטרדה מינית), התשפ"ג-2023</t>
  </si>
  <si>
    <t xml:space="preserve"> (פ/3746/25)</t>
  </si>
  <si>
    <t xml:space="preserve">הצעת חוק הבחירות לכנסת (תיקון - שינוי מבנה פתק ההצבעה), התשפ"ג-2023</t>
  </si>
  <si>
    <t xml:space="preserve"> (פ/3745/25)</t>
  </si>
  <si>
    <t xml:space="preserve">הצעת חוק לתיקון פקודת מס הכנסה (דיווח שנתי או חצי שנתי לסוגי נכסים), התשפ"ג-2023</t>
  </si>
  <si>
    <t xml:space="preserve"> (פ/3744/25)</t>
  </si>
  <si>
    <t xml:space="preserve">הצעת חוק איסור אלימות בספורט (תיקון - מניעת הרחקה גורפת מאירועי ספורט), התשפ"ג-2023</t>
  </si>
  <si>
    <t xml:space="preserve"> (פ/3743/25)</t>
  </si>
  <si>
    <t xml:space="preserve">הצעת חוק הסיוע הניתן מטעם המדינה לסטודנטים במוסדות להשכלה גבוהה, התשפ"ג-2023</t>
  </si>
  <si>
    <t xml:space="preserve"> (פ/3742/25)</t>
  </si>
  <si>
    <t xml:space="preserve">הצעת חוק חוזה הביטוח (תיקון - השוואת תנאי ביטוח סיעודי לתנאי המוסד לביטוח לאומי), התשפ"ג-2023</t>
  </si>
  <si>
    <t xml:space="preserve"> (פ/3741/25)</t>
  </si>
  <si>
    <t xml:space="preserve">הצעת חוק איסור אלימות בספורט (תיקון - החמרת ענישה על כניסה לשדה המשחק), התשפ"ג-2023</t>
  </si>
  <si>
    <t xml:space="preserve"> (פ/3740/25)</t>
  </si>
  <si>
    <t xml:space="preserve">הצעת חוק חינוך ממלכתי (תיקון - חינוך לשוויון מגדרי), התשפ"ג-2023</t>
  </si>
  <si>
    <t xml:space="preserve"> (פ/3739/25)</t>
  </si>
  <si>
    <t xml:space="preserve">הצעת חוק לתיקון פקודת מס הכנסה (שווי שימוש ברכב), התשפ"ג-2023</t>
  </si>
  <si>
    <t xml:space="preserve"> (פ/3738/25)</t>
  </si>
  <si>
    <t xml:space="preserve">הצעת חוק חישוב דרגת הזכאות של מורה להשתתפות המדינה בדמי ההחזקה לילד במעונות יום ובמשפחתונים, התשפ"ג-2023</t>
  </si>
  <si>
    <t xml:space="preserve"> (פ/3737/25)</t>
  </si>
  <si>
    <t xml:space="preserve">הצעת חוק יום הדמוקרטיה, התשפ"ג-2023</t>
  </si>
  <si>
    <t xml:space="preserve"> (פ/3736/25)</t>
  </si>
  <si>
    <t xml:space="preserve">הצעת חוק החברות הממשלתיות (תיקון - הגדרת זיקה אישית או פוליטית), התשפ"ג-2023</t>
  </si>
  <si>
    <t xml:space="preserve"> (פ/3734/25)</t>
  </si>
  <si>
    <t xml:space="preserve">הצעת חוק יישוב סכסוכי עבודה (תיקון - בוררות חובה במערכת החינוך), התשפ"ג-2023</t>
  </si>
  <si>
    <t xml:space="preserve"> (פ/3733/25)</t>
  </si>
  <si>
    <t xml:space="preserve"> (פ/3732/25)</t>
  </si>
  <si>
    <t xml:space="preserve">הצעת חוק הביטוח הלאומי (תיקון - הקמת מצבה לאדם ערירי), התשפ"ג-2023</t>
  </si>
  <si>
    <t xml:space="preserve"> (פ/3731/25)</t>
  </si>
  <si>
    <t xml:space="preserve"> (פ/3730/25)</t>
  </si>
  <si>
    <t xml:space="preserve"> (פ/3729/25)</t>
  </si>
  <si>
    <t xml:space="preserve">הצעת חוק שוויון זכויות לאנשים עם מוגבלות (תיקון - חובת הנגשת אוטובוסים בין-עירוניים), התשפ"ג-2023</t>
  </si>
  <si>
    <t xml:space="preserve"> (פ/3728/25)</t>
  </si>
  <si>
    <t xml:space="preserve">הצעת חוק דמי מחלה (היעדרות בשל מחלת הורה) (תיקון - בני משפחה מטפלים), התשפ"ג-2023</t>
  </si>
  <si>
    <t xml:space="preserve"> (פ/3727/25)</t>
  </si>
  <si>
    <t xml:space="preserve">הצעת חוק בתי המשפט (תיקון - תקופת צינון לפני מינוי), התשפ"ג-2023</t>
  </si>
  <si>
    <t xml:space="preserve"> (פ/3725/25)</t>
  </si>
  <si>
    <t xml:space="preserve">הצעת חוק עיטור ההדר, התשפ"ג-2023</t>
  </si>
  <si>
    <t xml:space="preserve"> (פ/3724/25)</t>
  </si>
  <si>
    <t xml:space="preserve">הצעת חוק לתיקון פקודת בריאות העם (שינוי הוראות התקנת מצלמות לשם הגנה על מאושפזים בבית חולים גריאטרי), התשפ"ג-2023</t>
  </si>
  <si>
    <t xml:space="preserve"> (פ/3723/25)</t>
  </si>
  <si>
    <t xml:space="preserve">הצעת חוק החלת הריבונות הישראלית על בקעת הירדן רבתי, התשפ"ג-2023</t>
  </si>
  <si>
    <t xml:space="preserve"> (פ/3722/25)</t>
  </si>
  <si>
    <t xml:space="preserve">הצעת חוק מיסוי רווחי יתר של תאגידים בנקאיים, התשפ"ג-2023</t>
  </si>
  <si>
    <t xml:space="preserve"> (פ/3721/25)</t>
  </si>
  <si>
    <t xml:space="preserve">הצעת חוק לתיקון פקודת המשטרה (הפגנה ליד בתי מגורים), התשפ"ג-2023</t>
  </si>
  <si>
    <t xml:space="preserve"> (פ/3720/25)</t>
  </si>
  <si>
    <t xml:space="preserve">הצעת חוק קידום תעשיות עתירות ידע בצפון ובדרום, התשפ"ג-2023</t>
  </si>
  <si>
    <t xml:space="preserve"> (פ/3719/25)</t>
  </si>
  <si>
    <t xml:space="preserve">הצעת חוק לתיקון פקודת מס הכנסה (משיכה מקרן השתלמות לרכישת דירה ראשונה), התשפ"ג-2023</t>
  </si>
  <si>
    <t xml:space="preserve"> (פ/3718/25)</t>
  </si>
  <si>
    <t xml:space="preserve"> (פ/3717/25)</t>
  </si>
  <si>
    <t xml:space="preserve"> (פ/3716/25)</t>
  </si>
  <si>
    <t xml:space="preserve">הצעת חוק לתיקון פקודת מס הכנסה (הטבות במס ליישוב מאוים באזור), התשפ"ג-2023</t>
  </si>
  <si>
    <t xml:space="preserve"> (פ/3715/25)</t>
  </si>
  <si>
    <t xml:space="preserve">הצעת חוק זכויות הדייר בדיור הציבורי (תיקון - עיגון זכויות דייר ממשיך בדיור הציבורי), התשפ"ג-2023</t>
  </si>
  <si>
    <t xml:space="preserve"> (פ/3712/25)</t>
  </si>
  <si>
    <t xml:space="preserve">הצעת חוק הכרה בוותק של עולים, התשפ"ג-2023</t>
  </si>
  <si>
    <t xml:space="preserve"> (פ/3711/25)</t>
  </si>
  <si>
    <t xml:space="preserve">הצעת חוק הסדרת העיסוק במקצועות הבריאות (תיקון - הסדרת מקצוע הרנטגנאות והדימות), התשפ"ג-2023</t>
  </si>
  <si>
    <t xml:space="preserve"> (פ/1421/25)</t>
  </si>
  <si>
    <t xml:space="preserve">13.07.2023</t>
  </si>
  <si>
    <t xml:space="preserve">הצעת חוק הסדרת העיסוק במקצועות הבריאות (תיקון - הסדרת מקצוע הרנטגנאות והדימות), התשפ"ג-2022</t>
  </si>
  <si>
    <t xml:space="preserve"> (פ/524/25)</t>
  </si>
  <si>
    <t xml:space="preserve">הצעת חוק הסדרת העיסוק במקצועות הטיפול הרפואי, התשפ"ג-2022</t>
  </si>
  <si>
    <t xml:space="preserve"> (פ/942/25)</t>
  </si>
  <si>
    <t xml:space="preserve">12.07.2023</t>
  </si>
  <si>
    <t xml:space="preserve">חוק מבקר המדינה (תיקון מס' 50), התשפ''ג-2023</t>
  </si>
  <si>
    <t xml:space="preserve"> (פ/353/25)</t>
  </si>
  <si>
    <t xml:space="preserve"> (כ/959)</t>
  </si>
  <si>
    <t xml:space="preserve">הוועדה לענייני ביקורת המדינה</t>
  </si>
  <si>
    <t xml:space="preserve">התיקון מרחיב את סמכותו של מבקר המדינה, כנציב תלונות הציבור, המאפשרת לו להוציא צו כדי להגן על זכויות עובד, במטרה למנוע את פיטוריו בגין חשיפת שחיתויות ומקרים נוספים המנויים בחוק, כך שתחול גם על משטרת ישראל ועל שירות בתי הסוהר. עוד מוצע כי אם הוגשה תלונה לנציב תלונות הציבור, לא יתאפשר בירור מקביל שלה בידי נציב קבילות שוטרים וסוהרים.</t>
  </si>
  <si>
    <t xml:space="preserve">הצעת חוק הרבנות הראשית לישראל (תיקון - הרכב האסיפה הבוחרת), התשפ"ג-2023</t>
  </si>
  <si>
    <t xml:space="preserve"> (פ/3380/25)</t>
  </si>
  <si>
    <t xml:space="preserve">הצעת חוק המאבק בטרור (תיקון - פיצוי עונשי לנפגעי עבירה), התשפ"ג-2023</t>
  </si>
  <si>
    <t xml:space="preserve"> (פ/3167/25)</t>
  </si>
  <si>
    <t xml:space="preserve">הצעת חוק שוברים להשלמת לימודי בסיס בחינוך הבלתי פורמלי, התשפ"ג-2023</t>
  </si>
  <si>
    <t xml:space="preserve"> (פ/3159/25)</t>
  </si>
  <si>
    <t xml:space="preserve">הצעת חוק שלילת תקציב ממוסדות חינוך המלמדים את תוכנית הלימוד הפלסטינית הכוללים הסתה לטרור (תיקוני חקיקה), התשפ"ג-2023</t>
  </si>
  <si>
    <t xml:space="preserve"> (פ/3147/25)</t>
  </si>
  <si>
    <t xml:space="preserve"> (פ/2412/25)</t>
  </si>
  <si>
    <t xml:space="preserve"> (פ/2085/25)</t>
  </si>
  <si>
    <t xml:space="preserve">הצעת חוק לתיקון פקודת התעבורה (פטור מתשלום אגרה לתאגיד השידור לאדם עם מוגבלות בשמיעה), התשפ"ג-2023</t>
  </si>
  <si>
    <t xml:space="preserve"> (פ/1873/25)</t>
  </si>
  <si>
    <t xml:space="preserve">הצעת חוק לתיקון פקודת מס הכנסה (ניכוי תשלומים לביטוח בריאות לעצמאים), התשפ״ג-2022</t>
  </si>
  <si>
    <t xml:space="preserve"> (פ/736/25)</t>
  </si>
  <si>
    <t xml:space="preserve">הצעת חוק הרבנות הראשית לישראל (תיקון - ייצוג הציבור באסיפה הבוחרת), התשפ"ג-2022</t>
  </si>
  <si>
    <t xml:space="preserve"> (פ/531/25)</t>
  </si>
  <si>
    <t xml:space="preserve">הצעת חוק שוברים להשלמת לימודי בסיס בחינוך הבלתי פורמלי, התשפ"ג–2022</t>
  </si>
  <si>
    <t xml:space="preserve"> (פ/110/25)</t>
  </si>
  <si>
    <t xml:space="preserve">הצעת חוק התכנון והבנייה (תיקון - דחיית תשלום היטל השבחה אגב גירושין), התשפ"ג-2023</t>
  </si>
  <si>
    <t xml:space="preserve"> (פ/3134/25)</t>
  </si>
  <si>
    <t xml:space="preserve">11.07.2023</t>
  </si>
  <si>
    <t xml:space="preserve">חוק מיסוי מקרקעין (שבח ורכישה) (תיקון מס' 103), התשפ"ג–2023</t>
  </si>
  <si>
    <t xml:space="preserve"> (פ/512/25)</t>
  </si>
  <si>
    <t xml:space="preserve"> (כ/958)</t>
  </si>
  <si>
    <t xml:space="preserve">החוק קובע כי ברכישת דירה עבור ילד יתום מאחד מהוריו, יוחרג התא המשפחתי הקיים בין הורה וילד (כפי שהוחרג "ילד נשוי") כך שיוטל על רכישה כאמור מס בשיעורים הקבועים לדירה יחידה.</t>
  </si>
  <si>
    <t xml:space="preserve">חוק חוזה הביטוח (תיקון מס' 12), התשפ"ג-2023</t>
  </si>
  <si>
    <t xml:space="preserve"> (פ/530/25)</t>
  </si>
  <si>
    <t xml:space="preserve"> (כ/962)</t>
  </si>
  <si>
    <t xml:space="preserve">נקבע כי יש לאפשר העברת מוטבים בין תאגידים בנקאיים במסגרת אותו חוזה ביטוח ובכך לחסוך בירוקרטיה רבה מלווי משכנתאות ולמנוע את החסם הקיים במחזור משכנתאות בשל התקדמות גיל הלווה או שינוי במצב רפואי. </t>
  </si>
  <si>
    <t xml:space="preserve">חוק התכנון והבנייה (תיקון מס' 145), התשפ"ג-2023</t>
  </si>
  <si>
    <t xml:space="preserve"> (פ/853/25)</t>
  </si>
  <si>
    <t xml:space="preserve"> (כ/956)</t>
  </si>
  <si>
    <t xml:space="preserve">עד קבלת חוק זה, כל חבר של ועדה מקומית לתכנון ובנייה (להלן - ועדה מקומית) או נציג בעל דעה מייעצת בה רשאי היה לדרוש כי יתקיים דיון במליאת הוועדה המקומית בנושא שנדון בוועדת המשנה של אותה ועדה מקומית. בחוק זה נקבע כי הדיון יועבר למליאת הועדה המקומית כאמור, רק אם דרשו זאת לפחות שניים מחברי הועדה המקומית או לחילופין נציג בעל דעה מייעצת. עוד מוצע כי בוועדה מרחבית, נציג רשות מקומית שהוא נציגה היחיד באותה הועדה יוכל לדרוש דיון במליאת הוועדה המרחבית.</t>
  </si>
  <si>
    <t xml:space="preserve">חוק ההוצאה לפועל (תיקון מס' 73), התשפ"ג-2023</t>
  </si>
  <si>
    <t xml:space="preserve"> (פ/2884/24)</t>
  </si>
  <si>
    <t xml:space="preserve"> (כ/906)</t>
  </si>
  <si>
    <t xml:space="preserve">הורחב היקף נכסי החייב החוסים תחת הגנה מפני עיקול בידי צד שלישי וצו עיקול במסגרת הליכים בהוצאה לפועל, ולכלול בתוכם כספי סיוע לנכות המגיעים לחייב ממשרד הרווחה והשירותים החברתיים (בנוסף על דמי ליווי לעיוור), כספים המגיעים לחייב ממשרד העלייה והקליטה, וכן כספים המגיעים לחייב במסגרת תכנית ממשלתית שמכוחה ניתן סיוע להורה עצמאי.</t>
  </si>
  <si>
    <t xml:space="preserve">חוק ההוצאה לפועל (תיקון מס' 74), התשפ"ג-2023</t>
  </si>
  <si>
    <t xml:space="preserve"> (פ/1092/25)</t>
  </si>
  <si>
    <t xml:space="preserve"> (כ/961)</t>
  </si>
  <si>
    <t xml:space="preserve">סעיף 14 לחוק ההוצאה לפועל, התשכ"ז-1967 מאפשר לרשם ההוצאה לפועל לתת כנגד חייב, צו עיכוב יציאה מהארץ, או לחייבו בהפקדת דרכון, או לחייבו במתן ערובה לשם יציאה מהארץ, אם יש  יסוד להניח שהחייב עומד לצאת מהארץ בלי שהסדיר את החוב, או שיציאתו עשויה לסכל את ביצוע פסק הדין.  חוק זה קובע כי אם סך חובותיו הפסוקים של חייב בהוצאה לפועל (חוץ מחוב למזונות) קטן מ־50,000 שקלים חדשים, רשם ההוצאה לפועל לא יוכל לתת צו עיכוב יציאה מהארץ כנגדו או לחייבו בהפקדת דרכון או במתן ערובה לפי הסעיף האמור. החוק קובע גם כי אם רשם ההוצאה לפועל נתן צו או הוראה לפי הסעיף האמור (כשסך החובות של החייב היה יותר מ-50,000 שקלים חדשים) וסך החובות של החייב פחת מ-40,000 שקלים חדשים, הצו שניתן יבוטל  - אם החייב ביקש זאת. מגבלות אלה לא יחולו על תיק הוצאה לפועל בשל חוב מזונות ואפשר יהיה להמשיך ולתת צו עיכוב יציאה מהארץ  או הוראות אחרות לפי סעיף 14 האמור לשם גביית חוב מזונות גם אם סכומו נמוך יותר.  </t>
  </si>
  <si>
    <t xml:space="preserve">הצעת חוק התגמולים לנפגעי פעולות איבה (תיקון - זכאות לתגמולים ולפיצויים לפי חוק אחר), התשפ"ג-2023</t>
  </si>
  <si>
    <t xml:space="preserve"> (פ/2540/25)</t>
  </si>
  <si>
    <t xml:space="preserve">10.07.2023</t>
  </si>
  <si>
    <t xml:space="preserve">הצעת חוק המאבק בטרור (תיקון - קנסות בגין הנפת דגל של ארגון טרור) (הוראת שעה), התשפ"ג-2023</t>
  </si>
  <si>
    <t xml:space="preserve"> (פ/2963/25)</t>
  </si>
  <si>
    <t xml:space="preserve">הצעת חוק איסור פרסומת והגבלת השיווק של מוצרי טבק ועישון (תיקון - איסור על ייצור ושיווק של מוצר עישון בטעם או בריח מובחן), התשפ"ג-2023</t>
  </si>
  <si>
    <t xml:space="preserve"> (פ/3331/25)</t>
  </si>
  <si>
    <t xml:space="preserve">הצעת חוק הבנקאות (רישוי) (תיקון - פיקוח פרלמנטרי על סגירת סניפים וצמצום שירותי בנק), התשפ"ג-2023</t>
  </si>
  <si>
    <t xml:space="preserve"> (פ/3206/25)</t>
  </si>
  <si>
    <t xml:space="preserve">חוק לתיקון דיני הבחירות לרשויות המקומיות, התשפ"ג-2023</t>
  </si>
  <si>
    <t xml:space="preserve">החוק מאגד תיקוני חקיקה שונים הנוגעים לייעול הליך הבחירות ברשויות המקומיות, לרבות אפשרות למנוי מזכיר קלפי שני, הסדרת הצבעת בעלי תפקידים, הטלת חובת פרסום הרכב ועדת הבחירות של רשות מקומית והסדרת התהליך לתיקון ליקויים ברשימת מועמדים.</t>
  </si>
  <si>
    <t xml:space="preserve">הצעת חוק הגנת הצרכן (תיקון - מסירת מסמך עיקרי עסקה בשפה שבה נעשתה הפנייה השיווקית), התשפ"ג-2023</t>
  </si>
  <si>
    <t xml:space="preserve"> (פ/3710/25)</t>
  </si>
  <si>
    <t xml:space="preserve">הצעת חוק הגנת הצרכן (תיקון - צירוף הוראות שימוש למוצרי חשמל בשפה העברית ובשפה הערבית), התשפ"ג-2023</t>
  </si>
  <si>
    <t xml:space="preserve"> (פ/3709/25)</t>
  </si>
  <si>
    <t xml:space="preserve">הצעת חוק חניה לנכים (תיקון - זכאות תג נכה לצמיתות), התשפ"ג-2023</t>
  </si>
  <si>
    <t xml:space="preserve"> (פ/3707/25)</t>
  </si>
  <si>
    <t xml:space="preserve">הצעת חוק עובדים זרים (תיקון - הגבלת שכר טרחת עורך דין), התשפ"ג-2023</t>
  </si>
  <si>
    <t xml:space="preserve"> (פ/3705/25)</t>
  </si>
  <si>
    <t xml:space="preserve">הצעת חוק מעמד ידועים בציבור, התשפ"ג-2023</t>
  </si>
  <si>
    <t xml:space="preserve"> (פ/3703/25)</t>
  </si>
  <si>
    <t xml:space="preserve">הצעת חוק ההוצאה לפועל (תיקון - מניעת פינוי דייר בשל אי-תשלום לכונס נכסים או לעורך דין), התשפ"ג-2023</t>
  </si>
  <si>
    <t xml:space="preserve"> (פ/3701/25)</t>
  </si>
  <si>
    <t xml:space="preserve">הצעת חוק הפיקוח על תכולת מוצרי עישון, התשפ"ג-2023 </t>
  </si>
  <si>
    <t xml:space="preserve"> (פ/3700/25)</t>
  </si>
  <si>
    <t xml:space="preserve">הצעת חוק קידום התחרות בענף המזון (תיקון - הפיכת הוראת שעה להוראה קבועה), התשפ"ג-2023</t>
  </si>
  <si>
    <t xml:space="preserve"> (פ/3698/25)</t>
  </si>
  <si>
    <t xml:space="preserve">הצעת חוק הגנת הצרכן (תיקון - הקפאת עסקה מתמשכת בתקופת לידה והורות), התשפ"ג-2023</t>
  </si>
  <si>
    <t xml:space="preserve"> (פ/3697/25)</t>
  </si>
  <si>
    <t xml:space="preserve"> (פ/3695/25)</t>
  </si>
  <si>
    <t xml:space="preserve">הצעת חוק עובדים זרים (תיקון - תאגיד עובדים זרים מחליפים זמניים), התשפ"ג-2023</t>
  </si>
  <si>
    <t xml:space="preserve"> (פ/3694/25)</t>
  </si>
  <si>
    <t xml:space="preserve">הצעת חוק לתיקון פקודת התעבורה (הגבלת סכום אגרת רישיון רכב), התשפ"ג-2023</t>
  </si>
  <si>
    <t xml:space="preserve"> (פ/3693/25)</t>
  </si>
  <si>
    <t xml:space="preserve">הצעת חוק לתיקון פקודת ביטוח רכב מנועי (מרכיב ההעמסה בתעריף הביטוח), התשפ"ג- 2023</t>
  </si>
  <si>
    <t xml:space="preserve"> (פ/3692/25)</t>
  </si>
  <si>
    <t xml:space="preserve">הצעת חוק הביטוח הלאומי (תיקון - עבודה כאיש צוות בכלי שיט כעבודה מועדפת), התשפ"ג-2023</t>
  </si>
  <si>
    <t xml:space="preserve"> (פ/3691/25)</t>
  </si>
  <si>
    <t xml:space="preserve">הצעת חוק לתיקון פקודת מס הכנסה (קיצור משך הזמן בעבור תשלום החזרי מס), התשפ"ג-2023</t>
  </si>
  <si>
    <t xml:space="preserve"> (פ/3690/25)</t>
  </si>
  <si>
    <t xml:space="preserve">הצעת חוק חניה לנכים (תיקון - החלטה בבקשה לתג נכה), התשפ"ג-2023</t>
  </si>
  <si>
    <t xml:space="preserve"> (פ/3689/25)</t>
  </si>
  <si>
    <t xml:space="preserve">הצעת חוק הגנה על עיתונאים (תיקוני חקיקה), התשפ"ג-2023</t>
  </si>
  <si>
    <t xml:space="preserve"> (פ/3688/25)</t>
  </si>
  <si>
    <t xml:space="preserve">הצעת חוק הביטוח הלאומי (תיקון - השבת תשלומי מעסיק בגין תשלומים לקופות ולקרנות של העובד בימי מילואים), התשפ"ג-2023</t>
  </si>
  <si>
    <t xml:space="preserve"> (פ/3686/25)</t>
  </si>
  <si>
    <t xml:space="preserve"> (פ/3684/25)</t>
  </si>
  <si>
    <t xml:space="preserve">הצעת חוק מאבק בנטילת דמי חסות (אכיפה וענישה) (תיקוני חקיקה והוראת שעה), התשפ"ג-2023</t>
  </si>
  <si>
    <t xml:space="preserve"> (פ/3682/25)</t>
  </si>
  <si>
    <t xml:space="preserve">הצעת חוק הכשרות המשפטית והאפוטרופסות (תיקון - שלילת אפוטרופסות בשל עבירת מעשה מגונה בנסיבות מחמירות), התשפ"ג-2023</t>
  </si>
  <si>
    <t xml:space="preserve"> (פ/3681/25)</t>
  </si>
  <si>
    <t xml:space="preserve"> (פ/3680/25)</t>
  </si>
  <si>
    <t xml:space="preserve">הצעת חוק אסדרת שוק הקנאביס לצריכה עצמית, התשפ"ג-2023</t>
  </si>
  <si>
    <t xml:space="preserve"> (פ/3679/25)</t>
  </si>
  <si>
    <t xml:space="preserve">הצעת חוק הביטוח הלאומי (תיקון - הארכת המועד להגשת תביעות ליקוי שמיעה), התשפ"ג-2023</t>
  </si>
  <si>
    <t xml:space="preserve"> (פ/3678/25)</t>
  </si>
  <si>
    <t xml:space="preserve">הצעת חוק עבודת נשים (תיקון - הפרשות לקופת גמל בתקופת שמירת היריון, לידה והורות), התשפ"ג-2023</t>
  </si>
  <si>
    <t xml:space="preserve"> (פ/3677/25)</t>
  </si>
  <si>
    <t xml:space="preserve">הצעת חוק מימון טיפול בקנאביס רפואי לילדים חולי אפילפסיה, התשפ"ג-2023</t>
  </si>
  <si>
    <t xml:space="preserve"> (פ/3676/25)</t>
  </si>
  <si>
    <t xml:space="preserve">הצעת חוק הפעלת מוקד טלפוני לטיפול בקנאביס רפואי, התשפ"ג-2023</t>
  </si>
  <si>
    <t xml:space="preserve"> (פ/3675/25)</t>
  </si>
  <si>
    <t xml:space="preserve">הצעת חוק העברת מידע בין רשויות, התשפ"ג-2023</t>
  </si>
  <si>
    <t xml:space="preserve"> (פ/3674/25)</t>
  </si>
  <si>
    <t xml:space="preserve">הצעת חוק האזרחים הוותיקים (תיקון - הנחה בארנונה לאזרח ותיק המתגורר בדירה שאינה בהחזקתו), התשפ"ג-2023</t>
  </si>
  <si>
    <t xml:space="preserve"> (פ/3673/25)</t>
  </si>
  <si>
    <t xml:space="preserve">הצעת חוק עובדים בתעשיית הקנאביס, התשפ"ג-2023</t>
  </si>
  <si>
    <t xml:space="preserve"> (פ/3672/25)</t>
  </si>
  <si>
    <t xml:space="preserve">הצעת חוק להרחבת הייצוג ההולם של קבוצות שונות בתאגידים ציבוריים וברשויות מקומיות (תיקוני חקיקה), התשפ"ג–2023</t>
  </si>
  <si>
    <t xml:space="preserve"> (פ/1542/25)</t>
  </si>
  <si>
    <t xml:space="preserve"> (כ/969)</t>
  </si>
  <si>
    <t xml:space="preserve">חוק הכניסה לישראל (תיקון מס' 37 – הוראת שעה – נגיף הקורונה החדש), התשפ"ג-2023</t>
  </si>
  <si>
    <t xml:space="preserve"> (מ/1620)</t>
  </si>
  <si>
    <t xml:space="preserve">05.07.2023</t>
  </si>
  <si>
    <t xml:space="preserve">נקבע בהוראת שעה, התקפה למשך ארבעה חודשים, בחינה מחדש ואישור של בקשות הארכה לרישיון לישיבת ביקור, לשם העסקת עובדים זרים בסיעוד, אשר נדחו בתקופת מגפת הקורונה.  רישיונות אלה יבחנו במקרים בהם הקשר בין המטופל לעובד הזר נמשך מעל מספר חודשים, בשל הסתמכות על תקופת ההיערכות הארוכה שניתנה בעקבות מגפת הקורונה, ובלבד שבעת הגשת הבקשה העובד הזר לא שהה בישראל מעל 13 שנים.  כל זאת על מנת למנוע ניתוקו של קשר טיפולי ארוך אשר יכול לגרום לפגיעה קשה במטופל.</t>
  </si>
  <si>
    <t xml:space="preserve"> (פ/3527/25)</t>
  </si>
  <si>
    <t xml:space="preserve"> (פ/3323/25)</t>
  </si>
  <si>
    <t xml:space="preserve"> (פ/3306/25)</t>
  </si>
  <si>
    <t xml:space="preserve">הצעת חוק הסדרת העיסוק במקצועות הבריאות (תיקון - טיפול באמצעות אמנויות), התשפ"ג-2023</t>
  </si>
  <si>
    <t xml:space="preserve"> (פ/3226/25)</t>
  </si>
  <si>
    <t xml:space="preserve">הצעת חוק הגבלת הפרסומת והשיווק של משקאות אלכוהוליים (תיקון - אזהרת שתיית אלכוהול לנשים הרות), התשפ"ג-2023</t>
  </si>
  <si>
    <t xml:space="preserve"> (פ/3074/25)</t>
  </si>
  <si>
    <t xml:space="preserve"> (פ/2217/25)</t>
  </si>
  <si>
    <t xml:space="preserve"> (פ/2146/25)</t>
  </si>
  <si>
    <t xml:space="preserve"> (פ/2040/25)</t>
  </si>
  <si>
    <t xml:space="preserve"> (פ/1880/25)</t>
  </si>
  <si>
    <t xml:space="preserve"> (פ/1800/25)</t>
  </si>
  <si>
    <t xml:space="preserve">הצעת חוק תאגידי מים וביוב (תיקון - הפעלת שירותי מים וביוב על ידי רשות מקומית), התשפ"ג-2023</t>
  </si>
  <si>
    <t xml:space="preserve"> (פ/1496/25)</t>
  </si>
  <si>
    <t xml:space="preserve">הצעת חוק שירות המדינה (מינויים) (תיקון - ייצוג הולם לבני החברה הערבית, לרבות הדרוזית והצ'רקסית), התשפ"ג-2023</t>
  </si>
  <si>
    <t xml:space="preserve"> (פ/1298/25)</t>
  </si>
  <si>
    <t xml:space="preserve">הצעת חוק הסדרת העיסוק במקצועות הבריאות (תיקון - טיפול באמצעות אמנויות), התשפ"ג-2022</t>
  </si>
  <si>
    <t xml:space="preserve"> (פ/675/25)</t>
  </si>
  <si>
    <t xml:space="preserve"> (פ/474/25)</t>
  </si>
  <si>
    <t xml:space="preserve"> (פ/44/25)</t>
  </si>
  <si>
    <t xml:space="preserve">חוק הרשויות המקומיות (בחירות) (תיקון מס' 53), התשפ"ג-2023 </t>
  </si>
  <si>
    <t xml:space="preserve"> (פ/3343/25)</t>
  </si>
  <si>
    <t xml:space="preserve"> (כ/966)</t>
  </si>
  <si>
    <t xml:space="preserve">04.07.2023</t>
  </si>
  <si>
    <t xml:space="preserve">בוטלה ההוראה האוסרת על מי שכיהן כחבר ועדה ממונה או למי שמונה לעמוד בראש ועדה כאמור, להתמודד בבחירות לרשות המקומית בה כיהן בבחירות הראשונות לאחר מינויו. עוד נקבע כי אדם כאמור שירצה להתמודד באותן בחירות, יידרש להתפטר מתפקידו 90 ימים בטרם מועד הבחירות.</t>
  </si>
  <si>
    <t xml:space="preserve">הצעת חוק פיקוח על בתי ספר (תיקון - איסור העסקת מורשעי ותומכי טרור ופיקוח על תכני הלימוד למניעת הסתה), התשפ"ג-2023</t>
  </si>
  <si>
    <t xml:space="preserve"> (פ/3079/25)</t>
  </si>
  <si>
    <t xml:space="preserve">הצעת חוק למניעת הטרדה מינית (תיקון - החמרת ענישה בעבירות טרור לאומני), התשפ"ג-2023</t>
  </si>
  <si>
    <t xml:space="preserve"> (פ/2639/25)</t>
  </si>
  <si>
    <t xml:space="preserve">03.07.2023</t>
  </si>
  <si>
    <t xml:space="preserve">חוק הרבנות הראשית לישראל (הארכת כהונה של הרבנים הראשיים לישראל ושל חברי מועצת הרבנות הראשית לישראל) (הוראת שעה), התשפ"ג-2023</t>
  </si>
  <si>
    <t xml:space="preserve"> (מ/1635)</t>
  </si>
  <si>
    <t xml:space="preserve">נקבע כי יש לדחות בהוראת שעה, את מועד סיום כהונתם של הרבנים הראשיים לישראל המכהנים כיום עד ל-09.04.2024. כמו כן, נקבע כי יש לדחות, בהוראת שעה, את מועד סיום כהונתם של חברי מועצת הרבנים הראשית עד ל-10.06.2024.</t>
  </si>
  <si>
    <t xml:space="preserve"> (פ/3669/25)</t>
  </si>
  <si>
    <t xml:space="preserve">הצעת חוק עובדים זרים (תיקון - אי-תחולת הסדר פנסיוני על עובד זר המועסק בחקלאות), התשפ"ג-2023</t>
  </si>
  <si>
    <t xml:space="preserve"> (פ/3668/25)</t>
  </si>
  <si>
    <t xml:space="preserve">הצעת חוק לתיקון פקודת מס הכנסה (דחיית מימוש נקודות זיכוי לחיילים משוחררים), התשפ"ג-2023</t>
  </si>
  <si>
    <t xml:space="preserve"> (פ/3667/25)</t>
  </si>
  <si>
    <t xml:space="preserve"> (פ/3666/25)</t>
  </si>
  <si>
    <t xml:space="preserve">הצעת חוק לקידום התחרות ולצמצום הריכוזיות (תיקון - שירותי בנקאות כתחום תשתית חיונית), התשפ"ג-2023</t>
  </si>
  <si>
    <t xml:space="preserve"> (פ/3665/25)</t>
  </si>
  <si>
    <t xml:space="preserve">הצעת חוק מס ערך מוסף (תיקון - מס בשיעור אפס על מוצרי היגיינה נשית), התשפ"ג-2023</t>
  </si>
  <si>
    <t xml:space="preserve"> (פ/3664/25)</t>
  </si>
  <si>
    <t xml:space="preserve"> (פ/3663/25)</t>
  </si>
  <si>
    <t xml:space="preserve">הצעת חוק סדר הדין הפלילי (תיקון - הגבלת משך זמן החקירה המשטרתית וטיפול התביעה בתיק החקירה עד להגשת כתב אישום), התשפ"ג-2023</t>
  </si>
  <si>
    <t xml:space="preserve"> (פ/3662/25)</t>
  </si>
  <si>
    <t xml:space="preserve">הצעת חוק לשכת עורכי הדין (תיקון - התמחות ומבחני הסמכה), התשפ"ג-2023</t>
  </si>
  <si>
    <t xml:space="preserve"> (פ/3661/25)</t>
  </si>
  <si>
    <t xml:space="preserve">הצעת חוק צער בעלי חיים (הגנה על בעלי חיים) (תיקון - איסור שימוש באביזרים חשמליים), התשפ"ג-2023</t>
  </si>
  <si>
    <t xml:space="preserve"> (פ/3660/25)</t>
  </si>
  <si>
    <t xml:space="preserve">הצעת חוק יום הרבי מלובביץ' (ציון זכרו ופועלו), התשפ"ג-2023</t>
  </si>
  <si>
    <t xml:space="preserve"> (פ/3659/25)</t>
  </si>
  <si>
    <t xml:space="preserve"> (פ/3658/25)</t>
  </si>
  <si>
    <t xml:space="preserve">הצעת חוק מעונות סטודנטים, התשפ"ג-2023</t>
  </si>
  <si>
    <t xml:space="preserve"> (פ/3657/25)</t>
  </si>
  <si>
    <t xml:space="preserve">הצעת חוק המועצה הלאומית לשפת הסימנים, התשפ"ג-2023</t>
  </si>
  <si>
    <t xml:space="preserve"> (פ/3656/25)</t>
  </si>
  <si>
    <t xml:space="preserve">הצעת חוק להקמת טכניון בנגב, התשפ"ג-2023</t>
  </si>
  <si>
    <t xml:space="preserve"> (פ/3655/25)</t>
  </si>
  <si>
    <t xml:space="preserve">הצעת חוק לתיקון פקודת התעבורה (הוראות לעניין סככות המתנה בתחנות אוטובוס), התשפ"ג-2023</t>
  </si>
  <si>
    <t xml:space="preserve"> (פ/3652/25)</t>
  </si>
  <si>
    <t xml:space="preserve">הצעת חוק לתיקון פקודת התעבורה (ביטול קנס בשל רכישת מערכות בטיחות מתקדמות), התשפ"ג-2023</t>
  </si>
  <si>
    <t xml:space="preserve"> (פ/3651/25)</t>
  </si>
  <si>
    <t xml:space="preserve"> (פ/3650/25)</t>
  </si>
  <si>
    <t xml:space="preserve">הצעת חוק-יסוד: השפיטה (תיקון - הגבלת זכות העמידה לתאגידים המקבלים מימון מישות מדינית זרה) </t>
  </si>
  <si>
    <t xml:space="preserve"> (פ/3649/25)</t>
  </si>
  <si>
    <t xml:space="preserve">הצעת חוק הצבעה גלויה בכנסת (תיקוני חקיקה), התשפ"ג-2023</t>
  </si>
  <si>
    <t xml:space="preserve"> (פ/3648/25)</t>
  </si>
  <si>
    <t xml:space="preserve">הצעת חוק בתי המשפט (תיקון - בחירות גלויות לוועדה לבחירת שופטים), התשפ"ג-2023</t>
  </si>
  <si>
    <t xml:space="preserve"> (פ/3647/25)</t>
  </si>
  <si>
    <t xml:space="preserve">הצעת חוק איסור אלימות בספורט (תיקון - החמרת ענישה על כניסה לשדה משחק), התשפ"ג-2023</t>
  </si>
  <si>
    <t xml:space="preserve"> (פ/3646/25)</t>
  </si>
  <si>
    <t xml:space="preserve">הצעת חוק שיפוט בתי דין רבניים (נישואין וגירושין) (תיקון - מינוי נציגות ציבור), התשפ"ג-2023 </t>
  </si>
  <si>
    <t xml:space="preserve"> (פ/3645/25)</t>
  </si>
  <si>
    <t xml:space="preserve"> (פ/3644/25)</t>
  </si>
  <si>
    <t xml:space="preserve">הצעת חוק זכויות הדייר בדיור הציבורי (תיקון - זכאות לאם יחידנית המקבלת תשלומי מזונות מהמוסד לביטוח לאומי), ‏התשפ"ג-2023</t>
  </si>
  <si>
    <t xml:space="preserve"> (פ/3643/25)</t>
  </si>
  <si>
    <t xml:space="preserve"> (פ/3642/25)</t>
  </si>
  <si>
    <t xml:space="preserve">הצעת חוק הבטחת הכנסה (תיקון - תוספת לגמלה בעד הילד השלישי ואילך), התשפ"ג- 2023</t>
  </si>
  <si>
    <t xml:space="preserve"> (פ/3641/25)</t>
  </si>
  <si>
    <t xml:space="preserve">הצעת חוק הביטוח הלאומי (תיקון - תנאי זכאות לדמי לידה), התשפ"ג-2023</t>
  </si>
  <si>
    <t xml:space="preserve"> (פ/3640/25)</t>
  </si>
  <si>
    <t xml:space="preserve"> (פ/3639/25)</t>
  </si>
  <si>
    <t xml:space="preserve">הצעת חוק העונשין (תיקון - הוספת עבירה של גביית דמי חסות), התשפ"ג-2023</t>
  </si>
  <si>
    <t xml:space="preserve"> (פ/3638/25)</t>
  </si>
  <si>
    <t xml:space="preserve">הצעת חוק הביטוח הלאומי (תיקון - שמירת היריון חלקית), התשפ"ג-2023</t>
  </si>
  <si>
    <t xml:space="preserve"> (פ/3637/25)</t>
  </si>
  <si>
    <t xml:space="preserve">הצעת חוק ייצוא קנאביס למטרות רפואיות, התשפ"ג-2023</t>
  </si>
  <si>
    <t xml:space="preserve"> (פ/3636/25)</t>
  </si>
  <si>
    <t xml:space="preserve"> (פ/3635/25)</t>
  </si>
  <si>
    <t xml:space="preserve">הצעת חוק העונשין (תיקון - תקיפת עובד מערך בריאות), התשפ"ג-2023</t>
  </si>
  <si>
    <t xml:space="preserve"> (פ/3634/25)</t>
  </si>
  <si>
    <t xml:space="preserve">הצעת חוק זכויות הסטודנט (תיקון - החזר תשלום שכר לימוד לסטודנטים בגין שביתה), התשפ"ג-2023</t>
  </si>
  <si>
    <t xml:space="preserve"> (פ/3633/25)</t>
  </si>
  <si>
    <t xml:space="preserve">הצעת חוק לתיקון פקודת המשטרה (התקהלות בלתי חוקית מול ביתו של איש ציבור), התשפ"ג-2023</t>
  </si>
  <si>
    <t xml:space="preserve"> (פ/3632/25)</t>
  </si>
  <si>
    <t xml:space="preserve">הצעת חוק חתימה אלקטרונית (תיקון - הגבלת הנפקת תעודות אלקטרוניות מאושרות בידי המדינה), התשפ"ג-2023</t>
  </si>
  <si>
    <t xml:space="preserve"> (פ/3631/25)</t>
  </si>
  <si>
    <t xml:space="preserve">הצעת חוק העונשין (תיקון - תקיפת עורך דין כתקיפת עובד ציבור), התשפ"ג-2023</t>
  </si>
  <si>
    <t xml:space="preserve"> (פ/3630/25)</t>
  </si>
  <si>
    <t xml:space="preserve">הצעת חוק מרשם האוכלוסין (תיקון - רישום ילד שנפטר), התשפ"ג-2023</t>
  </si>
  <si>
    <t xml:space="preserve"> (פ/3627/25)</t>
  </si>
  <si>
    <t xml:space="preserve">הצעת חוק הרשויות המקומיות (בחירת ראש הרשות וסגניו וכהונתם) (תיקון - שכר לסגן ראש רשות), התשפ"ג-2023</t>
  </si>
  <si>
    <t xml:space="preserve"> (פ/3626/25)</t>
  </si>
  <si>
    <t xml:space="preserve">הצעת חוק הבנקאות (שירות ללקוח) (תיקון - יידוע על חלופות השקעה), התשפ"ג-2023</t>
  </si>
  <si>
    <t xml:space="preserve"> (פ/3625/25)</t>
  </si>
  <si>
    <t xml:space="preserve">הצעת חוק הבנקאות (שירות ללקוח) (תיקון - מידע ללקוח אודות סכומי יתרה בחשבון עובר ושב וחלופות השקעה), התשפ"ג-2023</t>
  </si>
  <si>
    <t xml:space="preserve"> (פ/3624/25)</t>
  </si>
  <si>
    <t xml:space="preserve">הצעת חוק לתיקון פקודת הבנקאות (הגבלת עמלת פירעון מוקדם בהלוואה לרכישת דירה), התשפ"ג-2023</t>
  </si>
  <si>
    <t xml:space="preserve"> (פ/3623/25)</t>
  </si>
  <si>
    <t xml:space="preserve"> (פ/3622/25)</t>
  </si>
  <si>
    <t xml:space="preserve">הצעת חוק עובדים זרים (תיקון - אגרה מופחתת בסיעוד המוסדי) (הוראת שעה), התשפ"ג-2023</t>
  </si>
  <si>
    <t xml:space="preserve"> (פ/3621/25)</t>
  </si>
  <si>
    <t xml:space="preserve"> (פ/3246/25)</t>
  </si>
  <si>
    <t xml:space="preserve">28.06.2023</t>
  </si>
  <si>
    <t xml:space="preserve">הצעת חוק אימוץ ילדים (תיקון - איסור הפרדה בין אחים בהליך אימוץ), התשפ"ג-2023</t>
  </si>
  <si>
    <t xml:space="preserve"> (פ/3145/25)</t>
  </si>
  <si>
    <t xml:space="preserve">הצעת חוק הפרשנות (תיקון - הגדרת הפליה על רקע זהות מגדרית, נטייה מינית או אמונה דתית), התשפ"ג-2023</t>
  </si>
  <si>
    <t xml:space="preserve"> (פ/2317/25)</t>
  </si>
  <si>
    <t xml:space="preserve"> (פ/2072/25)</t>
  </si>
  <si>
    <t xml:space="preserve">הצעת חוק ארוחה יומית לתלמיד (תיקון – ארוחת כריך יומית בבית ספר על יסודי), התשפ"ג–2023</t>
  </si>
  <si>
    <t xml:space="preserve"> (פ/1605/25)</t>
  </si>
  <si>
    <t xml:space="preserve"> (פ/1278/25)</t>
  </si>
  <si>
    <t xml:space="preserve">הצעת חוק לתיקון פקודת האגודות השיתופיות (מספר בתי אב ביישוב קהילתי), התשפ"ג-2023</t>
  </si>
  <si>
    <t xml:space="preserve"> (פ/1832/25)</t>
  </si>
  <si>
    <t xml:space="preserve">27.06.2023</t>
  </si>
  <si>
    <t xml:space="preserve">חוק ההתייעלות הכלכלית (תיקוני חקיקה להשגת יעדי התקציב לשנות התקציב 2017 ו-2018) (תיקון מס' 9), התשפ"ג-2023</t>
  </si>
  <si>
    <t xml:space="preserve"> (פ/1044/25)</t>
  </si>
  <si>
    <t xml:space="preserve"> (כ/957)</t>
  </si>
  <si>
    <t xml:space="preserve">החוק מתקן את המנגנון להקצאת תשלומים לרשויות הסמוכות לנתב"ג כך שיימחק הסעיף המקצה חלק מהתקציב לרשויות ספציפיות ותבוטל האפשרות לקבוע עבורן כללי חלוקה שונים.</t>
  </si>
  <si>
    <t xml:space="preserve">הצעת חוק הגנת הצרכן (תיקון מס' 68) (שירות טלפוני לביטול עסקה עם חברת תעופה), התשפ"ג–2023</t>
  </si>
  <si>
    <t xml:space="preserve"> (פ/2051/25)</t>
  </si>
  <si>
    <t xml:space="preserve"> (כ/964)</t>
  </si>
  <si>
    <t xml:space="preserve">הצעת חוק לתיקון פקודת המועצות המקומיות (מס' 79) (אחוז החסימה בבחירות לוועד מקומי), התשפ"ג–2023</t>
  </si>
  <si>
    <t xml:space="preserve"> (פ/799/25)</t>
  </si>
  <si>
    <t xml:space="preserve"> (כ/963)</t>
  </si>
  <si>
    <t xml:space="preserve">חוק לייעול האכיפה והפיקוח העירוניים ברשויות המקומיות (הוראת שעה) (תיקון מס' 10), התשפ"ג-2023</t>
  </si>
  <si>
    <t xml:space="preserve"> (מ/1536)</t>
  </si>
  <si>
    <t xml:space="preserve">26.06.2023</t>
  </si>
  <si>
    <t xml:space="preserve">החוק מאריך את תוקפו של חוק לייעול האכיפה והפיקוח העירוניים ברשויות המקומיות, התשע"א-2011, המסמיך פקחים עירוניים לאכיפת חוקי העזר ומסדיר את פעילות מערך השיטור העירוני, לתקופה של שישה חודשים, עד ליום י"ט בטבת התשפ"ד (31 בדצמבר 2023). </t>
  </si>
  <si>
    <t xml:space="preserve"> (פ/3620/25)</t>
  </si>
  <si>
    <t xml:space="preserve">הצעת חוק הביטוח הלאומי (תיקון - שעות סיעוד עובדים זרים), התשפ"ג-2023</t>
  </si>
  <si>
    <t xml:space="preserve"> (פ/3618/25)</t>
  </si>
  <si>
    <t xml:space="preserve">הצעת חוק מאבק בארגוני פשיעה (תיקון - הרחבת הנסיבה המחמירה לזיקה לארגון פשיעה), התשפ"ג-2023</t>
  </si>
  <si>
    <t xml:space="preserve"> (פ/3617/25)</t>
  </si>
  <si>
    <t xml:space="preserve"> (פ/3615/25)</t>
  </si>
  <si>
    <t xml:space="preserve">הצעת חוק לתיקון פקודת בתי הסוהר (שלילת זכויות יתר מאסיר ביטחוני המשתייך לארגון טרור), התשפ"ג-2023</t>
  </si>
  <si>
    <t xml:space="preserve"> (פ/3613/25)</t>
  </si>
  <si>
    <t xml:space="preserve">הצעת חוק קליטת חיילים משוחררים (תיקון - הוקרת שירות הלוחם והלוחמת), התשפ"ג-2023</t>
  </si>
  <si>
    <t xml:space="preserve"> (פ/3612/25)</t>
  </si>
  <si>
    <t xml:space="preserve">הצעת חוק לתיקון פקודת העיריות (הודעה מוקדמת לחייב), התשפ"ג-2023</t>
  </si>
  <si>
    <t xml:space="preserve"> (פ/3611/25)</t>
  </si>
  <si>
    <t xml:space="preserve">הצעת חוק שירות מילואים בהצטיינות, התשפ"ג-2023</t>
  </si>
  <si>
    <t xml:space="preserve"> (פ/3610/25)</t>
  </si>
  <si>
    <t xml:space="preserve">הצעת חוק עבודת נשים (תיקון - תקופת לידה והורות מיועדת לאב), התשפ"ג-2023</t>
  </si>
  <si>
    <t xml:space="preserve"> (פ/3609/25)</t>
  </si>
  <si>
    <t xml:space="preserve">הצעת חוק עבודת נשים (תיקון - זכות להיעדר מעבודה בעת שירות מילואים של בן הזוג), התשפ"ג-2023</t>
  </si>
  <si>
    <t xml:space="preserve"> (פ/3608/25)</t>
  </si>
  <si>
    <t xml:space="preserve">הצעת חוק להסדרת הפיקוח על כלבים (תיקון - כלבי הפקר), התשפ"ג-2023</t>
  </si>
  <si>
    <t xml:space="preserve"> (פ/3607/25)</t>
  </si>
  <si>
    <t xml:space="preserve">הצעת חוק חובת לימודי ליבה וביטול מוסדות הפטור (תיקוני חקיקה), התשפ"ג-2023</t>
  </si>
  <si>
    <t xml:space="preserve"> (פ/3606/25)</t>
  </si>
  <si>
    <t xml:space="preserve"> (פ/3605/25)</t>
  </si>
  <si>
    <t xml:space="preserve">הצעת חוק חג המימונה, התשפ"ג-2023 </t>
  </si>
  <si>
    <t xml:space="preserve"> (פ/3604/25)</t>
  </si>
  <si>
    <t xml:space="preserve">הצעת חוק-יסוד: נשיא המדינה (תיקון - ביטול סמכות חנינה לאסירי עולם ביטחוניים)</t>
  </si>
  <si>
    <t xml:space="preserve"> (פ/3601/25)</t>
  </si>
  <si>
    <t xml:space="preserve"> (פ/3599/25)</t>
  </si>
  <si>
    <t xml:space="preserve">הצעת חוק יום לציון פרשת היעלמותם של ילדי תימן, המזרח והבלקן, התשפ"ג-2023</t>
  </si>
  <si>
    <t xml:space="preserve"> (פ/3598/25)</t>
  </si>
  <si>
    <t xml:space="preserve">הצעת חוק המאבק בטרור (תיקון - הסתה לטרור), התשפ"ג-2023</t>
  </si>
  <si>
    <t xml:space="preserve"> (פ/3596/25)</t>
  </si>
  <si>
    <t xml:space="preserve">הצעת חוק להסדרת מקצוע עוזר רופא, התשפ"ג-2023</t>
  </si>
  <si>
    <t xml:space="preserve"> (פ/3595/25)</t>
  </si>
  <si>
    <t xml:space="preserve">הצעת חוק-יסוד: הממשלה (תיקון - סמכויות הממשלה בענייניה המשפטיים)</t>
  </si>
  <si>
    <t xml:space="preserve"> (פ/3594/25)</t>
  </si>
  <si>
    <t xml:space="preserve">הצעת חוק עובדים זרים (תיקון - הפחתת אגרה לעובדים בענף המלונאות), התשפ"ג-2023</t>
  </si>
  <si>
    <t xml:space="preserve"> (פ/3593/25)</t>
  </si>
  <si>
    <t xml:space="preserve">הצעת חוק התכנון והבנייה (תיקון - שינוי מדיניות ההתנגדויות), התשפ"ג-2023</t>
  </si>
  <si>
    <t xml:space="preserve"> (פ/3592/25)</t>
  </si>
  <si>
    <t xml:space="preserve"> (פ/3591/25)</t>
  </si>
  <si>
    <t xml:space="preserve">הצעת חוק למניעת התנכלות תעסוקתית, התשפ"ג-2023</t>
  </si>
  <si>
    <t xml:space="preserve"> (פ/3590/25)</t>
  </si>
  <si>
    <t xml:space="preserve">הצעת חוק קידום התחרות בענף המזון (תיקון - הפיכת הוראת שעה להוראה קבועה), התשפ''ג-2023</t>
  </si>
  <si>
    <t xml:space="preserve"> (פ/3589/25)</t>
  </si>
  <si>
    <t xml:space="preserve"> (פ/3588/25)</t>
  </si>
  <si>
    <t xml:space="preserve"> (פ/3587/25)</t>
  </si>
  <si>
    <t xml:space="preserve">הצעת חוק המועצה הישראלית לצרכנות (תיקון - ודאות תקציבית), התשפ"ג-2023</t>
  </si>
  <si>
    <t xml:space="preserve"> (פ/3586/25)</t>
  </si>
  <si>
    <t xml:space="preserve">הצעת חוק לתיקון פקודת ביטוח רכב מנועי (פוליסה לשני כלי רכב של נהג יחיד), התשפ"ג-2023</t>
  </si>
  <si>
    <t xml:space="preserve"> (פ/3585/25)</t>
  </si>
  <si>
    <t xml:space="preserve"> (פ/3584/25)</t>
  </si>
  <si>
    <t xml:space="preserve">הצעת חוק הביטוח הלאומי (תיקון - הוספה והסרה של עבודות מלוח ח'), התשפ"ג-2023</t>
  </si>
  <si>
    <t xml:space="preserve"> (פ/3583/25)</t>
  </si>
  <si>
    <t xml:space="preserve"> (פ/3581/25)</t>
  </si>
  <si>
    <t xml:space="preserve">הצעת חוק התכנון והבנייה (תיקון - החלטה מקדמית לפי תוכנית החיזוק), התשפ"ג-2023</t>
  </si>
  <si>
    <t xml:space="preserve"> (פ/3580/25)</t>
  </si>
  <si>
    <t xml:space="preserve"> (פ/3578/25)</t>
  </si>
  <si>
    <t xml:space="preserve">הצעת חוק זכויות הסטודנט (תיקון - ביטול ארגון סטודנטים יציג), התשפ"ג-2023</t>
  </si>
  <si>
    <t xml:space="preserve"> (פ/3577/25)</t>
  </si>
  <si>
    <t xml:space="preserve">הצעת חוק מבקר המדינה (תיקון - הגנה על חושפי שחיתויות במשטרת ישראל), התשפ''ג-2023</t>
  </si>
  <si>
    <t xml:space="preserve"> (פ/3576/25)</t>
  </si>
  <si>
    <t xml:space="preserve"> (פ/3575/25)</t>
  </si>
  <si>
    <t xml:space="preserve">הצעת חוק לתיקון פקודת העיריות (אבטחת גורמים מאוימים בתאגידים עירוניים), התשפ"ג-2023</t>
  </si>
  <si>
    <t xml:space="preserve"> (פ/3574/25)</t>
  </si>
  <si>
    <t xml:space="preserve">הצעת חוק המועצות האזוריות (בחירת ראש המועצה) (תיקון - הגשת רשימה על ידי סיעה או מפלגה), התשפ"ג-2023</t>
  </si>
  <si>
    <t xml:space="preserve"> (פ/3573/25)</t>
  </si>
  <si>
    <t xml:space="preserve">הצעת חוק החברות (תיקון - ייצוג הולם לבני שני המינים בדירקטוריונים של חברות ציבוריות), התשפ"ג-2023</t>
  </si>
  <si>
    <t xml:space="preserve"> (פ/3571/25)</t>
  </si>
  <si>
    <t xml:space="preserve">הצעת חוק בתי דין רבניים (קיום פסקי דין של גירושין) (תיקון - הגבלת שימוש בכרטיסי אשראי לסרבני גט), התשפ"ג-2023</t>
  </si>
  <si>
    <t xml:space="preserve"> (פ/3569/25)</t>
  </si>
  <si>
    <t xml:space="preserve">הצעת חוק העונשין (תיקון - קביעת עונש מינימום בגין נטילת דמי חסות), התשפ"ג-2023</t>
  </si>
  <si>
    <t xml:space="preserve"> (פ/3566/25)</t>
  </si>
  <si>
    <t xml:space="preserve">הצעת חוק התכנון והבנייה (תיקון - שימוש חורג בקרקע חקלאית), התשפ"ג-2023</t>
  </si>
  <si>
    <t xml:space="preserve"> (פ/3565/25)</t>
  </si>
  <si>
    <t xml:space="preserve">הצעת חוק העונשין (תיקון - חובת פיצוי נפגע עבירה וחובת הנמקה), התשפ"ג-2023</t>
  </si>
  <si>
    <t xml:space="preserve"> (פ/3564/25)</t>
  </si>
  <si>
    <t xml:space="preserve">הצעת חוק מימון מפלגות (תיקון - ייצוג לנשים ברשימת המועמדים), התשפ"ג-2023</t>
  </si>
  <si>
    <t xml:space="preserve"> (פ/3563/25)</t>
  </si>
  <si>
    <t xml:space="preserve"> (פ/3560/25)</t>
  </si>
  <si>
    <t xml:space="preserve">הצעת חוק עיקול ותפיסה מידתיים של נכסים המוחזקים בידי צד שלישי (תיקוני חקיקה), התשפ"ג-2023</t>
  </si>
  <si>
    <t xml:space="preserve"> (פ/3559/25)</t>
  </si>
  <si>
    <t xml:space="preserve">הצעת חוק בתי המשפט (תיקון - מחלקות לעבירות מין), התשפ"ג-2023</t>
  </si>
  <si>
    <t xml:space="preserve"> (פ/3558/25)</t>
  </si>
  <si>
    <t xml:space="preserve">הצעת חוק לתיקון פקודת מס הכנסה (ניכוי ריבית על משכנתה וסיוע ברכישת דירה), התשפ"ג-2023</t>
  </si>
  <si>
    <t xml:space="preserve"> (פ/3557/25)</t>
  </si>
  <si>
    <t xml:space="preserve">הצעת חוק מס ערך מוסף (תיקון - הגבלת שיעור מס שכר למלכ"רים בירושלים), התשפ"ג-2023</t>
  </si>
  <si>
    <t xml:space="preserve"> (פ/3556/25)</t>
  </si>
  <si>
    <t xml:space="preserve">הצעת חוק תשלום קצבאות לחיילי מילואים ולבני משפחותיהם (תיקון - השוואת תנאי אלמנות חללי המילואים), התשפ"ג-2023</t>
  </si>
  <si>
    <t xml:space="preserve"> (פ/3555/25)</t>
  </si>
  <si>
    <t xml:space="preserve">הצעת חוק חילוט תקבולי עבירה בפשיעה חקלאית, התשפ"ג-2023</t>
  </si>
  <si>
    <t xml:space="preserve"> (פ/3554/25)</t>
  </si>
  <si>
    <t xml:space="preserve"> (פ/3553/25)</t>
  </si>
  <si>
    <t xml:space="preserve"> (פ/3552/25)</t>
  </si>
  <si>
    <t xml:space="preserve">הצעת חוק התכנון והבנייה (תיקון - מכירה ישירה של תוצרת חקלאית), התשפ"ג-2023</t>
  </si>
  <si>
    <t xml:space="preserve"> (פ/3550/25)</t>
  </si>
  <si>
    <t xml:space="preserve">הצעת חוק הכניסה לישראל (תיקון - איסור כניסת פעילי טרור), התשפ"ג-2023</t>
  </si>
  <si>
    <t xml:space="preserve"> (פ/3548/25)</t>
  </si>
  <si>
    <t xml:space="preserve">הצעת חוק שירותי תשלום (תיקון - דיווח על ניצול כלכלי של אזרח ותיק או חסר ישע), התשפ"ג -2023</t>
  </si>
  <si>
    <t xml:space="preserve"> (פ/3547/25)</t>
  </si>
  <si>
    <t xml:space="preserve">הצעת חוק אומנה לילדים (תיקון - העברת תשלומים להורה אומנה במקרים מיוחדים), התשפ"ג-2023</t>
  </si>
  <si>
    <t xml:space="preserve"> (פ/3094/25)</t>
  </si>
  <si>
    <t xml:space="preserve">21.06.2023</t>
  </si>
  <si>
    <t xml:space="preserve">הצעת חוק איסור טיפול המרה לקטין, התשפ"ג-2023</t>
  </si>
  <si>
    <t xml:space="preserve"> (פ/2107/25)</t>
  </si>
  <si>
    <t xml:space="preserve"> (פ/1975/25)</t>
  </si>
  <si>
    <t xml:space="preserve">הצעת חוק הבחירות לכנסת (תיקון - הצבעת אנשי צוות אוויר), התשפ"ג-2022</t>
  </si>
  <si>
    <t xml:space="preserve"> (פ/504/25)</t>
  </si>
  <si>
    <t xml:space="preserve">חוק לביטול אזרחותו או תושבותו של פעיל טרור שמקבל תגמול עבור ביצוע מעשה הטרור (תיקוני חקיקה), התשפ"ג-2023</t>
  </si>
  <si>
    <t xml:space="preserve"> (פ/373/25)</t>
  </si>
  <si>
    <t xml:space="preserve"> (כ/946)</t>
  </si>
  <si>
    <t xml:space="preserve">20.06.2023</t>
  </si>
  <si>
    <t xml:space="preserve">נקבע כי אזרח או תושב ישראלי שהורשע בביצוע עבירה שהיא הפרת אמונים למדינת ישראל, נגזר עליו מאסר בפועל בגינה, והוכח כי הרשות הפלסטינית מתגמלת אותו על כך, ניתן יהיה לבטל את אזרחותו או את רישיונו לישיבת הקבע לפי העניין, ולהרחיקו לשטחי הרשות הפלסטינית או לרצועת עזה. רישיון ישיבת קבע יבוטל על ידי שר הפנים, לאחר היוועצות בוועדה מייעצת ובהסכמת שר המשפטים, וביטול אזרחות יהיה על ידי בית המשפט, לבקשת שר הפנים, לאחר היוועצות בוועדה מייעצת ובהסכמת שר המשפטים. החוק תוחם את לוח הזמנים להליך ביטול התושבות או האזרחות וקובע חזקה לפיה אדם שקיבל כספים כאמור,  זכאי למעמד ברשות הפלסטינית. </t>
  </si>
  <si>
    <t xml:space="preserve">חוק תאגידי מים וביוב (תיקון מס' 15), התשפ"ג–2023</t>
  </si>
  <si>
    <t xml:space="preserve"> (פ/2313/25)</t>
  </si>
  <si>
    <t xml:space="preserve"> (כ/954)</t>
  </si>
  <si>
    <t xml:space="preserve">חוק תאגידי מים וביוב (תיקון מס' 15) (להלן – התיקון) כולל כמה תיקונים לחוק תאגידי מים וביוב, התשס"א–2001 (להלן – החוק). התיקון דוחה את המועד המחייב להקמת תאגידי מים וביוב אזוריים ל-1 בינואר 2025. בהתאם לכך, התיקון דוחה גם את המועד המחייב לעניין חובת התיאגוד, כלומר לעניין סמכות מועצת רשות המים להורות לרשות מקומית להצטרף לתאגיד מים וביוב או להקים תאגיד כאמור, כך שיחול ב-1 במאי 2024. הוראה כאמור טעונה התייעצות עם מנהל מינהל שלטון מקומי במשרד הפנים. עוד נקבע כי סכום העיצום הכספי בשל הפרת הוראת מועצת רשות המים כאמור יוגדל, ויוטל באופן מדורג, בהתאם לאשכול החברתי-כלכלי אליו משויכת הרשות המקומית. עם זאת, מועצת רשות המים לא תורה לרשות מקומית להצטרף לתאגיד מים וביוב ולא תטיל עליה עיצום כספי בשל אי-קיום ההוראה, אם שוכנעה כי הרשות המקומית עשתה כל שביכולתה כדי להצטרף לתאגיד מים וביוב קיים, ובשל נסיבות שאינן בשליטת הרשות המקומית וכל עוד מתקיימות אותן נסיבות, הדבר אינו אפשרי. בנוסף, התיקון מבטל את המגבלה הקיימת בחוק, שלפיה מספר תאגידי מים וביוב אזוריים לא יעלה על 30, כלומר מספר התאגידים האזוריים ייקבע בהחלטת מועצת רשות המים ללא מגבלה מספרית בחוק. כמו כן, הסמכות לבדיקת מינויים של דירקטורים ומנכ"לים בתאגידי מים וביוב תעבור מהוועדה לבדיקת מינויים המייעצת לרשות החברות הממשלתיות, לידי הוועדה למינוי דירקטורים חיצוניים ברשות המים. הוועדה האמורה תדון ותחליט בעניינו של מועמד בתקופות המפורטות בחוק, שיימנו מיום שהוגשו לה כל המסמכים והמידע שדרשה לשם קבלת החלטה. בהמשך לכך, התיקון קובע הוראת שעה ולפיה אם הוועדה האמורה לא קיבלה החלטה בעניינו של מועמד לכהונת דירקטור בתוך התקופות הקצובות כאמור, מועצת הרשות המקומית תוכל למנות את המועמד לדירקטור שיכהן עד להחלטת הוועדה בעניינו, בכפוף להעברת מסמכים על ידי הרשות המקומית שמבקשת למנותו ולבדיקת היועץ המשפטי של התאגיד בדבר התקיימות תנאי הכשירות למינויו. עוד נקבע כי ראש רשות מקומית או חבר רשות מקומית, המבקשים להתמנות כדירקטורים בתאגיד מים וביוב, לא יידרשו לעמוד בתנאי הכשירות למינוי לעניין ניסיון והשכלה שכן מדובר בנבחרי ציבור. עם זאת, הוראה זו לא תחול לגבי חבר מועצה המועמד לכהן כיושב ראש דירקטוריון.   נושא נוסף הנכלל בתיקון נוגע לחלוקת דיבידנדים של תאגידי המים והביוב. בעניין זה נקבע כי הממונה על התאגידים ברשות המים יהיה רשאי לאשר חלוקת דיבידנד לרשות מקומית גם אם תאגיד מים וביוב שבבעלותה לא ביצע שלב משלבי ההקמה של תאגיד אזורי. כמו כן, התיקון מחדש את הוראות השעה שהיו בתוקף בעבר לעניין פטור ממס דיבידנדים שמחלקים תאגידי המים והביוב וזאת עד סוף שנת 2023, וכן לעניין פטור ממס חברות לגבי הכנסות של התאגידים עד סוף שנת 2022. </t>
  </si>
  <si>
    <t xml:space="preserve"> (פ/1583/25)</t>
  </si>
  <si>
    <t xml:space="preserve">19.06.2023</t>
  </si>
  <si>
    <t xml:space="preserve">חוק טיפול בחולי נפש (תיקון מס' 12), התשפ"ג-2023</t>
  </si>
  <si>
    <t xml:space="preserve"> (מ/1618)</t>
  </si>
  <si>
    <t xml:space="preserve">חוק זה קובע הוראות לעניין חברי הוועדות הפסיכיאטריות שממונות ופועלות לפי חוק טיפול בחולי נפש, התשנ"א-1991.  החוק מבטל את ההבחנה שהיתה קיימת בין עובדי מדינה לבין מי שאינם עובדי מדינה לעניין מינוי פסיכיאטרים לכהן כחברי ועדה פסיכיאטרית מחוזית, וכעת ימונו שני הפסיכיאטרים שהם חברי הוועדה המחוזית מרשימה אחת שאותה יערוך השר בהתייעצות עם ההסתדרות הרפואית בישראל. נוסף על כך, החוק מחיל על חברי הוועדות הפסיכיאטריות השונות הוראות להבטחת טוהר המידות ומניעת ניגוד עניינים. כמו כן החוק קובע הגבלה על תקופת הכהונה של חבר ועדה פסיכיאטרית והוראות לעניין הפסקת הכהונה על ידי השר לפני תום התקופה. כמו כן לפי הוראות חוק זה ימונה שופט בדימוס אשר יהיה אחראי על בירור תלונות על התנהגות חברי הוועדה במסגרת מילוי תפקידם, והוא יהיה מוסמך, בין השאר, להמליץ לשר להעביר חבר ועדה מכהונתו או להתלות את כהונתו או להתרות בו. </t>
  </si>
  <si>
    <t xml:space="preserve">חוק התחרות הכלכלית (תיקון מס' 23 והוראת שעה), התשפ"ג-2023</t>
  </si>
  <si>
    <t xml:space="preserve"> (מ/1550)</t>
  </si>
  <si>
    <t xml:space="preserve">החוק אוסר על יבואנים ישירים לעשות מעשים, המנויים בתוספת לחוק, שעלולים לפגוע בייבוא מקביל או בייבוא אישי. בהתאם לחוק, האיסור יחול על יבואן ישיר שעשה מעשה מהמעשים המנויים בתוספת, אם כתוצאה מהמעשה עלול להיפגע ייבוא מקביל או ייבוא אישי ובשל כך עלולה להיפגע התחרות בענף הנוגע בדבר; אם עיקרו של המעשה הוא מניעה או הפחתה של התחרות מצד ייבוא מקביל או ייבוא אישי; או אם המעשה עלול למנוע או להפחית את התחרות מצד ייבוא מקביל או ייבוא אישי ואינו נחוץ למימוש עיקרו של ייבוא הטובין על ידי היבואן הישיר. כמו כן, החוק מסמיך את שר הכלכלה והתעשייה בהמלצת הממונה על התחרות ובאישור ועדת הכלכלה של הכנסת, לשנות את התוספת לחוק כאמור. בנוסף, התיקון מקנה סמכות לממונה על התחרות להטיל עיצום כספי על יבואן ישיר המפר את הוראות החוק לעניין פגיעה בייבוא מקביל או יבוא אישי. כמו כן, בחוק זה נקבעה הוראת שעה לפיה הממונה על התחרות ידווח לוועדת הכלכלה, אחת לשנה, במשך ארבע שנים, על יישום הוראות התיקון ופעולות האכיפה שנעשו מכוחן. נוסף על כך, החוק כולל תיקון עקיף לחוק רישוי שירותים ומקצועות בענף הרכב, שהוסף בדיוני ועדת הכלכלה ומטרתו להסיר חסמים בפני ייבוא מקביל של כלי רכב. בהתאם לתיקון העקיף, וכדי שיבואני רכב שהם יבואנים מקבילים יוכלו לקבל העדפה בשיעור המכס כמו יבואנים ישירים, נקבעה הוראת שעה שתהיה בתוקף עד 30.6.2025 המחייבת יבואני רכב שהם יבואנים ישירים למסור למנהל המכס פרטים לגבי דגמי כלי הרכב המיובאים על ידם ויש לגביהם "תעודת מקור". עוד נקבע כי מנהל המכס יעביר למנהל במשרד התחבורה והבטיחות בדרכים, שהוא הרגולטור של יבואני הרכב, פרטים לגבי יבואנים ישירים שלא מסרו מידע כאמור, וזאת כדי שניתן יהיה להפעיל כלפיהם אמצעי אכיפה לפי החוק. עם זאת, הסמכות להטיל עיצומים כספיים על יבואנים ישירים שהפרו את חובת מסירת המידע תיכנס לתוקף ב-1.1.2025. </t>
  </si>
  <si>
    <t xml:space="preserve">הצעת חוק מס הכנסה (מיסוי הכנסה מפעילות בכלי שיט לפי תפוסה), התשפ"ג-2023</t>
  </si>
  <si>
    <t xml:space="preserve"> (פ/3545/25)</t>
  </si>
  <si>
    <t xml:space="preserve">הצעת חוק לשכת עורכי הדין (תיקון - השעיה עד סיום ההליכים), התשפ"ג-2023</t>
  </si>
  <si>
    <t xml:space="preserve"> (פ/3544/25)</t>
  </si>
  <si>
    <t xml:space="preserve">הצעת חוק לתיקון פקודת מס הכנסה (ידועים בציבור), התשפ"ג-2023</t>
  </si>
  <si>
    <t xml:space="preserve"> (פ/3543/25)</t>
  </si>
  <si>
    <t xml:space="preserve">הצעת חוק ביטוח בריאות ממלכתי (תיקון - ביטול החרגת חיילים), התשפ"ג-2023</t>
  </si>
  <si>
    <t xml:space="preserve"> (פ/3541/25)</t>
  </si>
  <si>
    <t xml:space="preserve">הצעת חוק לתיקון פקודת מס הכנסה (החזר בתשלום למעונות יום לאימהות), התשפ"ג-2023</t>
  </si>
  <si>
    <t xml:space="preserve"> (פ/3540/25)</t>
  </si>
  <si>
    <t xml:space="preserve">הצעת חוק לתיקון פקודת מס הכנסה (חשבון השקעה), התשפ"ג-2023</t>
  </si>
  <si>
    <t xml:space="preserve"> (פ/3539/25)</t>
  </si>
  <si>
    <t xml:space="preserve">הצעת חוק שוויון זכויות לאנשים עם מוגבלות (תיקון - מידע בדבר עמידת מעסיקים פרטיים גדולים ביעד הייצוג ההולם), התשפ"ג-2023</t>
  </si>
  <si>
    <t xml:space="preserve"> (פ/3538/25)</t>
  </si>
  <si>
    <t xml:space="preserve"> (פ/3537/25)</t>
  </si>
  <si>
    <t xml:space="preserve">הצעת חוק הגנת השכר (תיקון - פירוט עלות מעסיק), התשפ"ג-2023</t>
  </si>
  <si>
    <t xml:space="preserve"> (פ/3536/25)</t>
  </si>
  <si>
    <t xml:space="preserve"> (פ/3534/25)</t>
  </si>
  <si>
    <t xml:space="preserve">הצעת חוק החברות הממשלתיות (תיקון - ייצוג הולם בקרב עובדי החברות הממשלתיות), התשפ"ג-2023</t>
  </si>
  <si>
    <t xml:space="preserve"> (פ/3533/25)</t>
  </si>
  <si>
    <t xml:space="preserve">הצעת חוק לתיקון פקודת בריאות העם (מכשירים רפואיים מיוחדים), התשפ"ג-2023</t>
  </si>
  <si>
    <t xml:space="preserve"> (פ/3530/25)</t>
  </si>
  <si>
    <t xml:space="preserve">הצעת חוק צעירים חסרי עורף משפחתי, התשפ"ג-2023</t>
  </si>
  <si>
    <t xml:space="preserve"> (פ/3529/25)</t>
  </si>
  <si>
    <t xml:space="preserve">הצעת חוק לתיקון פקודת הדיג (איכון ספינות דיג), התשפ"ג-2023</t>
  </si>
  <si>
    <t xml:space="preserve"> (פ/3528/25)</t>
  </si>
  <si>
    <t xml:space="preserve">הצעת חוק איסור הפליה במוצרים, בשירותים ובכניסה למקומות בידור ולמקומות ציבוריים (תיקון - איסור הפרדה), התשפ"ג-2023</t>
  </si>
  <si>
    <t xml:space="preserve"> (פ/3526/25)</t>
  </si>
  <si>
    <t xml:space="preserve">הצעת חוק העמותות (תיקון - הגבלת הכנסה ממדינות שאין לישראל יחסים רשמיים עימן), התשפ"ג-2023</t>
  </si>
  <si>
    <t xml:space="preserve"> (פ/3525/25)</t>
  </si>
  <si>
    <t xml:space="preserve">הצעת חוק הגבלת משקל בתעשיית הדוגמנות (תיקון - פיקוח ואכיפה), התשפ"ג-2023</t>
  </si>
  <si>
    <t xml:space="preserve"> (פ/3524/25)</t>
  </si>
  <si>
    <t xml:space="preserve">הצעת חוק שיפוט בתי דין רבניים (נישואין וגירושין) (תיקון - הסכם כבוד הדדי), התשפ"ג-2023</t>
  </si>
  <si>
    <t xml:space="preserve"> (פ/3523/25)</t>
  </si>
  <si>
    <t xml:space="preserve">הצעת חוק העונשין (תיקון - עבירות בנשק), התשפ"ג-2023</t>
  </si>
  <si>
    <t xml:space="preserve"> (פ/3522/25)</t>
  </si>
  <si>
    <t xml:space="preserve">הצעת חוק הרבנות הראשית לישראל (תיקון - כשירות להיבחר), התשפ"ג-2023 </t>
  </si>
  <si>
    <t xml:space="preserve"> (פ/3521/25)</t>
  </si>
  <si>
    <t xml:space="preserve">הצעת חוק הרשות לפיתוח הנגב (תיקון - שינוי הגדרת הנגב), התשפ"ג-2023</t>
  </si>
  <si>
    <t xml:space="preserve"> (פ/3520/25)</t>
  </si>
  <si>
    <t xml:space="preserve">הצעת חוק הביטוח הלאומי (תיקון - גמלת סיעוד בכסף בשיעור מלא), התשפ"ג-2023</t>
  </si>
  <si>
    <t xml:space="preserve"> (פ/3519/25)</t>
  </si>
  <si>
    <t xml:space="preserve">הצעת חוק למניעת הטרדה מינית (תיקון - פיטורי עובד עקב הטרדה מינית), התשפ"ג-2023</t>
  </si>
  <si>
    <t xml:space="preserve"> (פ/3518/25)</t>
  </si>
  <si>
    <t xml:space="preserve">הצעת חוק האזרחות (תיקון - ויתור על אזרחות ישראלית), התשפ"ג-2023</t>
  </si>
  <si>
    <t xml:space="preserve"> (פ/3517/25)</t>
  </si>
  <si>
    <t xml:space="preserve">הצעת חוק למניעת שחרור מוקדם של אדם שהורשע בביצוע מעשה טרור (תיקוני חקיקה), התשפ"ג- 2023 </t>
  </si>
  <si>
    <t xml:space="preserve"> (פ/3516/25)</t>
  </si>
  <si>
    <t xml:space="preserve">הצעת חוק התקשורת (בזק ושידורים) (תיקון - חובת בעל רישיון להעברת תכני חוזי-שמע להפקה או רכישה של הפקות מקומיות), התשפ"ג-2023</t>
  </si>
  <si>
    <t xml:space="preserve"> (פ/3514/25)</t>
  </si>
  <si>
    <t xml:space="preserve">הצעת חוק הפסקת היריון, התשפ"ג-2023</t>
  </si>
  <si>
    <t xml:space="preserve"> (פ/3513/25)</t>
  </si>
  <si>
    <t xml:space="preserve">הצעת חוק לתיקון פקודת הרוקחים (כתב ברייל), התשפ"ג-2023</t>
  </si>
  <si>
    <t xml:space="preserve"> (פ/3512/25)</t>
  </si>
  <si>
    <t xml:space="preserve">הצעת חוק להקפאת כספים ששילמה הרשות הפלסטינית בזיקה לטרור מהכספים המועברים אליה מממשלת ישראל (תיקון - הקפאת כספי תגמולים לתושבי האזור מכוח חוק התגמולים לנפגעי פעולות איבה), התשפ"ג-2023</t>
  </si>
  <si>
    <t xml:space="preserve"> (פ/3511/25)</t>
  </si>
  <si>
    <t xml:space="preserve">הצעת חוק מס ערך מוסף (תיקון - שיעור מס מופחת על מוצרי מזון בסיסיים), התשפג-2023</t>
  </si>
  <si>
    <t xml:space="preserve"> (פ/3508/25)</t>
  </si>
  <si>
    <t xml:space="preserve">הצעת חוק התקנת מצלמות לשם הגנה על פעוטות במעונות יום לפעוטות (תיקון - הרחבת הגישה לצילומים), התשפ"ג-2023 </t>
  </si>
  <si>
    <t xml:space="preserve"> (פ/3507/25)</t>
  </si>
  <si>
    <t xml:space="preserve">הצעת חוק המקרקעין (תיקון - התקנת מעלית מטעמים מיוחדים), התשפ"ג-2023</t>
  </si>
  <si>
    <t xml:space="preserve"> (פ/3506/25)</t>
  </si>
  <si>
    <t xml:space="preserve">הצעת חוק העונשין (תיקון - הארכת ההתיישנות בעבירות מין בקטינים), התשפ"ג-2023</t>
  </si>
  <si>
    <t xml:space="preserve"> (פ/3505/25)</t>
  </si>
  <si>
    <t xml:space="preserve">הצעת חוק הביטוח הלאומי (תיקון - מאבטח מעברים כעבודה מועדפת), תשפ"ג-2023</t>
  </si>
  <si>
    <t xml:space="preserve"> (פ/3504/25)</t>
  </si>
  <si>
    <t xml:space="preserve">הצעת חוק שיפוט בתי דין רבניים (נישואין וגירושין) (תיקון - החרגת שפיטה בענייני רכוש בעת גירושין), התשפ"ג-2023</t>
  </si>
  <si>
    <t xml:space="preserve"> (פ/3503/25)</t>
  </si>
  <si>
    <t xml:space="preserve">הצעת חוק לתיקון פקודת מס הכנסה (מיסוי הכנסה מגורמים זרים), התשפ"ג-2023</t>
  </si>
  <si>
    <t xml:space="preserve"> (פ/3502/25)</t>
  </si>
  <si>
    <t xml:space="preserve">הצעת חוק נישואין וגירושין, התשפ"ג-2023</t>
  </si>
  <si>
    <t xml:space="preserve"> (פ/3501/25)</t>
  </si>
  <si>
    <t xml:space="preserve">הצעת חוק העונשין (תיקון - חילוט רווחי סרסרות), התשפ"ג-2023</t>
  </si>
  <si>
    <t xml:space="preserve"> (פ/3500/25)</t>
  </si>
  <si>
    <t xml:space="preserve">הצעת חוק הרשות לקידום מעמד האישה (תיקון - שם הרשות ותיקונים במבנה הארגוני של הרשות), התשפ"ג-2023</t>
  </si>
  <si>
    <t xml:space="preserve"> (פ/3499/25)</t>
  </si>
  <si>
    <t xml:space="preserve">הצעת חוק שיפוט בתי דין רבניים (נישואין וגירושין) (תיקון - כפיית גט), התשפ"ג-2023</t>
  </si>
  <si>
    <t xml:space="preserve"> (פ/3498/25)</t>
  </si>
  <si>
    <t xml:space="preserve">הצעת חוק שיקום, פיצוי וסיוע משפטי לנפגעי עבירות מין, התשפ"ג-2023</t>
  </si>
  <si>
    <t xml:space="preserve"> (פ/3497/25)</t>
  </si>
  <si>
    <t xml:space="preserve"> (פ/3496/25)</t>
  </si>
  <si>
    <t xml:space="preserve"> (פ/3495/25)</t>
  </si>
  <si>
    <t xml:space="preserve"> (פ/3494/25)</t>
  </si>
  <si>
    <t xml:space="preserve">הצעת חוק סמכויות מינהליות (מעצרים והגבלות) (הוראת שעה), התשפ"ג-2023</t>
  </si>
  <si>
    <t xml:space="preserve"> (פ/3492/25)</t>
  </si>
  <si>
    <t xml:space="preserve">הצעת חוק להקפאת כספים ששילמה הרשות הפלסטינית בזיקה לטרור מהכספים המועברים אליה מממשלת ישראל (תיקון - שיפוי המדינה על נזקי טרור), התשפ"ג-2023 </t>
  </si>
  <si>
    <t xml:space="preserve"> (פ/3491/25)</t>
  </si>
  <si>
    <t xml:space="preserve">הצעת חוק חוזה הביטוח (תיקון - התיישנות וריבית מיוחדת), התשפ"ג-2023</t>
  </si>
  <si>
    <t xml:space="preserve"> (פ/3490/25)</t>
  </si>
  <si>
    <t xml:space="preserve"> (פ/3489/25)</t>
  </si>
  <si>
    <t xml:space="preserve"> (פ/3488/25)</t>
  </si>
  <si>
    <t xml:space="preserve">הצעת חוק מאבק בארגוני פשיעה (תיקון - הרחבת הנסיבה המחמירה לזיקה בארגון פשיעה), התשפ"ג-2023</t>
  </si>
  <si>
    <t xml:space="preserve"> (פ/3067/25)</t>
  </si>
  <si>
    <t xml:space="preserve">14.06.2023</t>
  </si>
  <si>
    <t xml:space="preserve">הצעת חוק לתיקון פקודת סדר הדין הפלילי (מעצר וחיפוש) (שלילת הסכמה כהיתר לחיפוש בחומר מחשב), התשפ"ג-2023</t>
  </si>
  <si>
    <t xml:space="preserve"> (פ/2927/25)</t>
  </si>
  <si>
    <t xml:space="preserve">הצעת חוק הפיקוח על שירותים פיננסיים (קופות גמל) (תיקון - שלילת זכאות לקצבאות ולפיצויי פיטורים עקב ביצוע פעילות טרור), התשפ"ג-2023</t>
  </si>
  <si>
    <t xml:space="preserve"> (פ/2644/25)</t>
  </si>
  <si>
    <t xml:space="preserve">הצעת חוק הרשויות המקומיות (מימון בחירות) (תיקון - עידוד התמודדות נשים לראשות רשות מקומית או מועצה אזורית), התשפ"ג-2023</t>
  </si>
  <si>
    <t xml:space="preserve"> (פ/1948/25)</t>
  </si>
  <si>
    <t xml:space="preserve"> (פ/1759/25)</t>
  </si>
  <si>
    <t xml:space="preserve">הצעת חוק העונשין (תיקון - קנס על החזקת נשק בלתי חוקי), התשפ"ג-2023</t>
  </si>
  <si>
    <t xml:space="preserve"> (פ/1515/25)</t>
  </si>
  <si>
    <t xml:space="preserve">הצעת חוק לקידום שירותים פיננסיים חברתיים (תיקוני חקיקה), התשפ"ג-2022</t>
  </si>
  <si>
    <t xml:space="preserve"> (פ/742/25)</t>
  </si>
  <si>
    <t xml:space="preserve">הצעת חוק העונשין (תיקון - הרחבת הגדרת הגזענות), התשפ"ג-2022</t>
  </si>
  <si>
    <t xml:space="preserve"> (פ/11/25)</t>
  </si>
  <si>
    <t xml:space="preserve">פרק כ"ה (שונות), רק סעיפים 96(2) ו-97 (חוק רישוי שירותים ומקצועות בענף הרכב) מתוך הצעת חוק התכנית הכלכלית (תיקוני חקיקה ליישום המדיניות הכלכלית לשנות התקציב 2023 ו-2024), התשפ"ג-2023 [פוצלה לפי סעיף 84(ב) לתקנון]</t>
  </si>
  <si>
    <t xml:space="preserve">13.06.2023</t>
  </si>
  <si>
    <t xml:space="preserve">הצעת חוק לתיקון פקודת התעבורה (הגבלת דמי חניה במוסד רפואי), התשפ"ג-2023</t>
  </si>
  <si>
    <t xml:space="preserve"> (פ/2450/25)</t>
  </si>
  <si>
    <t xml:space="preserve">הצעת חוק לתיקון פקודת התעבורה (הגבלת תשלום בעד חניה במוסד רפואי), התשפ"ג-2023</t>
  </si>
  <si>
    <t xml:space="preserve"> (פ/2135/25)</t>
  </si>
  <si>
    <t xml:space="preserve">הצעת חוק לתיקון פקודת התעבורה (הגבלת תשלום דמי חניה במוסד רפואי), התשפ"ג-2023</t>
  </si>
  <si>
    <t xml:space="preserve"> (פ/1772/25)</t>
  </si>
  <si>
    <t xml:space="preserve">הצעת חוק לתיקון פקודת התעבורה (הגבלת דמי חניה בחניוני בתי חולים), התשפ"ג-2023</t>
  </si>
  <si>
    <t xml:space="preserve"> (פ/1499/25)</t>
  </si>
  <si>
    <t xml:space="preserve"> (פ/1289/25)</t>
  </si>
  <si>
    <t xml:space="preserve">הצעת חוק לתיקון פקודת התעבורה (הגבלת דמי חניה בחניוני בתי חולים), התשפ"ג-2022</t>
  </si>
  <si>
    <t xml:space="preserve"> (פ/858/25)</t>
  </si>
  <si>
    <t xml:space="preserve"> (פ/857/25)</t>
  </si>
  <si>
    <t xml:space="preserve"> (פ/477/25)</t>
  </si>
  <si>
    <t xml:space="preserve"> (פ/268/25)</t>
  </si>
  <si>
    <t xml:space="preserve">הצעת חוק לתיקון פקודת התעבורה (הגבלת תשלום דמי חניה במוסד רפואי), התשפ"ג-2022</t>
  </si>
  <si>
    <t xml:space="preserve"> (פ/203/25)</t>
  </si>
  <si>
    <t xml:space="preserve">הצעת חוק התקשורת (בזק ושידורים) (תיקון - התראת חיוב בהתקשרות לחוץ לארץ), התשפ"ג-2023</t>
  </si>
  <si>
    <t xml:space="preserve"> (פ/1573/25)</t>
  </si>
  <si>
    <t xml:space="preserve">הצעת חוק לתיקון פקודת המועצות המקומיות (בחירות לוועד מקומי במועצה אזורית), התשפ"ג-2023</t>
  </si>
  <si>
    <t xml:space="preserve"> (פ/2787/25)</t>
  </si>
  <si>
    <t xml:space="preserve">12.06.2023</t>
  </si>
  <si>
    <t xml:space="preserve">חוק הדרכונים (תיקון מס' 10), התשפ"ג-2023</t>
  </si>
  <si>
    <t xml:space="preserve"> (מ/1624)</t>
  </si>
  <si>
    <t xml:space="preserve">התיקון מסמיך את שר הפנים לסרב להעניק דרכון ישראלי לעולה אשר טרם השתקע בישראל. במקום דרכון, יוכל שר הפנים להעניק לו תעודת מעבר. בכך, משיב התיקון את המצב לקדמותו כפי שהיה עד 2017. </t>
  </si>
  <si>
    <t xml:space="preserve">הצעת חוק מס ערך מוסף (תיקון - שיעור מס מופחת על מוצרי מזון בסיסיים) (הוראת שעה), התשפ"ג-2023</t>
  </si>
  <si>
    <t xml:space="preserve"> (פ/3486/25)</t>
  </si>
  <si>
    <t xml:space="preserve">הצעת חוק לתיקון פקודת התעבורה (מחירי חניה ברשויות מקומיות), התשפ"ג-2023</t>
  </si>
  <si>
    <t xml:space="preserve"> (פ/3485/25)</t>
  </si>
  <si>
    <t xml:space="preserve"> (פ/3484/25)</t>
  </si>
  <si>
    <t xml:space="preserve"> (פ/3483/25)</t>
  </si>
  <si>
    <t xml:space="preserve"> (פ/3482/25)</t>
  </si>
  <si>
    <t xml:space="preserve"> (פ/3481/25)</t>
  </si>
  <si>
    <t xml:space="preserve">הצעת חוק-יסוד: השפיטה (תיקון - הגבלת כהונתם של שופטי בית המשפט העליון)</t>
  </si>
  <si>
    <t xml:space="preserve"> (פ/3480/25)</t>
  </si>
  <si>
    <t xml:space="preserve"> (פ/3479/25)</t>
  </si>
  <si>
    <t xml:space="preserve">הצעת חוק הסעד (טיפול באנשים עם מוגבלות שכלית-התפתחותית) (תיקון - דיווח לכנסת לעניין פגיעה באדם עם מוגבלות שכלית-התפתחותית), התשפ"ג-2023</t>
  </si>
  <si>
    <t xml:space="preserve"> (פ/3478/25)</t>
  </si>
  <si>
    <t xml:space="preserve"> (פ/3477/25)</t>
  </si>
  <si>
    <t xml:space="preserve">הצעת חוק איסור הכחשת השואה (תיקון - איסור השוואה למעשיהם או למשטרם של הנאצים), התשפ"ג-2023</t>
  </si>
  <si>
    <t xml:space="preserve"> (פ/3476/25)</t>
  </si>
  <si>
    <t xml:space="preserve"> (פ/3474/25)</t>
  </si>
  <si>
    <t xml:space="preserve">הצעת חוק סדר הדין הפלילי (תיקון - הפחתת תוספת הפיגור על אי-תשלום קנס), התשפ"ג-2023</t>
  </si>
  <si>
    <t xml:space="preserve"> (פ/3473/25)</t>
  </si>
  <si>
    <t xml:space="preserve">הצעת חוק לתיקון דיני המשפחה (מזונות) (תיקון - ביטול חלות הדין האישי), התשפ"ג-2023</t>
  </si>
  <si>
    <t xml:space="preserve"> (פ/3472/25)</t>
  </si>
  <si>
    <t xml:space="preserve">הצעת חוק זכרון השואה והגבורה - יד ושם (תיקון - עידוד יצירה להנצחת זיכרון השואה והגבורה), התשפ"ג-2023</t>
  </si>
  <si>
    <t xml:space="preserve"> (פ/3471/25)</t>
  </si>
  <si>
    <t xml:space="preserve"> (פ/3470/25)</t>
  </si>
  <si>
    <t xml:space="preserve">הצעת חוק בתי המשפט (תיקון - שקיפות בהליכי מינוי שופטים לבית המשפט העליון ובמינוי הנשיא והמשנה לנשיא בית המשפט העליון), התשפ"ג-2023</t>
  </si>
  <si>
    <t xml:space="preserve"> (פ/3469/25)</t>
  </si>
  <si>
    <t xml:space="preserve">הצעת חוק-יסוד: השפיטה (תיקון - סמכות להכרזה על אי-התאמה בין הוראות חוק רגיל ובין הוראות חוק-יסוד)</t>
  </si>
  <si>
    <t xml:space="preserve"> (פ/3465/25)</t>
  </si>
  <si>
    <t xml:space="preserve">הצעת חוק-יסוד: הכנסת (תיקון - שלילת סמכותו של בית המשפט העליון מלהתערב בהחלטות ועדת הבחירות המרכזית לעניין אישור או פסילה של מועמד או רשימה מלהשתתף בבחירות)</t>
  </si>
  <si>
    <t xml:space="preserve"> (פ/3464/25)</t>
  </si>
  <si>
    <t xml:space="preserve">הצעת חוק להסדרת רעיית דבורים וייצור דבש, התשפ"ג-2023</t>
  </si>
  <si>
    <t xml:space="preserve"> (פ/3463/25)</t>
  </si>
  <si>
    <t xml:space="preserve"> (פ/3462/25)</t>
  </si>
  <si>
    <t xml:space="preserve"> (פ/3461/25)</t>
  </si>
  <si>
    <t xml:space="preserve">הצעת חוק העונשין (תיקון - עבירות אלימות במתחם הר הבית), התשפ"ג-2023</t>
  </si>
  <si>
    <t xml:space="preserve"> (פ/3459/25)</t>
  </si>
  <si>
    <t xml:space="preserve"> (פ/3458/25)</t>
  </si>
  <si>
    <t xml:space="preserve">הצעת חוק התכנון והבנייה (תיקון - ביטול התניית חיבור לחשמל, מים וטלפון באישור תאגיד המים), התשפ"ג-2023</t>
  </si>
  <si>
    <t xml:space="preserve"> (פ/3457/25)</t>
  </si>
  <si>
    <t xml:space="preserve">הצעת החוק לתיקון פקודת העיריות (חובת גילוי מסמכי תאגיד עירוני), התשפ"ג-2023</t>
  </si>
  <si>
    <t xml:space="preserve"> (פ/3456/25)</t>
  </si>
  <si>
    <t xml:space="preserve">הצעת חוק להנצחת זכרם של קורבנות הטבח בחברון, התשפ"ג-2023</t>
  </si>
  <si>
    <t xml:space="preserve"> (פ/3455/25)</t>
  </si>
  <si>
    <t xml:space="preserve">הצעת חוק זכויות החולה (תיקון - שמירת דגימות שנלקחו מנפגעי עבירות מין), התשפ"ג-2023</t>
  </si>
  <si>
    <t xml:space="preserve"> (פ/3454/25)</t>
  </si>
  <si>
    <t xml:space="preserve">הצעת חוק בתי המשפט (תיקון - תקופת צינון במועמדות חבר כנסת או שר למשרת שופט), התשפ"ג-2023</t>
  </si>
  <si>
    <t xml:space="preserve"> (פ/3453/25)</t>
  </si>
  <si>
    <t xml:space="preserve">הצעת חוק בתי המשפט (תיקון - רוב רגיל למינוי שופט בית המשפט העליון), התשפ"ג-2023</t>
  </si>
  <si>
    <t xml:space="preserve"> (פ/3452/25)</t>
  </si>
  <si>
    <t xml:space="preserve">הצעת חוק בתי המשפט (תיקון - שימוע ובחירות חשאיות לשופטי בית המשפט העליון), התשפ"ג-2023</t>
  </si>
  <si>
    <t xml:space="preserve"> (פ/3451/25)</t>
  </si>
  <si>
    <t xml:space="preserve"> (פ/3450/25)</t>
  </si>
  <si>
    <t xml:space="preserve"> (פ/3449/25)</t>
  </si>
  <si>
    <t xml:space="preserve"> (פ/3448/25)</t>
  </si>
  <si>
    <t xml:space="preserve">הצעת חוק-יסוד: השפיטה (תיקון - פסקת התגברות) </t>
  </si>
  <si>
    <t xml:space="preserve"> (פ/3447/25)</t>
  </si>
  <si>
    <t xml:space="preserve">פרק ג' (ייעול הליכי רישוי סביבתי), סעיפים 8-5, 14-13 (בעניין רישוי לפי חוק חומרים מסוכנים; חוק מניעת זיהום הים ממקורות יבשתיים; חוק המים) מהצעת חוק התכנית הכלכלית (תיקוני חקיקה ...לשנות התקציב 2023 ו-2024), התשפ"ג-2023[פוצלה לפי סעיף 84(ב) לתקנון]</t>
  </si>
  <si>
    <t xml:space="preserve">08.06.2023</t>
  </si>
  <si>
    <t xml:space="preserve">הצעת חוק שמירת הניקיון (תיקון - טיפול בפסולת בניין), התשפ"ג-2023</t>
  </si>
  <si>
    <t xml:space="preserve"> (פ/3088/25)</t>
  </si>
  <si>
    <t xml:space="preserve">הצעת חוק להקפאת קצבאות שמשולמות לפעיל טרור ומשפחתו מקופת המדינה, התשפ"ג-2022</t>
  </si>
  <si>
    <t xml:space="preserve"> (פ/208/25)</t>
  </si>
  <si>
    <t xml:space="preserve">07.06.2023</t>
  </si>
  <si>
    <t xml:space="preserve">הצעת חוק מס ערך מוסף (תיקון - תשלום המס במתן שירותי כוח אדם ועבודות בנייה), התשפ"ג-2023</t>
  </si>
  <si>
    <t xml:space="preserve"> (פ/3069/25)</t>
  </si>
  <si>
    <t xml:space="preserve">הצעת חוק להקמת אוניברסיטה במחוז הצפון, התשפ"ג-2023</t>
  </si>
  <si>
    <t xml:space="preserve"> (פ/1520/25)</t>
  </si>
  <si>
    <t xml:space="preserve"> (פ/1365/25)</t>
  </si>
  <si>
    <t xml:space="preserve">הצעת חוק נישואין וגירושין, התשפ"ג-2022</t>
  </si>
  <si>
    <t xml:space="preserve"> (פ/502/25)</t>
  </si>
  <si>
    <t xml:space="preserve">הצעת חוק איסור הלבנת הון (תיקון - איסור גביית דמי שמירה בלא רישיון), התשפ"ג-2022</t>
  </si>
  <si>
    <t xml:space="preserve"> (פ/285/25)</t>
  </si>
  <si>
    <t xml:space="preserve">הצעת חוק הדרכונים (תיקון - מתן דרכון לעולה), התשפ"ג-2022</t>
  </si>
  <si>
    <t xml:space="preserve"> (פ/1039/25)</t>
  </si>
  <si>
    <t xml:space="preserve">05.06.2023</t>
  </si>
  <si>
    <t xml:space="preserve">חוק הגדלת נקודות זיכוי להורים במס הכנסה והרחבת מענק עבודה, התשפ"ג-2023</t>
  </si>
  <si>
    <t xml:space="preserve"> (מ/1616)</t>
  </si>
  <si>
    <t xml:space="preserve">החוק קובע כי החל משנת 2024, הורים לילדים בגילאים 6-18 יהיו זכאים לנקודת זיכוי אחת נוספת בשל כל ילד בגילאים האמורים. בנוסף, החוק מגדיל את סכום מענק העבודה (מס הכנסה שלילי) הניתן לאב עובד ולאב שהוא עצמאי, כך שיהיה שווה לסכום המענק הניתן לאם עובדת ולאם שהיא עצמאית (בהתאמה) החל משנת 2024, וכן מוריד את גיל הזכאות למענק עבודה ל-21 החל משנת 2025.  </t>
  </si>
  <si>
    <t xml:space="preserve">הצעת חוק מרשם האוכלוסין (תיקון - רישום בת זוג או בן זוג כהורה), התשפ"ג-2023</t>
  </si>
  <si>
    <t xml:space="preserve"> (פ/3445/25)</t>
  </si>
  <si>
    <t xml:space="preserve"> (פ/3444/25)</t>
  </si>
  <si>
    <t xml:space="preserve">הצעת חוק הביטוח הלאומי (תיקון - מסלול ברירת מחדל בהפקדות לחיסכון ארוך טווח לילד), התשפ"ג-2023</t>
  </si>
  <si>
    <t xml:space="preserve"> (פ/3442/25)</t>
  </si>
  <si>
    <t xml:space="preserve">הצעת חוק לתיקון פקודת מס הכנסה (פטור ממס הכנסה לנכים), התשפ"ג-2023</t>
  </si>
  <si>
    <t xml:space="preserve"> (פ/3441/25)</t>
  </si>
  <si>
    <t xml:space="preserve">הצעת חוק השיפוט הצבאי (תיקון - הגבלה על פרסום של פרטי חייל, צילום פניו או כל פרט מזהה אחר בעת מילוי תפקידו), התשפ"ג-2023 </t>
  </si>
  <si>
    <t xml:space="preserve"> (פ/3440/25)</t>
  </si>
  <si>
    <t xml:space="preserve">הצעת חוק הביטוח הלאומי (תיקון - ביטול דרישה לחתימת הורים כתנאי למשיכת כספי החיסכון), התשפ"ג-2023</t>
  </si>
  <si>
    <t xml:space="preserve"> (פ/3439/25)</t>
  </si>
  <si>
    <t xml:space="preserve">הצעת חוק בתי המשפט (תיקון - הרשעה בפלילים פה אחד), התשפ"ג-2023</t>
  </si>
  <si>
    <t xml:space="preserve"> (פ/3437/25)</t>
  </si>
  <si>
    <t xml:space="preserve">הצעת חוק פיטורי עובד ציבור שקרוב משפחתו מדרגה ראשונה פעיל טרור, התשפ"ג-2023</t>
  </si>
  <si>
    <t xml:space="preserve"> (פ/3436/25)</t>
  </si>
  <si>
    <t xml:space="preserve">הצעת חוק-יסוד: הממשלה (תיקון - ייעוץ משפטי אינו מחייב)</t>
  </si>
  <si>
    <t xml:space="preserve"> (פ/3435/25)</t>
  </si>
  <si>
    <t xml:space="preserve">הצעת חוק העונשין (תיקון - העלבת חייל והפרעה לחייל במילוי תפקידו), התשפ"ג-2023</t>
  </si>
  <si>
    <t xml:space="preserve"> (פ/3434/25)</t>
  </si>
  <si>
    <t xml:space="preserve">הצעת חוק בתי המשפט (תיקון - הקלטה בבית משפט לענייני משפחה), התשפ"ג-2023</t>
  </si>
  <si>
    <t xml:space="preserve"> (פ/3433/25)</t>
  </si>
  <si>
    <t xml:space="preserve">הצעת חוק לתיקון פקודת הסמים המסוכנים (שימוש עצמי בקנבוס), התשפ"ג-2023</t>
  </si>
  <si>
    <t xml:space="preserve"> (פ/3432/25)</t>
  </si>
  <si>
    <t xml:space="preserve">הצעת חוק זכויות החולה (תיקון - מסירת מידע למניעת פגיעה), התשפ"ג-2023</t>
  </si>
  <si>
    <t xml:space="preserve"> (פ/3431/25)</t>
  </si>
  <si>
    <t xml:space="preserve">הצעת חוק זכויות החולה (תיקון - מסירת מידע למניעת פגיעה), התשפ"ג -2023</t>
  </si>
  <si>
    <t xml:space="preserve"> (פ/3430/25)</t>
  </si>
  <si>
    <t xml:space="preserve">הצעת חוק חוזה עבודה (הגבלות לעניין סיום העסקה של עובד), התשפ"ג-2023 </t>
  </si>
  <si>
    <t xml:space="preserve"> (פ/3429/25)</t>
  </si>
  <si>
    <t xml:space="preserve"> (פ/3428/25)</t>
  </si>
  <si>
    <t xml:space="preserve">הצעת חוק הביטוח הלאומי (תיקון - הארכת הזכאות של חולה במחלה ממארת), התשפ"ג-2023</t>
  </si>
  <si>
    <t xml:space="preserve"> (פ/3427/25)</t>
  </si>
  <si>
    <t xml:space="preserve">הצעת חוק ביטוח בריאות ממלכתי (תיקון - פטור מתקופת המתנה לסטודנטים הלומדים בחו"ל), התשפ"ג-2023</t>
  </si>
  <si>
    <t xml:space="preserve"> (פ/3426/25)</t>
  </si>
  <si>
    <t xml:space="preserve">הצעת חוק-יסוד: הכנסת (תיקון - השעיית חבר הכנסת שהוגש נגדו כתב אישום)</t>
  </si>
  <si>
    <t xml:space="preserve"> (פ/3425/25)</t>
  </si>
  <si>
    <t xml:space="preserve">הצעת חוק תרומת זרע, התשפ"ג-2023</t>
  </si>
  <si>
    <t xml:space="preserve"> (פ/3424/25)</t>
  </si>
  <si>
    <t xml:space="preserve"> (פ/3423/25)</t>
  </si>
  <si>
    <t xml:space="preserve">הצעת חוק הבטחת הכנסה (תיקון - תוספת לגמלה בעד הילד השלישי ואילך), התשפ"ג-2023</t>
  </si>
  <si>
    <t xml:space="preserve"> (פ/3422/25)</t>
  </si>
  <si>
    <t xml:space="preserve">הצעת חוק צמצום פערי שכר מגדריים (תיקוני חקיקה), התשפ"ג-2023</t>
  </si>
  <si>
    <t xml:space="preserve"> (פ/3421/25)</t>
  </si>
  <si>
    <t xml:space="preserve"> (פ/3419/25)</t>
  </si>
  <si>
    <t xml:space="preserve">הצעת חוק הביטוח הלאומי (תיקון - הרחבת הזכאות למענק לימודים), התשפ"ג-2023</t>
  </si>
  <si>
    <t xml:space="preserve"> (פ/3418/25)</t>
  </si>
  <si>
    <t xml:space="preserve">הצעת חוק לתיקון פקודת התעבורה (הגבלת הפעלת רכב ציבורי בימי מנוחה), התשפ"ג-2023</t>
  </si>
  <si>
    <t xml:space="preserve"> (פ/3417/25)</t>
  </si>
  <si>
    <t xml:space="preserve">הצעת חוק הכשרות המשפטית והאפוטרופסות (תיקון - שלילת האפוטרופסות הטבעית עבור נאשמים ומורשעים בעבירות אלימות במשפחה), התשפ"ג-2023</t>
  </si>
  <si>
    <t xml:space="preserve"> (פ/3416/25)</t>
  </si>
  <si>
    <t xml:space="preserve">הצעת חוק העונשין (תיקון - הגדרת בן דוד כאחראי על קטין או על חסר ישע), התשפ"ג-2023</t>
  </si>
  <si>
    <t xml:space="preserve"> (פ/3415/25)</t>
  </si>
  <si>
    <t xml:space="preserve"> (פ/3414/25)</t>
  </si>
  <si>
    <t xml:space="preserve"> (פ/3413/25)</t>
  </si>
  <si>
    <t xml:space="preserve"> (פ/3412/25)</t>
  </si>
  <si>
    <t xml:space="preserve"> (פ/3411/25)</t>
  </si>
  <si>
    <t xml:space="preserve">הצעת חוק כביש אגרה (כביש ארצי לישראל) (תיקון - תנאי לגביית אגרה), התשפ"ג-2023</t>
  </si>
  <si>
    <t xml:space="preserve"> (פ/3410/25)</t>
  </si>
  <si>
    <t xml:space="preserve">הצעת חוק בתי המשפט (תיקון - שופט משנה), התשפ"ג-2023</t>
  </si>
  <si>
    <t xml:space="preserve"> (פ/3409/25)</t>
  </si>
  <si>
    <t xml:space="preserve"> (פ/3407/25)</t>
  </si>
  <si>
    <t xml:space="preserve"> (פ/3406/25)</t>
  </si>
  <si>
    <t xml:space="preserve">הצעת חוק המכר (דירות) (תיקון - חובת מסירת תוכניות הדירה לקונה), התשפ"ג-2023</t>
  </si>
  <si>
    <t xml:space="preserve"> (פ/3405/25)</t>
  </si>
  <si>
    <t xml:space="preserve"> (פ/3403/25)</t>
  </si>
  <si>
    <t xml:space="preserve">הצעת חוק לתיקון פקודת הסמים המסוכנים (שידול לייבוא או ייצוא חומר הנחשב לסם בחו"ל), התשפ"ג-2023</t>
  </si>
  <si>
    <t xml:space="preserve"> (פ/3402/25)</t>
  </si>
  <si>
    <t xml:space="preserve">הצעת חוק הפחתת רגולציה (רישום בפנקסי המקרקעין) (תיקוני חקיקה), התשפ"ג-2023</t>
  </si>
  <si>
    <t xml:space="preserve"> (פ/3401/25)</t>
  </si>
  <si>
    <t xml:space="preserve">הצעת חוק לתיקון פקודת מס הכנסה (יישוב מוטב), התשפ"ג-2023</t>
  </si>
  <si>
    <t xml:space="preserve"> (פ/3400/25)</t>
  </si>
  <si>
    <t xml:space="preserve">הצעת חוק לתיקון פקודת הקרקעות (רכישה לצורכי ציבור) (מס' 3) (תיקון - קרקע שנרכשה לצורכי ציבור בהרשאה), התשפ"ג-2023</t>
  </si>
  <si>
    <t xml:space="preserve"> (פ/3399/25)</t>
  </si>
  <si>
    <t xml:space="preserve">הצעת חוק איסור שימוש בתקשורת בביטויים מעודדי אלימות, התשפ"ג-2023</t>
  </si>
  <si>
    <t xml:space="preserve"> (פ/3398/25)</t>
  </si>
  <si>
    <t xml:space="preserve"> (פ/3397/25)</t>
  </si>
  <si>
    <t xml:space="preserve"> (פ/3135/25)</t>
  </si>
  <si>
    <t xml:space="preserve">31.05.2023</t>
  </si>
  <si>
    <t xml:space="preserve">הצעת חוק הכרה ברישיונות מקצועיים על בסיס הנחיות האיחוד האירופי (תיקוני חקיקה), התשפ"ג-2023</t>
  </si>
  <si>
    <t xml:space="preserve"> (פ/2558/25)</t>
  </si>
  <si>
    <t xml:space="preserve"> (פ/2548/25)</t>
  </si>
  <si>
    <t xml:space="preserve"> (פ/1597/25)</t>
  </si>
  <si>
    <t xml:space="preserve">הצעת חוק שיקים ללא כיסוי (תיקון - הקלות בהגבלת חשבון), התשפ"ג-2023</t>
  </si>
  <si>
    <t xml:space="preserve"> (פ/1514/25)</t>
  </si>
  <si>
    <t xml:space="preserve"> (פ/1340/25)</t>
  </si>
  <si>
    <t xml:space="preserve">הצעת חוק סדר הדין הפלילי (סמכויות אכיפה - מעצרים) (תיקון - מעצר עד תום ההליכים בגין עבירה של החזקת נשק שלא כדין), התשפ"ג-2023</t>
  </si>
  <si>
    <t xml:space="preserve"> (פ/1148/25)</t>
  </si>
  <si>
    <t xml:space="preserve"> (פ/1117/25)</t>
  </si>
  <si>
    <t xml:space="preserve"> (פ/760/25)</t>
  </si>
  <si>
    <t xml:space="preserve">הצעת חוק אסדרת שוק הקנאביס לצריכה עצמית, התשפ"ג-2022</t>
  </si>
  <si>
    <t xml:space="preserve"> (פ/520/25)</t>
  </si>
  <si>
    <t xml:space="preserve"> (פ/517/25)</t>
  </si>
  <si>
    <t xml:space="preserve">הצעת חוק הספורט (תיקון – הסדרת העיסוק באימון ספורט), התשפ"ג–2023</t>
  </si>
  <si>
    <t xml:space="preserve"> (פ/2609/25)</t>
  </si>
  <si>
    <t xml:space="preserve">29.05.2023</t>
  </si>
  <si>
    <t xml:space="preserve">הצעת חוק הספורט (תיקון - הסדרת העיסוק באימון ספורט), התשפ"ג–2023</t>
  </si>
  <si>
    <t xml:space="preserve"> (פ/2105/25)</t>
  </si>
  <si>
    <t xml:space="preserve">חוק המקרקעין (תיקון מס' 36), התשפ"ג–2023</t>
  </si>
  <si>
    <t xml:space="preserve"> (פ/379/25)</t>
  </si>
  <si>
    <t xml:space="preserve"> (כ/950)</t>
  </si>
  <si>
    <t xml:space="preserve">התיקון קובע כי בעל דירה רשאי להתקין על חשבונו מנגנון המאפשר הפעלה אוטומטית של משאבת מים בלא חילול שבת ברכוש המשותף והוא יישא בהוצאות החזקתו של המנגנון והפעלתו. עוד נקבע כי ההתקנה לא תותנה בקבלת הסכמת בעלי הדירות האחרים אך תעשה בכפוף לתנאים המנויים בתיקון. </t>
  </si>
  <si>
    <t xml:space="preserve">הצעת חוק שירות המדינה (מינויים) (תיקון - איסור העסקת תומכי טרור בשירות המדינה), התשפ"ג-2023</t>
  </si>
  <si>
    <t xml:space="preserve"> (פ/3396/25)</t>
  </si>
  <si>
    <t xml:space="preserve">הצעת חוק איסור הונאה בכשרות (תיקון - מתן תעודת הכשר על ידי רב מקומי), התשפ"ג-2023</t>
  </si>
  <si>
    <t xml:space="preserve"> (פ/3395/25)</t>
  </si>
  <si>
    <t xml:space="preserve"> (פ/3394/25)</t>
  </si>
  <si>
    <t xml:space="preserve">הצעת חוק הבחירות לכנסת (תיקון - הארכת תקופת צינון), התשפ"ג-2023</t>
  </si>
  <si>
    <t xml:space="preserve"> (פ/3392/25)</t>
  </si>
  <si>
    <t xml:space="preserve"> (פ/3391/25)</t>
  </si>
  <si>
    <t xml:space="preserve">הצעת חוק לתיקון פקודת מס הכנסה (החזר בתשלום למעונות יום לאמהות), התשפ"ג-2023</t>
  </si>
  <si>
    <t xml:space="preserve"> (פ/3390/25)</t>
  </si>
  <si>
    <t xml:space="preserve"> (פ/3389/25)</t>
  </si>
  <si>
    <t xml:space="preserve">הצעת חוק הביטוח הלאומי (תיקון - היוון חלק מגמלת נפגע עבודה לשם תשלום למייצג של עובד זר), התשפ"ג-2023</t>
  </si>
  <si>
    <t xml:space="preserve"> (פ/3388/25)</t>
  </si>
  <si>
    <t xml:space="preserve">הצעת חוק לתיקון פקודת העיריות (אי-חיוב פעילות בשבת), התשפ"ג-2023</t>
  </si>
  <si>
    <t xml:space="preserve"> (פ/3387/25)</t>
  </si>
  <si>
    <t xml:space="preserve">הצעת חוק החומרים המסוכנים (תיקון - פרטי התקשרות למרכז רעלים), התשפ"ג-2023 </t>
  </si>
  <si>
    <t xml:space="preserve"> (פ/3386/25)</t>
  </si>
  <si>
    <t xml:space="preserve"> (פ/3385/25)</t>
  </si>
  <si>
    <t xml:space="preserve">הצעת חוק הגנה על זכויות הדורות הבאים, התשפ"ג-2023</t>
  </si>
  <si>
    <t xml:space="preserve"> (פ/3383/25)</t>
  </si>
  <si>
    <t xml:space="preserve">הצעת חוק העונשין (תיקון - מאסר עולם לאונס קטינים), התשפ"ג-2023</t>
  </si>
  <si>
    <t xml:space="preserve"> (פ/3382/25)</t>
  </si>
  <si>
    <t xml:space="preserve">הצעת חוק העונשין (תיקון - הגדרת פשע שנאה), התשפ"ג-2023</t>
  </si>
  <si>
    <t xml:space="preserve"> (פ/3379/25)</t>
  </si>
  <si>
    <t xml:space="preserve">הצעת חוק חופש מהתאגדות (הוראת שעה ותיקוני חקיקה), התשפ"ג-2023</t>
  </si>
  <si>
    <t xml:space="preserve"> (פ/3378/25)</t>
  </si>
  <si>
    <t xml:space="preserve">הצעת חוק התכנון והבנייה (תיקון - הוספת נציג הקבלנים במועצה הארצית), התשפ"ג-2023</t>
  </si>
  <si>
    <t xml:space="preserve"> (פ/3377/25)</t>
  </si>
  <si>
    <t xml:space="preserve">הצעת חוק סדר הדין הפלילי (סמכויות אכיפה - מעצרים) (תיקון - שחרור ממעצר באין הכרעת דין), התשפ"ג-2023</t>
  </si>
  <si>
    <t xml:space="preserve"> (פ/3376/25)</t>
  </si>
  <si>
    <t xml:space="preserve">הצעת חוק שירות המדינה (משמעת) (תיקון - סמכויות השר) ,התשפ"ג-2023</t>
  </si>
  <si>
    <t xml:space="preserve"> (פ/3375/25)</t>
  </si>
  <si>
    <t xml:space="preserve">הצעת חוק חינוך ממלכתי (תיקון - שלילת השתתפות בתקציב עקב הפליה), התשפ"ג-2023</t>
  </si>
  <si>
    <t xml:space="preserve"> (פ/3374/25)</t>
  </si>
  <si>
    <t xml:space="preserve">הצעת חוק סדר הדין הפלילי (סמכויות אכיפה - מעצרים) (תיקון - פיצוי בשל מעצר), התשפ"ג-2023</t>
  </si>
  <si>
    <t xml:space="preserve"> (פ/3373/25)</t>
  </si>
  <si>
    <t xml:space="preserve">הצעת חוק סדר הדין הפלילי (תיקון - הגשת ערעור), התשפ"ג-2023</t>
  </si>
  <si>
    <t xml:space="preserve"> (פ/3372/25)</t>
  </si>
  <si>
    <t xml:space="preserve">הצעת חוק לתיקון סדרי המינהל (החלטות והנמקות) (תיקון - חובת מתן תשובה במועד), התשפ"ג-2023</t>
  </si>
  <si>
    <t xml:space="preserve"> (פ/3371/25)</t>
  </si>
  <si>
    <t xml:space="preserve"> (פ/3370/25)</t>
  </si>
  <si>
    <t xml:space="preserve">הצעת חוק למניעת אלימות במשפחה (תיקון - פיקוח טכנולוגי להבטחת קיומו של צו הגנה, והערכת מסוכנות - הוראת שעה), התשפ"ג-2023</t>
  </si>
  <si>
    <t xml:space="preserve"> (פ/3368/25)</t>
  </si>
  <si>
    <t xml:space="preserve">הצעת חוק זכויות הסטודנט (תיקון - זכויות לסטודנטים הלומדים בחוץ לארץ), התשפ"ג-2023</t>
  </si>
  <si>
    <t xml:space="preserve"> (פ/3366/25)</t>
  </si>
  <si>
    <t xml:space="preserve">הצעת חוק העונשין (תיקון - החמרת ענישה בעבירת הפרת הוראות צו הגנה ובעבירת תקיפת בן זוג), התשפ"ג-2023</t>
  </si>
  <si>
    <t xml:space="preserve"> (פ/3365/25)</t>
  </si>
  <si>
    <t xml:space="preserve">הצעת חוק שוויון זכויות לאנשים עם מוגבלות (תיקון - קדימות בתור), התשפ"ג-2023</t>
  </si>
  <si>
    <t xml:space="preserve"> (פ/3364/25)</t>
  </si>
  <si>
    <t xml:space="preserve"> (פ/3362/25)</t>
  </si>
  <si>
    <t xml:space="preserve"> (פ/3361/25)</t>
  </si>
  <si>
    <t xml:space="preserve">הצעת חוק לתיקון פקודת המסים (גבייה) (תנאים למתן כתב הרשאה וצו עיקול), התשפ"ג-2023</t>
  </si>
  <si>
    <t xml:space="preserve"> (פ/3360/25)</t>
  </si>
  <si>
    <t xml:space="preserve"> (פ/3359/25)</t>
  </si>
  <si>
    <t xml:space="preserve">הצעת חוק המרכז למורשת יהדות תימן, התשפ"ג-2023</t>
  </si>
  <si>
    <t xml:space="preserve"> (פ/3358/25)</t>
  </si>
  <si>
    <t xml:space="preserve"> (פ/3357/25)</t>
  </si>
  <si>
    <t xml:space="preserve">הצעת חוק הבטחת הכנסה (תיקון - הגדלת מענק חימום), התשפ"ג-2023</t>
  </si>
  <si>
    <t xml:space="preserve"> (פ/3356/25)</t>
  </si>
  <si>
    <t xml:space="preserve">הצעת חוק בתי המשפט (תיקון מס' 106) (שופט עמית), התשפ"ג-2023</t>
  </si>
  <si>
    <t xml:space="preserve"> (מ/1621)</t>
  </si>
  <si>
    <t xml:space="preserve">חוק התקציב לשנת הכספים 2024, התשפ"ג-2023</t>
  </si>
  <si>
    <t xml:space="preserve"> (מ/1611)</t>
  </si>
  <si>
    <t xml:space="preserve">22.05.2023</t>
  </si>
  <si>
    <t xml:space="preserve">החוק קובע את הסכומים שהממשלה רשאית להוציא בשנת הכספים 2024.</t>
  </si>
  <si>
    <t xml:space="preserve">חוק התקציב לשנת הכספים 2023, התשפ"ג-2023</t>
  </si>
  <si>
    <t xml:space="preserve"> (מ/1610)</t>
  </si>
  <si>
    <t xml:space="preserve">החוק קובע את הסכומים שהממשלה רשאית להוציא בשנת הכספים 2023.</t>
  </si>
  <si>
    <t xml:space="preserve">חוק התוכנית הכלכלית (תיקוני חקיקה ליישום המדיניות הכלכלית לשנות התקציב 2023 ו-2024), התשפ"ג-2023</t>
  </si>
  <si>
    <t xml:space="preserve">החוק קובע שורה של תיקונים בחוקים שונים בהתאם ליעדי התקציב לשנות התקציב 2023 ו-2024, בין היתר בנושאים: גז טבעי, מערכת החינוך, בנקאות ואשראי, תחבורה ציבורית, התחדשות עירונית, חקלאות, תכנון ובניה.</t>
  </si>
  <si>
    <t xml:space="preserve">חוק הפחתת הגירעון והגבלת ההוצאה התקציבית (תיקון מס' 23 - הוראת שעה), התשפ"ג-2023 </t>
  </si>
  <si>
    <t xml:space="preserve">החוק מגדיל באופן חד-פעמי בשנים 2023 ו-2024 את סכום ההוצאה הממשלתית המותרת באופן שמשקף את האצת האינפלציה בשנת 2022, על ידי שינוי אופן ההצמדה לצורך חישוב סכום ההוצאה הממשלתית המותרת: בשנת 2023 שיעור ההצמדה יהיה ממוצע מדד המחירים לצרכן בשנת 2022, ובשנת 2024 שיעור ההצמדה יהיה ממוצע מדד המחירים לצרכן בשלוש השנים שקדמו לאותה שנה. כמו כן, בשל שינוי אופן ההצמדה האמור, בשנים 2026 ו-2027, נקבע כי ינוכה הרכיב שהתווסף לשנים 2023 ו-2024 כך שלא ייספר פעמיים וכדי לא להביא לסטייה משמעותית מתוואי גידול מגבלת ההוצאה הממשלתית. </t>
  </si>
  <si>
    <t xml:space="preserve">חוק ההתאמות הפיסקליות, התשפ"ג-2023</t>
  </si>
  <si>
    <t xml:space="preserve"> (מ/1614)</t>
  </si>
  <si>
    <t xml:space="preserve">החוק קובע הסדרים משלימים לחוק-יסוד: משק המדינה (תיקון מס' 13) בכל הנוגע להקצאת תקציב התאמות בנסיבות שבהן הונחה הצעת תקציב המדינה יותר משישה חודשים לפני תחילת שנת הכספים שאליה מתייחס חוק התקציב. החוק קובע את אופן השימוש בתקציב ההתאמות ושיעורו, אופן הגשת דו"ח הפרשים לעניין קיום או אי־קיום הפרש גירעון והפרש הוצאות בעקבות עדכון תחזיות שייעשה בסמוך לתחילת שנת הכספים, וכן הגשת תכנית מאזנת לכיסוי יתרת הפרשים כאמור, ככל וקיימים.  </t>
  </si>
  <si>
    <t xml:space="preserve">חוק-יסוד: משק המדינה (תיקון מס' 13)</t>
  </si>
  <si>
    <t xml:space="preserve"> (מ/1613)</t>
  </si>
  <si>
    <t xml:space="preserve">חוק היסוד קובע כי הממשלה תניח על שולחן הכנסת את הצעת חוק התקציב לא מוקדם משישה חודשים לפני תחילת שנת הכספים, למעט במצבים בהם התקיימו הנסיבות האמורות בסעיף 36א(ב) לחוק-יסוד: הכנסת (התפזרות הכנסת, הקמת ממשלה חדשה וקיום בחירות לכנסת אחרי המועד להגשת הצעת התקציב) ולא התקבל חוק תקציב לפני תחילת שנת הכספים. אם התקיימו הנסיבות האמורות, הממשלה רשאית להניח על שולחן הכנסת, יחד עם הצעת חוק התקציב לאותה שנה, גם הצעת חוק תקציב לשנת הכספים שלאחריה (אף אם מועד ההנחה מוקדם משישה חודשים לפני תחילתה של אותה שנת כספים (להלן – הצעת חוק תקציב מוקדם)). בשנה שבה הונחה הצעת חוק תקציב מוקדם, תחול הוראה מיוחדת, לפיה ייקבע בחוק התקציב לאותה שנה "תקציב התאמות", שישמש את הממשלה להתמודדות עם תרחישים המשפיעים על תקציב המדינה, אשר לא היו ידועים בעת הנחת הצעת חוק התקציב המוקדם על שולחן הכנסת. לפי המנגנון, בסמוך לתחילת שנת התקציב יתבצע עדכון תחזיות. במקרה שבו, בעקבות עדכון התחזיות, נוצר הפרש בין הגירעון הצפוי או ההוצאות הצפויות לבין התחזיות העדכניות, ייעשה שימוש בתקציב ההתאמות על מנת לכסות את ההפרש. במידה והדבר לא יביא לכיסוי ההפרש האמור, תידרש הממשלה להניח על שולחן הכנסת וועדת הכספים של הכנסת תוכנית מאזנת לכיסוי ההפרש, ולאחר מכן את אישורה כי בוצעו הפעולות לפי התוכנית המאזנת ולא נותר הפרש גירעון או הפרש הוצאות, והכל בלוחות זמנים קצובים.  במקרה שבו הממשלה לא הביאה תכנית מאזנת כאמור או לא בוצעו כל הפעולות לפי התוכנית המאזנת, ונותר הפרש גירעון או הפרש הוצאות, הממשלה תביא לאישור ועדת הכספים של הכנסת תוכנית להפחתת ההוצאה הממשלתית או להפחתת סעיפי ההוצאה (בהתאמה). במידה ולא אישרה ועדת הכספים של הכנסת את האמור, יופחתו סכומי ההוצאה בסעיפי התקציב בחוק התקציב, באופן שווה, בגובה הפרש הגירעון או הפרש ההוצאות שנותר, לשם כיסוי ההפרש. הוראות משלימות לחוק-יסוד זה נקבעו בחוק ההתאמות הפיסקליות, התשפ"ג–2023.</t>
  </si>
  <si>
    <t xml:space="preserve">פרק כ"ב (תכנון ובנייה) מתוך הצעת חוק התכנית הכלכלית (תיקוני חקיקה ליישום המדיניות הכלכלית לשנות התקציב 2023 ו-2024), התשפ"ג-2023</t>
  </si>
  <si>
    <t xml:space="preserve">17.05.2023</t>
  </si>
  <si>
    <t xml:space="preserve"> (פ/2726/25)</t>
  </si>
  <si>
    <t xml:space="preserve">הצעת חוק שירות חובה לכל, התשפ"ג-2023</t>
  </si>
  <si>
    <t xml:space="preserve"> (פ/2647/25)</t>
  </si>
  <si>
    <t xml:space="preserve"> (פ/2468/25)</t>
  </si>
  <si>
    <t xml:space="preserve">הצעת חוק הבטחת הכנסה (תיקון - זכויות נשים ששהו במקלט לנשים מוכות), התשפ"ג-2023</t>
  </si>
  <si>
    <t xml:space="preserve"> (פ/2396/25)</t>
  </si>
  <si>
    <t xml:space="preserve">הצעת חוק שמירת הניקיון (תיקון - איסור הנחת דברי פרסומת בתיבות דואר ופיצויים לדוגמה), התשפ"ג-2023</t>
  </si>
  <si>
    <t xml:space="preserve"> (פ/2108/25)</t>
  </si>
  <si>
    <t xml:space="preserve">הצעת חוק לתיקון פקודת העדה הדתית (המרה) (גיור על ידי רב עיר), התשפ"ג-2023</t>
  </si>
  <si>
    <t xml:space="preserve"> (פ/2055/25)</t>
  </si>
  <si>
    <t xml:space="preserve">הצעת חוק זאב ז'בוטינסקי (ציון זכרו ופועלו) (תיקון - הגדלת תקציב הפעילות ומימון המכון), התשפ"ג-2023</t>
  </si>
  <si>
    <t xml:space="preserve"> (פ/1369/25)</t>
  </si>
  <si>
    <t xml:space="preserve">הצעת חוק החברות (תיקון - פרסום דוחות כספיים של מונופול), התשפ"ג-2022</t>
  </si>
  <si>
    <t xml:space="preserve"> (פ/740/25)</t>
  </si>
  <si>
    <t xml:space="preserve">הצעת חוק שמירת הסביבה החופית (בחינה ועדכון של תוכניות), התשפ"ג-2022</t>
  </si>
  <si>
    <t xml:space="preserve"> (פ/624/25)</t>
  </si>
  <si>
    <t xml:space="preserve">הצעת חוק העונשין (תיקון - איסור הנפת דגל של ישות עוינת), התשפ"ג-2022</t>
  </si>
  <si>
    <t xml:space="preserve"> (פ/617/25)</t>
  </si>
  <si>
    <t xml:space="preserve">פרק י"ט (בריאות), רק סעיפים 75-73 (בעניין כפל ביטוחי בריאות) מתוך הצעת חוק התכנית הכלכלית (תיקוני חקיקה ליישום המדיניות הכלכלית לשנות התקציב 2023 ו-2024), התשפ"ג-2023</t>
  </si>
  <si>
    <t xml:space="preserve">16.05.2023</t>
  </si>
  <si>
    <t xml:space="preserve">הצעת חוק העונשין (תיקון - עבירה כלפי קשיש או חסר ישע), התשפ"ג- 2022</t>
  </si>
  <si>
    <t xml:space="preserve"> (פ/66/25)</t>
  </si>
  <si>
    <t xml:space="preserve">פרק כ' (רשויות מקומיות), 78, 79 מתוכו רק: 1, 2, 5, 6(א) עד (ג), 7, 25-23 (בעניין כספי הקרן להרחבת ההשקעה בתושב, הקצאתם ומקורות הקרן) מתוך הצעת חוק התכנית הכלכלית (תיקוני חקיקה ליישום המדיניות הכלכלית לשנות התקציב 2023 ו-2024), התשפ"ג-2023</t>
  </si>
  <si>
    <t xml:space="preserve">15.05.2023</t>
  </si>
  <si>
    <t xml:space="preserve">חוק העונשין (תיקון מס' 133 – הוראת שעה) (תיקון מס' 2), התשפ"ג-2023</t>
  </si>
  <si>
    <t xml:space="preserve"> (מ/1607)</t>
  </si>
  <si>
    <t xml:space="preserve">הוראת השעה הוארכה בשנתיים את תוקפה הקובעת כי תקופת המאסר המרבית שאותה יהיה ניתן לשאת בעבודות שירות, תהיה תשעה חודשי מאסר במקום שישה חודשי מאסר. כמו כן, נוסף מנגנון לקיצור תקופת עבודת השירות של עובד שירות הנושא עונש מאסר שבין שלושה חודשים לשישה חודשים.</t>
  </si>
  <si>
    <t xml:space="preserve">חוק מיסוי מקרקעין (שבח ורכישה) (תיקון מס' 99), התשפ"ג–2023 </t>
  </si>
  <si>
    <t xml:space="preserve"> (מ/1517)</t>
  </si>
  <si>
    <t xml:space="preserve">החוק מאריך את תחולת הוראת השעה לגבי ההטבה במיסוי מקרקעין לפרויקטים של תמ"א 38 ולגבי ההטבה במס ערך מוסף ליזמים בפרויקטים כאמור עד ליום 1 באוקטובר 2022. תחילתו של החוק ביום 1 בינואר 2022. </t>
  </si>
  <si>
    <t xml:space="preserve">הצעת חוק למניעת אלימות במשפחה (תיקון - ממונה על נושא האלימות במשפחה במקומות עבודה גדולים), התשפ"ג-2023</t>
  </si>
  <si>
    <t xml:space="preserve"> (פ/3355/25)</t>
  </si>
  <si>
    <t xml:space="preserve"> (פ/3354/25)</t>
  </si>
  <si>
    <t xml:space="preserve">הצעת חוק השיפוט הצבאי (תיקון - הארכת תחולת החוק על עבירות מין), התשפ"ג-2023</t>
  </si>
  <si>
    <t xml:space="preserve"> (פ/3353/25)</t>
  </si>
  <si>
    <t xml:space="preserve">הצעת חוק למניעת אלימות במשפחה (תיקון - פיקוח טכנולוגי להבטחת קיומו של צו הגנה והערכת מסוכנות - הוראת שעה), התשפ"ג-2023</t>
  </si>
  <si>
    <t xml:space="preserve"> (פ/3352/25)</t>
  </si>
  <si>
    <t xml:space="preserve">הצעת חוק לתיקון פקודת בריאות העם (הקמת בתי תפילה מוסלמיים בבתי חולים), התשפ"ג-2023</t>
  </si>
  <si>
    <t xml:space="preserve"> (פ/3351/25)</t>
  </si>
  <si>
    <t xml:space="preserve">הצעת חוק עבודת נשים (תיקון - תקופת לידה והורות לבנות זוג מאותו המין), התשפ"ג-2023</t>
  </si>
  <si>
    <t xml:space="preserve"> (פ/3350/25)</t>
  </si>
  <si>
    <t xml:space="preserve">הצעת חוק רישוי עסקים (תיקון - דרישת רישוי לאירועים דתיים וטקסים), התשפ"ג-2023</t>
  </si>
  <si>
    <t xml:space="preserve"> (פ/3348/25)</t>
  </si>
  <si>
    <t xml:space="preserve">הצעת חוק שירות ביטחון (תיקון - שוויון בגיוס ליחידות הטכנולוגיות), התשפ"ג-2023</t>
  </si>
  <si>
    <t xml:space="preserve"> (פ/3347/25)</t>
  </si>
  <si>
    <t xml:space="preserve"> (פ/3346/25)</t>
  </si>
  <si>
    <t xml:space="preserve">הצעת חוק מאבק בארגוני פשיעה (תיקון - החמרת הענישה כנגד ארגוני סחיטה ושחיתות), התשפ"ג- 2023</t>
  </si>
  <si>
    <t xml:space="preserve"> (פ/3345/25)</t>
  </si>
  <si>
    <t xml:space="preserve">הצעת חוק העדה הדרוזית, התשפ"ג-2023</t>
  </si>
  <si>
    <t xml:space="preserve"> (פ/3344/25)</t>
  </si>
  <si>
    <t xml:space="preserve">הצעת חוק העונשין (תיקון - עונש מזערי לעבירות ממניע גזענות או עוינות כלפי ציבור), התשפ"ג-2023</t>
  </si>
  <si>
    <t xml:space="preserve"> (פ/3342/25)</t>
  </si>
  <si>
    <t xml:space="preserve">הצעת חוק לשכת עורכי הדין (תיקון - קביעת אגרה מינימלית להגשת תלונה), התשפ"ג-2023</t>
  </si>
  <si>
    <t xml:space="preserve"> (פ/3341/25)</t>
  </si>
  <si>
    <t xml:space="preserve">הצעת חוק הביטוח הלאומי (תיקון - העלאת גיל הגיוס הנדרש לפטור מתשלום דמי ביטוח לאומי), התשפ"ג-2023</t>
  </si>
  <si>
    <t xml:space="preserve"> (פ/3340/25)</t>
  </si>
  <si>
    <t xml:space="preserve">הצעת חוק-יסוד: מעמד ההכרזה על הקמת מדינת ישראל</t>
  </si>
  <si>
    <t xml:space="preserve"> (פ/3339/25)</t>
  </si>
  <si>
    <t xml:space="preserve"> (פ/3338/25)</t>
  </si>
  <si>
    <t xml:space="preserve"> (פ/3337/25)</t>
  </si>
  <si>
    <t xml:space="preserve">הצעת חוק חינוך מיוחד (תיקון - חינוך מיוחד מגיל לידה), התשפ"ג-2023</t>
  </si>
  <si>
    <t xml:space="preserve"> (פ/3333/25)</t>
  </si>
  <si>
    <t xml:space="preserve"> (פ/3332/25)</t>
  </si>
  <si>
    <t xml:space="preserve">הצעת חוק שידורי טלוויזיה (כתוביות ושפת סימנים) (תיקון - הודעות חירום מונגשות), התשפ"ג-2023</t>
  </si>
  <si>
    <t xml:space="preserve"> (פ/3330/25)</t>
  </si>
  <si>
    <t xml:space="preserve">הצעת חוק שירות הביטחון הכללי (תיקון - סיוע בטיפול בפשיעה פלילית חמורה), התשפ"ג-2023</t>
  </si>
  <si>
    <t xml:space="preserve"> (פ/3328/25)</t>
  </si>
  <si>
    <t xml:space="preserve">הצעת חוק למניעת אלימות במשפחה (תיקון - פיקוח אלקטרוני על אדם שהוצא נגדו צו הגנה), התשפ"ג-2023</t>
  </si>
  <si>
    <t xml:space="preserve"> (פ/3327/25)</t>
  </si>
  <si>
    <t xml:space="preserve"> (פ/3325/25)</t>
  </si>
  <si>
    <t xml:space="preserve">הצעת חוק בתי קברות צבאיים (תיקון - חיילים זכאי חוק השבות), התשפ"ג-2023</t>
  </si>
  <si>
    <t xml:space="preserve"> (פ/3324/25)</t>
  </si>
  <si>
    <t xml:space="preserve">הצעת חוק זכויות הדייר בדיור הציבורי (תיקון - סיוע ריאלי בשכר דירה), התשפ"ג-2023</t>
  </si>
  <si>
    <t xml:space="preserve"> (פ/3322/25)</t>
  </si>
  <si>
    <t xml:space="preserve">הצעת חוק התכנון והבנייה (תיקון - שינוי חלק המקרקעין המותר להפקעה ללא פיצויים), התשפ"ג-2023</t>
  </si>
  <si>
    <t xml:space="preserve"> (פ/3321/25)</t>
  </si>
  <si>
    <t xml:space="preserve">הצעת חוק לתיקון פקודת התעבורה (פיצוי כספי בגין איחור אוטובוס), התשפ"ג-2023</t>
  </si>
  <si>
    <t xml:space="preserve"> (פ/3320/25)</t>
  </si>
  <si>
    <t xml:space="preserve">פרק ט' (מסים), למעט סעיפים 41-40 ו-47-45 מתוך הצעת חוק ההתייעלות הכלכלית (תיקוני חקיקה להשגת יעדי התקציב לשנות התקציב 2023 ו-2024), התשפ"ג-2023</t>
  </si>
  <si>
    <t xml:space="preserve">14.05.2023</t>
  </si>
  <si>
    <t xml:space="preserve">פרק כ' (רשויות מקומיות), רק הסעיפים הבאים שבסעיף 79: 4-1, 6(ד) עד (ח), 22-8, 26-24 (בעניין הקמת הקרן ומועצת הקרן להרחבת ההשקעה בתושב) מתוך הצעת חוק התכנית הכלכלית (תיקוני חקיקה ליישום המדיניות הכלכלית לשנות התקציב 2023 ו-2024), התשפ"ג-2023</t>
  </si>
  <si>
    <t xml:space="preserve">פרק ט"ז (הגברת התחרותיות בענף המזון והטואלטיקה) מתוך הצעת חוק התכנית הכלכלית (תיקוני חקיקה ליישום המדיניות הכלכלית לשנות התקציב 2023 ו-2024), התשפ"ג-2023</t>
  </si>
  <si>
    <t xml:space="preserve">11.05.2023</t>
  </si>
  <si>
    <t xml:space="preserve">פרק י"א (הפחתת רגולציה), רק סעיפים 48-46 (רישום בפנקסי מקרקעין) מתוך הצעת חוק התכנית הכלכלית (תיקוני חקיקה ליישום המדיניות הכלכלית לשנות התקציב 2023 ו-2024), התשפ"ג-2023</t>
  </si>
  <si>
    <t xml:space="preserve">פרק י"ב (אנרגיה), רק סעיף 49 (חוק התכנון והבנייה) מתוך הצעת חוק התכנית הכלכלית (תיקוני חקיקה ליישום המדיניות הכלכלית לשנות התקציב 2023 ו-2024), התשפ"ג-2023</t>
  </si>
  <si>
    <t xml:space="preserve">פרק כ"ד (קידום תשתיות לאומיות), רק הסעיפים הבאים בתוך סעיף 94 המוצע: 35-32, 47-46, 56, 62(1)(ה), (4), (11), (14) והתוספת השנייה מהצעת חוק התכנית הכלכלית (תיקוני חקיקה ... לשנות התקציב 2023 ו-2024), התשפ"ג-2023 [פוצלה לפי סעיף 84(ב) לתקנון הכנסת]</t>
  </si>
  <si>
    <t xml:space="preserve">פרק ה' (ביטוח לאומי), למעט סעיפים 15(3) עד 15(5), 17, 18 ו-20(ב) (בעניין חוק חדלות פירעון) מתוך הצעת חוק ההתייעלות הכלכלית (תיקוני חקיקה להשגת יעדי התקציב לשנות התקציב 2023 ו-2024), התשפ"ג-2023</t>
  </si>
  <si>
    <t xml:space="preserve">הצעת חוק הביטוח הלאומי (תיקון - כפל קצבאות), התשפ"ג-2023</t>
  </si>
  <si>
    <t xml:space="preserve"> (פ/1765/25)</t>
  </si>
  <si>
    <t xml:space="preserve"> (פ/1478/25)</t>
  </si>
  <si>
    <t xml:space="preserve">הצעת חוק הביטוח הלאומי (תיקון - כפל קצבאות), התשפ"ג-2022</t>
  </si>
  <si>
    <t xml:space="preserve"> (פ/574/25)</t>
  </si>
  <si>
    <t xml:space="preserve">פרק ח' (גמלאות וקצבת גישור), למעט סעיפים 30(4), 30(5), 31(א) (בעניין פנסיית גישור) מתוך הצעת חוק ההתייעלות הכלכלית (תיקוני חקיקה להשגת יעדי התקציב לשנות התקציב 2023 ו-2024), התשפ"ג-2023</t>
  </si>
  <si>
    <t xml:space="preserve">פרק ב' (הסדרת העיסוק בשירותי תשלום וייזום תשלום מתוך הצעת חוק התכנית הכלכלית (תיקוני חקיקה ליישום המדיניות הכלכלית לשנות התקציב 2023 ו-2024), התשפ"ג-2023</t>
  </si>
  <si>
    <t xml:space="preserve">פרק כ"א (חקלאות), רק סעיפים 88-87 (קביעת אורך חיי מדף בידי יצרן נאות וצמצום רגולציה לייבוא בשר) מתוך הצעת חוק התכנית הכלכלית (תיקוני חקיקה ליישום המדיניות הכלכלית לשנות התקציב 2023 ו-2024), התשפ"ג-2023</t>
  </si>
  <si>
    <t xml:space="preserve">פרק ח' (יבוא מוצרי מזון) מתוך הצעת חוק התכנית הכלכלית (תיקוני חקיקה ליישום המדיניות הכלכלית לשנות התקציב 2023 ו-2024), התשפ"ג-2023</t>
  </si>
  <si>
    <t xml:space="preserve">פרק כ"ד (קידום תשתיות לאומיות), למעט הסע' הבאים בתוך סע' 94 המוצע: 1 עד 30, 35-32, 47-46, 56, 62(1)(ה), (2), (4), (5), (6), (8), (11), (14), (15), (20), (21) והתוספת השנייה, מתוך הצעת חוק התכנית הכלכלית לשנות התקציב 2023 ו-2024</t>
  </si>
  <si>
    <t xml:space="preserve">10.05.2023</t>
  </si>
  <si>
    <t xml:space="preserve">פרק ד' (מיסוי בשוק הדיור), רק סעיפים 10-8 (התחדשות עירונית) מתוך הצעת חוק ההתייעלות הכלכלית (תיקוני חקיקה להשגת יעדי התקציב לשנות התקציב 2023 ו-2024), התשפ"ג-2023</t>
  </si>
  <si>
    <t xml:space="preserve">פרק ה' (ביטוח לאומי), רק סעיפים 15(3) עד 15(5), 18 ו-20(ב) (בעניין חוק חדלות פירעון) מתוך הצעת חוק ההתייעלות הכלכלית (תיקוני חקיקה להשגת יעדי התקציב לשנות התקציב 2023 ו-2024), התשפ"ג-2023</t>
  </si>
  <si>
    <t xml:space="preserve">פרק ה' (גמישות ניהולית במערכת החינוך) מתוך הצעת חוק התכנית הכלכלית (תיקוני חקיקה ליישום המדיניות הכלכלית לשנות התקציב 2023 ו-2024), התשפ"ג-2023</t>
  </si>
  <si>
    <t xml:space="preserve">פרק י"ח (ייעול מערכי האבטחה) מתוך הצעת חוק התכנית הכלכלית (תיקוני חקיקה ליישום המדיניות הכלכלית לשנות התקציב 2023 ו-2024), התשפ"ג-2023</t>
  </si>
  <si>
    <t xml:space="preserve">פרק כ"ג (השכרה ארוכת טווח) מתוך הצעת חוק התכנית הכלכלית (תיקוני חקיקה ליישום המדיניות הכלכלית לשנות התקציב 2023 ו-2024), התשפ"ג-2023 [פוצלה לפי סעיף 84(ב) לתקנון הכנסת]</t>
  </si>
  <si>
    <t xml:space="preserve">הצעת חוק הביטוח הלאומי (תיקון - הגדרת ילד נכה), התשפ"ג-2023</t>
  </si>
  <si>
    <t xml:space="preserve"> (פ/3127/25)</t>
  </si>
  <si>
    <t xml:space="preserve">הצעת חוק הביטוח הלאומי (תיקון - הגדרת ילד נכה), התשפ"ג-2023 </t>
  </si>
  <si>
    <t xml:space="preserve"> (פ/2992/25)</t>
  </si>
  <si>
    <t xml:space="preserve">הצעת חוק לתיקון פקודת מס הכנסה (נקודות זיכוי להורי חיילים), התשפ"ג-2023</t>
  </si>
  <si>
    <t xml:space="preserve"> (פ/2719/25)</t>
  </si>
  <si>
    <t xml:space="preserve"> (פ/2717/25)</t>
  </si>
  <si>
    <t xml:space="preserve">הצעת חוק לתיקון פקודת מס הכנסה (הטבות מס ליישובים), התשפ"ג-2023</t>
  </si>
  <si>
    <t xml:space="preserve"> (פ/2311/25)</t>
  </si>
  <si>
    <t xml:space="preserve">הצעת חוק לימוד חובה (תיקון - חינוך חינם לפעוטות ולילדים), התשפ"ג-2023</t>
  </si>
  <si>
    <t xml:space="preserve"> (פ/2189/25)</t>
  </si>
  <si>
    <t xml:space="preserve"> (פ/2081/25)</t>
  </si>
  <si>
    <t xml:space="preserve">הצעת חוק מוקד חירום רפואי טלפוני, התשפ"ג-2023</t>
  </si>
  <si>
    <t xml:space="preserve"> (פ/1973/25)</t>
  </si>
  <si>
    <t xml:space="preserve">הצעת חוק לימוד חובה (תיקון - חינוך חינם לגיל הרך), התשפ"ג-2023</t>
  </si>
  <si>
    <t xml:space="preserve"> (פ/1384/25)</t>
  </si>
  <si>
    <t xml:space="preserve">הצעת חוק לתיקון פקודת הדיג (איסור דיג מכמורת), התשפ"ג-2022</t>
  </si>
  <si>
    <t xml:space="preserve"> (פ/850/25)</t>
  </si>
  <si>
    <t xml:space="preserve">פרק ט"ו, למעט סע' 56(2)(א) ו-(2)(ב)(2) (העמקת התחדשות עירונית באזורי ביקוש), 56(3) ו-57 (חוק הרשות הממשלתית להתחדשות עירונית), 62-61 (פיצול דירות) מתוך הצ"ח התכנית הכלכלית (תיקוני חקיקה ליישום המדיניות הכלכלית לשנות התקציב 2023 ו-2024), התשפ"ג-2023</t>
  </si>
  <si>
    <t xml:space="preserve">09.05.2023</t>
  </si>
  <si>
    <t xml:space="preserve">פרק כ"א (חקלאות), רק סעיף 86 (חוק הגנת הצומח) מתוך הצעת חוק התכנית הכלכלית (תיקוני חקיקה ליישום המדיניות הכלכלית לשנות התקציב 2023 ו-2024), התשפ"ג-2023</t>
  </si>
  <si>
    <t xml:space="preserve">פרק ד' (מיסוי בשוק הדיור), למעט סעיפים 10-8 (התחדשות עירונית), 11(3), 12(ב), 12(ג) ו-13מתוך הצעת חוק ההתייעלות הכלכלית (תיקוני חקיקה להשגת יעדי התקציב לשנות התקציב 2023 ו-2024), התשפ"ג-2023</t>
  </si>
  <si>
    <t xml:space="preserve">פרק ז' (בנקאות ואשראי) רק סעיפים 26-25 (בעניין חוב אשראי לגיוס) מתוך הצעת חוק התכנית הכלכלית (תיקוני חקיקה ליישום המדיניות הכלכלית לשנות התקציב 2023 ו-2024), התשפ"ג-2023</t>
  </si>
  <si>
    <t xml:space="preserve">פרק ז' (בנקאות ואשראי), למעט סעיפים 26-25 מתוך הצעת חוק התכנית הכלכלית (תיקוני חקיקה ליישום המדיניות הכלכלית לשנות התקציב 2023 ו-2024), התשפ"ג-2023</t>
  </si>
  <si>
    <t xml:space="preserve">פרק ט' (מסים), רק סעיפים 47-45 מתוך הצעת חוק ההתייעלות הכלכלית (תיקוני חקיקה להשגת יעדי התקציב לשנות התקציב 2023 ו-2024), התשפ"ג-2023 [פוצלה לפי סעיף 84(ב) לתקנון]</t>
  </si>
  <si>
    <t xml:space="preserve">פרק ח' (גמלאות וקצבת גישור), רק סעיפים 30(4), 30(5), 31(א) (בעניין פנסיית גישור) מתוך הצעת חוק ההתייעלות הכלכלית (תיקוני חקיקה להשגת יעדי התקציב לשנות התקציב 2023 ו-2024), התשפ"ג-2023</t>
  </si>
  <si>
    <t xml:space="preserve">פרק ט' (תיווך בביטוח ובחיסכון פנסיוני), רק סעיף 36 (איסור על סירוב בלתי סביר להתקשורת) מתוך הצעת חוק התכנית הכלכלית (תיקוני חקיקה ליישום המדיניות הכלכלית לשנות התקציב 2023 ו-2024), התשפ"ג-2023</t>
  </si>
  <si>
    <t xml:space="preserve">פרק כ"ד (קידום תשתיות לאומיות), רק סעיפים 1 עד 30 בתוך סעיף 94 המוצע מתוך הצעת חוק התכנית הכלכלית (תיקוני חקיקה ליישום המדיניות הכלכלית לשנות התקציב 2023 ו-2024), התשפ"ג-2023</t>
  </si>
  <si>
    <t xml:space="preserve">הצעת חוק עבודת נשים (תיקון - שעות היעדרות מעבודה לאישה בהיריון בר-סיכון), התשפ"ג-2023</t>
  </si>
  <si>
    <t xml:space="preserve"> (פ/3319/25)</t>
  </si>
  <si>
    <t xml:space="preserve">הצעת חוק עבודת נשים (תיקון - תקופת לידה והורות להורה יחיד), התשפ"ג-2023 </t>
  </si>
  <si>
    <t xml:space="preserve"> (פ/3317/25)</t>
  </si>
  <si>
    <t xml:space="preserve">הצעת חוק שירות ישראלי, התשפ"ג-2023 </t>
  </si>
  <si>
    <t xml:space="preserve"> (פ/3316/25)</t>
  </si>
  <si>
    <t xml:space="preserve">הצעת חוק קבלת ילד של עובדת הוראה למעון יום והשתתפות בעלות שכר הלימוד, התשפ"ג-2023 </t>
  </si>
  <si>
    <t xml:space="preserve"> (פ/3315/25)</t>
  </si>
  <si>
    <t xml:space="preserve">הצעת חוק הביטוח הלאומי (תיקון - תשלום דמי אבטלה לנשים שיצאו לחופשה ללא תשלום לאחר לידה), התשפ"ג-2023</t>
  </si>
  <si>
    <t xml:space="preserve"> (פ/3314/25)</t>
  </si>
  <si>
    <t xml:space="preserve">הצעת חוק הגנת השכר (תיקון - הגבלת ניכוי דמי חבר ודמי טיפול מקצועי ארגוני), התשפ"ג-2023</t>
  </si>
  <si>
    <t xml:space="preserve"> (פ/3313/25)</t>
  </si>
  <si>
    <t xml:space="preserve">הצעת חוק הביטוח הלאומי (תיקון - תגמול למשרתים במילואים), התשפ"ג-2023</t>
  </si>
  <si>
    <t xml:space="preserve"> (פ/3312/25)</t>
  </si>
  <si>
    <t xml:space="preserve">הצעת חוק דמי מחלה (היעדרות בשל מחלת ילד) (תיקון - הורה ליותר מילד אחד), התשפ"ג-2023</t>
  </si>
  <si>
    <t xml:space="preserve"> (פ/3310/25)</t>
  </si>
  <si>
    <t xml:space="preserve">הצעת חוק הביטוח הלאומי (תיקון - שינוי המונח נכה), התשפ"ג-2023</t>
  </si>
  <si>
    <t xml:space="preserve"> (פ/3309/25)</t>
  </si>
  <si>
    <t xml:space="preserve">הצעת חוק ביטוח בריאות ממלכתי (תיקון - הרחבת הסדרי הבחירה), התשפ"ג-2023</t>
  </si>
  <si>
    <t xml:space="preserve"> (פ/3308/25)</t>
  </si>
  <si>
    <t xml:space="preserve">הצעת חוק לחילוט תקבולי עבירה בשווי בעבירת גניבה חקלאית ובעבירות הגורמות נזק לרכוש חקלאי, התשפ"ג-2023</t>
  </si>
  <si>
    <t xml:space="preserve"> (פ/3307/25)</t>
  </si>
  <si>
    <t xml:space="preserve">הצעת חוק למניעת הטרדה מינית (תיקון - החמרת הענישה על הטרדה מינית באמצעים טכנולוגיים - הפצת תוכן מיני של קטינים), התשפ"ג-2023</t>
  </si>
  <si>
    <t xml:space="preserve"> (פ/3305/25)</t>
  </si>
  <si>
    <t xml:space="preserve"> (פ/3304/25)</t>
  </si>
  <si>
    <t xml:space="preserve"> (פ/3303/25)</t>
  </si>
  <si>
    <t xml:space="preserve">הצעת חוק הפסיכולוגים (תיקון - איסור טיפולי המרה), התשפ"ג-2023</t>
  </si>
  <si>
    <t xml:space="preserve"> (פ/3302/25)</t>
  </si>
  <si>
    <t xml:space="preserve">הצעת חוק עמותות חוץ, התשפ"ג-2023</t>
  </si>
  <si>
    <t xml:space="preserve"> (פ/3301/25)</t>
  </si>
  <si>
    <t xml:space="preserve">הצעת חוק דיני הבחירות לרשויות המקומיות (תיקוני חקיקה), התשפ"ג-2023</t>
  </si>
  <si>
    <t xml:space="preserve"> (פ/3300/25)</t>
  </si>
  <si>
    <t xml:space="preserve">הצעת חוק שעות עבודה ומנוחה (תיקון - קיצור שבוע העבודה), התשפ"ג-2023</t>
  </si>
  <si>
    <t xml:space="preserve"> (פ/3299/25)</t>
  </si>
  <si>
    <t xml:space="preserve"> (פ/3298/25)</t>
  </si>
  <si>
    <t xml:space="preserve">הצעת חוק מיקוד גמלאות לאזרחים ותיקים (תיקוני חקיקה), התשפ"ג-2023</t>
  </si>
  <si>
    <t xml:space="preserve"> (פ/3297/25)</t>
  </si>
  <si>
    <t xml:space="preserve">הצעת חוק הביטוח הלאומי (תיקון - דמי מחלה לעובד עצמאי), התשפ"ג-2023</t>
  </si>
  <si>
    <t xml:space="preserve"> (פ/3296/25)</t>
  </si>
  <si>
    <t xml:space="preserve">הצעת חוק יישוב סכסוכי עבודה (תיקון - בוררות חובה בשירותים חיוניים), התשפ"ג-2023</t>
  </si>
  <si>
    <t xml:space="preserve"> (פ/3295/25)</t>
  </si>
  <si>
    <t xml:space="preserve"> (פ/3294/25)</t>
  </si>
  <si>
    <t xml:space="preserve">הצעת חוק האגודות העותומניות (רישום ופיקוח), התשפ"ג-2023</t>
  </si>
  <si>
    <t xml:space="preserve"> (פ/3293/25)</t>
  </si>
  <si>
    <t xml:space="preserve">הצעת חוק לימוד חובה (תיקון - הגבלת מספר התלמידים בכיתה בבית ספר יסודי), התשפ"ג-2023</t>
  </si>
  <si>
    <t xml:space="preserve"> (פ/3292/25)</t>
  </si>
  <si>
    <t xml:space="preserve">הצעת חוק המועצה להשכלה גבוהה (תיקון - העדפה בקבלת מועמדים מרשויות מוחלשות), התשפ"ג-2023</t>
  </si>
  <si>
    <t xml:space="preserve"> (פ/3291/25)</t>
  </si>
  <si>
    <t xml:space="preserve">הצעת חוק העונשין (תיקון - איסור הנפת דגל של מדינת אויב או של ארגון טרור או של הרשות הפלסטינית במרחב הציבורי), התשפ"ג-2023</t>
  </si>
  <si>
    <t xml:space="preserve"> (פ/3290/25)</t>
  </si>
  <si>
    <t xml:space="preserve"> (פ/3289/25)</t>
  </si>
  <si>
    <t xml:space="preserve">הצעת חוק שוויון ההזדמנויות בעבודה (תיקון - איסור הפליה על רקע זהות מגדרית), התשפ"ג-2023</t>
  </si>
  <si>
    <t xml:space="preserve"> (פ/3288/25)</t>
  </si>
  <si>
    <t xml:space="preserve">הצעת חוק המרכז הישראלי לקידום תרבות האדם (תיקון - הסדרת הפיקוח הפרלמנטרי על המרכז וביטול הפטור ממסים), התשפ"ג-2023</t>
  </si>
  <si>
    <t xml:space="preserve"> (פ/3287/25)</t>
  </si>
  <si>
    <t xml:space="preserve">הצעת חוק דמי מחלה (היעדרות בשל מחלת ילד) (תיקון - קביעת מספר ימי ההיעדרות לפי מספר ילדי העובד), התשפ"ג-2023</t>
  </si>
  <si>
    <t xml:space="preserve"> (פ/3286/25)</t>
  </si>
  <si>
    <t xml:space="preserve">הצעת חוק הביטוח הלאומי (תיקון - קביעת אחוזי נכות ללקויי שמיעה - דו-צידי וחד-צידי), התשפ"ג-2023 </t>
  </si>
  <si>
    <t xml:space="preserve"> (פ/3285/25)</t>
  </si>
  <si>
    <t xml:space="preserve">הצעת חוק הביטוח הלאומי (תיקון - מענק לידה אחיד מילד שני ואילך), התשפ"ג-2023</t>
  </si>
  <si>
    <t xml:space="preserve"> (פ/3284/25)</t>
  </si>
  <si>
    <t xml:space="preserve">הצעת חוק הביטוח הלאומי (תיקון - דמי לידה לבן הזוג בלידה שקטה), התשפ"ג-2023</t>
  </si>
  <si>
    <t xml:space="preserve"> (פ/3283/25)</t>
  </si>
  <si>
    <t xml:space="preserve">הצעת חוק דמי מחלה (היעדרות בשל מחלת ילד) (תיקון - היעדרות בשל אשפוז פג), התשפ"ג-2023</t>
  </si>
  <si>
    <t xml:space="preserve"> (פ/3282/25)</t>
  </si>
  <si>
    <t xml:space="preserve">פרק ד' (גז טבעי), למעט סעיף 17(1) (בעניין הארכת תוקף רישון נתג"ז) מתוך הצעת חוק התכנית הכלכלית (תיקוני חקיקה ליישום המדיניות הכלכלית לשנות התקציב 2023 ו-2024), התשפ"ג-2023</t>
  </si>
  <si>
    <t xml:space="preserve">08.05.2023</t>
  </si>
  <si>
    <t xml:space="preserve">פרק י"ב (אנרגיה), רק סעיפים 50(2) ו-53-52 (חוק משק החשמל) מתוך הצעת חוק התכנית הכלכלית (תיקוני חקיקה ליישום המדיניות הכלכלית לשנות התקציב 2023 ו-2024), התשפ"ג-2023 [פוצלה לפי סעיף 84(ב) לתקנון]</t>
  </si>
  <si>
    <t xml:space="preserve">הצעת חוק הקמת בית חולים בעיר סח'נין (תיקוני חקיקה), התשפ"ג-2023</t>
  </si>
  <si>
    <t xml:space="preserve"> (פ/2251/25)</t>
  </si>
  <si>
    <t xml:space="preserve">הצעת חוק הקמת בית חולים בעיר סח'נין (תיקוני חקיקה), התשפ"ג-2022</t>
  </si>
  <si>
    <t xml:space="preserve"> (פ/720/25)</t>
  </si>
  <si>
    <t xml:space="preserve">הצעת חוק הקמת בית חולים ביישוב ערבי (תיקוני חקיקה), התשפ"ג-2022</t>
  </si>
  <si>
    <t xml:space="preserve"> (פ/719/25)</t>
  </si>
  <si>
    <t xml:space="preserve">פרק י"א (הפחתת רגולציה), רק סעיפים 45-44 (ירושה) מתוך הצעת חוק התכנית הכלכלית (תיקוני חקיקה ליישום המדיניות הכלכלית לשנות התקציב 2023 ו-2024), התשפ"ג-2023</t>
  </si>
  <si>
    <t xml:space="preserve">פרק י"ב (אנרגיה), רק סעיף 50(1) (חוק משק החשמל) מתוך הצעת חוק התכנית הכלכלית (תיקוני חקיקה ליישום המדיניות הכלכלית לשנות התקציב 2023 ו-2024), התשפ"ג-2023</t>
  </si>
  <si>
    <t xml:space="preserve">פרק ג' (גבייה ממשלתית) מתוך הצעת חוק ההתייעלות הכלכלית (תיקוני חקיקה להשגת יעדי התקציב לשנות התקציב 2023 ו-2024), התשפ"ג-2023</t>
  </si>
  <si>
    <t xml:space="preserve">פרק כ"ו (תחילה) מתוך הצעת חוק התכנית הכלכלית (תיקוני חקיקה ליישום המדיניות הכלכלית לשנות התקציב 2023 ו-2024), התשפ"ג-2023</t>
  </si>
  <si>
    <t xml:space="preserve">07.05.2023</t>
  </si>
  <si>
    <t xml:space="preserve">פרק י"ג (ייעול השימוש בתשתיות תחבורה ציבורית) מתוך הצעת חוק התכנית הכלכלית (תיקוני חקיקה ליישום המדיניות הכלכלית לשנות התקציב 2023 ו-2024), התשפ"ג-2023</t>
  </si>
  <si>
    <t xml:space="preserve">פרק י"א (תחילה) מתוך הצעת חוק ההתייעלות הכלכלית (תיקוני חקיקה להשגת יעדי התקציב לשנות התקציב 2023 ו-2024), התשפ"ג-2023</t>
  </si>
  <si>
    <t xml:space="preserve">פרק א' (מטרת החוק) מתוך הצעת חוק התכנית הכלכלית (תיקוני חקיקה ליישום המדיניות הכלכלית לשנות התקציב 2023 ו-2024), התשפ"ג-2023</t>
  </si>
  <si>
    <t xml:space="preserve">פרק כ"ה (שונות) למעט סעיפים 96(2) ו-97 - תיקון חוק המים וחוק רישוי שירותים ומקצועות בענף הרכב מתוך הצעת חוק התכנית הכלכלית (תיקוני חקיקה ליישום המדיניות הכלכלית לשנות התקציב 2023 ו-2024), התשפ"ג-2023</t>
  </si>
  <si>
    <t xml:space="preserve">פרק א' (מטרת החוק) מתוך הצעת חוק ההתייעלות הכלכלית (תיקוני חקיקה להשגת יעדי התקציב לשנות התקציב 2023 ו-2024), התשפ"ג-2023</t>
  </si>
  <si>
    <t xml:space="preserve">פרק י' (צמצום השימוש במזומן) מתוך הצעת חוק ההתייעלות הכלכלית (תיקוני חקיקה להשגת יעדי התקציב לשנות התקציב 2023 ו-2024), התשפ"ג-2023</t>
  </si>
  <si>
    <t xml:space="preserve">04.05.2023</t>
  </si>
  <si>
    <t xml:space="preserve">הצעת חוק למניעת העסקה בתחום החינוך והטיפול של אדם שהורשע או שמואשם בתקיפה או בהתעללות בחסר ישע, התשפ"ג-2022</t>
  </si>
  <si>
    <t xml:space="preserve"> (פ/934/25)</t>
  </si>
  <si>
    <t xml:space="preserve">03.05.2023</t>
  </si>
  <si>
    <t xml:space="preserve">הצעת חוק הביטוח הלאומי (תיקון - דמי אבטלה לעצמאים), התשפ"ג-2023</t>
  </si>
  <si>
    <t xml:space="preserve"> (פ/2202/25)</t>
  </si>
  <si>
    <t xml:space="preserve"> (פ/1985/25)</t>
  </si>
  <si>
    <t xml:space="preserve"> (פ/1725/25)</t>
  </si>
  <si>
    <t xml:space="preserve"> (פ/1724/25)</t>
  </si>
  <si>
    <t xml:space="preserve">הצעת חוק הלוואות למיגון דירות באזורי קו העימות, התשפ''ג-2023</t>
  </si>
  <si>
    <t xml:space="preserve"> (פ/1133/25)</t>
  </si>
  <si>
    <t xml:space="preserve">הצעת חוק צירוף משפחות נפגעי טרור כצד להליך המשפטי (תיקוני חקיקה), התשפ"ג-2022</t>
  </si>
  <si>
    <t xml:space="preserve"> (פ/249/25)</t>
  </si>
  <si>
    <t xml:space="preserve">הצעת חוק העונשין (תיקון - מאסר עולם לאונס קטינים), התשפ"ג-2022</t>
  </si>
  <si>
    <t xml:space="preserve"> (פ/111/25)</t>
  </si>
  <si>
    <t xml:space="preserve">פרק ט' (תיווך בביטוח ובחיסכון פנסיוני), למעט סעיף 36 (בעניין איסור על סירוב בלתי סביר להתקשורת) מתוך הצעת חוק התכנית הכלכלית (תיקוני חקיקה ליישום המדיניות הכלכלית לשנות התקציב 2023 ו-2024), התשפ"ג-2023 [פוצלה לפי סעיף 84(ב) לתקנון]</t>
  </si>
  <si>
    <t xml:space="preserve">02.05.2023</t>
  </si>
  <si>
    <t xml:space="preserve">פרק י"ד (חסמי ייבוא) מתוך הצעת חוק התכנית הכלכלית (תיקוני חקיקה ליישום המדיניות הכלכלית לשנות התקציב 2023 ו-2024), התשפ"ג-2023</t>
  </si>
  <si>
    <t xml:space="preserve">הצעת חוק שירות ביטחון (תיקון - תקופת אי-כשרות ארעית), התשפ"ג-2023</t>
  </si>
  <si>
    <t xml:space="preserve"> (פ/3280/25)</t>
  </si>
  <si>
    <t xml:space="preserve">01.05.2023</t>
  </si>
  <si>
    <t xml:space="preserve">הצעת חוק הדיינים (תיקון - שינוי הרכב הוועדה למינוי דיינים), התשפ"ג-2023</t>
  </si>
  <si>
    <t xml:space="preserve"> (פ/3279/25)</t>
  </si>
  <si>
    <t xml:space="preserve">הצעת חוק-יסוד: השפיטה (תיקון - מינוי נשיא ומשנה לנשיא בית המשפט העליון)</t>
  </si>
  <si>
    <t xml:space="preserve"> (פ/3278/25)</t>
  </si>
  <si>
    <t xml:space="preserve">הצעת חוק הסכמים קיבוציים (תיקון - יציגות ארגון עובדים והגנה על הפרט), התשפ"ג-2023</t>
  </si>
  <si>
    <t xml:space="preserve"> (פ/3277/25)</t>
  </si>
  <si>
    <t xml:space="preserve">הצעת חוק ביטוח בריאות ממלכתי (תיקון - הרחבת פטור מתשלום בחדר מיון), התשפ"ג-2023</t>
  </si>
  <si>
    <t xml:space="preserve"> (פ/3276/25)</t>
  </si>
  <si>
    <t xml:space="preserve">הצעת חוק הביטוח הלאומי (תיקון - נכה שהגיע לגיל פרישה), התשפ"ג-2023</t>
  </si>
  <si>
    <t xml:space="preserve"> (פ/3275/25)</t>
  </si>
  <si>
    <t xml:space="preserve">הצעת חוק הביטוח הלאומי (תיקון - קיזוז הכנסות שאינן מעבודה או ממשלח יד מקצבת נכות), התשפ"ג-2023</t>
  </si>
  <si>
    <t xml:space="preserve"> (פ/3274/25)</t>
  </si>
  <si>
    <t xml:space="preserve">הצעת חוק ביטוח בריאות ממלכתי (תיקון - הפחתה בדמי ביטוח בריאות לתושבי הפריפריה), התשפ"ג-2023</t>
  </si>
  <si>
    <t xml:space="preserve"> (פ/3273/25)</t>
  </si>
  <si>
    <t xml:space="preserve"> (פ/3272/25)</t>
  </si>
  <si>
    <t xml:space="preserve"> (פ/3271/25)</t>
  </si>
  <si>
    <t xml:space="preserve">הצעת חוק הקרן לעידוד תעשייה נקייה, התשפ"ג-2023</t>
  </si>
  <si>
    <t xml:space="preserve"> (פ/3270/25)</t>
  </si>
  <si>
    <t xml:space="preserve">הצעת חוק הבלו על דלק (תיקון - הגבלת שיעור המס על הדלק), התשפ"ג-2023</t>
  </si>
  <si>
    <t xml:space="preserve"> (פ/3269/25)</t>
  </si>
  <si>
    <t xml:space="preserve">הצעת חוק לתיקון פקודת מס הכנסה (פטור ממס לגמלאים על תשלומי פנסיה), התשפ"ג-2023</t>
  </si>
  <si>
    <t xml:space="preserve"> (פ/3268/25)</t>
  </si>
  <si>
    <t xml:space="preserve">הצעת חוק להגברת האכיפה של דיני העבודה (תיקון - הפרות בטיחות בעבודה בתחום הבנייה), התשפ"ג-2023</t>
  </si>
  <si>
    <t xml:space="preserve"> (פ/3267/25)</t>
  </si>
  <si>
    <t xml:space="preserve">הצעת חוק משק החשמל (תיקון - פיקוח פרלמנטרי על תעריפי החשמל), התשפ"ג-2023</t>
  </si>
  <si>
    <t xml:space="preserve"> (פ/3266/25)</t>
  </si>
  <si>
    <t xml:space="preserve"> (פ/3265/25)</t>
  </si>
  <si>
    <t xml:space="preserve">הצעת חוק שכר מינימום (תיקון - שכר שווה לאנשים המתמודדים עם מוגבלות), התשפ"ג-2023</t>
  </si>
  <si>
    <t xml:space="preserve"> (פ/3264/25)</t>
  </si>
  <si>
    <t xml:space="preserve"> (פ/3263/25)</t>
  </si>
  <si>
    <t xml:space="preserve">הצעת חוק הלוואות לדיור (תיקון - הצמדת סכום ההלוואה למדד), התשפ"ג-2023</t>
  </si>
  <si>
    <t xml:space="preserve"> (פ/3262/25)</t>
  </si>
  <si>
    <t xml:space="preserve">הצעת חוק התכנון והבנייה (תיקון - ביצוע סקר מבנים מסוכנים), התשפ"ג-2023</t>
  </si>
  <si>
    <t xml:space="preserve"> (פ/3261/25)</t>
  </si>
  <si>
    <t xml:space="preserve">הצעת חוק דיני העבודה (תיקוני חקיקה), התשפ"ג-2023</t>
  </si>
  <si>
    <t xml:space="preserve"> (פ/3259/25)</t>
  </si>
  <si>
    <t xml:space="preserve">הצעת חוק הביטוח הלאומי (תיקון - פטור מתשלום דמי ביטוח לאומי עד גיל 21), התשפ"ג-2023</t>
  </si>
  <si>
    <t xml:space="preserve"> (פ/3258/25)</t>
  </si>
  <si>
    <t xml:space="preserve">הצעת חוק הביטוח הלאומי (תיקון - קצבת תלויים וקצבת אזרח ותיק), התשפ"ג-2023</t>
  </si>
  <si>
    <t xml:space="preserve"> (פ/3257/25)</t>
  </si>
  <si>
    <t xml:space="preserve">הצעת חוק הקמת חדר מיון בקריית שמונה, התשפ"ג-2023</t>
  </si>
  <si>
    <t xml:space="preserve"> (פ/3256/25)</t>
  </si>
  <si>
    <t xml:space="preserve">הצעת חוק הנגשת שירותי קבלת קהל הניתנים בגופי שלטון למיעוט לשוני גדול, התשפ"ג-2023</t>
  </si>
  <si>
    <t xml:space="preserve"> (פ/3255/25)</t>
  </si>
  <si>
    <t xml:space="preserve">הצעת חוק ברית הזוגיות האזרחית, התשפ"ג-2023</t>
  </si>
  <si>
    <t xml:space="preserve"> (פ/3254/25)</t>
  </si>
  <si>
    <t xml:space="preserve">הצעת חוק העונשין (תיקון - תקיפת נהגי אוטובוס בקווי תחבורה ציבורית), התשפ"ג-2023</t>
  </si>
  <si>
    <t xml:space="preserve"> (פ/3252/25)</t>
  </si>
  <si>
    <t xml:space="preserve"> (פ/3251/25)</t>
  </si>
  <si>
    <t xml:space="preserve">הצעת חוק ההוצאה לפועל (תיקון - החרגת עיקול רכב), התשפ"ג-2023</t>
  </si>
  <si>
    <t xml:space="preserve"> (פ/3250/25)</t>
  </si>
  <si>
    <t xml:space="preserve"> (פ/3249/25)</t>
  </si>
  <si>
    <t xml:space="preserve"> (פ/3247/25)</t>
  </si>
  <si>
    <t xml:space="preserve">הצעת חוק שיפוט בתי דין רבניים (נישואין וגירושין) (תיקון - דרישת הסכמה בכתב), התשפ"ג-2023</t>
  </si>
  <si>
    <t xml:space="preserve"> (פ/3245/25)</t>
  </si>
  <si>
    <t xml:space="preserve">הצעת חוק הגנת הצרכן (תיקון - פנייה מקדימה בעסקת מכר מרחוק), התשפ"ג-2023</t>
  </si>
  <si>
    <t xml:space="preserve"> (פ/3244/25)</t>
  </si>
  <si>
    <t xml:space="preserve">הצעת חוק לתיקון פקודת התעבורה (סימון שונה במקומות שבהם היתר החניה תלוי בשעות), התשפ"ג-2023</t>
  </si>
  <si>
    <t xml:space="preserve"> (פ/3243/25)</t>
  </si>
  <si>
    <t xml:space="preserve">הצעת חוק לימודי הכנה למבחנים פסיכומטריים לתלמידים, התשפ"ג-2023</t>
  </si>
  <si>
    <t xml:space="preserve"> (פ/3242/25)</t>
  </si>
  <si>
    <t xml:space="preserve">הצעת חוק הגנת הצרכן (תיקון - אחריות מנהל כללי ונושא משרה בשל הפרת הוראות החוק), התשפ"ג-2023</t>
  </si>
  <si>
    <t xml:space="preserve"> (פ/3241/25)</t>
  </si>
  <si>
    <t xml:space="preserve">הצעת חוק מפעל הזנה במוסדות חינוך על יסודיים לנוער בסיכון ולנוער נושר, התשפ''ג-2023</t>
  </si>
  <si>
    <t xml:space="preserve"> (פ/3240/25)</t>
  </si>
  <si>
    <t xml:space="preserve">הצעת חוק לתיקון פקודת התעבורה (זכות עיון בממצאי בחינה מעשית בנהיגה), התשפ"ג-2023</t>
  </si>
  <si>
    <t xml:space="preserve"> (פ/3239/25)</t>
  </si>
  <si>
    <t xml:space="preserve">הצעת חוק סייעות במוסדות חינוך, התשפ"ג-2023</t>
  </si>
  <si>
    <t xml:space="preserve"> (פ/3238/25)</t>
  </si>
  <si>
    <t xml:space="preserve">הצעת חוק שיפוט בתי דין רבניים (נישואין וגירושין) (תיקון - מינוי נציגות ציבור), התשפ"ג-2023</t>
  </si>
  <si>
    <t xml:space="preserve"> (פ/3237/25)</t>
  </si>
  <si>
    <t xml:space="preserve">הצעת חוק האזרחים הוותיקים (תיקון - הנחה בארנונה), התשפ"ג-2023</t>
  </si>
  <si>
    <t xml:space="preserve"> (פ/3236/25)</t>
  </si>
  <si>
    <t xml:space="preserve"> (פ/3235/25)</t>
  </si>
  <si>
    <t xml:space="preserve">הצעת חוק הגנת הצרכן (תיקון - משלוח חשבונית לצרכן בדרך מקוונת), התשפ"ג-2023</t>
  </si>
  <si>
    <t xml:space="preserve"> (פ/3234/25)</t>
  </si>
  <si>
    <t xml:space="preserve">הצעת חוק לתיקון פקודת התעבורה (הקמת מאגר מידע לריכוז דוחות חניה), התשפ"ג-2023</t>
  </si>
  <si>
    <t xml:space="preserve"> (פ/3233/25)</t>
  </si>
  <si>
    <t xml:space="preserve">הצעת חוק העונשין (תיקון - תקיפת נהג אוטובוס ציבורי), התשפ"ג-2023</t>
  </si>
  <si>
    <t xml:space="preserve"> (פ/3232/25)</t>
  </si>
  <si>
    <t xml:space="preserve">הצעת חוק הרשות הלאומית לתרבות והשפה המרוקאית יהודית, התשפ"ג-2023</t>
  </si>
  <si>
    <t xml:space="preserve"> (פ/3231/25)</t>
  </si>
  <si>
    <t xml:space="preserve">הצעת חוק הפיקוח על מעונות יום לפעוטות (תיקון - הסמכת מתנדבים וטכנאי מצלמות), התשפ"ג-2023</t>
  </si>
  <si>
    <t xml:space="preserve"> (פ/3229/25)</t>
  </si>
  <si>
    <t xml:space="preserve"> (פ/3228/25)</t>
  </si>
  <si>
    <t xml:space="preserve">הצעת חוק הפיקוח על מעונות יום לפעוטות (תיקון - החמרת ענישה), התשפ"ג-2023</t>
  </si>
  <si>
    <t xml:space="preserve"> (פ/3227/25)</t>
  </si>
  <si>
    <t xml:space="preserve">הצעת חוק הביטוח הלאומי (תיקון - ביטול מבחן ההכנסה לצורך קבלת גמלת סיעוד), התשפ"ג-2023</t>
  </si>
  <si>
    <t xml:space="preserve"> (פ/3225/25)</t>
  </si>
  <si>
    <t xml:space="preserve">הצעת חוק מס ערך מוסף (תיקון - פטור ממס במכירת תרופות מצילות חיים שאינן כלולות בסל הבריאות), התשפ"ג-2023</t>
  </si>
  <si>
    <t xml:space="preserve"> (פ/3224/25)</t>
  </si>
  <si>
    <t xml:space="preserve">הצעת חוק הטבות לניצולי שואה (תיקון - הטבות לניצולים שעלו לאחר שנת 1953), התשפ"ג-2023</t>
  </si>
  <si>
    <t xml:space="preserve"> (פ/3223/25)</t>
  </si>
  <si>
    <t xml:space="preserve">הצעת חוק מס רכוש וקרן פיצויים (תיקון - פיצוי בגין נזק פגעי טבע ופיצוי בגין נזקי שריפה), התשפ"ג-2023</t>
  </si>
  <si>
    <t xml:space="preserve"> (פ/3222/25)</t>
  </si>
  <si>
    <t xml:space="preserve">הצעת חוק לתיקון פקודת מס הכנסה (ניכוי ריבית על משכנתה), התשפ"ג-2023</t>
  </si>
  <si>
    <t xml:space="preserve"> (פ/3220/25)</t>
  </si>
  <si>
    <t xml:space="preserve">הצעת חוק צער בעלי חיים (הגנה על בעלי חיים) (תיקון - ענישה מזערית), התשפ"ג-2023</t>
  </si>
  <si>
    <t xml:space="preserve"> (פ/3219/25)</t>
  </si>
  <si>
    <t xml:space="preserve">הצעת חוק הסדרת העיסוק במקצועות הבריאות (תיקון - הסדרת העיסוק בניתוח התנהגות), התשפ"ג-2023</t>
  </si>
  <si>
    <t xml:space="preserve"> (פ/3218/25)</t>
  </si>
  <si>
    <t xml:space="preserve">הצעת חוק להגדלת שיעור ההשתתפות בכוח העבודה ולצמצום פערים חברתיים (מענק עבודה) (תיקון - זכאות להטבות נלוות), התשפ"ג-2023</t>
  </si>
  <si>
    <t xml:space="preserve"> (פ/3217/25)</t>
  </si>
  <si>
    <t xml:space="preserve">הצעת חוק הביטוח הלאומי (תיקון - ביטול הפחתה של גמלת סיעוד למי שמעסיק עובד זר), התשפ"ג-2023</t>
  </si>
  <si>
    <t xml:space="preserve"> (פ/3216/25)</t>
  </si>
  <si>
    <t xml:space="preserve">הצעת חוק הביטוח הלאומי (תיקון - הוראות מיוחדות לעניין דמי אבטלה וכפל קצבאות) (הוראת שעה), התשפ"ג-2023</t>
  </si>
  <si>
    <t xml:space="preserve"> (פ/3215/25)</t>
  </si>
  <si>
    <t xml:space="preserve"> (פ/3214/25)</t>
  </si>
  <si>
    <t xml:space="preserve">הצעת חוק הרשויות המקומיות (יועץ לקידום מעמד אנשים עם מוגבלות), התשפ"ג-2023</t>
  </si>
  <si>
    <t xml:space="preserve"> (פ/3213/25)</t>
  </si>
  <si>
    <t xml:space="preserve">הצעת חוק הכנסת (תיקון - מספר חברי הכנסת הדרוש להתפלגות סיעה), התשפ"ג-2023</t>
  </si>
  <si>
    <t xml:space="preserve"> (פ/3212/25)</t>
  </si>
  <si>
    <t xml:space="preserve"> (פ/3211/25)</t>
  </si>
  <si>
    <t xml:space="preserve"> (פ/3210/25)</t>
  </si>
  <si>
    <t xml:space="preserve">הצעת חוק איסור הפליה במוצרים, בשירותים ובכניסה למקומות בידור ולמקומות ציבוריים (תיקון - איסור הפליה בדיור), התשפ"ג-2023</t>
  </si>
  <si>
    <t xml:space="preserve"> (פ/3209/25)</t>
  </si>
  <si>
    <t xml:space="preserve"> (פ/3208/25)</t>
  </si>
  <si>
    <t xml:space="preserve">הצעת חוק הבטחת הכנסה (תיקון - גמלה לתלמיד), התשפ"ג-2023</t>
  </si>
  <si>
    <t xml:space="preserve"> (פ/3207/25)</t>
  </si>
  <si>
    <t xml:space="preserve">הצעת חוק הבטחת הכנסה (תיקון - הגדלת הסכום להשתכרות בנוסף לקצבה), התשפ"ג-2023</t>
  </si>
  <si>
    <t xml:space="preserve"> (פ/3205/25)</t>
  </si>
  <si>
    <t xml:space="preserve">הצעת חוק לתיקון פקודת התעבורה (חובת רישום מונה קילומטרים), התשפ"ג-2023</t>
  </si>
  <si>
    <t xml:space="preserve"> (פ/3204/25)</t>
  </si>
  <si>
    <t xml:space="preserve">הצעת חוק סיוע למשפחות ברוכות ילדים (תיקוני חקיקה), התשפ"ג-2023</t>
  </si>
  <si>
    <t xml:space="preserve"> (פ/3203/25)</t>
  </si>
  <si>
    <t xml:space="preserve">הצעת חוק הגנת הצרכן (תיקון - איסור הפליית מחירים בשל מגדר), התשפ"ג-2023 </t>
  </si>
  <si>
    <t xml:space="preserve"> (פ/3202/25)</t>
  </si>
  <si>
    <t xml:space="preserve"> (פ/3201/25)</t>
  </si>
  <si>
    <t xml:space="preserve">הצעת חוק הבנקאות (שירות ללקוח) (תיקון - חובת הצבת מכשיר בנק ממוכן), התשפ"ג-2023</t>
  </si>
  <si>
    <t xml:space="preserve"> (פ/3199/25)</t>
  </si>
  <si>
    <t xml:space="preserve"> (פ/3197/25)</t>
  </si>
  <si>
    <t xml:space="preserve">הצעת חוק איסור פרסום גזעני, הסתה לגזענות ורישום גזעני במסמכי תאגיד, התשפ"ג-2023</t>
  </si>
  <si>
    <t xml:space="preserve"> (פ/3196/25)</t>
  </si>
  <si>
    <t xml:space="preserve">הצעת חוק הבנקאות (שירות ללקוח) (תיקון - מסירת מידע על עמלות וריביות), התשפ"ג-2023</t>
  </si>
  <si>
    <t xml:space="preserve"> (פ/3195/25)</t>
  </si>
  <si>
    <t xml:space="preserve">הצעת חוק איסור הכחשת השואה (תיקון - איסור הבעת אהדה לשלטון הנאצי או הזדהות עמו ואיסור שימוש בסמלים נאציים), התשפ"ג-2023</t>
  </si>
  <si>
    <t xml:space="preserve"> (פ/3194/25)</t>
  </si>
  <si>
    <t xml:space="preserve">הצעת חוק שיקים ללא כיסוי (תיקון - קביעת סכום מינימום להגבלת חשבון בנק והגבלת לקוח), התשפ"ג-2023</t>
  </si>
  <si>
    <t xml:space="preserve"> (פ/3193/25)</t>
  </si>
  <si>
    <t xml:space="preserve">הצעת חוק הבנקאות (שירות ללקוח) (תיקון - ריבית על כספי פיקדונות), התשפ"ג-2023</t>
  </si>
  <si>
    <t xml:space="preserve"> (פ/3192/25)</t>
  </si>
  <si>
    <t xml:space="preserve">הצעת חוק הכשרות המשפטית והאפוטרופסות (תיקון - שלילת אפוטרופסות מהורה שהורשע ברצח או בנסיון לרצח), התשפ"ג-2023</t>
  </si>
  <si>
    <t xml:space="preserve"> (פ/3191/25)</t>
  </si>
  <si>
    <t xml:space="preserve"> (פ/3190/25)</t>
  </si>
  <si>
    <t xml:space="preserve">הצעת חוק פריסת תשלום חוב ללא תוספת ריבית או אגרה, התשפ"ג-2023</t>
  </si>
  <si>
    <t xml:space="preserve"> (פ/3189/25)</t>
  </si>
  <si>
    <t xml:space="preserve"> (פ/3188/25)</t>
  </si>
  <si>
    <t xml:space="preserve"> (פ/3187/25)</t>
  </si>
  <si>
    <t xml:space="preserve">הצעת חוק-יסוד: הכנסת (תיקון - מניעת בחירת מועמד שהורשע ברצח או ניסיון רצח כחלק ממעשה טרור)</t>
  </si>
  <si>
    <t xml:space="preserve"> (פ/3186/25)</t>
  </si>
  <si>
    <t xml:space="preserve">הצעת חוק אימוץ ילדים (תיקון - אימוץ על ידי בני הזוג), התשפ"ג-2023</t>
  </si>
  <si>
    <t xml:space="preserve"> (פ/3184/25)</t>
  </si>
  <si>
    <t xml:space="preserve">הצעת חוק הגנת הצרכן (תיקון - קביעת סכום מרבי לחיוב חשבון), התשפ"ג-2023</t>
  </si>
  <si>
    <t xml:space="preserve"> (פ/3183/25)</t>
  </si>
  <si>
    <t xml:space="preserve">הצעת חוק להנצחת זכרם של הרב אברהם שפירא והרב מרדכי אליהו, התשפ"ג-2023</t>
  </si>
  <si>
    <t xml:space="preserve"> (פ/3182/25)</t>
  </si>
  <si>
    <t xml:space="preserve"> (פ/3181/25)</t>
  </si>
  <si>
    <t xml:space="preserve">הצעת חוק המרכז לגביית קנסות, אגרות והוצאות (תיקון - גביית תשלום בעד חוב שטרם חלף המועד לתשלומו), התשפ"ג-2023</t>
  </si>
  <si>
    <t xml:space="preserve"> (פ/3179/25)</t>
  </si>
  <si>
    <t xml:space="preserve">הצעת חוק להארכת מועד לקבלת דברי דואר (הוראת שעה), התשפ"ג-2023</t>
  </si>
  <si>
    <t xml:space="preserve"> (פ/3178/25)</t>
  </si>
  <si>
    <t xml:space="preserve">הצעת חוק ארוחה יומית לתלמיד (תיקון - הרחבת תחולת החוק), התשפ"ג-2023</t>
  </si>
  <si>
    <t xml:space="preserve"> (פ/3176/25)</t>
  </si>
  <si>
    <t xml:space="preserve">הצעת חוק ציוד רפואי (תיקון מס' 2 והוראת שעה), התשפ"ג-2023</t>
  </si>
  <si>
    <t xml:space="preserve"> (מ/1602)</t>
  </si>
  <si>
    <t xml:space="preserve">חוק הגדלת נקודות זיכוי להורים במס הכנסה והגדלת מענק עבודה (הוראת שעה) (תיקון), התשפ"ג-2023</t>
  </si>
  <si>
    <t xml:space="preserve"> (מ/1604)</t>
  </si>
  <si>
    <t xml:space="preserve">19.04.2023</t>
  </si>
  <si>
    <t xml:space="preserve">החוק מאריך את תקופת הוראת השעה המעניקה נקודת זיכוי אחת נוספת לכל הורה בעד ילדיו שמלאו להם שש שנים לפחות אך טרם מלאו להם שלוש עשרה שנים בשנת 2022.</t>
  </si>
  <si>
    <t xml:space="preserve">חוק להסדרת אירוע הילולת רבי שמעון בר יוחאי בהר מירון (הוראת שעה), התשפ"ג-2023</t>
  </si>
  <si>
    <t xml:space="preserve"> (מ/1617)</t>
  </si>
  <si>
    <t xml:space="preserve">02.04.2023</t>
  </si>
  <si>
    <t xml:space="preserve">חוק הסדרת אירוע הילולת רבי שמעון בר יוחאי בהר מירון (הוראת שעה), התשפ"ג–2023 אושר בקריאה שניה ושלישית ביום 2/4/2023.  החוק קובע הגבלה שתחול ביחס למספר השוהים במתחם מירון י בכל רגע נתון בזמן ההילולה,– אותה יקבע השר לירושלים ומסורת ישראל בצו ייעודי לענייו זה. עוד קובע החוק להגביל את השהייה במתחם מירון בהחזקת היתר שהייה, הניתן לרכישה באמצעות מנגנון של כרטיסי נסיעה, שלא תינתן הגעה למירון אלא באמצעותם בלבד. בנוסף, החוק אוסר על הדלקה במתחם מירון שלא במסגרת אירוע הדלקה אחד המהווה את אירוע ההדלקה המרכזי או במסגרת קיומם של אירועים נוספים: אירוע ההדלקה המרכזי  יתקיים בכפוף לאישורים של גורמי משטרה, ביטחון, כבאות ומהנדס רשוי. כמו כן, החוק מגביל קיום של אירועים נוספים במתחם מירון בזמן ההילולה, אלא אם כן ניתן היתר מהשר ובכפוף גם לאישורי הגורמים שצוינו. נקבע כי בקשות להיתר קיום אירועים אלו יוגשו עד לתאריך כ"ט בניסן התשפ"ג (20 באפריל 2023), והשר יפרסם את ההיתרים שניתנו עד ליום ט"ז באייר התשפ"ג (7 במאי 2023). עוד קובע החוק כי מוטלת אחריות על הממונה על ההילולה לספירת השוהים במתחם מירון בכל רגע נתון בזמן ההילולה, וכי אם מספר זה עולה על המספר המרבי שנקבע בצו השר, יש להביא זאת לידיעת גורם משטרתי שנקבע לכך. כמו כן, אם הובא לידיעת גורם משטרתי כי מספר המשתתפים עולה על המספר שהותר, בסמכותו להורות על הפסקת ההדלקה, הוצאת אמצעי עזר, מניעת כניסה של אדם או רכב למתחם מירון, הוצאת אנשים מהמתחם וכן העמדה לדין והטלת קנס של מי ששוהה במתחם או עורך אירוע הדלקה ללא היתר. לבסוף, נקבע, על דרך ההחרגה מחוק התכנון והבנייה, לאפשר שימושים ועבודות זמניים המבוצעים במתחם מירון לצרכי ההילולה, מהתקופה שבין ה-10 לאפריל ועד ל-24 במאי 2023.  </t>
  </si>
  <si>
    <t xml:space="preserve">הצעת חוק זכויות הסטודנט (תיקון – הרחבת זכויות הסטודנט), התשפ"ג–2023</t>
  </si>
  <si>
    <t xml:space="preserve"> (פ/2109/25)</t>
  </si>
  <si>
    <t xml:space="preserve">הצעת חוק התכנון והבנייה (תיקון - ייצוג הולם לאוכלוסייה החרדית במוסדות התכנון), התשפ"ג-2022</t>
  </si>
  <si>
    <t xml:space="preserve"> (פ/533/25)</t>
  </si>
  <si>
    <t xml:space="preserve">חוק סמכויות לאיסוף ואבחון של נתוני נוסעים הנכנסים לישראל או היוצאים ממנה, התשפ"ג-2023 </t>
  </si>
  <si>
    <t xml:space="preserve"> (מ/1581)</t>
  </si>
  <si>
    <t xml:space="preserve">29.03.2023</t>
  </si>
  <si>
    <t xml:space="preserve">החוק מסדיר את הקמתו של מרכז לאומי לאבחון נתוני נוסעים, אשר יקים וינהל מאגר מידע של נתוני הנוסעים והצוות בטיסות המופעלות אל ישראל וממנה. במסגרת זאת, יהיה רשאי ראש המרכז לדרוש מחברת תעופה למסור את נתוני הנוסעים ולהקים ממשק אלקטרוני קבוע בכדי לאפשר הזרמה קבועה ורציפה של המידע, ומידע זה יימסר בשלושה מועדים קבועים לכל טיסה. במסגרת המידע שיימסר ייכללו נתוני API (Advanced Passenger Information), כגון שם הנוסע, תאריך לידה, מין, לאום, מספר דרכון ושם המדינה שהנפיקה את הדרכון, וכן נתוני PNR (Passenger Name Record), כגון מספר טלפון נייד, כתובת דואר אלקטרוני, אמצעי התשלום, תאריכי הנסיעה, מסלול הנסיעה ונתוני הכבודה. ניתן יהיה להשתמש במידע למטרות של מניעה וסיכול טרור ופשיעה חמורה, אבטחת התעופה האזרחית, מאבק בהגירה בלתי חוקית והגנה על בריאות הציבור, והגופים שיהיו רשאים לקבל גישה למאגר יהיו השב"כ, המוסד, משטרת ישראל, רשות המיסים, רשות האוכלוסין וההגירה, משרד הבריאות ומשרד התחבורה. עוד מוצע להטיל על חברות התעופה חובת יידוע הנוסעים בדבר העברת המידע. בנוסף, נקבעו מנגנונים שנועדו לצמצם את הפגיעה בפרטיות, כגון חובת מינוי ממונה על הגנת הפרטיות במרכז, שמינויו ותנאי כשירותו ייקבעו בעצה אחת עם ראש הרשות להגנת הפרטיות במשרד המשפטים, ושעליו להכין תכנית עבודה שנתית ולהגיש דו"חות שנתיים על קיום הוראות הגנת הפרטיות במרכז. </t>
  </si>
  <si>
    <t xml:space="preserve">חוק הנכים (תגמולים ושיקום) (תיקון מס' 31), התשפ"ג-2023 </t>
  </si>
  <si>
    <t xml:space="preserve">החוק קובע כי נכי צה"ל וכן נפגעי פעולות איבה הזכאים לתגמול חודשי, זכאים להשתתפות המדינה בדמי ביטוח חיים, ביטוח בריאות וביטוח סיעוד בסכום שיקבע שר הביטחון או שר העבודה, לפי העניין, באישור ועדת העבודה והרווחה של הכנסת. כמו כן, החוק קובע כי קצין התגמולים או פקיד תביעות, לפי העניין, ינכו מהתגמול של נכה או נפגע איבה דמי חברות בארגון היציג, תשלומים לקרן לעזרה הדדית של הארגון היציג ודמי השתתפות בביטוח חיים הדדי ובביטוח סיעודי הדדי שנערכו באמצעות הארגון היציג – עד לסכום מירבי שיקבע שר הביטחון או שר העבודה, לפי העניין, באישור ועדת העבודה והרווחה. קצין התגמולים ינכה כאמור מתגמולו של נכה צה"ל רק לאחר שהודיע לו בכתב על זכותו להגיש התנגדות לניכוי, ואם הנכה שהוחל לנכות לו לראשונה, הגיש התנגדות תוך 30 ימים מום ההודעה, יושב לו סכום הניכוי אם נוכה. עוד נקבעו הוראות המסמיכות לנכות מתגמולו של נכה  צה"ל או של נפגע איבה, לפי בקשה מפורשת בכתב, הלוואות שניטלו מהארגון היציג ונקבעה מגבלה על שיעור הגבייה מהתגמול. ההגבלה כאמור תחול על הלוואות שניטלו לאחר ה-15 במאי 23. נוסף על כך, נקבעה הוראה המאפשרת לנכות מתגמולו של נכה צה"ל דמי חברות במיתקן חברה וספורט של ארגון נכי צה"ל, אם ביקש זאת בכתב. נוסף על כך נקבע כי האגף או המוסד לביטוח לאומי, לפי העניין, יעבירו לארגון היציג הרלוונטי, מדי חודש דיווח על כל אחד מהניכויים מהתגמול החודשי כאמור. </t>
  </si>
  <si>
    <t xml:space="preserve">הצעת חוק שירות המדינה (משמעת) (תיקון - חובת פיטורין של תומכי טרור), התשפ"ג-2023</t>
  </si>
  <si>
    <t xml:space="preserve"> (פ/3173/25)</t>
  </si>
  <si>
    <t xml:space="preserve">הצעת חוק התכנון והבנייה (תיקון - הגבלת תקופת ההפקעה לייעוד ציבורי), התשפ"ג-2023</t>
  </si>
  <si>
    <t xml:space="preserve"> (פ/3170/25)</t>
  </si>
  <si>
    <t xml:space="preserve">הצעת חוק להקפאת כספים ששילמה הרשות הפלסטינית בזיקה לטרור מהכספים המועברים אליה מממשלת ישראל (תיקון - חילוט הכספים וניהולם), התשפ"ג-2023</t>
  </si>
  <si>
    <t xml:space="preserve"> (פ/3169/25)</t>
  </si>
  <si>
    <t xml:space="preserve">הצעת חוק ביטוח בריאות ממלכתי (תיקון - החזר עבור פינוי באמבולנס), התשפ"ג-2023</t>
  </si>
  <si>
    <t xml:space="preserve"> (פ/3166/25)</t>
  </si>
  <si>
    <t xml:space="preserve">הצעת חוק המאבק בטרור (תיקון - החמרה בעונשם של עבריינם המועדים לעבירות טרור), התשפ"ג-2023</t>
  </si>
  <si>
    <t xml:space="preserve"> (פ/3165/25)</t>
  </si>
  <si>
    <t xml:space="preserve">הצעת חוק הנגשת שירותי קבלת קהל הניתנים בגופי שלטון לשפות נוספות, התשפ"ג-2023</t>
  </si>
  <si>
    <t xml:space="preserve"> (פ/3164/25)</t>
  </si>
  <si>
    <t xml:space="preserve">הצעת חוק חובת פרסום מידע על תלונות הציבור ודוח ביקורת פנימית (תיקוני חקיקה), התשפ"ג-2023</t>
  </si>
  <si>
    <t xml:space="preserve"> (פ/3163/25)</t>
  </si>
  <si>
    <t xml:space="preserve">הצעת חוק העונשין (תיקון - החמרת ענישה בגין אי-חובת דיווח), התשפ"ג-2023</t>
  </si>
  <si>
    <t xml:space="preserve"> (פ/3162/25)</t>
  </si>
  <si>
    <t xml:space="preserve"> (פ/3161/25)</t>
  </si>
  <si>
    <t xml:space="preserve">הצעת חוק לתיקון פקודת בתי הסוהר (תנאי אסיר ביטחוני בבתי הסוהר), התשפ"ג-2023</t>
  </si>
  <si>
    <t xml:space="preserve"> (פ/3160/25)</t>
  </si>
  <si>
    <t xml:space="preserve">הצעת חוק החלת ריבונות על מעלה אדומים, התשפ"ג-2023</t>
  </si>
  <si>
    <t xml:space="preserve"> (פ/3158/25)</t>
  </si>
  <si>
    <t xml:space="preserve">הצעת חוק החלת הריבונות של מדינת ישראל בחבלי יהודה והשומרון, התשפ"ג-2023</t>
  </si>
  <si>
    <t xml:space="preserve"> (פ/3156/25)</t>
  </si>
  <si>
    <t xml:space="preserve">הצעת חוק לתיקון פקודת סדרי השלטון והמשפט (חקיקה באמצעות צו), התשפ"ג-2023</t>
  </si>
  <si>
    <t xml:space="preserve"> (פ/3155/25)</t>
  </si>
  <si>
    <t xml:space="preserve"> (פ/3154/25)</t>
  </si>
  <si>
    <t xml:space="preserve"> (פ/3152/25)</t>
  </si>
  <si>
    <t xml:space="preserve">הצעת חוק העונשין (תיקון - הגדרת גזענות), התשפ"ג-2023</t>
  </si>
  <si>
    <t xml:space="preserve"> (פ/3151/25)</t>
  </si>
  <si>
    <t xml:space="preserve">הצעת חוק למניעת אלימות במשפחה (פיקוח טכנולוגי להבטחת קיומו של צו הגנה והערכת מסוכנות - הוראת שעה), התשפ"ג-2023</t>
  </si>
  <si>
    <t xml:space="preserve"> (פ/3150/25)</t>
  </si>
  <si>
    <t xml:space="preserve">הצעת חוק שירות המדינה (מינויים) (תיקון - ייצוג הולם לעולים חדשים), התשפ"ג-2023</t>
  </si>
  <si>
    <t xml:space="preserve"> (פ/3149/25)</t>
  </si>
  <si>
    <t xml:space="preserve">הצעת חוק הביטוח הלאומי (תיקון - דמי ביטוח מופחתים לסטודנטים במוסד להשכלה בחוץ לארץ), התשפ"ג-2023</t>
  </si>
  <si>
    <t xml:space="preserve"> (פ/3148/25)</t>
  </si>
  <si>
    <t xml:space="preserve">הצעת חוק לתיקון פקודת הסמים המסוכנים (שידול לייבוא או ייצוא חומר הנחשב לסם בחוץ לארץ), התשפ"ג-2023</t>
  </si>
  <si>
    <t xml:space="preserve"> (פ/3146/25)</t>
  </si>
  <si>
    <t xml:space="preserve"> (פ/3144/25)</t>
  </si>
  <si>
    <t xml:space="preserve">הצעת חוק המפלגות (תיקון - חובת קיום בחירות מקדימות), התשפ"ג-2023</t>
  </si>
  <si>
    <t xml:space="preserve"> (פ/3143/25)</t>
  </si>
  <si>
    <t xml:space="preserve"> (פ/3142/25)</t>
  </si>
  <si>
    <t xml:space="preserve">הצעת חוק צער בעלי חיים (הגנה על בעלי חיים) (תיקון - חובת היתר לייצוא בעל חיים), התשפ"ג-2023</t>
  </si>
  <si>
    <t xml:space="preserve"> (פ/3141/25)</t>
  </si>
  <si>
    <t xml:space="preserve">הצעת חוק חינוך מיוחד (תיקון - שפת הלימוד במוסד לחינוך מיוחד), התשפ"ג-2023</t>
  </si>
  <si>
    <t xml:space="preserve"> (פ/3140/25)</t>
  </si>
  <si>
    <t xml:space="preserve">הצעת חוק העמותות (תיקון - מימון טרור כעילת פירוק), התשפ"ג-2023</t>
  </si>
  <si>
    <t xml:space="preserve"> (פ/3139/25)</t>
  </si>
  <si>
    <t xml:space="preserve">הצעת חוק הפיקוח על מעונות יום לפעוטות (תיקון - כשירותם של מחנכים-מטפלים), התשפ"ג-2023</t>
  </si>
  <si>
    <t xml:space="preserve"> (פ/3138/25)</t>
  </si>
  <si>
    <t xml:space="preserve">הצעת חוק בתי המשפט (תיקון - דוח גיוון וייצוג), התשפ"ג-2023</t>
  </si>
  <si>
    <t xml:space="preserve"> (פ/3137/25)</t>
  </si>
  <si>
    <t xml:space="preserve">הצעת חוק ביטוח בריאות ממלכתי (תיקון - מחלה נדירה), התשפ"ג-2023</t>
  </si>
  <si>
    <t xml:space="preserve"> (פ/3133/25)</t>
  </si>
  <si>
    <t xml:space="preserve">הצעת חוק ההסגרה (תיקון - סייג להסגרת אזרח תושב ישראל), התשפ"ג-2023</t>
  </si>
  <si>
    <t xml:space="preserve"> (פ/3132/25)</t>
  </si>
  <si>
    <t xml:space="preserve">הצעת חוק הביטוח הלאומי (תיקון - השוואת קצבת אזרח ותיק לשכר הממוצע במשק), התשפ"ג-2023</t>
  </si>
  <si>
    <t xml:space="preserve"> (פ/3131/25)</t>
  </si>
  <si>
    <t xml:space="preserve">הצעת חוק רישוי סוכני אונייה, התשפ"ג-2023 </t>
  </si>
  <si>
    <t xml:space="preserve"> (פ/3130/25)</t>
  </si>
  <si>
    <t xml:space="preserve">הצעת חוק שלילת זכויות לראש ממשלה לשעבר שכיהן תקופה קצרה, התשפ"ג-2023</t>
  </si>
  <si>
    <t xml:space="preserve"> (פ/3129/25)</t>
  </si>
  <si>
    <t xml:space="preserve">הצעת חוק הביטוח הלאומי (תיקון - שיעור ההטבה לפי הסכם בדבר גמלת ניידות), התשפ"ג-2023</t>
  </si>
  <si>
    <t xml:space="preserve"> (פ/3128/25)</t>
  </si>
  <si>
    <t xml:space="preserve">הצעת חוק טיפול ארוך טווח בעבירות מין חמורות, התשפ"ג-2023</t>
  </si>
  <si>
    <t xml:space="preserve"> (פ/3125/25)</t>
  </si>
  <si>
    <t xml:space="preserve">הצעת חוק ביטוח בריאות ממלכתי (תיקון - מימון הסעה לבית חולים), התשפ"ג-2023</t>
  </si>
  <si>
    <t xml:space="preserve"> (פ/3124/25)</t>
  </si>
  <si>
    <t xml:space="preserve"> (פ/3123/25)</t>
  </si>
  <si>
    <t xml:space="preserve">הצעת חוק הגנת הצרכן (תיקון - שינוי פרטים בכרטיס טיסה או בכרטיס לשיט), התשפ"ג-2023</t>
  </si>
  <si>
    <t xml:space="preserve"> (פ/3122/25)</t>
  </si>
  <si>
    <t xml:space="preserve"> (פ/3121/25)</t>
  </si>
  <si>
    <t xml:space="preserve">הצעת חוק לפיקוח על ייצור הצמח ושיווקו (תיקון - חובת סימון ארץ הייצור של הצמחים), התשפ"ג-2023</t>
  </si>
  <si>
    <t xml:space="preserve"> (פ/3120/25)</t>
  </si>
  <si>
    <t xml:space="preserve"> (פ/3119/25)</t>
  </si>
  <si>
    <t xml:space="preserve"> (פ/3117/25)</t>
  </si>
  <si>
    <t xml:space="preserve">הצעת חוק חובת המכרזים (תיקון - עידוד העסקת עובדים מאוכלוסיות ייחודיות), התשפ"ג-2023</t>
  </si>
  <si>
    <t xml:space="preserve"> (פ/3116/25)</t>
  </si>
  <si>
    <t xml:space="preserve"> (פ/3115/25)</t>
  </si>
  <si>
    <t xml:space="preserve">הצעת חוק מעונות יום לפעוטות (תנאים להשתתפות המדינה בעלות שכר הלימוד), התשפ"ג-2023</t>
  </si>
  <si>
    <t xml:space="preserve"> (פ/3114/25)</t>
  </si>
  <si>
    <t xml:space="preserve">הצעת חוק לימוד חובה (תיקון - הוספת סייעת בגני ילדים), התשפ"ג-2023</t>
  </si>
  <si>
    <t xml:space="preserve"> (פ/3113/25)</t>
  </si>
  <si>
    <t xml:space="preserve"> (פ/3112/25)</t>
  </si>
  <si>
    <t xml:space="preserve"> (פ/3111/25)</t>
  </si>
  <si>
    <t xml:space="preserve">הצעת חוק לתיקון פקודת התעבורה (חניית נשים בהריון והורה לתינוק), התשפ"ג-2023</t>
  </si>
  <si>
    <t xml:space="preserve"> (פ/3110/25)</t>
  </si>
  <si>
    <t xml:space="preserve">הצעת חוק הביטוח הלאומי (תיקון - מענק לכיסוי הוצאות בלידת בית), התשפ"ג-2023</t>
  </si>
  <si>
    <t xml:space="preserve"> (פ/3109/25)</t>
  </si>
  <si>
    <t xml:space="preserve">הצעת חוק המאבק בטרור (תיקון - סיווג טרור ואכיפה משולבת), התשפ"ג-2023</t>
  </si>
  <si>
    <t xml:space="preserve"> (פ/3108/25)</t>
  </si>
  <si>
    <t xml:space="preserve">הצעת חוק הבטחת הכנסה (תיקון - זכאות לגמלה למי שמצוי בהכשרה מקצועית), התשפ"ג-2023</t>
  </si>
  <si>
    <t xml:space="preserve"> (פ/3107/25)</t>
  </si>
  <si>
    <t xml:space="preserve">הצעת חוק האזרחים הוותיקים (תיקון - לחצן מצוקה לקשיש), התשפ"ג-2023</t>
  </si>
  <si>
    <t xml:space="preserve"> (פ/3106/25)</t>
  </si>
  <si>
    <t xml:space="preserve">הצעת חוק הביטוח הלאומי (תיקון - הגדלת סכום קצבאות הילדים), התשפ"ג-2023</t>
  </si>
  <si>
    <t xml:space="preserve"> (פ/3105/25)</t>
  </si>
  <si>
    <t xml:space="preserve">הצעת חוק גוש אריאל, התשפ"ג-2023</t>
  </si>
  <si>
    <t xml:space="preserve"> (פ/3104/25)</t>
  </si>
  <si>
    <t xml:space="preserve">הצעת חוק העונשין (תיקון - החמרת ענישה בשל תקיפת צוות רפואי), התשפ''ג-2023</t>
  </si>
  <si>
    <t xml:space="preserve"> (פ/3103/25)</t>
  </si>
  <si>
    <t xml:space="preserve"> (פ/3102/25)</t>
  </si>
  <si>
    <t xml:space="preserve"> (פ/3101/25)</t>
  </si>
  <si>
    <t xml:space="preserve">הצעת חוק העונשין (תיקון - החמרת ענישה בעבירות אלימות), התשפ"ג-2023</t>
  </si>
  <si>
    <t xml:space="preserve"> (פ/3100/25)</t>
  </si>
  <si>
    <t xml:space="preserve">הצעת חוק שירותי רווחה (זכויות נשים ששהו במקלט לנשים מוכות) (תיקון - העלאת סכום מענק ההסתגלות ושינוי מועד תשלומו), התשפ"ג-2023</t>
  </si>
  <si>
    <t xml:space="preserve"> (פ/3099/25)</t>
  </si>
  <si>
    <t xml:space="preserve">הצעת חוק בתי המשפט (תיקון - התמודדות עם עינויי דין), התשפ"ג-2023</t>
  </si>
  <si>
    <t xml:space="preserve"> (פ/3098/25)</t>
  </si>
  <si>
    <t xml:space="preserve">הצעת חוק ביטוח בריאות ממלכתי (תיקון - הגבלת סכום ההשתתפות העצמית בתכשיר מרשם), התשפ"ג-2023</t>
  </si>
  <si>
    <t xml:space="preserve"> (פ/3097/25)</t>
  </si>
  <si>
    <t xml:space="preserve">הצעת חוק זכויות הסטודנט (תיקון - פעילות ציבורית), התשפ"ג-2023</t>
  </si>
  <si>
    <t xml:space="preserve"> (פ/3096/25)</t>
  </si>
  <si>
    <t xml:space="preserve"> (פ/3093/25)</t>
  </si>
  <si>
    <t xml:space="preserve">הצעת חוק שיווי זכויות האישה (תיקון - הרחבת חובת הייצוג ההולם של נשים בגופים ציבוריים), התשפ"ג-2023</t>
  </si>
  <si>
    <t xml:space="preserve"> (פ/3092/25)</t>
  </si>
  <si>
    <t xml:space="preserve">הצעת חוק כביש אגרה (כביש ארצי לישראל) (תיקון - החזר לנוסעים בשל האטה משמעותית), התשפ"ג-2023</t>
  </si>
  <si>
    <t xml:space="preserve"> (פ/3091/25)</t>
  </si>
  <si>
    <t xml:space="preserve">הצעת חוק לפיטורין והשעיה של עובד הוראה שנפתח נגדו הליך פלילי בעבירת מין או אלימות חמורה (תיקוני חקיקה), התשפ"ג-2023</t>
  </si>
  <si>
    <t xml:space="preserve"> (פ/3090/25)</t>
  </si>
  <si>
    <t xml:space="preserve"> (פ/3089/25)</t>
  </si>
  <si>
    <t xml:space="preserve"> (פ/3087/25)</t>
  </si>
  <si>
    <t xml:space="preserve"> (פ/3086/25)</t>
  </si>
  <si>
    <t xml:space="preserve">הצעת חוק לימוד חובה (תיקון - חינוך חינם מגיל שנתיים), התשפ"ג-2023</t>
  </si>
  <si>
    <t xml:space="preserve"> (פ/3085/25)</t>
  </si>
  <si>
    <t xml:space="preserve">הצעת חוק הביטוח הלאומי (תיקון - עבודה בחינוך וסיוע להוראה או בטיפול בילדים כעבודה מועדפת), התשפ"ג-2023</t>
  </si>
  <si>
    <t xml:space="preserve"> (פ/3083/25)</t>
  </si>
  <si>
    <t xml:space="preserve">הצעת חוק הביטוח הלאומי (תיקון - תשלום תוספת לגמלת אזרח ותיק לנכה שהכנסתו נמוכה משכר המינימום), התשפ"ג-2023</t>
  </si>
  <si>
    <t xml:space="preserve"> (פ/3082/25)</t>
  </si>
  <si>
    <t xml:space="preserve">הצעת חוק עובדים זרים (תיקון - גביית פיצוי נזיקי מכספי פיקדון), התשפ"ג-2023</t>
  </si>
  <si>
    <t xml:space="preserve"> (פ/3081/25)</t>
  </si>
  <si>
    <t xml:space="preserve">הצעת חוק התאמת אופן ההעסקה של מטפלות במשפחתונים המפוקחים על ידי משרד העבודה, התשפ"ג-2023</t>
  </si>
  <si>
    <t xml:space="preserve"> (פ/3080/25)</t>
  </si>
  <si>
    <t xml:space="preserve">הצעת חוק עבודת נשים (תיקון - תקופת לידה והורות לבן זוג של יולדת), התשפ"ג-2023</t>
  </si>
  <si>
    <t xml:space="preserve"> (פ/3078/25)</t>
  </si>
  <si>
    <t xml:space="preserve">הצעת חוק לאיסור מתן היתר שהייה בישראל לעבריין בנייה בשטחי c, התשפ"ג-2023</t>
  </si>
  <si>
    <t xml:space="preserve"> (פ/3077/25)</t>
  </si>
  <si>
    <t xml:space="preserve"> (פ/3076/25)</t>
  </si>
  <si>
    <t xml:space="preserve">הצעת חוק זכויות הסטודנט (תיקון - הרחבת זכויות הסטודנט), התשפ"ג-2023</t>
  </si>
  <si>
    <t xml:space="preserve"> (פ/3075/25)</t>
  </si>
  <si>
    <t xml:space="preserve">הצעת חוק לעידוד השקעות הון (תיקון - הטבות לחברת התחדשות עירונית בפריפריה), התשפ"ג-2023</t>
  </si>
  <si>
    <t xml:space="preserve"> (פ/3073/25)</t>
  </si>
  <si>
    <t xml:space="preserve">הצעת חוק עורכי דין מיוחדים, התשפ"ג-2023</t>
  </si>
  <si>
    <t xml:space="preserve"> (פ/3070/25)</t>
  </si>
  <si>
    <t xml:space="preserve">הצעת חוק הביטוח הלאומי (תיקון - הקלות בניידות), התשפ"ג-2023</t>
  </si>
  <si>
    <t xml:space="preserve"> (פ/3068/25)</t>
  </si>
  <si>
    <t xml:space="preserve">הצעת חוק מערך החוץ וההסברה, התשפ"ג-2023</t>
  </si>
  <si>
    <t xml:space="preserve"> (פ/3065/25)</t>
  </si>
  <si>
    <t xml:space="preserve">הצעת חוק לתיקון פקודת מס הכנסה (שינוי הקריטריונים ליישוב מוטב), התשפ"ג-2023</t>
  </si>
  <si>
    <t xml:space="preserve"> (פ/3064/25)</t>
  </si>
  <si>
    <t xml:space="preserve">הצעת חוק שעות עבודה ומנוחה (תיקון - סמכויות שרים להתרת עבודות בשבת), התשפ"ג-2023</t>
  </si>
  <si>
    <t xml:space="preserve"> (פ/3063/25)</t>
  </si>
  <si>
    <t xml:space="preserve"> (פ/3062/25)</t>
  </si>
  <si>
    <t xml:space="preserve"> (פ/3060/25)</t>
  </si>
  <si>
    <t xml:space="preserve">הצעת חוק ההתגוננות האזרחית (תיקון - אפשרות לקבלת פטור מבניית מקלט בהרחבת בית), התשפ"ג-2023</t>
  </si>
  <si>
    <t xml:space="preserve"> (פ/3059/25)</t>
  </si>
  <si>
    <t xml:space="preserve">הצעת חוק לייעול האכיפה והפיקוח העירוניים ברשויות המקומיות (הוראת שעה) (תיקון - סמכויות לשמירה על הסדר הציבורי), התשפ"ג-2023</t>
  </si>
  <si>
    <t xml:space="preserve"> (פ/3057/25)</t>
  </si>
  <si>
    <t xml:space="preserve">הצעת חוק המועצה להשכלה גבוהה (תיקון - ביטול חובת דרישות מבחני כניסה וציון פסיכומטרי), התשפ"ג-2023</t>
  </si>
  <si>
    <t xml:space="preserve"> (פ/3056/25)</t>
  </si>
  <si>
    <t xml:space="preserve">הצעת חוק העונשין (תיקון - הגנת בית מגורים, נכס, בית עסק ומשק חקלאי), התשפ"ג-2023</t>
  </si>
  <si>
    <t xml:space="preserve"> (פ/3055/25)</t>
  </si>
  <si>
    <t xml:space="preserve">הצעת חוק ביטול המינהל האזרחי, התשפ"ג-2023</t>
  </si>
  <si>
    <t xml:space="preserve"> (פ/3054/25)</t>
  </si>
  <si>
    <t xml:space="preserve">הצעת חוק משפחות חיילים שנספו במערכה (תגמולים ושיקום) (תיקון - הכרה בארוסות חיילים שנספו במערכה), התשפ"ג-2023</t>
  </si>
  <si>
    <t xml:space="preserve"> (פ/3053/25)</t>
  </si>
  <si>
    <t xml:space="preserve">הצעת חוק השיפוט הצבאי (תיקון - וידוא הריגה), התשפ"ג-2023</t>
  </si>
  <si>
    <t xml:space="preserve"> (פ/3052/25)</t>
  </si>
  <si>
    <t xml:space="preserve">הצעת חוק השיפוט הצבאי (תיקון - קביעת ערובה חלף מעצר), התשפ"ג-2023</t>
  </si>
  <si>
    <t xml:space="preserve"> (פ/3051/25)</t>
  </si>
  <si>
    <t xml:space="preserve"> (פ/3050/25)</t>
  </si>
  <si>
    <t xml:space="preserve">חוק סדר הדין הפלילי (סמכויות אכיפה – חיפוש בגוף ונטילת אמצעי זיהוי) (תיקון מס' 8), התשפ"ג-2023</t>
  </si>
  <si>
    <t xml:space="preserve"> (מ/1598)</t>
  </si>
  <si>
    <t xml:space="preserve">27.03.2023</t>
  </si>
  <si>
    <t xml:space="preserve">חוק סדר הדין הפלילי (סמכויות אכיפה – חיפוש בגוף ונטילת אמצעי זיהוי) (תיקון מס' 8), התשפ"ג-2023, נדון בקריאה השנייה והשלישית ביום ו' בניסן התשפ"ג (28 במרץ 2023). החוק מעגן הסדרים שנועדו ליישם הסכמים שנחתמו במסגרת המשא ומתן בין ישראל לבין ארצות הברית על הצטרפות ישראל לתוכנית הפטור מוויזה: ההסכם להגברת שיתוף הפעולה במאבק בפשיעה חמורה וטרור (הסכם PCSC), שנחתם בין ממשלת ישראל וממשלת ארצות הברית, ו המזכר בדבר שיתוף פעולה בנושא חיזוק ושמירה על ביטחון הגבולות (מזכר ה־ EBSA) שנחתם בין המשרד לביטחון הפנים לבין המשרד לביטחון המולדת בארצות הברית. זאת, באופן שיאפשר לרשויות אכיפת החוק ורשויות העוסקות במאבק בטרור בארצות הברית גישה למאגר טביעות האצבע של משטרת ישראל.  החוק קובע את סמכותה של המשטרה למסור את המידע לפי ההסכם והמזכר. בהצעה מעוגן ההליך, לפיו הגופים המוכרים לפי ההסכם או המזכר יוכלו להזין למערכת מחשב ייעודית נתוני זיהוי שהופקו מטביעות אצבעות, לשם השוואתם לנתוני זיהוי המצויים במאגר משטרת ישראל, ובמקרה של התאמה, משטרת ישראל תוכל להעביר להן פרטי זיהוי, את טביעת האצבע עצמה וכן מידע מהמרשם הפלילי. הזנת נתונים לשם השוואה, תיעשה למטרות מניעה, גילוי או חקירה של פשיעה חמורה לרבות טרור; כאשר ישנו חשד כלפי אדם מסוים, מניעה גילוי או חקירה של מעשה המהווה עבירה שבשלה אדם אינו זכאי להיכנס לארצות הברית או להגר אליה או מועמד להרחקה ממנה; לשם הקלת הליך הבירור לגבי אדם המבקש להיכנס לארצות הברית או לקבל זכויות בקשר להגירה.  </t>
  </si>
  <si>
    <t xml:space="preserve">חוק המאבק בכלי הנשק הבלתי חוקיים (תיקון חקיקה והוראת שעה), התשפ"ג–2023</t>
  </si>
  <si>
    <t xml:space="preserve"> (פ/2392/25)</t>
  </si>
  <si>
    <t xml:space="preserve"> (כ/955)</t>
  </si>
  <si>
    <t xml:space="preserve">חוק  המאבק בכלי הנשק הבלתי חוקיים, התשפ"ג–2023 אושר בקריאה שניה ושלישית ביום 28/03/2023.  ראשית, החוק מוסיף שתי עילות חדשות לביצוע חיפוש ללא צו שופט במטרה להקנות למשטרה כלי אכיפה יעילים למיגור תופעת כלי הנשק הבלתי חוקיים. העילה הראשונה שנוספה תאפשר לשוטר לבצע חיפוש ללא צו שופט אם התעורר חשד סביר שכלי נשק או חלק מהותי מנשק, שעשוי לשמש ראיה לביצוע עבירה, נמצא במקום, ואם בשל הצורך המיידי לביצוע החיפוש לא ניתן לקבל צו. העילה השנייה שנוספה תאפשר למשטרה לבצע חיפוש של תיעוד או מצלמה שעשויים לשמש ראיה לביצוע עבירה שדינה עשר שנות מאסר לפחות, הכוללת עבירת נשק, עבירה של ירי במקום מגורים או עבירת סחיטה באיומים. לגבי שתי עילות אלו, נקבע כי החיפוש יבוצע רק באישור בכתב של קצין משטרה בדרגת רב-פקד ומעלה, שיכלול את הנסיבות והנימוקים לצורך בחיפוש מיידי ללא צו. עוד נקבע כי אם במהלך החיפוש נתגלה חפץ שאינו נוגע לעבירה שבשלה ניתן האישור לביצוע החיפוש, שופט יהיה רשאי לתפוס את החפץ ולהביאו לבחינת שופט, אשר יצווה מה ייעשה בו. הסדרים אלו נקבעו כהוראת שעה לתקופה של שנה, החל מיום כ"ד באייר התשפ"ג (15 במאי 2023), זאת בכדי לאפשר בחינה של ההסדרים המוצעים. במסגרת זאת, נקבעו חובות דיווח מפורטות לוועדה לביטחון לאומי של הכנסת וליועץ המשפטי לממשלה, אודות השימוש בעילות החיפוש החדשות ותוצאותיהן, ואלו יימסרו בשלושה מועדים שונים בתקופת הוראת השעה. בנוסף, לפני תום הוראת השעה, ידווח פרקליט המדינה לוועדה לביטחון לאומי של הכנסת על מספר כתבי האישום שהוגשו בתיקי חקירה בהם בוצע חיפוש כאמור.  שנית, נקבעה החמרת ענישה ביחס לעבירות נשק. במסגרת זאת, הוחמר העונש על עבירת רכישת נזק בלתי חוקי לעשר שנים, בדומה לעבירות של נשיאה והובלה של נשק שלא כדין. בנוסף, נקבעה הבחנה בענישה בין חלקי נשק מהותיים לחלקי נשק שאינם מהותיים, כך שהעונש על עבירת החזקה או הובלה של חלקי נשק מהותיים יהיה חמש שנות מאסר, ושל חלקי נשק לא מהותיים – שלוש שנות מאסר.  לבסוף, נקבע הסדר חילוט לעניין עבירות של סחר בנשק, המפרט הסדר חילוט מיוחד לגבי אדם שהורשע בעבירת סחר בנשק לא חוקי ומנהל אורח חיים עברייני (המבוסס על תקבולי עבירה), לפי תנאים שנקבעו בחוק. במסגרת זאת, יחולט לאוצר המדינה כל רכוש של נידון שהורשע בעבירת סחר בנשק, אלא אם סבר בית המשפט שלא לעשות כן מנימוקים מיוחדים.  </t>
  </si>
  <si>
    <t xml:space="preserve">חוק לתיקון פקודת הרופאים (מס' 15), התשפ"ג-2023</t>
  </si>
  <si>
    <t xml:space="preserve"> (מ/1500)</t>
  </si>
  <si>
    <t xml:space="preserve">חוק זה מאפשר למנכ"ל משרד הבריאות להתיר גם לעוזרים מסוימים, כגון  פראמדיקים או פלבוטומיסטים, לבצע פעולות רפואיות בבית החולה וזאת בכפוף לתנאים שייקבעו בתקנות באישור ועדת הבריאות של הכנסת.</t>
  </si>
  <si>
    <t xml:space="preserve">חוק זכויות החולה (תיקון מס' 13), התשפ"ג–2023</t>
  </si>
  <si>
    <t xml:space="preserve"> (פ/138/25)</t>
  </si>
  <si>
    <t xml:space="preserve"> (כ/948)</t>
  </si>
  <si>
    <t xml:space="preserve">החוק מסמיך את מנהלי בתי החולים לקבוע הוראות בדבר איסור או הגבלה של הכנסת חמץ למבנה בית החולים, כולו או חלקו, הנדרשות לשם שמירת כשרות בחג הפסח עבור המאושפזים. קביעת ההוראות תעשה לאחר שהמנהל שקל חלופות אחרות ובהתחשב בזכויות המטופלים ובצורכיהם. המנהל רשאי להתחשב בין היתר בצורכי המלווים של המטופלים והעובדים. בנוסף, החוק קובע כי ההוראות יפורסמו באופן קבוע באתר האינטרנט של בית החולים ואם אין אתר כזה – באתר משרד הבריאות, ובבית החולים יוצבו שלטים בדבר ההוראות. מנהל בית החולים יהיה רשאי להסמיך עובד לשם יידוע על ההוראות. בחוק הובהר כי הוראות  הסדר זה  אינן גורעות מהוראות כל דין הנוגע לכשרות המזון.</t>
  </si>
  <si>
    <t xml:space="preserve"> (פ/3047/25)</t>
  </si>
  <si>
    <t xml:space="preserve">הצעת חוק התמודדות עם תופעת נטילת דמי חסות, התשפ"ג-2023</t>
  </si>
  <si>
    <t xml:space="preserve"> (פ/3046/25)</t>
  </si>
  <si>
    <t xml:space="preserve">הצעת חוק הפיקוח על שירותים פיננסיים (ביטוח) (תיקון - מוסד ליישוב סכסוכים), התשפ"ג-2023</t>
  </si>
  <si>
    <t xml:space="preserve"> (פ/3045/25)</t>
  </si>
  <si>
    <t xml:space="preserve"> (פ/3044/25)</t>
  </si>
  <si>
    <t xml:space="preserve"> (פ/3043/25)</t>
  </si>
  <si>
    <t xml:space="preserve"> (פ/3042/25)</t>
  </si>
  <si>
    <t xml:space="preserve">הצעת חוק הביטוח הלאומי (תיקון - עבודה באבטחה כעבודה מועדפת), התשפ"ג-2023</t>
  </si>
  <si>
    <t xml:space="preserve"> (פ/3037/25)</t>
  </si>
  <si>
    <t xml:space="preserve"> (פ/3036/25)</t>
  </si>
  <si>
    <t xml:space="preserve">הצעת חוק קרן קיימת לישראל (תחולת דיני המס והוראת שעה) (תיקון - היטל מימון פיתוח על מקרקעי קרן קיימת לישראל), התשפ"ג-2023</t>
  </si>
  <si>
    <t xml:space="preserve"> (פ/3035/25)</t>
  </si>
  <si>
    <t xml:space="preserve">הצעת חוק לשינוי סדרי עדיפויות לאומיים (תיקוני חקיקה להשגת יעדי התקציב לשנים 2013 ו-2014) (תיקון - ביטול השיעור הנוסף), התשפ"ג-2023</t>
  </si>
  <si>
    <t xml:space="preserve"> (פ/3034/25)</t>
  </si>
  <si>
    <t xml:space="preserve">הצעת חוק עבודת נשים (תיקון - שעות היעדרות מעבודה לאישה בהריון בר-סיכון), התשפ"ג-2023</t>
  </si>
  <si>
    <t xml:space="preserve"> (פ/3033/25)</t>
  </si>
  <si>
    <t xml:space="preserve">הצעת חוק ביטוח בריאות ממלכתי (תיקון - החזר דמי נסיעות עבור חולה סיעודי וחולה שנפטר), התשפ"ג-2023</t>
  </si>
  <si>
    <t xml:space="preserve"> (פ/3032/25)</t>
  </si>
  <si>
    <t xml:space="preserve">הצעת חוק הביטוח הלאומי (תיקון - דמי אבטלה למתמחים), התשפ"ג-2023</t>
  </si>
  <si>
    <t xml:space="preserve"> (פ/3031/25)</t>
  </si>
  <si>
    <t xml:space="preserve">הצעת חוק התכנון והבנייה (תיקון - שיעור היטל השבחה), התשפ"ג-2023</t>
  </si>
  <si>
    <t xml:space="preserve"> (פ/3030/25)</t>
  </si>
  <si>
    <t xml:space="preserve">הצעת חוק לתיקון פקודת בריאות העם (מכרז להצבת מכונות מזון אוטומטיות), התשפ"ג-2023</t>
  </si>
  <si>
    <t xml:space="preserve"> (פ/3029/25)</t>
  </si>
  <si>
    <t xml:space="preserve">הצעת חוק מעונות יום שיקומיים (תיקון - הקדמת גיל הזכאות), התשפ"ג-2023</t>
  </si>
  <si>
    <t xml:space="preserve"> (פ/3028/25)</t>
  </si>
  <si>
    <t xml:space="preserve">הצעת חוק הגנת השכר (תיקון - פנקס שכר, תלוש שכר וגליון אלקטרוני), התשפ"ג-2023</t>
  </si>
  <si>
    <t xml:space="preserve"> (פ/3027/25)</t>
  </si>
  <si>
    <t xml:space="preserve"> (פ/3026/25)</t>
  </si>
  <si>
    <t xml:space="preserve">הצעת חוק לתיקון פקודת מסי העירייה ומסי הממשלה (פטורין) (פטור מארנונה לישיבת הסדר ולמכינה קדם צבאית), התשפ"ג-2023</t>
  </si>
  <si>
    <t xml:space="preserve"> (פ/3025/25)</t>
  </si>
  <si>
    <t xml:space="preserve"> (פ/3023/25)</t>
  </si>
  <si>
    <t xml:space="preserve"> (פ/3022/25)</t>
  </si>
  <si>
    <t xml:space="preserve"> (פ/3021/25)</t>
  </si>
  <si>
    <t xml:space="preserve"> (פ/3020/25)</t>
  </si>
  <si>
    <t xml:space="preserve"> (פ/3019/25)</t>
  </si>
  <si>
    <t xml:space="preserve"> (פ/3017/25)</t>
  </si>
  <si>
    <t xml:space="preserve">הצעת חוק הביטוח הלאומי (תיקון - ערעור על החלטת ועדה לעררים), התשפ"ג-2023</t>
  </si>
  <si>
    <t xml:space="preserve"> (פ/3015/25)</t>
  </si>
  <si>
    <t xml:space="preserve"> (פ/3014/25)</t>
  </si>
  <si>
    <t xml:space="preserve"> (פ/3013/25)</t>
  </si>
  <si>
    <t xml:space="preserve"> (פ/3012/25)</t>
  </si>
  <si>
    <t xml:space="preserve"> (פ/3011/25)</t>
  </si>
  <si>
    <t xml:space="preserve">הצעת חוק זכויות הסטודנט (תיקון - תמיכה בסטודנטים שהם הורים), התשפ"ג-2023</t>
  </si>
  <si>
    <t xml:space="preserve"> (פ/3010/25)</t>
  </si>
  <si>
    <t xml:space="preserve">הצעת חוק הביטוח הלאומי (תיקון - טיפול בפעוטות במעונות יום כעבודה מועדפת), התשפ"ג-2023</t>
  </si>
  <si>
    <t xml:space="preserve"> (פ/3009/25)</t>
  </si>
  <si>
    <t xml:space="preserve">הצעת חוק יסודות התקציב (תיקון - תמיכת משרדי ממשלה במוסדות ציבור), התשפ"ג-2023</t>
  </si>
  <si>
    <t xml:space="preserve"> (פ/3008/25)</t>
  </si>
  <si>
    <t xml:space="preserve">הצעת חוק הפיקוח על שירותים פיננסיים (קופות גמל) (תיקון - הרחבת הגדרת פנסיה תקציבית), התשפ"ג-2023</t>
  </si>
  <si>
    <t xml:space="preserve"> (פ/3007/25)</t>
  </si>
  <si>
    <t xml:space="preserve"> (פ/3006/25)</t>
  </si>
  <si>
    <t xml:space="preserve">הצעת חוק המועצה להשכלה גבוהה (תיקון - הקמת מוסדות להשכלה גבוהה בפריפריה), התשפ"ג-2023</t>
  </si>
  <si>
    <t xml:space="preserve"> (פ/3005/25)</t>
  </si>
  <si>
    <t xml:space="preserve"> (פ/3004/25)</t>
  </si>
  <si>
    <t xml:space="preserve">הצעת חוק דמי מחלה (היעדרות בשל מחלת ילד) (תיקון - מחלת תינוק), התשפ"ג-2023</t>
  </si>
  <si>
    <t xml:space="preserve"> (פ/3002/25)</t>
  </si>
  <si>
    <t xml:space="preserve"> (פ/3001/25)</t>
  </si>
  <si>
    <t xml:space="preserve"> (פ/3000/25)</t>
  </si>
  <si>
    <t xml:space="preserve"> (פ/2999/25)</t>
  </si>
  <si>
    <t xml:space="preserve"> (פ/2998/25)</t>
  </si>
  <si>
    <t xml:space="preserve">הצעת חוק ביטוח בריאות ממלכתי (תיקון - פנייה לנציב קבילות הציבור), התשפ"ג-2023 </t>
  </si>
  <si>
    <t xml:space="preserve"> (פ/2997/25)</t>
  </si>
  <si>
    <t xml:space="preserve"> (פ/2995/25)</t>
  </si>
  <si>
    <t xml:space="preserve"> (פ/2993/25)</t>
  </si>
  <si>
    <t xml:space="preserve">הצעת חוק שלילת זכויות למעורב בטרור ולבני משפחתו (תיקוני חקיקה), התשפ"ג-2023</t>
  </si>
  <si>
    <t xml:space="preserve"> (פ/2990/25)</t>
  </si>
  <si>
    <t xml:space="preserve">הצעת חוק מגן דוד אדום (תיקון - פינוי לבית חולים כללי הקרוב בתשלום קבוע), התשפ"ג-2023</t>
  </si>
  <si>
    <t xml:space="preserve"> (פ/2989/25)</t>
  </si>
  <si>
    <t xml:space="preserve">הצעת חוק להכרה, לחקר האמת, להנצחה ולפיצוי של נפגעי פרשת ילדי תימן, המזרח והבלקן, התשפ"ג-2023</t>
  </si>
  <si>
    <t xml:space="preserve"> (פ/2988/25)</t>
  </si>
  <si>
    <t xml:space="preserve">הצעת חוק עוסק זעיר, התשפ"ג-2023</t>
  </si>
  <si>
    <t xml:space="preserve"> (פ/2987/25)</t>
  </si>
  <si>
    <t xml:space="preserve">הצעת חוק יום אבל במות קרוב מדרגה שנייה, התשפ"ג-2023</t>
  </si>
  <si>
    <t xml:space="preserve"> (פ/2986/25)</t>
  </si>
  <si>
    <t xml:space="preserve">הצעת חוק לתיקון פקודת המכס (ביטול חיוב בעד בדיקת טובין), התשפ"ג-2023</t>
  </si>
  <si>
    <t xml:space="preserve"> (פ/2985/25)</t>
  </si>
  <si>
    <t xml:space="preserve"> (פ/2984/25)</t>
  </si>
  <si>
    <t xml:space="preserve">הצעת חוק מגן דוד אדום (תיקון - הענקת שירותי רפואה מרחוק), התשפ"ג-2023</t>
  </si>
  <si>
    <t xml:space="preserve"> (פ/2983/25)</t>
  </si>
  <si>
    <t xml:space="preserve"> (פ/2982/25)</t>
  </si>
  <si>
    <t xml:space="preserve"> (פ/2981/25)</t>
  </si>
  <si>
    <t xml:space="preserve">הצעת חוק היטלי סחר ואמצעי הגנה (תיקון - אי פתיחת חקירה בשל יבוא בהיצף בשוק מונופוליסטי או ריכוזי), התשפ"ג-2023</t>
  </si>
  <si>
    <t xml:space="preserve"> (פ/2980/25)</t>
  </si>
  <si>
    <t xml:space="preserve"> (פ/2979/25)</t>
  </si>
  <si>
    <t xml:space="preserve"> (פ/2978/25)</t>
  </si>
  <si>
    <t xml:space="preserve"> (פ/2977/25)</t>
  </si>
  <si>
    <t xml:space="preserve"> (פ/2976/25)</t>
  </si>
  <si>
    <t xml:space="preserve"> (פ/2974/25)</t>
  </si>
  <si>
    <t xml:space="preserve">הצעת חוק כלי הירייה (תיקון - דמויי כלי ירייה), התשפ"ג-2023</t>
  </si>
  <si>
    <t xml:space="preserve"> (פ/2973/25)</t>
  </si>
  <si>
    <t xml:space="preserve"> (פ/2972/25)</t>
  </si>
  <si>
    <t xml:space="preserve"> (פ/2971/25)</t>
  </si>
  <si>
    <t xml:space="preserve"> (פ/2969/25)</t>
  </si>
  <si>
    <t xml:space="preserve"> (פ/2968/25)</t>
  </si>
  <si>
    <t xml:space="preserve">הצעת חוק פיקוח על מחירים, שיווק וסבסוד של מזון ללא גלוטן, התשפ"ג -2023</t>
  </si>
  <si>
    <t xml:space="preserve"> (פ/2966/25)</t>
  </si>
  <si>
    <t xml:space="preserve">הצעת חוק לתיקון פקודת הראיות (עדות עובד במשרת אמון), התשפ"ג-2023</t>
  </si>
  <si>
    <t xml:space="preserve"> (פ/2965/25)</t>
  </si>
  <si>
    <t xml:space="preserve">הצעת חוק ארגוני עזר רפואיים הפועלים בתחום רפואת חירום דחופה טרום אשפוזית, התשפ"ג-2023</t>
  </si>
  <si>
    <t xml:space="preserve"> (פ/2962/25)</t>
  </si>
  <si>
    <t xml:space="preserve">הצעת חוק הרשות הלאומית לתרבות הארמית, התשפ"ג-2023</t>
  </si>
  <si>
    <t xml:space="preserve"> (פ/2961/25)</t>
  </si>
  <si>
    <t xml:space="preserve"> (פ/2960/25)</t>
  </si>
  <si>
    <t xml:space="preserve">הצעת חוק הדגל, הסמל והמנון המדינה (תיקון - הצבת דגל המדינה בבתי ספר), התשפ"ג-2023</t>
  </si>
  <si>
    <t xml:space="preserve"> (פ/2958/25)</t>
  </si>
  <si>
    <t xml:space="preserve">הצעת חוק חינוך ממלכתי (תיקון - חובת לימודי היסטוריה ומורשת ישראל בבית ספר יסודי), התשפ"ג-2023</t>
  </si>
  <si>
    <t xml:space="preserve"> (פ/2957/25)</t>
  </si>
  <si>
    <t xml:space="preserve"> (פ/2956/25)</t>
  </si>
  <si>
    <t xml:space="preserve"> (פ/2955/25)</t>
  </si>
  <si>
    <t xml:space="preserve">הצעת חוק מס ערך מוסף (תיקון - פטור ממס בגין תרומות לבתי חולים בפריפריה), התשפ"ג-2023</t>
  </si>
  <si>
    <t xml:space="preserve"> (פ/2953/25)</t>
  </si>
  <si>
    <t xml:space="preserve"> (פ/2952/25)</t>
  </si>
  <si>
    <t xml:space="preserve">הצעת חוק הגנת הצרכן (תיקון - הגבלות על מכירה מיוחדת), התשפ"ג-2023</t>
  </si>
  <si>
    <t xml:space="preserve"> (פ/2951/25)</t>
  </si>
  <si>
    <t xml:space="preserve">הצעת חוק הגנת הצרכן (תיקון - סימון תאריך ייצור ומועד תפוגה עברי), התשפ"ג-2023</t>
  </si>
  <si>
    <t xml:space="preserve"> (פ/2950/25)</t>
  </si>
  <si>
    <t xml:space="preserve">הצעת חוק לתיקון פקודת מס הכנסה (הגדלת זיכוי מס על תרומה לבתי חולים בפריפריה), התשפ"ג-2023</t>
  </si>
  <si>
    <t xml:space="preserve"> (פ/2949/25)</t>
  </si>
  <si>
    <t xml:space="preserve">הצעת חוק לתיקון פקודת התעבורה (חניית נשים בהריון והורה לתינוק), התשפ"ג-2023 </t>
  </si>
  <si>
    <t xml:space="preserve"> (פ/2947/25)</t>
  </si>
  <si>
    <t xml:space="preserve">הצעת חוק העונשין (תיקון - סחיטת דמי חסות), התשפ"ג-2023</t>
  </si>
  <si>
    <t xml:space="preserve"> (פ/2946/25)</t>
  </si>
  <si>
    <t xml:space="preserve"> (פ/2945/25)</t>
  </si>
  <si>
    <t xml:space="preserve"> (פ/2944/25)</t>
  </si>
  <si>
    <t xml:space="preserve"> (פ/2943/25)</t>
  </si>
  <si>
    <t xml:space="preserve">הצעת חוק איסור הפליה במוצרים, בשירותים ובכניסה למקומות בידור ולמקומות ציבוריים (תיקון - איסור הפליה בשל הובלת עגלת ילדים), התשפ"ג-2023</t>
  </si>
  <si>
    <t xml:space="preserve"> (פ/2942/25)</t>
  </si>
  <si>
    <t xml:space="preserve">הצעת חוק התחרות הכלכלית (תיקון - ביטול הפטור לענף החקלאות), התשפ"ג-2023</t>
  </si>
  <si>
    <t xml:space="preserve"> (פ/2941/25)</t>
  </si>
  <si>
    <t xml:space="preserve">הצעת חוק הגנת הצרכן (תיקון - חובת פרסום שם יצרן ודגם מוצר), התשפ"ג-2023</t>
  </si>
  <si>
    <t xml:space="preserve"> (פ/2940/25)</t>
  </si>
  <si>
    <t xml:space="preserve">הצעת חוק ההתייעלות הכלכלית (תיקוני חקיקה להשגת יעדי התקציב לשנות התקציב 2017 ו-2018) (תיקון - הקצאת סכום לרשויות המקומיות הסמוכות לנמל התעופה בן-גוריון), התשפ"ג-2023</t>
  </si>
  <si>
    <t xml:space="preserve"> (פ/2939/25)</t>
  </si>
  <si>
    <t xml:space="preserve">הצעת חוק איסור הבעת אהדה לשלטון הנאצי או הזדהות עמו (תיקוני חקיקה), התשפ"ג-2023</t>
  </si>
  <si>
    <t xml:space="preserve"> (פ/2937/25)</t>
  </si>
  <si>
    <t xml:space="preserve"> (פ/2935/25)</t>
  </si>
  <si>
    <t xml:space="preserve"> (פ/2934/25)</t>
  </si>
  <si>
    <t xml:space="preserve">הצעת חוק למניעת העסקה של עובד הוראה התומך בטרור, התשפ"ג-2023</t>
  </si>
  <si>
    <t xml:space="preserve"> (פ/2931/25)</t>
  </si>
  <si>
    <t xml:space="preserve">הצעת חוק פיקוח על בתי ספר (תיקון - איסור התחזות לגננת), התשפ"ג-2023</t>
  </si>
  <si>
    <t xml:space="preserve"> (פ/2930/25)</t>
  </si>
  <si>
    <t xml:space="preserve">הצעת חוק משק החשמל (תיקון - ועדה מיוחדת), התשפ''ג-2023</t>
  </si>
  <si>
    <t xml:space="preserve"> (פ/2929/25)</t>
  </si>
  <si>
    <t xml:space="preserve">הצעת חוק לתיקון פקודת מס הכנסה (זיכוי בעד תרומת מזון), התשפ"ג-2023</t>
  </si>
  <si>
    <t xml:space="preserve"> (פ/2928/25)</t>
  </si>
  <si>
    <t xml:space="preserve"> (פ/2926/25)</t>
  </si>
  <si>
    <t xml:space="preserve">הצעת חוק לתיקון פקודת מס הכנסה (הצמדה למדד של תקרת המס בקרן השתלמות לשכירים), התשפ"ג-2023</t>
  </si>
  <si>
    <t xml:space="preserve"> (פ/2925/25)</t>
  </si>
  <si>
    <t xml:space="preserve">הצעת חוק תאגידי מים וביוב (תיקון - ביטול סמכויות גבייה ואכיפה מיוחדות), התשפ"ג-2023</t>
  </si>
  <si>
    <t xml:space="preserve"> (פ/2924/25)</t>
  </si>
  <si>
    <t xml:space="preserve">הצעת חוק חובת המכרזים (תיקון - עידוד עסקים קטנים ובינוניים באזור פריפריה במכרז), התשפ"ג-2023</t>
  </si>
  <si>
    <t xml:space="preserve"> (פ/2923/25)</t>
  </si>
  <si>
    <t xml:space="preserve"> (פ/2922/25)</t>
  </si>
  <si>
    <t xml:space="preserve">הצעת חוק הבנקאות (שירות ללקוח) (תיקון - חובת הצבת מכשיר אוטומטי למשיכת והפקדת מזומנים ושיקים), התשפ"ג-2023</t>
  </si>
  <si>
    <t xml:space="preserve"> (פ/2921/25)</t>
  </si>
  <si>
    <t xml:space="preserve">הצעת חוק מועצת הצמחים (ייצור ושיווק) (תיקון - ביטול מועצת הצמחים), התשפ"ג-2023</t>
  </si>
  <si>
    <t xml:space="preserve"> (פ/2920/25)</t>
  </si>
  <si>
    <t xml:space="preserve">הצעת חוק הפרטת גלי צה"ל, התשפ"ג-2023</t>
  </si>
  <si>
    <t xml:space="preserve"> (פ/2919/25)</t>
  </si>
  <si>
    <t xml:space="preserve"> (פ/2918/25)</t>
  </si>
  <si>
    <t xml:space="preserve">הצעת חוק נתוני אשראי (תיקון - תקופת החזקת מידע במאגר), התשפ"ג-2023</t>
  </si>
  <si>
    <t xml:space="preserve"> (פ/2917/25)</t>
  </si>
  <si>
    <t xml:space="preserve"> (פ/2916/25)</t>
  </si>
  <si>
    <t xml:space="preserve">הצעת חוק המועצה להשכלה גבוהה (תיקון - איסור הגבלת גיל בהרשמה למוסד להשכלה גבוהה), התשפ"ג-2023</t>
  </si>
  <si>
    <t xml:space="preserve"> (פ/2915/25)</t>
  </si>
  <si>
    <t xml:space="preserve">הצעת חוק לתיקון פקודת התעבורה (ריבית פיגורים בגין אי-תשלום קנס על עבירת חניה), התשפ"ג-2023</t>
  </si>
  <si>
    <t xml:space="preserve"> (פ/2914/25)</t>
  </si>
  <si>
    <t xml:space="preserve">הצעת חוק להגדלת שיעור ההשתתפות בכוח העבודה ולצמצום פערים חברתיים (מענק עבודה) (תיקון - הורדת גיל הזכאות), התשפ"ג-2023</t>
  </si>
  <si>
    <t xml:space="preserve"> (פ/2913/25)</t>
  </si>
  <si>
    <t xml:space="preserve">הצעת חוק הגנת הצרכן (תיקון - תשלום על פי צריכה בעסקה מתמשכת), התשפ"ג-2023</t>
  </si>
  <si>
    <t xml:space="preserve"> (פ/2912/25)</t>
  </si>
  <si>
    <t xml:space="preserve">הצעת חוק מתן שירות של קבלת קהל במשרדי הממשלה בשעות אחר הצהריים, התשפ"ג-2023</t>
  </si>
  <si>
    <t xml:space="preserve"> (פ/2911/25)</t>
  </si>
  <si>
    <t xml:space="preserve">הצעת חוק שירות הציבור (מתנות) (תיקון - תרומה למימון הליך משפטי או טיפול רפואי וחובת דיווח), התשפ"ג-2023</t>
  </si>
  <si>
    <t xml:space="preserve"> (פ/2303/25)</t>
  </si>
  <si>
    <t xml:space="preserve">26.03.2023</t>
  </si>
  <si>
    <t xml:space="preserve">הצעת חוק מס ערך מוסף (תיקון מס' 60) (פטור ממס במכירת תרופות שאינן כלולות בסל הבריאות), התשפ"ג-2023</t>
  </si>
  <si>
    <t xml:space="preserve"> (פ/1458/25)</t>
  </si>
  <si>
    <t xml:space="preserve">22.03.2023</t>
  </si>
  <si>
    <t xml:space="preserve">חוק־יסוד: הממשלה (תיקון מס' 12)</t>
  </si>
  <si>
    <t xml:space="preserve"> (פ/2560/25)</t>
  </si>
  <si>
    <t xml:space="preserve"> (כ/952)</t>
  </si>
  <si>
    <t xml:space="preserve">בחוק נקבע שנבצרות זמנית של ראש הממשלה למלא את תפקידו תהיה בשל אי מסוגלות פיזית או נפשית בלבד ותיקבע על ידי ראש הממשלה בהודעה לממשלה וליושב ראש הכנסת ובאישור ועדת הכנסת ברוב של 2/3 מחבריה. בנוסף, גם הממשלה תהיה רשאית להחליט ברוב של 3/4 מחבריה כי נבצר מראש הממשלה זמנית למלא את תפקידו בשל אי מסוגלות פיזית או נפשית; במקרה מעין זה הממשלה תכונס על ידי ראש הממשלה לבקשת 3/5 מחברי הממשלה ועל ראש הממשלה יהיה לכנס את הממשלה בתוך שלושה ימים ממועד הגשת הבקשה או במועד מאוחר יותר אם התבקש לכך בבקשה. אם ישיבת הממשלה לא כונסה בתוך שלושה ימים יכנס מזכיר הממשלה את הממשלה באופן מיידי וממלא מקום ראש הממשלה ינהל את הישיבה. החלטת הממשלה במקרה זה תעמוד בתוקפה שלושה ימים ותובא לאישור ועדת הכנסת ברוב של 2/3 מחבריה, ואם החלטת הממשלה ניתנה מטעמי בריאות, תהיה החלטת ועדת הכנסת גם על יסוד חוות דעת רפואית וועדת הכנסת תהיה רשאית לקבוע שהנבצרות תמשך לא יותר משבעה ימים מיום החלטת הממשלה; כן נקבע שאם ראש הממשלה לא יגיש חוות דעת רפואית בהתאם לכללים שקבעה ועדת הכנסת יראו אותו כאילו הודיע על נבצרותו. הארכת תקופת הנבצרות במקרה שוועדת הכנסת אישרה את החלטת הממשלה או במקרה שראש הממשלה לא הגיש  חוות דעת רפואית טעונה החלטה של הכנסת, לפי הצעת ועדת הכנסת, שהתקבלה ברוב של שמונים חברי הכנסת לתקופה שלא תימשך יותר מ-21 ימים בכל פעם, ובלבד שסך התקופות לא יעלה על 100 ימים כקבוע בסעיף 16(ב) לחוק-יסוד: הממשלה. עוד נקבע שסיום נבצרותו הזמנית של ראש הממשלה, אם זו נקבעה על ידי הממשלה ואושרה על ידי ועדת הכנסת וכן הארכת תקופת הנבצרות, תיעשה בהחלטה של ועדת הכנסת ואם נקבעה הנבצרות מטעמי בריאות - על יסוד חוות דעת רפואית. לבסוף, נקבע כי הוראות בדבר כינוס הכנסת או הוועדות בזמן פגרה לא יחולו לעניין זה. </t>
  </si>
  <si>
    <t xml:space="preserve">הצעת חוק למניעת אלימות במשפחה (פיקוח טכנולוגי להבטחת קיומו של צו הגנה, והערכת מסוכנות - הוראת שעה), התשפ"ג-2023</t>
  </si>
  <si>
    <t xml:space="preserve"> (פ/2283/25)</t>
  </si>
  <si>
    <t xml:space="preserve">הצעת חוק למניעת אלימות במשפחה (פיקוח טכנולוגי להבטחת קיומו של צו הגנה והערכת מסוכנות - הוראת שעה), התשפ"ג-2023 </t>
  </si>
  <si>
    <t xml:space="preserve"> (פ/1749/25)</t>
  </si>
  <si>
    <t xml:space="preserve"> (פ/1297/25)</t>
  </si>
  <si>
    <t xml:space="preserve"> (פ/1239/25)</t>
  </si>
  <si>
    <t xml:space="preserve">הצעת חוק התמודדות עם תופעת נטילת דמי חסות, התשפ"ג-2022</t>
  </si>
  <si>
    <t xml:space="preserve"> (פ/721/25)</t>
  </si>
  <si>
    <t xml:space="preserve">הצעת חוק למניעת אלימות במשפחה (פיקוח טכנולוגי להבטחת קיומו של צו הגנה, והערכת מסוכנות - הוראת שעה), התשפ"ג-2022</t>
  </si>
  <si>
    <t xml:space="preserve"> (פ/191/25)</t>
  </si>
  <si>
    <t xml:space="preserve"> (פ/188/25)</t>
  </si>
  <si>
    <t xml:space="preserve">חוק יישום תוכנית ההתנתקות (תיקון מס' 7), התשפ"ג-2023</t>
  </si>
  <si>
    <t xml:space="preserve"> (פ/69/25)</t>
  </si>
  <si>
    <t xml:space="preserve"> (כ/951)</t>
  </si>
  <si>
    <t xml:space="preserve">20.03.2023</t>
  </si>
  <si>
    <t xml:space="preserve">חוק יישום תכנית ההתנתקות (תיקון מס' 7), התשפ"ג–2023 אושר בקריאה שניה ושלישית ביום 21/03/2023.  החוק קובע כי הסעיפים בחוק יישום ההתנתקות, התשס"ה–2005, העוסקים בהגבלת כניסה ושהייה לשטח המפונה בצפון השומרון וכן במניעת הכנסת מיטלטלין על ידי ישראלים – יבטולו. כמו כן, נקבע כי הסעיף בחוק המבטל זכויות במקרקעין של ישראליים בצפון השומרון לא יחול על זכויות עתידיות שיתגבשו באזור זה, החל ממועד פרסום החוק. לבסוף, שם החוק שונה כך שייקרא "חוק ההתנתקות והפיצויים לנפגעיה". </t>
  </si>
  <si>
    <t xml:space="preserve">חוק חדלות פירעון ושיקום כלכלי (תיקון מס' 4 – הוראת שעה – נגיף הקורונה החדש) (תיקון), התשפ"ג-2023</t>
  </si>
  <si>
    <t xml:space="preserve"> (מ/1601)</t>
  </si>
  <si>
    <t xml:space="preserve">הוארכה בשנה הוראת השעה המאפשרת לחייבים המעוניינים לגבש הסדר חוב עם הנושים לקבל עיכוב הליכים בזמן המשא ומתן על ההסדר. </t>
  </si>
  <si>
    <t xml:space="preserve">הצעת חוק העונשין (תיקון - הסדר חילוט לרכושו של סוחר נשק), התשפ"ג-2023</t>
  </si>
  <si>
    <t xml:space="preserve"> (פ/1905/25)</t>
  </si>
  <si>
    <t xml:space="preserve">הצעת חוק לעידוד השקעות הון (תיקון - תחומי אזורי פיתוח א'), התשפ"ג-2023</t>
  </si>
  <si>
    <t xml:space="preserve"> (פ/2909/25)</t>
  </si>
  <si>
    <t xml:space="preserve">הצעת חוק שירות ביטחון (תיקון - חובת פוקד לקרוא להתייצבות לשירות ביטחון), התשפ"ג-2023</t>
  </si>
  <si>
    <t xml:space="preserve"> (פ/2907/25)</t>
  </si>
  <si>
    <t xml:space="preserve">הצעת חוק הכשרות המשפטית והאפוטרופסות (תיקון - ביטול חזקת הגיל הרך), התשפ"ג-2023</t>
  </si>
  <si>
    <t xml:space="preserve"> (פ/2906/25)</t>
  </si>
  <si>
    <t xml:space="preserve">הצעת חוק התוכנית הכלכלית (תיקוני חקיקה ליישום המדיניות הכלכלית לשנות התקציב 2021 ו-2022) (תיקון - ביטול הרפורמה בכשרות), התשפ"ג-2023</t>
  </si>
  <si>
    <t xml:space="preserve"> (פ/2905/25)</t>
  </si>
  <si>
    <t xml:space="preserve">הצעת חוק-יסוד: כינון חוקה בישראל</t>
  </si>
  <si>
    <t xml:space="preserve"> (פ/2904/25)</t>
  </si>
  <si>
    <t xml:space="preserve">הצעת חוק לתיקון פקודת העיריות (ייצוג הולם בשמות מקומות ציבוריים), התשפ"ג-2023</t>
  </si>
  <si>
    <t xml:space="preserve"> (פ/2903/25)</t>
  </si>
  <si>
    <t xml:space="preserve">הצעת חוק הרשויות המקומיות (ריבית והפרשי הצמדה על תשלומי חובה) (תיקון - הפחתת אחוז הריבית ברשויות המקומיות), התשפ"ג-2023</t>
  </si>
  <si>
    <t xml:space="preserve"> (פ/2902/25)</t>
  </si>
  <si>
    <t xml:space="preserve"> (פ/2901/25)</t>
  </si>
  <si>
    <t xml:space="preserve">הצעת חוק לתיקון פקודת המשטרה (הרכב המחלקה לחקירות שוטרים), התשפ"ג-2023</t>
  </si>
  <si>
    <t xml:space="preserve"> (פ/2900/25)</t>
  </si>
  <si>
    <t xml:space="preserve">הצעת חוק הרשות הלאומית למניעת התאבדויות, התשפ"ג-2023</t>
  </si>
  <si>
    <t xml:space="preserve"> (פ/2899/25)</t>
  </si>
  <si>
    <t xml:space="preserve">הצעת חוק הביטוח הלאומי (תיקון - העלאת דמי האבטלה למי שטרם מלאו לו 28 שנים ויש עמו ילד), התשפ"ג-2023</t>
  </si>
  <si>
    <t xml:space="preserve"> (פ/2898/25)</t>
  </si>
  <si>
    <t xml:space="preserve">הצעת חוק תשלומים לחיילים בשירות סדיר (הגנה על תשלומים) (תיקון - הגנה על תשלומים לעולה חדש), התשפ"ג-2023</t>
  </si>
  <si>
    <t xml:space="preserve"> (פ/2897/25)</t>
  </si>
  <si>
    <t xml:space="preserve">הצעת חוק לתיקון פקודת העיריות (בניין שניזוק או נהרס), התשפ"ג-2023</t>
  </si>
  <si>
    <t xml:space="preserve"> (פ/2896/25)</t>
  </si>
  <si>
    <t xml:space="preserve">הצעת חוק הביטוח הלאומי (תיקון - תשלום דמי אבטלה לנשים שיצאו לחופשה ללא תשלום לאחר לידה מסיבות מוצדקות), התשפ"ג-2023</t>
  </si>
  <si>
    <t xml:space="preserve"> (פ/2895/25)</t>
  </si>
  <si>
    <t xml:space="preserve">הצעת חוק האזרחים הוותיקים (תיקון - חניה חינם לאזרח ותיק שמלאו לו 75 שנים), התשפ"ג-2023</t>
  </si>
  <si>
    <t xml:space="preserve"> (פ/2894/25)</t>
  </si>
  <si>
    <t xml:space="preserve">הצעת חוק הביטוח הלאומי (תיקון - דמי פגיעה לעובד עצמאי), התשפ"ג-2023</t>
  </si>
  <si>
    <t xml:space="preserve"> (פ/2893/25)</t>
  </si>
  <si>
    <t xml:space="preserve"> (פ/2892/25)</t>
  </si>
  <si>
    <t xml:space="preserve">הצעת חוק סל הקליטה (תיקון - הבטחת קיום), התשפ"ג-2023</t>
  </si>
  <si>
    <t xml:space="preserve"> (פ/2891/25)</t>
  </si>
  <si>
    <t xml:space="preserve">הצעת חוק הביטוח הלאומי (תיקון - זכאות לדמי אבטלה מגיל 19), התשפ"ג-2023</t>
  </si>
  <si>
    <t xml:space="preserve"> (פ/2890/25)</t>
  </si>
  <si>
    <t xml:space="preserve"> (פ/2889/25)</t>
  </si>
  <si>
    <t xml:space="preserve"> (פ/2888/25)</t>
  </si>
  <si>
    <t xml:space="preserve"> (פ/2887/25)</t>
  </si>
  <si>
    <t xml:space="preserve">הצעת חוק לתיקון פקודת המשטרה (מינוי חשב המשטרה), התשפ"ג-2023</t>
  </si>
  <si>
    <t xml:space="preserve"> (פ/2886/25)</t>
  </si>
  <si>
    <t xml:space="preserve"> (פ/2884/25)</t>
  </si>
  <si>
    <t xml:space="preserve">הצעת חוק הביטוח הלאומי (תיקון - מימון סייעת לילדים שאינם יכולים לשהות במעון), התשפ"ג-2023</t>
  </si>
  <si>
    <t xml:space="preserve"> (פ/2882/25)</t>
  </si>
  <si>
    <t xml:space="preserve">הצעת חוק חופשה שנתית (תיקון - ימי חופשה להורים שילדם נפטר), התשפ"ג-2023</t>
  </si>
  <si>
    <t xml:space="preserve"> (פ/2880/25)</t>
  </si>
  <si>
    <t xml:space="preserve">הצעת חוק זכויות החולה (תיקון - הזכות למינוי מתורגמן רפואי), התשפ"ג-2023</t>
  </si>
  <si>
    <t xml:space="preserve"> (פ/2879/25)</t>
  </si>
  <si>
    <t xml:space="preserve">הצעת חוק למניעת מפגעים (תיקון - הגבלת שימוש בזיקוקין די-נור באזורי מגורים), התשפ"ג-2023</t>
  </si>
  <si>
    <t xml:space="preserve"> (פ/2878/25)</t>
  </si>
  <si>
    <t xml:space="preserve">הצעת חוק-יסוד: בית משפט לחוקה</t>
  </si>
  <si>
    <t xml:space="preserve"> (פ/2877/25)</t>
  </si>
  <si>
    <t xml:space="preserve"> (פ/2876/25)</t>
  </si>
  <si>
    <t xml:space="preserve">הצעת חוק הספורט (תיקון - ייצוג הולם לאוכלוסייה הערבית), התשפ"ג-2023</t>
  </si>
  <si>
    <t xml:space="preserve"> (פ/2875/25)</t>
  </si>
  <si>
    <t xml:space="preserve">הצעת חוק איסור קבלת תרומות ממדינות אויב או מדינות תומכות טרור, התשפ"ג-2023</t>
  </si>
  <si>
    <t xml:space="preserve"> (פ/2874/25)</t>
  </si>
  <si>
    <t xml:space="preserve"> (פ/2873/25)</t>
  </si>
  <si>
    <t xml:space="preserve">הצעת חוק זכות ייצוג לקטין המתנגד לאשפוז פסיכיאטרי (תיקוני חקיקה), התשפ"ג-2023</t>
  </si>
  <si>
    <t xml:space="preserve"> (פ/2872/25)</t>
  </si>
  <si>
    <t xml:space="preserve"> (פ/2870/25)</t>
  </si>
  <si>
    <t xml:space="preserve">הצעת חוק החולה הנוטה למות (תיקון - העדפות טיפוליות), התשפ"ג-2023</t>
  </si>
  <si>
    <t xml:space="preserve"> (פ/2869/25)</t>
  </si>
  <si>
    <t xml:space="preserve"> (פ/2868/25)</t>
  </si>
  <si>
    <t xml:space="preserve"> (פ/2866/25)</t>
  </si>
  <si>
    <t xml:space="preserve"> (פ/2865/25)</t>
  </si>
  <si>
    <t xml:space="preserve">הצעת חוק זכויות נפגעי עבירה (תיקון - חובת בית המשפט לשמוע נפגעי עבירה כולל נפגעי מעשי טרור), התשפ"ג-2023</t>
  </si>
  <si>
    <t xml:space="preserve"> (פ/2864/25)</t>
  </si>
  <si>
    <t xml:space="preserve"> (פ/2863/25)</t>
  </si>
  <si>
    <t xml:space="preserve"> (פ/2862/25)</t>
  </si>
  <si>
    <t xml:space="preserve">הצעת חוק שכר מינימום (תיקון - שכר אחיד לעובד צעיר), התשפ"ג-2023</t>
  </si>
  <si>
    <t xml:space="preserve"> (פ/2861/25)</t>
  </si>
  <si>
    <t xml:space="preserve">הצעת חוק שוויון זכויות לאנשים עם מוגבלות (תיקון - פטור מתשלום בעד כניסת מלווה בעבור כניסה למקום שאין בו מתקנים מתאימים ובעבור תחבורה ציבורית), התשפ"ג-2023</t>
  </si>
  <si>
    <t xml:space="preserve"> (פ/2860/25)</t>
  </si>
  <si>
    <t xml:space="preserve">הצעת חוק השוואת תנאי שכר לקבוצות שאסור להפלותן (תיקוני חקיקה), התשפ"ג-2023</t>
  </si>
  <si>
    <t xml:space="preserve"> (פ/2859/25)</t>
  </si>
  <si>
    <t xml:space="preserve">הצעת חוק זכויות ושירותים לילדים ולבני נוער עם קשיים נפשיים, התשפ"ג-2023</t>
  </si>
  <si>
    <t xml:space="preserve"> (פ/2858/25)</t>
  </si>
  <si>
    <t xml:space="preserve"> (פ/2857/25)</t>
  </si>
  <si>
    <t xml:space="preserve"> (פ/2856/25)</t>
  </si>
  <si>
    <t xml:space="preserve">הצעת חוק הנוער (טיפול והשגחה) (תיקון - טיפול בבריחה ממשמורת), התשפ"ג-2023</t>
  </si>
  <si>
    <t xml:space="preserve"> (פ/2855/25)</t>
  </si>
  <si>
    <t xml:space="preserve">הצעת חוק דמי הבראה, התשפ"ג-2023</t>
  </si>
  <si>
    <t xml:space="preserve"> (פ/2854/25)</t>
  </si>
  <si>
    <t xml:space="preserve"> (פ/2853/25)</t>
  </si>
  <si>
    <t xml:space="preserve">הצעת חוק סדר הדין הפלילי (סמכויות אכיפה - מעצרים) (תיקון - החמרת תנאי שחרור בערובה), התשפ"ג-2023</t>
  </si>
  <si>
    <t xml:space="preserve"> (פ/2851/25)</t>
  </si>
  <si>
    <t xml:space="preserve">הצעת חוק סדר הדין הפלילי (תיקון - מועד תשלום הקנס), התשפ"ג-2023</t>
  </si>
  <si>
    <t xml:space="preserve"> (פ/2850/25)</t>
  </si>
  <si>
    <t xml:space="preserve">הצעת חוק החברות הממשלתיות (תיקון - ייצוג הולם בתאגידים ממשלתיים וגופים סטטוטוריים), התשפ"ג-2023</t>
  </si>
  <si>
    <t xml:space="preserve"> (פ/2849/25)</t>
  </si>
  <si>
    <t xml:space="preserve">הצעת חוק העונשין (תיקון - ביטול עבירת השוטטות), התשפ"ג-2023</t>
  </si>
  <si>
    <t xml:space="preserve"> (פ/2848/25)</t>
  </si>
  <si>
    <t xml:space="preserve"> (פ/2847/25)</t>
  </si>
  <si>
    <t xml:space="preserve"> (פ/2846/25)</t>
  </si>
  <si>
    <t xml:space="preserve"> (פ/2845/25)</t>
  </si>
  <si>
    <t xml:space="preserve">הצעת חוק חסינות חברי הכנסת, זכויותיהם וחובותיהם (תיקון - חסינות בפני דין פלילי), התשפ"ג-2023</t>
  </si>
  <si>
    <t xml:space="preserve"> (פ/2844/25)</t>
  </si>
  <si>
    <t xml:space="preserve">הצעת חוק עידוד מעורבות סטודנטים בפעילות חברתית וקהילתית (תיקון - הקלות למשרתי מילואים), התשפ"ג-2023</t>
  </si>
  <si>
    <t xml:space="preserve"> (פ/2843/25)</t>
  </si>
  <si>
    <t xml:space="preserve"> (פ/2842/25)</t>
  </si>
  <si>
    <t xml:space="preserve">הצעת חוק הביטוח הלאומי (תיקון - העלאת קצבת אזרח ותיק), התשפ"ג-2023</t>
  </si>
  <si>
    <t xml:space="preserve"> (פ/2841/25)</t>
  </si>
  <si>
    <t xml:space="preserve">הצעת חוק הביטוח הלאומי (תיקון - הוראות לעניין עקרת בית), התשפ"ג-2023</t>
  </si>
  <si>
    <t xml:space="preserve"> (פ/2840/25)</t>
  </si>
  <si>
    <t xml:space="preserve">הצעת חוק חינוך ממלכתי (תיקון - חובת לימוד עברית וערבית במוסדות חינוך תיכוניים), התשפ"ג-2023</t>
  </si>
  <si>
    <t xml:space="preserve"> (פ/2839/25)</t>
  </si>
  <si>
    <t xml:space="preserve"> (פ/2838/25)</t>
  </si>
  <si>
    <t xml:space="preserve"> (פ/2837/25)</t>
  </si>
  <si>
    <t xml:space="preserve">הצעת חוק להגבלת שכר טרחת כונסי נכסים (תיקוני חקיקה), התשפ"ג-2023</t>
  </si>
  <si>
    <t xml:space="preserve"> (פ/2836/25)</t>
  </si>
  <si>
    <t xml:space="preserve"> (פ/2835/25)</t>
  </si>
  <si>
    <t xml:space="preserve">הצעת חוק ההוצאה לפועל (תיקון - הגבלת סכום עיקול בידי צד שלישי שהוא תאגיד בנקאי), התשפ"ג-2023</t>
  </si>
  <si>
    <t xml:space="preserve"> (פ/2834/25)</t>
  </si>
  <si>
    <t xml:space="preserve"> (פ/2833/25)</t>
  </si>
  <si>
    <t xml:space="preserve"> (פ/2832/25)</t>
  </si>
  <si>
    <t xml:space="preserve"> (פ/2831/25)</t>
  </si>
  <si>
    <t xml:space="preserve"> (פ/2830/25)</t>
  </si>
  <si>
    <t xml:space="preserve">הצעת חוק שוויון ההזדמנויות בעבודה (תיקון - עצמאות נציבות שוויון הזדמנויות בעבודה), התשפ"ג-2023</t>
  </si>
  <si>
    <t xml:space="preserve"> (פ/2829/25)</t>
  </si>
  <si>
    <t xml:space="preserve">הצעת חוק דמי מחלה עבור מלווה בן משפחה לבדיקה רפואית (תיקוני חקיקה), התשפ"ג-2023</t>
  </si>
  <si>
    <t xml:space="preserve"> (פ/2828/25)</t>
  </si>
  <si>
    <t xml:space="preserve">הצעת חוק חניה לנכים (תיקון - תג נכה אישי), התשפ"ג-2023</t>
  </si>
  <si>
    <t xml:space="preserve"> (פ/2827/25)</t>
  </si>
  <si>
    <t xml:space="preserve">הצעת חוק לעידוד השקעות הון (תיקון - עידוד חברות ממשלתיות הפועלות בסביבה בין-לאומית תחרותית), התשפ"ג-2023</t>
  </si>
  <si>
    <t xml:space="preserve"> (פ/2826/25)</t>
  </si>
  <si>
    <t xml:space="preserve">הצעת חוק לתיקון פקודת מס הכנסה (משיכה מקרן השתלמות) (הוראת שעה), התשפ"ג-2023</t>
  </si>
  <si>
    <t xml:space="preserve"> (פ/2825/25)</t>
  </si>
  <si>
    <t xml:space="preserve">הצעת חוק זכויות נפגעי עבירה (תיקון - הקמת נציבות זכויות נפגעי עבירה), התשפ"ג-2023</t>
  </si>
  <si>
    <t xml:space="preserve"> (פ/2824/25)</t>
  </si>
  <si>
    <t xml:space="preserve"> (פ/2823/25)</t>
  </si>
  <si>
    <t xml:space="preserve"> (פ/2822/25)</t>
  </si>
  <si>
    <t xml:space="preserve"> (פ/2821/25)</t>
  </si>
  <si>
    <t xml:space="preserve"> (פ/2820/25)</t>
  </si>
  <si>
    <t xml:space="preserve">הצעת חוק מס ערך מוסף (תיקון - פטור ממס ממכירת תרופות מאריכות חיים שאינן כלולות בסל הבריאות), התשפ"ג-2023</t>
  </si>
  <si>
    <t xml:space="preserve"> (פ/2816/25)</t>
  </si>
  <si>
    <t xml:space="preserve">הצעת חוק ליישוב תחת איום מיידי (הוראת שעה), התשפ"ג-2023</t>
  </si>
  <si>
    <t xml:space="preserve"> (פ/2815/25)</t>
  </si>
  <si>
    <t xml:space="preserve">הצעת חוק עבודת נשים (תיקון - היעדרות עקב לידה של בת זוג), התשפ"ג-2023</t>
  </si>
  <si>
    <t xml:space="preserve"> (פ/2814/25)</t>
  </si>
  <si>
    <t xml:space="preserve">הצעת חוק המאבק בכלי הנשק הבלתי חוקיים (תיקוני חקיקה) (הוראת שעה), התשפ"ג-2023</t>
  </si>
  <si>
    <t xml:space="preserve"> (פ/2394/25)</t>
  </si>
  <si>
    <t xml:space="preserve">15.03.2023</t>
  </si>
  <si>
    <t xml:space="preserve">הצעת חוק-יסוד: הממשלה (תיקון – תקופת כהונה מרבית בתפקיד ראש הממשלה)</t>
  </si>
  <si>
    <t xml:space="preserve"> (פ/2517/25)</t>
  </si>
  <si>
    <t xml:space="preserve">הצעת חוק הרשות לפיתוח הפריפריה החברתית, התשפ"ג-2023 </t>
  </si>
  <si>
    <t xml:space="preserve"> (פ/2449/25)</t>
  </si>
  <si>
    <t xml:space="preserve">הצעת חוק חינוך ממלכתי (תיקון – שלילת השתתפות בתקציב עקב הפליה), התשפ"ג–2023</t>
  </si>
  <si>
    <t xml:space="preserve"> (פ/2428/25)</t>
  </si>
  <si>
    <t xml:space="preserve"> (פ/2144/25)</t>
  </si>
  <si>
    <t xml:space="preserve"> (פ/2011/25)</t>
  </si>
  <si>
    <t xml:space="preserve"> (פ/1842/25)</t>
  </si>
  <si>
    <t xml:space="preserve">הצעת חוק בטיחות בתעסוקה ובריאות תעסוקתית, התשפ"ג-2023</t>
  </si>
  <si>
    <t xml:space="preserve"> (פ/1796/25)</t>
  </si>
  <si>
    <t xml:space="preserve"> (פ/1733/25)</t>
  </si>
  <si>
    <t xml:space="preserve"> (פ/1545/25)</t>
  </si>
  <si>
    <t xml:space="preserve">הצעת חוק שלילת תקצוב מוסדות חינוך המפלים תלמידים ברישום אליהם (תיקוני חקיקה), התשפ"ג-2023</t>
  </si>
  <si>
    <t xml:space="preserve"> (פ/1517/25)</t>
  </si>
  <si>
    <t xml:space="preserve">הצעת חוק העונשין (תיקון - חילוט בעבירות החזקת נשק בלתי חוקי ללא אישום או הרשעה), התשפ"ג-2023</t>
  </si>
  <si>
    <t xml:space="preserve"> (פ/1174/25)</t>
  </si>
  <si>
    <t xml:space="preserve"> (פ/315/25)</t>
  </si>
  <si>
    <t xml:space="preserve">החלק שפוצל מהצעת חוק לתיקון פקודת המשטרה (מס' 39) (סמכויות), התשפ"ג-2022 - סעיפים </t>
  </si>
  <si>
    <t xml:space="preserve"> (פ/80/25)</t>
  </si>
  <si>
    <t xml:space="preserve"> (כ/943)</t>
  </si>
  <si>
    <t xml:space="preserve">הוועדה המיוחדת לדיון בהצעת חוק לתיקון פקודת המשטרה (סמכויות), התשפ"ג-2022 (פ/80/25)</t>
  </si>
  <si>
    <t xml:space="preserve">14.03.2023</t>
  </si>
  <si>
    <t xml:space="preserve"> (פ/1852/25)</t>
  </si>
  <si>
    <t xml:space="preserve">13.03.2023</t>
  </si>
  <si>
    <t xml:space="preserve">הצעת חוק דמי מחלה (היעדרות בשל מחלת ילד) (תיקון - היעדרות בשל אשפוז פג), התשפ"ג-2022</t>
  </si>
  <si>
    <t xml:space="preserve"> (פ/816/25)</t>
  </si>
  <si>
    <t xml:space="preserve">הצעת חוק ההוצאה לפועל (תיקון - ביטול האפשרות לצוות על עיכוב יציאה מהארץ בגין חוב כספי נמוך), התשפ"ג-2023</t>
  </si>
  <si>
    <t xml:space="preserve"> (פ/1557/25)</t>
  </si>
  <si>
    <t xml:space="preserve">הצעת חוק עובדים זרים (תיקון - שימוש בכספים שלא הוצאו על ידי עובדים זרים ומסתננים), התשפ''ג-2022</t>
  </si>
  <si>
    <t xml:space="preserve"> (פ/748/25)</t>
  </si>
  <si>
    <t xml:space="preserve">הצעת חוק הספריה הלאומית (תיקון - הגברת הפיקוח הציבורי בספריה הלאומית), התשפ"ג-2023</t>
  </si>
  <si>
    <t xml:space="preserve"> (פ/2812/25)</t>
  </si>
  <si>
    <t xml:space="preserve">הצעת חוק שכר נושאי משרה ברשויות השלטון, התשפ"ג-2023</t>
  </si>
  <si>
    <t xml:space="preserve"> (פ/2811/25)</t>
  </si>
  <si>
    <t xml:space="preserve">הצעת חוק-יסוד: שכר נושאי משרה ברשויות השלטון (תיקוני חקיקה)</t>
  </si>
  <si>
    <t xml:space="preserve"> (פ/2810/25)</t>
  </si>
  <si>
    <t xml:space="preserve">הצעת חוק הקמת ועדת חקירה ממלכתית לפרשת מסמך הרפז, התשפ"ג-2023</t>
  </si>
  <si>
    <t xml:space="preserve"> (פ/2809/25)</t>
  </si>
  <si>
    <t xml:space="preserve">הצעת חוק המפלגות (תיקון - הגבלת מימון של נבחרי ציבור), התשפ"ג-2023</t>
  </si>
  <si>
    <t xml:space="preserve"> (פ/2808/25)</t>
  </si>
  <si>
    <t xml:space="preserve">הצעת חוק הקמת ועדת חקירה ממלכתית לפרשת המימד החמישי, התשפ"ג-2023</t>
  </si>
  <si>
    <t xml:space="preserve"> (פ/2807/25)</t>
  </si>
  <si>
    <t xml:space="preserve">הצעת חוק-יסוד: הממשלה (תיקון - מקום מושבו של ראש הממשלה)</t>
  </si>
  <si>
    <t xml:space="preserve"> (פ/2806/25)</t>
  </si>
  <si>
    <t xml:space="preserve">הצעת חוק טובות הנאה לראש ממשלה או ראש ממשלה חלופי שחדל לכהן, התשפ"ג-2023</t>
  </si>
  <si>
    <t xml:space="preserve"> (פ/2805/25)</t>
  </si>
  <si>
    <t xml:space="preserve">הצעת חוק בתי המשפט (תיקון - צווי איסור פרסום), התשפ"ג-2023</t>
  </si>
  <si>
    <t xml:space="preserve"> (פ/2804/25)</t>
  </si>
  <si>
    <t xml:space="preserve">הצעת חוק שירות המדינה (מינויים) (תיקון - מינוי יועצים משפטיים של משרדים, היועץ המשפטי לממשלה ופרקליט מדינה), התשפ"ג-2023</t>
  </si>
  <si>
    <t xml:space="preserve"> (פ/2803/25)</t>
  </si>
  <si>
    <t xml:space="preserve">הצעת חוק העונשין (תיקון - ביטול עבירת מרמה והפרת אמונים), התשפ"ג-2023</t>
  </si>
  <si>
    <t xml:space="preserve"> (פ/2802/25)</t>
  </si>
  <si>
    <t xml:space="preserve">הצעת חוק-יסוד: הממשלה (תיקון - איסור חקירה פלילית נגד ראש הממשלה במהלך תקופת כהונתו)</t>
  </si>
  <si>
    <t xml:space="preserve"> (פ/2801/25)</t>
  </si>
  <si>
    <t xml:space="preserve"> (פ/2799/25)</t>
  </si>
  <si>
    <t xml:space="preserve"> (פ/2798/25)</t>
  </si>
  <si>
    <t xml:space="preserve"> (פ/2797/25)</t>
  </si>
  <si>
    <t xml:space="preserve">הצעת חוק דמי מחלה (היעדרות בשל מחלת ילד) (תיקון - היעדרות בשל אשפוז ילד), התשפ"ג-2023</t>
  </si>
  <si>
    <t xml:space="preserve"> (פ/2796/25)</t>
  </si>
  <si>
    <t xml:space="preserve">הצעת חוק הביטוח הלאומי (תיקון - התפטרות הורה על מנת לטפל בילדו), התשפ"ג-2023</t>
  </si>
  <si>
    <t xml:space="preserve"> (פ/2794/25)</t>
  </si>
  <si>
    <t xml:space="preserve"> (פ/2792/25)</t>
  </si>
  <si>
    <t xml:space="preserve">הצעת חוק הביטוח הלאומי (תיקון - השוואת קצבת אזרח ותיק לשכר המינימום), התשפ"ג-2023</t>
  </si>
  <si>
    <t xml:space="preserve"> (פ/2791/25)</t>
  </si>
  <si>
    <t xml:space="preserve"> (פ/2790/25)</t>
  </si>
  <si>
    <t xml:space="preserve">הצעת חוק החברות הממשלתיות (תיקון - ביטול מעורבות רשות החברות הממשלתיות במינוי דירקטורים), התשפ"ג-2023</t>
  </si>
  <si>
    <t xml:space="preserve"> (פ/2786/25)</t>
  </si>
  <si>
    <t xml:space="preserve">הצעת חוק התכנון והבנייה (תיקון - ייצוג הולם לאוכלוסייה הערבית במוסדות התכנון), התשפ"ג-2023</t>
  </si>
  <si>
    <t xml:space="preserve"> (פ/2784/25)</t>
  </si>
  <si>
    <t xml:space="preserve"> (פ/2783/25)</t>
  </si>
  <si>
    <t xml:space="preserve">הצעת חוק העונשין (תיקון - איסור הנפת דגל של רשות עוינת), התשפ"ג-2023</t>
  </si>
  <si>
    <t xml:space="preserve"> (פ/2782/25)</t>
  </si>
  <si>
    <t xml:space="preserve"> (פ/2781/25)</t>
  </si>
  <si>
    <t xml:space="preserve">הצעת חוק ההוצאה לפועל (תיקון - הקפאת ריבית פיגורים בימי שביתה), התשפ"ג-2023</t>
  </si>
  <si>
    <t xml:space="preserve"> (פ/2780/25)</t>
  </si>
  <si>
    <t xml:space="preserve">הצעת חוק לתיקון פקודת מס הכנסה (הטבות במס במועצות אזוריות בעלות רוב מוטב), התשפ"ג-2023 </t>
  </si>
  <si>
    <t xml:space="preserve"> (פ/2778/25)</t>
  </si>
  <si>
    <t xml:space="preserve">הצעת חוק העונשין (תיקון - הפחתת ריבית פיגורים בשל אי-תשלום קנס), התשפ"ג-2023</t>
  </si>
  <si>
    <t xml:space="preserve"> (פ/2777/25)</t>
  </si>
  <si>
    <t xml:space="preserve">הצעת חוק מס הכנסה (פטור ממס על הכנסה מהשכרת דירת מגורים) (תיקון - ניכוי דמי שכירות ששולמו בעד דירת מגורים), התשפ"ג-2023</t>
  </si>
  <si>
    <t xml:space="preserve"> (פ/2776/25)</t>
  </si>
  <si>
    <t xml:space="preserve">הצעת חוק הפחתת תוספות פיגור שנוספו על קנסות הנגבים בידי המרכז לגביית קנסות, אגרות והוצאות (הוראת שעה), התשפ"ג-2023</t>
  </si>
  <si>
    <t xml:space="preserve"> (פ/2775/25)</t>
  </si>
  <si>
    <t xml:space="preserve"> (פ/2774/25)</t>
  </si>
  <si>
    <t xml:space="preserve">הצעת חוק לתיקון פקודת מסי העירייה ומסי הממשלה (פטורין) (פטור מארנונה למעון), התשפ"ג-2023</t>
  </si>
  <si>
    <t xml:space="preserve"> (פ/2773/25)</t>
  </si>
  <si>
    <t xml:space="preserve">הצעת חוק מיסוי מקרקעין (שבח ורכישה) (תיקון - דירה שאינה בבעלותם המשותפת של בני זוג), התשפ"ג-2023</t>
  </si>
  <si>
    <t xml:space="preserve"> (פ/2772/25)</t>
  </si>
  <si>
    <t xml:space="preserve">הצעת חוק לתיקון פקודת הבנקאות (תקופת צינון למפקח על הבנקים), התשפ"ג-2023</t>
  </si>
  <si>
    <t xml:space="preserve"> (פ/2771/25)</t>
  </si>
  <si>
    <t xml:space="preserve">הצעת חוק לתיקון פקודת מס הכנסה (נקודות זיכוי למשפחות אומנה), התשפ"ג-2023</t>
  </si>
  <si>
    <t xml:space="preserve"> (פ/2770/25)</t>
  </si>
  <si>
    <t xml:space="preserve">הצעת חוק לתיקון פקודת מס הכנסה (זיכוי בעד לימודי תואר ראשון), התשפ"ג-2023</t>
  </si>
  <si>
    <t xml:space="preserve"> (פ/2769/25)</t>
  </si>
  <si>
    <t xml:space="preserve">הצעת חוק העונשין (תיקון - חסימת כבישים), התשפ"ג-2023</t>
  </si>
  <si>
    <t xml:space="preserve"> (פ/2768/25)</t>
  </si>
  <si>
    <t xml:space="preserve">הצעת חוק הרשויות המקומיות (פטור חיילים, נפגעי מלחמה ושוטרים מארנונה) (תיקון - הארכת תקופת פטור מארנונה לחיילים בודדים), התשפ"ג-2023</t>
  </si>
  <si>
    <t xml:space="preserve"> (פ/2767/25)</t>
  </si>
  <si>
    <t xml:space="preserve">הצעת חוק ביטול עונש המוות (תיקוני חקיקה), התשפ"ג-2023</t>
  </si>
  <si>
    <t xml:space="preserve"> (פ/2766/25)</t>
  </si>
  <si>
    <t xml:space="preserve">הצעת חוק מס להפחתת גודש התנועה באזור גוש דן (תיקון - ביטול החוק), התשפ"ג-2023</t>
  </si>
  <si>
    <t xml:space="preserve"> (פ/2765/25)</t>
  </si>
  <si>
    <t xml:space="preserve">הצעת חוק העונשין (תיקון - קביעת עונשים מזעריים לעבירות מין), התשפ"ג-2023</t>
  </si>
  <si>
    <t xml:space="preserve"> (פ/2764/25)</t>
  </si>
  <si>
    <t xml:space="preserve">הצעת חוק הסדרים במשק המדינה (תיקוני חקיקה להשגת יעדי התקציב) (תיקון - חובת הענקת הנחה בארנונה לאדם בעל מוגבלות), התשפ"ג-2023</t>
  </si>
  <si>
    <t xml:space="preserve"> (פ/2763/25)</t>
  </si>
  <si>
    <t xml:space="preserve">הצעת חוק לעידוד השקעות בשכירות ארוכת טווח (תיקוני חקיקה), התשפ"ג-2023</t>
  </si>
  <si>
    <t xml:space="preserve"> (פ/2762/25)</t>
  </si>
  <si>
    <t xml:space="preserve">הצעת חוק-יסוד: השפיטה (תיקון מס' 4) (ביקורת שיפוטית בעניין תוקפו של חוק)</t>
  </si>
  <si>
    <t xml:space="preserve"> (כ/949)</t>
  </si>
  <si>
    <t xml:space="preserve">הצעת חוק יישום תוכנית ההתנתקות (תיקון - ביטול סעיפי הפינוי), התשפ"ג-2023</t>
  </si>
  <si>
    <t xml:space="preserve"> (פ/1570/25)</t>
  </si>
  <si>
    <t xml:space="preserve">09.03.2023</t>
  </si>
  <si>
    <t xml:space="preserve">הצעת חוק פיצויי פיטורים (תיקון - התפטרות בשל השתתפות במכינה קדם צבאית), התשפ"ג-2023</t>
  </si>
  <si>
    <t xml:space="preserve"> (פ/2759/25)</t>
  </si>
  <si>
    <t xml:space="preserve">06.03.2023</t>
  </si>
  <si>
    <t xml:space="preserve">הצעת חוק סיוע לצעירים חסרי עורף משפחתי, התשפ"ג-2023</t>
  </si>
  <si>
    <t xml:space="preserve"> (פ/2758/25)</t>
  </si>
  <si>
    <t xml:space="preserve"> (פ/2757/25)</t>
  </si>
  <si>
    <t xml:space="preserve"> (פ/2756/25)</t>
  </si>
  <si>
    <t xml:space="preserve"> (פ/2755/25)</t>
  </si>
  <si>
    <t xml:space="preserve"> (פ/2752/25)</t>
  </si>
  <si>
    <t xml:space="preserve">הצעת חוק שירותי הדת היהודיים (תיקון - ביטול המועצות הדתיות), התשפ"ג-2023</t>
  </si>
  <si>
    <t xml:space="preserve"> (פ/2751/25)</t>
  </si>
  <si>
    <t xml:space="preserve">הצעת חוק לקידום התחרות ולצמצום הריכוזיות (תיקון - קביעת תאגיד שאינו מדווח או שותפות כחברת שכבה), התשפ"ג-2023</t>
  </si>
  <si>
    <t xml:space="preserve"> (פ/2750/25)</t>
  </si>
  <si>
    <t xml:space="preserve"> (פ/2749/25)</t>
  </si>
  <si>
    <t xml:space="preserve">הצעת חוק יישום הסכם הביניים בדבר הגדה המערבית ורצועת עזה (הגבלת פעילות) (תיקון - עונשין על קיום פעילות וחובות דיווח לכנסת), התשפ"ג-2023</t>
  </si>
  <si>
    <t xml:space="preserve"> (פ/2748/25)</t>
  </si>
  <si>
    <t xml:space="preserve">הצעת חוק הביטוח הלאומי (תיקון - הגבלת קצבאות הילדים), התשפ"ג-2023</t>
  </si>
  <si>
    <t xml:space="preserve"> (פ/2747/25)</t>
  </si>
  <si>
    <t xml:space="preserve">הצעת חוק הצבת מכשירי החייאה במקומות ציבוריים (תיקון - צעדים ליישום מיטבי של החוק), התשפ"ג-2023</t>
  </si>
  <si>
    <t xml:space="preserve"> (פ/2746/25)</t>
  </si>
  <si>
    <t xml:space="preserve">הצעת חוק ניירות ערך (תיקון - קנס מוגדל בגין הרצת מניות), התשפ"ג-2023</t>
  </si>
  <si>
    <t xml:space="preserve"> (פ/2745/25)</t>
  </si>
  <si>
    <t xml:space="preserve">הצעת חוק ביטוח בריאות ממלכתי (תיקון - החזר הוצאות עבור נסיעה באמבולנס), התשפ"ג-2023</t>
  </si>
  <si>
    <t xml:space="preserve"> (פ/2744/25)</t>
  </si>
  <si>
    <t xml:space="preserve"> (פ/2743/25)</t>
  </si>
  <si>
    <t xml:space="preserve"> (פ/2742/25)</t>
  </si>
  <si>
    <t xml:space="preserve"> (פ/2741/25)</t>
  </si>
  <si>
    <t xml:space="preserve">הצעת חוק לימודי בטיחות בדרכים בבתי ספר, התשפ"ג-2023</t>
  </si>
  <si>
    <t xml:space="preserve"> (פ/2740/25)</t>
  </si>
  <si>
    <t xml:space="preserve">הצעת חוק לימוד חובה (תיקון - חובת לימודי ליבה), התשפ"ג-2023</t>
  </si>
  <si>
    <t xml:space="preserve"> (פ/2739/25)</t>
  </si>
  <si>
    <t xml:space="preserve">הצעת חוק גנים לאומיים, שמורות טבע, אתרים לאומיים ואתרי הנצחה (תיקון - מניעת שוד והרס אתרי מורשת והעצמת תשתיות במדבר יהודה, ביהודה והשומרון ובקעת הירדן), התשפ"ג-2023</t>
  </si>
  <si>
    <t xml:space="preserve"> (פ/2738/25)</t>
  </si>
  <si>
    <t xml:space="preserve"> (פ/2737/25)</t>
  </si>
  <si>
    <t xml:space="preserve">הצעת חוק שריון איסור הפליה על רקע נטייה מינית או זהות מגדרית (תיקוני חקיקה), התשפ"ג-2023</t>
  </si>
  <si>
    <t xml:space="preserve"> (פ/2736/25)</t>
  </si>
  <si>
    <t xml:space="preserve">הצעת חוק המלחמה בפדופיליה (מאגר מידע), התשפ"ג-2023</t>
  </si>
  <si>
    <t xml:space="preserve"> (פ/2734/25)</t>
  </si>
  <si>
    <t xml:space="preserve">הצעת חוק המועצה להשכלה גבוהה (תיקון - שכר לימוד לסטודנטים יהודים זכאי חוק השבות), התשפ"ג-2023</t>
  </si>
  <si>
    <t xml:space="preserve"> (פ/2733/25)</t>
  </si>
  <si>
    <t xml:space="preserve"> (פ/2732/25)</t>
  </si>
  <si>
    <t xml:space="preserve">הצעת חוק ביטוח בריאות ממלכתי (תיקון - העברת תיק רפואי במעבר בין קופות), התשפ"ג-2023</t>
  </si>
  <si>
    <t xml:space="preserve"> (פ/2731/25)</t>
  </si>
  <si>
    <t xml:space="preserve">הצעת חוק הסדרת מקומות רחצה (תיקון – קביעת מקומות לרחצה נפרדת), התשפ"ג–2023</t>
  </si>
  <si>
    <t xml:space="preserve"> (פ/2730/25)</t>
  </si>
  <si>
    <t xml:space="preserve">הצעת חוק שירותי הדת היהודיים (תיקון - סכום ההשתתפות בהוצאות התקציב של מועצה דתית), התשפ"ג-2023</t>
  </si>
  <si>
    <t xml:space="preserve"> (פ/2728/25)</t>
  </si>
  <si>
    <t xml:space="preserve">הצעת חוק להגדלת שיעור ההשתתפות בכוח העבודה ולצמצום פערים חברתיים (מענק עבודה) (תיקון - זכות במקרקעין בקבוצת רכישה), התשפ"ג-2023 </t>
  </si>
  <si>
    <t xml:space="preserve"> (פ/2725/25)</t>
  </si>
  <si>
    <t xml:space="preserve">הצעת חוק הפיקוח על מעונות יום לפעוטות (תיקון - העברת האחריות למשרד החינוך), התשפ"ג-2023</t>
  </si>
  <si>
    <t xml:space="preserve"> (פ/2724/25)</t>
  </si>
  <si>
    <t xml:space="preserve"> (פ/2723/25)</t>
  </si>
  <si>
    <t xml:space="preserve">הצעת חוק זכויות נפגעי עבירה (תיקון - חובת יידוע נפגעי עבירה בדבר זכויותיהם), התשפ"ג-2023</t>
  </si>
  <si>
    <t xml:space="preserve"> (פ/2722/25)</t>
  </si>
  <si>
    <t xml:space="preserve">הצעת חוק לתיקון סדרי המינהל (החלטות והנמקות) (תיקון - קיצור זמן המענה בפניות ציבור), התשפ"ג-2023</t>
  </si>
  <si>
    <t xml:space="preserve"> (פ/2721/25)</t>
  </si>
  <si>
    <t xml:space="preserve"> (פ/2720/25)</t>
  </si>
  <si>
    <t xml:space="preserve"> (פ/2715/25)</t>
  </si>
  <si>
    <t xml:space="preserve"> (פ/2713/25)</t>
  </si>
  <si>
    <t xml:space="preserve">הצעת חוק הרשות לפיתוח הנגב (תיקון מס' 4) (תיקון - ביטול החוק), התשפ"ג-2023</t>
  </si>
  <si>
    <t xml:space="preserve"> (פ/2712/25)</t>
  </si>
  <si>
    <t xml:space="preserve"> (פ/2711/25)</t>
  </si>
  <si>
    <t xml:space="preserve">הצעת חוק נכסי נפקדים (תיקון - החזרת נכסים לנפקד שהפך לאזרח), התשפ"ג-2023</t>
  </si>
  <si>
    <t xml:space="preserve"> (פ/2710/25)</t>
  </si>
  <si>
    <t xml:space="preserve"> (פ/2709/25)</t>
  </si>
  <si>
    <t xml:space="preserve"> (פ/2707/25)</t>
  </si>
  <si>
    <t xml:space="preserve">הצעת חוק לתיקון פקודת מסי העירייה ומסי הממשלה (פטורין) (פטור מארנונה למכללה טכנולוגית מוכרת), התשפ"ג-2023</t>
  </si>
  <si>
    <t xml:space="preserve"> (פ/2706/25)</t>
  </si>
  <si>
    <t xml:space="preserve">הצעת חוק לעידוד השקעות הון (תיקון - ביטול מסלול הטבות המס), התשפ"ג-2023</t>
  </si>
  <si>
    <t xml:space="preserve"> (פ/2704/25)</t>
  </si>
  <si>
    <t xml:space="preserve">הצעת חוק התכנון והבנייה (תיקון - התקנת תשתית לעמדת טעינה לרכב חשמלי), התשפ"ג-2023</t>
  </si>
  <si>
    <t xml:space="preserve"> (פ/2703/25)</t>
  </si>
  <si>
    <t xml:space="preserve"> (פ/2702/25)</t>
  </si>
  <si>
    <t xml:space="preserve">הצעת חוק לתיקון פקודת המסים (גבייה) (פיצוי עקב טעות), התשפ"ג-2023</t>
  </si>
  <si>
    <t xml:space="preserve"> (פ/2701/25)</t>
  </si>
  <si>
    <t xml:space="preserve"> (פ/2700/25)</t>
  </si>
  <si>
    <t xml:space="preserve"> (פ/2699/25)</t>
  </si>
  <si>
    <t xml:space="preserve"> (פ/2698/25)</t>
  </si>
  <si>
    <t xml:space="preserve"> (פ/2697/25)</t>
  </si>
  <si>
    <t xml:space="preserve">הצעת חוק הגבלת ייבוא צאן לישראל, התשפ''ג-2023</t>
  </si>
  <si>
    <t xml:space="preserve"> (פ/2696/25)</t>
  </si>
  <si>
    <t xml:space="preserve">הצעת חוק לתיקון פקודת מס הכנסה (ניכוי הוצאות בשל ארוחה עסקית לעצמאים), התשפ"ג-2023</t>
  </si>
  <si>
    <t xml:space="preserve"> (פ/2695/25)</t>
  </si>
  <si>
    <t xml:space="preserve">הצעת חוק חינוך ממלכתי (תיקון - הטמעת עקרונות מגילת העצמאות בתוכנית הלימודים), התשפ"ג-2023</t>
  </si>
  <si>
    <t xml:space="preserve"> (פ/2694/25)</t>
  </si>
  <si>
    <t xml:space="preserve"> (פ/2693/25)</t>
  </si>
  <si>
    <t xml:space="preserve">הצעת חוק שעות עבודה ומנוחה (תיקון - הגבלת שעות העסקה של מתמחה ברפואה), התשפ"ג-2023</t>
  </si>
  <si>
    <t xml:space="preserve"> (פ/2692/25)</t>
  </si>
  <si>
    <t xml:space="preserve">הצעת חוק לעידוד הנקה ושמירה על אופן הזנת תינוקות, התשפ"ג-2023</t>
  </si>
  <si>
    <t xml:space="preserve"> (פ/2691/25)</t>
  </si>
  <si>
    <t xml:space="preserve">הצעת חוק עידוד תרומות מזון (תיקון - הצלת מזון), התשפ"ג-2023</t>
  </si>
  <si>
    <t xml:space="preserve"> (פ/2690/25)</t>
  </si>
  <si>
    <t xml:space="preserve"> (פ/2689/25)</t>
  </si>
  <si>
    <t xml:space="preserve">הצעת חוק הסדרת העיסוק בייצוג דוגמנים, התשפ"ג-2023</t>
  </si>
  <si>
    <t xml:space="preserve"> (פ/2688/25)</t>
  </si>
  <si>
    <t xml:space="preserve">הצעת חוק שירות המדינה (גמלאות) (תיקון - ביטול שלילת גמלאות מאלמנים שנישאו), התשפ"ג-2023</t>
  </si>
  <si>
    <t xml:space="preserve"> (פ/2687/25)</t>
  </si>
  <si>
    <t xml:space="preserve">הצעת חוק המזונות (הבטחת תשלום) (תיקון - סכום שלא יובא בחשבון במבחן ההכנסה), התשפ"ג-2023</t>
  </si>
  <si>
    <t xml:space="preserve"> (פ/2686/25)</t>
  </si>
  <si>
    <t xml:space="preserve"> (פ/2685/25)</t>
  </si>
  <si>
    <t xml:space="preserve"> (פ/2684/25)</t>
  </si>
  <si>
    <t xml:space="preserve">הצעת חוק מענק יובל לעובדי הוראה עולים, התשפ"ג-2023</t>
  </si>
  <si>
    <t xml:space="preserve"> (פ/2683/25)</t>
  </si>
  <si>
    <t xml:space="preserve"> (פ/2682/25)</t>
  </si>
  <si>
    <t xml:space="preserve">הצעת חוק הרשות לפיתוח הפריפריה החברתית, התשפ"ג-2023</t>
  </si>
  <si>
    <t xml:space="preserve"> (פ/2681/25)</t>
  </si>
  <si>
    <t xml:space="preserve"> (פ/2680/25)</t>
  </si>
  <si>
    <t xml:space="preserve"> (פ/2679/25)</t>
  </si>
  <si>
    <t xml:space="preserve"> (פ/2678/25)</t>
  </si>
  <si>
    <t xml:space="preserve"> (פ/2677/25)</t>
  </si>
  <si>
    <t xml:space="preserve">הצעת חוק לתיקון פקודת מס הכנסה (ניכוי תשלומים לעצמאים), התשפ"ג-2023</t>
  </si>
  <si>
    <t xml:space="preserve"> (פ/2676/25)</t>
  </si>
  <si>
    <t xml:space="preserve"> (פ/2675/25)</t>
  </si>
  <si>
    <t xml:space="preserve">הצעת חוק משק החשמל (תיקון - גביית תשלומים), התשפ"ג-2023</t>
  </si>
  <si>
    <t xml:space="preserve"> (פ/2674/25)</t>
  </si>
  <si>
    <t xml:space="preserve">הצעת חוק שיעור ריבית פיגורים מקסימלי (תיקוני חקיקה), התשפ"ג-2023</t>
  </si>
  <si>
    <t xml:space="preserve"> (פ/2673/25)</t>
  </si>
  <si>
    <t xml:space="preserve">הצעת חוק חינוך ממלכתי (תיקון - ביטול השתתפות רשות מקומית בתקציבי מוסדות חינוך מוכרים לא רשמיים), התשפ"ג-2023</t>
  </si>
  <si>
    <t xml:space="preserve"> (פ/2672/25)</t>
  </si>
  <si>
    <t xml:space="preserve"> (פ/2670/25)</t>
  </si>
  <si>
    <t xml:space="preserve">הצעת חוק העונשין (תיקון - תקיפת איש כוחות הביטחון וההצלה), התשפ"ג-2023</t>
  </si>
  <si>
    <t xml:space="preserve"> (פ/2669/25)</t>
  </si>
  <si>
    <t xml:space="preserve"> (פ/2668/25)</t>
  </si>
  <si>
    <t xml:space="preserve">הצעת חוק העונשין (תיקון - עונש מינימום למצית נכס ציבורי) (הוראת שעה), התשפ"ג-2023</t>
  </si>
  <si>
    <t xml:space="preserve"> (פ/2667/25)</t>
  </si>
  <si>
    <t xml:space="preserve">הצעת חוק לתיקון פקודת העיריות (קיצור תקופת הפטור מתשלום ארנונה לבניין שנהרס או ניזוק), התשפ"ג-2022</t>
  </si>
  <si>
    <t xml:space="preserve"> (פ/695/25)</t>
  </si>
  <si>
    <t xml:space="preserve">הצעת חוק השכירות והשאילה (תיקון - הגבלה על העלאת דמי השכירות), התשפ"ג-2022</t>
  </si>
  <si>
    <t xml:space="preserve"> (פ/13/25)</t>
  </si>
  <si>
    <t xml:space="preserve">הצעת חוק זכויות החולה (תיקון - קביעת הוראות לעניין הכנסת חפצים ודברי מאכל למוסד רפואי), התשפ"ג-2023</t>
  </si>
  <si>
    <t xml:space="preserve"> (פ/1888/25)</t>
  </si>
  <si>
    <t xml:space="preserve">01.03.2023</t>
  </si>
  <si>
    <t xml:space="preserve">הצעת חוק זכויות החולה (תיקון - הכנסת מזון למוסדות רפואיים בחג הפסח), התשפ"ג-2023</t>
  </si>
  <si>
    <t xml:space="preserve"> (פ/1793/25)</t>
  </si>
  <si>
    <t xml:space="preserve">הצעת חוק חג המצות (איסורי חמץ) (תיקון - איסור הצגת חמץ בפסח בבתי חולים), התשפ"ג-2022</t>
  </si>
  <si>
    <t xml:space="preserve"> (פ/398/25)</t>
  </si>
  <si>
    <t xml:space="preserve"> (פ/397/25)</t>
  </si>
  <si>
    <t xml:space="preserve">הצעת חוק-יסוד: ההתגברות (תיקוני חקיקה) </t>
  </si>
  <si>
    <t xml:space="preserve"> (פ/87/25)</t>
  </si>
  <si>
    <t xml:space="preserve">חוק תכנון משק החלב (תיקון מס' 5), התשפ"ג-2023</t>
  </si>
  <si>
    <t xml:space="preserve"> (מ/1599)</t>
  </si>
  <si>
    <t xml:space="preserve">27.02.2023</t>
  </si>
  <si>
    <t xml:space="preserve">חוק תכנון משק החלב התשע"א-2011 (להלן – החוק העיקרי) מסמיך את שרי האוצר והחקלאות ופיתוח הכפר (להלן – השרים) לקבוע בצו פיקוח לפי חוק פיקוח על מחירי מצרכים ושירותים, מחירים מזעריים שעל מחלבה לשלם ליצרן בעד חלב בקר במכסה (מחיר המטרה). לצד זאת נקבעה בחוק העיקרי הוראת מעבר, לפיה בתקופת המעבר, המחירים המזעריים ייקבעו בהתאם למנגנון עדכון מחירים שיקבעו השרים בתקנות באישור ועדת הכלכלה. בחוק זה הוארכה תקופת המעבר עד ליום 31.12.2025. בנוסף, הוסמכו השרים לקבוע בתקנות הוראות שיאפשרו להוריד את מחיר המטרה וזאת הן על ידי קביעה כי בחישוב עלויות הייצור השנתיות (שעל בסיסן נקבע מחיר המטרה) יכללו רק הרפתות היעילות יותר והן על ידי הפחתה במחירי המטרה הרבעוניים, למשך שנה.</t>
  </si>
  <si>
    <t xml:space="preserve">הצעת חוק פיצויים בעד נזק עקב אסון טבע, התשפ"ג-2023</t>
  </si>
  <si>
    <t xml:space="preserve"> (פ/2665/25)</t>
  </si>
  <si>
    <t xml:space="preserve">הצעת חוק מרשם שמות מתחם בישראל, התשפ"ג-2023</t>
  </si>
  <si>
    <t xml:space="preserve"> (פ/2664/25)</t>
  </si>
  <si>
    <t xml:space="preserve"> (פ/2663/25)</t>
  </si>
  <si>
    <t xml:space="preserve">הצעת חוק להגבלה לאחר סיום כהונה של שר התקשורת, התשפ"ג-2023</t>
  </si>
  <si>
    <t xml:space="preserve"> (פ/2662/25)</t>
  </si>
  <si>
    <t xml:space="preserve"> (פ/2661/25)</t>
  </si>
  <si>
    <t xml:space="preserve">הצעת חוק לתיקון פקודת מס הכנסה (ניכוי הוצאות כיבוד בפגישה מחוץ למקום העיסוק), התשפ"ג-2023</t>
  </si>
  <si>
    <t xml:space="preserve"> (פ/2660/25)</t>
  </si>
  <si>
    <t xml:space="preserve">הצעת חוק העונשין (תיקון - עונשי מינימום בעבירות נשק), התשפ"ג-2023</t>
  </si>
  <si>
    <t xml:space="preserve"> (פ/2658/25)</t>
  </si>
  <si>
    <t xml:space="preserve">הצעת חוק לתיקון פקודת המסים (גבייה) (ביטול החוק), התשפ"ג–2023</t>
  </si>
  <si>
    <t xml:space="preserve"> (פ/2657/25)</t>
  </si>
  <si>
    <t xml:space="preserve">הצעת חוק תאגידי מים וביוב (תיקון - חישוב תעריף דמי הקמה), התשפ"ג-2023</t>
  </si>
  <si>
    <t xml:space="preserve"> (פ/2656/25)</t>
  </si>
  <si>
    <t xml:space="preserve"> (פ/2655/25)</t>
  </si>
  <si>
    <t xml:space="preserve">הצעת חוק העונשין (תיקון - החמרת ענישה על העלבת עובד ציבור), התשפ''ג-2023</t>
  </si>
  <si>
    <t xml:space="preserve"> (פ/2654/25)</t>
  </si>
  <si>
    <t xml:space="preserve"> (פ/2653/25)</t>
  </si>
  <si>
    <t xml:space="preserve">הצעת חוק הסכמים קיבוציים (תיקון - סייג לגביית דמי חבר ודמי טיפול מקצועי-ארגוני בארגון עובדים), התשפ"ג-2023</t>
  </si>
  <si>
    <t xml:space="preserve"> (פ/2652/25)</t>
  </si>
  <si>
    <t xml:space="preserve">הצעת חוק שכר מינימום (תיקון - עוולה נזיקית וקובלנה), התשפ"ג-2023</t>
  </si>
  <si>
    <t xml:space="preserve"> (פ/2651/25)</t>
  </si>
  <si>
    <t xml:space="preserve">הצעת חוק העונשין (תיקון - החמרת ענישה בפשיעה חקלאית) (הוראת שעה), התשפ"ג-2023</t>
  </si>
  <si>
    <t xml:space="preserve"> (פ/2650/25)</t>
  </si>
  <si>
    <t xml:space="preserve"> (פ/2649/25)</t>
  </si>
  <si>
    <t xml:space="preserve">הצעת חוק לתיקון פקודת מס הכנסה (פטור ממס על מלגה לחוקר), התשפ"ג-2023</t>
  </si>
  <si>
    <t xml:space="preserve"> (פ/2648/25)</t>
  </si>
  <si>
    <t xml:space="preserve">הצעת חוק ירושלים רבתי, התשפ"ג-2023</t>
  </si>
  <si>
    <t xml:space="preserve"> (פ/2645/25)</t>
  </si>
  <si>
    <t xml:space="preserve">הצעת חוק הביטוח הלאומי (תיקון - שלילת קצבאות ממחבלים), התשפ"ג-2023</t>
  </si>
  <si>
    <t xml:space="preserve"> (פ/2642/25)</t>
  </si>
  <si>
    <t xml:space="preserve">הצעת חוק שוויון זכויות לאנשים עם מוגבלות (תיקון - חובת נגישות באוטובוסים בין-עירוניים), התשפ"ג-2023</t>
  </si>
  <si>
    <t xml:space="preserve"> (פ/2641/25)</t>
  </si>
  <si>
    <t xml:space="preserve"> (פ/2640/25)</t>
  </si>
  <si>
    <t xml:space="preserve">הצעת חוק דמי מחלה (תיקון - יתרה שלילית של ימי מחלה), התשפ"ג-2023</t>
  </si>
  <si>
    <t xml:space="preserve"> (פ/2638/25)</t>
  </si>
  <si>
    <t xml:space="preserve">הצעת חוק לתיקון פקודת מס הכנסה (הפקדות לקרן השתלמות לעצמאי), התשפ"ג-2023</t>
  </si>
  <si>
    <t xml:space="preserve"> (פ/2636/25)</t>
  </si>
  <si>
    <t xml:space="preserve">הצעת חוק ביטוח בריאות ממלכתי (תיקון - תוספת שנתית קבועה לסל שירותי הבריאות לצורך הוספת תרופות, מכשור וטכנולוגיות רפואיות חדשות), התשפ"ג-2023</t>
  </si>
  <si>
    <t xml:space="preserve"> (פ/2635/25)</t>
  </si>
  <si>
    <t xml:space="preserve"> (פ/2634/25)</t>
  </si>
  <si>
    <t xml:space="preserve">הצעת חוק הפנסיה (מועד תחילת הביטוח הפנסיוני), התשפ"ג-2023</t>
  </si>
  <si>
    <t xml:space="preserve"> (פ/2633/25)</t>
  </si>
  <si>
    <t xml:space="preserve">הצעת חוק סיוע למשפחות שבראשן הורה עצמאי (תיקון - הרחבת תחולה), התשפ"ג-2023</t>
  </si>
  <si>
    <t xml:space="preserve"> (פ/2632/25)</t>
  </si>
  <si>
    <t xml:space="preserve">הצעת חוק המכר (דירות) (תיקון - הסדרת בנייה במסגרת קבוצות רכישה), התשפ"ג-2023</t>
  </si>
  <si>
    <t xml:space="preserve"> (פ/2631/25)</t>
  </si>
  <si>
    <t xml:space="preserve"> (פ/2630/25)</t>
  </si>
  <si>
    <t xml:space="preserve">הצעת חוק לתיקון פקודת העיריות (חובת גילוי מסמכי תאגיד עירוני), התשפ"ג-2023</t>
  </si>
  <si>
    <t xml:space="preserve"> (פ/2629/25)</t>
  </si>
  <si>
    <t xml:space="preserve">הצעת חוק הגנת הצרכן (תיקון - סימון תוצרת חקלאית שאינה ארוזה מראש), התשפ"ג-2023</t>
  </si>
  <si>
    <t xml:space="preserve"> (פ/2627/25)</t>
  </si>
  <si>
    <t xml:space="preserve"> (פ/2626/25)</t>
  </si>
  <si>
    <t xml:space="preserve">הצעת חוק השידור הציבורי הישראלי (תיקון - חברה ציבורית), התשפ"ג-2023</t>
  </si>
  <si>
    <t xml:space="preserve"> (פ/2625/25)</t>
  </si>
  <si>
    <t xml:space="preserve">הצעת חוק למניעת מפגעים (תיקון - עידוד הפחתת שימוש בזיקוקי די-נור), התשפ"ג-2023</t>
  </si>
  <si>
    <t xml:space="preserve"> (פ/2624/25)</t>
  </si>
  <si>
    <t xml:space="preserve">הצעת חוק-יסוד: מבקר המדינה (תיקון - כשירות מועמדים לכהונה כמבקר המדינה) </t>
  </si>
  <si>
    <t xml:space="preserve"> (פ/2623/25)</t>
  </si>
  <si>
    <t xml:space="preserve">הצעת חוק מרכזי חירום ושליטה ביישובים סמוכי גבול, התשפ"ג-2023</t>
  </si>
  <si>
    <t xml:space="preserve"> (פ/2622/25)</t>
  </si>
  <si>
    <t xml:space="preserve">הצעת חוק קליטת חיילים משוחררים (תיקון - זכאות לתומכי לחימה מקרן "ממדים ללימודים"), התשפ"ג-2023</t>
  </si>
  <si>
    <t xml:space="preserve"> (פ/2621/25)</t>
  </si>
  <si>
    <t xml:space="preserve">הצעת חוק עסקאות במקרקעין (קיום מצוות שמיטה) (תיקון - החלת החוק על יהודה והשומרון), התשפ"ג-2023</t>
  </si>
  <si>
    <t xml:space="preserve"> (פ/2620/25)</t>
  </si>
  <si>
    <t xml:space="preserve"> (פ/2619/25)</t>
  </si>
  <si>
    <t xml:space="preserve"> (פ/2618/25)</t>
  </si>
  <si>
    <t xml:space="preserve">הצעת חוק העונשין (תיקון - החזרת הסעיף הסוציאלי כעילה להפסקת הריון), התשפ"ג-2023</t>
  </si>
  <si>
    <t xml:space="preserve"> (פ/2616/25)</t>
  </si>
  <si>
    <t xml:space="preserve"> (פ/2615/25)</t>
  </si>
  <si>
    <t xml:space="preserve"> (פ/2614/25)</t>
  </si>
  <si>
    <t xml:space="preserve"> (פ/2613/25)</t>
  </si>
  <si>
    <t xml:space="preserve">הצעת חוק מס ערך מוסף (תיקון - שיעור מס מופחת על מוצרי מזון בסיסיים), התשפ"ג-2023</t>
  </si>
  <si>
    <t xml:space="preserve"> (פ/2612/25)</t>
  </si>
  <si>
    <t xml:space="preserve"> (פ/2611/25)</t>
  </si>
  <si>
    <t xml:space="preserve">הצעת חוק מימון מפלגות (תיקון - שלילת מימון ממפלגה שקוראת להטלת חרם על מדינת ישראל), התשפ"ג-2023</t>
  </si>
  <si>
    <t xml:space="preserve"> (פ/2610/25)</t>
  </si>
  <si>
    <t xml:space="preserve"> (פ/2608/25)</t>
  </si>
  <si>
    <t xml:space="preserve">הצעת חוק אבטחה במוסדות חינוך, התשפ"ג-2023</t>
  </si>
  <si>
    <t xml:space="preserve"> (פ/2607/25)</t>
  </si>
  <si>
    <t xml:space="preserve">הצעת חוק למניעת העסקה בתחום החינוך והטיפול של אדם שהורשע או שמואשם בתקיפה או בהתעללות בחסר ישע, התשפ"ג-2023</t>
  </si>
  <si>
    <t xml:space="preserve"> (פ/2606/25)</t>
  </si>
  <si>
    <t xml:space="preserve">הצעת חוק המועצה להשכלה גבוהה (תיקון - עידוד הנגשה להשכלה גבוהה), התשפ"ג-2023</t>
  </si>
  <si>
    <t xml:space="preserve"> (פ/2605/25)</t>
  </si>
  <si>
    <t xml:space="preserve">הצעת חוק איסור הכחשת השואה (תיקון - איסור הבעת אהדה לשלטון הנאצי או הזדהות עימו ואיסור שימוש בסמלים נאציים), התשפ"ג-2023</t>
  </si>
  <si>
    <t xml:space="preserve"> (פ/2604/25)</t>
  </si>
  <si>
    <t xml:space="preserve">הצעת חוק הפיקוח על שירותים פיננסיים (קופות גמל) (תיקון - הגבלת דמי ניהול לעמית שסיים את עבודתו), התשפ"ג-2023</t>
  </si>
  <si>
    <t xml:space="preserve"> (פ/2603/25)</t>
  </si>
  <si>
    <t xml:space="preserve">הצעת חוק הביטוח הלאומי (תיקון - מועד לתביעת גמלת כסף והתקופה שבעדה שולמה), התשפ"ג-2023</t>
  </si>
  <si>
    <t xml:space="preserve"> (פ/2602/25)</t>
  </si>
  <si>
    <t xml:space="preserve"> (פ/2599/25)</t>
  </si>
  <si>
    <t xml:space="preserve">הצעת חוק השיפוט הצבאי (תיקון - עתירות אסיר), התשפ"ג-2023</t>
  </si>
  <si>
    <t xml:space="preserve"> (פ/2598/25)</t>
  </si>
  <si>
    <t xml:space="preserve">הצעת חוק מס רכוש וקרן פיצויים (תיקון - פיצוי בגין נזק עקב אסון טבע), התשפ"ג-2023</t>
  </si>
  <si>
    <t xml:space="preserve"> (פ/2597/25)</t>
  </si>
  <si>
    <t xml:space="preserve">הצעת חוק הגנת הצרכן (תיקון - הנגשת הודעת תשלום לצרכנים שאינם דוברי עברית), התשפ"ג-2023</t>
  </si>
  <si>
    <t xml:space="preserve"> (פ/2596/25)</t>
  </si>
  <si>
    <t xml:space="preserve">הצעת חוק נציבות תלונות אסירים, התשפ"ג-2023</t>
  </si>
  <si>
    <t xml:space="preserve"> (פ/2595/25)</t>
  </si>
  <si>
    <t xml:space="preserve"> (פ/2594/25)</t>
  </si>
  <si>
    <t xml:space="preserve"> (פ/2593/25)</t>
  </si>
  <si>
    <t xml:space="preserve">הצעת חוק טוס כחול לבן, התשפ"ג-2023</t>
  </si>
  <si>
    <t xml:space="preserve"> (פ/2591/25)</t>
  </si>
  <si>
    <t xml:space="preserve">הצעת חוק העבירות המינהליות (תיקון - הפחתת תוספת הפיגור על אי-תשלום קנס), התשפ"ג-2023</t>
  </si>
  <si>
    <t xml:space="preserve"> (פ/2590/25)</t>
  </si>
  <si>
    <t xml:space="preserve">הצעת חוק להגבלת כהונת ראש רשות מקומית (תיקוני חקיקה), התשפ"ג-2023</t>
  </si>
  <si>
    <t xml:space="preserve"> (פ/2589/25)</t>
  </si>
  <si>
    <t xml:space="preserve"> (פ/2588/25)</t>
  </si>
  <si>
    <t xml:space="preserve">הצעת חוק ביטוח בריאות ממלכתי (תיקון - אשפוז בית), התשפ"ג-2023</t>
  </si>
  <si>
    <t xml:space="preserve"> (פ/2587/25)</t>
  </si>
  <si>
    <t xml:space="preserve">הצעת חוק החברות (תיקון - פרסום דוחות כספיים של מונופול), התשפ''ג-2023</t>
  </si>
  <si>
    <t xml:space="preserve"> (פ/2586/25)</t>
  </si>
  <si>
    <t xml:space="preserve"> (פ/2585/25)</t>
  </si>
  <si>
    <t xml:space="preserve">הצעת חוק לתיקון פקודת העיריות (שינוי מועד תשלום הארנונה), התשפ"ג-2023</t>
  </si>
  <si>
    <t xml:space="preserve"> (פ/2584/25)</t>
  </si>
  <si>
    <t xml:space="preserve"> (פ/2583/25)</t>
  </si>
  <si>
    <t xml:space="preserve"> (פ/2582/25)</t>
  </si>
  <si>
    <t xml:space="preserve">הצעת חוק האזנת סתר (תיקון - האזנה בשל חשד להתעללות), התשפ"ג-2023 </t>
  </si>
  <si>
    <t xml:space="preserve"> (פ/2581/25)</t>
  </si>
  <si>
    <t xml:space="preserve">הצעת חוק לתיקון פקודת הרוקחים (הכשרת עוזרי רוקח), התשפ"ג-2023</t>
  </si>
  <si>
    <t xml:space="preserve"> (פ/2580/25)</t>
  </si>
  <si>
    <t xml:space="preserve"> (פ/2579/25)</t>
  </si>
  <si>
    <t xml:space="preserve"> (פ/2578/25)</t>
  </si>
  <si>
    <t xml:space="preserve">הצעת חוק חובת המכרזים (תיקון - העדפת תוצרת מקומית), התשפ"ג-2023</t>
  </si>
  <si>
    <t xml:space="preserve"> (פ/2577/25)</t>
  </si>
  <si>
    <t xml:space="preserve">הצעת חוק ההוצאה לפועל (תיקון - קביעת תעריף מקסימלי לשכר טרחת עורך דין), התשפ"ג-2023</t>
  </si>
  <si>
    <t xml:space="preserve"> (פ/2576/25)</t>
  </si>
  <si>
    <t xml:space="preserve"> (פ/2575/25)</t>
  </si>
  <si>
    <t xml:space="preserve">הצעת חוק לתיקון פקודת מס הכנסה (תלוש שכר לעצמאי), התשפ"ג-2023</t>
  </si>
  <si>
    <t xml:space="preserve"> (פ/2574/25)</t>
  </si>
  <si>
    <t xml:space="preserve">הצעת חוק מטרופולין ירושלים, התשפ"ג-2023</t>
  </si>
  <si>
    <t xml:space="preserve"> (פ/2573/25)</t>
  </si>
  <si>
    <t xml:space="preserve">הצעת חוק לתיקון פקודת מס הכנסה (נקודת זיכוי לאפוטרופוס), התשפ"ג-2023</t>
  </si>
  <si>
    <t xml:space="preserve"> (פ/2572/25)</t>
  </si>
  <si>
    <t xml:space="preserve">הצעת חוק שירות הקבע בצבא הגנה לישראל (גמלאות) (תיקון - גמלה לאלמנה שנישאה מחדש), התשפ"ג-2023</t>
  </si>
  <si>
    <t xml:space="preserve"> (פ/2571/25)</t>
  </si>
  <si>
    <t xml:space="preserve"> (פ/2570/25)</t>
  </si>
  <si>
    <t xml:space="preserve"> (פ/2567/25)</t>
  </si>
  <si>
    <t xml:space="preserve"> (פ/2566/25)</t>
  </si>
  <si>
    <t xml:space="preserve"> (פ/2565/25)</t>
  </si>
  <si>
    <t xml:space="preserve"> (פ/2564/25)</t>
  </si>
  <si>
    <t xml:space="preserve">הצעת חוק שעות עבודה ומנוחה (תיקון - שבוע עבודה בן חמישה ימים וקביעת יום ראשון כיום חופשי), התשפ"ג-2023</t>
  </si>
  <si>
    <t xml:space="preserve"> (פ/2563/25)</t>
  </si>
  <si>
    <t xml:space="preserve">הצעת חוק התכנון והבנייה (תיקון - ייצוג הולם לאוכלוסייה הערבית במועצה הארצית לתכנון ולבנייה), התשפ"ג-2023</t>
  </si>
  <si>
    <t xml:space="preserve"> (פ/2562/25)</t>
  </si>
  <si>
    <t xml:space="preserve">הצעת חוק רכבת תחתית (מטרו) (תיקון), התשפ"א-2021</t>
  </si>
  <si>
    <t xml:space="preserve"> (מ/1446)</t>
  </si>
  <si>
    <t xml:space="preserve">26.02.2023</t>
  </si>
  <si>
    <t xml:space="preserve">הצעת חוק אימוץ ילדים (תיקון - כשירות המאמץ), התשפ"ג-2022</t>
  </si>
  <si>
    <t xml:space="preserve"> (פ/629/25)</t>
  </si>
  <si>
    <t xml:space="preserve">22.02.2023</t>
  </si>
  <si>
    <t xml:space="preserve">חוק הרשות השנייה לטלוויזיה ורדיו (תיקון מס' 48), התשפ"ג-2023</t>
  </si>
  <si>
    <t xml:space="preserve"> (מ/1596)</t>
  </si>
  <si>
    <t xml:space="preserve">20.02.2023</t>
  </si>
  <si>
    <t xml:space="preserve">התיקון מאריך בשנה וחצי את תוקפה של הוראת מעבר שנקבעה בתיקון מס' 44 לחוק הרשות השנייה לטלוויזיה ולרדיו, התש"ן–1990 (להלן – תיקון 44), שהתקבל בכנסת בשנת 2018. בתיקון 44 נקבעו שורה של הקלות רגולטוריות לערוצים זעירים ולערוצים זעירים ייעודיים, שהם ערוצים בעלי היקף הכנסה מצומצם שנועדו לתת מענה לקהלים ולנושאים ספציפיים שלא מקבלים ייצוג הולם בערוצי התקשורת המרכזיים. ערוצים אלו היו בפיקוח של המועצה לשידורי כבלים ולשידורי לוויין, ועברו בתיקון 44 לפיקוח הרשות השנייה לטלוויזיה ולרדיו, ומשמעות המעבר היא שאותם ערוצים זכו להקלות משמעותיות במחויבויות החלות עליהם. מדובר בערוץ בשפה הערבית ("הלא TV"), בערוץ בשפה הרוסית (ערוץ 9), בערוץ 24 ובערוץ 14. נוסף על ההקלות שנקבעו בתיקון 44, נקבעה גם הוראת מעבר לתקופה של חמש שנים, עד ליום ד' באדר התשפ"ג (25.2.2023), שעניינה מתן הקלות נוספות וזמניות לערוצים האמורים, במטרה לאפשר את המשך קיומם נוכח היקף הכנסתם המצומצם. ההקלות הזמניות שנקבעו בהוראת המעבר, ותוקפן מוארך בשנה וחצי לפי התיקון, הן פטור מתשלום דמי רישיון שנתיים;  חובה של חברות הכבלים והלוויין (כיום הוט ויס) להעביר במסגרת שידוריהם את שידורי הערוצים ופטור מתשלום עבור שידור כאמור;  פטור מחובת הפקדת בטוחות מעבר לערבויות קיימות;  וכן החרגתם של ערוצים אלה מהוראות מסוימות בחוק לעניין מתן רישיון מבקש רישיון שהפר את ההוראות לפי חוק הרשות השנייה, לעניין הגבלות על בעלויות צולבות של שידורי רדיו או טלוויזיה בנסיבות מסוימות וכן לעניין האיסור על החזקת אמצעי שליטה על ידי בעלים יחיד.  </t>
  </si>
  <si>
    <t xml:space="preserve">חוק שירות ביטחון (הוראת שעה) (הצבת יוצאי צבא בשירות בתי הסוהר) (תיקון מס' 10), התשפ"ג–2023</t>
  </si>
  <si>
    <t xml:space="preserve"> (מ/1597)</t>
  </si>
  <si>
    <t xml:space="preserve">חוק שירות ביטחון (הוראת שעה) (הצבת יוצאי צבא בשירות בתי הסוהר) (תיקון מס' 10), התשפ"ג-2023 אושר בקריאה השנייה והשלישית ביום 21/02/2023.  החוק מאריך בחצי שנה נוספת, עד ה-15/08/2023 את הוראת השעה אשר מסדירה את הצבתם ואת שירותם של חיילים בבתי סוהר ובאגפים בהם מוחזקים אסירים ביטחוניים. </t>
  </si>
  <si>
    <t xml:space="preserve">חוק הכניסה לישראל (תיקון מס' 36), התשפ"ג-2023</t>
  </si>
  <si>
    <t xml:space="preserve"> (מ/1513)</t>
  </si>
  <si>
    <t xml:space="preserve">נקבע כי אחראי על כלי הסעה, העתיד להגיע לישראל או לצאת ממנה, יעביר לרשות האוכלוסין וההגירה את הפרטים המופיעים במסמכי הנסיעה של האנשים העומדים להגיע לישראל או לצאת ממנה על אותו כלי הסעה, את מועד הגעתם לישראל, נקודת מוצאם או מועד יציאתם מישראל ויעדם.  עוד נקבע כי במקרה שיימצא בבדיקות המקדימות כי אדם לא מורשה להיכנס לישראל או לצאת ממנה, רשאי קצין ביקורת הגבולות להעביר הודעה על כך לאחראי על כלי ההסעה, ובהינתן לו הודעה כאמור, יהיה עליו להימנע מלהובילו לישראל או ממנה, לפי העניין, אלא אם מדובר בכניסה לישראל של אזרח, תושב או אדם בעל אשרת חוזר בתוקף. כמו כן, נקבע כי המידע יישמר בידי רשות האוכלוסין וההגירה למשך 90 ימים ובסופם יימחק. במהלך תקופה זו, רשאית רשות האוכלוסין להעביר את המידע לגורמים המנויים בתוספת הראשונה לחוק. רשות האוכלוסין ומי שהעבירה לו מידע לפי חוק זה רשאים שלא למחוק מידע לגבי אדם מסוים למטרות אכיפת החוק או ניהול הליכים שהמדינה צד להם.</t>
  </si>
  <si>
    <t xml:space="preserve">הצעת חוק הרשויות המקומיות (התאמת תקציב הרווחה), התשפ"ג-2023</t>
  </si>
  <si>
    <t xml:space="preserve"> (פ/2557/25)</t>
  </si>
  <si>
    <t xml:space="preserve"> (פ/2556/25)</t>
  </si>
  <si>
    <t xml:space="preserve"> (פ/2555/25)</t>
  </si>
  <si>
    <t xml:space="preserve">הצעת חוק הסדרת העיסוק במקצועות הבריאות (תיקון - מתן תעודה במקצועות הבריאות לבעלי הכשרה מקצועית) (הוראת שעה), התשפ"ג-2023</t>
  </si>
  <si>
    <t xml:space="preserve"> (פ/2554/25)</t>
  </si>
  <si>
    <t xml:space="preserve">הצעת חוק הכשרות לאנשי מקצוע בנושא זיהוי ודיווח על התעללות בקטין או בחסר ישע, התשפ"ג-2023</t>
  </si>
  <si>
    <t xml:space="preserve"> (פ/2553/25)</t>
  </si>
  <si>
    <t xml:space="preserve"> (פ/2552/25)</t>
  </si>
  <si>
    <t xml:space="preserve">הצעת חוק גיל פרישה (תיקון - ביטול גיל פרישת חובה), התשפ"ג-2023</t>
  </si>
  <si>
    <t xml:space="preserve"> (פ/2551/25)</t>
  </si>
  <si>
    <t xml:space="preserve"> (פ/2550/25)</t>
  </si>
  <si>
    <t xml:space="preserve"> (פ/2549/25)</t>
  </si>
  <si>
    <t xml:space="preserve"> (פ/2546/25)</t>
  </si>
  <si>
    <t xml:space="preserve"> (פ/2545/25)</t>
  </si>
  <si>
    <t xml:space="preserve">הצעת חוק לתיקון דיני הרשויות המקומיות (ביטול סמכות שר הפנים לעניין חוקי עזר בדבר פתיחתם וסגירתם של עסקים בימי מנוחה), התשפ"ג-2023</t>
  </si>
  <si>
    <t xml:space="preserve"> (פ/2544/25)</t>
  </si>
  <si>
    <t xml:space="preserve">הצעת חוק חיזוק מעמד חברי המועצה מקרב סיעות האופוזיציה (תיקוני חקיקה), התשפ"ג-2023</t>
  </si>
  <si>
    <t xml:space="preserve"> (פ/2543/25)</t>
  </si>
  <si>
    <t xml:space="preserve"> (פ/2542/25)</t>
  </si>
  <si>
    <t xml:space="preserve"> (פ/2541/25)</t>
  </si>
  <si>
    <t xml:space="preserve">הצעת חוק שירותי הדת היהודיים (תיקון - משך כהונת רב עיר), התשפ"ג-2023</t>
  </si>
  <si>
    <t xml:space="preserve"> (פ/2539/25)</t>
  </si>
  <si>
    <t xml:space="preserve">הצעת חוק הביטוח הלאומי (תיקון - השוואת קצבת נכות לשכר המינימום), התשפ"ג-2023</t>
  </si>
  <si>
    <t xml:space="preserve"> (פ/2538/25)</t>
  </si>
  <si>
    <t xml:space="preserve"> (פ/2537/25)</t>
  </si>
  <si>
    <t xml:space="preserve">הצעת חוק הביטוח הלאומי (תיקון - חיסכון מוקדם לגיל פרישה), התשפ"ג-2023</t>
  </si>
  <si>
    <t xml:space="preserve"> (פ/2536/25)</t>
  </si>
  <si>
    <t xml:space="preserve">הצעת חוק המתווכים במקרקעין (תיקון - הגבלת דמי תיווך), התשפ"ג-2023</t>
  </si>
  <si>
    <t xml:space="preserve"> (פ/2535/25)</t>
  </si>
  <si>
    <t xml:space="preserve">הצעת חוק המקרקעין (תיקון - קביעת מנגנון נוסף לתשלומי ועד), התשפ"ג-2023</t>
  </si>
  <si>
    <t xml:space="preserve"> (פ/2534/25)</t>
  </si>
  <si>
    <t xml:space="preserve">הצעת חוק שכר מינימום (תיקון - העלאת שכר המינימום), התשפ"ג-2023</t>
  </si>
  <si>
    <t xml:space="preserve"> (פ/2533/25)</t>
  </si>
  <si>
    <t xml:space="preserve">הצעת חוק הקמת יישוב עירוני חדש, התשפ"ג-2023</t>
  </si>
  <si>
    <t xml:space="preserve"> (פ/2532/25)</t>
  </si>
  <si>
    <t xml:space="preserve">הצעת חוק שוויון זכויות לאנשים עם מוגבלות (תיקון - נגישות להורה ולתלמיד במוסד חינוך), התשפ"ג-2023</t>
  </si>
  <si>
    <t xml:space="preserve"> (פ/2531/25)</t>
  </si>
  <si>
    <t xml:space="preserve">הצעת חוק העסקת עובדים על ידי קבלני כוח אדם (תיקון - מגבלות ברישוי קבלני כוח אדם), התשפ"ג-2023</t>
  </si>
  <si>
    <t xml:space="preserve"> (פ/2530/25)</t>
  </si>
  <si>
    <t xml:space="preserve"> (פ/2529/25)</t>
  </si>
  <si>
    <t xml:space="preserve"> (פ/2528/25)</t>
  </si>
  <si>
    <t xml:space="preserve"> (פ/2527/25)</t>
  </si>
  <si>
    <t xml:space="preserve">הצעת חוק חזקת הסכמה לתרומת אברים (תיקוני חקיקה), התשפ"ג-2023</t>
  </si>
  <si>
    <t xml:space="preserve"> (פ/2526/25)</t>
  </si>
  <si>
    <t xml:space="preserve">הצעת חוק טיפול בחולי נפש (תיקון - החלת הוראות על בגיר שסובל מאנורקסיה נרבוזה), התשפ"ג-2023</t>
  </si>
  <si>
    <t xml:space="preserve"> (פ/2525/25)</t>
  </si>
  <si>
    <t xml:space="preserve"> (פ/2524/25)</t>
  </si>
  <si>
    <t xml:space="preserve">הצעת חוק יישום תוכנית ההתנתקות (תיקון - ביטול סעיפי הפינוי ושינוי שם החוק), התשפ"ג-2023</t>
  </si>
  <si>
    <t xml:space="preserve"> (פ/2523/25)</t>
  </si>
  <si>
    <t xml:space="preserve">הצעת חוק להרחבת הזכאות לדמי מחלה בהיעדרות בשל מחלת בני משפחה (תיקוני חקיקה), התשפ"ג-2023</t>
  </si>
  <si>
    <t xml:space="preserve"> (פ/2522/25)</t>
  </si>
  <si>
    <t xml:space="preserve">הצעת חוק הפקדות וזכויות סוציאליות לעצמאים (תיקוני חקיקה), התשפ"ג-2023</t>
  </si>
  <si>
    <t xml:space="preserve"> (פ/2521/25)</t>
  </si>
  <si>
    <t xml:space="preserve"> (פ/2520/25)</t>
  </si>
  <si>
    <t xml:space="preserve"> (פ/2518/25)</t>
  </si>
  <si>
    <t xml:space="preserve">הצעת חוק זכויות נפגעי עבירה (תיקון - זכויות בהליך בפני שופט מגשר), התשפ"ג-2023</t>
  </si>
  <si>
    <t xml:space="preserve"> (פ/2516/25)</t>
  </si>
  <si>
    <t xml:space="preserve">הצעת חוק בתי קברות צבאיים (תיקון - קבורה לסוהרים בבתי קברות צבאיים), התשפ"ג-2023</t>
  </si>
  <si>
    <t xml:space="preserve"> (פ/2515/25)</t>
  </si>
  <si>
    <t xml:space="preserve"> (פ/2514/25)</t>
  </si>
  <si>
    <t xml:space="preserve">הצעת חוק לקביעת מעמדם של בני זוג שבאו בהסכם הזוגיות, התשפ"ג-2023</t>
  </si>
  <si>
    <t xml:space="preserve"> (פ/2513/25)</t>
  </si>
  <si>
    <t xml:space="preserve">הצעת חוק הביטוח הלאומי (תיקון - תשלום תוספת לגמלת אזרח ותיק לנכה שהכנסתו נמוכה משכר המינימום), התשפ"ג-2023 </t>
  </si>
  <si>
    <t xml:space="preserve"> (פ/2512/25)</t>
  </si>
  <si>
    <t xml:space="preserve">הצעת חוק הביטוח הלאומי (תיקון - דמי ביטוח מופחתים למעסיק קולט עלייה), התשפ"ג-2023</t>
  </si>
  <si>
    <t xml:space="preserve"> (פ/2511/25)</t>
  </si>
  <si>
    <t xml:space="preserve">הצעת חוק עבודת נשים (תיקון - הגנה לעובדת העוברת טיפולי פוריות), התשפ"ג-2023</t>
  </si>
  <si>
    <t xml:space="preserve"> (פ/2510/25)</t>
  </si>
  <si>
    <t xml:space="preserve"> (פ/2509/25)</t>
  </si>
  <si>
    <t xml:space="preserve"> (פ/2507/25)</t>
  </si>
  <si>
    <t xml:space="preserve">הצעת חוק התחרות הכלכלית (תיקון - איסור פגיעה ביבוא מקביל או ביבוא אישי) (הוראת שעה), התשפ"ג-2023</t>
  </si>
  <si>
    <t xml:space="preserve"> (פ/2506/25)</t>
  </si>
  <si>
    <t xml:space="preserve">הצעת חוק לתיקון פקודת העיריות (חלוקת הכנסות ממתחם הגורם למפגעים סביבתיים בין רשויות מקומיות), התשפ"ג-2023 </t>
  </si>
  <si>
    <t xml:space="preserve"> (פ/2505/25)</t>
  </si>
  <si>
    <t xml:space="preserve">הצעת חוק תוכנית למניעת אלימות מינית וקידום מיניות בריאה, התשפ"ג-2023</t>
  </si>
  <si>
    <t xml:space="preserve"> (פ/2504/25)</t>
  </si>
  <si>
    <t xml:space="preserve"> (פ/2503/25)</t>
  </si>
  <si>
    <t xml:space="preserve">הצעת חוק סדר הדין הפלילי (סמכויות אכיפה - חיפוש בגוף ונטילת אמצעי זיהוי) (תיקון - בדיקה לגילוי נגיף HIV), התשפ"ג-2023</t>
  </si>
  <si>
    <t xml:space="preserve"> (פ/2502/25)</t>
  </si>
  <si>
    <t xml:space="preserve">הצעת חוק צער בעלי חיים (הגנה על בעלי חיים) (תיקון - איסור ניצול בעלי חיים למטרות הימורים), התשפ"ג-2023</t>
  </si>
  <si>
    <t xml:space="preserve"> (פ/2501/25)</t>
  </si>
  <si>
    <t xml:space="preserve">הצעת חוק הפיקוח על מעונות יום לפעוטות (תיקון - הרחבת הפיקוח על מעונות יום), התשפ"ג-2023</t>
  </si>
  <si>
    <t xml:space="preserve"> (פ/2500/25)</t>
  </si>
  <si>
    <t xml:space="preserve">הצעת חוק לתיקון פקודת מס הכנסה (הפחתת מס רווחי הון), התשפ"ג-2023</t>
  </si>
  <si>
    <t xml:space="preserve"> (פ/2499/25)</t>
  </si>
  <si>
    <t xml:space="preserve">הצעת חוק שיפוט בתי דין רבניים (נישואין וגירושין) (תיקון - איסור ביטול גיור), התשפ"ג-2023</t>
  </si>
  <si>
    <t xml:space="preserve"> (פ/2498/25)</t>
  </si>
  <si>
    <t xml:space="preserve">הצעת חוק חינוך ממלכתי (תיקון - איסור נשיאת דברים במוסד חינוך למורשע בעבירות טרור ובבגידה), התשפ"ג-2023</t>
  </si>
  <si>
    <t xml:space="preserve"> (פ/2497/25)</t>
  </si>
  <si>
    <t xml:space="preserve">הצעת חוק העונשין (תיקון - עבירות מין בנסיבות של יחסי מטופלת ורופא נשים), התשפ"ג-2023</t>
  </si>
  <si>
    <t xml:space="preserve"> (פ/2496/25)</t>
  </si>
  <si>
    <t xml:space="preserve">הצעת חוק ניירות ערך (תיקון - בורסה ייעודית), התשפ"ג-2023</t>
  </si>
  <si>
    <t xml:space="preserve"> (פ/2495/25)</t>
  </si>
  <si>
    <t xml:space="preserve">הצעת חוק להסדרת מינויים בשירות החוץ, התשפ"ג-2023</t>
  </si>
  <si>
    <t xml:space="preserve"> (פ/2494/25)</t>
  </si>
  <si>
    <t xml:space="preserve">הצעת חוק הסדרת שוק הכשרות בישראל, התשפ"ג-2023</t>
  </si>
  <si>
    <t xml:space="preserve"> (פ/2493/25)</t>
  </si>
  <si>
    <t xml:space="preserve">הצעת חוק זכויות הדייר בדיור הציבורי (תיקון - זכאות לאימהות יחידניות המקבלות מזונות ילדים), התשפ"ג-2023</t>
  </si>
  <si>
    <t xml:space="preserve"> (פ/2492/25)</t>
  </si>
  <si>
    <t xml:space="preserve">הצעת חוק למניעת השתלטות תושבי הרשות הפלסטינית על שטחי c, התשפ"ג-2023</t>
  </si>
  <si>
    <t xml:space="preserve"> (פ/2491/25)</t>
  </si>
  <si>
    <t xml:space="preserve"> (פ/2490/25)</t>
  </si>
  <si>
    <t xml:space="preserve">הצעת חוק רכזי ביטחון שוטף צבאיים, התשפ"ג-2023</t>
  </si>
  <si>
    <t xml:space="preserve"> (פ/2489/25)</t>
  </si>
  <si>
    <t xml:space="preserve"> (פ/2488/25)</t>
  </si>
  <si>
    <t xml:space="preserve"> (פ/2487/25)</t>
  </si>
  <si>
    <t xml:space="preserve">הצעת חוק שיפוט בתי דין רבניים (נישואין וגירושין) (תיקון - ביטול כריכה), התשפ"ג-2023</t>
  </si>
  <si>
    <t xml:space="preserve"> (פ/2486/25)</t>
  </si>
  <si>
    <t xml:space="preserve"> (פ/2485/25)</t>
  </si>
  <si>
    <t xml:space="preserve"> (פ/2484/25)</t>
  </si>
  <si>
    <t xml:space="preserve">הצעת חוק-יסוד: אוצרות הטבע ומשאבי סביבה</t>
  </si>
  <si>
    <t xml:space="preserve"> (פ/2483/25)</t>
  </si>
  <si>
    <t xml:space="preserve">הצעת חוק חיבור בתים בהתיישבות הצעירה לחשמל, התשפ"ג-2023</t>
  </si>
  <si>
    <t xml:space="preserve"> (פ/2482/25)</t>
  </si>
  <si>
    <t xml:space="preserve">הצעת חוק העונשין (תיקון - עבירות מין על ידי בן משפחה פונקציונאלי), התשפ"ג-2023</t>
  </si>
  <si>
    <t xml:space="preserve"> (פ/2479/25)</t>
  </si>
  <si>
    <t xml:space="preserve">הצעת חוק לעידוד מחקר, פיתוח וחדשנות טכנולוגית בתעשייה (תיקון - תקציב הרשות הלאומית לחדשנות טכנולוגית), התשפ"ג-2023</t>
  </si>
  <si>
    <t xml:space="preserve"> (פ/2478/25)</t>
  </si>
  <si>
    <t xml:space="preserve">הצעת חוק להגנה על האגן הצפוני של ים המלח, התשפ"ג-2023</t>
  </si>
  <si>
    <t xml:space="preserve"> (פ/2477/25)</t>
  </si>
  <si>
    <t xml:space="preserve">הצעת חוק חובת ניהול ופרסום פרוטוקול של ועדות מייעצות (תיקוני חקיקה), התשפ"ג-2023</t>
  </si>
  <si>
    <t xml:space="preserve"> (פ/2474/25)</t>
  </si>
  <si>
    <t xml:space="preserve"> (פ/2473/25)</t>
  </si>
  <si>
    <t xml:space="preserve">הצעת חוק זכויות, שירותים והתאמות בחינוך לילדים עם צרכים מיוחדים, התשפ"ג-2023</t>
  </si>
  <si>
    <t xml:space="preserve"> (פ/2471/25)</t>
  </si>
  <si>
    <t xml:space="preserve">הצעת חוק זכויות נפגעי עבירה (תיקון - הרחבת זכויות נפגעי עבירות מין למידע על הליכים משפטיים), התשפ"ג-2023</t>
  </si>
  <si>
    <t xml:space="preserve"> (פ/2470/25)</t>
  </si>
  <si>
    <t xml:space="preserve">הצעת חוק למניעת תשדירי פרסומת פוגעניים (תיקוני חקיקה), התשפ"ג-2023</t>
  </si>
  <si>
    <t xml:space="preserve"> (פ/2469/25)</t>
  </si>
  <si>
    <t xml:space="preserve"> (פ/2467/25)</t>
  </si>
  <si>
    <t xml:space="preserve"> (פ/2466/25)</t>
  </si>
  <si>
    <t xml:space="preserve">הצעת חוק הגנת הצרכן (תיקון - פריסת תשלומים בעסקה מתמשכת), התשפ"ג-2023</t>
  </si>
  <si>
    <t xml:space="preserve"> (פ/2465/25)</t>
  </si>
  <si>
    <t xml:space="preserve">הצעת חוק שיווי זכויות האישה (תיקון - ייצוג הולם לנשים בוועדות ציבוריות ברשויות המקומיות), התשפ"ג-2023</t>
  </si>
  <si>
    <t xml:space="preserve"> (פ/2464/25)</t>
  </si>
  <si>
    <t xml:space="preserve">הצעת חוק המועצה להשכלה גבוהה (תיקון - ביטול דרישת מבחני כניסה וציון פסיכומטרי), התשפ"ג-2023</t>
  </si>
  <si>
    <t xml:space="preserve"> (פ/2463/25)</t>
  </si>
  <si>
    <t xml:space="preserve">הצעת חוק להסדרת ההימורים החוקיים בישראל, התשפ"ג-2023</t>
  </si>
  <si>
    <t xml:space="preserve"> (פ/2462/25)</t>
  </si>
  <si>
    <t xml:space="preserve">הצעת חוק התאמת טפסים ציבוריים (פרטי הורים), התשפ"ג-2023</t>
  </si>
  <si>
    <t xml:space="preserve"> (פ/2461/25)</t>
  </si>
  <si>
    <t xml:space="preserve">הצעת חוק משפחות חיילים שנספו במערכה (תגמולים ושיקום) (תיקון - הגדרת אלמן ושכול), התשפ"ג-2023</t>
  </si>
  <si>
    <t xml:space="preserve"> (פ/2460/25)</t>
  </si>
  <si>
    <t xml:space="preserve">הצעת חוק סדר הדין הפלילי (תיקון - התיישנות בעבירות מין שנעשו במסגרת יחסי תלות או מרות), התשפ"ג-2023</t>
  </si>
  <si>
    <t xml:space="preserve"> (פ/2459/25)</t>
  </si>
  <si>
    <t xml:space="preserve">הצעת חוק בתי המשפט (תיקון - תובענת תושב אזור עימות), התשפ"ג-2023</t>
  </si>
  <si>
    <t xml:space="preserve"> (פ/2458/25)</t>
  </si>
  <si>
    <t xml:space="preserve"> (פ/2457/25)</t>
  </si>
  <si>
    <t xml:space="preserve"> (פ/2454/25)</t>
  </si>
  <si>
    <t xml:space="preserve">הצעת חוק יום חינוך ארוך ולימודי העשרה (תיקון - תחולת החוק), התשפ"ג-2023</t>
  </si>
  <si>
    <t xml:space="preserve"> (פ/2452/25)</t>
  </si>
  <si>
    <t xml:space="preserve">הצעת חוק חינוך ממלכתי (תיקון - איסור פעילות שיש בה שנאה בשל נטייה מינית, גזענות והדרת נשים במוסדות חינוך רשמיים), התשפ"ג-2023</t>
  </si>
  <si>
    <t xml:space="preserve"> (פ/2451/25)</t>
  </si>
  <si>
    <t xml:space="preserve">הצעת חוק להגנת חיית הבר (תיקון - איסור מכירת פרוות), התשפ"ג-2023</t>
  </si>
  <si>
    <t xml:space="preserve"> (פ/2448/25)</t>
  </si>
  <si>
    <t xml:space="preserve">הצעת חוק כביש אגרה (כביש ארצי לישראל) (תיקון - פטור מאגרה בשל האטה ממהירות הנסיעה המותרת), התשפ"ג-2023</t>
  </si>
  <si>
    <t xml:space="preserve"> (פ/2447/25)</t>
  </si>
  <si>
    <t xml:space="preserve">הצעת חוק מעמדן של ההסתדרות הציונית העולמית ושל הסוכנות היהודית לארץ-ישראל (תיקון - ניהול והקצאת מקרקעין באזור יהודה והשומרון על ידי החטיבה להתיישבות), התשפ"ג-2023</t>
  </si>
  <si>
    <t xml:space="preserve"> (פ/2446/25)</t>
  </si>
  <si>
    <t xml:space="preserve"> (פ/2445/25)</t>
  </si>
  <si>
    <t xml:space="preserve">הצעת חוק לימודי יסוד במערכת החינוך, התשפ"ג-2023</t>
  </si>
  <si>
    <t xml:space="preserve"> (פ/2444/25)</t>
  </si>
  <si>
    <t xml:space="preserve"> (פ/2443/25)</t>
  </si>
  <si>
    <t xml:space="preserve">הצעת חוק המועצה להשכלה גבוהה (תיקון - איסור פעילות פוגענית), התשפ"ג-2023</t>
  </si>
  <si>
    <t xml:space="preserve"> (פ/2442/25)</t>
  </si>
  <si>
    <t xml:space="preserve"> (פ/2440/25)</t>
  </si>
  <si>
    <t xml:space="preserve">הצעת חוק לתיקון פקודת העיריות (הסדרת מבנים לתנועות נוער), התשפ"ג-2023</t>
  </si>
  <si>
    <t xml:space="preserve"> (פ/2439/25)</t>
  </si>
  <si>
    <t xml:space="preserve">הצעת חוק חוזה הביטוח (תיקון - הארכת תקופת ההתיישנות לביטוח חיים), התשפ"ג-2023</t>
  </si>
  <si>
    <t xml:space="preserve"> (פ/2438/25)</t>
  </si>
  <si>
    <t xml:space="preserve">הצעת חוק למניעת הטרדה מינית (תיקון - דין התפטרות עקב הטרדה מינית או התנכלות כפיטורין), התשפ"ג-2023</t>
  </si>
  <si>
    <t xml:space="preserve"> (פ/2436/25)</t>
  </si>
  <si>
    <t xml:space="preserve"> (פ/2435/25)</t>
  </si>
  <si>
    <t xml:space="preserve">הצעת חוק המכינות הקדם-צבאיות (תיקון - שלילת הכרה ממכינות המעודדות סירוב פקודה והסתה), התשפ"ג-2023</t>
  </si>
  <si>
    <t xml:space="preserve"> (פ/2434/25)</t>
  </si>
  <si>
    <t xml:space="preserve"> (פ/2433/25)</t>
  </si>
  <si>
    <t xml:space="preserve">הצעת חוק קליטת חיילים משוחררים (תיקון - הטבות לחיילים בודדים), התשפ"ג-2023</t>
  </si>
  <si>
    <t xml:space="preserve"> (פ/2432/25)</t>
  </si>
  <si>
    <t xml:space="preserve">הצעת חוק הסיוע המשפטי (תיקון - סיוע משפטי לנפגעי אלימות במשפחה), התשפ"ג-2023</t>
  </si>
  <si>
    <t xml:space="preserve"> (פ/2431/25)</t>
  </si>
  <si>
    <t xml:space="preserve">הצעת חוק הדיור הציבורי (פתרונות דיור עבור ממתינים לדיור ציבורי), התשפ"ג-2023</t>
  </si>
  <si>
    <t xml:space="preserve"> (פ/2430/25)</t>
  </si>
  <si>
    <t xml:space="preserve">הצעת חוק למניעת הטרדה מינית (תיקון - הטלת חובות לשם מניעת הטרדה מינית במוסד חינוך), התשפ"ג-2023</t>
  </si>
  <si>
    <t xml:space="preserve"> (פ/2429/25)</t>
  </si>
  <si>
    <t xml:space="preserve"> (פ/2427/25)</t>
  </si>
  <si>
    <t xml:space="preserve">הצעת חוק הגנת הצרכן (תיקון - הגבלת גביית עמלה בעסקת מכר מרחוק שעניינה רכישת כרטיס למופע), התשפ"ג-2023</t>
  </si>
  <si>
    <t xml:space="preserve"> (פ/2426/25)</t>
  </si>
  <si>
    <t xml:space="preserve">הצעת חוק הגנת הצרכן (תיקון - מענה אנושי חינם ללקוחות חברות התעופה), התשפ"ג-2023</t>
  </si>
  <si>
    <t xml:space="preserve"> (פ/2425/25)</t>
  </si>
  <si>
    <t xml:space="preserve"> (פ/2424/25)</t>
  </si>
  <si>
    <t xml:space="preserve">הצעת חוק הביטוח הלאומי (תיקון - אבטחה במוסד רפואי כעבודה מועדפת), התשפ"ג-2023</t>
  </si>
  <si>
    <t xml:space="preserve"> (פ/2423/25)</t>
  </si>
  <si>
    <t xml:space="preserve">הצעת חוק איסור הונאה בכשרות (תיקון - פיקוח על מחירי תעודת הכשר), התשפ"ג-2023</t>
  </si>
  <si>
    <t xml:space="preserve"> (פ/2422/25)</t>
  </si>
  <si>
    <t xml:space="preserve"> (פ/2420/25)</t>
  </si>
  <si>
    <t xml:space="preserve">הצעת חוק הגנת הצרכן (תיקון - החלת חובת הודעה על סיום עסקה מתמשכת על תאגידים בנקאיים ופיננסיים), התשפ"ג-2023</t>
  </si>
  <si>
    <t xml:space="preserve"> (פ/2419/25)</t>
  </si>
  <si>
    <t xml:space="preserve">הצעת חוק ההוצאה לפועל (תיקון - ריבית ודמי פיגורים), התשפ"ג-2023</t>
  </si>
  <si>
    <t xml:space="preserve"> (פ/2418/25)</t>
  </si>
  <si>
    <t xml:space="preserve">הצעת חוק העונשין (תיקון - קביעת עונש מינימום לעבירות יידוי אבנים), התשפ"ג-2022</t>
  </si>
  <si>
    <t xml:space="preserve"> (פ/51/25)</t>
  </si>
  <si>
    <t xml:space="preserve">15.02.2023</t>
  </si>
  <si>
    <t xml:space="preserve">חוק שירות ביטחון (תיקון מס' 7 והוראת שעה) (שירות במשטרה ושירות מוכר) (תיקון מס' 18), התשפ"ג–2023</t>
  </si>
  <si>
    <t xml:space="preserve">14.02.2023</t>
  </si>
  <si>
    <t xml:space="preserve">חוק שירות ביטחון (תיקון מס' 7 והוראת שעה) (שירות במשטרה ושירות מוכר) (תיקון מס' 18), התשפ"ג-2023 אושר בקריאה השנייה והשלישית ביום כ"ג בשבט התשפ"ג (14 בפברואר 2023). החוק האריך בשלוש שנים את הוראת השעה המאפשרת להציב חיילים במשטרת ישראל עד ליום י"א בטבת התשפ"ו (31 בדצמבר 2025). </t>
  </si>
  <si>
    <t xml:space="preserve">חוק סמכויות מיוחדות להתמודדות עם נגיף הקורונה החדש (הוראת שעה) (תיקון מס' 12), התשפ"ג-2023</t>
  </si>
  <si>
    <t xml:space="preserve"> (מ/1593)</t>
  </si>
  <si>
    <t xml:space="preserve">13.02.2023</t>
  </si>
  <si>
    <t xml:space="preserve">נקבע כי תקופת תוקפו של חוק סמכויות מיוחדות להתמודדות עם נגיף הקורונה תוארך עד ליום 15 בפברואר 2024, כדי להבטיח קיומה של תשתית חוקית, במקרה שיתממש חשש מהתפרצות של תת זן חדש וכדי להגן מפני כניסתו של תת זן כאמור, ואולם בוטלו חלקים נרחבים בחוק שאינם נדרשים במצב הנוכחי והנראה לעין  כגון  הסמכויות לקבוע בתקנות הגבלות לעניין פעילות במרחב הפרטי והציבורי, פתיחת עסקים, אירועים, מוסדות רווחה וחינוך, דרישה ל"תו ירוק" והסמכויות להכריז על  אזור מוגבל או אזור תיירות מיוחד. כמו בוטלה סמכות הממשלה להכריז על מצב חירום. נותרה בחוק סמכות לממשלה להכריז על מצב בריאותי מיוחד שבו תהיה מוסמכת להכריז על הפעלת פיקוח טכנולוגי לגבי כל מי שחייב בבידוד או  להתקין, באישור פרלמנטרי שיינתן מראש למעט במקרי דחיפות, תקנות בעניינים מצומצמים הממוקדים בשערי הכניסה לישראל ובהם לקבוע הגבלות אלה בלבד: 1. חובת בדיקות לנכנסים לישראל ומניעת כניסה ממי שנמצא חיובי לנגיף; 2. חובת מפעיל כלי טיס או כלי שיט הנושאים נוסעים לישראל או ממנה לדרוש הצגת תוצאה שלילית בבדיקה כתנאי לעלייתם לכלי התחבורה, וחובת הנוסעים להציגה; 3. חובת נוסע למסור מידע שיאפשר יצירת קשר עמו אם התעורר חשש להדבקה בנגיף או למטרת חקירה אפידמיולוגית וחובת מפעיל של כלי תחבורה שהנסיעה בו נעשית בתיאום או בהזמנה מראש, לשמור פרטים אלה ולמוסרם לשם עריכת חקירה אפידמיולוגית.  ההוראות בעניין הפיקוח, האכיפה והדיווח שבחוק הותאמו להגבלות המצומצמות שניתן יהיה להטיל לפיו. </t>
  </si>
  <si>
    <t xml:space="preserve">חוק לפינוי שדות מוקשים ושטחי נפלים (תיקון מס' 2), התשפ"ג-2023</t>
  </si>
  <si>
    <t xml:space="preserve"> (מ/1590)</t>
  </si>
  <si>
    <t xml:space="preserve">חוק לפינוי שדות מוקשים ושטחי נפלים (תיקון מס' 2), התשפ"ג-2023 אושר בקריאה השנייה והשלישית ביום כ"ג בשבט התשפ"ג (14 בפברואר 2023). החוק כלל שורה של תיקונים בחוק לפינוי שדות מוקשים ושטחי נפלים. בין היתר: * הוראת השעה המסמיכה את הרשות לפינוי מוקשים לפנות שטחי נפלים לבקשת יזם על חשבונו הפכה להוראת קבע. בנוסף, הפכו להוראות קבע ההוראות המסמיכות אותה לפנות מוקשים נגד טנקים, לפנות שדה מוקשים על בסיס סקר ולפנות שטחי נפלים באופן זמני. * לצד ההסדר הכללי המסדיר פינוי מוקשים על חשבון המדינה, נוספה אפשרות לפנות שדות מוקשים לבקשת יזם ועל חשבונו. * בוטל הצורך באישור המפקד הצבאי (הרמטכ"ל או אלוף הפיקוד הרלוונטי) לפתיחתו של שדה מוקשים או שטח נפלים שפונה ובצד זאת בוטלה החובה שהוטלה על צה"ל להסיר את הגדרות שהקיפו אותו, ופעולה זו תבוצע כחלק מהליך הפינוי. * בוטל הצורך בהוצאת צו סגירה של הרמטכ"ל לשטח נפלים בטרם ניתן יהיה להתחיל בפינויו. * בוטל הפטור שניתן לעובדי הרשות לפינוי מוקשים ולצה"ל מאחריות פלילית במקרה של פגיעה ממוקש או מנפל לאחר שחרור השטח. * נוספה הבהרה בדבר אחריות המדינה לנזקים שייגרמו לאדם שייפגע ממוקש או מנפל בשטח שפונה. * הורחבה הסמכות לפנות מוקשים ונפלים בים ללא מגבלת עומק. * נוספו נציגים של משרדי האוצר והאנרגיה לוועדה המייעצת הפועלת ליד הרשות. * הוטלה על שר הביטחון חובה לצרף את חוות הדעת של הוועדה המייעצת לדיווח שלו לממשלה על התוכנית הלאומית לפינוי מוקשים שאישר.</t>
  </si>
  <si>
    <t xml:space="preserve">חוק לייעול האכיפה והפיקוח העירוניים ברשויות המקומיות (הוראת שעה) (תיקון מס' 9), התשפ"ג-2023 </t>
  </si>
  <si>
    <t xml:space="preserve">חוק לייעול האכיפה והפיקוח העירוניים ברשויות המקומיות (הוראת שעה) (תיקון מס' 9) אושר בקריאה השנייה והשלישית ביום כ"ג בשבט התשפ"ג (14 בפברואר 2023). החוק מאריך את הוראת השעה המסדירה את מערך השיטור העירוני ברשויות המקומיות עד ליום י"א בתמוז התשפ"ג (30 ביוני 2023).</t>
  </si>
  <si>
    <t xml:space="preserve"> (פ/2416/25)</t>
  </si>
  <si>
    <t xml:space="preserve"> (פ/2414/25)</t>
  </si>
  <si>
    <t xml:space="preserve"> (פ/2413/25)</t>
  </si>
  <si>
    <t xml:space="preserve">הצעת חוק הבטחת הכנסה (תיקון - גמלה להורה עצמאי), התשפ"ג-2023</t>
  </si>
  <si>
    <t xml:space="preserve"> (פ/2411/25)</t>
  </si>
  <si>
    <t xml:space="preserve">הצעת חוק הביטוח הלאומי (תיקון - קצבת נכות לעולים), התשפ"ג-2023</t>
  </si>
  <si>
    <t xml:space="preserve"> (פ/2410/25)</t>
  </si>
  <si>
    <t xml:space="preserve"> (פ/2409/25)</t>
  </si>
  <si>
    <t xml:space="preserve">הצעת חוק הסדרי עבודה גמישים, התשפ"ג-2023</t>
  </si>
  <si>
    <t xml:space="preserve"> (פ/2408/25)</t>
  </si>
  <si>
    <t xml:space="preserve"> (פ/2407/25)</t>
  </si>
  <si>
    <t xml:space="preserve"> (פ/2406/25)</t>
  </si>
  <si>
    <t xml:space="preserve"> (פ/2404/25)</t>
  </si>
  <si>
    <t xml:space="preserve"> (פ/2403/25)</t>
  </si>
  <si>
    <t xml:space="preserve">הצעת חוק לתיקון פקודת סדר הדין הפלילי (מעצר וחיפוש) (סמכות חיפוש בלא צו) (הוראת שעה), התשפ"ג-2023</t>
  </si>
  <si>
    <t xml:space="preserve"> (פ/2402/25)</t>
  </si>
  <si>
    <t xml:space="preserve">הצעת חוק למניעת הטרדה מינית (תיקון - פגיעה בפרטיות בעלת אופי מיני), התשפ"ג-2023</t>
  </si>
  <si>
    <t xml:space="preserve"> (פ/2401/25)</t>
  </si>
  <si>
    <t xml:space="preserve">הצעת חוק העונשין (תיקון - איסור תיעוד של חיילי צה"ל), התשפ"ג-2023</t>
  </si>
  <si>
    <t xml:space="preserve"> (פ/2400/25)</t>
  </si>
  <si>
    <t xml:space="preserve">הצעת חוק שירות המדינה (מינויים) (תיקון - מינוי סגני מנהלים כלליים), התשפ"ג-2023</t>
  </si>
  <si>
    <t xml:space="preserve"> (פ/2399/25)</t>
  </si>
  <si>
    <t xml:space="preserve"> (פ/2398/25)</t>
  </si>
  <si>
    <t xml:space="preserve"> (פ/2397/25)</t>
  </si>
  <si>
    <t xml:space="preserve">הצעת חוק הלוואות לדיור (תיקון - מענק מיוחד לרכישת דירת מגורים מזכה באזור עדיפות לאומית), התשפ"ג-2023</t>
  </si>
  <si>
    <t xml:space="preserve"> (פ/2395/25)</t>
  </si>
  <si>
    <t xml:space="preserve"> (פ/2393/25)</t>
  </si>
  <si>
    <t xml:space="preserve">הצעת חוק השמירה על המקומות הקדושים (תיקון - הבטחת פלורליזם דתי), התשפ"ג-2023</t>
  </si>
  <si>
    <t xml:space="preserve"> (פ/2391/25)</t>
  </si>
  <si>
    <t xml:space="preserve">הצעת חוק שיקום שכונות דרום תל אביב (תמריצים לפיזור גיאוגרפי של מסתננים) (הוראת שעה), התשפ"ג-2023</t>
  </si>
  <si>
    <t xml:space="preserve"> (פ/2390/25)</t>
  </si>
  <si>
    <t xml:space="preserve"> (פ/2388/25)</t>
  </si>
  <si>
    <t xml:space="preserve"> (פ/2387/25)</t>
  </si>
  <si>
    <t xml:space="preserve">הצעת חוק הנחות בתעריפי מים וחשמל לבתי תפילה (תיקוני חקיקה) (הוראת שעה), התשפ"ג-2023</t>
  </si>
  <si>
    <t xml:space="preserve"> (פ/2386/25)</t>
  </si>
  <si>
    <t xml:space="preserve">הצעת חוק התכנון והבנייה (תיקון מס' 117 - הוראת שעה) (תיקון - הארכת הוראת השעה), התשפ"ג-2023</t>
  </si>
  <si>
    <t xml:space="preserve"> (פ/2385/25)</t>
  </si>
  <si>
    <t xml:space="preserve">הצעת חוק התכנון והבנייה (תיקון - חובת שידור והקלטת ישיבות, ניהול פרוטוקול ופרסומו), התשפ"ג-2023</t>
  </si>
  <si>
    <t xml:space="preserve"> (פ/2384/25)</t>
  </si>
  <si>
    <t xml:space="preserve"> (פ/2383/25)</t>
  </si>
  <si>
    <t xml:space="preserve">הצעת חוק איסור לשון הרע (תיקון - השתייכות חברתית), התשפ"ג-2023</t>
  </si>
  <si>
    <t xml:space="preserve"> (פ/2382/25)</t>
  </si>
  <si>
    <t xml:space="preserve"> (פ/2381/25)</t>
  </si>
  <si>
    <t xml:space="preserve"> (פ/2380/25)</t>
  </si>
  <si>
    <t xml:space="preserve">הצעת חוק הערבות (תיקון - ביטול החוק), התשפ"ג-2023</t>
  </si>
  <si>
    <t xml:space="preserve"> (פ/2379/25)</t>
  </si>
  <si>
    <t xml:space="preserve">הצעת חוק סל הקליטה (תיקון - עדכון סל הקליטה), התשפ"ג-2023</t>
  </si>
  <si>
    <t xml:space="preserve"> (פ/2378/25)</t>
  </si>
  <si>
    <t xml:space="preserve">הצעת חוק העונשין (תיקון - עבירות מין במשפחה), התשפ"ג-2023</t>
  </si>
  <si>
    <t xml:space="preserve"> (פ/2377/25)</t>
  </si>
  <si>
    <t xml:space="preserve">הצעת חוק לתיקון פקודת מס הכנסה (שינוי מדרגות המס), התשפ"ג-2023</t>
  </si>
  <si>
    <t xml:space="preserve"> (פ/2372/25)</t>
  </si>
  <si>
    <t xml:space="preserve">הצעת חוק יסודות התקציב (תיקון - אישור הוועדה המשותפת לתקציב הביטחון להחלטות הממשלה להצטיידות או התעצמות), התשפ"ג-2023</t>
  </si>
  <si>
    <t xml:space="preserve"> (פ/2371/25)</t>
  </si>
  <si>
    <t xml:space="preserve"> (פ/2370/25)</t>
  </si>
  <si>
    <t xml:space="preserve"> (פ/2369/25)</t>
  </si>
  <si>
    <t xml:space="preserve">הצעת חוק הסדרים במשק המדינה (תיקוני חקיקה להשגת יעדי התקציב) (תיקון - זכאות להנחה בארנונה בגין ילד נכה נוסף), התשפ"ג-2023</t>
  </si>
  <si>
    <t xml:space="preserve"> (פ/2367/25)</t>
  </si>
  <si>
    <t xml:space="preserve">הצעת חוק הספורט (תיקון - צירוף נציג אוהדים להנהלת קבוצת כדורגל), התשפ"ג-2023</t>
  </si>
  <si>
    <t xml:space="preserve"> (פ/2366/25)</t>
  </si>
  <si>
    <t xml:space="preserve">הצעת חוק הרשויות המקומיות (יועצת לענייני מעמד האשה) (תיקון - תקציב ייעודי וייחוד הכהונה), התשפ"ג-2023</t>
  </si>
  <si>
    <t xml:space="preserve"> (פ/2365/25)</t>
  </si>
  <si>
    <t xml:space="preserve"> (פ/2364/25)</t>
  </si>
  <si>
    <t xml:space="preserve"> (פ/2363/25)</t>
  </si>
  <si>
    <t xml:space="preserve">הצעת חוק הסדרת מעמדם של פליטים ומבקשי מקלט, התשפ"ג-2023</t>
  </si>
  <si>
    <t xml:space="preserve"> (פ/2362/25)</t>
  </si>
  <si>
    <t xml:space="preserve">הצעת חוק-יסוד: הכנסת (תיקון - הגבלה על התפזרות הכנסת)</t>
  </si>
  <si>
    <t xml:space="preserve"> (פ/2360/25)</t>
  </si>
  <si>
    <t xml:space="preserve">הצעת חוק איות שמות רחובות, דרכים ומקומות ציבוריים (תיקוני חקיקה), התשפ"ג-2023</t>
  </si>
  <si>
    <t xml:space="preserve"> (פ/2358/25)</t>
  </si>
  <si>
    <t xml:space="preserve"> (פ/2357/25)</t>
  </si>
  <si>
    <t xml:space="preserve"> (פ/2356/25)</t>
  </si>
  <si>
    <t xml:space="preserve">הצעת חוק התרבות והאומנות (תיקון - הקצאת תקציב שנתי לתרבות ולאומנות), התשפ"ג-2023</t>
  </si>
  <si>
    <t xml:space="preserve"> (פ/2355/25)</t>
  </si>
  <si>
    <t xml:space="preserve">הצעת חוק הרבנות הראשית לישראל (תיקון - ביטול החוק), התשפ"ג-2023</t>
  </si>
  <si>
    <t xml:space="preserve"> (פ/2354/25)</t>
  </si>
  <si>
    <t xml:space="preserve">הצעת חוק העסקת עובדי הוראה, התשפ"ג-2023</t>
  </si>
  <si>
    <t xml:space="preserve"> (פ/2353/25)</t>
  </si>
  <si>
    <t xml:space="preserve">הצעת חוק ברל כצנלסון (ציון זכרו ופועלו), התשפ"ג-2023</t>
  </si>
  <si>
    <t xml:space="preserve"> (פ/2352/25)</t>
  </si>
  <si>
    <t xml:space="preserve">הצעת חוק חסינות חיילי צה"ל בארועים מבצעיים, התשפ"ג-2023</t>
  </si>
  <si>
    <t xml:space="preserve"> (פ/2351/25)</t>
  </si>
  <si>
    <t xml:space="preserve">הצעת חוק לתיקון פקודת התעבורה (מרכז שירות ארצי לעניין כרטיס רב-קו), התשפ"ג-2023</t>
  </si>
  <si>
    <t xml:space="preserve"> (פ/2350/25)</t>
  </si>
  <si>
    <t xml:space="preserve"> (פ/2349/25)</t>
  </si>
  <si>
    <t xml:space="preserve"> (פ/2348/25)</t>
  </si>
  <si>
    <t xml:space="preserve">הצעת חוק הביטוח הלאומי (תיקון - עקר בית), התשפ"ג-2023</t>
  </si>
  <si>
    <t xml:space="preserve"> (פ/2347/25)</t>
  </si>
  <si>
    <t xml:space="preserve">הצעת חוק לתיקון פקודת התעבורה (קביעת קנס בגין גביית יתר של שכר הסעה במונית), התשפ"ג-2023</t>
  </si>
  <si>
    <t xml:space="preserve"> (פ/2345/25)</t>
  </si>
  <si>
    <t xml:space="preserve"> (פ/2344/25)</t>
  </si>
  <si>
    <t xml:space="preserve"> (פ/2342/25)</t>
  </si>
  <si>
    <t xml:space="preserve"> (פ/2341/25)</t>
  </si>
  <si>
    <t xml:space="preserve"> (פ/2339/25)</t>
  </si>
  <si>
    <t xml:space="preserve">הצעת חוק הלוואה מותנית ללימוד נהיגה, התשפ"ג-2023</t>
  </si>
  <si>
    <t xml:space="preserve"> (פ/2338/25)</t>
  </si>
  <si>
    <t xml:space="preserve"> (פ/2337/25)</t>
  </si>
  <si>
    <t xml:space="preserve">הצעת חוק מס ערך מוסף (תיקון - עוסק פטור חדש), התשפ"ג-2023</t>
  </si>
  <si>
    <t xml:space="preserve"> (פ/2335/25)</t>
  </si>
  <si>
    <t xml:space="preserve">הצעת חוק לתיקון פקודת מס הכנסה (משיכה מקרן השתלמות לאחר לידה או אימוץ), התשפ"ג-2023</t>
  </si>
  <si>
    <t xml:space="preserve"> (פ/2334/25)</t>
  </si>
  <si>
    <t xml:space="preserve"> (פ/2332/25)</t>
  </si>
  <si>
    <t xml:space="preserve"> (פ/2331/25)</t>
  </si>
  <si>
    <t xml:space="preserve">הצעת חוק לאי-מתן הטבות מס למוסד המקיים הפליה (תיקוני חקיקה), התשפ"ג-2023</t>
  </si>
  <si>
    <t xml:space="preserve"> (פ/2330/25)</t>
  </si>
  <si>
    <t xml:space="preserve">הצעת חוק לתיקון פקודת מס הכנסה (מיסוי תרומה מישות מדינית זרה), התשפ"ג-2023</t>
  </si>
  <si>
    <t xml:space="preserve"> (פ/2329/25)</t>
  </si>
  <si>
    <t xml:space="preserve">הצעת חוק להגבלת העברת השליטה בתאגידים מרכזיים לגופים זרים, התשפ"ג-2023</t>
  </si>
  <si>
    <t xml:space="preserve"> (פ/2328/25)</t>
  </si>
  <si>
    <t xml:space="preserve"> (פ/2327/25)</t>
  </si>
  <si>
    <t xml:space="preserve">הצעת חוק העונשין (תיקון - חלופת מאסר לנשים הרות ואמהות), התשפ"ג-2023</t>
  </si>
  <si>
    <t xml:space="preserve"> (פ/2326/25)</t>
  </si>
  <si>
    <t xml:space="preserve"> (פ/2325/25)</t>
  </si>
  <si>
    <t xml:space="preserve">הצעת חוק העונשין (תיקון - הסתה לגזענות), התשפ"ג-2023</t>
  </si>
  <si>
    <t xml:space="preserve"> (פ/2324/25)</t>
  </si>
  <si>
    <t xml:space="preserve"> (פ/2323/25)</t>
  </si>
  <si>
    <t xml:space="preserve">הצעת חוק הכניסה לישראל (תיקון - הארכת רישיון לישיבת ביקור לעובד זר המועסק במתן טיפול סיעודי), התשפ"ג-2023</t>
  </si>
  <si>
    <t xml:space="preserve"> (פ/2322/25)</t>
  </si>
  <si>
    <t xml:space="preserve"> (פ/2321/25)</t>
  </si>
  <si>
    <t xml:space="preserve">הצעת חוק העונשין (תיקון - הארכת התיישנות בעבירות מין שבוצעו במסגרת הנישואין), התשפ"ג-2023</t>
  </si>
  <si>
    <t xml:space="preserve"> (פ/2320/25)</t>
  </si>
  <si>
    <t xml:space="preserve">הצעת חוק העונשין (תיקון - איסור הצבת מכונות משחק של מפעל הפיס), התשפ"ג-2023</t>
  </si>
  <si>
    <t xml:space="preserve"> (פ/2319/25)</t>
  </si>
  <si>
    <t xml:space="preserve"> (פ/2318/25)</t>
  </si>
  <si>
    <t xml:space="preserve"> (פ/2316/25)</t>
  </si>
  <si>
    <t xml:space="preserve"> (פ/2315/25)</t>
  </si>
  <si>
    <t xml:space="preserve">חוק למניעת אלימות במשפחה (תיקון מס' 18 - הוראת שעה), התשפ"ב-2021</t>
  </si>
  <si>
    <t xml:space="preserve"> (פ/1058/23)</t>
  </si>
  <si>
    <t xml:space="preserve"> (כ/864)</t>
  </si>
  <si>
    <t xml:space="preserve">08.02.2023</t>
  </si>
  <si>
    <t xml:space="preserve">חוק המרכז לגביית קנסות, אגרות והוצאות (תיקון מס' 19 והוראת שעה) (תיקון), התשפ"ג-2023</t>
  </si>
  <si>
    <t xml:space="preserve"> (מ/1591)</t>
  </si>
  <si>
    <t xml:space="preserve">הוראת השעה המסמיכה את שר המשפטים לאשר למרכז לגביית קנסות לגבות קנסות עבור רשות מקומית הוארכה בארבע שנים. כמו כן, הוענקה לשר המשפטים סמכות להאריך בצו, בהסכמת ועדת החוקה, חוק ומשפט את תקופת הוראת השעה בשנתיים נוספות.</t>
  </si>
  <si>
    <t xml:space="preserve">חוק לתיקון פקודת מס הכנסה (מס' 263), התשפ"ג-2023</t>
  </si>
  <si>
    <t xml:space="preserve"> (מ/1594)</t>
  </si>
  <si>
    <t xml:space="preserve">נקבע כי סעיף 141(א) לפקודת מס הכנסה (חובת דיווח של חלפני כספים למנהל על ביצוע פעולה בסכום של 50,000 ש"ח ומעלה) יוסדר כהוראת קבע. בהתאם, עוגן סעיף 195ב(ב) לפקודת מס הכנסה (הטלת עיצום כספי על חלפני כספים שהפרו את חובת הדיווח) הקבוע גם כן כהוראת שעה והוסדר כהוראת קבע.</t>
  </si>
  <si>
    <t xml:space="preserve">חוק לתיקון פקודת בתי הסוהר (מס' 61 והוראת שעה), התשפ"ג-2023</t>
  </si>
  <si>
    <t xml:space="preserve"> (מ/1595)</t>
  </si>
  <si>
    <t xml:space="preserve">חוק לתיקון פקודת בתי הסוהר (מס' 61 והוראת שעה), התשפ"ג-2023 אושר בקריאה השנייה והשלישית ביום י"ז בשבט התשפ"ג (8 בפברואר 2023). החוק מאריך את הוראת השעה הקובעת תקופות שחרור מינהלי מורחבות, עד ליום י"ג באב התשפ"ג (31 ביולי 2023).  בנוסף, נקבע כי במהלך תקופה זו יעמוד תקן הכליאה, שהוא מספר הכלואים שאם עוברים אותו ניתן להתחיל בשחרורים מינהליים, יעמוד על 14,500. עוד נקבע בחוק כי נציב בתי הסוהר יהיה רשאי לעכב ב-24 שעות את שחרורו המנהלי של אסיר שהורשע בעבירת מין או אלימות לשם מתן הודעה לנפגע העבירה. לבסוף, החוק הבהיר גם כי כל הבחנה שיש בחוק ביחס לאסירים ששוחררו על תנאי בידי ועדות השחרורים תחול גם לעניין חיילים שמרצים את עונשים בבתי הסוהר של שירות בתי הסוהר, ושוחררו בידי הוועדות לעיון בעונש לפי חוק השיפוט הצבאי. </t>
  </si>
  <si>
    <t xml:space="preserve">חוק ההוצאה לפועל (נגיף הקורונה החדש – תיקון מס' 68 והוראת שעה) (תיקון מס' 2), התשפ"ג-2023</t>
  </si>
  <si>
    <t xml:space="preserve"> (מ/1592)</t>
  </si>
  <si>
    <t xml:space="preserve">נקבעה הוראת קבע המסמיכה את רשמי ההוצאה לפועל לאחד את תיקי החייב בעת מתן צו תשלומים בתיק. בנוסף, בוטל הסעיף המאפשר הוצאת תיק ממסלול מקוצר זאת מכיוון שאין הצדקה להוצאת התיק בתקופה שבה חייב משלם את חובו בהסדר תשלומים במסגרת איחוד תיקים.</t>
  </si>
  <si>
    <t xml:space="preserve">חוק לעניין ועדות הכנסת (תיקוני חקיקה והוראת שעה), התשפ"ג-2023</t>
  </si>
  <si>
    <t xml:space="preserve"> (כ/945)</t>
  </si>
  <si>
    <t xml:space="preserve">07.02.2023</t>
  </si>
  <si>
    <t xml:space="preserve">החוק בא להשלים את תיקון תקנון הכנסת מיום 1.2.2023 שבו הוקמו שלוש ועדות קבועות חדשות: הוועדה לביטחון לאומי, ועדת הבריאות והוועדה למיזמים ציבוריים, ונקבעו שינויים בתחומי ענייניהן של ועדות קבועות אחרות. החוק מתקן בהתאם לכך הוראות בחוקים שונים המעניקות סמכויות ותפקידים לוועדות מסוימות וליושבי הראש שלהן, בעיקר בנוגע לאישור חקיקת משנה ולקבלת דיווחים. </t>
  </si>
  <si>
    <t xml:space="preserve"> (פ/2310/25)</t>
  </si>
  <si>
    <t xml:space="preserve">06.02.2023</t>
  </si>
  <si>
    <t xml:space="preserve"> (פ/2309/25)</t>
  </si>
  <si>
    <t xml:space="preserve">הצעת חוק הביטוח הלאומי (תיקון - הארכת תקופת הזכאות לדמי אבטלה לשכיר שהפך לעצמאי ועסקו נסגר), התשפ"ג-2023</t>
  </si>
  <si>
    <t xml:space="preserve"> (פ/2308/25)</t>
  </si>
  <si>
    <t xml:space="preserve">הצעת חוק הביטוח הלאומי (תיקון - השוואת קצבת נכות לשכר מינימום), התשפ"ג-2023</t>
  </si>
  <si>
    <t xml:space="preserve"> (פ/2307/25)</t>
  </si>
  <si>
    <t xml:space="preserve"> (פ/2306/25)</t>
  </si>
  <si>
    <t xml:space="preserve"> (פ/2305/25)</t>
  </si>
  <si>
    <t xml:space="preserve">הצעת חוק יום ציון לאומי לתרומתה ולפועלה של העדה הדרוזית (תיקון - עיגון מעמדה של העדה הדרוזית כשוות זכויות במדינת ישראל), התשפ"ג-2023</t>
  </si>
  <si>
    <t xml:space="preserve"> (פ/2304/25)</t>
  </si>
  <si>
    <t xml:space="preserve">הצעת חוק העונשין (תיקון - חיוב אוצר המדינה בהוצאות הגנה ובפיצוי על מאסר או מעצר בשל זיכוי או אישום שבוטל), התשפ"ג-2023</t>
  </si>
  <si>
    <t xml:space="preserve"> (פ/2302/25)</t>
  </si>
  <si>
    <t xml:space="preserve"> (פ/2301/25)</t>
  </si>
  <si>
    <t xml:space="preserve"> (פ/2300/25)</t>
  </si>
  <si>
    <t xml:space="preserve"> (פ/2299/25)</t>
  </si>
  <si>
    <t xml:space="preserve"> (פ/2298/25)</t>
  </si>
  <si>
    <t xml:space="preserve"> (פ/2297/25)</t>
  </si>
  <si>
    <t xml:space="preserve"> (פ/2296/25)</t>
  </si>
  <si>
    <t xml:space="preserve"> (פ/2295/25)</t>
  </si>
  <si>
    <t xml:space="preserve"> (פ/2294/25)</t>
  </si>
  <si>
    <t xml:space="preserve">הצעת חוק שכר מינימום (תיקון - תוספת שלא תובא בחשבון בשכר המינימום), התשפ"ג-2023</t>
  </si>
  <si>
    <t xml:space="preserve"> (פ/2293/25)</t>
  </si>
  <si>
    <t xml:space="preserve">הצעת חוק הביטוח הלאומי (תיקון - הכרה בפגיעה מינית בעבודה כפגיעה בעבודה), התשפ"ג-2023</t>
  </si>
  <si>
    <t xml:space="preserve"> (פ/2292/25)</t>
  </si>
  <si>
    <t xml:space="preserve">הצעת חוק האזרחים הוותיקים (תיקון - הקמת קרן למימון תרופות לאזרחים ותיקים מעוטי יכולת), התשפ"ג-2023</t>
  </si>
  <si>
    <t xml:space="preserve"> (פ/2290/25)</t>
  </si>
  <si>
    <t xml:space="preserve">הצעת חוק הביטוח הלאומי (תיקון - הרחבת הזכאות למענק פטירה), התשפ"ג-2023</t>
  </si>
  <si>
    <t xml:space="preserve"> (פ/2289/25)</t>
  </si>
  <si>
    <t xml:space="preserve">הצעת חוק סיוע לקטינים נפגעי עבירות מין או אלימות (תיקון - טיפול נפשי לילדים נפגעי אלימות במשפחה), התשפ"ג-2023</t>
  </si>
  <si>
    <t xml:space="preserve"> (פ/2288/25)</t>
  </si>
  <si>
    <t xml:space="preserve">הצעת חוק הבטחת הכנסה (תיקון - הצמדת הגמלה בגיל פרישה לשכר הממוצע במשק), התשפ"ג-2023</t>
  </si>
  <si>
    <t xml:space="preserve"> (פ/2287/25)</t>
  </si>
  <si>
    <t xml:space="preserve">הצעת חוק הביטוח הלאומי (תיקון - דמי אבטלה לעובד שפוטר לאחר שהגיע לגיל פרישה), התשפ"ג-2023</t>
  </si>
  <si>
    <t xml:space="preserve"> (פ/2286/25)</t>
  </si>
  <si>
    <t xml:space="preserve"> (פ/2285/25)</t>
  </si>
  <si>
    <t xml:space="preserve">הצעת חוק הגנת השכר (תיקון - צירוף פירוט שעות חודשי לתלוש השכר), התשפ"ג-2023</t>
  </si>
  <si>
    <t xml:space="preserve"> (פ/2284/25)</t>
  </si>
  <si>
    <t xml:space="preserve">הצעת חוק דמי מחלה (תיקון - הצהרת מחלה), התשפ"ג-2023</t>
  </si>
  <si>
    <t xml:space="preserve"> (פ/2282/25)</t>
  </si>
  <si>
    <t xml:space="preserve">הצעת חוק תומכות חינוך במוסדות חינוך, התשפ"ג-2023</t>
  </si>
  <si>
    <t xml:space="preserve"> (פ/2281/25)</t>
  </si>
  <si>
    <t xml:space="preserve"> (פ/2280/25)</t>
  </si>
  <si>
    <t xml:space="preserve">הצעת חוק היערכות אזרחית למצבי חירום, התשפ"ג-2023</t>
  </si>
  <si>
    <t xml:space="preserve"> (פ/2279/25)</t>
  </si>
  <si>
    <t xml:space="preserve"> (פ/2278/25)</t>
  </si>
  <si>
    <t xml:space="preserve"> (פ/2277/25)</t>
  </si>
  <si>
    <t xml:space="preserve"> (פ/2276/25)</t>
  </si>
  <si>
    <t xml:space="preserve">הצעת חוק הגנה על עובדים (חשיפת עבירות ופגיעה בטוהר המידות או במינהל התקין) (תיקון - הגדלת סכום הפיצוי שאינו תלוי בנזק ושינוי נטל ההוכחה), התשפ"ג-2023</t>
  </si>
  <si>
    <t xml:space="preserve"> (פ/2275/25)</t>
  </si>
  <si>
    <t xml:space="preserve">הצעת חוק הביטוח הלאומי (תיקון - הארכת תקופת הזכאות לדמי אבטלה לצעירים), התשפ"ג-2023</t>
  </si>
  <si>
    <t xml:space="preserve"> (פ/2274/25)</t>
  </si>
  <si>
    <t xml:space="preserve"> (פ/2273/25)</t>
  </si>
  <si>
    <t xml:space="preserve">הצעת חוק איסור שימוש ברכב במימון ציבורי לחבר כנסת, שר וסגן שר ביום המנוחה השבועי ובחג, התשפ"ג-2023</t>
  </si>
  <si>
    <t xml:space="preserve"> (פ/2272/25)</t>
  </si>
  <si>
    <t xml:space="preserve">הצעת חוק המים (תיקון - הוספת נציג ציבור לעניין איכות הסביבה למועצת רשות המים), התשפ"ג-2023</t>
  </si>
  <si>
    <t xml:space="preserve"> (פ/2271/25)</t>
  </si>
  <si>
    <t xml:space="preserve">הצעת חוק שירותי הדת היהודיים (מועצות דתיות - בחירות), התשפ"ג-2023</t>
  </si>
  <si>
    <t xml:space="preserve"> (פ/2270/25)</t>
  </si>
  <si>
    <t xml:space="preserve"> (פ/2269/25)</t>
  </si>
  <si>
    <t xml:space="preserve"> (פ/2267/25)</t>
  </si>
  <si>
    <t xml:space="preserve"> (פ/2266/25)</t>
  </si>
  <si>
    <t xml:space="preserve">הצעת חוק לימוד חובה (תיקון - חינוך חינם לפעוטות), התשפ"ג-2023</t>
  </si>
  <si>
    <t xml:space="preserve"> (פ/2264/25)</t>
  </si>
  <si>
    <t xml:space="preserve">הצעת חוק המועצה להשכלה גבוהה (תיקון - הגבלת שיתוף פעולה בין מוסד אקדמי לבין ארגון הפועל נגד מדינת ישראל), התשפ"ג-2023</t>
  </si>
  <si>
    <t xml:space="preserve"> (פ/2263/25)</t>
  </si>
  <si>
    <t xml:space="preserve"> (פ/2262/25)</t>
  </si>
  <si>
    <t xml:space="preserve">הצעת חוק העונשין (תיקון - עונש מינימום וקנס על החזקת נשק בלתי חוקי), התשפ"ג-2023</t>
  </si>
  <si>
    <t xml:space="preserve"> (פ/2261/25)</t>
  </si>
  <si>
    <t xml:space="preserve"> (פ/2260/25)</t>
  </si>
  <si>
    <t xml:space="preserve">הצעת חוק הדיינים (תיקון - כשירות מנהל בתי הדין הרבניים), התשפ"ג-2023</t>
  </si>
  <si>
    <t xml:space="preserve"> (פ/2259/25)</t>
  </si>
  <si>
    <t xml:space="preserve">הצעת חוק שיווי זכויות האישה (תיקון - ייצוג הולם לנשים בכנסים במימון ציבורי), התשפ"ג-2023</t>
  </si>
  <si>
    <t xml:space="preserve"> (פ/2258/25)</t>
  </si>
  <si>
    <t xml:space="preserve"> (פ/2257/25)</t>
  </si>
  <si>
    <t xml:space="preserve">הצעת חוק למניעת פגיעה במדינת ישראל באמצעות חרם (תיקון - פיצוי בעלי עסקים), התשפ"ג-2023</t>
  </si>
  <si>
    <t xml:space="preserve"> (פ/2256/25)</t>
  </si>
  <si>
    <t xml:space="preserve">הצעת חוק הגנה על הציבור מפני ביצוע עבירות מין (תיקון - מתן טיפול שיקום מונע ללא הרשעה), התשפ"ג-2023</t>
  </si>
  <si>
    <t xml:space="preserve"> (פ/2255/25)</t>
  </si>
  <si>
    <t xml:space="preserve">הצעת חוק לקידום דיור בר השגה, התשפ"ג-2023</t>
  </si>
  <si>
    <t xml:space="preserve"> (פ/2254/25)</t>
  </si>
  <si>
    <t xml:space="preserve">הצעת חוק החברות (תיקון - איסור חברות בדירקטוריון של בנק ושל חברה ציבורית נוספת), התשפ"ג-2023</t>
  </si>
  <si>
    <t xml:space="preserve"> (פ/2253/25)</t>
  </si>
  <si>
    <t xml:space="preserve"> (פ/2252/25)</t>
  </si>
  <si>
    <t xml:space="preserve"> (פ/2250/25)</t>
  </si>
  <si>
    <t xml:space="preserve">הצעת חוק זכויות נפגעי עבירה (תיקון - מרכזי טיפול ייעודיים לנפגעות ונפגעי עבירות מין בגירים), התשפ"ג-2023</t>
  </si>
  <si>
    <t xml:space="preserve"> (פ/2249/25)</t>
  </si>
  <si>
    <t xml:space="preserve">הצעת חוק הביטוח הלאומי (תיקון - גמלת סיעוד למבוטח הנמצא במוסד סיעודי), התשפ"ג-2023</t>
  </si>
  <si>
    <t xml:space="preserve"> (פ/2248/25)</t>
  </si>
  <si>
    <t xml:space="preserve">הצעת חוק צירוף משפחות נפגעי טרור כצד להליך המשפטי (תיקוני חקיקה), התשפ"ג-2023</t>
  </si>
  <si>
    <t xml:space="preserve"> (פ/2245/25)</t>
  </si>
  <si>
    <t xml:space="preserve">הצעת חוק ההוצאה לפועל (תיקון - הגבלת עיקול מיטלטליו של קשיש), התשפ"ג-2023</t>
  </si>
  <si>
    <t xml:space="preserve"> (פ/2244/25)</t>
  </si>
  <si>
    <t xml:space="preserve">הצעת חוק החברות (תיקון - ייצוג הולם של נשים בדירקטוריונים של חברות ציבוריות), התשפ"ג-2023</t>
  </si>
  <si>
    <t xml:space="preserve"> (פ/2243/25)</t>
  </si>
  <si>
    <t xml:space="preserve"> (פ/2242/25)</t>
  </si>
  <si>
    <t xml:space="preserve">הצעת חוק החזר דמי נסיעה במונית לבית החולים (תיקוני חקיקה), התשפ"ג-2023</t>
  </si>
  <si>
    <t xml:space="preserve"> (פ/2241/25)</t>
  </si>
  <si>
    <t xml:space="preserve"> (פ/2240/25)</t>
  </si>
  <si>
    <t xml:space="preserve"> (פ/2239/25)</t>
  </si>
  <si>
    <t xml:space="preserve">הצעת חוק לתיקון פקודת התעבורה (ביטול מופע אור ירוק ברמזור פנייה ימינה בעת הופעת אור ירוק ברמזור להולכי רגל), התשפ"ג-2023</t>
  </si>
  <si>
    <t xml:space="preserve"> (פ/2236/25)</t>
  </si>
  <si>
    <t xml:space="preserve"> (פ/2235/25)</t>
  </si>
  <si>
    <t xml:space="preserve">הצעת חוק הממשלה (תיקון - ועדת שרים לענייני חקיקה), התשפ"ג-2023</t>
  </si>
  <si>
    <t xml:space="preserve"> (פ/2234/25)</t>
  </si>
  <si>
    <t xml:space="preserve"> (פ/2233/25)</t>
  </si>
  <si>
    <t xml:space="preserve"> (פ/2232/25)</t>
  </si>
  <si>
    <t xml:space="preserve">הצעת חוק הבחירות לכנסת (תיקון - עדכון כתובת לצורכי בחירות), התשפ"ג-2023</t>
  </si>
  <si>
    <t xml:space="preserve"> (פ/2231/25)</t>
  </si>
  <si>
    <t xml:space="preserve">הצעת חוק הבחירות לכנסת (תיקון - ביטול עקרון הריתוק לקלפי), התשפ"ג-2023</t>
  </si>
  <si>
    <t xml:space="preserve"> (פ/2230/25)</t>
  </si>
  <si>
    <t xml:space="preserve"> (פ/2229/25)</t>
  </si>
  <si>
    <t xml:space="preserve">הצעת חוק החברות (תיקון - הגבלת כהונת דירקטור לשלוש חברות), התשפ"ג-2023</t>
  </si>
  <si>
    <t xml:space="preserve"> (פ/2228/25)</t>
  </si>
  <si>
    <t xml:space="preserve"> (פ/2226/25)</t>
  </si>
  <si>
    <t xml:space="preserve">הצעת חוק ההוצאה לפועל (תיקון - מסלול מקוצר חובה), התשפ"ג-2023</t>
  </si>
  <si>
    <t xml:space="preserve"> (פ/2225/25)</t>
  </si>
  <si>
    <t xml:space="preserve"> (פ/2224/25)</t>
  </si>
  <si>
    <t xml:space="preserve"> (פ/2223/25)</t>
  </si>
  <si>
    <t xml:space="preserve">הצעת חוק הגבלת תקופת עסקה בעניין הגרלות או הימורים, התשפ"ג-2023</t>
  </si>
  <si>
    <t xml:space="preserve"> (פ/2222/25)</t>
  </si>
  <si>
    <t xml:space="preserve">הצעת חוק ביטוח בריאות ממלכתי (תיקון - החזר אגרת נסיעה באמבולנס), התשפ"ג-2023</t>
  </si>
  <si>
    <t xml:space="preserve"> (פ/2221/25)</t>
  </si>
  <si>
    <t xml:space="preserve">הצעת חוק הכשרות המשפטית והאפוטרופסות (תיקון - תשלום שכר והוצאות של אפוטרופוס מאוצר המדינה), התשפ"ג-2023</t>
  </si>
  <si>
    <t xml:space="preserve"> (פ/2220/25)</t>
  </si>
  <si>
    <t xml:space="preserve"> (פ/2219/25)</t>
  </si>
  <si>
    <t xml:space="preserve">הצעת חוק הגישור, התשפ"ג-2023</t>
  </si>
  <si>
    <t xml:space="preserve"> (פ/2218/25)</t>
  </si>
  <si>
    <t xml:space="preserve">הצעת חוק אימוץ ילדים (תיקון - הוספת סמכות בנושא דתו של המאומץ), התשפ"ג-2023</t>
  </si>
  <si>
    <t xml:space="preserve"> (פ/2216/25)</t>
  </si>
  <si>
    <t xml:space="preserve">הצעת חוק האזרחים הוותיקים (תיקון - סבסוד מלא של נסיעות בתחבורה ציבורית לניצולי שואה ולאסירי ציון), התשפ"ג-2023</t>
  </si>
  <si>
    <t xml:space="preserve"> (פ/2215/25)</t>
  </si>
  <si>
    <t xml:space="preserve">הצעת חוק בית המשפט לענייני משפחה (תיקון - פטור מתשלום אגרה למקבלי הבטחת הכנסה), התשפ"ג-2023</t>
  </si>
  <si>
    <t xml:space="preserve"> (פ/2214/25)</t>
  </si>
  <si>
    <t xml:space="preserve">הצעת חוק שירות המדינה (מינויים) (תיקון - מינוי יועצים משפטיים של משרדים), התשפ"ג-2023</t>
  </si>
  <si>
    <t xml:space="preserve"> (פ/2212/25)</t>
  </si>
  <si>
    <t xml:space="preserve">הצעת חוק הביטוח הלאומי (תיקון - העלאת קצבת הילדים), התשפ"ג-2023</t>
  </si>
  <si>
    <t xml:space="preserve"> (פ/2211/25)</t>
  </si>
  <si>
    <t xml:space="preserve">הצעת חוק בית המשפט לענייני משפחה (תיקון - מימון ניהול ההליך המשפטי), התשפ"ג-2023</t>
  </si>
  <si>
    <t xml:space="preserve"> (פ/2210/25)</t>
  </si>
  <si>
    <t xml:space="preserve">הצעת חוק הבטחת הכנסה (תיקון - הגדלת שווי רכב המאפשר זכאות לגמלה), התשפ"ג-2023</t>
  </si>
  <si>
    <t xml:space="preserve"> (פ/2209/25)</t>
  </si>
  <si>
    <t xml:space="preserve"> (פ/2208/25)</t>
  </si>
  <si>
    <t xml:space="preserve">הצעת חוק התניית יום שבתון בהצבעה בבחירות (תיקוני חקיקה), התשפ"ג-2023</t>
  </si>
  <si>
    <t xml:space="preserve"> (פ/2207/25)</t>
  </si>
  <si>
    <t xml:space="preserve">הצעת חוק איסור הפליה בשל מין, נטיה מינית או זהות מגדרית (תיקוני חקיקה), התשפ"ג-2023</t>
  </si>
  <si>
    <t xml:space="preserve"> (פ/2206/25)</t>
  </si>
  <si>
    <t xml:space="preserve"> (פ/2205/25)</t>
  </si>
  <si>
    <t xml:space="preserve">הצעת חוק הביטוח הלאומי (תיקון - ביטול מבחן הכנסה לצורך קביעת זכאות ניצול שואה לגמלת סיעוד), התשפ"ג-2023</t>
  </si>
  <si>
    <t xml:space="preserve"> (פ/2204/25)</t>
  </si>
  <si>
    <t xml:space="preserve">הצעת חוק הביטוח הלאומי (תיקון - תוספת לקצבה של מי שמעסיק עובד בענף הסיעוד), התשפ"ג-2023</t>
  </si>
  <si>
    <t xml:space="preserve"> (פ/2203/25)</t>
  </si>
  <si>
    <t xml:space="preserve">הצעת חוק החברות (תיקון - פרסום דוחות כספיים של מונופול), התשפ"ג-2023</t>
  </si>
  <si>
    <t xml:space="preserve"> (פ/2201/25)</t>
  </si>
  <si>
    <t xml:space="preserve">הצעת חוק הביטוח הלאומי (תיקון - ביטוח זכויות עצמאי שעיקר הכנסתו מעסק בהליכי חדלות פירעון), התשפ"ג-2023</t>
  </si>
  <si>
    <t xml:space="preserve"> (פ/2200/25)</t>
  </si>
  <si>
    <t xml:space="preserve">הצעת חוק המשתתף החופשי, התשפ"ג-2023</t>
  </si>
  <si>
    <t xml:space="preserve"> (פ/2199/25)</t>
  </si>
  <si>
    <t xml:space="preserve"> (פ/2197/25)</t>
  </si>
  <si>
    <t xml:space="preserve">הצעת חוק דמי מחלה (היעדרות בשל מחלת נכד), התשפ"ג-2023</t>
  </si>
  <si>
    <t xml:space="preserve"> (פ/2196/25)</t>
  </si>
  <si>
    <t xml:space="preserve"> (פ/2193/25)</t>
  </si>
  <si>
    <t xml:space="preserve">הצעת חוק סמכות ואחריות הורית (משמורת), התשפ"ג-2023</t>
  </si>
  <si>
    <t xml:space="preserve"> (פ/2192/25)</t>
  </si>
  <si>
    <t xml:space="preserve"> (פ/2191/25)</t>
  </si>
  <si>
    <t xml:space="preserve">הצעת חוק הכשרות לאנשי מקצוע בתחום החינוך בנושא מגדר ונטייה מינית, התשפ"ג-2023</t>
  </si>
  <si>
    <t xml:space="preserve"> (פ/2190/25)</t>
  </si>
  <si>
    <t xml:space="preserve">הצעת חוק ההתגוננות האזרחית (תיקון - הקמת תשתית חיבור לרשת אינטרנט אלחוטית במקלטים שביישובי קו העימות), התשפ"ג-2023</t>
  </si>
  <si>
    <t xml:space="preserve"> (פ/2188/25)</t>
  </si>
  <si>
    <t xml:space="preserve"> (פ/2187/25)</t>
  </si>
  <si>
    <t xml:space="preserve"> (פ/2186/25)</t>
  </si>
  <si>
    <t xml:space="preserve"> (פ/2185/25)</t>
  </si>
  <si>
    <t xml:space="preserve">הצעת חוק משק החשמל (תיקון - איסור ניתוק חשמל), התשפ"ג-2023</t>
  </si>
  <si>
    <t xml:space="preserve"> (פ/2184/25)</t>
  </si>
  <si>
    <t xml:space="preserve"> (פ/2183/25)</t>
  </si>
  <si>
    <t xml:space="preserve">הצעת חוק הביטוח הלאומי (תיקון - קצבת שאירים למי שמנהל משק בית משותף), התשפ"ג-2023</t>
  </si>
  <si>
    <t xml:space="preserve"> (פ/2182/25)</t>
  </si>
  <si>
    <t xml:space="preserve"> (פ/2181/25)</t>
  </si>
  <si>
    <t xml:space="preserve">הצעת חוק טיפול בחולי נפש (תיקון - בחירת מקום אשפוז), התשפ"ג-2023</t>
  </si>
  <si>
    <t xml:space="preserve"> (פ/2180/25)</t>
  </si>
  <si>
    <t xml:space="preserve">הצעת חוק הגנת הצרכן (תיקון - פיצויים בלא הוכחת נזק בשל חריגה מזמני המתנה במוקד שירות טלפוני), התשפ"ג-2023</t>
  </si>
  <si>
    <t xml:space="preserve"> (פ/2179/25)</t>
  </si>
  <si>
    <t xml:space="preserve"> (פ/2178/25)</t>
  </si>
  <si>
    <t xml:space="preserve"> (פ/2177/25)</t>
  </si>
  <si>
    <t xml:space="preserve">הצעת חוק חובת דיווח שנתי על מצב הטבע והמגוון הביולוגי בישראל, התשפ"ג-2023</t>
  </si>
  <si>
    <t xml:space="preserve"> (פ/2176/25)</t>
  </si>
  <si>
    <t xml:space="preserve">הצעת חוק הסדרת מקומות רחצה (תיקון - קביעת מקומות לרחצה נפרדת), התשפ"ג-2023</t>
  </si>
  <si>
    <t xml:space="preserve"> (פ/2175/25)</t>
  </si>
  <si>
    <t xml:space="preserve">הצעת חוק הביטוח הלאומי (תיקון - זכאות לדמי לידה לחיילות בשירות קבע), התשפ"ג-2023</t>
  </si>
  <si>
    <t xml:space="preserve"> (פ/2174/25)</t>
  </si>
  <si>
    <t xml:space="preserve"> (פ/2173/25)</t>
  </si>
  <si>
    <t xml:space="preserve">הצעת חוק הביטוח הלאומי (תיקון - דמי מחלה לעובד עצמאי), התשפ"ב-2023</t>
  </si>
  <si>
    <t xml:space="preserve"> (פ/2172/25)</t>
  </si>
  <si>
    <t xml:space="preserve">הצעת חוק שירותי הדת היהודיים (תיקון - הנחה ברכישת קבר זוגי), התשפ"ג-2023</t>
  </si>
  <si>
    <t xml:space="preserve"> (פ/2171/25)</t>
  </si>
  <si>
    <t xml:space="preserve">הצעת חוק שירות המילואים (תיקון - קביעת נקודות זיכוי), התשפ"ג-2023</t>
  </si>
  <si>
    <t xml:space="preserve"> (פ/2170/25)</t>
  </si>
  <si>
    <t xml:space="preserve">הצעת חוק הבטחת הכנסה (תיקון - מסגרת שיקומית מזנות), התשפ"ג-2023</t>
  </si>
  <si>
    <t xml:space="preserve"> (פ/2169/25)</t>
  </si>
  <si>
    <t xml:space="preserve"> (פ/2168/25)</t>
  </si>
  <si>
    <t xml:space="preserve"> (פ/2167/25)</t>
  </si>
  <si>
    <t xml:space="preserve"> (פ/2166/25)</t>
  </si>
  <si>
    <t xml:space="preserve">הצעת חוק להגדלת שיעור ההשתתפות בכוח העבודה ולצמצום פערים חברתיים (מענק עבודה) (תיקון - גיל הזכאות), התשפ"ג-2023</t>
  </si>
  <si>
    <t xml:space="preserve"> (פ/2164/25)</t>
  </si>
  <si>
    <t xml:space="preserve">הצעת חוק הגנה על בריאות הציבור (מזון) (תיקון - הגבלת השימוש בחומצות שומן טראנס), התשפ"ג-2023</t>
  </si>
  <si>
    <t xml:space="preserve"> (פ/2163/25)</t>
  </si>
  <si>
    <t xml:space="preserve">הצעת חוק רשות מקרקעי ישראל (תיקון - העדפת בני המקום בשיווק קרקעות), התשפ"ג-2023</t>
  </si>
  <si>
    <t xml:space="preserve"> (פ/2162/25)</t>
  </si>
  <si>
    <t xml:space="preserve">הצעת חוק לתיקון בריאות העם (הוספת מכשור רפואי לפריפריה), התשפ"ג-2023</t>
  </si>
  <si>
    <t xml:space="preserve"> (פ/2161/25)</t>
  </si>
  <si>
    <t xml:space="preserve">הצעת חוק מרשם האוכלוסין (תיקון - רישום הורה נוסף), התשפ"ג-2023</t>
  </si>
  <si>
    <t xml:space="preserve"> (פ/2160/25)</t>
  </si>
  <si>
    <t xml:space="preserve">הצעת חוק הביטוח הלאומי (תיקון - ביטול מבחני התלות לקבלת גמלת סיעוד לאזרח שמלאו לו 80 שנים), התשפ"ג-2023</t>
  </si>
  <si>
    <t xml:space="preserve"> (פ/2159/25)</t>
  </si>
  <si>
    <t xml:space="preserve">הצעת חוק צירוף משפחות נפגעי טרור כצד להליך המשפטי (תיקוני חקיקה), התשפ"ג-2023 </t>
  </si>
  <si>
    <t xml:space="preserve"> (פ/2158/25)</t>
  </si>
  <si>
    <t xml:space="preserve">30.01.2023</t>
  </si>
  <si>
    <t xml:space="preserve">הצעת חוק העונשין (תיקון מס' 140 - הוראת שעה) (תיקון - הארכת תוקף והגדלת עונש המינימום), התשפ"ג-2023</t>
  </si>
  <si>
    <t xml:space="preserve"> (פ/2157/25)</t>
  </si>
  <si>
    <t xml:space="preserve">הצעת חוק הסדרת העיסוק במקצועות הבריאות (תיקון - הסדרת העיסוק במקצועות הבריאות עוזר רופא ודימותנות רפואית), התשפ"ג-2023</t>
  </si>
  <si>
    <t xml:space="preserve"> (פ/2155/25)</t>
  </si>
  <si>
    <t xml:space="preserve">הצעת חוק הסדרים במשק המדינה (תיקוני חקיקה להשגת יעדי התקציב) (תיקון - פטור מארנונה למגורים), התשפ"ג-2023</t>
  </si>
  <si>
    <t xml:space="preserve"> (פ/2154/25)</t>
  </si>
  <si>
    <t xml:space="preserve">הצעת חוק בתי דין רבניים (קיום פסקי דין של גירושין) (תיקון - סמכות בית המשפט לענייני משפחה), התשפ"ג-2023</t>
  </si>
  <si>
    <t xml:space="preserve"> (פ/2153/25)</t>
  </si>
  <si>
    <t xml:space="preserve"> (פ/2151/25)</t>
  </si>
  <si>
    <t xml:space="preserve"> (פ/2150/25)</t>
  </si>
  <si>
    <t xml:space="preserve"> (פ/2149/25)</t>
  </si>
  <si>
    <t xml:space="preserve">הצעת חוק האפוטרופוס הכללי (תיקון - הקמת מאגר מידע לעניין כספים ללא דורש), התשפ"ג-2023</t>
  </si>
  <si>
    <t xml:space="preserve"> (פ/2148/25)</t>
  </si>
  <si>
    <t xml:space="preserve">הצעת חוק שמירת הסביבה החופית (בחינה ועדכון של תכניות), התשפ"ג-2023</t>
  </si>
  <si>
    <t xml:space="preserve"> (פ/2147/25)</t>
  </si>
  <si>
    <t xml:space="preserve"> (פ/2145/25)</t>
  </si>
  <si>
    <t xml:space="preserve">הצעת חוק המקרקעין (חיזוק בתים משותפים מפני רעידות אדמה) (תיקון - פינוי קשישים), התשפ"ג-2023</t>
  </si>
  <si>
    <t xml:space="preserve"> (פ/2143/25)</t>
  </si>
  <si>
    <t xml:space="preserve">הצעת חוק השוואת תשלומים לחיילים בודדים ילידי ישראל וחיילים בודדים שנולדו מחוץ לישראל, התשפ"ג-2023</t>
  </si>
  <si>
    <t xml:space="preserve"> (פ/2142/25)</t>
  </si>
  <si>
    <t xml:space="preserve">הצעת חוק הסדרת מקומות רחצה (תיקון - ייעוד זמנים לרחצה נפרדת באתרי טבע), התשפ"ג-2023</t>
  </si>
  <si>
    <t xml:space="preserve"> (פ/2140/25)</t>
  </si>
  <si>
    <t xml:space="preserve">הצעת חוק חינוך ממלכתי (תיקון – מעמד החינוך הממלכתי המשלב), התשפ"ג–2023</t>
  </si>
  <si>
    <t xml:space="preserve"> (פ/2139/25)</t>
  </si>
  <si>
    <t xml:space="preserve">הצעת חוק למניעת העסקה של עברייני מין במוסדות מסוימים (תיקון - הגדרת עבירת מין), התשפ"ג-2023</t>
  </si>
  <si>
    <t xml:space="preserve"> (פ/2138/25)</t>
  </si>
  <si>
    <t xml:space="preserve">הצעת חוק עבודת נשים (תיקון - זכאות להשתתפות בעלות מעון יום בתקופת הלידה וההורות), התשפ"ג-2023</t>
  </si>
  <si>
    <t xml:space="preserve"> (פ/2137/25)</t>
  </si>
  <si>
    <t xml:space="preserve">הצעת חוק בתי המשפט (תיקון - הרכב מלא בדיון בתיקי בג"ץ), התשפ"ג-2023</t>
  </si>
  <si>
    <t xml:space="preserve"> (פ/2136/25)</t>
  </si>
  <si>
    <t xml:space="preserve">הצעת חוק עבודת נשים (תיקון - הארכת תקופת לידה והורות בתשלום), התשפ"ג-2023</t>
  </si>
  <si>
    <t xml:space="preserve"> (פ/2134/25)</t>
  </si>
  <si>
    <t xml:space="preserve">הצעת חוק הגבלת פעולות אנשי דת בלתי מורשים בצבא הגנה לישראל ובמשטרת ישראל, התשפ"ג-2023</t>
  </si>
  <si>
    <t xml:space="preserve"> (פ/2133/25)</t>
  </si>
  <si>
    <t xml:space="preserve"> (פ/2132/25)</t>
  </si>
  <si>
    <t xml:space="preserve">הצעת חוק אימוץ ילדים (תיקון - כשירות המאמץ), התשפ"ג-2023</t>
  </si>
  <si>
    <t xml:space="preserve"> (פ/2131/25)</t>
  </si>
  <si>
    <t xml:space="preserve"> (פ/2129/25)</t>
  </si>
  <si>
    <t xml:space="preserve">הצעת חוק לתיקון פקודת הרופאים (ביצוע פעולות בבית החולה), התשפ"ג-2023</t>
  </si>
  <si>
    <t xml:space="preserve"> (פ/2128/25)</t>
  </si>
  <si>
    <t xml:space="preserve">הצעת חוק זכויות הדייר בדיור הציבורי (תיקון - הארכת תוקף זכאות לדירה ציבורית), התשפ"ג-2023</t>
  </si>
  <si>
    <t xml:space="preserve"> (פ/2126/25)</t>
  </si>
  <si>
    <t xml:space="preserve">הצעת חוק הנישואין ופירוקם, התשפ"ג-2023</t>
  </si>
  <si>
    <t xml:space="preserve"> (פ/2125/25)</t>
  </si>
  <si>
    <t xml:space="preserve"> (פ/2124/25)</t>
  </si>
  <si>
    <t xml:space="preserve">הצעת חוק שירותי הדת היהודיים (תיקון - פיזור מועצה דתית בידי מועצת הרשות המקומית), התשפ"ג-2023</t>
  </si>
  <si>
    <t xml:space="preserve"> (פ/2123/25)</t>
  </si>
  <si>
    <t xml:space="preserve">הצעת חוק חינוך מיוחד (תיקון - הרחבה לגבי מוסדות שאינם מוכרים), התשפ"ג-2023</t>
  </si>
  <si>
    <t xml:space="preserve"> (פ/2122/25)</t>
  </si>
  <si>
    <t xml:space="preserve"> (פ/2121/25)</t>
  </si>
  <si>
    <t xml:space="preserve"> (פ/2120/25)</t>
  </si>
  <si>
    <t xml:space="preserve">הצעת חוק הגנת השכר (תיקון - מתכונת אחידה לפנקס שכר ותלוש שכר), התשפ"ג-2023</t>
  </si>
  <si>
    <t xml:space="preserve"> (פ/2119/25)</t>
  </si>
  <si>
    <t xml:space="preserve"> (פ/2118/25)</t>
  </si>
  <si>
    <t xml:space="preserve">הצעת חוק שימוש חוזר במים אפורים, התשפ"ג-2023</t>
  </si>
  <si>
    <t xml:space="preserve"> (פ/2117/25)</t>
  </si>
  <si>
    <t xml:space="preserve"> (פ/2116/25)</t>
  </si>
  <si>
    <t xml:space="preserve">הצעת חוק החזקת תכשיר אפינפרין במוסדות חינוך ובמקומות ציבוריים (תיקון - החזקת תכשיר אפינפרין בבית אוכל), התשפ"ג-2023</t>
  </si>
  <si>
    <t xml:space="preserve"> (פ/2115/25)</t>
  </si>
  <si>
    <t xml:space="preserve">הצעת חוק הרבנות הראשית לישראל (תיקון - סייג לבחירה או למינוי לתפקיד רב ראשי לישראל או לחבר מועצה), התשפ"ג-2023</t>
  </si>
  <si>
    <t xml:space="preserve"> (פ/2114/25)</t>
  </si>
  <si>
    <t xml:space="preserve">הצעת חוק הגנת הצרכן (תיקון - מגבלות על חיוב חשבון של צרכן בתשלומים), התשפ"ג-2023</t>
  </si>
  <si>
    <t xml:space="preserve"> (פ/2113/25)</t>
  </si>
  <si>
    <t xml:space="preserve"> (פ/2112/25)</t>
  </si>
  <si>
    <t xml:space="preserve"> (פ/2111/25)</t>
  </si>
  <si>
    <t xml:space="preserve">הצעת חוק ביטוח בריאות ממלכתי (תיקון - מחלה יתומה), התשפ"ג-2023</t>
  </si>
  <si>
    <t xml:space="preserve"> (פ/2110/25)</t>
  </si>
  <si>
    <t xml:space="preserve">הצעת חוק-יסוד: השפיטה (תיקון - משפט חוזר אזרחי)</t>
  </si>
  <si>
    <t xml:space="preserve"> (פ/2106/25)</t>
  </si>
  <si>
    <t xml:space="preserve">הצעת חוק החזר הוצאות כספיות בגין עריכת נישואין אזרחיים בחוץ לארץ למי שאינם רשאים להינשא על פי הדין הדתי, התשפ"ג-2023</t>
  </si>
  <si>
    <t xml:space="preserve"> (פ/2104/25)</t>
  </si>
  <si>
    <t xml:space="preserve">הצעת חוק סדר הדין הפלילי (חקירת חשודים) (תיקון - יידוע זכויות חשודים), התשפ"ג-2023</t>
  </si>
  <si>
    <t xml:space="preserve"> (פ/2102/25)</t>
  </si>
  <si>
    <t xml:space="preserve">הצעת חוק שוויון זכויות לאנשים עם מוגבלות (תיקון - הרחבת הזכאות למתן שירות בלא המתנה בתור), התשפ"ג-2023</t>
  </si>
  <si>
    <t xml:space="preserve"> (פ/2101/25)</t>
  </si>
  <si>
    <t xml:space="preserve">הצעת חוק מניעת עבירות מין בקטינים (תיקוני חקיקה), התשפ"ג-2023</t>
  </si>
  <si>
    <t xml:space="preserve"> (פ/2100/25)</t>
  </si>
  <si>
    <t xml:space="preserve"> (פ/2099/25)</t>
  </si>
  <si>
    <t xml:space="preserve"> (פ/2098/25)</t>
  </si>
  <si>
    <t xml:space="preserve">הצעת חוק הבנקאות (שירות ללקוח) (תיקון - מרווח שיעורי הריבית), התשפ"ג-2023</t>
  </si>
  <si>
    <t xml:space="preserve"> (פ/2097/25)</t>
  </si>
  <si>
    <t xml:space="preserve"> (פ/2096/25)</t>
  </si>
  <si>
    <t xml:space="preserve">הצעת חוק הסניגוריה הציבורית (תיקון - פיקוח על החזקה בבידוד או על החזקה באיפול תקשורתי), התשפ"ג-2023</t>
  </si>
  <si>
    <t xml:space="preserve"> (פ/2095/25)</t>
  </si>
  <si>
    <t xml:space="preserve"> (פ/2094/25)</t>
  </si>
  <si>
    <t xml:space="preserve">הצעת חוק שוויון ההזדמנויות בעבודה (תיקון - איסור הפליה מחמת מצב כלכלי), התשפ"ג-2023</t>
  </si>
  <si>
    <t xml:space="preserve"> (פ/2093/25)</t>
  </si>
  <si>
    <t xml:space="preserve">הצעת חוק למניעת עיגון מנישואין, התשפ"ג-2023</t>
  </si>
  <si>
    <t xml:space="preserve"> (פ/2092/25)</t>
  </si>
  <si>
    <t xml:space="preserve">הצעת חוק-יסוד: נשיא המדינה (תיקון - איסור מועמדות וכהונה לנאשם או מורשע בפלילים)</t>
  </si>
  <si>
    <t xml:space="preserve"> (פ/2091/25)</t>
  </si>
  <si>
    <t xml:space="preserve"> (פ/2090/25)</t>
  </si>
  <si>
    <t xml:space="preserve">הצעת חוק ההוצאה לפועל (תיקון - שכר עורך דין), התשפ"ג-2023</t>
  </si>
  <si>
    <t xml:space="preserve"> (פ/2089/25)</t>
  </si>
  <si>
    <t xml:space="preserve">הצעת חוק לתיקון פקודת התעבורה (חניה במקום ציבורי למשתמשים בעגלת ילדים), התשפ"ג-2023</t>
  </si>
  <si>
    <t xml:space="preserve"> (פ/2087/25)</t>
  </si>
  <si>
    <t xml:space="preserve"> (פ/2086/25)</t>
  </si>
  <si>
    <t xml:space="preserve"> (פ/2084/25)</t>
  </si>
  <si>
    <t xml:space="preserve">הצעת חוק למניעת אלימות כלכלית בין בני זוג ובני משפחה, התשפ"ג-2023</t>
  </si>
  <si>
    <t xml:space="preserve"> (פ/2083/25)</t>
  </si>
  <si>
    <t xml:space="preserve">הצעת חוק העונשין (תיקון - החריגים לעבירת ריבוי נישואין), התשפ"ג-2023</t>
  </si>
  <si>
    <t xml:space="preserve"> (פ/2082/25)</t>
  </si>
  <si>
    <t xml:space="preserve">הצעת חוק האזרחים הוותיקים (תיקון - חניה חינם לאזרח ותיק שמלאו לו 70 שנים), התשפ"ג-2023</t>
  </si>
  <si>
    <t xml:space="preserve"> (פ/2080/25)</t>
  </si>
  <si>
    <t xml:space="preserve">הצעת חוק להקמת קרן למוצרי מזון בריא, התשפ''ג-2023</t>
  </si>
  <si>
    <t xml:space="preserve"> (פ/2079/25)</t>
  </si>
  <si>
    <t xml:space="preserve"> (פ/2078/25)</t>
  </si>
  <si>
    <t xml:space="preserve"> (פ/2077/25)</t>
  </si>
  <si>
    <t xml:space="preserve">הצעת חוק שירות הציבור (הגבלות לאחר פרישה) (תיקון - תקופת צינון לנושאי משרה בכירה בשירות הציבור), התשפ"ג-2023</t>
  </si>
  <si>
    <t xml:space="preserve"> (פ/2076/25)</t>
  </si>
  <si>
    <t xml:space="preserve">הצעת חוק הבנקאות (שירות ללקוח) (תיקון - קיצור משך זמן לביטול שעבוד), התשפ"ג-2023</t>
  </si>
  <si>
    <t xml:space="preserve"> (פ/2074/25)</t>
  </si>
  <si>
    <t xml:space="preserve"> (פ/2073/25)</t>
  </si>
  <si>
    <t xml:space="preserve">הצעת חוק המכר (דירות) (תיקון - הגבלת הסכום הנקוב במפרט בשל שינוי מיקומו של פריט בדירה חדשה), התשפ"ג-2023</t>
  </si>
  <si>
    <t xml:space="preserve"> (פ/2071/25)</t>
  </si>
  <si>
    <t xml:space="preserve"> (פ/2070/25)</t>
  </si>
  <si>
    <t xml:space="preserve"> (פ/2068/25)</t>
  </si>
  <si>
    <t xml:space="preserve">הצעת חוק שיפוט בתי דין רבניים (נישואין וגירושין) (תיקון - קציבת זמן לכריכת ענייני ממון ומשמורת), התשפ"ג-2023</t>
  </si>
  <si>
    <t xml:space="preserve"> (פ/2067/25)</t>
  </si>
  <si>
    <t xml:space="preserve"> (פ/2065/25)</t>
  </si>
  <si>
    <t xml:space="preserve">הצעת חוק איסור הפליה במוצרים, בשירותים ובכניסה למקומות בידור ולמקומות ציבוריים (תיקון - איסור בקשה לשינוי בהסדר במתן השירות), התשפ"ג-2023</t>
  </si>
  <si>
    <t xml:space="preserve"> (פ/2064/25)</t>
  </si>
  <si>
    <t xml:space="preserve">הצעת חוק איסור פרסום הפליה (תיקוני חקיקה), התשפ"ג-2023</t>
  </si>
  <si>
    <t xml:space="preserve"> (פ/2063/25)</t>
  </si>
  <si>
    <t xml:space="preserve">הצעת חוק לתיקון פקודת התעבורה (שירות טלפוני לדיווח ולקבלת תלונות על עבירות תעבורה או נהיגה מסוכנת של נהג אוטובוס), התשפ"ג-2023</t>
  </si>
  <si>
    <t xml:space="preserve"> (פ/2062/25)</t>
  </si>
  <si>
    <t xml:space="preserve">הצעת חוק הרבנות הראשית לישראל (תיקון - ייצוג הציבור באסיפה הבוחרת), התשפ"ג-2023</t>
  </si>
  <si>
    <t xml:space="preserve"> (פ/2061/25)</t>
  </si>
  <si>
    <t xml:space="preserve">הצעת חוק לתיקון פקודת התעבורה (פיצוי למתלונן), התשפ"ג-2023</t>
  </si>
  <si>
    <t xml:space="preserve"> (פ/2060/25)</t>
  </si>
  <si>
    <t xml:space="preserve"> (פ/2059/25)</t>
  </si>
  <si>
    <t xml:space="preserve">הצעת חוק סמכות ואחריות הורית (מזונות), התשפ"ג-2023</t>
  </si>
  <si>
    <t xml:space="preserve"> (פ/2058/25)</t>
  </si>
  <si>
    <t xml:space="preserve"> (פ/2057/25)</t>
  </si>
  <si>
    <t xml:space="preserve">הצעת חוק הגנת הצרכן (תיקון - תאריך ייצור ומועד תפוגה בגודל גופן קריא), התשפ"ג-2023</t>
  </si>
  <si>
    <t xml:space="preserve"> (פ/2056/25)</t>
  </si>
  <si>
    <t xml:space="preserve"> (פ/2054/25)</t>
  </si>
  <si>
    <t xml:space="preserve">הצעת חוק הצבת מכשירי החייאה במקומות ציבוריים (תיקון - בדיקות תקינות שנתיות ותיעודן), התשפ"ג-2023</t>
  </si>
  <si>
    <t xml:space="preserve"> (פ/2053/25)</t>
  </si>
  <si>
    <t xml:space="preserve"> (פ/2052/25)</t>
  </si>
  <si>
    <t xml:space="preserve">הצעת חוק העונשין (תיקון - החמרת ענישה על תקיפת קטין או חסר ישע), התשפ"ג-2023</t>
  </si>
  <si>
    <t xml:space="preserve"> (פ/2050/25)</t>
  </si>
  <si>
    <t xml:space="preserve">הצעת חוק השכירות והשאילה (תיקון - הגבלה על העלאת דמי השכירות), התשפ"ג-2023</t>
  </si>
  <si>
    <t xml:space="preserve"> (פ/2049/25)</t>
  </si>
  <si>
    <t xml:space="preserve">הצעת חוק שוויון זכויות לאנשים עם מוגבלות (תיקון - הכשרה מתאימה לממונה תעסוקה), התשפ"ג-2023</t>
  </si>
  <si>
    <t xml:space="preserve"> (פ/2048/25)</t>
  </si>
  <si>
    <t xml:space="preserve">הצעת חוק הביטוח הלאומי (תיקון - ביטוח זכויות בהליכי חדלות פירעון לעובד עצמאי שעיקר הכנסתו ממקור אחד), התשפ"ג-2023</t>
  </si>
  <si>
    <t xml:space="preserve"> (פ/2047/25)</t>
  </si>
  <si>
    <t xml:space="preserve">הצעת חוק חובת מיגון לנכים, קשישים, דיירי הדיור הציבורי ולמתגוררים ביישובי קו העימות בעוטף עזה, התשפ"ג-2023</t>
  </si>
  <si>
    <t xml:space="preserve"> (פ/2046/25)</t>
  </si>
  <si>
    <t xml:space="preserve">הצעת חוק תגמול נושאי משרה בחברות ציבוריות, התשפ"ג-2023</t>
  </si>
  <si>
    <t xml:space="preserve"> (פ/2045/25)</t>
  </si>
  <si>
    <t xml:space="preserve">הצעת חוק דמי נסיעה לסטודנטים בתחבורה ציבורית (תיקוני חקיקה), התשפ"ג-2023</t>
  </si>
  <si>
    <t xml:space="preserve"> (פ/2044/25)</t>
  </si>
  <si>
    <t xml:space="preserve">הצעת חוק לתיקון פקודת התעבורה (הסדר ארצי אחיד לעניין גרירת רכב), התשפ"ג-2023</t>
  </si>
  <si>
    <t xml:space="preserve"> (פ/2043/25)</t>
  </si>
  <si>
    <t xml:space="preserve">הצעת חוק המים (תיקון - הנחות לאוכלוסיות זכאיות), התשפ"ג-2023</t>
  </si>
  <si>
    <t xml:space="preserve"> (פ/2042/25)</t>
  </si>
  <si>
    <t xml:space="preserve">הצעת חוק הגנת הצרכן (תיקון - חובת גילוי הוזלה במחיר בעסקה מתמשכת), התשפ"ג-2023</t>
  </si>
  <si>
    <t xml:space="preserve"> (פ/2039/25)</t>
  </si>
  <si>
    <t xml:space="preserve"> (פ/2038/25)</t>
  </si>
  <si>
    <t xml:space="preserve">הצעת חוק חוזה העבודה (הסדרי עבודה מרחוק), התשפ"ג-2023</t>
  </si>
  <si>
    <t xml:space="preserve"> (פ/2037/25)</t>
  </si>
  <si>
    <t xml:space="preserve">הצעת חוק דמי מחלה (תיקון - קרן ימי מחלה), התשפ"ג-2023</t>
  </si>
  <si>
    <t xml:space="preserve"> (פ/2036/25)</t>
  </si>
  <si>
    <t xml:space="preserve"> (פ/2035/25)</t>
  </si>
  <si>
    <t xml:space="preserve">הצעת חוק לתיקון פקודת הסטטיסטיקה (סטטיסטיקה לפי מגדר), התשפ"ג-2023</t>
  </si>
  <si>
    <t xml:space="preserve"> (פ/2034/25)</t>
  </si>
  <si>
    <t xml:space="preserve">הצעת חוק שוויון זכויות לאנשים עם מוגבלות (תיקון - בירור תלונות ופיקוח על שמירת זכויות של אנשים עם מוגבלות במסגרות מגורים), התשפ"ג-2023</t>
  </si>
  <si>
    <t xml:space="preserve"> (פ/2033/25)</t>
  </si>
  <si>
    <t xml:space="preserve">הצעת חוק למניעת אלימות במשפחה (תיקון - דיון במעמד צד אחד באלימות נפשית), התשפ"ג-2023</t>
  </si>
  <si>
    <t xml:space="preserve"> (פ/2032/25)</t>
  </si>
  <si>
    <t xml:space="preserve">הצעת חוק הקמת מאגר מידע דיגיטלי בנושא הכשרות מקצועיות, התשפ"ג-2023</t>
  </si>
  <si>
    <t xml:space="preserve"> (פ/2031/25)</t>
  </si>
  <si>
    <t xml:space="preserve">הצעת חוק הגנת הצרכן (תיקון - חובת סימון נפח האריזה וקביעת הנפח בשימוש), התשפ"ג-2023</t>
  </si>
  <si>
    <t xml:space="preserve"> (פ/2030/25)</t>
  </si>
  <si>
    <t xml:space="preserve">הצעת חוק הכשרות לאנשי מקצוע בתחום הבריאות בנושא מגדר ונטייה מינית, התשפ"ג-2023</t>
  </si>
  <si>
    <t xml:space="preserve"> (פ/2028/25)</t>
  </si>
  <si>
    <t xml:space="preserve"> (פ/2027/25)</t>
  </si>
  <si>
    <t xml:space="preserve">הצעת חוק המרכז לגביית קנסות, אגרות והוצאות (תיקון - גביית חובות עבור רשות המים הארצית), התשפ"ג-2023</t>
  </si>
  <si>
    <t xml:space="preserve"> (פ/2026/25)</t>
  </si>
  <si>
    <t xml:space="preserve">הצעת חוק לתיקון פקודת התעבורה (פטור מתשלום דמי חניה לרכב של כונן רפואת חירום עם ציוד), התשפ"ג-2023</t>
  </si>
  <si>
    <t xml:space="preserve"> (פ/2025/25)</t>
  </si>
  <si>
    <t xml:space="preserve">הצעת חוק אימוץ ילדים (תיקון - אימוץ על ידי הורה יחיד), התשפ״ג-2023</t>
  </si>
  <si>
    <t xml:space="preserve"> (פ/2023/25)</t>
  </si>
  <si>
    <t xml:space="preserve">הצעת חוק הגנת הצרכן (תיקון - הארכת תקופת האחריות), התשפ"ג-2023</t>
  </si>
  <si>
    <t xml:space="preserve"> (פ/2022/25)</t>
  </si>
  <si>
    <t xml:space="preserve">הצעת חוק העונשין (תיקון - מרמה והפרת אמונים), התשפ"ג-2023</t>
  </si>
  <si>
    <t xml:space="preserve"> (פ/2021/25)</t>
  </si>
  <si>
    <t xml:space="preserve"> (פ/2020/25)</t>
  </si>
  <si>
    <t xml:space="preserve">הצעת חוק זכויות החולה (תיקון - הסדר חניה למאושפזים בבית חולים ולמבקריהם), התשפ"ג-2023</t>
  </si>
  <si>
    <t xml:space="preserve"> (פ/2019/25)</t>
  </si>
  <si>
    <t xml:space="preserve"> (פ/2017/25)</t>
  </si>
  <si>
    <t xml:space="preserve">הצעת חוק התקנת מצלמות לשם הגנה על פעוטות במעונות יום לפעוטות (תיקון - זכות ההורים לצפות בצילומים), התשפ"ג-2023</t>
  </si>
  <si>
    <t xml:space="preserve"> (פ/2016/25)</t>
  </si>
  <si>
    <t xml:space="preserve">הצעת חוק לתיקון פקודת העיריות (חובות וזכויות חברי מועצה), התשפ''ג-2023</t>
  </si>
  <si>
    <t xml:space="preserve"> (פ/2015/25)</t>
  </si>
  <si>
    <t xml:space="preserve">הצעת חוק חסינות חברי הכנסת, זכויותיהם וחובותיהם (תיקון - חיפוש בחומר מחשב וסמכות יושב ראש הכנסת), התשפ"ג-2023</t>
  </si>
  <si>
    <t xml:space="preserve"> (פ/2014/25)</t>
  </si>
  <si>
    <t xml:space="preserve"> (פ/2012/25)</t>
  </si>
  <si>
    <t xml:space="preserve">הצעת חוק התכנון והבנייה (תיקון - גני ילדים ומעונות יום), התשפ"ג-2023</t>
  </si>
  <si>
    <t xml:space="preserve"> (פ/2010/25)</t>
  </si>
  <si>
    <t xml:space="preserve"> (פ/2009/25)</t>
  </si>
  <si>
    <t xml:space="preserve"> (פ/2008/25)</t>
  </si>
  <si>
    <t xml:space="preserve"> (פ/2007/25)</t>
  </si>
  <si>
    <t xml:space="preserve">הצעת חוק-יסוד: הכנסת (תיקון - ביטול הדרישה לוויתור על אזרחות זרה)</t>
  </si>
  <si>
    <t xml:space="preserve"> (פ/2006/25)</t>
  </si>
  <si>
    <t xml:space="preserve"> (פ/2005/25)</t>
  </si>
  <si>
    <t xml:space="preserve">הצעת חוק חופש המידע (תיקון - מידע על נגישות), התשפ"ג-2023</t>
  </si>
  <si>
    <t xml:space="preserve"> (פ/2004/25)</t>
  </si>
  <si>
    <t xml:space="preserve">הצעת חוק הביטוח הלאומי (תיקון - העלאת דמי האבטלה למי שטרם מלאו לו 28 שנים ויש עמו ילד), התשפ"ג-2023 </t>
  </si>
  <si>
    <t xml:space="preserve"> (פ/2003/25)</t>
  </si>
  <si>
    <t xml:space="preserve"> (פ/2002/25)</t>
  </si>
  <si>
    <t xml:space="preserve"> (פ/2001/25)</t>
  </si>
  <si>
    <t xml:space="preserve"> (פ/1999/25)</t>
  </si>
  <si>
    <t xml:space="preserve">הצעת חוק ביטוח בריאות ממלכתי (תיקון - ביטול הגבלת זכותו של תושב גלמוד ששהה מחוץ לישראל), התשפ"ג-2023</t>
  </si>
  <si>
    <t xml:space="preserve"> (פ/1998/25)</t>
  </si>
  <si>
    <t xml:space="preserve"> (פ/1997/25)</t>
  </si>
  <si>
    <t xml:space="preserve">הצעת חוק סיוע בקידום תעסוקתי למשפחות של עובדים מעוטי הכנסה, התשפ"ג-2023</t>
  </si>
  <si>
    <t xml:space="preserve"> (פ/1996/25)</t>
  </si>
  <si>
    <t xml:space="preserve"> (פ/1995/25)</t>
  </si>
  <si>
    <t xml:space="preserve"> (פ/1994/25)</t>
  </si>
  <si>
    <t xml:space="preserve"> (פ/1993/25)</t>
  </si>
  <si>
    <t xml:space="preserve">הצעת חוק סינון אתרים פוגעניים במקומות ציבוריים, התשפ"ג-2023</t>
  </si>
  <si>
    <t xml:space="preserve"> (פ/1992/25)</t>
  </si>
  <si>
    <t xml:space="preserve">הצעת חוק הצמדת תשלומים לחיילים בודדים למדד המחירים לצרכן, התשפ"ג-2023</t>
  </si>
  <si>
    <t xml:space="preserve"> (פ/1991/25)</t>
  </si>
  <si>
    <t xml:space="preserve">הצעת חוק למניעת כפייה מינית, התשפ"ג-2023</t>
  </si>
  <si>
    <t xml:space="preserve"> (פ/1990/25)</t>
  </si>
  <si>
    <t xml:space="preserve"> (פ/1989/25)</t>
  </si>
  <si>
    <t xml:space="preserve">הצעת חוק-יסוד: השפיטה (תיקון - מינוי שופטים לבית המשפט העליון וקציבת כהונתם)</t>
  </si>
  <si>
    <t xml:space="preserve"> (פ/1988/25)</t>
  </si>
  <si>
    <t xml:space="preserve">הצעת חוק למניעת התעמרות בעבודה, התשפ"ג-2023</t>
  </si>
  <si>
    <t xml:space="preserve"> (פ/1987/25)</t>
  </si>
  <si>
    <t xml:space="preserve">הצעת חוק זכויות נפגעי עבירה (תיקון - החלת זכויות בדין האזרחי), התשפ"ג-2023</t>
  </si>
  <si>
    <t xml:space="preserve"> (פ/1984/25)</t>
  </si>
  <si>
    <t xml:space="preserve"> (פ/1983/25)</t>
  </si>
  <si>
    <t xml:space="preserve"> (פ/1982/25)</t>
  </si>
  <si>
    <t xml:space="preserve">הצעת חוק הביטוח הלאומי (תיקון - הכפלת קצבת הילדים בחודשי החגים), התשפ"ג-2023</t>
  </si>
  <si>
    <t xml:space="preserve"> (פ/1981/25)</t>
  </si>
  <si>
    <t xml:space="preserve">הצעת חוק ארוחת בוקר במוסדות חינוך, התשפ"ג-2023</t>
  </si>
  <si>
    <t xml:space="preserve"> (פ/1980/25)</t>
  </si>
  <si>
    <t xml:space="preserve"> (פ/1979/25)</t>
  </si>
  <si>
    <t xml:space="preserve">הצעת חוק הודעה לעובד ולמועמד לעבודה (תנאי עבודה והליכי מיון וקבלה לעבודה) (תיקון - הגברת השקיפות בעניין הפרשות לפנסיה), התשפ"ג-2023</t>
  </si>
  <si>
    <t xml:space="preserve"> (פ/1978/25)</t>
  </si>
  <si>
    <t xml:space="preserve"> (פ/1977/25)</t>
  </si>
  <si>
    <t xml:space="preserve"> (פ/1976/25)</t>
  </si>
  <si>
    <t xml:space="preserve"> (פ/1974/25)</t>
  </si>
  <si>
    <t xml:space="preserve">הצעת חוק הפסיכולוגים (תיקון - פסיכולוג שהורשע בעבירת מין), התשפ"ג-2023</t>
  </si>
  <si>
    <t xml:space="preserve"> (פ/1972/25)</t>
  </si>
  <si>
    <t xml:space="preserve"> (פ/1971/25)</t>
  </si>
  <si>
    <t xml:space="preserve"> (פ/1970/25)</t>
  </si>
  <si>
    <t xml:space="preserve">הצעת חוק הרשתות החברתיות, התשפ"ג-2023</t>
  </si>
  <si>
    <t xml:space="preserve"> (פ/1969/25)</t>
  </si>
  <si>
    <t xml:space="preserve">הצעת חוק בחינת חלופות מדיניות לא-צבאיות (תיקוני חקיקה), התשפ"ג-2023</t>
  </si>
  <si>
    <t xml:space="preserve"> (פ/1968/25)</t>
  </si>
  <si>
    <t xml:space="preserve">הצעת חוק לשיפור השירות במגזר הציבורי, התשפ"ג-2023</t>
  </si>
  <si>
    <t xml:space="preserve"> (פ/1967/25)</t>
  </si>
  <si>
    <t xml:space="preserve">הצעת חוק משפחות חיילים שנספו במערכה (תגמולים ושיקום) (תיקון - תשלום לבן זוגו של שכול שנפטר), התשפ"ג-2023</t>
  </si>
  <si>
    <t xml:space="preserve"> (פ/1966/25)</t>
  </si>
  <si>
    <t xml:space="preserve">הצעת חוק גיל פרישה (תיקון - שינוי גיל הפרישה לעובדים בענף הבניין), התשפ"ג-2023</t>
  </si>
  <si>
    <t xml:space="preserve"> (פ/1965/25)</t>
  </si>
  <si>
    <t xml:space="preserve">הצעת חוק שוויון ההזדמנויות בעבודה (תיקון - ייצוג הולם לאוכלוסייה הערבית), התשפ"ג-2023</t>
  </si>
  <si>
    <t xml:space="preserve"> (פ/1964/25)</t>
  </si>
  <si>
    <t xml:space="preserve">הצעת חוק הביטוח הלאומי (תיקון - חישוב דמי לידה לפי שנה שקדמה ליום הקובע), התשפ"ג-2023</t>
  </si>
  <si>
    <t xml:space="preserve"> (פ/1963/25)</t>
  </si>
  <si>
    <t xml:space="preserve"> (פ/1962/25)</t>
  </si>
  <si>
    <t xml:space="preserve">הצעת חוק-יסוד: הדגל, הסמל והמנון המדינה</t>
  </si>
  <si>
    <t xml:space="preserve"> (פ/1961/25)</t>
  </si>
  <si>
    <t xml:space="preserve"> (פ/1960/25)</t>
  </si>
  <si>
    <t xml:space="preserve"> (פ/1959/25)</t>
  </si>
  <si>
    <t xml:space="preserve">הצעת חוק צער בעלי חיים (הגנה על בעלי חיים) (תיקון - איסור משלוחים חיים לשחיטה), התשפ"ג-2023</t>
  </si>
  <si>
    <t xml:space="preserve"> (פ/1958/25)</t>
  </si>
  <si>
    <t xml:space="preserve">הצעת חוק הביטוח הלאומי (תיקון - אי-שלילת זכאות לגמלת סיעוד מקשיש לאחר פטירת בן הזוג), התשפ"ג-2023</t>
  </si>
  <si>
    <t xml:space="preserve"> (פ/1957/25)</t>
  </si>
  <si>
    <t xml:space="preserve"> (פ/1955/25)</t>
  </si>
  <si>
    <t xml:space="preserve">הצעת חוק פיצוי עסקים קטנים בשל אירועי איבה מתמשכים או מצב חירום כלכלי, התשפ"ג-2023</t>
  </si>
  <si>
    <t xml:space="preserve"> (פ/1954/25)</t>
  </si>
  <si>
    <t xml:space="preserve">הצעת חוק לתיקון פקודת מס הכנסה (ניכוי תשלומים לביטוח בריאות לעצמאים), התשפ"ג-2023 </t>
  </si>
  <si>
    <t xml:space="preserve"> (פ/1953/25)</t>
  </si>
  <si>
    <t xml:space="preserve">הצעת חוק הביטוח הלאומי (תיקון - בדיקת תלות בידי רופא מומחה למבוטח שמלאו לו 75 שנים), התשפ"ג-2023</t>
  </si>
  <si>
    <t xml:space="preserve"> (פ/1952/25)</t>
  </si>
  <si>
    <t xml:space="preserve">הצעת חוק התוכנית הכלכלית (תיקוני חקיקה ליישום המדיניות הכלכלית לשנות התקציב 2021 ו-2022) (תיקון - דחיית יישום רפורמת הכשרות וביטול הוראת שעה), התשפ"ג-2023</t>
  </si>
  <si>
    <t xml:space="preserve"> (פ/1947/25)</t>
  </si>
  <si>
    <t xml:space="preserve">הצעת חוק הגנת הצרכן (תיקון - סיכום פנייה), התשפ"ג-2023</t>
  </si>
  <si>
    <t xml:space="preserve"> (פ/1946/25)</t>
  </si>
  <si>
    <t xml:space="preserve"> (פ/1945/25)</t>
  </si>
  <si>
    <t xml:space="preserve">הצעת חוק ביטוח בריאות ממלכתי (תיקון - החזר דמי נסיעות והסעות לטיפולי אונקולוגיה ודיאליזה), התשפ"ג-2023</t>
  </si>
  <si>
    <t xml:space="preserve"> (פ/1944/25)</t>
  </si>
  <si>
    <t xml:space="preserve"> (פ/1943/25)</t>
  </si>
  <si>
    <t xml:space="preserve"> (פ/1942/25)</t>
  </si>
  <si>
    <t xml:space="preserve">הצעת חוק התכנון והבנייה (תיקון מס' 116) (תיקון - ביטול החוק), התשפ"ג-2023</t>
  </si>
  <si>
    <t xml:space="preserve"> (פ/1941/25)</t>
  </si>
  <si>
    <t xml:space="preserve">הצעת חוק הביטוח הלאומי (תיקון - גמלה בשל דיכאון לאחר לידה), התשפ"ג-2023</t>
  </si>
  <si>
    <t xml:space="preserve"> (פ/1940/25)</t>
  </si>
  <si>
    <t xml:space="preserve">חוק להארכת תוקפן של תקנות שעת חירום (יהודה והשומרון – שיפוט בעבירות ועזרה משפטית), התשפ"ג-2023</t>
  </si>
  <si>
    <t xml:space="preserve"> (מ/1589)</t>
  </si>
  <si>
    <t xml:space="preserve">24.01.2023</t>
  </si>
  <si>
    <t xml:space="preserve">חוק להארכת תוקפן של תקנות שעת חירום (יהודה והשומרון – שיפוט בעבירות ועזרה משפטית), התשפ"ג-2023 התקבל בקריאה השנייה ובקריאה השלישית ביום ב' בשבט תשפ"ג (24 בינואר 2023).  החוק האריך בחמש שנים, עד ה-15 בפברואר 2028, את תוקפן של תקנות שעת חירום (יהודה והשומרון – שיפוט בעבירות ועזרה משפטית), התשכ"ז-1967. התקנות עוסקות ביחסי הגומלין המשפטיים בין ישראל לבין אזור יהודה והשומרון, לרבות הסדרת החיים והסמכויות לגבי ישראלים המתגוררים בו (דוגמת: הקניית סמכות לבתי המשפט בישראל לדון, לפי הדין הישראלי, בעניינו של ישראלי שביצע עבירות פליליות באזור; קביעת סמכויות שיטור לשוטרי משטרת ישראל לפעול ביחס לעבירות פליליות שבתי משפט בישראל או בתי משפט צבאיים באזור מוסמכים לדון בהן; הרחבת סמכויותיהם של מי שהוקנו להם בישראל סמכויות בענייני מיסים, הוצאה לפועל, אגודות שיתופיות, עמותות ועוד, להפעיל את סמכויותיהם גם באזור), והעזרה המשפטית בין ישראל לרשות הפלסטינית. </t>
  </si>
  <si>
    <t xml:space="preserve">חוק-יסוד: הכנסת (תיקון מס' 52)</t>
  </si>
  <si>
    <t xml:space="preserve"> (כ/944)</t>
  </si>
  <si>
    <t xml:space="preserve">23.01.2023</t>
  </si>
  <si>
    <t xml:space="preserve">הורחב ההסדר המאפשר לחבר הכנסת המעוניין בכך להפסיק זמנית את כהונתו בכנסת כל עוד הוא מכהן במשרת שר או סגן שר, כך שהדבר יתאפשר גם לחברי הכנסת הנמנים עם סיעות קטנות שבהן שלושה חברים או פחות, ובסיעות גדולות, המונות לפחות 18 חברים, יתאפשר ליותר חברי הכנסת לפעול על פי ההסדר. </t>
  </si>
  <si>
    <t xml:space="preserve">הצעת חוק בתי המשפט (תיקון - הוועדה לבחירת שופטים), התשפ"ג-2023</t>
  </si>
  <si>
    <t xml:space="preserve"> (פ/1938/25)</t>
  </si>
  <si>
    <t xml:space="preserve">הצעת חוק-יסוד: השפיטה (תיקון - רפורמה במשפט)</t>
  </si>
  <si>
    <t xml:space="preserve"> (פ/1937/25)</t>
  </si>
  <si>
    <t xml:space="preserve">הצעת חוק הרשות הלאומית לאיחוד העם, התשפ"ג-2023</t>
  </si>
  <si>
    <t xml:space="preserve"> (פ/1936/25)</t>
  </si>
  <si>
    <t xml:space="preserve">הצעת חוק שכר מינימום (תיקון - העלאת שכר המינימום ועדכונו לפי פריון העבודה), התשפ"ג-2023</t>
  </si>
  <si>
    <t xml:space="preserve"> (פ/1935/25)</t>
  </si>
  <si>
    <t xml:space="preserve">הצעת חוק רשת ביטחון לעצמאים - הפקדות וזכויות סוציאליות (תיקוני חקיקה), התשפ"ג-2023</t>
  </si>
  <si>
    <t xml:space="preserve"> (פ/1934/25)</t>
  </si>
  <si>
    <t xml:space="preserve">הצעת חוק שירות ביטחון (תיקון - שילוב תלמידי ישיבות), התשפ"ג-2023</t>
  </si>
  <si>
    <t xml:space="preserve"> (פ/1933/25)</t>
  </si>
  <si>
    <t xml:space="preserve"> (פ/1932/25)</t>
  </si>
  <si>
    <t xml:space="preserve"> (פ/1931/25)</t>
  </si>
  <si>
    <t xml:space="preserve"> (פ/1930/25)</t>
  </si>
  <si>
    <t xml:space="preserve">הצעת חוק לתיקון פקודת מס הכנסה (סמכות ועדת הכספים באישור מוסד ציבורי לעניין הטבות מס), התשפ"ג-2023</t>
  </si>
  <si>
    <t xml:space="preserve"> (פ/1929/25)</t>
  </si>
  <si>
    <t xml:space="preserve"> (פ/1927/25)</t>
  </si>
  <si>
    <t xml:space="preserve"> (פ/1926/25)</t>
  </si>
  <si>
    <t xml:space="preserve"> (פ/1925/25)</t>
  </si>
  <si>
    <t xml:space="preserve"> (פ/1924/25)</t>
  </si>
  <si>
    <t xml:space="preserve">הצעת חוק הביטוח הלאומי (תיקון - הגדלת קצבת הנכות), התשפ"ג-2023</t>
  </si>
  <si>
    <t xml:space="preserve"> (פ/1923/25)</t>
  </si>
  <si>
    <t xml:space="preserve">הצעת חוק להגדלת שיעור ההשתתפות בכוח העבודה ולצמצום פערים חברתיים (מענק עבודה) (תיקון - פטור מהשבת מענקים להתמודדות עם השלכות נגיף הקורונה), התשפ"ג-2023</t>
  </si>
  <si>
    <t xml:space="preserve"> (פ/1922/25)</t>
  </si>
  <si>
    <t xml:space="preserve">הצעת חוק לתיקון פקודת מס הכנסה (הכרה בניכוי הפקדות לביטוח סיעודי), התשפ"ג-2023</t>
  </si>
  <si>
    <t xml:space="preserve"> (פ/1921/25)</t>
  </si>
  <si>
    <t xml:space="preserve"> (פ/1920/25)</t>
  </si>
  <si>
    <t xml:space="preserve">הצעת חוק האזרחות והכניסה לישראל (הוראת שעה) (תיקון - היתר לגבי בני זוג), התשפ"ג-2023</t>
  </si>
  <si>
    <t xml:space="preserve"> (פ/1919/25)</t>
  </si>
  <si>
    <t xml:space="preserve"> (פ/1918/25)</t>
  </si>
  <si>
    <t xml:space="preserve"> (פ/1917/25)</t>
  </si>
  <si>
    <t xml:space="preserve">הצעת חוק הגנת הצרכן (תיקון - איסור גביית עמלה בהרשאה לחיוב חשבון בהוראת קבע), התשפ"ג-2023</t>
  </si>
  <si>
    <t xml:space="preserve"> (פ/1916/25)</t>
  </si>
  <si>
    <t xml:space="preserve"> (פ/1915/25)</t>
  </si>
  <si>
    <t xml:space="preserve">הצעת חוק חופשה שנתית (תיקון - ימים שאינם נמנים בימי חופשה), התשפ"ג-2023 </t>
  </si>
  <si>
    <t xml:space="preserve"> (פ/1914/25)</t>
  </si>
  <si>
    <t xml:space="preserve">הצעת חוק ביטוח בריאות ממלכתי (תיקון - העברת שירותי הגמילה לאחריות קופות החולים וטיפול בהתמכרויות), התשפ"ג-2023</t>
  </si>
  <si>
    <t xml:space="preserve"> (פ/1913/25)</t>
  </si>
  <si>
    <t xml:space="preserve"> (פ/1912/25)</t>
  </si>
  <si>
    <t xml:space="preserve"> (פ/1911/25)</t>
  </si>
  <si>
    <t xml:space="preserve">הצעת חוק איסור הפליה ברישוי מחמת מצב בריאותי (תיקוני חקיקה), התשפ"ג-2023</t>
  </si>
  <si>
    <t xml:space="preserve"> (פ/1910/25)</t>
  </si>
  <si>
    <t xml:space="preserve"> (פ/1909/25)</t>
  </si>
  <si>
    <t xml:space="preserve">הצעת חוק הטבות לניצולי שואה (תיקון - הגדלת מענק שנתי), התשפ"ג-2023</t>
  </si>
  <si>
    <t xml:space="preserve"> (פ/1908/25)</t>
  </si>
  <si>
    <t xml:space="preserve"> (פ/1907/25)</t>
  </si>
  <si>
    <t xml:space="preserve"> (פ/1906/25)</t>
  </si>
  <si>
    <t xml:space="preserve"> (פ/1904/25)</t>
  </si>
  <si>
    <t xml:space="preserve"> (פ/1903/25)</t>
  </si>
  <si>
    <t xml:space="preserve">הצעת חוק משק החשמל (תיקון - הרחבת ההנחה בתשלומי חשמל), התשפ"ג-2023</t>
  </si>
  <si>
    <t xml:space="preserve"> (פ/1902/25)</t>
  </si>
  <si>
    <t xml:space="preserve"> (פ/1901/25)</t>
  </si>
  <si>
    <t xml:space="preserve">הצעת חוק איסור שימוש ברכב ממשלתי לשר וסגן שר ביום המנוחה השבועי ובחג, התשפ"ג-2023</t>
  </si>
  <si>
    <t xml:space="preserve"> (פ/1900/25)</t>
  </si>
  <si>
    <t xml:space="preserve">הצעת חוק זכויות החולה (תיקון - זכות מטופל לקבל רשומות רפואיות), התשפ"ג-2023</t>
  </si>
  <si>
    <t xml:space="preserve"> (פ/1899/25)</t>
  </si>
  <si>
    <t xml:space="preserve">הצעת חוק לתיקון פקודת ביטוח רכב מנועי (חיוב שיווק פוליסה), התשפ"ג-2023</t>
  </si>
  <si>
    <t xml:space="preserve"> (פ/1898/25)</t>
  </si>
  <si>
    <t xml:space="preserve"> (פ/1897/25)</t>
  </si>
  <si>
    <t xml:space="preserve">הצעת חוק שירות התעסוקה (תיקון - נגישות לתחבורה ציבורית), התשפ"ג-2023</t>
  </si>
  <si>
    <t xml:space="preserve"> (פ/1896/25)</t>
  </si>
  <si>
    <t xml:space="preserve"> (פ/1895/25)</t>
  </si>
  <si>
    <t xml:space="preserve">הצעת חוק הביטוח הלאומי (תיקון - גמלה לשמירת היריון לאם שילדה פג), התשפ"ג-2023</t>
  </si>
  <si>
    <t xml:space="preserve"> (פ/1894/25)</t>
  </si>
  <si>
    <t xml:space="preserve">הצעת חוק הגנת הצרכן (תיקון - צירוף הוראות שימוש בשפה העברית ובשפה הערבית למכשיר חשמלי), התשפ"ג-2023 </t>
  </si>
  <si>
    <t xml:space="preserve"> (פ/1893/25)</t>
  </si>
  <si>
    <t xml:space="preserve">הצעת חוק-יסוד: הכנסת (תיקון - מניעת השתתפות של תומכי חרם בישראל בבחירות)</t>
  </si>
  <si>
    <t xml:space="preserve"> (פ/1892/25)</t>
  </si>
  <si>
    <t xml:space="preserve">הצעת חוק הגנת השכר (תיקון - פיצויי פיטורים בזמן אמת), התשפ"ג-2023</t>
  </si>
  <si>
    <t xml:space="preserve"> (פ/1891/25)</t>
  </si>
  <si>
    <t xml:space="preserve"> (פ/1890/25)</t>
  </si>
  <si>
    <t xml:space="preserve"> (פ/1889/25)</t>
  </si>
  <si>
    <t xml:space="preserve">הצעת חוק לתיקון פקודת התעבורה (איסור עישון ברכב שנמצא בו קטין שטרם מלאו לו 15 שנים), התשפ"ג-2023</t>
  </si>
  <si>
    <t xml:space="preserve"> (פ/1887/25)</t>
  </si>
  <si>
    <t xml:space="preserve">הצעת חוק הנכים (תגמולים ושיקום) (תיקון - הארכת תקופת הערעור על החלטת קצין התגמולים), התשפ"ג-2023</t>
  </si>
  <si>
    <t xml:space="preserve"> (פ/1886/25)</t>
  </si>
  <si>
    <t xml:space="preserve"> (פ/1885/25)</t>
  </si>
  <si>
    <t xml:space="preserve"> (פ/1884/25)</t>
  </si>
  <si>
    <t xml:space="preserve">הצעת חוק לתיקון פקודת הרוקחים (חיוב רישום רכיבי תמרוקים ומוצרי ניקיון), התשפ"ג-2023</t>
  </si>
  <si>
    <t xml:space="preserve"> (פ/1883/25)</t>
  </si>
  <si>
    <t xml:space="preserve"> (פ/1882/25)</t>
  </si>
  <si>
    <t xml:space="preserve"> (פ/1881/25)</t>
  </si>
  <si>
    <t xml:space="preserve">הצעת חוק הביטוח הלאומי (תיקון - ביטוח שאירים לאלמן), התשפ"ג- 2023 </t>
  </si>
  <si>
    <t xml:space="preserve"> (פ/1879/25)</t>
  </si>
  <si>
    <t xml:space="preserve"> (פ/1878/25)</t>
  </si>
  <si>
    <t xml:space="preserve"> (פ/1877/25)</t>
  </si>
  <si>
    <t xml:space="preserve"> (פ/1876/25)</t>
  </si>
  <si>
    <t xml:space="preserve"> (פ/1875/25)</t>
  </si>
  <si>
    <t xml:space="preserve">הצעת חוק הסדרת הטיפול בחולי נפש (תיקוני חקיקה), התשפ"ג-2023</t>
  </si>
  <si>
    <t xml:space="preserve"> (פ/1874/25)</t>
  </si>
  <si>
    <t xml:space="preserve">הצעת חוק שעות עבודה ומנוחה (תיקון - הפסקה בין יום עבודה למשנהו שלא עולה על 8 שעות), התשפ"ג-2023</t>
  </si>
  <si>
    <t xml:space="preserve"> (פ/1872/25)</t>
  </si>
  <si>
    <t xml:space="preserve">הצעת חוק שכר מינימום (תיקון - שכר מינימום לעובד שטרם מלאו לו 18 שנים), התשפ"ג-2023</t>
  </si>
  <si>
    <t xml:space="preserve"> (פ/1870/25)</t>
  </si>
  <si>
    <t xml:space="preserve"> (פ/1869/25)</t>
  </si>
  <si>
    <t xml:space="preserve">הצעת חוק עבודת נשים (תיקון - איסור פיטורים בעת טיפולי פוריות), התשפ"ג-2023</t>
  </si>
  <si>
    <t xml:space="preserve"> (פ/1868/25)</t>
  </si>
  <si>
    <t xml:space="preserve"> (פ/1867/25)</t>
  </si>
  <si>
    <t xml:space="preserve">הצעת חוק לתיקון פקודת התעבורה (ריבית פיגורים בשל אי-תשלום קנס על עבירת חניה), התשפ"ג-2023</t>
  </si>
  <si>
    <t xml:space="preserve"> (פ/1866/25)</t>
  </si>
  <si>
    <t xml:space="preserve"> (פ/1865/25)</t>
  </si>
  <si>
    <t xml:space="preserve"> (פ/1864/25)</t>
  </si>
  <si>
    <t xml:space="preserve">הצעת חוק הבנקאות (שירות ללקוח) (תיקון - שינוי תקופת החזר של הלוואה לדיור), התשפ"ג-2023</t>
  </si>
  <si>
    <t xml:space="preserve"> (פ/1863/25)</t>
  </si>
  <si>
    <t xml:space="preserve">הצעת חוק הגנת השכר (תיקון - תשלום שכר עבודה בעת הליכי מיון והשמה), התשפ"ג-2023</t>
  </si>
  <si>
    <t xml:space="preserve"> (פ/1862/25)</t>
  </si>
  <si>
    <t xml:space="preserve">הצעת חוק פיקוח על מחירי מצרכים ושירותים (תיקון - קביעת ההפרש בין מחיר מצרך לצרכן ומחיר מצרך לקמעונאי כרווח מרבי), התשפ"ג-2023</t>
  </si>
  <si>
    <t xml:space="preserve"> (פ/1861/25)</t>
  </si>
  <si>
    <t xml:space="preserve"> (פ/1860/25)</t>
  </si>
  <si>
    <t xml:space="preserve">הצעת חוק האזרחים הוותיקים (תיקון - הטבות למקבלי פנסיה מזערית), התשפ"ג-2023</t>
  </si>
  <si>
    <t xml:space="preserve"> (פ/1859/25)</t>
  </si>
  <si>
    <t xml:space="preserve">הצעת חוק הגנת הצרכן (תיקון - חובת הצגת מחיר מוצר בעת עריכת החשבון בקופה), התשפ"ג-2023</t>
  </si>
  <si>
    <t xml:space="preserve"> (פ/1858/25)</t>
  </si>
  <si>
    <t xml:space="preserve"> (פ/1857/25)</t>
  </si>
  <si>
    <t xml:space="preserve">הצעת חוק הגנת הפרטיות (תיקון - מניעת פרסום פרטיו של אדם שנהרג או נפגע ברבים בטרם נמסרה הודעה למשפחה), התשפ"ג-2023</t>
  </si>
  <si>
    <t xml:space="preserve"> (פ/1856/25)</t>
  </si>
  <si>
    <t xml:space="preserve"> (פ/1855/25)</t>
  </si>
  <si>
    <t xml:space="preserve"> (פ/1854/25)</t>
  </si>
  <si>
    <t xml:space="preserve">הצעת חוק הביטוח הלאומי (תיקון - זכות טיעון לפני שלילת גמלה), התשפ"ג-2023</t>
  </si>
  <si>
    <t xml:space="preserve"> (פ/1853/25)</t>
  </si>
  <si>
    <t xml:space="preserve"> (פ/1851/25)</t>
  </si>
  <si>
    <t xml:space="preserve"> (פ/1850/25)</t>
  </si>
  <si>
    <t xml:space="preserve"> (פ/1849/25)</t>
  </si>
  <si>
    <t xml:space="preserve"> (פ/1848/25)</t>
  </si>
  <si>
    <t xml:space="preserve"> (פ/1846/25)</t>
  </si>
  <si>
    <t xml:space="preserve">הצעת חוק הרישום למוסדות להשכלה גבוהה, התשפ"ג-2023</t>
  </si>
  <si>
    <t xml:space="preserve"> (פ/1845/25)</t>
  </si>
  <si>
    <t xml:space="preserve">הצעת חוק התכנון והבנייה (תיקון - איסור שימוש ברכב או ציוד מכני הנדסי), התשפ"ג-2023</t>
  </si>
  <si>
    <t xml:space="preserve"> (פ/1844/25)</t>
  </si>
  <si>
    <t xml:space="preserve"> (פ/1843/25)</t>
  </si>
  <si>
    <t xml:space="preserve">הצעת חוק הגנת הצרכן (תיקון - השוואת תנאי צרכן ונותן שירות בעניין החזרת טובין), התשפ"ג-2023</t>
  </si>
  <si>
    <t xml:space="preserve"> (פ/1841/25)</t>
  </si>
  <si>
    <t xml:space="preserve"> (פ/1839/25)</t>
  </si>
  <si>
    <t xml:space="preserve"> (פ/1838/25)</t>
  </si>
  <si>
    <t xml:space="preserve">הצעת חוק דמי מחלה (תיקון - איסור פיטורים בעת היעדרות בשל מחלת ילד), התשפ"ג-2023</t>
  </si>
  <si>
    <t xml:space="preserve"> (פ/1837/25)</t>
  </si>
  <si>
    <t xml:space="preserve"> (פ/1836/25)</t>
  </si>
  <si>
    <t xml:space="preserve"> (פ/1835/25)</t>
  </si>
  <si>
    <t xml:space="preserve">הצעת חוק הגנת הצרכן (תיקון - ביטול אפשרות להארכה אוטומטית של עסקה לתקופה קצובה), התשפ"ג-2023</t>
  </si>
  <si>
    <t xml:space="preserve"> (פ/1834/25)</t>
  </si>
  <si>
    <t xml:space="preserve"> (פ/1833/25)</t>
  </si>
  <si>
    <t xml:space="preserve">הצעת חוק ביטוח בריאות ממלכתי (תיקון - תנאים להחלפת תרופה, טיפול, מטפל, נותן שירותים או מוסד רפואי), התשפ"ג-2023</t>
  </si>
  <si>
    <t xml:space="preserve"> (פ/1831/25)</t>
  </si>
  <si>
    <t xml:space="preserve"> (פ/1830/25)</t>
  </si>
  <si>
    <t xml:space="preserve">הצעת חוק החקלאות, התשפ"ג-2023 </t>
  </si>
  <si>
    <t xml:space="preserve"> (פ/1829/25)</t>
  </si>
  <si>
    <t xml:space="preserve"> (פ/1828/25)</t>
  </si>
  <si>
    <t xml:space="preserve">הצעת חוק לתיקון פקודת מס הכנסה (ניכוי בגין הוצאות טיפול בילדים), התשפ"ג-2023</t>
  </si>
  <si>
    <t xml:space="preserve"> (פ/1826/25)</t>
  </si>
  <si>
    <t xml:space="preserve">הצעת חוק לתיקון פקודת התעבורה (תמרור סימון על פני הכביש - שימוש באמצעי מונע החלקה), התשפ"ג-2023</t>
  </si>
  <si>
    <t xml:space="preserve"> (פ/1825/25)</t>
  </si>
  <si>
    <t xml:space="preserve">הצעת חוק שכר מינימום (תיקון - הצמדת שכר המינימום למדד המחירים לצרכן), התשפ"ג-2023</t>
  </si>
  <si>
    <t xml:space="preserve"> (פ/1824/25)</t>
  </si>
  <si>
    <t xml:space="preserve">הצעת חוק דמי מחלה (היעדרות בשל מחלת ילד) (תיקון - בן זוג לומד), התשפ"ג-2023</t>
  </si>
  <si>
    <t xml:space="preserve"> (פ/1823/25)</t>
  </si>
  <si>
    <t xml:space="preserve"> (פ/1822/25)</t>
  </si>
  <si>
    <t xml:space="preserve">הצעת חוק הפיקוח על מעונות יום לפעוטות (תיקון - חובת החזקת ערכת עזרה ראשונה), התשפ"ג-2023</t>
  </si>
  <si>
    <t xml:space="preserve"> (פ/1821/25)</t>
  </si>
  <si>
    <t xml:space="preserve">הצעת חוק לתיקון פקודת התעבורה (הסדרי תנועה בקרבת בית ספר), התשפ"ג-2023</t>
  </si>
  <si>
    <t xml:space="preserve"> (פ/1820/25)</t>
  </si>
  <si>
    <t xml:space="preserve"> (פ/1818/25)</t>
  </si>
  <si>
    <t xml:space="preserve">הצעת חוק שמירת הניקיון (תיקון - קרן לשמירת הניקיון), התשפ"ג-2023</t>
  </si>
  <si>
    <t xml:space="preserve"> (פ/1816/25)</t>
  </si>
  <si>
    <t xml:space="preserve"> (פ/1815/25)</t>
  </si>
  <si>
    <t xml:space="preserve"> (פ/1814/25)</t>
  </si>
  <si>
    <t xml:space="preserve">הצעת חוק הסכמים קיבוציים (תיקון - אי-תחולה על עובד זר בענף החקלאות), התשפ"ג-2023</t>
  </si>
  <si>
    <t xml:space="preserve"> (פ/1812/25)</t>
  </si>
  <si>
    <t xml:space="preserve">הצעת חוק שעות עבודה ומנוחה (תיקון - תשלום בעד שעות המנוחה השבועית), התשפ"ג-2023</t>
  </si>
  <si>
    <t xml:space="preserve"> (פ/1811/25)</t>
  </si>
  <si>
    <t xml:space="preserve"> (פ/1810/25)</t>
  </si>
  <si>
    <t xml:space="preserve"> (פ/1809/25)</t>
  </si>
  <si>
    <t xml:space="preserve"> (פ/1808/25)</t>
  </si>
  <si>
    <t xml:space="preserve">הצעת חוק התאמת אופן ההעסקה של מטפלות במשפחתונים המפוקחים על ידי האגף למעונות יום ומשפחתונים במשרד הכלכלה והתעשייה, התשפ"ג-2023</t>
  </si>
  <si>
    <t xml:space="preserve"> (פ/1807/25)</t>
  </si>
  <si>
    <t xml:space="preserve"> (פ/1806/25)</t>
  </si>
  <si>
    <t xml:space="preserve"> (פ/1805/25)</t>
  </si>
  <si>
    <t xml:space="preserve"> (פ/1804/25)</t>
  </si>
  <si>
    <t xml:space="preserve">הצעת חוק הגנת הצרכן (תיקון - איסור התניית עסקה באופן תשלום), התשפ"ג-2023</t>
  </si>
  <si>
    <t xml:space="preserve"> (פ/1803/25)</t>
  </si>
  <si>
    <t xml:space="preserve">הצעת חוק העונשין (תיקון - סחר בבני אדם למטרות נישואין), התשפ"ג-2023</t>
  </si>
  <si>
    <t xml:space="preserve"> (פ/1802/25)</t>
  </si>
  <si>
    <t xml:space="preserve"> (פ/1801/25)</t>
  </si>
  <si>
    <t xml:space="preserve">הצעת חוק יישוב סכסוכי עבודה (תיקון - איסור שביתה ללא הודעה מראש), התשפ"ג-2023</t>
  </si>
  <si>
    <t xml:space="preserve"> (פ/1799/25)</t>
  </si>
  <si>
    <t xml:space="preserve">הצעת חוק הביטוח הלאומי (תיקון - תגמולים למתנדב בצוות חירום יישובי או שכונתי), התשפ"ג-2023</t>
  </si>
  <si>
    <t xml:space="preserve"> (פ/1798/25)</t>
  </si>
  <si>
    <t xml:space="preserve">הצעת חוק איסור ניתוק משירותי חשמל, מים וגז (תיקוני חקיקה), התשפ"ג-2023</t>
  </si>
  <si>
    <t xml:space="preserve"> (פ/1797/25)</t>
  </si>
  <si>
    <t xml:space="preserve"> (פ/1795/25)</t>
  </si>
  <si>
    <t xml:space="preserve"> (פ/1794/25)</t>
  </si>
  <si>
    <t xml:space="preserve"> (פ/1792/25)</t>
  </si>
  <si>
    <t xml:space="preserve">הצעת חוק לתיקון פקודת התעבורה (הפחתת גובה קנס בשל תשלום מיידי), התשפ"ג-2023</t>
  </si>
  <si>
    <t xml:space="preserve"> (פ/1791/25)</t>
  </si>
  <si>
    <t xml:space="preserve"> (פ/1790/25)</t>
  </si>
  <si>
    <t xml:space="preserve"> (פ/1789/25)</t>
  </si>
  <si>
    <t xml:space="preserve">הצעת חוק האזרחים הוותיקים (תיקון - פטור מתשלום בתחבורה ציבורית), התשפ"ג-2023</t>
  </si>
  <si>
    <t xml:space="preserve"> (פ/1788/25)</t>
  </si>
  <si>
    <t xml:space="preserve"> (פ/1787/25)</t>
  </si>
  <si>
    <t xml:space="preserve">הצעת חוק תשלום פיצויים בשל נזקי אסון טבע, התשפ"ג-2023</t>
  </si>
  <si>
    <t xml:space="preserve"> (פ/1785/25)</t>
  </si>
  <si>
    <t xml:space="preserve">הצעת חוק חסינות כוחות הביטחון באירועים מבצעיים, התשפ"ג-2023</t>
  </si>
  <si>
    <t xml:space="preserve"> (פ/1784/25)</t>
  </si>
  <si>
    <t xml:space="preserve">הצעת חוק הכללת חוב עונשי בהפטר (תיקוני חקיקה), התשפ"ג-2023</t>
  </si>
  <si>
    <t xml:space="preserve"> (פ/1783/25)</t>
  </si>
  <si>
    <t xml:space="preserve">הצעת חוק-יסוד: המיעוט הערבי</t>
  </si>
  <si>
    <t xml:space="preserve"> (פ/1781/25)</t>
  </si>
  <si>
    <t xml:space="preserve">הצעת חוק לימודי פסיכומטרי, התשפ"ג-2023</t>
  </si>
  <si>
    <t xml:space="preserve"> (פ/1780/25)</t>
  </si>
  <si>
    <t xml:space="preserve"> (פ/1779/25)</t>
  </si>
  <si>
    <t xml:space="preserve">הצעת חוק לתיקון פקודת הנזיקין (העברת נטל ההוכחה בתביעות בגין הליכים משפטיים שהתמשכו), התשפ"ג-2023</t>
  </si>
  <si>
    <t xml:space="preserve"> (פ/1778/25)</t>
  </si>
  <si>
    <t xml:space="preserve"> (פ/1777/25)</t>
  </si>
  <si>
    <t xml:space="preserve">הצעת חוק הרשויות המקומיות (יועצת לקידום מעמד האישה) (תיקון - תפקיד וסמכויות), התשפ"ג-2023</t>
  </si>
  <si>
    <t xml:space="preserve"> (פ/1776/25)</t>
  </si>
  <si>
    <t xml:space="preserve"> (פ/1775/25)</t>
  </si>
  <si>
    <t xml:space="preserve">הצעת חוק מס רכוש וקרן פיצויים (תיקון - הרחבת הגדרת נזק), התשפ"ג-2023</t>
  </si>
  <si>
    <t xml:space="preserve"> (פ/1774/25)</t>
  </si>
  <si>
    <t xml:space="preserve"> (פ/1773/25)</t>
  </si>
  <si>
    <t xml:space="preserve">הצעת חוק המים (תיקון - מתן הנחות בתעריפי מים לאוכלוסיות נזקקות), התשפ"ג-2023</t>
  </si>
  <si>
    <t xml:space="preserve"> (פ/1771/25)</t>
  </si>
  <si>
    <t xml:space="preserve">הצעת חוק הפעלת תחבורה ציבורית ביום המנוחה השבועי, התשפ"ג-2023</t>
  </si>
  <si>
    <t xml:space="preserve"> (פ/1770/25)</t>
  </si>
  <si>
    <t xml:space="preserve">הצעת חוק-יסוד: הממשלה (סמכות הממשלה והשרים לקבוע את עמדתם המשפטית בפעולתם השוטפת ובפני ערכאות שיפוטיות)</t>
  </si>
  <si>
    <t xml:space="preserve">18.01.2023</t>
  </si>
  <si>
    <t xml:space="preserve">הצעת חוק לביטול אזרחותו או תושבותו של פעיל טרור שמקבל תגמול עבור ביצוע מעשה הטרור (תיקוני חקיקה), התשפ"ג-2023</t>
  </si>
  <si>
    <t xml:space="preserve"> (פ/1534/25)</t>
  </si>
  <si>
    <t xml:space="preserve">17.01.2023</t>
  </si>
  <si>
    <t xml:space="preserve"> (פ/1533/25)</t>
  </si>
  <si>
    <t xml:space="preserve"> (פ/1532/25)</t>
  </si>
  <si>
    <t xml:space="preserve"> (פ/1518/25)</t>
  </si>
  <si>
    <t xml:space="preserve">הצעת חוק לביטול אזרחותו או תושבותו של פעיל טרור שמקבל תגמול עבור ביצוע מעשה הטרור (תיקוני חקיקה), התשפ"ג-2022</t>
  </si>
  <si>
    <t xml:space="preserve"> (פ/376/25)</t>
  </si>
  <si>
    <t xml:space="preserve"> (פ/374/25)</t>
  </si>
  <si>
    <t xml:space="preserve"> (פ/1769/25)</t>
  </si>
  <si>
    <t xml:space="preserve">16.01.2023</t>
  </si>
  <si>
    <t xml:space="preserve">הצעת חוק הביטוח הלאומי (תיקון - קצבת אזרח ותיק לנכה), התשפ"ג-2023</t>
  </si>
  <si>
    <t xml:space="preserve"> (פ/1768/25)</t>
  </si>
  <si>
    <t xml:space="preserve">הצעת חוק לתיקון פקודת בתי הסוהר (תוכניות שיקום בערבית ומידע בשפה הערבית), התשפ"ג-2023</t>
  </si>
  <si>
    <t xml:space="preserve"> (פ/1767/25)</t>
  </si>
  <si>
    <t xml:space="preserve">הצעת חוק השירות הצבאי או האזרחי, התשפ"ג-2023</t>
  </si>
  <si>
    <t xml:space="preserve"> (פ/1766/25)</t>
  </si>
  <si>
    <t xml:space="preserve">הצעת חוק לתיקון פקודת בתי הסוהר (קביעת משך הביקור), התשפ"ג-2023</t>
  </si>
  <si>
    <t xml:space="preserve"> (פ/1764/25)</t>
  </si>
  <si>
    <t xml:space="preserve"> (פ/1762/25)</t>
  </si>
  <si>
    <t xml:space="preserve"> (פ/1760/25)</t>
  </si>
  <si>
    <t xml:space="preserve">הצעת חוק שירותי תעופה (פיצוי וסיוע בשל ביטול טיסה או שינוי בתנאיה) (תיקון - הוראות שונות), התשפ"ג-2023</t>
  </si>
  <si>
    <t xml:space="preserve"> (פ/1758/25)</t>
  </si>
  <si>
    <t xml:space="preserve"> (פ/1757/25)</t>
  </si>
  <si>
    <t xml:space="preserve"> (פ/1756/25)</t>
  </si>
  <si>
    <t xml:space="preserve"> (פ/1755/25)</t>
  </si>
  <si>
    <t xml:space="preserve">הצעת חוק הגנת הצרכן (תיקון - איסור גביית עמלה בעסקה שבוצעה באמצעות האינטרנט), התשפ"ג-2023</t>
  </si>
  <si>
    <t xml:space="preserve"> (פ/1754/25)</t>
  </si>
  <si>
    <t xml:space="preserve">הצעת חוק לתיקון פקודת מס הכנסה (הכרה בהוצאות אש"ל לעצמאים), התשפ"ג-2023</t>
  </si>
  <si>
    <t xml:space="preserve"> (פ/1753/25)</t>
  </si>
  <si>
    <t xml:space="preserve"> (פ/1752/25)</t>
  </si>
  <si>
    <t xml:space="preserve">הצעת חוק התכנון והבנייה (הוראות מיוחדות לעניין יישובי מיעוטים) (הוראת שעה), התשפ"ג-2023</t>
  </si>
  <si>
    <t xml:space="preserve"> (פ/1751/25)</t>
  </si>
  <si>
    <t xml:space="preserve">הצעת חוק הכנסת (תיקון - ועדה לפיקוח על רשויות פיקוח פיננסיות), התשפ"ג-2023</t>
  </si>
  <si>
    <t xml:space="preserve"> (פ/1750/25)</t>
  </si>
  <si>
    <t xml:space="preserve">הצעת חוק האזנת סתר (תיקון - האזנה בשל חשד להתעללות בילדים ובחסרי ישע), התשפ״ג-2023</t>
  </si>
  <si>
    <t xml:space="preserve"> (פ/1748/25)</t>
  </si>
  <si>
    <t xml:space="preserve">הצעת חוק הרשויות המקומיות (בחירת ראש הרשות וסגניו וכהונתם) (תיקון - הליכים משפטיים נגד ראש רשות), התשפ"ג-2023</t>
  </si>
  <si>
    <t xml:space="preserve"> (פ/1747/25)</t>
  </si>
  <si>
    <t xml:space="preserve">הצעת חוק מס ערך מוסף (תיקון - העברת מס בין עוסקים מורשים), התשפ"ג-2023</t>
  </si>
  <si>
    <t xml:space="preserve"> (פ/1746/25)</t>
  </si>
  <si>
    <t xml:space="preserve"> (פ/1745/25)</t>
  </si>
  <si>
    <t xml:space="preserve">הצעת חוק החברות הממשלתיות (תיקון - ייצוג הולם בתאגידים שהוקמו בחוק ובחברות ממשלתיות), התשפ"ג-2023</t>
  </si>
  <si>
    <t xml:space="preserve"> (פ/1744/25)</t>
  </si>
  <si>
    <t xml:space="preserve">הצעת חוק חוזה הביטוח (תיקון - מניעת כפל ביטוחים), התשפ"ג-2023</t>
  </si>
  <si>
    <t xml:space="preserve"> (פ/1743/25)</t>
  </si>
  <si>
    <t xml:space="preserve">הצעת חוק צוותי התערבות במשבר, התשפ"ג-2023</t>
  </si>
  <si>
    <t xml:space="preserve"> (פ/1742/25)</t>
  </si>
  <si>
    <t xml:space="preserve"> (פ/1741/25)</t>
  </si>
  <si>
    <t xml:space="preserve">הצעת חוק לתיקון פקודת המסים (גבייה) (גבייה לפי חוק ההוצאה לפועל), התשפ"ג-2023</t>
  </si>
  <si>
    <t xml:space="preserve"> (פ/1740/25)</t>
  </si>
  <si>
    <t xml:space="preserve"> (פ/1739/25)</t>
  </si>
  <si>
    <t xml:space="preserve">הצעת חוק התקנת מצלמות לשם פיקוח והגנה בחינוך המיוחד, התשפ"ג-2023</t>
  </si>
  <si>
    <t xml:space="preserve"> (פ/1737/25)</t>
  </si>
  <si>
    <t xml:space="preserve"> (פ/1735/25)</t>
  </si>
  <si>
    <t xml:space="preserve"> (פ/1734/25)</t>
  </si>
  <si>
    <t xml:space="preserve"> (פ/1732/25)</t>
  </si>
  <si>
    <t xml:space="preserve">הצעת חוק רשות שדות התעופה (תיקון - פטור מתשלום אגרה לסטודנטים הלומדים באוניברסיטאות בירדן), התשפ"ג-2023</t>
  </si>
  <si>
    <t xml:space="preserve"> (פ/1731/25)</t>
  </si>
  <si>
    <t xml:space="preserve">הצעת חוק מיסוי מקרקעין (שבח ורכישה) (תיקון - הרחבת הקלה לרוכשים דירה מקבלן), התשפ"ג-2023</t>
  </si>
  <si>
    <t xml:space="preserve"> (פ/1730/25)</t>
  </si>
  <si>
    <t xml:space="preserve">הצעת חוק יסודות התקציב (תיקון - פיקוח אחיד על שימוש בתמיכה), התשפ"ג-2023</t>
  </si>
  <si>
    <t xml:space="preserve"> (פ/1729/25)</t>
  </si>
  <si>
    <t xml:space="preserve"> (פ/1728/25)</t>
  </si>
  <si>
    <t xml:space="preserve">הצעת חוק לתיקון פקודת התעבורה (רישום סוג הדם ברישיון נהיגה), התשפ"ג-2023</t>
  </si>
  <si>
    <t xml:space="preserve"> (פ/1727/25)</t>
  </si>
  <si>
    <t xml:space="preserve"> (פ/1726/25)</t>
  </si>
  <si>
    <t xml:space="preserve"> (פ/1723/25)</t>
  </si>
  <si>
    <t xml:space="preserve">הצעת חוק-יסוד: הממשלה (תיקון - הפסקת כהונה של ראש הממשלה, שר או סגן שר מחמת הגשת כתב אישום)</t>
  </si>
  <si>
    <t xml:space="preserve"> (פ/1722/25)</t>
  </si>
  <si>
    <t xml:space="preserve"> (פ/1721/25)</t>
  </si>
  <si>
    <t xml:space="preserve">הצעת חוק התכנון והבנייה (תיקון - בדיקות נוכחות מזהמים בקרקע, באוויר ובמקורות מים), התשפ״ג-2023</t>
  </si>
  <si>
    <t xml:space="preserve"> (פ/1720/25)</t>
  </si>
  <si>
    <t xml:space="preserve">הצעת חוק מס ערך מוסף (תיקון - פטור בעת קניית דירה ראשונה לזוגות צעירים), התשפ"ג-2023</t>
  </si>
  <si>
    <t xml:space="preserve"> (פ/1719/25)</t>
  </si>
  <si>
    <t xml:space="preserve">הצעת חוק משכן הכנסת, רחבתו ומשמר הכנסת (תיקון - איסור העסקה קבלנית), התשפ"ג-2023</t>
  </si>
  <si>
    <t xml:space="preserve"> (פ/1718/25)</t>
  </si>
  <si>
    <t xml:space="preserve"> (פ/1717/25)</t>
  </si>
  <si>
    <t xml:space="preserve"> (פ/1716/25)</t>
  </si>
  <si>
    <t xml:space="preserve">הצעת חוק המועצה להשכלה גבוהה (תיקון - קביעת שכר לימוד במוסדות מוכרים שהמדינה אינה משתתפת בתקציביהם), התשפ"ג-2023</t>
  </si>
  <si>
    <t xml:space="preserve"> (פ/1714/25)</t>
  </si>
  <si>
    <t xml:space="preserve">הצעת חוק-יסוד: השוויון</t>
  </si>
  <si>
    <t xml:space="preserve"> (פ/1713/25)</t>
  </si>
  <si>
    <t xml:space="preserve">הצעת חוק לתיקון פקודת מס הכנסה (חישוב שווי שימוש ברכב לשומרי שבת וחג), התשפ"ג-2023</t>
  </si>
  <si>
    <t xml:space="preserve"> (פ/1712/25)</t>
  </si>
  <si>
    <t xml:space="preserve">הצעת חוק זכאות לאבחון לקויות למידה לילדים ממשפחות מעוטות יכולת, התשפ"ג-2023 </t>
  </si>
  <si>
    <t xml:space="preserve"> (פ/1711/25)</t>
  </si>
  <si>
    <t xml:space="preserve">הצעת חוק הארכת השעיה של עובד המדינה ופיטורים של עובד הוראה לשם הגנה על קטין או חסר ישע (תיקוני חקיקה), התשפ"ג-2023</t>
  </si>
  <si>
    <t xml:space="preserve"> (פ/1710/25)</t>
  </si>
  <si>
    <t xml:space="preserve">הצעת חוק לתיקון פקודת מס הכנסה (פטור ממס לגמלאים על תשלומי הפנסיה), התשפ"ג-2023</t>
  </si>
  <si>
    <t xml:space="preserve"> (פ/1709/25)</t>
  </si>
  <si>
    <t xml:space="preserve">הצעת חוק לתיקון פקודת התעבורה (הסמכת רשות מקומית לביצוע תפקידי רישוי), התשפ"ג-2023</t>
  </si>
  <si>
    <t xml:space="preserve"> (פ/1708/25)</t>
  </si>
  <si>
    <t xml:space="preserve">הצעת חוק להקמת אוניברסיטה ערבית ביישוב ערבי, התשפ"ג-2023</t>
  </si>
  <si>
    <t xml:space="preserve"> (פ/1707/25)</t>
  </si>
  <si>
    <t xml:space="preserve">הצעת חוק מס ערך מוסף (תיקון - פטור ממס ערך מוסף במכירת תרופות לחולים סופניים), התשפ"ג-2023</t>
  </si>
  <si>
    <t xml:space="preserve"> (פ/1706/25)</t>
  </si>
  <si>
    <t xml:space="preserve">הצעת חוק שירות ביטחון (תיקון - חובת תשלום מס למי שאינו משרת שירות צבאי או שירות אזרחי), התשפ"ג-2023</t>
  </si>
  <si>
    <t xml:space="preserve"> (פ/1705/25)</t>
  </si>
  <si>
    <t xml:space="preserve"> (פ/1704/25)</t>
  </si>
  <si>
    <t xml:space="preserve"> (פ/1703/25)</t>
  </si>
  <si>
    <t xml:space="preserve"> (פ/1702/25)</t>
  </si>
  <si>
    <t xml:space="preserve"> (פ/1701/25)</t>
  </si>
  <si>
    <t xml:space="preserve">הצעת חוק שכירות הוגנת (רשם השכירויות), התשפ"ג-2023</t>
  </si>
  <si>
    <t xml:space="preserve"> (פ/1699/25)</t>
  </si>
  <si>
    <t xml:space="preserve">הצעת חוק איסור הפליה במוצרים, בשירותים ובכניסה למקומות בידור ולמקומות ציבוריים (תיקון - חובת הודעה מוקדמת על אירוע סגור), התשפ"ג-2023</t>
  </si>
  <si>
    <t xml:space="preserve"> (פ/1698/25)</t>
  </si>
  <si>
    <t xml:space="preserve"> (פ/1697/25)</t>
  </si>
  <si>
    <t xml:space="preserve">הצעת חוק משק החשמל (תיקון - תשלומי חשמל מופחתים לקשישים נכים), התשפ"ג-2023</t>
  </si>
  <si>
    <t xml:space="preserve"> (פ/1696/25)</t>
  </si>
  <si>
    <t xml:space="preserve">הצעת חוק לתיקון פקודת התעבורה (מאסר מינימום למי שהפקיר אדם שנפגע בתאונה), התשפ"ג-2023</t>
  </si>
  <si>
    <t xml:space="preserve"> (פ/1695/25)</t>
  </si>
  <si>
    <t xml:space="preserve">הצעת חוק האזרחות (תיקון - אזרחות לצאצא אזרח ישראלי המתגורר מחוץ לישראל), התשפ"ג-2023</t>
  </si>
  <si>
    <t xml:space="preserve"> (פ/1694/25)</t>
  </si>
  <si>
    <t xml:space="preserve"> (פ/1692/25)</t>
  </si>
  <si>
    <t xml:space="preserve">הצעת חוק זכויות הסטודנט (תיקון - ייעוץ אקדמי בערבית), התשפ"ג-2023</t>
  </si>
  <si>
    <t xml:space="preserve"> (פ/1691/25)</t>
  </si>
  <si>
    <t xml:space="preserve">הצעת חוק יום הזיכרון לנכבה, התשפ"ג-2023</t>
  </si>
  <si>
    <t xml:space="preserve"> (פ/1690/25)</t>
  </si>
  <si>
    <t xml:space="preserve"> (פ/1689/25)</t>
  </si>
  <si>
    <t xml:space="preserve"> (פ/1687/25)</t>
  </si>
  <si>
    <t xml:space="preserve"> (פ/1686/25)</t>
  </si>
  <si>
    <t xml:space="preserve">הצעת חוק הרשויות המקומיות (בחירות) (תיקון - בחירה של בעל עסק בתחום רשות מקומית שעסקו רשום בה), התשפ"ג-2023</t>
  </si>
  <si>
    <t xml:space="preserve"> (פ/1685/25)</t>
  </si>
  <si>
    <t xml:space="preserve">הצעת חוק הנוטריונים (תיקון - ביטול תעריף מינימום לשירות נוטריוני), התשפ"ג-2023</t>
  </si>
  <si>
    <t xml:space="preserve"> (פ/1684/25)</t>
  </si>
  <si>
    <t xml:space="preserve">הצעת חוק חובת תשלום בשוברים, התשפ"ג-2023</t>
  </si>
  <si>
    <t xml:space="preserve"> (פ/1683/25)</t>
  </si>
  <si>
    <t xml:space="preserve">הצעת חוק לתיקון פקודת התעבורה (חובת בדיקת תקינות כריות האוויר ברכב בעת מתן רישיון רכב, חידושו או העברתו), התשפ"ג-2023</t>
  </si>
  <si>
    <t xml:space="preserve"> (פ/1682/25)</t>
  </si>
  <si>
    <t xml:space="preserve"> (פ/1681/25)</t>
  </si>
  <si>
    <t xml:space="preserve">הצעת חוק התכנון והבנייה (תיקון - ייצוג הולם לאוכלוסייה הערבית והחרדית במוסדות התכנון), התשפ"ג-2023</t>
  </si>
  <si>
    <t xml:space="preserve"> (פ/1680/25)</t>
  </si>
  <si>
    <t xml:space="preserve"> (פ/1679/25)</t>
  </si>
  <si>
    <t xml:space="preserve"> (פ/1678/25)</t>
  </si>
  <si>
    <t xml:space="preserve"> (פ/1677/25)</t>
  </si>
  <si>
    <t xml:space="preserve"> (פ/1676/25)</t>
  </si>
  <si>
    <t xml:space="preserve"> (פ/1675/25)</t>
  </si>
  <si>
    <t xml:space="preserve"> (פ/1674/25)</t>
  </si>
  <si>
    <t xml:space="preserve"> (פ/1673/25)</t>
  </si>
  <si>
    <t xml:space="preserve"> (פ/1672/25)</t>
  </si>
  <si>
    <t xml:space="preserve">הצעת חוק ההוצאה לפועל (תיקון - קבלת קהל בשעות אחר הצהריים), התשפ"ג-2023</t>
  </si>
  <si>
    <t xml:space="preserve"> (פ/1671/25)</t>
  </si>
  <si>
    <t xml:space="preserve">הצעת חוק הביטוח הלאומי (תיקון - עבודה בחינוך וסיוע להוראה או בטיפול בילדים כעבודה מועדפת), התשפ"ב-2023</t>
  </si>
  <si>
    <t xml:space="preserve"> (פ/1670/25)</t>
  </si>
  <si>
    <t xml:space="preserve"> (פ/1668/25)</t>
  </si>
  <si>
    <t xml:space="preserve"> (פ/1666/25)</t>
  </si>
  <si>
    <t xml:space="preserve">הצעת חוק הגבלת מימון מפעלים מזהמים (תיקוני חקיקה), התשפ"ג-2023</t>
  </si>
  <si>
    <t xml:space="preserve"> (פ/1665/25)</t>
  </si>
  <si>
    <t xml:space="preserve"> (פ/1661/25)</t>
  </si>
  <si>
    <t xml:space="preserve">הצעת חוק להגבלת הריסה וענישה על בנייה בלתי חוקית במגזר הערבי (הוראת שעה), התשפ"ג-2023</t>
  </si>
  <si>
    <t xml:space="preserve"> (פ/1660/25)</t>
  </si>
  <si>
    <t xml:space="preserve"> (פ/1659/25)</t>
  </si>
  <si>
    <t xml:space="preserve">הצעת חוק איסוף ופינוי פסולת למיחזור (תיקון - מיחזור במוסדות חינוך), התשפ"ב-2023</t>
  </si>
  <si>
    <t xml:space="preserve"> (פ/1658/25)</t>
  </si>
  <si>
    <t xml:space="preserve"> (פ/1657/25)</t>
  </si>
  <si>
    <t xml:space="preserve"> (פ/1656/25)</t>
  </si>
  <si>
    <t xml:space="preserve"> (פ/1655/25)</t>
  </si>
  <si>
    <t xml:space="preserve"> (פ/1654/25)</t>
  </si>
  <si>
    <t xml:space="preserve"> (פ/1653/25)</t>
  </si>
  <si>
    <t xml:space="preserve"> (פ/1652/25)</t>
  </si>
  <si>
    <t xml:space="preserve">הצעת חוק רכבת תחתית (מטרו) (תיקון), התשפ"ג-2023</t>
  </si>
  <si>
    <t xml:space="preserve"> (פ/1651/25)</t>
  </si>
  <si>
    <t xml:space="preserve">הצעת חוק התכנון והבנייה (תיקון - פיצול דירות) (הוראת שעה), התשפ"ג-2023</t>
  </si>
  <si>
    <t xml:space="preserve"> (פ/1650/25)</t>
  </si>
  <si>
    <t xml:space="preserve">הצעת חוק לצמצום השימוש בשקיות נשיאה חד-פעמיות (תיקון - פטור מהיטל), התשפ"ג-2023</t>
  </si>
  <si>
    <t xml:space="preserve"> (פ/1649/25)</t>
  </si>
  <si>
    <t xml:space="preserve">הצעת חוק-יסוד: הממשלה (תיקון - הצהרת האמונים של ראש הממשלה והשרים)</t>
  </si>
  <si>
    <t xml:space="preserve"> (פ/1647/25)</t>
  </si>
  <si>
    <t xml:space="preserve">הצעת חוק לעידוד תעשייה עתירת ידע, התשפ"ג-2023</t>
  </si>
  <si>
    <t xml:space="preserve"> (פ/1646/25)</t>
  </si>
  <si>
    <t xml:space="preserve">הצעת חוק לתיקון פקודת העיריות (פרסום מכרז באתר האינטרנט), התשפ"ג-2023</t>
  </si>
  <si>
    <t xml:space="preserve"> (פ/1644/25)</t>
  </si>
  <si>
    <t xml:space="preserve">הצעת חוק רשות מקרקעי ישראל (תיקון - הקצאה שוויונית לאוכלוסייה הערבית), התשפ"ג-2023</t>
  </si>
  <si>
    <t xml:space="preserve"> (פ/1643/25)</t>
  </si>
  <si>
    <t xml:space="preserve"> (פ/1642/25)</t>
  </si>
  <si>
    <t xml:space="preserve">הצעת חוק הספורט (תיקון - מחיר מרבי לכרטיס לפעילות ספורט מאורגנת), התשפ"ג-2023</t>
  </si>
  <si>
    <t xml:space="preserve"> (פ/1640/25)</t>
  </si>
  <si>
    <t xml:space="preserve">הצעת חוק הפרשנות (תיקון - הגדרת הפליה על רקע זהות מגדרית או נטייה מינית), התשפ"ג-2023</t>
  </si>
  <si>
    <t xml:space="preserve"> (פ/1639/25)</t>
  </si>
  <si>
    <t xml:space="preserve">הצעת חוק האזרחות והכניסה לישראל (הוראת שעה) (תיקון - מניעת ריבוי נישואין), התשפ"ג-2023</t>
  </si>
  <si>
    <t xml:space="preserve"> (פ/1638/25)</t>
  </si>
  <si>
    <t xml:space="preserve">הצעת חוק התאמת לוח חופשות הלימודים לשעות העבודה והמנוחה במשק (תיקוני חקיקה), התשפ"ג-2023</t>
  </si>
  <si>
    <t xml:space="preserve"> (פ/1637/25)</t>
  </si>
  <si>
    <t xml:space="preserve">הצעת חוק איסור ניתוק שירותי חשמל ומים למוסדות חינוך (תיקוני חקיקה), התשפ"ג-2023</t>
  </si>
  <si>
    <t xml:space="preserve"> (פ/1636/25)</t>
  </si>
  <si>
    <t xml:space="preserve"> (פ/1635/25)</t>
  </si>
  <si>
    <t xml:space="preserve"> (פ/1634/25)</t>
  </si>
  <si>
    <t xml:space="preserve">הצעת חוק זכויות הסטודנט (תיקון - פרסום ושילוט בשפה ערבית), התשפ"ג-2023</t>
  </si>
  <si>
    <t xml:space="preserve"> (פ/1632/25)</t>
  </si>
  <si>
    <t xml:space="preserve"> (פ/1631/25)</t>
  </si>
  <si>
    <t xml:space="preserve">הצעת חוק הגנת הצרכן (תיקון - איסור פרסום כפוי במענה טלפוני), התשפ"ג-2023</t>
  </si>
  <si>
    <t xml:space="preserve"> (פ/1630/25)</t>
  </si>
  <si>
    <t xml:space="preserve"> (פ/1629/25)</t>
  </si>
  <si>
    <t xml:space="preserve">הצעת חוק הבטחת הכנסה (תיקון - ניכוי לעניין הורה עצמאי שלילדו טרם מלאו שנתיים), התשפ"ג-2023</t>
  </si>
  <si>
    <t xml:space="preserve"> (פ/1627/25)</t>
  </si>
  <si>
    <t xml:space="preserve">הצעת חוק שירות ביטחון (תיקון - אי-הצבת חיילות בשירות בתי הסוהר), התשפ"ג-2023</t>
  </si>
  <si>
    <t xml:space="preserve"> (פ/1626/25)</t>
  </si>
  <si>
    <t xml:space="preserve">הצעת חוק לתיקון פקודת התעבורה (ריבית פיגורים בגין אי תשלום קנס על עבירת חניה), התשפ"ג-2023</t>
  </si>
  <si>
    <t xml:space="preserve"> (פ/1625/25)</t>
  </si>
  <si>
    <t xml:space="preserve">הצעת חוק הביטוח הלאומי (תיקון - קצבת נכות לעקרת בית), התשפ"ג-2023</t>
  </si>
  <si>
    <t xml:space="preserve"> (פ/1624/25)</t>
  </si>
  <si>
    <t xml:space="preserve">הצעת חוק הפיקוח על מעונות (תיקון - הסדרת מעמד המטפלות במשפחתונים), התשפ"ג-2023</t>
  </si>
  <si>
    <t xml:space="preserve"> (פ/1623/25)</t>
  </si>
  <si>
    <t xml:space="preserve"> (פ/1622/25)</t>
  </si>
  <si>
    <t xml:space="preserve"> (פ/1621/25)</t>
  </si>
  <si>
    <t xml:space="preserve"> (פ/1620/25)</t>
  </si>
  <si>
    <t xml:space="preserve"> (פ/1619/25)</t>
  </si>
  <si>
    <t xml:space="preserve"> (פ/1618/25)</t>
  </si>
  <si>
    <t xml:space="preserve">הצעת חוק הביטוח הלאומי (תיקון - דמי אבטלה בעד חופשה ללא תשלום), התשפ"ג-2023</t>
  </si>
  <si>
    <t xml:space="preserve"> (פ/1617/25)</t>
  </si>
  <si>
    <t xml:space="preserve">הצעת חוק הבטחת פיצויים לתושבי מתחם פארק חורשות (אבו-כביר), התשפ"ג-2023</t>
  </si>
  <si>
    <t xml:space="preserve"> (פ/1616/25)</t>
  </si>
  <si>
    <t xml:space="preserve"> (פ/1615/25)</t>
  </si>
  <si>
    <t xml:space="preserve">הצעת חוק תאגידי מים וביוב (תיקון - ועדת חריגים), התשפ"ג-2023</t>
  </si>
  <si>
    <t xml:space="preserve"> (פ/1614/25)</t>
  </si>
  <si>
    <t xml:space="preserve">הצעת חוק זיכרון השואה והגבורה - יד ושם (תיקון - יהודים שהצילו יהודים), התשפ"ג-2023</t>
  </si>
  <si>
    <t xml:space="preserve"> (פ/1613/25)</t>
  </si>
  <si>
    <t xml:space="preserve"> (פ/1612/25)</t>
  </si>
  <si>
    <t xml:space="preserve"> (פ/1611/25)</t>
  </si>
  <si>
    <t xml:space="preserve">הצעת חוק פיצוי למי שפונה ממבנה בשל סכנה לקריסתו או בשל קריסתו, התשפ"ג-2023</t>
  </si>
  <si>
    <t xml:space="preserve"> (פ/1610/25)</t>
  </si>
  <si>
    <t xml:space="preserve"> (פ/1608/25)</t>
  </si>
  <si>
    <t xml:space="preserve">הצעת חוק שירותי הדת היהודיים (תיקון - דין משמעתי לרבני ערים), התשפ"ג-2023</t>
  </si>
  <si>
    <t xml:space="preserve"> (פ/1607/25)</t>
  </si>
  <si>
    <t xml:space="preserve">הצעת חוק-יסוד: הממשלה (תיקון - אי-כשירות של נאשם להרכיב את הממשלה) </t>
  </si>
  <si>
    <t xml:space="preserve"> (פ/1604/25)</t>
  </si>
  <si>
    <t xml:space="preserve"> (פ/1603/25)</t>
  </si>
  <si>
    <t xml:space="preserve"> (פ/1602/25)</t>
  </si>
  <si>
    <t xml:space="preserve">הצעת חוק רישום נישואין אזרחיים בעיר אילת (תיקוני חקיקה), התשפ"ג-2023</t>
  </si>
  <si>
    <t xml:space="preserve"> (פ/1601/25)</t>
  </si>
  <si>
    <t xml:space="preserve">הצעת חוק הממשלה (תיקון - דיווח שר בדבר אי-התקנת תקנות במועד), התשפ"ג-2023</t>
  </si>
  <si>
    <t xml:space="preserve"> (פ/1600/25)</t>
  </si>
  <si>
    <t xml:space="preserve">הצעת חוק הדיינים (תיקון - נציגי הוועדה לבחירת דיינים), התשפ"ג-2023</t>
  </si>
  <si>
    <t xml:space="preserve"> (פ/1598/25)</t>
  </si>
  <si>
    <t xml:space="preserve"> (פ/1596/25)</t>
  </si>
  <si>
    <t xml:space="preserve"> (פ/1594/25)</t>
  </si>
  <si>
    <t xml:space="preserve"> (פ/1593/25)</t>
  </si>
  <si>
    <t xml:space="preserve"> (פ/1592/25)</t>
  </si>
  <si>
    <t xml:space="preserve"> (פ/1591/25)</t>
  </si>
  <si>
    <t xml:space="preserve">הצעת חוק אי-נקיטת הליכים לפני מועדי ישראל (תיקוני חקיקה), התשפ"ג-2023</t>
  </si>
  <si>
    <t xml:space="preserve"> (פ/1590/25)</t>
  </si>
  <si>
    <t xml:space="preserve"> (פ/1589/25)</t>
  </si>
  <si>
    <t xml:space="preserve">הצעת חוק תיעוד הדבקה של כתבי בית דין (תיקוני חקיקה), התשפ"ג-2023</t>
  </si>
  <si>
    <t xml:space="preserve"> (פ/1588/25)</t>
  </si>
  <si>
    <t xml:space="preserve">הצעת חוק ידועים בציבור, התשפ"ג-2023</t>
  </si>
  <si>
    <t xml:space="preserve"> (פ/1587/25)</t>
  </si>
  <si>
    <t xml:space="preserve">הצעת חוק איסור הונאה בכשרות (תיקון - הגדרת המינוח כשר לעניין הטעיה), התשפ"ג-2023</t>
  </si>
  <si>
    <t xml:space="preserve"> (פ/1586/25)</t>
  </si>
  <si>
    <t xml:space="preserve">הצעת חוק איסור לשון הרע (תיקון - הגבלת סעד לאישי ציבור ותאגידים), התשפ"ג-2023</t>
  </si>
  <si>
    <t xml:space="preserve"> (פ/1584/25)</t>
  </si>
  <si>
    <t xml:space="preserve">הצעת חוק הקמת המוסד העליון לשפת הסימנים הישראלית, התשפ"ג-2023</t>
  </si>
  <si>
    <t xml:space="preserve"> (פ/1582/25)</t>
  </si>
  <si>
    <t xml:space="preserve">הצעת חוק-יסוד: הזכות לדיור</t>
  </si>
  <si>
    <t xml:space="preserve"> (פ/1581/25)</t>
  </si>
  <si>
    <t xml:space="preserve">הצעת חוק שירות המדינה (מינויים) (תיקון - ניסיון ניהולי במגזר הפרטי), התשפ"ג-2023</t>
  </si>
  <si>
    <t xml:space="preserve"> (פ/1580/25)</t>
  </si>
  <si>
    <t xml:space="preserve">הצעת חוק לימוד חובה (תיקון - הסעת תלמידים), התשפ"ג-2023</t>
  </si>
  <si>
    <t xml:space="preserve"> (פ/1577/25)</t>
  </si>
  <si>
    <t xml:space="preserve">הצעת חוק הבחירות לכנסת (תיקון - אחוז החסימה), התשפ"ג-2023</t>
  </si>
  <si>
    <t xml:space="preserve"> (פ/1576/25)</t>
  </si>
  <si>
    <t xml:space="preserve">הצעת חוק לעידוד חקלאות גגות (תיקוני חקיקה), התשפ"ג-2023</t>
  </si>
  <si>
    <t xml:space="preserve"> (פ/1575/25)</t>
  </si>
  <si>
    <t xml:space="preserve">הצעת חוק פיקוח על בתי ספר (תיקון - הרחבת תוקפו של רישיון), התשפ"ג-2023</t>
  </si>
  <si>
    <t xml:space="preserve"> (פ/1574/25)</t>
  </si>
  <si>
    <t xml:space="preserve"> (פ/1572/25)</t>
  </si>
  <si>
    <t xml:space="preserve"> (פ/1571/25)</t>
  </si>
  <si>
    <t xml:space="preserve">הצעת חוק שופט עמית ודיין עמית (תיקוני חקיקה), התשפ"ג-2023</t>
  </si>
  <si>
    <t xml:space="preserve"> (פ/1569/25)</t>
  </si>
  <si>
    <t xml:space="preserve">הצעת חוק לתיקון פקודת מס הכנסה (ביטול מס בגין זקיפה סלולרית), התשפ"ג-2023</t>
  </si>
  <si>
    <t xml:space="preserve"> (פ/1568/25)</t>
  </si>
  <si>
    <t xml:space="preserve">הצעת חוק שיפוט בתי דין רבניים (נישואין וגירושין) (תיקון - סמכות שיפוט בהסכמה בעניין אזרחי), התשפ"ג-2023</t>
  </si>
  <si>
    <t xml:space="preserve"> (פ/1567/25)</t>
  </si>
  <si>
    <t xml:space="preserve"> (פ/1566/25)</t>
  </si>
  <si>
    <t xml:space="preserve"> (פ/1565/25)</t>
  </si>
  <si>
    <t xml:space="preserve">הצעת חוק המסייעים לנטרול תוצאות אסון צ'רנוביל (תיקון - הגדלת המענק השנתי ושיפור זכויות), התשפ"ג-2023</t>
  </si>
  <si>
    <t xml:space="preserve"> (פ/1564/25)</t>
  </si>
  <si>
    <t xml:space="preserve"> (פ/1563/25)</t>
  </si>
  <si>
    <t xml:space="preserve">הצעת חוק-יסוד: כבוד האדם וחירותו (תיקון - תוקפו של חוק חורג)</t>
  </si>
  <si>
    <t xml:space="preserve"> (פ/1561/25)</t>
  </si>
  <si>
    <t xml:space="preserve">הצעת חוק העונשין (תיקון - איסור שידול קטינים להוצאה בשאלה), התשפ"ג-2023</t>
  </si>
  <si>
    <t xml:space="preserve"> (פ/1560/25)</t>
  </si>
  <si>
    <t xml:space="preserve">הצעת חוק הרשויות המקומיות (מימון בחירות) (תיקון - הגברת עידוד התמודדות נשים לראשות רשות מקומית או מועצה אזורית), התשפ"ג-2023</t>
  </si>
  <si>
    <t xml:space="preserve"> (פ/1559/25)</t>
  </si>
  <si>
    <t xml:space="preserve"> (פ/1558/25)</t>
  </si>
  <si>
    <t xml:space="preserve">הצעת חוק התכנון והבנייה (תיקון - זימון נציג הגופים הציבוריים שעניינם בשמירת איכות הסביבה לדיוני הוועדה המקומית), התשפ״ג-2023</t>
  </si>
  <si>
    <t xml:space="preserve"> (פ/1556/25)</t>
  </si>
  <si>
    <t xml:space="preserve">הצעת חוק חסינות רבנים, התשפ"ג-2023</t>
  </si>
  <si>
    <t xml:space="preserve"> (פ/1555/25)</t>
  </si>
  <si>
    <t xml:space="preserve">הצעת חוק שירות ביטחון (תיקון - ביטול גיוס חובה), התשפ"ג-2023</t>
  </si>
  <si>
    <t xml:space="preserve"> (פ/1554/25)</t>
  </si>
  <si>
    <t xml:space="preserve">הצעת חוק לימוד חובה (תיקון - הבטחת פיקוח פרלמנטרי על תשלומי הורים), התשפ"ג-2023</t>
  </si>
  <si>
    <t xml:space="preserve"> (פ/1553/25)</t>
  </si>
  <si>
    <t xml:space="preserve"> (פ/1552/25)</t>
  </si>
  <si>
    <t xml:space="preserve"> (פ/1551/25)</t>
  </si>
  <si>
    <t xml:space="preserve"> (פ/1550/25)</t>
  </si>
  <si>
    <t xml:space="preserve"> (פ/1549/25)</t>
  </si>
  <si>
    <t xml:space="preserve">הצעת חוק התחרות הכלכלית (תיקון - הכרזה על בעל מונופולין), התשפ"ג-2023</t>
  </si>
  <si>
    <t xml:space="preserve"> (פ/1548/25)</t>
  </si>
  <si>
    <t xml:space="preserve"> (פ/1547/25)</t>
  </si>
  <si>
    <t xml:space="preserve">הצעת חוק-יסוד: הכנסת (תיקון - הצהרת אמונים)</t>
  </si>
  <si>
    <t xml:space="preserve"> (פ/1546/25)</t>
  </si>
  <si>
    <t xml:space="preserve"> (פ/1544/25)</t>
  </si>
  <si>
    <t xml:space="preserve"> (פ/1543/25)</t>
  </si>
  <si>
    <t xml:space="preserve">הצעת חוק לשיפור השירות במגזר הציבורי ולמניעת התעמרות של עובדי הציבור בתושבי המדינה ובמגזר העסקי, התשפ"ג-2023</t>
  </si>
  <si>
    <t xml:space="preserve"> (פ/1541/25)</t>
  </si>
  <si>
    <t xml:space="preserve">הצעת חוק כבילת עצורים ואסירים שלא כדין - עוולה אזרחית (תיקוני חקיקה), התשפ"ג-2023</t>
  </si>
  <si>
    <t xml:space="preserve"> (פ/1539/25)</t>
  </si>
  <si>
    <t xml:space="preserve">הצעת חוק איסור חקירה בדבר עברו המיני של נפגע עבירה (תיקוני חקיקה), התשפ"ג-2023</t>
  </si>
  <si>
    <t xml:space="preserve"> (פ/1538/25)</t>
  </si>
  <si>
    <t xml:space="preserve"> (פ/1537/25)</t>
  </si>
  <si>
    <t xml:space="preserve"> (פ/1536/25)</t>
  </si>
  <si>
    <t xml:space="preserve"> (פ/1530/25)</t>
  </si>
  <si>
    <t xml:space="preserve">09.01.2023</t>
  </si>
  <si>
    <t xml:space="preserve">הצעת חוק זכויות נפגעי עבירה (תיקון - הרחבת זכות העמידה לנפגעי ונפגעות עבירה), התשפ"ג-2023</t>
  </si>
  <si>
    <t xml:space="preserve"> (פ/1529/25)</t>
  </si>
  <si>
    <t xml:space="preserve"> (פ/1528/25)</t>
  </si>
  <si>
    <t xml:space="preserve"> (פ/1527/25)</t>
  </si>
  <si>
    <t xml:space="preserve">הצעת חוק העונשין (תיקון - איסור שידול להמרת דת), התשפ"ג-2023</t>
  </si>
  <si>
    <t xml:space="preserve"> (פ/1526/25)</t>
  </si>
  <si>
    <t xml:space="preserve"> (פ/1525/25)</t>
  </si>
  <si>
    <t xml:space="preserve">הצעת חוק לשכת עורכי הדין (תיקון - הגבלת שכר טרחה על מכתבי התראה לפני גביית חוב), התשפ"ג-2023</t>
  </si>
  <si>
    <t xml:space="preserve"> (פ/1524/25)</t>
  </si>
  <si>
    <t xml:space="preserve"> (פ/1523/25)</t>
  </si>
  <si>
    <t xml:space="preserve"> (פ/1522/25)</t>
  </si>
  <si>
    <t xml:space="preserve">הצעת חוק חכירה הוגנת, התשפ"ג-2023</t>
  </si>
  <si>
    <t xml:space="preserve"> (פ/1516/25)</t>
  </si>
  <si>
    <t xml:space="preserve">הצעת חוק מתן סיוע ריאלי בשכר דירה לזכאים, התשפ"ג-2023</t>
  </si>
  <si>
    <t xml:space="preserve"> (פ/1513/25)</t>
  </si>
  <si>
    <t xml:space="preserve"> (פ/1512/25)</t>
  </si>
  <si>
    <t xml:space="preserve"> (פ/1511/25)</t>
  </si>
  <si>
    <t xml:space="preserve">הצעת חוק להגברת השקיפות בפעילותם של גופים פיננסיים (תיקוני חקיקה), התשפ"ג-2023</t>
  </si>
  <si>
    <t xml:space="preserve"> (פ/1510/25)</t>
  </si>
  <si>
    <t xml:space="preserve"> (פ/1509/25)</t>
  </si>
  <si>
    <t xml:space="preserve"> (פ/1508/25)</t>
  </si>
  <si>
    <t xml:space="preserve">הצעת חוק המפלגות (תיקון - העלאת תנאי הסף להקמת מפלגה ומניעת חברות כפולה בעת רישום מפלגה), התשפ''ג-2023</t>
  </si>
  <si>
    <t xml:space="preserve"> (פ/1507/25)</t>
  </si>
  <si>
    <t xml:space="preserve">הצעת חוק התרבות והאמנות (תיקון - הקצאה שוויונית בתקציב), התשפ"ג-2023</t>
  </si>
  <si>
    <t xml:space="preserve"> (פ/1506/25)</t>
  </si>
  <si>
    <t xml:space="preserve">הצעת חוק חינוך ממלכתי (תיקון - חובת הטמעת ערכי הסובלנות ומיגור האלימות), התשפ"ג-2023</t>
  </si>
  <si>
    <t xml:space="preserve"> (פ/1505/25)</t>
  </si>
  <si>
    <t xml:space="preserve"> (פ/1504/25)</t>
  </si>
  <si>
    <t xml:space="preserve">הצעת חוק הביטוח הלאומי (תיקון - הגדלת קצבת אזרח ותיק והצמדתה לשכר הממוצע), התשפ"ג-2023</t>
  </si>
  <si>
    <t xml:space="preserve"> (פ/1503/25)</t>
  </si>
  <si>
    <t xml:space="preserve">הצעת חוק הקצאת דירות לדיור בר השגה ולדיור ציבורי, התשפ"ג-2023</t>
  </si>
  <si>
    <t xml:space="preserve"> (פ/1502/25)</t>
  </si>
  <si>
    <t xml:space="preserve"> (פ/1501/25)</t>
  </si>
  <si>
    <t xml:space="preserve">הצעת חוק העבירות המינהליות (תיקון - ביטול קנסות תכנון ובנייה), התשפ"ג-2023</t>
  </si>
  <si>
    <t xml:space="preserve"> (פ/1500/25)</t>
  </si>
  <si>
    <t xml:space="preserve">הצעת חוק הסדרת מקומות רחצה (תיקון - קביעת מקומות לרחצה נפרדת), התשפ"ג-2023 </t>
  </si>
  <si>
    <t xml:space="preserve"> (פ/1498/25)</t>
  </si>
  <si>
    <t xml:space="preserve"> (פ/1497/25)</t>
  </si>
  <si>
    <t xml:space="preserve"> (פ/1495/25)</t>
  </si>
  <si>
    <t xml:space="preserve"> (פ/1494/25)</t>
  </si>
  <si>
    <t xml:space="preserve"> (פ/1493/25)</t>
  </si>
  <si>
    <t xml:space="preserve">הצעת חוק אחזקת כבישים ראשיים ברשויות מקומיות, התשפ"ג-2023</t>
  </si>
  <si>
    <t xml:space="preserve"> (פ/1491/25)</t>
  </si>
  <si>
    <t xml:space="preserve"> (פ/1490/25)</t>
  </si>
  <si>
    <t xml:space="preserve"> (פ/1488/25)</t>
  </si>
  <si>
    <t xml:space="preserve">הצעת חוק פיקוח על רווחי שיווק בתוצרת חקלאית, התשפ"ג-2023</t>
  </si>
  <si>
    <t xml:space="preserve"> (פ/1487/25)</t>
  </si>
  <si>
    <t xml:space="preserve"> (פ/1486/25)</t>
  </si>
  <si>
    <t xml:space="preserve">הצעת חוק ביטוח בריאות ממלכתי (תיקון - רפואת שיניים למי שמלאו להם 60 שנים), התשפ"ג-2023</t>
  </si>
  <si>
    <t xml:space="preserve"> (פ/1485/25)</t>
  </si>
  <si>
    <t xml:space="preserve"> (פ/1484/25)</t>
  </si>
  <si>
    <t xml:space="preserve">הצעת חוק הספורט (תיקון - זכויות ספורטאי בוגר), התשפ"ג-2023</t>
  </si>
  <si>
    <t xml:space="preserve"> (פ/1483/25)</t>
  </si>
  <si>
    <t xml:space="preserve"> (פ/1482/25)</t>
  </si>
  <si>
    <t xml:space="preserve">הצעת חוק הנגשת מוקדי פניות חירום באמצעות שיחוח ומסרון, התשפ"ג-2023</t>
  </si>
  <si>
    <t xml:space="preserve"> (פ/1481/25)</t>
  </si>
  <si>
    <t xml:space="preserve"> (פ/1480/25)</t>
  </si>
  <si>
    <t xml:space="preserve"> (פ/1479/25)</t>
  </si>
  <si>
    <t xml:space="preserve">הצעת חוק המשטרה (תיקון - התיישנות עבירות), התשפ"ג-2023</t>
  </si>
  <si>
    <t xml:space="preserve"> (פ/1477/25)</t>
  </si>
  <si>
    <t xml:space="preserve">הצעת חוק הפיקוח על שירותים פיננסיים (ביטוח) (תיקון - הוספת רישיון הנפקה), התשפ"ג-2023</t>
  </si>
  <si>
    <t xml:space="preserve"> (פ/1476/25)</t>
  </si>
  <si>
    <t xml:space="preserve">הצעת חוק רשת ביטחון לעצמאים בעת אירוע חירום, התשפ"ג-2023</t>
  </si>
  <si>
    <t xml:space="preserve"> (פ/1475/25)</t>
  </si>
  <si>
    <t xml:space="preserve">הצעת חוק נתוני אשראי (תיקון - קיצור תקופת שמירת הנתונים במאגר נתוני אשראי), התשפ"ג-2023</t>
  </si>
  <si>
    <t xml:space="preserve"> (פ/1474/25)</t>
  </si>
  <si>
    <t xml:space="preserve"> (פ/1473/25)</t>
  </si>
  <si>
    <t xml:space="preserve"> (פ/1472/25)</t>
  </si>
  <si>
    <t xml:space="preserve">הצעת חוק הבנקאות (רישוי) (תיקון - הפרדה בין בנקים), התשפ"ג-2023</t>
  </si>
  <si>
    <t xml:space="preserve"> (פ/1471/25)</t>
  </si>
  <si>
    <t xml:space="preserve">הצעת חוק הגבלת עמלת פירעון מוקדם ואיחוד הליכים של הלוואה לדיור (תיקוני חקיקה), התשפ"ג-2023</t>
  </si>
  <si>
    <t xml:space="preserve"> (פ/1470/25)</t>
  </si>
  <si>
    <t xml:space="preserve">הצעת חוק סדר הדין הפלילי (תיקון - ביטול פסק דין שניתן בהיעדרו של הנאשם), התשפ"ג-2023</t>
  </si>
  <si>
    <t xml:space="preserve"> (פ/1468/25)</t>
  </si>
  <si>
    <t xml:space="preserve"> (פ/1466/25)</t>
  </si>
  <si>
    <t xml:space="preserve"> (פ/1465/25)</t>
  </si>
  <si>
    <t xml:space="preserve">הצעת חוק להגדלת שיעור ההשתתפות בכוח העבודה ולצמצום פערים חברתיים (מענק עבודה) (תיקון - אוטומציה בקבלת מענק העבודה), התשפ"ג-2023</t>
  </si>
  <si>
    <t xml:space="preserve"> (פ/1463/25)</t>
  </si>
  <si>
    <t xml:space="preserve">הצעת חוק לימוד חובה (תיקון - הגבלת מספר התלמידים בגן חובה ובבית ספר יסודי), התשפ"ג-2023</t>
  </si>
  <si>
    <t xml:space="preserve"> (פ/1462/25)</t>
  </si>
  <si>
    <t xml:space="preserve"> (פ/1461/25)</t>
  </si>
  <si>
    <t xml:space="preserve"> (פ/1460/25)</t>
  </si>
  <si>
    <t xml:space="preserve"> (פ/1459/25)</t>
  </si>
  <si>
    <t xml:space="preserve"> (פ/1457/25)</t>
  </si>
  <si>
    <t xml:space="preserve">הצעת חוק לתיקון פקודת בריאות העם (הוספת מגנזיום למי השתייה), התשפ"ג-2023</t>
  </si>
  <si>
    <t xml:space="preserve"> (פ/1456/25)</t>
  </si>
  <si>
    <t xml:space="preserve">הצעת חוק לתיקון פקודת הראיות (התייחסות איש צוות רפואי שלא תשמש ראיה), התשפ"ג-2023</t>
  </si>
  <si>
    <t xml:space="preserve"> (פ/1455/25)</t>
  </si>
  <si>
    <t xml:space="preserve"> (פ/1454/25)</t>
  </si>
  <si>
    <t xml:space="preserve">הצעת חוק הרשויות המקומיות (יועצת לענייני מעמד האישה) (תיקון - תקציב ייעודי וייחוד הכהונה), התשפ"ג-2023</t>
  </si>
  <si>
    <t xml:space="preserve"> (פ/1453/25)</t>
  </si>
  <si>
    <t xml:space="preserve">הצעת חוק הבנקאות (שירות ללקוח) (תיקון - העברת משכנתה בין בנקים), התשפ"ג-2023</t>
  </si>
  <si>
    <t xml:space="preserve"> (פ/1452/25)</t>
  </si>
  <si>
    <t xml:space="preserve">הצעת חוק הבנקאות (שירות ללקוח) (תיקון - הפחתת יוקר תשלומי הלוואה לדיור), התשפ"ג-2023</t>
  </si>
  <si>
    <t xml:space="preserve"> (פ/1451/25)</t>
  </si>
  <si>
    <t xml:space="preserve">הצעת חוק עסקאות גופים ציבוריים (תיקון - איסור על התקשרות קבלנית להעסקת עובדים), התשפ"ג-2023</t>
  </si>
  <si>
    <t xml:space="preserve"> (פ/1450/25)</t>
  </si>
  <si>
    <t xml:space="preserve"> (פ/1449/25)</t>
  </si>
  <si>
    <t xml:space="preserve">הצעת חוק ההתגוננות האזרחית (תיקון - התקן בטיחותי על דלת מרחב מוגן דירתי), התשפ"ג-2023</t>
  </si>
  <si>
    <t xml:space="preserve"> (פ/1448/25)</t>
  </si>
  <si>
    <t xml:space="preserve"> (פ/1447/25)</t>
  </si>
  <si>
    <t xml:space="preserve">הצעת חוק חובת המכרזים (תיקון - עסק קולט עלייה), התשפ"ג-2023</t>
  </si>
  <si>
    <t xml:space="preserve"> (פ/1445/25)</t>
  </si>
  <si>
    <t xml:space="preserve"> (פ/1444/25)</t>
  </si>
  <si>
    <t xml:space="preserve"> (פ/1443/25)</t>
  </si>
  <si>
    <t xml:space="preserve">הצעת חוק גיל פרישה (תיקון - הקדמת גיל הפרישה), התשפ"ג-2023</t>
  </si>
  <si>
    <t xml:space="preserve"> (פ/1442/25)</t>
  </si>
  <si>
    <t xml:space="preserve"> (פ/1441/25)</t>
  </si>
  <si>
    <t xml:space="preserve"> (פ/1440/25)</t>
  </si>
  <si>
    <t xml:space="preserve"> (פ/1439/25)</t>
  </si>
  <si>
    <t xml:space="preserve">הצעת חוק מידע גנטי (תיקון - עריכת בדיקה גנטית לאיתור בן משפחה שעלה בין השנים 1948 עד 1959), התשפ"ג-2023</t>
  </si>
  <si>
    <t xml:space="preserve"> (פ/1438/25)</t>
  </si>
  <si>
    <t xml:space="preserve">הצעת חוק הגנת הצרכן (תיקון - מתן שירות טלפוני על ידי בעל רישיון להפעלת קו שירות לאוטובוס), התשפ"ג-2023</t>
  </si>
  <si>
    <t xml:space="preserve"> (פ/1437/25)</t>
  </si>
  <si>
    <t xml:space="preserve">הצעת חוק תגמול לנושאי משרה בתאגידים פיננסיים (אישור מיוחד ואי-התרת הוצאה לצורכי מס בשל תגמול חריג) (תיקון - הרחבת התחולה על ספקים וקמעונאים גדולים), התשפ"ג-2023</t>
  </si>
  <si>
    <t xml:space="preserve"> (פ/1436/25)</t>
  </si>
  <si>
    <t xml:space="preserve">הצעת חוק הבטחת הכנסה (תיקון - זכאות להטבות הניתנות לזכאים לגמלת הבטחת הכנסה), התשפ"ג-2023</t>
  </si>
  <si>
    <t xml:space="preserve"> (פ/1434/25)</t>
  </si>
  <si>
    <t xml:space="preserve"> (פ/1432/25)</t>
  </si>
  <si>
    <t xml:space="preserve"> (פ/1430/25)</t>
  </si>
  <si>
    <t xml:space="preserve">הצעת חוק-יסוד: הפסקת חברות של חבר כנסת והעברת שר וראש ממשלה מכהונתם מחמת הפרת הבטחת בחירות (תיקוני חקיקה)</t>
  </si>
  <si>
    <t xml:space="preserve"> (פ/1429/25)</t>
  </si>
  <si>
    <t xml:space="preserve">הצעת חוק דמי מחלה (תיקון - תשלום דמי מחלה החל מהיום הראשון להיעדרות), התשפ"ג-2023</t>
  </si>
  <si>
    <t xml:space="preserve"> (פ/1428/25)</t>
  </si>
  <si>
    <t xml:space="preserve"> (פ/1427/25)</t>
  </si>
  <si>
    <t xml:space="preserve"> (פ/1426/25)</t>
  </si>
  <si>
    <t xml:space="preserve"> (פ/1425/25)</t>
  </si>
  <si>
    <t xml:space="preserve"> (פ/1423/25)</t>
  </si>
  <si>
    <t xml:space="preserve">הצעת חוק התכנון והבנייה (תיקון - ייצוג הולם לאוכלוסייה החרדית במועצה הארצית לתכנון ולבנייה), התשפ"ג-2023</t>
  </si>
  <si>
    <t xml:space="preserve"> (פ/1422/25)</t>
  </si>
  <si>
    <t xml:space="preserve"> (פ/1420/25)</t>
  </si>
  <si>
    <t xml:space="preserve">הצעת חוק הגנת השכר (תיקון - פטור מדמי טיפול מקצועי-ארגוני), התשפ"ג-2023</t>
  </si>
  <si>
    <t xml:space="preserve"> (פ/1419/25)</t>
  </si>
  <si>
    <t xml:space="preserve">הצעת חוק הפיקוח על שירותים פיננסיים (ביטוח) (תיקון - איסור הפליה במתן שירותי ביטוח), התשפ"ג-2023</t>
  </si>
  <si>
    <t xml:space="preserve"> (פ/1418/25)</t>
  </si>
  <si>
    <t xml:space="preserve"> (פ/1417/25)</t>
  </si>
  <si>
    <t xml:space="preserve">הצעת חוק משמר מקומי, התשפ"ג-2023</t>
  </si>
  <si>
    <t xml:space="preserve"> (פ/1415/25)</t>
  </si>
  <si>
    <t xml:space="preserve">הצעת חוק השבת זכויות במקרקעין שנשללו ביהודה ושומרון לפני קום המדינה, התשפ"ג-2023</t>
  </si>
  <si>
    <t xml:space="preserve"> (פ/1414/25)</t>
  </si>
  <si>
    <t xml:space="preserve"> (פ/1413/25)</t>
  </si>
  <si>
    <t xml:space="preserve"> (פ/1412/25)</t>
  </si>
  <si>
    <t xml:space="preserve"> (פ/1411/25)</t>
  </si>
  <si>
    <t xml:space="preserve">הצעת חוק להפחתת השימוש ברכב פרטי ולעידוד שימוש בתחבורה הציבורית, התשפ"ג-2023 </t>
  </si>
  <si>
    <t xml:space="preserve"> (פ/1410/25)</t>
  </si>
  <si>
    <t xml:space="preserve">הצעת חוק-יסוד: הממשלה (תיקון - הטלת התפקיד להרכיב ממשלה והגבלת מנגנון התפזרות הכנסת)</t>
  </si>
  <si>
    <t xml:space="preserve"> (פ/1408/25)</t>
  </si>
  <si>
    <t xml:space="preserve"> (פ/1407/25)</t>
  </si>
  <si>
    <t xml:space="preserve">הצעת חוק אתרי התיישבות בהליכי הסדרה, התשפ"ג-2023</t>
  </si>
  <si>
    <t xml:space="preserve"> (פ/1406/25)</t>
  </si>
  <si>
    <t xml:space="preserve">הצעת חוק איסור הונאה בכשרות (תיקון - ביטול רפורמת הכשרות), התשפ"ג-2023</t>
  </si>
  <si>
    <t xml:space="preserve"> (פ/1405/25)</t>
  </si>
  <si>
    <t xml:space="preserve"> (פ/1404/25)</t>
  </si>
  <si>
    <t xml:space="preserve">הצעת חוק חובת המכרזים (תיקון - חובה לשקול שיקולי הגנת צרכן במכרזים), התשפ"ג-2023</t>
  </si>
  <si>
    <t xml:space="preserve"> (פ/1403/25)</t>
  </si>
  <si>
    <t xml:space="preserve">הצעת חוק דמי מחלה (היעדרות בשל מחלת ילד) (תיקון - ימי מחלה נוספים בשל מחלת ילד), התשפ"ג-2023</t>
  </si>
  <si>
    <t xml:space="preserve"> (פ/1402/25)</t>
  </si>
  <si>
    <t xml:space="preserve">הצעת חוק-יסוד: קיצור תקופת הקמת ממשלה חדשה (תיקוני חקיקה)</t>
  </si>
  <si>
    <t xml:space="preserve"> (פ/1401/25)</t>
  </si>
  <si>
    <t xml:space="preserve"> (פ/1400/25)</t>
  </si>
  <si>
    <t xml:space="preserve"> (פ/1399/25)</t>
  </si>
  <si>
    <t xml:space="preserve">הצעת חוק ההוצאה לפועל (תיקון - קביעת תעריף מקסימלי לשכר טרחת עורך דין), התשפ"ג-2023 </t>
  </si>
  <si>
    <t xml:space="preserve"> (פ/1396/25)</t>
  </si>
  <si>
    <t xml:space="preserve">הצעת חוק החברה למתנ"סים, התשפ"ג-2023</t>
  </si>
  <si>
    <t xml:space="preserve"> (פ/1394/25)</t>
  </si>
  <si>
    <t xml:space="preserve">הצעת חוק אורח חיים בריא, התשפ"ג-2023</t>
  </si>
  <si>
    <t xml:space="preserve"> (פ/1393/25)</t>
  </si>
  <si>
    <t xml:space="preserve">הצעת חוק זכויות הדייר בדיור הציבורי (תיקון - הארכת תוקף זכאות לדירה הציבורית), התשפ"ג-2023</t>
  </si>
  <si>
    <t xml:space="preserve"> (פ/1392/25)</t>
  </si>
  <si>
    <t xml:space="preserve">הצעת חוק לימודי הכנה למבחנים פסיכומטריים לתלמידים, התשפ"ג-2023‏ </t>
  </si>
  <si>
    <t xml:space="preserve"> (פ/1391/25)</t>
  </si>
  <si>
    <t xml:space="preserve">הצעת חוק חג המימונה, התשפ"ג-2023</t>
  </si>
  <si>
    <t xml:space="preserve"> (פ/1390/25)</t>
  </si>
  <si>
    <t xml:space="preserve"> (פ/1389/25)</t>
  </si>
  <si>
    <t xml:space="preserve">הצעת חוק הבחירות (דרכי תעמולה) (תיקון - איסור על תעמולה גזענית), התשפ"ג-2023</t>
  </si>
  <si>
    <t xml:space="preserve"> (פ/1388/25)</t>
  </si>
  <si>
    <t xml:space="preserve"> (פ/1387/25)</t>
  </si>
  <si>
    <t xml:space="preserve">הצעת חוק חינוך פיננסי, התשפ"ג-2023</t>
  </si>
  <si>
    <t xml:space="preserve"> (פ/1386/25)</t>
  </si>
  <si>
    <t xml:space="preserve">הצעת חוק העונשין (תיקון - תקיפת נהג אוטובוס), התשפ"ג-2023</t>
  </si>
  <si>
    <t xml:space="preserve"> (פ/1385/25)</t>
  </si>
  <si>
    <t xml:space="preserve"> (פ/1383/25)</t>
  </si>
  <si>
    <t xml:space="preserve"> (פ/1382/25)</t>
  </si>
  <si>
    <t xml:space="preserve">הצעת חוק משק החשמל (תיקון - תשלומי חשמל מופחתים לבני שמונים שנים ומעלה), התשפ"ג-2023</t>
  </si>
  <si>
    <t xml:space="preserve"> (פ/1381/25)</t>
  </si>
  <si>
    <t xml:space="preserve"> (פ/1379/25)</t>
  </si>
  <si>
    <t xml:space="preserve"> (פ/1378/25)</t>
  </si>
  <si>
    <t xml:space="preserve"> (פ/1377/25)</t>
  </si>
  <si>
    <t xml:space="preserve"> (פ/1376/25)</t>
  </si>
  <si>
    <t xml:space="preserve">הצעת חוק הבחירות לכנסת (תיקון - זכות הצבעה לאזרחים מחוץ לישראל), התשפ"ג-2023</t>
  </si>
  <si>
    <t xml:space="preserve"> (פ/1375/25)</t>
  </si>
  <si>
    <t xml:space="preserve">הצעת חוק הגנת הצרכן (תיקון - חובת הצגת מחיר מומלץ של ירקות), התשפ"ג-2023</t>
  </si>
  <si>
    <t xml:space="preserve"> (פ/1374/25)</t>
  </si>
  <si>
    <t xml:space="preserve"> (פ/1373/25)</t>
  </si>
  <si>
    <t xml:space="preserve"> (פ/1372/25)</t>
  </si>
  <si>
    <t xml:space="preserve"> (פ/1371/25)</t>
  </si>
  <si>
    <t xml:space="preserve">הצעת חוק-יסוד: הכנסת (תיקון - הפסקת חברות בכנסת של שר או סגן שר)</t>
  </si>
  <si>
    <t xml:space="preserve"> (פ/1370/25)</t>
  </si>
  <si>
    <t xml:space="preserve"> (פ/1368/25)</t>
  </si>
  <si>
    <t xml:space="preserve"> (פ/1367/25)</t>
  </si>
  <si>
    <t xml:space="preserve"> (פ/1366/25)</t>
  </si>
  <si>
    <t xml:space="preserve"> (פ/1364/25)</t>
  </si>
  <si>
    <t xml:space="preserve">הצעת חוק-יסוד: הממשלה (תיקון - הגבלת תקופת כהונה של ראש הממשלה)</t>
  </si>
  <si>
    <t xml:space="preserve"> (פ/1363/25)</t>
  </si>
  <si>
    <t xml:space="preserve"> (פ/1362/25)</t>
  </si>
  <si>
    <t xml:space="preserve"> (פ/1361/25)</t>
  </si>
  <si>
    <t xml:space="preserve"> (פ/1360/25)</t>
  </si>
  <si>
    <t xml:space="preserve"> (פ/1359/25)</t>
  </si>
  <si>
    <t xml:space="preserve"> (פ/1358/25)</t>
  </si>
  <si>
    <t xml:space="preserve"> (פ/1357/25)</t>
  </si>
  <si>
    <t xml:space="preserve">הצעת חוק כלי הירייה (תיקון - זכאות לרישיון כלי ירייה למי ששירת כלוחם ושוטר), התשפ"ג-2023</t>
  </si>
  <si>
    <t xml:space="preserve"> (פ/1356/25)</t>
  </si>
  <si>
    <t xml:space="preserve"> (פ/1355/25)</t>
  </si>
  <si>
    <t xml:space="preserve">הצעת חוק הדיינים (תיקון - כשירות הרבנים הראשיים לישראל), התשפ"ג-2023</t>
  </si>
  <si>
    <t xml:space="preserve"> (פ/1354/25)</t>
  </si>
  <si>
    <t xml:space="preserve">הצעת חוק האזרחות והכניסה לישראל (הוראת שעה) (תיקון - ביטול החוק), התשפ"ג-2023</t>
  </si>
  <si>
    <t xml:space="preserve"> (פ/1353/25)</t>
  </si>
  <si>
    <t xml:space="preserve">הצעת חוק הביטוח הלאומי (תיקון - העלאת דמי לידה), התשפ"ג-2023</t>
  </si>
  <si>
    <t xml:space="preserve"> (פ/1352/25)</t>
  </si>
  <si>
    <t xml:space="preserve">הצעת חוק הדיור הציבורי (זכויות רכישה) (תיקון - העלאת המחיר הבסיסי לחישוב מענק), התשפ"ג-2023</t>
  </si>
  <si>
    <t xml:space="preserve"> (פ/1351/25)</t>
  </si>
  <si>
    <t xml:space="preserve">הצעת חוק חינוך ממלכתי (תיקון - חובת לימוד ערבית), התשפ"ג-2023</t>
  </si>
  <si>
    <t xml:space="preserve"> (פ/1350/25)</t>
  </si>
  <si>
    <t xml:space="preserve">הצעת חוק שלילת תשלומים מחבר הכנסת ומחבר הכנסת לשעבר בשל עבירה (תיקון - חשוד בעבירת ביטחון), התשפ"ג-2023</t>
  </si>
  <si>
    <t xml:space="preserve"> (פ/1348/25)</t>
  </si>
  <si>
    <t xml:space="preserve"> (פ/1347/25)</t>
  </si>
  <si>
    <t xml:space="preserve">הצעת חוק עבודת נשים (תיקון - חישוב ימי מחלה בזמן היריון), התשפ"ג-2023</t>
  </si>
  <si>
    <t xml:space="preserve"> (פ/1346/25)</t>
  </si>
  <si>
    <t xml:space="preserve"> (פ/1345/25)</t>
  </si>
  <si>
    <t xml:space="preserve">הצעת חוק הנחה לחיילי צה"ל לוחמים בתחבורה ציבורית, התשפ"ג-2023</t>
  </si>
  <si>
    <t xml:space="preserve"> (פ/1344/25)</t>
  </si>
  <si>
    <t xml:space="preserve">הצעת חוק הגנת הפרטיות (תיקון - איסור פרסום הקלטה של אדם), התשפ"ג-2023</t>
  </si>
  <si>
    <t xml:space="preserve"> (פ/1343/25)</t>
  </si>
  <si>
    <t xml:space="preserve"> (פ/1342/25)</t>
  </si>
  <si>
    <t xml:space="preserve">הצעת חוק שפות רשמיות, התשפ"ג-2023</t>
  </si>
  <si>
    <t xml:space="preserve"> (פ/1341/25)</t>
  </si>
  <si>
    <t xml:space="preserve">הצעת חוק עבודת נשים (תיקון - הגנה על עובדת מפני הליכי פיטורים), התשפ"ג-2023</t>
  </si>
  <si>
    <t xml:space="preserve"> (פ/1338/25)</t>
  </si>
  <si>
    <t xml:space="preserve">הצעת חוק עבודת נשים (תיקון - הוספת חלקו של חודש במניין), התשפ"ג-2023</t>
  </si>
  <si>
    <t xml:space="preserve"> (פ/1337/25)</t>
  </si>
  <si>
    <t xml:space="preserve"> (פ/1336/25)</t>
  </si>
  <si>
    <t xml:space="preserve"> (פ/1335/25)</t>
  </si>
  <si>
    <t xml:space="preserve">הצעת חוק המרכז לתולדות החברה הערבית, התשפ"ג-2023</t>
  </si>
  <si>
    <t xml:space="preserve"> (פ/1334/25)</t>
  </si>
  <si>
    <t xml:space="preserve">הצעת חוק נכי רדיפות הנאצים (תיקון - הכנסה נוספת), התשפ"ג-2023</t>
  </si>
  <si>
    <t xml:space="preserve"> (פ/1333/25)</t>
  </si>
  <si>
    <t xml:space="preserve">הצעת חוק השפה הערבית שפה רשמית, התשפ"ג-2023</t>
  </si>
  <si>
    <t xml:space="preserve"> (פ/1332/25)</t>
  </si>
  <si>
    <t xml:space="preserve"> (פ/1331/25)</t>
  </si>
  <si>
    <t xml:space="preserve">הצעת חוק הביטוח הלאומי (תיקון - זכאות לדמי אבטלה מגיל שמונה-עשרה וחצי), התשפ"ג-2023</t>
  </si>
  <si>
    <t xml:space="preserve"> (פ/1330/25)</t>
  </si>
  <si>
    <t xml:space="preserve">הצעת חוק השפה הערבית שפה רשמית (מתן שירותים בשפה הערבית), התשפ"ג-2023</t>
  </si>
  <si>
    <t xml:space="preserve"> (פ/1329/25)</t>
  </si>
  <si>
    <t xml:space="preserve"> (פ/1328/25)</t>
  </si>
  <si>
    <t xml:space="preserve"> (פ/1327/25)</t>
  </si>
  <si>
    <t xml:space="preserve">הצעת חוק תוכנית לחינוך גופני והקמת מתקני ספורט במוסדות חינוך (תיקוני חקיקה), התשפ"ג-2023 </t>
  </si>
  <si>
    <t xml:space="preserve"> (פ/1326/25)</t>
  </si>
  <si>
    <t xml:space="preserve"> (פ/1325/25)</t>
  </si>
  <si>
    <t xml:space="preserve">הצעת חוק התכנון והבנייה (תיקון - תחולת סעיף 157א - חיבור לחשמל, למים או לטלפון), התשפ"ג-2023</t>
  </si>
  <si>
    <t xml:space="preserve"> (פ/1324/25)</t>
  </si>
  <si>
    <t xml:space="preserve">הצעת חוק הרשויות המקומיות (פטור חיילים, נפגעי מלחמה ושוטרים מארנונה) (תיקון - הנחה בארנונה ליתומי צה"ל), התשפ"ג-2023</t>
  </si>
  <si>
    <t xml:space="preserve"> (פ/1323/25)</t>
  </si>
  <si>
    <t xml:space="preserve">הצעת חוק הבנקאות (שירות ללקוח) (תיקון - שיעור הריבית על הלוואה לדיור), התשפ"ג-2023</t>
  </si>
  <si>
    <t xml:space="preserve"> (פ/1322/25)</t>
  </si>
  <si>
    <t xml:space="preserve">02.01.2023</t>
  </si>
  <si>
    <t xml:space="preserve"> (פ/1321/25)</t>
  </si>
  <si>
    <t xml:space="preserve"> (פ/1320/25)</t>
  </si>
  <si>
    <t xml:space="preserve">הצעת חוק הגנה על עובדים בשעת חירום (תיקון - אובדן ימי עבודה בשל מצב מיוחד בעורף), התשפ"ג-2023</t>
  </si>
  <si>
    <t xml:space="preserve"> (פ/1319/25)</t>
  </si>
  <si>
    <t xml:space="preserve"> (פ/1318/25)</t>
  </si>
  <si>
    <t xml:space="preserve">הצעת חוק הגנת הצרכן (תיקון - אישור להמשך מתן שירות בעסקה מתמשכת), התשפ"ג-2023</t>
  </si>
  <si>
    <t xml:space="preserve"> (פ/1317/25)</t>
  </si>
  <si>
    <t xml:space="preserve"> (פ/1316/25)</t>
  </si>
  <si>
    <t xml:space="preserve">הצעת חוק לעידוד השקעות הון (תיקון - עידוד ענף היהלומים) (הוראת שעה), התשפ"ג-2023</t>
  </si>
  <si>
    <t xml:space="preserve"> (פ/1315/25)</t>
  </si>
  <si>
    <t xml:space="preserve">הצעת חוק חובת המכרזים (תיקון - עידוד עסקים להעסקת בני החברה החרדית והערבית), התשפ"ג-2023</t>
  </si>
  <si>
    <t xml:space="preserve"> (פ/1314/25)</t>
  </si>
  <si>
    <t xml:space="preserve"> (פ/1312/25)</t>
  </si>
  <si>
    <t xml:space="preserve">הצעת חוק הביטוח הלאומי (תיקון - זכאות לדמי אבטלה בחמשת הימים הראשונים), התשפ"ג-2023</t>
  </si>
  <si>
    <t xml:space="preserve"> (פ/1311/25)</t>
  </si>
  <si>
    <t xml:space="preserve"> (פ/1310/25)</t>
  </si>
  <si>
    <t xml:space="preserve">הצעת חוק תמיכה בביטחון תזונתי אצל תינוקות, התשפ"ג-2023</t>
  </si>
  <si>
    <t xml:space="preserve"> (פ/1309/25)</t>
  </si>
  <si>
    <t xml:space="preserve"> (פ/1308/25)</t>
  </si>
  <si>
    <t xml:space="preserve"> (פ/1307/25)</t>
  </si>
  <si>
    <t xml:space="preserve">הצעת חוק הסכמים קיבוציים (תיקון - שינוי מעסיקים), התשפ"ג-2023</t>
  </si>
  <si>
    <t xml:space="preserve"> (פ/1306/25)</t>
  </si>
  <si>
    <t xml:space="preserve">הצעת חוק לתיקון פקודת מס הכנסה (פטור למוסד ציבור על הכנסה מדיבידנד מחברת בת), התשפ"ג-2023</t>
  </si>
  <si>
    <t xml:space="preserve"> (פ/1305/25)</t>
  </si>
  <si>
    <t xml:space="preserve"> (פ/1304/25)</t>
  </si>
  <si>
    <t xml:space="preserve">הצעת חוק הנצחת זכרם של קורבנות הטבח בכפר קאסם, התשפ"ג-2023</t>
  </si>
  <si>
    <t xml:space="preserve"> (פ/1303/25)</t>
  </si>
  <si>
    <t xml:space="preserve">הצעת חוק ביטוח בריאות ממלכתי (תיקון - קביעת זמני המתנה ומרחקי נסיעה מרביים לקבלת טיפול רפואי), התשפ"ג-2023</t>
  </si>
  <si>
    <t xml:space="preserve"> (פ/1302/25)</t>
  </si>
  <si>
    <t xml:space="preserve">הצעת חוק הסיוע המשפטי (תיקון - סיוע משפטי לנפגעי עבירות), התשפ"ג-2023</t>
  </si>
  <si>
    <t xml:space="preserve"> (פ/1301/25)</t>
  </si>
  <si>
    <t xml:space="preserve"> (פ/1300/25)</t>
  </si>
  <si>
    <t xml:space="preserve">הצעת חוק חינוך ממלכתי (תיקון - מימון מוסדות חינוך מוכרים לא רשמיים), התשפ"ג-2023</t>
  </si>
  <si>
    <t xml:space="preserve"> (פ/1296/25)</t>
  </si>
  <si>
    <t xml:space="preserve">הצעת חוק לתיקון פקודת הרופאים (הוראות לעניין בחינות לסטז'רים), התשפ"ג-2023</t>
  </si>
  <si>
    <t xml:space="preserve"> (פ/1295/25)</t>
  </si>
  <si>
    <t xml:space="preserve">הצעת חוק לתיקון פקודת הראיות (הסרת חיסיון), התשפ"ג-2023</t>
  </si>
  <si>
    <t xml:space="preserve"> (פ/1293/25)</t>
  </si>
  <si>
    <t xml:space="preserve"> (פ/1292/25)</t>
  </si>
  <si>
    <t xml:space="preserve"> (פ/1291/25)</t>
  </si>
  <si>
    <t xml:space="preserve">הצעת חוק לתיקון פקודת העיריות (ייצוג הולם לאוכלוסייה הערבית), התשפ"ג-2023</t>
  </si>
  <si>
    <t xml:space="preserve"> (פ/1290/25)</t>
  </si>
  <si>
    <t xml:space="preserve">הצעת חוק הקמת רשות לפיתוח מקומות קדושים למוסלמים, התשפ"ג-2023</t>
  </si>
  <si>
    <t xml:space="preserve"> (פ/1288/25)</t>
  </si>
  <si>
    <t xml:space="preserve"> (פ/1287/25)</t>
  </si>
  <si>
    <t xml:space="preserve">הצעת חוק לתיקון פקודת מס הכנסה (נקודת זיכוי לסטודנטים ולהוריהם), התשפ"ג-2023</t>
  </si>
  <si>
    <t xml:space="preserve"> (פ/1286/25)</t>
  </si>
  <si>
    <t xml:space="preserve"> (פ/1285/25)</t>
  </si>
  <si>
    <t xml:space="preserve"> (פ/1284/25)</t>
  </si>
  <si>
    <t xml:space="preserve"> (פ/1283/25)</t>
  </si>
  <si>
    <t xml:space="preserve"> (פ/1282/25)</t>
  </si>
  <si>
    <t xml:space="preserve"> (פ/1281/25)</t>
  </si>
  <si>
    <t xml:space="preserve">הצעת חוק מיסוי מקרקעין (שבח ורכישה) (תיקון - מדרגות המס על דירה יחידה ועל בניין להשכרה ובניין לשכירות מוסדית), התשפ''ג-2023</t>
  </si>
  <si>
    <t xml:space="preserve"> (פ/1279/25)</t>
  </si>
  <si>
    <t xml:space="preserve"> (פ/1277/25)</t>
  </si>
  <si>
    <t xml:space="preserve"> (פ/1276/25)</t>
  </si>
  <si>
    <t xml:space="preserve">הצעת חוק זכויות הסטודנט (תיקון - קורס דיאלוג רב-תרבותי), התשפ"ג-2023</t>
  </si>
  <si>
    <t xml:space="preserve"> (פ/1275/25)</t>
  </si>
  <si>
    <t xml:space="preserve">הצעת חוק-יסוד: שוויון ושותפות אזרחית מלאה</t>
  </si>
  <si>
    <t xml:space="preserve"> (פ/1274/25)</t>
  </si>
  <si>
    <t xml:space="preserve">הצעת חוק איסור שימוש בסוסים לשם פיזור התקהלויות, התשפ"ג-2023</t>
  </si>
  <si>
    <t xml:space="preserve"> (פ/1273/25)</t>
  </si>
  <si>
    <t xml:space="preserve">הצעת חוק המועצה להשכלה גבוהה (תיקון - ייצוג הולם), התשפ"ג-2023</t>
  </si>
  <si>
    <t xml:space="preserve"> (פ/1272/25)</t>
  </si>
  <si>
    <t xml:space="preserve">הצעת חוק יסודות התקציב (תיקון - תאגיד בריאות המפעיל מעון יום שיקומי), התשפ"ג-2023</t>
  </si>
  <si>
    <t xml:space="preserve"> (פ/1271/25)</t>
  </si>
  <si>
    <t xml:space="preserve"> (פ/1270/25)</t>
  </si>
  <si>
    <t xml:space="preserve"> (פ/1269/25)</t>
  </si>
  <si>
    <t xml:space="preserve"> (פ/1268/25)</t>
  </si>
  <si>
    <t xml:space="preserve">הצעת חוק העונשין (תיקון - הכפלת ענישה בשל פגיעה ברגשי דת ומסורת), התשפ"ג-2023</t>
  </si>
  <si>
    <t xml:space="preserve"> (פ/1266/25)</t>
  </si>
  <si>
    <t xml:space="preserve">הצעת חוק חסינות חיילי צה"ל באירועים מבצעיים, התשפ"ג-2023</t>
  </si>
  <si>
    <t xml:space="preserve"> (פ/1265/25)</t>
  </si>
  <si>
    <t xml:space="preserve">הצעת חוק הסיוע המשפטי (תיקון - הוצאות מומחים), התשפ"ג-2023</t>
  </si>
  <si>
    <t xml:space="preserve"> (פ/1264/25)</t>
  </si>
  <si>
    <t xml:space="preserve">הצעת חוק המועצה להשכלה גבוהה (תיקון - איסור דרישת בחינות כניסה וציון פסיכומטרי), התשפ"ג-2023</t>
  </si>
  <si>
    <t xml:space="preserve"> (פ/1263/25)</t>
  </si>
  <si>
    <t xml:space="preserve">הצעת חוק להבטחת פיצוי לתושבי גבעת עמל, התשפ"ג-2023</t>
  </si>
  <si>
    <t xml:space="preserve"> (פ/1262/25)</t>
  </si>
  <si>
    <t xml:space="preserve"> (פ/1261/25)</t>
  </si>
  <si>
    <t xml:space="preserve">הצעת חוק זכויות הסטודנט (תיקון - התאמות לסטודנטית לאחר לידה), התשפ"ג-2023</t>
  </si>
  <si>
    <t xml:space="preserve"> (פ/1260/25)</t>
  </si>
  <si>
    <t xml:space="preserve">הצעת חוק פתיחת קבר של קטין יוצא תימן, המזרח או הבלקן לשם זיהוי ועריכת בדיקה גנטית לקשר משפחה (הוראת שעה) (תיקון - הארכת תוקף הוראת השעה ואישור בקשה מטעמים מיוחדים), התשפ"ג-2023</t>
  </si>
  <si>
    <t xml:space="preserve"> (פ/1259/25)</t>
  </si>
  <si>
    <t xml:space="preserve">הצעת חוק הסדרים במשק המדינה (תיקוני חקיקה להשגת יעדי התקציב) (תיקון - פטור מארנונה לנשים ששהו במקלט לנשים מוכות), התשפ"ג-2023</t>
  </si>
  <si>
    <t xml:space="preserve"> (פ/1258/25)</t>
  </si>
  <si>
    <t xml:space="preserve">הצעת חוק לתיקון פקודת התעבורה (חובת התקנת לחצן מצוקה באוטובוס), התשפ"ג-2023</t>
  </si>
  <si>
    <t xml:space="preserve"> (פ/1257/25)</t>
  </si>
  <si>
    <t xml:space="preserve"> (פ/1256/25)</t>
  </si>
  <si>
    <t xml:space="preserve"> (פ/1255/25)</t>
  </si>
  <si>
    <t xml:space="preserve">הצעת חוק צער בעלי חיים (הגנה על בעלי חיים) (תיקון - ביטול כלובים בתעשיית הביצים), התשפ"ג-2023</t>
  </si>
  <si>
    <t xml:space="preserve"> (פ/1254/25)</t>
  </si>
  <si>
    <t xml:space="preserve">הצעת חוק רמת הגולן (תיקון - ביטול החוק), התשפ"ג-2023</t>
  </si>
  <si>
    <t xml:space="preserve"> (פ/1253/25)</t>
  </si>
  <si>
    <t xml:space="preserve">הצעת חוק הביטוח הלאומי (תיקון - התאמת קצבת הסיעוד להעלאת שכר המינימום), התשפ"ג-2023</t>
  </si>
  <si>
    <t xml:space="preserve"> (פ/1252/25)</t>
  </si>
  <si>
    <t xml:space="preserve"> (פ/1251/25)</t>
  </si>
  <si>
    <t xml:space="preserve">הצעת חוק קביעת אופן ההעסקה של מטפלות במשפחתונים המפוקחים על ידי משרד הכלכלה והתעשייה, התשפ"ג-2023</t>
  </si>
  <si>
    <t xml:space="preserve"> (פ/1250/25)</t>
  </si>
  <si>
    <t xml:space="preserve">הצעת חוק ניירות ערך (תיקון - חובת דיווח על תמיכות סביבתיות), התשפ״ג-2023</t>
  </si>
  <si>
    <t xml:space="preserve"> (פ/1249/25)</t>
  </si>
  <si>
    <t xml:space="preserve">הצעת חוק זכויות סוציאליות לנשים נפגעות אלימות (תיקוני חקיקה), התשפ"ג-2023</t>
  </si>
  <si>
    <t xml:space="preserve"> (פ/1248/25)</t>
  </si>
  <si>
    <t xml:space="preserve">הצעת חוק למניעת אלימות במשפחה (תיקון - מניעת אלימות כלכלית), התשפ"ג-2023</t>
  </si>
  <si>
    <t xml:space="preserve"> (פ/1247/25)</t>
  </si>
  <si>
    <t xml:space="preserve">הצעת חוק זכויות הדייר בדיור הציבורי (תיקון - זכות למגורים בדירה ציבורית לנשים ששהו במקלט לנשים מוכות), התשפ"ג-2023</t>
  </si>
  <si>
    <t xml:space="preserve"> (פ/1245/25)</t>
  </si>
  <si>
    <t xml:space="preserve">הצעת חוק יסודות התקציב (תיקון - הפחתת תקציב או תמיכה בשל פעילות נגד עקרונות המדינה של עובד או נושא משרה), התשפ"ג-2023</t>
  </si>
  <si>
    <t xml:space="preserve"> (פ/1243/25)</t>
  </si>
  <si>
    <t xml:space="preserve">הצעת חוק שידורי טלוויזיה (כתוביות ושפת סימנים) (תיקון - חובת ליווי בכתוביות תוכנית ותשדיר פרסומת), התשפ"ג-2023</t>
  </si>
  <si>
    <t xml:space="preserve"> (פ/1241/25)</t>
  </si>
  <si>
    <t xml:space="preserve">הצעת חוק הרשות לטיפול בנפגעי הלם קרב, התשפ"ג-2023</t>
  </si>
  <si>
    <t xml:space="preserve"> (פ/1240/25)</t>
  </si>
  <si>
    <t xml:space="preserve">הצעת חוק הביטוח הלאומי (תיקון - אי-שלילת זכאות לקצבת שאירים בשל הכנסה מפנסיה), התשפ"ג-2023</t>
  </si>
  <si>
    <t xml:space="preserve"> (פ/1238/25)</t>
  </si>
  <si>
    <t xml:space="preserve"> (פ/1237/25)</t>
  </si>
  <si>
    <t xml:space="preserve">הצעת חוק הכשרות המשפטית והאפוטרופסות (תיקון - תנאים להוצאת אדם מביתו בניגוד לרצונו), התשפ"ג-2023</t>
  </si>
  <si>
    <t xml:space="preserve"> (פ/1236/25)</t>
  </si>
  <si>
    <t xml:space="preserve">הצעת חוק איסור לשון הרע (תיקון - ביזוי אדם מחמת משקל), התשפ"ג-2023</t>
  </si>
  <si>
    <t xml:space="preserve"> (פ/1235/25)</t>
  </si>
  <si>
    <t xml:space="preserve">הצעת חוק שעות עבודה ומנוחה (תיקון - סוף שבוע ארוך), התשפ"ג-2023</t>
  </si>
  <si>
    <t xml:space="preserve"> (פ/1234/25)</t>
  </si>
  <si>
    <t xml:space="preserve"> (פ/1233/25)</t>
  </si>
  <si>
    <t xml:space="preserve"> (פ/1232/25)</t>
  </si>
  <si>
    <t xml:space="preserve">הצעת חוק העונשין (תיקון - אלימות במשפחה בנוכחות קטין או חסר ישע), התשפ"ג-2023</t>
  </si>
  <si>
    <t xml:space="preserve"> (פ/1231/25)</t>
  </si>
  <si>
    <t xml:space="preserve"> (פ/1230/25)</t>
  </si>
  <si>
    <t xml:space="preserve"> (פ/1229/25)</t>
  </si>
  <si>
    <t xml:space="preserve"> (פ/1228/25)</t>
  </si>
  <si>
    <t xml:space="preserve"> (פ/1227/25)</t>
  </si>
  <si>
    <t xml:space="preserve">הצעת חוק הבטחת הכנסה (תיקון - גמלאות להורה עצמאי), התשפ"ג-2023</t>
  </si>
  <si>
    <t xml:space="preserve"> (פ/1226/25)</t>
  </si>
  <si>
    <t xml:space="preserve"> (פ/1225/25)</t>
  </si>
  <si>
    <t xml:space="preserve">הצעת חוק גוש מערב השומרון, התשפ"ג-2023</t>
  </si>
  <si>
    <t xml:space="preserve"> (פ/1224/25)</t>
  </si>
  <si>
    <t xml:space="preserve">הצעת חוק גוש לב השומרון, התשפ"ג-2023</t>
  </si>
  <si>
    <t xml:space="preserve"> (פ/1223/25)</t>
  </si>
  <si>
    <t xml:space="preserve">הצעת חוק גוש מרכז בנימין, התשפ"ג-2023</t>
  </si>
  <si>
    <t xml:space="preserve"> (פ/1222/25)</t>
  </si>
  <si>
    <t xml:space="preserve">הצעת חוק גוש מודיעין, התשפ"ג-2023</t>
  </si>
  <si>
    <t xml:space="preserve"> (פ/1221/25)</t>
  </si>
  <si>
    <t xml:space="preserve">הצעת חוק חינוך ממלכתי (תיקון - חובת לימוד עברית וערבית), התשפ"ג-2023</t>
  </si>
  <si>
    <t xml:space="preserve"> (פ/1220/25)</t>
  </si>
  <si>
    <t xml:space="preserve">הצעת חוק-יסוד: כבוד האדם וחירותו (תיקון - זכויות חברתיות)</t>
  </si>
  <si>
    <t xml:space="preserve"> (פ/1218/25)</t>
  </si>
  <si>
    <t xml:space="preserve">הצעת חוק להגדלת שיעור ההשתתפות בכוח העבודה ולצמצום פערים חברתיים (מענק עבודה) (תיקון - זכות במקרקעין בקבוצת רכישה), התשפ"ג-2023</t>
  </si>
  <si>
    <t xml:space="preserve"> (פ/1217/25)</t>
  </si>
  <si>
    <t xml:space="preserve">הצעת חוק מעלה אדומים, התשפ"ג-2023</t>
  </si>
  <si>
    <t xml:space="preserve"> (פ/1216/25)</t>
  </si>
  <si>
    <t xml:space="preserve">הצעת חוק ההוצאה לפועל (תיקון - הודעה לחייב בטרם הגשת בקשה לביצוע משכנתה), התשפ"ג-2023</t>
  </si>
  <si>
    <t xml:space="preserve"> (פ/1215/25)</t>
  </si>
  <si>
    <t xml:space="preserve">הצעת חוק פירוק החומה, התשפ"ג-2023</t>
  </si>
  <si>
    <t xml:space="preserve"> (פ/1214/25)</t>
  </si>
  <si>
    <t xml:space="preserve">הצעת חוק תמיכה במימון פעילות ארגון נכי צה"ל ובתי הלוחם ובארגון נפגעי פעולות האיבה, התשפ"ג-2023</t>
  </si>
  <si>
    <t xml:space="preserve"> (פ/1213/25)</t>
  </si>
  <si>
    <t xml:space="preserve"> (פ/1212/25)</t>
  </si>
  <si>
    <t xml:space="preserve">הצעת חוק שירותי הסעד (תיקון - איסור התניית מימון שירותי רווחה ברשויות מוחלשות), התשפ"ג-2023</t>
  </si>
  <si>
    <t xml:space="preserve"> (פ/1211/25)</t>
  </si>
  <si>
    <t xml:space="preserve">הצעת חוק הגנת הצרכן (תיקון - תיעוד שיחות בין צרכן לעוסק ומסירתו לצרכן), התשפ"ג-2023</t>
  </si>
  <si>
    <t xml:space="preserve"> (פ/1210/25)</t>
  </si>
  <si>
    <t xml:space="preserve">הצעת חוק לתיקון פקודת בריאות הציבור (מזון) (ציון מידע אודות רכיבים אלרגניים), התשפ"ג-2023</t>
  </si>
  <si>
    <t xml:space="preserve"> (פ/1209/25)</t>
  </si>
  <si>
    <t xml:space="preserve">הצעת חוק יחסי ממון בין בני זוג (תיקון - הפקעת זכות האיזון מבן זוג שהורשע ברצח בן הזוג השני), התשפ"ג-2023</t>
  </si>
  <si>
    <t xml:space="preserve"> (פ/1208/25)</t>
  </si>
  <si>
    <t xml:space="preserve">הצעת חוק ארוחה חמה לתלמיד בחופשה, התשפ"ג-2023</t>
  </si>
  <si>
    <t xml:space="preserve"> (פ/1207/25)</t>
  </si>
  <si>
    <t xml:space="preserve"> (פ/1206/25)</t>
  </si>
  <si>
    <t xml:space="preserve">הצעת חוק צער בעלי חיים (הגנה על בעלי חיים) (תיקון - איחוד סמכויות), התשפ"ג-2023</t>
  </si>
  <si>
    <t xml:space="preserve"> (פ/1205/25)</t>
  </si>
  <si>
    <t xml:space="preserve"> (פ/1204/25)</t>
  </si>
  <si>
    <t xml:space="preserve"> (פ/1203/25)</t>
  </si>
  <si>
    <t xml:space="preserve"> (פ/1202/25)</t>
  </si>
  <si>
    <t xml:space="preserve"> (פ/1201/25)</t>
  </si>
  <si>
    <t xml:space="preserve">הצעת חוק זכויות הסטודנט (תיקון - ייצוג הולם במוסדות אגודת הסטודנטים), התשפ"ג-2023</t>
  </si>
  <si>
    <t xml:space="preserve"> (פ/1200/25)</t>
  </si>
  <si>
    <t xml:space="preserve">הצעת חוק השכלה גבוהה חינם, התשפ"ג-2023</t>
  </si>
  <si>
    <t xml:space="preserve"> (פ/1199/25)</t>
  </si>
  <si>
    <t xml:space="preserve"> (פ/1198/25)</t>
  </si>
  <si>
    <t xml:space="preserve">הצעת חוק המים (תיקון - איסור הפסקת אספקת מים בשל חובות של רשויות מקומיות), התשפ"ג-2023</t>
  </si>
  <si>
    <t xml:space="preserve"> (פ/1197/25)</t>
  </si>
  <si>
    <t xml:space="preserve">הצעת חוק מחלות יתומות, התשפ"ג-2023</t>
  </si>
  <si>
    <t xml:space="preserve"> (פ/1196/25)</t>
  </si>
  <si>
    <t xml:space="preserve"> (פ/1195/25)</t>
  </si>
  <si>
    <t xml:space="preserve">הצעת חוק שכר לחיילים בשירות סדיר, התשפ"ג-2023</t>
  </si>
  <si>
    <t xml:space="preserve"> (פ/1194/25)</t>
  </si>
  <si>
    <t xml:space="preserve">הצעת חוק חברון ובנותיה, התשפ"ג-2023</t>
  </si>
  <si>
    <t xml:space="preserve"> (פ/1193/25)</t>
  </si>
  <si>
    <t xml:space="preserve"> (פ/1192/25)</t>
  </si>
  <si>
    <t xml:space="preserve"> (פ/1189/25)</t>
  </si>
  <si>
    <t xml:space="preserve"> (פ/1188/25)</t>
  </si>
  <si>
    <t xml:space="preserve">הצעת חוק כביש אגרה (כביש ארצי לישראל) (תיקון - הפחתת ריבית פיגורים על חוב חלוט), התשפ"ג-2023</t>
  </si>
  <si>
    <t xml:space="preserve"> (פ/1187/25)</t>
  </si>
  <si>
    <t xml:space="preserve">הצעת חוק העונשין (תיקון - הפחתת ריבית פיגורים בשל אי תשלום קנס), התשפ"ג-2023</t>
  </si>
  <si>
    <t xml:space="preserve"> (פ/1186/25)</t>
  </si>
  <si>
    <t xml:space="preserve"> (פ/1185/25)</t>
  </si>
  <si>
    <t xml:space="preserve">הצעת חוק-יסוד: הכנסת (תיקון - ביטול סעיפים 7א ו-42א(ג))</t>
  </si>
  <si>
    <t xml:space="preserve"> (פ/1184/25)</t>
  </si>
  <si>
    <t xml:space="preserve">הצעת חוק הגבלת השימוש ורישום פעולות בחלקי רכב משומשים (מניעת גניבות) (תיקון - ביטול האיסור על תיקון בשטחי האחריות האזרחית הפלסטינית), התשפ"ג-2023</t>
  </si>
  <si>
    <t xml:space="preserve"> (פ/1183/25)</t>
  </si>
  <si>
    <t xml:space="preserve">הצעת חוק הדיינים (תיקון - מינוי דיין עמית בבית הדין הרבני הגדול), התשפ"ג-2023</t>
  </si>
  <si>
    <t xml:space="preserve"> (פ/1182/25)</t>
  </si>
  <si>
    <t xml:space="preserve"> (פ/1181/25)</t>
  </si>
  <si>
    <t xml:space="preserve">הצעת חוק לתיקון פקודת בריאות העם (הגבלת תקופת כהונה של מנהלי מחלקות בבתי חולים ציבוריים), התשפ"ג-2023</t>
  </si>
  <si>
    <t xml:space="preserve"> (פ/1180/25)</t>
  </si>
  <si>
    <t xml:space="preserve"> (פ/1179/25)</t>
  </si>
  <si>
    <t xml:space="preserve"> (פ/1177/25)</t>
  </si>
  <si>
    <t xml:space="preserve"> (פ/1175/25)</t>
  </si>
  <si>
    <t xml:space="preserve"> (פ/1173/25)</t>
  </si>
  <si>
    <t xml:space="preserve">הצעת חוק הביטוח הלאומי (תיקון - זכאות להטבות לקטועי ידיים על פי הסכם הניידות), התשפ"ג-2023</t>
  </si>
  <si>
    <t xml:space="preserve"> (פ/1172/25)</t>
  </si>
  <si>
    <t xml:space="preserve">הצעת חוק להנצחה, מחקר ותיעוד של פרשת ילדי תימן, המזרח והבלקן, התשפ"ג-2023</t>
  </si>
  <si>
    <t xml:space="preserve"> (פ/1171/25)</t>
  </si>
  <si>
    <t xml:space="preserve">הצעת חוק משק החשמל (תיקון - פיצוי והחזר בעבור ניתוק ממושך מחשמל), התשפ"ג-2023</t>
  </si>
  <si>
    <t xml:space="preserve"> (פ/1170/25)</t>
  </si>
  <si>
    <t xml:space="preserve">הצעת חוק ההוצאה לפועל (תיקון - השהיית הליך ואי-נקיטתו כלפי שוהות במקלטים לנשים מוכות), התשפ"ג-2023</t>
  </si>
  <si>
    <t xml:space="preserve"> (פ/1169/25)</t>
  </si>
  <si>
    <t xml:space="preserve">הצעת חוק הרשויות המקומיות (בחירת ראש הרשות וסגניו וכהונתם) (תיקון - הגבלת כהונה שלישית לראש רשות), התשפ"ג-2023</t>
  </si>
  <si>
    <t xml:space="preserve"> (פ/1168/25)</t>
  </si>
  <si>
    <t xml:space="preserve"> (פ/1167/25)</t>
  </si>
  <si>
    <t xml:space="preserve">הצעת חוק פיצוי מפונים בני רשות, התשפ"ג-2023</t>
  </si>
  <si>
    <t xml:space="preserve"> (פ/1166/25)</t>
  </si>
  <si>
    <t xml:space="preserve">הצעת חוק לתיקון פקודת מס הכנסה (נקודות זיכוי לאפוטרופוס), התשפ"ג-2023</t>
  </si>
  <si>
    <t xml:space="preserve"> (פ/1165/25)</t>
  </si>
  <si>
    <t xml:space="preserve">הצעת חוק הכשרות המשפטית והאפוטרופסות (תיקון - מניעת פגיעה בקטין על ידי חשיפתו להורה אלים), התשפ"ג-2023</t>
  </si>
  <si>
    <t xml:space="preserve"> (פ/1164/25)</t>
  </si>
  <si>
    <t xml:space="preserve">הצעת חוק ביטוח בריאות ממלכתי (תיקון - זמינות שירותים רפואיים), התשפ"ג-2023</t>
  </si>
  <si>
    <t xml:space="preserve"> (פ/1163/25)</t>
  </si>
  <si>
    <t xml:space="preserve"> (פ/1162/25)</t>
  </si>
  <si>
    <t xml:space="preserve">הצעת חוק הביטוח הלאומי (תיקון - רכז תנועת נוער או ארגון נוער כעבודה מועדפת), התשפ"ג-2023</t>
  </si>
  <si>
    <t xml:space="preserve"> (פ/1161/25)</t>
  </si>
  <si>
    <t xml:space="preserve"> (פ/1160/25)</t>
  </si>
  <si>
    <t xml:space="preserve"> (פ/1159/25)</t>
  </si>
  <si>
    <t xml:space="preserve">הצעת חוק המועצה להשכלה גבוהה (תיקון - תנאי קבלה למוסד להשכלה גבוהה), התשפ"ג-2023</t>
  </si>
  <si>
    <t xml:space="preserve"> (פ/1158/25)</t>
  </si>
  <si>
    <t xml:space="preserve">הצעת חוק הירושה (תיקון - בני זוג), התשפ"ג-2023</t>
  </si>
  <si>
    <t xml:space="preserve"> (פ/1157/25)</t>
  </si>
  <si>
    <t xml:space="preserve"> (פ/1156/25)</t>
  </si>
  <si>
    <t xml:space="preserve"> (פ/1155/25)</t>
  </si>
  <si>
    <t xml:space="preserve">הצעת חוק שיקים ללא כיסוי (תיקון - מצב חירום בשל מגפה עולמית), התשפ"ג-2023</t>
  </si>
  <si>
    <t xml:space="preserve"> (פ/1154/25)</t>
  </si>
  <si>
    <t xml:space="preserve"> (פ/1153/25)</t>
  </si>
  <si>
    <t xml:space="preserve">הצעת חוק מיסוי רווחים ממשאבי טבע (תיקון - שקיפות הליכי השומה), התשפ"ג-2023</t>
  </si>
  <si>
    <t xml:space="preserve"> (פ/1152/25)</t>
  </si>
  <si>
    <t xml:space="preserve">הצעת חוק מס ערך מוסף (תיקון - דחיית תשלום בתקופת חירום) (הוראת שעה), התשפ"ג-2023</t>
  </si>
  <si>
    <t xml:space="preserve"> (פ/1151/25)</t>
  </si>
  <si>
    <t xml:space="preserve">הצעת חוק עבודת נשים (תיקון - תקופת לידה והורות לנשים בעבודה פיזית קשה), התשפ"ג-2023</t>
  </si>
  <si>
    <t xml:space="preserve"> (פ/1150/25)</t>
  </si>
  <si>
    <t xml:space="preserve">הצעת חוק הביטוח הלאומי (תיקון - אי הפליה בשל שירות צבאי או שירות לאומי), התשפ"ג-2023</t>
  </si>
  <si>
    <t xml:space="preserve"> (פ/1149/25)</t>
  </si>
  <si>
    <t xml:space="preserve"> (פ/1147/25)</t>
  </si>
  <si>
    <t xml:space="preserve">הצעת חוק כלי הירייה (תיקון - זכאות לרישיון כלי ירייה למי ששירת כלוחם וכשוטר), התשפ"ג-2023</t>
  </si>
  <si>
    <t xml:space="preserve"> (פ/1146/25)</t>
  </si>
  <si>
    <t xml:space="preserve"> (פ/1144/25)</t>
  </si>
  <si>
    <t xml:space="preserve">הצעת חוק הרשויות המקומיות (ממונה על בטיחות ילדים), התשפ"ג-2023</t>
  </si>
  <si>
    <t xml:space="preserve"> (פ/1143/25)</t>
  </si>
  <si>
    <t xml:space="preserve"> (פ/1142/25)</t>
  </si>
  <si>
    <t xml:space="preserve">הצעת חוק הרשויות המקומיות (בחירת ראש הרשות וסגניו וכהונתם) (תיקון - סגן ראש רשות ברשות מעורבת), התשפ"ג-2023</t>
  </si>
  <si>
    <t xml:space="preserve"> (פ/1141/25)</t>
  </si>
  <si>
    <t xml:space="preserve"> (פ/1140/25)</t>
  </si>
  <si>
    <t xml:space="preserve"> (פ/1139/25)</t>
  </si>
  <si>
    <t xml:space="preserve">הצעת חוק הגנה על הציבור מפני עבריינים שביצעו עבירות אלימות חמורות, התשפ"ג-2023</t>
  </si>
  <si>
    <t xml:space="preserve"> (פ/1138/25)</t>
  </si>
  <si>
    <t xml:space="preserve"> (פ/1137/25)</t>
  </si>
  <si>
    <t xml:space="preserve"> (פ/1136/25)</t>
  </si>
  <si>
    <t xml:space="preserve"> (פ/1135/25)</t>
  </si>
  <si>
    <t xml:space="preserve">הצעת חוק לתיקון פקודת מס הכנסה (פטור ממס על משיכה הונית מקופת גמל), התשפ"ג-2023</t>
  </si>
  <si>
    <t xml:space="preserve"> (פ/1134/25)</t>
  </si>
  <si>
    <t xml:space="preserve"> (פ/1132/25)</t>
  </si>
  <si>
    <t xml:space="preserve"> (פ/1131/25)</t>
  </si>
  <si>
    <t xml:space="preserve">הצעת חוק הסניגוריה הציבורית (תיקון - ליווי משפטי בשפת חשוד שהוא קטין), התשפ"ג-2023</t>
  </si>
  <si>
    <t xml:space="preserve"> (פ/1130/25)</t>
  </si>
  <si>
    <t xml:space="preserve"> (פ/1129/25)</t>
  </si>
  <si>
    <t xml:space="preserve">הצעת חוק העונשין (תיקון - הגנה עצמית בנסיבות של אלימות במשפחה), התשפ"ג-2023</t>
  </si>
  <si>
    <t xml:space="preserve"> (פ/1128/25)</t>
  </si>
  <si>
    <t xml:space="preserve">הצעת חוק אוויר נקי (תיקון - איסור שימוש בתנורי עץ, סולר ונפט), התשפ"ג-2023</t>
  </si>
  <si>
    <t xml:space="preserve"> (פ/1127/25)</t>
  </si>
  <si>
    <t xml:space="preserve">הצעת חוק הביטוח הלאומי (תיקון - קצבת לידה בשל לידת תאומים), התשפ"ג-2023</t>
  </si>
  <si>
    <t xml:space="preserve"> (פ/1126/25)</t>
  </si>
  <si>
    <t xml:space="preserve"> (פ/1125/25)</t>
  </si>
  <si>
    <t xml:space="preserve"> (פ/1124/25)</t>
  </si>
  <si>
    <t xml:space="preserve">הצעת חוק העונשין (תיקון - אחראי על קטין או חסר ישע לעניין חובת הדיווח), התשפ"ג-2023</t>
  </si>
  <si>
    <t xml:space="preserve"> (פ/1123/25)</t>
  </si>
  <si>
    <t xml:space="preserve"> (פ/1122/25)</t>
  </si>
  <si>
    <t xml:space="preserve">הצעת חוק למניעת הטרדה מינית (תיקון - נקיטת אמצעים למניעת הטרדה מינית במקומות בילוי), התשפ"ג-2023</t>
  </si>
  <si>
    <t xml:space="preserve"> (פ/1121/25)</t>
  </si>
  <si>
    <t xml:space="preserve">הצעת חוק צער בעלי חיים (הגנה על בעלי חיים) (תיקון - איסור קשירת כלבים), התשפ"ג-2023</t>
  </si>
  <si>
    <t xml:space="preserve"> (פ/1120/25)</t>
  </si>
  <si>
    <t xml:space="preserve">הצעת חוק הביטוח הלאומי (תיקון - הכרה בפגיעה מינית בעבודה כתאונת עבודה), התשפ"ג-2023</t>
  </si>
  <si>
    <t xml:space="preserve"> (פ/1119/25)</t>
  </si>
  <si>
    <t xml:space="preserve"> (פ/1116/25)</t>
  </si>
  <si>
    <t xml:space="preserve">הצעת חוק הפסקת שיטת ההעסקה הקבלנית, התשפ"ג-2023</t>
  </si>
  <si>
    <t xml:space="preserve"> (פ/1115/25)</t>
  </si>
  <si>
    <t xml:space="preserve">הצעת חוק הביטוח הלאומי (תיקון - הצמדת קצבת אזרח ותיק לשכר הממוצע במשק), התשפ"ג-2023</t>
  </si>
  <si>
    <t xml:space="preserve"> (פ/1114/25)</t>
  </si>
  <si>
    <t xml:space="preserve"> (פ/1113/25)</t>
  </si>
  <si>
    <t xml:space="preserve">הצעת חוק שירות המדינה (משמעת) (תיקון - הארכת תקופת ההתיישנות בהטרדות מיניות), התשפ"ג-2023</t>
  </si>
  <si>
    <t xml:space="preserve"> (פ/1112/25)</t>
  </si>
  <si>
    <t xml:space="preserve">הצעת חוק המדיניות הכלכלית לשנים 2011 ו-2012 (תיקוני חקיקה) (תיקון - תנאים להתרת השקעה במניות כהוצאה), התשפ"ג-2023</t>
  </si>
  <si>
    <t xml:space="preserve"> (פ/1111/25)</t>
  </si>
  <si>
    <t xml:space="preserve">הצעת חוק שירותי הדת היהודיים (תיקון - ייצוג הולם לנשים במועצות הדתיות), התשפ"ג-2023</t>
  </si>
  <si>
    <t xml:space="preserve"> (פ/1110/25)</t>
  </si>
  <si>
    <t xml:space="preserve"> (פ/1109/25)</t>
  </si>
  <si>
    <t xml:space="preserve">הצעת חוק לתיקון פקודת סדרי השלטון והמשפט (יום האישה הבין-לאומי), התשפ"ג-2023</t>
  </si>
  <si>
    <t xml:space="preserve"> (פ/1108/25)</t>
  </si>
  <si>
    <t xml:space="preserve">הצעת חוק להנצחת זכרו של רחבעם זאבי (תיקון - ביטול החוק), התשפ"ג-2023</t>
  </si>
  <si>
    <t xml:space="preserve"> (פ/1107/25)</t>
  </si>
  <si>
    <t xml:space="preserve"> (פ/1106/25)</t>
  </si>
  <si>
    <t xml:space="preserve">הצעת חוק החברות הממשלתיות (תיקון - נבחרת הדירקטורים), התשפ"ג-2023</t>
  </si>
  <si>
    <t xml:space="preserve"> (פ/1105/25)</t>
  </si>
  <si>
    <t xml:space="preserve"> (פ/1104/25)</t>
  </si>
  <si>
    <t xml:space="preserve">הצעת חוק הסדרת מעמדם של אנשי צוות בהפקות מקומיות, התשפ"ג-2023</t>
  </si>
  <si>
    <t xml:space="preserve"> (פ/1103/25)</t>
  </si>
  <si>
    <t xml:space="preserve"> (פ/1102/25)</t>
  </si>
  <si>
    <t xml:space="preserve">הצעת חוק הביטוח הלאומי (תיקון - עבודה מועדפת באילת), התשפ"ג-2023</t>
  </si>
  <si>
    <t xml:space="preserve"> (פ/1101/25)</t>
  </si>
  <si>
    <t xml:space="preserve">הצעת חוק התכנון והבנייה (תיקון - חובת התקנת גלאי עשן), התשפ"ג-2023</t>
  </si>
  <si>
    <t xml:space="preserve"> (פ/1100/25)</t>
  </si>
  <si>
    <t xml:space="preserve"> (פ/1099/25)</t>
  </si>
  <si>
    <t xml:space="preserve">הצעת חוק לתיקון פקודת העיריות (שידור ישיבות מועצה), התשפ"ג-2023</t>
  </si>
  <si>
    <t xml:space="preserve"> (פ/1098/25)</t>
  </si>
  <si>
    <t xml:space="preserve">הצעת חוק הביטוח הלאומי (תיקון - זכאות לדמי אבטלה מגיל 18), התשפ"ג-2023</t>
  </si>
  <si>
    <t xml:space="preserve"> (פ/1097/25)</t>
  </si>
  <si>
    <t xml:space="preserve">הצעת חוק לתיקון פקודת בתי הסוהר (שיקום אסירי אלימות במשפחה), התשפ"ג-2023</t>
  </si>
  <si>
    <t xml:space="preserve"> (פ/1096/25)</t>
  </si>
  <si>
    <t xml:space="preserve"> (פ/1095/25)</t>
  </si>
  <si>
    <t xml:space="preserve"> (פ/1094/25)</t>
  </si>
  <si>
    <t xml:space="preserve">הצעת חוק הקמת מיתקן פוטו-וולטאי ומיתקן אגירה בבית משותף המוקם במתחם פינוי ובינוי, התשפ"ג-2023</t>
  </si>
  <si>
    <t xml:space="preserve"> (פ/1093/25)</t>
  </si>
  <si>
    <t xml:space="preserve">הצעת חוק לתיקון פקודת המשטרה (הרכב המחלקה לחקירת שוטרים), התשפ"ג-2023</t>
  </si>
  <si>
    <t xml:space="preserve"> (פ/1091/25)</t>
  </si>
  <si>
    <t xml:space="preserve">הצעת חוק-יסוד: הכנסת (תיקון - תקופת לידה והורות לחברי הכנסת)</t>
  </si>
  <si>
    <t xml:space="preserve"> (פ/1090/25)</t>
  </si>
  <si>
    <t xml:space="preserve">הצעת חוק יום לציון המאבק בגזענות, התשפ"ג-2023</t>
  </si>
  <si>
    <t xml:space="preserve"> (פ/1089/25)</t>
  </si>
  <si>
    <t xml:space="preserve">הצעת חוק לתיקון פקודת סדרי השלטון והמשפט (יום הפועלים הבינלאומי), התשפ"ג-2023</t>
  </si>
  <si>
    <t xml:space="preserve"> (פ/1088/25)</t>
  </si>
  <si>
    <t xml:space="preserve"> (פ/1087/25)</t>
  </si>
  <si>
    <t xml:space="preserve">הצעת חוק העונשין (תיקון - ביטול העבירה על העלבת עובד ציבור), התשפ"ג-2023</t>
  </si>
  <si>
    <t xml:space="preserve"> (פ/1086/25)</t>
  </si>
  <si>
    <t xml:space="preserve"> (פ/1085/25)</t>
  </si>
  <si>
    <t xml:space="preserve">הצעת חוק מס ריבוי דירות, התשפ"ג-2023</t>
  </si>
  <si>
    <t xml:space="preserve"> (פ/1083/25)</t>
  </si>
  <si>
    <t xml:space="preserve"> (פ/1082/25)</t>
  </si>
  <si>
    <t xml:space="preserve"> (פ/1081/25)</t>
  </si>
  <si>
    <t xml:space="preserve">חוק לתיקון פקודת המשטרה (מס' 37), התשפ"ג-2022</t>
  </si>
  <si>
    <t xml:space="preserve">27.12.2022</t>
  </si>
  <si>
    <t xml:space="preserve">החוק מסדיר את כפיפות משטרת ישראל למרות הממשלה, ואת היותו של השר לביטחון פנים ממונה עליה מטעם הממשלה. כן עוגנה סמכותו של השר לביטחון פנים להתוות את מדיניות המשטרה ואת העקרונות הכלליים לפעילותה, ונקבעה חובת דיווח בעניין מדיניות זו לוועדת הפנים והגנת הסביבה של הכנסת אחת לכנס. בנוסף, נקבע כי בתחום החקירות, השר יהיה רשאי לקבוע מדיניות כללית לאחר ששמע את עמדת היועץ המשפטי לממשלה והתייעץ עם המפקח הכללי של משטרת ישראל ועם המופקדים במשטרה על תחום החקירות. בצד זאת, הובהר כי מדיניות השר לא תגרע מחובת המשטרה לפי כל דין בעניין חקירה או תיק, וכן לא תגרע מחובותיה אם נודע לה על ביצוע עבירה. עוד נקבע כי הוראות המשטרה שקובע המפקח הכללי של משטרת ישראל ייקבעו בהתאם למדיניות השר, וכן כי כלל פקודות המשטרה יפורסמו, אלא אם סבר המפקח הכללי באישור היועץ המשפטי לממשלה, כי אין לפרסם פקודה מסוימת. </t>
  </si>
  <si>
    <t xml:space="preserve">חוק-יסוד: הממשלה (תיקון מס' 11)</t>
  </si>
  <si>
    <t xml:space="preserve"> (פ/81/25)</t>
  </si>
  <si>
    <t xml:space="preserve"> (כ/942)</t>
  </si>
  <si>
    <t xml:space="preserve">הוועדה המיוחדת לדיון בהצעת חוק-יסוד: הממשלה (תיקון - שר נוסף במשרד) (פ/81/25) ובהצעת חוק-יסוד: הממשלה (תיקון – כשירותם של שרים) (פ/91/25)</t>
  </si>
  <si>
    <t xml:space="preserve">26.12.2022</t>
  </si>
  <si>
    <t xml:space="preserve">נוספו הוראות לפיהן ניתן יהיה למנות במשרד שממונה עליו שר, שר נוסף שיהיה אחראי, בכפוף לשר הממונה על המשרד, לתחומים מסוימים בתחומי פעילות המשרד.  </t>
  </si>
  <si>
    <t xml:space="preserve">הצעת חוק קרן לאזרחי ישראל (תיקון - ייצוג נשים במועצה), התשפ"ג-2023</t>
  </si>
  <si>
    <t xml:space="preserve"> (פ/1080/25)</t>
  </si>
  <si>
    <t xml:space="preserve">הצעת חוק לתיקון פקודת בריאות העם (חובת קבורה בבית עלמין), התשפ"ג-2022 </t>
  </si>
  <si>
    <t xml:space="preserve"> (פ/1079/25)</t>
  </si>
  <si>
    <t xml:space="preserve">הצעת חוק הבטחת הכנסה (תיקון - גמלה להורה עצמאי), התשפ"ג-2022</t>
  </si>
  <si>
    <t xml:space="preserve"> (פ/1078/25)</t>
  </si>
  <si>
    <t xml:space="preserve">הצעת חוק תרומת ביציות (תיקון - מימון הקפאת ביציות למטרת שמירת פוריות של התורמת), התשפ"ג-2022</t>
  </si>
  <si>
    <t xml:space="preserve"> (פ/1077/25)</t>
  </si>
  <si>
    <t xml:space="preserve">הצעת חוק ארוחה יומית לתלמיד (תיקון - עודפי תקציב), התשפ"ג-2022</t>
  </si>
  <si>
    <t xml:space="preserve"> (פ/1076/25)</t>
  </si>
  <si>
    <t xml:space="preserve">הצעת חוק רשת ביטחון לעצמאים בעת אירוע חירום, התשפ"ג-2022</t>
  </si>
  <si>
    <t xml:space="preserve"> (פ/1075/25)</t>
  </si>
  <si>
    <t xml:space="preserve">הצעת חוק תשלום פיצויים בשל נזקי אסון טבע, התשפ"ג-2022</t>
  </si>
  <si>
    <t xml:space="preserve"> (פ/1074/25)</t>
  </si>
  <si>
    <t xml:space="preserve">הצעת חוק מכירת זכויות לאירוע ספורט משמעותי, התשפ"ג-2022</t>
  </si>
  <si>
    <t xml:space="preserve"> (פ/1073/25)</t>
  </si>
  <si>
    <t xml:space="preserve">הצעת חוק ערבויות מטעם המדינה בשעת חירום (תיקוני חקיקה), התשפ"ג-2022</t>
  </si>
  <si>
    <t xml:space="preserve"> (פ/1072/25)</t>
  </si>
  <si>
    <t xml:space="preserve">הצעת חוק הגנת הצרכן (תיקון - השוואת תנאי צרכן ונותן שירות בעניין החזרת טובין), התשפ"ג-2022</t>
  </si>
  <si>
    <t xml:space="preserve"> (פ/1071/25)</t>
  </si>
  <si>
    <t xml:space="preserve">הצעת חוק עמותות חוץ, התשפ"ג-2022</t>
  </si>
  <si>
    <t xml:space="preserve"> (פ/1070/25)</t>
  </si>
  <si>
    <t xml:space="preserve">הצעת חוק רישוי עסקים (תיקון - מכירת יין ומשקאות אלכוהוליים בחנות גדולה), התשפ"ג-2022</t>
  </si>
  <si>
    <t xml:space="preserve"> (פ/1069/25)</t>
  </si>
  <si>
    <t xml:space="preserve">הצעת חוק התכנון והבנייה (תיקון - ייצוג הולם לאוכלוסייה הערבית במוסדות התכנון), התשפ"ג-2022</t>
  </si>
  <si>
    <t xml:space="preserve"> (פ/1068/25)</t>
  </si>
  <si>
    <t xml:space="preserve">הצעת חוק המקרקעין (תיקון - הארכת התקופה לשימוש בכוח נגד הסגת גבול), התשפ"ג-2022</t>
  </si>
  <si>
    <t xml:space="preserve"> (פ/1067/25)</t>
  </si>
  <si>
    <t xml:space="preserve">הצעת חוק בתי המשפט (תיקון - שופט משנה), התשפ"ג-2022</t>
  </si>
  <si>
    <t xml:space="preserve"> (פ/1066/25)</t>
  </si>
  <si>
    <t xml:space="preserve">הצעת חוק העונשין (תיקון - החמרת ענישה בגין ירי מנשק חם שלא כדין), התשפ"ג-2022</t>
  </si>
  <si>
    <t xml:space="preserve"> (פ/1065/25)</t>
  </si>
  <si>
    <t xml:space="preserve">הצעת חוק החזר דמי נסיעה במונית לבית החולים (תיקוני חקיקה), התשפ"ג-2022</t>
  </si>
  <si>
    <t xml:space="preserve"> (פ/1064/25)</t>
  </si>
  <si>
    <t xml:space="preserve">הצעת חוק לתיקון פקודת התעבורה (ריבית פיגורים בשל אי תשלום קנס על עבירת חניה), התשפ"ג-2022</t>
  </si>
  <si>
    <t xml:space="preserve"> (פ/1063/25)</t>
  </si>
  <si>
    <t xml:space="preserve">הצעת חוק שוויון זכויות לאנשים עם מוגבלות (תיקון - מידע בדבר עמידת מעסיקים פרטיים גדולים ביעד הייצוג ההולם), התשפ"ג-2022</t>
  </si>
  <si>
    <t xml:space="preserve"> (פ/1062/25)</t>
  </si>
  <si>
    <t xml:space="preserve">הצעת חוק חובת פרסום הודעות באינטרנט, התשפ"ג-2022 </t>
  </si>
  <si>
    <t xml:space="preserve"> (פ/1061/25)</t>
  </si>
  <si>
    <t xml:space="preserve">הצעת חוק הממשלה (תיקון - ועדת שרים לענייני חקיקה), התשפ"ג-2022</t>
  </si>
  <si>
    <t xml:space="preserve"> (פ/1060/25)</t>
  </si>
  <si>
    <t xml:space="preserve">הצעת חוק העונשין (תיקון - עבירות אלימות במתחם הר הבית), התשפ"ג-2022</t>
  </si>
  <si>
    <t xml:space="preserve"> (פ/1059/25)</t>
  </si>
  <si>
    <t xml:space="preserve">הצעת חוק לתיקון פקודת מס הכנסה (ניכוי ריבית על משכנתה וסיוע ברכישת דירה), התשפ"ג-2022</t>
  </si>
  <si>
    <t xml:space="preserve"> (פ/1058/25)</t>
  </si>
  <si>
    <t xml:space="preserve">הצעת חוק החקלאות, התשפ״ג-2022</t>
  </si>
  <si>
    <t xml:space="preserve"> (פ/1057/25)</t>
  </si>
  <si>
    <t xml:space="preserve">הצעת חוק ההוצאה לפועל (תיקון - ריבית ודמי פיגורים), התשפ"ג-2022</t>
  </si>
  <si>
    <t xml:space="preserve"> (פ/1056/25)</t>
  </si>
  <si>
    <t xml:space="preserve">הצעת חוק המרכז למורשת יהדות תוניסיה וג'רבה, התשפ"ג-2022</t>
  </si>
  <si>
    <t xml:space="preserve"> (פ/1055/25)</t>
  </si>
  <si>
    <t xml:space="preserve">הצעת חוק חסינות חברי הכנסת, זכויותיהם וחובותיהם (תיקון - חסינות בפני דין פלילי), התשפ"ג-2022</t>
  </si>
  <si>
    <t xml:space="preserve"> (פ/1054/25)</t>
  </si>
  <si>
    <t xml:space="preserve">הצעת חוק זכויות החולה (תיקון - קביעת הוראות לעניין הכנסת חפצים ודברי מאכל למוסד רפואי), התשפ"ג-2022</t>
  </si>
  <si>
    <t xml:space="preserve"> (פ/1053/25)</t>
  </si>
  <si>
    <t xml:space="preserve">הצעת חוק האזרחות (תיקון - ביטול האזרחות בגין מעשה אלימות בזמן מצב מיוחד בעורף), התשפ"ג-2022</t>
  </si>
  <si>
    <t xml:space="preserve"> (פ/1052/25)</t>
  </si>
  <si>
    <t xml:space="preserve">הצעת חוק הביטוח הלאומי (תיקון - קצבת ילדים כפולה בלידת תאומים או יותר), התשפ"ג-2022</t>
  </si>
  <si>
    <t xml:space="preserve"> (פ/1051/25)</t>
  </si>
  <si>
    <t xml:space="preserve">הצעת חוק הביטוח הלאומי (תיקון - מימון הסעת יולדת באמבולנס), התשפ"ג-2022</t>
  </si>
  <si>
    <t xml:space="preserve"> (פ/1050/25)</t>
  </si>
  <si>
    <t xml:space="preserve">הצעת חוק ביטוח בריאות ממלכתי (תיקון - החזר דמי נסיעה באמבולנס), התשפ"ג-2022</t>
  </si>
  <si>
    <t xml:space="preserve"> (פ/1049/25)</t>
  </si>
  <si>
    <t xml:space="preserve">הצעת חוק הרישום למוסדות להשכלה גבוהה, התשפ"ג-2022</t>
  </si>
  <si>
    <t xml:space="preserve"> (פ/1048/25)</t>
  </si>
  <si>
    <t xml:space="preserve">הצעת חוק המאבק בטרור (תיקון - זכות להחזיק בגופות מחבלים לצורכי משא ומתן), התשפ"ג-2022</t>
  </si>
  <si>
    <t xml:space="preserve"> (פ/1046/25)</t>
  </si>
  <si>
    <t xml:space="preserve">הצעת חוק הגנת הצרכן (תיקון - איסור גביית תשלום בכרטיסי חיוב בלבד), התשפ"ג-2022</t>
  </si>
  <si>
    <t xml:space="preserve"> (פ/1045/25)</t>
  </si>
  <si>
    <t xml:space="preserve">הצעת חוק הפסיכולוגים (תיקון - פסיכולוג שהורשע בעבירת מין), התשפ"ג-2022</t>
  </si>
  <si>
    <t xml:space="preserve"> (פ/1043/25)</t>
  </si>
  <si>
    <t xml:space="preserve">הצעת חוק פרס כספי בעבור לכידת מחבל, התשפ"ג-2022</t>
  </si>
  <si>
    <t xml:space="preserve"> (פ/1042/25)</t>
  </si>
  <si>
    <t xml:space="preserve">הצעת חוק הצמדת שכר חברי הכנסת, השרים וסגני השרים לשכר המינימום (תיקוני חקיקה), התשפ"ג-2022</t>
  </si>
  <si>
    <t xml:space="preserve"> (פ/1041/25)</t>
  </si>
  <si>
    <t xml:space="preserve">הצעת חוק להגדלת שיעור ההשתתפות בכוח העבודה ולצמצום פערים חברתיים (מענק עבודה) (תיקון - זכות במקרקעין בקבוצת רכישה), התשפ"ג-2022</t>
  </si>
  <si>
    <t xml:space="preserve"> (פ/1040/25)</t>
  </si>
  <si>
    <t xml:space="preserve">הצעת חוק שירות המדינה (משמעת) (תיקון - בית הדין), התשפ"ג-2022</t>
  </si>
  <si>
    <t xml:space="preserve"> (פ/1038/25)</t>
  </si>
  <si>
    <t xml:space="preserve">הצעת חוק הסדרת העיסוק במקצועות הבריאות (תיקון - מתן תעודה במקצועות הבריאות לבעלי הכשרה מקצועית) (הוראת שעה), התשפ"ג-2022</t>
  </si>
  <si>
    <t xml:space="preserve"> (פ/1037/25)</t>
  </si>
  <si>
    <t xml:space="preserve">הצעת חוק סדר הדין הפלילי (תיקון - התיישנות בעבירות מין שנעשו במסגרת יחסי תלות או מרות), התשפ"ג-2022</t>
  </si>
  <si>
    <t xml:space="preserve"> (פ/1036/25)</t>
  </si>
  <si>
    <t xml:space="preserve">הצעת חוק העונשין (תיקון - הגנה עצמית מפני בקבוק תבערה), התשפ"ג-2022</t>
  </si>
  <si>
    <t xml:space="preserve"> (פ/1035/25)</t>
  </si>
  <si>
    <t xml:space="preserve">הצעת חוק הסדרת העיסוק במקצועות הבריאות (תיקון - הסדרת העיסוק בניתוח התנהגות), התשפ"ג - 2022</t>
  </si>
  <si>
    <t xml:space="preserve"> (פ/1034/25)</t>
  </si>
  <si>
    <t xml:space="preserve">הצעת חוק הפיקוח על שירותים פיננסיים (ביטוח) (תיקון - הוספת רישיון הנפקה), התשפ"ג-2022</t>
  </si>
  <si>
    <t xml:space="preserve"> (פ/1032/25)</t>
  </si>
  <si>
    <t xml:space="preserve">הצעת חוק לתיקון פקודת הרוקחים (חיוב רישום רכיבי תמרוקים ומוצרי ניקיון), התשפ"ג-2022</t>
  </si>
  <si>
    <t xml:space="preserve"> (פ/1031/25)</t>
  </si>
  <si>
    <t xml:space="preserve">הצעת חוק יישובים ושכונות בהליכי הסדרה, התשפ"ג-2022</t>
  </si>
  <si>
    <t xml:space="preserve"> (פ/1030/25)</t>
  </si>
  <si>
    <t xml:space="preserve">הצעת חוק כביש אגרה (כביש ארצי לישראל) (תיקון - פטור מאגרה לתחבורה ציבורית), התשפ"ג-2022</t>
  </si>
  <si>
    <t xml:space="preserve"> (פ/1029/25)</t>
  </si>
  <si>
    <t xml:space="preserve">הצעת חוק רישום רכב ניזוק שנמכר על ידי מבטח או תאגיד, התשפ"ג-2022</t>
  </si>
  <si>
    <t xml:space="preserve"> (פ/1028/25)</t>
  </si>
  <si>
    <t xml:space="preserve">הצעת חוק לתיקון פקודת המסים (גבייה) (פיצוי עקב טעות), התשפ"ג-2022</t>
  </si>
  <si>
    <t xml:space="preserve"> (פ/1027/25)</t>
  </si>
  <si>
    <t xml:space="preserve">הצעת חוק השבות (תיקון - זכויות בני משפחה), התשפ"ג-2022</t>
  </si>
  <si>
    <t xml:space="preserve"> (פ/1026/25)</t>
  </si>
  <si>
    <t xml:space="preserve">הצעת חוק לתיקון פקודת התעבורה (הקמת מערך מידע וניתוח נתונים לשיפור התחבורה הציבורית), התשפ"ג-2022</t>
  </si>
  <si>
    <t xml:space="preserve"> (פ/1025/25)</t>
  </si>
  <si>
    <t xml:space="preserve">הצעת חוק הלוואות לדיור (תיקון - הצמדת סכום ההלוואה למדד), התשפ"ג-2022</t>
  </si>
  <si>
    <t xml:space="preserve"> (פ/1024/25)</t>
  </si>
  <si>
    <t xml:space="preserve">הצעת חוק ליווי בני משפחות של משרתים בגופי ביטחון ששלחו יד בנפשם, התשפ"ג-2022</t>
  </si>
  <si>
    <t xml:space="preserve"> (פ/1023/25)</t>
  </si>
  <si>
    <t xml:space="preserve">הצעת חוק הביטוח הלאומי (תיקון - קצבת תלויים וקצבת אזרח ותיק), התשפ"ג-2022</t>
  </si>
  <si>
    <t xml:space="preserve"> (פ/1022/25)</t>
  </si>
  <si>
    <t xml:space="preserve">הצעת חוק הביטוח הלאומי (תיקון - קביעת דרגת נכות לנפגעי עבודה), התשפ"ג-2022</t>
  </si>
  <si>
    <t xml:space="preserve"> (פ/1021/25)</t>
  </si>
  <si>
    <t xml:space="preserve">הצעת חוק לתיקון פקודת הסמים המסוכנים (שידול לייבוא או ייצוא חומר הנחשב לסם בחו"ל), התשפ"ג-2022</t>
  </si>
  <si>
    <t xml:space="preserve"> (פ/1020/25)</t>
  </si>
  <si>
    <t xml:space="preserve">הצעת חוק לתיקון פקודת העיריות (תקופת כהונה של יועץ משפטי), התשפ"ג-2022</t>
  </si>
  <si>
    <t xml:space="preserve"> (פ/1019/25)</t>
  </si>
  <si>
    <t xml:space="preserve">הצעת חוק סדר הדין הפלילי (תיקון - הגבלת משך זמן החקירה המשטרתית וחקירת הפרקליטות), התשפ"ג-2022</t>
  </si>
  <si>
    <t xml:space="preserve"> (פ/1018/25)</t>
  </si>
  <si>
    <t xml:space="preserve">הצעת חוק התכנון והבנייה (תיקון - הגדרת חדר מחוזק כמרחב מוגן), התשפ"ג-2022</t>
  </si>
  <si>
    <t xml:space="preserve"> (פ/1017/25)</t>
  </si>
  <si>
    <t xml:space="preserve">הצעת חוק שירותי הדת היהודיים (תיקון - מינוי רבני התיישבות, רבנים אזוריים ורבני שכונות), התשפ"ג-2022</t>
  </si>
  <si>
    <t xml:space="preserve"> (פ/1016/25)</t>
  </si>
  <si>
    <t xml:space="preserve">הצעת חוק מס הכנסה (פטור ממס על הכנסה מהשכרת דירת מגורים) (תיקון - פטור למוסד חינוך), התשפ"ג-2022</t>
  </si>
  <si>
    <t xml:space="preserve"> (פ/1015/25)</t>
  </si>
  <si>
    <t xml:space="preserve">הצעת חוק הביטוח הלאומי (תיקון - ערעור על החלטת ועדה לעררים), התשפ"ג-2022</t>
  </si>
  <si>
    <t xml:space="preserve"> (פ/1014/25)</t>
  </si>
  <si>
    <t xml:space="preserve">הצעת חוק לתיקון פקודת התעבורה (סדרי דין מיוחדים לעניין שירות לתועלת הציבור בעבירות תעבורה), התשפ"ג-2022</t>
  </si>
  <si>
    <t xml:space="preserve"> (פ/1013/25)</t>
  </si>
  <si>
    <t xml:space="preserve">הצעת חוק התכנון והבנייה (תיקון - התקנת מנגנון שבת למשאבות מים), התשפ"ג-2022</t>
  </si>
  <si>
    <t xml:space="preserve"> (פ/1012/25)</t>
  </si>
  <si>
    <t xml:space="preserve">הצעת חוק-יסוד: השפיטה (תיקון - שינוי הרכב הוועדה לבחירת שופטים)</t>
  </si>
  <si>
    <t xml:space="preserve"> (פ/1010/25)</t>
  </si>
  <si>
    <t xml:space="preserve">הצעת חוק הגנת הצרכן (תיקון - סימון תאריך ייצור ומועד תפוגה עברי), התשפ"ג-2022</t>
  </si>
  <si>
    <t xml:space="preserve"> (פ/1009/25)</t>
  </si>
  <si>
    <t xml:space="preserve">הצעת חוק מעונות יום שיקומיים (תיקון - הקדמת גיל הזכאות), התשפ"ג-2022</t>
  </si>
  <si>
    <t xml:space="preserve"> (פ/1008/25)</t>
  </si>
  <si>
    <t xml:space="preserve">הצעת חוק לתיקון פקודת העיריות (בניין שניזוק או נהרס), התשפ"ג-2022</t>
  </si>
  <si>
    <t xml:space="preserve"> (פ/1006/25)</t>
  </si>
  <si>
    <t xml:space="preserve">הצעת חוק מס ערך מוסף (תיקון - פטור ממס בגין תרומות לבתי חולים בפריפריה), התשפ"ג-2022</t>
  </si>
  <si>
    <t xml:space="preserve"> (פ/1005/25)</t>
  </si>
  <si>
    <t xml:space="preserve">הצעת חוק צער בעלי חיים (הגנה על בעלי חיים) (תיקון - איסור ייצוא בעלי חיים לשחיטה לשם שימוש בעורותיהם לתעשיית הקוסמטיקה), התשפ"ג-2022</t>
  </si>
  <si>
    <t xml:space="preserve"> (פ/1004/25)</t>
  </si>
  <si>
    <t xml:space="preserve">הצעת חוק בתי המשפט (תיקון - הארכת תקופת הצינון והרחבת תחולתה), התשפ"ג-2022</t>
  </si>
  <si>
    <t xml:space="preserve"> (פ/1003/25)</t>
  </si>
  <si>
    <t xml:space="preserve">הצעת חוק לביטול ההתיישנות בעבירות מין במשפחה (תיקוני חקיקה), התשפ"ג-2022</t>
  </si>
  <si>
    <t xml:space="preserve"> (פ/1002/25)</t>
  </si>
  <si>
    <t xml:space="preserve">הצעת חוק מס ערך מוסף (תיקון - פטור בעת קניית דירה ראשונה לזוגות צעירים בכל הארץ), התשפ"ג-2022</t>
  </si>
  <si>
    <t xml:space="preserve"> (פ/1000/25)</t>
  </si>
  <si>
    <t xml:space="preserve">הצעת חוק יישוב סכסוכי עבודה (תיקון - ריכוז מידע על שביתות והשבתות), התשפ"ג-2022</t>
  </si>
  <si>
    <t xml:space="preserve"> (פ/999/25)</t>
  </si>
  <si>
    <t xml:space="preserve">הצעת חוק זכויות החולה (תיקון - מתן הסכמה לטיפול רפואי), התשפ"ג-2022</t>
  </si>
  <si>
    <t xml:space="preserve"> (פ/998/25)</t>
  </si>
  <si>
    <t xml:space="preserve">הצעת חוק לתיקון פקודת התעבורה (הפעלה של רמזור), התשפ"ג-2022</t>
  </si>
  <si>
    <t xml:space="preserve"> (פ/997/25)</t>
  </si>
  <si>
    <t xml:space="preserve">הצעת חוק לתיקון פקודת מס הכנסה (פטור ממס להכנסות קשיש וניכוי הוצאות שכר דירה), התשפ"ג-2022</t>
  </si>
  <si>
    <t xml:space="preserve"> (פ/996/25)</t>
  </si>
  <si>
    <t xml:space="preserve">הצעת חוק יום בריאות הנפש, התשפ"ג-2022</t>
  </si>
  <si>
    <t xml:space="preserve"> (פ/995/25)</t>
  </si>
  <si>
    <t xml:space="preserve">הצעת חוק להארכת מועד לקבלת דברי דואר (הוראת שעה), התשפ"ג-2022</t>
  </si>
  <si>
    <t xml:space="preserve"> (פ/994/25)</t>
  </si>
  <si>
    <t xml:space="preserve">הצעת חוק משק החשמל (תיקון - גביית תשלומים), התשפ"ג-2022</t>
  </si>
  <si>
    <t xml:space="preserve"> (פ/993/25)</t>
  </si>
  <si>
    <t xml:space="preserve">הצעת חוק הגנת הצרכן (תיקון - חובת פרסום שם יצרן ודגם מוצר), התשפ"ג-2022</t>
  </si>
  <si>
    <t xml:space="preserve"> (פ/991/25)</t>
  </si>
  <si>
    <t xml:space="preserve">הצעת חוק ביטוח בריאות ממלכתי (תיקון - החזר דמי נסיעות והסעות לטיפולי אונקולוגיה ודיאליזה), התשפ"ג-2022</t>
  </si>
  <si>
    <t xml:space="preserve"> (פ/990/25)</t>
  </si>
  <si>
    <t xml:space="preserve">הצעת חוק הגנת הצרכן (תיקון - מענה אנושי בשירות טלפוני לאזרח ותיק), התשפ"ג-2022</t>
  </si>
  <si>
    <t xml:space="preserve"> (פ/989/25)</t>
  </si>
  <si>
    <t xml:space="preserve">הצעת חוק לתיקון פקודת מס הכנסה (ניכוי בגין הוצאות טיפול בילדים), התשפ"ג-2022</t>
  </si>
  <si>
    <t xml:space="preserve"> (פ/988/25)</t>
  </si>
  <si>
    <t xml:space="preserve">הצעת חוק עבודת נשים (תיקון - הארכת תקופת לידה והורות בתשלום), התשפ"ג-2022</t>
  </si>
  <si>
    <t xml:space="preserve"> (פ/987/25)</t>
  </si>
  <si>
    <t xml:space="preserve">הצעת חוק האזרחים הוותיקים (תיקון - לחצן מצוקה לקשיש), התשפ"ג-2022</t>
  </si>
  <si>
    <t xml:space="preserve"> (פ/986/25)</t>
  </si>
  <si>
    <t xml:space="preserve">הצעת חוק לתיקון פקודת התעבורה (הסדר ארצי אחיד לעניין גרירת רכב), התשפ"ג-2022</t>
  </si>
  <si>
    <t xml:space="preserve"> (פ/985/25)</t>
  </si>
  <si>
    <t xml:space="preserve">הצעת חוק הכשרות לאנשי מקצוע בנושא זיהוי ודיווח על התעללות בקטין או בחסר ישע, התשפ"ג-2022</t>
  </si>
  <si>
    <t xml:space="preserve"> (פ/984/25)</t>
  </si>
  <si>
    <t xml:space="preserve">הצעת חוק לביטול ההתיישנות בעבירות מין (תיקוני חקיקה), התשפ"ג-2022</t>
  </si>
  <si>
    <t xml:space="preserve"> (פ/983/25)</t>
  </si>
  <si>
    <t xml:space="preserve">הצעת חוק הלוואה מותנית ללימוד נהיגה, התשפ"ג-2022 </t>
  </si>
  <si>
    <t xml:space="preserve"> (פ/982/25)</t>
  </si>
  <si>
    <t xml:space="preserve">הצעת חוק השיפוט הצבאי (תיקון - פקודת מעצר), התשפ"ג-2022</t>
  </si>
  <si>
    <t xml:space="preserve"> (פ/981/25)</t>
  </si>
  <si>
    <t xml:space="preserve">הצעת חוק עיטור הפציעה הקרבית, התשפ"ג-2022</t>
  </si>
  <si>
    <t xml:space="preserve"> (פ/980/25)</t>
  </si>
  <si>
    <t xml:space="preserve">הצעת חוק יום ירושלים (תיקון - יום שבתון), התשפ"ג-2022</t>
  </si>
  <si>
    <t xml:space="preserve"> (פ/979/25)</t>
  </si>
  <si>
    <t xml:space="preserve">הצעת חוק בתי המשפט (תיקון - רוב רגיל למינוי שופט בית המשפט העליון), התשפ"ג-2022</t>
  </si>
  <si>
    <t xml:space="preserve"> (פ/977/25)</t>
  </si>
  <si>
    <t xml:space="preserve">הצעת חוק רישוי סוכני אונייה, התשפ"ג-2022</t>
  </si>
  <si>
    <t xml:space="preserve"> (פ/975/25)</t>
  </si>
  <si>
    <t xml:space="preserve">הצעת חוק דמי מחלה (היעדרות בשל מחלת ילד) (תיקון - היעדרות בשל אשפוז ילד), התשפ"ג-2022</t>
  </si>
  <si>
    <t xml:space="preserve"> (פ/974/25)</t>
  </si>
  <si>
    <t xml:space="preserve">הצעת חוק הרשות לקידום מעמד האישה (תיקון - הרשות לקידום מעמד האישה ושוויון מגדרי), התשפ"ג-2022</t>
  </si>
  <si>
    <t xml:space="preserve"> (פ/973/25)</t>
  </si>
  <si>
    <t xml:space="preserve">הצעת חוק לתיקון פקודת בתי הסוהר (פיקוח על ערוצי טלויזיה ורדיו), התשפ"ג-2022</t>
  </si>
  <si>
    <t xml:space="preserve"> (פ/972/25)</t>
  </si>
  <si>
    <t xml:space="preserve">הצעת חוק לתיקון פקודת בתי הסוהר (טיפול אינדיבידואלי באסיר ביטחוני), התשפ"ג-2022</t>
  </si>
  <si>
    <t xml:space="preserve"> (פ/971/25)</t>
  </si>
  <si>
    <t xml:space="preserve">הצעת חוק הביטוח הלאומי (תיקון - גמלה בשל דיכאון לאחר לידה), התשפ"ג-2022</t>
  </si>
  <si>
    <t xml:space="preserve"> (פ/970/25)</t>
  </si>
  <si>
    <t xml:space="preserve">הצעת חוק העתיקות (תיקון - הודעה ומחיקת הערה בפנקסי המקרקעין), התשפ"ג-2022</t>
  </si>
  <si>
    <t xml:space="preserve"> (פ/969/25)</t>
  </si>
  <si>
    <t xml:space="preserve">הצעת חוק מס ערך מוסף (תיקון - מס בשיעור אפס על מוצרי היגיינה נשית), התשפ"ג-2022</t>
  </si>
  <si>
    <t xml:space="preserve"> (פ/968/25)</t>
  </si>
  <si>
    <t xml:space="preserve">הצעת חוק להקמת קרן למוצרי מזון בריא, התשפ''ג-2022</t>
  </si>
  <si>
    <t xml:space="preserve"> (פ/967/25)</t>
  </si>
  <si>
    <t xml:space="preserve">הצעת חוק הבנקאות (שירות ללקוח) (תיקון - קיצור משך זמן לביטול שעבוד), התשפ"ג-2022</t>
  </si>
  <si>
    <t xml:space="preserve"> (פ/966/25)</t>
  </si>
  <si>
    <t xml:space="preserve">הצעת חוק הבנקאות (שירות ללקוח) (תיקון - הפחתת יוקר תשלומי הלוואה לדיור), התשפ"ג-2022</t>
  </si>
  <si>
    <t xml:space="preserve"> (פ/965/25)</t>
  </si>
  <si>
    <t xml:space="preserve">הצעת חוק המועצה להשכלה גבוהה (תיקון - איסור הנפת דגל של ישות עוינת במוסד מוכר), התשפ"ג-2022</t>
  </si>
  <si>
    <t xml:space="preserve"> (פ/964/25)</t>
  </si>
  <si>
    <t xml:space="preserve"> (פ/963/25)</t>
  </si>
  <si>
    <t xml:space="preserve">הצעת חוק להגברת האכיפה של דיני העבודה (תיקון - הפרות בטיחות בעבודה בתחום הבנייה), התשפ"ג-2022</t>
  </si>
  <si>
    <t xml:space="preserve"> (פ/962/25)</t>
  </si>
  <si>
    <t xml:space="preserve">הצעת חוק הגנת הצרכן (תיקון - הארכת תקופת האחריות), התשפ"ג-2022</t>
  </si>
  <si>
    <t xml:space="preserve"> (פ/961/25)</t>
  </si>
  <si>
    <t xml:space="preserve">הצעת חוק ארוחת בוקר במוסדות חינוך, התשפ"ג-2022</t>
  </si>
  <si>
    <t xml:space="preserve"> (פ/959/25)</t>
  </si>
  <si>
    <t xml:space="preserve"> (פ/958/25)</t>
  </si>
  <si>
    <t xml:space="preserve">הצעת חוק ביטוח בריאות ממלכתי (תיקון - העברת תיק רפואי במעבר בין קופות), התשפ"ג-2022</t>
  </si>
  <si>
    <t xml:space="preserve"> (פ/957/25)</t>
  </si>
  <si>
    <t xml:space="preserve">הצעת חוק מס ערך מוסף (תיקון - פטור ממס במכירת תרופות מצילות חיים שאינן כלולות בסל הבריאות), התשפ"ג-2022</t>
  </si>
  <si>
    <t xml:space="preserve"> (פ/955/25)</t>
  </si>
  <si>
    <t xml:space="preserve"> (פ/954/25)</t>
  </si>
  <si>
    <t xml:space="preserve">הצעת חוק הבטחת הכנסה (תיקון - תוספת לגמלה בעד הילד השלישי ואילך), התשפ"ג-2022</t>
  </si>
  <si>
    <t xml:space="preserve"> (פ/953/25)</t>
  </si>
  <si>
    <t xml:space="preserve"> (פ/952/25)</t>
  </si>
  <si>
    <t xml:space="preserve"> (פ/951/25)</t>
  </si>
  <si>
    <t xml:space="preserve">הצעת חוק פיצוי לנפגעי פוליו (תיקון - הכרה באחוזי נכות של נפגע פוליו לצורך דינים אחרים), התשפ"ג-2022</t>
  </si>
  <si>
    <t xml:space="preserve"> (פ/950/25)</t>
  </si>
  <si>
    <t xml:space="preserve">הצעת חוק לתיקון פקודת התעבורה (ביטול קנס בשל רכישת מערכות בטיחות מתקדמות), התשפ"ג-2022</t>
  </si>
  <si>
    <t xml:space="preserve"> (פ/949/25)</t>
  </si>
  <si>
    <t xml:space="preserve">הצעת חוק ביטוח בריאות ממלכתי (תיקון - תושב ששהה מחוץ לישראל ואין לו קרוב משפחה), התשפ"ג-2022</t>
  </si>
  <si>
    <t xml:space="preserve"> (פ/948/25)</t>
  </si>
  <si>
    <t xml:space="preserve">הצעת חוק בית המשפט לענייני משפחה (תיקון - רשימת כונסי נכסים), התשפ"ג-2022</t>
  </si>
  <si>
    <t xml:space="preserve"> (פ/947/25)</t>
  </si>
  <si>
    <t xml:space="preserve">הצעת חוק עבודת נשים (תיקון - שעות היעדרות מעבודה לאישה בהריון בר-סיכון), התשפ"ג-2022</t>
  </si>
  <si>
    <t xml:space="preserve"> (פ/946/25)</t>
  </si>
  <si>
    <t xml:space="preserve">הצעת חוק לעידוד חקלאות גגות (תיקוני חקיקה), התשפ"ג-2022</t>
  </si>
  <si>
    <t xml:space="preserve"> (פ/945/25)</t>
  </si>
  <si>
    <t xml:space="preserve">הצעת חוק יום לציון פועלו וזכרו של אלי כהן, התשפ"ג-2022</t>
  </si>
  <si>
    <t xml:space="preserve"> (פ/944/25)</t>
  </si>
  <si>
    <t xml:space="preserve">הצעת חוק לתיקון פקודת מס הכנסה (חישוב שווי שימוש ברכב לשומרי שבת וחג), התשפ"ג-2022</t>
  </si>
  <si>
    <t xml:space="preserve"> (פ/943/25)</t>
  </si>
  <si>
    <t xml:space="preserve">הצעת חוק ביטוח בריאות ממלכתי (תיקון - הרחבת הסדרי הבחירה), התשפ"ג-2022</t>
  </si>
  <si>
    <t xml:space="preserve"> (פ/941/25)</t>
  </si>
  <si>
    <t xml:space="preserve">הצעת חוק בתי המשפט (תיקון - שימוע ובחירות חשאיות לשופטי בית המשפט העליון), התשפ"ג-2022</t>
  </si>
  <si>
    <t xml:space="preserve"> (פ/940/25)</t>
  </si>
  <si>
    <t xml:space="preserve">הצעת חוק הקמת חדר מיון בקריית שמונה, התשפ"ג-2022</t>
  </si>
  <si>
    <t xml:space="preserve"> (פ/939/25)</t>
  </si>
  <si>
    <t xml:space="preserve">הצעת חוק הקמת חדר מיון בנתיבות, התשפ"ג-2022</t>
  </si>
  <si>
    <t xml:space="preserve"> (פ/938/25)</t>
  </si>
  <si>
    <t xml:space="preserve">הצעת חוק הגנת הצרכן (תיקון - צירוף הוראות שימוש בשפה העברית למוצרי חשמל), התשפ"ג-2022 </t>
  </si>
  <si>
    <t xml:space="preserve"> (פ/937/25)</t>
  </si>
  <si>
    <t xml:space="preserve">הצעת חוק הביטוח הלאומי (תיקון - תנאי זכאות לגמלה לשמירת היריון), התשפ"ג-2022</t>
  </si>
  <si>
    <t xml:space="preserve"> (פ/933/25)</t>
  </si>
  <si>
    <t xml:space="preserve">הצעת חוק לתיקון פקודת התעבורה (הפחתת גובה קנס בשל תשלום מיידי), התשפ"ג-2022</t>
  </si>
  <si>
    <t xml:space="preserve"> (פ/932/25)</t>
  </si>
  <si>
    <t xml:space="preserve">הצעת חוק דמי נסיעה לסטודנטים בתחבורה ציבורית (תיקוני חקיקה), התשפ"ג-2022</t>
  </si>
  <si>
    <t xml:space="preserve"> (פ/931/25)</t>
  </si>
  <si>
    <t xml:space="preserve">הצעת חוק הכנסת (תיקון - אישור אמנות בין-לאומיות), התשפ"ג-2022</t>
  </si>
  <si>
    <t xml:space="preserve"> (פ/930/25)</t>
  </si>
  <si>
    <t xml:space="preserve">הצעת חוק שעות עבודה ומנוחה (תיקון - הפסקה בין יום עבודה למשנהו שלא עולה על 8 שעות), התשפ"ג-2022</t>
  </si>
  <si>
    <t xml:space="preserve"> (פ/929/25)</t>
  </si>
  <si>
    <t xml:space="preserve">הצעת חוק שיפוט בתי דין רבניים (נישואין וגירושין) (תיקון - תשלומי מזונות לילדי בני הזוג), התשפ"ג-2022</t>
  </si>
  <si>
    <t xml:space="preserve"> (פ/928/25)</t>
  </si>
  <si>
    <t xml:space="preserve">הצעת חוק הביטוח הלאומי (תיקון - תשלום גמלת ילד נכה לאומן בעד ילד הנמצא אצלו באומנה), התשפ"ג-2022</t>
  </si>
  <si>
    <t xml:space="preserve"> (פ/927/25)</t>
  </si>
  <si>
    <t xml:space="preserve">הצעת חוק שוויון זכויות לאנשים עם מוגבלות (תיקון – הרחבת הזכאות למתן שירות בלא המתנה בתור), התשפ"ג–2022</t>
  </si>
  <si>
    <t xml:space="preserve"> (פ/926/25)</t>
  </si>
  <si>
    <t xml:space="preserve">הצעת חוק סדר הדין הפלילי (תיקון - החרגת עובד מערכת אכיפת החוק מתקופת ההתיישנות), התשפ"ג-2022</t>
  </si>
  <si>
    <t xml:space="preserve"> (פ/925/25)</t>
  </si>
  <si>
    <t xml:space="preserve">הצעת חוק עידוד שירות צבאי, לאומי או לאומי-אזרחי, התשפ"ג-2022</t>
  </si>
  <si>
    <t xml:space="preserve"> (פ/924/25)</t>
  </si>
  <si>
    <t xml:space="preserve">הצעת חוק הגנת הצרכן (תיקון - שינוי פרטים בכרטיס טיסה או בכרטיס לשיט), התשפ"ג-2022</t>
  </si>
  <si>
    <t xml:space="preserve"> (פ/923/25)</t>
  </si>
  <si>
    <t xml:space="preserve">הצעת חוק פינוי ובינוי (עידוד מיזמי פינוי ובינוי) (תיקון - מבנה מסוכן), התשפ"ג-2022</t>
  </si>
  <si>
    <t xml:space="preserve"> (פ/922/25)</t>
  </si>
  <si>
    <t xml:space="preserve">הצעת חוק ביטוח בריאות ממלכתי (תיקון - העברת שירותי הגמילה לאחריות קופות החולים וטיפול בהתמכרויות), התשפ"ג-2022</t>
  </si>
  <si>
    <t xml:space="preserve"> (פ/921/25)</t>
  </si>
  <si>
    <t xml:space="preserve">הצעת חוק מאבק בנטילת דמי חסות (אכיפה וענישה) (תיקוני חקיקה והוראת שעה), התשפ"ג-2022</t>
  </si>
  <si>
    <t xml:space="preserve"> (פ/920/25)</t>
  </si>
  <si>
    <t xml:space="preserve">הצעת חוק הדגל, הסמל והמנון המדינה (תיקון - פגיעה בכבוד דגל המדינה או סמלה), התשפ״ג-2022</t>
  </si>
  <si>
    <t xml:space="preserve"> (פ/919/25)</t>
  </si>
  <si>
    <t xml:space="preserve">הצעת חוק התכנון והבנייה (תיקון - מבנה מחוזק), התשפ"ג-2022</t>
  </si>
  <si>
    <t xml:space="preserve"> (פ/917/25)</t>
  </si>
  <si>
    <t xml:space="preserve">הצעת חוק למניעת פגיעה במדינת ישראל באמצעות חרם (תיקון - מניעת זכאות לפרס), התשפ"ג-2022</t>
  </si>
  <si>
    <t xml:space="preserve"> (פ/915/25)</t>
  </si>
  <si>
    <t xml:space="preserve">הצעת חוק להסדרת מקצוע עוזר רופא, התשפ"ג-2022</t>
  </si>
  <si>
    <t xml:space="preserve"> (פ/914/25)</t>
  </si>
  <si>
    <t xml:space="preserve">הצעת חוק הגנת הצרכן (תיקון - הנגשת הודעת תשלום לצרכנים שאינם דוברי עברית), התשפ"ג-2022</t>
  </si>
  <si>
    <t xml:space="preserve"> (פ/913/25)</t>
  </si>
  <si>
    <t xml:space="preserve">הצעת חוק שירות ביטחון (תיקון - יציאה לחו"ל בדחיית שירות), התשפ"ג-2022</t>
  </si>
  <si>
    <t xml:space="preserve"> (פ/912/25)</t>
  </si>
  <si>
    <t xml:space="preserve">הצעת חוק נציבות תלונות הציבור על מייצגי המדינה בערכאות (תיקון - הסדרת מעמד הנציבות כגוף ביקורת עצמאי), התשפ"ג-2022</t>
  </si>
  <si>
    <t xml:space="preserve"> (פ/911/25)</t>
  </si>
  <si>
    <t xml:space="preserve">הצעת חוק מרשם האוכלוסין (תיקון - מיהו יהודי), התשפ"ג-2022</t>
  </si>
  <si>
    <t xml:space="preserve"> (פ/910/25)</t>
  </si>
  <si>
    <t xml:space="preserve">הצעת חוק הגנת השכר (תיקון - איסור ניכוי חוב או קנס), התשפ"ג-2022</t>
  </si>
  <si>
    <t xml:space="preserve"> (פ/909/25)</t>
  </si>
  <si>
    <t xml:space="preserve">הצעת חוק הביטוח הלאומי (תיקון - גמלה לשמירת היריון לאם שילדה פג), התשפ"ג-2022</t>
  </si>
  <si>
    <t xml:space="preserve"> (פ/908/25)</t>
  </si>
  <si>
    <t xml:space="preserve"> (פ/907/25)</t>
  </si>
  <si>
    <t xml:space="preserve">הצעת חוק שיקים ללא כיסוי (תיקון - חשבון פרטי וחשבון עסקי), התשפ"ג-2022</t>
  </si>
  <si>
    <t xml:space="preserve"> (פ/906/25)</t>
  </si>
  <si>
    <t xml:space="preserve">הצעת חוק-יסוד: הממשלה (תיקון - הפסקת כהונה של שר וסגן שר בשל חשד לפלילים) </t>
  </si>
  <si>
    <t xml:space="preserve"> (פ/905/25)</t>
  </si>
  <si>
    <t xml:space="preserve">הצעת חוק מענק לבניית מרחב מוגן, התשפ"ג-2022</t>
  </si>
  <si>
    <t xml:space="preserve"> (פ/904/25)</t>
  </si>
  <si>
    <t xml:space="preserve">הצעת חוק נציב תלונות הציבור על שופטים (תיקון - מינוי הנציב), התשפ"ג-2022</t>
  </si>
  <si>
    <t xml:space="preserve"> (פ/903/25)</t>
  </si>
  <si>
    <t xml:space="preserve">הצעת חוק החברות הממשלתיות (תיקון - ייצוג הולם בתאגידים שהוקמו בחוק ובחברות ממשלתיות), התשפ"ג-2022</t>
  </si>
  <si>
    <t xml:space="preserve"> (פ/902/25)</t>
  </si>
  <si>
    <t xml:space="preserve">הצעת חוק הביטוח הלאומי (תיקון - זכות טיעון לפני שלילת גמלה), התשפ"ג-2022</t>
  </si>
  <si>
    <t xml:space="preserve"> (פ/901/25)</t>
  </si>
  <si>
    <t xml:space="preserve">הצעת חוק לימוד חובה (תיקון - חובת דיווח על היעדרות תלמיד), התשפ"ג-2022</t>
  </si>
  <si>
    <t xml:space="preserve"> (פ/900/25)</t>
  </si>
  <si>
    <t xml:space="preserve">הצעת חוק לתיקון פקודת התעבורה (חובת התקנת חיישן בטיחות), התשפ"ג-2022</t>
  </si>
  <si>
    <t xml:space="preserve"> (פ/899/25)</t>
  </si>
  <si>
    <t xml:space="preserve">הצעת חוק לתיקון פקודת התעבורה (פיצוי למתלונן), התשפ"ג-2022</t>
  </si>
  <si>
    <t xml:space="preserve"> (פ/898/25)</t>
  </si>
  <si>
    <t xml:space="preserve">הצעת חוק לתיקון פקודת התעבורה (סימון שונה במקומות שבהם היתר החניה תלוי בשעות), התשפ"ג-2022</t>
  </si>
  <si>
    <t xml:space="preserve"> (פ/897/25)</t>
  </si>
  <si>
    <t xml:space="preserve">הצעת חוק יסודות התקציב (תיקון - ועדת ערר לתמיכה במוסד ציבור), התשפ"ג-2022</t>
  </si>
  <si>
    <t xml:space="preserve"> (פ/896/25)</t>
  </si>
  <si>
    <t xml:space="preserve">הצעת חוק הגנת השכר (תיקון - מתכונת אחידה לפנקס שכר ותלוש שכר), התשפ"ג-2022</t>
  </si>
  <si>
    <t xml:space="preserve"> (פ/895/25)</t>
  </si>
  <si>
    <t xml:space="preserve">הצעת חוק להקפאת כספים ששילמה הרשות הפלסטינית בזיקה לטרור מהכספים המועברים אליה מממשלת ישראל (תיקון - הקפאת כספי תגמולים לתושבי האזור מכוח חוק התגמולים לנפגעי פעולות איבה), התשפ"ג-2022</t>
  </si>
  <si>
    <t xml:space="preserve"> (פ/894/25)</t>
  </si>
  <si>
    <t xml:space="preserve">הצעת חוק לתיקון פקודת הבנקאות (הוראות ניהול בנקאי תקין להלוואה בערבות מדינה בשעת חירום), התשפ"ג-2022</t>
  </si>
  <si>
    <t xml:space="preserve"> (פ/893/25)</t>
  </si>
  <si>
    <t xml:space="preserve">הצעת חוק העונשין (תיקון - תקיפת עורך דין כתקיפת עובד ציבור), התשפ"ג-2022</t>
  </si>
  <si>
    <t xml:space="preserve"> (פ/892/25)</t>
  </si>
  <si>
    <t xml:space="preserve">הצעת חוק-יסוד: השפיטה (תיקון - הרכב הוועדה לבחירת שופטים) </t>
  </si>
  <si>
    <t xml:space="preserve"> (פ/891/25)</t>
  </si>
  <si>
    <t xml:space="preserve">הצעת חוק ההוצאה לפועל (תיקון - קביעת תעריף מקסימלי לשכר טרחת עורך דין), התשפ"ג-2022</t>
  </si>
  <si>
    <t xml:space="preserve"> (פ/890/25)</t>
  </si>
  <si>
    <t xml:space="preserve">הצעת חוק הביטוח הלאומי (תיקון - הארכת המועד להגשת תביעות ליקוי שמיעה), התשפ"ג-2022</t>
  </si>
  <si>
    <t xml:space="preserve"> (פ/889/25)</t>
  </si>
  <si>
    <t xml:space="preserve">הצעת חוק הוועדה למינוי בכירים (תיקוני חקיקה), התשפ"ג-2022</t>
  </si>
  <si>
    <t xml:space="preserve"> (פ/888/25)</t>
  </si>
  <si>
    <t xml:space="preserve">הצעת חוק לתיקון פקודת הראיות (עדות יועץ תקשורת או דובר), התשפ"ג-2022</t>
  </si>
  <si>
    <t xml:space="preserve"> (פ/887/25)</t>
  </si>
  <si>
    <t xml:space="preserve">הצעת חוק להגדלת שיעור ההשתתפות בכוח העבודה ולצמצום פערים חברתיים (מענק עבודה) (תיקון - זכאות להטבות נלוות), התשפ"ג-2022</t>
  </si>
  <si>
    <t xml:space="preserve"> (פ/886/25)</t>
  </si>
  <si>
    <t xml:space="preserve">הצעת חוק הפקדות וזכויות סוציאליות לעצמאים (תיקוני חקיקה), התשפ"ג-2022</t>
  </si>
  <si>
    <t xml:space="preserve"> (פ/885/25)</t>
  </si>
  <si>
    <t xml:space="preserve">הצעת חוק לתיקון פקודת בתי הסוהר (תנאי אסיר ביטחוני בבתי הסוהר), התשפ"ג-2022</t>
  </si>
  <si>
    <t xml:space="preserve"> (פ/884/25)</t>
  </si>
  <si>
    <t xml:space="preserve">הצעת חוק הכשרות המשפטית והאפוטרופסות (תיקון - הסדרי ראיה לדודים ודודות), התשפ"ג-2022</t>
  </si>
  <si>
    <t xml:space="preserve"> (פ/883/25)</t>
  </si>
  <si>
    <t xml:space="preserve">הצעת חוק-יסוד: כבוד האדם וחירותו (תיקון - פגיעה בזכויות)</t>
  </si>
  <si>
    <t xml:space="preserve"> (פ/882/25)</t>
  </si>
  <si>
    <t xml:space="preserve">הצעת חוק הרשויות המקומיות (גמול השתתפות בישיבות והחזר הוצאות לחברי מועצה), התשפ"ג-2022</t>
  </si>
  <si>
    <t xml:space="preserve"> (פ/880/25)</t>
  </si>
  <si>
    <t xml:space="preserve">הצעת חוק התכנון והבנייה (תיקון - מכירה ישירה של תוצרת חקלאית), התשפ"ג-2022</t>
  </si>
  <si>
    <t xml:space="preserve"> (פ/879/25)</t>
  </si>
  <si>
    <t xml:space="preserve">הצעת חוק הביטוח הלאומי (תיקון - טיפול בפעוטות במעונות יום כעבודה מועדפת), התשפ"ג-2022</t>
  </si>
  <si>
    <t xml:space="preserve"> (פ/878/25)</t>
  </si>
  <si>
    <t xml:space="preserve">הצעת חוק התובע הכללי, התשפ"ג-2022</t>
  </si>
  <si>
    <t xml:space="preserve"> (פ/876/25)</t>
  </si>
  <si>
    <t xml:space="preserve">הצעת חוק החזר גביית יתר (תיקוני חקיקה), התשפ"ג-2022</t>
  </si>
  <si>
    <t xml:space="preserve"> (פ/875/25)</t>
  </si>
  <si>
    <t xml:space="preserve">הצעת חוק לתיקון פקודת העיריות (הרשאת שימוש במקרקעין למוסד ציבורי), התשפ"ג-2022</t>
  </si>
  <si>
    <t xml:space="preserve"> (פ/874/25)</t>
  </si>
  <si>
    <t xml:space="preserve">הצעת חוק העונשין (תיקון - ביטול עבירת השוטטות), התשפ"ג-2022</t>
  </si>
  <si>
    <t xml:space="preserve"> (פ/873/25)</t>
  </si>
  <si>
    <t xml:space="preserve">הצעת חוק המרכז לגביית קנסות, אגרות והוצאות (תיקון - גביית תשלום בעד חוב שטרם חלף המועד לתשלומו), התשפ"ג-2022</t>
  </si>
  <si>
    <t xml:space="preserve"> (פ/872/25)</t>
  </si>
  <si>
    <t xml:space="preserve">הצעת חוק פיקוח על בתי ספר (תיקון - הרחבת תחולה), התשפ"ג-2022</t>
  </si>
  <si>
    <t xml:space="preserve"> (פ/871/25)</t>
  </si>
  <si>
    <t xml:space="preserve">הצעת חוק איסור הנפת דגל הרשות הפלסטינית, התשפ"ג-2022</t>
  </si>
  <si>
    <t xml:space="preserve"> (פ/870/25)</t>
  </si>
  <si>
    <t xml:space="preserve"> (פ/869/25)</t>
  </si>
  <si>
    <t xml:space="preserve">הצעת חוק רישוי עסקים (תיקון - חובת הספקת אמצעים לגילוי סם מסוכן), התשפ"ג-2022</t>
  </si>
  <si>
    <t xml:space="preserve"> (פ/868/25)</t>
  </si>
  <si>
    <t xml:space="preserve">הצעת חוק עקרונות האסדרה (תיקון - פקיעת האסדרה), התשפ"ג-2022</t>
  </si>
  <si>
    <t xml:space="preserve"> (פ/867/25)</t>
  </si>
  <si>
    <t xml:space="preserve"> (פ/866/25)</t>
  </si>
  <si>
    <t xml:space="preserve">הצעת חוק איסור הפליה במוצרים, בשירותים ובכניסה למקומות בידור ולמקומות ציבוריים (תיקון - הפליה מחמת מראה והתניית רישיון עסק באיסור הפליה), התשפ"ג-2022</t>
  </si>
  <si>
    <t xml:space="preserve"> (פ/864/25)</t>
  </si>
  <si>
    <t xml:space="preserve"> (פ/863/25)</t>
  </si>
  <si>
    <t xml:space="preserve">הצעת חוק התכנון והבנייה (תיקון - חיבור חשמל מטעמים הומניטריים), התשפ"ג-2022</t>
  </si>
  <si>
    <t xml:space="preserve"> (פ/862/25)</t>
  </si>
  <si>
    <t xml:space="preserve">הצעת חוק הגנה על זכויות הדורות הבאים, התשפ"ג-2022</t>
  </si>
  <si>
    <t xml:space="preserve"> (פ/861/25)</t>
  </si>
  <si>
    <t xml:space="preserve">הצעת חוק חינוך לשוויון מגדרי, התשפ"ג-2022 </t>
  </si>
  <si>
    <t xml:space="preserve"> (פ/856/25)</t>
  </si>
  <si>
    <t xml:space="preserve">הצעת חוק התכנון והבנייה (תיקון מס' 116) (תיקון - ביטול החוק), התשפ"ג-2022</t>
  </si>
  <si>
    <t xml:space="preserve"> (פ/855/25)</t>
  </si>
  <si>
    <t xml:space="preserve">הצעת חוק-יסוד: זכויות חברתיות</t>
  </si>
  <si>
    <t xml:space="preserve"> (פ/854/25)</t>
  </si>
  <si>
    <t xml:space="preserve">הצעת חוק שירות התעסוקה (תיקון - נגישות לתחבורה ציבורית), התשפ"ג-2022</t>
  </si>
  <si>
    <t xml:space="preserve"> (פ/852/25)</t>
  </si>
  <si>
    <t xml:space="preserve"> (פ/851/25)</t>
  </si>
  <si>
    <t xml:space="preserve">הצעת חוק לתיקון פקודת הדיג (איסור דיג מכמורת), התשפ''ג-2022</t>
  </si>
  <si>
    <t xml:space="preserve"> (פ/849/25)</t>
  </si>
  <si>
    <t xml:space="preserve">הצעת חוק להגבלת הריסה וענישה על בנייה בלתי חוקית במגזר הערבי (הוראת שעה), התשפ"ג-2022</t>
  </si>
  <si>
    <t xml:space="preserve"> (פ/848/25)</t>
  </si>
  <si>
    <t xml:space="preserve">הצעת חוק לתיקון פקודת התעבורה (הוראות לעניין סככות המתנה בתחנות אוטובוס), התשפ"ג-2022</t>
  </si>
  <si>
    <t xml:space="preserve"> (פ/847/25)</t>
  </si>
  <si>
    <t xml:space="preserve">הצעת חוק לימוד חובה (תיקון - חינוך חינם לגיל הרך), התשפ"ג-2022</t>
  </si>
  <si>
    <t xml:space="preserve"> (פ/846/25)</t>
  </si>
  <si>
    <t xml:space="preserve"> (פ/845/25)</t>
  </si>
  <si>
    <t xml:space="preserve">הצעת חוק להגנת חיית הבר (תיקון - הרעלות), התשפ"ג-2022</t>
  </si>
  <si>
    <t xml:space="preserve"> (פ/844/25)</t>
  </si>
  <si>
    <t xml:space="preserve">הצעת חוק הביטוח הלאומי (תיקון - דמי אבטלה למתמחים), התשפ"ג-2022</t>
  </si>
  <si>
    <t xml:space="preserve"> (פ/843/25)</t>
  </si>
  <si>
    <t xml:space="preserve">הצעת חוק לשכת עורכי הדין (תיקון - הנחיות למתן ציונים במבחני הסמכה) (הוראת שעה), התשפ"ג-2022</t>
  </si>
  <si>
    <t xml:space="preserve"> (פ/842/25)</t>
  </si>
  <si>
    <t xml:space="preserve">הצעת חוק לתיקון פקודת הבנקאות (תקופת צינון למפקח על הבנקים), התשפ"ג-2022</t>
  </si>
  <si>
    <t xml:space="preserve"> (פ/841/25)</t>
  </si>
  <si>
    <t xml:space="preserve"> (פ/840/25)</t>
  </si>
  <si>
    <t xml:space="preserve">הצעת חוק הקמת יישוב עירוני חדש, התשפ"ג-2022 </t>
  </si>
  <si>
    <t xml:space="preserve"> (פ/839/25)</t>
  </si>
  <si>
    <t xml:space="preserve"> (פ/838/25)</t>
  </si>
  <si>
    <t xml:space="preserve">הצעת חוק העבירות המינהליות (תיקון - ביטול קנסות תכנון ובנייה), התשפ"ג-2022</t>
  </si>
  <si>
    <t xml:space="preserve"> (פ/837/25)</t>
  </si>
  <si>
    <t xml:space="preserve">הצעת חוק התכנון והבנייה (תיקון - חדרי הנקה בבניינים ציבוריים), התשפ"ג-2022</t>
  </si>
  <si>
    <t xml:space="preserve"> (פ/836/25)</t>
  </si>
  <si>
    <t xml:space="preserve"> (פ/835/25)</t>
  </si>
  <si>
    <t xml:space="preserve">הצעת חוק לתיקון פקודת בריאות העם (הזכות לשימור פוריות), התשפ"ג-2022</t>
  </si>
  <si>
    <t xml:space="preserve"> (פ/834/25)</t>
  </si>
  <si>
    <t xml:space="preserve">הצעת חוק התקשורת (בזק ושידורים) (תיקון - קליטה בטלפון נייד בכל חלקי הארץ), התשפ"ג-2022</t>
  </si>
  <si>
    <t xml:space="preserve"> (פ/833/25)</t>
  </si>
  <si>
    <t xml:space="preserve"> (פ/832/25)</t>
  </si>
  <si>
    <t xml:space="preserve">הצעת חוק סדר הדין הפלילי (סמכויות אכיפה - מעצרים) (תיקון - ביצוע מעצר וחקירת אדם עם מוגבלות שכלית או נפשית), התשפ"ג-2022</t>
  </si>
  <si>
    <t xml:space="preserve"> (פ/831/25)</t>
  </si>
  <si>
    <t xml:space="preserve">הצעת חוק הלוואות לשכר לימוד (תיקון - הלוואה ללא ריבית), התשפ"ג-2022</t>
  </si>
  <si>
    <t xml:space="preserve"> (פ/830/25)</t>
  </si>
  <si>
    <t xml:space="preserve">הצעת חוק הסכמים קיבוציים (תיקון - אי תחולה על עובד זר בענף החקלאות), התשפ"ג-2022</t>
  </si>
  <si>
    <t xml:space="preserve"> (פ/829/25)</t>
  </si>
  <si>
    <t xml:space="preserve"> (פ/828/25)</t>
  </si>
  <si>
    <t xml:space="preserve">הצעת חוק חוזה קבלנות (תיקון - חופש מהעסקה), התשפ"ג-2022</t>
  </si>
  <si>
    <t xml:space="preserve"> (פ/826/25)</t>
  </si>
  <si>
    <t xml:space="preserve">הצעת חוק להגנת חיית הבר (תיקון - סחר, החזקה והעברה של חיות בר), התשפ"ג-2022</t>
  </si>
  <si>
    <t xml:space="preserve"> (פ/825/25)</t>
  </si>
  <si>
    <t xml:space="preserve">הצעת חוק המרכז למורשת הערבית, התשפ"ג-2022</t>
  </si>
  <si>
    <t xml:space="preserve"> (פ/824/25)</t>
  </si>
  <si>
    <t xml:space="preserve">הצעת חוק איות שמות רחובות, דרכים ומקומות ציבוריים (תיקוני חקיקה), התשפ"ג-2022</t>
  </si>
  <si>
    <t xml:space="preserve"> (פ/823/25)</t>
  </si>
  <si>
    <t xml:space="preserve">הצעת חוק סדר הדין הפלילי (חקירת חשודים) (תיקון - זכויות חשודים), התשפ"ג-2022</t>
  </si>
  <si>
    <t xml:space="preserve"> (פ/822/25)</t>
  </si>
  <si>
    <t xml:space="preserve">הצעת חוק הגבלת מימון מפעלים מזהמים (תיקוני חקיקה), התשפ"ג-2022</t>
  </si>
  <si>
    <t xml:space="preserve"> (פ/821/25)</t>
  </si>
  <si>
    <t xml:space="preserve">הצעת חוק חינוך מיוחד (תיקון - קביעת זמן נסיעה), התשפ"ג-2022</t>
  </si>
  <si>
    <t xml:space="preserve"> (פ/820/25)</t>
  </si>
  <si>
    <t xml:space="preserve">הצעת חוק-יסוד: חופש העיסוק (תיקון - החלת חוק היסוד על אזרחי ישראל ותושבי קבע בלבד)</t>
  </si>
  <si>
    <t xml:space="preserve"> (פ/819/25)</t>
  </si>
  <si>
    <t xml:space="preserve">הצעת חוק צער בעלי חיים (הגנה על בעלי חיים) (תיקון - המעמד המשפטי של בעלי חיים), התשפ"ג-2022</t>
  </si>
  <si>
    <t xml:space="preserve"> (פ/818/25)</t>
  </si>
  <si>
    <t xml:space="preserve">הצעת חוק לימוד חובה (תיקון - חינוך חינם לפעוטות ולילדים), התשפ"ג-2022</t>
  </si>
  <si>
    <t xml:space="preserve"> (פ/817/25)</t>
  </si>
  <si>
    <t xml:space="preserve">הצעת חוק צער בעלי חיים (הגנה על בעלי חיים) (תיקון - איסור משלוחים חיים לשחיטה), התשפ"ג-2022</t>
  </si>
  <si>
    <t xml:space="preserve"> (פ/815/25)</t>
  </si>
  <si>
    <t xml:space="preserve">הצעת חוק שירותי תעופה (פיצוי וסיוע בשל ביטול טיסה או שינוי בתנאיה) (תיקון - הוראות שונות), התשפ"ג-2022</t>
  </si>
  <si>
    <t xml:space="preserve"> (פ/814/25)</t>
  </si>
  <si>
    <t xml:space="preserve">הצעת חוק סיוע למשפחות ברוכות ילדים (תיקוני חקיקה), התשפ"ג-2022</t>
  </si>
  <si>
    <t xml:space="preserve"> (פ/813/25)</t>
  </si>
  <si>
    <t xml:space="preserve"> (פ/812/25)</t>
  </si>
  <si>
    <t xml:space="preserve">הצעת חוק סדר הדין הפלילי (תיקון - הגבלת משך זמן החקירה המשטרתית), התשפ"ג-2022</t>
  </si>
  <si>
    <t xml:space="preserve"> (פ/811/25)</t>
  </si>
  <si>
    <t xml:space="preserve">הצעת חוק הפיקוח על שירותים פיננסיים (קופות גמל) (תיקון - היוון קצבה על ידי שאיר הזכאי לפנסיה תקציבית או לקצבה מקופה אחרת), התשפ"ג-2022</t>
  </si>
  <si>
    <t xml:space="preserve"> (פ/810/25)</t>
  </si>
  <si>
    <t xml:space="preserve">הצעת חוק להגנת חיית הבר (תיקון - ביטול רישיונות ציד), התשפ"ג-2022</t>
  </si>
  <si>
    <t xml:space="preserve"> (פ/809/25)</t>
  </si>
  <si>
    <t xml:space="preserve">הצעת חוק שוויון זכויות לאנשים עם מוגבלות (תיקון - הוראות לעניין מוסד על-תיכוני להשכלה תורנית או דתית), התשפ"ג-2022</t>
  </si>
  <si>
    <t xml:space="preserve"> (פ/808/25)</t>
  </si>
  <si>
    <t xml:space="preserve">הצעת חוק המועצה להשכלה גבוהה (תיקון - קביעת שכר לימוד במוסדות מוכרים שהמדינה אינה משתתפת בתקציביהם), התשפ"ג-2022</t>
  </si>
  <si>
    <t xml:space="preserve"> (פ/807/25)</t>
  </si>
  <si>
    <t xml:space="preserve">הצעת חוק הרב הצבאי הראשי, התשפ"ג-2022</t>
  </si>
  <si>
    <t xml:space="preserve"> (פ/806/25)</t>
  </si>
  <si>
    <t xml:space="preserve">הצעת חוק-יסוד: בחירות אזוריות וארציות (תיקוני חקיקה)</t>
  </si>
  <si>
    <t xml:space="preserve"> (פ/805/25)</t>
  </si>
  <si>
    <t xml:space="preserve">הצעת חוק הפיקוח על שירותים פיננסיים (קופות גמל) (תיקון - הגבלת דמי ניהול בקרנות הפנסיה), התשפ"ג-2022</t>
  </si>
  <si>
    <t xml:space="preserve"> (פ/804/25)</t>
  </si>
  <si>
    <t xml:space="preserve">הצעת חוק רשות מקרקעי ישראל (תיקון - הקצאה שוויונית לאוכלוסייה הערבית), התשפ"ג-2022</t>
  </si>
  <si>
    <t xml:space="preserve"> (פ/803/25)</t>
  </si>
  <si>
    <t xml:space="preserve">הצעת חוק לתיקון פקודת מס הכנסה (חשבון השקעה), התשפ"ג-2022</t>
  </si>
  <si>
    <t xml:space="preserve"> (פ/802/25)</t>
  </si>
  <si>
    <t xml:space="preserve">הצעת חוק מס רכוש וקרן פיצויים (תיקון - הרחבת הגדרת נזק), התשפ"ג-2022 </t>
  </si>
  <si>
    <t xml:space="preserve"> (פ/801/25)</t>
  </si>
  <si>
    <t xml:space="preserve">הצעת חוק בתי המשפט (תיקון - פומביות בחירת שופטי בית המשפט העליון), התשפ"ג-2022</t>
  </si>
  <si>
    <t xml:space="preserve"> (פ/800/25)</t>
  </si>
  <si>
    <t xml:space="preserve">הצעת חוק ייצוג גופים ציבוריים שעניינם בשמירת איכות הסביבה (תיקוני חקיקה), התשפ"ג-2022</t>
  </si>
  <si>
    <t xml:space="preserve"> (פ/798/25)</t>
  </si>
  <si>
    <t xml:space="preserve">הצעת חוק איסור הפליה במוצרים, בשירותים ובכניסה למקומות בידור ולמקומות ציבוריים (תיקון - חובת הודעה מוקדמת על אירוע סגור), התשפ"ג-2022</t>
  </si>
  <si>
    <t xml:space="preserve"> (פ/797/25)</t>
  </si>
  <si>
    <t xml:space="preserve">הצעת חוק הגנת השכר (תיקון - הגבלת ניכוי דמי חבר ודמי טיפול מקצועי ארגוני), התשפ"ג-2022</t>
  </si>
  <si>
    <t xml:space="preserve"> (פ/796/25)</t>
  </si>
  <si>
    <t xml:space="preserve">הצעת חוק לטיפול סביבתי בציוד חשמלי ואלקטרוני ובסוללות (תיקון - חובת מיחזור פסולת רכב חשמלי ורכב היברידי), התשפ"ג-2022 </t>
  </si>
  <si>
    <t xml:space="preserve"> (פ/795/25)</t>
  </si>
  <si>
    <t xml:space="preserve">הצעת חוק הביטוח הלאומי (תיקון - הצמדת קצבת אזרח ותיק לשכר המינימום), התשפ"ג-2022</t>
  </si>
  <si>
    <t xml:space="preserve"> (פ/794/25)</t>
  </si>
  <si>
    <t xml:space="preserve">הצעת חוק לתיקון פקודת התעבורה (התראה מפני מצלמות ומכמונות מהירות), התשפ"ג-2022</t>
  </si>
  <si>
    <t xml:space="preserve"> (פ/793/25)</t>
  </si>
  <si>
    <t xml:space="preserve">הצעת חוק-יסוד: הפרדת רשויות (תיקוני חקיקה)</t>
  </si>
  <si>
    <t xml:space="preserve"> (פ/792/25)</t>
  </si>
  <si>
    <t xml:space="preserve">הצעת חוק קרן לאזרחי ישראל (תיקון - ועדה אתית מייעצת), התשפ"ג-2023</t>
  </si>
  <si>
    <t xml:space="preserve"> (פ/791/25)</t>
  </si>
  <si>
    <t xml:space="preserve">הצעת חוק הפחתת הגירעון והגבלת ההוצאה התקציבית (תיקון - ביטול הגבלת ההוצאה התקציבית), התשפ"ג-2022</t>
  </si>
  <si>
    <t xml:space="preserve"> (פ/790/25)</t>
  </si>
  <si>
    <t xml:space="preserve">הצעת חוק חינוך ממלכתי (תיקון - הגבלת כהונה של מפקח מחוז), התשפ"ג-2022</t>
  </si>
  <si>
    <t xml:space="preserve"> (פ/789/25)</t>
  </si>
  <si>
    <t xml:space="preserve">הצעת חוק החזרת תושבי בירעם ואיקרית לבתיהם, התשפ"ג-2022</t>
  </si>
  <si>
    <t xml:space="preserve"> (פ/788/25)</t>
  </si>
  <si>
    <t xml:space="preserve">הצעת חוק עובדים זרים (תיקון - היתר להעסקת עובד זר בענף הסיעוד), התשפ"ג-2022</t>
  </si>
  <si>
    <t xml:space="preserve"> (פ/787/25)</t>
  </si>
  <si>
    <t xml:space="preserve">הצעת חוק לתיקון פקודת התעבורה (חניית נשים בהריון והורה לתינוק), התשפ"ג-2022</t>
  </si>
  <si>
    <t xml:space="preserve"> (פ/785/25)</t>
  </si>
  <si>
    <t xml:space="preserve">הצעת חוק הביטוח הלאומי (תיקון - הוראות מיוחדות לעניין דמי אבטלה וכפל קצבאות) (הוראת שעה), התשפ"ג-2022</t>
  </si>
  <si>
    <t xml:space="preserve"> (פ/784/25)</t>
  </si>
  <si>
    <t xml:space="preserve">הצעת חוק הביטוח הלאומי (תיקון - השוואת קצבת אזרח ותיק וקצבת נכות לשכר מינימום), התשפ"ג-2022</t>
  </si>
  <si>
    <t xml:space="preserve"> (פ/783/25)</t>
  </si>
  <si>
    <t xml:space="preserve">הצעת חוק היטלי סחר ואמצעי הגנה (תיקון - אי פתיחת חקירה בשל יבוא בהיצף בשוק מונופוליסטי או ריכוזי), התשפ"ג-2022</t>
  </si>
  <si>
    <t xml:space="preserve"> (פ/782/25)</t>
  </si>
  <si>
    <t xml:space="preserve">הצעת חוק העונשין (תיקון - נשיאת מאסר בעבודת שירות), התשפ"ג-2022</t>
  </si>
  <si>
    <t xml:space="preserve"> (פ/781/25)</t>
  </si>
  <si>
    <t xml:space="preserve">הצעת חוק זכויות נפגעי עבירה (תיקון - הרחבת זכות העיון לנפגעי עבירות מין), התשפ"ג-2022</t>
  </si>
  <si>
    <t xml:space="preserve"> (פ/780/25)</t>
  </si>
  <si>
    <t xml:space="preserve"> (פ/779/25)</t>
  </si>
  <si>
    <t xml:space="preserve">הצעת חוק איסור הפליה במוצרים, בשירותים ובכניסה למקומות בידור ולמקומות ציבוריים (תיקון - הפליה בשל מוצא עדתי), התשפ''ג-2022</t>
  </si>
  <si>
    <t xml:space="preserve"> (פ/777/25)</t>
  </si>
  <si>
    <t xml:space="preserve">הצעת חוק התגמולים לנפגעי פעולות שנאה, התשפ"ג-2022</t>
  </si>
  <si>
    <t xml:space="preserve"> (פ/776/25)</t>
  </si>
  <si>
    <t xml:space="preserve">הצעת חוק יסודות התקציב (תיקון - שלילת תקצוב ממוסד שהעומד בראשו מסית נגד שירות ביטחון או שירות לאומי-אזרחי או בעד סירוב פקודה), התשפ"ג-2022</t>
  </si>
  <si>
    <t xml:space="preserve"> (פ/775/25)</t>
  </si>
  <si>
    <t xml:space="preserve">הצעת חוק לימוד חובה (תיקון - התאמת לוח החופשות לימי העבודה במשק), התשפ"ג-2022</t>
  </si>
  <si>
    <t xml:space="preserve"> (פ/774/25)</t>
  </si>
  <si>
    <t xml:space="preserve">הצעת חוק יום הזיכרון לנכבה, התשפ"ג-2022</t>
  </si>
  <si>
    <t xml:space="preserve"> (פ/773/25)</t>
  </si>
  <si>
    <t xml:space="preserve">הצעת חוק לתיקון פקודת העיריות (ראש האופוזיציה), התשפ"ג-2022</t>
  </si>
  <si>
    <t xml:space="preserve"> (פ/772/25)</t>
  </si>
  <si>
    <t xml:space="preserve">הצעת חוק העסקת עובדי חינוך בגני ילדים באמצעות חוזה אישי (תיקוני חקיקה), התשפ"ג-2022</t>
  </si>
  <si>
    <t xml:space="preserve"> (פ/771/25)</t>
  </si>
  <si>
    <t xml:space="preserve">הצעת חוק סל מזון בריא - פיקוח על מחירים, שיווק וסבסוד, התשפ"ג-2022</t>
  </si>
  <si>
    <t xml:space="preserve"> (פ/770/25)</t>
  </si>
  <si>
    <t xml:space="preserve">הצעת חוק הביטוח הלאומי (תיקון - תוספת בעד בן הזוג לקצבת אזרח ותיק), התשפ"ג-2022</t>
  </si>
  <si>
    <t xml:space="preserve"> (פ/769/25)</t>
  </si>
  <si>
    <t xml:space="preserve">הצעת חוק הפיקוח על ייצוא ביטחוני (תיקון - הגבלות על ייצוא ביטחוני), התשפ"ג-2022</t>
  </si>
  <si>
    <t xml:space="preserve"> (פ/768/25)</t>
  </si>
  <si>
    <t xml:space="preserve">הצעת חוק מס ערך מוסף (תיקון - מכירת טובין למלכ"ר המיועדים לתרומה לכוחות הביטחון וההצלה), התשפ"ג-2022</t>
  </si>
  <si>
    <t xml:space="preserve"> (פ/767/25)</t>
  </si>
  <si>
    <t xml:space="preserve">הצעת חוק סיוע לנפגעי האסון הלאומי בהר מירון, התשפ"ג-2022</t>
  </si>
  <si>
    <t xml:space="preserve"> (פ/766/25)</t>
  </si>
  <si>
    <t xml:space="preserve">הצעת חוק הבחירות לכנסת (תיקון - יושב ראש ועדת הבחירות המרכזית), התשפ"ג-2022 </t>
  </si>
  <si>
    <t xml:space="preserve"> (פ/765/25)</t>
  </si>
  <si>
    <t xml:space="preserve"> (פ/764/25)</t>
  </si>
  <si>
    <t xml:space="preserve">הצעת חוק הפיקוח על מעונות (תיקון - הסדרת מעמד המטפלות במשפחתונים), התשפ"ג-2022</t>
  </si>
  <si>
    <t xml:space="preserve"> (פ/762/25)</t>
  </si>
  <si>
    <t xml:space="preserve">הצעת חוק הביטוח הלאומי (תיקון - ביטול מענק עבודה מועדפת), התשפ"ג-2022</t>
  </si>
  <si>
    <t xml:space="preserve"> (פ/761/25)</t>
  </si>
  <si>
    <t xml:space="preserve">הצעת חוק העונשין (תיקון - החמרת הענישה בשל תקיפה בכביש), התשפ"ג-2022</t>
  </si>
  <si>
    <t xml:space="preserve"> (פ/759/25)</t>
  </si>
  <si>
    <t xml:space="preserve">הצעת חוק חוזה הביטוח (תיקון - בחינת סבירות פעולות מבטח, העברת נטל ועיצום כספי), התשפ"ג-2022</t>
  </si>
  <si>
    <t xml:space="preserve"> (פ/758/25)</t>
  </si>
  <si>
    <t xml:space="preserve">הצעת חוק הביטוח הלאומי (תיקון - סיווג מאמנים כמבוטחים), התשפ"ג-2022</t>
  </si>
  <si>
    <t xml:space="preserve"> (פ/757/25)</t>
  </si>
  <si>
    <t xml:space="preserve">הצעת חוק זכויות נפגעי עבירה (תיקון - זכויות נפגעי פעולות איבה), התשפ"ג-2022</t>
  </si>
  <si>
    <t xml:space="preserve"> (פ/756/25)</t>
  </si>
  <si>
    <t xml:space="preserve">חוק הכנסת (תיקון מס' 51), התשפ"ג-2022</t>
  </si>
  <si>
    <t xml:space="preserve"> (פ/84/25)</t>
  </si>
  <si>
    <t xml:space="preserve"> (כ/941)</t>
  </si>
  <si>
    <t xml:space="preserve">19.12.2022</t>
  </si>
  <si>
    <t xml:space="preserve">תיקון מס' 51 לחוק הכנסת מבטל את האפשרות של ארבעה חברי כנסת להתפלג מסיעתם, אפשרות שנוספה לחוק בתיקון מס' 49 משנת התשפ"א-2021. בהתאם, לצורך התפלגות לפי סעיף 59(1) לחוק הכנסת תידרש קבוצה של שני ח"כים לפחות, המהווים לפחות שליש מחברי הסיעה.</t>
  </si>
  <si>
    <t xml:space="preserve">הצעת חוק הביטוח הלאומי (תיקון - קצבת אזרח ותיק לנכה), התשפ"ג-2022</t>
  </si>
  <si>
    <t xml:space="preserve"> (פ/754/25)</t>
  </si>
  <si>
    <t xml:space="preserve">הצעת חוק לתיקון פקודת התעבורה (תמרור סימון על פני הכביש - שימוש באמצעי מונע החלקה), התשפ"ג-2022</t>
  </si>
  <si>
    <t xml:space="preserve"> (פ/753/25)</t>
  </si>
  <si>
    <t xml:space="preserve">הצעת חוק הרשויות המקומיות (ריבית והפרשי הצמדה על תשלומי חובה) (תיקון - הפחתת אחוז הריבית ברשויות המקומיות), התשפ"ג-2022</t>
  </si>
  <si>
    <t xml:space="preserve"> (פ/752/25)</t>
  </si>
  <si>
    <t xml:space="preserve">הצעת חוק התכנון והבנייה (תיקון - חובת שידור והקלטת ישיבות, ניהול פרוטוקול ופרסומו), התשפ"ג-2022</t>
  </si>
  <si>
    <t xml:space="preserve"> (פ/751/25)</t>
  </si>
  <si>
    <t xml:space="preserve">הצעת חוק מס ערך מוסף (תיקון - מס בשיעור אפס על תרופות), התשפ"ג-2022</t>
  </si>
  <si>
    <t xml:space="preserve"> (פ/750/25)</t>
  </si>
  <si>
    <t xml:space="preserve">הצעת חוק העונשין (תיקון - סחר בבני אדם למטרות נישואין), התשפ"ג-2022</t>
  </si>
  <si>
    <t xml:space="preserve"> (פ/747/25)</t>
  </si>
  <si>
    <t xml:space="preserve">הצעת חוק הביטוח הלאומי (תיקון - דמי ביטוח מופחתים בעד עובד בעבודה מהבית), התשפ"ג-2022</t>
  </si>
  <si>
    <t xml:space="preserve"> (פ/746/25)</t>
  </si>
  <si>
    <t xml:space="preserve">הצעת חוק קידום התחרות בענף המזון (תיקון - הפיכת הוראת שעה להוראה קבועה), התשפ"ג-2022</t>
  </si>
  <si>
    <t xml:space="preserve"> (פ/745/25)</t>
  </si>
  <si>
    <t xml:space="preserve">הצעת חוק לתיקון פקודת התעבורה (הגבלת דמי חניה במוסד רפואי), התשפ"ג-2022</t>
  </si>
  <si>
    <t xml:space="preserve"> (פ/744/25)</t>
  </si>
  <si>
    <t xml:space="preserve">הצעת חוק נתוני אשראי (תיקון - תקופת החזקת מידע במאגר), התשפ"ג-2022</t>
  </si>
  <si>
    <t xml:space="preserve"> (פ/743/25)</t>
  </si>
  <si>
    <t xml:space="preserve">הצעת חוק-יסוד: הכנסת (תיקון - פסילת רשימת מועמדים או אדם המועמד לבחירות לכנסת בשל תמיכה או העלאה על נס של רוצחי יהודים)</t>
  </si>
  <si>
    <t xml:space="preserve"> (פ/739/25)</t>
  </si>
  <si>
    <t xml:space="preserve">הצעת חוק הממשלה (תיקון - דיווח שר בדבר אי התקנת תקנות במועד), התשפ"ג-2022</t>
  </si>
  <si>
    <t xml:space="preserve"> (פ/738/25)</t>
  </si>
  <si>
    <t xml:space="preserve">הצעת חוק חובת המכרזים (תיקון - עידוד עסקים קטנים ובינוניים באזור פריפריה במכרז), התשפ"ג-2022</t>
  </si>
  <si>
    <t xml:space="preserve"> (פ/737/25)</t>
  </si>
  <si>
    <t xml:space="preserve">הצעת חוק למניעת פגיעה במדינת ישראל באמצעות חרם (תיקון - פיצויים ללא הוכחת נזק), התשפ"ג-2022</t>
  </si>
  <si>
    <t xml:space="preserve"> (פ/735/25)</t>
  </si>
  <si>
    <t xml:space="preserve">הצעת חוק חוזה הביטוח (תיקון - התיישנות וריבית מיוחדת), התשפ"ג-2022</t>
  </si>
  <si>
    <t xml:space="preserve"> (פ/734/25)</t>
  </si>
  <si>
    <t xml:space="preserve">הצעת חוק גוש עציון, התשפ"ג-2022</t>
  </si>
  <si>
    <t xml:space="preserve"> (פ/733/25)</t>
  </si>
  <si>
    <t xml:space="preserve">הצעת חוק חובת המכרזים (תיקון - שילוב עסקים קטנים ובינוניים במכרזים ציבוריים), התשפ"ג-2022</t>
  </si>
  <si>
    <t xml:space="preserve"> (פ/732/25)</t>
  </si>
  <si>
    <t xml:space="preserve">הצעת חוק להנצחת זכרם של קורבנות הטבח בטנטורה, התשפ"ג-2022</t>
  </si>
  <si>
    <t xml:space="preserve"> (פ/731/25)</t>
  </si>
  <si>
    <t xml:space="preserve">הצעת חוק הרשות הלאומית למניעה ולמאבק באלימות במשפחה ובאלימות נגד נשים, התשפ"ג-2022</t>
  </si>
  <si>
    <t xml:space="preserve"> (פ/730/25)</t>
  </si>
  <si>
    <t xml:space="preserve">הצעת חוק האזרחות והכניסה לישראל (הוראת שעה) (תיקון - היתר לגבי בני זוג), התשפ"ג-2022</t>
  </si>
  <si>
    <t xml:space="preserve"> (פ/728/25)</t>
  </si>
  <si>
    <t xml:space="preserve">הצעת חוק הביטוח הלאומי (תיקון - חובת נוכחות מתורגמן בדיוני ועדה רפואית), התשפ"ג-2022</t>
  </si>
  <si>
    <t xml:space="preserve"> (פ/727/25)</t>
  </si>
  <si>
    <t xml:space="preserve">הצעת חוק השכירות והשאילה (תיקון - הארכת תקופת השכירות בעת מצב חירום), התשפ"ג-2022</t>
  </si>
  <si>
    <t xml:space="preserve"> (פ/726/25)</t>
  </si>
  <si>
    <t xml:space="preserve">הצעת חוק מימון מפלגות (תיקון - ייצוג לנשים ברשימות המועמדים), התשפ"ג-2022</t>
  </si>
  <si>
    <t xml:space="preserve"> (פ/725/25)</t>
  </si>
  <si>
    <t xml:space="preserve">הצעת חוק מימון מפלגות (תיקון - ייצוג לנשים ברשימת המועמדים), התשפ"ג-2022</t>
  </si>
  <si>
    <t xml:space="preserve"> (פ/724/25)</t>
  </si>
  <si>
    <t xml:space="preserve">הצעת חוק לתיקון פקודת מס הכנסה (הכרה בהוצאות טיפול בילדים), התשפ"ג-2022</t>
  </si>
  <si>
    <t xml:space="preserve"> (פ/723/25)</t>
  </si>
  <si>
    <t xml:space="preserve">הצעת חוק גוש מנשה, התשפ"ג-2022</t>
  </si>
  <si>
    <t xml:space="preserve"> (פ/722/25)</t>
  </si>
  <si>
    <t xml:space="preserve">הצעת חוק חסינות כוחות הביטחון באירועים מבצעיים, התשפ"ג-2022</t>
  </si>
  <si>
    <t xml:space="preserve"> (פ/718/25)</t>
  </si>
  <si>
    <t xml:space="preserve">הצעת חוק חינוך ממלכתי (תיקון - חינוך ממלכתי חרדי), התשפ"ג-2022</t>
  </si>
  <si>
    <t xml:space="preserve"> (פ/717/25)</t>
  </si>
  <si>
    <t xml:space="preserve">הצעת חוק-יסוד: השפיטה (תיקון - פסקת התגברות)</t>
  </si>
  <si>
    <t xml:space="preserve"> (פ/716/25)</t>
  </si>
  <si>
    <t xml:space="preserve">הצעת חוק עקרונות האסדרה (תיקון - פקיעת אסדרה), התשפ"ג-2022</t>
  </si>
  <si>
    <t xml:space="preserve"> (פ/714/25)</t>
  </si>
  <si>
    <t xml:space="preserve">הצעת חוק הביטוח הלאומי (תיקון - העלאת קצבת אזרח ותיק), התשפ"ג-2022</t>
  </si>
  <si>
    <t xml:space="preserve"> (פ/712/25)</t>
  </si>
  <si>
    <t xml:space="preserve">הצעת חוק ההוצאה לפועל (תיקון - קבלת קהל בשעות אחר הצהריים), התשפ"ג-2022</t>
  </si>
  <si>
    <t xml:space="preserve"> (פ/711/25)</t>
  </si>
  <si>
    <t xml:space="preserve"> (פ/710/25)</t>
  </si>
  <si>
    <t xml:space="preserve">הצעת חוק כביש אגרה (כביש ארצי לישראל) (תיקון - תנאי לגביית אגרה), התשפ"ג-2022</t>
  </si>
  <si>
    <t xml:space="preserve"> (פ/708/25)</t>
  </si>
  <si>
    <t xml:space="preserve">הצעת חוק מניעת ביצוע עבירות באמצעות פרסום באינטרנט (הסרת תוכן), התשפ"ג-2022</t>
  </si>
  <si>
    <t xml:space="preserve"> (פ/707/25)</t>
  </si>
  <si>
    <t xml:space="preserve"> (פ/705/25)</t>
  </si>
  <si>
    <t xml:space="preserve">הצעת חוק הגנת הצרכן (תיקון - איסור גביית עמלה בעסקה שבוצעה באמצעות האינטרנט), התשפ"ג-2022</t>
  </si>
  <si>
    <t xml:space="preserve"> (פ/704/25)</t>
  </si>
  <si>
    <t xml:space="preserve"> (פ/703/25)</t>
  </si>
  <si>
    <t xml:space="preserve">הצעת חוק זכויות סוציאליות לנשים נפגעות אלימות (תיקוני חקיקה), התשפ"ג-2022</t>
  </si>
  <si>
    <t xml:space="preserve"> (פ/702/25)</t>
  </si>
  <si>
    <t xml:space="preserve">הצעת חוק הרשויות המקומיות (אכיפה סביבתית - סמכויות פקחים) (תיקון - הסמכת פקחים באיגוד ערים לווטרינריה), התשפ"ג-2022</t>
  </si>
  <si>
    <t xml:space="preserve"> (פ/701/25)</t>
  </si>
  <si>
    <t xml:space="preserve">הצעת חוק לתיקון פקודת מס הכנסה (ביטול מס בגין זקיפה סלולרית), התשפ"ג-2022</t>
  </si>
  <si>
    <t xml:space="preserve"> (פ/700/25)</t>
  </si>
  <si>
    <t xml:space="preserve">הצעת חוק הביטוח הלאומי (תיקון - הרחבת הזכאות למענק לימודים), התשפ"ג-2022</t>
  </si>
  <si>
    <t xml:space="preserve"> (פ/699/25)</t>
  </si>
  <si>
    <t xml:space="preserve"> (פ/697/25)</t>
  </si>
  <si>
    <t xml:space="preserve"> (פ/696/25)</t>
  </si>
  <si>
    <t xml:space="preserve">הצעת חוק לתיקון פקודת מס הכנסה (שינוי מדרגות המס), התשפ"ג-2022</t>
  </si>
  <si>
    <t xml:space="preserve"> (פ/694/25)</t>
  </si>
  <si>
    <t xml:space="preserve"> (פ/693/25)</t>
  </si>
  <si>
    <t xml:space="preserve">הצעת חוק איסור ניתוק משירותי חשמל, מים וגז (תיקוני חקיקה), התשפ"ג-2022</t>
  </si>
  <si>
    <t xml:space="preserve"> (פ/692/25)</t>
  </si>
  <si>
    <t xml:space="preserve">הצעת חוק הביטוח הלאומי (תיקון - חישוב דמי לידה לפי שנה שקדמה ליום הקובע), התשפ"ג-2022</t>
  </si>
  <si>
    <t xml:space="preserve"> (פ/691/25)</t>
  </si>
  <si>
    <t xml:space="preserve">הצעת חוק לתיקון פקודת מס הכנסה (משיכה פטורה מקרן השתלמות כשחלות תקנות שמטילות הגבלות על פעילות עסקית), התשפ"ג-2022</t>
  </si>
  <si>
    <t xml:space="preserve"> (פ/689/25)</t>
  </si>
  <si>
    <t xml:space="preserve">הצעת חוק השוואת זכויות פנסיה לאלמן ולאלמנה, התשפ"ג-2022</t>
  </si>
  <si>
    <t xml:space="preserve"> (פ/688/25)</t>
  </si>
  <si>
    <t xml:space="preserve">הצעת חוק המלחמה בפדופיליה (מאגר מידע), התשפ"ג-2022</t>
  </si>
  <si>
    <t xml:space="preserve"> (פ/687/25)</t>
  </si>
  <si>
    <t xml:space="preserve">הצעת חוק החלת דיני הקרקעות והתכנון והבנייה הישראליים ביהודה והשומרון, התשפ"ג-2022</t>
  </si>
  <si>
    <t xml:space="preserve"> (פ/686/25)</t>
  </si>
  <si>
    <t xml:space="preserve">הצעת חוק הביטוח הלאומי (תיקון - הארכת תקופת הזכאות לדמי אבטלה לצעירים), התשפ"ג-2022</t>
  </si>
  <si>
    <t xml:space="preserve"> (פ/685/25)</t>
  </si>
  <si>
    <t xml:space="preserve">הצעת חוק ירושלים ובנותיה, התשפ"ג-2022</t>
  </si>
  <si>
    <t xml:space="preserve"> (פ/684/25)</t>
  </si>
  <si>
    <t xml:space="preserve">הצעת חוק הביטוח הלאומי (תיקון - הגדלת קצבת הנכות), התשפ"ג-2022</t>
  </si>
  <si>
    <t xml:space="preserve"> (פ/683/25)</t>
  </si>
  <si>
    <t xml:space="preserve">הצעת חוק הביטוח הלאומי (תיקון - הכרה בפגיעה מינית בעבודה כתאונת עבודה), התשפ"ג-2022</t>
  </si>
  <si>
    <t xml:space="preserve"> (פ/682/25)</t>
  </si>
  <si>
    <t xml:space="preserve">הצעת חוק בתי המשפט (תיקון - תקופת צינון במועמדות חבר כנסת או שר למשרת שופט), התשפ"ג-2022</t>
  </si>
  <si>
    <t xml:space="preserve"> (פ/681/25)</t>
  </si>
  <si>
    <t xml:space="preserve">הצעת חוק הביטוח הלאומי (תיקון - הודעה לפני גביית חוב), התשפ"ג-2022</t>
  </si>
  <si>
    <t xml:space="preserve"> (פ/679/25)</t>
  </si>
  <si>
    <t xml:space="preserve">הצעת חוק העונשין (תיקון - בעילה אסורה בהסכמה תוך ניצול מעמד ציבורי מיוחד), התשפ"ג-2022</t>
  </si>
  <si>
    <t xml:space="preserve"> (פ/678/25)</t>
  </si>
  <si>
    <t xml:space="preserve">הצעת חוק חוזה העבודה (הסדרי עבודה מרחוק), התשפ"ג-2022</t>
  </si>
  <si>
    <t xml:space="preserve"> (פ/677/25)</t>
  </si>
  <si>
    <t xml:space="preserve">הצעת חוק טיפול בחולי נפש (תיקון - תנאי אשפוז הולמים), התשפ"ג-2022</t>
  </si>
  <si>
    <t xml:space="preserve"> (פ/676/25)</t>
  </si>
  <si>
    <t xml:space="preserve">הצעת חוק התכנון והבנייה (תיקון - תוקף היתר הבנייה), התשפ"ג-2022</t>
  </si>
  <si>
    <t xml:space="preserve"> (פ/674/25)</t>
  </si>
  <si>
    <t xml:space="preserve">הצעת חוק נציב תלונות הציבור על שופטים (תיקון - פרסום שם שופט), התשפ"ג-2022 </t>
  </si>
  <si>
    <t xml:space="preserve"> (פ/673/25)</t>
  </si>
  <si>
    <t xml:space="preserve">הצעת חוק ביטוח בריאות ממלכתי (תיקון - פנייה לנציב קבילות הציבור), התשפ"ג-2022 </t>
  </si>
  <si>
    <t xml:space="preserve"> (פ/672/25)</t>
  </si>
  <si>
    <t xml:space="preserve">הצעת חוק החלת החוק הישראלי בשטח בקעת הירדן, צפון ים המלח, ובישובים היהודיים ביהודה והשומרון, התשפ"ג-2022</t>
  </si>
  <si>
    <t xml:space="preserve"> (פ/671/25)</t>
  </si>
  <si>
    <t xml:space="preserve">הצעת חוק-יסוד: כבוד האדם וחירותו (תיקון - תוקפו של חוק חורג בעניין מסתננים)</t>
  </si>
  <si>
    <t xml:space="preserve"> (פ/670/25)</t>
  </si>
  <si>
    <t xml:space="preserve">הצעת חוק לתיקון פקודת הראיות (חיסיון קרימינולוג קליני), התשפ"ג-2022</t>
  </si>
  <si>
    <t xml:space="preserve"> (פ/669/25)</t>
  </si>
  <si>
    <t xml:space="preserve">הצעת חוק הביטוח הלאומי (תיקון - מענק לידה אחיד מילד שני ואילך), התשפ"ג-2022</t>
  </si>
  <si>
    <t xml:space="preserve"> (פ/668/25)</t>
  </si>
  <si>
    <t xml:space="preserve">הצעת חוק כביש אגרה (כביש ארצי לישראל) (תיקון - הפחתת ריבית פיגורים על חוב חלוט), התשפ"ג-2022</t>
  </si>
  <si>
    <t xml:space="preserve"> (פ/667/25)</t>
  </si>
  <si>
    <t xml:space="preserve">הצעת חוק הפעלת תחבורה ציבורית ביום המנוחה השבועי, התשפ"ג-2022</t>
  </si>
  <si>
    <t xml:space="preserve"> (פ/666/25)</t>
  </si>
  <si>
    <t xml:space="preserve">הצעת חוק העונשין (תיקון - עונש מזערי בגין יידוי או ירי של אבן או חפץ אחר לעבר כלי תחבורה), התשפ"ג-2022</t>
  </si>
  <si>
    <t xml:space="preserve"> (פ/665/25)</t>
  </si>
  <si>
    <t xml:space="preserve">הצעת חוק לתיקון פקודת התעבורה (איסור עישון ברכב שנמצא בו קטין שטרם מלאו לו 15 שנים), התשפ"ג-2022</t>
  </si>
  <si>
    <t xml:space="preserve"> (פ/664/25)</t>
  </si>
  <si>
    <t xml:space="preserve">הצעת חוק שכר ותנאי עבודה לנהגי תחבורה ציבורית, התשפ"ג-2022</t>
  </si>
  <si>
    <t xml:space="preserve"> (פ/663/25)</t>
  </si>
  <si>
    <t xml:space="preserve">הצעת חוק הבנקאות (שירות ללקוח) (תיקון - מועדי החזר של הלוואה לדיור), התשפ"ג-2022</t>
  </si>
  <si>
    <t xml:space="preserve"> (פ/662/25)</t>
  </si>
  <si>
    <t xml:space="preserve">הצעת חוק חוזה הביטוח (תיקון - ביטוח דירה), התשפ"ג-2022</t>
  </si>
  <si>
    <t xml:space="preserve"> (פ/661/25)</t>
  </si>
  <si>
    <t xml:space="preserve">הצעת חוק הסכמים קיבוציים (תיקון - ביטול גביית דמי טיפול ארגוני-מקצועי), התשפ"ג-2022</t>
  </si>
  <si>
    <t xml:space="preserve"> (פ/660/25)</t>
  </si>
  <si>
    <t xml:space="preserve">הצעת חוק הביטוח הלאומי (תיקון - תוספת דמי אבטלה למי שמתחת לגיל 28 עם ילד אחד לפחות), התשפ"ג-2022 </t>
  </si>
  <si>
    <t xml:space="preserve"> (פ/659/25)</t>
  </si>
  <si>
    <t xml:space="preserve">הצעת חוק בתי המשפט (תיקון - תקופת צינון לפני מינוי), התשפ"ג-2022</t>
  </si>
  <si>
    <t xml:space="preserve"> (פ/658/25)</t>
  </si>
  <si>
    <t xml:space="preserve">הצעת חוק בנק ישראל (תיקון - פרטי שטרי כסף ומעות), התשפ"ג-2022</t>
  </si>
  <si>
    <t xml:space="preserve"> (פ/657/25)</t>
  </si>
  <si>
    <t xml:space="preserve">הצעת חוק מתן שירות בשפה הערבית בגופים ציבוריים ובגופים מסחריים, התשפ"ג-2022</t>
  </si>
  <si>
    <t xml:space="preserve"> (פ/656/25)</t>
  </si>
  <si>
    <t xml:space="preserve">הצעת חוק זכויות הסטודנט (תיקון - סיוע כלכלי בשעת חירום), התשפ"ג-2022</t>
  </si>
  <si>
    <t xml:space="preserve"> (פ/654/25)</t>
  </si>
  <si>
    <t xml:space="preserve">הצעת חוק הביטוח הלאומי (תיקון - השוואת קצבת נכות לשכר המינימום), התשפ"ג-2022</t>
  </si>
  <si>
    <t xml:space="preserve"> (פ/653/25)</t>
  </si>
  <si>
    <t xml:space="preserve">הצעת חוק לתיקון פקודת מס הכנסה (דיווח שנתי או חצי שנתי לסוגי נכסים), התשפ"ג-2022</t>
  </si>
  <si>
    <t xml:space="preserve"> (פ/652/25)</t>
  </si>
  <si>
    <t xml:space="preserve">הצעת חוק צער בעלי חיים (הגנה על בעלי חיים) (תיקון - איסור שימוש במלכודות דבק ומלכודות רגל, והחלת עבירות באזור יהודה והשומרון), התשפ"ג-2022</t>
  </si>
  <si>
    <t xml:space="preserve"> (פ/651/25)</t>
  </si>
  <si>
    <t xml:space="preserve">הצעת חוק מס ערך מוסף (תיקון - פטור ממס על תשר), התשפ"ג-2022</t>
  </si>
  <si>
    <t xml:space="preserve"> (פ/650/25)</t>
  </si>
  <si>
    <t xml:space="preserve">הצעת חוק למניעת העסקה של עובד הוראה התומך בטרור, התשפ"ג-2022</t>
  </si>
  <si>
    <t xml:space="preserve"> (פ/649/25)</t>
  </si>
  <si>
    <t xml:space="preserve">הצעת חוק דמי מחלה (היעדרות בשל מחלת ילד) (תיקון - היעדרות בעקבות פגיעה בעבירת מין או אלימות חמורה), התשפ"ג-2022</t>
  </si>
  <si>
    <t xml:space="preserve"> (פ/648/25)</t>
  </si>
  <si>
    <t xml:space="preserve">הצעת חוק העונשין (תיקון - הכנת פרסום בדבר שירותי זנות), התשפ"ג-2022</t>
  </si>
  <si>
    <t xml:space="preserve"> (פ/647/25)</t>
  </si>
  <si>
    <t xml:space="preserve">הצעת חוק שעות עבודה ומנוחה (תיקון - הגבלת שעות העסקה של מתמחה ברפואה), התשפ"ג-2022</t>
  </si>
  <si>
    <t xml:space="preserve"> (פ/646/25)</t>
  </si>
  <si>
    <t xml:space="preserve">הצעת חוק זכויות נפגעי עבירה (תיקון - זכאות בני משפחה), התשפ"ג-2022</t>
  </si>
  <si>
    <t xml:space="preserve"> (פ/645/25)</t>
  </si>
  <si>
    <t xml:space="preserve">הצעת חוק המאבק בשחיתות הציבורית - הרשעה בעבירה שיש עמה קלון (תיקוני חקיקה), התשפ"ג-2022</t>
  </si>
  <si>
    <t xml:space="preserve"> (פ/644/25)</t>
  </si>
  <si>
    <t xml:space="preserve">הצעת חוק פיקוח על מחירי מצרכים ושירותים (תיקון - פיקוח על מחיר לחם מלא), התשפ''ג-2022</t>
  </si>
  <si>
    <t xml:space="preserve"> (פ/643/25)</t>
  </si>
  <si>
    <t xml:space="preserve">הצעת חוק-יסוד: הממשלה (תיקון - סייג להטלת התפקיד להרכיב ממשלה)</t>
  </si>
  <si>
    <t xml:space="preserve"> (פ/642/25)</t>
  </si>
  <si>
    <t xml:space="preserve">הצעת חוק זכויות התלמיד (תיקון - איסור התניית זכות הלימוד בתשלום), התשפ"ג-2022</t>
  </si>
  <si>
    <t xml:space="preserve"> (פ/641/25)</t>
  </si>
  <si>
    <t xml:space="preserve">הצעת חוק לימוד חובה (תיקון - חובת לימודי ליבה), התשפ"ג-2022</t>
  </si>
  <si>
    <t xml:space="preserve"> (פ/640/25)</t>
  </si>
  <si>
    <t xml:space="preserve">הצעת חוק ביטוח בריאות ממלכתי (תיקון - צמצום פערים בין הפריפריה למרכז), התשפ"ג-2022</t>
  </si>
  <si>
    <t xml:space="preserve"> (פ/639/25)</t>
  </si>
  <si>
    <t xml:space="preserve">הצעת חוק הביטוח הלאומי (תיקון - הוספת ענפי ההסעדה והאבטחה ביישובי הגליל והנגב לרשימת העבודות המועדפות), התשפ"ג-2022</t>
  </si>
  <si>
    <t xml:space="preserve"> (פ/638/25)</t>
  </si>
  <si>
    <t xml:space="preserve">הצעת חוק שלילת תקצוב מוסדות חינוך המפלים תלמידים ברישום אליהם (תיקוני חקיקה), התשפ"ג-2022</t>
  </si>
  <si>
    <t xml:space="preserve"> (פ/637/25)</t>
  </si>
  <si>
    <t xml:space="preserve">הצעת חוק שירות ביטחון (תיקון - שוויון בנטל), התשפ"ג-2022</t>
  </si>
  <si>
    <t xml:space="preserve"> (פ/636/25)</t>
  </si>
  <si>
    <t xml:space="preserve">הצעת חוק תקופת לידה והורות להורים (תיקוני חקיקה), התשפ"ג-2022</t>
  </si>
  <si>
    <t xml:space="preserve"> (פ/635/25)</t>
  </si>
  <si>
    <t xml:space="preserve"> (פ/633/25)</t>
  </si>
  <si>
    <t xml:space="preserve"> (פ/632/25)</t>
  </si>
  <si>
    <t xml:space="preserve">הצעת חוק הצבת מכשירי החייאה במקומות ציבוריים (תיקון - צעדים ליישום מיטבי של החוק), התשפ"ג-2022</t>
  </si>
  <si>
    <t xml:space="preserve"> (פ/631/25)</t>
  </si>
  <si>
    <t xml:space="preserve">הצעת חוק הביטוח הלאומי (תיקון - העלאת קצבת הילדים), התשפ"ג-2022</t>
  </si>
  <si>
    <t xml:space="preserve"> (פ/630/25)</t>
  </si>
  <si>
    <t xml:space="preserve">הצעת חוק הממשלה (תיקון - חוות דעת של רשות ציבורית בענייני חקיקה), התשפ"ג-2022</t>
  </si>
  <si>
    <t xml:space="preserve"> (פ/628/25)</t>
  </si>
  <si>
    <t xml:space="preserve">הצעת חוק התכנון והבנייה (תיקון - חלף היטל השבחה), התשפ"ג-2022</t>
  </si>
  <si>
    <t xml:space="preserve"> (פ/627/25)</t>
  </si>
  <si>
    <t xml:space="preserve">הצעת חוק איסור מכירת קמינים ושימוש בהם, התשפ"ג-2022</t>
  </si>
  <si>
    <t xml:space="preserve"> (פ/626/25)</t>
  </si>
  <si>
    <t xml:space="preserve">הצעת חוק לשכת עורכי הדין (תיקון - הגבלת שכר טרחה על מכתבי התראה לפני גביית חוב), התשפ"ג-2022</t>
  </si>
  <si>
    <t xml:space="preserve"> (פ/625/25)</t>
  </si>
  <si>
    <t xml:space="preserve">הצעת חוק לצמצום השימוש בשקיות נשיאה חד-פעמיות (תיקון - היטל על שקית נשיאה חד-פעמית), התשפ"ג-2022</t>
  </si>
  <si>
    <t xml:space="preserve"> (פ/623/25)</t>
  </si>
  <si>
    <t xml:space="preserve">הצעת חוק שיווי זכויות האישה (תיקון - תחולה), התשפ"ג-2022</t>
  </si>
  <si>
    <t xml:space="preserve"> (פ/621/25)</t>
  </si>
  <si>
    <t xml:space="preserve">הצעת חוק הכללת חוב עונשי בהפטר (תיקוני חקיקה), התשפ"ג-2022</t>
  </si>
  <si>
    <t xml:space="preserve"> (פ/620/25)</t>
  </si>
  <si>
    <t xml:space="preserve">הצעת חוק השמירה על המקומות הקדושים (תיקון - שמירה על הכותל המערבי, הר הבית ומערת המכפלה), התשפ"ג-2022</t>
  </si>
  <si>
    <t xml:space="preserve"> (פ/619/25)</t>
  </si>
  <si>
    <t xml:space="preserve">הצעת חוק הגנת הפרטיות (תיקון - מניעת פרסום פרטיו של אדם שנהרג או נפגע ברבים בטרם נמסרה הודעה למשפחה), התשפ"ג-2022</t>
  </si>
  <si>
    <t xml:space="preserve"> (פ/618/25)</t>
  </si>
  <si>
    <t xml:space="preserve">הצעת חוק הגנת הצרכן (תיקון - הגבלות על מכירה מיוחדת), התשפ"ג-2022</t>
  </si>
  <si>
    <t xml:space="preserve"> (פ/616/25)</t>
  </si>
  <si>
    <t xml:space="preserve">הצעת חוק שוויון ההזדמנויות בעבודה (תיקון - איסור הפליה מחמת מצב כלכלי), התשפ"ג-2022</t>
  </si>
  <si>
    <t xml:space="preserve"> (פ/615/25)</t>
  </si>
  <si>
    <t xml:space="preserve">הצעת חוק הביטוח הלאומי (תיקון - עבודה מועדפת בתחום ניטול, פריקה וטעינה של מטעני אוויר), התשפ"ג-2022</t>
  </si>
  <si>
    <t xml:space="preserve"> (פ/614/25)</t>
  </si>
  <si>
    <t xml:space="preserve">הצעת חוק פיצויי פיטורים (תיקון - פיצויי פיטורים למתגייס לרשות הארצית לכבאות והצלה), התשפ"ג-2022</t>
  </si>
  <si>
    <t xml:space="preserve"> (פ/613/25)</t>
  </si>
  <si>
    <t xml:space="preserve">הצעת חוק למניעת חרם חברתי בבתי ספר, התשפ"ג-2022</t>
  </si>
  <si>
    <t xml:space="preserve"> (פ/611/25)</t>
  </si>
  <si>
    <t xml:space="preserve">הצעת חוק העונשין (תיקון - אלימות במשפחה בנוכחות קטין או חסר ישע), התשפ"ג-2022</t>
  </si>
  <si>
    <t xml:space="preserve"> (פ/610/25)</t>
  </si>
  <si>
    <t xml:space="preserve">הצעת חוק הרשות לפיתוח הנגב (תיקון - הרחבת סמכויות הרשות ותפקידיה), התשפ"ג-2022</t>
  </si>
  <si>
    <t xml:space="preserve"> (פ/609/25)</t>
  </si>
  <si>
    <t xml:space="preserve">הצעת חוק מגבלות על חזרתו של עבריין מין לסביבת נפגע העבירה (תיקון - הרחבת סמכות בית המשפט בנושא קטינים), התשפ"ג-2022</t>
  </si>
  <si>
    <t xml:space="preserve"> (פ/608/25)</t>
  </si>
  <si>
    <t xml:space="preserve">הצעת חוק הרשות לפיתוח הנגב (תיקון - שינוי הגדרת הנגב), התשפ"ג-2022</t>
  </si>
  <si>
    <t xml:space="preserve"> (פ/607/25)</t>
  </si>
  <si>
    <t xml:space="preserve">הצעת חוק-יסוד: הממשלה (תיקון - חשיפת פרוטוקולים בעניין ניהול משבר הקורונה)</t>
  </si>
  <si>
    <t xml:space="preserve"> (פ/606/25)</t>
  </si>
  <si>
    <t xml:space="preserve"> (פ/604/25)</t>
  </si>
  <si>
    <t xml:space="preserve">הצעת חוק החזקת תכשיר אפינפרין במוסדות חינוך ובמקומות ציבוריים (תיקון - החזקת תכשיר אפינפרין בבית אוכל), התשפ"ג-2022</t>
  </si>
  <si>
    <t xml:space="preserve"> (פ/603/25)</t>
  </si>
  <si>
    <t xml:space="preserve">הצעת חוק חילוט תקבולי עבירה בפשיעה חקלאית, התשפ"ג-2022</t>
  </si>
  <si>
    <t xml:space="preserve"> (פ/602/25)</t>
  </si>
  <si>
    <t xml:space="preserve">הצעת חוק נציב תלונות הציבור על שופטים (תיקון - נציבות תלונות הציבור על דיינים וקאדים), התשפ"ג-2022</t>
  </si>
  <si>
    <t xml:space="preserve"> (פ/601/25)</t>
  </si>
  <si>
    <t xml:space="preserve"> (פ/600/25)</t>
  </si>
  <si>
    <t xml:space="preserve">הצעת חוק לתיקון פקודת התעבורה (פטור מתשלום דמי חניה באזורי מגורים במהלך שבתות ומועדי ישראל), התשפ"ג-2022</t>
  </si>
  <si>
    <t xml:space="preserve"> (פ/599/25)</t>
  </si>
  <si>
    <t xml:space="preserve">הצעת חוק חינוך ממלכתי (תיקון - מימון מוסדות חינוך מוכרים לא רשמיים), התשפ"ג-2022</t>
  </si>
  <si>
    <t xml:space="preserve"> (פ/598/25)</t>
  </si>
  <si>
    <t xml:space="preserve">הצעת חוק לתיקון פקודת הנמלים (איסור על השטת כלי שיט ועל הפלגה באופנוע ים בשכרות), התשפ"ג-2022</t>
  </si>
  <si>
    <t xml:space="preserve"> (פ/597/25)</t>
  </si>
  <si>
    <t xml:space="preserve">הצעת חוק קליטת חיילים משוחררים (תיקון - הוקרת שירות הלוחם והלוחמת), התשפ"ג-2022</t>
  </si>
  <si>
    <t xml:space="preserve"> (פ/596/25)</t>
  </si>
  <si>
    <t xml:space="preserve">הצעת חוק להקפאת כספים ששילמה הרשות הפלסטינית בזיקה לטרור מהכספים המועברים אליה מממשלת ישראל (תיקון - חילוט הכספים וניהולם), התשפ"ג-2022</t>
  </si>
  <si>
    <t xml:space="preserve"> (פ/595/25)</t>
  </si>
  <si>
    <t xml:space="preserve">הצעת חוק עבודת נשים (תיקון - הגנה על עובדת מפני הליכי פיטורים), התשפ"ג-2022</t>
  </si>
  <si>
    <t xml:space="preserve"> (פ/594/25)</t>
  </si>
  <si>
    <t xml:space="preserve">הצעת חוק יסודות התקציב (תיקון - הפחתת תקציב או תמיכה בשל פעילות נגד עקרונות המדינה של עובד או נושא משרה), התשפ"ג-2022</t>
  </si>
  <si>
    <t xml:space="preserve"> (פ/593/25)</t>
  </si>
  <si>
    <t xml:space="preserve"> (פ/591/25)</t>
  </si>
  <si>
    <t xml:space="preserve">הצעת חוק-יסוד: כבוד האדם וחירותו (תיקון - פגיעה בזכויות) </t>
  </si>
  <si>
    <t xml:space="preserve"> (פ/590/25)</t>
  </si>
  <si>
    <t xml:space="preserve">הצעת חוק התכנון והבנייה (תיקון - שומה מתוקנת מוסכמת), התשפ"ג-2022</t>
  </si>
  <si>
    <t xml:space="preserve"> (פ/589/25)</t>
  </si>
  <si>
    <t xml:space="preserve">הצעת חוק לתיקון פקודת המסים (גבייה) (חובת יידוע החייב), התשפ"ג-2022</t>
  </si>
  <si>
    <t xml:space="preserve"> (פ/588/25)</t>
  </si>
  <si>
    <t xml:space="preserve">הצעת חוק הסכמים קיבוציים (תיקון - בחירות לוועד עובדים ולארגון יציג), התשפ"ג-2022</t>
  </si>
  <si>
    <t xml:space="preserve"> (פ/587/25)</t>
  </si>
  <si>
    <t xml:space="preserve">הצעת חוק התגמולים לנפגעי פעולות איבה (תיקון - תביעה נגד מפגע), התשפ"ג-2022</t>
  </si>
  <si>
    <t xml:space="preserve"> (פ/584/25)</t>
  </si>
  <si>
    <t xml:space="preserve">הצעת חוק בתי המשפט (תיקון - שקיפות הליכים משפטיים), התשפ"ג-2022</t>
  </si>
  <si>
    <t xml:space="preserve"> (פ/583/25)</t>
  </si>
  <si>
    <t xml:space="preserve"> (פ/582/25)</t>
  </si>
  <si>
    <t xml:space="preserve">הצעת חוק עוסק זעיר, התשפ"ג-2022</t>
  </si>
  <si>
    <t xml:space="preserve"> (פ/581/25)</t>
  </si>
  <si>
    <t xml:space="preserve">הצעת חוק עוסק זעיר, התשפ"ג-2022 </t>
  </si>
  <si>
    <t xml:space="preserve"> (פ/580/25)</t>
  </si>
  <si>
    <t xml:space="preserve"> (פ/579/25)</t>
  </si>
  <si>
    <t xml:space="preserve">הצעת חוק הביטוח הלאומי (תיקון - זכאות לדמי אבטלה מגיל 19), התשפ"ג-2022</t>
  </si>
  <si>
    <t xml:space="preserve"> (פ/578/25)</t>
  </si>
  <si>
    <t xml:space="preserve">הצעת חוק לתיקון פקודת הראיות (דרישת הסיוע להרשעה על פי הודיה), התשפ"ג-2022</t>
  </si>
  <si>
    <t xml:space="preserve"> (פ/577/25)</t>
  </si>
  <si>
    <t xml:space="preserve">הצעת חוק מעמד השפה הערבית כשפה רשמית, התשפ"ג-2022</t>
  </si>
  <si>
    <t xml:space="preserve"> (פ/576/25)</t>
  </si>
  <si>
    <t xml:space="preserve">הצעת חוק הפיקוח על מעונות (תיקון - תנאי כשירות לעובדי מעון), התשפ"ג-2022</t>
  </si>
  <si>
    <t xml:space="preserve"> (פ/575/25)</t>
  </si>
  <si>
    <t xml:space="preserve">הצעת חוק הביטוח הלאומי (תיקון - דמי פגיעה לעובד עצמאי), התשפ"ג-2022</t>
  </si>
  <si>
    <t xml:space="preserve"> (פ/573/25)</t>
  </si>
  <si>
    <t xml:space="preserve"> (פ/572/25)</t>
  </si>
  <si>
    <t xml:space="preserve">הצעת חוק להכרה, הנצחה, מחקר ותיעוד של פרשת ילדי תימן, המזרח והבלקן, התשפ"ג-2022</t>
  </si>
  <si>
    <t xml:space="preserve"> (פ/571/25)</t>
  </si>
  <si>
    <t xml:space="preserve">הצעת חוק הכשרות המשפטית והאפוטרופסות (תיקון - שלילת אפוטרופסות מהורה שהורשע ברצח או בנסיון לרצח), התשפ"ג-2022</t>
  </si>
  <si>
    <t xml:space="preserve"> (פ/570/25)</t>
  </si>
  <si>
    <t xml:space="preserve">הצעת חוק המפלגות (תיקון - הורדת גיל ההתפקדות), התשפ"ג-2022</t>
  </si>
  <si>
    <t xml:space="preserve"> (פ/567/25)</t>
  </si>
  <si>
    <t xml:space="preserve">הצעת חוק להבטחת פיצוי לתושבי גבעת עמל, התשפ"ג-2022</t>
  </si>
  <si>
    <t xml:space="preserve"> (פ/564/25)</t>
  </si>
  <si>
    <t xml:space="preserve">הצעת חוק הנכים (תגמולים ושיקום) (תיקון - הארכת תקופת הערעור על החלטת קצין התגמולים), התשפ"ג-2022</t>
  </si>
  <si>
    <t xml:space="preserve"> (פ/563/25)</t>
  </si>
  <si>
    <t xml:space="preserve">הצעת חוק לתיקון פקודת מסי העירייה ומסי הממשלה (פטורין) (החלת חובת תשלום ארנונה על נכסי ממשלה המצויים באזור), התשפ"ג-2022</t>
  </si>
  <si>
    <t xml:space="preserve"> (פ/561/25)</t>
  </si>
  <si>
    <t xml:space="preserve">הצעת חוק הגנת השכר (תיקון - פיצויי פיטורים בזמן אמת), התשפ"ג-2022</t>
  </si>
  <si>
    <t xml:space="preserve"> (פ/560/25)</t>
  </si>
  <si>
    <t xml:space="preserve">הצעת חוק האזרחים הוותיקים (תיקון - הנחה בארנונה לאזרח ותיק המתגורר בדירה שאינה בהחזקתו), התשפ"ג-2022</t>
  </si>
  <si>
    <t xml:space="preserve"> (פ/559/25)</t>
  </si>
  <si>
    <t xml:space="preserve">הצעת חוק הבטחת הכנסה (תיקון - שלילת גמלה בגלל פעולת טרור), התשפ"ג-2022</t>
  </si>
  <si>
    <t xml:space="preserve"> (פ/558/25)</t>
  </si>
  <si>
    <t xml:space="preserve">הצעת חוק חינוך ממלכתי (תיקון - תקצוב מלא למוסדות מוכרים לא רשמיים), התשפ"ג-2022</t>
  </si>
  <si>
    <t xml:space="preserve"> (פ/557/25)</t>
  </si>
  <si>
    <t xml:space="preserve">הצעת חוק ויתור על חסינות מפני תביעות לשון הרע (תיקוני חקיקה), התשפ"ג-2022</t>
  </si>
  <si>
    <t xml:space="preserve"> (פ/556/25)</t>
  </si>
  <si>
    <t xml:space="preserve">הצעת חוק גיור ממלכתי בישראל, התשפ"ג-2022</t>
  </si>
  <si>
    <t xml:space="preserve"> (פ/554/25)</t>
  </si>
  <si>
    <t xml:space="preserve">הצעת חוק חינוך ממלכתי (תיקון - שיבוץ עובדי הוראה), התשפ"ג-2022</t>
  </si>
  <si>
    <t xml:space="preserve"> (פ/553/25)</t>
  </si>
  <si>
    <t xml:space="preserve">הצעת חוק מתאם ממשלתי לזכויות ילדים ונוער, התשפ"ג-2022</t>
  </si>
  <si>
    <t xml:space="preserve"> (פ/552/25)</t>
  </si>
  <si>
    <t xml:space="preserve">הצעת חוק פיצוי חייבים בשל עיכוב בהסרת הליכים (תיקוני חקיקה), התשפ"ג-2022</t>
  </si>
  <si>
    <t xml:space="preserve"> (פ/551/25)</t>
  </si>
  <si>
    <t xml:space="preserve">הצעת חוק תאגידי מים וביוב (תיקון - הפעלת שירותי מים וביוב על ידי רשות מקומית), התשפ"ג-2022</t>
  </si>
  <si>
    <t xml:space="preserve"> (פ/550/25)</t>
  </si>
  <si>
    <t xml:space="preserve">הצעת חוק הגנת הפרטיות (תיקון - מחיקה ממאגרי מידע), התשפ"ג-2022</t>
  </si>
  <si>
    <t xml:space="preserve"> (פ/549/25)</t>
  </si>
  <si>
    <t xml:space="preserve">הצעת חוק להסדרת שירותי ההשגחה על הכשרות, התשפ"ג-2022</t>
  </si>
  <si>
    <t xml:space="preserve"> (פ/548/25)</t>
  </si>
  <si>
    <t xml:space="preserve">הצעת חוק-יסוד: השפיטה (תיקון - הגבלת זכות העמידה) </t>
  </si>
  <si>
    <t xml:space="preserve"> (פ/547/25)</t>
  </si>
  <si>
    <t xml:space="preserve"> (פ/546/25)</t>
  </si>
  <si>
    <t xml:space="preserve"> (פ/545/25)</t>
  </si>
  <si>
    <t xml:space="preserve"> (פ/544/25)</t>
  </si>
  <si>
    <t xml:space="preserve"> (פ/543/25)</t>
  </si>
  <si>
    <t xml:space="preserve">הצעת חוק הביטוח לאומי (תיקון - ביטוח זכויות עצמאי שעיקר הכנסתו מעסק בהליכי חדלות פירעון), התשפ"ג-2022</t>
  </si>
  <si>
    <t xml:space="preserve"> (פ/542/25)</t>
  </si>
  <si>
    <t xml:space="preserve">הצעת חוק לצמצום השימוש במזומן (תיקון - העברת אסמכתאות לאמצעי תשלום כתנאי לאישור העסקה), התשפ"ג-2022 </t>
  </si>
  <si>
    <t xml:space="preserve"> (פ/539/25)</t>
  </si>
  <si>
    <t xml:space="preserve">הצעת חוק קליטת חיילים משוחררים (תיקון - מימון מלא לתכנית "ממדים ללימודים"), התשפ"ג-2022</t>
  </si>
  <si>
    <t xml:space="preserve"> (פ/538/25)</t>
  </si>
  <si>
    <t xml:space="preserve">הצעת חוק-יסוד: הכנסת (תיקון - הרוב הנדרש למניעת השתתפות בבחירות)</t>
  </si>
  <si>
    <t xml:space="preserve"> (פ/537/25)</t>
  </si>
  <si>
    <t xml:space="preserve">הצעת חוק נתוני אשראי (תיקון - איסור שימוש בנתוני אשראי שנאספו בתקופת משבר הקורונה), התשפ"ג-2022</t>
  </si>
  <si>
    <t xml:space="preserve"> (פ/536/25)</t>
  </si>
  <si>
    <t xml:space="preserve">הצעת חוק זכויות נפגעי עבירה (תיקון - מתן זכות הבעת עמדה לנפגעי או נפגעות עבירה במעמד פסק הדין או גזר הדין), התשפ"ג-2022</t>
  </si>
  <si>
    <t xml:space="preserve"> (פ/532/25)</t>
  </si>
  <si>
    <t xml:space="preserve">הצעת חוק חוזה הביטוח (תיקון - מניעת כפל ביטוחים), התשפ"ג-2022</t>
  </si>
  <si>
    <t xml:space="preserve"> (פ/529/25)</t>
  </si>
  <si>
    <t xml:space="preserve">הצעת חוק העונשין (תיקון - מעשה מגונה בהסכמה בקטין שמלאו לו ארבע-עשרה שנים וטרם מלאו לו שש-עשרה שנים), התשפ"ג-2022</t>
  </si>
  <si>
    <t xml:space="preserve"> (פ/528/25)</t>
  </si>
  <si>
    <t xml:space="preserve"> (פ/527/25)</t>
  </si>
  <si>
    <t xml:space="preserve"> (פ/526/25)</t>
  </si>
  <si>
    <t xml:space="preserve"> (פ/525/25)</t>
  </si>
  <si>
    <t xml:space="preserve">הצעת חוק להקמת אוניברסיטה ערבית ביישוב ערבי, התשפ"ג-2022</t>
  </si>
  <si>
    <t xml:space="preserve"> (פ/523/25)</t>
  </si>
  <si>
    <t xml:space="preserve"> (פ/522/25)</t>
  </si>
  <si>
    <t xml:space="preserve">הצעת חוק המיזם הלאומי לביטחון תזונתי, התשפ"ג-2022</t>
  </si>
  <si>
    <t xml:space="preserve"> (פ/519/25)</t>
  </si>
  <si>
    <t xml:space="preserve">הצעת חוק לתיקון פקודת העדה הדתית (המרה) (גיור על ידי רב מקומי וראש ישיבה), התשפ"ג-2022</t>
  </si>
  <si>
    <t xml:space="preserve"> (פ/518/25)</t>
  </si>
  <si>
    <t xml:space="preserve">הצעת חוק הירושה (תיקון - שלילת הזכות לירושה), התשפ"ג-2022</t>
  </si>
  <si>
    <t xml:space="preserve"> (פ/516/25)</t>
  </si>
  <si>
    <t xml:space="preserve">הצעת חוק לתיקון פקודת התעבורה (אכיפת נסיעה בלא כרטיס בידי מפקחים), התשפ"ג-2022</t>
  </si>
  <si>
    <t xml:space="preserve"> (פ/515/25)</t>
  </si>
  <si>
    <t xml:space="preserve"> (פ/513/25)</t>
  </si>
  <si>
    <t xml:space="preserve">הצעת חוק הבטחת הכנסה (תיקון - הכנסת מינימום לאזרח ותיק), התשפ"ג-2022</t>
  </si>
  <si>
    <t xml:space="preserve"> (פ/510/25)</t>
  </si>
  <si>
    <t xml:space="preserve">הצעת חוק מניעת אלימות במשפחה (תיקון - הגדרת אלימות במשפחה), התשפ"ג-2022</t>
  </si>
  <si>
    <t xml:space="preserve"> (פ/509/25)</t>
  </si>
  <si>
    <t xml:space="preserve">הצעת חוק מניעת סיכון בריאותי מהפעלת פליקרים במקומות ציבוריים, התשפ"ג-2022</t>
  </si>
  <si>
    <t xml:space="preserve"> (פ/508/25)</t>
  </si>
  <si>
    <t xml:space="preserve">הצעת חוק מס ערך מוסף (תיקון - הגבלת שיעור מס שכר למלכ"רים בירושלים), התשפ"ג-2022</t>
  </si>
  <si>
    <t xml:space="preserve"> (פ/507/25)</t>
  </si>
  <si>
    <t xml:space="preserve">הצעת חוק מעמד ותיקי מלחמת העולם השנייה (תיקון - מענק הטבות לוותיק מלחמה), התשפ"ג-2022</t>
  </si>
  <si>
    <t xml:space="preserve"> (פ/506/25)</t>
  </si>
  <si>
    <t xml:space="preserve">הצעת חוק זכויות הסטודנט (תיקון - ביטול ארגון סטודנטים יציג), התשפ"ג-2022</t>
  </si>
  <si>
    <t xml:space="preserve"> (פ/505/25)</t>
  </si>
  <si>
    <t xml:space="preserve">הצעת חוק האזרחים הוותיקים (תיקון - סל תרבות לאזרחים ותיקים עצמאיים המתגוררים בהוסטלים, מקבצי דיור או בתי דיור מוגן), התשפ"ג-2022</t>
  </si>
  <si>
    <t xml:space="preserve"> (פ/503/25)</t>
  </si>
  <si>
    <t xml:space="preserve"> (פ/501/25)</t>
  </si>
  <si>
    <t xml:space="preserve">הצעת חוק עבודת הנוער (תיקון - העסקה במנוחה השבועית), התשפ"ג-2022</t>
  </si>
  <si>
    <t xml:space="preserve"> (פ/500/25)</t>
  </si>
  <si>
    <t xml:space="preserve">הצעת חוק האזרחות (תיקון - הוראות לעניין בקשת התאזרחות של בעל ואישה), התשפ''ג-2022</t>
  </si>
  <si>
    <t xml:space="preserve"> (פ/499/25)</t>
  </si>
  <si>
    <t xml:space="preserve">הצעת חוק השמירה על המקומות הקדושים (תיקון - חופש הפולחן), התשפ"ג-2022</t>
  </si>
  <si>
    <t xml:space="preserve"> (פ/498/25)</t>
  </si>
  <si>
    <t xml:space="preserve"> (פ/496/25)</t>
  </si>
  <si>
    <t xml:space="preserve">הצעת חוק ברית הזוגיות לחסרי דת (תיקון - ברית זוגיות למנועי חיתון בישראל), התשפ"ג-2022</t>
  </si>
  <si>
    <t xml:space="preserve"> (פ/495/25)</t>
  </si>
  <si>
    <t xml:space="preserve">הצעת חוק שירות המדינה (מינויים) (תיקון - מינוי יועצים משפטיים של משרדים), התשפ"ג-2022</t>
  </si>
  <si>
    <t xml:space="preserve"> (פ/494/25)</t>
  </si>
  <si>
    <t xml:space="preserve">הצעת חוק צער בעלי חיים (הגנה על בעלי חיים) (תיקון - תפיסה במקום מגורים ללא צו), התשפ"ג-2022</t>
  </si>
  <si>
    <t xml:space="preserve"> (פ/493/25)</t>
  </si>
  <si>
    <t xml:space="preserve">הצעת חוק ביטוח בריאות ממלכתי (תיקון - תרופות בסבסוד מלא לוותיקי מלחמת העולם השנייה), התשפ"ג-2022</t>
  </si>
  <si>
    <t xml:space="preserve"> (פ/492/25)</t>
  </si>
  <si>
    <t xml:space="preserve">הצעת חוק שירות המדינה (מינויים) (תיקון - מינוי יועצים משפטיים של משרדים), התשפ"ג-2022 </t>
  </si>
  <si>
    <t xml:space="preserve"> (פ/491/25)</t>
  </si>
  <si>
    <t xml:space="preserve">הצעת חוק שיפוט בתי דין רבניים (נישואין וגירושין) (תיקון - נישואין אזרחיים בשטח שגרירות בישראל), התשפ"ג-2022</t>
  </si>
  <si>
    <t xml:space="preserve"> (פ/490/25)</t>
  </si>
  <si>
    <t xml:space="preserve"> (פ/489/25)</t>
  </si>
  <si>
    <t xml:space="preserve"> (פ/488/25)</t>
  </si>
  <si>
    <t xml:space="preserve">הצעת חוק שירותי הדת היהודיים (תיקון - קציבת כהונת רב עיר), התשפ"ג-2022</t>
  </si>
  <si>
    <t xml:space="preserve"> (פ/486/25)</t>
  </si>
  <si>
    <t xml:space="preserve">הצעת חוק שירות המדינה (מינוים) (תיקון - מינוי יועצים משפטיים של משרדים), התשפ"ג-2022</t>
  </si>
  <si>
    <t xml:space="preserve"> (פ/485/25)</t>
  </si>
  <si>
    <t xml:space="preserve"> (פ/484/25)</t>
  </si>
  <si>
    <t xml:space="preserve"> (פ/483/25)</t>
  </si>
  <si>
    <t xml:space="preserve"> (פ/482/25)</t>
  </si>
  <si>
    <t xml:space="preserve">הצעת חוק הגנה על הציבור (מזון) (תיקון - שאריות חומרי הדברה במזון), התשפ"ג-2022</t>
  </si>
  <si>
    <t xml:space="preserve"> (פ/481/25)</t>
  </si>
  <si>
    <t xml:space="preserve">הצעת חוק חינוך ממלכתי (תיקון - העסקת עובדי הוראה בחוזה אישי), התשפ"ג-2022 </t>
  </si>
  <si>
    <t xml:space="preserve"> (פ/480/25)</t>
  </si>
  <si>
    <t xml:space="preserve">הצעת חוק משק החשמל (תיקון - תעריף מופחת לבתי חולים בפריפריה), התשפ"ג-2022</t>
  </si>
  <si>
    <t xml:space="preserve"> (פ/479/25)</t>
  </si>
  <si>
    <t xml:space="preserve">הצעת חוק לימוד חובה (תיקון - מנהל מוסד חינוך), התשפ"ג-2022</t>
  </si>
  <si>
    <t xml:space="preserve"> (פ/478/25)</t>
  </si>
  <si>
    <t xml:space="preserve">הצעת חוק הביטוח הלאומי (תיקון - קביעת אחוזי נכות ללקויי שמיעה - דו-צידי וחד-צידי), התשפ"ג-2022</t>
  </si>
  <si>
    <t xml:space="preserve"> (פ/476/25)</t>
  </si>
  <si>
    <t xml:space="preserve">הצעת חוק מיסוי מקרקעין (שבח ורכישה) (תיקון - חזקת דירה יחידה), התשפ"ג-2022</t>
  </si>
  <si>
    <t xml:space="preserve"> (פ/475/25)</t>
  </si>
  <si>
    <t xml:space="preserve">הצעת חוק העונשין (תיקון - איסור שיווק ומכירת הימורים בידי מי שאינו בעל היתר, פועל מטעמו או בפיקוחו), התשפ"ג-2022</t>
  </si>
  <si>
    <t xml:space="preserve"> (פ/473/25)</t>
  </si>
  <si>
    <t xml:space="preserve">הצעת חוק הבנקאות (שירות ללקוח) (תיקון - העברת משכנתה בין בנקים), התשפ"ג-2022</t>
  </si>
  <si>
    <t xml:space="preserve"> (פ/472/25)</t>
  </si>
  <si>
    <t xml:space="preserve">הצעת חוק שירותי הסעד (תיקון - הגבלת מספר התיקים בטיפול עובד סוציאלי המטפל במשפחות), התשפ"ג-2022</t>
  </si>
  <si>
    <t xml:space="preserve"> (פ/471/25)</t>
  </si>
  <si>
    <t xml:space="preserve">הצעת חוק ההוצאה לפועל (תיקון - החרגת עיקול רכב), התשפ"ג-2022</t>
  </si>
  <si>
    <t xml:space="preserve"> (פ/470/25)</t>
  </si>
  <si>
    <t xml:space="preserve">הצעת חוק פריסת תשלום חוב ללא תוספת ריבית או אגרה, התשפ"ג-2022</t>
  </si>
  <si>
    <t xml:space="preserve"> (פ/468/25)</t>
  </si>
  <si>
    <t xml:space="preserve">הצעת חוק להגבלת הוראות ההיתרים לעריכת הגרלות והימורים מאת שר האוצר (הוראת שעה), התשפ"ג-2022</t>
  </si>
  <si>
    <t xml:space="preserve"> (פ/467/25)</t>
  </si>
  <si>
    <t xml:space="preserve">הצעת חוק יום ציון ממלכתי לוועידת סן רמו, התשפ"ג-2022</t>
  </si>
  <si>
    <t xml:space="preserve"> (פ/466/25)</t>
  </si>
  <si>
    <t xml:space="preserve">הצעת חוק המתווכים במקרקעין (תיקון - הגבלת דמי תיווך), התשפ"ג-2022</t>
  </si>
  <si>
    <t xml:space="preserve"> (פ/465/25)</t>
  </si>
  <si>
    <t xml:space="preserve">הצעת חוק העונשין (תיקון - גזר דין עונש מוות למורשע ברצח בנסיבות טרור), התשפ"ג-2022</t>
  </si>
  <si>
    <t xml:space="preserve"> (פ/463/25)</t>
  </si>
  <si>
    <t xml:space="preserve">הצעת חוק ביטוח בריאות ממלכתי (תיקון - מחלה נדירה), התשפ"ג-2022</t>
  </si>
  <si>
    <t xml:space="preserve"> (פ/462/25)</t>
  </si>
  <si>
    <t xml:space="preserve"> (פ/461/25)</t>
  </si>
  <si>
    <t xml:space="preserve">הצעת חוק לתיקון פקודת בריאות העם (מכרז להצבת מכונות מזון אוטומטיות), התשפ"ג-2022</t>
  </si>
  <si>
    <t xml:space="preserve"> (פ/460/25)</t>
  </si>
  <si>
    <t xml:space="preserve">הצעת חוק-יסוד: כבוד האדם וחירותו (תיקון - פסקת התגברות)</t>
  </si>
  <si>
    <t xml:space="preserve"> (פ/459/25)</t>
  </si>
  <si>
    <t xml:space="preserve"> (פ/458/25)</t>
  </si>
  <si>
    <t xml:space="preserve">הצעת חוק לתיקון פקודת התעבורה (הגבלת תנועת כלי רכב ביום הכיפורים), התשפ"ג-2022</t>
  </si>
  <si>
    <t xml:space="preserve"> (פ/457/25)</t>
  </si>
  <si>
    <t xml:space="preserve">הצעת חוק שמירת הקדושה של הכותל המערבי ורחבתו, התשפ"ג-2022</t>
  </si>
  <si>
    <t xml:space="preserve"> (פ/456/25)</t>
  </si>
  <si>
    <t xml:space="preserve">הצעת חוק חוזה עבודה (הגבלות לעניין סיום העסקה של עובד), התשפ"ג-2022 </t>
  </si>
  <si>
    <t xml:space="preserve"> (פ/455/25)</t>
  </si>
  <si>
    <t xml:space="preserve">הצעת חוק רישוי עסקים (תיקון - התקנת מכשיר לבדיקת רמת אלכוהול), התשפ"ג-2022</t>
  </si>
  <si>
    <t xml:space="preserve"> (פ/453/25)</t>
  </si>
  <si>
    <t xml:space="preserve">הצעת חוק הפסקת חברות של חבר כנסת והעברת שר וראש ממשלה מכהונתם מחמת הפרת הבטחת בחירות (תיקוני חקיקה), התשפ"ג-2022</t>
  </si>
  <si>
    <t xml:space="preserve"> (פ/451/25)</t>
  </si>
  <si>
    <t xml:space="preserve">הצעת חוק הפיקוח על מעונות (תיקון - כשירותם של אנשי צוות), התשפ"ג-2022</t>
  </si>
  <si>
    <t xml:space="preserve"> (פ/450/25)</t>
  </si>
  <si>
    <t xml:space="preserve">הצעת חוק ביטוח בריאות ממלכתי (תיקון - החזר דמי נסיעות עבור חולה סיעודי וחולה שנפטר), התשפ"ג-2022</t>
  </si>
  <si>
    <t xml:space="preserve"> (פ/449/25)</t>
  </si>
  <si>
    <t xml:space="preserve">הצעת חוק לתיקון פקודת המשטרה (הוראות בדבר פיזור אסיפה או תהלוכה), התשפ"ג-2022</t>
  </si>
  <si>
    <t xml:space="preserve"> (פ/448/25)</t>
  </si>
  <si>
    <t xml:space="preserve">הצעת חוק הגנת הצרכן (תיקון - החלת חובת הודעה על סיום עסקה מתמשכת על תאגידים בנקאיים ופיננסיים), התשפ"ג-2022</t>
  </si>
  <si>
    <t xml:space="preserve"> (פ/447/25)</t>
  </si>
  <si>
    <t xml:space="preserve"> (פ/446/25)</t>
  </si>
  <si>
    <t xml:space="preserve">הצעת חוק המוסד העליון ללשון העברית (תיקון - מעמד החלטות המוסד וועדת השמות הממשלתית), התשפ"ג-2022</t>
  </si>
  <si>
    <t xml:space="preserve"> (פ/445/25)</t>
  </si>
  <si>
    <t xml:space="preserve">הצעת חוק הביטוח הלאומי (תיקון - הארכת המועד להגשת תביעה לגמלה והתקופה שבעדה תשולם), התשפ"ג-2022</t>
  </si>
  <si>
    <t xml:space="preserve"> (פ/444/25)</t>
  </si>
  <si>
    <t xml:space="preserve">הצעת חוק להפחתת השימוש ברכב פרטי ולעידוד שימוש בתחבורה הציבורית, התשפ"ג-2022 </t>
  </si>
  <si>
    <t xml:space="preserve"> (פ/443/25)</t>
  </si>
  <si>
    <t xml:space="preserve">הצעת חוק שירות הציבור (הגבלות לאחר פרישה) (תיקון - תקופת צינון לשופטים), התשפ"ג-2022 </t>
  </si>
  <si>
    <t xml:space="preserve"> (פ/442/25)</t>
  </si>
  <si>
    <t xml:space="preserve">הצעת חוק ביטול מאסר חלף קנס (תיקוני חקיקה), התשפ"ג-2022</t>
  </si>
  <si>
    <t xml:space="preserve"> (פ/441/25)</t>
  </si>
  <si>
    <t xml:space="preserve">הצעת חוק לתיקון פקודת התעבורה (שירות טלפוני לדיווח ולקבלת תלונות על עבירות תעבורה או נהיגה מסוכנת של נהג אוטובוס), התשפ"ג-2022</t>
  </si>
  <si>
    <t xml:space="preserve"> (פ/440/25)</t>
  </si>
  <si>
    <t xml:space="preserve"> (פ/439/25)</t>
  </si>
  <si>
    <t xml:space="preserve">הצעת חוק משק החשמל (תיקון - תשלומי חשמל מופחתים לקשישים נכים), התשפ"ג-2022</t>
  </si>
  <si>
    <t xml:space="preserve"> (פ/438/25)</t>
  </si>
  <si>
    <t xml:space="preserve">הצעת חוק ביטוח בריאות ממלכתי (תיקון - השתתפות בטיפולי שיניים, פה ולסת לנפגעי שיתוק מוחין), התשפ"ג-2022</t>
  </si>
  <si>
    <t xml:space="preserve"> (פ/437/25)</t>
  </si>
  <si>
    <t xml:space="preserve">הצעת חוק משק החשמל (תיקון - פיקוח פרלמנטרי על תעריפי החשמל), התשפ"ג-2022</t>
  </si>
  <si>
    <t xml:space="preserve"> (פ/436/25)</t>
  </si>
  <si>
    <t xml:space="preserve">הצעת חוק ביטוח בריאות ממלכתי (תיקון - מתן טיפולי שיניים, פה ולסת למבוטח עם שיתוק מוחין), התשפ"ג-2022</t>
  </si>
  <si>
    <t xml:space="preserve"> (פ/434/25)</t>
  </si>
  <si>
    <t xml:space="preserve">הצעת חוק זכויות התלמיד (תיקון - הנחה בתחבורה ציבורית), התשפ"ג-2022</t>
  </si>
  <si>
    <t xml:space="preserve"> (פ/433/25)</t>
  </si>
  <si>
    <t xml:space="preserve">הצעת חוק חובת המכרזים (תיקון - עידוד העסקת עובדים מאוכלוסיות ייחודיות), התשפ"ג-2022</t>
  </si>
  <si>
    <t xml:space="preserve"> (פ/432/25)</t>
  </si>
  <si>
    <t xml:space="preserve">הצעת חוק לתיקון פקודת סדר הדין הפלילי (מעצר וחיפוש) (תנאים למסירת התפוס לפי צו), התשפ"ג-2022</t>
  </si>
  <si>
    <t xml:space="preserve"> (פ/431/25)</t>
  </si>
  <si>
    <t xml:space="preserve">הצעת חוק דמי מחלה (תיקון - איסור פיטורים בעת היעדרות בשל מחלת ילד), התשפ"ג-2022</t>
  </si>
  <si>
    <t xml:space="preserve"> (פ/429/25)</t>
  </si>
  <si>
    <t xml:space="preserve"> (פ/427/25)</t>
  </si>
  <si>
    <t xml:space="preserve">הצעת חוק לתיקון פקודת בתי הסוהר (מס' 48) (ביטול החוק), התשפ"ג-2022</t>
  </si>
  <si>
    <t xml:space="preserve"> (פ/426/25)</t>
  </si>
  <si>
    <t xml:space="preserve">הצעת חוק מימון מפלגות (תיקון - ייצוג הולם לנשים בבחירות לכנסת), התשפ"ג-2022</t>
  </si>
  <si>
    <t xml:space="preserve"> (פ/425/25)</t>
  </si>
  <si>
    <t xml:space="preserve">הצעת חוק המים (תיקון - איסור הפסקת אספקת מים), התשפ"ג-2022</t>
  </si>
  <si>
    <t xml:space="preserve"> (פ/424/25)</t>
  </si>
  <si>
    <t xml:space="preserve">הצעת חוק להגדלת שיעור ההשתתפות בכוח העבודה ולצמצום פערים חברתיים (מענק עבודה) (תיקון - הורדת גיל הזכאות), התשפ"ג-2022</t>
  </si>
  <si>
    <t xml:space="preserve"> (פ/423/25)</t>
  </si>
  <si>
    <t xml:space="preserve">הצעת חוק להגדלת שיעור ההשתתפות בכוח העבודה ולצמצום פערים חברתיים (מענק עבודה) (תיקון - גיל העובד), התשפ"ג-2022</t>
  </si>
  <si>
    <t xml:space="preserve"> (פ/422/25)</t>
  </si>
  <si>
    <t xml:space="preserve">הצעת חוק צעירים חסרי עורף משפחתי, התשפ"ג-2022</t>
  </si>
  <si>
    <t xml:space="preserve"> (פ/421/25)</t>
  </si>
  <si>
    <t xml:space="preserve">הצעת חוק סיוע לצעירים חסרי עורף משפחתי, התשפ"ג-2022</t>
  </si>
  <si>
    <t xml:space="preserve"> (פ/420/25)</t>
  </si>
  <si>
    <t xml:space="preserve"> (פ/419/25)</t>
  </si>
  <si>
    <t xml:space="preserve">הצעת חוק החברות הממשלתיות (תיקון - ייצוג הולם בתאגידים ממשלתיים וגופים סטטוטוריים), התשפ"ג-2022</t>
  </si>
  <si>
    <t xml:space="preserve"> (פ/418/25)</t>
  </si>
  <si>
    <t xml:space="preserve"> (פ/417/25)</t>
  </si>
  <si>
    <t xml:space="preserve">הצעת חוק שיפוט בתי דין רבניים (סמכות שיפוט בהסכמה), התשפ"ג-2022</t>
  </si>
  <si>
    <t xml:space="preserve"> (פ/416/25)</t>
  </si>
  <si>
    <t xml:space="preserve"> (פ/415/25)</t>
  </si>
  <si>
    <t xml:space="preserve">הצעת חוק עבודת נשים (תיקון - תקופת לידה והורות לנשים בעבודה פיזית קשה), התשפ"ג-2022</t>
  </si>
  <si>
    <t xml:space="preserve"> (פ/414/25)</t>
  </si>
  <si>
    <t xml:space="preserve"> (פ/413/25)</t>
  </si>
  <si>
    <t xml:space="preserve">הצעת חוק סיוע לחולי דגנת, התשפ"ג-2022</t>
  </si>
  <si>
    <t xml:space="preserve"> (פ/412/25)</t>
  </si>
  <si>
    <t xml:space="preserve"> (פ/411/25)</t>
  </si>
  <si>
    <t xml:space="preserve">הצעת חוק בתי המשפט (תיקון - קביעת מותבים בבית המשפט העליון), התשפ"ג-2022</t>
  </si>
  <si>
    <t xml:space="preserve"> (פ/410/25)</t>
  </si>
  <si>
    <t xml:space="preserve"> (פ/409/25)</t>
  </si>
  <si>
    <t xml:space="preserve">הצעת חוק פיצויים לבעלי זכות במקרקעין מועברים, התשפ"ג-2022</t>
  </si>
  <si>
    <t xml:space="preserve"> (פ/408/25)</t>
  </si>
  <si>
    <t xml:space="preserve"> (פ/407/25)</t>
  </si>
  <si>
    <t xml:space="preserve">הצעת חוק הביטוח הלאומי (תיקון - ביטוח זכויות עצמאי שעיקר הכנסתו מעסק בהליכי חדלות פירעון), התשפ"ג-2022</t>
  </si>
  <si>
    <t xml:space="preserve"> (פ/406/25)</t>
  </si>
  <si>
    <t xml:space="preserve"> (פ/405/25)</t>
  </si>
  <si>
    <t xml:space="preserve">הצעת חוק הפיקוח על מעונות יום לפעוטות (תיקון - החמרת ענישה), התשפ"ג-2022</t>
  </si>
  <si>
    <t xml:space="preserve"> (פ/404/25)</t>
  </si>
  <si>
    <t xml:space="preserve">הצעת חוק למניעת מפגעים (תיקון - עידוד הפחתת שימוש בזיקוקי דינור), התשפ"ג-2022</t>
  </si>
  <si>
    <t xml:space="preserve"> (פ/403/25)</t>
  </si>
  <si>
    <t xml:space="preserve">הצעת חוק צער בעלי חיים (הגנה על בעלי חיים) (תיקון - ענישה מזערית), התשפ"ג-2022</t>
  </si>
  <si>
    <t xml:space="preserve"> (פ/402/25)</t>
  </si>
  <si>
    <t xml:space="preserve">הצעת חוק בתי המשפט (תיקון - קביעת הרכבים בבית המשפט העליון וקביעת דיון נוסף), התשפ"ג-2022</t>
  </si>
  <si>
    <t xml:space="preserve"> (פ/401/25)</t>
  </si>
  <si>
    <t xml:space="preserve">הצעת חוק לתיקון פקודת המסים (גבייה) (גבייה לפי חוק ההוצאה לפועל), התשפ"ג-2022</t>
  </si>
  <si>
    <t xml:space="preserve"> (פ/400/25)</t>
  </si>
  <si>
    <t xml:space="preserve"> (פ/399/25)</t>
  </si>
  <si>
    <t xml:space="preserve">הצעת חוק העונשין (תיקון - החמרת ענישה בשל תקיפת צוות רפואי), התשפ''ג-2022</t>
  </si>
  <si>
    <t xml:space="preserve"> (פ/396/25)</t>
  </si>
  <si>
    <t xml:space="preserve">הצעת חוק לתיקון פקודת התעבורה (תשלום קנס בתשלומים), התשפ"ג-2022</t>
  </si>
  <si>
    <t xml:space="preserve"> (פ/395/25)</t>
  </si>
  <si>
    <t xml:space="preserve"> (פ/393/25)</t>
  </si>
  <si>
    <t xml:space="preserve">הצעת חוק להקפאת כספים ששילמה הרשות הפלסטינית בזיקה לטרור מהכספים המועברים אליה מממשלת ישראל (תיקון - איסור מתן הטבות פיננסיות לרשות הפלסטינית), התשפ"ג-2022 </t>
  </si>
  <si>
    <t xml:space="preserve"> (פ/391/25)</t>
  </si>
  <si>
    <t xml:space="preserve">הצעת חוק העונשין (תיקון - הגדרת סוכן חוץ), התשפ"ג-2022</t>
  </si>
  <si>
    <t xml:space="preserve"> (פ/390/25)</t>
  </si>
  <si>
    <t xml:space="preserve"> (פ/389/25)</t>
  </si>
  <si>
    <t xml:space="preserve">הצעת חוק איסור הלבנת הון (תיקון - צו תפיסה זמני טרם הגשת כתב אישום), התשפ"ג-2022 </t>
  </si>
  <si>
    <t xml:space="preserve"> (פ/388/25)</t>
  </si>
  <si>
    <t xml:space="preserve"> (פ/387/25)</t>
  </si>
  <si>
    <t xml:space="preserve">הצעת חוק-יסוד: השפיטה (תיקון - מינוי שופטים לבית המשפט העליון וקציבת כהונתם) </t>
  </si>
  <si>
    <t xml:space="preserve"> (פ/386/25)</t>
  </si>
  <si>
    <t xml:space="preserve">הצעת חוק זכויות נפגעי עבירה (תיקון - הרחבת זכות היידוע), התשפ"ג-2022</t>
  </si>
  <si>
    <t xml:space="preserve"> (פ/385/25)</t>
  </si>
  <si>
    <t xml:space="preserve"> (פ/384/25)</t>
  </si>
  <si>
    <t xml:space="preserve">הצעת חוק למניעת הטרדה מינית (תיקון - הטלת חובות לשם מניעת הטרדה מינית במוסד חינוך), התשפ"ג-2022</t>
  </si>
  <si>
    <t xml:space="preserve"> (פ/383/25)</t>
  </si>
  <si>
    <t xml:space="preserve">הצעת חוק-יסוד: ההתגברות (תיקוני חקיקה)</t>
  </si>
  <si>
    <t xml:space="preserve"> (פ/382/25)</t>
  </si>
  <si>
    <t xml:space="preserve">הצעת חוק הרשויות המקומיות (יועצת לענייני מעמד האישה) (תיקון - תקציב ייעודי וייחוד הכהונה), התשפ"ג-2022</t>
  </si>
  <si>
    <t xml:space="preserve"> (פ/381/25)</t>
  </si>
  <si>
    <t xml:space="preserve">הצעת חוק-יסוד: פסקת ההתגברות (תיקוני חקיקה)</t>
  </si>
  <si>
    <t xml:space="preserve"> (פ/380/25)</t>
  </si>
  <si>
    <t xml:space="preserve">הצעת חוק הכנסת (תיקון - ועדה לפיקוח על רשויות פיקוח פיננסיות), התשפ"ג-2022</t>
  </si>
  <si>
    <t xml:space="preserve"> (פ/378/25)</t>
  </si>
  <si>
    <t xml:space="preserve">הצעת חוק השבות (תיקון - צמצום הזכאים לזכויות), התשפ"ג-2022 </t>
  </si>
  <si>
    <t xml:space="preserve"> (פ/377/25)</t>
  </si>
  <si>
    <t xml:space="preserve">הצעת חוק למניעת הטרדה מינית (תיקון - הרחבת התחולה לגבי מוסד ציבורי הנותן שירות חיוני), התשפ"ג-2022</t>
  </si>
  <si>
    <t xml:space="preserve"> (פ/375/25)</t>
  </si>
  <si>
    <t xml:space="preserve"> (פ/372/25)</t>
  </si>
  <si>
    <t xml:space="preserve"> (פ/371/25)</t>
  </si>
  <si>
    <t xml:space="preserve"> (פ/370/25)</t>
  </si>
  <si>
    <t xml:space="preserve"> (פ/369/25)</t>
  </si>
  <si>
    <t xml:space="preserve">הצעת חוק הביטוח הלאומי (תיקון - ביטוח שאירים לאלמן), התשפ"ג-2022</t>
  </si>
  <si>
    <t xml:space="preserve"> (פ/368/25)</t>
  </si>
  <si>
    <t xml:space="preserve"> (פ/367/25)</t>
  </si>
  <si>
    <t xml:space="preserve">הצעת חוק מינוי תובע מיוחד, התשפ"ג-2022</t>
  </si>
  <si>
    <t xml:space="preserve"> (פ/365/25)</t>
  </si>
  <si>
    <t xml:space="preserve">הצעת חוק לביטול הרשות לפיתוח והתיישבות הבדואים בנגב, התשפ"ג-2022</t>
  </si>
  <si>
    <t xml:space="preserve"> (פ/364/25)</t>
  </si>
  <si>
    <t xml:space="preserve">הצעת חוק הבחירות (דרכי תעמולה) (תיקון - איסור על תעמולה גזענית), התשפ"ג-2022</t>
  </si>
  <si>
    <t xml:space="preserve"> (פ/363/25)</t>
  </si>
  <si>
    <t xml:space="preserve">הצעת חוק העונשין (תיקון - חלופת מאסר לנשים הרות ולאמהות), התשפ"ג-2022</t>
  </si>
  <si>
    <t xml:space="preserve"> (פ/362/25)</t>
  </si>
  <si>
    <t xml:space="preserve">הצעת חוק המשטרה (תיקון - התיישנות עבירות), התשפ"ג-2022</t>
  </si>
  <si>
    <t xml:space="preserve"> (פ/361/25)</t>
  </si>
  <si>
    <t xml:space="preserve">הצעת חוק הסיוע המשפטי (תיקון - סיוע משפטי לנפגעי אלימות במשפחה), התשפ"ג-2022</t>
  </si>
  <si>
    <t xml:space="preserve"> (פ/360/25)</t>
  </si>
  <si>
    <t xml:space="preserve">הצעת חוק הדגל, הסמל והמנון המדינה (תיקון - שלילת תמיכה), התשפ"ג-2022</t>
  </si>
  <si>
    <t xml:space="preserve"> (פ/359/25)</t>
  </si>
  <si>
    <t xml:space="preserve">הצעת חוק הגנת הצרכן (תיקון - חובת הקלטה של עסקה טלפונית), התשפ"ג-2022</t>
  </si>
  <si>
    <t xml:space="preserve"> (פ/356/25)</t>
  </si>
  <si>
    <t xml:space="preserve">הצעת חוק החברות הממשלתיות (תיקון - ייצוג הולם לאוכלוסייה הערבית), התשפ"ג-2022</t>
  </si>
  <si>
    <t xml:space="preserve"> (פ/354/25)</t>
  </si>
  <si>
    <t xml:space="preserve">הצעת חוק הביטוח הלאומי (תיקון - שמירה חקלאית כעבודה מועדפת), התשפ"ג-2022</t>
  </si>
  <si>
    <t xml:space="preserve"> (פ/352/25)</t>
  </si>
  <si>
    <t xml:space="preserve">הצעת חוק לתיקון פקודת ביטוח רכב מנועי (חיוב שיווק פוליסה), התשפ"ג–2022</t>
  </si>
  <si>
    <t xml:space="preserve"> (פ/351/25)</t>
  </si>
  <si>
    <t xml:space="preserve"> (פ/350/25)</t>
  </si>
  <si>
    <t xml:space="preserve">הצעת חוק שכר מינימום (תיקון - העלאת שכר המינימום), התשפ"ג-2022</t>
  </si>
  <si>
    <t xml:space="preserve"> (פ/348/25)</t>
  </si>
  <si>
    <t xml:space="preserve">הצעת חוק העונשין (תיקון - הגנת בית מגורים, נכס, בית עסק, משק חקלאי מגודר ורכב), התשפ"ג-2022</t>
  </si>
  <si>
    <t xml:space="preserve"> (פ/347/25)</t>
  </si>
  <si>
    <t xml:space="preserve"> (פ/346/25)</t>
  </si>
  <si>
    <t xml:space="preserve">הצעת חוק השפה הערבית שפה רשמית, התשפ"ג-2022</t>
  </si>
  <si>
    <t xml:space="preserve"> (פ/345/25)</t>
  </si>
  <si>
    <t xml:space="preserve">הצעת חוק לתיקון פקודת מס הכנסה (שווי השימוש ברכב או ברדיו טלפון נייד), התשפ"ג-2022</t>
  </si>
  <si>
    <t xml:space="preserve"> (פ/343/25)</t>
  </si>
  <si>
    <t xml:space="preserve">הצעת חוק הביטוח הלאומי (תיקון - הצמדת קצבת אזרח ותיק לשכר הממוצע לפחות), התשפ"ג-2022</t>
  </si>
  <si>
    <t xml:space="preserve"> (פ/341/25)</t>
  </si>
  <si>
    <t xml:space="preserve"> (פ/340/25)</t>
  </si>
  <si>
    <t xml:space="preserve"> (פ/338/25)</t>
  </si>
  <si>
    <t xml:space="preserve"> (פ/336/25)</t>
  </si>
  <si>
    <t xml:space="preserve"> (פ/335/25)</t>
  </si>
  <si>
    <t xml:space="preserve">הצעת חוק למניעת התעמרות בעבודה, התשפ"ג-2022</t>
  </si>
  <si>
    <t xml:space="preserve"> (פ/334/25)</t>
  </si>
  <si>
    <t xml:space="preserve">הצעת חוק לתיקון פקודת המשטרה (חובת שימוש במצלמות גוף בעת הפגנה), התשפ"ג-2022</t>
  </si>
  <si>
    <t xml:space="preserve"> (פ/332/25)</t>
  </si>
  <si>
    <t xml:space="preserve">הצעת חוק בתי דין רבניים (קיום פסקי דין של גירושין) (תיקון - הגבלת שימוש בכרטיסי אשראי לסרבני גט), התשפ"ג-2022</t>
  </si>
  <si>
    <t xml:space="preserve"> (פ/331/25)</t>
  </si>
  <si>
    <t xml:space="preserve">הצעת חוק הכשרות המשפטית והאפוטרופסות (תיקון - ביטול חזקת הגיל הרך), התשפ"ג-2022</t>
  </si>
  <si>
    <t xml:space="preserve"> (פ/330/25)</t>
  </si>
  <si>
    <t xml:space="preserve">הצעת חוק לקביעת שעות ההצבעה בקלפיות ולקביעת היקף יום השבתון בבחירות לכנסת ולרשויות המקומיות (תיקוני חקיקה), התשפ"ג-2022</t>
  </si>
  <si>
    <t xml:space="preserve"> (פ/328/25)</t>
  </si>
  <si>
    <t xml:space="preserve">הצעת חוק העברת הכנסות מהימורים לתמיכה במרכזי גמילה מהימורים, התשפ"ג-2022</t>
  </si>
  <si>
    <t xml:space="preserve"> (פ/327/25)</t>
  </si>
  <si>
    <t xml:space="preserve">הצעת חוק התכנון והבנייה (תיקון - גני ילדים ומעונות יום), התשפ"ג-2022</t>
  </si>
  <si>
    <t xml:space="preserve"> (פ/326/25)</t>
  </si>
  <si>
    <t xml:space="preserve"> (פ/325/25)</t>
  </si>
  <si>
    <t xml:space="preserve"> (פ/324/25)</t>
  </si>
  <si>
    <t xml:space="preserve">הצעת חוק התקנת מצלמות לשם הגנה על פעוטות במעונות יום לפעוטות (תיקון - צפייה מקוונת של ההורים בצילומים), התשפ"ג-2022</t>
  </si>
  <si>
    <t xml:space="preserve"> (פ/323/25)</t>
  </si>
  <si>
    <t xml:space="preserve">הצעת חוק הביטוח הלאומי (תיקון - אבטחה במוסד רפואי כעבודה מועדפת), התשפ"ג-2022</t>
  </si>
  <si>
    <t xml:space="preserve"> (פ/322/25)</t>
  </si>
  <si>
    <t xml:space="preserve"> (פ/321/25)</t>
  </si>
  <si>
    <t xml:space="preserve">הצעת חוק הפיקוח על מעונות יום לפעוטות (תיקון - הסמכת מתנדבים וטכנאי מצלמות), התשפ"ג-2022</t>
  </si>
  <si>
    <t xml:space="preserve"> (פ/320/25)</t>
  </si>
  <si>
    <t xml:space="preserve">הצעת חוק הרשויות המקומיות (בחירת ראש הרשות וסגניו וכהונתם) (תיקון - חסינות ממעצר לראשי רשויות ולראשי מועצות אזוריות), התשפ"ג-2022</t>
  </si>
  <si>
    <t xml:space="preserve"> (פ/319/25)</t>
  </si>
  <si>
    <t xml:space="preserve">הצעת חוק להנצחת מורשת המחתרות, התשפ"ג-2022</t>
  </si>
  <si>
    <t xml:space="preserve"> (פ/318/25)</t>
  </si>
  <si>
    <t xml:space="preserve"> (פ/317/25)</t>
  </si>
  <si>
    <t xml:space="preserve">הצעת חוק גירוש משפחות מחבלים, התשפ"ג-2022</t>
  </si>
  <si>
    <t xml:space="preserve"> (פ/316/25)</t>
  </si>
  <si>
    <t xml:space="preserve">הצעת חוק יישוב סכסוכי עבודה (תיקון - דין שביתה בתקופת בחירות), התשפ"ג-2022</t>
  </si>
  <si>
    <t xml:space="preserve"> (פ/314/25)</t>
  </si>
  <si>
    <t xml:space="preserve">הצעת חוק אישור לפתיחת חקירת שוטרים המעורבים באירוע לאומני, התשפ"ג-2022</t>
  </si>
  <si>
    <t xml:space="preserve"> (פ/313/25)</t>
  </si>
  <si>
    <t xml:space="preserve">הצעת חוק-יסוד: השפיטה (תיקון - תיעוד מצולם של דיוני בתי המשפט)</t>
  </si>
  <si>
    <t xml:space="preserve"> (פ/311/25)</t>
  </si>
  <si>
    <t xml:space="preserve">הצעת חוק הביטוח הלאומי (תיקון - גמלת אבל), התשפ"ג-2022</t>
  </si>
  <si>
    <t xml:space="preserve"> (פ/310/25)</t>
  </si>
  <si>
    <t xml:space="preserve">הצעת חוק ביטוח בריאות ממלכתי (תיקון - מחלה יתומה), התשפ"ג-2022</t>
  </si>
  <si>
    <t xml:space="preserve"> (פ/309/25)</t>
  </si>
  <si>
    <t xml:space="preserve">הצעת חוק מימון מפלגות (תיקון - מענק למפלגות המקיימות בחירות מקדימות), התשפ"ג-2022</t>
  </si>
  <si>
    <t xml:space="preserve"> (פ/307/25)</t>
  </si>
  <si>
    <t xml:space="preserve">הצעת חוק חינוך פיננסי, התשפ"ג-2022</t>
  </si>
  <si>
    <t xml:space="preserve"> (פ/306/25)</t>
  </si>
  <si>
    <t xml:space="preserve">הצעת חוק האזנת סתר (תיקון - האזנה בשל חשד להתעללות בילדים ובחסרי ישע), התשפ״ג-2022</t>
  </si>
  <si>
    <t xml:space="preserve"> (פ/305/25)</t>
  </si>
  <si>
    <t xml:space="preserve"> (פ/304/25)</t>
  </si>
  <si>
    <t xml:space="preserve">הצעת חוק מיסוי מקרקעין (שבח ורכישה) (תיקון - דירה נוספת שלא נעשה בה שימוש), התשפ"ג-2022</t>
  </si>
  <si>
    <t xml:space="preserve"> (פ/303/25)</t>
  </si>
  <si>
    <t xml:space="preserve">הצעת חוק הבחירות (דרכי תעמולה) (תיקון - פרסום סקרים בימי מנוחה), התשפ"ג-2022 </t>
  </si>
  <si>
    <t xml:space="preserve"> (פ/302/25)</t>
  </si>
  <si>
    <t xml:space="preserve">הצעת חוק העונשין (תיקון - החמרת ענישה בפשיעה חקלאית) (הוראת שעה), התשפ"ג-2022</t>
  </si>
  <si>
    <t xml:space="preserve"> (פ/300/25)</t>
  </si>
  <si>
    <t xml:space="preserve">הצעת חוק העונשין (תיקון - עונש מינימום למצית נכס ציבורי), התשפ"ג-2022</t>
  </si>
  <si>
    <t xml:space="preserve"> (פ/299/25)</t>
  </si>
  <si>
    <t xml:space="preserve"> (פ/298/25)</t>
  </si>
  <si>
    <t xml:space="preserve">הצעת חוק התכנון והבנייה (תיקון - החלטה מקדמית לפי תכנית החיזוק), התשפ"ג-2022</t>
  </si>
  <si>
    <t xml:space="preserve"> (פ/296/25)</t>
  </si>
  <si>
    <t xml:space="preserve">הצעת חוק עבודת נשים (תיקון - הארכת תקופת הלידה וההורות להורי פג), התשפ"ג-2022</t>
  </si>
  <si>
    <t xml:space="preserve"> (פ/294/25)</t>
  </si>
  <si>
    <t xml:space="preserve">הצעת חוק התכנון והבנייה (תיקון - איסור התניית היתר בהתקנת מקומות חניה ובניצול חלק קיים משטח דירה), התשפ"ג-2022</t>
  </si>
  <si>
    <t xml:space="preserve"> (פ/293/25)</t>
  </si>
  <si>
    <t xml:space="preserve">הצעת חוק דמי מחלה (היעדרות בשל מחלת ילד) (תיקון - מחלת תינוק), התשפ"ג-2022</t>
  </si>
  <si>
    <t xml:space="preserve"> (פ/292/25)</t>
  </si>
  <si>
    <t xml:space="preserve">הצעת חוק התכנון והבנייה (תיקון - ייצוג הוועדה המקומית), התשפ"ג-2022</t>
  </si>
  <si>
    <t xml:space="preserve"> (פ/291/25)</t>
  </si>
  <si>
    <t xml:space="preserve">הצעת חוק בתי המשפט (תיקון - מספר השופטים בבית המשפט העליון), התשפ"ג-2022</t>
  </si>
  <si>
    <t xml:space="preserve"> (פ/290/25)</t>
  </si>
  <si>
    <t xml:space="preserve">הצעת חוק זכאות לאבחון לקויות למידה לילדים ממשפחות מעוטות יכולת, התשפ"ג-2022 </t>
  </si>
  <si>
    <t xml:space="preserve"> (פ/289/25)</t>
  </si>
  <si>
    <t xml:space="preserve">הצעת חוק הנגשת שירותי קבלת קהל הניתנים בגופי שלטון לשפות נוספות, התשפ"ג-2022</t>
  </si>
  <si>
    <t xml:space="preserve"> (פ/288/25)</t>
  </si>
  <si>
    <t xml:space="preserve">הצעת חוק ביטוח בריאות ממלכתי (תיקון - אשפוז בית), התשפ"ג-2022</t>
  </si>
  <si>
    <t xml:space="preserve"> (פ/286/25)</t>
  </si>
  <si>
    <t xml:space="preserve">הצעת חוק חובת פרסום מידע על תלונות הציבור ודוח ביקורת פנימית (תיקוני חקיקה), התשפ"ג-2022</t>
  </si>
  <si>
    <t xml:space="preserve"> (פ/284/25)</t>
  </si>
  <si>
    <t xml:space="preserve">הצעת חוק לתיקון פקודת המסים (גבייה) (ביטול החוק), התשפ"ג-2022</t>
  </si>
  <si>
    <t xml:space="preserve"> (פ/283/25)</t>
  </si>
  <si>
    <t xml:space="preserve"> (פ/282/25)</t>
  </si>
  <si>
    <t xml:space="preserve">הצעת חוק לתיקון פקודת המשטרה (הפגנה ליד בתי מגורים), התשפ"ג-2022</t>
  </si>
  <si>
    <t xml:space="preserve"> (פ/281/25)</t>
  </si>
  <si>
    <t xml:space="preserve">הצעת חוק הספורט (תיקון - זכויות ספורטאי קטין), התשפ"ג-2022</t>
  </si>
  <si>
    <t xml:space="preserve"> (פ/280/25)</t>
  </si>
  <si>
    <t xml:space="preserve">הצעת חוק הסדרת הטיפול בחופי הכנרת (תיקון - מועצת איגוד ערים כנרת), התשפ"ג-2022</t>
  </si>
  <si>
    <t xml:space="preserve"> (פ/279/25)</t>
  </si>
  <si>
    <t xml:space="preserve">הצעת חוק להגדלת שיעור ההשתתפות בכוח העבודה ולצמצום פערים חברתיים (מענק עבודה) (תיקון - אוטומציה בקבלת מענק העבודה), התשפ"ג-2022</t>
  </si>
  <si>
    <t xml:space="preserve"> (פ/278/25)</t>
  </si>
  <si>
    <t xml:space="preserve">הצעת חוק התקשורת (בזק ושידורים) (תיקון - חובת מסירת פרטים של שולח פרסומת בניגוד לחוק), התשפ"ג-2022</t>
  </si>
  <si>
    <t xml:space="preserve"> (פ/276/25)</t>
  </si>
  <si>
    <t xml:space="preserve">הצעת חוק הדואר (תיקון - אחריות לאיחורים וטעויות), התשפ"ג-2022</t>
  </si>
  <si>
    <t xml:space="preserve"> (פ/275/25)</t>
  </si>
  <si>
    <t xml:space="preserve">הצעת חוק לתיקון פקודת מס הכנסה (השוואת תנאים בין שכיר לעצמאי בחיסכון ארוך טווח), התשפ"ג-2022</t>
  </si>
  <si>
    <t xml:space="preserve"> (פ/274/25)</t>
  </si>
  <si>
    <t xml:space="preserve">הצעת חוק המועצה להשכלה גבוהה (תיקון - הפחתת תקצוב בשל אי-הנפת דגל המדינה), התשפ"ג-2022</t>
  </si>
  <si>
    <t xml:space="preserve"> (פ/273/25)</t>
  </si>
  <si>
    <t xml:space="preserve">הצעת חוק הבלו על דלק (תיקון - הגבלת שיעור המס על הדלק), התשפ"ג-2022</t>
  </si>
  <si>
    <t xml:space="preserve"> (פ/272/25)</t>
  </si>
  <si>
    <t xml:space="preserve">הצעת חוק לתיקון פקודת הבנקאות (הגבלת עמלת פירעון מוקדם של הלוואה לדיור), התשפ"ג-2022</t>
  </si>
  <si>
    <t xml:space="preserve"> (פ/271/25)</t>
  </si>
  <si>
    <t xml:space="preserve">הצעת חוק לתיקון פקודת מס הכנסה (מיסוי הכנסה מהשכרת דירה למגורים), התשפ"ג-2022</t>
  </si>
  <si>
    <t xml:space="preserve"> (פ/270/25)</t>
  </si>
  <si>
    <t xml:space="preserve">הצעת חוק לתיקון פקודת התעבורה (פטור מאגרת רישיון לרכב חשמלי), התשפ"ג-2022</t>
  </si>
  <si>
    <t xml:space="preserve"> (פ/269/25)</t>
  </si>
  <si>
    <t xml:space="preserve">הצעת חוק לתיקון פקודת סדרי השלטון והמשפט (חקיקה באזור באמצעות צו), התשפ"ג-2022</t>
  </si>
  <si>
    <t xml:space="preserve"> (פ/267/25)</t>
  </si>
  <si>
    <t xml:space="preserve">הצעת חוק הפיקוח על שירותים פיננסיים (ייעוץ, שיווק ומערכת סליקה פנסיוניים) (תיקון - הגבלת עמלת הפצה), התשפ"ג-2022</t>
  </si>
  <si>
    <t xml:space="preserve"> (פ/266/25)</t>
  </si>
  <si>
    <t xml:space="preserve">הצעת חוק המועצה להשכלה גבוהה (תיקון - ביטול דרישת מבחני כניסה וציון פסיכומטרי), התשפ"ג-2022</t>
  </si>
  <si>
    <t xml:space="preserve"> (פ/265/25)</t>
  </si>
  <si>
    <t xml:space="preserve">הצעת חוק מיסוי מקרקעין (שבח ורכישה) (תיקון - הרחבת פטור לדירת מגורים מזכה), התשפ"ג-2022</t>
  </si>
  <si>
    <t xml:space="preserve"> (פ/264/25)</t>
  </si>
  <si>
    <t xml:space="preserve">הצעת חוק נכסי נפקדים (תיקון - ביטול החוק), התשפ"ג-2022</t>
  </si>
  <si>
    <t xml:space="preserve"> (פ/263/25)</t>
  </si>
  <si>
    <t xml:space="preserve">הצעת חוק המועצה להשכלה גבוהה (תיקון - איסור הגבלת גיל בהרשמה למוסד להשכלה גבוהה), התשפ"ג-2022</t>
  </si>
  <si>
    <t xml:space="preserve"> (פ/262/25)</t>
  </si>
  <si>
    <t xml:space="preserve">הצעת חוק האזרחות והכניסה לישראל (הוראת שעה) (תיקון - ביטול החוק), התשפ"ג-2022</t>
  </si>
  <si>
    <t xml:space="preserve"> (פ/261/25)</t>
  </si>
  <si>
    <t xml:space="preserve">הצעת חוק המוסיקה הישראלית, התשפ"ג-2022</t>
  </si>
  <si>
    <t xml:space="preserve"> (פ/259/25)</t>
  </si>
  <si>
    <t xml:space="preserve">הצעת חוק כרטיסי חיוב (תיקון - חובת פרסום פרטי ספק), התשפ"ג-2022</t>
  </si>
  <si>
    <t xml:space="preserve"> (פ/258/25)</t>
  </si>
  <si>
    <t xml:space="preserve">הצעת חוק שירות ביטחון (תיקון - פטור מטעמי מצפון), התשפ"ג-2022</t>
  </si>
  <si>
    <t xml:space="preserve"> (פ/257/25)</t>
  </si>
  <si>
    <t xml:space="preserve">הצעת חוק הכרה ברצח העם הארמני וציון יום זיכרון, התשפ"ג-2022</t>
  </si>
  <si>
    <t xml:space="preserve"> (פ/256/25)</t>
  </si>
  <si>
    <t xml:space="preserve">הצעת חוק לתיקון פקודת הבנקאות (הסכם הלוואה לדיור ללא עמלת היוון בשל פירעון מוקדם), התשפ"ג-2022</t>
  </si>
  <si>
    <t xml:space="preserve"> (פ/255/25)</t>
  </si>
  <si>
    <t xml:space="preserve"> (פ/254/25)</t>
  </si>
  <si>
    <t xml:space="preserve">הצעת חוק להסדרת רעיית דבורים וייצור דבש, התשפ"ג-2022</t>
  </si>
  <si>
    <t xml:space="preserve"> (פ/252/25)</t>
  </si>
  <si>
    <t xml:space="preserve">הצעת חוק הכניסה לישראל (תיקון - רישיון מיוחד לישיבת ביקור), התשפ"ג-2022</t>
  </si>
  <si>
    <t xml:space="preserve"> (פ/251/25)</t>
  </si>
  <si>
    <t xml:space="preserve">הצעת חוק-יסוד: הממשלה (תיקון - כשירותם של שרים)</t>
  </si>
  <si>
    <t xml:space="preserve"> (פ/91/25)</t>
  </si>
  <si>
    <t xml:space="preserve">14.12.2022</t>
  </si>
  <si>
    <t xml:space="preserve">הצעת חוק המידע הפלילי ותקנת השבים (תיקון מס' 4), התשפ"ג-2022 </t>
  </si>
  <si>
    <t xml:space="preserve"> (מ/1584)</t>
  </si>
  <si>
    <t xml:space="preserve">13.12.2022</t>
  </si>
  <si>
    <t xml:space="preserve">הצעת חוק איסור הלבנת הון (תיקון מס' 33) (העברת מידע מגופים ציבוריים מוסמכים), התשפ"ג-2022 </t>
  </si>
  <si>
    <t xml:space="preserve"> (מ/1586)</t>
  </si>
  <si>
    <t xml:space="preserve">הצעת חוק קבוצות רכישה, התשפ"ג-2022 </t>
  </si>
  <si>
    <t xml:space="preserve"> (מ/1587)</t>
  </si>
  <si>
    <t xml:space="preserve">הצעת חוק בתי הדין הדתיים הדרוזיים (תיקון מס' 23), התשפ"ג-2022 </t>
  </si>
  <si>
    <t xml:space="preserve"> (מ/1588)</t>
  </si>
  <si>
    <t xml:space="preserve">הצעת חוק הבנקאות (שירות ללקוח) (תיקון - הקלת התנאים במתן הלוואה לרכישת דירה), התשפ"ג-2022</t>
  </si>
  <si>
    <t xml:space="preserve"> (פ/250/25)</t>
  </si>
  <si>
    <t xml:space="preserve">12.12.2022</t>
  </si>
  <si>
    <t xml:space="preserve">הצעת חוק הספקת החשמל (הוראת שעה) (תיקון - הארכת תוקף), התשפ"ג-2022</t>
  </si>
  <si>
    <t xml:space="preserve"> (פ/248/25)</t>
  </si>
  <si>
    <t xml:space="preserve">הצעת חוק החלת ריבונות ישראל בשטח בקעת הירדן וצפון ים המלח, התשפ"ג-2022</t>
  </si>
  <si>
    <t xml:space="preserve"> (פ/247/25)</t>
  </si>
  <si>
    <t xml:space="preserve">הצעת חוק החומרים המסוכנים (תיקון - פרטי התקשרות למרכז רעלים), התשפ"ג-2022 </t>
  </si>
  <si>
    <t xml:space="preserve"> (פ/246/25)</t>
  </si>
  <si>
    <t xml:space="preserve">הצעת חוק רשות שדות התעופה (תיקון - פטור מתשלום אגרה לסטודנטים הלומדים באוניברסיטאות בירדן), התשפ"ג-2022</t>
  </si>
  <si>
    <t xml:space="preserve"> (פ/245/25)</t>
  </si>
  <si>
    <t xml:space="preserve">הצעת חוק לתיקון פקודת התעבורה (רישום סוג הדם ברישיון נהיגה), התשפ"ג-2022</t>
  </si>
  <si>
    <t xml:space="preserve"> (פ/244/25)</t>
  </si>
  <si>
    <t xml:space="preserve">הצעת חוק הגנת הצרכן (תיקון - צמצום בזבוז מזון שתוקפו עומד לפוג ברשתות הקמעונאות הגדולות), התשפ"ג-2022</t>
  </si>
  <si>
    <t xml:space="preserve"> (פ/243/25)</t>
  </si>
  <si>
    <t xml:space="preserve">הצעת חוק ההכרה בענף הפוקר, התשפ"ג-2022</t>
  </si>
  <si>
    <t xml:space="preserve"> (פ/242/25)</t>
  </si>
  <si>
    <t xml:space="preserve">הצעת חוק מכר סיטונאי חקלאי, התשפ"ג-2022</t>
  </si>
  <si>
    <t xml:space="preserve"> (פ/241/25)</t>
  </si>
  <si>
    <t xml:space="preserve"> (פ/240/25)</t>
  </si>
  <si>
    <t xml:space="preserve">הצעת חוק לתיקון פקודת התעבורה (הגבלת סכום אגרת רישיון רכב), התשפ"ג-2022</t>
  </si>
  <si>
    <t xml:space="preserve"> (פ/239/25)</t>
  </si>
  <si>
    <t xml:space="preserve">הצעת חוק הגנת הצרכן (תיקון - שובר זיכוי לנוסע ליעד באזהרת מסע חמורה), התשפ"ג-2022</t>
  </si>
  <si>
    <t xml:space="preserve"> (פ/238/25)</t>
  </si>
  <si>
    <t xml:space="preserve">הצעת חוק החלת החוק הישראלי בשטח בקעת הירדן (הליך קבלת אזרחות), התשפ"ג-2022</t>
  </si>
  <si>
    <t xml:space="preserve"> (פ/237/25)</t>
  </si>
  <si>
    <t xml:space="preserve">הצעת חוק החלת הריבונות הישראלית על בקעת הירדן, התשפ"ג-2022</t>
  </si>
  <si>
    <t xml:space="preserve"> (פ/236/25)</t>
  </si>
  <si>
    <t xml:space="preserve">הצעת חוק המים (תיקון - שקיפות פעילות הרשות הממשלתית), התשפ"ג-2022</t>
  </si>
  <si>
    <t xml:space="preserve"> (פ/235/25)</t>
  </si>
  <si>
    <t xml:space="preserve">הצעת חוק הדחת נציג ציבור התומך במאבק מזוין נגד מדינת ישראל (תיקוני חקיקה), התשפ"ג-2022</t>
  </si>
  <si>
    <t xml:space="preserve"> (פ/233/25)</t>
  </si>
  <si>
    <t xml:space="preserve">הצעת חוק הרשתות החברתיות, התשפ''ג-2022</t>
  </si>
  <si>
    <t xml:space="preserve"> (פ/232/25)</t>
  </si>
  <si>
    <t xml:space="preserve"> (פ/230/25)</t>
  </si>
  <si>
    <t xml:space="preserve">הצעת חוק הנגשת מוצרי מחזור בגופים ציבוריים, התשפ"ג-2022</t>
  </si>
  <si>
    <t xml:space="preserve"> (פ/229/25)</t>
  </si>
  <si>
    <t xml:space="preserve">הצעת חוק המאבק בטרור (תיקון - קנס חובה בעקבות הרשעה בגין עבירות טרור), התשפ"ג-2022</t>
  </si>
  <si>
    <t xml:space="preserve"> (פ/228/25)</t>
  </si>
  <si>
    <t xml:space="preserve">הצעת חוק לתיקון פקודת התעבורה (הקמת מאגר מידע לריכוז דוחות חניה), התשפ"ג-2022</t>
  </si>
  <si>
    <t xml:space="preserve"> (פ/227/25)</t>
  </si>
  <si>
    <t xml:space="preserve">הצעת חוק זכויות הדייר בדיור הציבורי (תיקון - זכאות לאם יחידנית המקבלת תשלומי מזונות מהמוסד לביטוח לאומי), ‏התשפ"ג-2022</t>
  </si>
  <si>
    <t xml:space="preserve"> (פ/226/25)</t>
  </si>
  <si>
    <t xml:space="preserve"> (פ/225/25)</t>
  </si>
  <si>
    <t xml:space="preserve">הצעת חוק האקלים, התשפ"ג-2022</t>
  </si>
  <si>
    <t xml:space="preserve"> (פ/224/25)</t>
  </si>
  <si>
    <t xml:space="preserve">הצעת חוק להגנה על חיילי צה"ל וגורמים ישראלים אחרים מתלונות שווא של הרשות הפלסטינית, התשפ"ג-2022</t>
  </si>
  <si>
    <t xml:space="preserve"> (פ/223/25)</t>
  </si>
  <si>
    <t xml:space="preserve">הצעת חוק איסור הפליה במוצרים, בשירותים ובכניסה למקומות בידור ולמקומות ציבוריים (תיקון - פגיעה באמונה דתית), התשפ"ג-2022 </t>
  </si>
  <si>
    <t xml:space="preserve"> (פ/222/25)</t>
  </si>
  <si>
    <t xml:space="preserve"> (פ/221/25)</t>
  </si>
  <si>
    <t xml:space="preserve">הצעת חוק הגנת הצרכן (תיקון - איסור גביית עמלה בהרשאה לחיוב חשבון בהוראת קבע), התשפ"ג-2022</t>
  </si>
  <si>
    <t xml:space="preserve"> (פ/220/25)</t>
  </si>
  <si>
    <t xml:space="preserve">הצעת חוק חג הפסח בבסיסי צה"ל, התשפ"ג-2022 </t>
  </si>
  <si>
    <t xml:space="preserve"> (פ/219/25)</t>
  </si>
  <si>
    <t xml:space="preserve">הצעת חוק איסור הפליה במוצרים, בשירותים ובכניסה למקומות בידור ולמקומות ציבוריים (תיקון - איסור הפליה בשל הובלת עגלת ילדים), התשפ"ג-2022</t>
  </si>
  <si>
    <t xml:space="preserve"> (פ/218/25)</t>
  </si>
  <si>
    <t xml:space="preserve"> (פ/217/25)</t>
  </si>
  <si>
    <t xml:space="preserve">הצעת חוק להפחתת סכום הפיצוי הכספי בשל נסיעה ללא תיקוף כרטיס בתחבורה ציבורית (תיקוני חקיקה), התשפ"ג-2022</t>
  </si>
  <si>
    <t xml:space="preserve"> (פ/215/25)</t>
  </si>
  <si>
    <t xml:space="preserve"> (פ/214/25)</t>
  </si>
  <si>
    <t xml:space="preserve">הצעת חוק פיקוח על רווחי שיווק בתוצרת חקלאית, התשפ"ג-2022</t>
  </si>
  <si>
    <t xml:space="preserve"> (פ/213/25)</t>
  </si>
  <si>
    <t xml:space="preserve">הצעת חוק החלת הריבונות של מדינת ישראל בחבלי יהודה והשומרון, התשפ"ג-2022</t>
  </si>
  <si>
    <t xml:space="preserve"> (פ/212/25)</t>
  </si>
  <si>
    <t xml:space="preserve"> (פ/211/25)</t>
  </si>
  <si>
    <t xml:space="preserve">הצעת חוק הקצאת דירות לדיור בר השגה ולדיור ציבורי, התשפ"ג-2022</t>
  </si>
  <si>
    <t xml:space="preserve"> (פ/210/25)</t>
  </si>
  <si>
    <t xml:space="preserve"> (פ/209/25)</t>
  </si>
  <si>
    <t xml:space="preserve">הצעת חוק לתיקון פקודת התעבורה (החרגת בעלי רישיון שימוש בקנבוס רפואי), התשפ"ג-2022</t>
  </si>
  <si>
    <t xml:space="preserve"> (פ/207/25)</t>
  </si>
  <si>
    <t xml:space="preserve"> (פ/206/25)</t>
  </si>
  <si>
    <t xml:space="preserve">הצעת חוק לתיקון פקודת התעבורה (איסור שימוש במצלמות ניידות לאכיפת עבירות חניה), התשפ"ג-2022</t>
  </si>
  <si>
    <t xml:space="preserve"> (פ/205/25)</t>
  </si>
  <si>
    <t xml:space="preserve">הצעת חוק המועצה לענף הלול (ייצור ושיווק) (תיקון - ביטול החוק), התשפ"ג-2022</t>
  </si>
  <si>
    <t xml:space="preserve"> (פ/204/25)</t>
  </si>
  <si>
    <t xml:space="preserve">הצעת חוק לתיקון פקודת בתי הסוהר (עתירות אסיר - ערעור בזכות), התשפ"ג-2022</t>
  </si>
  <si>
    <t xml:space="preserve"> (פ/202/25)</t>
  </si>
  <si>
    <t xml:space="preserve">הצעת חוק ביטול הרפורמה בכשרות (תיקוני חקיקה), התשפ"ג-2022</t>
  </si>
  <si>
    <t xml:space="preserve"> (פ/201/25)</t>
  </si>
  <si>
    <t xml:space="preserve">הצעת חוק קרן קיימת לישראל (תיקון - ביטול החוק), התשפ"ג-2022 </t>
  </si>
  <si>
    <t xml:space="preserve"> (פ/200/25)</t>
  </si>
  <si>
    <t xml:space="preserve"> (פ/199/25)</t>
  </si>
  <si>
    <t xml:space="preserve">הצעת חוק מועצת הצמחים (ייצור ושיווק) (תיקון - ביטול מועצת הצמחים), התשפ"ג-2022</t>
  </si>
  <si>
    <t xml:space="preserve"> (פ/198/25)</t>
  </si>
  <si>
    <t xml:space="preserve">הצעת חוק בדבר סמכויות להשבת פליטים שהשבתם לא מהווה סכנה, התשפ"ג-2022</t>
  </si>
  <si>
    <t xml:space="preserve"> (פ/197/25)</t>
  </si>
  <si>
    <t xml:space="preserve">הצעת חוק חסינות כוחות הביטחון, התשפ"ג-2022</t>
  </si>
  <si>
    <t xml:space="preserve"> (פ/196/25)</t>
  </si>
  <si>
    <t xml:space="preserve">הצעת חוק המים (תיקון - הנחות לבתי תפילה), התשפ"ג-2022</t>
  </si>
  <si>
    <t xml:space="preserve"> (פ/195/25)</t>
  </si>
  <si>
    <t xml:space="preserve">הצעת חוק הבנקאות (רישוי) (תיקון - ועדה לבחינת סגירת סניפי בנק), התשפ"ג-2022</t>
  </si>
  <si>
    <t xml:space="preserve"> (פ/194/25)</t>
  </si>
  <si>
    <t xml:space="preserve">הצעת חוק חסינות חיילי צה"ל באירועים מבצעיים, התשפ"ג-2022</t>
  </si>
  <si>
    <t xml:space="preserve"> (פ/193/25)</t>
  </si>
  <si>
    <t xml:space="preserve">הצעת חוק לתיקון פקודת התעבורה (קביעת קנס בגין גביית יתר של שכר הסעה במונית), התשפ"ג-2022</t>
  </si>
  <si>
    <t xml:space="preserve"> (פ/192/25)</t>
  </si>
  <si>
    <t xml:space="preserve">הצעת חוק הגנת הצרכן (תיקון - בטלות עסקה לרכישת מוצרי מזון לאחר חג הפסח), התשפ"ג-2022</t>
  </si>
  <si>
    <t xml:space="preserve"> (פ/190/25)</t>
  </si>
  <si>
    <t xml:space="preserve">הצעת חוק ארוחה יומית לתלמיד (תיקון - הרחבת תחולת החוק), התשפ"ג-2022</t>
  </si>
  <si>
    <t xml:space="preserve"> (פ/189/25)</t>
  </si>
  <si>
    <t xml:space="preserve">הצעת חוק לתיקון פקודת התעבורה (ביטול מופע אור ירוק ברמזור פנייה ימינה בעת הופעת אור ירוק ברמזור להולכי רגל), התשפ"ג-2022</t>
  </si>
  <si>
    <t xml:space="preserve"> (פ/187/25)</t>
  </si>
  <si>
    <t xml:space="preserve"> (פ/186/25)</t>
  </si>
  <si>
    <t xml:space="preserve">הצעת חוק ארוחה יומית לתלמיד (תיקון - ארוחת כריך יומית בבית ספר על יסודי), התשפ"ג-2022</t>
  </si>
  <si>
    <t xml:space="preserve"> (פ/185/25)</t>
  </si>
  <si>
    <t xml:space="preserve">הצעת חוק משק החשמל (תיקון - איסור ניתוק חשמל), התשפ"ג-2022</t>
  </si>
  <si>
    <t xml:space="preserve"> (פ/184/25)</t>
  </si>
  <si>
    <t xml:space="preserve">הצעת חוק איסור אלימות בספורט (תיקון - מניעת הרחקה גורפת מאירועי ספורט), התשפ"ג-2022</t>
  </si>
  <si>
    <t xml:space="preserve"> (פ/183/25)</t>
  </si>
  <si>
    <t xml:space="preserve"> (פ/182/25)</t>
  </si>
  <si>
    <t xml:space="preserve"> (פ/181/25)</t>
  </si>
  <si>
    <t xml:space="preserve"> (פ/180/25)</t>
  </si>
  <si>
    <t xml:space="preserve">הצעת חוק הפרטת גלי צה"ל, התשפ"ג-2022</t>
  </si>
  <si>
    <t xml:space="preserve"> (פ/179/25)</t>
  </si>
  <si>
    <t xml:space="preserve"> (פ/178/25)</t>
  </si>
  <si>
    <t xml:space="preserve">הצעת חוק הכנסת (תיקון - כינוס הכנסת בתקופת הפגרה), התשפ"ג-2022</t>
  </si>
  <si>
    <t xml:space="preserve"> (פ/177/25)</t>
  </si>
  <si>
    <t xml:space="preserve"> (פ/175/25)</t>
  </si>
  <si>
    <t xml:space="preserve">הצעת חוק המועצה לייצור ולשיווק של אגוזי אדמה (תיקון - ביטול החוק), התשפ"ג-2022</t>
  </si>
  <si>
    <t xml:space="preserve"> (פ/174/25)</t>
  </si>
  <si>
    <t xml:space="preserve"> (פ/173/25)</t>
  </si>
  <si>
    <t xml:space="preserve"> (פ/172/25)</t>
  </si>
  <si>
    <t xml:space="preserve">הצעת חוק תכנון משק החלב (תיקון - ביטול החוק), התשפ"ג-2022</t>
  </si>
  <si>
    <t xml:space="preserve"> (פ/171/25)</t>
  </si>
  <si>
    <t xml:space="preserve">הצעת חוק הכנסת (תיקון - קביעת שכר חברי הכנסת בידי ועדה ציבורית), התשפ"ג-2022</t>
  </si>
  <si>
    <t xml:space="preserve"> (פ/170/25)</t>
  </si>
  <si>
    <t xml:space="preserve"> (פ/169/25)</t>
  </si>
  <si>
    <t xml:space="preserve">הצעת חוק המרכז להנצחת מורשתו של הנשיא יצחק נבון, התשפ"ג-2022</t>
  </si>
  <si>
    <t xml:space="preserve"> (פ/168/25)</t>
  </si>
  <si>
    <t xml:space="preserve">הצעת חוק החקלאות, התשפ"ג-2022 </t>
  </si>
  <si>
    <t xml:space="preserve"> (פ/167/25)</t>
  </si>
  <si>
    <t xml:space="preserve"> (פ/166/25)</t>
  </si>
  <si>
    <t xml:space="preserve"> (פ/165/25)</t>
  </si>
  <si>
    <t xml:space="preserve">הצעת חוק הסדרת הטיפול בחולי נפש (תיקוני חקיקה), התשפ"ג-2022</t>
  </si>
  <si>
    <t xml:space="preserve"> (פ/164/25)</t>
  </si>
  <si>
    <t xml:space="preserve">הצעת חוק כביש אגרה (כביש ארצי לישראל) (תיקון - פטור מאגרה בשל האטה ממהירות הנסיעה המותרת), התשפ"ג-2022</t>
  </si>
  <si>
    <t xml:space="preserve"> (פ/163/25)</t>
  </si>
  <si>
    <t xml:space="preserve"> (פ/162/25)</t>
  </si>
  <si>
    <t xml:space="preserve">הצעת חוק מוקד חירום רפואי טלפוני, התשפ"ג-2022</t>
  </si>
  <si>
    <t xml:space="preserve"> (פ/161/25)</t>
  </si>
  <si>
    <t xml:space="preserve">הצעת חוק הכנסת (תיקון - חובת התייצבות בפני ועדות הכנסת), התשפ"ג-2022</t>
  </si>
  <si>
    <t xml:space="preserve"> (פ/160/25)</t>
  </si>
  <si>
    <t xml:space="preserve">הצעת חוק הכנסת (תיקון - חובת התייצבות בפני ועדות הכנסת), התשפ"ג-2022 </t>
  </si>
  <si>
    <t xml:space="preserve"> (פ/159/25)</t>
  </si>
  <si>
    <t xml:space="preserve">הצעת חוק שכר נושאי משרה ברשויות השלטון, התשפ"ג-2022</t>
  </si>
  <si>
    <t xml:space="preserve"> (פ/158/25)</t>
  </si>
  <si>
    <t xml:space="preserve"> (פ/157/25)</t>
  </si>
  <si>
    <t xml:space="preserve"> (פ/156/25)</t>
  </si>
  <si>
    <t xml:space="preserve">הצעת חוק הביטוח הלאומי (תיקון - דמי אבטלה לעצמאים), התשפ"ג-2022</t>
  </si>
  <si>
    <t xml:space="preserve"> (פ/155/25)</t>
  </si>
  <si>
    <t xml:space="preserve"> (פ/154/25)</t>
  </si>
  <si>
    <t xml:space="preserve">הצעת חוק שירות המדינה (מינויים) (תיקון - הכרה בלימודים תורניים גבוהים לעניין תנאי סף), התשפ"ג-2022</t>
  </si>
  <si>
    <t xml:space="preserve"> (פ/153/25)</t>
  </si>
  <si>
    <t xml:space="preserve">הצעת חוק התכנון והבנייה (תיקון - סייגים להתניית היתר), התשפ"ג-2022</t>
  </si>
  <si>
    <t xml:space="preserve"> (פ/152/25)</t>
  </si>
  <si>
    <t xml:space="preserve">הצעת חוק התכנון והבנייה (תיקון - הרחבת הפטור מהיטל השבחה), התשפ"ג-2022</t>
  </si>
  <si>
    <t xml:space="preserve"> (פ/151/25)</t>
  </si>
  <si>
    <t xml:space="preserve">הצעת חוק מידע גנטי (תיקון - איסור שימוש בתוצאות בדיקה גנטית לקביעת השתייכות לעדה דתית), התשפ"ג-2022</t>
  </si>
  <si>
    <t xml:space="preserve"> (פ/150/25)</t>
  </si>
  <si>
    <t xml:space="preserve">הצעת חוק המועצות האזוריות (בחירת ראש המועצה) (תיקון - הגשת רשימה על ידי סיעה או מפלגה), התשפ"ג-2022</t>
  </si>
  <si>
    <t xml:space="preserve"> (פ/149/25)</t>
  </si>
  <si>
    <t xml:space="preserve">הצעת חוק הביטוח הלאומי (תיקון - קצבת נכות וקצבת שאירים), התשפ"ג-2022</t>
  </si>
  <si>
    <t xml:space="preserve"> (פ/148/25)</t>
  </si>
  <si>
    <t xml:space="preserve">הצעת חוק העונשין (תיקון - פיצויים לזכאי במשפט חוזר ובערעור בבית המשפט העליון), התשפ"ג-2022</t>
  </si>
  <si>
    <t xml:space="preserve"> (פ/147/25)</t>
  </si>
  <si>
    <t xml:space="preserve">הצעת חוק יישוב סכסוכי עבודה (תיקון - סכסוך עבודה פוליטי), התשפ"ג-2022</t>
  </si>
  <si>
    <t xml:space="preserve"> (פ/146/25)</t>
  </si>
  <si>
    <t xml:space="preserve">הצעת חוק העברת היחידות הארציות של משרדי הממשלה לירושלים, התשפ"ג-2022</t>
  </si>
  <si>
    <t xml:space="preserve"> (פ/145/25)</t>
  </si>
  <si>
    <t xml:space="preserve">הצעת חוק לתיקון פקודת הראיות (חיסיון רואה חשבון), התשפ"ג-2022</t>
  </si>
  <si>
    <t xml:space="preserve"> (פ/144/25)</t>
  </si>
  <si>
    <t xml:space="preserve">הצעת חוק המים (תיקון - מתן הנחות בתעריפי מים לאוכלוסיות נזקקות), התשפ"ג-2022</t>
  </si>
  <si>
    <t xml:space="preserve"> (פ/143/25)</t>
  </si>
  <si>
    <t xml:space="preserve"> (פ/142/25)</t>
  </si>
  <si>
    <t xml:space="preserve">הצעת חוק בית המשפט לענייני משפחה (תיקון - בני זוג מאותו המין), התשפ"ג-2022</t>
  </si>
  <si>
    <t xml:space="preserve"> (פ/141/25)</t>
  </si>
  <si>
    <t xml:space="preserve">הצעת חוק צער בעלי חיים (הגנה על בעלי חיים) (תיקון - קביעת עונש מינימום בגין התעללות בבעלי חיים), התשפ"ג-2022</t>
  </si>
  <si>
    <t xml:space="preserve"> (פ/140/25)</t>
  </si>
  <si>
    <t xml:space="preserve"> (פ/139/25)</t>
  </si>
  <si>
    <t xml:space="preserve">הצעת חוק לתיקון פקודת ביטוח רכב מנועי (חיוב שיווק פוליסה), התשפ"ג-2022</t>
  </si>
  <si>
    <t xml:space="preserve"> (פ/137/25)</t>
  </si>
  <si>
    <t xml:space="preserve">הצעת חוק מס ערך מוסף (תיקון - פטור ממס ממכירת תרופות מאריכות חיים שאינן כלולות בסל הבריאות), התשפ"ג-2022</t>
  </si>
  <si>
    <t xml:space="preserve"> (פ/136/25)</t>
  </si>
  <si>
    <t xml:space="preserve">הצעת חוק התאמת טפסים ממשלתיים (פרטי הורים), התשפ"ג-2022</t>
  </si>
  <si>
    <t xml:space="preserve"> (פ/134/25)</t>
  </si>
  <si>
    <t xml:space="preserve">הצעת חוק בתי המשפט (תיקון - בעל דין טרדן), התשפ"ג-2022</t>
  </si>
  <si>
    <t xml:space="preserve"> (פ/133/25)</t>
  </si>
  <si>
    <t xml:space="preserve">הצעת חוק בחירות לגופים ציבוריים (תיקון - הגבלת כהונת יושב ראש ועד עובדים), התשפ"ג-2022</t>
  </si>
  <si>
    <t xml:space="preserve"> (פ/132/25)</t>
  </si>
  <si>
    <t xml:space="preserve">הצעת חוק הסכמים קיבוציים (תיקון - יציגות ארגון עובדים והגנה על הפרט), התשפ"ג-2022</t>
  </si>
  <si>
    <t xml:space="preserve"> (פ/131/25)</t>
  </si>
  <si>
    <t xml:space="preserve">הצעת חוק עובדים זרים (תיקון - הפחתת אגרות בענף החקלאות) (הוראת שעה), התשפ"ג-2022</t>
  </si>
  <si>
    <t xml:space="preserve"> (פ/130/25)</t>
  </si>
  <si>
    <t xml:space="preserve">הצעת חוק התניית יום שבתון בהצבעה בבחירות (תיקוני חקיקה), התשפ"ג-2022</t>
  </si>
  <si>
    <t xml:space="preserve"> (פ/129/25)</t>
  </si>
  <si>
    <t xml:space="preserve">הצעת חוק הביטוח הלאומי (תיקון - הטבות למי שמקבל גמלה לפי חוק הביטוח הלאומי וקיבל גמלת הבטחת הכנסה), התשפ"ג-2022</t>
  </si>
  <si>
    <t xml:space="preserve"> (פ/128/25)</t>
  </si>
  <si>
    <t xml:space="preserve">הצעת חוק הסכמים לנשיאת עוברים (אישור הסכם ומעמד היילוד) (תיקון - הורים מיועדים), התשפ"ג-2022</t>
  </si>
  <si>
    <t xml:space="preserve"> (פ/127/25)</t>
  </si>
  <si>
    <t xml:space="preserve">הצעת חוק זכויות ושירותים לילדים ולבני נוער עם קשיים נפשיים, התשפ"ג-2022</t>
  </si>
  <si>
    <t xml:space="preserve"> (פ/126/25)</t>
  </si>
  <si>
    <t xml:space="preserve">הצעת חוק הנוער (טיפול והשגחה) (תיקון - ביטול הגנת קטין מפני פרסומים מזיקים במקרה של טיפול ואשפוז פסיכיאטריים), התשפ"ג-2022</t>
  </si>
  <si>
    <t xml:space="preserve"> (פ/125/25)</t>
  </si>
  <si>
    <t xml:space="preserve">הצעת חוק הסכמים לנשיאת עוברים (אישור הסכם ומעמד היילוד) (תיקון - הרחבת הזכאות להליכי נשיאת עוברים), התשפ"ג-2022</t>
  </si>
  <si>
    <t xml:space="preserve"> (פ/124/25)</t>
  </si>
  <si>
    <t xml:space="preserve">הצעת חוק סיוע לקטינים נפגעי עבירות מין או אלימות (תיקון - טיפול נפשי לילדים נפגעי אלימות במשפחה), התשפ"ג-2022</t>
  </si>
  <si>
    <t xml:space="preserve"> (פ/123/25)</t>
  </si>
  <si>
    <t xml:space="preserve">הצעת חוק שעות עבודה ומנוחה (תיקון - קיצור שבוע העבודה), התשפ"ג-2022</t>
  </si>
  <si>
    <t xml:space="preserve"> (פ/122/25)</t>
  </si>
  <si>
    <t xml:space="preserve"> (פ/121/25)</t>
  </si>
  <si>
    <t xml:space="preserve">הצעת חוק ביטוח בריאות ממלכתי (תיקון - העברת שירותי הגמילה לתוספת השנייה), התשפ"ג-2022</t>
  </si>
  <si>
    <t xml:space="preserve"> (פ/120/25)</t>
  </si>
  <si>
    <t xml:space="preserve">הצעת חוק ביטוח בריאות ממלכתי (תיקון - הוספת טיפול בקנבוס למטרות רפואיות לסל שירותי הבריאות), התשפ"ג-2022</t>
  </si>
  <si>
    <t xml:space="preserve"> (פ/119/25)</t>
  </si>
  <si>
    <t xml:space="preserve">הצעת חוק המים (תיקון - איסור הפסקת אספקת מים בשל חובות של רשויות מקומיות), התשפ"ג-2022</t>
  </si>
  <si>
    <t xml:space="preserve"> (פ/118/25)</t>
  </si>
  <si>
    <t xml:space="preserve">הצעת חוק הרבנות הראשית לישראל (תיקון - הרחבת האסיפה הבוחרת), התשפ"ג-2022</t>
  </si>
  <si>
    <t xml:space="preserve"> (פ/117/25)</t>
  </si>
  <si>
    <t xml:space="preserve">הצעת חוק הבחירות לכנסת (תיקון - עדכון כתובת לצורכי בחירות), התשפ"ג-2022</t>
  </si>
  <si>
    <t xml:space="preserve"> (פ/116/25)</t>
  </si>
  <si>
    <t xml:space="preserve">הצעת חוק נאמני שואה במשרדי ממשלה, התשפ"ג-2022 </t>
  </si>
  <si>
    <t xml:space="preserve"> (פ/114/25)</t>
  </si>
  <si>
    <t xml:space="preserve"> (פ/113/25)</t>
  </si>
  <si>
    <t xml:space="preserve">הצעת חוק החזר הוצאות כספיות בגין עריכת נישואין אזרחיים בחוץ לארץ למי שאינם רשאים להינשא בישראל על פי דיני המדינה, התשפ"ג-2022</t>
  </si>
  <si>
    <t xml:space="preserve"> (פ/112/25)</t>
  </si>
  <si>
    <t xml:space="preserve">הצעת חוק לתיקון פקודת מס הכנסה (החזר בתשלום למעונות יום לאמהות), התשפ"ג-2022</t>
  </si>
  <si>
    <t xml:space="preserve"> (פ/108/25)</t>
  </si>
  <si>
    <t xml:space="preserve">הצעת חוק מס הכנסה (פטור ממס על הכנסה מהשכרת דירת מגורים) (תיקון - ניכוי דמי שכירות ששולמו בעד דירת מגורים), התשפ"ג-2022</t>
  </si>
  <si>
    <t xml:space="preserve"> (פ/107/25)</t>
  </si>
  <si>
    <t xml:space="preserve">הצעת חוק בשר ומוצריו (תיקון - הרחבת הסמכות ליתן תעודת הכשר לבשר מיובא), התשפ"ג-2022</t>
  </si>
  <si>
    <t xml:space="preserve"> (פ/106/25)</t>
  </si>
  <si>
    <t xml:space="preserve">הצעת חוק להסדרת הפיקוח על כלבים (תיקון - כלבי הפקר), התשפ"ג-2022</t>
  </si>
  <si>
    <t xml:space="preserve"> (פ/105/25)</t>
  </si>
  <si>
    <t xml:space="preserve"> (פ/104/25)</t>
  </si>
  <si>
    <t xml:space="preserve">הצעת חוק סיוע לקטינים נפגעי עבירות מין או אלימות (תיקון - טיפול נפשי לילדים), התשפ"ג-2022</t>
  </si>
  <si>
    <t xml:space="preserve"> (פ/102/25)</t>
  </si>
  <si>
    <t xml:space="preserve">הצעת חוק להסדרת הטיפול באריזות (תיקון - החלת החוק על מכלי משקה גדולים), התשפ"ג-2022</t>
  </si>
  <si>
    <t xml:space="preserve"> (פ/101/25)</t>
  </si>
  <si>
    <t xml:space="preserve">הצעת חוק החברות הממשלתיות (תיקון - קווי פעולה של חברה ממשלתית), התשפ"ג-2022</t>
  </si>
  <si>
    <t xml:space="preserve"> (פ/100/25)</t>
  </si>
  <si>
    <t xml:space="preserve">הצעת חוק הגנת הצרכן (תיקון - סימון תוצרת חקלאית שאינה ארוזה מראש), התשפ"ג-2022</t>
  </si>
  <si>
    <t xml:space="preserve"> (פ/99/25)</t>
  </si>
  <si>
    <t xml:space="preserve">הצעת חוק לתיקון פקודת מס הכנסה (זיכוי בעד לימודי תואר ראשון), התשפ"ג-2022</t>
  </si>
  <si>
    <t xml:space="preserve"> (פ/98/25)</t>
  </si>
  <si>
    <t xml:space="preserve">הצעת חוק השמירה על המקומות הקדושים (תיקון - ייעוץ הרבנות הראשית), התשפ"ג-2022</t>
  </si>
  <si>
    <t xml:space="preserve"> (פ/97/25)</t>
  </si>
  <si>
    <t xml:space="preserve">הצעת חוק לתיקון דיני הרשויות המקומיות (ביטול סמכות שר הפנים לעניין חוקי עזר בדבר פתיחתם וסגירתם של עסקים בימי מנוחה), התשפ"ג-2022</t>
  </si>
  <si>
    <t xml:space="preserve"> (פ/96/25)</t>
  </si>
  <si>
    <t xml:space="preserve">הצעת חוק משפחות חיילים שנספו במערכה (תגמולים ושיקום) (תיקון - הגדרת אלמן ושכול), התשפ"ג-2022</t>
  </si>
  <si>
    <t xml:space="preserve"> (פ/95/25)</t>
  </si>
  <si>
    <t xml:space="preserve"> (פ/94/25)</t>
  </si>
  <si>
    <t xml:space="preserve">הצעת חוק ההוצאה לפועל (תיקון - הגבלת עיקול מיטלטליו של קשיש), התשפ"ג-2022</t>
  </si>
  <si>
    <t xml:space="preserve"> (פ/93/25)</t>
  </si>
  <si>
    <t xml:space="preserve"> (פ/92/25)</t>
  </si>
  <si>
    <t xml:space="preserve">הצעת חוק העונשין (תיקון - תקיפת נהגי אוטובוס בקווי תחבורה ציבורית), התשפ"ג-2022</t>
  </si>
  <si>
    <t xml:space="preserve"> (פ/90/25)</t>
  </si>
  <si>
    <t xml:space="preserve">הצעת חוק-יסוד: הממשלה (תיקון - בחירה ישירה לראש הממשלה וחלוקת מנדטים לסיעות הקואליציה)</t>
  </si>
  <si>
    <t xml:space="preserve"> (פ/89/25)</t>
  </si>
  <si>
    <t xml:space="preserve"> (פ/88/25)</t>
  </si>
  <si>
    <t xml:space="preserve">הצעת חוק העונשין (תיקון - תקיפת נהג אוטובוס ציבורי), התשפ"ג-2022</t>
  </si>
  <si>
    <t xml:space="preserve"> (פ/86/25)</t>
  </si>
  <si>
    <t xml:space="preserve">הצעת חוק לתיקון פקודת הסמים המסוכנים (הגדרת צמח הקנבוס, מדרוג עבירות ועונשים בסם קנבוס), התשפ"ג-2022</t>
  </si>
  <si>
    <t xml:space="preserve"> (פ/85/25)</t>
  </si>
  <si>
    <t xml:space="preserve">הצעת חוק חינוך ממלכתי (תיקון - הוספת שיעורי חינוך גופני), התשפ"ג-2022</t>
  </si>
  <si>
    <t xml:space="preserve"> (פ/83/25)</t>
  </si>
  <si>
    <t xml:space="preserve">הצעת חוק לתיקון פקודת העיריות (תשלום עבור המצאת מסמכי מכרז), התשפ"ג-2022</t>
  </si>
  <si>
    <t xml:space="preserve"> (פ/82/25)</t>
  </si>
  <si>
    <t xml:space="preserve">הצעת חוק לתיקון פקודת בתי הסוהר (קביעת משך הביקור), התשפ"ג-2022</t>
  </si>
  <si>
    <t xml:space="preserve"> (פ/79/25)</t>
  </si>
  <si>
    <t xml:space="preserve">הצעת חוק להגבלת שכר טרחת כונסי נכסים (תיקוני חקיקה), התשפ"ג-2022</t>
  </si>
  <si>
    <t xml:space="preserve"> (פ/78/25)</t>
  </si>
  <si>
    <t xml:space="preserve">הצעת חוק יישוב סכסוכי עבודה (תיקון - בוררות חובה בשירותים חיוניים), התשפ"ג-2022</t>
  </si>
  <si>
    <t xml:space="preserve"> (פ/77/25)</t>
  </si>
  <si>
    <t xml:space="preserve">הצעת חוק-יסוד: הממשלה (תיקון - אי-כשירות של נאשם להרכיב את הממשלה)</t>
  </si>
  <si>
    <t xml:space="preserve"> (פ/76/25)</t>
  </si>
  <si>
    <t xml:space="preserve"> (פ/75/25)</t>
  </si>
  <si>
    <t xml:space="preserve"> (פ/74/25)</t>
  </si>
  <si>
    <t xml:space="preserve">הצעת חוק יישום תכנית ההתנתקות (תיקון - ביטול סעיפי הפינוי ושינוי שם החוק), התשפ"ג-2022</t>
  </si>
  <si>
    <t xml:space="preserve"> (פ/73/25)</t>
  </si>
  <si>
    <t xml:space="preserve">הצעת חוק בית הדין לעבודה (תיקון - ערעור לפני בית המשפט העליון), התשפ"ג-2022</t>
  </si>
  <si>
    <t xml:space="preserve"> (פ/72/25)</t>
  </si>
  <si>
    <t xml:space="preserve"> (פ/71/25)</t>
  </si>
  <si>
    <t xml:space="preserve"> (פ/70/25)</t>
  </si>
  <si>
    <t xml:space="preserve">הצעת חוק סייעות במוסדות חינוך, התשפ"ג-2022</t>
  </si>
  <si>
    <t xml:space="preserve"> (פ/68/25)</t>
  </si>
  <si>
    <t xml:space="preserve"> (פ/67/25)</t>
  </si>
  <si>
    <t xml:space="preserve">הצעת חוק מס ערך מוסף (תיקון - מס בשיעור אפס על תרכובת מזון לתינוקות), התשפ"ג-2022</t>
  </si>
  <si>
    <t xml:space="preserve"> (פ/65/25)</t>
  </si>
  <si>
    <t xml:space="preserve">הצעת חוק לתיקון פקודת התעבורה (מאגר מידע של ניקוד מסוכנות לעניין נהגים מקצועיים), התשפ"ג-2022</t>
  </si>
  <si>
    <t xml:space="preserve"> (פ/64/25)</t>
  </si>
  <si>
    <t xml:space="preserve">הצעת חוק לתיקון פקודת העיריות (מענק הבירה), התשפ"ג-2022</t>
  </si>
  <si>
    <t xml:space="preserve"> (פ/63/25)</t>
  </si>
  <si>
    <t xml:space="preserve"> (פ/62/25)</t>
  </si>
  <si>
    <t xml:space="preserve">הצעת חוק חובת המכרזים (תיקון - העדפת טובין ממוחזרים), התשפ"ג-2022</t>
  </si>
  <si>
    <t xml:space="preserve"> (פ/61/25)</t>
  </si>
  <si>
    <t xml:space="preserve"> (פ/60/25)</t>
  </si>
  <si>
    <t xml:space="preserve">הצעת חוק חדלות פירעון ושיקום כלכלי (תיקון - הסמכת בית המשפט לעכב הליכי גבייה), התשפ"ג-2022</t>
  </si>
  <si>
    <t xml:space="preserve"> (פ/59/25)</t>
  </si>
  <si>
    <t xml:space="preserve">הצעת חוק מגן דוד אדום (תיקון - הענקת שירותי רפואה מרחוק), התשפ"ג-2022</t>
  </si>
  <si>
    <t xml:space="preserve"> (פ/58/25)</t>
  </si>
  <si>
    <t xml:space="preserve">הצעת חוק האגודות העותומניות (רישום ופיקוח), התשפ"ג-2022</t>
  </si>
  <si>
    <t xml:space="preserve"> (פ/57/25)</t>
  </si>
  <si>
    <t xml:space="preserve">הצעת חוק זכויות נפגעי עבירה (תיקון - הרחבת זכויות נפגעי עבירה), התשפ"ג-2022</t>
  </si>
  <si>
    <t xml:space="preserve"> (פ/56/25)</t>
  </si>
  <si>
    <t xml:space="preserve">הצעת חוק טיפול בחולי נפש (תיקון - בחירת מקום אשפוז), התשפ"ג-2022</t>
  </si>
  <si>
    <t xml:space="preserve"> (פ/55/25)</t>
  </si>
  <si>
    <t xml:space="preserve">הצעת חוק מתן סמכויות פיקוח והסמכת מפקחים ופקחים (תיקוני חקיקה), התשפ"ג-2022</t>
  </si>
  <si>
    <t xml:space="preserve"> (פ/54/25)</t>
  </si>
  <si>
    <t xml:space="preserve"> (פ/53/25)</t>
  </si>
  <si>
    <t xml:space="preserve">הצעת חוק מיסוי מקרקעין (שבח ורכישה) (תיקון - ייצוג נישום על ידי רואה חשבון), התשפ"ג-2022</t>
  </si>
  <si>
    <t xml:space="preserve"> (פ/52/25)</t>
  </si>
  <si>
    <t xml:space="preserve">הצעת חוק המידע הפלילי ותקנת השבים (תיקון - סעיף העונשין), התשפ"ג-2022</t>
  </si>
  <si>
    <t xml:space="preserve"> (פ/50/25)</t>
  </si>
  <si>
    <t xml:space="preserve">הצעת חוק זכויות ושירותים לילדים ובני נוער עם קשיים נפשיים, התשפ"ג-2022</t>
  </si>
  <si>
    <t xml:space="preserve"> (פ/49/25)</t>
  </si>
  <si>
    <t xml:space="preserve">הצעת חוק זכויות הדייר בדיור הציבורי (תיקון - זכות למגורים בדירה ציבורית לנשים ששהו במקלט לנשים מוכות), התשפ"ג-2022</t>
  </si>
  <si>
    <t xml:space="preserve"> (פ/48/25)</t>
  </si>
  <si>
    <t xml:space="preserve">הצעת חוק חדלות פירעון ושיקום כלכלי (תיקון - מתן דין קדימה לבעלי עסקים קטנים כנושים), התשפ"ג-2022</t>
  </si>
  <si>
    <t xml:space="preserve"> (פ/46/25)</t>
  </si>
  <si>
    <t xml:space="preserve"> (פ/42/25)</t>
  </si>
  <si>
    <t xml:space="preserve">הצעת חוק לתיקון פקודת מס הכנסה (דחיית הגשת דיווח שנתי לעסק שהוקם ברבעון האחרון של השנה), התשפ"ג-2022</t>
  </si>
  <si>
    <t xml:space="preserve"> (פ/39/25)</t>
  </si>
  <si>
    <t xml:space="preserve">הצעת חוק העונשין (תיקון - החמרת ענישה על תקיפת קטין או חסר ישע), התשפ"ג-2022</t>
  </si>
  <si>
    <t xml:space="preserve"> (פ/38/25)</t>
  </si>
  <si>
    <t xml:space="preserve"> (פ/36/25)</t>
  </si>
  <si>
    <t xml:space="preserve">הצעת חוק מס ערך מוסף (תיקון - עידוד פתיחת עסקים חדשים), התשפ"ג-2022</t>
  </si>
  <si>
    <t xml:space="preserve"> (פ/35/25)</t>
  </si>
  <si>
    <t xml:space="preserve"> (פ/34/25)</t>
  </si>
  <si>
    <t xml:space="preserve">הצעת חוק תובענות ייצוגיות (תיקון - תובענה ייצוגית בשל פגיעה בפרטיות), התשפ"ג-2022</t>
  </si>
  <si>
    <t xml:space="preserve"> (פ/33/25)</t>
  </si>
  <si>
    <t xml:space="preserve">הצעת חוק תאגידי מים וביוב (תיקון - הקמת ועדת הנחות), התשפ"ג-2022</t>
  </si>
  <si>
    <t xml:space="preserve"> (פ/32/25)</t>
  </si>
  <si>
    <t xml:space="preserve">הצעת חוק סל הקליטה (תיקון - זכאות יוצאים לשאלה), התשפ"ג-2022</t>
  </si>
  <si>
    <t xml:space="preserve"> (פ/31/25)</t>
  </si>
  <si>
    <t xml:space="preserve">הצעת חוק צער בעלי חיים (הגנה על בעלי חיים) (תיקון - איחוד סמכויות), התשפ"ג-2022</t>
  </si>
  <si>
    <t xml:space="preserve"> (פ/30/25)</t>
  </si>
  <si>
    <t xml:space="preserve">הצעת חוק חניה לנכים (תיקון - החלטה בבקשה לתג נכה), התשפ"ג-2022</t>
  </si>
  <si>
    <t xml:space="preserve"> (פ/29/25)</t>
  </si>
  <si>
    <t xml:space="preserve"> (פ/28/25)</t>
  </si>
  <si>
    <t xml:space="preserve">הצעת חוק טיפול בחולי נפש (תיקון - התמכרות פסיכוטית לחומרים פסיכו-אקטיביים), התשפ"ג-2022</t>
  </si>
  <si>
    <t xml:space="preserve"> (פ/27/25)</t>
  </si>
  <si>
    <t xml:space="preserve"> (פ/24/25)</t>
  </si>
  <si>
    <t xml:space="preserve">הצעת חוק לתיקון פקודת בתי הסוהר (מתן הודעה בכתב לאסיר ולנפגעי עבירה בדבר מועד שחרור מנהלי והכנת תכנית שיקום), התשפ"ג-2022</t>
  </si>
  <si>
    <t xml:space="preserve"> (פ/23/25)</t>
  </si>
  <si>
    <t xml:space="preserve">הצעת חוק המזונות (הבטחת תשלום) (תיקון - סכום שלא יובא בחשבון במבחן ההכנסה), התשפ"ג-2022</t>
  </si>
  <si>
    <t xml:space="preserve"> (פ/22/25)</t>
  </si>
  <si>
    <t xml:space="preserve">הצעת חוק פיקוח על בתי ספר (תיקון - איסור התחזות לגננת), התשפ"ג-2022</t>
  </si>
  <si>
    <t xml:space="preserve"> (פ/21/25)</t>
  </si>
  <si>
    <t xml:space="preserve"> (פ/19/25)</t>
  </si>
  <si>
    <t xml:space="preserve">הצעת חוק זכויות החולה (תיקון - זכות מטופל לקבל רשומות רפואיות), התשפ"ג-2022</t>
  </si>
  <si>
    <t xml:space="preserve"> (פ/18/25)</t>
  </si>
  <si>
    <t xml:space="preserve">הצעת חוק שירות לאומי-אזרחי (תיקוני חקיקה), התשפ"ג-2022</t>
  </si>
  <si>
    <t xml:space="preserve"> (פ/17/25)</t>
  </si>
  <si>
    <t xml:space="preserve">הצעת חוק הביטוח הלאומי (תיקון - התפטרות הורה על מנת לטפל בילדו), התשפ"ג-2022</t>
  </si>
  <si>
    <t xml:space="preserve"> (פ/16/25)</t>
  </si>
  <si>
    <t xml:space="preserve">הצעת חוק הנוער (טיפול והשגחה) (תיקון - ביטול עבירה פלילית על פרסום תחלואה נפשית של קטין), התשפ"ג-2022</t>
  </si>
  <si>
    <t xml:space="preserve"> (פ/15/25)</t>
  </si>
  <si>
    <t xml:space="preserve"> (פ/14/25)</t>
  </si>
  <si>
    <t xml:space="preserve">הצעת חוק הקמת מאגר מידע דיגיטלי בנושא הכשרות מקצועיות, התשפ"ג-2022</t>
  </si>
  <si>
    <t xml:space="preserve"> (פ/12/25)</t>
  </si>
  <si>
    <t xml:space="preserve"> (פ/10/25)</t>
  </si>
  <si>
    <t xml:space="preserve"> (פ/9/25)</t>
  </si>
  <si>
    <t xml:space="preserve">הצעת חוק הגנת הפרטיות (תיקון - חיזוק הזכות לפרטיות וההגנה עליה), התשפ"ג-2022</t>
  </si>
  <si>
    <t xml:space="preserve"> (פ/8/25)</t>
  </si>
  <si>
    <t xml:space="preserve">הצעת חוק-יסוד: הממשלה (תיקון - אצילת סמכויות לסגן שר)</t>
  </si>
  <si>
    <t xml:space="preserve"> (פ/7/25)</t>
  </si>
  <si>
    <t xml:space="preserve">הצעת חוק בית המשפט לענייני משפחה (תיקון - בני זוג מאותו מין), התשפ"ג-2022</t>
  </si>
  <si>
    <t xml:space="preserve"> (פ/6/25)</t>
  </si>
  <si>
    <t xml:space="preserve">הצעת חוק ביטוח בריאות ממלכתי (תיקון - העברת שירותי הגמילה לאחריות קופות החולים), התשפ"ג-2022</t>
  </si>
  <si>
    <t xml:space="preserve"> (פ/3/25)</t>
  </si>
  <si>
    <t xml:space="preserve">הצעת חוק שלילת זכויות לראש ממשלה לשעבר שכיהן תקופה קצרה, התשפ"ג-2022</t>
  </si>
  <si>
    <t xml:space="preserve"> (פ/2/25)</t>
  </si>
  <si>
    <t xml:space="preserve"> (פ/1/25)</t>
  </si>
  <si>
    <t xml:space="preserve">חוק הכניסה לישראל (תיקון מס' 34 – הוראת שעה – נגיף הקורונה החדש), התשפ"ב-2022 </t>
  </si>
  <si>
    <t xml:space="preserve"> (מ/1556)</t>
  </si>
  <si>
    <t xml:space="preserve">19.09.2022</t>
  </si>
  <si>
    <t xml:space="preserve">הצעת חוק ההתייעלות הכלכלית (תיקוני חקיקה להשגת יעדי התקציב לשנות התקציב 2017 ו-2018 (תיקון מס' 8) (הקצאת סכום לרשויות המקומיות הסמוכות לנמל התעופה בן-גוריון), התשפ"ב-2022</t>
  </si>
  <si>
    <t xml:space="preserve"> (פ/2546/24)</t>
  </si>
  <si>
    <t xml:space="preserve"> (כ/912)</t>
  </si>
  <si>
    <t xml:space="preserve">הצעת חוק שימוש בזרע של נפטר לשם הולדה, התשפ"ב–2022</t>
  </si>
  <si>
    <t xml:space="preserve"> (פ/552/24)</t>
  </si>
  <si>
    <t xml:space="preserve"> (כ/940)</t>
  </si>
  <si>
    <t xml:space="preserve">הצעת חוק ההתייעלות הכלכלית (תיקוני חקיקה להשגת יעדי התקציב לשנות התקציב 2017 ו-2018) (תיקון - הקצאת סכום לרשויות המקומיות הסמוכות לנמל התעופה בן-גוריון), התשפ"א-2021</t>
  </si>
  <si>
    <t xml:space="preserve"> (פ/399/24)</t>
  </si>
  <si>
    <t xml:space="preserve">הצעת חוק לתיקון פקודת התעבורה (מס' 132), התשפ"ב-2022</t>
  </si>
  <si>
    <t xml:space="preserve"> (מ/1582)</t>
  </si>
  <si>
    <t xml:space="preserve">הצעת חוק העונשין (תיקון מס' 147) (תחולת הדין הישראלי על עבירות חוץ שנעברה בידי אזרח ישראלי או תושב ישראל), התשפ"ב-2022 </t>
  </si>
  <si>
    <t xml:space="preserve"> (מ/1579)</t>
  </si>
  <si>
    <t xml:space="preserve">הצעת חוק בתי משפט לעניינים מינהליים (תיקון מס' 132) (בתי משפט שלום לעניינים מינהליים), התשפ"ב-2022 </t>
  </si>
  <si>
    <t xml:space="preserve"> (מ/1580)</t>
  </si>
  <si>
    <t xml:space="preserve">הצעת חוק משפחות חיילים שנספו במערכה (תגמולים ושיקום) (תיקון - שימוש בזרע חייל שנספה למטרת המשכיות), התשפ''ב-2022</t>
  </si>
  <si>
    <t xml:space="preserve"> (פ/2994/24)</t>
  </si>
  <si>
    <t xml:space="preserve">להסרה מסדר היום לבקשת ועדה</t>
  </si>
  <si>
    <t xml:space="preserve">07.09.2022</t>
  </si>
  <si>
    <t xml:space="preserve">הצעת חוק משפחות חיילים שנספו במערכה (תגמולים ושיקום) (תיקון - שימוש בזרע חייל שנספה), התשפ"ב-2022 </t>
  </si>
  <si>
    <t xml:space="preserve"> (פ/2882/24)</t>
  </si>
  <si>
    <t xml:space="preserve">הצעת חוק לעידוד תעשייה עתירת ידע, התשפ"ב-2021</t>
  </si>
  <si>
    <t xml:space="preserve"> (פ/2723/24)</t>
  </si>
  <si>
    <t xml:space="preserve">15.08.2022</t>
  </si>
  <si>
    <t xml:space="preserve"> (פ/2465/24)</t>
  </si>
  <si>
    <t xml:space="preserve">חוק נכסים של נספי השואה (השבה ליורשים והקדשה למטרות סיוע והנצחה) (תיקון מס' 5), התשפ"ב-2022 </t>
  </si>
  <si>
    <t xml:space="preserve"> (מ/1518)</t>
  </si>
  <si>
    <t xml:space="preserve">הצעת חוק הכניסה לישראל (תיקון - הארכת רישיון לישיבת ביקור לעובד זר המועסק במתן טיפול סיעודי), התשפ"ב-2022</t>
  </si>
  <si>
    <t xml:space="preserve"> (פ/3194/24)</t>
  </si>
  <si>
    <t xml:space="preserve">04.07.2022</t>
  </si>
  <si>
    <t xml:space="preserve">הצעת חוק לתיקון פקודת המשטרה (מס' 38) (תיעוד חזותי של השימוש במכת"זית), התשפ"ב–2022</t>
  </si>
  <si>
    <t xml:space="preserve"> (פ/3041/24)</t>
  </si>
  <si>
    <t xml:space="preserve"> (כ/938)</t>
  </si>
  <si>
    <t xml:space="preserve">ועדת ביטחון הפנים</t>
  </si>
  <si>
    <t xml:space="preserve">הצעת חוק הגנת הצרכן (תיקון מס' 66) (שירות טלפוני לביטול עסקה עם חברת תעופה), התשפ"ב–2022</t>
  </si>
  <si>
    <t xml:space="preserve"> (פ/2793/24)</t>
  </si>
  <si>
    <t xml:space="preserve"> (כ/937)</t>
  </si>
  <si>
    <t xml:space="preserve">הצעת חוק למניעת אלימות במשפחה (פיקוח טכנולוגי להבטחת קיומו של צו הגנה, והערכת מסוכנות – הוראת שעה), התשפ"ב–2022</t>
  </si>
  <si>
    <t xml:space="preserve"> (פ/2412/24)</t>
  </si>
  <si>
    <t xml:space="preserve"> (כ/939)</t>
  </si>
  <si>
    <t xml:space="preserve"> (פ/2336/24)</t>
  </si>
  <si>
    <t xml:space="preserve">הצעת חוק תובענות ייצוגיות (תיקון מס' 14) (מעמדם של ארגוני סביבה), התשפ"ב–2022</t>
  </si>
  <si>
    <t xml:space="preserve"> (פ/2087/24)</t>
  </si>
  <si>
    <t xml:space="preserve"> (כ/936)</t>
  </si>
  <si>
    <t xml:space="preserve"> (פ/895/24)</t>
  </si>
  <si>
    <t xml:space="preserve">הצעת חוק להגדלת שיעור ההשתתפות בכוח העבודה ולצמצום פערים חברתיים (מענק עבודה) (תיקון מס' 20), התשפ"ב-2022</t>
  </si>
  <si>
    <t xml:space="preserve"> (פ/328/24)</t>
  </si>
  <si>
    <t xml:space="preserve"> (כ/930)</t>
  </si>
  <si>
    <t xml:space="preserve"> (פ/300/24)</t>
  </si>
  <si>
    <t xml:space="preserve"> (פ/34/24)</t>
  </si>
  <si>
    <t xml:space="preserve">הצעת חוק לתיקון פקודת המשטרה (תיעוד חזותי של השימוש במכתזית), התשפ"ב-2022</t>
  </si>
  <si>
    <t xml:space="preserve"> (פ/3684/24)</t>
  </si>
  <si>
    <t xml:space="preserve">30.06.2022</t>
  </si>
  <si>
    <t xml:space="preserve"> (פ/3665/24)</t>
  </si>
  <si>
    <t xml:space="preserve">חוק לעידוד מחקר, פיתוח וחדשנות טכנולוגית בתעשייה (תיקון מס' 8), התשפ"ב-2022 </t>
  </si>
  <si>
    <t xml:space="preserve"> (מ/1521)</t>
  </si>
  <si>
    <t xml:space="preserve">29.06.2022</t>
  </si>
  <si>
    <t xml:space="preserve">התיקון קובע את העברת הסמכויות הקבועות בחוק לעידוד מחקר, פיתוח וחדשנות טכנולוגית בתעשייה, התשמ"ד–1984, וכן את שטח הפעולה המתייחס לפעילות המדען הראשי, משר הכלכלה והתעשייה, לשר החדשנות, המדע והטכנולוגיה.</t>
  </si>
  <si>
    <t xml:space="preserve">חוק הבחירות לכנסת העשרים וחמש (הוראות מיוחדות ותיקוני חקיקה), התשפ"ב–2022</t>
  </si>
  <si>
    <t xml:space="preserve"> (כ/931)</t>
  </si>
  <si>
    <t xml:space="preserve">הבחירות לכנסת ה-25 נערכו בצל סמיכות הזמנים בין מערכת הבחירות האמורה למערכות הבחירות הקודמות ולצד התפשטות מחודשת של נגיף הקורונה. על רקע זאת, לקראת הבחירות לכנסת ה-25, נעשו מספר שינויים הנוגעים לבחירות וביניהם: הקלה על העסקת עובד רשות ציבורית בוועדת בחירות, הקמת קלפיות מיוחדות בבתי אבות, לחולי קורונה ולמבודדים,  גמישות בנושא המכרזים עבור וועדת הבחירות המרכזית על מנת שתוכל להיערך במהירות לקראת הבחירות. </t>
  </si>
  <si>
    <t xml:space="preserve">הצעת חוק יחסי ממון בין בני זוג (תיקון - הפקעת זכות האיזון מבן זוג שהורשע ברצח בן הזוג השני), התשפ"א-2021</t>
  </si>
  <si>
    <t xml:space="preserve"> (פ/1786/24)</t>
  </si>
  <si>
    <t xml:space="preserve"> (פ/1785/24)</t>
  </si>
  <si>
    <t xml:space="preserve">הצעת חוק הגנה על זכויות ילדים נפגעי עבירת המתה בדירת המשפחה, התשפ"ב–2022</t>
  </si>
  <si>
    <t xml:space="preserve"> (פ/718/24)</t>
  </si>
  <si>
    <t xml:space="preserve"> (כ/935)</t>
  </si>
  <si>
    <t xml:space="preserve">חוק משפחות חיילים שנספו במערכה (תגמולים ושיקום) (תיקון מס' 40), התשפ"ב-2022 </t>
  </si>
  <si>
    <t xml:space="preserve"> (מ/1569)</t>
  </si>
  <si>
    <t xml:space="preserve">נקבע כי אח של אדם שנספה בעת שירותו בכוחות הביטחון או שנפטר כתוצאה מפגיעת איבה יוכר כחלק מהמשפחה השכולה של הנספה או של האדם שנפטר, לפי העניין. הורחב סל ההטבות לאחי הנספה ונקבע כי מימון שכר לימוד במוסד אקדמי יינתן ישירות לאחי הנספה, ולא באמצעות ההורה השכול, והזכאות תורחב כך שהמימון יינתן בעבור כל שנת לימודים שהחלה בטרם מלאו לאח 40 שנים. בנוסף נקבע כי גם אחי הנספה זכאי לסיוע במימון התערבויות לרווחה רגשית במקום לסיוע במימון טיפול נפשי. </t>
  </si>
  <si>
    <t xml:space="preserve">הצעת חוק משפחות חיילים שנספו במערכה (תגמולים ושיקום) (תיקון - הטבות לאח הנספה), התשפ''ב-2022 </t>
  </si>
  <si>
    <t xml:space="preserve"> (פ/3762/24)</t>
  </si>
  <si>
    <t xml:space="preserve"> (פ/3576/24)</t>
  </si>
  <si>
    <t xml:space="preserve">הצעת חוק משפחות חיילים שנספו במערכה (תגמולים ושיקום) (תיקון - מענק לימודים), התשפ"ב-2022</t>
  </si>
  <si>
    <t xml:space="preserve"> (פ/3438/24)</t>
  </si>
  <si>
    <t xml:space="preserve">הצעת חוק משפחות חיילים שנספו במערכה (תגמולים ושיקום) (תיקון מס' 40) (אחים שכולים), התשפ"ב–2022</t>
  </si>
  <si>
    <t xml:space="preserve"> (פ/2445/24)</t>
  </si>
  <si>
    <t xml:space="preserve"> (כ/915)</t>
  </si>
  <si>
    <t xml:space="preserve">הצעת חוק הביטוח הלאומי (תיקון מס' 218) (שינוי המונח נכה), התשפ"א-2020</t>
  </si>
  <si>
    <t xml:space="preserve"> (פ/275/23)</t>
  </si>
  <si>
    <t xml:space="preserve"> (כ/853)</t>
  </si>
  <si>
    <t xml:space="preserve">חוק התפזרות הכנסת העשרים וארבע ומימון מפלגות, התשפ"ב-2022</t>
  </si>
  <si>
    <t xml:space="preserve"> (פ/1345/24)</t>
  </si>
  <si>
    <t xml:space="preserve"> (כ/923)</t>
  </si>
  <si>
    <t xml:space="preserve">החוק מורה על התפזרות הכנסת ה-24 וקיום הבחירות לכנסת ה-25 ביום 1.11.2022. בנוסף נקבעה הוראת שעה המאפשרות לסיעות לדחות את החזר ההלוואות שקיבלו מהכנסת לפי חוק מימון מפלגות לתקופת כהונתה של הכנסת ה-25. </t>
  </si>
  <si>
    <t xml:space="preserve">הצעת חוק התפזרות הכנסת העשרים וארבע ומימון מפלגות, התשפ"ב-2022</t>
  </si>
  <si>
    <t xml:space="preserve"> (פ/3660/24)</t>
  </si>
  <si>
    <t xml:space="preserve"> (כ/928)</t>
  </si>
  <si>
    <t xml:space="preserve">חוק ההתיישנות (תיקון מס' 7), התשפ"ב–2022</t>
  </si>
  <si>
    <t xml:space="preserve"> (פ/1935/24)</t>
  </si>
  <si>
    <t xml:space="preserve"> (כ/890)</t>
  </si>
  <si>
    <t xml:space="preserve">הוחלט לקבוע כי תקופת ההתיישנות של תביעה אזרחית שמגיש נפגע עבירת מין או התעללות בקטין תוארך, ככלל, עד הגיע הנפגע לגיל 35. עם זאת, הוחלט כי לא יתאפשר להעביר את נטל הראיה מהתובע לנתבע בטענת "הדבר מעיד על עצמו" אם מדובר בתביעת רשלנות כנגד צד שלישי שהוגשה לאחר שמלאו לנפגע 28 שנים והנתבע אינו הפוגע, בן משפחתו של הנפגע או אדם שהיה אחראי עליו. כן הוחלט כי גם כאשר התנהל הליך פלילי תקופת ההתיישנות האזרחית תוארך עד גיל 35 או עד תום שנה מיום שפסק הדין הפלילי הפך חלוט, והסדר זה הוחל גם לגבי לגבי עבירות מין שבוצעו בבגירים.</t>
  </si>
  <si>
    <t xml:space="preserve">חוק העונשין (תיקון מס' 143 והוראת שעה), התשפ"ב–2022</t>
  </si>
  <si>
    <t xml:space="preserve"> (פ/720/23)</t>
  </si>
  <si>
    <t xml:space="preserve"> (כ/871)</t>
  </si>
  <si>
    <t xml:space="preserve">הצעת חוק ההתיישנות (תיקון מס' 7) (הארכת תקופת התיישנות של תובענה בגין עבירת מין), התשפ"ב-2022</t>
  </si>
  <si>
    <t xml:space="preserve"> (פ/1859/24)</t>
  </si>
  <si>
    <t xml:space="preserve">הצעת חוק להתמודדות עם תופעת דמי החסות (תיקוני חקיקה), התשפ"ב-2021</t>
  </si>
  <si>
    <t xml:space="preserve"> (פ/2463/24)</t>
  </si>
  <si>
    <t xml:space="preserve">הצעת חוק סדר הדין הפלילי (סמכויות אכיפה – מעצרים) (שטח מחיה במיתקני שירות הביטחון הכללי) (הוראת שעה), התשפ"ב-2022 </t>
  </si>
  <si>
    <t xml:space="preserve"> (מ/1571)</t>
  </si>
  <si>
    <t xml:space="preserve">הצעת חוק העונשין (תיקון מס' 144 והוראת שעה) (החמרת הענישה בעבירות אלימות נגד קטין או חסר ישע), התשפ"ב-2021 </t>
  </si>
  <si>
    <t xml:space="preserve"> (מ/1479)</t>
  </si>
  <si>
    <t xml:space="preserve">הצעת חוק הרשויות המקומיות (מימון בחירות) (תיקון - הגברת עידוד התמודדות נשים לראשות רשות מקומית או מועצה אזורית), התשפ"ב-2022</t>
  </si>
  <si>
    <t xml:space="preserve"> (פ/3728/24)</t>
  </si>
  <si>
    <t xml:space="preserve"> (פ/3182/24)</t>
  </si>
  <si>
    <t xml:space="preserve">הצעת חוק הרשויות המקומיות (מימון בחירות) (תיקון - עידוד ייצוג נשים במועצות אזוריות), התשפ"א-2021</t>
  </si>
  <si>
    <t xml:space="preserve"> (פ/2151/24)</t>
  </si>
  <si>
    <t xml:space="preserve">חוק המכר (דירות) (תיקון מס' 9), התשפ"ב-2022</t>
  </si>
  <si>
    <t xml:space="preserve"> (מ/1548)</t>
  </si>
  <si>
    <t xml:space="preserve">החוק קובע תיקונים שונים לעניין רכישת דירה חדשה – תיקון בנושא פיצוי בגין איחור במסירת דירה לרוכשים, ותיקון בנושא הצמדת מחיר הדירה למדד תשומות הבניה. לעניין פיצוי בגין איחור במסירה החוק קובע כי במידה והמוכר לא העביר את הדירה לרשות הקונה לאחר חודש מתום מועד המסירה הקבוע בחוזה המכר, ישלם המוכר לקונה פיצויים ללא הוכחת נזק בשל איחור במסירה – פיצויים שהוסכם עליהם בחוזה או פיצויים בשיעור הבא: בחודשים השני עד הרביעי - סכום השווה לדמי שכירות של דירה דומה בגודלה ובמיקומה; בחודשים החמישי עד העשירי – הסכום האמור כשהוא מוכפל ב-1.25; בחודש ה-11 ואילך – הסכום האמור כשהוא מוכפל ב-1.5. החריג לכך הוא כי המוכר לא יצטרך לשלם פיצויים לקונה אם האיחור במסירת הדירה נגרם כתוצאה ממחדל של הקונה או במקרה שהאיחור הוא תוצאה של פטור בשל אונס או סיכול החוזה כמשמעותם בחוק החוזים (תרופות בשל הפרת חוזה), התשל"א–1970. לעניין הצמדת מחיר הדירה למדד תשומות הבניה,  החוק קובע כי תשלום בעד רכישת דירה לא יוצמד למדד כלשהו ולא תתווסף עליו ריבית (למעט בשל איחור בתשלום). עם זאת, הצדדים לחוזה המכר רשאים להסכים ביניהם כי עד מחצית מכל תשלום יוצמד למדד תשומות הבנייה, ובלבד ש-20% מהמחיר החוזי המשולמים לא יוצמדו למדד כלשהו, וכי ההצמדה תחול עד למועד שלא יאוחר ממועד המסירה כפי שנקבע בחוזה. תחילתו של החוק שבעה ימים מיום פרסומו, והוא לא יחול על דירה שחוזה המכר לגביה נכרת לפני תחילתו.</t>
  </si>
  <si>
    <t xml:space="preserve">הצעת חוק לתיקון פקודת האגודות השיתופיות (מספר בתי אב ביישוב קהילתי), התשפ"ב-2021</t>
  </si>
  <si>
    <t xml:space="preserve"> (פ/2386/24)</t>
  </si>
  <si>
    <t xml:space="preserve"> (פ/2190/24)</t>
  </si>
  <si>
    <t xml:space="preserve">הצעת חוק הגנת הצרכן (תיקון - שלוחה טלפונית ייעודית לביטול עסקה), התשפ"ב-2022</t>
  </si>
  <si>
    <t xml:space="preserve"> (פ/2958/24)</t>
  </si>
  <si>
    <t xml:space="preserve">חוק שוויון זכויות לאנשים עם מוגבלות (תיקון מס' 23), התשפ"ב-2022</t>
  </si>
  <si>
    <t xml:space="preserve"> (מ/1444)</t>
  </si>
  <si>
    <t xml:space="preserve">החוק מרחיב את סמכויות האכיפה של נציבות שוויון זכויות לאנשים עם מוגבלות, וכולל הסדרה של מנגנון הטלת עיצומים כספיים על מי שלא הנגיש את מקום העסק שלו. ההפרות וסכומי העיצומים מפורטים בחוק, ונקבעו לפי גודל העסק המפר וכן לפי המשאבים והמאמץ שבית העסק צריך להשקיע על מנת לעמוד בקיום חובת הנגישות שהופרה. כמו כן כולל החוק מנגנון של הגשת תביעה על ידי הנציבות בשם אדם שנפגע מהפרת הוראות החוק.</t>
  </si>
  <si>
    <t xml:space="preserve">חוק לתיקון פקודת העיריות (מס' 151), התשפ"ב–2022 </t>
  </si>
  <si>
    <t xml:space="preserve"> (מ/1344)</t>
  </si>
  <si>
    <t xml:space="preserve">החוק מסדיר את אופן ההתקשרות בין רשויות מקומיות לבין חברות הגבייה הפועלת מטעמן, את יחסי הגומלין בניהן ואת הכללים לגביית חובות על ידי רשויות מקומיות.  החוק קובע את סוגי הפעולות שתבצע חברת הגבייה למען גביית כספים המגיעים לרשות המקומית לרבות חובות לקופתה, וכן את הכללים המנחים לטובת גבייה זו.   בנוסף, החוק מסדיר את הליך אישור העסקת חברה הגבייה ועובדיה, קובע את תנאי הכשירות לחברת הגבייה ועובדיה וכן את הליך הפסקת העסקתם. החוק מטיל חובת סודיות ואבטחת מידע על חברות הגבייה ועובדיהן וכן מטיל חובת פיקוח ובקרה של הרשויות המקומיות על חברות הגבייה.</t>
  </si>
  <si>
    <t xml:space="preserve">חוק הניקוז וההגנה מפני שיטפונות (תיקון מס' 7), התשפ"ב–2022</t>
  </si>
  <si>
    <t xml:space="preserve">החוק כולל תיקון מקיף לחוק הניקוז וההגנה מפני שיטפונות, התשי"ח–1957, שמטרתו לשפר את האסדרה בתחום הניקוז, ובכלל זה את הפיקוח על 11 רשויות הניקוז, שהן תאגידים סטטוטוריים שתפקידם לדאוג לניקוז הסדיר של האזור עליו הם מופקדים, ובכלל זה להקים מפעלי ניקוז. כמו כן, מאחר שהחוק בנוסחו קודם התיקון הקנה סמכויות בתחום הניקוז לשני גופים ממשלתיים – משרד החקלאות ופיתוח הכפר (להלן – משרד החקלאות) ומנהל הרשות הממשלתית למים ולביוב (להלן – רשות המים), נקבע בתיקון כי סמכויות האסדרה ירוכזו, ככלל, בידי משרד החקלאות, כדי שיהיה רגולטור אחד לתחום זה. בהתאם לתיקון, הרגולטור האמור יהיה עובד משרד החקלאות שיכהן כממונה לענייני החוק וימלא תפקידים שונים לפיו (להלן – הממונה).  כמו כן, התיקון קובע הסדר חדש לעניין המועצה הארצית לענייני ניקוז (להלן – מועצת הניקוז), שהיא מועצה מייעצת לשר החקלאות ופיתוח הכפר. מאחר שלאורך השנים לא מונו כל חברי המועצה לפי החוק כנוסחו ערב התיקון, נקבע כי יושב ראש מועצת הניקוז יהיה הממונה, וחבריה יהיו נציגי ממשלה וגופים רלוונטיים – נציגי ציבור, נציגי שלטון מקומי ונציג חקלאים. כמו כן, נקבעו הוראות מפורטות המתאימות לחקיקה עדכנית לגבי כהונתה וסדרי עבודתה של מועצת הניקוז.  נושא נוסף שמוסדר בתיקון הוא הסמכת מנהל רשות המים לתת לרשות ניקוז אישור מותנה לתכניות להקמת מפעלי ניקוז המחייבים אישור מרשות המים, וזאת במטרה לייעל את ההליכים הנדרשים לפי דין להקמת מפעלי ניקוז. האישור המותנה כולל מתן רישיונות לפי חוק המים, הנדרשים להקמת מפעל הניקוז. אישור מנהל רשות המים למפעל הניקוז יהיה מותנה בהשלמת הקמתו של מפעל הניקוז לפי התכנית להקמת מפעל הניקוז שהוגשה לאישורו.  כמו כן, התיקון קובע את סמכות הממונה להחליף באופן זמני את הנהלתה של רשות ניקוז שאינה ממלאת כראוי את תפקידיה לפי החוק ולמנות לה מנהל מיוחד, כדי להגביר את הפיקוח על רשויות הניקוז ולהביא לתפקוד יעיל שלהן. לפי התיקון, הליך מינוי מנהל מיוחד לרשות ניקוז יהיה בהתאם למנגנון מדורג - הממונה יהיה רשאי לתת לרשות ניקוז הודעה בכתב ובה לדרוש מהרשות לתקן את הפגמים שנפלו בהתנהלותה. אם רשות הניקוז לא תתקן את הפגמים תוך זמן סביר, הממונה יהיה רשאי לתת לה התראה, ולהודיע שיפעיל את סמכויותיו לפי החוק אם לא תתקנם כנדרש. רק אם הפגמים לא יתוקנו על ידי רשות הניקוז גם לאחר ההתראה, הממונה יהיה רשאי להשעות את מנהל הרשות ואת הנהלתה מתפקידם, ולמנות במקומם מנהל מיוחד וכן ועדה שתייעץ למנהל המיוחד. </t>
  </si>
  <si>
    <t xml:space="preserve">חוק התכנון והבנייה (תיקון מס' 139), התשפ"ב-2022 </t>
  </si>
  <si>
    <t xml:space="preserve"> (מ/1464)</t>
  </si>
  <si>
    <t xml:space="preserve">בחוק זה נקבעו ההסדרים הדרושים כדי לקדם חיזוק מבנים בפני רעידות אדמה וזאת כחלופה לתמ"א 38. על פי החוק, יורחבו סמכויותיהן של הוועדות המקומיות לאשר תכניות תוך הוספת זכויות בנייה במספר מסלולים: תכנית לעמידות בפני רעידת אדמה במסלול הריסה ובנייה ומחדש, הריסה והוספת שטחי בניה מגרש אחר, חיזוק, חיזוק והוספת שטחי בנייה במגרש אחר. נוסף על כך, מוצע לקבוע כללים לעניין חבות בהיטל השבחה על תכניות לעמידות בפני רעידות אדמה במסלולים כאמור. בנוסף נקבע מסלול לרישוי מהיר שיאפשר לייעל ולזרז את מימוש תכניות אלה, כך שתוקנה לוועדה המקומית סמכות להחליט במסגרת החלטתה על אישור תכנית, גם על מתן ההיתר לפי התכנית. </t>
  </si>
  <si>
    <t xml:space="preserve">חוק חסיון ראיות (טיפול נפשי בהליכים פליליים שעניינם עבירות מין או עבירות אלימות חמורה במשפחה) (תיקוני חקיקה), התשפ"ב–2022</t>
  </si>
  <si>
    <t xml:space="preserve"> (פ/464/24)</t>
  </si>
  <si>
    <t xml:space="preserve"> (כ/884)</t>
  </si>
  <si>
    <t xml:space="preserve">הוחלט לקבל תיקונים שנועדו לחזק את מעמד החיסיון על עדות של רופא בקשר לטיפול נפשי, או עדות של פסיכולוג או של עובד סוציאלי, שחל לגבי נפגע עבירה בעבירות מין או עבירות אלימות חמורה במשפחה. לצד זאת, הוחלט כי נפגע עבירה בעבירות מין מסוימות יהיה זכאי לקבל סיוע משפטי לפי חוק הסיוע המשפטי, התשל"ב–1972, בכל הנוגע לוויתור על החיסיון ולהליכים הקשורים בגילוי החומר הטיפולי החסוי בעניינו.</t>
  </si>
  <si>
    <t xml:space="preserve">חוק שוויון זכויות לאנשים עם מוגבלות (תיקון מס' 22 והוראת שעה), התשפ"ב-2022</t>
  </si>
  <si>
    <t xml:space="preserve"> (פ/1023/24)</t>
  </si>
  <si>
    <t xml:space="preserve"> (כ/886)</t>
  </si>
  <si>
    <t xml:space="preserve">נקבע כי ההוראות שחלות לגבי אדם עם עיוורון המלווה בכלב נחייה יחולו גם על אדם עם מוגבלות הנעזר בחיית שירות, לעניין כניסה למקום ציבורי, שימוש בשירות ציבורי או בתחבורה ציבורית ותעסוקה ובלבד שהאדם עם המוגבלות נושא תעודת חיית סיוע, וחיית הסיוע מסומנת בסימון שיקבע השר. כמו כן נקבעו הוראות לעניין אומן ומאמן של חיית שירות, הוראות לעניין הכרה במרכזי הכשרה והדרכה וארגוני גג לחיות סיוע וכן לעניין תהליך ההכשרה של חיית סיוע ותעודת חיית סיוע. עוד נקבע כי הוראות אחרות בחיקוק הנוגעות לכלב נחייה, כגון פטור מאגרה, יחולו גם לעניין כלב השירות. </t>
  </si>
  <si>
    <t xml:space="preserve">חוק המועצה לענף הלול (ייצור ושיווק) (תיקון מס' 18 והוראת שעה), התשפ"ב-2022</t>
  </si>
  <si>
    <t xml:space="preserve">התיקון לחוק קובע כי התכנון בענף ההטלה יבוטל החל ב-29.6.2032, אך שר החקלאות ופיתוח הכפר, באישור ועדת הכלכלה של הכנסת, מוסמך לדחות את המועד האמור בתקופה שלא תעלה על 3 שנים. בהתאם לחוק המועצה לענף הלול, התשכ"ג-1963, ענף ההטלה בישראל פועל במשטר תכנוני, שלפיו שר החקלאות ופיתוח הכפר קובע בכל שנה בתקנות מכסה ארצית של מספר הביצים לשיווק וכן עקרונות לחלוקה (על ידי ועדת המכסות במועצה לענף הלול) של מכסות אישיות למגדלים העוסקים בגידול תרנגולות מטילות. נוסף על ביטול התכנון, קובע התיקון כי החל ב-1.1.2023 ועד לכניסתו לתוקף של ביטול משטר התכנון, יחולו הוראות מעבר להסדרת התכנון בענף. בהתאם לכך, בתקופת המעבר, המכסה הארצית לגידול ביצי מאכל לשיווק תהיה 2.5 מיליארד ביצים, ושר החקלאות ופיתוח הכפר יוכל להגדילה בצו אם נוצרו תנאים המצדיקים זאת, בשיעור של עד 6% בשנה, או בשיעור של יותר מ-6% באישור ועדת הכלכלה. בנוסף, המגדלים שנקבעו להם מכסות אישיות ערב פרסום התיקון יהיו רשאים להמשיך ולגדל את מכסותיהם לאורך כל תקופת המעבר, ויהיו זכאים לפיצוי מהמדינה אם המשיכו לייצר את מכסותיהם עד תום תקופת המעבר, וזאת בהתאם לתקנות שיתקינו שרי האוצר והחקלאות. ביטול התכנון לא ייכנס לתוקף אם לא יותקנו תקנות כאמור.  כמו כן, שר החקלאות ופיתוח הכפר, בהתייעצות עם המועצה לענף הלול, הוסמך להתקין תקנות שבהן ייקבעו עקרונות ותנאים לקביעת מכסות אישיות לייצור ביצים למגדלים קיימים (שנקבעו להם מכסות בשנת 2022 עד למועד פרסומו של התיקון) וכן למבקשי מכסות חדשים, ואף תוספת מכסה למגדלים קיימים, ובלבד שסך המכסות האישיות לא יעלה על המכסה הארצית. כל עוד לא נקבעו עקרונות אלה בתקנות, יחולו בתקופת המעבר חלק מהתנאים הקבועים היום בתקנות המועצה לענף הלול (כללים בדבר מכסות לייצור ביצי מאכל לשיווק בשנת 2022), התשפ"ב–2022, המובאות בתוספת לחוק.  בנוסף, הוסמך שר החקלאות ופיתוח הכפר לקבוע בתקנות הוראות לעניין חלוקת מכסות שמגדלים החליטו לפדות אותן תמורת פיצוי כספי. המכסות שנפדו מהמגדלים יחולקו בחזרה למגדלים אחרים בענף, בהליך שוויוני שינהל משרד החקלאות ופיתוח הכפר, כאשר השר רשאי לקבוע בתקנות עדיפות בחלוקה למי שהוא כבר בעל מכסה ומייצר את מכסתו. </t>
  </si>
  <si>
    <t xml:space="preserve">חוק סדר הדין הפלילי (תיקון מס' 92 – הוראת שעה), התשפ"ב–2022</t>
  </si>
  <si>
    <t xml:space="preserve"> (מ/1471)</t>
  </si>
  <si>
    <t xml:space="preserve">הוחלט לעגן בחוק בהוראת שעה את סמכותם של בתי המשפט הקהילתיים בישראל ולקבוע בין היתר הוראות להעברת עניינו של נאשם לדיון בבית משפט קהילתי, הוראות לעניין אופן ניהול ההליך בבית המשפט הקהילתי והוראות לעניין העברת עניינו של נאשם מבית המשפט הקהילתי לדיון בבית משפט שלום.</t>
  </si>
  <si>
    <t xml:space="preserve">חוק המרכז לגביית קנסות, אגרות והוצאות (תיקון מס' 25), התשפ"ב-2021</t>
  </si>
  <si>
    <t xml:space="preserve"> (מ/1463)</t>
  </si>
  <si>
    <t xml:space="preserve">הוחלט כי נפגעי עבירה בגירים שנפגעו מעבירות מין, ניסיון לרצח או עבירת המתה יהיו זכאים לתשלום מהמרכז לגביית קנסות על חשבון הפיצוי שייגבה מהנאשם. עוד מוצע להסמיך את מנהל המרכז או עובדו לדרוש מידע מגוף ציבורי על אודות נפגע עבירה כדי לאפשר תקשורת עם הנפגע לקבלת התשלום.</t>
  </si>
  <si>
    <t xml:space="preserve">חוק איסור אלימות בספורט (תיקון מס' 3 והוראת שעה), התשפ"ב-2022 </t>
  </si>
  <si>
    <t xml:space="preserve"> (מ/1546)</t>
  </si>
  <si>
    <t xml:space="preserve">החוק מגביר את סמכויות הענישה והאכיפה המנהליות והפליליות במקרים של אלימות באירועי ספורט, בדרך של הרחבת סמכויות ההרחקה של שוטר, הוספת עבירות מסוימות הקשורות קשר הדוק לאלימות בארועי ספורט, יצירת תשתית להטלת קנסות מנהליים, הקמת ועדה למניעת אלימות בספורט תחת המועצה הלאומית לספורט וקביעת חובות דיווח לכנסת לשם בחינת יעילות הכלים החדשים.</t>
  </si>
  <si>
    <t xml:space="preserve">חוק איסור פרסום מידע לגבי נפגעים, התשפ"ב–2022</t>
  </si>
  <si>
    <t xml:space="preserve"> (פ/1416/24)</t>
  </si>
  <si>
    <t xml:space="preserve"> (כ/903)</t>
  </si>
  <si>
    <t xml:space="preserve">נקבע איסור לפרסם את שמו של נפגע כהגדרתו בחוק וכן כל מידע אחר שעלול להביא לידי זיהויו על ידי כלל הציבור, ובכלל זה על ידי סביבתו הקרובה, כל עוד גורם רשמי לא אישר שנמסרה הודעה לבני משפחתו של הנפגע בדבר פגיעתו. איסור הפרסום יפוג בחלוף 24 שעות ממועד הפגיעה והוא לא יחול על הנפגע, על בני משפחתו ועל מידע שהם התירו לפרסם. עוד נקבעו סייגים לאיסור הפרסום וכן שפרסום בניגוד להוראות החוק הינו עוולה אזרחית ובית המשפט רשאי לפסוק פיצויים בלא הוכחת נזק בסכום שלא יעלה על 10,000 שקלים חדשים.</t>
  </si>
  <si>
    <t xml:space="preserve">חוק לתיקון פקודת מס הכנסה (מס' 262), התשפ״ב-2022</t>
  </si>
  <si>
    <t xml:space="preserve"> (פ/419/24)</t>
  </si>
  <si>
    <t xml:space="preserve"> (כ/880)</t>
  </si>
  <si>
    <t xml:space="preserve">החוק מאריך בשנה את תקופת הזכאות לנקודות זיכוי בחישוב מס הכנסה לעולה חדש, מ-42 חודשים ל-54 חודשים. כמו כן, החוק קובע כי בשנה הראשונה לעלייה, עולה יהיה זכאי לנקודת זיכוי אחת. יתר נקודות הזיכוי הקבועות בפקודה נותרו ללא שינוי ויינתנו בתום השנה הראשונה. תחילתו של חוק זה ביום 1 בינואר 2022, והוא יחול לגבי הכנסה שהופקה או נצמחה למי שנעשה עולה לראשונה ביום התחילה ואילך. </t>
  </si>
  <si>
    <t xml:space="preserve">חוק לתיקון פקודת מס הכנסה (תיקון מס' 261), התשפ"ב-2022</t>
  </si>
  <si>
    <t xml:space="preserve"> (מ/1424)</t>
  </si>
  <si>
    <t xml:space="preserve">מטרת החוק לעדכן את חובות התיעוד והדיווח שחלות על נישומים המשתייכים לקבוצה רב-לאומית-קבוצה המורכבת משתי ישויות או יותר שאחת מהן תושבת חוץ ושמתקיימים ביניהן יחסים מיוחדים - בהתאם לאסדרה הבינלאומית שחלה בנושא. החוק מסמיך את שר האוצר לקבוע הוראות לעניין רישום ותיעוד של ישות המשתייכת לקבוצה רב לאומית. החוק מחיל את חובות הדיווח ביחס לדוחות שיש להגישם לגבי שנת המס 2022 ואילך אולם ישות רשאית להגיש דיווח לפי החוק גם לגבי שנת המס 2021. החוק חוקק על רקע העלייה ביכולתן של קבוצות רב לאומיות לנצל שיעורי מס במדינות שונות, כדי לקבוע מחירי עסקאות ותנאיהן באופן שישולם המס המינימלי, ועל רקע ההסדרה הבין-לאומית הקובעת כללי תיעוד ודיווח.  </t>
  </si>
  <si>
    <t xml:space="preserve">חוק הרשות השנייה לטלוויזיה ורדיו (תיקון מס' 47), התשפ"ב–2022</t>
  </si>
  <si>
    <t xml:space="preserve"> (פ/2340/24)</t>
  </si>
  <si>
    <t xml:space="preserve"> (כ/911)</t>
  </si>
  <si>
    <t xml:space="preserve">התיקון מסמיך את מועצת הרשות השנייה לטלוויזיה ולרדיו (להלן – המועצה) להאריך, בלא מכרז, את תוקפם של זיכיונות לשידורי רדיו אזורי, וזאת לתקופה רביעית במספר. תוקפו של זיכיון לשידורי רדיו הוא ל-4 שנים, ולפי החוק כנוסחו קודם התיקון, הייתה המועצה מוסמכת להאריך בלא מכרז את תוקפם של הזיכיונות בשלוש תקופות נוספות, בהתחשב, בין השאר, בשיקולים המפורטים בחוק, ובהם האפשרות להקצות תדרים ושיקולים כלכליים, ובלבד שמצאה כי בעל הזיכיון מילא את חובותיו לפי חוק ותנאי הזיכיון.  לפי התיקון, המועצה תהיה רשאית להאריך את תוקף הזיכיונות בתקופה אחת נוספת בת ארבע שנים, וזאת רק לבעלי זיכיונות שערב פרסום התיקון היו בתקופת ההארכה השלישית של זיכיונם. החלטת המועצה על הארכה רביעית תתקבל בהתחשב, בין היתר, בהיבטים כלכליים, וזאת נוסף על השיקולים המפורטים בחוק כאמור. עוד קובע התיקון כי כל החלטות המועצה להאריך ללא מכרז את תוקף הזיכיונות לשידורי רדיו אזורי יהיו מנומקות ובכתב, ויפורסמו לציבור באתר האינטרנט של הרשות השנייה לטלוויזיה ולרדיו.</t>
  </si>
  <si>
    <t xml:space="preserve">חוק הבנקאות (רישוי) (תיקון מס' 28), התשפ"ב-2022</t>
  </si>
  <si>
    <t xml:space="preserve"> (מ/1389)</t>
  </si>
  <si>
    <t xml:space="preserve">מטרתו של חוק זה להגביר את התחרות בשוק האשראי למשקי בית ולעסקים קטנים ובינוניים, וזאת באמצעות מתן אפשרות לתאגיד אשראי חוץ-בנקאי לגייס הון באמצעות תעודות התחייבות לתאגידים שחלות לגביהם הוראות לעניין הלימה בין ההון העצמי שלהם לבין התחייבויותיהם ונזילותם. לגבי תאגידים שלא מתקיים לגביהם התנאי האמור, תחול תקרת גיוס של 5 מיליארד ש"ח.</t>
  </si>
  <si>
    <t xml:space="preserve">חוק לתיקון פקודת הראיות (מס' 19), התשפ"ב–2022</t>
  </si>
  <si>
    <t xml:space="preserve"> (מ/1453)</t>
  </si>
  <si>
    <t xml:space="preserve">הוחלט שבית משפט הדן במשפט פלילי יהיה רשאי שלא לקבל ראיה שהושגה שלא כדין אם שוכנע שקבלתה תפגע באופן מהותי בזכות להליך הוגן, בשים לב למספר שיקולים המפורטים בסעיף.</t>
  </si>
  <si>
    <t xml:space="preserve">חוק מענק סיוע לעסקים בשל ההשפעה הכלכלית של התפשטות זן אומיקרון של נגיף הקורונה החדש (הוראת שעה), התשפ"ב-2022 </t>
  </si>
  <si>
    <t xml:space="preserve"> (מ/1538)</t>
  </si>
  <si>
    <t xml:space="preserve"> החוק קובע הוראות לעניין מענקי סיוע לעסקים קטנים ובינוניים אשר נפגעו בשל התפשטות זן אומיקרון של נגיף הקורונה בחודשים ינואר ופברואר 2022. לפי החוק, הזכאות למענק הסיוע היא לעסקים שמחזור עסקאותיהם בשנת הבסיס (שנת 2019 או תקופה מאוחרת יותר, בהתאם למועד תחילת פעילותו של העסק) ובשנת 2021 עולה על 18 אלף ש"ח ואינו עולה על 80 מיליון ש"ח, וכן מחזור עסקאותיהם בחודשים ינואר ופברואר 2022 נמוך בשיעור של 25% לפחות ממחזור עסקאותיהם בתקופה המקבילה בשנת 2019.  סכום מענק הסיוע לעוסק שמחזור עסקאותיו בשנת הבסיס אינו עולה על 300 אלף ש"ח נקבע באופן הדרגתי בהתאם למחזור העסקאות, ואילו סכום המענק לעוסק שמחזור עסקאותיו עולה על 300 אלף ש"ח נקבע לפי הנוסחה הקבועה בחוק, ובלבד שסכום המענק לא יפחת מ-9,350 ש"ח ולא יעלה על 600 אלף ש"ח. </t>
  </si>
  <si>
    <t xml:space="preserve">חוק רישוי שירותים ומקצועות בענף הרכב (תיקון מס' 8), התשפ"ב–2022</t>
  </si>
  <si>
    <t xml:space="preserve"> (מ/1487)</t>
  </si>
  <si>
    <t xml:space="preserve">חוק רישוי שירותים ומקצועות בענף הרכב, התשע"ו–2016 (להלן – החוק) מסדיר באופן מקיף תחומים שונים בענף הרכב, ובהם ייבוא רכב, מוסכים ושמאות רכב, ובמסגרתו נקבעו הסדרים עדכניים שנועדו להחליף צווים שהותקנו מכוח חוק הפיקוח על מצרכים ושירותים, התשי"ח–1957 (להלן – צווי הפיקוח), שהם חקיקה לשעת חירום, ובהם הוסדרו תחומים אלה עד לחקיקת החוק. נושאים מסוימים מוסדרים בהוראות נוהל שנקבעו לפי צווי הפיקוח.  לשם יישומו המלא של החוק יש צורך בהתקנת מספר רב של תקנות, חלקן באישור ועדת הכלכלה של הכנסת. כדי לאפשר לשרת התחבורה והבטיחות בדרכים להשלים את התקנתן של כל התקנות הנדרשות, נקבעה בחוק הוראת שעה שלפיה צווי הפיקוח והוראות הנוהל מכוחם ימשיכו לעמוד בתוקף עד שיותקנו אותן תקנות. הוראת שעה זו פקעה, לאחר הארכות, ב-31.12.2021. מאחר שטרם הושלמה התקנתן של התקנות הנדרשות מכוח החוק, אשר אמורות להחליף את צווי הפיקוח, נקבע בתיקון לחוק כי תוקפם של צווי הפיקוח יוארך עד ל-31.7.2022, כלומר בשבעה חודשים, וכי שרת התחבורה והבטיחות בדרכים תוכל להאריך את התקופה האמורה בצו באישור ועדת הכלכלה, בתקופות נוספות שלא יעלו במצטבר על 6 חודשים. כדי למנוע את פקיעתם של צווי הפיקוח, התיקון ייכנס לתוקף ב-1.1.2022. עוד נקבע כי בחודש אפריל 2022 ימסור המנהל הכללי של משרד התחבורה והבטיחות בדרכים דיווח לוועדת הכלכלה על התקדמות הליכי התקנת התקנות לפי החוק, ובכלל זה התקנות להחלפת צווי הפיקוח, אולם בשל העיכוב בהשלמת הליכי חקיקתו של התיקון, דיווח זה לא נמסר במועדו. </t>
  </si>
  <si>
    <t xml:space="preserve">חוק התכנית הכלכלית (תיקוני חקיקה ליישום המדיניות הכלכלית לשנות התקציב 2021 ו-2022), התשפ"ב-2021</t>
  </si>
  <si>
    <t xml:space="preserve">חוק זה מגיע לצד חוק התקציב, וקובע שינויים בתחומים הבאים: דיוור דיגיטלי, תאגידים שהוקמו לפי חוק, בינוי ושיכון, צמצום פערים מגדריים בשוק העבודה והעלאת גיל הפרישה לנשים, היוועדות חזותית, שכירות מוסדית, כבאות, ניקוז, תחבורה, אנרגיה, חקלאות, רישוי עסקים, עבודות פיתוח בתכנית למגורים, תקשורת, שירות מידע פיננסי, אסדרה, ייעול מערך הכשרות, רכבת תחתית (מטרו), רישוי באמצעות מורשה להיתר וייבוא. </t>
  </si>
  <si>
    <t xml:space="preserve">חוק הגז הפחמימני המעובה, התשפ"א-2020 </t>
  </si>
  <si>
    <t xml:space="preserve"> (מ/1346)</t>
  </si>
  <si>
    <t xml:space="preserve">חוק הגז הפחמימני המעובה, התשפ"א–2020 (להלן – החוק), התקבל בקריאה השנייה והשלישית ביום כ"ג בכסלו התשפ"א (9 בדצמבר 2020).  החוק יוצר אסדרה חדשה ומקיפה לתחום הגז הפחמימני המעובה (גפ"מ או גז ביתי) ומתקן את חוק הגז (בטיחות ורישוי), התשמ"ט–1989, החל היום על גפ"מ ועל גז טבעי, כך שיחול רק על גז טבעי. החוק קובע מספר הוראות שאינן משנות את המצב המשפטי הקיים, ובכלל זה הוראות לעניין חובת הרישוי של ספקי גז ושל העוסקים בביצוע עבודות גז – רישיונות הניתנים על ידי המנהל במשרד האנרגיה; הוראות לעניין חובות בעלי הרישיונות, ובכלל זה חובות דיווח של ספקי הגז למנהל במשרד האנרגיה; חובת קבלת היתר למיתקני גז מסוימים וחובת ביצוע בדיקות למיתקני גז.  כמו כן, החוק מסדיר לראשונה את תחום סוכני הגז הפועלים מטעם ספקי גז, וקובע כי ספק גז לא יפעל באמצעות סוכן, אלא אם כן המנהל במשרד האנרגיה התיר לו לעשות כן במסגרת רישיון ספק הגז, לפי תנאים המפורטים בחוק ותנאים נוספים שיפורטו ברישיון ספק הגז. החוק אף מסמיך את המנהל במשרד האנרגיה להחליט כי ספק גז לא יהיה רשאי לפעול באמצעות סוכן, בהתקיים נסיבות המפורטות בחוק. כמו כן, רוב הוראות החוק החלות על ספק הגז – יחולו גם על הסוכן. בנוסף, החוק מחייב את ספק הגז לפקח על פעילות הסוכן מטעמו.  חידוש נוסף בחוק לעומת המצב הקיים נוגע להסמכת שר האנרגיה לקבוע בתקנות, באישור ועדת הכלכלה של הכנסת, הוראות צרכניות. לפי החוק, השר יקבע אמות מידה לעניין הרמה, הטיב והאיכות של השירותים שספק גז יחויב לתת לצרכני גז. התקנות שבהן ייקבעו אמות מידה כאמור יובאו לאישור ועדת הכלכלה עד ליום 1.7.2022. לשם אכיפת הוראות החוק, נקבעו בו הוראות לעניין אכיפה פלילית וכן הוראות לעניין אכיפה מינהלית – הטלת עיצומים כספיים. לעניין זה, נקבע בחוק מנגנון של התראה מינהלית, המאפשר למפר לתקן את ההפרה בטרם הטלת עיצום כספי. החוק כולל גם הוראות בנושא סמכויות מפקחי משרד האנרגיה, לרבות הוראה המאפשרת למפקח להיכנס למקום מגורים ללא צו בית משפט, בשל הסיכון לחיי אדם ולרכוש, וזאת לבקשת מי שמחזיק במקום או אם מיתקן הגז הנמצא במקום מהווה סכנה ממשית ומיידית לאדם או לרכוש. החוק ייכנס לתוקף ב-1 ביולי 2021, למעט חלק מחובות הדיווח של ספקי הגז למנהל במשרד האנרגיה שייכנסו לתוקף ב-1 באוקטובר 2021.</t>
  </si>
  <si>
    <t xml:space="preserve">הצעת חוק הפיקוח על שירותים פיננסיים (ייעוץ, שיווק ומערכת סליקה פנסיוניים) (תיקון - הגבלת עמלת הפצה), התשפ"ב-2022</t>
  </si>
  <si>
    <t xml:space="preserve"> (פ/4072/24)</t>
  </si>
  <si>
    <t xml:space="preserve">הצעת חוק ערבויות מטעם המדינה (תיקון - אישור ועדת הכספים בקביעת מועד תחולה וסיום), התשפ"ב-2022</t>
  </si>
  <si>
    <t xml:space="preserve"> (פ/4071/24)</t>
  </si>
  <si>
    <t xml:space="preserve">הצעת חוק הטלת סנקציות בינלאומיות, התשפ"ב-2022</t>
  </si>
  <si>
    <t xml:space="preserve"> (פ/4070/24)</t>
  </si>
  <si>
    <t xml:space="preserve">הצעת חוק הפיקוח על מעונות יום לפעוטות (תיקון - כשירותם של מחנכים-מטפלים), התשפ"ב-2022</t>
  </si>
  <si>
    <t xml:space="preserve"> (פ/4069/24)</t>
  </si>
  <si>
    <t xml:space="preserve">הצעת חוק נכסים שהם אוצרות המדינה, התשפ"ב-2022</t>
  </si>
  <si>
    <t xml:space="preserve"> (פ/4068/24)</t>
  </si>
  <si>
    <t xml:space="preserve">הצעת חוק ביטוח בריאות ממלכתי (תיקון - מחלה נדירה), התשפ"ב-2022</t>
  </si>
  <si>
    <t xml:space="preserve"> (פ/3980/24)</t>
  </si>
  <si>
    <t xml:space="preserve">הצעת חוק ביטוח בריאות ממלכתי (תיקון מס' 66) (מחלה נדירה), התשפ"ב–2022</t>
  </si>
  <si>
    <t xml:space="preserve"> (פ/2681/24)</t>
  </si>
  <si>
    <t xml:space="preserve"> (כ/932)</t>
  </si>
  <si>
    <t xml:space="preserve">הצעת חוק זכויות נפגעי עבירה (תיקון מס' 16) (הרחבת זכויות נפגעי עבירה), התשפ"ב–2022</t>
  </si>
  <si>
    <t xml:space="preserve"> (פ/2535/24)</t>
  </si>
  <si>
    <t xml:space="preserve"> (כ/929)</t>
  </si>
  <si>
    <t xml:space="preserve">הצעת חוק לתיקון פקודת התעבורה (מס' 131) (תוספת פיגור בשל אי־תשלום קנס בעבירת חניה), התשפ"ב–2022</t>
  </si>
  <si>
    <t xml:space="preserve"> (פ/846/24)</t>
  </si>
  <si>
    <t xml:space="preserve"> (כ/933)</t>
  </si>
  <si>
    <t xml:space="preserve">הצעת חוק לתיקון פקודת התעבורה (ריבית פיגורים בשל אי תשלום קנס על עבירת חניה), התשפ"ב-2021</t>
  </si>
  <si>
    <t xml:space="preserve"> (פ/2704/24)</t>
  </si>
  <si>
    <t xml:space="preserve">28.06.2022</t>
  </si>
  <si>
    <t xml:space="preserve">הצעת חוק להבטחת פיצוי לתושבי גבעת עמל, התשפ"ב-2022</t>
  </si>
  <si>
    <t xml:space="preserve"> (פ/3634/24)</t>
  </si>
  <si>
    <t xml:space="preserve">הצעת חוק המקרקעין (תיקון מס' 36) (מנגנון שבת למשאבת מים), התשפ"ב–2022</t>
  </si>
  <si>
    <t xml:space="preserve"> (פ/3758/24)</t>
  </si>
  <si>
    <t xml:space="preserve">הצעת חוק ביטוח בריאות ממלכתי (תיקון - מחלה נדירה), התשפ"ב-2021</t>
  </si>
  <si>
    <t xml:space="preserve"> (פ/2828/24)</t>
  </si>
  <si>
    <t xml:space="preserve">חוק התקשורת (בזק ושידורים) (תיקון מס' 76), התשפ"ב-2022</t>
  </si>
  <si>
    <t xml:space="preserve"> (מ/1404)</t>
  </si>
  <si>
    <t xml:space="preserve">התיקון לחוק קובע שינוי מקיף במתכונת האסדרה של שירותי הבזק, כלומר שירותי תקשורת שאינם שידורים, ובראשם אינטרנט ושירותי סלולר. בהתאם להוראות חוק התקשורת (בזק ושידורים), התשמ"ב-1982 כנוסחו קודם התיקון, מתן שירותי בזק היה כפוף, ככלל, לחובה לקבל רישיון מאת משרד התקשורת. התיקון מצמצם את מספר שירותי הבזק שיהיו כפופים לאסדרה ומעביר את רוב השירותים מחובת רישוי לחובת רישום במרשם שינהל משרד התקשורת ולכפיפות לתקנות ההיתר הכללי שיתקין שר התקשורת, וזאת במטרה להקטין את הנטל הבירוקרטי, להפחית את חסמי הכניסה לשוק ולעודד כניסה של שחקנים חדשים לפעילות בתחום זה.  בהתאם לתיקון, שירותי בזק שאספקתם תהיה כפופה לאסדרה (רישוי או תקנות ההיתר הכללי) יהיו שירותים הניתנים לציבור הרחב שהם אחד מאלה: שירות טלפוניה, שירות גישה לאינטרנט ושירות העברת נתונים עבור לקוחות שלא באמצעות רשת האינטרנט הפתוחה אלא באמצעות רשתות ייעודיות (שירות הנפוץ בעיקר בקרב לקוחות עסקיים). מי שנותן שירותי בזק הכפופים לאסדרה, בין אם במסגרת המרשם או במסגרת רישיון, יכונה ספק מורשה. במקום מתן רישיונות פרטניים, ברירת המחדל תהיה אסדרה באמצעות רישום במרשם באופן מהיר ופשוט, בתוך עשרה ימי עבודה בלבד, ולאחר בדיקת תנאי סף מינימליים על ידי משרד התקשורת, ועל הרשומים במרשם יחולו תקנות ההיתר הכללי. עם זאת, מתן שירותי בזק מסוימים המוגדרים בחוק יוסיף להיות כפוף לקבלת רישיון פרטני (נוסף על כפיפות לתקנות ההיתר הכללי), מאחר שהשירותים האמורים הם בעלי חשיבות מיוחדת או שיש לגביהם הצדקה לאסדרה ופיקוח הדוקים יותר. בשירותים אלה ייכללו שירותי סלולר, שירותי בזק שניתנים להיקף גדול של משתמשים, שירותי בזק שניתנים תוך שימוש בלוויין או בכבל תת-ימי וכן שירותי בזק הניתנים על ידי רשות מקומית.  כמו כן, נקבעה במסגרת התיקון הוראת מעבר המאפשרת ביצוע ניסויים בטכנולוגיית דור 5 וזאת תוך קביעת פטור מקבלת רישיון או רישום במרשם. הוראת המעבר, שתחול למשך 9 חודשים ממועד פרסומו של התיקון ברשומות, קובעת כי הפטור כאמור יחול רק אם השירות במסגרת הניסוי ניתן ל-500 מנויים לכל היותר, וכי אם הניסויים יכללו מתן שירות בתשלום למנויים, יחולו על נותני השירות חובות גילוי מוגברות לגבי מאפייני השירות במסגרת ניסוי.  תחילתו של התיקון ביום 2.10.2022, אך שר התקשורת, באישור ועדת הכלכלה של הכנסת, רשאי לדחות את יום התחילה בתקופה אחת נוספת שלא תעלה על שישה חודשים, וזאת בין היתר אם טרם הותקנו תקנות ההיתר הכללי או לא הושלמה ההיערכות להפעלת המרשם.</t>
  </si>
  <si>
    <t xml:space="preserve">הצעת חוק הספורט (תיקון מס' 17) (זכויות ספורטאי קטין), התשפ"ב–2022</t>
  </si>
  <si>
    <t xml:space="preserve"> (פ/3643/24)</t>
  </si>
  <si>
    <t xml:space="preserve"> (כ/916)</t>
  </si>
  <si>
    <t xml:space="preserve">בדיון בוועדה על החלת דין רציפות</t>
  </si>
  <si>
    <t xml:space="preserve">הצעת חוק ביטוח בריאות ממלכתי (תיקון - החזר הוצאות עבור נסיעה באמבולנס), התשפ"ב-2022 </t>
  </si>
  <si>
    <t xml:space="preserve"> (פ/3129/24)</t>
  </si>
  <si>
    <t xml:space="preserve">הצעת חוק הסדרת העיסוק במקצועות הטיפול הרפואי, התשפ"ב–2022</t>
  </si>
  <si>
    <t xml:space="preserve"> (פ/2990/24)</t>
  </si>
  <si>
    <t xml:space="preserve">הצעת חוק הנכים (תגמולים ושיקום) (תיקון מס' 32) (הארכת תקופת הערעור על החלטת קצין תגמולים), התשפ"ב–2022</t>
  </si>
  <si>
    <t xml:space="preserve"> (פ/2871/24)</t>
  </si>
  <si>
    <t xml:space="preserve"> (כ/900)</t>
  </si>
  <si>
    <t xml:space="preserve">הצעת חוק הסיוע המשפטי (תיקון - סיוע משפטי לנפגעי עבירות), התשפ"ב-2021</t>
  </si>
  <si>
    <t xml:space="preserve"> (פ/2616/24)</t>
  </si>
  <si>
    <t xml:space="preserve">הצעת חוק שירותי רווחה (זכויות נשים ששהו במקלט לנשים מוכות) (תיקון מס' 4) (החלפת מונח וסיוע במיצוי זכויות), התשפ"ב–2022</t>
  </si>
  <si>
    <t xml:space="preserve"> (פ/2177/24)</t>
  </si>
  <si>
    <t xml:space="preserve"> (כ/910)</t>
  </si>
  <si>
    <t xml:space="preserve">הצעת חוק סיוע לנפגעי אסון לאומי-אזרחי, התשפ"ב–2022</t>
  </si>
  <si>
    <t xml:space="preserve"> (פ/2135/24)</t>
  </si>
  <si>
    <t xml:space="preserve"> (כ/908)</t>
  </si>
  <si>
    <t xml:space="preserve">הצעת חוק האנטומיה והפתולוגיה (תיקון מס' 3) (המרכז הלאומי לרפואה משפטית), התשפ"ב-2022</t>
  </si>
  <si>
    <t xml:space="preserve"> (פ/2049/24)</t>
  </si>
  <si>
    <t xml:space="preserve"> (כ/925)</t>
  </si>
  <si>
    <t xml:space="preserve">הצעת חוק חובת דיווח שנתי על מצב הטבע והמגוון הביולוגי בישראל, התשפ"ב-2022</t>
  </si>
  <si>
    <t xml:space="preserve"> (פ/1492/24)</t>
  </si>
  <si>
    <t xml:space="preserve"> (כ/926)</t>
  </si>
  <si>
    <t xml:space="preserve">הצעת חוק הרשויות המקומיות (בחירות) (תיקון מס' 53) (תשלום שכר לעובד שאינו תושב הרשות המקומית), התשפ"ב–2022</t>
  </si>
  <si>
    <t xml:space="preserve"> (פ/1364/24)</t>
  </si>
  <si>
    <t xml:space="preserve"> (כ/894)</t>
  </si>
  <si>
    <t xml:space="preserve">הצעת חוק הוועדה לטיפול במשפחות אזרחים נעדרים, התשפ"ב–2022</t>
  </si>
  <si>
    <t xml:space="preserve"> (פ/1348/24)</t>
  </si>
  <si>
    <t xml:space="preserve"> (כ/913)</t>
  </si>
  <si>
    <t xml:space="preserve">הצעת חוק הביטוח הלאומי (תיקון מס' 233) (תנאי זכאות לדמי לידה), התשפ"ב–2022</t>
  </si>
  <si>
    <t xml:space="preserve"> (פ/546/24)</t>
  </si>
  <si>
    <t xml:space="preserve"> (כ/904)</t>
  </si>
  <si>
    <t xml:space="preserve">הצעת חוק האקלים, התשפ"ב-2022 </t>
  </si>
  <si>
    <t xml:space="preserve"> (מ/1551)</t>
  </si>
  <si>
    <t xml:space="preserve">הצעת חוק התפזרות הכנסת העשרים וארבע, התשפ"ב-2022</t>
  </si>
  <si>
    <t xml:space="preserve"> (פ/4037/24)</t>
  </si>
  <si>
    <t xml:space="preserve">27.06.2022</t>
  </si>
  <si>
    <t xml:space="preserve">הצעת חוק התפזרות הכנסת העשרים וארבע, התשפ"ב-2021</t>
  </si>
  <si>
    <t xml:space="preserve"> (פ/2371/24)</t>
  </si>
  <si>
    <t xml:space="preserve">הצעת חוק התפזרות הכנסת העשרים וארבע, התשפ"א-2021</t>
  </si>
  <si>
    <t xml:space="preserve"> (פ/2140/24)</t>
  </si>
  <si>
    <t xml:space="preserve"> (פ/1986/24)</t>
  </si>
  <si>
    <t xml:space="preserve">הצעת חוק התפזרות הכנסת העשרים וארבע, התשפ"א-2021 </t>
  </si>
  <si>
    <t xml:space="preserve"> (פ/1730/24)</t>
  </si>
  <si>
    <t xml:space="preserve"> (פ/1581/24)</t>
  </si>
  <si>
    <t xml:space="preserve"> (פ/1555/24)</t>
  </si>
  <si>
    <t xml:space="preserve"> (פ/1554/24)</t>
  </si>
  <si>
    <t xml:space="preserve"> (פ/1456/24)</t>
  </si>
  <si>
    <t xml:space="preserve">הצעת חוק-יסוד: הממשלה (תיקון מס' 13) (תקופה מרבית לכהונה בתפקיד ראש הממשלה) </t>
  </si>
  <si>
    <t xml:space="preserve"> (מ/1568)</t>
  </si>
  <si>
    <t xml:space="preserve">הצעת חוק זכויות נפגעי עבירה (תיקון - חובת יידוע נפגעי עבירה בדבר זכויותיהם), התשפ"ב-2021</t>
  </si>
  <si>
    <t xml:space="preserve"> (פ/2794/24)</t>
  </si>
  <si>
    <t xml:space="preserve">הצעת חוק זכויות נפגעי עבירה (תיקון - חובת יידוע נפגעי עבירה בדבר זכויותיהם), התשפ"א-2021</t>
  </si>
  <si>
    <t xml:space="preserve"> (פ/1044/24)</t>
  </si>
  <si>
    <t xml:space="preserve">הצעת חוק כביש אגרה (כביש ארצי לישראל) (תיקון - פטור מאגרה בשל האטה ממהירות הנסיעה המותרת), התשפ"ב-2022</t>
  </si>
  <si>
    <t xml:space="preserve"> (פ/3977/24)</t>
  </si>
  <si>
    <t xml:space="preserve">הצעת חוק הבחירות (דרכי תעמולה) (תיקון מס'..) (יישום המלצות הוועדה הציבורית), התשפ"ב-2022</t>
  </si>
  <si>
    <t xml:space="preserve">חוק שירותי רווחה לאנשים עם מוגבלות, התשפ"ב-2022 </t>
  </si>
  <si>
    <t xml:space="preserve"> (מ/1543)</t>
  </si>
  <si>
    <t xml:space="preserve">החוק מעגן את זכותם של אנשים עם מוגבלות שבטיפול משרד הרווחה לקבל שירותי רווחה מותאמים בתחומים שנקבעו בתוספת לחוק, בין השאר כדי לתמוך בזכות לחיים עצמאיים ואוטונומיים כפי שהוגדר בחוק. תנאי לזכאות הוא שמי שמבקש הכרה בזכאותו, פנה לגורם מאבחן לצורך אבחון קיומה של מוגבלות מזכה והערכת רמת התמיכה הנדרשת, ושגורם מכיר החליט בדבר הזכאות של מבקש ההכרה ובדבר רמת התמיכה שתינתן לו לאחר קבלת המידע מהגורם המאבחן. לאחר קביעת הגורם המכיר, האדם עם המוגבלות יכין תכנית מענים אישית או הסדר אחר לבחירת השירותים, ותכנית או הסדר זה ידרשו אישור של משרד הרווחה או הרשות המקומית. השירותים שנקבעו בתכנית או בהסדר הם השירותים המותאמים שאותם יוכל האדם עם המוגבלות לממש, והם יינתנו בתוך זמן סביר, באיכות סבירה ובמרחק סביר ממקום המגורים.  אדם עם מוגבלות שכלית התפתחותית יוכל לבחור לקבל את זכאותו לשירותי רווחה לפי חוק זה, במקום לפי חוק הסעד(טיפול באנשים עם מוגבלות שכלית התפתחותית).  והזכאות לפי חוק זה לא תגרע מזכאות לפי חוק אחר, ולא תגרע זכות המגיעה לאדם לפי חוק זה רק בשל כך שאותו אדם זכאי גם לשיקום לפי חוק שיקום נכי נפש בקהילה.  החוק מסמיך לקבוע תקנות הנחוצות ליישום ההסדרים שנקבעו בו, וקובע מסגרת מימון מאוצר המדינה שתגדל הדרגתית בסכום של 430 מיליון ₪ מידי שנה, עד להבשלה מלאה של תוספת בסך 2.15 מיליארד שקלים חדשים לבסיס התקציב וכן קובע מנגנון לעדכון דמוגרפי של התקציב מאותו מועד. משרד הרווחה יקיים פיקוח על ביצוע החוק ויפרסם את דרכי הגשת תלונות על יישומו, וכן יכין תכנית למעבר של אנשים עם מוגבלות ממסגרות מרובות דיירים אל מגורים בקהילה. </t>
  </si>
  <si>
    <t xml:space="preserve">הצעת חוק לתיקון דיני העבודה (העלאת שכר המינימום, הוספת יום חופשה והסדר להשלמת שעות חסרות), התשפ"ב-2022 </t>
  </si>
  <si>
    <t xml:space="preserve"> (מ/1516)</t>
  </si>
  <si>
    <t xml:space="preserve">הצעת חוק המפלגות (תיקון - הורדת גיל ההתפקדות), התשפ"ב-2022</t>
  </si>
  <si>
    <t xml:space="preserve"> (פ/4067/24)</t>
  </si>
  <si>
    <t xml:space="preserve">הצעת חוק הפיקוח על מעונות (תיקון - כשירותם של אנשי צוות), התשפ"ב-2022</t>
  </si>
  <si>
    <t xml:space="preserve"> (פ/4066/24)</t>
  </si>
  <si>
    <t xml:space="preserve">הצעת חוק המועצה להשכלה גבוהה (תיקון - איסור הפליה וקידום שוויון בהשכלה הגבוהה), התשפ"ב-2022</t>
  </si>
  <si>
    <t xml:space="preserve"> (פ/4065/24)</t>
  </si>
  <si>
    <t xml:space="preserve">הצעת חוק לתיקון פקודת מס הכנסה (זיכוי בעד לימודי תואר ראשון), התשפ"ב-2022</t>
  </si>
  <si>
    <t xml:space="preserve"> (פ/4064/24)</t>
  </si>
  <si>
    <t xml:space="preserve">הצעת חוק ביטול הרפורמה בכשרות (תיקוני חקיקה), התשפ"ב-2022</t>
  </si>
  <si>
    <t xml:space="preserve"> (פ/4063/24)</t>
  </si>
  <si>
    <t xml:space="preserve">הצעת חוק לתיקון פקודת מס הכנסה (נקודות זיכוי למשפחות אומנה), התשפ"ב-2022</t>
  </si>
  <si>
    <t xml:space="preserve"> (פ/4062/24)</t>
  </si>
  <si>
    <t xml:space="preserve">הצעת חוק מס רכוש וקרן פיצויים (תיקון - הרחבת הגדרת נזק), התשפ"ב-2022</t>
  </si>
  <si>
    <t xml:space="preserve"> (פ/4061/24)</t>
  </si>
  <si>
    <t xml:space="preserve">הצעת חוק לקידום שירותים פיננסיים חברתיים (תיקוני חקיקה), התשפ"ב-2022</t>
  </si>
  <si>
    <t xml:space="preserve"> (פ/4060/24)</t>
  </si>
  <si>
    <t xml:space="preserve">הצעת חוק לתיקון פקודת מסי העירייה ומסי הממשלה (פטורין) (פטור מארנונה למכללה טכנולוגית מוכרת), התשפ"ב-2022 </t>
  </si>
  <si>
    <t xml:space="preserve"> (פ/4059/24)</t>
  </si>
  <si>
    <t xml:space="preserve">הצעת חוק שקיפות בהצהרת הון לנבחרי ציבור בכירים, התשפ"ב-2022</t>
  </si>
  <si>
    <t xml:space="preserve"> (פ/4058/24)</t>
  </si>
  <si>
    <t xml:space="preserve">הצעת חוק עבודת נשים (תיקון - הארכת תקופת הלידה וההורות להורי פעוט עם מוגבלות מורכבת), התשפ"ב-2022</t>
  </si>
  <si>
    <t xml:space="preserve"> (פ/4057/24)</t>
  </si>
  <si>
    <t xml:space="preserve">הצעת חוק יסודות התקציב (תיקון - הפחתת תקציב או תמיכה בשל פעילות נגד עקרונות המדינה של עובד או נושא משרה), התשפ"ב-2022</t>
  </si>
  <si>
    <t xml:space="preserve"> (פ/4056/24)</t>
  </si>
  <si>
    <t xml:space="preserve">הצעת חוק הבטחת הכנסה (תיקון - הגדלת הסכום שאינו מובא בחשבון לגבי מי שהגיע לגיל פרישה ומי שמשתלמות להם קצבאות אזרח ותיק, שאירים או תלויים), התשפ"ב-2022</t>
  </si>
  <si>
    <t xml:space="preserve"> (פ/4055/24)</t>
  </si>
  <si>
    <t xml:space="preserve">הצעת חוק הבחירות לכנסת (תיקון - הפחתת אחוז החסימה), התשפ"ב-2022</t>
  </si>
  <si>
    <t xml:space="preserve"> (פ/4054/24)</t>
  </si>
  <si>
    <t xml:space="preserve">הצעת חוק פיצוי חייבים בשל עיכוב בהסרת הליכים (תיקוני חקיקה), התשפ"ב-2022</t>
  </si>
  <si>
    <t xml:space="preserve"> (פ/4053/24)</t>
  </si>
  <si>
    <t xml:space="preserve">הצעת חוק מס ערך מוסף (תיקון - מכירת טובין למלכ"ר המיועדים לתרומה לכוחות הביטחון וההצלה), התשפ"ב-2022</t>
  </si>
  <si>
    <t xml:space="preserve"> (פ/4052/24)</t>
  </si>
  <si>
    <t xml:space="preserve">הצעת חוק הבחירות לכנסת (תיקון - זכות הצבעה לאזרחים מחוץ לישראל), התשפ"ב-2022</t>
  </si>
  <si>
    <t xml:space="preserve"> (פ/4051/24)</t>
  </si>
  <si>
    <t xml:space="preserve">הצעת חוק הבחירות (דרכי תעמולה) (תיקון - איסור על תעמולה גזענית), התשפ"ב-2022</t>
  </si>
  <si>
    <t xml:space="preserve"> (פ/4050/24)</t>
  </si>
  <si>
    <t xml:space="preserve">הצעת חוק מימון מפלגות (תיקון - ייצוג לנשים ברשימת המועמדים), התשפ"ב-2022</t>
  </si>
  <si>
    <t xml:space="preserve"> (פ/4049/24)</t>
  </si>
  <si>
    <t xml:space="preserve">הצעת חוק יום הזיכרון לחללי מערכות ישראל (תיקון - הרחבת ההגדרה של חללי מערכות ישראל), התשפ"ב-2022</t>
  </si>
  <si>
    <t xml:space="preserve"> (פ/4048/24)</t>
  </si>
  <si>
    <t xml:space="preserve">הצעת חוק הבחירות לכנסת (תיקון - ביטול אחוז החסימה ותיקון הסכמי עודפים), התשפ"ב-2022</t>
  </si>
  <si>
    <t xml:space="preserve"> (פ/4047/24)</t>
  </si>
  <si>
    <t xml:space="preserve"> (פ/4046/24)</t>
  </si>
  <si>
    <t xml:space="preserve">הצעת חוק שעות עבודה ומנוחה (תיקון - קיצור שבוע העבודה), התשפ"ב-2022</t>
  </si>
  <si>
    <t xml:space="preserve"> (פ/4045/24)</t>
  </si>
  <si>
    <t xml:space="preserve">הצעת חוק הבחירות לכנסת (תיקון - הצבעת סטודנטים), התשפ"ב-2022</t>
  </si>
  <si>
    <t xml:space="preserve"> (פ/4044/24)</t>
  </si>
  <si>
    <t xml:space="preserve">הצעת חוק התמודדות עם תופעת נטילת דמי חסות, התשפ"ב-2022</t>
  </si>
  <si>
    <t xml:space="preserve"> (פ/4043/24)</t>
  </si>
  <si>
    <t xml:space="preserve">הצעת חוק הביטוח הלאומי (תיקון - השוואת קצבת אזרח ותיק לשכר הממוצע במשק), התשפ"ב-2022</t>
  </si>
  <si>
    <t xml:space="preserve"> (פ/4042/24)</t>
  </si>
  <si>
    <t xml:space="preserve">הצעת חוק הסיוע המשפטי (תיקון - סיוע משפטי לנפגעי עבירות) (הוראת שעה), התשפ"ב-2022</t>
  </si>
  <si>
    <t xml:space="preserve"> (פ/4041/24)</t>
  </si>
  <si>
    <t xml:space="preserve"> (פ/4040/24)</t>
  </si>
  <si>
    <t xml:space="preserve">הצעת חוק-יסוד: הכנסת (תיקון - הארכת תקפם של חיקוקים)</t>
  </si>
  <si>
    <t xml:space="preserve"> (פ/4039/24)</t>
  </si>
  <si>
    <t xml:space="preserve">הצעת חוק המידע הפלילי ותקנת השבים (תיקון - סעיף העונשין), התשפ"ב-2022</t>
  </si>
  <si>
    <t xml:space="preserve"> (פ/4038/24)</t>
  </si>
  <si>
    <t xml:space="preserve">הצעת חוק מגבלות על חזרתו של עבריין מין לסביבת נפגע העבירה (תיקון מס' 9) (הרחבת הוראות החוק לגבי מבצעי עבירה קטינים השוהים במעון נעול לפי פקודת המבחן), התשפ"ב–2022</t>
  </si>
  <si>
    <t xml:space="preserve"> (פ/2464/24)</t>
  </si>
  <si>
    <t xml:space="preserve"> (כ/920)</t>
  </si>
  <si>
    <t xml:space="preserve">הצעת חוק לעידוד השקעות הון בחקלאות (תיקון מס' 9), התשפ"ב-2022 </t>
  </si>
  <si>
    <t xml:space="preserve"> (מ/1565)</t>
  </si>
  <si>
    <t xml:space="preserve">הצעת חוק בתי המשפט (תיקון מס' 103) (שופט עמית), התשפ"ב-2022</t>
  </si>
  <si>
    <t xml:space="preserve"> (מ/1566)</t>
  </si>
  <si>
    <t xml:space="preserve">הצעת חוק להסדר ההימורים בספורט (תיקון מס' 16), התשפ"ב-2022</t>
  </si>
  <si>
    <t xml:space="preserve"> (מ/1567)</t>
  </si>
  <si>
    <t xml:space="preserve">הצעת חוק לתיקון פקודת המשטרה (מס' 37) (מערכות צילום מיוחדות), התשפ"ב-2022 </t>
  </si>
  <si>
    <t xml:space="preserve"> (מ/1570)</t>
  </si>
  <si>
    <t xml:space="preserve">הצעת חוק סדר הדין הפלילי (סמכויות אכיפה - מעצרים) (שטח מחיה במיתקני שירות הביטחון הכללי) (הוראת שעה), התשפ"א-2021</t>
  </si>
  <si>
    <t xml:space="preserve"> (מ/1393)</t>
  </si>
  <si>
    <t xml:space="preserve">הבקשה לדין רציפות נדחתה במליאה</t>
  </si>
  <si>
    <t xml:space="preserve">הצעת חוק ביטוח בריאות ממלכתי (תיקון - החזר הוצאות עבור נסיעה באמבולנס), התשפ"א-2021</t>
  </si>
  <si>
    <t xml:space="preserve"> (פ/1382/24)</t>
  </si>
  <si>
    <t xml:space="preserve">26.06.2022</t>
  </si>
  <si>
    <t xml:space="preserve">הצעת חוק מגבלות על חזרתו של עבריין מין לסביבת נפגע העבירה (תיקון - הגבלת אזור מגורים לעבריין מין שנשלח למעון), התשפ"ב-2021</t>
  </si>
  <si>
    <t xml:space="preserve"> (פ/2601/24)</t>
  </si>
  <si>
    <t xml:space="preserve">22.06.2022</t>
  </si>
  <si>
    <t xml:space="preserve">הצעת חוק לפיקוח על ייצור הצמח ושיווקו (תיקון - חובת סימון ארץ הייצור של צמחים הנמכרים בתפזורת), התשפ"ב-2021 </t>
  </si>
  <si>
    <t xml:space="preserve"> (פ/2645/24)</t>
  </si>
  <si>
    <t xml:space="preserve">הצעת חוק הגנת הצרכן (תיקון - סימון תוצרת חקלאית שאינה ארוזה מראש), התשפ''א-2021</t>
  </si>
  <si>
    <t xml:space="preserve"> (פ/897/24)</t>
  </si>
  <si>
    <t xml:space="preserve">הצעת חוק הרבנות הראשית לישראל (תיקון - ייצוג הציבור באסיפה הבוחרת), התשפ"ב-2022</t>
  </si>
  <si>
    <t xml:space="preserve"> (פ/3967/24)</t>
  </si>
  <si>
    <t xml:space="preserve">הצעת חוק החלת הריבונות של מדינת ישראל בחבלי יהודה והשומרון, התשפ"ב-2022</t>
  </si>
  <si>
    <t xml:space="preserve"> (פ/3681/24)</t>
  </si>
  <si>
    <t xml:space="preserve">הצעת חוק משמר עירוני, התשפ"ב-2022</t>
  </si>
  <si>
    <t xml:space="preserve"> (פ/3654/24)</t>
  </si>
  <si>
    <t xml:space="preserve">הצעת חוק העונשין (תיקון - ביטול עבירת המטרד על ידי עיסוק בזנות), התשפ"ב-2022</t>
  </si>
  <si>
    <t xml:space="preserve"> (פ/3644/24)</t>
  </si>
  <si>
    <t xml:space="preserve"> (פ/3548/24)</t>
  </si>
  <si>
    <t xml:space="preserve">הצעת חוק העונשין (תיקון - הגנת בית מגורים, נכס, בית עסק, משק חקלאי מגודר ורכב), התשפ"ב-2022</t>
  </si>
  <si>
    <t xml:space="preserve"> (פ/3475/24)</t>
  </si>
  <si>
    <t xml:space="preserve">הצעת חוק האקלים, התשפ"ב-2022</t>
  </si>
  <si>
    <t xml:space="preserve"> (פ/3364/24)</t>
  </si>
  <si>
    <t xml:space="preserve">הצעת חוק חינוך מיוחד (תיקון - שפת הלימוד במוסד חינוך מיוחד), התשפ"ב-2022</t>
  </si>
  <si>
    <t xml:space="preserve"> (פ/3341/24)</t>
  </si>
  <si>
    <t xml:space="preserve">הצעת חוק העונשין (תיקון - קביעת עונש מינימום לעבירות יידוי אבנים), התשפ"ב-2022</t>
  </si>
  <si>
    <t xml:space="preserve"> (פ/3332/24)</t>
  </si>
  <si>
    <t xml:space="preserve">הצעת חוק הגנת הפרטיות (תיקון - מחיקה ממאגרי מידע), התשפ"ב-2022</t>
  </si>
  <si>
    <t xml:space="preserve"> (פ/3165/24)</t>
  </si>
  <si>
    <t xml:space="preserve">הצעת חוק התקשורת (בזק ושידורים) (תיקון - חובת בעל רישיון להעברת תכני חוזי-שמע להפקה או רכישה של הפקות מקומיות), התשפ"ב-2022</t>
  </si>
  <si>
    <t xml:space="preserve"> (פ/3100/24)</t>
  </si>
  <si>
    <t xml:space="preserve">הצעת חוק זכאות לאבחון לקויות למידה לילדים ממשפחות מעוטות יכולת, התשפ"ב-2022 </t>
  </si>
  <si>
    <t xml:space="preserve"> (פ/3077/24)</t>
  </si>
  <si>
    <t xml:space="preserve">הצעת חוק איסור הלבנת הון (תיקון - איסור גביית דמי שמירה בלא רישיון), התשפ"ב-2022</t>
  </si>
  <si>
    <t xml:space="preserve"> (פ/2986/24)</t>
  </si>
  <si>
    <t xml:space="preserve">הצעת חוק איסור לכידת בעלי חיים באמצעות מלכודות, התשפ"ב–2022</t>
  </si>
  <si>
    <t xml:space="preserve"> (פ/2965/24)</t>
  </si>
  <si>
    <t xml:space="preserve">הצעת חוק בתי המשפט (תיקון - כשירות שופטים), התשפ"ב-2021</t>
  </si>
  <si>
    <t xml:space="preserve"> (פ/2840/24)</t>
  </si>
  <si>
    <t xml:space="preserve">הצעת חוק המועצה להשכלה גבוהה (תיקון - פטור משכר לימוד לסטודנטים מתחת לקו העוני), התשפ"ב-2021</t>
  </si>
  <si>
    <t xml:space="preserve"> (פ/2565/24)</t>
  </si>
  <si>
    <t xml:space="preserve">הצעת חוק החלת הריבונות של מדינת ישראל בחבלי יהודה והשומרון, התשפ"ב-2021</t>
  </si>
  <si>
    <t xml:space="preserve"> (פ/2396/24)</t>
  </si>
  <si>
    <t xml:space="preserve"> (פ/2309/24)</t>
  </si>
  <si>
    <t xml:space="preserve">הצעת חוק הסדרת השימוש בקנאביס למטרות רפואיות, התשפ"ב-2022</t>
  </si>
  <si>
    <t xml:space="preserve"> (פ/2245/24)</t>
  </si>
  <si>
    <t xml:space="preserve"> (כ/895)</t>
  </si>
  <si>
    <t xml:space="preserve">הוועדה המיוחדת לדיון בהצעת חוק הסדרת השימוש בקנאביס למטרות רפואיות, התשפ"ב-2021 (פ/2245/24)</t>
  </si>
  <si>
    <t xml:space="preserve">הצעת חוק בינוי ופינוי של אזורי שיקום (כפר שלם), התשפ"א-2021</t>
  </si>
  <si>
    <t xml:space="preserve"> (פ/2103/24)</t>
  </si>
  <si>
    <t xml:space="preserve">הצעת חוק הבחירות (דרכי תעמולה) (תיקון - איסור על תעמולה גזענית), התשפ"א-2021</t>
  </si>
  <si>
    <t xml:space="preserve"> (פ/1717/24)</t>
  </si>
  <si>
    <t xml:space="preserve">הצעת חוק זכאות לאבחון לקויות למידה לילדים ממשפחות מעוטות יכולת, התשפ"א-2021</t>
  </si>
  <si>
    <t xml:space="preserve"> (פ/1569/24)</t>
  </si>
  <si>
    <t xml:space="preserve"> (פ/1511/24)</t>
  </si>
  <si>
    <t xml:space="preserve">הצעת חוק שירות המדינה (מינויים) (תיקון - מתן העדפה למשרתים בהעדפה מתקנת), התשפ"א-2021</t>
  </si>
  <si>
    <t xml:space="preserve"> (פ/877/24)</t>
  </si>
  <si>
    <t xml:space="preserve">הצעת חוק הבנקאות (רישוי) (תיקון - ועדה לבחינת סגירת סניפי בנק), התשפ"א-2021</t>
  </si>
  <si>
    <t xml:space="preserve"> (פ/865/24)</t>
  </si>
  <si>
    <t xml:space="preserve">הצעת חוק שוויון זכויות לאנשים עם מוגבלות (תיקון - הכשרה מתאימה לממונה תעסוקה), התשפ"א-2021</t>
  </si>
  <si>
    <t xml:space="preserve"> (פ/619/24)</t>
  </si>
  <si>
    <t xml:space="preserve">הצעת חוק למניעת העסקה בתחום החינוך והטיפול של אדם שהורשע או שמואשם בתקיפה או בהתעללות בחסר ישע, התשפ"א-2021</t>
  </si>
  <si>
    <t xml:space="preserve"> (פ/24/24)</t>
  </si>
  <si>
    <t xml:space="preserve">הצעת חוק חוזה הביטוח (תיקון מס' 12) (ריבית מיוחדת והתיישנות), התשפ"ב-2022 </t>
  </si>
  <si>
    <t xml:space="preserve"> (מ/1563)</t>
  </si>
  <si>
    <t xml:space="preserve">הצעת חוק הפיקוח על שירותים פיננסיים (ייעוץ, שיווק ומערכת סליקה פנסיוניים) (תיקון מס' 11), התשפ"ב-2022 </t>
  </si>
  <si>
    <t xml:space="preserve"> (מ/1564)</t>
  </si>
  <si>
    <t xml:space="preserve">הצעת חוק להארכת תוקפן של תקנות שעת חירום (יהודה והשומרון – שיפוט בעבירות ועזרה משפטית) (תיקון), התשפ"ב-2022 </t>
  </si>
  <si>
    <t xml:space="preserve"> (מ/1405)</t>
  </si>
  <si>
    <t xml:space="preserve">הצעת חוק הגנת הצרכן (תיקון מס' 64 – הוראת שעה) (ביטול עסקת מכר מרחוק למתן שירותי תיירות בישראל), התשפ"ב–2022</t>
  </si>
  <si>
    <t xml:space="preserve"> (פ/3073/24)</t>
  </si>
  <si>
    <t xml:space="preserve"> (כ/914)</t>
  </si>
  <si>
    <t xml:space="preserve">21.06.2022</t>
  </si>
  <si>
    <t xml:space="preserve">הצעת חוק תגמולים לאסירי ציון ולבני משפחותיהם (תיקון מס' 9) (שינוי מועד יום ציון פועלם של אסירי ציון וקביעת פעולות לציונו), התשפ"ב-2022</t>
  </si>
  <si>
    <t xml:space="preserve"> (פ/296/24)</t>
  </si>
  <si>
    <t xml:space="preserve"> (כ/899)</t>
  </si>
  <si>
    <t xml:space="preserve">הצעת חוק הקמת מערכת סולארית בבית משותף שהוקם במסגרת עסקת פינוי ובינוי, התשפ"א-2021</t>
  </si>
  <si>
    <t xml:space="preserve"> (פ/1601/24)</t>
  </si>
  <si>
    <t xml:space="preserve">20.06.2022</t>
  </si>
  <si>
    <t xml:space="preserve">הצעת חוק לתיקון פקודת התעבורה (הגבלת סכום אגרת רישיון רכב), התשפ"ב-2021</t>
  </si>
  <si>
    <t xml:space="preserve"> (פ/2503/24)</t>
  </si>
  <si>
    <t xml:space="preserve">חוק פנייה לגופים ציבוריים באמצעי קשר דיגיטליים (תיקון מס' 2 והוראת שעה), התשפ"ב–2022</t>
  </si>
  <si>
    <t xml:space="preserve">נקבע כי יש לתקן את חוק פנייה לגופים ציבוריים באמצעי קשר דיגיטליים, כך שייתן תשתית משפטית להסדרת שליחתם של מסרים מגופים ציבוריים לאזרחים ולתושבים בדרך דיגיטלית. במסגרת ההסדר, נקבעו סטנדרטים מחייבים לשליחת מסרים שביניהם הוראות הנוגעות לשמירה על פרטיות, שמירה על בטחון מידע והוראות שקילות בין דואר פיזי לפנייה באמצעי קשר דיגיטליים לעניין חזקות מסירה. עוד נותן החוק מענה ליצירת קשר בין גופים ציבוריים לאזרחים ותושבים מאוכלוסיות בעלות מאפיינים מיוחדים כמו אזרחים ותיקים וכאלה בעלי אוריינות דיגיטלית נמוכה דרך הסתייעות בבדיקת שימושיות ושליחת דואר פיזי מקביל במקרים מתאימים. </t>
  </si>
  <si>
    <t xml:space="preserve">חוק שמירת הניקיון (תיקון מס' 24), התשפ"ב-2022</t>
  </si>
  <si>
    <t xml:space="preserve"> (פ/2000/24)</t>
  </si>
  <si>
    <t xml:space="preserve"> (כ/876)</t>
  </si>
  <si>
    <t xml:space="preserve">על מנת להקל במצוקת החניה, ולמנוע מצב של ריבוי רכבים נטושים שמושארים במרחב הציבורי ומהווים מפגע, נקבעו בחוק שמירת הניקיון, התשמ"ד-1984, כמה הסדרים שייעלו את הטיפול בתופעה זו.  בין ההסדרים שנקבעו בתיקון זה: קביעת מבחנים ברורים יותר לזיהוי רכב כרכב שנחזה להיות רכב נטוש; קיצור פרק הזמן עד למתן הודעת התראה על גרירת רכב כאמור שהושאר ברשות הרבים מ-60 יום ל-30 יום מיום מתן הודעת האזהרה על זיהוי הרכב כנטוש וכן קיצור פרק הזמן שבו על הרשות לשמור את הרכב לאחר גרירתו מ-60 יום ל-45 יום.  כמו כן נקבע כי הודעות ההתראה על זיהוי רכב כנטוש ועל גרירתו ישלחו לבעל הרכב גם בדרך מקוונת במידה והדבר אפשרי, בנוסף להדבקת ההודעה על הרכב ושליחתה בדואר רשום כפי שהיה מקובל עד לתיקון זה. </t>
  </si>
  <si>
    <t xml:space="preserve">חוק הבנקאות (שירות ללקוח) (תיקון מס' 34), התשפ"ב-2022</t>
  </si>
  <si>
    <t xml:space="preserve"> (פ/2905/24)</t>
  </si>
  <si>
    <t xml:space="preserve"> (כ/901)</t>
  </si>
  <si>
    <t xml:space="preserve">החוק קובע תיקוני חקיקה שונים לפיהם תאגיד בנקאי, מבטח, קופת גמל או חברה המנהלת קופות גמל ובעל רישיון למתן אשראי או בעל רישיון למתן שירותי פיקדון ואשראי, יוכלו לגבות עמלה בשיעור של עד 360 שקלים חדשים בעד טיפול בבקשה להלוואה לדיור (להלן – העמלה).  בתיקוני החקיקה נקבע מנגנון הצמדה מקובל, לפיו תוצמד העמלה למדד המחירים לצרכן שמפרסמת הלשכה המרכזית לסטטיסטיקה ב-1 בינואר בכל שנה, ונקבעה בהם סמכות להטלת עיצום כספי על גוף שיגבה עמלה גבוהה יותר מלקוח.  כמו כן, תוקן נוסח האזהרה המחויבת בעת פרסום הלוואה, שנוסחה "אי עמידה בפירעון ההלוואה עלול לגרור חיוב בריבית פיגורים והליכי הוצאה לפועל". במקום המילה "עלול" הוחלפה המילה ללשון נקבה, במילה "עלולה".  תחילתו של החוק בתוך חודשיים מיום הפרסום (יום הפרסום: 22 ביוני 2022), ויחול על בקשות להלוואה לדיור שהוגשו מיום התחילה ואילך.  </t>
  </si>
  <si>
    <t xml:space="preserve">הצעת חוק להארכת תוקפן של תקנות שעת חירום (יהודה והשומרון - שיפוט בעבירות ועזרה משפטית), התשפ"ב-2022</t>
  </si>
  <si>
    <t xml:space="preserve"> (פ/4036/24)</t>
  </si>
  <si>
    <t xml:space="preserve">הצעת חוק עובדים זרים (תיקון - אי-תחולת הסדר פנסיוני על עובד זר המועסק אצל יחיד בענף הסיעוד), התשפ"ב-2022</t>
  </si>
  <si>
    <t xml:space="preserve"> (פ/4035/24)</t>
  </si>
  <si>
    <t xml:space="preserve">הצעת חוק משפחות חיילים שנספו במערכה (תגמולים ושיקום) (תיקון - תוספת לשכול מבוגר), התשפ"ב-2022</t>
  </si>
  <si>
    <t xml:space="preserve"> (פ/4034/24)</t>
  </si>
  <si>
    <t xml:space="preserve">הצעת חוק הביטוח הלאומי (תיקון - תנאי זכאות לגמלה לשמירת הריון), התשפ"ב-2022</t>
  </si>
  <si>
    <t xml:space="preserve"> (פ/4033/24)</t>
  </si>
  <si>
    <t xml:space="preserve"> (פ/4032/24)</t>
  </si>
  <si>
    <t xml:space="preserve">הצעת חוק חסינות חברי הכנסת, זכויותיהם וחובותיהם (תיקון - פעילות ועדת האתיקה בהרכב חסר), התשפ"ב-2022</t>
  </si>
  <si>
    <t xml:space="preserve"> (פ/4031/24)</t>
  </si>
  <si>
    <t xml:space="preserve">הצעת חוק הבחירות לכנסת (תיקון - אחוז החסימה), התשפ"ב-2022</t>
  </si>
  <si>
    <t xml:space="preserve"> (פ/4030/24)</t>
  </si>
  <si>
    <t xml:space="preserve">הצעת חוק הגנת הצרכן (תיקון - שובר זיכוי לנוסע ליעד באזהרת מסע חמורה), התשפ"ב-2022</t>
  </si>
  <si>
    <t xml:space="preserve"> (פ/4029/24)</t>
  </si>
  <si>
    <t xml:space="preserve">הצעת חוק הספורט (תיקון - צירוף נציג אוהדים להנהלת קבוצת כדורגל), התשפ"ב-2022</t>
  </si>
  <si>
    <t xml:space="preserve"> (פ/4028/24)</t>
  </si>
  <si>
    <t xml:space="preserve">הצעת חוק עסקאות גופים ציבוריים (תיקון - אכיפת דיווח פערי שכר שנתי בהתייחסות לפי מין), התשפ"ב-2022</t>
  </si>
  <si>
    <t xml:space="preserve"> (פ/4027/24)</t>
  </si>
  <si>
    <t xml:space="preserve">הצעת חוק לתיקון פקודת התעבורה (הקמת מאגר מידע לריכוז דוחות חניה), התשפ"ב-2022</t>
  </si>
  <si>
    <t xml:space="preserve"> (פ/4026/24)</t>
  </si>
  <si>
    <t xml:space="preserve">הצעת חוק לתיקון פקודת המועצות המקומיות (בחירות לוועד מקומי במועצה אזורית), התשפ"ב-2022</t>
  </si>
  <si>
    <t xml:space="preserve"> (פ/4025/24)</t>
  </si>
  <si>
    <t xml:space="preserve">הצעת חוק האזרחות והכניסה לישראל (הוראת שעה) (תיקון - ביטול החוק), התשפ"ב-2022</t>
  </si>
  <si>
    <t xml:space="preserve"> (פ/4024/24)</t>
  </si>
  <si>
    <t xml:space="preserve">הצעת חוק הגנה על הציבור (מזון) (תיקון - שאריות חומרי הדברה במזון), התשפ"ב-2022</t>
  </si>
  <si>
    <t xml:space="preserve"> (פ/4023/24)</t>
  </si>
  <si>
    <t xml:space="preserve">הצעת חוק חג הפסח בבסיסי צה"ל, התשפ"ב-2022 </t>
  </si>
  <si>
    <t xml:space="preserve"> (פ/4022/24)</t>
  </si>
  <si>
    <t xml:space="preserve">הצעת חוק למניעת אלימות במשפחה (תיקון - הגדרת אלימות במשפחה), התשפ"ב-2022 </t>
  </si>
  <si>
    <t xml:space="preserve"> (פ/4021/24)</t>
  </si>
  <si>
    <t xml:space="preserve">הצעת חוק ביטוח בריאות ממלכתי (תיקון - החזר הוצאות עבור נסיעה באמבולנס לאזרחים ותיקים שמקבלים גמלה לפי חוק הבטחת הכנסה), התשפ"ב-2022</t>
  </si>
  <si>
    <t xml:space="preserve"> (פ/4020/24)</t>
  </si>
  <si>
    <t xml:space="preserve">הצעת חוק הרשויות המקומיות (אכיפה סביבתית - סמכויות פקחים) (תיקון - סמכויות רשות מקומית החברה באיגוד ערים), התשפ״ב-2022</t>
  </si>
  <si>
    <t xml:space="preserve"> (פ/4019/24)</t>
  </si>
  <si>
    <t xml:space="preserve">הצעת חוק למניעת השתלטות תושבי הרשות הפלסטינית על שטחי c, התשפ"ב-2022</t>
  </si>
  <si>
    <t xml:space="preserve"> (פ/4018/24)</t>
  </si>
  <si>
    <t xml:space="preserve">הצעת חוק שוויון זכויות לאנשים עם מוגבלות (תיקון - נגישות להורה ולתלמיד במוסד חינוך), התשפ"ב-2022</t>
  </si>
  <si>
    <t xml:space="preserve"> (פ/4017/24)</t>
  </si>
  <si>
    <t xml:space="preserve">הצעת חוק מאבק בארגוני פשיעה (תיקון - הרחבת הנסיבה המחמירה לזיקה לארגון פשיעה), התשפ"ב-2022</t>
  </si>
  <si>
    <t xml:space="preserve"> (פ/4016/24)</t>
  </si>
  <si>
    <t xml:space="preserve">הצעת חוק הבטחת הכנסה (תיקון - גמלה לזכאי שהגיע לגיל פרישה ובבעלותו רכב), התשפ"ב-2022</t>
  </si>
  <si>
    <t xml:space="preserve"> (פ/4015/24)</t>
  </si>
  <si>
    <t xml:space="preserve">הצעת חוק זכויות ושירותים לילדים ולבני נוער עם קשיים נפשיים, התשפ"ב-2022</t>
  </si>
  <si>
    <t xml:space="preserve"> (פ/4014/24)</t>
  </si>
  <si>
    <t xml:space="preserve">הצעת חוק תאגידי מים וביוב (תיקון - הפעלת שירותי מים וביוב על ידי רשות מקומית), התשפ"ב-2022</t>
  </si>
  <si>
    <t xml:space="preserve"> (פ/4013/24)</t>
  </si>
  <si>
    <t xml:space="preserve">הצעת חוק הקצאת דירות לדיור בר השגה ולדיור ציבורי, התשפ"ב-2022</t>
  </si>
  <si>
    <t xml:space="preserve"> (פ/4012/24)</t>
  </si>
  <si>
    <t xml:space="preserve">הצעת חוק הפסיכולוגים (תיקון - פסיכותרפיה), התשפ"ב-2022</t>
  </si>
  <si>
    <t xml:space="preserve"> (פ/4011/24)</t>
  </si>
  <si>
    <t xml:space="preserve">הצעת חוק הביטוח הלאומי (תיקון - תשלום בעד תקופה שקדמה להגשת התביעה), התשפ"ב-2022</t>
  </si>
  <si>
    <t xml:space="preserve"> (פ/4010/24)</t>
  </si>
  <si>
    <t xml:space="preserve">הצעת חוק הנגשת מוצרי מחזור בגופים ציבוריים, התשפ"ב-2022</t>
  </si>
  <si>
    <t xml:space="preserve"> (פ/4009/24)</t>
  </si>
  <si>
    <t xml:space="preserve">הצעת חוק הכשרות המשפטית והאפוטרופסות (תיקון - שלילת אפוטרופסות מהורה שהורשע ברצח או בנסיון לרצח), התשפ"ב-2022</t>
  </si>
  <si>
    <t xml:space="preserve"> (פ/4008/24)</t>
  </si>
  <si>
    <t xml:space="preserve">הצעת חוק שקיפות בהצהרת הון ובהצהרת מקורבים לנבחרי ציבור בכירים, התשפ"ב-2022</t>
  </si>
  <si>
    <t xml:space="preserve"> (פ/4007/24)</t>
  </si>
  <si>
    <t xml:space="preserve">הצעת חוק חופשה שנתית (תיקון - ימי חופשה להורים שילדם נפטר), התשפ"ב-2022</t>
  </si>
  <si>
    <t xml:space="preserve"> (פ/4006/24)</t>
  </si>
  <si>
    <t xml:space="preserve">הצעת חוק לקידום שירותי הרפואה בעיר אילת (תיקוני חקיקה), התשפ"ב-2022</t>
  </si>
  <si>
    <t xml:space="preserve"> (פ/4005/24)</t>
  </si>
  <si>
    <t xml:space="preserve">הצעת חוק זכויות החולה (תיקון - טיפול בזמן סביר), התשפ"ב-2022</t>
  </si>
  <si>
    <t xml:space="preserve"> (פ/4004/24)</t>
  </si>
  <si>
    <t xml:space="preserve">הצעת חוק הגנת הצרכן (תיקון - איסור התניית תשלום בכרטיס אשראי בסכום רכישה מזערי), התשפ"ב-2022</t>
  </si>
  <si>
    <t xml:space="preserve"> (פ/4003/24)</t>
  </si>
  <si>
    <t xml:space="preserve">הצעת חוק המרכז להנצחת מורשתו של הנשיא יצחק נבון, התשפ"ב-2022</t>
  </si>
  <si>
    <t xml:space="preserve"> (פ/4002/24)</t>
  </si>
  <si>
    <t xml:space="preserve">הצעת חוק הפסיכולוגים (תיקון - פסיכולוג שהורשע בעבירת מין), התשפ"ב-2022</t>
  </si>
  <si>
    <t xml:space="preserve"> (פ/4001/24)</t>
  </si>
  <si>
    <t xml:space="preserve">הצעת חוק-יסוד: הממשלה (תיקון - הגבלת מועמד שהורשע בשוחד, מרמה והפרת אמונים מהרכבת הממשלה)</t>
  </si>
  <si>
    <t xml:space="preserve"> (פ/4000/24)</t>
  </si>
  <si>
    <t xml:space="preserve">הצעת חוק הבחירות לכנסת (תיקון - הצבת קלפיות בבתי אבות ובמוסדות לאנשים המוגבלים בניידות), התשפ"ב-2022</t>
  </si>
  <si>
    <t xml:space="preserve"> (פ/3999/24)</t>
  </si>
  <si>
    <t xml:space="preserve">הצעת חוק איסוף ופינוי פסולת למיחזור (תיקון - מיחזור במוסדות חינוך), התשפ"ב-2022</t>
  </si>
  <si>
    <t xml:space="preserve"> (פ/3998/24)</t>
  </si>
  <si>
    <t xml:space="preserve">הצעת חוק טיפול בחולי נפש (תיקון - תנאי אשפוז הולמים), התשפ"ב-2022</t>
  </si>
  <si>
    <t xml:space="preserve"> (פ/3997/24)</t>
  </si>
  <si>
    <t xml:space="preserve">הצעת חוק להכרה, הנצחה, מחקר ותיעוד של פרשת ילדי תימן, המזרח והבלקן, התשפ"ב-2022</t>
  </si>
  <si>
    <t xml:space="preserve"> (פ/3996/24)</t>
  </si>
  <si>
    <t xml:space="preserve"> (פ/3995/24)</t>
  </si>
  <si>
    <t xml:space="preserve">הצעת חוק זכויות החולה (תיקון - הכנסת מזון למוסדות רפואיים בחג הפסח), התשפ"ב-2022</t>
  </si>
  <si>
    <t xml:space="preserve"> (פ/3994/24)</t>
  </si>
  <si>
    <t xml:space="preserve"> (פ/3993/24)</t>
  </si>
  <si>
    <t xml:space="preserve">הצעת חוק הסדרים במשק המדינה (תיקוני חקיקה להשגת יעדי התקציב) (תיקון - שינוי הגדרת מצללה), התשפ"ב-2022 </t>
  </si>
  <si>
    <t xml:space="preserve"> (פ/3992/24)</t>
  </si>
  <si>
    <t xml:space="preserve">הצעת חוק הביטוח הלאומי (תיקון - עבודה בחינוך וסיוע להוראה או בטיפול בילדים כעבודה מועדפת), התשפ"ב-2022</t>
  </si>
  <si>
    <t xml:space="preserve"> (פ/3991/24)</t>
  </si>
  <si>
    <t xml:space="preserve">הצעת חוק הכרה באחים שכולים ובזכויותיהם, התשפ"ב-2022</t>
  </si>
  <si>
    <t xml:space="preserve"> (פ/3990/24)</t>
  </si>
  <si>
    <t xml:space="preserve">הצעת חוק לתיקון פקודת בתי הסוהר (שלילת זכאות למימון שירותי בריאות משפרי איכות חיים לאסיר ביטחוני), התשפ"ב-2022</t>
  </si>
  <si>
    <t xml:space="preserve"> (פ/3989/24)</t>
  </si>
  <si>
    <t xml:space="preserve">הצעת חוק התאמת טפסים ממשלתיים (פרטי הורים), התשפ"ב-2022</t>
  </si>
  <si>
    <t xml:space="preserve"> (פ/3988/24)</t>
  </si>
  <si>
    <t xml:space="preserve">הצעת חוק התכנון והבנייה (תיקון - בדיקות נוכחות מזהמים בקרקע, באוויר ובמקורות מים), התשפ״ב-2022</t>
  </si>
  <si>
    <t xml:space="preserve"> (פ/3987/24)</t>
  </si>
  <si>
    <t xml:space="preserve"> (פ/3986/24)</t>
  </si>
  <si>
    <t xml:space="preserve">הצעת חוק התכנון והבנייה (תיקון - זימון נציג הגופים הציבוריים שעניינם בשמירת איכות הסביבה לדיוני הוועדה המקומית), התשפ״ב-2022</t>
  </si>
  <si>
    <t xml:space="preserve"> (פ/3985/24)</t>
  </si>
  <si>
    <t xml:space="preserve">הצעת חוק הביטוח הלאומי (תיקון - קביעת אחוזי נכות ללקויי שמיעה - דו-צידי וחד-צידי), התשפ"ב-2022</t>
  </si>
  <si>
    <t xml:space="preserve"> (פ/3984/24)</t>
  </si>
  <si>
    <t xml:space="preserve">הצעת חוק הגנת הצרכן (תיקון - פיצויים בלא הוכחת נזק בשל חריגה מזמני המתנה במתן שירות טלפוני חינם), התשפ"ב-2022</t>
  </si>
  <si>
    <t xml:space="preserve"> (פ/3983/24)</t>
  </si>
  <si>
    <t xml:space="preserve">הצעת חוק לקידום דיור בר השגה, התשפ"ב-2022</t>
  </si>
  <si>
    <t xml:space="preserve"> (פ/3982/24)</t>
  </si>
  <si>
    <t xml:space="preserve">הצעת חוק שכר מינימום (תיקון - העלאת שכר המינימום), התשפ"ב-2022</t>
  </si>
  <si>
    <t xml:space="preserve"> (פ/3981/24)</t>
  </si>
  <si>
    <t xml:space="preserve">הצעת חוק הגנת הצרכן (תיקון - ביטול אפשרות להארכה אוטומטית של עסקה לתקופה קצובה), התשפ"ב-2022</t>
  </si>
  <si>
    <t xml:space="preserve"> (פ/3979/24)</t>
  </si>
  <si>
    <t xml:space="preserve">הצעת חוק איסור הפליה בדיור, התשפ"ב-2022</t>
  </si>
  <si>
    <t xml:space="preserve"> (פ/3978/24)</t>
  </si>
  <si>
    <t xml:space="preserve"> (פ/3976/24)</t>
  </si>
  <si>
    <t xml:space="preserve">הצעת חוק ליישוב תחת איום מיידי (הוראת שעה), התשפ"ב-2022</t>
  </si>
  <si>
    <t xml:space="preserve"> (פ/3975/24)</t>
  </si>
  <si>
    <t xml:space="preserve">הצעת חוק מאבק בנטילת דמי חסות (אכיפה וענישה) (תיקוני חקיקה והוראת שעה), התשפ"ב-2022</t>
  </si>
  <si>
    <t xml:space="preserve"> (פ/3974/24)</t>
  </si>
  <si>
    <t xml:space="preserve">הצעת חוק השכירות והשאילה (תיקון - הארכת הסכמי חכירה לדורות), התשפ"ב-2022</t>
  </si>
  <si>
    <t xml:space="preserve"> (פ/3973/24)</t>
  </si>
  <si>
    <t xml:space="preserve">הצעת חוק הסדרת העיסוק במקצועות הבריאות (תיקון - הסדרת מקצוע הרנטגנאות והדימות), התשפ"ב-2022</t>
  </si>
  <si>
    <t xml:space="preserve"> (פ/3919/24)</t>
  </si>
  <si>
    <t xml:space="preserve"> (פ/3540/24)</t>
  </si>
  <si>
    <t xml:space="preserve">הצעת חוק להסדרת מקצוע עוזר רופא, התשפ"ב-2022</t>
  </si>
  <si>
    <t xml:space="preserve"> (פ/3347/24)</t>
  </si>
  <si>
    <t xml:space="preserve">הצעת חוק ההוצאה לפועל (תיקון - ריבית ודמי פיגורים), התשפ"ב-2021</t>
  </si>
  <si>
    <t xml:space="preserve"> (פ/2568/24)</t>
  </si>
  <si>
    <t xml:space="preserve">הצעת חוק המוסד העליון ללשון העברית (תיקון מס' 5) (כתיב ותעתיק של שמות מקומות ציבוריים), התשפ"ב–2022</t>
  </si>
  <si>
    <t xml:space="preserve"> (פ/2139/24)</t>
  </si>
  <si>
    <t xml:space="preserve"> (כ/909)</t>
  </si>
  <si>
    <t xml:space="preserve">הצעת חוק להסדר ההימורים בספורט (תיקון מס' 15), התשפ"ב-2022</t>
  </si>
  <si>
    <t xml:space="preserve"> (מ/1561)</t>
  </si>
  <si>
    <t xml:space="preserve">הצעת חוק החברות (תיקון מס' 36) (ממשל תאגידי בחברות ציבוריות שאין בהן בעל שליטה), התשפ"ב-2022</t>
  </si>
  <si>
    <t xml:space="preserve"> (מ/1562)</t>
  </si>
  <si>
    <t xml:space="preserve">הצעת חוק-יסוד: זכויות בהליך הפלילי </t>
  </si>
  <si>
    <t xml:space="preserve"> (מ/1523)</t>
  </si>
  <si>
    <t xml:space="preserve">19.06.2022</t>
  </si>
  <si>
    <t xml:space="preserve">הצעת חוק שירותי רווחה לאנשים עם מוגבלות, התשפ"א-2021</t>
  </si>
  <si>
    <t xml:space="preserve"> (פ/2127/24)</t>
  </si>
  <si>
    <t xml:space="preserve">15.06.2022</t>
  </si>
  <si>
    <t xml:space="preserve">הצעת חוק העונשין (תיקון - ביטול סעיף העלבת עובד ציבור), התשפ"א-2021</t>
  </si>
  <si>
    <t xml:space="preserve"> (פ/2114/24)</t>
  </si>
  <si>
    <t xml:space="preserve">הצעת חוק שיקום, קידום ושילוב אנשים עם אוטיזם בקהילה, התשפ"א-2021</t>
  </si>
  <si>
    <t xml:space="preserve"> (פ/1631/24)</t>
  </si>
  <si>
    <t xml:space="preserve">הצעת חוק שוויון זכויות לאנשים עם מוגבלות (תיקון - דיור בקהילה וסיוע אישי), התשפ"א-2021</t>
  </si>
  <si>
    <t xml:space="preserve"> (פ/905/24)</t>
  </si>
  <si>
    <t xml:space="preserve">הצעת חוק הספורט (תיקון - הסדרת העיסוק באימון ספורט), התשפ"ב-2022</t>
  </si>
  <si>
    <t xml:space="preserve"> (פ/3923/24)</t>
  </si>
  <si>
    <t xml:space="preserve"> (פ/3906/24)</t>
  </si>
  <si>
    <t xml:space="preserve"> (פ/3856/24)</t>
  </si>
  <si>
    <t xml:space="preserve">הצעת חוק שיפוט בתי דין דתיים (בוררות), התשפ"ב-2022</t>
  </si>
  <si>
    <t xml:space="preserve"> (פ/3846/24)</t>
  </si>
  <si>
    <t xml:space="preserve">הצעת חוק העונשין (תיקון - פשיעה לאומנית כפשע שנאה), התשפ"ב-2022</t>
  </si>
  <si>
    <t xml:space="preserve"> (פ/3522/24)</t>
  </si>
  <si>
    <t xml:space="preserve"> (פ/3470/24)</t>
  </si>
  <si>
    <t xml:space="preserve">הצעת חוק לתיקון פקודת הטבק (הגברת האכיפה), התשפ"ב-2022</t>
  </si>
  <si>
    <t xml:space="preserve"> (פ/3429/24)</t>
  </si>
  <si>
    <t xml:space="preserve">הצעת חוק לתיקון פקודת מס הכנסה (שינוי מדרגות המס), התשפ"ב-2022</t>
  </si>
  <si>
    <t xml:space="preserve"> (פ/3403/24)</t>
  </si>
  <si>
    <t xml:space="preserve">הצעת חוק הנחה לנכים בתחבורה ציבורית, התשפ"ב-2022</t>
  </si>
  <si>
    <t xml:space="preserve"> (פ/3267/24)</t>
  </si>
  <si>
    <t xml:space="preserve">הצעת חוק לשכת עורכי הדין (תיקון - קורס הכנה למבחני הלשכה), התשפ"ב-2022</t>
  </si>
  <si>
    <t xml:space="preserve"> (פ/3208/24)</t>
  </si>
  <si>
    <t xml:space="preserve">הצעת חוק דיווח לכנסת - תלונות על הטרדות מיניות במשטרת ישראל ובשירות בתי הסוהר והטיפול בהן (תיקוני חקיקה), התשפ"ב-2022</t>
  </si>
  <si>
    <t xml:space="preserve"> (פ/2971/24)</t>
  </si>
  <si>
    <t xml:space="preserve"> (כ/907)</t>
  </si>
  <si>
    <t xml:space="preserve">הצעת חוק רישוי עסקים (תיקון - מכירת יין ומשקאות אלכוהוליים בחנות גדולה), התשפ"ב-2021</t>
  </si>
  <si>
    <t xml:space="preserve"> (פ/2771/24)</t>
  </si>
  <si>
    <t xml:space="preserve">הצעת חוק שיפוט בתי דין רבניים (סמכות שיפוט בהסכמה), התשפ"ב-2021</t>
  </si>
  <si>
    <t xml:space="preserve"> (פ/2711/24)</t>
  </si>
  <si>
    <t xml:space="preserve">הצעת חוק הביטוח הלאומי (תיקון - זכאות פדיון סכום החיסכון הצבור הכולל לחייל בודד), התשפ"ב-2021</t>
  </si>
  <si>
    <t xml:space="preserve"> (פ/2589/24)</t>
  </si>
  <si>
    <t xml:space="preserve">הצעת חוק המים (תיקון - איסור הפסקת אספקת מים בשל חובות של רשויות מקומיות), התשפ"א-2021</t>
  </si>
  <si>
    <t xml:space="preserve"> (פ/479/24)</t>
  </si>
  <si>
    <t xml:space="preserve">הצעת חוק לתיקון פקודת מס הכנסה (שווי השימוש ברכב או ברדיו טלפון נייד), התשפ"א–2021</t>
  </si>
  <si>
    <t xml:space="preserve"> (פ/121/24)</t>
  </si>
  <si>
    <t xml:space="preserve">הצעת חוק טיפול בחולי נפש (תיקון מס' 11) (הוראות לעניין מינוי חברים לוועדות), התשפ"ב-2022</t>
  </si>
  <si>
    <t xml:space="preserve"> (מ/1560)</t>
  </si>
  <si>
    <t xml:space="preserve">הצעת חוק הגנת הצרכן (תיקון - ביטול עסקת מכר מרחוק למתן שירותי תיירות בישראל), התשפ"ב-2022</t>
  </si>
  <si>
    <t xml:space="preserve"> (פ/3628/24)</t>
  </si>
  <si>
    <t xml:space="preserve">14.06.2022</t>
  </si>
  <si>
    <t xml:space="preserve">הצעת חוק הוועדה לטיפול במשפחות נעדרים אזרחיים, התשפ"ב-2021</t>
  </si>
  <si>
    <t xml:space="preserve"> (פ/2311/24)</t>
  </si>
  <si>
    <t xml:space="preserve"> (פ/2237/24)</t>
  </si>
  <si>
    <t xml:space="preserve">הצעת חוק הרשות לקידום מעמד האישה (תיקון מס' 2) (תיקון שם הרשות ותיקונים במבנה הארגוני של הרשות), התשפ"ב-2022 </t>
  </si>
  <si>
    <t xml:space="preserve"> (מ/1559)</t>
  </si>
  <si>
    <t xml:space="preserve">הצעת חוק להכרה, לחקר האמת, להנצחה ולפיצוי של נפגעי פרשת ילדי תימן, המזרח והבלקן, התשפ"ב-2022</t>
  </si>
  <si>
    <t xml:space="preserve"> (פ/3972/24)</t>
  </si>
  <si>
    <t xml:space="preserve">13.06.2022</t>
  </si>
  <si>
    <t xml:space="preserve">הצעת חוק לתיקון פקודת מס הכנסה (ניכוי הוצאות מסוימות), התשפ"ב-2022</t>
  </si>
  <si>
    <t xml:space="preserve"> (פ/3971/24)</t>
  </si>
  <si>
    <t xml:space="preserve">הצעת חוק יום העצמאות (תיקון - מועד יום העצמאות), התשפ"ב-2022</t>
  </si>
  <si>
    <t xml:space="preserve"> (פ/3970/24)</t>
  </si>
  <si>
    <t xml:space="preserve">הצעת חוק הביטוח הלאומי (תיקון - דמי לידה לבן הזוג בלידה שקטה), התשפ"ב-2022</t>
  </si>
  <si>
    <t xml:space="preserve"> (פ/3969/24)</t>
  </si>
  <si>
    <t xml:space="preserve">הצעת חוק איסור הלבנת הון (תיקון - צו תפיסה זמני טרם הגשת כתב אישום), התשפ"ב-2022</t>
  </si>
  <si>
    <t xml:space="preserve"> (פ/3968/24)</t>
  </si>
  <si>
    <t xml:space="preserve">הצעת חוק צער בעלי חיים (הגנה על בעלי חיים) (תיקון - קביעת עונש מינימום בגין התעללות בבעלי חיים), התשפ"ב-2022</t>
  </si>
  <si>
    <t xml:space="preserve"> (פ/3966/24)</t>
  </si>
  <si>
    <t xml:space="preserve">הצעת חוק העונשין (תיקון - החמרת הענישה על עבירות כלפי אנשי צוות רפואי), התשפ"ב-2022</t>
  </si>
  <si>
    <t xml:space="preserve"> (פ/3965/24)</t>
  </si>
  <si>
    <t xml:space="preserve">הצעת חוק בשר ומוצריו (תיקון - הרחבת הסמכות ליתן תעודת הכשר לבשר מיובא), התשפ"ב-2022</t>
  </si>
  <si>
    <t xml:space="preserve"> (פ/3964/24)</t>
  </si>
  <si>
    <t xml:space="preserve">הצעת חוק לתיקון סדרי הדין (חקירת עדים) (תיקון - מתן עדות שלא בפני הנאשם בעבירת נטילת דמי חסות), התשפ"ב-2022</t>
  </si>
  <si>
    <t xml:space="preserve"> (פ/3963/24)</t>
  </si>
  <si>
    <t xml:space="preserve">הצעת חוק העונשין (תיקון - החמרת ענישה בשל תקיפת צוות רפואי), התשפ''ב-2022</t>
  </si>
  <si>
    <t xml:space="preserve"> (פ/3962/24)</t>
  </si>
  <si>
    <t xml:space="preserve">הצעת חוק הביטוח הלאומי (תיקון - נכה שהגיע לגיל פרישה), התשפ"ב-2022</t>
  </si>
  <si>
    <t xml:space="preserve"> (פ/3961/24)</t>
  </si>
  <si>
    <t xml:space="preserve">הצעת חוק לתיקון פקודת מס הכנסה (תרומה מישות מפלה), התשפ"ב-2022</t>
  </si>
  <si>
    <t xml:space="preserve"> (פ/3960/24)</t>
  </si>
  <si>
    <t xml:space="preserve">הצעת חוק ויתור על חסינות מפני תביעות לשון הרע (תיקוני חקיקה), התשפ"ב-2022</t>
  </si>
  <si>
    <t xml:space="preserve"> (פ/3959/24)</t>
  </si>
  <si>
    <t xml:space="preserve">הצעת חוק סיוע לנפגעי האסון הלאומי בהר מירון, התשפ"ב-2022</t>
  </si>
  <si>
    <t xml:space="preserve"> (פ/3958/24)</t>
  </si>
  <si>
    <t xml:space="preserve">הצעת חוק הביטוח הלאומי (תיקון - טיפול בפעוטות במעונות יום כעבודה מועדפת), התשפ"ב -2022</t>
  </si>
  <si>
    <t xml:space="preserve"> (פ/3957/24)</t>
  </si>
  <si>
    <t xml:space="preserve">הצעת חוק חוזה העבודה (הסדרי עבודה מרחוק), התשפ"ב-2022</t>
  </si>
  <si>
    <t xml:space="preserve"> (פ/3956/24)</t>
  </si>
  <si>
    <t xml:space="preserve">הצעת חוק הבחירות (דרכי תעמולה) (תיקון - ביטול האיסור על שימוש בכלי טיס ובכלי שיט), התשפ"ב-2022</t>
  </si>
  <si>
    <t xml:space="preserve"> (פ/3955/24)</t>
  </si>
  <si>
    <t xml:space="preserve">הצעת חוק קליטת חיילים משוחררים (תיקון - זכאות לתומכי לחימה מקרן "ממדים ללימודים"), התשפ"ב-2022</t>
  </si>
  <si>
    <t xml:space="preserve"> (פ/3954/24)</t>
  </si>
  <si>
    <t xml:space="preserve">הצעת חוק התכנון והבנייה (תיקון - ייצוג הולם לאוכלוסייה הערבית במוסדות התכנון), התשפ"ב-2022</t>
  </si>
  <si>
    <t xml:space="preserve"> (פ/3953/24)</t>
  </si>
  <si>
    <t xml:space="preserve">הצעת חוק צמצום פערי שכר מגדריים (תיקוני חקיקה), התשפ"ב-2022</t>
  </si>
  <si>
    <t xml:space="preserve"> (פ/3952/24)</t>
  </si>
  <si>
    <t xml:space="preserve">הצעת חוק השכירות והשאילה (תיקון - הגבלה על העלאת דמי השכירות), התשפ"ב-2022</t>
  </si>
  <si>
    <t xml:space="preserve"> (פ/3951/24)</t>
  </si>
  <si>
    <t xml:space="preserve">הצעת חוק איסוף ופינוי פסולת למיחזור (תיקון - חובת מיחזור בבית עסק גדול), התשפ"ב-2022</t>
  </si>
  <si>
    <t xml:space="preserve"> (פ/3950/24)</t>
  </si>
  <si>
    <t xml:space="preserve">הצעת חוק טיפול במכורים לסמים קשים ואשפוזם (תיקוני חקיקה), התשפ"ב-2022</t>
  </si>
  <si>
    <t xml:space="preserve"> (פ/3949/24)</t>
  </si>
  <si>
    <t xml:space="preserve">הצעת חוק הכנסת (תיקון - אישור אמנות בין-לאומיות), התשפ"ב-2022</t>
  </si>
  <si>
    <t xml:space="preserve"> (פ/3948/24)</t>
  </si>
  <si>
    <t xml:space="preserve">הצעת חוק בית המשפט לענייני משפחה (תיקון - פטור מתשלום אגרה למקבלי הבטחת הכנסה), התשפ"ב-2022</t>
  </si>
  <si>
    <t xml:space="preserve"> (פ/3947/24)</t>
  </si>
  <si>
    <t xml:space="preserve">הצעת חוק לשכת עורכי הדין (תיקון - ציון עובר בבחינת ההתמחות) (הוראת שעה), התשפ"ב-2022</t>
  </si>
  <si>
    <t xml:space="preserve"> (פ/3946/24)</t>
  </si>
  <si>
    <t xml:space="preserve">הצעת חוק המקרקעין (חיזוק בתים משותפים מפני רעידות אדמה) (תיקון - הגנה על קשישים), התשפ"ב-2022</t>
  </si>
  <si>
    <t xml:space="preserve"> (פ/3945/24)</t>
  </si>
  <si>
    <t xml:space="preserve">הצעת חוק שכר מינימום (תיקון - שכר שווה לאנשים המתמודדים עם מוגבלות), התשפ"ב-2022</t>
  </si>
  <si>
    <t xml:space="preserve"> (פ/3944/24)</t>
  </si>
  <si>
    <t xml:space="preserve">הצעת חוק להארכת תוקפן של תקנות שעת חירום (יהודה והשומרון – שיפוט בעבירות ועזרה משפטית), התשפ"ב-2022 </t>
  </si>
  <si>
    <t xml:space="preserve"> (מ/1557)</t>
  </si>
  <si>
    <t xml:space="preserve">הצעת חוק אוויר נקי (תיקון מס' 3), התשפ"ב-2022</t>
  </si>
  <si>
    <t xml:space="preserve"> (מ/1558)</t>
  </si>
  <si>
    <t xml:space="preserve">הצעת חוק איסור הפליה במוצרים, בשירותים ובכניסה למקומות בידור ולמקומות ציבוריים (תיקון - הגדלת סכום הפיצוי בלא הוכחת נזק), התשפ"ב-2021</t>
  </si>
  <si>
    <t xml:space="preserve"> (פ/2814/24)</t>
  </si>
  <si>
    <t xml:space="preserve">08.06.2022</t>
  </si>
  <si>
    <t xml:space="preserve">הצעת חוק המכר (דירות) (תיקון - הצמדת מחיר הדירה למדד), התשפ"ב-2022</t>
  </si>
  <si>
    <t xml:space="preserve"> (פ/3132/24)</t>
  </si>
  <si>
    <t xml:space="preserve"> (פ/3064/24)</t>
  </si>
  <si>
    <t xml:space="preserve">הצעת חוק אומנה לילדים (תיקון - הזכות לחינוך לילדים בהשמה חוץ-ביתית), התשפ"ב-2022</t>
  </si>
  <si>
    <t xml:space="preserve"> (פ/3832/24)</t>
  </si>
  <si>
    <t xml:space="preserve">הצעת חוק הסדרת העיסוק במקצועות הבריאות (תיקון - הסדרת מקצוע ניתוח התנהגות), התשפ"ב-2022</t>
  </si>
  <si>
    <t xml:space="preserve"> (פ/3633/24)</t>
  </si>
  <si>
    <t xml:space="preserve">הצעת חוק הסדרת העיסוק במקצועות הבריאות (תיקון - הסדרת העיסוק בניתוח התנהגות), התשפ"ב-2022</t>
  </si>
  <si>
    <t xml:space="preserve"> (פ/3509/24)</t>
  </si>
  <si>
    <t xml:space="preserve">הצעת חוק הביטוח הלאומי (תיקון - קביעת אחוזי נכות ללקויי שמיעה - דו-צידי וחד-צידי), התשפ"ב-2022 </t>
  </si>
  <si>
    <t xml:space="preserve"> (פ/3415/24)</t>
  </si>
  <si>
    <t xml:space="preserve"> (פ/3365/24)</t>
  </si>
  <si>
    <t xml:space="preserve">הצעת חוק מבקר המדינה (תיקון - הגנה על חושפי שחיתויות במשטרת ישראל), התשפ''ב-2022</t>
  </si>
  <si>
    <t xml:space="preserve"> (פ/3321/24)</t>
  </si>
  <si>
    <t xml:space="preserve"> (פ/3275/24)</t>
  </si>
  <si>
    <t xml:space="preserve"> (פ/3209/24)</t>
  </si>
  <si>
    <t xml:space="preserve">הצעת חוק הגנת הצרכן (תיקון - משלוח חשבונית לצרכן בדרך מקוונת), התשפ"ב-2022 </t>
  </si>
  <si>
    <t xml:space="preserve"> (פ/3180/24)</t>
  </si>
  <si>
    <t xml:space="preserve">הצעת חוק הביטוח הלאומי (תיקון - קצבת נכות לעולים), התשפ"ב-2022</t>
  </si>
  <si>
    <t xml:space="preserve"> (פ/3118/24)</t>
  </si>
  <si>
    <t xml:space="preserve">הצעת חוק לתיקון פקודת המסים (גבייה) (גבייה לפי חוק ההוצאה לפועל), התשפ"ב-2022</t>
  </si>
  <si>
    <t xml:space="preserve"> (פ/3107/24)</t>
  </si>
  <si>
    <t xml:space="preserve">הצעת חוק לתיקון פקודת מס הכנסה (החזר בתשלום למעונות יום לאמהות), התשפ"ב-2022</t>
  </si>
  <si>
    <t xml:space="preserve"> (פ/3089/24)</t>
  </si>
  <si>
    <t xml:space="preserve">הצעת חוק משמר לאומי, התשפ"ב-2022</t>
  </si>
  <si>
    <t xml:space="preserve"> (פ/3002/24)</t>
  </si>
  <si>
    <t xml:space="preserve">הצעת חוק יום לציון פרשת היעלמותם של ילדי תימן, המזרח והבלקן, התשפ"ב-2021</t>
  </si>
  <si>
    <t xml:space="preserve"> (פ/2613/24)</t>
  </si>
  <si>
    <t xml:space="preserve">הצעת חוק שכר מינימום (תיקון - העלאת שכר המינימום), התשפ"ב-2021</t>
  </si>
  <si>
    <t xml:space="preserve"> (פ/2416/24)</t>
  </si>
  <si>
    <t xml:space="preserve">הצעת חוק הביטוח הלאומי (תיקון - דמי פגיעה לעצמאי), התשפ"ב-2021</t>
  </si>
  <si>
    <t xml:space="preserve"> (פ/2413/24)</t>
  </si>
  <si>
    <t xml:space="preserve">הצעת חוק בטיחות בתעסוקה ובריאות תעסוקתית, התשפ"א-2021</t>
  </si>
  <si>
    <t xml:space="preserve"> (פ/1440/24)</t>
  </si>
  <si>
    <t xml:space="preserve">הצעת חוק האזרחות (תיקון - אזרחות לצאצא אזרח ישראלי המתגורר מחוץ לישראל), התשפ"א-2021</t>
  </si>
  <si>
    <t xml:space="preserve"> (פ/1344/24)</t>
  </si>
  <si>
    <t xml:space="preserve">הצעת חוק מיסוי מקרקעין (שבח ורכישה) (תיקון מס' 100), התשפ"ב-2022 </t>
  </si>
  <si>
    <t xml:space="preserve"> (מ/1555)</t>
  </si>
  <si>
    <t xml:space="preserve">הצעת חוק לתיקון פקודת התעבורה (איסור נהיגת שטח בדרך שאינה דרך ייעודית לנסיעת שטח), התשפ"א-2021</t>
  </si>
  <si>
    <t xml:space="preserve"> (פ/2056/24)</t>
  </si>
  <si>
    <t xml:space="preserve">07.06.2022</t>
  </si>
  <si>
    <t xml:space="preserve">חוק לתיקון פקודת הרופאים (מס' 13), התשפ"ב-2022</t>
  </si>
  <si>
    <t xml:space="preserve"> (פ/2522/24)</t>
  </si>
  <si>
    <t xml:space="preserve"> (כ/892)</t>
  </si>
  <si>
    <t xml:space="preserve">נקבע כי רישיונו של רופא שהורשע בעבירת מין יותלה ממועד הרשעתו ועד לסיום ההליכים המשמעתיים בעניינו. מכיוון שהתליית הרישיון אוטומטית, מנכ"ל משרד הבריאות ישקול בתוך פרק זמן קצוב את הצורך בהמשך ההתליה, על פי המלצת ועדה מיוחדת שתמונה לעניין זה, כמפורט בחוק.</t>
  </si>
  <si>
    <t xml:space="preserve">חוק הביטוח הלאומי (תיקון מס' 231), התשפ"ב-2022</t>
  </si>
  <si>
    <t xml:space="preserve"> (פ/375/24)</t>
  </si>
  <si>
    <t xml:space="preserve"> (כ/885)</t>
  </si>
  <si>
    <t xml:space="preserve">החוק מסמיך את השר לקבוע  הוראות מיוחדות בדבר תשלום דמי ביטוח לתלמידים במוסדות להשכלה בחוץ לארץ.  נקבע כי השר יתקין תקנות ראשונות מכוח סמכותו זו בתוך חודשיים מיום תחילתו של חוק זה, והן יעמדו בתוקפן למשך שנתיים לכל היותר ויקבעו כי בשנים 2022 ו-2023 שיעור דמי הביטוח שישלמו סטודנטים במוסדות להשכלה בחוץ לארץ יהיה שווה לשיעור דמי הביטוח שמשלמים סטודנטים במוסדות להשכלה בישראל. </t>
  </si>
  <si>
    <t xml:space="preserve">הצעת חוק הסדרת העיסוק בקרינה מייננת, התשפ"ב-2022 </t>
  </si>
  <si>
    <t xml:space="preserve"> (מ/1553)</t>
  </si>
  <si>
    <t xml:space="preserve">הצעת חוק הצלילה הספורטיבית (תיקון מס' 3) (צלילת היכרות), התשפ"ב-2022 </t>
  </si>
  <si>
    <t xml:space="preserve"> (מ/1554)</t>
  </si>
  <si>
    <t xml:space="preserve">הצעת חוק לצמצום השימוש בשקיות נשיאה חד-פעמיות (תיקון - היטל על שקית נשיאה חד-פעמית), התשפ"ב-2022</t>
  </si>
  <si>
    <t xml:space="preserve"> (פ/3120/24)</t>
  </si>
  <si>
    <t xml:space="preserve">06.06.2022</t>
  </si>
  <si>
    <t xml:space="preserve"> (פ/3010/24)</t>
  </si>
  <si>
    <t xml:space="preserve"> (פ/3943/24)</t>
  </si>
  <si>
    <t xml:space="preserve">הצעת חוק התקנת מצלמות לשם הגנה על פעוטות במעונות יום לפעוטות (תיקון - צפייה מקוונת של ההורים בצילומים), התשפ"ב-2022</t>
  </si>
  <si>
    <t xml:space="preserve"> (פ/3942/24)</t>
  </si>
  <si>
    <t xml:space="preserve">הצעת חוק הביטוח הלאומי (תיקון - פטור לעולים חדשים מתשלום דמי ביטוח עבור פנסיה מוקדמת), התשפ"ב-2022</t>
  </si>
  <si>
    <t xml:space="preserve"> (פ/3941/24)</t>
  </si>
  <si>
    <t xml:space="preserve">הצעת חוק טיפול בחולי נפש (תיקון - חברי הוועדות הפסיכיאטריות), התשפ''ב -2022</t>
  </si>
  <si>
    <t xml:space="preserve"> (פ/3940/24)</t>
  </si>
  <si>
    <t xml:space="preserve">הצעת חוק איסור הנפת דגל הרשות הפלסטינית, התשפ"ב-2022</t>
  </si>
  <si>
    <t xml:space="preserve"> (פ/3939/24)</t>
  </si>
  <si>
    <t xml:space="preserve">הצעת חוק הבנקאות (שירות ללקוח) (תיקון - הפחתת יוקר תשלומי הלוואה לדיור), התשפ"ב-2022</t>
  </si>
  <si>
    <t xml:space="preserve"> (פ/3938/24)</t>
  </si>
  <si>
    <t xml:space="preserve">הצעת חוק סיוע לשדרות וליישובי הנגב המערבי (הוראת שעה) (תיקון - הגדרת קו עימות דרומי), התשפ"ב-2022</t>
  </si>
  <si>
    <t xml:space="preserve"> (פ/3937/24)</t>
  </si>
  <si>
    <t xml:space="preserve">הצעת חוק לתיקון פקודת המשטרה (הפגנה ליד בתי מגורים), התשפ"ב-2022</t>
  </si>
  <si>
    <t xml:space="preserve"> (פ/3936/24)</t>
  </si>
  <si>
    <t xml:space="preserve">הצעת חוק חוזה הביטוח (תיקון - ביטוח דירה), התשפ"ב-2022</t>
  </si>
  <si>
    <t xml:space="preserve"> (פ/3935/24)</t>
  </si>
  <si>
    <t xml:space="preserve">הצעת חוק יסודות התקציב (תיקון - פילוח לפי מגדר), התשפ"ב-2022</t>
  </si>
  <si>
    <t xml:space="preserve"> (פ/3934/24)</t>
  </si>
  <si>
    <t xml:space="preserve">הצעת חוק למניעת הטרדה מינית (תיקון - הרחבת תחולה על עובדים עצמאים, מתנדבים ועובדי כלכלת הפלטפורמה), התשפ"ב-2022</t>
  </si>
  <si>
    <t xml:space="preserve"> (פ/3933/24)</t>
  </si>
  <si>
    <t xml:space="preserve">הצעת חוק העונשין (תיקון - בעילה אסורה בהסכמה תוך ניצול מעמד ציבורי מיוחד), התשפ"ב-2022</t>
  </si>
  <si>
    <t xml:space="preserve"> (פ/3932/24)</t>
  </si>
  <si>
    <t xml:space="preserve">הצעת חוק ליווי בני משפחות של משרתים בגופי ביטחון ששלחו יד בנפשם, התשפ"ב-2022</t>
  </si>
  <si>
    <t xml:space="preserve"> (פ/3931/24)</t>
  </si>
  <si>
    <t xml:space="preserve">הצעת חוק תשתיות להולכה ולאחסון של נפט על ידי גורם מפעיל (תיקון - ביטול החוק), התשפ"ב-2022</t>
  </si>
  <si>
    <t xml:space="preserve"> (פ/3930/24)</t>
  </si>
  <si>
    <t xml:space="preserve">הצעת חוק להנצחה, מחקר ותיעוד של פרשת ילדי תימן, המזרח והבלקן, התשפ"ב-2022</t>
  </si>
  <si>
    <t xml:space="preserve"> (פ/3929/24)</t>
  </si>
  <si>
    <t xml:space="preserve">הצעת חוק פרס כספי בעבור לכידת מחבל, התשפ"ב-2022</t>
  </si>
  <si>
    <t xml:space="preserve"> (פ/3928/24)</t>
  </si>
  <si>
    <t xml:space="preserve">הצעת חוק הסדרים במשק המדינה (תיקוני חקיקה להשגת יעדי התקציב) (תיקון - הנחה בארנונה בעד בן משפחה נכה), התשפ"ב-2022</t>
  </si>
  <si>
    <t xml:space="preserve"> (פ/3927/24)</t>
  </si>
  <si>
    <t xml:space="preserve"> (פ/3926/24)</t>
  </si>
  <si>
    <t xml:space="preserve">הצעת חוק ביטוח בריאות ממלכתי (תיקון - פנייה לנציב קבילות הציבור), התשפ"ב-2022 </t>
  </si>
  <si>
    <t xml:space="preserve"> (פ/3925/24)</t>
  </si>
  <si>
    <t xml:space="preserve">הצעת חוק שוויון ההזדמנויות בעבודה (תיקון - איסור הפליה מחמת מצב כלכלי), התשפ"ב-2022</t>
  </si>
  <si>
    <t xml:space="preserve"> (פ/3924/24)</t>
  </si>
  <si>
    <t xml:space="preserve">הצעת חוק הבלו על דלק (תיקון - הגבלת שיעור המס על הדלק), התשפ"ב-2022</t>
  </si>
  <si>
    <t xml:space="preserve"> (פ/3922/24)</t>
  </si>
  <si>
    <t xml:space="preserve">הצעת חוק הרשות הלאומית לתרבות הארמית, התשפ"ב-2022</t>
  </si>
  <si>
    <t xml:space="preserve"> (פ/3921/24)</t>
  </si>
  <si>
    <t xml:space="preserve">הצעת חוק ארוחה יומית לתלמיד (תיקון - הרחבת תחולת החוק), התשפ"ב-2022</t>
  </si>
  <si>
    <t xml:space="preserve"> (פ/3920/24)</t>
  </si>
  <si>
    <t xml:space="preserve">הצעת חוק שוויון זכויות לאנשים עם מוגבלות (תיקון - עמידת מעסיקים פרטיים גדולים ביעד הייצוג ההולם), התשפ"ב-2022</t>
  </si>
  <si>
    <t xml:space="preserve"> (פ/3918/24)</t>
  </si>
  <si>
    <t xml:space="preserve">הצעת חוק ביטוח בריאות ממלכתי (תיקון - החזר עבור פינוי באמבולנס), התשפ"ב-2022</t>
  </si>
  <si>
    <t xml:space="preserve"> (פ/3917/24)</t>
  </si>
  <si>
    <t xml:space="preserve"> (פ/3916/24)</t>
  </si>
  <si>
    <t xml:space="preserve">הצעת חוק הרשות הלאומית לתרבות והשפה המרוקאית יהודית, התשפ"ב-2022</t>
  </si>
  <si>
    <t xml:space="preserve"> (פ/3915/24)</t>
  </si>
  <si>
    <t xml:space="preserve">הצעת חוק לתיקון פקודת המשטרה (ביטול איסור הנפת דגל), התשפ"ב-2022</t>
  </si>
  <si>
    <t xml:space="preserve"> (פ/3914/24)</t>
  </si>
  <si>
    <t xml:space="preserve">הצעת חוק הביטוח הלאומי (תיקון - תשלום תוספת לגמלת אזרח ותיק לנכה שהכנסתו נמוכה משכר המינימום), התשפ"ב-2022 </t>
  </si>
  <si>
    <t xml:space="preserve"> (פ/3913/24)</t>
  </si>
  <si>
    <t xml:space="preserve">הצעת חוק מס רכוש וקרן פיצויים (תיקון - פיצוי בגין נזקי מגיפה ונזקי פגעי טבע), התשפ"ב-2022</t>
  </si>
  <si>
    <t xml:space="preserve"> (פ/3912/24)</t>
  </si>
  <si>
    <t xml:space="preserve">הצעת חוק הביטוח הלאומי (תיקון - תשלום דמי אבטלה לנשים שיצאו לחופשה ללא תשלום לאחר לידה), התשפ"ב-2022</t>
  </si>
  <si>
    <t xml:space="preserve"> (פ/3911/24)</t>
  </si>
  <si>
    <t xml:space="preserve">הצעת חוק העונשין (תיקון - מעשה מגונה בהסכמה בקטין שמלאו לו ארבע עשרה שנים וטרם מלאו לו שש עשרה שנים), התשפ"ב-2022</t>
  </si>
  <si>
    <t xml:space="preserve"> (פ/3910/24)</t>
  </si>
  <si>
    <t xml:space="preserve">הצעת חוק העונשין (תיקון - תקיפת עובד מערך הבריאות), התשפ"ב-2022</t>
  </si>
  <si>
    <t xml:space="preserve"> (פ/3909/24)</t>
  </si>
  <si>
    <t xml:space="preserve">הצעת חוק איסור אלימות בספורט (תיקון - מניעת הרחקה גורפת מאירועי ספורט), התשפ"ב-2022</t>
  </si>
  <si>
    <t xml:space="preserve"> (פ/3908/24)</t>
  </si>
  <si>
    <t xml:space="preserve">הצעת חוק סייעות במוסדות חינוך, התשפ"ב-2022</t>
  </si>
  <si>
    <t xml:space="preserve"> (פ/3907/24)</t>
  </si>
  <si>
    <t xml:space="preserve">הצעת חוק השכלה גבוהה חינם, התשפ"ב-2022</t>
  </si>
  <si>
    <t xml:space="preserve"> (פ/3905/24)</t>
  </si>
  <si>
    <t xml:space="preserve">הצעת חוק דמי מחלה (היעדרות בשל מחלת ילד) (תיקון - היעדרות בעקבות פגיעה בעבירת מין או אלימות חמורה), התשפ"ב-2022</t>
  </si>
  <si>
    <t xml:space="preserve"> (פ/3904/24)</t>
  </si>
  <si>
    <t xml:space="preserve">הצעת חוק חכירה הוגנת, התשפ"ב-2022</t>
  </si>
  <si>
    <t xml:space="preserve"> (פ/3903/24)</t>
  </si>
  <si>
    <t xml:space="preserve">הצעת חוק צער בעלי חיים (הגנה על בעלי חיים) (תיקון - ענישה מזערית), התשפ"ב-2022</t>
  </si>
  <si>
    <t xml:space="preserve"> (פ/3902/24)</t>
  </si>
  <si>
    <t xml:space="preserve">הצעת חוק איסור הפליה במוצרים, בשירותים ובכניסה למקומות בידור ולמקומות ציבוריים (תיקון - איסור הפליה בשל נשיאת נשק), התשפ"ב-2022</t>
  </si>
  <si>
    <t xml:space="preserve"> (פ/3901/24)</t>
  </si>
  <si>
    <t xml:space="preserve">הצעת חוק הקמת ועדת חקירה ממלכתית לפרשת גל הירש, התשפ"ב-2022</t>
  </si>
  <si>
    <t xml:space="preserve"> (פ/3900/24)</t>
  </si>
  <si>
    <t xml:space="preserve">הצעת חוק לתיקון פקודת ביטוח רכב מנועי (חיוב שיווק פוליסה), התשפ"ב-2022 </t>
  </si>
  <si>
    <t xml:space="preserve"> (פ/3899/24)</t>
  </si>
  <si>
    <t xml:space="preserve">הצעת חוק הרחבת לימודי הבסיס בחינוך שאינו ממלכתי (הוראת שעה), התשפ"ב-2022</t>
  </si>
  <si>
    <t xml:space="preserve"> (פ/3898/24)</t>
  </si>
  <si>
    <t xml:space="preserve">הצעת חוק יישום תוכנית ההתנתקות (תיקון - ביטול סעיפי הפינוי ושינוי שם החוק), התשפ"ב-2022</t>
  </si>
  <si>
    <t xml:space="preserve"> (פ/3897/24)</t>
  </si>
  <si>
    <t xml:space="preserve">הצעת חוק העונשין (תיקון - החמרת הענישה בשל תקיפת צוות רפואי), התשפ"ב-2022</t>
  </si>
  <si>
    <t xml:space="preserve"> (פ/3896/24)</t>
  </si>
  <si>
    <t xml:space="preserve">הצעת חוק סיוע מיידי לנפגעת אונס, התשפ"ב-2022</t>
  </si>
  <si>
    <t xml:space="preserve"> (פ/3895/24)</t>
  </si>
  <si>
    <t xml:space="preserve">הצעת חוק לתיקון פקודת מס הכנסה (תיקון מס' 262 – הוראת שעה) (אישור ועדת הכספים בקביעת מוסד ציבורי), התשפ"ב-2022</t>
  </si>
  <si>
    <t xml:space="preserve"> (פ/2849/24)</t>
  </si>
  <si>
    <t xml:space="preserve"> (כ/905)</t>
  </si>
  <si>
    <t xml:space="preserve">הצעת חוק הרב אברהם יצחק הכהן קוק (ציון זכרו ופועלו), התשפ"ב-2022</t>
  </si>
  <si>
    <t xml:space="preserve"> (פ/2253/24)</t>
  </si>
  <si>
    <t xml:space="preserve"> (כ/887)</t>
  </si>
  <si>
    <t xml:space="preserve">הצעת חוק ברל כצנלסון (ציון זכרו ופועלו), התשפ"ב-2022</t>
  </si>
  <si>
    <t xml:space="preserve"> (פ/1280/24)</t>
  </si>
  <si>
    <t xml:space="preserve"> (מ/1544)</t>
  </si>
  <si>
    <t xml:space="preserve">הצעת חוק התאגיד לפיקוח וטרינרי (תיקוני חקיקה), התש"ף-2020</t>
  </si>
  <si>
    <t xml:space="preserve"> (מ/1342)</t>
  </si>
  <si>
    <t xml:space="preserve">ועדת העבודה, הרווחה והבריאות</t>
  </si>
  <si>
    <t xml:space="preserve">הצעת חוק קידום התחרות בענף המזון (תיקון - הפיכת הוראת שעה להוראה קבועה), התשפ"ב-2022</t>
  </si>
  <si>
    <t xml:space="preserve"> (פ/3323/24)</t>
  </si>
  <si>
    <t xml:space="preserve">01.06.2022</t>
  </si>
  <si>
    <t xml:space="preserve">הצעת חוק סיוע לצעירים חסרי עורף משפחתי, התשפ"ב-2022</t>
  </si>
  <si>
    <t xml:space="preserve"> (פ/3780/24)</t>
  </si>
  <si>
    <t xml:space="preserve">הצעת חוק צעירים חסרי עורף משפחתי, התשפ"ב-2022</t>
  </si>
  <si>
    <t xml:space="preserve"> (פ/3638/24)</t>
  </si>
  <si>
    <t xml:space="preserve">הצעת חוק העונשין (תיקון - תקיפת עובד מערך בריאות), התשפ"ב-2022</t>
  </si>
  <si>
    <t xml:space="preserve"> (פ/3536/24)</t>
  </si>
  <si>
    <t xml:space="preserve"> (פ/3454/24)</t>
  </si>
  <si>
    <t xml:space="preserve">הצעת חוק מס ערך מוסף (תיקון - מס בשיעור אפס על תרופות), התשפ"ב-2022</t>
  </si>
  <si>
    <t xml:space="preserve"> (פ/3371/24)</t>
  </si>
  <si>
    <t xml:space="preserve">הצעת חוק המשטרה (תיקון - התיישנות עבירות), תשפ"ב-2022</t>
  </si>
  <si>
    <t xml:space="preserve"> (פ/3057/24)</t>
  </si>
  <si>
    <t xml:space="preserve">הצעת חוק העונשין (תיקון - איסור הנפת דגל של מדינת אויב או של הרשות הפלסטינית בגופים המתוקצבים או הנתמכים על ידי המדינה), התשפ"ב-2022</t>
  </si>
  <si>
    <t xml:space="preserve"> (פ/3040/24)</t>
  </si>
  <si>
    <t xml:space="preserve">הצעת חוק הביטוח הלאומי (תיקון - אבטחה במוסד רפואי כעבודה מועדפת), התשפ"ב-2022</t>
  </si>
  <si>
    <t xml:space="preserve"> (פ/3036/24)</t>
  </si>
  <si>
    <t xml:space="preserve">הצעת חוק העונשין (תיקון - עבירה כלפי קשיש או חסר ישע), התשפ"ב-2022</t>
  </si>
  <si>
    <t xml:space="preserve"> (פ/2877/24)</t>
  </si>
  <si>
    <t xml:space="preserve">הצעת חוק טובות הנאה לראש ממשלה או ראש ממשלה חלופי שחדל לכהן, התשפ"ב-2021</t>
  </si>
  <si>
    <t xml:space="preserve"> (פ/2846/24)</t>
  </si>
  <si>
    <t xml:space="preserve">הצעת חוק הביטוח הלאומי (תיקון - אבטחה במוסד רפואי כעבודה מועדפת), התשפ"ב-2021</t>
  </si>
  <si>
    <t xml:space="preserve"> (פ/2753/24)</t>
  </si>
  <si>
    <t xml:space="preserve">הצעת חוק העונשין (תיקון - חוק עונש מוות למחבלים), התשפ"ב-2021</t>
  </si>
  <si>
    <t xml:space="preserve"> (פ/2649/24)</t>
  </si>
  <si>
    <t xml:space="preserve">הצעת חוק לשיפור השירות במגזר הציבורי, התשפ"ב-2021</t>
  </si>
  <si>
    <t xml:space="preserve"> (פ/2372/24)</t>
  </si>
  <si>
    <t xml:space="preserve">הצעת חוק להפחתת סכום הפיצוי הכספי בשל נסיעה ללא תיקוף כרטיס בתחבורה ציבורית (תיקוני חקיקה), התשפ"א-2021</t>
  </si>
  <si>
    <t xml:space="preserve"> (פ/2105/24)</t>
  </si>
  <si>
    <t xml:space="preserve">הצעת חוק סיוע לבוגרי מסגרת השמה חוץ ביתית, התשפ"א-2021</t>
  </si>
  <si>
    <t xml:space="preserve"> (פ/1840/24)</t>
  </si>
  <si>
    <t xml:space="preserve">הצעת חוק משק הגז הטבעי (תיקון מס' 12) (אישור בהליך מהיר של מיתקן גז טבעי ברשת חלוקה), התשפ"ב-2022 </t>
  </si>
  <si>
    <t xml:space="preserve"> (מ/1549)</t>
  </si>
  <si>
    <t xml:space="preserve">הצעת חוק לתיקון פקודת סדר הדין הפלילי (מעצר וחיפוש) (עילות חיפוש בלא צו בית משפט) (הוראת שעה), התשפ"ב-2021</t>
  </si>
  <si>
    <t xml:space="preserve"> (מ/1456)</t>
  </si>
  <si>
    <t xml:space="preserve">31.05.2022</t>
  </si>
  <si>
    <t xml:space="preserve">הצעת חוק הביטוח הלאומי (תיקון - תנאי זכאות לדמי לידה), התשפ"ב-2021</t>
  </si>
  <si>
    <t xml:space="preserve"> (פ/2519/24)</t>
  </si>
  <si>
    <t xml:space="preserve">חוק כבילת עצורים ואסירים (חובת יידוע) (תיקוני חקיקה), התשפ"ב–2022</t>
  </si>
  <si>
    <t xml:space="preserve"> (פ/81/24)</t>
  </si>
  <si>
    <t xml:space="preserve"> (כ/891)</t>
  </si>
  <si>
    <t xml:space="preserve">מוצע לקבוע כי שוטר יודיע לשופט על עצור כבול השוהה באולם בית המשפט, וכן כי סוהר יודיע לשופט על אסיר כבול השוהה באולם בית המשפט. </t>
  </si>
  <si>
    <t xml:space="preserve">חוק איסור פרסומת והגבלת השיווק של מוצרי טבק ועישון (תיקון מס' 8), התשפ"ב–2022</t>
  </si>
  <si>
    <t xml:space="preserve"> (פ/1387/24)</t>
  </si>
  <si>
    <t xml:space="preserve">התיקון נועד לאסור על פרסום מוצרי טבק ועישון בעיתונות המודפסת, ובכך לבטל את החרגת העיתונות המודפסת מתחולת האיסור הכולל על פרסום מוצרים אלה. החרגת העיתונות המודפסת מאיסור הפרסום הותנתה בכמה תנאים, ובהם חובה לפרסם בעיתון, בצמוד לפרסומת, מודעה מטעם משרד הבריאות בדבר נזקי העישון, בשטח זהה לשטח הפרסומת. לפי התיקון, איסור פרסומם של מוצרי טבק ועישון בעיתונות המודפסת ייכנס לתוקף ב-1.4.2029, כאשר עד למועד האמור יחול הסדר מדורג שמטרתו לצמצם את השפעתן של הפרסומות בעיתונות המודפסת. בשלב הראשון, שיימשך מפרסומו של החוק ברשומות ועד 31.3.2025, תורחב החובה הקיימת לפרסם מודעה מטעם משרד הבריאות בדבר נזקי העישון לצד הפרסומת, כך ששטח המודעה בדבר נזקי העישון יהיה כפול משטח הפרסומת. בנוסף, מיום פרסומו של החוק ברשומות ועד ל-1.4.2029 יוטלו מגבלות נוספות על תוכן הפרסומת, כך שתיאסר הצגת מוצר עישון כעדיף על פני מוצר עישון אחר; ייאסר שימוש בברקודים (QR) שמאפשרים הפנייה של הצרכן לאתרי אינטרנט; וכן הצגת מוצרי טבק ועישון בפרסומת תהיה רק באמצעות תמונה או איור של האריזות האחידות שלהם. בשלב השני, שיימשך מ-1.4.2025 ועד ל-31.3.2029, שטח הפרסום בעיתונות המודפסת שמוקדש למוצרי טבק ועישון יופחת בהדרגה ב-25% בכל שנה ביחס לשנה הקודמת. בשלב השלישי, כפי שצוין לעיל, החל מ-1.4.2029 ייאסר לחלוטין פרסום של מוצרי טבק ועישון בעיתונות המודפסת.</t>
  </si>
  <si>
    <t xml:space="preserve">הצעת חוק שידורי טלוויזיה (כתוביות ושפת סימנים) (תיקון מס' 10) (הודעות חירום מונגשות), התשפ"ב–2022</t>
  </si>
  <si>
    <t xml:space="preserve"> (פ/2427/24)</t>
  </si>
  <si>
    <t xml:space="preserve"> (כ/893)</t>
  </si>
  <si>
    <t xml:space="preserve">הצעת חוק עבודת נשים (תיקון - הגנה על עובדת מפני הליכי פיטורים), התשפ"ב-2022</t>
  </si>
  <si>
    <t xml:space="preserve"> (פ/3459/24)</t>
  </si>
  <si>
    <t xml:space="preserve">30.05.2022</t>
  </si>
  <si>
    <t xml:space="preserve">הצעת חוק הבנקאות (שירות ללקוח) (תיקון - העברת משכנתה בין בנקים), התשפ"ב-2022</t>
  </si>
  <si>
    <t xml:space="preserve"> (פ/2991/24)</t>
  </si>
  <si>
    <t xml:space="preserve">הצעת חוק עבודת נשים (תיקון - הגנה על עובדת מפני הליכי פיטורים), התשפ"ב-2021</t>
  </si>
  <si>
    <t xml:space="preserve"> (פ/2865/24)</t>
  </si>
  <si>
    <t xml:space="preserve">הצעת חוק הגנת השכר (תיקון - פנקס שכר, תלוש שכר וגליון אלקטרוני), התשפ"ב-2021</t>
  </si>
  <si>
    <t xml:space="preserve"> (פ/2783/24)</t>
  </si>
  <si>
    <t xml:space="preserve">הצעת חוק פיצוי עסקים קטנים בשל אירועי איבה מתמשכים או מצב חירום כלכלי, התשפ"ב-2021</t>
  </si>
  <si>
    <t xml:space="preserve"> (פ/2351/24)</t>
  </si>
  <si>
    <t xml:space="preserve">הצעת חוק סיוע למשפחות ברוכות ילדים (תיקוני חקיקה), התשפ"א-2021</t>
  </si>
  <si>
    <t xml:space="preserve"> (פ/1866/24)</t>
  </si>
  <si>
    <t xml:space="preserve">הצעת חוק להגדלת שיעור ההשתתפות בכוח העבודה ולצמצום פערים חברתיים (מענק עבודה) (תיקון - גיל העובד), התשפ"א-2021</t>
  </si>
  <si>
    <t xml:space="preserve"> (פ/1202/24)</t>
  </si>
  <si>
    <t xml:space="preserve">הצעת חוק הגנת הצרכן (תיקון - פריסת תשלומים בעסקה מתמשכת), התשפ"א-2021</t>
  </si>
  <si>
    <t xml:space="preserve"> (פ/1142/24)</t>
  </si>
  <si>
    <t xml:space="preserve">הצעת חוק צירוף משפחות נפגעי טרור כצד להליך המשפטי (תיקוני חקיקה), התשפ"א-2021</t>
  </si>
  <si>
    <t xml:space="preserve"> (פ/921/24)</t>
  </si>
  <si>
    <t xml:space="preserve">הצעת חוק יישובים ושכונות בהליכי הסדרה, התשפ"א-2021</t>
  </si>
  <si>
    <t xml:space="preserve"> (פ/402/24)</t>
  </si>
  <si>
    <t xml:space="preserve"> (פ/401/24)</t>
  </si>
  <si>
    <t xml:space="preserve"> (פ/400/24)</t>
  </si>
  <si>
    <t xml:space="preserve">הצעת חוק יישום תכנית ההתנתקות (תיקון - ביטול סעיפי הפינוי ושינוי שם החוק), התשפ"א-2021</t>
  </si>
  <si>
    <t xml:space="preserve"> (פ/356/24)</t>
  </si>
  <si>
    <t xml:space="preserve">הצעת חוק מענה טלפוני אנושי לאזרח ותיק (תיקוני חקיקה), התשפ"א-2021</t>
  </si>
  <si>
    <t xml:space="preserve"> (פ/236/24)</t>
  </si>
  <si>
    <t xml:space="preserve">הצעת חוק משק החשמל (תיקון - גביית תשלומים), התשפ"א-2021</t>
  </si>
  <si>
    <t xml:space="preserve"> (פ/228/24)</t>
  </si>
  <si>
    <t xml:space="preserve">הצעת חוק סייעות במוסדות חינוך, התשפ"א-2021</t>
  </si>
  <si>
    <t xml:space="preserve"> (פ/278/24)</t>
  </si>
  <si>
    <t xml:space="preserve">הצעת חוק הפרמדיקים, התשפ"ב-2022</t>
  </si>
  <si>
    <t xml:space="preserve"> (פ/3394/24)</t>
  </si>
  <si>
    <t xml:space="preserve">הצעת חוק הסדרת הטיפול בחולי נפש (תיקוני חקיקה), התשפ"ב-2022</t>
  </si>
  <si>
    <t xml:space="preserve"> (פ/3894/24)</t>
  </si>
  <si>
    <t xml:space="preserve"> (פ/3893/24)</t>
  </si>
  <si>
    <t xml:space="preserve">הצעת חוק העונשין (תיקון - עבירות אלימות במתחם הר הבית), התשפ"ב-2022</t>
  </si>
  <si>
    <t xml:space="preserve"> (פ/3892/24)</t>
  </si>
  <si>
    <t xml:space="preserve">הצעת חוק העסקת עובדי חינוך בגני ילדים באמצעות חוזה אישי (תיקוני חקיקה), התשפ"ב-2022</t>
  </si>
  <si>
    <t xml:space="preserve"> (פ/3891/24)</t>
  </si>
  <si>
    <t xml:space="preserve">הצעת חוק איסור מכירת קמינים ושימוש בהם, התשפ"ב-2022</t>
  </si>
  <si>
    <t xml:space="preserve"> (פ/3890/24)</t>
  </si>
  <si>
    <t xml:space="preserve">הצעת חוק העברת הכנסות מהימורים לתמיכה במרכזי גמילה מהימורים, התשפ"ב-2022</t>
  </si>
  <si>
    <t xml:space="preserve"> (פ/3889/24)</t>
  </si>
  <si>
    <t xml:space="preserve">הצעת חוק הבטחת הכנסה (תיקון - תוספת לגמלה בעד הילד השלישי ואילך), התשפ"ב- 2022</t>
  </si>
  <si>
    <t xml:space="preserve"> (פ/3888/24)</t>
  </si>
  <si>
    <t xml:space="preserve">הצעת חוק רשות שדות התעופה (תיקון – פטור מתשלום אגרה לסטודנטים הלומדים באוניברסיטאות בירדן), התשפ"ב–2022</t>
  </si>
  <si>
    <t xml:space="preserve"> (פ/3887/24)</t>
  </si>
  <si>
    <t xml:space="preserve">הצעת חוק הביטוח הלאומי (תיקון - כפל קצבאות), התשפ"ב-2022</t>
  </si>
  <si>
    <t xml:space="preserve"> (פ/3886/24)</t>
  </si>
  <si>
    <t xml:space="preserve">הצעת חוק טיפול בחולי נפש (תיקון - תנאי אשפוז הולמים), התשפ''ב-2022</t>
  </si>
  <si>
    <t xml:space="preserve"> (פ/3885/24)</t>
  </si>
  <si>
    <t xml:space="preserve">הצעת חוק שלילת זכויות למעורב בטרור (תיקוני חקיקה), התשפ"ב-2022</t>
  </si>
  <si>
    <t xml:space="preserve"> (פ/3884/24)</t>
  </si>
  <si>
    <t xml:space="preserve">הצעת חוק הקמת חדר מיון בקרית שמונה, התשפ"ב-2022</t>
  </si>
  <si>
    <t xml:space="preserve"> (פ/3883/24)</t>
  </si>
  <si>
    <t xml:space="preserve">הצעת חוק הקמת חדר מיון בנתיבות, התשפ"ב-2022</t>
  </si>
  <si>
    <t xml:space="preserve"> (פ/3882/24)</t>
  </si>
  <si>
    <t xml:space="preserve">הצעת חוק התכנון והבנייה (תיקון - מניעת פגיעה בעץ בוגר), התשפ"ב-2022</t>
  </si>
  <si>
    <t xml:space="preserve"> (פ/3881/24)</t>
  </si>
  <si>
    <t xml:space="preserve">הצעת חוק התכנון והבנייה (תיקון - בקרת יציבות שלד הבניין), התשפ"ב-2022</t>
  </si>
  <si>
    <t xml:space="preserve"> (פ/3880/24)</t>
  </si>
  <si>
    <t xml:space="preserve">הצעת חוק לימוד חובה (תיקון - הבטחת פיקוח פרלמנטרי על תשלומי הורים), התשפ"ב-2022</t>
  </si>
  <si>
    <t xml:space="preserve"> (פ/3879/24)</t>
  </si>
  <si>
    <t xml:space="preserve">הצעת חוק חוזה הביטוח (תיקון - התיישנות וריבית מיוחדת), התשפ"ב-2022</t>
  </si>
  <si>
    <t xml:space="preserve"> (פ/3878/24)</t>
  </si>
  <si>
    <t xml:space="preserve"> (פ/3877/24)</t>
  </si>
  <si>
    <t xml:space="preserve">הצעת חוק העונשין (תיקון - הכרה באינוס גברים), התשפ"ב-2022</t>
  </si>
  <si>
    <t xml:space="preserve"> (פ/3876/24)</t>
  </si>
  <si>
    <t xml:space="preserve">הצעת חוק נתוני אשראי (תיקון - תקופת החזקת מידע במאגר), התשפ"ב-2022</t>
  </si>
  <si>
    <t xml:space="preserve"> (פ/3875/24)</t>
  </si>
  <si>
    <t xml:space="preserve">הצעת חוק לתיקון פקודת המסים (גבייה) (חובת יידוע החייב), התשפ"ב-2022</t>
  </si>
  <si>
    <t xml:space="preserve"> (פ/3874/24)</t>
  </si>
  <si>
    <t xml:space="preserve"> (פ/3873/24)</t>
  </si>
  <si>
    <t xml:space="preserve"> (פ/3872/24)</t>
  </si>
  <si>
    <t xml:space="preserve">הצעת חוק הכניסה לישראל (תיקון - הסמכת מבקרים רשמיים לביקור במקום משמורת), התשפ"ב-2022</t>
  </si>
  <si>
    <t xml:space="preserve"> (פ/3871/24)</t>
  </si>
  <si>
    <t xml:space="preserve"> (פ/3870/24)</t>
  </si>
  <si>
    <t xml:space="preserve">הצעת חוק המועצה להשכלה גבוהה (תיקון - ביטול חובת דרישות מבחני כניסה וציון פסיכומטרי), התשפ"ב-2022</t>
  </si>
  <si>
    <t xml:space="preserve"> (פ/3869/24)</t>
  </si>
  <si>
    <t xml:space="preserve">הצעת חוק לתיקון פקודת התעבורה (תשלום דמי חניה), התשפ"ב-2022</t>
  </si>
  <si>
    <t xml:space="preserve"> (פ/3868/24)</t>
  </si>
  <si>
    <t xml:space="preserve">הצעת חוק העונשין (תיקון - איסור הנפת דגל של ישות עוינת), התשפ"ב-2022</t>
  </si>
  <si>
    <t xml:space="preserve"> (פ/3867/24)</t>
  </si>
  <si>
    <t xml:space="preserve">הצעת חוק יסוד: ישראל - מדינת הלאום של העם היהודי (תיקון - ביטול החוק)</t>
  </si>
  <si>
    <t xml:space="preserve"> (פ/3866/24)</t>
  </si>
  <si>
    <t xml:space="preserve"> (פ/3865/24)</t>
  </si>
  <si>
    <t xml:space="preserve">הצעת חוק איסור שימוש ברכב ממשלתי לשר וסגן שר ביום המנוחה השבועי ובחג, התשפ"ב-2022</t>
  </si>
  <si>
    <t xml:space="preserve"> (פ/3864/24)</t>
  </si>
  <si>
    <t xml:space="preserve">הצעת חוק המועצה להשכלה גבוהה (תיקון - הגבלת מחירים ללימוד אנגלית), התשפ"ב-2022</t>
  </si>
  <si>
    <t xml:space="preserve"> (פ/3863/24)</t>
  </si>
  <si>
    <t xml:space="preserve">הצעת חוק שוברים להשלמת לימודי בסיס בחינוך הבלתי פורמלי, התשפ"ב-2022</t>
  </si>
  <si>
    <t xml:space="preserve"> (פ/3862/24)</t>
  </si>
  <si>
    <t xml:space="preserve">הצעת חוק הביטוח הלאומי (תיקון - חישוב דיפרנציאלי של קצבת אזרח ותיק), התשפ"ב-2022</t>
  </si>
  <si>
    <t xml:space="preserve"> (פ/3861/24)</t>
  </si>
  <si>
    <t xml:space="preserve">הצעת חוק בתי המשפט (תיקון - קביעת הרכבים בבית המשפט העליון וקביעת דיון נוסף), התשפ"ב-2022</t>
  </si>
  <si>
    <t xml:space="preserve"> (פ/3860/24)</t>
  </si>
  <si>
    <t xml:space="preserve"> (פ/3859/24)</t>
  </si>
  <si>
    <t xml:space="preserve">הצעת חוק זכויות ושירותים לילדים ולבני נוער עם קשיים נפשיים, התשפ''ב-2022</t>
  </si>
  <si>
    <t xml:space="preserve"> (פ/3858/24)</t>
  </si>
  <si>
    <t xml:space="preserve">הצעת חוק איסור הפליה במוצרים, בשירותים ובכניסה למקומות בידור ולמקומות ציבוריים (תיקון - הסמכת בית משפט למתן צו מניעה או צו עשה), התשפ"ב-2021</t>
  </si>
  <si>
    <t xml:space="preserve"> (פ/2855/24)</t>
  </si>
  <si>
    <t xml:space="preserve">25.05.2022</t>
  </si>
  <si>
    <t xml:space="preserve">הצעת חוק המאבק בטרור (תיקון - אי-החזרת גופות מחבלים), התשפ"ב-2022</t>
  </si>
  <si>
    <t xml:space="preserve"> (פ/3578/24)</t>
  </si>
  <si>
    <t xml:space="preserve">הצעת חוק-יסוד: ביטול ההסדר המיוחד להפסקת חברות בכנסת של שר או סגן שר (תיקוני חקיקה)</t>
  </si>
  <si>
    <t xml:space="preserve"> (פ/3574/24)</t>
  </si>
  <si>
    <t xml:space="preserve">הצעת חוק הביטוח הלאומי (תיקון - ביטוח שאירים לאלמן), התשפ"ב-2022</t>
  </si>
  <si>
    <t xml:space="preserve"> (פ/3553/24)</t>
  </si>
  <si>
    <t xml:space="preserve">הצעת חוק קליטת חיילים משוחררים (תיקון - הקרן להעצמת המשרתים בשירות צבאי), התשפ"ב-2022</t>
  </si>
  <si>
    <t xml:space="preserve"> (פ/3527/24)</t>
  </si>
  <si>
    <t xml:space="preserve"> (פ/3450/24)</t>
  </si>
  <si>
    <t xml:space="preserve"> (פ/3428/24)</t>
  </si>
  <si>
    <t xml:space="preserve">הצעת חוק הלוואות לדיור (תיקון - מענק מיוחד לרכישת דירת מגורים מזכה באזור עדיפות לאומית), התשפ"ב-2022</t>
  </si>
  <si>
    <t xml:space="preserve"> (פ/3426/24)</t>
  </si>
  <si>
    <t xml:space="preserve">הצעת חוק יישום תכנית ההתנתקות (תיקון - ביטול סעיפי הפינוי ושינוי שם החוק), תשפ"ב-2022 </t>
  </si>
  <si>
    <t xml:space="preserve"> (פ/3344/24)</t>
  </si>
  <si>
    <t xml:space="preserve">הצעת חוק הכשרה מקצועית ישירה לעולים, התשפ"ב-2022</t>
  </si>
  <si>
    <t xml:space="preserve"> (פ/3299/24)</t>
  </si>
  <si>
    <t xml:space="preserve"> (פ/3232/24)</t>
  </si>
  <si>
    <t xml:space="preserve">הצעת חוק העונשין (תיקון - החמרת ענישה במקרי אונס ותקיפה מינית), התשפ"ב-2022</t>
  </si>
  <si>
    <t xml:space="preserve"> (פ/3217/24)</t>
  </si>
  <si>
    <t xml:space="preserve"> (פ/3198/24)</t>
  </si>
  <si>
    <t xml:space="preserve">הצעת חוק העונשין (תיקון - הסדר חילוט בעבירת סחר בנשק), התשפ"ב-2022</t>
  </si>
  <si>
    <t xml:space="preserve"> (פ/3035/24)</t>
  </si>
  <si>
    <t xml:space="preserve">הצעת חוק הארכת תקופות ודחיית מועדים בענייני הליכי מס ומענקי סיוע (נגיף הקורונה החדש - הוראת שעה - תיקוני חקיקה) (תיקון - תקופות לעניין מס רכישה לדירה יחידה), התשפ"ב-2021</t>
  </si>
  <si>
    <t xml:space="preserve"> (פ/2695/24)</t>
  </si>
  <si>
    <t xml:space="preserve">הצעת חוק הכשרות המשפטית והאפוטרופסות (תיקון - הסדרי ראיה לדודים ודודות), התשפ"ב-2021</t>
  </si>
  <si>
    <t xml:space="preserve"> (פ/2623/24)</t>
  </si>
  <si>
    <t xml:space="preserve">הצעת חוק סיוע לקטינים נפגעי עבירות מין או אלימות (תיקון - טיפול נפשי לילדים נפגעי אלימות במשפחה), התשפ"א-2021</t>
  </si>
  <si>
    <t xml:space="preserve"> (פ/2147/24)</t>
  </si>
  <si>
    <t xml:space="preserve">הצעת חוק הביטוח הלאומי (תיקון - ביטוח שאירים לאלמן), התשפ"א-2021</t>
  </si>
  <si>
    <t xml:space="preserve"> (פ/2078/24)</t>
  </si>
  <si>
    <t xml:space="preserve">הצעת חוק הסעות לחיילים, התשפ"א-2021</t>
  </si>
  <si>
    <t xml:space="preserve"> (פ/2010/24)</t>
  </si>
  <si>
    <t xml:space="preserve">הצעת חוק יסודות התקציב (תיקון - הפחתת תקציב או תמיכה בשל פעילות נגד עקרונות המדינה של עובד או נושא משרה), התשפ"א-2021</t>
  </si>
  <si>
    <t xml:space="preserve"> (פ/1902/24)</t>
  </si>
  <si>
    <t xml:space="preserve">הצעת חוק האזרחות (תיקון - ביטול אזרחות לאדם שהורשע ברצח או ניסיון לרצח על רקע לאומני), התשפ"א-2021</t>
  </si>
  <si>
    <t xml:space="preserve"> (פ/1375/24)</t>
  </si>
  <si>
    <t xml:space="preserve">הצעת חוק ההתיישנות (תיקון - הרחבת הגדרת בן משפחה לעניין תקופת ההתיישנות של תביעה בשל תקיפה מינית או התעללות), התשפ"א-2021</t>
  </si>
  <si>
    <t xml:space="preserve"> (פ/1022/24)</t>
  </si>
  <si>
    <t xml:space="preserve">הצעת חוק העונשין (תיקון מס' 142), התשפ"ב–2022</t>
  </si>
  <si>
    <t xml:space="preserve"> (פ/802/24)</t>
  </si>
  <si>
    <t xml:space="preserve"> (כ/879)</t>
  </si>
  <si>
    <t xml:space="preserve">הצעת חוק סיוע לקטינים נפגעי עבירות מין או אלימות (תיקון - טיפול נפשי לילדים), התשפ"א-2021</t>
  </si>
  <si>
    <t xml:space="preserve"> (פ/704/24)</t>
  </si>
  <si>
    <t xml:space="preserve">הצעת חוק המסייעים לנטרול תוצאות אסון צ'רנוביל (תיקון מס' 2), התשפ"ב–2022</t>
  </si>
  <si>
    <t xml:space="preserve"> (פ/2457/24)</t>
  </si>
  <si>
    <t xml:space="preserve"> (כ/882)</t>
  </si>
  <si>
    <t xml:space="preserve">23.05.2022</t>
  </si>
  <si>
    <t xml:space="preserve">הצעת חוק צער בעלי חיים (הגנה על בעלי חיים) (תיקון - איסור ביצוע פעולות השחתה וריסון בבהמות), התשפ"ב-2022</t>
  </si>
  <si>
    <t xml:space="preserve"> (פ/3236/24)</t>
  </si>
  <si>
    <t xml:space="preserve">חוק קליטת חיילים משוחררים (תיקון מס' 24), התשפ"ב-2022</t>
  </si>
  <si>
    <t xml:space="preserve"> (מ/1455)</t>
  </si>
  <si>
    <t xml:space="preserve">חוק קליטת חיילים משוחררים (תיקון 24), התשפ"ב-2022 נדון בקריאה השנייה והשלישית ביום כ"ג אייר התשפ"ב (24 במאי 2022). החל משנת 2016 ניתן לחיילים משוחררים מצה"ל ששירתו כלוחמים ולחיילים משוחררים מאוכלוסיות ייחודיות, סיוע נוסף לצורך לימודי השכלה גבוהה, במסגרת תכנית "ממדים ללימודים".  החוק מסדיר את התכנית בחקיקה ומתקצב אותה, ובכך מביע הוקרה לחיילים משוחררים משירות סדיר ששירתו בתפקידי לחימה, ולאוכלוסיות שעבורן השירות כרוך באתגרים ייחודיים: חיילים בודדים, עולים חדשים, בני מיעוטים וחיילים שקיבלו תשלומי משפחה בשל מצבם הכלכלי של הוריהם. החוק קובע כי להטבה, אותה ניתן לממש במוסדות להשכלה גבוהה המוכרים על ידי המל"ג וכן במוסדות לאומנות שחל עליהם חוק זכויות הסטודנט, יהיו זכאים חיילים שהשלימו 85% לפחות מתקופת השירות שהם חייבים בה לפי חוק. לגבי לוחמים, הזכאות תינתן למי ששירת 75% מתקופת שירותו כלוחם, אך ראש אכ"א יהיה מוסמך לקבוע כי יהיה זכאי להטבה גם מי שהשלים רק 70% מתקופת השירות, וכן מי שנפצע במהלך שירותו ולכן לא השלים את שירותו או שעבר לשרת בתפקיד עורפי. החיילים הזכאים יוכלו לממש את זכאותם בשלוש השנים שלאחר שחרורם, והם יקבלו מימון שכר לימוד בגובה של 75% משכר הלימוד האוניברסיטאי השנתי, עבור שלוש שנות לימוד. במסלולי הנדסה, הרפואה והאדריכלות, וכן במקצועות נוספים כפי שיקבע שר הביטחון בצו ואשר בהם משך הלימודים ארוך יותר, תהיה הזכאות לארבע שנים. </t>
  </si>
  <si>
    <t xml:space="preserve"> (פ/3857/24)</t>
  </si>
  <si>
    <t xml:space="preserve">הצעת חוק צוותי התערבות במשבר, התשפ"ב-2022</t>
  </si>
  <si>
    <t xml:space="preserve"> (פ/3855/24)</t>
  </si>
  <si>
    <t xml:space="preserve">הצעת חוק תמיכה בביטחון תזונתי אצל תינוקות, התשפ"ב - 2022 </t>
  </si>
  <si>
    <t xml:space="preserve"> (פ/3854/24)</t>
  </si>
  <si>
    <t xml:space="preserve"> (פ/3853/24)</t>
  </si>
  <si>
    <t xml:space="preserve"> (פ/3852/24)</t>
  </si>
  <si>
    <t xml:space="preserve">הצעת חוק תמיכה במימון פעילות ארגון נכי צהל ובתי הלוחם, התשפ"ב-2022</t>
  </si>
  <si>
    <t xml:space="preserve"> (פ/3851/24)</t>
  </si>
  <si>
    <t xml:space="preserve">הצעת חוק הביטוח הלאומי (תיקון - דמי לידה לעצמאיות - מתן זכות לעבודה חלקית), התשפ"ב-2022</t>
  </si>
  <si>
    <t xml:space="preserve"> (פ/3850/24)</t>
  </si>
  <si>
    <t xml:space="preserve">הצעת חוק התגמולים לנפגעי פעולות איבה (תיקון - זכאות לתגמולים ולפיצויים לפי חוק אחר), התשפ"ב-2022</t>
  </si>
  <si>
    <t xml:space="preserve"> (פ/3849/24)</t>
  </si>
  <si>
    <t xml:space="preserve">הצעת חוק הסדרים במשק המדינה (תיקוני חקיקה להשגת יעדי התקציב) (תיקון - זכאות להנחה בארנונה בגין ילד נכה נוסף), התשפ"ב-2022</t>
  </si>
  <si>
    <t xml:space="preserve"> (פ/3848/24)</t>
  </si>
  <si>
    <t xml:space="preserve">הצעת חוק הליכי חקירה והעדה (התאמה לאנשים עם מוגבלות שכלית או נפשית) (תיקון - מנגיש צדק), התשפ"ב-2022</t>
  </si>
  <si>
    <t xml:space="preserve"> (פ/3847/24)</t>
  </si>
  <si>
    <t xml:space="preserve">הצעת חוק הבטחת הכנסה (תיקון - גמלה להורה עצמאי), התשפ"ב-2022 </t>
  </si>
  <si>
    <t xml:space="preserve"> (פ/3845/24)</t>
  </si>
  <si>
    <t xml:space="preserve">הצעת חוק מימון מפלגות (תיקון - שלילת מימון ממפלגה שקוראת להטלת חרם על מדינת ישראל), התשפ"ב-2022</t>
  </si>
  <si>
    <t xml:space="preserve"> (פ/3844/24)</t>
  </si>
  <si>
    <t xml:space="preserve">הצעת חוק-יסוד: הממשלה (תיקון - הגבלת תקופת כהונה)</t>
  </si>
  <si>
    <t xml:space="preserve"> (פ/3843/24)</t>
  </si>
  <si>
    <t xml:space="preserve">הצעת חוק המועצה לייצור ולשיווק של אגוזי אדמה (תיקון - ביטול החוק), התשפ"ב-2022</t>
  </si>
  <si>
    <t xml:space="preserve"> (פ/3842/24)</t>
  </si>
  <si>
    <t xml:space="preserve">הצעת חוק התכנון והבנייה (תיקון - תסקירי השפעה על הסביבה ועל הבריאות), התשפ״ב-2022</t>
  </si>
  <si>
    <t xml:space="preserve"> (פ/3841/24)</t>
  </si>
  <si>
    <t xml:space="preserve"> (פ/3840/24)</t>
  </si>
  <si>
    <t xml:space="preserve">הצעת חוק זכויות נפגעי עבירה (תיקון - זכויות נפגעי פעולות איבה), התשפ"ב-2022</t>
  </si>
  <si>
    <t xml:space="preserve"> (פ/3839/24)</t>
  </si>
  <si>
    <t xml:space="preserve">הצעת חוק העונשין (תיקון - קנס על החזקת נשק בלתי חוקי), התשפ"ב-2022</t>
  </si>
  <si>
    <t xml:space="preserve"> (פ/3838/24)</t>
  </si>
  <si>
    <t xml:space="preserve">הצעת חוק העונשין (תיקון - אלימות במשפחה בנוכחות קטין או חסר ישע), התשפ"ב-2022</t>
  </si>
  <si>
    <t xml:space="preserve"> (פ/3837/24)</t>
  </si>
  <si>
    <t xml:space="preserve">הצעת חוק להסדרת שיווק והפצה של תרכובות מזון לתינוקות במוסדות הבריאות, התשפ"ב-2022 </t>
  </si>
  <si>
    <t xml:space="preserve"> (פ/3836/24)</t>
  </si>
  <si>
    <t xml:space="preserve">הצעת חוק הנוער (טיפול והשגחה) (תיקון - טיפול בבריחה ממשמורת), התשפ"ב-2022</t>
  </si>
  <si>
    <t xml:space="preserve"> (פ/3835/24)</t>
  </si>
  <si>
    <t xml:space="preserve">הצעת חוק הירושה (תיקון - שלילת הזכות לירושה), התשפ"ב-2022</t>
  </si>
  <si>
    <t xml:space="preserve"> (פ/3834/24)</t>
  </si>
  <si>
    <t xml:space="preserve">הצעת חוק לתיקון פקודת העיריות (ייצוג הולם בשמות מקומות ציבוריים), התשפ"ב-2022</t>
  </si>
  <si>
    <t xml:space="preserve"> (פ/3833/24)</t>
  </si>
  <si>
    <t xml:space="preserve">הצעת חוק הפיקוח על מעונות יום לפעוטות (תיקון - החמרת ענישה), התשפ"ב-2022</t>
  </si>
  <si>
    <t xml:space="preserve"> (פ/3831/24)</t>
  </si>
  <si>
    <t xml:space="preserve">הצעת חוק התכנון והבנייה (תיקון - ייצוג הולם לאוכלוסייה החרדית במוסדות התכנון), התשפ"ב-2022</t>
  </si>
  <si>
    <t xml:space="preserve"> (פ/3830/24)</t>
  </si>
  <si>
    <t xml:space="preserve">הצעת חוק תכנון משק החלב (תיקון - ביטול החוק), התשפ"ב-2022</t>
  </si>
  <si>
    <t xml:space="preserve"> (פ/3829/24)</t>
  </si>
  <si>
    <t xml:space="preserve">הצעת חוק לתיקון פקודת העיריות (קבלת מידע מהמרשם הפלילי) (הוראת שעה), התשפ"ב-2022</t>
  </si>
  <si>
    <t xml:space="preserve"> (פ/3828/24)</t>
  </si>
  <si>
    <t xml:space="preserve"> (פ/3827/24)</t>
  </si>
  <si>
    <t xml:space="preserve">הצעת חוק פתיחת קבר של קטין יוצא תימן, המזרח או הבלקן לשם זיהוי ועריכת בדיקה גנטית לקשר משפחה (הוראת שעה) (תיקון - הארכת תוקף הוראת השעה ואישור בקשה מטעמים מיוחדים), התשפ"ב-2022</t>
  </si>
  <si>
    <t xml:space="preserve"> (פ/3826/24)</t>
  </si>
  <si>
    <t xml:space="preserve">הצעת חוק הדיור הציבורי (זכויות רכישה) (תיקון - הארכת תוקף), התשפ"ב-2022</t>
  </si>
  <si>
    <t xml:space="preserve"> (פ/3825/24)</t>
  </si>
  <si>
    <t xml:space="preserve">הצעת חוק העונשין (תיקון - איסור שימוש בדגל או בסמל של ישות האויב), התשפ"ב-2022</t>
  </si>
  <si>
    <t xml:space="preserve"> (פ/3824/24)</t>
  </si>
  <si>
    <t xml:space="preserve">הצעת חוק הגנת הצרכן (תיקון - הפרה בנסיבות מחמירות), התשפ"ב-2022</t>
  </si>
  <si>
    <t xml:space="preserve"> (פ/3823/24)</t>
  </si>
  <si>
    <t xml:space="preserve">הצעת חוק המוסיקה הישראלית, התשפ"ב-2022</t>
  </si>
  <si>
    <t xml:space="preserve"> (פ/3822/24)</t>
  </si>
  <si>
    <t xml:space="preserve">הצעת חוק להגדלת שיעור ההשתתפות בכוח העבודה ולצמצום פערים חברתיים (מענק עבודה) (תיקון - הוראות לעניין השבת תשלום ביתר של מענקים להתמודדות עם השלכות נגיף הקורונה), התשפ"ב-2022</t>
  </si>
  <si>
    <t xml:space="preserve"> (פ/3821/24)</t>
  </si>
  <si>
    <t xml:space="preserve">הצעת חוק הקפאת כספים ששילמה הרשות הפלסטינית בזיקה לטרור מהכספים המועברים אליה מממשלת ישראל (תיקון - חילוט הכספים וניהולם), התשפ"ב-2022</t>
  </si>
  <si>
    <t xml:space="preserve"> (פ/3820/24)</t>
  </si>
  <si>
    <t xml:space="preserve">הצעת חוק-יסוד: הממשלה (תיקון - ביטול מנגנון החילופין שלא במועד החילופין הקבוע)</t>
  </si>
  <si>
    <t xml:space="preserve"> (פ/3819/24)</t>
  </si>
  <si>
    <t xml:space="preserve">הצעת חוק איסור הפליה במוצרים, בשירותים ובכניסה למקומות בידור ולמקומות ציבוריים (תיקון - פגיעה באמונה דתית), התשפ"ב-2022 </t>
  </si>
  <si>
    <t xml:space="preserve"> (פ/3818/24)</t>
  </si>
  <si>
    <t xml:space="preserve">הצעת חוק הרשות לקידום מעמד האישה (תיקון - הרשות לקידום שוויון מגדרי), התשפ"ב-2022</t>
  </si>
  <si>
    <t xml:space="preserve"> (פ/3817/24)</t>
  </si>
  <si>
    <t xml:space="preserve">הצעת חוק לתיקון פקודת התעבורה (ריבית פיגורים בגין אי תשלום קנס על עבירת חניה), התשפ"ב-2022</t>
  </si>
  <si>
    <t xml:space="preserve"> (פ/3816/24)</t>
  </si>
  <si>
    <t xml:space="preserve">הצעת חוק להגדלת שיעור ההשתתפות בכוח העבודה ולצמצום פערים חברתיים (מענק עבודה) (תיקון - פטור מהשבת מענקים להתמודדות עם השלכות נגיף הקורונה), התשפ"ב-2022</t>
  </si>
  <si>
    <t xml:space="preserve"> (פ/3815/24)</t>
  </si>
  <si>
    <t xml:space="preserve">הצעת חוק לתיקון פקודת מס הכנסה (שווי השימוש ברכב או ברדיו טלפון נייד), התשפ"ב-2022</t>
  </si>
  <si>
    <t xml:space="preserve"> (פ/3814/24)</t>
  </si>
  <si>
    <t xml:space="preserve">הצעת חוק התכנון והבנייה (תיקון - ייצוג הולם לאוכלוסייה החרדית והערבית במוסדות התכנון), התשפ"ב-2022</t>
  </si>
  <si>
    <t xml:space="preserve"> (פ/3813/24)</t>
  </si>
  <si>
    <t xml:space="preserve"> (פ/3812/24)</t>
  </si>
  <si>
    <t xml:space="preserve"> (פ/3811/24)</t>
  </si>
  <si>
    <t xml:space="preserve">הצעת חוק הכנסת (תיקון - אישור מליאת הכנסת לפרישה מסיעה), התשע"ב-2022</t>
  </si>
  <si>
    <t xml:space="preserve"> (פ/3810/24)</t>
  </si>
  <si>
    <t xml:space="preserve">הצעת חוק ניירות ערך (תיקון - חובת דיווח על תמיכות סביבתיות), התשפ״ב-2022</t>
  </si>
  <si>
    <t xml:space="preserve"> (פ/3809/24)</t>
  </si>
  <si>
    <t xml:space="preserve">הצעת חוק הביטוח הלאומי (תיקון - העלאת קצבת הילדים), התשפ"ב-2022</t>
  </si>
  <si>
    <t xml:space="preserve"> (פ/3808/24)</t>
  </si>
  <si>
    <t xml:space="preserve">הצעת חוק משק החשמל (תיקון - איסור ניתוק חשמל), התשפ"ב-2022</t>
  </si>
  <si>
    <t xml:space="preserve"> (פ/3807/24)</t>
  </si>
  <si>
    <t xml:space="preserve"> (פ/3806/24)</t>
  </si>
  <si>
    <t xml:space="preserve"> (פ/3805/24)</t>
  </si>
  <si>
    <t xml:space="preserve">הצעת חוק הבטחת הכנסה (תיקון - שלילת גמלה בגלל פעולת טרור), התשפ"ב-2022</t>
  </si>
  <si>
    <t xml:space="preserve"> (פ/3804/24)</t>
  </si>
  <si>
    <t xml:space="preserve">הצעת חוק הביטוח הלאומי (תיקון - תשלום דמי אבטלה לנשים שיצאו לחופשה ללא תשלום לאחר לידה מסיבות מוצדקות), התשפ"ב-2022</t>
  </si>
  <si>
    <t xml:space="preserve"> (פ/3803/24)</t>
  </si>
  <si>
    <t xml:space="preserve">הצעת חוק הגנת הצרכן (תיקון - מענה אנושי חינם ללקוחות חברות התעופה), התשפ"ב-2022</t>
  </si>
  <si>
    <t xml:space="preserve"> (פ/3802/24)</t>
  </si>
  <si>
    <t xml:space="preserve">הצעת חוק בתי הדין הדתיים הדרוזיים (תיקון - הענקת סמכויות לבתי הדין הדתיים הדרוזיים בנושאים כרוכים), התשפ"ב-2022</t>
  </si>
  <si>
    <t xml:space="preserve"> (פ/3801/24)</t>
  </si>
  <si>
    <t xml:space="preserve">הצעת חוק הסיוע המשפטי (תיקון - סיוע משפטי לתובע בגין הפליה), התשפ"ב-2022</t>
  </si>
  <si>
    <t xml:space="preserve"> (פ/3800/24)</t>
  </si>
  <si>
    <t xml:space="preserve">הצעת חוק בתי דין רבניים (סדרי דין בעת מצב חירום מיוחד), התשפ"ב-2022 </t>
  </si>
  <si>
    <t xml:space="preserve"> (מ/1545)</t>
  </si>
  <si>
    <t xml:space="preserve">הצעת חוק הביטוח הלאומי (תיקון - שלילת זכויות סוציאליות לאדם שהורשע בעבירות ביטחון חמורות), התשפ"ב-2022</t>
  </si>
  <si>
    <t xml:space="preserve"> (פ/3799/24)</t>
  </si>
  <si>
    <t xml:space="preserve">18.05.2022</t>
  </si>
  <si>
    <t xml:space="preserve">הצעת חוק הגנת הצרכן (תיקון - תיעוד שיחות בין צרכן לעוסק ומסירתו לצרכן), התשפ"ב-2022</t>
  </si>
  <si>
    <t xml:space="preserve"> (פ/3606/24)</t>
  </si>
  <si>
    <t xml:space="preserve">הצעת חוק החומרים המסוכנים (תיקון - פרטי התקשרות למרכז רעלים), התשפ”א-2021</t>
  </si>
  <si>
    <t xml:space="preserve"> (פ/1976/24)</t>
  </si>
  <si>
    <t xml:space="preserve">הצעת חוק הביטוח הלאומי (תיקון - דמי לידה לעצמאיות - מתן זכות לעבודה חלקית), התשפ"א-2021</t>
  </si>
  <si>
    <t xml:space="preserve"> (פ/1715/24)</t>
  </si>
  <si>
    <t xml:space="preserve">הצעת חוק הגנת הצרכן (תיקון - חובת הקלטה של עסקה טלפונית), התשפ"א-2021</t>
  </si>
  <si>
    <t xml:space="preserve"> (פ/1563/24)</t>
  </si>
  <si>
    <t xml:space="preserve"> (פ/1523/24)</t>
  </si>
  <si>
    <t xml:space="preserve"> (פ/213/24)</t>
  </si>
  <si>
    <t xml:space="preserve">הצעת חוק לביטול קובלנה (תיקוני חקיקה), התשפ"ב-2022</t>
  </si>
  <si>
    <t xml:space="preserve"> (פ/3412/24)</t>
  </si>
  <si>
    <t xml:space="preserve">16.05.2022</t>
  </si>
  <si>
    <t xml:space="preserve"> (פ/254/24)</t>
  </si>
  <si>
    <t xml:space="preserve">הצעת חוק העונשין (תיקון - הרחבת הגדרת הגזענות), התשפ"א-2021</t>
  </si>
  <si>
    <t xml:space="preserve"> (פ/216/24)</t>
  </si>
  <si>
    <t xml:space="preserve"> (פ/191/24)</t>
  </si>
  <si>
    <t xml:space="preserve"> (פ/50/24)</t>
  </si>
  <si>
    <t xml:space="preserve">חוק הגדלת נקודות זיכוי להורים במס הכנסה והגדלת מענק עבודה (הוראת שעה), התשפ"ב-2022 </t>
  </si>
  <si>
    <t xml:space="preserve"> (מ/1515)</t>
  </si>
  <si>
    <t xml:space="preserve">החוק קובע כי בשנת המס 2022 תינתן נקודת זיכוי אחת נוספת להורה בעד ילדו שגילו בין 6 ל-12 שנים, כלומר במקום נקודת זיכוי אחת שניתנה לאישה עד לכניסתו לתוקף של החוק או להורה במשפחה חד-הורית שכלכלת הילדים עליו – יינתנו שתי נקודות זיכוי, ולגבי גבר שאינו זכאי כיום לנקודות זיכוי בעד טווח גילים זה – תינתן נקודת זיכוי אחת. בנוסף, החוק מגדיל בשיעור של 40% את מענק העבודה (מס הכנסה שלילי), המשתלם בהתאם להוראות החוק להגדלת שיעור ההשתתפות בכוח העבודה ולצמצום פערים חברתיים (מענק עבודה), התשס"ח–2007, בעד שנת המס 2022. כמו כן, החוק קובע כי  מי שהיה זכאי למענק עבודה בשנת 2021, ישולם לו סכום בשיעור 30% מסכום המענק כמקדמה על חשבון המענק לשנת 2022. מקדמה כאמור לא תשולם למי שהיה זכאי בחודשים ינואר עד אפריל 2022 לדמי אבטלה לפי הוראות פרק ז' לחוק הביטוח הלאומי, וכן לא תשולם למי שביקש שלא תשולם לו מקדמה ולמי שהגיש את התביעה לקבלת מענק לשנת 2021 אחרי יום ז' בטבת התשפ"ג (31 בדצמבר 2022). נוסף על כך, נקבע בהוראת שעה לתקופה של שלוש שנים כי גיל הזכאות למענק העבודה יעמוד על 21 שנים במקום 23 שנים.</t>
  </si>
  <si>
    <t xml:space="preserve">חוק הגנה על עובדים (חשיפת עבירות ופגיעה בטוהר המידות או במינהל התקין) (תיקון מס' 4), התשפ"ב-2022</t>
  </si>
  <si>
    <t xml:space="preserve"> (פ/940/24)</t>
  </si>
  <si>
    <t xml:space="preserve"> (כ/883)</t>
  </si>
  <si>
    <t xml:space="preserve">נקבע כי תקופת ההתיישנות לעניין תביעה לפי חוק הגנה על עובדים (חשיפת עבירות ופגיעה בטוהר המידות או במינהל התקין) תוארך מ-12 חודשים ל-3 שנים מבלי להחשיב בפרק זמן זה את התקופה שבין מועד הגשת תלונה לנציב תלונות הציבור בשל חשיפת שחיתות ועד לסיום בירורה, ובלבד שלא תעלה על שנתיים. עוד נקבע כי היפוך נטל ההוכחה בתביעה מכוח החוק יחול בכל מקרה שבו לא חלפו יותר משנתיים ממועד הגשת התלונה שבה  נחשפה השחיתות ועד למועד הפגיעה בעובד על ידי המעסיק.</t>
  </si>
  <si>
    <t xml:space="preserve">הצעת חוק החולה הנוטה למות (תיקון - העדפות טיפוליות), התשפ"ב-2022</t>
  </si>
  <si>
    <t xml:space="preserve"> (פ/3798/24)</t>
  </si>
  <si>
    <t xml:space="preserve">הצעת חוק הביטוח הלאומי (תיקון - קביעת דרגת נכות לנפגעי עבודה), התשפ"ב-2022</t>
  </si>
  <si>
    <t xml:space="preserve"> (פ/3797/24)</t>
  </si>
  <si>
    <t xml:space="preserve">הצעת חוק למניעת העסקה של עובד הוראה התומך בטרור, התשפ"ב-2022</t>
  </si>
  <si>
    <t xml:space="preserve"> (פ/3796/24)</t>
  </si>
  <si>
    <t xml:space="preserve">הצעת חוק קליטת חיילים משוחררים (תיקון - הוקרת שירות הלוחם והלוחמת), התשפ"ב-2022</t>
  </si>
  <si>
    <t xml:space="preserve"> (פ/3795/24)</t>
  </si>
  <si>
    <t xml:space="preserve">הצעת חוק לתיקון פקודת מס הכנסה (פטור ממס על הכנסה ממעשה זנות), התשפ"ב-2022 </t>
  </si>
  <si>
    <t xml:space="preserve"> (פ/3794/24)</t>
  </si>
  <si>
    <t xml:space="preserve">הצעת חוק משפחות חיילים שנספו במערכה (תיקון - יתומי צה"ל), התשפ"ב-2022</t>
  </si>
  <si>
    <t xml:space="preserve"> (פ/3793/24)</t>
  </si>
  <si>
    <t xml:space="preserve">הצעת חוק איסור פרסום זמני של מתקפת סייבר, התשפ"ב-2022</t>
  </si>
  <si>
    <t xml:space="preserve"> (פ/3792/24)</t>
  </si>
  <si>
    <t xml:space="preserve">הצעת חוק לעידוד חקלאות גגות (תיקוני חקיקה), התשפ"ב-2022</t>
  </si>
  <si>
    <t xml:space="preserve"> (פ/3791/24)</t>
  </si>
  <si>
    <t xml:space="preserve">הצעת חוק הביטוח הלאומי (תיקון - תשלום גמלאות מתקציב מערכת בתי המשפט), התשפ"ב-2022</t>
  </si>
  <si>
    <t xml:space="preserve"> (פ/3790/24)</t>
  </si>
  <si>
    <t xml:space="preserve">הצעת חוק מס ערך מוסף (תיקון - מס בשיעור אפס על תרכובת מזון לתינוקות), התשפ"ב-2022</t>
  </si>
  <si>
    <t xml:space="preserve"> (פ/3789/24)</t>
  </si>
  <si>
    <t xml:space="preserve">הצעת חוק צער בעלי חיים (הגנה על בעלי חיים) (תיקון - איסור ייצוא בעלי חיים לשחיטה לשם שימוש בעורותיהם לתעשיית הקוסמטיקה), התשפ"ב-2022</t>
  </si>
  <si>
    <t xml:space="preserve"> (פ/3788/24)</t>
  </si>
  <si>
    <t xml:space="preserve">הצעת חוק ביטוח בריאות ממלכתי (תיקון - קלנועית לאנשים עם נכויות סומטיות), התשפ"ב-2022</t>
  </si>
  <si>
    <t xml:space="preserve"> (פ/3787/24)</t>
  </si>
  <si>
    <t xml:space="preserve">הצעת חוק לתיקון פקודת מס הכנסה (ניכוי ריבית על משכנתה וסיוע ברכישת דירה), התשפ"ב-2022</t>
  </si>
  <si>
    <t xml:space="preserve"> (פ/3785/24)</t>
  </si>
  <si>
    <t xml:space="preserve">הצעת חוק להגבלת הוראות ההיתרים לעריכת הגרלות והימורים מאת שר האוצר (הוראת שעה), התשפ"ב-2022</t>
  </si>
  <si>
    <t xml:space="preserve"> (פ/3784/24)</t>
  </si>
  <si>
    <t xml:space="preserve">הצעת חוק המידע הפלילי ותקנת השבים (תיקון - מחיקת רישום פלילי לשורדות זנות), התשפ"ב-2022 </t>
  </si>
  <si>
    <t xml:space="preserve"> (פ/3783/24)</t>
  </si>
  <si>
    <t xml:space="preserve">הצעת חוק בתי המשפט (תיקון - בעל דין טרדן), התשפ"ב-2022</t>
  </si>
  <si>
    <t xml:space="preserve"> (פ/3782/24)</t>
  </si>
  <si>
    <t xml:space="preserve">הצעת חוק דמי מחלה (היעדרות בשל מחלת ילד) (תיקון - מחלה קשה), התשפ"ב- 2022</t>
  </si>
  <si>
    <t xml:space="preserve"> (פ/3781/24)</t>
  </si>
  <si>
    <t xml:space="preserve">הצעת חוק סל מזון בריא - פיקוח על מחירים, שיווק וסבסוד, התשפ"ב-2022</t>
  </si>
  <si>
    <t xml:space="preserve"> (פ/3779/24)</t>
  </si>
  <si>
    <t xml:space="preserve">הצעת חוק נכסים של נספי השואה (השבה ליורשים והקדשה למטרות סיוע והנצחה) (תיקון - הארכת תקופת הביניים והחלת הוראות נוספות), התשפ"ב-2022</t>
  </si>
  <si>
    <t xml:space="preserve"> (פ/3778/24)</t>
  </si>
  <si>
    <t xml:space="preserve">הצעת חוק הזדמנות שווה בחינוך היסודי וביטול ההפליה (תיקוני חקיקה), התשפ"ב-2022</t>
  </si>
  <si>
    <t xml:space="preserve"> (פ/3777/24)</t>
  </si>
  <si>
    <t xml:space="preserve">הצעת חוק שירות המדינה (מינויים) (תיקון - מינוי יועצים משפטיים של משרדים), התשפ"ב-2022</t>
  </si>
  <si>
    <t xml:space="preserve"> (פ/3776/24)</t>
  </si>
  <si>
    <t xml:space="preserve">הצעת חוק ההתיישנות (תיקון - הרחבת הגדרת בן משפחה לעניין תקופת ההתיישנות של תביעה בשל תקיפה מינית או התעללות), התשפ"ב-2022</t>
  </si>
  <si>
    <t xml:space="preserve"> (פ/3775/24)</t>
  </si>
  <si>
    <t xml:space="preserve">הצעת חוק הפיקוח על מעונות יום לפעוטות (תיקון - הסמכת מתנדבים וטכנאי מצלמות), התשפ"ב-2022</t>
  </si>
  <si>
    <t xml:space="preserve"> (פ/3774/24)</t>
  </si>
  <si>
    <t xml:space="preserve">הצעת חוק זכויות הסטודנט (תיקון - הכרה בדור ראשון להשכלה גבוהה), התשפ"ב-2022</t>
  </si>
  <si>
    <t xml:space="preserve"> (פ/3773/24)</t>
  </si>
  <si>
    <t xml:space="preserve">הצעת חוק לתיקון פקודת מס הכנסה (שינוי הקריטריונים ליישוב מוטב), התשפ"ב-2022</t>
  </si>
  <si>
    <t xml:space="preserve"> (פ/3772/24)</t>
  </si>
  <si>
    <t xml:space="preserve">הצעת חוק לתיקון פקודת העיריות (ראש האופוזיציה), התשפ"ב-2022</t>
  </si>
  <si>
    <t xml:space="preserve"> (פ/3771/24)</t>
  </si>
  <si>
    <t xml:space="preserve">הצעת חוק להסדרת הפיקוח על כלבים (תיקון מס' 6 – הוראת שעה) (כלבי הפקר), התשפ"ב-2022</t>
  </si>
  <si>
    <t xml:space="preserve"> (פ/2341/24)</t>
  </si>
  <si>
    <t xml:space="preserve"> (כ/898)</t>
  </si>
  <si>
    <t xml:space="preserve">הצעת חוק הקמת ועדת חקירה ממלכתית לפרשת הרוגלות בשימוש משטרת ישראל, התשפ"ב-2022</t>
  </si>
  <si>
    <t xml:space="preserve"> (פ/3653/24)</t>
  </si>
  <si>
    <t xml:space="preserve">11.05.2022</t>
  </si>
  <si>
    <t xml:space="preserve">הצעת חוק החברות (תיקון - פרסום דוחות כספיים של מונופול), התשפ"ב-2022</t>
  </si>
  <si>
    <t xml:space="preserve"> (פ/3636/24)</t>
  </si>
  <si>
    <t xml:space="preserve">הצעת חוק העונשין (תיקון - הגדרת סוכן חוץ), התשפ"ב-2022</t>
  </si>
  <si>
    <t xml:space="preserve"> (פ/3616/24)</t>
  </si>
  <si>
    <t xml:space="preserve">הצעת חוק פנייה לגופים ציבוריים באמצעי קשר דיגיטליים (תיקון - פנייה באמצעות מסרון), התשפ"ב-2022</t>
  </si>
  <si>
    <t xml:space="preserve"> (פ/3607/24)</t>
  </si>
  <si>
    <t xml:space="preserve">הצעת חוק העונשין (תיקון - עונשי מינימום בעבירות נשק), התשפ"ב-2022</t>
  </si>
  <si>
    <t xml:space="preserve"> (פ/3545/24)</t>
  </si>
  <si>
    <t xml:space="preserve"> (פ/3408/24)</t>
  </si>
  <si>
    <t xml:space="preserve"> (פ/3390/24)</t>
  </si>
  <si>
    <t xml:space="preserve">הצעת חוק בתי דין רבניים (קיום פסקי דין של גירושין) (תיקון - הגבלת שימוש בכרטיסי אשראי לסרבני גט), התשפ"ב-2022</t>
  </si>
  <si>
    <t xml:space="preserve"> (פ/3222/24)</t>
  </si>
  <si>
    <t xml:space="preserve">הצעת חוק לתיקון פקודת בתי הסוהר (תנאי אסיר ביטחוני בבתי הסוהר), התשפ"ב-2022</t>
  </si>
  <si>
    <t xml:space="preserve"> (פ/3142/24)</t>
  </si>
  <si>
    <t xml:space="preserve"> (פ/3130/24)</t>
  </si>
  <si>
    <t xml:space="preserve"> (פ/3070/24)</t>
  </si>
  <si>
    <t xml:space="preserve">הצעת חוק ירושלים ובנותיה, התשפ"ב-2022</t>
  </si>
  <si>
    <t xml:space="preserve"> (פ/3060/24)</t>
  </si>
  <si>
    <t xml:space="preserve">הצעת חוק בתי דין רבניים (קיום פסקי דין של גירושין) (תיקון - הגבלת שימוש בכרטיסי אשראי לסרבני גט), התשפ"ב-2021</t>
  </si>
  <si>
    <t xml:space="preserve"> (פ/2684/24)</t>
  </si>
  <si>
    <t xml:space="preserve"> (פ/2285/24)</t>
  </si>
  <si>
    <t xml:space="preserve">הצעת חוק חובת המכרזים (תיקון - עידוד עסקים להעסקת בני החברה הערבית והחרדית), התשפ"א-2021</t>
  </si>
  <si>
    <t xml:space="preserve"> (פ/1998/24)</t>
  </si>
  <si>
    <t xml:space="preserve">הצעת חוק משק החשמל (תיקון - איסור ניתוק חשמל), התשפ"א-2021</t>
  </si>
  <si>
    <t xml:space="preserve"> (פ/1867/24)</t>
  </si>
  <si>
    <t xml:space="preserve">הצעת חוק הבחירות (דרכי תעמולה) (תיקון - הגבלת הסמכות להגשת קובלנה פלילית), התשפ"א-2021</t>
  </si>
  <si>
    <t xml:space="preserve"> (פ/1308/24)</t>
  </si>
  <si>
    <t xml:space="preserve"> (פ/896/24)</t>
  </si>
  <si>
    <t xml:space="preserve">הצעת חוק התגמולים לנפגעי פעולות איבה (תיקון מס' 38) (היכל ההנצחה בהר הרצל), התשפ"ב-2022 </t>
  </si>
  <si>
    <t xml:space="preserve"> (מ/1541)</t>
  </si>
  <si>
    <t xml:space="preserve">הצעת חוק הגנת הצרכן (תיקון מס' 63) (הפרה בנסיבות מחמירות), התשפ"ב-2022 </t>
  </si>
  <si>
    <t xml:space="preserve"> (מ/1539)</t>
  </si>
  <si>
    <t xml:space="preserve">הצעת חוק איסור פרסום והפצת שמות נפגעים, התשפ"ב-2022</t>
  </si>
  <si>
    <t xml:space="preserve"> (פ/3018/24)</t>
  </si>
  <si>
    <t xml:space="preserve">10.05.2022</t>
  </si>
  <si>
    <t xml:space="preserve">חוק דמי מחלה (תיקון מס' 6), התשפ"ב-2022</t>
  </si>
  <si>
    <t xml:space="preserve"> (פ/1606/24)</t>
  </si>
  <si>
    <t xml:space="preserve">נקבע כי עובד שחלה במחלה ממארת או במחלה שמצריכה טיפול בדיאליזה, ונעדר מעבודתו לשם טיפול תקופתי או בדיקה תקופתית, זכאי לקבל ממעסיקו תשלום דמי מחלה כבר מהיום הראשון להיעדרותו כאמור, ואף בעד חלק מיום שבו נעדר לשם כך, עד למכסת תקופת הזכאות המקסימלית שצבורה לו ובתנאי שמסר למעסיקו אישור רפואי בכתב כי הטיפול או הבדיקה נדרשים בשל אותה מחלה. זכאות זו תחול גם לאחר החלמתו ככל שהוא עדיין נדרש לטיפול או בדיקה.  </t>
  </si>
  <si>
    <t xml:space="preserve">הצעת חוק הרשות לשימור בתי כנסת ואתרי קדושה בקהילות יהדות התפוצות, התשפ"ב-2022</t>
  </si>
  <si>
    <t xml:space="preserve"> (פ/3770/24)</t>
  </si>
  <si>
    <t xml:space="preserve">09.05.2022</t>
  </si>
  <si>
    <t xml:space="preserve">הצעת חוק חוזה הביטוח (תיקון - העברת מוטב בביטוח חיים בין תאגידים בנקאיים), התשפ"ב-2022</t>
  </si>
  <si>
    <t xml:space="preserve"> (פ/3769/24)</t>
  </si>
  <si>
    <t xml:space="preserve">הצעת חוק פיצויים לבעלי זכות במקרקעין מועברים, התשפ"ב-2022</t>
  </si>
  <si>
    <t xml:space="preserve"> (פ/3768/24)</t>
  </si>
  <si>
    <t xml:space="preserve"> (פ/3767/24)</t>
  </si>
  <si>
    <t xml:space="preserve">הצעת חוק בתי קברות צבאיים (תיקון - השחתה וחילול קבר), התשפ"ב-2022</t>
  </si>
  <si>
    <t xml:space="preserve"> (פ/3766/24)</t>
  </si>
  <si>
    <t xml:space="preserve">הצעת חוק כלי היריה (תיקון - זכאות לרישיון כלי יריה למי ששירת כלוחם וכשוטר), התשפ"ב-2022</t>
  </si>
  <si>
    <t xml:space="preserve"> (פ/3765/24)</t>
  </si>
  <si>
    <t xml:space="preserve">הצעת חוק הפיקוח על מעונות (תיקון - תנאי כשירות לעובדי מעון), התשפ"ב-2022</t>
  </si>
  <si>
    <t xml:space="preserve"> (פ/3764/24)</t>
  </si>
  <si>
    <t xml:space="preserve">הצעת חוק לתיקון פקודת בתי הסוהר (פיקוח על ערוצי טלויזיה ורדיו), התשפ"ב-2022</t>
  </si>
  <si>
    <t xml:space="preserve"> (פ/3763/24)</t>
  </si>
  <si>
    <t xml:space="preserve">הצעת חוק שירות המדינה (מינויים) (תיקון - הגבלה על מינוי דיפלומטים), התשפ"ב-2022</t>
  </si>
  <si>
    <t xml:space="preserve"> (פ/3761/24)</t>
  </si>
  <si>
    <t xml:space="preserve">הצעת חוק חובת המכרזים (תיקון - עידוד אגודות שיתופיות ותאגידים שחל עליהם הסכם קיבוצי מיוחד), התשפ"ב-2022</t>
  </si>
  <si>
    <t xml:space="preserve"> (פ/3760/24)</t>
  </si>
  <si>
    <t xml:space="preserve">הצעת חוק לתיקון פקודת סדרי השלטון והמשפט (חקיקה באזור באמצעות צו), התשפ"ב-2022</t>
  </si>
  <si>
    <t xml:space="preserve"> (פ/3759/24)</t>
  </si>
  <si>
    <t xml:space="preserve">הצעת חוק להקפאת כספים ששילמה הרשות הפלסטינית בזיקה לטרור מהכספים המועברים אליה מממשלת ישראל (תיקון - איסור מתן הטבות פיננסיות לרשות הפלסטינית), התשפ"ב-2022</t>
  </si>
  <si>
    <t xml:space="preserve"> (פ/3757/24)</t>
  </si>
  <si>
    <t xml:space="preserve">הצעת חוק זכויות מבצעים ומשדרים (תיקון - הרחבת היקף הזכויות), התשפ"ב-2022</t>
  </si>
  <si>
    <t xml:space="preserve"> (פ/3756/24)</t>
  </si>
  <si>
    <t xml:space="preserve">הצעת חוק המועצה לענף הלול (ייצור ושיווק) (תיקון - ביטול החוק), התשפ"ב-2022</t>
  </si>
  <si>
    <t xml:space="preserve"> (פ/3755/24)</t>
  </si>
  <si>
    <t xml:space="preserve">הצעת חוק המקרקעין (תיקון - עישון בבית משותף הפוגע בשכנים), התשפ״ב-2022</t>
  </si>
  <si>
    <t xml:space="preserve"> (פ/3754/24)</t>
  </si>
  <si>
    <t xml:space="preserve"> (פ/3753/24)</t>
  </si>
  <si>
    <t xml:space="preserve">הצעת חוק בתי קברות צבאיים (תיקון - כיתוב על מצבה צבאית), התשפ"ב-2022</t>
  </si>
  <si>
    <t xml:space="preserve"> (פ/3752/24)</t>
  </si>
  <si>
    <t xml:space="preserve">הצעת חוק איסור הכנסת חמץ לבסיסי צה"ל, התשפ"ב-2022</t>
  </si>
  <si>
    <t xml:space="preserve"> (פ/3751/24)</t>
  </si>
  <si>
    <t xml:space="preserve"> (פ/3750/24)</t>
  </si>
  <si>
    <t xml:space="preserve"> (פ/3749/24)</t>
  </si>
  <si>
    <t xml:space="preserve">הצעת חוק הגנת הצרכן (תיקון - חובת הקלטת שיחות, שמירתן ומסירתן לצרכן לפי בקשתו), התשפ"ב-2022</t>
  </si>
  <si>
    <t xml:space="preserve"> (פ/3748/24)</t>
  </si>
  <si>
    <t xml:space="preserve">הצעת חוק הגנת השכר (תיקון - איסור ניכוי חוב או קנס), התשפ"ב-2022</t>
  </si>
  <si>
    <t xml:space="preserve"> (פ/3747/24)</t>
  </si>
  <si>
    <t xml:space="preserve">הצעת חוק יסודות התקציב (תיקון - מיסוי, עדכון וביקורת), התשפ"ב-2022</t>
  </si>
  <si>
    <t xml:space="preserve"> (פ/3746/24)</t>
  </si>
  <si>
    <t xml:space="preserve">הצעת חוק החברות (תיקון - ייצוג הולם של נשים בדירקטוריונים של חברות ציבוריות), התשפ"ב-2022</t>
  </si>
  <si>
    <t xml:space="preserve"> (פ/3745/24)</t>
  </si>
  <si>
    <t xml:space="preserve">הצעת חוק הגנת הצרכן (תיקון - מסירת מסמך עיקרי עסקה בשפה שבה נעשה שיווק מרחוק), התשפ"ב-2022</t>
  </si>
  <si>
    <t xml:space="preserve"> (פ/3744/24)</t>
  </si>
  <si>
    <t xml:space="preserve">הצעת חוק הביטוח הלאומי (תיקון - שלילת קצבאות ממחבלים), התשפ"ב-2022</t>
  </si>
  <si>
    <t xml:space="preserve"> (פ/3743/24)</t>
  </si>
  <si>
    <t xml:space="preserve">הצעת חוק לתיקון פקודת התעבורה (איסור שימוש במצלמות ניידות לאכיפת עבירות חניה), התשפ"ב-2022</t>
  </si>
  <si>
    <t xml:space="preserve"> (פ/3742/24)</t>
  </si>
  <si>
    <t xml:space="preserve">הצעת חוק חופשה שנתית (תיקון - ביטול תקופת ההתיישנות), התשפ"ב-2022</t>
  </si>
  <si>
    <t xml:space="preserve"> (פ/3741/24)</t>
  </si>
  <si>
    <t xml:space="preserve">הצעת חוק ביטוח בריאות ממלכתי (תיקון - פטור מתשלום דמי ביטוח למי שטרם מלאו לו 21 שנים), התשפ"ב-2022</t>
  </si>
  <si>
    <t xml:space="preserve"> (פ/3740/24)</t>
  </si>
  <si>
    <t xml:space="preserve">הצעת חוק הדגל, הסמל והמנון המדינה (תיקון - פגיעה בכבוד דגל המדינה או סמלה), התשפ״ב-2022</t>
  </si>
  <si>
    <t xml:space="preserve"> (פ/3739/24)</t>
  </si>
  <si>
    <t xml:space="preserve">הצעת חוק איסור הפליה במוצרים, בשירותים ובכניסה למקומות בידור ולמקומות ציבוריים (תיקון - הפליה בשל מוצא עדתי), התשפ"ב-2022</t>
  </si>
  <si>
    <t xml:space="preserve"> (פ/3738/24)</t>
  </si>
  <si>
    <t xml:space="preserve"> (פ/3737/24)</t>
  </si>
  <si>
    <t xml:space="preserve">הצעת חוק העונשין (תיקון - החמרת ענישה לעובר עבירה נגד קשיש), התשפ"ב-2022</t>
  </si>
  <si>
    <t xml:space="preserve"> (פ/3736/24)</t>
  </si>
  <si>
    <t xml:space="preserve">הצעת חוק אתרי התיישבות בהליכי הסדרה, התשפ"ב-2022</t>
  </si>
  <si>
    <t xml:space="preserve"> (פ/3735/24)</t>
  </si>
  <si>
    <t xml:space="preserve">הצעת חוק-יסוד: ישראל - מדינת הלאום של העם היהודי (תיקון - חובת המדינה לעם היהודי במצבי חירום)</t>
  </si>
  <si>
    <t xml:space="preserve"> (פ/3734/24)</t>
  </si>
  <si>
    <t xml:space="preserve">הצעת חוק לתיקון פקודת התעבורה (רישום סוג הדם ברישיון נהיגה), התשפ"ב-2022</t>
  </si>
  <si>
    <t xml:space="preserve"> (פ/3733/24)</t>
  </si>
  <si>
    <t xml:space="preserve"> (פ/3732/24)</t>
  </si>
  <si>
    <t xml:space="preserve">הצעת חוק איסור הפליה ברישוי מחמת מצב בריאותי (תיקוני חקיקה), התשפ"ב-2022</t>
  </si>
  <si>
    <t xml:space="preserve"> (פ/3731/24)</t>
  </si>
  <si>
    <t xml:space="preserve">הצעת חוק העונשין (תיקון - תקיפת עובדי חירום), התשפ"ב-2022</t>
  </si>
  <si>
    <t xml:space="preserve"> (פ/3730/24)</t>
  </si>
  <si>
    <t xml:space="preserve">הצעת חוק הביטוח הלאומי (תיקון - תגמול למשרתים במילואים), התשפ"ב-2022</t>
  </si>
  <si>
    <t xml:space="preserve"> (פ/3729/24)</t>
  </si>
  <si>
    <t xml:space="preserve">הצעת חוק להגבלת הריסה וענישה על בנייה בלתי חוקית במגזר הערבי (הוראת שעה), התשפ"ב-2022</t>
  </si>
  <si>
    <t xml:space="preserve"> (פ/3727/24)</t>
  </si>
  <si>
    <t xml:space="preserve">הצעת חוק הבנקאות (שירות ללקוח) (תיקון - הגבלת עמלת ערבות בנקאית שמובטחת בפיקדון כספי מסוים), התשפ"ב-2022</t>
  </si>
  <si>
    <t xml:space="preserve"> (פ/3726/24)</t>
  </si>
  <si>
    <t xml:space="preserve">הצעת חוק לתיקון פקודת התעבורה (פטור מאגרת רישיון לרכב חשמלי), התשפ"ב-2022</t>
  </si>
  <si>
    <t xml:space="preserve"> (פ/3725/24)</t>
  </si>
  <si>
    <t xml:space="preserve"> (פ/3724/24)</t>
  </si>
  <si>
    <t xml:space="preserve">הצעת חוק נכסי נפקדים (תיקון - ביטול החוק), התשפ"ב-2022</t>
  </si>
  <si>
    <t xml:space="preserve"> (פ/3723/24)</t>
  </si>
  <si>
    <t xml:space="preserve">הצעת חוק הרשויות המקומיות (בחירת ראש הרשות וסגניו וכהונתם) (תיקון - מינוי סגן ראש רשות בשכר), התשפ"ב-2022</t>
  </si>
  <si>
    <t xml:space="preserve"> (פ/3722/24)</t>
  </si>
  <si>
    <t xml:space="preserve">הצעת חוק הגנת הצרכן (תיקון - פריסת תשלומים בעסקה מתמשכת), התשפ"ב-2022</t>
  </si>
  <si>
    <t xml:space="preserve"> (פ/3721/24)</t>
  </si>
  <si>
    <t xml:space="preserve">הצעת חוק חינוך לבטיחות והורות, התשפ"ב -2022</t>
  </si>
  <si>
    <t xml:space="preserve"> (פ/3720/24)</t>
  </si>
  <si>
    <t xml:space="preserve">הצעת חוק לתיקון פקודת מס הכנסה (הכרה בהוצאות עבודה מהבית בתקופת התפשטות נגיף הקורונה החדש) (הוראת שעה), התשפ"ב-2022</t>
  </si>
  <si>
    <t xml:space="preserve"> (פ/3719/24)</t>
  </si>
  <si>
    <t xml:space="preserve">הצעת חוק המתווכים במקרקעין (תיקון - הגבלת דמי תיווך), התשפ"ב-2022</t>
  </si>
  <si>
    <t xml:space="preserve"> (פ/3718/24)</t>
  </si>
  <si>
    <t xml:space="preserve">הצעת חוק הנוטריונים (תיקון - ביטול תעריף מינימום לשירות נוטריוני), התשפ"ב-2022</t>
  </si>
  <si>
    <t xml:space="preserve"> (פ/3717/24)</t>
  </si>
  <si>
    <t xml:space="preserve">הצעת חוק-יסוד: הממשלה (תיקון - הטלת התפקיד להרכיב ממשלה)</t>
  </si>
  <si>
    <t xml:space="preserve"> (פ/3716/24)</t>
  </si>
  <si>
    <t xml:space="preserve"> (פ/3715/24)</t>
  </si>
  <si>
    <t xml:space="preserve">הצעת חוק בריאות ממלכתי (תיקון - העברת מידע מלא בעת מעבר בין קופות החולים), התשפ"ב-2022</t>
  </si>
  <si>
    <t xml:space="preserve"> (פ/3714/24)</t>
  </si>
  <si>
    <t xml:space="preserve">הצעת חוק יישוב חיילים משוחררים בנגב, התשפ"ב-2022</t>
  </si>
  <si>
    <t xml:space="preserve"> (פ/3713/24)</t>
  </si>
  <si>
    <t xml:space="preserve">הצעת חוק מוסדות חינוך עצמאיים, התשפ"ב-2022</t>
  </si>
  <si>
    <t xml:space="preserve"> (פ/3712/24)</t>
  </si>
  <si>
    <t xml:space="preserve">הצעת חוק לתיקון פקודת התעבורה (הגבלת דמי חניה בחניוני בתי חולים), התשפ"ב-2022</t>
  </si>
  <si>
    <t xml:space="preserve"> (פ/3711/24)</t>
  </si>
  <si>
    <t xml:space="preserve">הצעת חוק סדר הדין הפלילי (חקירת חשודים) (תיקון - נוכחות עורך דין בחקירת חשוד), התשפ"ב-2022</t>
  </si>
  <si>
    <t xml:space="preserve"> (פ/3710/24)</t>
  </si>
  <si>
    <t xml:space="preserve">הצעת חוק לתיקון פקודת התעבורה (הסדרי תנועה בקרבת בית ספר), התשפ"ב-2022</t>
  </si>
  <si>
    <t xml:space="preserve"> (פ/3709/24)</t>
  </si>
  <si>
    <t xml:space="preserve">הצעת חוק זכאות לאבחון לקויות למידה לילדים ממשפחות מעוטות יכולת, התשפ"ב-2022</t>
  </si>
  <si>
    <t xml:space="preserve"> (פ/3708/24)</t>
  </si>
  <si>
    <t xml:space="preserve">הצעת חוק לתיקון פקודת ביטוח רכב מנועי (חיוב שיווק פוליסה), התשפ"ב-2022</t>
  </si>
  <si>
    <t xml:space="preserve"> (פ/3707/24)</t>
  </si>
  <si>
    <t xml:space="preserve">הצעת חוק איות שמות רחובות, דרכים ומקומות ציבוריים (תיקוני חקיקה), התשפ"ב-2022</t>
  </si>
  <si>
    <t xml:space="preserve"> (פ/3706/24)</t>
  </si>
  <si>
    <t xml:space="preserve">הצעת חוק הטבות לניצולי שואה (תיקון - הטבות לניצולים שעלו לאחר שנת 1953), התשפ"ב-2022</t>
  </si>
  <si>
    <t xml:space="preserve"> (פ/3705/24)</t>
  </si>
  <si>
    <t xml:space="preserve">הצעת חוק הרשות השנייה לטלוויזיה ורדיו (תיקון - הגדלת היקף השידורים בשפה הערבית), התשפ"ב-2022</t>
  </si>
  <si>
    <t xml:space="preserve"> (פ/3704/24)</t>
  </si>
  <si>
    <t xml:space="preserve">הצעת חוק שירות המדינה (מינויים) (תיקון - ייצוג הולם לבני החברה הערבית, לרבות הדרוזית והצ'רקסית), התשפ"ב-2022</t>
  </si>
  <si>
    <t xml:space="preserve"> (פ/3703/24)</t>
  </si>
  <si>
    <t xml:space="preserve">הצעת חוק הקמת מאגר מידע גנטי של כלבים, התשפ"ב-2022</t>
  </si>
  <si>
    <t xml:space="preserve"> (פ/3702/24)</t>
  </si>
  <si>
    <t xml:space="preserve">הצעת חוק שירותי הובלה (תיקון - אחריות לעבירות תעבורה), התשפ"ב-2022</t>
  </si>
  <si>
    <t xml:space="preserve"> (פ/3701/24)</t>
  </si>
  <si>
    <t xml:space="preserve">הצעת חוק העונשין (תיקון - עונש מזערי בגין יידוי או ירי של אבן או חפץ אחר לעבר כלי תחבורה), התשפ"ב-2022</t>
  </si>
  <si>
    <t xml:space="preserve"> (פ/3700/24)</t>
  </si>
  <si>
    <t xml:space="preserve">הצעת חוק שיקים ללא כיסוי (תיקון - הקלות בהגבלת חשבון), התשפ"ב-2022</t>
  </si>
  <si>
    <t xml:space="preserve"> (פ/3699/24)</t>
  </si>
  <si>
    <t xml:space="preserve">הצעת חוק לעידוד בנייה בת קיימא (תיקוני חקיקה), התשפ"ב-2022</t>
  </si>
  <si>
    <t xml:space="preserve"> (פ/3698/24)</t>
  </si>
  <si>
    <t xml:space="preserve"> (פ/3697/24)</t>
  </si>
  <si>
    <t xml:space="preserve">הצעת חוק לתיקון פקודת התעבורה (חובת רישום מונה קילומטרים), התשפ"ב-2022 </t>
  </si>
  <si>
    <t xml:space="preserve"> (פ/3696/24)</t>
  </si>
  <si>
    <t xml:space="preserve">הצעת חוק הספורט (תיקון - זכויות ספורטאי קטין), התשפ"ב-2022</t>
  </si>
  <si>
    <t xml:space="preserve"> (פ/3695/24)</t>
  </si>
  <si>
    <t xml:space="preserve">הצעת חוק הרשויות המקומיות (בחירת ראש הרשות וסגניו וכהונתם) (תיקון - הליכים משפטיים נגד ראש רשות), התשפ"ב-2022</t>
  </si>
  <si>
    <t xml:space="preserve"> (פ/3694/24)</t>
  </si>
  <si>
    <t xml:space="preserve">הצעת חוק הגנת הצרכן (תיקון - סימון תוצרת חקלאית שאינה ארוזה מראש), התשפ''ב-2022</t>
  </si>
  <si>
    <t xml:space="preserve"> (פ/3693/24)</t>
  </si>
  <si>
    <t xml:space="preserve">הצעת חוק הביטוח הלאומי (תיקון - הגדלת התוספת לקצבת אזרח ותיק בעד ילדים), התשפ"ב-2022 </t>
  </si>
  <si>
    <t xml:space="preserve"> (פ/3692/24)</t>
  </si>
  <si>
    <t xml:space="preserve">הצעת חוק זכויות התלמיד (תיקון - הנפקת תעודות בגרות), התשפ"ב-2022</t>
  </si>
  <si>
    <t xml:space="preserve"> (פ/3691/24)</t>
  </si>
  <si>
    <t xml:space="preserve"> (פ/3690/24)</t>
  </si>
  <si>
    <t xml:space="preserve">הצעת חוק חניה לנכים (תיקון - סיווג חניות הנכים), התשפ"ב-2022</t>
  </si>
  <si>
    <t xml:space="preserve"> (פ/3689/24)</t>
  </si>
  <si>
    <t xml:space="preserve">הצעת חוק שלילת זכויות לראש ממשלה לשעבר שכיהן תקופה קצרה, התשפ"ב-2022</t>
  </si>
  <si>
    <t xml:space="preserve"> (פ/3688/24)</t>
  </si>
  <si>
    <t xml:space="preserve">הצעת חוק שירות הקבע בצבא הגנה לישראל (גמלאות) (תיקון - העלאת גיל הפרישה), התשפ"ב-2022</t>
  </si>
  <si>
    <t xml:space="preserve"> (פ/3687/24)</t>
  </si>
  <si>
    <t xml:space="preserve">הצעת חוק חדלות פירעון ושיקום כלכלי (תיקון - הסמכת בית המשפט לעכב הליכי גבייה), התשפ"ב-2022</t>
  </si>
  <si>
    <t xml:space="preserve"> (פ/3686/24)</t>
  </si>
  <si>
    <t xml:space="preserve">הצעת חוק להסדרת הצבה של כוורות וייצור דבש, התשפ"ב-2022 </t>
  </si>
  <si>
    <t xml:space="preserve"> (מ/1537)</t>
  </si>
  <si>
    <t xml:space="preserve">הצעת חוק שירותי הדת היהודיים (תיקון מס' 26) (הגבלת כהונת ממונה), התשפ"ב-2022 </t>
  </si>
  <si>
    <t xml:space="preserve"> (מ/1530)</t>
  </si>
  <si>
    <t xml:space="preserve">הצעת חוק הגנת הצרכן (תיקון מס' 61) (תיקון), התשפ"ב-2022 </t>
  </si>
  <si>
    <t xml:space="preserve"> (מ/1531)</t>
  </si>
  <si>
    <t xml:space="preserve">הצעת חוק התכנון והבנייה (תיקון מס' 139) (חלוקה למחוזות), התשפ"ב-2022</t>
  </si>
  <si>
    <t xml:space="preserve"> (מ/1532)</t>
  </si>
  <si>
    <t xml:space="preserve">הצעת חוק בתי הדין הדתיים הדרוזיים (תיקון מס' 22), התשפ"ב-2022 </t>
  </si>
  <si>
    <t xml:space="preserve"> (מ/1533)</t>
  </si>
  <si>
    <t xml:space="preserve">הצעת חוק בתי המשפט (תיקון מס' 102) (הסדר גישור בין-לאומי), התשפ"ב-2022 </t>
  </si>
  <si>
    <t xml:space="preserve"> (מ/1534)</t>
  </si>
  <si>
    <t xml:space="preserve">הצעת חוק רשות התעופה האזרחית (תיקון מס' 3) (אישור בדבר כשירות אווירית לכלי טיס של צבא זר), התשפ"ב-2022 </t>
  </si>
  <si>
    <t xml:space="preserve"> (מ/1535)</t>
  </si>
  <si>
    <t xml:space="preserve">הצעת חוק העונשין (תיקון מס' 143) (עבירות בנשק), התשפ"ב-2021 </t>
  </si>
  <si>
    <t xml:space="preserve"> (מ/1466)</t>
  </si>
  <si>
    <t xml:space="preserve">הצעת חוק מניעת סיכון בריאותי מהפעלת פליקרים במקומות ציבוריים, התשפ"ב-2022</t>
  </si>
  <si>
    <t xml:space="preserve"> (פ/2953/24)</t>
  </si>
  <si>
    <t xml:space="preserve">02.05.2022</t>
  </si>
  <si>
    <t xml:space="preserve">הצעת חוק ההוצאה לפועל (תיקון - טלפונים ניידים ומחשבים אישיים), התשפ"ב-2021</t>
  </si>
  <si>
    <t xml:space="preserve"> (פ/2858/24)</t>
  </si>
  <si>
    <t xml:space="preserve">הצעת חוק הבחירות לכנסת (תיקון - הצבעת אנשי צוות אוויר), התשפ"ב-2021</t>
  </si>
  <si>
    <t xml:space="preserve"> (פ/2373/24)</t>
  </si>
  <si>
    <t xml:space="preserve">הצעת חוק ציוד רפואי (תיקון והוראת שעה), התשפ"ב-2022</t>
  </si>
  <si>
    <t xml:space="preserve"> (מ/1527)</t>
  </si>
  <si>
    <t xml:space="preserve">הצעת חוק החברות (תיקון מס' 35), התשפ"ב-2022</t>
  </si>
  <si>
    <t xml:space="preserve"> (מ/1528)</t>
  </si>
  <si>
    <t xml:space="preserve">הצעת חוק המידע הפלילי ותקנת השבים (תיקון מס' 3), התשפ"ב-2022</t>
  </si>
  <si>
    <t xml:space="preserve"> (מ/1529)</t>
  </si>
  <si>
    <t xml:space="preserve">הצעת חוק העונשין (תיקון - עבירת תקיפה בנסיבות מחמירות על ידי אחראי על קטין), התשפ"א-2021</t>
  </si>
  <si>
    <t xml:space="preserve"> (פ/988/24)</t>
  </si>
  <si>
    <t xml:space="preserve">06.04.2022</t>
  </si>
  <si>
    <t xml:space="preserve">חוק האזרחות והכניסה לישראל (הוראת שעה), התשפ"ב-2022 </t>
  </si>
  <si>
    <t xml:space="preserve"> (מ/1509)</t>
  </si>
  <si>
    <t xml:space="preserve">10.03.2022</t>
  </si>
  <si>
    <t xml:space="preserve">חוק האזרחות והכניסה לישראל (הוראת שעה), התשפ"ב-2022 נדון בקריאה השנייה והשלישית ביום ז' אדר ב' התשפ"ב (10 במרץ 2022). החוק, המבוסס על חוק שהיה בתוקף בין 2003 ל-2022 בשינויים מסוימים שיפורטו, קובע כי שר הפנים או המפקד הצבאי באיו"ש לא יעניקו אזרחות או רישיון ישיבה בישראל לתושב איו"ש ועזה, וכן לתושבי איראן, לבנון, סוריה ועיראק. עם זאת, האיסור הקבוע בחוק אינו גורף, שכן קבועים בו חריגים וסייגים המאפשרים להעניק אזרחות, רישיון ישיבה או היתר שהייה בישראל (היתר מת"ק שניתן בידי מפקד כוחות צה"ל ביהודה ושומרון) במקרים אלה:  • היתרי מת"ק לבני זוג, כאשר הגבר מעל גיל 35 או כאשר האישה מעל גיל 25; •  רישיון ישיבה בישראל לילד עד גיל 14 לשם מניעת הפרדתו מהורהו; •  היתר מת"ק לילד מעל גיל 14 לשם מניעת הפרדתו מהורהו; • רישיון ישיבה והיתר מת"ק במקרים הומניטריים מיוחדים; • היתרי מת"ק למטרת טיפול רפואי, למטרת עבודה או למטרה זמנית, עד שישה חודשים; • מתן אזרחות או תושבות, במקרים של הזדהות עם מדינת ישראל, עשייה למען המדינה, או במקרים שלמדינה יש בכך עניין מיוחד.  בנוסף נקבע הסדר חדש של שדרוג מעמד מהיתר מת"ק לתושב ארעי, לבני 50 ומעלה ששהו בישראל כדין 10 שנים לפחות, בכפוף לאי קיום מניעה ביטחונית.  הסדר נוסף שנקבע הוא הקמת ועדה הומניטרית ייעודית, לצד הוועדה ההומניטרית הקיימת בחוק. ועדה זו תבחן בקשות שהוגשו מטעמים של אלימות במשפחה או התעללות של בן הזוג או ההורה, ותידרש לקבל החלטה בתוך שלושה חודשים, לעומת שישה חודשים שמוקצים לוועדות ההומניטריות הרגילות. החוק החדש גם מאפשר לתושבים ארעיים לחדש את רישיון התושבות שלהם אחת לשנתיים, במקום אחת לשנה כפי שהיה בחוק הישן. בצד הקלות אלה, נקבע כי שר הפנים יהיה חייב לבטל רישיון ישיבה ארעי או היתר מת"ק שניתנו לפי החוק, אם בעל הרישיון או ההיתר היה מעורב במעשה טרור, ריגול או בגידה.  לצד כל אלו, התווספו הסדרים של בקרה ושקיפות, כגון חובת דיווח רבעונית לכנסת, הגדרת מכסות ועוד.  היות שההסדר הקבוע בהצעת החוק קובע מגבלות חריגות, הוא קבוע לזמן מוגבל של שנה, ובדומה להסדר שהיה קיים גם בחוק הקודם, הממשלה תוכל להאריכו בצו באישור הכנסת.  בחוק נוסף גם סעיף מטרות, הקובע כי מטרתו לקבוע הגבלות על אזרחות וישיבה בישראל של אזרחים או תושבים של מדינות עוינות או של האזור, ובצדן הסדרים חריגים למתן רישיונות ישיבה או היתרי שהייה בישראל, והכל בשים לב להיותה של ישראל מדינה יהודית ודמוקרטית ובאופן שיבטיח את השמירה על אינטרסים החיוניים לביטחון הלאומי של המדינה. </t>
  </si>
  <si>
    <t xml:space="preserve">חוק זכויות נפגעי עבירה (תיקון מס' 15), התשפ"ב-2022</t>
  </si>
  <si>
    <t xml:space="preserve"> (פ/993/24)</t>
  </si>
  <si>
    <t xml:space="preserve"> (כ/874)</t>
  </si>
  <si>
    <t xml:space="preserve">09.03.2022</t>
  </si>
  <si>
    <t xml:space="preserve">הוחלט להסדיר את אופן נטילת ושמירת הדגימות הביולוגיות הנלקחות מנפגעי ונפגעות עבירות מין לצרכי זיהוי התוקף בחקירה משטרתית וגיבוש ראיות למשפט והכל כתלות בהסכמתו של הנפגע. עוד הוחלט כי כלל הדגימות יועברו למשטרת ישראל באופן דיסקרטי שישמור על פרטיותו של נפגע העבירה לצורך הפקת דנ"א וישמרו שם לתקופה של 50 שנים לטובת הליכי חקירה ומשפט עתידיים.</t>
  </si>
  <si>
    <t xml:space="preserve">חוק העונשין (תיקון מס' 141), התשפ"ב–2022</t>
  </si>
  <si>
    <t xml:space="preserve"> (מ/1431)</t>
  </si>
  <si>
    <t xml:space="preserve">חוקק תיקון מבהיר לחוק העונשין ולפיו חוקי עזר הקובעים עבירות פליליות ועונשים הנחקקים על ידי רשויות מקומיות בהתאם לסמכותן לפי חוק, לא טעונים אישור ועדה של הכנסת. כמו כן, התיקון מבהיר כי חוקי עזר שנחקקו מאז התיקון לחוק העונשין בשנת 1994 ולא קיבלו אישור ועדה של הכנסת, הותקנו כדין. </t>
  </si>
  <si>
    <t xml:space="preserve">חוק שירות ביטחון (תיקון מס' 24), התשפ"ב-2022</t>
  </si>
  <si>
    <t xml:space="preserve"> (מ/1445)</t>
  </si>
  <si>
    <t xml:space="preserve">בשנת 2016 תוקן חוק שירות ביטחון ונקבע בו כי החל מ-1.7.2020 משך שירות החובה לגברים ירד מ-32 ל-30 חודשים. התיקון לחוק קובע כי מועד החלת קיצור השירות יידחה, כך שעד ה-1.7.2024 יתגייסו הגברים ל-32 חודשים, ורק לאחר מכן ירד משך השירות ל-30.  בנוסף, החוק קובע כי גם חיילים שהתגייסו לאחר ה-1.7.2020 וכבר נמצאים בשירות, ישרתו 32 חודשים ולא 30 חודשים.</t>
  </si>
  <si>
    <t xml:space="preserve">הצעת חוק צער בעלי חיים (הגנה על בעלי חיים) (תיקון - איסור שימוש באביזרים חשמליים), התשפ"ב-2022</t>
  </si>
  <si>
    <t xml:space="preserve"> (פ/3685/24)</t>
  </si>
  <si>
    <t xml:space="preserve">הצעת חוק לביטול ההפליה ברכישת מקרקעין ביהודה והשומרון (זכות לרכוש מקרקעין), התשפ"ב-2022</t>
  </si>
  <si>
    <t xml:space="preserve"> (פ/3683/24)</t>
  </si>
  <si>
    <t xml:space="preserve">הצעת חוק שירות ביטחון (תיקון - שירות על פי אמונה דתית), התשפ"ב-2022</t>
  </si>
  <si>
    <t xml:space="preserve"> (פ/3682/24)</t>
  </si>
  <si>
    <t xml:space="preserve">הצעת חוק הנחה לחיילי צה"ל לוחמים בתחבורה ציבורית, התשפ"ב-2022</t>
  </si>
  <si>
    <t xml:space="preserve"> (פ/3680/24)</t>
  </si>
  <si>
    <t xml:space="preserve">הצעת חוק ביטול המינהל האזרחי, התשפ"ב-2022</t>
  </si>
  <si>
    <t xml:space="preserve"> (פ/3679/24)</t>
  </si>
  <si>
    <t xml:space="preserve">הצעת חוק לתיקון פקודת בתי הסוהר (איסור כבילה במוסדות רפואיים), התשפ"ב-2022</t>
  </si>
  <si>
    <t xml:space="preserve"> (פ/3678/24)</t>
  </si>
  <si>
    <t xml:space="preserve">הצעת חוק לביטול ההפליה ברכישת מקרקעין ביהודה והשומרון (ביטול החוק הירדני), התשפ"ב-2022</t>
  </si>
  <si>
    <t xml:space="preserve"> (פ/3677/24)</t>
  </si>
  <si>
    <t xml:space="preserve">הצעת חוק יישום הסכם הביניים בדבר הגדה המערבית ורצועת עזה (הגבלת פעילות) (תיקון - עונשין על קיום פעילות), התשפ"ב-2022</t>
  </si>
  <si>
    <t xml:space="preserve"> (פ/3676/24)</t>
  </si>
  <si>
    <t xml:space="preserve">הצעת חוק הרב הצבאי הראשי, התשפ"ב-2022</t>
  </si>
  <si>
    <t xml:space="preserve"> (פ/3675/24)</t>
  </si>
  <si>
    <t xml:space="preserve">הצעת חוק המתווכים במקרקעין (תיקון - אחריות לתשלום דמי תיווך), התשפ"ב-2022</t>
  </si>
  <si>
    <t xml:space="preserve"> (פ/3674/24)</t>
  </si>
  <si>
    <t xml:space="preserve">הצעת חוק למניעת פגיעה במדינת ישראל באמצעות חרם (תיקון - פיצויים ללא הוכחת נזק), התשפ"ב-2022</t>
  </si>
  <si>
    <t xml:space="preserve"> (פ/3673/24)</t>
  </si>
  <si>
    <t xml:space="preserve">הצעת חוק הבחירות (דרכי תעמולה) (תיקון - תעמולה דיגיטלית), התשפ"ב-2022</t>
  </si>
  <si>
    <t xml:space="preserve"> (פ/3672/24)</t>
  </si>
  <si>
    <t xml:space="preserve">הצעת חוק הרשויות המקומיות (בחירת ראש רשות סגניו וכהונתם) (תיקון - פתיחה בחקירה כנגד ראשי רשויות), התשפ"ב-2022</t>
  </si>
  <si>
    <t xml:space="preserve"> (פ/3671/24)</t>
  </si>
  <si>
    <t xml:space="preserve">הצעת חוק לתיקון פקודת התעבורה (מונים למוניות והשכרת רכב), התשפ"ב-2022</t>
  </si>
  <si>
    <t xml:space="preserve"> (פ/3670/24)</t>
  </si>
  <si>
    <t xml:space="preserve"> (פ/3669/24)</t>
  </si>
  <si>
    <t xml:space="preserve">הצעת חוק התחרות הכלכלית (תיקון - איסור פטור סוג להסדר בלעדיות), התשפ"ב-2022</t>
  </si>
  <si>
    <t xml:space="preserve"> (פ/3668/24)</t>
  </si>
  <si>
    <t xml:space="preserve">הצעת חוק בתי המשפט (תיקון - תקופת צינון למינוי היועץ המשפטי לממשלה או פרקליט המדינה כשופטים בבית המשפט העליון), התשפ"ב-2022</t>
  </si>
  <si>
    <t xml:space="preserve"> (פ/3667/24)</t>
  </si>
  <si>
    <t xml:space="preserve"> (פ/3666/24)</t>
  </si>
  <si>
    <t xml:space="preserve"> (פ/3664/24)</t>
  </si>
  <si>
    <t xml:space="preserve">הצעת חוק המכר (דירות) (הבטחת השקעות של רוכשי דירות) (תיקון - הבטחת נכסי בעלי דירות בעסקאות מסוג של התחדשות עירונית), התשפ"ב-2022</t>
  </si>
  <si>
    <t xml:space="preserve"> (פ/3663/24)</t>
  </si>
  <si>
    <t xml:space="preserve">הצעת חוק החלת דיני הקרקעות והתכנון והבנייה הישראליים ביהודה והשומרון, התשפ"ב-2022</t>
  </si>
  <si>
    <t xml:space="preserve"> (פ/3662/24)</t>
  </si>
  <si>
    <t xml:space="preserve">הצעת חוק-יסוד: הכנסת (תיקון - סמכות זימון של ועדות הכנסת לגורמים פרטיים)</t>
  </si>
  <si>
    <t xml:space="preserve"> (פ/3661/24)</t>
  </si>
  <si>
    <t xml:space="preserve">הצעת חוק להסדרת הצבה של כוורות וייצור דבש, התשפ"ב-2022</t>
  </si>
  <si>
    <t xml:space="preserve"> (פ/3659/24)</t>
  </si>
  <si>
    <t xml:space="preserve">הצעת חוק לתיקון פקודת מס הכנסה (מיסוי הכנסה מהשכרת דירה למגורים), התשפ"ב-2022</t>
  </si>
  <si>
    <t xml:space="preserve"> (פ/3658/24)</t>
  </si>
  <si>
    <t xml:space="preserve">הצעת חוק ביטוח בריאות ממלכתי (תיקון - הקצאת תוספת שנתית ייעודית לתרופות למחלות יתומות בסל שירותי הבריאות), התשפ"ב-2022</t>
  </si>
  <si>
    <t xml:space="preserve"> (פ/3657/24)</t>
  </si>
  <si>
    <t xml:space="preserve">הצעת חוק לשמירה על בטיחות מעליות, התשפ"ב-2022</t>
  </si>
  <si>
    <t xml:space="preserve"> (פ/3656/24)</t>
  </si>
  <si>
    <t xml:space="preserve">הצעת חוק הפיקוח על צעצועים מסוכנים, התשפ"ב-2022</t>
  </si>
  <si>
    <t xml:space="preserve"> (פ/3655/24)</t>
  </si>
  <si>
    <t xml:space="preserve">הצעת חוק התגמולים לנפגעי פעולות שנאה, התשפ"ב-2022</t>
  </si>
  <si>
    <t xml:space="preserve"> (פ/3652/24)</t>
  </si>
  <si>
    <t xml:space="preserve">הצעת חוק לתיקון פקודת הראיות (חיסיון רואה חשבון), התשפ"ב-2022</t>
  </si>
  <si>
    <t xml:space="preserve"> (פ/3651/24)</t>
  </si>
  <si>
    <t xml:space="preserve">הצעת חוק מעמדן של ההסתדרות הציונית העולמית ושל הסוכנות היהודית לארץ-ישראל (תיקון - ניהול והקצאת מקרקעין באזור יהודה והשומרון על ידי החטיבה להתיישבות), התשפ"ב-2022</t>
  </si>
  <si>
    <t xml:space="preserve"> (פ/3650/24)</t>
  </si>
  <si>
    <t xml:space="preserve">הצעת חוק הסכמים קיבוציים (תיקון - בחירות לוועד עובדים ולארגון יציג), התשפ"ב-2022</t>
  </si>
  <si>
    <t xml:space="preserve"> (פ/3649/24)</t>
  </si>
  <si>
    <t xml:space="preserve">הצעת חוק זכויות הסטודנט (תיקון - העדפה מתקנת ללוחמים), התשפ"ב-2022</t>
  </si>
  <si>
    <t xml:space="preserve"> (פ/3648/24)</t>
  </si>
  <si>
    <t xml:space="preserve">הצעת חוק הביטוח הלאומי (תיקון - פטור מתשלומים של דמי ביטוח בעד ימי מילואים), התשפ"ב-2022</t>
  </si>
  <si>
    <t xml:space="preserve"> (פ/3647/24)</t>
  </si>
  <si>
    <t xml:space="preserve">הצעת חוק לתיקון פקודת המשטרה (מינוי חשב המשטרה), התשפ"ב-2022</t>
  </si>
  <si>
    <t xml:space="preserve"> (פ/3646/24)</t>
  </si>
  <si>
    <t xml:space="preserve">הצעת חוק שירותי רווחה לאנשים עם מוגבלות, התשפ"ב-2022</t>
  </si>
  <si>
    <t xml:space="preserve"> (פ/3645/24)</t>
  </si>
  <si>
    <t xml:space="preserve">הצעת חוק ביטוח בריאות ממלכתי (תיקון - צמצום הפערים בין הפריפריה למרכז), התשפ"ב-2022</t>
  </si>
  <si>
    <t xml:space="preserve"> (פ/3642/24)</t>
  </si>
  <si>
    <t xml:space="preserve">הצעת חוק שירות המדינה (מינויים) (תיקון - הצהרת אמונים), התשפ"ב-2022</t>
  </si>
  <si>
    <t xml:space="preserve"> (פ/3641/24)</t>
  </si>
  <si>
    <t xml:space="preserve">הצעת חוק לתיקון פקודת מס הכנסה (מיסוי קרן הון סיכון נסחרת), התשפ"ב-2022</t>
  </si>
  <si>
    <t xml:space="preserve"> (פ/3640/24)</t>
  </si>
  <si>
    <t xml:space="preserve">הצעת חוק פטור מתשלומים בעד ימי מילואים (תיקוני חקיקה), התשפ"ב-2022</t>
  </si>
  <si>
    <t xml:space="preserve"> (פ/3639/24)</t>
  </si>
  <si>
    <t xml:space="preserve">הצעת חוק לקידום מתחרים ולהגברת יעילות במתן רישיונות והיתרים בענף הפיננסים, התשפ"ב-2022</t>
  </si>
  <si>
    <t xml:space="preserve"> (פ/3635/24)</t>
  </si>
  <si>
    <t xml:space="preserve">הצעת חוק הגבלת עמלת פירעון מוקדם ואיחוד הליכים של הלוואה לדיור (תיקוני חקיקה), התשפ"ב-2022</t>
  </si>
  <si>
    <t xml:space="preserve"> (פ/3632/24)</t>
  </si>
  <si>
    <t xml:space="preserve">הצעת חוק הסיוע המשפטי (תיקון - העמדת סיוע לנפגע פעולות איבה), התשפ"ב-2022</t>
  </si>
  <si>
    <t xml:space="preserve"> (פ/3631/24)</t>
  </si>
  <si>
    <t xml:space="preserve">הצעת חוק לתיקון פקודת התעבורה (תמרור סימון על פני הכביש - שימוש באמצעי מונע החלקה), התשפ"ב-2022</t>
  </si>
  <si>
    <t xml:space="preserve"> (פ/3630/24)</t>
  </si>
  <si>
    <t xml:space="preserve"> (פ/3629/24)</t>
  </si>
  <si>
    <t xml:space="preserve">הצעת חוק הגנת הצרכן (תיקון - חובת מסירת הקלטת שיחת טלפון לצרכן), התשפ"ב-2022</t>
  </si>
  <si>
    <t xml:space="preserve"> (פ/3627/24)</t>
  </si>
  <si>
    <t xml:space="preserve"> (פ/3626/24)</t>
  </si>
  <si>
    <t xml:space="preserve">הצעת חוק ביטוח בריאות ממלכתי (תיקון - רשם המחלות הנדירות), התשפ"ב-2022</t>
  </si>
  <si>
    <t xml:space="preserve"> (פ/3625/24)</t>
  </si>
  <si>
    <t xml:space="preserve">הצעת חוק שירות ביטחון (תיקון - ביטול גיוס חובה), התשפ"ב-2022</t>
  </si>
  <si>
    <t xml:space="preserve"> (פ/3624/24)</t>
  </si>
  <si>
    <t xml:space="preserve">הצעת חוק שירות המילואים (תיקון - קביעת נקודות זיכוי), התשפ"ב-2022</t>
  </si>
  <si>
    <t xml:space="preserve"> (פ/3623/24)</t>
  </si>
  <si>
    <t xml:space="preserve">הצעת חוק חובת פרסום הודעות באינטרנט, התשפ"ב-2022 </t>
  </si>
  <si>
    <t xml:space="preserve"> (פ/3622/24)</t>
  </si>
  <si>
    <t xml:space="preserve">הצעת חוק להגבלת היתרים לעריכת הגרלות והימורים בקרבת מוסדות ציבוריים, התשפ"ב-2022</t>
  </si>
  <si>
    <t xml:space="preserve"> (פ/3621/24)</t>
  </si>
  <si>
    <t xml:space="preserve">הצעת חוק בחינת חלופות מדיניות לא-צבאיות (תיקוני חקיקה), התשפ"ב-2022</t>
  </si>
  <si>
    <t xml:space="preserve"> (פ/3620/24)</t>
  </si>
  <si>
    <t xml:space="preserve"> (פ/3619/24)</t>
  </si>
  <si>
    <t xml:space="preserve"> (פ/3618/24)</t>
  </si>
  <si>
    <t xml:space="preserve">הצעת חוק לניתוק זיקתם של חיקוקים ממצב החירום (שמירת דינים והוראות שעה), התשפ"ב-2022</t>
  </si>
  <si>
    <t xml:space="preserve"> (פ/3617/24)</t>
  </si>
  <si>
    <t xml:space="preserve">הצעת חוק התקנת מצלמות לשם הגנה על פעוטות במעונות יום לפעוטות (תיקון - צפייה של ההורים בצילומים), התשפ"ב-2022</t>
  </si>
  <si>
    <t xml:space="preserve"> (פ/3615/24)</t>
  </si>
  <si>
    <t xml:space="preserve"> (פ/3614/24)</t>
  </si>
  <si>
    <t xml:space="preserve">הצעת חוק הסדרת העיסוק במקצועות הבריאות (תיקון - הסדרת העיסוק בפודולוגיה), התשפ"ב-2022</t>
  </si>
  <si>
    <t xml:space="preserve"> (פ/3613/24)</t>
  </si>
  <si>
    <t xml:space="preserve">הצעת חוק להסדרת הפיקוח על כלבים (תיקון - אגרה סביבתית), התשפ"ב-2022</t>
  </si>
  <si>
    <t xml:space="preserve"> (פ/3612/24)</t>
  </si>
  <si>
    <t xml:space="preserve">הצעת חוק הכניסה לישראל (תיקון - זמן שהייה לעובד סיעודי זר) (הוראת שעה), התשפ"ב-2022</t>
  </si>
  <si>
    <t xml:space="preserve"> (פ/3611/24)</t>
  </si>
  <si>
    <t xml:space="preserve">הצעת חוק לתיקון פקודת סדרי הדין (התייצבות היועץ המשפטי לממשלה) (ייצוג המדינה), התשפ"ב-2022</t>
  </si>
  <si>
    <t xml:space="preserve"> (פ/3610/24)</t>
  </si>
  <si>
    <t xml:space="preserve">הצעת חוק צער בעלי חיים (ניסויים בבעלי חיים) (תיקון - הגברת הפיקוח על ניסויים), התשפ"ב-2022</t>
  </si>
  <si>
    <t xml:space="preserve"> (פ/3609/24)</t>
  </si>
  <si>
    <t xml:space="preserve">הצעת חוק-יסוד: ביטול מוסד הקלון (תיקוני חקיקה)</t>
  </si>
  <si>
    <t xml:space="preserve"> (פ/3608/24)</t>
  </si>
  <si>
    <t xml:space="preserve">הצעת חוק להקמת אוניברסיטה במחזון הצפון, התשפ"ב-2022</t>
  </si>
  <si>
    <t xml:space="preserve"> (פ/3605/24)</t>
  </si>
  <si>
    <t xml:space="preserve">הצעת חוק שיפוט בתי דין רבניים (נישואין וגירושין) (תיקון - מינוי נציגות ציבור), התשפ"ב-2022</t>
  </si>
  <si>
    <t xml:space="preserve"> (פ/3604/24)</t>
  </si>
  <si>
    <t xml:space="preserve">הצעת חוק מיסוי מקרקעין (שבח ורכישה) (תיקון - מס שבח על מכירת דירה שנייה), התשפ"ב-2022</t>
  </si>
  <si>
    <t xml:space="preserve"> (פ/3603/24)</t>
  </si>
  <si>
    <t xml:space="preserve">הצעת חוק קרן קיימת לישראל (תיקון - ביטול החוק), התשפ"ב-2022</t>
  </si>
  <si>
    <t xml:space="preserve"> (פ/3602/24)</t>
  </si>
  <si>
    <t xml:space="preserve">הצעת חוק להגדלת שיעור ההשתתפות בכוח העבודה ולצמצום פערים חברתיים (מענק עבודה) (תיקון - אוטומציה בקבלת מענק העבודה), התשפ"ב-2022</t>
  </si>
  <si>
    <t xml:space="preserve"> (פ/3601/24)</t>
  </si>
  <si>
    <t xml:space="preserve">הצעת חוק הרשות הלאומית למניעת התאבדויות, התשפ"ב-2022</t>
  </si>
  <si>
    <t xml:space="preserve"> (פ/3600/24)</t>
  </si>
  <si>
    <t xml:space="preserve">הצעת חוק להגדלת שיעור ההשתתפות בכוח העבודה ולצמצום פערים חברתיים (מענק עבודה) (תיקון - פטור מהשבת מענקים להתמודדות עם השלכות נגיף הקורונה לעסקים במחזור קטן), התשפ"ב-2022</t>
  </si>
  <si>
    <t xml:space="preserve"> (פ/3599/24)</t>
  </si>
  <si>
    <t xml:space="preserve">הצעת חוק להקמת קרן למוצרי מזון בריא, התשפ''ב-2022</t>
  </si>
  <si>
    <t xml:space="preserve"> (פ/3598/24)</t>
  </si>
  <si>
    <t xml:space="preserve">הצעת חוק הביטוח הלאומי (תיקון - עדכון קצבת אזרח ותיק בהתאם לשכר המינימום), התשפ"ב-2022</t>
  </si>
  <si>
    <t xml:space="preserve"> (פ/3597/24)</t>
  </si>
  <si>
    <t xml:space="preserve"> (פ/3596/24)</t>
  </si>
  <si>
    <t xml:space="preserve">הצעת חוק תוכנית לימודים נוספת (תיקוני חקיקה), התשפ"ב-2022</t>
  </si>
  <si>
    <t xml:space="preserve"> (פ/3595/24)</t>
  </si>
  <si>
    <t xml:space="preserve">הצעת חוק חובת תשלום בשוברים, התשפ"ב-2022</t>
  </si>
  <si>
    <t xml:space="preserve"> (פ/3594/24)</t>
  </si>
  <si>
    <t xml:space="preserve">הצעת חוק הרשויות המקומיות (בחירות) (תיקון - העלאת אחוז החסימה), התשפ"ב-2022</t>
  </si>
  <si>
    <t xml:space="preserve"> (פ/3593/24)</t>
  </si>
  <si>
    <t xml:space="preserve"> (פ/3592/24)</t>
  </si>
  <si>
    <t xml:space="preserve">הצעת חוק להקמת טכניון בנגב, התשפ"ב-2022</t>
  </si>
  <si>
    <t xml:space="preserve"> (פ/3591/24)</t>
  </si>
  <si>
    <t xml:space="preserve">הצעת חוק יום משפחות היתומים בישראל, התשפ"ב-2022</t>
  </si>
  <si>
    <t xml:space="preserve"> (פ/3590/24)</t>
  </si>
  <si>
    <t xml:space="preserve">הצעת חוק תגמול לנושאי משרה בתאגידים פיננסיים (אישור מיוחד ואי-התרת הוצאה לצורכי מס בשל תגמול חריג) (תיקון - הרחבת התחולה על ספקים וקמעונאים גדולים), התשפ"ב-2022</t>
  </si>
  <si>
    <t xml:space="preserve"> (פ/3589/24)</t>
  </si>
  <si>
    <t xml:space="preserve">הצעת חוק לטיפול סביבתי בציוד חשמלי ואלקטרוני ובסוללות (תיקון - חובת מיחזור פסולת רכב חשמלי ורכב היברידי), התשפ"ב-2022</t>
  </si>
  <si>
    <t xml:space="preserve"> (פ/3588/24)</t>
  </si>
  <si>
    <t xml:space="preserve">הצעת חוק עמותות חוץ, התשפ"ב-2022</t>
  </si>
  <si>
    <t xml:space="preserve"> (פ/3587/24)</t>
  </si>
  <si>
    <t xml:space="preserve"> (פ/3586/24)</t>
  </si>
  <si>
    <t xml:space="preserve"> (פ/3585/24)</t>
  </si>
  <si>
    <t xml:space="preserve">הצעת חוק שירות המדינה (מינויים) (תיקון - מינוי יועץ משפטי וחשב למשרד ממשלתי), התשפ"ב-2022</t>
  </si>
  <si>
    <t xml:space="preserve"> (פ/3584/24)</t>
  </si>
  <si>
    <t xml:space="preserve">הצעת חוק התכנון והבנייה (תיקון - מכירה ישירה של תוצרת חקלאית), התשפ"ב-2022</t>
  </si>
  <si>
    <t xml:space="preserve"> (פ/3583/24)</t>
  </si>
  <si>
    <t xml:space="preserve">הצעת חוק שעות עבודה ומנוחה (תיקון - סוף שבוע ארוך), התשפ"ב-2022</t>
  </si>
  <si>
    <t xml:space="preserve"> (פ/3582/24)</t>
  </si>
  <si>
    <t xml:space="preserve"> (פ/3581/24)</t>
  </si>
  <si>
    <t xml:space="preserve">הצעת חוק רישוי סוכני אונייה, התשפ"ב-2022 </t>
  </si>
  <si>
    <t xml:space="preserve"> (פ/3580/24)</t>
  </si>
  <si>
    <t xml:space="preserve">הצעת חוק לתיקון פקודת מס הכנסה (הטבות במס ליישוב מאוים באזור), התשפ"ב-2022</t>
  </si>
  <si>
    <t xml:space="preserve"> (פ/3579/24)</t>
  </si>
  <si>
    <t xml:space="preserve">הצעת חוק הביטוח הלאומי (תיקון - שמירה חקלאית כעבודה מועדפת), התשפ"ב-2022</t>
  </si>
  <si>
    <t xml:space="preserve"> (פ/3577/24)</t>
  </si>
  <si>
    <t xml:space="preserve">הצעת חוק להגנת חיית הבר (תיקון - סחר, החזקה והעברה של חיות בר), התשפ"ב-2022</t>
  </si>
  <si>
    <t xml:space="preserve"> (פ/3575/24)</t>
  </si>
  <si>
    <t xml:space="preserve">הצעת חוק התכנון והבנייה (תיקון - התקנת מנגנון שבת למשאבות מים), התשפ"ב-2022</t>
  </si>
  <si>
    <t xml:space="preserve"> (פ/3573/24)</t>
  </si>
  <si>
    <t xml:space="preserve">הצעת חוק משכן הכנסת, רחבתו ומשמר הכנסת (תיקון - איסור העסקה קבלנית), התשפ"ב-2022</t>
  </si>
  <si>
    <t xml:space="preserve"> (פ/3572/24)</t>
  </si>
  <si>
    <t xml:space="preserve"> (פ/3570/24)</t>
  </si>
  <si>
    <t xml:space="preserve">הצעת חוק הגנת הצרכן (תיקון - חובת הצגת מחיר מומלץ של ירקות), התשפ"ב-2022</t>
  </si>
  <si>
    <t xml:space="preserve"> (פ/3569/24)</t>
  </si>
  <si>
    <t xml:space="preserve">הצעת חוק שימוש חוזר במים אפורים, התשפ"ב-2022</t>
  </si>
  <si>
    <t xml:space="preserve"> (פ/3568/24)</t>
  </si>
  <si>
    <t xml:space="preserve">הצעת חוק לתיקון פקודת הדיג (איסור דיג מכמורת), התשפ"ב-2022</t>
  </si>
  <si>
    <t xml:space="preserve"> (פ/3567/24)</t>
  </si>
  <si>
    <t xml:space="preserve">הצעת חוק לתיקון פקודת בריאות העם (החרגת מכשירי דימות תהודה מגנטית הפועלים בשדה מגנטי נמוך מ-0.5 טסלה), התשפ"ב-2022</t>
  </si>
  <si>
    <t xml:space="preserve"> (פ/3566/24)</t>
  </si>
  <si>
    <t xml:space="preserve">הצעת חוק הגנת הצרכן (תיקון - סימון תוצרת חקלאית שאינה ארוזה מראש), התשפ"ב-2022</t>
  </si>
  <si>
    <t xml:space="preserve"> (פ/3565/24)</t>
  </si>
  <si>
    <t xml:space="preserve">הצעת חוק הביטוח הלאומי (תיקון - גמלת סיעוד למבוטח הנמצא במוסד סיעודי), התשפ"ב-2022</t>
  </si>
  <si>
    <t xml:space="preserve"> (פ/3564/24)</t>
  </si>
  <si>
    <t xml:space="preserve">הצעת חוק מתאם ממשלתי לזכויות ילדים ונוער, התשפ"ב-2022</t>
  </si>
  <si>
    <t xml:space="preserve"> (פ/3563/24)</t>
  </si>
  <si>
    <t xml:space="preserve">הצעת חוק עבודת נשים (תיקון - הסדרי עבודה גמישים להורה עצמאי), התשפ"ב-2022</t>
  </si>
  <si>
    <t xml:space="preserve"> (פ/3562/24)</t>
  </si>
  <si>
    <t xml:space="preserve">הצעת חוק לתיקון פקודת בתי הסוהר (שלילת זכויות יתר מאסיר ביטחוני המשתייך לארגון טרור), התשפ"ב-2022</t>
  </si>
  <si>
    <t xml:space="preserve"> (פ/3561/24)</t>
  </si>
  <si>
    <t xml:space="preserve"> (פ/3560/24)</t>
  </si>
  <si>
    <t xml:space="preserve">הצעת חוק חילופי מידע בין גופי הביטחון, המודיעין והאכיפה לבין קורבנות טרור, התשפ"ב-2022 </t>
  </si>
  <si>
    <t xml:space="preserve"> (פ/3559/24)</t>
  </si>
  <si>
    <t xml:space="preserve">הצעת חוק חינוך ממלכתי (תיקון - חינוך ממלכתי חרדי), התשפ"ב-2022</t>
  </si>
  <si>
    <t xml:space="preserve"> (פ/3558/24)</t>
  </si>
  <si>
    <t xml:space="preserve"> (פ/3557/24)</t>
  </si>
  <si>
    <t xml:space="preserve">הצעת חוק אישור לפתיחת חקירת שוטרים המעורבים באירוע לאומני, התשפ"ב-2022</t>
  </si>
  <si>
    <t xml:space="preserve"> (פ/3556/24)</t>
  </si>
  <si>
    <t xml:space="preserve">הצעת חוק שידורי טלוויזיה (כתוביות ושפת סימנים) (תיקון - חובת ליווי בכתוביות תכנית ותשדיר פרסומת), התשפ"ב-2021</t>
  </si>
  <si>
    <t xml:space="preserve"> (פ/2189/24)</t>
  </si>
  <si>
    <t xml:space="preserve">הצעת חוק מוקד חירום רפואי טלפוני, התשפ"ב–2022</t>
  </si>
  <si>
    <t xml:space="preserve"> (פ/1461/24)</t>
  </si>
  <si>
    <t xml:space="preserve"> (כ/897)</t>
  </si>
  <si>
    <t xml:space="preserve">הצעת חוק המקרקעין (תיקון מס' 35) (התקנת עמדת טעינה לרכב חשמלי בבית משותף ודייני מקרקעין), התשפ"ב-2022 </t>
  </si>
  <si>
    <t xml:space="preserve"> (מ/1526)</t>
  </si>
  <si>
    <t xml:space="preserve">חוק הדואר (תיקון מס' 13), התשפ"ב–2022</t>
  </si>
  <si>
    <t xml:space="preserve"> (מ/1448)</t>
  </si>
  <si>
    <t xml:space="preserve">08.03.2022</t>
  </si>
  <si>
    <t xml:space="preserve">תיקון מס' 13 הוא תיקון מקיף בחוק הדואר, התשמ"ו-1986, שנועד לקדם תחרות בשוק הדואר, לשפר את שירותי הדואר הניתנים לציבור ולשמור על יכולתה של חברת דואר ישראל לספק שירותים בסיסיים לציבור תוך הגברת האכיפה והפיקוח על פעילותה.  ראשית, החוק קובע כי תבוטל הבלעדיות שיש לחברת דואר ישראל על מתן שירותי דואר "בתחום השמור" - משלוח דבר דואר ללקוחות שאינם לקוחות עסקיים, עד משקל של 500 גרם שמחירו עד 5.40 שקלים חדשים.  שנית, ניתנה אפשרות לחברת דואר ישראל לתת שירותים חדשים בתחום נוספים על אלה שהיו מותרים לה ערב תחילתו של התיקון, וזאת תוך הודעה מראש לשר התקשורת. בין השירותים החדשים נכלל גם שירות הדפסת דבר דואר שמוגבל לעד 1,000 דברי דואר למשלוח, ובכפוף להגבלות נוספות המפורטות בחוק.  שלישית, התיקון מרחיב את סמכויות הפיקוח והאכיפה של משרד התקשורת על חברת הדואר, ובכלל זה העלאה משמעותית בסכומי העיצומים הכספיים שניתן להטיל עליה.  נוסף על כך, בתיקון זה מוסר באופן חלקי הפיקוח הממשלתי על מחירי שירותי דואר שניתנים על ידי חברת הדואר, תוך קביעה כי החברה תחויב לגבות מחיר סביר עבור שירותיה וכי שרי האוצר והתקשורת יהיו מוסמכים לקבוע בתקנות שירותים מסוימים שלגביהם יקבעו תעריפים. כמו כן, החוק קובע כי התשלום בעד שירותים הניתנים ללקוחות פרטיים יהיה תשלום אחיד וכן כי מתן הנחות ללקוחות עסקיים יהיה בכפוף לאמות מידה שתקבע החברה, ובלבד שההנחה תינתן באופן בלתי מפלה והתשלום לאחר ההנחה יהיה תשלום סביר.  לגבי השירות הניתן במרכזי החלוקה (מיתקנים לחלוקת דואר הכוללים תאי חלוקה לנמען כחלופה לתיבת מכתבים במענו) – החוק קובע הוראות שמטרתן לקדם את התחרות בשוק הדואר ולמתן את היתרון התחרותי המשמעותי שיש היום לחברת דואר ישראל על פני מתחריה, שכן כל מרכזי החלוקה נמצאים בבעלות החברה. לפי החוק, חברת הדואר תהיה מחויבת לתת שירות במרכזי החלוקה, שלא היו פתוחים לתחרות ערב התיקון, ושר התקשורת, בהסכמת שר האוצר, יקבע תשלום מפוקח בעד שירותים אלה. ההוראות לעניין מרכזי החלוקה יהיו בתוקף ל-4 שנים מכניסתו לתוקף של התיקון, כדי לאפשר לממשלה לבחון את ההסדר בעניין זה, בין היתר לאור הכוונות להפריט את חברת דואר ישראל. בנוסף, התיקון מתקן את תיקון מס' 11 לחוק הדואר, שנחקק בשנת 2012 וקבע תנאים להפרדה מיבנית בין חברת הדואר ובנק הדואר. ההפרדה האמורה לא יצאה לפועל מאז, וכניסתו לתוקף נדחתה שוב ושוב. בתיקון זה נקבע תאריך יעד בתום שנת 2026, שאם עד אליו לא תבוצע הפרדה המיבנית, יבוטלו הסעיפים בתיקון מס' 11 המתייחסים להפרדה כאמור. החוק ייכנס לתוקף חודש לאחר פרסומו ברשומות. </t>
  </si>
  <si>
    <t xml:space="preserve">חוק לתיקון פקודת התעבורה (מס' 130), התשפ"ב–2022</t>
  </si>
  <si>
    <t xml:space="preserve"> (מ/1440)</t>
  </si>
  <si>
    <t xml:space="preserve">בתיקון מס' 130 לפקודת התעבורה (להלן - הפקודה) נקבע הסדר שנועד להניח תשתית נורמטיבית לקיום ניסויים בהפעלת כלי רכב עצמאיים (אוטונומיים) בהפעלה מסחרית בכבישי ישראל, לרבות לשם הסעת נוסעים בתשלום (עד כה נערכו ניסויים ברכב עצמאי לפי הוראות תקנות התעבורה, אך רק בהפעלה שאינה מסחרית ועם נוכחות של נהג ברכב). כלי רכב עצמאיים הם כלי רכב שבהם מערכת נהיגה עצמאית ממוחשבת מחליפה את הנהג.  לפי התיקון, מפעילי כלי רכב עצמאיים יחויבו בקבלת היתר הפעלה מהמפקח על התעבורה במשרד התחבורה והבטיחות בדרכים, בכפוף לתנאים הקבועים בתיקון, ובהם שעל המפעיל להיות חברה שרשומה בישראל וכן תנאים הנוגעים להגנת סייבר. בעלי היתר ההפעלה יהיו אחראים כל היבטי ההפעלה של הרכב כאילו היו בעל הרכב, ובכלל זה על אירועים חריגים המתרחשים במסגרת ההפעלה הניסיונית. תוקף היתרי ההפעלה הוא ל-3 שנים, וניתן להאריכם בתקופות נוספות ובלבד שסך כל התקופות לא יעלה על 9 שנים.  התיקון לפקודה כולל התאמות להוראות פקודת התעבורה, הנדרשות בשל המאפיינים הייחודיים של הפעלת הרכב העצמאי כרכב שלא יושב בו נהג. במסגרת זו, ניתנה לשרת התחבורה סמכות לקבוע בתקנות פטור מתחולת הוראות הפקודה או הוראות שיבואו במקום הוראות הפקודה, ואולם לגבי הוראות הפקודה הנוגעות להפעלת מונית, נקבע בתיקון כי לא ייקבע פטור לגבי רכב עצמאי המופעל כמונית, אלא אם כן הדבר מתחייב מהפעלת רכב כאמור ללא נהג או משימוש באמצעים הטכנולוגיים המותקנים בו לשם עמידתו בהוראות הפקודה.  עוד קובע התיקון הוראות לעניין הסדרת מתן רישיון רכב לרכב העצמאי, ביטוח רכב עצמאי, סמכויות פיקוח והקמת ועדה מייעצת שתכלול נציגים מהגורמים הרלוונטיים, ושתפקידה לייעץ לשרת התחבורה לגבי התקנת תקנות בנושא רכב עצמאי.  רוב ההוראות הנדרשות ליישום ההסדר שנקבע בחוק מעוגנות בתוספת ה-14 לפקודה, הכוללת תנאים למתן היתר הפעלה, חובות שיוטלו על בעלי היתרי ההפעלה ובהן חובות דיווח למשרד התחבורה לרבות על אירועים בטיחותיים וכן תנאים למתן רישיון רכב לרכב עצמאי.  החוק ייכנס לתוקף חודש לאחר פרסומו ברשומות.</t>
  </si>
  <si>
    <t xml:space="preserve">חוק עבודת נשים (תיקון מס' 63), התשפ"ב–2022</t>
  </si>
  <si>
    <t xml:space="preserve"> (פ/2423/24)</t>
  </si>
  <si>
    <t xml:space="preserve">נקבע כי איש או אישה שהם הורה עצמאי לילד עד גיל  12 יוכלו להודיע כי אינם מסכימים לעבוד בפרק הזמן בין השעה 24.00 לשעה 07.30, ומעסיק לא יוכל לסרב לקבלם לעבודה רק בשל כך. כמו כן בהיותם עובדים הם יוכלו לסרב לדרישה חדשה לעבוד בשעות אלה.</t>
  </si>
  <si>
    <t xml:space="preserve">חוק הביטוח הלאומי (תיקון מס' 229) (נגיף הקורונה החדש – הוראת שעה), התשפ"ב-2022 </t>
  </si>
  <si>
    <t xml:space="preserve"> (מ/1490)</t>
  </si>
  <si>
    <t xml:space="preserve">07.03.2022</t>
  </si>
  <si>
    <t xml:space="preserve">בהמשך להוראת שעה קודמת, נקבע כי לגבי גמלאות המשולמות למבוטח בעד התקופה שמיום 1 בינואר 2022 ועד יום 31 בדצמבר 2022 יחולו הוראות אלה: ראשית, לצורך חישוב קצבת נכות כללית, קצבת אזרח ותיק וקצבת שאירים יראו בדמי אבטלה כהכנסה ממשלח יד או מעבודה.  שנית, בתקופה האמורה מבוטחת תוכל לקבל במקביל הן קצבת אזרח ותיק והן דמי אבטלה בכפוף למבחן הכנסות. משרד האוצר ישפה את המוסד לביטוח לאומי על התוספות המשתלמות לפי הצעת החוק. שלישית, לעניין ניכוי וחישוב גמלת הבטחת הכנסה או תשלום מזונות מהמוסד לביטוח לאומי, דמי אבטלה יחשבו כהכנסה מעבודה או  </t>
  </si>
  <si>
    <t xml:space="preserve">הצעת חוק מערך הגיור, התשפ"ב-2022 </t>
  </si>
  <si>
    <t xml:space="preserve"> (מ/1525)</t>
  </si>
  <si>
    <t xml:space="preserve">הצעת חוק האזרחות והכניסה לישראל (הוראת שעה), התשפ"ב-2022</t>
  </si>
  <si>
    <t xml:space="preserve"> (פ/2997/24)</t>
  </si>
  <si>
    <t xml:space="preserve">הצעת חוק האזרחות והכניסה לישראל (הוראת שעה), התשפ"ב-2021</t>
  </si>
  <si>
    <t xml:space="preserve"> (פ/2276/24)</t>
  </si>
  <si>
    <t xml:space="preserve">הצעת חוק האזרחות והכניסה לישראל (הוראת שעה), התשפ"א-2021</t>
  </si>
  <si>
    <t xml:space="preserve"> (פ/1994/24)</t>
  </si>
  <si>
    <t xml:space="preserve">הצעת חוק לאיחוד מוקדי החירום הרפואיים הטלפוניים, התשפ"ב-2021</t>
  </si>
  <si>
    <t xml:space="preserve"> (פ/2874/24)</t>
  </si>
  <si>
    <t xml:space="preserve">הצעת חוק ייצוג גופים ציבוריים שעניינם בשמירת איכות הסביבה (תיקוני חקיקה), התשפ"ב-2022</t>
  </si>
  <si>
    <t xml:space="preserve"> (פ/3555/24)</t>
  </si>
  <si>
    <t xml:space="preserve">הצעת חוק ביטוח בריאות ממלכתי (תיקון - סבסוד מחוללי חמצן ניידים), התשפ"ב-2022</t>
  </si>
  <si>
    <t xml:space="preserve"> (פ/3554/24)</t>
  </si>
  <si>
    <t xml:space="preserve">הצעת חוק יישוב סכסוכי עבודה (תיקון - ריכוז מידע על שביתות והשבתות), התשפ"ב-2022</t>
  </si>
  <si>
    <t xml:space="preserve"> (פ/3552/24)</t>
  </si>
  <si>
    <t xml:space="preserve">הצעת חוק הסדרת העיסוק בייצוג דוגמנים, התשפ"ב-2022</t>
  </si>
  <si>
    <t xml:space="preserve"> (פ/3551/24)</t>
  </si>
  <si>
    <t xml:space="preserve">הצעת חוק זכויות נפגעי עבירה (תיקון - הרחבת זכות העיון לנפגעי עבירות מין), התשפ"ב-2022</t>
  </si>
  <si>
    <t xml:space="preserve"> (פ/3550/24)</t>
  </si>
  <si>
    <t xml:space="preserve">הצעת חוק הנגשת שירותי קבלת קהל הניתנים בגופי שלטון לשפות נוספות, התשפ"ב-2022</t>
  </si>
  <si>
    <t xml:space="preserve"> (פ/3549/24)</t>
  </si>
  <si>
    <t xml:space="preserve">הצעת חוק הנכים (תגמולים ושיקום) (תיקון - סיוע לבן משפחה של נכה הסובל מהלם קרב), התשפ"ב-2022</t>
  </si>
  <si>
    <t xml:space="preserve"> (פ/3547/24)</t>
  </si>
  <si>
    <t xml:space="preserve"> (פ/3546/24)</t>
  </si>
  <si>
    <t xml:space="preserve">הצעת חוק מס ערך מוסף (תיקון - הגדרת עוסק פטור), התשפ"ב-2022</t>
  </si>
  <si>
    <t xml:space="preserve"> (פ/3544/24)</t>
  </si>
  <si>
    <t xml:space="preserve">הצעת חוק להארכת מועד לקבלת דברי דואר (הוראת שעה), התשפ"ב-2022</t>
  </si>
  <si>
    <t xml:space="preserve"> (פ/3543/24)</t>
  </si>
  <si>
    <t xml:space="preserve">הצעת חוק מידע גנטי (תיקון - עריכת בדיקה גנטית לאיתור בן משפחה שעלה בין השנים 1948 עד 1959), התשפ"ב-2022</t>
  </si>
  <si>
    <t xml:space="preserve"> (פ/3542/24)</t>
  </si>
  <si>
    <t xml:space="preserve">הצעת חוק רישום רכב ניזוק שנמכר על ידי מבטח או תאגיד, התשפ"ב-2022</t>
  </si>
  <si>
    <t xml:space="preserve"> (פ/3541/24)</t>
  </si>
  <si>
    <t xml:space="preserve">הצעת חוק מעונות יום שיקומיים (תיקון - טיפולים לפעוט עם מוגבלות מחוץ למעון היום השיקומי), התשפ"ב-2022</t>
  </si>
  <si>
    <t xml:space="preserve"> (פ/3539/24)</t>
  </si>
  <si>
    <t xml:space="preserve">הצעת חוק ברית הזוגיות לחסרי דת (תיקון - ברית זוגיות למנועי חיתון בישראל), התשפ"ב-2022</t>
  </si>
  <si>
    <t xml:space="preserve"> (פ/3538/24)</t>
  </si>
  <si>
    <t xml:space="preserve">הצעת חוק שירותי הדת היהודיים (תיקון - קציבת כהונת רב עיר), התשפ"ב-2022</t>
  </si>
  <si>
    <t xml:space="preserve"> (פ/3537/24)</t>
  </si>
  <si>
    <t xml:space="preserve"> (פ/3535/24)</t>
  </si>
  <si>
    <t xml:space="preserve">הצעת חוק מינוי ייצוג משפטי לקטין (תיקוני חקיקה), התשפ"ב-2022</t>
  </si>
  <si>
    <t xml:space="preserve"> (פ/3534/24)</t>
  </si>
  <si>
    <t xml:space="preserve">הצעת חוק השפה הערבית שפה רשמית, התשפ"ב-2022</t>
  </si>
  <si>
    <t xml:space="preserve"> (פ/3533/24)</t>
  </si>
  <si>
    <t xml:space="preserve">הצעת חוק השפה הערבית שפה רשמית (מתן שירותים בשפה הערבית), התשפ"ב-2022</t>
  </si>
  <si>
    <t xml:space="preserve"> (פ/3532/24)</t>
  </si>
  <si>
    <t xml:space="preserve">הצעת חוק סינון תכנים פוגעניים באינטרנט במוסדות החינוך, התשפ"ב-2022</t>
  </si>
  <si>
    <t xml:space="preserve"> (פ/3531/24)</t>
  </si>
  <si>
    <t xml:space="preserve">הצעת חוק לסימון סוסים, חמורים ופרדים ולהגנתם, התשפ"ב-2022</t>
  </si>
  <si>
    <t xml:space="preserve"> (פ/3530/24)</t>
  </si>
  <si>
    <t xml:space="preserve">הצעת חוק העונשין (תיקון - חזקת סוחר בכלי נשק), התשפ"ב-2022</t>
  </si>
  <si>
    <t xml:space="preserve"> (פ/3529/24)</t>
  </si>
  <si>
    <t xml:space="preserve">הצעת חוק לתיקון פקודת הראיות (סייג לעדות עד מדינה), התשפ"ב-2022</t>
  </si>
  <si>
    <t xml:space="preserve"> (פ/3528/24)</t>
  </si>
  <si>
    <t xml:space="preserve">הצעת חוק לתיקון דיני הרשויות המקומיות (ביטול סמכות שר הפנים לעניין חוקי עזר בדבר פתיחתם וסגירתם של עסקים בימי מנוחה), התשפ"ב-2022</t>
  </si>
  <si>
    <t xml:space="preserve"> (פ/3526/24)</t>
  </si>
  <si>
    <t xml:space="preserve"> (פ/3525/24)</t>
  </si>
  <si>
    <t xml:space="preserve">הצעת חוק הכנסת (תיקון - ויתור על שכר כנסת של חבר הכנסת), התשע"ב-2022</t>
  </si>
  <si>
    <t xml:space="preserve"> (פ/3524/24)</t>
  </si>
  <si>
    <t xml:space="preserve">הצעת חוק הירושה (תיקון - צוואה לטובת מטפל), התשפ"ב-2022</t>
  </si>
  <si>
    <t xml:space="preserve"> (פ/3523/24)</t>
  </si>
  <si>
    <t xml:space="preserve">הצעת חוק חובת שקיפות תקציבית במוסדות החינוך, התשפ"ב-2022</t>
  </si>
  <si>
    <t xml:space="preserve"> (פ/3521/24)</t>
  </si>
  <si>
    <t xml:space="preserve">הצעת חוק הגנת הצרכן (תיקון - מתן שירות טלפוני על ידי בעל רישיון להפעלת קו שירות לאוטובוס), התשפ"ב-2022</t>
  </si>
  <si>
    <t xml:space="preserve"> (פ/3520/24)</t>
  </si>
  <si>
    <t xml:space="preserve">הצעת חוק הביטוח הלאומי (תיקון - קצבת נכות לעקרת בית), התשפ"ב-2022</t>
  </si>
  <si>
    <t xml:space="preserve"> (פ/3519/24)</t>
  </si>
  <si>
    <t xml:space="preserve">הצעת חוק עבודת נשים (תיקון - זכאות להשתתפות בעלות מעון יום בתקופת הלידה וההורות), התשפ"ב-2022</t>
  </si>
  <si>
    <t xml:space="preserve"> (פ/3518/24)</t>
  </si>
  <si>
    <t xml:space="preserve">הצעת חוק עבודת נשים (תיקון - הארכת תקופת הלידה וההורות להורי פג), התשפ"ב-2022</t>
  </si>
  <si>
    <t xml:space="preserve"> (פ/3517/24)</t>
  </si>
  <si>
    <t xml:space="preserve">הצעת חוק התכנון והבנייה (תיקון - תסקירי השפעה על הסביבה ועל הבריאות), התשפ"ב-2022</t>
  </si>
  <si>
    <t xml:space="preserve"> (פ/3516/24)</t>
  </si>
  <si>
    <t xml:space="preserve">הצעת חוק העסקת עובדים על ידי קבלני כוח אדם (תיקון - מניעת סיום העסקה לשם הימנעות מהעסקה ישירה), התשפ"ב-2022</t>
  </si>
  <si>
    <t xml:space="preserve"> (פ/3515/24)</t>
  </si>
  <si>
    <t xml:space="preserve">הצעת חוק הפרשנות (תיקון - הגדרת הפליה על רקע נטייה מינית או זהות מגדרית), התשפ"ב-2022</t>
  </si>
  <si>
    <t xml:space="preserve"> (פ/3514/24)</t>
  </si>
  <si>
    <t xml:space="preserve">הצעת חוק מס הכנסה (פטור ממס על הכנסה מהשכרת דירת מגורים) (תיקון - פטור למוסד חינוך), התשפ"ב-2022</t>
  </si>
  <si>
    <t xml:space="preserve"> (פ/3513/24)</t>
  </si>
  <si>
    <t xml:space="preserve"> (פ/3512/24)</t>
  </si>
  <si>
    <t xml:space="preserve">הצעת חוק העונשין (תיקון - תקיפת איש כוחות הביטחון וההצלה), התשפ"ב-2022</t>
  </si>
  <si>
    <t xml:space="preserve"> (פ/3511/24)</t>
  </si>
  <si>
    <t xml:space="preserve">הצעת חוק הנוער (טיפול והשגחה) (תיקון - ביטול עבירה פלילית על פרסום תחלואה נפשית של קטין), התשפ"ב-2022</t>
  </si>
  <si>
    <t xml:space="preserve"> (פ/3510/24)</t>
  </si>
  <si>
    <t xml:space="preserve">הצעת חוק שכר המינימום (תיקון - העלאת שכר המינימום), התשפ"ב-2022</t>
  </si>
  <si>
    <t xml:space="preserve"> (פ/3508/24)</t>
  </si>
  <si>
    <t xml:space="preserve">הצעת חוק לתיקון פקודת התעבורה (הסדר ארצי אחיד לעניין גרירת רכב), התשפ"ב-2022</t>
  </si>
  <si>
    <t xml:space="preserve"> (פ/3507/24)</t>
  </si>
  <si>
    <t xml:space="preserve">הצעת חוק לתיקון פקודת העיריות (הרשאת שימוש במקרקעין למוסד ציבורי), התשפ"ב-2022</t>
  </si>
  <si>
    <t xml:space="preserve"> (פ/3506/24)</t>
  </si>
  <si>
    <t xml:space="preserve">הצעת חוק עבודת נשים (תיקון - תקופת לידה והורות להורה יחיד), התשפ"ב-2022 </t>
  </si>
  <si>
    <t xml:space="preserve"> (פ/3505/24)</t>
  </si>
  <si>
    <t xml:space="preserve">הצעת חוק משפחות חיילים שנספו במערכה (תגמולים ושיקום) (תיקון - הכרה בארוסות חיילים שנספו במערכה), התשפ"ב-2022</t>
  </si>
  <si>
    <t xml:space="preserve"> (פ/3504/24)</t>
  </si>
  <si>
    <t xml:space="preserve">הצעת חוק הביטוח הלאומי (תיקון - עבודה מועדפת בענף המסעדנות), התשפ"ב-2022</t>
  </si>
  <si>
    <t xml:space="preserve"> (פ/3503/24)</t>
  </si>
  <si>
    <t xml:space="preserve">הצעת חוק מס ערך מוסף (תיקון - מס בשיעור אפס על מוצרי מזון בסיסיים), התשפ"ב-2022</t>
  </si>
  <si>
    <t xml:space="preserve"> (פ/3502/24)</t>
  </si>
  <si>
    <t xml:space="preserve">הצעת חוק הבטחת הכנסה (תיקון - גמלה לתלמיד), התשפ"ב-2022</t>
  </si>
  <si>
    <t xml:space="preserve"> (פ/3501/24)</t>
  </si>
  <si>
    <t xml:space="preserve">הצעת חוק סיוע בקידום תעסוקתי למשפחות של עובדים מעוטי הכנסה, התשפ"ב-2022</t>
  </si>
  <si>
    <t xml:space="preserve"> (פ/3500/24)</t>
  </si>
  <si>
    <t xml:space="preserve"> (פ/3499/24)</t>
  </si>
  <si>
    <t xml:space="preserve">הצעת חוק שירות המדינה (גמלאות) (תיקון - ביטול שלילת גמלאות מאלמנים שנישאו), התשפ"ב-2022</t>
  </si>
  <si>
    <t xml:space="preserve"> (פ/3498/24)</t>
  </si>
  <si>
    <t xml:space="preserve">הצעת חוק לתיקון פקודת מס הכנסה (פטור ממס להכנסות קשיש וניכוי הוצאות שכר דירה), התשפ"ב-2022</t>
  </si>
  <si>
    <t xml:space="preserve"> (פ/3497/24)</t>
  </si>
  <si>
    <t xml:space="preserve">הצעת חוק סדר הדין הפלילי (תיקון - ביטול פסק דין שניתן בהיעדרו של הנאשם), התשפ"ב-2022</t>
  </si>
  <si>
    <t xml:space="preserve"> (פ/3496/24)</t>
  </si>
  <si>
    <t xml:space="preserve">הצעת חוק גנים לאומיים, שמורות טבע, אתרים לאומיים ואתרי הנצחה (תיקון - פטור מתשלומי חובה עבור התקנת תשתיות ציבוריות), התשפ"ב-2022</t>
  </si>
  <si>
    <t xml:space="preserve"> (פ/3495/24)</t>
  </si>
  <si>
    <t xml:space="preserve">הצעת חוק צער בעלי חיים (הגנה על בעלי חיים) (תיקון - איסור שימוש במלכודות דבק ומלכודות רגל, והחלת עבירות באזור יהודה ושומרון), התשפ"ב-2022</t>
  </si>
  <si>
    <t xml:space="preserve"> (פ/3494/24)</t>
  </si>
  <si>
    <t xml:space="preserve">הצעת חוק סיוע לחולי דגנת, התשפ"ב-2022</t>
  </si>
  <si>
    <t xml:space="preserve"> (פ/3493/24)</t>
  </si>
  <si>
    <t xml:space="preserve">הצעת חוק צער בעלי חיים (ניסויים בבעלי חיים) (תיקון - נציג ציבור בוועדה פנימית), התשפ"ב-2022</t>
  </si>
  <si>
    <t xml:space="preserve"> (פ/3492/24)</t>
  </si>
  <si>
    <t xml:space="preserve">הצעת חוק הרשויות המקומיות (דירות מקלט), התשפ"ב-2022</t>
  </si>
  <si>
    <t xml:space="preserve"> (פ/3491/24)</t>
  </si>
  <si>
    <t xml:space="preserve">הצעת חוק שיווי זכויות האישה (תיקון - תחולה), התשפ"ב-2022</t>
  </si>
  <si>
    <t xml:space="preserve"> (פ/3490/24)</t>
  </si>
  <si>
    <t xml:space="preserve">הצעת חוק לתיקון פקודת הרוקחים (חיוב רישום רכיבי תמרוקים ומוצרי ניקיון), התשפ"ב-2022</t>
  </si>
  <si>
    <t xml:space="preserve"> (פ/3489/24)</t>
  </si>
  <si>
    <t xml:space="preserve">הצעת חוק מס הכנסה (פטור ממס על הכנסה מהשכרת דירת מגורים) (תיקון - ניכוי דמי שכירות ששולמו בעד דירת מגורים), התשפ"ב-2022</t>
  </si>
  <si>
    <t xml:space="preserve"> (פ/3488/24)</t>
  </si>
  <si>
    <t xml:space="preserve">הצעת חוק הביטוח הלאומי (תיקון - פטור מכפל תשלום דמי ביטוח לאומי), התשפ"ב-2022</t>
  </si>
  <si>
    <t xml:space="preserve"> (פ/3487/24)</t>
  </si>
  <si>
    <t xml:space="preserve">הצעת חוק מיסוי מקרקעין (שבח ורכישה) (תיקון - הרחבת פטור לדירת מגורים מזכה), התשפ"ב-2022</t>
  </si>
  <si>
    <t xml:space="preserve"> (פ/3486/24)</t>
  </si>
  <si>
    <t xml:space="preserve">הצעת חוק לתיקון פקודת היערות (הגברת ההגנה על עצים בוגרים), התשפ"ב-2022</t>
  </si>
  <si>
    <t xml:space="preserve"> (פ/3485/24)</t>
  </si>
  <si>
    <t xml:space="preserve">הצעת חוק תמיכה במימון פעילות ארגון נכי צה"ל ובתי הלוחם ובארגון נפגעי פעולות האיבה, התשפ"ב-2022</t>
  </si>
  <si>
    <t xml:space="preserve"> (פ/3484/24)</t>
  </si>
  <si>
    <t xml:space="preserve">הצעת חוק להגדלת שיעור ההשתתפות בכוח העבודה ולצמצום פערים חברתיים (מענק עבודה) (תיקון - הורדת גיל הזכאות), התשפ"ב-2022</t>
  </si>
  <si>
    <t xml:space="preserve"> (פ/3483/24)</t>
  </si>
  <si>
    <t xml:space="preserve">הצעת חוק אחריות סביבתית (חובת דיווח סביבתית), התשפ״ב-2022</t>
  </si>
  <si>
    <t xml:space="preserve"> (פ/3482/24)</t>
  </si>
  <si>
    <t xml:space="preserve">הצעת חוק ההוצאה לפועל (תיקון - ביטול האפשרות לצוות על עיכוב יציאה מהארץ בגין חוב כספי נמוך), התשפ"ב-2022</t>
  </si>
  <si>
    <t xml:space="preserve"> (פ/3481/24)</t>
  </si>
  <si>
    <t xml:space="preserve">הצעת חוק מס ריבוי דירות, התשפ"ב-2022</t>
  </si>
  <si>
    <t xml:space="preserve"> (פ/3480/24)</t>
  </si>
  <si>
    <t xml:space="preserve">הצעת חוק חובת המכרזים (תיקון - חובה לשקול שיקולי הגנת צרכן במכרזים), התשפ"ב-2022</t>
  </si>
  <si>
    <t xml:space="preserve"> (פ/3479/24)</t>
  </si>
  <si>
    <t xml:space="preserve">הצעת חוק צער בעלי חיים (הגנה על בעלי חיים) (תיקון - איסור משלוחים חיים לשחיטה), התשפ"ב-2022</t>
  </si>
  <si>
    <t xml:space="preserve"> (פ/3478/24)</t>
  </si>
  <si>
    <t xml:space="preserve">הצעת חוק שעות עבודה ומנוחה (תיקון - תשלום עבור שעות כוננות), התשפ״ב-2022</t>
  </si>
  <si>
    <t xml:space="preserve"> (פ/3477/24)</t>
  </si>
  <si>
    <t xml:space="preserve">הצעת חוק הביטוח הלאומי (תיקון - ביטוח זכויות עצמאי שעיקר הכנסתו מעסק בהליכי חדלות פירעון), התשפ"ב-2022</t>
  </si>
  <si>
    <t xml:space="preserve"> (פ/3476/24)</t>
  </si>
  <si>
    <t xml:space="preserve">הצעת חוק לתיקון פקודת בריאות העם (הוספת מגנזיום למי השתייה), התשפ"ב-2022</t>
  </si>
  <si>
    <t xml:space="preserve"> (פ/3474/24)</t>
  </si>
  <si>
    <t xml:space="preserve">הצעת חוק החזר הוצאות כספיות בגין עריכת נישואין אזרחיים בחוץ לארץ למי שאינם רשאים או שאינם מעוניינים להינשא על פי הדין הדתי, התשפ"ב-2022</t>
  </si>
  <si>
    <t xml:space="preserve"> (פ/3473/24)</t>
  </si>
  <si>
    <t xml:space="preserve">הצעת חוק פיקוח על בתי ספר (תיקון - הרחבת תחולה), התשפ"ב-2022</t>
  </si>
  <si>
    <t xml:space="preserve"> (פ/3472/24)</t>
  </si>
  <si>
    <t xml:space="preserve">הצעת חוק מס ערך מוסף (תיקון - פטור ממס במכירת תרופות מצילות חיים שאינן כלולות בסל הבריאות), התשפ"ב-2022</t>
  </si>
  <si>
    <t xml:space="preserve"> (פ/3471/24)</t>
  </si>
  <si>
    <t xml:space="preserve">הצעת חוק סינון אתרים פוגעניים במקומות ציבוריים, התשפ"ב-2022</t>
  </si>
  <si>
    <t xml:space="preserve"> (פ/3469/24)</t>
  </si>
  <si>
    <t xml:space="preserve">הצעת חוק חוזה קבלנות (תיקון - חופש מהעסקה), התשפ"ב-2022</t>
  </si>
  <si>
    <t xml:space="preserve"> (פ/3468/24)</t>
  </si>
  <si>
    <t xml:space="preserve">הצעת חוק-יסוד: הממשלה (תיקון - איסור על חקירה פלילית נגד ראש הממשלה במהלך תקופת כהונתו) </t>
  </si>
  <si>
    <t xml:space="preserve"> (פ/3467/24)</t>
  </si>
  <si>
    <t xml:space="preserve">הצעת חוק עסקאות גופים ציבוריים (תיקון - מעבר לרכבים ידידותיים לסביבה בגופים ציבוריים), התשפ"ב-2022</t>
  </si>
  <si>
    <t xml:space="preserve"> (פ/3466/24)</t>
  </si>
  <si>
    <t xml:space="preserve">הצעת חוק לתיקון פקודת הראיות (התייחסות איש צוות רפואי שלא תשמש ראיה), התשפ"ב-2022</t>
  </si>
  <si>
    <t xml:space="preserve"> (פ/3465/24)</t>
  </si>
  <si>
    <t xml:space="preserve">הצעת חוק מעונות יום שיקומיים (תיקון - הקדמת גיל הזכאות), התשפ"ב-2022</t>
  </si>
  <si>
    <t xml:space="preserve"> (פ/3464/24)</t>
  </si>
  <si>
    <t xml:space="preserve">הצעת חוק קליטת חיילים משוחררים (תיקון - הטבות לחיילים בודדים), התשפ"ב-2022</t>
  </si>
  <si>
    <t xml:space="preserve"> (פ/3463/24)</t>
  </si>
  <si>
    <t xml:space="preserve">הצעת חוק דמי מחלה (היעדרות בשל מחלת ילד) (תיקון - הורה ליותר מילד אחד), התשפ"ב-2022</t>
  </si>
  <si>
    <t xml:space="preserve"> (פ/3462/24)</t>
  </si>
  <si>
    <t xml:space="preserve">הצעת חוק הסיוע המשפטי (תיקון - הוצאות מומחים), התשפ"ב-2022</t>
  </si>
  <si>
    <t xml:space="preserve"> (פ/3461/24)</t>
  </si>
  <si>
    <t xml:space="preserve">הצעת חוק העונשין (תיקון - החמרת ענישה בפשיעה חקלאית), התשפ"ב-2022</t>
  </si>
  <si>
    <t xml:space="preserve"> (פ/3460/24)</t>
  </si>
  <si>
    <t xml:space="preserve">הצעת חוק לתיקון פקודת התעבורה (סדרי דין מיוחדים לעניין שירות לתועלת הציבור בעבירות תעבורה), התשפ"ב-2022</t>
  </si>
  <si>
    <t xml:space="preserve"> (פ/3458/24)</t>
  </si>
  <si>
    <t xml:space="preserve">הצעת חוק פיקוח על מחירי מצרכים ושירותים (תיקון - קביעת ההפרש בין מחיר מצרך לצרכן ומחיר מצרך לקמעונאי כרווח מרבי), התשפ"ב-2022</t>
  </si>
  <si>
    <t xml:space="preserve"> (פ/3457/24)</t>
  </si>
  <si>
    <t xml:space="preserve">הצעת חוק לתיקון פקודת התעבורה (הפחתת גובה קנס בשל תשלום מיידי), התשפ"ב-2022</t>
  </si>
  <si>
    <t xml:space="preserve"> (פ/3456/24)</t>
  </si>
  <si>
    <t xml:space="preserve">הצעת חוק לעידוד השקעות הון בחקלאות (תיקון - השוואת ההטבות בתעשייה להטבות בחקלאות), התשפ"ב-2022</t>
  </si>
  <si>
    <t xml:space="preserve"> (פ/3455/24)</t>
  </si>
  <si>
    <t xml:space="preserve">הצעת חוק לתיקון פקודת התעבורה (חובת התקנת חיישן בטיחות), התשפ"ב-2022</t>
  </si>
  <si>
    <t xml:space="preserve"> (פ/3453/24)</t>
  </si>
  <si>
    <t xml:space="preserve">הצעת חוק איסור יבוא ומכירת כבד של בעלי חיים שעברו התעללות, התשפ"ב-2022</t>
  </si>
  <si>
    <t xml:space="preserve"> (פ/3452/24)</t>
  </si>
  <si>
    <t xml:space="preserve">הצעת חוק-יסוד: כבוד האדם וחירותו (תיקון - הזכות לקיום מינימלי בכבוד)</t>
  </si>
  <si>
    <t xml:space="preserve"> (פ/3451/24)</t>
  </si>
  <si>
    <t xml:space="preserve">הצעת חוק להגנת חיית הבר (תיקון - איסור שימוש ברעל ובחומרי הדברה), התשפ"ב-2022 </t>
  </si>
  <si>
    <t xml:space="preserve"> (פ/3449/24)</t>
  </si>
  <si>
    <t xml:space="preserve">הצעת חוק מס ערך מוסף (תיקון - מס בשיעור אפס על מוצרי היגיינה נשית), התשפ"ב-2022</t>
  </si>
  <si>
    <t xml:space="preserve"> (פ/3448/24)</t>
  </si>
  <si>
    <t xml:space="preserve"> (פ/3447/24)</t>
  </si>
  <si>
    <t xml:space="preserve">הצעת חוק תאגידי מים וביוב (תיקון - ועדת חריגים), התשפ"ב-2022</t>
  </si>
  <si>
    <t xml:space="preserve"> (פ/3446/24)</t>
  </si>
  <si>
    <t xml:space="preserve">הצעת חוק החזקת תעודת זהות והצגתה (תיקון - תעודה מזהה), התשפ"ב-2022</t>
  </si>
  <si>
    <t xml:space="preserve"> (פ/3445/24)</t>
  </si>
  <si>
    <t xml:space="preserve">הצעת חוק משק החשמל (תיקון - תשלומי חשמל מופחתים לקשישים נכים), התשפ"ב-2022</t>
  </si>
  <si>
    <t xml:space="preserve"> (פ/3444/24)</t>
  </si>
  <si>
    <t xml:space="preserve">הצעת חוק המים (תיקון - איסוף מי גשמים), התשפ"ב-2022</t>
  </si>
  <si>
    <t xml:space="preserve"> (פ/3443/24)</t>
  </si>
  <si>
    <t xml:space="preserve">הצעת חוק לתיקון פקודת התעבורה (פיצוי למתלונן), התשפ"ב-2022</t>
  </si>
  <si>
    <t xml:space="preserve"> (פ/3442/24)</t>
  </si>
  <si>
    <t xml:space="preserve">הצעת חוק לתיקון פקודת התעבורה (שירות טלפוני לדיווח ולקבלת תלונות על עבירות תעבורה או נהיגה מסוכנת של נהג אוטובוס), התשפ"ב-2022</t>
  </si>
  <si>
    <t xml:space="preserve"> (פ/3441/24)</t>
  </si>
  <si>
    <t xml:space="preserve">הצעת חוק התכנון והבנייה (תיקון - חובת הקמת מערכת סולארית לייצור חשמל במבנים), התשפ"ב-2022</t>
  </si>
  <si>
    <t xml:space="preserve"> (פ/3440/24)</t>
  </si>
  <si>
    <t xml:space="preserve">הצעת חוק יום לציון המאבק בגזענות, התשפ"ב-2022</t>
  </si>
  <si>
    <t xml:space="preserve"> (פ/3439/24)</t>
  </si>
  <si>
    <t xml:space="preserve">הצעת חוק חופש המידע (תיקון - הקרן הקיימת לישראל רשות ציבורית), התשפ"ב -2022</t>
  </si>
  <si>
    <t xml:space="preserve"> (פ/3437/24)</t>
  </si>
  <si>
    <t xml:space="preserve">הצעת חוק משק החשמל (תיקון - פיקוח פרלמנטרי על תעריפי החשמל), התשפ"ב-2022</t>
  </si>
  <si>
    <t xml:space="preserve"> (פ/3436/24)</t>
  </si>
  <si>
    <t xml:space="preserve">הצעת חוק צער בעלי חיים (הגנה על בעלי חיים) (תיקון - איסור קשירת כלבים), התשפ"ב-2022</t>
  </si>
  <si>
    <t xml:space="preserve"> (פ/3435/24)</t>
  </si>
  <si>
    <t xml:space="preserve">הצעת חוק התכנון והבנייה (תיקון - היתר בנייה להקמת מתקן פוטו-וולטאי על גבי מאגרי מים ובריכות דגים), התשפ"ב-2022</t>
  </si>
  <si>
    <t xml:space="preserve"> (פ/3434/24)</t>
  </si>
  <si>
    <t xml:space="preserve">הצעת חוק לתיקון פקודת התעבורה (סימון שונה במקומות שבהם היתר החניה תלוי בשעות), התשפ"ב-2022</t>
  </si>
  <si>
    <t xml:space="preserve"> (פ/3433/24)</t>
  </si>
  <si>
    <t xml:space="preserve">הצעת חוק לתיקון פקודת התעבורה (חובת התקנת מערכת למניעת השארת ילדים ברכב סגור), התשפ"ב-2022</t>
  </si>
  <si>
    <t xml:space="preserve"> (פ/3432/24)</t>
  </si>
  <si>
    <t xml:space="preserve">הצעת חוק חינוך אקלימי, התשפ"ב-2022</t>
  </si>
  <si>
    <t xml:space="preserve"> (פ/3431/24)</t>
  </si>
  <si>
    <t xml:space="preserve">הצעת חוק לתיקון פקודת התעבורה (סמכות לאכיפת עבירות חניה בידי רשויות מקומיות באמצעות מצלמות וסימון אזורי האכיפה בתמרור), התשפ"ב-2022</t>
  </si>
  <si>
    <t xml:space="preserve"> (פ/3430/24)</t>
  </si>
  <si>
    <t xml:space="preserve">הצעת חוק לעידוד השקעות הון (תיקון - עידוד ענף היהלומים) (הוראת שעה), התשפ"ב-2022</t>
  </si>
  <si>
    <t xml:space="preserve"> (פ/3427/24)</t>
  </si>
  <si>
    <t xml:space="preserve">הצעת חוק הבחירות לכנסת (תיקון מס' 76) (כתובת לצורכי בחירות), התשפ"ב-2022</t>
  </si>
  <si>
    <t xml:space="preserve"> (פ/1433/24)</t>
  </si>
  <si>
    <t xml:space="preserve"> (כ/896)</t>
  </si>
  <si>
    <t xml:space="preserve">הצעת חוק שירות ביטחון (תיקון מס' 7 והוראת שעה) (שירות במשטרה ושירות מוכר) (תיקון מס' 17), התשפ"ב-2021 </t>
  </si>
  <si>
    <t xml:space="preserve"> (מ/1482)</t>
  </si>
  <si>
    <t xml:space="preserve">חוק הביטוח הלאומי (תיקון מס' 230), התשפ"ב-2022</t>
  </si>
  <si>
    <t xml:space="preserve"> (פ/455/24)</t>
  </si>
  <si>
    <t xml:space="preserve"> (כ/878)</t>
  </si>
  <si>
    <t xml:space="preserve">02.03.2022</t>
  </si>
  <si>
    <t xml:space="preserve">נקבע כהוראה קבועה כי לזכאי לדמי אבטלה שנשלח להכשרה מקצועית ישולמו דמי אבטלה בסכום השווה להפרש שבין התשלומים הניתנים לו בהכשרה המקצועית, לבין 100% מדמי האבטלה שהיה זכאי להם אילו היה מובטל, כפי שקבעה הוראת השעה שתוקפה פג ב31.12.2021. </t>
  </si>
  <si>
    <t xml:space="preserve"> (פ/3235/24)</t>
  </si>
  <si>
    <t xml:space="preserve">הצעת חוק שלילת תקצוב מוסדות חינוך המפלים תלמידים ברישום אליהם (תיקוני חקיקה), התשפ"ב-2022</t>
  </si>
  <si>
    <t xml:space="preserve"> (פ/3138/24)</t>
  </si>
  <si>
    <t xml:space="preserve"> (פ/2938/24)</t>
  </si>
  <si>
    <t xml:space="preserve"> (פ/2886/24)</t>
  </si>
  <si>
    <t xml:space="preserve">הצעת חוק הקפאת כספים ששילמה הרשות הפלסטינית בזיקה לטרור מהכספים המועברים אליה מממשלת ישראל (תיקון - חילוט הכספים וניהולם), התשפ"ב-2021</t>
  </si>
  <si>
    <t xml:space="preserve"> (פ/2701/24)</t>
  </si>
  <si>
    <t xml:space="preserve">הצעת חוק לתיקון פקודת בריאות העם (הזכות לשימור פוריות), התשפ"ב-2021</t>
  </si>
  <si>
    <t xml:space="preserve"> (פ/2694/24)</t>
  </si>
  <si>
    <t xml:space="preserve">הצעת חוק הקמת ועדת חקירה ממלכתית לפרשת המימד החמישי, התשפ"ב-2021</t>
  </si>
  <si>
    <t xml:space="preserve"> (פ/2501/24)</t>
  </si>
  <si>
    <t xml:space="preserve">הצעת חוק הביטוח הלאומי (תיקון - דמי אבטלה למתמחים), התשפ"ב-2021</t>
  </si>
  <si>
    <t xml:space="preserve"> (פ/2194/24)</t>
  </si>
  <si>
    <t xml:space="preserve">הצעת חוק חינוך ממלכתי (תיקון - שלילת השתתפות בתקציב עקב הפליה), התשפ"א-2021</t>
  </si>
  <si>
    <t xml:space="preserve"> (פ/2101/24)</t>
  </si>
  <si>
    <t xml:space="preserve">הצעת חוק לתיקון פקודת מס הכנסה (תרומה מישות מפלה), התשפ"א-2021</t>
  </si>
  <si>
    <t xml:space="preserve"> (פ/1991/24)</t>
  </si>
  <si>
    <t xml:space="preserve">הצעת חוק המים (תיקון - הנחות לבתי תפילה), התשפ"א-2021</t>
  </si>
  <si>
    <t xml:space="preserve"> (פ/1868/24)</t>
  </si>
  <si>
    <t xml:space="preserve">הצעת חוק הגנת הצרכן (תיקון - סימון תוצרת חקלאית שאינה ארוזה מראש), התשפ"א-2021</t>
  </si>
  <si>
    <t xml:space="preserve"> (פ/1660/24)</t>
  </si>
  <si>
    <t xml:space="preserve">הצעת חוק הנחות בתעריפי מים וחשמל לבתי תפילה (תיקוני חקיקה) (הוראת שעה), התשפ"א-2021</t>
  </si>
  <si>
    <t xml:space="preserve"> (פ/64/24)</t>
  </si>
  <si>
    <t xml:space="preserve">הצעת חוק יום לציון אירועי הפרהוד, התשפ"א-2021</t>
  </si>
  <si>
    <t xml:space="preserve"> (פ/9/24)</t>
  </si>
  <si>
    <t xml:space="preserve">הצעת חוק הסדרת העיסוק במקצועות הבריאות (תיקון - טיפול באמצעות אמנויות), התשפ"א-2021</t>
  </si>
  <si>
    <t xml:space="preserve"> (פ/159/24)</t>
  </si>
  <si>
    <t xml:space="preserve">01.03.2022</t>
  </si>
  <si>
    <t xml:space="preserve">הצעת חוק בתי דין רבניים (קיום פסקי דין של גירושין) (תיקון מס' 9), התשפ"ב-2022</t>
  </si>
  <si>
    <t xml:space="preserve"> (מ/1522)</t>
  </si>
  <si>
    <t xml:space="preserve">הצעת חוק-יסוד: הממשלה (תיקון מס' 11)</t>
  </si>
  <si>
    <t xml:space="preserve"> (מ/1469)</t>
  </si>
  <si>
    <t xml:space="preserve">הצעת חוק זכויות החולה (תיקון - איסור הפליה), התשפ"א-2021</t>
  </si>
  <si>
    <t xml:space="preserve"> (פ/1209/24)</t>
  </si>
  <si>
    <t xml:space="preserve">28.02.2022</t>
  </si>
  <si>
    <t xml:space="preserve">חוק האזרחים הוותיקים (תיקון מס' 17), התשפ"ב-2022 </t>
  </si>
  <si>
    <t xml:space="preserve"> (מ/1485)</t>
  </si>
  <si>
    <t xml:space="preserve">נקבע כי הנחה בארנונה שניתנת לאזרח ותיק על דירת מגוריו, תמשיך להינתן לו באופן אוטומטי מבלי שיידרש להגיש בקשה או הצהרה נוספת לרשויות המקומיות בכל שנה ושנה. ואולם, לגבי אזרח ותיק שניתנת לו הנחה בארנונה בשיעור של 30% וטרם מלאו לו 70 שנים, החידוש האוטומטי יוגבל לתקופה של שלוש שנים או עד הגיעו לגיל 70 – לפי המוקדם, ולצורך חידוש ההנחה כאמור יידרש האזרח להגיש הודעה. עוד נקבע כי במידה וחדל להתקיים לגבי אזרח ותיק אחד מתנאי הזכאות להנחה בארנונה, הוא יהיה מחויב להודיע על כך לרשות המקומית. כמו כן, במקרה שבו נודע לרשות המקומית כי חדל להתקיים לגבי אזרח ותיק אחד מהתנאים להנחה בארנונה, היא תהיה רשאית להודיע לאזרח על כוונתה לבטל את מתן ההנחה בארנונה, ויינתנו לו חודשיים להגיב לעניין זה. </t>
  </si>
  <si>
    <t xml:space="preserve">הצעת חוק לתיקון פקודת הבנקאות (תקופת צינון למפקח על הבנקים והארכת כהונה), התשפ"ב-2022</t>
  </si>
  <si>
    <t xml:space="preserve"> (פ/3425/24)</t>
  </si>
  <si>
    <t xml:space="preserve">הצעת חוק צער בעלי חיים (הגנה על בעלי חיים) (תיקון - איסור על זיווג ומכירה של כלבים וחתולים), התשפ"ב-2022</t>
  </si>
  <si>
    <t xml:space="preserve"> (פ/3424/24)</t>
  </si>
  <si>
    <t xml:space="preserve">הצעת חוק סמכויות שעת חירום (תיקוני חקיקה), התשפ"ב-2022</t>
  </si>
  <si>
    <t xml:space="preserve"> (פ/3423/24)</t>
  </si>
  <si>
    <t xml:space="preserve">הצעת חוק הפיקוח על יצוא ביטחוני (תיקון - איסור העברת חומרי נפץ לרשות הפלסטינית), התשפ"ב- 2022</t>
  </si>
  <si>
    <t xml:space="preserve"> (פ/3422/24)</t>
  </si>
  <si>
    <t xml:space="preserve">הצעת חוק הביטוח הלאומי (תיקון - עבודה מועדפת בהדרכה בתחום החינוך הבלתי פורמלי), התשפ"ב-2022</t>
  </si>
  <si>
    <t xml:space="preserve"> (פ/3421/24)</t>
  </si>
  <si>
    <t xml:space="preserve">הצעת חוק הביטוח הלאומי (תיקון - דמי אבטלה למי שנמצא בהכשרה מקצועית), התשפ"ב-2022</t>
  </si>
  <si>
    <t xml:space="preserve"> (פ/3420/24)</t>
  </si>
  <si>
    <t xml:space="preserve"> (פ/3419/24)</t>
  </si>
  <si>
    <t xml:space="preserve">הצעת חוק הביטוח הלאומי (תיקון - ביטול מבחני התלות לקבלת גמלת סיעוד), התשפ"ב-2022</t>
  </si>
  <si>
    <t xml:space="preserve"> (פ/3418/24)</t>
  </si>
  <si>
    <t xml:space="preserve">הצעת חוק הביטוח הלאומי (תיקון - ביטול מבחני התלות לקבלת גמלת סיעוד לאזרח שמלאו לו 80 שנים), התשפ"ב-2022</t>
  </si>
  <si>
    <t xml:space="preserve"> (פ/3417/24)</t>
  </si>
  <si>
    <t xml:space="preserve">הצעת חוק מס ערך מוסף (תיקון - שיעור מס אפס על מוצרי מזון בסיסיים), התשפ"ב-2022</t>
  </si>
  <si>
    <t xml:space="preserve"> (פ/3416/24)</t>
  </si>
  <si>
    <t xml:space="preserve">הצעת חוק לתיקון פקודת התעבורה (אכיפת נסיעה בלא כרטיס בידי מפקחים), התשפ"ב-2022</t>
  </si>
  <si>
    <t xml:space="preserve"> (פ/3414/24)</t>
  </si>
  <si>
    <t xml:space="preserve"> (פ/3413/24)</t>
  </si>
  <si>
    <t xml:space="preserve">הצעת חוק לתיקון פקודת מס הכנסה (הגדלת מגבלת הייזום המותר בקרן להשקעות במקרקעין), התשפ"ב-2022</t>
  </si>
  <si>
    <t xml:space="preserve"> (פ/3411/24)</t>
  </si>
  <si>
    <t xml:space="preserve">הצעת חוק הצבת מכשירי החייאה במקומות ציבוריים (תיקון - צעדים ליישום מיטבי של החוק), התשפ"ב-2022</t>
  </si>
  <si>
    <t xml:space="preserve"> (פ/3410/24)</t>
  </si>
  <si>
    <t xml:space="preserve">הצעת חוק הסדרת מקומות רחצה (תיקון - קביעת מקומות לרחצה נפרדת), התשפ"ב-2022</t>
  </si>
  <si>
    <t xml:space="preserve"> (פ/3409/24)</t>
  </si>
  <si>
    <t xml:space="preserve"> (פ/3407/24)</t>
  </si>
  <si>
    <t xml:space="preserve">הצעת חוק לתיקון פקודת מס הכנסה (נקודות זיכוי לאפוטרופוס), התשפ"ב-2022</t>
  </si>
  <si>
    <t xml:space="preserve"> (פ/3406/24)</t>
  </si>
  <si>
    <t xml:space="preserve">הצעת חוק ביטוח בריאות ממלכתי (תיקון - החזר אגרת נסיעה באמבולנס), התשפ"ב-2022</t>
  </si>
  <si>
    <t xml:space="preserve"> (פ/3405/24)</t>
  </si>
  <si>
    <t xml:space="preserve">הצעת חוק חובת המכרזים (תיקון - עידוד מציע המספק טובין מתוצרת אזורי עדיפות לאומית), התשפ"ב-2022</t>
  </si>
  <si>
    <t xml:space="preserve"> (פ/3404/24)</t>
  </si>
  <si>
    <t xml:space="preserve">הצעת חוק לתיקון פקודת התעבורה (חובת התקנת לחצן מצוקה באוטובוס), התשפ"ב-2022</t>
  </si>
  <si>
    <t xml:space="preserve"> (פ/3402/24)</t>
  </si>
  <si>
    <t xml:space="preserve">הצעת חוק הנציבות לקידום השלום, התשפ"ב-2022</t>
  </si>
  <si>
    <t xml:space="preserve"> (פ/3401/24)</t>
  </si>
  <si>
    <t xml:space="preserve">הצעת חוק הסדרי משפט ומינהל (תיקון - ניתוק הזיקה להכרזה על מצב חירום), התשפ"ב-2022</t>
  </si>
  <si>
    <t xml:space="preserve"> (פ/3400/24)</t>
  </si>
  <si>
    <t xml:space="preserve">הצעת חוק עובדים זרים (תיקון - היתר להעסקת עובד זר בתחום הסיעוד המוסדי), התשפ"ב-2022</t>
  </si>
  <si>
    <t xml:space="preserve"> (פ/3399/24)</t>
  </si>
  <si>
    <t xml:space="preserve">הצעת חוק לתיקון פקודת המכס (איסור השמדת טובין חבי מכס), התשפ"ב-2022</t>
  </si>
  <si>
    <t xml:space="preserve"> (פ/3398/24)</t>
  </si>
  <si>
    <t xml:space="preserve"> (פ/3397/24)</t>
  </si>
  <si>
    <t xml:space="preserve"> (פ/3396/24)</t>
  </si>
  <si>
    <t xml:space="preserve">הצעת חוק איסור מכירת צעצועים המדמים כלי נשק, התשפ"ב-2022</t>
  </si>
  <si>
    <t xml:space="preserve"> (פ/3395/24)</t>
  </si>
  <si>
    <t xml:space="preserve"> (פ/3393/24)</t>
  </si>
  <si>
    <t xml:space="preserve">הצעת חוק עידוד שירות צבאי, לאומי או לאומי-אזרחי, התשפ"ב-2022</t>
  </si>
  <si>
    <t xml:space="preserve"> (פ/3392/24)</t>
  </si>
  <si>
    <t xml:space="preserve"> (פ/3391/24)</t>
  </si>
  <si>
    <t xml:space="preserve">הצעת חוק הדחת נציג ציבור התומך במאבק מזוין נגד מדינת ישראל (תיקוני חקיקה), התשפ"ב-2022</t>
  </si>
  <si>
    <t xml:space="preserve"> (פ/3389/24)</t>
  </si>
  <si>
    <t xml:space="preserve">הצעת חוק העבירות המינהליות (תיקון - ביטול קנסות תכנון ובנייה), התשפ"ב-2022</t>
  </si>
  <si>
    <t xml:space="preserve"> (פ/3388/24)</t>
  </si>
  <si>
    <t xml:space="preserve">הצעת חוק הקמת מיתקן פוטו-וולטאי ומיתקן אגירה בבית משותף המוקם במתחם פינוי ובינוי, התשפ"ב-2022</t>
  </si>
  <si>
    <t xml:space="preserve"> (פ/3387/24)</t>
  </si>
  <si>
    <t xml:space="preserve">הצעת חוק איסור השקעת כספי מוצרים פנסיונים וקופות גמל בתאגידים פוסיליים, התשפ"ב-2022</t>
  </si>
  <si>
    <t xml:space="preserve"> (פ/3386/24)</t>
  </si>
  <si>
    <t xml:space="preserve">הצעת חוק העונשין (תיקון - חיוב אוצר המדינה בהוצאות הגנה ובפיצוי על מאסר או מעצר בשל זיכוי או אישום שבוטל), התשפ"ב-2022</t>
  </si>
  <si>
    <t xml:space="preserve"> (פ/3385/24)</t>
  </si>
  <si>
    <t xml:space="preserve">הצעת חוק הבטחת הכנסה (תיקון - זכויות נשים ששהו במקלט לנשים מוכות), התשפ"ב-2022</t>
  </si>
  <si>
    <t xml:space="preserve"> (פ/3384/24)</t>
  </si>
  <si>
    <t xml:space="preserve">הצעת חוק הרשויות המקומיות (גמול השתתפות בישיבות והחזר הוצאות לחברי מועצה), התשפ"ב-2022</t>
  </si>
  <si>
    <t xml:space="preserve"> (פ/3383/24)</t>
  </si>
  <si>
    <t xml:space="preserve">הצעת חוק חובת המכרזים (תיקון - עידוד העסקת עובדים מאוכלוסיות ייחודיות), התשפ"ב-2022</t>
  </si>
  <si>
    <t xml:space="preserve"> (פ/3382/24)</t>
  </si>
  <si>
    <t xml:space="preserve">הצעת חוק המרכז לתולדות החברה הערבית, התשפ"ב-2022</t>
  </si>
  <si>
    <t xml:space="preserve"> (פ/3381/24)</t>
  </si>
  <si>
    <t xml:space="preserve">הצעת חוק התכנון והבנייה (תיקון - חובת שידור והקלטת ישיבות, ניהול פרוטוקול ופרסומו), התשפ"ב-2022</t>
  </si>
  <si>
    <t xml:space="preserve"> (פ/3380/24)</t>
  </si>
  <si>
    <t xml:space="preserve">הצעת חוק ביטוח בריאות ממלכתי (תיקון - צמצום פערים בין הפריפריה למרכז), התשפ"ב-2022</t>
  </si>
  <si>
    <t xml:space="preserve"> (פ/3379/24)</t>
  </si>
  <si>
    <t xml:space="preserve"> (פ/3378/24)</t>
  </si>
  <si>
    <t xml:space="preserve">הצעת חוק הסיוע המשפטי (תיקון - סיוע משפטי לנפגעי אלימות במשפחה), התשפ"ב-2022</t>
  </si>
  <si>
    <t xml:space="preserve"> (פ/3377/24)</t>
  </si>
  <si>
    <t xml:space="preserve">הצעת חוק לתיקון פקודת התעבורה (הגבלת דמי חניה במוסד רפואי), התשפ"ב-2022</t>
  </si>
  <si>
    <t xml:space="preserve"> (פ/3376/24)</t>
  </si>
  <si>
    <t xml:space="preserve">הצעת חוק הכנסת (תיקון - חובת התייצבות בפני ועדות הכנסת), התשפ"ב-2022</t>
  </si>
  <si>
    <t xml:space="preserve"> (פ/3375/24)</t>
  </si>
  <si>
    <t xml:space="preserve">הצעת חוק האזנת סתר (תיקון - האזנה בשל חשד להתעללות בילדים ובחסרי ישע), התשפ״ב-2022</t>
  </si>
  <si>
    <t xml:space="preserve"> (פ/3374/24)</t>
  </si>
  <si>
    <t xml:space="preserve">הצעת חוק הדיור הציבורי (הגדלת המלאי), התשפ"ב-2022</t>
  </si>
  <si>
    <t xml:space="preserve"> (פ/3373/24)</t>
  </si>
  <si>
    <t xml:space="preserve">הצעת חוק ביטול מאסר חלף קנס (תיקוני חקיקה), התשפ"ב-2022</t>
  </si>
  <si>
    <t xml:space="preserve"> (פ/3372/24)</t>
  </si>
  <si>
    <t xml:space="preserve">הצעת חוק השבות (תיקון - זכויות בני משפחה), התשפ"ב-2022</t>
  </si>
  <si>
    <t xml:space="preserve"> (פ/3370/24)</t>
  </si>
  <si>
    <t xml:space="preserve">הצעת חוק זכויות התלמיד (תיקון - הזכות להיבחן בבחינת בגרות ללא תשלום), התשפ"ב-2022</t>
  </si>
  <si>
    <t xml:space="preserve"> (פ/3369/24)</t>
  </si>
  <si>
    <t xml:space="preserve">הצעת חוק התקשורת (בזק ושידורים) (תיקון - חובת מסירת פרטים של שולח פרסומת בניגוד לחוק), התשפ"ב-2022</t>
  </si>
  <si>
    <t xml:space="preserve"> (פ/3368/24)</t>
  </si>
  <si>
    <t xml:space="preserve">הצעת חוק כרטיסי חיוב (תיקון - חובת פרסום פרטי ספק), התשפ"ב-2022</t>
  </si>
  <si>
    <t xml:space="preserve"> (פ/3367/24)</t>
  </si>
  <si>
    <t xml:space="preserve"> (פ/3366/24)</t>
  </si>
  <si>
    <t xml:space="preserve">הצעת חוק לתיקון פקודת התעבורה (הגבלת תשלום דמי חניה במוסד רפואי), התשפ"ב-2022</t>
  </si>
  <si>
    <t xml:space="preserve"> (פ/3363/24)</t>
  </si>
  <si>
    <t xml:space="preserve">הצעת חוק שכר מינימום (העלאת סכומי שכר מינימום - הוראת שעה) (תיקון - העלאת שכר המינימום), התשפ"ב-2022</t>
  </si>
  <si>
    <t xml:space="preserve"> (פ/3362/24)</t>
  </si>
  <si>
    <t xml:space="preserve">הצעת חוק כביש אגרה (כביש ארצי לישראל) (תיקון - פטור מאגרה לתחבורה ציבורית), התשפ"ב-2022</t>
  </si>
  <si>
    <t xml:space="preserve"> (פ/3361/24)</t>
  </si>
  <si>
    <t xml:space="preserve">הצעת חוק פיקוח על מחירי מצרכים ושירותים (תיקון - הגבלת מרווחי שיווק על ירקות), התשפ"ב-2022</t>
  </si>
  <si>
    <t xml:space="preserve"> (פ/3360/24)</t>
  </si>
  <si>
    <t xml:space="preserve">הצעת חוק יסודות התקציב (תיקון - פטור מתשלומי תאגיד בריאות לבית חולים), התשפ"ב-2022</t>
  </si>
  <si>
    <t xml:space="preserve"> (פ/3359/24)</t>
  </si>
  <si>
    <t xml:space="preserve">הצעת חוק כביש אגרה (כביש ארצי לישראל) (תיקון - הפחתת ריבית פיגורים על חוב חלוט), התשפ"ב-2022</t>
  </si>
  <si>
    <t xml:space="preserve"> (פ/3358/24)</t>
  </si>
  <si>
    <t xml:space="preserve">הצעת חוק דחיית תשלומי מס לעסק חדש (תיקוני חקיקה), התשפ"ב-2022</t>
  </si>
  <si>
    <t xml:space="preserve"> (פ/3357/24)</t>
  </si>
  <si>
    <t xml:space="preserve"> (פ/3356/24)</t>
  </si>
  <si>
    <t xml:space="preserve">הצעת חוק המאבק בשחיתות הציבורית (הרשעה בעבירה שיש עמה קלון) (תיקוני חקיקה), התשפ"ב-2022 </t>
  </si>
  <si>
    <t xml:space="preserve"> (פ/3355/24)</t>
  </si>
  <si>
    <t xml:space="preserve">הצעת חוק לתיקון פקודת התעבורה (הגבלת תשלום בעד חניה במוסד רפואי), התשפ"ב-2022</t>
  </si>
  <si>
    <t xml:space="preserve"> (פ/3354/24)</t>
  </si>
  <si>
    <t xml:space="preserve"> (פ/3353/24)</t>
  </si>
  <si>
    <t xml:space="preserve">הצעת חוק הפיקוח על שירותים פיננסיים (קופות גמל) (תיקון - חישוב מקדם המרה לקצבה), התשפ"ב-2022</t>
  </si>
  <si>
    <t xml:space="preserve"> (פ/3352/24)</t>
  </si>
  <si>
    <t xml:space="preserve">הצעת חוק יסודות התקציב (תיקון - ועדת ערר לתמיכה במוסד ציבור), התשפ"ב-2022</t>
  </si>
  <si>
    <t xml:space="preserve"> (פ/3351/24)</t>
  </si>
  <si>
    <t xml:space="preserve">הצעת חוק השמות (תיקון - הורה שהוא אפוטרופוס), התשפ"ב-2022</t>
  </si>
  <si>
    <t xml:space="preserve"> (פ/3350/24)</t>
  </si>
  <si>
    <t xml:space="preserve">הצעת חוק משק החשמל (תיקון - סקירת השפעות על הסביבה), התשפ"ב-2022</t>
  </si>
  <si>
    <t xml:space="preserve"> (פ/3349/24)</t>
  </si>
  <si>
    <t xml:space="preserve">הצעת חוק מס ערך מוסף (תיקון - פטור ממס בגין תרומות לבתי חולים בפריפריה), התשפ"ב-2022</t>
  </si>
  <si>
    <t xml:space="preserve"> (פ/3348/24)</t>
  </si>
  <si>
    <t xml:space="preserve">הצעת חוק משק הגז הטבעי (תיקון מס' 11), התשפ"ב-2022 </t>
  </si>
  <si>
    <t xml:space="preserve"> (מ/1519)</t>
  </si>
  <si>
    <t xml:space="preserve">הצעת חוק שירות הקבע בצבא הגנה לישראל (גמלאות) (תיקון מס' 33), התשפ"ב-2022</t>
  </si>
  <si>
    <t xml:space="preserve"> (מ/1507)</t>
  </si>
  <si>
    <t xml:space="preserve"> (פ/3162/24)</t>
  </si>
  <si>
    <t xml:space="preserve">23.02.2022</t>
  </si>
  <si>
    <t xml:space="preserve">הצעת חוק סמכויות שעת חירום (מעצרים) (תיקון - מעצרים מנהליים), התשפ"ב-2021</t>
  </si>
  <si>
    <t xml:space="preserve"> (פ/2787/24)</t>
  </si>
  <si>
    <t xml:space="preserve">הצעת חוק עמדות טעינת רכבים חשמליים בתחנות דלק, התשפ"ב-2021</t>
  </si>
  <si>
    <t xml:space="preserve"> (פ/2756/24)</t>
  </si>
  <si>
    <t xml:space="preserve">הצעת חוק-יסוד: השפיטה (תיקון - הקבלת התקופה המרבית לכהונת שופט בית המשפט העליון למשך כהונת ראש ממשלה)</t>
  </si>
  <si>
    <t xml:space="preserve"> (פ/2661/24)</t>
  </si>
  <si>
    <t xml:space="preserve">הצעת חוק החזקת תכשיר אפינפרין במוסדות חינוך ובמקומות ציבוריים (תיקון - החזקת תכשיר אפינפרין בבית אוכל), התשפ"ב-2021</t>
  </si>
  <si>
    <t xml:space="preserve"> (פ/2587/24)</t>
  </si>
  <si>
    <t xml:space="preserve">הצעת חוק דמי ביטוח לאומי ודמי ביטוח בריאות מופחתים למי שפרש פרישה מוקדמת (תיקוני חקיקה), התשפ"ב-2021</t>
  </si>
  <si>
    <t xml:space="preserve"> (פ/2446/24)</t>
  </si>
  <si>
    <t xml:space="preserve">הצעת חוק-יסוד: השפיטה (תיקון - הגבלת כהונת שופט בית המשפט העליון) </t>
  </si>
  <si>
    <t xml:space="preserve"> (פ/2167/24)</t>
  </si>
  <si>
    <t xml:space="preserve">הצעת חוק לעידוד תחבורת אופניים, התשפ"א-2021</t>
  </si>
  <si>
    <t xml:space="preserve"> (פ/1757/24)</t>
  </si>
  <si>
    <t xml:space="preserve">הצעת חוק פיקוח על בתי ספר (תיקון - איסור התחזות לגננת), התשפ"א-2021</t>
  </si>
  <si>
    <t xml:space="preserve"> (פ/1276/24)</t>
  </si>
  <si>
    <t xml:space="preserve">הצעת חוק הסדרת העיסוק במקצועות הבריאות (תיקון - הסדרת מקצוע הרנטגנאות והדימות), התשפ"א-2021 </t>
  </si>
  <si>
    <t xml:space="preserve"> (פ/944/24)</t>
  </si>
  <si>
    <t xml:space="preserve">הצעת חוק איסור פרסומת והגבלת השיווק של מוצרי טבק ועישון (תיקון - ביטול החרגת העיתונות המודפסת), התשפ"א-2021</t>
  </si>
  <si>
    <t xml:space="preserve"> (פ/1485/24)</t>
  </si>
  <si>
    <t xml:space="preserve">22.02.2022</t>
  </si>
  <si>
    <t xml:space="preserve">הצעת חוק הסדרת העיסוק במקצועות הבריאות (תיקון - טיפול באמצעות אמנויות), התשפ"ב-2021</t>
  </si>
  <si>
    <t xml:space="preserve"> (פ/2547/24)</t>
  </si>
  <si>
    <t xml:space="preserve">21.02.2022</t>
  </si>
  <si>
    <t xml:space="preserve"> (פ/2477/24)</t>
  </si>
  <si>
    <t xml:space="preserve"> (פ/2433/24)</t>
  </si>
  <si>
    <t xml:space="preserve"> (פ/1815/24)</t>
  </si>
  <si>
    <t xml:space="preserve">הצעת חוק ההוצאה לפועל (תיקון מס' 70 והוראת שעה) (נגיף הקורונה החדש), התפ"ב-2022</t>
  </si>
  <si>
    <t xml:space="preserve"> (מ/1514)</t>
  </si>
  <si>
    <t xml:space="preserve">הצעת חוק הספרים (חובת מסירה וציון הפרטים) (תיקון מס' 4) (ביטול חובת המסירה לכנסת), התשפ"ב–2022</t>
  </si>
  <si>
    <t xml:space="preserve"> (כ/889)</t>
  </si>
  <si>
    <t xml:space="preserve">הצעת חוק לייעול הפיקוח והאכיפה העירוניים ברשויות המקומיות (תעבורה) (תיקון - הגברת האכיפה), התשפ"ב-2022</t>
  </si>
  <si>
    <t xml:space="preserve"> (פ/2918/24)</t>
  </si>
  <si>
    <t xml:space="preserve"> (פ/3346/24)</t>
  </si>
  <si>
    <t xml:space="preserve"> (פ/3345/24)</t>
  </si>
  <si>
    <t xml:space="preserve">הצעת חוק ניירות ערך (תיקון - חובת גילוי בדוחות הכספיים של חברות ציבוריות אודות סיכונים סביבתיים), התשפ"ב-2022</t>
  </si>
  <si>
    <t xml:space="preserve"> (פ/3343/24)</t>
  </si>
  <si>
    <t xml:space="preserve"> (פ/3342/24)</t>
  </si>
  <si>
    <t xml:space="preserve"> (פ/3340/24)</t>
  </si>
  <si>
    <t xml:space="preserve">הצעת חוק הסעד (טיפול באנשים עם מוגבלות שכלית-התפתחותית) (תיקון - דיווח לכנסת לעניין פגיעה באדם עם מוגבלות שכלית-התפתחותית), התשפ"ב-2022</t>
  </si>
  <si>
    <t xml:space="preserve"> (פ/3339/24)</t>
  </si>
  <si>
    <t xml:space="preserve">הצעת חוק הגנה על הציבור מפני עבריינים שביצעו עבירות אלימות חמורות, התשפ"ב-2022</t>
  </si>
  <si>
    <t xml:space="preserve"> (פ/3338/24)</t>
  </si>
  <si>
    <t xml:space="preserve">הצעת חוק זכויות החולה (תיקון - מתן הסכמה לטיפול רפואי), התשפ"ב-2022</t>
  </si>
  <si>
    <t xml:space="preserve"> (פ/3337/24)</t>
  </si>
  <si>
    <t xml:space="preserve">הצעת חוק שירות הציבור (הגבלות לאחר פרישה) (תיקון - תקופת צינון לשופטים), התשפ"ב-2022</t>
  </si>
  <si>
    <t xml:space="preserve"> (פ/3336/24)</t>
  </si>
  <si>
    <t xml:space="preserve">הצעת חוק מגורים זמניים לעובדים בחקלאות, התשפ"ב-2022</t>
  </si>
  <si>
    <t xml:space="preserve"> (פ/3335/24)</t>
  </si>
  <si>
    <t xml:space="preserve">הצעת חוק פיקוח על מחירי מצרכים ושירותים (תיקון - פיקוח על מוצרי מזון בריא בסיסיים), התשפ"ב-2022 </t>
  </si>
  <si>
    <t xml:space="preserve"> (פ/3334/24)</t>
  </si>
  <si>
    <t xml:space="preserve"> (פ/3333/24)</t>
  </si>
  <si>
    <t xml:space="preserve"> (פ/3331/24)</t>
  </si>
  <si>
    <t xml:space="preserve">הצעת חוק מס ערך מוסף (תיקון - פטור ממס ממכירת תרופות מאריכות חיים שאינן כלולות בסל הבריאות), התשפ"ב-2022</t>
  </si>
  <si>
    <t xml:space="preserve"> (פ/3330/24)</t>
  </si>
  <si>
    <t xml:space="preserve"> (פ/3329/24)</t>
  </si>
  <si>
    <t xml:space="preserve">הצעת חוק ועדות חקירה (תיקון - הבטחת שקיפות), התשפ"ב-2022</t>
  </si>
  <si>
    <t xml:space="preserve"> (פ/3328/24)</t>
  </si>
  <si>
    <t xml:space="preserve">הצעת חוק התובע הכללי, התשפ"ב-2022</t>
  </si>
  <si>
    <t xml:space="preserve"> (פ/3327/24)</t>
  </si>
  <si>
    <t xml:space="preserve">הצעת חוק לתיקון פקודת התעבורה (חניית נשים בהריון והורה לתינוק), התשפ"ב-2022</t>
  </si>
  <si>
    <t xml:space="preserve"> (פ/3326/24)</t>
  </si>
  <si>
    <t xml:space="preserve">הצעת חוק האזנת סתר (תיקון - האזנה בשל חשד להתעללות), התשפ"ב-2022</t>
  </si>
  <si>
    <t xml:space="preserve"> (פ/3325/24)</t>
  </si>
  <si>
    <t xml:space="preserve">הצעת חוק השיפוט הצבאי (תיקון - עתירות אסיר), התשפ"ב-2022</t>
  </si>
  <si>
    <t xml:space="preserve"> (פ/3324/24)</t>
  </si>
  <si>
    <t xml:space="preserve">הצעת חוק זכויות החולה (תיקון - הסדר חניה למאושפזים בבית חולים ולמבקריהם), התשפ"ב-2022</t>
  </si>
  <si>
    <t xml:space="preserve"> (פ/3322/24)</t>
  </si>
  <si>
    <t xml:space="preserve">הצעת חוק לחיזוק הקשר בין יהודי התפוצות למדינת ישראל, התשפ"ב-2022</t>
  </si>
  <si>
    <t xml:space="preserve"> (פ/3320/24)</t>
  </si>
  <si>
    <t xml:space="preserve">הצעת חוק לתיקון פקודת בריאות העם (מכשירים רפואיים מיוחדים), התשפ"ב-2022</t>
  </si>
  <si>
    <t xml:space="preserve"> (פ/3319/24)</t>
  </si>
  <si>
    <t xml:space="preserve">הצעת חוק ניירות ערך (תיקון - חובת גילוי בדוחות הכספיים של חברות ציבוריות אודות תביעות הנוגעות למפגעים סביבתיים), התשפ"ב-2022</t>
  </si>
  <si>
    <t xml:space="preserve"> (פ/3318/24)</t>
  </si>
  <si>
    <t xml:space="preserve">הצעת חוק זכויות החולה (תיקון - מסירת מידע רפואי לאחר בידי מטופל), התשפ"ב-2022</t>
  </si>
  <si>
    <t xml:space="preserve"> (פ/3317/24)</t>
  </si>
  <si>
    <t xml:space="preserve">הצעת חוק הסכמים קיבוציים (תיקון - ביטול גביית דמי טיפול ארגוני-מקצועי), התשפ"ב-2022</t>
  </si>
  <si>
    <t xml:space="preserve"> (פ/3316/24)</t>
  </si>
  <si>
    <t xml:space="preserve"> (פ/3315/24)</t>
  </si>
  <si>
    <t xml:space="preserve">הצעת חוק לתיקון פקודת התעבורה (הגבלת סכום אגרת רישיון רכב), התשפ"ב-2022</t>
  </si>
  <si>
    <t xml:space="preserve"> (פ/3314/24)</t>
  </si>
  <si>
    <t xml:space="preserve">הצעת חוק הסכמים קיבוציים (תיקון - אי תחולה על עובד זר בענף החקלאות), התשפ"ב-2022</t>
  </si>
  <si>
    <t xml:space="preserve"> (פ/3313/24)</t>
  </si>
  <si>
    <t xml:space="preserve">הצעת חוק העונשין (תיקון - ביטול העבירה על העלבת עובד ציבור), התשפ"ב-2022</t>
  </si>
  <si>
    <t xml:space="preserve"> (פ/3312/24)</t>
  </si>
  <si>
    <t xml:space="preserve">הצעת חוק ההוצאה לפועל (תיקון - הגבלת סכום עיקול בידי צד שלישי שהוא תאגיד בנקאי), התשפ"ב-2022</t>
  </si>
  <si>
    <t xml:space="preserve"> (פ/3311/24)</t>
  </si>
  <si>
    <t xml:space="preserve">הצעת חוק הקמת רשות לפיתוח מקומות קדושים למוסלמים, התשפ"ב-2022</t>
  </si>
  <si>
    <t xml:space="preserve"> (פ/3310/24)</t>
  </si>
  <si>
    <t xml:space="preserve">הצעת חוק מינוי תובע מיוחד, התשפ"ב-2022</t>
  </si>
  <si>
    <t xml:space="preserve"> (פ/3309/24)</t>
  </si>
  <si>
    <t xml:space="preserve"> (פ/3308/24)</t>
  </si>
  <si>
    <t xml:space="preserve">הצעת חוק משק החשמל (תיקון - תשלומי חשמל מופחתים לבני שמונים שנים ומעלה), התשפ"ב-2022</t>
  </si>
  <si>
    <t xml:space="preserve"> (פ/3307/24)</t>
  </si>
  <si>
    <t xml:space="preserve">הצעת חוק הפרטת גלי צה"ל, התשפ"ב-2022</t>
  </si>
  <si>
    <t xml:space="preserve"> (פ/3306/24)</t>
  </si>
  <si>
    <t xml:space="preserve">הצעת חוק המכר (דירות) (הבטחת השקעות של רוכשי דירות) (תיקון - איסור על סירוב קבלת תשלומים טרם זמנם), התשפ"ב-2022</t>
  </si>
  <si>
    <t xml:space="preserve"> (פ/3305/24)</t>
  </si>
  <si>
    <t xml:space="preserve">הצעת חוק החולה הנוטה למות (תיקון - מוות במרשם רופא), התשפ"ב-2022</t>
  </si>
  <si>
    <t xml:space="preserve"> (פ/3304/24)</t>
  </si>
  <si>
    <t xml:space="preserve"> (פ/3303/24)</t>
  </si>
  <si>
    <t xml:space="preserve">הצעת חוק החברות הממשלתיות (תיקון - קווי פעולה של חברה ממשלתית), התשפ"ב-2022</t>
  </si>
  <si>
    <t xml:space="preserve"> (פ/3302/24)</t>
  </si>
  <si>
    <t xml:space="preserve">הצעת חוק הגנת הצרכן (תיקון - סיכום פנייה), התשפ"ב-2022</t>
  </si>
  <si>
    <t xml:space="preserve"> (פ/3301/24)</t>
  </si>
  <si>
    <t xml:space="preserve">הצעת חוק דמי מחלה (היעדרות בשל מחלת ילד) (תיקון - ימי מחלה נוספים בשל מחלת ילד), התשפ"ב-2022</t>
  </si>
  <si>
    <t xml:space="preserve"> (פ/3300/24)</t>
  </si>
  <si>
    <t xml:space="preserve">הצעת חוק עבודת הנוער (תיקון - עבודת נוער בהופעות וצילומים), התשפ"ב-2021 </t>
  </si>
  <si>
    <t xml:space="preserve"> (פ/2228/24)</t>
  </si>
  <si>
    <t xml:space="preserve">16.02.2022</t>
  </si>
  <si>
    <t xml:space="preserve">הצעת חוק השתלת אברים (תיקון - הפנייה להסכמה לתרומת אברים בטפסים מקוונים), התשפ"א-2021 </t>
  </si>
  <si>
    <t xml:space="preserve"> (פ/2183/24)</t>
  </si>
  <si>
    <t xml:space="preserve">הצעת חוק העדה הדרוזית, התשפ"ב-2022</t>
  </si>
  <si>
    <t xml:space="preserve"> (פ/3189/24)</t>
  </si>
  <si>
    <t xml:space="preserve"> (פ/3167/24)</t>
  </si>
  <si>
    <t xml:space="preserve">הצעת חוק איסור מתן כספים קואליציוניים, התשפ"ב-2021</t>
  </si>
  <si>
    <t xml:space="preserve"> (פ/2690/24)</t>
  </si>
  <si>
    <t xml:space="preserve">הצעת חוק עקרונות האסדרה (תיקון - פקיעת אסדרה), התשפ"ב-2021</t>
  </si>
  <si>
    <t xml:space="preserve"> (פ/2658/24)</t>
  </si>
  <si>
    <t xml:space="preserve">הצעת חוק העדה הדרוזית, התשפ"ב-2021</t>
  </si>
  <si>
    <t xml:space="preserve"> (פ/2592/24)</t>
  </si>
  <si>
    <t xml:space="preserve">הצעת חוק הכנסת (תיקון - חובת התייצבות בפני ועדות הכנסת), התשפ"א-2021</t>
  </si>
  <si>
    <t xml:space="preserve"> (פ/1843/24)</t>
  </si>
  <si>
    <t xml:space="preserve">הצעת חוק לתיקון פקודת מס הכנסה (הכרה בהוצאות עבודה מהבית בתקופת התפשטות נגיף הקורונה החדש) (הוראת שעה), התשפ"א-2021</t>
  </si>
  <si>
    <t xml:space="preserve"> (פ/1777/24)</t>
  </si>
  <si>
    <t xml:space="preserve">הצעת חוק הקמת יישוב עירוני חדש, התשפ"א-2021 </t>
  </si>
  <si>
    <t xml:space="preserve"> (פ/1585/24)</t>
  </si>
  <si>
    <t xml:space="preserve">הצעת חוק העונשין (תיקון - עונש מזערי בגין יידוי או ירי של אבן או חפץ אחר לעבר כלי תחבורה), התשפ"א-2021</t>
  </si>
  <si>
    <t xml:space="preserve"> (פ/1019/24)</t>
  </si>
  <si>
    <t xml:space="preserve">הצעת חוק הגנת הצרכן (תיקון - מענה אנושי בשירות טלפוני לאזרח ותיק), התשפ"א-2021</t>
  </si>
  <si>
    <t xml:space="preserve"> (פ/398/24)</t>
  </si>
  <si>
    <t xml:space="preserve">הצעת חוק ציון יום לאומי לתרומתה ולפועלה של העדה הדרוזית (תיקון - עיגון מעמדה של העדה הדרוזית כשוות זכויות במדינת ישראל), התשפ"א-2021</t>
  </si>
  <si>
    <t xml:space="preserve"> (פ/298/24)</t>
  </si>
  <si>
    <t xml:space="preserve"> (פ/119/24)</t>
  </si>
  <si>
    <t xml:space="preserve">הצעת חוק זכויות לאנשים עם מוגבלות המועסקים כמשתקמים, התשפ"ב-2022</t>
  </si>
  <si>
    <t xml:space="preserve"> (מ/1512)</t>
  </si>
  <si>
    <t xml:space="preserve">הצעת חוק הבחירות לכנסת (תיקון - עדכון כתובת לצורכי בחירות), התשפ"ב-2021</t>
  </si>
  <si>
    <t xml:space="preserve"> (פ/2772/24)</t>
  </si>
  <si>
    <t xml:space="preserve">15.02.2022</t>
  </si>
  <si>
    <t xml:space="preserve">הצעת חוק אומנה לילדים (תיקון מס' 3) (אומנת חירום), התשפ"ב-2022 </t>
  </si>
  <si>
    <t xml:space="preserve"> (מ/1511)</t>
  </si>
  <si>
    <t xml:space="preserve">הצעת חוק הביטוח הלאומי (תיקון - פטור לסטודנטים מתשלום דמי ביטוח לאומי), התשפ"א-2021</t>
  </si>
  <si>
    <t xml:space="preserve"> (פ/2176/24)</t>
  </si>
  <si>
    <t xml:space="preserve">14.02.2022</t>
  </si>
  <si>
    <t xml:space="preserve">הצעת חוק הביטוח הלאומי (תיקון - תשלום דמי ביטוח לאומי מופחתים לסטודנט במוסד להשכלה גבוהה מחוץ לישראל), התשפ"א-2021</t>
  </si>
  <si>
    <t xml:space="preserve"> (פ/1547/24)</t>
  </si>
  <si>
    <t xml:space="preserve">הצעת חוק הביטוח הלאומי (תיקון - פטור מתשלום דמי ביטוח לסטודנטים בשל הכנסות הוריהם), התשפ"א-2021</t>
  </si>
  <si>
    <t xml:space="preserve"> (פ/712/24)</t>
  </si>
  <si>
    <t xml:space="preserve"> (פ/606/24)</t>
  </si>
  <si>
    <t xml:space="preserve"> (פ/217/24)</t>
  </si>
  <si>
    <t xml:space="preserve">הצעת חוק איסור הפליית אנשים עם עיוורון המלווים בכלבי נחייה (תיקון - אנשים עם מוגבלות המלווים בכלבי שירות), התשפ״ב-2021</t>
  </si>
  <si>
    <t xml:space="preserve"> (פ/2620/24)</t>
  </si>
  <si>
    <t xml:space="preserve">הצעת חוק איסור הפליית אנשים עם עיוורון המלווים בכלבי נחייה (תיקון - אנשים עם הפרעות בתר חבלתיות או בעלי מוגבלות המלווים בכלב שירות), התשפ"ב-2021</t>
  </si>
  <si>
    <t xml:space="preserve"> (פ/2597/24)</t>
  </si>
  <si>
    <t xml:space="preserve">הצעת חוק הפיקוח על שירותים פיננסיים (קופות גמל) (תיקון - שיקולי השקעה הנוגעים להיבטים סביבתיים ולסיכונים מתפתחים), התשפ"ב-2022</t>
  </si>
  <si>
    <t xml:space="preserve"> (פ/3298/24)</t>
  </si>
  <si>
    <t xml:space="preserve">הצעת חוק הגשת תביעה למענקי סיוע בתקופת ההתמודדות עם נגיף הקורונה (תיקוני חקיקה), התשפ"ב-2022 </t>
  </si>
  <si>
    <t xml:space="preserve"> (פ/3297/24)</t>
  </si>
  <si>
    <t xml:space="preserve">הצעת חוק הפיקוח על שירותים פיננסיים (קופות גמל) (תיקון - חשיפת מדיניות סיכונים סביבתיים), התשפ"ב-2022</t>
  </si>
  <si>
    <t xml:space="preserve"> (פ/3296/24)</t>
  </si>
  <si>
    <t xml:space="preserve"> (פ/3295/24)</t>
  </si>
  <si>
    <t xml:space="preserve"> (פ/3294/24)</t>
  </si>
  <si>
    <t xml:space="preserve">הצעת חוק לתיקון פקודת מס הכנסה (ניכוי בגין הוצאות טיפול בילדים), התשפ"ב-2022</t>
  </si>
  <si>
    <t xml:space="preserve"> (פ/3293/24)</t>
  </si>
  <si>
    <t xml:space="preserve">הצעת חוק הבנקאות (שירות ללקוח) (תיקון - הקלת התנאים במתן הלוואה לרכישת דירה), התשפ"ב-2022</t>
  </si>
  <si>
    <t xml:space="preserve"> (פ/3292/24)</t>
  </si>
  <si>
    <t xml:space="preserve">הצעת חוק הגנה על מחזיקים במקרקעין ביהודה ושומרון, התשפ"ב-2022</t>
  </si>
  <si>
    <t xml:space="preserve"> (פ/3291/24)</t>
  </si>
  <si>
    <t xml:space="preserve">הצעת חוק ייצוג הולם לצעירים במגזר הציבורי (תיקוני חקיקה), התשפ"ב-2022</t>
  </si>
  <si>
    <t xml:space="preserve"> (פ/3290/24)</t>
  </si>
  <si>
    <t xml:space="preserve">הצעת חוק ההוצאה לפועל (תיקון - מסלול מקוצר חובה), התשפ"ב-2022</t>
  </si>
  <si>
    <t xml:space="preserve"> (פ/3289/24)</t>
  </si>
  <si>
    <t xml:space="preserve">הצעת חוק מעקב ומניעת העברת כספים מתקציב המדינה לגורמים החשודים בסיוע לטרור, התשפ"ב-2022</t>
  </si>
  <si>
    <t xml:space="preserve"> (פ/3288/24)</t>
  </si>
  <si>
    <t xml:space="preserve">הצעת חוק החזרתם של תושבי איקרית ובירעם לכפריהם, התשפ"ב-2022</t>
  </si>
  <si>
    <t xml:space="preserve"> (פ/3287/24)</t>
  </si>
  <si>
    <t xml:space="preserve">הצעת חוק לתיקון פקודת מס הכנסה (הגדלת זיכוי מס על תרומה לבתי חולים בפריפריה), התשפ"ב-2022</t>
  </si>
  <si>
    <t xml:space="preserve"> (פ/3286/24)</t>
  </si>
  <si>
    <t xml:space="preserve">הצעת חוק פינוי ובינוי (עידוד מיזמי פינוי ובינוי) (תיקון - מבנה מסוכן), התשפ"ב-2022</t>
  </si>
  <si>
    <t xml:space="preserve"> (פ/3285/24)</t>
  </si>
  <si>
    <t xml:space="preserve"> (פ/3284/24)</t>
  </si>
  <si>
    <t xml:space="preserve">הצעת חוק האזרחות (תיקון - איסור הפליה בקבלת אזרחות), התשפ"ב-2022</t>
  </si>
  <si>
    <t xml:space="preserve"> (פ/3283/24)</t>
  </si>
  <si>
    <t xml:space="preserve">הצעת חוק הביטוח הלאומי (תיקון - מועד לאישור או לדחיית תביעה לפי פרק ח'), התשפ"ב-2022</t>
  </si>
  <si>
    <t xml:space="preserve"> (פ/3282/24)</t>
  </si>
  <si>
    <t xml:space="preserve"> (פ/3281/24)</t>
  </si>
  <si>
    <t xml:space="preserve">הצעת חוק הנכים נפגעי הנאצים (תיקוני חקיקה), התשפ"ב-2022</t>
  </si>
  <si>
    <t xml:space="preserve"> (פ/3280/24)</t>
  </si>
  <si>
    <t xml:space="preserve"> (פ/3279/24)</t>
  </si>
  <si>
    <t xml:space="preserve">הצעת חוק האפוטרופוס הכללי (תיקון - שיקולי השקעה סביבתיים), התשפ"ב-2022</t>
  </si>
  <si>
    <t xml:space="preserve"> (פ/3278/24)</t>
  </si>
  <si>
    <t xml:space="preserve">הצעת חוק החברות הממשלתיות (תיקון - דוח אחריות סביבתית), התשפ"ב-2022</t>
  </si>
  <si>
    <t xml:space="preserve"> (פ/3277/24)</t>
  </si>
  <si>
    <t xml:space="preserve">הצעת חוק הנגשת שירותים הניתנים על ידי גופי שלטון לשפות נוספות, התשפ"ב-2022</t>
  </si>
  <si>
    <t xml:space="preserve"> (פ/3276/24)</t>
  </si>
  <si>
    <t xml:space="preserve">הצעת חוק לתיקון פקודת מס הכנסה (נקודת זיכוי לאפוטרופוס), התשפ"ב-2022</t>
  </si>
  <si>
    <t xml:space="preserve"> (פ/3274/24)</t>
  </si>
  <si>
    <t xml:space="preserve"> (פ/3273/24)</t>
  </si>
  <si>
    <t xml:space="preserve">הצעת חוק המועצה להשכלה גבוהה (תיקון - קביעת תנאי קבלה בידי מוסד), התשפ"ב-2022</t>
  </si>
  <si>
    <t xml:space="preserve"> (פ/3272/24)</t>
  </si>
  <si>
    <t xml:space="preserve">הצעת חוק ארוחה יומית לתלמיד (תיקון - עודפי תקציב), התשפ"ב-2022</t>
  </si>
  <si>
    <t xml:space="preserve"> (פ/3271/24)</t>
  </si>
  <si>
    <t xml:space="preserve">הצעת חוק הכשרת חיילים בשירות סדיר לנהיגה ברכב כבד, התשפ''ב-2022</t>
  </si>
  <si>
    <t xml:space="preserve"> (פ/3270/24)</t>
  </si>
  <si>
    <t xml:space="preserve">הצעת חוק המכר (דירות) (תיקון - הגבלת הסכום הנקוב במפרט בשל שינוי מיקומו של פריט בדירה חדשה), התשפ"ב-2022</t>
  </si>
  <si>
    <t xml:space="preserve"> (פ/3269/24)</t>
  </si>
  <si>
    <t xml:space="preserve">הצעת חוק הגנת הצרכן (תיקון - איסור התניית עסקה באופן תשלום), התשפ"ב-2022</t>
  </si>
  <si>
    <t xml:space="preserve"> (פ/3268/24)</t>
  </si>
  <si>
    <t xml:space="preserve">הצעת חוק הביטוח הלאומי (תיקון - תוספת בעד בן הזוג לקצבת אזרח ותיק), התשפ"ב-2022</t>
  </si>
  <si>
    <t xml:space="preserve"> (פ/3266/24)</t>
  </si>
  <si>
    <t xml:space="preserve">הצעת חוק חינוך ממלכתי (תיקון - תקצוב מלא למוסדות מוכרים לא רשמיים), התשפ"ב-2022</t>
  </si>
  <si>
    <t xml:space="preserve"> (פ/3265/24)</t>
  </si>
  <si>
    <t xml:space="preserve">הצעת חוק התכנון והבנייה (תיקון - ייצוג הוועדה המקומית), התשפ"ב-2022</t>
  </si>
  <si>
    <t xml:space="preserve"> (פ/3264/24)</t>
  </si>
  <si>
    <t xml:space="preserve">הצעת חוק התכנון והבנייה (תיקון - סייגים להתניית היתר), התשפ"ב-2022</t>
  </si>
  <si>
    <t xml:space="preserve"> (פ/3263/24)</t>
  </si>
  <si>
    <t xml:space="preserve">הצעת חוק הגנת הצרכן (תיקון - איסור גביית עמלה בהרשאה לחיוב חשבון בהוראת קבע), התשפ"ב-2022</t>
  </si>
  <si>
    <t xml:space="preserve"> (פ/3262/24)</t>
  </si>
  <si>
    <t xml:space="preserve">הצעת חוק הכניסה לישראל (תיקון - הארכת רישיונות עובדים זרים בתחום הסיעוד מטעמים הומניטריים מיוחדים וחריגים) (הוראת שעה), התשפ"ב-2022</t>
  </si>
  <si>
    <t xml:space="preserve"> (פ/3261/24)</t>
  </si>
  <si>
    <t xml:space="preserve">הצעת חוק הגנת הצרכן (תיקון - אישור להמשך מתן שירות בעסקה מתמשכת), התשפ"ב-2022</t>
  </si>
  <si>
    <t xml:space="preserve"> (פ/3260/24)</t>
  </si>
  <si>
    <t xml:space="preserve">הצעת חוק התכנון והבנייה (תיקון - הרחבת הפטור מהיטל השבחה), התשפ"ב-2022</t>
  </si>
  <si>
    <t xml:space="preserve"> (פ/3259/24)</t>
  </si>
  <si>
    <t xml:space="preserve"> (פ/3258/24)</t>
  </si>
  <si>
    <t xml:space="preserve">הצעת חוק שכר שווה לעובדת ולעובד (תיקון - חובת מסירת מידע), התשפ"ב-2022</t>
  </si>
  <si>
    <t xml:space="preserve"> (פ/3257/24)</t>
  </si>
  <si>
    <t xml:space="preserve">הצעת חוק מעונות יום שיקומיים (תיקון - פעוט עם מוגבלות שטרם מלאו לו שישה חודשים), התשפ"ב-2022</t>
  </si>
  <si>
    <t xml:space="preserve"> (פ/3256/24)</t>
  </si>
  <si>
    <t xml:space="preserve">הצעת חוק ועדת חקירה ממלכתית לרכש ספינות השיט והצוללות לחיל הים, התשפ"ב-2022</t>
  </si>
  <si>
    <t xml:space="preserve"> (פ/3255/24)</t>
  </si>
  <si>
    <t xml:space="preserve">הצעת חוק לביטול אזרחותו או תושבותו של פעיל טרור שמקבל תגמול עבור ביצוע מעשה הטרור (תיקוני חקיקה), התשפ"ב-2022</t>
  </si>
  <si>
    <t xml:space="preserve"> (פ/3254/24)</t>
  </si>
  <si>
    <t xml:space="preserve"> (פ/3253/24)</t>
  </si>
  <si>
    <t xml:space="preserve">הצעת חוק המזונות (הבטחת תשלום) (תיקון - סכום שלא יובא בחשבון במבחן ההכנסה), התשפ"ב-2022</t>
  </si>
  <si>
    <t xml:space="preserve"> (פ/3252/24)</t>
  </si>
  <si>
    <t xml:space="preserve">הצעת חוק הגנת הצרכן (תיקון - פנייה מקדימה בעסקת מכר מרחוק), התשפ"ב-2022</t>
  </si>
  <si>
    <t xml:space="preserve"> (פ/3251/24)</t>
  </si>
  <si>
    <t xml:space="preserve">הצעת חוק הכנסת (תיקון - ועדה לפיקוח על רשויות פיקוח פיננסיות), התשפ"ב-2022</t>
  </si>
  <si>
    <t xml:space="preserve"> (פ/3250/24)</t>
  </si>
  <si>
    <t xml:space="preserve">הצעת חוק העונשין (תיקון - הגנה עצמית בנסיבות של אלימות במשפחה), התשפ"ב-2022</t>
  </si>
  <si>
    <t xml:space="preserve"> (פ/3249/24)</t>
  </si>
  <si>
    <t xml:space="preserve">הצעת חוק הגנת הצרכן (תיקון - מגבלות על חיוב חשבון של צרכן בתשלומים), התשפ"ב-2022</t>
  </si>
  <si>
    <t xml:space="preserve"> (פ/3248/24)</t>
  </si>
  <si>
    <t xml:space="preserve">הצעת חוק הכשרה מקצועית לעולים, התשפ"ב-2022</t>
  </si>
  <si>
    <t xml:space="preserve"> (פ/3247/24)</t>
  </si>
  <si>
    <t xml:space="preserve">הצעת חוק הגנת הצרכן (תיקון - חובת פרסום שם יצרן ודגם מוצר), התשפ"ב-2022</t>
  </si>
  <si>
    <t xml:space="preserve"> (פ/3246/24)</t>
  </si>
  <si>
    <t xml:space="preserve">הצעת חוק עובדים זרים (תיקון - היתר להעסקת עובד זר בענף הסיעוד), התשפ"ב-2022</t>
  </si>
  <si>
    <t xml:space="preserve"> (פ/3245/24)</t>
  </si>
  <si>
    <t xml:space="preserve">הצעת חוק המועצה הישראלית לצרכנות (תיקון - ודאות תקציבית), התשפ"ב-2022</t>
  </si>
  <si>
    <t xml:space="preserve"> (פ/3244/24)</t>
  </si>
  <si>
    <t xml:space="preserve">הצעת חוק שעות עבודה ומנוחה (תיקון - תשלום עבור שעות כוננות), התשפ"ב-2022</t>
  </si>
  <si>
    <t xml:space="preserve"> (פ/3243/24)</t>
  </si>
  <si>
    <t xml:space="preserve">הצעת חוק הגנת הצרכן (תיקון - חובת סימון נפח האריזה וקביעת הנפח בשימוש), התשפ"ב-2022</t>
  </si>
  <si>
    <t xml:space="preserve"> (פ/3242/24)</t>
  </si>
  <si>
    <t xml:space="preserve">הצעת חוק המים (תיקון - הנחות לאוכלוסיות זכאיות), התשפ"ב-2022</t>
  </si>
  <si>
    <t xml:space="preserve"> (פ/3241/24)</t>
  </si>
  <si>
    <t xml:space="preserve">הצעת חוק לתיקון פקודת מס הכנסה (פטור ממס לרשויות מקומיות על דיבידנד מחברות עירוניות), התשפ"ב-2022</t>
  </si>
  <si>
    <t xml:space="preserve"> (פ/3240/24)</t>
  </si>
  <si>
    <t xml:space="preserve">הצעת חוק הגנת הצרכן (תיקון - חובת הצגת מחיר מוצר בעת עריכת החשבון בקופה), התשפ"ב-2022</t>
  </si>
  <si>
    <t xml:space="preserve"> (פ/3239/24)</t>
  </si>
  <si>
    <t xml:space="preserve">הצעת חוק הגנת הצרכן (תיקון - חובת גילוי הוזלה במחיר בעסקה מתמשכת), התשפ"ב-2022</t>
  </si>
  <si>
    <t xml:space="preserve"> (פ/3238/24)</t>
  </si>
  <si>
    <t xml:space="preserve">הצעת חוק ההתיישנות (תיקון - תביעה בגין אחריות לפגיעה מינית בקטין), התשפ"ב-2021</t>
  </si>
  <si>
    <t xml:space="preserve"> (פ/2217/24)</t>
  </si>
  <si>
    <t xml:space="preserve">09.02.2022</t>
  </si>
  <si>
    <t xml:space="preserve">הצעת חוק לתיקון פקודת התעבורה (הגבלת תשלום דמי חניה במוסד רפואי), התשפ"ב-2021</t>
  </si>
  <si>
    <t xml:space="preserve"> (פ/2853/24)</t>
  </si>
  <si>
    <t xml:space="preserve">הצעת חוק חיבור בתים בהתיישבות הצעירה לחשמל, התשפ"ב-2021</t>
  </si>
  <si>
    <t xml:space="preserve"> (פ/2779/24)</t>
  </si>
  <si>
    <t xml:space="preserve">הצעת חוק מס ערך מוסף (תיקון - פטור ממס ממכירת תרופות מאריכות חיים שאינן כלולות בסל הבריאות), התשפ"ב-2021</t>
  </si>
  <si>
    <t xml:space="preserve"> (פ/2631/24)</t>
  </si>
  <si>
    <t xml:space="preserve">הצעת חוק מעונות יום שיקומיים (תיקון - פעוט עם מוגבלות שטרם מלאו לו שישה חודשים), התשפ"ב-2021</t>
  </si>
  <si>
    <t xml:space="preserve"> (פ/2584/24)</t>
  </si>
  <si>
    <t xml:space="preserve">הצעת חוק אחריות קבלן שיפוצים, התשפ"ב-2021</t>
  </si>
  <si>
    <t xml:space="preserve"> (פ/2527/24)</t>
  </si>
  <si>
    <t xml:space="preserve">הצעת חוק ההוצאה לפועל (תיקון - ביטול האפשרות לצוות על עיכוב יציאה מהארץ בגין חוב כספי נמוך), התשפ"ב-2021</t>
  </si>
  <si>
    <t xml:space="preserve"> (פ/2478/24)</t>
  </si>
  <si>
    <t xml:space="preserve">הצעת חוק לתיקון פקודת התעבורה (הגבלת דמי חניה במוסד רפואי), התשפ"ב-2021</t>
  </si>
  <si>
    <t xml:space="preserve"> (פ/2342/24)</t>
  </si>
  <si>
    <t xml:space="preserve">הצעת חוק הגבלת משקל בתעשיית הדוגמנות (תיקון - פיקוח ואכיפה), התשפ"ב-2021</t>
  </si>
  <si>
    <t xml:space="preserve"> (פ/2221/24)</t>
  </si>
  <si>
    <t xml:space="preserve">הצעת חוק מס ערך מוסף (תיקון - מס בשיעור אפס לתרופות), התשפ"א-2021</t>
  </si>
  <si>
    <t xml:space="preserve"> (פ/1943/24)</t>
  </si>
  <si>
    <t xml:space="preserve">הצעת חוק הביטוח הלאומי (תיקון - הצמדת קצבת אזרח ותיק לקו העוני), התשפ''א-2021</t>
  </si>
  <si>
    <t xml:space="preserve"> (פ/1642/24)</t>
  </si>
  <si>
    <t xml:space="preserve">הצעת חוק מס ערך מוסף (תיקון - פטור ממס במכירת תרופות מצילות חיים שאינן כלולות בסל הבריאות), התשפ"א-2021</t>
  </si>
  <si>
    <t xml:space="preserve"> (פ/1600/24)</t>
  </si>
  <si>
    <t xml:space="preserve">הצעת חוק לתיקון פקודת התעבורה (הגבלת תשלום בעד חניה במוסד רפואי), התשפ"א-2021</t>
  </si>
  <si>
    <t xml:space="preserve"> (פ/1561/24)</t>
  </si>
  <si>
    <t xml:space="preserve">הצעת חוק הפיקוח על ייצוא ביטחוני (תיקון - הגבלות על ייצוא ביטחוני לכוחות ביטחון שביצעו הפרות חמורות של זכויות אדם), התשפ"א-2021</t>
  </si>
  <si>
    <t xml:space="preserve"> (פ/1474/24)</t>
  </si>
  <si>
    <t xml:space="preserve">הצעת חוק העונשין (תיקון - איסור הנפת דגל של ישות עוינת), התשפ"א-2021</t>
  </si>
  <si>
    <t xml:space="preserve"> (פ/1291/24)</t>
  </si>
  <si>
    <t xml:space="preserve">הצעת חוק ההוצאה לפועל (תיקון - ביטול האפשרות לצוות על עיכוב יציאה מהארץ בגין חוב כספי נמוך), התשפ"א-2021</t>
  </si>
  <si>
    <t xml:space="preserve"> (פ/1140/24)</t>
  </si>
  <si>
    <t xml:space="preserve">הצעת חוק מעונות יום שיקומיים (תיקון - פעוט עם מוגבלות שטרם מלאו לו שישה חודשים), התשפ"א-2021</t>
  </si>
  <si>
    <t xml:space="preserve"> (פ/141/24)</t>
  </si>
  <si>
    <t xml:space="preserve">הצעת חוק לתיקון פקודת מס הכנסה (מס' 261), התשפ"ב-2022</t>
  </si>
  <si>
    <t xml:space="preserve"> (מ/1510)</t>
  </si>
  <si>
    <t xml:space="preserve">הצעת חוק דמי מחלה (תיקון - חישוב היעדרות לחולים במחלה קשה), התשפ"ב-2021</t>
  </si>
  <si>
    <t xml:space="preserve"> (פ/2279/24)</t>
  </si>
  <si>
    <t xml:space="preserve">08.02.2022</t>
  </si>
  <si>
    <t xml:space="preserve">הצעת חוק כבילת עצורים ואסירים שלא כדין - עוולה אזרחית (תיקוני חקיקה), התשפ"ב-2021 </t>
  </si>
  <si>
    <t xml:space="preserve"> (פ/2796/24)</t>
  </si>
  <si>
    <t xml:space="preserve">הצעת חוק החברות הממשלתיות (תיקון - ייצוג הולם בתאגידים ממשלתיים וגופים סטטוטוריים), התשפ"ב-2021</t>
  </si>
  <si>
    <t xml:space="preserve"> (פ/2688/24)</t>
  </si>
  <si>
    <t xml:space="preserve">07.02.2022</t>
  </si>
  <si>
    <t xml:space="preserve">הצעת חוק העונשין (תיקון - חילוט רווחי סרסרות), התשפ"א-2021</t>
  </si>
  <si>
    <t xml:space="preserve"> (פ/596/24)</t>
  </si>
  <si>
    <t xml:space="preserve">הצעת חוק הכנסת (תיקון - ציון מקור חקיקה פרטית), התשפ"א-2021</t>
  </si>
  <si>
    <t xml:space="preserve"> (פ/475/24)</t>
  </si>
  <si>
    <t xml:space="preserve">הצעת חוק האזרחים הוותיקים (תיקון - חידוש אוטומטי של הנחה בארנונה), התשפ"ב-2021</t>
  </si>
  <si>
    <t xml:space="preserve"> (פ/2699/24)</t>
  </si>
  <si>
    <t xml:space="preserve">הצעת חוק האזרחים הוותיקים (תיקון - חידוש אוטומטי של הנחה בארנונה), התשפ"א-2021</t>
  </si>
  <si>
    <t xml:space="preserve"> (פ/408/24)</t>
  </si>
  <si>
    <t xml:space="preserve">חוק ההוצאה לפועל (תיקון מס' 69), התשפ"ב-2022</t>
  </si>
  <si>
    <t xml:space="preserve"> (מ/1475)</t>
  </si>
  <si>
    <t xml:space="preserve">הוחלט לבטל את הסמכות להטיל הגבלה על חייבים מלקבל, להחזיק או לחדש רישיון נהיגה מכוח חוק ההוצאה לפועל וחוק המרכז לגביית קנסות.</t>
  </si>
  <si>
    <t xml:space="preserve">חוק לתיקון פקודת מס הכנסה (מס' 259), התשפ"ב-2022</t>
  </si>
  <si>
    <t xml:space="preserve"> (מ/1468)</t>
  </si>
  <si>
    <t xml:space="preserve">החוק קובע פטור ממס הכנסה על מענק ששולם לספורטאי בעד זכייה במקום הראשון, השני או השלישי בתחרות שהתקיימה במסגרת המשחקים האולימפיים, המשחקים הפאראלימפיים, משחקי העולם, או בעד זכייה כאמור בתחרות לבוגרים שהתקיימה במסגרת אליפות עולם, אליפות אירופה או אליפות מוכרת אחרת. הפטור יחול על מענק ששולם על ידי משרד התרבות והספורט, הוועד האולימפי בישראל, הוועד הפאראלימפי הישראלי  או התאחדות איל"ת,  החל מיום 1 בינואר 2021 ואילך.</t>
  </si>
  <si>
    <t xml:space="preserve">חוק סיוע לשדרות וליישובי הנגב המערבי (הוראת שעה) (תיקון מס' 7), התשפ"ב-2022</t>
  </si>
  <si>
    <t xml:space="preserve"> (מ/1498)</t>
  </si>
  <si>
    <t xml:space="preserve">החוק מאריך בארבע שנים נוספות, עד לשנת 2025, את הוראת השעה הקבועה בחוק סיוע לשדרות וליישובי הנגב המערבי, לפיה מי שהיה במשך כל שנת המס תושב אזור קו עימות דרומי, זכאי באותה שנה לזיכוי ממס בשיעור של 20% מהכנסתו החייבת מיגיעה אישית עד לתקרת הכנסה של 241,080 ש"ח.  </t>
  </si>
  <si>
    <t xml:space="preserve"> (פ/3237/24)</t>
  </si>
  <si>
    <t xml:space="preserve">הצעת חוק הכנסת (תיקון - בחירת יושב ראש הכנסת לאחר כינון ממשלה בהצבעת אי-אמון), התשפ"ב-2022</t>
  </si>
  <si>
    <t xml:space="preserve"> (פ/3234/24)</t>
  </si>
  <si>
    <t xml:space="preserve">הצעת חוק המאבק בשחיתות הציבורית - הרשעה בעבירה שיש עמה קלון (תיקוני חקיקה), התשפ"ב-2022</t>
  </si>
  <si>
    <t xml:space="preserve"> (פ/3233/24)</t>
  </si>
  <si>
    <t xml:space="preserve">הצעת חוק המים (תיקון - מניעת זיהום מקור מים), התשפ"ב-2022</t>
  </si>
  <si>
    <t xml:space="preserve"> (פ/3231/24)</t>
  </si>
  <si>
    <t xml:space="preserve">הצעת חוק רשות מקרקעי ישראל (תיקון - שימוש בקרקע חקלאית לייצור אנרגיה מתחדשת ביישובי עדיפות לאומית), התשפ"ב-2022</t>
  </si>
  <si>
    <t xml:space="preserve"> (פ/3230/24)</t>
  </si>
  <si>
    <t xml:space="preserve">הצעת חוק לתיקון סדרי המינהל (החלטות והנמקות) (תיקון - השהיית תוקפן וביטולן של פעולה או החלטה מנהלית שהתקבלו בניגוד להוראות החוק), התשפ"ב-2022</t>
  </si>
  <si>
    <t xml:space="preserve"> (פ/3229/24)</t>
  </si>
  <si>
    <t xml:space="preserve">הצעת חוק קרן סיוע לקורבנות טרור במימוש פסקי דין, התשפ"ב-2022</t>
  </si>
  <si>
    <t xml:space="preserve"> (פ/3228/24)</t>
  </si>
  <si>
    <t xml:space="preserve">הצעת חוק לתיקון סדרי המינהל (החלטות והנמקות) (תיקון - תוצאות אי-מילוי הוראות החוק), התשפ"ב-2022</t>
  </si>
  <si>
    <t xml:space="preserve"> (פ/3227/24)</t>
  </si>
  <si>
    <t xml:space="preserve">הצעת חוק הביטוח הלאומי (תיקון - דמי אבטלה בעד חופשה נצרכת ללא תשלום), התשפ"ב-2022</t>
  </si>
  <si>
    <t xml:space="preserve"> (פ/3226/24)</t>
  </si>
  <si>
    <t xml:space="preserve">הצעת חוק לעיגון מעמדה של העדה הדרוזית, התשפ"ב-2022</t>
  </si>
  <si>
    <t xml:space="preserve"> (פ/3225/24)</t>
  </si>
  <si>
    <t xml:space="preserve">הצעת חוק לתיקון פקודת התעבורה (ריבית פיגורים בשל אי תשלום קנס על עבירת חניה), התשפ"ב-2022</t>
  </si>
  <si>
    <t xml:space="preserve"> (פ/3224/24)</t>
  </si>
  <si>
    <t xml:space="preserve">הצעת חוק המים (תיקון - הנחות לבתי תפילה), התשפ"ב-2022</t>
  </si>
  <si>
    <t xml:space="preserve"> (פ/3223/24)</t>
  </si>
  <si>
    <t xml:space="preserve">הצעת חוק משק החשמל (תיקון - איסור ניתוק חשמל לצרכן ביתי), התשפ"ב-2022</t>
  </si>
  <si>
    <t xml:space="preserve"> (פ/3221/24)</t>
  </si>
  <si>
    <t xml:space="preserve">הצעת חוק העונשין (תיקון - עבירות מין בנסיבות של יחסי מטופלת ורופא נשים), התשפ"ב-2022</t>
  </si>
  <si>
    <t xml:space="preserve"> (פ/3220/24)</t>
  </si>
  <si>
    <t xml:space="preserve">הצעת חוק לתיקון פקודת המשטרה (השעיית שוטר בגין תלונה על אלימות), התשפ"ב-2022</t>
  </si>
  <si>
    <t xml:space="preserve"> (פ/3219/24)</t>
  </si>
  <si>
    <t xml:space="preserve">הצעת חוק-יסוד: קביעת פסילה לצמיתות לנבחרי ציבור בשל עבירות שיש עמן קלון (תיקוני חקיקה)</t>
  </si>
  <si>
    <t xml:space="preserve"> (פ/3218/24)</t>
  </si>
  <si>
    <t xml:space="preserve">הצעת חוק שירות המדינה (מינויים) (תיקון - העדפת מועמדים תושבי פריפריה), התשפ"ב-2022</t>
  </si>
  <si>
    <t xml:space="preserve"> (פ/3216/24)</t>
  </si>
  <si>
    <t xml:space="preserve">הצעת חוק הגנת הצרכן (תיקון - החלת חובת ההודעה על סיום עסקה מתמשכת על תאגידים בנקאיים ופיננסיים), התשפ"ב-2022</t>
  </si>
  <si>
    <t xml:space="preserve"> (פ/3215/24)</t>
  </si>
  <si>
    <t xml:space="preserve"> (פ/3214/24)</t>
  </si>
  <si>
    <t xml:space="preserve">הצעת חוק קיום בדיקת פוליגרף תקופתית לעובדי מערכת אכיפת החוק, התשפ"ב-2022</t>
  </si>
  <si>
    <t xml:space="preserve"> (פ/3213/24)</t>
  </si>
  <si>
    <t xml:space="preserve">הצעת חוק בתי המשפט (תיקון - קציבת זמן למתן פסק דין בבית המשפט העליון), התשפ"ב-2022</t>
  </si>
  <si>
    <t xml:space="preserve"> (פ/3212/24)</t>
  </si>
  <si>
    <t xml:space="preserve">הצעת חוק שוויון ההזדמנויות בעבודה (תיקון - פרסום שכר במודעה בדבר הצעת עבודה), התשפ"ב-2022</t>
  </si>
  <si>
    <t xml:space="preserve"> (פ/3211/24)</t>
  </si>
  <si>
    <t xml:space="preserve">הצעת חוק סיוע למשפחות שבראשן הורה עצמאי (תיקון - הגנה מפני עיקול של כספי סיוע), התשפ"ב-2022</t>
  </si>
  <si>
    <t xml:space="preserve"> (פ/3210/24)</t>
  </si>
  <si>
    <t xml:space="preserve"> (פ/3207/24)</t>
  </si>
  <si>
    <t xml:space="preserve">הצעת חוק משק החשמל (תיקון - תשלומי חשמל מופחתים בשל ילד עם מוגבלות), התשפ"ב-2022</t>
  </si>
  <si>
    <t xml:space="preserve"> (פ/3206/24)</t>
  </si>
  <si>
    <t xml:space="preserve">הצעת חוק הבטחת מסגרת השמה חוץ-ביתית לקטינים נזקקים, התשפ"ב-2022</t>
  </si>
  <si>
    <t xml:space="preserve"> (פ/3205/24)</t>
  </si>
  <si>
    <t xml:space="preserve">הצעת חוק שפות רשמיות, התשפ"ב-2022</t>
  </si>
  <si>
    <t xml:space="preserve"> (פ/3204/24)</t>
  </si>
  <si>
    <t xml:space="preserve">הצעת חוק החברות הממשלתיות (תיקון - ייצוג הולם בתאגידים ממשלתיים וגופים סטטוטוריים), התשפ"ב-2022</t>
  </si>
  <si>
    <t xml:space="preserve"> (פ/3203/24)</t>
  </si>
  <si>
    <t xml:space="preserve">הצעת חוק העונשין (תיקון - ביטול עבירת מרמה והפרת אמונים), התשפ"ב-2022</t>
  </si>
  <si>
    <t xml:space="preserve"> (פ/3202/24)</t>
  </si>
  <si>
    <t xml:space="preserve">הצעת חוק המועצה להשכלה גבוהה (תיקון - הקמת מוסדות להשכלה גבוהה), התשפ"ב-2022</t>
  </si>
  <si>
    <t xml:space="preserve"> (פ/3201/24)</t>
  </si>
  <si>
    <t xml:space="preserve">הצעת חוק למניעת התעמרות בעבודה, התשפ"ב-2022</t>
  </si>
  <si>
    <t xml:space="preserve"> (פ/3200/24)</t>
  </si>
  <si>
    <t xml:space="preserve">הצעת חוק להקמת אוניברסיטה ערבית ביישוב ערבי, התשפ"ב-2022</t>
  </si>
  <si>
    <t xml:space="preserve"> (פ/3199/24)</t>
  </si>
  <si>
    <t xml:space="preserve">הצעת חוק הדיינים (תיקון - ביטול כהונת נשיא מועצת הרבנות הראשית כדיין בבית הדין הרבני הגדול), התשפ"ב-2022</t>
  </si>
  <si>
    <t xml:space="preserve"> (פ/3197/24)</t>
  </si>
  <si>
    <t xml:space="preserve">הצעת חוק איסור לשון הרע (תיקון - הגברת ההגנה על שיח מכבד), התשפ"ב-2022</t>
  </si>
  <si>
    <t xml:space="preserve"> (פ/3196/24)</t>
  </si>
  <si>
    <t xml:space="preserve">הצעת חוק חינוך ממלכתי (תיקון - תוכנית ללימוד ערבית בערים מעורבות) (הוראת שעה), התשפ"ב-2022</t>
  </si>
  <si>
    <t xml:space="preserve"> (פ/3195/24)</t>
  </si>
  <si>
    <t xml:space="preserve">הצעת חוק הגנת הצרכן (תיקון - החלת חובת הודעה על סיום עסקה מתמשכת על תאגידים בנקאיים ופיננסיים), התשפ"ב-2022</t>
  </si>
  <si>
    <t xml:space="preserve"> (פ/3193/24)</t>
  </si>
  <si>
    <t xml:space="preserve">הצעת חוק הגבלת כהונה בשירות הציבורי לבעלי תפקידים בכירים, התשפ"ב-2022</t>
  </si>
  <si>
    <t xml:space="preserve"> (פ/3192/24)</t>
  </si>
  <si>
    <t xml:space="preserve">הצעת חוק לתיקון פקודת בתי הסוהר (תוכניות שיקום בערבית ומידע בשפה הערבית), התשפ"ב-2022</t>
  </si>
  <si>
    <t xml:space="preserve"> (פ/3191/24)</t>
  </si>
  <si>
    <t xml:space="preserve"> (פ/3190/24)</t>
  </si>
  <si>
    <t xml:space="preserve">הצעת חוק הסניגוריה הציבורית (תיקון - ליווי משפטי בשפת חשוד שהוא קטין), התשפ"ב-2022</t>
  </si>
  <si>
    <t xml:space="preserve"> (פ/3188/24)</t>
  </si>
  <si>
    <t xml:space="preserve">הצעת חוק-יסוד: העדה הדרוזית</t>
  </si>
  <si>
    <t xml:space="preserve"> (פ/3187/24)</t>
  </si>
  <si>
    <t xml:space="preserve"> (פ/3186/24)</t>
  </si>
  <si>
    <t xml:space="preserve"> (פ/3185/24)</t>
  </si>
  <si>
    <t xml:space="preserve">הצעת חוק הפעלת תחבורה ציבורית ביום המנוחה השבועי, התשפ"ב-2022</t>
  </si>
  <si>
    <t xml:space="preserve"> (פ/3184/24)</t>
  </si>
  <si>
    <t xml:space="preserve"> (פ/3183/24)</t>
  </si>
  <si>
    <t xml:space="preserve">הצעת חוק להגנת חיית הבר (תיקון - הרעלות), התשפ"ב-2021</t>
  </si>
  <si>
    <t xml:space="preserve"> (פ/2654/24)</t>
  </si>
  <si>
    <t xml:space="preserve">02.02.2022</t>
  </si>
  <si>
    <t xml:space="preserve">הצעת חוק הרשויות המקומיות (בחירת ראש הרשות וסגניו וכהונתם) (תיקון - סגן ראש רשות ברשות מעורבת), התשפ"ב-2021</t>
  </si>
  <si>
    <t xml:space="preserve"> (פ/2634/24)</t>
  </si>
  <si>
    <t xml:space="preserve">הצעת חוק הגנת הצרכן (תיקון - סימון תאריך ייצור ומועד תפוגה עברי), התשפ"ב-2021</t>
  </si>
  <si>
    <t xml:space="preserve"> (פ/2607/24)</t>
  </si>
  <si>
    <t xml:space="preserve">הצעת חוק להנצחת זכרם של קורבנות הטבח בחברון, התשפ"ב-2021</t>
  </si>
  <si>
    <t xml:space="preserve"> (פ/2604/24)</t>
  </si>
  <si>
    <t xml:space="preserve">הצעת חוק שירות ביטחון (תיקון - חובת פוקד לקרוא להתייצבות לשירות ביטחון), התשפ"ב-2021</t>
  </si>
  <si>
    <t xml:space="preserve"> (פ/2507/24)</t>
  </si>
  <si>
    <t xml:space="preserve">הצעת חוק לתיקון פקודת מס הכנסה (מיסוי תרומה מישות מדינית זרה), התשפ"א-2021</t>
  </si>
  <si>
    <t xml:space="preserve"> (פ/2085/24)</t>
  </si>
  <si>
    <t xml:space="preserve">הצעת חוק איסוף ופינוי פסולת למיחזור (תיקון - חובת מיחזור בבית עסק גדול), התשפ"א-2021</t>
  </si>
  <si>
    <t xml:space="preserve"> (פ/2084/24)</t>
  </si>
  <si>
    <t xml:space="preserve">הצעת חוק ביטוח בריאות ממלכתי (תיקון - צמצום פערים בין הפריפריה למרכז), התשפ"א-2021</t>
  </si>
  <si>
    <t xml:space="preserve"> (פ/2072/24)</t>
  </si>
  <si>
    <t xml:space="preserve"> (פ/436/24)</t>
  </si>
  <si>
    <t xml:space="preserve">הצעת חוק חניה לנכים (תיקון - החלטה בבקשה לתג נכה), התשפ"א-2021</t>
  </si>
  <si>
    <t xml:space="preserve"> (פ/287/24)</t>
  </si>
  <si>
    <t xml:space="preserve">הצעת חוק הדגל, הסמל והמנון המדינה (תיקון - שלילת תמיכה), התשפ"א-2021</t>
  </si>
  <si>
    <t xml:space="preserve"> (פ/126/24)</t>
  </si>
  <si>
    <t xml:space="preserve">הצעת חוק חובת יידוע והפסקת חיוב של מנוי לא פעיל (תיקוני חקיקה), התשפ"א-2021</t>
  </si>
  <si>
    <t xml:space="preserve"> (פ/107/24)</t>
  </si>
  <si>
    <t xml:space="preserve">הצעת חוק לתיקון פקודת העיריות (קיצור תקופת הפטור מתשלום ארנונה לבניין שנהרס או ניזוק), התשפ"ב-2021</t>
  </si>
  <si>
    <t xml:space="preserve"> (פ/2271/24)</t>
  </si>
  <si>
    <t xml:space="preserve">01.02.2022</t>
  </si>
  <si>
    <t xml:space="preserve">הצעת חוק להסדרת הפיקוח על כלבים (תיקון - כלבי הפקר), התשפ"ב-2021</t>
  </si>
  <si>
    <t xml:space="preserve"> (פ/2460/24)</t>
  </si>
  <si>
    <t xml:space="preserve">31.01.2022</t>
  </si>
  <si>
    <t xml:space="preserve">הצעת חוק דוד בן-גוריון (תיקון מס' 2) (מינוי נציגי יד בן-גוריון למכון), התשפ"ב–2022</t>
  </si>
  <si>
    <t xml:space="preserve"> (פ/2286/24)</t>
  </si>
  <si>
    <t xml:space="preserve"> (כ/881)</t>
  </si>
  <si>
    <t xml:space="preserve">חוק התכנית הכלכלית (תיקוני חקיקה ליישום המדיניות הכלכלית לשנות התקציב 2017 ו-2018) (תיקון מס' 6), התשפ"ב-2022 </t>
  </si>
  <si>
    <t xml:space="preserve"> (מ/1492)</t>
  </si>
  <si>
    <t xml:space="preserve">בחוק התוכנית הכלכלית לשנים 2017 ו-2018 תוקן חוק הפצת שידורים באמצעות תחנות שידור ספרתיות, התשע"ב-2012, ונקבע בו כי ספקי תוכן באינטרנט שיירשמו במרשם שתנהל המועצה לשידורי כבלים ולווין יוכלו לקבל ללא תשלום את שידוריהם של ערוצי הטלוויזיה מסוימים המופצים במערך עידן פלוס, למעט תשלום בשל זכויות יוצרים ומשדרים.  בחוק התכנית הכלכלית נקבעה הוראת מעבר לעניין ההסדר האמור, שלפיה בתקופה של חמש שנים החל ב-1.1.2017, הגופים המשדרים ערוצי טלוויזיה מסוימים (רשת, קשת ותאגיד השידור הציבורי) רשאים לגבות תשלום מספקי התוכן באינטרנט המעבירים את שידוריהם, נוסף על התשלום בשל זכויות יוצרים ומשדרים, וזאת בהתאם להסכמים שנחתמו לפני יום כניסתו לתוקף של התיקון. מאחר שתקופת המעבר הסתיימה ב-31.12.2021, ובהתחשב בכך שמשרד התקשורת מגבש בימים אלה רפורמה בתחום השידורים שאמורה להשפיע גם על שידורים באינטרנט, נקבע בתיקון מס' 6 לחוק התוכנית הכלכלית כי תוקפה של הוראת המעבר האמורה יוארך עד ל-1.10.2022, וכי שר התקשורת, באישור ועדת הכלכלה של הכנסת, יהיה רשאי להאריך את התקופה כאמור בתקופה אחת של שישה חודשים. החוק נכנס לתוקף ב-1.1.2022.</t>
  </si>
  <si>
    <t xml:space="preserve">חוק התוכנית להבראת כלכלת ישראל (תיקוני חקיקה להשגת יעדי התקציב והמדיניות הכלכלית לשנות הכספים 2003 ו-2004) (תיקון מס' 20), התשפ"ב-2022</t>
  </si>
  <si>
    <t xml:space="preserve"> (מ/1499)</t>
  </si>
  <si>
    <t xml:space="preserve">החוק קובע כי ההיטל על העסקת עובדים זרים בשיעור 20%-15% מסך ההכנסה של העובד, אשר מעסיק של עובד זר נדרש לשלם – בטל, וזאת לגבי הכנסת עובד זר שהופקה או שנצמחה בשנת 2022 ואילך.  </t>
  </si>
  <si>
    <t xml:space="preserve">הצעת חוק הכנסת (תיקון - שפת הדיבור בכנסת), התשפ"ב-2022</t>
  </si>
  <si>
    <t xml:space="preserve"> (פ/3181/24)</t>
  </si>
  <si>
    <t xml:space="preserve">הצעת חוק הגנת הפרטיות (תיקון - חיזוק הזכות לפרטיות וההגנה עליה), התשפ"ב-2022</t>
  </si>
  <si>
    <t xml:space="preserve"> (פ/3179/24)</t>
  </si>
  <si>
    <t xml:space="preserve">הצעת חוק חובת המכרזים (תיקון - מתן העדפה לתושבים במכרזי רשות מקומית המצויה באזור עדיפות לאומית), התשפ"ב-2022</t>
  </si>
  <si>
    <t xml:space="preserve"> (פ/3178/24)</t>
  </si>
  <si>
    <t xml:space="preserve"> (פ/3177/24)</t>
  </si>
  <si>
    <t xml:space="preserve"> (פ/3176/24)</t>
  </si>
  <si>
    <t xml:space="preserve">הצעת חוק לתיקון פקודת הנישואין והגירושין (רישום) (הסכם קדם נישואין), התשפ"ב-2022</t>
  </si>
  <si>
    <t xml:space="preserve"> (פ/3175/24)</t>
  </si>
  <si>
    <t xml:space="preserve">הצעת חוק העונשין (תיקון - פטור מריביות), התשפ"ב-2022</t>
  </si>
  <si>
    <t xml:space="preserve"> (פ/3174/24)</t>
  </si>
  <si>
    <t xml:space="preserve">הצעת חוק חובת המכרזים (תיקון - הגברת עידוד נשים בעסקים), התשפ"ב-2022</t>
  </si>
  <si>
    <t xml:space="preserve"> (פ/3173/24)</t>
  </si>
  <si>
    <t xml:space="preserve">הצעת חוק פיקוח על מחירי מצרכים ושירותים (תיקון - פיקוח על מחירי בדיקת אנטיגן), התשפ"ב-2022</t>
  </si>
  <si>
    <t xml:space="preserve"> (פ/3172/24)</t>
  </si>
  <si>
    <t xml:space="preserve">הצעת חוק הגנת הצרכן (תיקון - צמצום בזבוז מזון שתוקפו עומד לפוג ברשתות הקמעונאות הגדולות), התשפ"ב-2022</t>
  </si>
  <si>
    <t xml:space="preserve"> (פ/3171/24)</t>
  </si>
  <si>
    <t xml:space="preserve">הצעת חוק חובת הכללת אזהרה בפרסום טיפולי המרה לשינוי נטייה מינית, התשפ"ב-2022</t>
  </si>
  <si>
    <t xml:space="preserve"> (פ/3170/24)</t>
  </si>
  <si>
    <t xml:space="preserve"> (פ/3169/24)</t>
  </si>
  <si>
    <t xml:space="preserve"> (פ/3168/24)</t>
  </si>
  <si>
    <t xml:space="preserve">הצעת חוק חובת פרסום מידע על תלונות הציבור ודוח ביקורת פנימית (תיקוני חקיקה), התשפ"ב-2022 </t>
  </si>
  <si>
    <t xml:space="preserve"> (פ/3166/24)</t>
  </si>
  <si>
    <t xml:space="preserve">הצעת חוק הגנת הצרכן (תיקון - איסור גביית עמלה בעסקה שבוצעה באמצעות האינטרנט), התשפ"ב-2022</t>
  </si>
  <si>
    <t xml:space="preserve"> (פ/3164/24)</t>
  </si>
  <si>
    <t xml:space="preserve">הצעת חוק הבחירות לכנסת (תיקון - החמרת ענישה עקב פגיעה בטוהר הבחירות), התשפ"ב-2022</t>
  </si>
  <si>
    <t xml:space="preserve"> (פ/3163/24)</t>
  </si>
  <si>
    <t xml:space="preserve">הצעת חוק יום לציון תשעה באב, התשפ"ב-2022</t>
  </si>
  <si>
    <t xml:space="preserve"> (פ/3161/24)</t>
  </si>
  <si>
    <t xml:space="preserve">הצעת חוק שיפוט בתי דין רבניים (נישואין וגירושין) (תיקון - הגבלת משך זמן ההליך), התשפ"ב-2022</t>
  </si>
  <si>
    <t xml:space="preserve"> (פ/3160/24)</t>
  </si>
  <si>
    <t xml:space="preserve">הצעת חוק עבודת נשים (תיקון - הארכת תקופת לידה והורות בתשלום), התשפ"ב-2022</t>
  </si>
  <si>
    <t xml:space="preserve"> (פ/3159/24)</t>
  </si>
  <si>
    <t xml:space="preserve">הצעת חוק איסור הפליה במוצרים, בשירותים ובכניסה למקומות בידור ולמקומות ציבוריים (תיקון - איסור הפליה בשל הובלת עגלת ילדים), התשפ"ב-2022</t>
  </si>
  <si>
    <t xml:space="preserve"> (פ/3158/24)</t>
  </si>
  <si>
    <t xml:space="preserve">הצעת חוק לתיקון פקודת הראיות (פסילת ראיה שהושגה שלא כדין), התשפ"ב-2022</t>
  </si>
  <si>
    <t xml:space="preserve"> (פ/3157/24)</t>
  </si>
  <si>
    <t xml:space="preserve">הצעת חוק העונשין (תיקון - סחר בבני אדם למטרות נישואין), התשפ"ב-2022</t>
  </si>
  <si>
    <t xml:space="preserve"> (פ/3156/24)</t>
  </si>
  <si>
    <t xml:space="preserve">הצעת חוק-יסוד: השפיטה (תיקון - הגבלת ערעורים של המדינה על פסקי דין פליליים) </t>
  </si>
  <si>
    <t xml:space="preserve"> (פ/3155/24)</t>
  </si>
  <si>
    <t xml:space="preserve">הצעת חוק העונשין (תיקון - הגדרת בן דוד כאחראי על קטין או על חסר ישע), התשפ"ב-2022</t>
  </si>
  <si>
    <t xml:space="preserve"> (פ/3154/24)</t>
  </si>
  <si>
    <t xml:space="preserve">הצעת חוק החברות הממשלתיות (תיקון - מינוי הוועדה לבדיקת מינויים וסמכויותיה), התשפ"ב-2022</t>
  </si>
  <si>
    <t xml:space="preserve"> (פ/3153/24)</t>
  </si>
  <si>
    <t xml:space="preserve">הצעת חוק הבחירות (דרכי תעמולה) (תיקון - שקיפות מודעות בחירות בעולם הדיגיטלי), התשפ"ב-2021</t>
  </si>
  <si>
    <t xml:space="preserve"> (פ/3152/24)</t>
  </si>
  <si>
    <t xml:space="preserve">הצעת חוק העונשין (תיקון - פיקוח הכנסת על הגרלות הפיס), התשפ"ב-2022</t>
  </si>
  <si>
    <t xml:space="preserve"> (פ/3151/24)</t>
  </si>
  <si>
    <t xml:space="preserve">הצעת חוק פיקוח על מחירי מצרכים ושירותים (תיקון - פיקוח על מחירי מוצרים בסיסיים במתחמי שירות חיוניים), התשפ"ב-2022</t>
  </si>
  <si>
    <t xml:space="preserve"> (פ/3150/24)</t>
  </si>
  <si>
    <t xml:space="preserve">הצעת חוק הירושה (תיקון - צוואה בהקלטה חזותית), התשפ"ב-2022</t>
  </si>
  <si>
    <t xml:space="preserve"> (פ/3149/24)</t>
  </si>
  <si>
    <t xml:space="preserve">הצעת חוק שוויון ההזדמנויות בעבודה (תיקון - עצמאות נציבות שוויון הזדמנויות בעבודה), התשפ"ב-2022</t>
  </si>
  <si>
    <t xml:space="preserve"> (פ/3148/24)</t>
  </si>
  <si>
    <t xml:space="preserve"> (פ/3147/24)</t>
  </si>
  <si>
    <t xml:space="preserve">הצעת חוק הכשרות לאנשי מקצוע בתחום הבריאות בנושא מגדר ונטייה מינית, התשפ"ב-2022</t>
  </si>
  <si>
    <t xml:space="preserve"> (פ/3146/24)</t>
  </si>
  <si>
    <t xml:space="preserve">הצעת חוק התכנון והבנייה (תיקון - ביטול התניית חיבור לחשמל, מים וטלפון באישור תאגיד המים), התשפ"ב-2022</t>
  </si>
  <si>
    <t xml:space="preserve"> (פ/3145/24)</t>
  </si>
  <si>
    <t xml:space="preserve">הצעת חוק הכניסה לישראל (תיקון - הארכת היתר ישיבה ומתן רישיון לישיבת קבע לקורבנות סחר בבני אדם), התשפ"ב-2022</t>
  </si>
  <si>
    <t xml:space="preserve"> (פ/3144/24)</t>
  </si>
  <si>
    <t xml:space="preserve"> (פ/3143/24)</t>
  </si>
  <si>
    <t xml:space="preserve">הצעת חוק הביטוח הלאומי (תיקון - גמלה בשל דיכאון לאחר לידה), התשפ"ב-2022</t>
  </si>
  <si>
    <t xml:space="preserve"> (פ/3141/24)</t>
  </si>
  <si>
    <t xml:space="preserve">הצעת חוק להנצחת מורשת המחתרות, התשפ"ב-2021</t>
  </si>
  <si>
    <t xml:space="preserve"> (פ/3140/24)</t>
  </si>
  <si>
    <t xml:space="preserve"> (פ/3139/24)</t>
  </si>
  <si>
    <t xml:space="preserve">הצעת חוק המקרקעין (תיקון - עישון בבית משותף הפוגע בשכנים), התשפ''ב-2022</t>
  </si>
  <si>
    <t xml:space="preserve"> (פ/3137/24)</t>
  </si>
  <si>
    <t xml:space="preserve">הצעת חוק בתי המשפט (תיקון - שקיפות הליכים משפטיים), התשפ"ב-2022</t>
  </si>
  <si>
    <t xml:space="preserve"> (פ/3136/24)</t>
  </si>
  <si>
    <t xml:space="preserve">הצעת חוק הביטוח הלאומי (תיקון - הודעה לפני גביית חוב), התשפ"ב-2022</t>
  </si>
  <si>
    <t xml:space="preserve"> (פ/3135/24)</t>
  </si>
  <si>
    <t xml:space="preserve">הצעת חוק נאמני שואה במשרדי ממשלה, התשפ"ב-2022 </t>
  </si>
  <si>
    <t xml:space="preserve"> (פ/3134/24)</t>
  </si>
  <si>
    <t xml:space="preserve"> (פ/3133/24)</t>
  </si>
  <si>
    <t xml:space="preserve">הצעת חוק התכנון והבנייה (תיקון - שילוב נציגי משרד הבריאות וחובת תסקיר השפעה על הבריאות), התשפ"ב-2022</t>
  </si>
  <si>
    <t xml:space="preserve"> (פ/3131/24)</t>
  </si>
  <si>
    <t xml:space="preserve">הצעת חוק הביטוח הלאומי (תיקון - מענק לימודים עבור כל ילד), התשפ"ב-2022</t>
  </si>
  <si>
    <t xml:space="preserve"> (פ/3128/24)</t>
  </si>
  <si>
    <t xml:space="preserve"> (פ/3127/24)</t>
  </si>
  <si>
    <t xml:space="preserve">הצעת חוק זיכרון השואה והגבורה - יד ושם (תיקון - הנצחת גבורתם ופעילותם של יהודים שחרפו נפשם על מנת להציל את בני עמם בשטחים הכבושים על ידי הנאצים), התשפ"ב-2022</t>
  </si>
  <si>
    <t xml:space="preserve"> (פ/3126/24)</t>
  </si>
  <si>
    <t xml:space="preserve">הצעת חוק אחזקת כבישים ראשיים ברשויות מקומיות, התשפ"ב-2022</t>
  </si>
  <si>
    <t xml:space="preserve"> (פ/3125/24)</t>
  </si>
  <si>
    <t xml:space="preserve">הצעת חוק קרן לאזרחי ישראל (תיקון - ייצוג נשים במועצה), התשפ"ב-2022</t>
  </si>
  <si>
    <t xml:space="preserve"> (פ/3124/24)</t>
  </si>
  <si>
    <t xml:space="preserve">הצעת חוק תומכות חינוך במוסדות חינוך, התשפ"ב-2022</t>
  </si>
  <si>
    <t xml:space="preserve"> (פ/3123/24)</t>
  </si>
  <si>
    <t xml:space="preserve">הצעת חוק לעידוד הנקה ושמירה על אופן הזנת תינוקות, התשפ"ב-2022</t>
  </si>
  <si>
    <t xml:space="preserve"> (פ/3122/24)</t>
  </si>
  <si>
    <t xml:space="preserve">הצעת חוק להטבת נזקים והשבת עלויות טיפול רפואי בשל שימוש בטבק, התשפ"ב-2022</t>
  </si>
  <si>
    <t xml:space="preserve"> (פ/3121/24)</t>
  </si>
  <si>
    <t xml:space="preserve">הצעת חוק הסדרת העיסוק במקצועות הבריאות (תיקון - פעולות ייחודיות למחזיקי תעודת תזונאי), התשפ"ב-2022</t>
  </si>
  <si>
    <t xml:space="preserve"> (פ/3119/24)</t>
  </si>
  <si>
    <t xml:space="preserve">הצעת חוק שוויון זכויות לאנשים עם מוגבלות (תיקון - חובת נגישות באוטובוסים בין-עירוניים), התשפ"ב-2022</t>
  </si>
  <si>
    <t xml:space="preserve"> (פ/3117/24)</t>
  </si>
  <si>
    <t xml:space="preserve">הצעת חוק שירותי הדת היהודיים (תיקון - ייצוג הולם לנשים במועצות הדתיות), התשפ"ב-2022</t>
  </si>
  <si>
    <t xml:space="preserve"> (פ/3116/24)</t>
  </si>
  <si>
    <t xml:space="preserve">הצעת חוק איסור אלימות בספורט (תיקון - איסור ענישה קולקטיבית), התשפ"ב-2022</t>
  </si>
  <si>
    <t xml:space="preserve"> (פ/3115/24)</t>
  </si>
  <si>
    <t xml:space="preserve">הצעת חוק לתיקון פקודת המשטרה (הוראות בדבר פיזור אסיפה או תהלוכה), התשפ"ב-2022</t>
  </si>
  <si>
    <t xml:space="preserve"> (פ/3114/24)</t>
  </si>
  <si>
    <t xml:space="preserve">הצעת חוק שירות אזרחי (תיקון מס' 4), התשפ"ב-2022</t>
  </si>
  <si>
    <t xml:space="preserve"> (מ/1506)</t>
  </si>
  <si>
    <t xml:space="preserve">הצעת חוק המקרקעין (תיקון מס' 35) (התקנת מעלית מטעמים מיוחדים), התשפ"ב-2022</t>
  </si>
  <si>
    <t xml:space="preserve"> (מ/1508)</t>
  </si>
  <si>
    <t xml:space="preserve">חוק סמכויות מיוחדות להתמודדות עם נגיף הקורונה החדש (הוראת שעה) (תיקון מס' 11), התשפ"ב-2022</t>
  </si>
  <si>
    <t xml:space="preserve"> (מ/1461)</t>
  </si>
  <si>
    <t xml:space="preserve">25.01.2022</t>
  </si>
  <si>
    <t xml:space="preserve">במסגרת התיקון, נקבע כי במקום מצב חירום אחד שהוא תנאי להפעלת סמכויות מכוח החוק, יוגדרו שני "מצבי חירום": מצב בריאותי מיוחד ומצב חירום. בכלל זה, נמנו תנאים שדרושים על מנת שיהיה ניתן להכריז על כל אחד מהמצבים האמורים. כמו כן, נקבע אילו סמכויות הממשלה יכולה להפעיל בכל אחד מהמצבים. כמו כן, נעשו בחוק מספר תיקונים מרכזיים נוספים והם: סעיף המסמיך את הממשלה להגביל כניסה למקום אלא בהצגת בדיקת קורונה שלילית או "תו ירוק"; הסמכת ראש שירותי בריאות הציבור להורות על סגירת מוסד חינוך במידה ושהה בו אדם הנושא את נגיף הקורונה. כמו כן, במסגרת התיקון הוארך תוקף החוק עד סוף שנת 2022.</t>
  </si>
  <si>
    <t xml:space="preserve">חוק התוכנית לסיוע כלכלי (נגיף הקורונה החדש) (הוראת שעה) (תיקון מס' 7), התשפ"ב-2022</t>
  </si>
  <si>
    <t xml:space="preserve"> (מ/1501)</t>
  </si>
  <si>
    <t xml:space="preserve">נקבע כי המוסד לביטוח לאומי ישלם לעצמאים דמי בידוד בעד ימי עבודה שהפסידו בשל בידוד. סכום דמי הבידוד לעצמאי שהתחסן, מנוע מלהתחסן, החל בהתחסנות או מחלים או שהוא משגיח על ילדו שבבידוד הסכום יהיה 570 ₪ ליום בעד לא יותר משלושה ימים. הסכום לעצמאי אחר השוהה בבידוד ישולם יהיה בגובה 75% מכך. עצמאי שאינו "עובד עצמאי" בביטוח הלאומי יקבל מחצית מהסכומים האמורים, ואם הוא גם שכיר בנוסף להיותו עצמאי, הוא יהיה זכאי לדמי בידוד רק כשכיר. עצמאי שכן נחשב "עובד עצמאי" והוא גם שכיר, יהיה זכאי לדמי בידוד גם כשכיר וגם כעצמאי. גם עצמאי ששוהה בבידוד בשל חזרה מנסיעה לחו"ל לצורך עסקו או משלח ידו, יהיה זכאי לתשלום דמי הבידוד. הזכאות לדמי בידוד תחול רטרואקטיבית מיום 1 ביולי 2021, ויתאפשר להגיש בקשות במשך 180 ימים. כהוראת שעה, לתקופה שבין 21 בדצמבר 2021 לסוף ינואר 2022, העצמאים יהיו זכאים לארבעה ימי בידוד במקום שלושה ובנוסף העצמאיים יהיו זכאים לדמי בידוד בעד ימים בהם לא עבדו בשל כך שחלו בקורונה. בתקופת הוראת השעה האמורה גם שכיר יהיה זכאי לדמי בידוד בעד יום אחד נוסף ולא יופחת יום מחלה בעדו.</t>
  </si>
  <si>
    <t xml:space="preserve">הצעת חוק התכנית להבראת כלכלת ישראל (תיקוני חקיקה להשגת יעדי התקציב והמדיניות הכלכלית לשנות הכספים 2003 ו-2004) (תיקון - ביטול פרק י'), התשפ"ב-2021</t>
  </si>
  <si>
    <t xml:space="preserve"> (פ/2610/24)</t>
  </si>
  <si>
    <t xml:space="preserve">הצעת חוק לתיקון פקודת היערות (הגברת ההגנה על עצים בוגרים), התשפ"ב-2021</t>
  </si>
  <si>
    <t xml:space="preserve"> (פ/2542/24)</t>
  </si>
  <si>
    <t xml:space="preserve">24.01.2022</t>
  </si>
  <si>
    <t xml:space="preserve">הצעת חוק הרשויות המקומיות (בחירת ראש הרשות וסגניו וכהונתם) (תיקון - חסינות ממעצר לראשי רשויות ולראשי מועצות אזוריות), השתפ"ב-2022</t>
  </si>
  <si>
    <t xml:space="preserve"> (פ/3113/24)</t>
  </si>
  <si>
    <t xml:space="preserve">הצעת חוק לתיקון פקודת סדר הדין הפלילי (מעצר וחיפוש) (פסילת ראיה שהושגה מחיפוש בטלפון נייד ובחומר מחשב ללא צו), התשפ''ב-2022</t>
  </si>
  <si>
    <t xml:space="preserve"> (פ/3112/24)</t>
  </si>
  <si>
    <t xml:space="preserve"> (פ/3111/24)</t>
  </si>
  <si>
    <t xml:space="preserve">הצעת חוק המפלגות (תיקון - העלאת תנאי הסף ומניעת חברות כפולה בעת רישום מפלגה), התשפ"ב-2022</t>
  </si>
  <si>
    <t xml:space="preserve"> (פ/3110/24)</t>
  </si>
  <si>
    <t xml:space="preserve">הצעת חוק איסור לשון הרע (תיקון - חשיפת פרטי מידע של מנוי ברשת תקשורת אלקטרונית), התשפ"ב-2022</t>
  </si>
  <si>
    <t xml:space="preserve"> (פ/3109/24)</t>
  </si>
  <si>
    <t xml:space="preserve">הצעת חוק המקרקעין (תיקון - קביעת מנגנון נוסף לתשלומי ועד), התשפ"ב-2022</t>
  </si>
  <si>
    <t xml:space="preserve"> (פ/3108/24)</t>
  </si>
  <si>
    <t xml:space="preserve">הצעת חוק שיפוט בתי דין רבניים (נישואין וגירושין) (תיקון - מתן פסק דין במקרי אלימות קשים), התשפ"ב-2022</t>
  </si>
  <si>
    <t xml:space="preserve"> (פ/3106/24)</t>
  </si>
  <si>
    <t xml:space="preserve"> (פ/3105/24)</t>
  </si>
  <si>
    <t xml:space="preserve">הצעת חוק השוואת תשלומים לחיילים בודדים ילידי ישראל וחיילים בודדים שנולדו מחוץ לישראל, התשפ"ב-2022</t>
  </si>
  <si>
    <t xml:space="preserve"> (פ/3104/24)</t>
  </si>
  <si>
    <t xml:space="preserve">הצעת חוק לתיקון פקודת בתי הסוהר (חופשה מיוחדת), התשפ"ב-2022</t>
  </si>
  <si>
    <t xml:space="preserve"> (פ/3103/24)</t>
  </si>
  <si>
    <t xml:space="preserve">הצעת חוק הפיקוח על מעונות יום לפעוטות (תיקון - הרחבת הפיקוח על מעונות יום), התשפ"ב-2022 </t>
  </si>
  <si>
    <t xml:space="preserve"> (פ/3102/24)</t>
  </si>
  <si>
    <t xml:space="preserve">הצעת חוק הפיקוח על מעונות יום לפעוטות (תיקון - הרחבת הפיקוח על מעונות יום), התשפ"ב-2022</t>
  </si>
  <si>
    <t xml:space="preserve"> (פ/3101/24)</t>
  </si>
  <si>
    <t xml:space="preserve"> (פ/3099/24)</t>
  </si>
  <si>
    <t xml:space="preserve">הצעת חוק הפיקוח על מעונות (תיקון - הסדרת מעמד המטפלות במשפחתונים), התשפ"ב-2022</t>
  </si>
  <si>
    <t xml:space="preserve"> (פ/3098/24)</t>
  </si>
  <si>
    <t xml:space="preserve">הצעת חוק לתיקון פקודת התעבורה (תשלום קנס בתשלומים), התשפ"ב-2022</t>
  </si>
  <si>
    <t xml:space="preserve"> (פ/3097/24)</t>
  </si>
  <si>
    <t xml:space="preserve">הצעת חוק המועצה להשכלה גבוהה (תיקון - איסור הגבלת גיל בהרשמה למוסד להשכלה גבוהה), התשפ"ב-2022</t>
  </si>
  <si>
    <t xml:space="preserve"> (פ/3096/24)</t>
  </si>
  <si>
    <t xml:space="preserve"> (פ/3095/24)</t>
  </si>
  <si>
    <t xml:space="preserve">הצעת חוק לתיקון סדרי המינהל (החלטות והנמקות) (תיקון - קיצור זמן המענה בפניות ציבור), התשפ"ב-2022</t>
  </si>
  <si>
    <t xml:space="preserve"> (פ/3094/24)</t>
  </si>
  <si>
    <t xml:space="preserve">הצעת חוק זכויות הסטודנט (תיקון - התאמות לסטודנטית לאחר לידה), התשפ"ב-2022</t>
  </si>
  <si>
    <t xml:space="preserve"> (פ/3093/24)</t>
  </si>
  <si>
    <t xml:space="preserve"> (פ/3092/24)</t>
  </si>
  <si>
    <t xml:space="preserve">הצעת חוק זכויות הסטודנט (תיקון - איסור הפליה מטעמים של נטייה מינית וזהות מגדרית), התשפ"ב-2022</t>
  </si>
  <si>
    <t xml:space="preserve"> (פ/3091/24)</t>
  </si>
  <si>
    <t xml:space="preserve">הצעת חוק הסדרים במשק המדינה (תיקוני חקיקה להשגת יעדי התקציב) (תיקון - פטור מארנונה לנשים ששהו במקלט לנשים מוכות), התשפ"ב-2022</t>
  </si>
  <si>
    <t xml:space="preserve"> (פ/3090/24)</t>
  </si>
  <si>
    <t xml:space="preserve">הצעת חוק הביטוח הלאומי (תיקון - זכאות פדיון סכום החיסכון הצבור הכולל לחייל בודד), התשפ"ב-2022</t>
  </si>
  <si>
    <t xml:space="preserve"> (פ/3088/24)</t>
  </si>
  <si>
    <t xml:space="preserve">הצעת חוק חובת הקמת בית חולים בעיר דימונה, התשפ"ב-2022</t>
  </si>
  <si>
    <t xml:space="preserve"> (פ/3087/24)</t>
  </si>
  <si>
    <t xml:space="preserve">הצעת חוק הנכים (תגמולים ושיקום) (תיקון - הגבלת שכר טרחת עורך דין), התשפ"ב-2022</t>
  </si>
  <si>
    <t xml:space="preserve"> (פ/3086/24)</t>
  </si>
  <si>
    <t xml:space="preserve">הצעת חוק העונשין (תיקון - איסור צריכת חומר תועבה), התשפ"ב-2022</t>
  </si>
  <si>
    <t xml:space="preserve"> (פ/3085/24)</t>
  </si>
  <si>
    <t xml:space="preserve">הצעת חוק קביעת הזמן (תיקון - ביטול שעון חורף), התשפ"ב-2022</t>
  </si>
  <si>
    <t xml:space="preserve"> (פ/3084/24)</t>
  </si>
  <si>
    <t xml:space="preserve"> (פ/3083/24)</t>
  </si>
  <si>
    <t xml:space="preserve">הצעת חוק הכניסה לישראל (תיקון - אי-מתן אשרה ורישיון ישיבה לאדם או לארגון ניאו-נאצי), התשפ"ב-2022</t>
  </si>
  <si>
    <t xml:space="preserve"> (פ/3082/24)</t>
  </si>
  <si>
    <t xml:space="preserve">הצעת חוק חינוך ממלכתי (תיקון - חובת לימוד ערבית), התשפ"ב-2022</t>
  </si>
  <si>
    <t xml:space="preserve"> (פ/3081/24)</t>
  </si>
  <si>
    <t xml:space="preserve">הצעת חוק זכרון השואה והגבורה - יד ושם (תיקון - השתתפות המדינה בתקציב יד ושם), התשפ"ב-2022</t>
  </si>
  <si>
    <t xml:space="preserve"> (פ/3080/24)</t>
  </si>
  <si>
    <t xml:space="preserve">הצעת חוק עבודת נשים (תיקון - חישוב ימי מחלה בזמן היריון), התשפ"ב-2022</t>
  </si>
  <si>
    <t xml:space="preserve"> (פ/3079/24)</t>
  </si>
  <si>
    <t xml:space="preserve">הצעת חוק התכנון והבנייה (תיקון - חובת התקנת תשתית טעינה לרכב חשמל), התשפ"ב-2022</t>
  </si>
  <si>
    <t xml:space="preserve"> (פ/3078/24)</t>
  </si>
  <si>
    <t xml:space="preserve">הצעת חוק מתן סיוע ריאלי בשכר דירה לזכאים, התשפ"ב-2022</t>
  </si>
  <si>
    <t xml:space="preserve"> (פ/3076/24)</t>
  </si>
  <si>
    <t xml:space="preserve">הצעת חוק זכויות הדייר בדיור הציבורי (תיקון - חובות חברה לדיור ציבורי), התשפ"ב-2022</t>
  </si>
  <si>
    <t xml:space="preserve"> (פ/3075/24)</t>
  </si>
  <si>
    <t xml:space="preserve">הצעת חוק ביטוח בריאות ממלכתי (תיקון - החזר דמי נסיעות והסעות), התשפ"ב-2022</t>
  </si>
  <si>
    <t xml:space="preserve"> (פ/3074/24)</t>
  </si>
  <si>
    <t xml:space="preserve"> (פ/3072/24)</t>
  </si>
  <si>
    <t xml:space="preserve">הצעת חוק למניעת מפגעים (תיקון - עידוד הפחתת שימוש בזיקוקי דינור), התשפ"ב-2022</t>
  </si>
  <si>
    <t xml:space="preserve"> (פ/3071/24)</t>
  </si>
  <si>
    <t xml:space="preserve">הצעת חוק הביטוח הלאומי (תיקון - דמי אבטלה לעצמאים בתקופת הקורונה) (הוראת שעה), התשפ"ב-2022</t>
  </si>
  <si>
    <t xml:space="preserve"> (פ/3069/24)</t>
  </si>
  <si>
    <t xml:space="preserve">הצעת חוק המוסד העליון ללשון העברית (תיקון - מעמד החלטות המוסד וועדת השמות הממשלתית), התשפ"ב-2022</t>
  </si>
  <si>
    <t xml:space="preserve"> (פ/3068/24)</t>
  </si>
  <si>
    <t xml:space="preserve">הצעת חוק חינוך ממלכתי (תיקון - שלילת תקצוב בשל הפליה וקביעת אזורי רישום), התשפ"ב-2022</t>
  </si>
  <si>
    <t xml:space="preserve"> (פ/3067/24)</t>
  </si>
  <si>
    <t xml:space="preserve">הצעת חוק לתיקון פקודת המסים (גבייה) (תנאים למתן כתב הרשאה וצו עיקול), התשפ"ב-2022</t>
  </si>
  <si>
    <t xml:space="preserve"> (פ/3066/24)</t>
  </si>
  <si>
    <t xml:space="preserve">הצעת חוק איסור הונאה בכשרות (תיקון מס' 4) (סמכויות אכיפה, אמצעי אכיפה מינהליים ועונשין), התשפ"ב-2022</t>
  </si>
  <si>
    <t xml:space="preserve"> (מ/1503)</t>
  </si>
  <si>
    <t xml:space="preserve">הצעת חוק איסור הלבנת הון (תיקון מס' 32) (העברת מידע מגופים ציבוריים מוסמכים), התשפ"ב-2022</t>
  </si>
  <si>
    <t xml:space="preserve"> (מ/1504)</t>
  </si>
  <si>
    <t xml:space="preserve">הצעת חוק ההוצאה לפועל (תיקון - ביטול הגבלת רישיון נהיגה), התשפ"ב-2021</t>
  </si>
  <si>
    <t xml:space="preserve"> (פ/2612/24)</t>
  </si>
  <si>
    <t xml:space="preserve">19.01.2022</t>
  </si>
  <si>
    <t xml:space="preserve"> (פ/2499/24)</t>
  </si>
  <si>
    <t xml:space="preserve">הצעת חוק ההוצאה לפועל (תיקון - ביטול הגבלת רישיון נהיגה), התשפ"א-2021</t>
  </si>
  <si>
    <t xml:space="preserve"> (פ/1849/24)</t>
  </si>
  <si>
    <t xml:space="preserve"> (פ/342/24)</t>
  </si>
  <si>
    <t xml:space="preserve">הצעת חוק חילוט תקבולי עבירה בפשיעה חקלאית, התשפ"ב-2022</t>
  </si>
  <si>
    <t xml:space="preserve"> (פ/2935/24)</t>
  </si>
  <si>
    <t xml:space="preserve">הצעת חוק איסור הפליה במוצרים, בשירותים ובכניסה למקומות בידור ולמקומות ציבוריים (תיקון - איסור הפליה בשל נשיאת נשק), התשפ"ב-2021</t>
  </si>
  <si>
    <t xml:space="preserve"> (פ/2615/24)</t>
  </si>
  <si>
    <t xml:space="preserve">הצעת חוק סדר הדין הפלילי (תיקון - הגבלת משך זמן החקירה המשטרתית וחקירת הפרקליטות), התשפ"ב-2021</t>
  </si>
  <si>
    <t xml:space="preserve"> (פ/2598/24)</t>
  </si>
  <si>
    <t xml:space="preserve">הצעת חוק להסדרת המגורים בשטחי מרעה, התשפ"ב-2021</t>
  </si>
  <si>
    <t xml:space="preserve"> (פ/2500/24)</t>
  </si>
  <si>
    <t xml:space="preserve">הצעת חוק ההוצאה לפועל (תיקון - מניעת עיקול כספי ערובה שהופקדו במזכירות בית המשפט למטרת שחרור ממעצר), התשפ"ב-2021</t>
  </si>
  <si>
    <t xml:space="preserve"> (פ/2482/24)</t>
  </si>
  <si>
    <t xml:space="preserve">הצעת חוק לביטול אזרחותו או תושבותו של פעיל טרור שמקבל תגמול עבור ביצוע מעשה הטרור (תיקוני חקיקה), התשפ"ב-2021</t>
  </si>
  <si>
    <t xml:space="preserve"> (פ/2421/24)</t>
  </si>
  <si>
    <t xml:space="preserve"> (פ/2350/24)</t>
  </si>
  <si>
    <t xml:space="preserve">הצעת חוק יום לציון תשעה באב, התשפ"ב-2021</t>
  </si>
  <si>
    <t xml:space="preserve"> (פ/2273/24)</t>
  </si>
  <si>
    <t xml:space="preserve">הצעת חוק הספורט (תיקון - ייצוג הולם לאוכלוסייה הערבית), התשפ"ב-2021</t>
  </si>
  <si>
    <t xml:space="preserve"> (פ/2195/24)</t>
  </si>
  <si>
    <t xml:space="preserve">הצעת חוק השמירה על המקומות הקדושים (תיקון - ייעוץ הרבנות הראשית), התשפ"א-2021</t>
  </si>
  <si>
    <t xml:space="preserve"> (פ/1889/24)</t>
  </si>
  <si>
    <t xml:space="preserve">הצעת חוק-יסוד: הממשלה (תיקון - אי מינוי ראש ממשלה ללא תעודה אקדמית או הכשרה צבאית כלוחם)</t>
  </si>
  <si>
    <t xml:space="preserve"> (פ/1819/24)</t>
  </si>
  <si>
    <t xml:space="preserve"> (פ/1749/24)</t>
  </si>
  <si>
    <t xml:space="preserve">הצעת חוק העונשין (תיקון - איסור הצבת מכונות משחק של מפעל הפיס), התשפ"א-2021</t>
  </si>
  <si>
    <t xml:space="preserve"> (פ/1105/24)</t>
  </si>
  <si>
    <t xml:space="preserve">הצעת חוק הגנת הצרכן (תיקון - החלת חובת ההודעה על סיום עסקה מתמשכת על תאגידים בנקאיים ופיננסיים), התשפ"א-2021</t>
  </si>
  <si>
    <t xml:space="preserve"> (פ/1087/24)</t>
  </si>
  <si>
    <t xml:space="preserve">הצעת חוק השבות (תיקון - זכויות בני משפחה), התשפ"א-2021</t>
  </si>
  <si>
    <t xml:space="preserve"> (פ/693/24)</t>
  </si>
  <si>
    <t xml:space="preserve">הצעת חוק לתיקון פקודת הרופאים (עבירות משמעת), התשפ"ב-2021</t>
  </si>
  <si>
    <t xml:space="preserve"> (פ/2263/24)</t>
  </si>
  <si>
    <t xml:space="preserve">18.01.2022</t>
  </si>
  <si>
    <t xml:space="preserve">הצעת חוק לתיקון פקודת מס הכנסה (הטבות מס לעולים חדשים), התשפ"ב-2021</t>
  </si>
  <si>
    <t xml:space="preserve"> (פ/2489/24)</t>
  </si>
  <si>
    <t xml:space="preserve">הצעת חוק הפיקוח על שירותים פיננסיים (ביטוח) (תיקון - היתר לשיווק ומכירה של ביטוח נסיעות לחו"ל), התשפ"ב-2022</t>
  </si>
  <si>
    <t xml:space="preserve"> (פ/3065/24)</t>
  </si>
  <si>
    <t xml:space="preserve">17.01.2022</t>
  </si>
  <si>
    <t xml:space="preserve">הצעת חוק לתיקון פקודת מס הכנסה (הטבות במס במועצות אזוריות בעלות רוב מוטב), התשפ"ב-2022</t>
  </si>
  <si>
    <t xml:space="preserve"> (פ/3063/24)</t>
  </si>
  <si>
    <t xml:space="preserve"> (פ/3062/24)</t>
  </si>
  <si>
    <t xml:space="preserve">הצעת חוק ליישוב תחת איום מיידי, התשפ"ב-2022</t>
  </si>
  <si>
    <t xml:space="preserve"> (פ/3061/24)</t>
  </si>
  <si>
    <t xml:space="preserve">הצעת חוק לתיקון פקודת העיריות (תיקון - בניין שניזוק או נהרס), התשפ"ב-2022</t>
  </si>
  <si>
    <t xml:space="preserve"> (פ/3059/24)</t>
  </si>
  <si>
    <t xml:space="preserve"> (פ/3058/24)</t>
  </si>
  <si>
    <t xml:space="preserve">הצעת חוק התכנון והבנייה (תיקון - חובת התקנת תשתית לעמדת טעינה לרכב חשמלי), התשפ"ב-2022</t>
  </si>
  <si>
    <t xml:space="preserve"> (פ/3056/24)</t>
  </si>
  <si>
    <t xml:space="preserve">הצעת חוק עיקול ותפיסה מידתיים של נכסים המוחזקים בידי צד שלישי (תיקוני חקיקה), התשפ"ב-2022</t>
  </si>
  <si>
    <t xml:space="preserve"> (פ/3055/24)</t>
  </si>
  <si>
    <t xml:space="preserve">הצעת חוק המתווכים במקרקעין (תיקון - גילוי נאות ונטל תשלום דמי תיווך), התשפ"ב-2022</t>
  </si>
  <si>
    <t xml:space="preserve"> (פ/3054/24)</t>
  </si>
  <si>
    <t xml:space="preserve">הצעת חוק התכנון והבנייה (תיקון - פיצויים בשל הפקעה), התשפ"ב-2022</t>
  </si>
  <si>
    <t xml:space="preserve"> (פ/3053/24)</t>
  </si>
  <si>
    <t xml:space="preserve">הצעת חוק התגמולים לנפגעי פעולות איבה (תיקון - פגיעה נפשית כתוצאה מפגיעות איבה רבות ותכופות), התשפ"ב-2022</t>
  </si>
  <si>
    <t xml:space="preserve"> (פ/3052/24)</t>
  </si>
  <si>
    <t xml:space="preserve">הצעת חוק מרשם האוכלוסין (תיקון - הגדרת יהודי), התשפ"ב-2022</t>
  </si>
  <si>
    <t xml:space="preserve"> (פ/3051/24)</t>
  </si>
  <si>
    <t xml:space="preserve">הצעת חוק לימוד חובה (תיקון - התאמת לוח החופשות לימי העבודה במשק), התשפ"ב-2022</t>
  </si>
  <si>
    <t xml:space="preserve"> (פ/3050/24)</t>
  </si>
  <si>
    <t xml:space="preserve">הצעת חוק למניעת העישון במקומות ציבוריים והחשיפה לעישון (תיקון - ייעול האכיפה וביטול חדרי העישון), התשפ''ב-2022</t>
  </si>
  <si>
    <t xml:space="preserve"> (פ/3049/24)</t>
  </si>
  <si>
    <t xml:space="preserve">הצעת חוק-יסוד: הכנסת (תיקון - הצבעה מרחוק לחבר הכנסת בשל היעדרות מוצדקת)</t>
  </si>
  <si>
    <t xml:space="preserve"> (פ/3048/24)</t>
  </si>
  <si>
    <t xml:space="preserve">הצעת חוק היטלי סחר ואמצעי הגנה (תיקון - אי פתיחת חקירה בשל יבוא בהיצף בשוק מונופוליסטי או ריכוזי), התשפ"ב-2022</t>
  </si>
  <si>
    <t xml:space="preserve"> (פ/3047/24)</t>
  </si>
  <si>
    <t xml:space="preserve">הצעת חוק הביטוח הלאומי (תיקון - צמצום הפער בין עובדים עצמאיים לעובדים שכירים), התשפ"ב-2022</t>
  </si>
  <si>
    <t xml:space="preserve"> (פ/3046/24)</t>
  </si>
  <si>
    <t xml:space="preserve">הצעת חוק להגברת השקיפות בפעילותם של גופים פיננסיים (תיקוני חקיקה), התשפ"ב-2022</t>
  </si>
  <si>
    <t xml:space="preserve"> (פ/3045/24)</t>
  </si>
  <si>
    <t xml:space="preserve">הצעת חוק המועצה לענף הלול (תיקון - ויסות הייצור והשיווק של תוצרת הלול), התשפ''ב-2022</t>
  </si>
  <si>
    <t xml:space="preserve"> (פ/3044/24)</t>
  </si>
  <si>
    <t xml:space="preserve">הצעת חוק למניעת הסתננות (עבירות ושיפוט) (הוראות שעה - הארכת תוקף), התשפ"ב-2022</t>
  </si>
  <si>
    <t xml:space="preserve"> (פ/3043/24)</t>
  </si>
  <si>
    <t xml:space="preserve">הצעת חוק למניעת אלימות במשפחה (תיקון - מניעת אלימות כלכלית), התשפ"ב-2022</t>
  </si>
  <si>
    <t xml:space="preserve"> (פ/3042/24)</t>
  </si>
  <si>
    <t xml:space="preserve">הצעת חוק הפסקת היריון, התשפ"ב-2022</t>
  </si>
  <si>
    <t xml:space="preserve"> (פ/3039/24)</t>
  </si>
  <si>
    <t xml:space="preserve"> (פ/3038/24)</t>
  </si>
  <si>
    <t xml:space="preserve">הצעת חוק הביטוח הלאומי (תיקון - קצבת ילדים כפולה בלידת תאומים או יותר), התשפ"ב-2022</t>
  </si>
  <si>
    <t xml:space="preserve"> (פ/3037/24)</t>
  </si>
  <si>
    <t xml:space="preserve">הצעת חוק שיקים ללא כיסוי (תיקון - מצב חירום בשל מגיפה עולמית), התשפ"ב-2022</t>
  </si>
  <si>
    <t xml:space="preserve"> (פ/3034/24)</t>
  </si>
  <si>
    <t xml:space="preserve">הצעת חוק האזרחים הוותיקים (תיקון - הנחה בארנונה לאזרח ותיק המתגורר בדירה שאינה בהחזקתו), התשפ"ב-2022</t>
  </si>
  <si>
    <t xml:space="preserve"> (פ/3033/24)</t>
  </si>
  <si>
    <t xml:space="preserve">הצעת חוק פריסת תשלום חוב ללא תוספת ריבית או אגרה, התשפ"ב-2022</t>
  </si>
  <si>
    <t xml:space="preserve"> (פ/3031/24)</t>
  </si>
  <si>
    <t xml:space="preserve">הצעת חוק שעות עבודה ומנוחה (תיקון - רישום שעות עבודה של עובדים באתרי בנייה), התשפ"ב-2022</t>
  </si>
  <si>
    <t xml:space="preserve"> (פ/3030/24)</t>
  </si>
  <si>
    <t xml:space="preserve">הצעת חוק זכויות נפגעי עבירה (תיקון - זכות נפגע עבירת מין לבחור את מין החוקר לרבות את מין מבצע העימות), התשפ"ב-2022</t>
  </si>
  <si>
    <t xml:space="preserve"> (פ/3029/24)</t>
  </si>
  <si>
    <t xml:space="preserve">הצעת חוק חינוך ממלכתי (תיקון - העסקת עובדי הוראה בחוזה אישי), התשפ"ב-2022</t>
  </si>
  <si>
    <t xml:space="preserve"> (פ/3028/24)</t>
  </si>
  <si>
    <t xml:space="preserve">הצעת חוק זכויות החולה (תיקון - הזכות למינוי מתורגמן רפואי), התשפ"ב-2022</t>
  </si>
  <si>
    <t xml:space="preserve"> (פ/3027/24)</t>
  </si>
  <si>
    <t xml:space="preserve">הצעת חוק מרשם שמות מתחם בישראל, התשפ"ב-2022</t>
  </si>
  <si>
    <t xml:space="preserve"> (פ/3026/24)</t>
  </si>
  <si>
    <t xml:space="preserve">הצעת חוק הביטוח הלאומי (תיקון - אי הפליה בשל שירות צבאי או שירות לאומי), התשפ"ב-2022</t>
  </si>
  <si>
    <t xml:space="preserve"> (פ/3025/24)</t>
  </si>
  <si>
    <t xml:space="preserve">הצעת חוק הממשלה (תיקון - חוות דעת של רשות ציבורית בענייני חקיקה), התשפ"ב-2022</t>
  </si>
  <si>
    <t xml:space="preserve"> (פ/3024/24)</t>
  </si>
  <si>
    <t xml:space="preserve">הצעת חוק טיפול בחולי נפש (תיקון - בחירת מקום אשפוז), התשפ"ב-2022</t>
  </si>
  <si>
    <t xml:space="preserve"> (פ/3023/24)</t>
  </si>
  <si>
    <t xml:space="preserve"> (פ/3022/24)</t>
  </si>
  <si>
    <t xml:space="preserve">הצעת חוק בית המשפט לענייני משפחה (תיקון - בני זוג מאותו מין), התשפ"ב-2022</t>
  </si>
  <si>
    <t xml:space="preserve"> (פ/3021/24)</t>
  </si>
  <si>
    <t xml:space="preserve">הצעת חוק כבילת עצורים ואסירים שלא כדין - עוולה אזרחית (תיקוני חקיקה), התשפ"ב-2022</t>
  </si>
  <si>
    <t xml:space="preserve"> (פ/3020/24)</t>
  </si>
  <si>
    <t xml:space="preserve">הצעת חוק זכויות חברתיות ושירותי רווחה לאנשים עם אוטיזם, התשפ"ב-2022</t>
  </si>
  <si>
    <t xml:space="preserve"> (פ/3019/24)</t>
  </si>
  <si>
    <t xml:space="preserve">הצעת חוק לתיקון פקודת העיריות (פרישה מסיעה והגבלת הזכות לכהן כיושב ראש ועדה או כסגן), התשפ"ב-2022</t>
  </si>
  <si>
    <t xml:space="preserve"> (פ/3017/24)</t>
  </si>
  <si>
    <t xml:space="preserve">הצעת חוק העונשין (תיקון - חובת דיווח של איש דת או טוען רבני), התשפ"ב-2022</t>
  </si>
  <si>
    <t xml:space="preserve"> (פ/3016/24)</t>
  </si>
  <si>
    <t xml:space="preserve"> (פ/3015/24)</t>
  </si>
  <si>
    <t xml:space="preserve">הצעת חוק הקלות במס על רכישת מכשיר ניידות מסוג קלנועית (תיקוני חקיקה), התשפ"ב-2022</t>
  </si>
  <si>
    <t xml:space="preserve"> (פ/3014/24)</t>
  </si>
  <si>
    <t xml:space="preserve"> (פ/3013/24)</t>
  </si>
  <si>
    <t xml:space="preserve">הצעת חוק התכנון והבנייה (הוראות מיוחדות לעניין יישובי מיעוטים) (הוראת שעה), התשפ"ב-2022</t>
  </si>
  <si>
    <t xml:space="preserve"> (פ/3012/24)</t>
  </si>
  <si>
    <t xml:space="preserve">הצעת חוק המרכז למורשת יהדות תוניסיה וג'רבה, התשפ"ב-2022</t>
  </si>
  <si>
    <t xml:space="preserve"> (פ/3011/24)</t>
  </si>
  <si>
    <t xml:space="preserve">הצעת חוק התכנון והבנייה (תיקון - פטור מהיטל השבחה בגין זכאות לסיוע ממשלתי בדיור), התשפ"ב-2022</t>
  </si>
  <si>
    <t xml:space="preserve"> (פ/3009/24)</t>
  </si>
  <si>
    <t xml:space="preserve">הצעת חוק הביטוח הלאומי (תיקון - קצבת תלויים לאלמן), התשפ"ב-2022</t>
  </si>
  <si>
    <t xml:space="preserve"> (פ/3008/24)</t>
  </si>
  <si>
    <t xml:space="preserve"> (פ/3007/24)</t>
  </si>
  <si>
    <t xml:space="preserve">הצעת חוק שכר מינימום (תיקון - שכר אחיד לעובד צעיר), התשפ"ב-2022</t>
  </si>
  <si>
    <t xml:space="preserve"> (פ/3006/24)</t>
  </si>
  <si>
    <t xml:space="preserve">הצעת חוק טיפול בחולי נפש (תיקון - בחירת מקום אשפוז), התשפ"ב-2022 </t>
  </si>
  <si>
    <t xml:space="preserve"> (פ/3005/24)</t>
  </si>
  <si>
    <t xml:space="preserve">הצעת חוק שירות ביטחון (תיקון מס' 25) (שילוב תלמידי ישיבות), התשפ"ב-2021 </t>
  </si>
  <si>
    <t xml:space="preserve"> (מ/1454)</t>
  </si>
  <si>
    <t xml:space="preserve">הצעת חוק לתיקון פקודת העדה הדתית (המרה) (גיור על ידי רב עיר), התשפ"ב-2021</t>
  </si>
  <si>
    <t xml:space="preserve"> (פ/2497/24)</t>
  </si>
  <si>
    <t xml:space="preserve">12.01.2022</t>
  </si>
  <si>
    <t xml:space="preserve">הצעת חוק הביטוח הלאומי (תיקון - הצמדת קצבת אזרח ותיק לשכר הממוצע במשק), התשפ"ב-2021</t>
  </si>
  <si>
    <t xml:space="preserve"> (פ/2379/24)</t>
  </si>
  <si>
    <t xml:space="preserve">הצעת חוק רשות מקרקעי ישראל (תיקון - הקצאת קרקעות בנגב ובגליל לחיילים משוחררים), התשפ"ב-2021</t>
  </si>
  <si>
    <t xml:space="preserve"> (פ/2377/24)</t>
  </si>
  <si>
    <t xml:space="preserve">הצעת חוק עוסק זעיר, התשפ"ב-2021 </t>
  </si>
  <si>
    <t xml:space="preserve"> (פ/2361/24)</t>
  </si>
  <si>
    <t xml:space="preserve">הצעת חוק מס ערך מוסף (תיקון - פטור בעת קניית דירה ראשונה לזוגות צעירים בכל הארץ), התשפ"א-2021</t>
  </si>
  <si>
    <t xml:space="preserve"> (פ/1993/24)</t>
  </si>
  <si>
    <t xml:space="preserve">הצעת חוק הביטוח הלאומי (תיקון - הצמדת קצבת אזרח ותיק לשכר הממוצע במשק), התשפ"א-2021</t>
  </si>
  <si>
    <t xml:space="preserve"> (פ/1703/24)</t>
  </si>
  <si>
    <t xml:space="preserve">הצעת חוק מס הכנסה (פטור ממס על הכנסה מהשכרת דירת מגורים) (תיקון - אי תחולת הפטור ממס על מי שהשכיר דירת מגורים לשוהים שלא כדין), התשפ"א-2021</t>
  </si>
  <si>
    <t xml:space="preserve"> (פ/1656/24)</t>
  </si>
  <si>
    <t xml:space="preserve">הצעת חוק עוסק זעיר, התשפ"א-2021</t>
  </si>
  <si>
    <t xml:space="preserve"> (פ/1644/24)</t>
  </si>
  <si>
    <t xml:space="preserve">הצעת חוק הביטוח הלאומי (תיקון - העלאת קצבת אזרח ותיק), התשפ"א-2021</t>
  </si>
  <si>
    <t xml:space="preserve"> (פ/1560/24)</t>
  </si>
  <si>
    <t xml:space="preserve">הצעת חוק תובענות ייצוגיות (תיקון - תובענה ייצוגית בשל פגיעה בפרטיות), התשפ"א-2021</t>
  </si>
  <si>
    <t xml:space="preserve"> (פ/1190/24)</t>
  </si>
  <si>
    <t xml:space="preserve">הצעת חוק לתיקון פקודת המשטרה (חובת שימוש במצלמות גוף בעת הפגנה), התשפ"א-2021</t>
  </si>
  <si>
    <t xml:space="preserve"> (פ/731/24)</t>
  </si>
  <si>
    <t xml:space="preserve">הצעת חוק הכניסה לישראל (תיקון מס' 33), התשפ"ב-2022</t>
  </si>
  <si>
    <t xml:space="preserve"> (מ/1363)</t>
  </si>
  <si>
    <t xml:space="preserve">חוק הנכים (תגמולים ושיקום) (תיקון מס' 30 והוראת שעה), התשפ"ב-2022 </t>
  </si>
  <si>
    <t xml:space="preserve"> (מ/1480)</t>
  </si>
  <si>
    <t xml:space="preserve">10.01.2022</t>
  </si>
  <si>
    <t xml:space="preserve">הצעת חוק דמי מחלה (היעדרות בשל מחלת ילד) (תיקון - היעדרות בשל חיסון ילד לנגיף הקורונה) (הוראת שעה), התשפ"ב-2021</t>
  </si>
  <si>
    <t xml:space="preserve"> (פ/2851/24)</t>
  </si>
  <si>
    <t xml:space="preserve">הצעת חוק ההוצאה לפועל (תיקון - פתיחת תביעה על סכום קצוב), התשפ"ב-2021</t>
  </si>
  <si>
    <t xml:space="preserve"> (פ/2583/24)</t>
  </si>
  <si>
    <t xml:space="preserve">חוק בתי המשפט (תיקון מס' 100), התשפ"ב-2022</t>
  </si>
  <si>
    <t xml:space="preserve"> (מ/1450)</t>
  </si>
  <si>
    <t xml:space="preserve">הוחלט לעגן סמכות בלעדית לשופטי המחלקה הכלכלית בבית המשפט המחוזי בתל אביב ובבית המשפט המחוזי בחיפה לדון בעניינים כלכליים שיקבעו על ידי שר המשפטים. </t>
  </si>
  <si>
    <t xml:space="preserve"> (פ/3004/24)</t>
  </si>
  <si>
    <t xml:space="preserve">הצעת חוק מסי מכס ובלו (שינוי התעריף) (תיקון - שינוי התעריף לתוצרת חקלאית), התשפ"ב-2022</t>
  </si>
  <si>
    <t xml:space="preserve"> (פ/3003/24)</t>
  </si>
  <si>
    <t xml:space="preserve">הצעת חוק מתן שירותי תרגום לשפות זרות במוסדות ציבוריים, התשפ"ב-2022</t>
  </si>
  <si>
    <t xml:space="preserve"> (פ/3001/24)</t>
  </si>
  <si>
    <t xml:space="preserve">הצעת חוק התחרות הכלכלית (תיקון - הכרזה על בעל מונופולין), התשפ"ב-2022</t>
  </si>
  <si>
    <t xml:space="preserve"> (פ/3000/24)</t>
  </si>
  <si>
    <t xml:space="preserve">הצעת חוק שירותי הדת היהודיים (תיקון - דין משמעתי לרבני ערים), התשפ"ב-2022</t>
  </si>
  <si>
    <t xml:space="preserve"> (פ/2999/24)</t>
  </si>
  <si>
    <t xml:space="preserve">הצעת חוק בחירות לגופים ציבוריים (תיקון - הגבלת כהונת יושב ראש ועד עובדים), התשפ"ב-2022</t>
  </si>
  <si>
    <t xml:space="preserve"> (פ/2998/24)</t>
  </si>
  <si>
    <t xml:space="preserve">הצעת חוק הפחתת הגירעון והגבלת ההוצאה התקציבית (תיקון - ביטול הגבלת ההוצאה התקציבית), התשפ"ב-2022</t>
  </si>
  <si>
    <t xml:space="preserve"> (פ/2996/24)</t>
  </si>
  <si>
    <t xml:space="preserve">הצעת חוק התכנון והבנייה (תיקון - תסקיר תחבורה ציבורית), התשפ"ב-2022</t>
  </si>
  <si>
    <t xml:space="preserve"> (פ/2995/24)</t>
  </si>
  <si>
    <t xml:space="preserve"> (פ/2993/24)</t>
  </si>
  <si>
    <t xml:space="preserve"> (פ/2992/24)</t>
  </si>
  <si>
    <t xml:space="preserve">הצעת חוק מעונות יום שיקומיים (תיקון - מספר ילדים בשלוחה), התשפ"ב-2022</t>
  </si>
  <si>
    <t xml:space="preserve"> (פ/2989/24)</t>
  </si>
  <si>
    <t xml:space="preserve">הצעת חוק העונשין (תיקון - קביעת עונש מינימום בגין נטילת דמי חסות), התשפ"ב-2022</t>
  </si>
  <si>
    <t xml:space="preserve"> (פ/2988/24)</t>
  </si>
  <si>
    <t xml:space="preserve"> (פ/2987/24)</t>
  </si>
  <si>
    <t xml:space="preserve"> (פ/2985/24)</t>
  </si>
  <si>
    <t xml:space="preserve">הצעת חוק האזרחים הוותיקים (תיקון - הקמת מרכזי מיצוי זכויות לאזרחים ותיקים), התשפ"ב-2022</t>
  </si>
  <si>
    <t xml:space="preserve"> (פ/2984/24)</t>
  </si>
  <si>
    <t xml:space="preserve">הצעת חוק הביטוח הלאומי (תיקון - קצבת תלויים וקצבת זקנה), התשפ"ב-2022</t>
  </si>
  <si>
    <t xml:space="preserve"> (פ/2983/24)</t>
  </si>
  <si>
    <t xml:space="preserve">הצעת חוק הביטוח הלאומי (תיקון - גמלה לשמירת הריון לאם שילדה פג), התשפ"ב-2022</t>
  </si>
  <si>
    <t xml:space="preserve"> (פ/2982/24)</t>
  </si>
  <si>
    <t xml:space="preserve">הצעת חוק החברות (תיקון - עניין אישי של דירקטור שהוא נציג נבחר מקרב עובדי החברה), התשפ"ב-2022</t>
  </si>
  <si>
    <t xml:space="preserve"> (פ/2981/24)</t>
  </si>
  <si>
    <t xml:space="preserve">הצעת חוק לתיקון פקודת בתי הסוהר (מתן הודעה בכתב לאסיר ולנפגעי עבירה בדבר מועד שחרור מנהלי והכנת תכנית שיקום), התשפ"ב-2022</t>
  </si>
  <si>
    <t xml:space="preserve"> (פ/2980/24)</t>
  </si>
  <si>
    <t xml:space="preserve">הצעת חוק התכנון והבנייה (תיקון - שומה מתוקנת מוסכמת), התשפ"ב-2022</t>
  </si>
  <si>
    <t xml:space="preserve"> (פ/2979/24)</t>
  </si>
  <si>
    <t xml:space="preserve">הצעת חוק הקמת מאגר מידע פיננסי בענף הביטוח ושוק ההון, התשפ"ב-2022 </t>
  </si>
  <si>
    <t xml:space="preserve"> (פ/2978/24)</t>
  </si>
  <si>
    <t xml:space="preserve">הצעת חוק-יסוד: השפיטה (תיקון - זכות עמידה בבית הדין הגבוה לצדק)</t>
  </si>
  <si>
    <t xml:space="preserve"> (פ/2977/24)</t>
  </si>
  <si>
    <t xml:space="preserve">הצעת חוק הפיקוח על שירותים פיננסיים (קופות גמל) (תיקון - הגדלת הסכום המרבי להפקדה בקופות גמל להשקעה), התשפ"ב-2022 </t>
  </si>
  <si>
    <t xml:space="preserve"> (פ/2976/24)</t>
  </si>
  <si>
    <t xml:space="preserve"> (פ/2975/24)</t>
  </si>
  <si>
    <t xml:space="preserve">הצעת חוק שירות המדינה (מינויים) (תיקון - ייצוג הולם ללוחמים), התשפ"ב-2022</t>
  </si>
  <si>
    <t xml:space="preserve"> (פ/2974/24)</t>
  </si>
  <si>
    <t xml:space="preserve">הצעת חוק המקרקעין (חיזוק בתים משותפים מפני רעידות אדמה) (תיקון - פינוי קשישים), התשפ"ב-2022</t>
  </si>
  <si>
    <t xml:space="preserve"> (פ/2973/24)</t>
  </si>
  <si>
    <t xml:space="preserve">הצעת חוק סדר הדין הפלילי (תיקון - הגבלת משך זמן להגשת כתב אישום), התשפ"ב-2022</t>
  </si>
  <si>
    <t xml:space="preserve"> (פ/2972/24)</t>
  </si>
  <si>
    <t xml:space="preserve">הצעת חוק להגנה על חיילי צה"ל וגורמים ישראלים אחרים מתלונות שווא של הרשות הפלסטינית, התשפ"ב-2022</t>
  </si>
  <si>
    <t xml:space="preserve"> (פ/2970/24)</t>
  </si>
  <si>
    <t xml:space="preserve">הצעת חוק לתיקון פקודת בתי הסוהר (שיקום אסירי אלימות במשפחה), התשפ"ב-2022</t>
  </si>
  <si>
    <t xml:space="preserve"> (פ/2969/24)</t>
  </si>
  <si>
    <t xml:space="preserve">הצעת חוק החברות (תיקון - ייצוג הולם לבני שני המינים בדירקטוריונים של חברות ציבוריות), התשפ"ב-2022</t>
  </si>
  <si>
    <t xml:space="preserve"> (פ/2968/24)</t>
  </si>
  <si>
    <t xml:space="preserve">הצעת חוק העונשין (תיקון - אחראי על קטין או חסר ישע לעניין חובת הדיווח), התשפ"ב-2022</t>
  </si>
  <si>
    <t xml:space="preserve"> (פ/2967/24)</t>
  </si>
  <si>
    <t xml:space="preserve">הצעת חוק הבנקאות (רישוי) (תיקון - הפרדה בין בנקים), התשפ"ב-2022</t>
  </si>
  <si>
    <t xml:space="preserve"> (פ/2966/24)</t>
  </si>
  <si>
    <t xml:space="preserve">הצעת חוק הענקת 'אות סן רמו', התשפ"ב-2022</t>
  </si>
  <si>
    <t xml:space="preserve"> (פ/2964/24)</t>
  </si>
  <si>
    <t xml:space="preserve">הצעת חוק חסינות חיילי צה"ל באירועים מבצעיים, התשפ"ב-2022</t>
  </si>
  <si>
    <t xml:space="preserve"> (פ/2963/24)</t>
  </si>
  <si>
    <t xml:space="preserve">הצעת חוק לתיקון פקודת הנמלים (איסור על השטת כלי שיט ועל הפלגה באופנוע ים בשכרות), התשפ"ב-2022</t>
  </si>
  <si>
    <t xml:space="preserve"> (פ/2962/24)</t>
  </si>
  <si>
    <t xml:space="preserve">הצעת חוק צער בעלי חיים (הגנה על בעלי חיים) (תיקון - המעמד המשפטי של בעלי חיים), התשפ"ב-2022</t>
  </si>
  <si>
    <t xml:space="preserve"> (פ/2961/24)</t>
  </si>
  <si>
    <t xml:space="preserve">הצעת חוק הביטוח הלאומי (תיקון - עבודה מועדפת באילת), התשפ"ב-2022</t>
  </si>
  <si>
    <t xml:space="preserve"> (פ/2960/24)</t>
  </si>
  <si>
    <t xml:space="preserve">הצעת חוק מגן דוד אדום (תיקון - הענקת שירותי רפואה מרחוק), התשפ"ב-2022</t>
  </si>
  <si>
    <t xml:space="preserve"> (פ/2959/24)</t>
  </si>
  <si>
    <t xml:space="preserve">הצעת חוק יום בריאות הנפש, התשפ"ב-2022</t>
  </si>
  <si>
    <t xml:space="preserve"> (פ/2957/24)</t>
  </si>
  <si>
    <t xml:space="preserve">הצעת חוק הגנת הצרכן (תיקון - שינוי פרטים בכרטיס טיסה או בכרטיס לשיט), התשפ"ב-2022</t>
  </si>
  <si>
    <t xml:space="preserve"> (פ/2956/24)</t>
  </si>
  <si>
    <t xml:space="preserve">הצעת חוק זכויות הדייר בדיור הציבורי (תיקון - זכאות לאם יחידנית המקבלת תשלומי מזונות מהמוסד לביטוח לאומי), התשפ"ב-2022</t>
  </si>
  <si>
    <t xml:space="preserve"> (פ/2955/24)</t>
  </si>
  <si>
    <t xml:space="preserve">הצעת חוק הרשתות החברתיות, התשפ"ב-2022</t>
  </si>
  <si>
    <t xml:space="preserve"> (פ/2954/24)</t>
  </si>
  <si>
    <t xml:space="preserve">הצעת חוק המפלגות (תיקון - הגבלת מימון עצמי של נבחרי ציבור), התשפ"ב-2022</t>
  </si>
  <si>
    <t xml:space="preserve"> (פ/2952/24)</t>
  </si>
  <si>
    <t xml:space="preserve">הצעת חוק לפיצוי עסקים בשל סגירת עסקיהם במצב חירום, התשפ"ב-2022</t>
  </si>
  <si>
    <t xml:space="preserve"> (פ/2951/24)</t>
  </si>
  <si>
    <t xml:space="preserve">הצעת חוק איסור לשון הרע (תיקון - ביזוי אדם מחמת משקל), התשפ"ב-2022</t>
  </si>
  <si>
    <t xml:space="preserve"> (פ/2950/24)</t>
  </si>
  <si>
    <t xml:space="preserve">הצעת חוק לעידוד מחקר, פיתוח וחדשנות טכנולוגית בתעשייה (תיקון - תקציב הרשות הלאומית לחדשנות טכנולוגית), התשפ"ב-2022</t>
  </si>
  <si>
    <t xml:space="preserve"> (פ/2949/24)</t>
  </si>
  <si>
    <t xml:space="preserve">הצעת חוק לתיקון פקודת מס הכנסה (זיכוי במס לגרושים ידועים בציבור), התשפ"ב-2022</t>
  </si>
  <si>
    <t xml:space="preserve"> (פ/2948/24)</t>
  </si>
  <si>
    <t xml:space="preserve">הצעת חוק לימוד חובה (תיקון - חינוך חינם לגיל הרך), התשפ"ב-2022</t>
  </si>
  <si>
    <t xml:space="preserve"> (פ/2947/24)</t>
  </si>
  <si>
    <t xml:space="preserve">הצעת חוק-יסוד: הארכת תקופת הפסילה בשל עבירות שיש עמן קלון לנבחרי ציבור (תיקוני חקיקה)</t>
  </si>
  <si>
    <t xml:space="preserve"> (פ/2946/24)</t>
  </si>
  <si>
    <t xml:space="preserve">הצעת חוק איסור הפליה במוצרים, בשירותים ובכניסה למקומות בידור ולמקומות ציבוריים (תיקון - קיום אירועי תרבות בהפרדה מגדרית בשל טעמי דת), התשפ"ב-2022</t>
  </si>
  <si>
    <t xml:space="preserve"> (פ/2945/24)</t>
  </si>
  <si>
    <t xml:space="preserve"> (פ/2944/24)</t>
  </si>
  <si>
    <t xml:space="preserve">הצעת חוק החברות הממשלתיות (תיקון - כשירות מיוחדת), התשפ"ב-2022</t>
  </si>
  <si>
    <t xml:space="preserve"> (פ/2943/24)</t>
  </si>
  <si>
    <t xml:space="preserve">הצעת חוק הבנקאות (שירות ללקוח) (תיקון - ריבית על יתרת זכות), התשפ"ב-2022</t>
  </si>
  <si>
    <t xml:space="preserve"> (פ/2942/24)</t>
  </si>
  <si>
    <t xml:space="preserve">הצעת חוק זכויות הדייר בדיור הציבורי (תיקון - הארכת תוקף זכאות לדירה ציבורית), התשפ"ב-2022</t>
  </si>
  <si>
    <t xml:space="preserve"> (פ/2941/24)</t>
  </si>
  <si>
    <t xml:space="preserve">הצעת חוק הגנה על הציבור מפני ביצוע עבירות מין (תיקון - מתן טיפול שיקום מונע ללא הרשעה), התשפ"ב-2022</t>
  </si>
  <si>
    <t xml:space="preserve"> (פ/2940/24)</t>
  </si>
  <si>
    <t xml:space="preserve">הצעת חוק הביטוח הלאומי (תיקון - הוראות לעניין עקרת בית), התשפ"ב-2022</t>
  </si>
  <si>
    <t xml:space="preserve"> (פ/2939/24)</t>
  </si>
  <si>
    <t xml:space="preserve">הצעת חוק להגנה על הציבור מפני פרסומים מסוכנים ברשת האינטרנט, התשפ"ב-2022</t>
  </si>
  <si>
    <t xml:space="preserve"> (מ/1497)</t>
  </si>
  <si>
    <t xml:space="preserve">חוק התכנון והבנייה (תיקון מס' 137 והוראת שעה), התשפ"ב-2022</t>
  </si>
  <si>
    <t xml:space="preserve"> (מ/1457)</t>
  </si>
  <si>
    <t xml:space="preserve">05.01.2022</t>
  </si>
  <si>
    <t xml:space="preserve">נקבע בחוק כי ניתן לאפשר לראש רשות מקומית, שמכהן כחבר המועצה הארצית לתכנון ובנייה, למנות כממלא מקומו את מהנדס הרשות המקומית.  כמו כן, נקבע שינוי בהרכב הקבוע של כל ועדה מיוחדת, כך שיכלול נציג של ארגוני הסביבה.  בנוסף, נקבעה בחוק זה הוראת שעה לתקופה של 27 חודשים שתאפשר הארכה נוספת, שלישית במספר, של פעולתה של ועדה מיוחדת. נקבע כי בתקופה זו, יכהנו בוועדה המיוחדת שני חברים נוספים – אחד מרשות מקומית גובלת ואחד מרשות מקומית סמוכה. כמו כן ימונה לוועדה המיוחדת משקיף מרשות סמוכה אחרת. עוד נקבע כי בתקופת ההארכה השלישית לא יהיה תוקף לפעולות הוועדה המיוחדת אם לא מונו בה הנציגים הנ"ל מסיבות שאינן תלויות בשר הפנים או אם לא מונו החברים הנוספים מרשות מקומית גובלת וסמוכה בתוך חצי שנה מיום תחילת התקופה השלישית. בנוסף, נקבע כי בתקופת הנוספת השלישית, אשר לא תעלה על שנתיים, סמכותה של הוועדה המיוחדת מוגבלת לשטח שבו קיימות תכניות שאושרו עד תום התקופה השנייה </t>
  </si>
  <si>
    <t xml:space="preserve">חוק חומרי נפץ (תיקון מס' 5), התשפ"ב-2022</t>
  </si>
  <si>
    <t xml:space="preserve"> (מ/1473)</t>
  </si>
  <si>
    <t xml:space="preserve">חוק חומרי נפץ (תיקון מס' 5), התשפ"ב-2022 אושר בקריאה השנייה והשלישית ביום 6/1/2022.  חוק חומרי נפץ נחקק בשנת 1954, והסדיר את הפיקוח על חומרי נפץ בישראל. עם זאת, הוחרגו ממנו המפעלים הביטחוניים, ובמשך עשרות שנים הם התנהלו ללא פיקוח. התיקון הנוכחי לחוק מסדיר, לראשונה, את הפיקוח על בטיחות חומרי נפץ במערכת הביטחון. החוק מסמיך את שר הביטחון לקבוע בתקנות את הוראות הבטיחות שיחולו במפעלים הביטחוניים. התקנות יותקנו לאחר התייעצות עם שרים נוספים הנוגעים בדבר – שר הפנים, שר הכלכלה והתעשייה, השר להגנת הסביבה והשר לביטחון הפנים. עוד קובע החוק, כי לצד שר הביטחון תפעל ועדה מייעצת שתייעץ לו בכל הנוגע להתקנת תקנות ובנוגע להפעלת סמכויותיו. הוועדה תקבל דיווחים מהמפקחים הבכירים ומממוני הבטיחות במפעלים אודות אמצעי אכיפה שננקטו ועל אירועי בטיחות, וכן תגיש לשר דו"ח שנתי על הפיקוח על בטיחות הפעילות בחומרי נפץ במפעלים הביטחוניים, שיכלול גם המלצות לשיפור הבטיחות ושיפור פעולות הפיקוח והאכיפה. על מנת להבטיח את עצמאותה ואת אי-תלותה של הוועדה, נקבע כי בראשה יעמוד אדם בעל תואר אקדמי שני לפחות בתחומים הנוגעים לעניין. כן נקבעה חובת דיווח שנתית של שר הביטחון לוועדת החוץ והביטחון של הכנסת על פעולות פיקוח ואכיפה במפעלים הביטחוניים ועל אירועי בטיחות שאירעו בהם. בנוסף, הוסדרה בחוק האפשרות להטלת עיצומים כספיים, ככלי מינהלי משלים לכלים הפליליים שקיימים בחוק, כאשר הסכום המרבי להטלה כעיצום הינו מיליון שקלים. לצד זאת, מקנה החוק כלים מינהליים כגון צווי בטיחות וצווי שיפור, שהמפקחים יוכלו להוציא למפעלים, ובהם יוכלו גם להורות על תיקון ליקויי בטיחות שימצאו. החוק אף מבהיר ומחדד את סמכויותיהם של המפקחים, וקובע תנאי כשירות והכשרה בסיסיים. עוד קובע החוק כי מפעלי מערכת הביטחון יהיו מחויבים במינוי ממוני בטיחות חומרי נפץ, וכן הוסדרה חובה דומה בגופים הביטחוניים (צה"ל, השב"כ, המוסד, משטרת ישראל ושירות בתי הסוהר), שאף נדרשים בקביעת פקודות או נהלים שיהיו תואמים, ככל הניתן, לתקנות שיקבע שר הביטחון. </t>
  </si>
  <si>
    <t xml:space="preserve">חוק הבחירות (דרכי תעמולה) (תיקון מס' 38), התשפ"ב-2022</t>
  </si>
  <si>
    <t xml:space="preserve"> (כ/877)</t>
  </si>
  <si>
    <t xml:space="preserve">הוחלט לעגן כהוראת קבע את הוראת השעה המסמיכה את יושב ראש ועדת הבחירות לקבוע בכל מחוז יושב ראש ועדת בחירות אזורית, שיהיה רשאי לדון בבקשות למתן צו למניעת ביצוע עבירה לפי חוק דרכי תעמולה בבחירות לרשויות המקומיות. עוד הוחלט לקבוע שיושב ראש ועדת הבחירות יהיה רשאי להורות שדיון למתן צו יתקיים במחוז שיפוט אחר בהתחשב בשיקולים המנויים. כמו כן, נקבע שהוראות סעיף 77א לחוק בתי המשפט בעניין פסלות שופט יחולו בשינויים המחויבים גם על יושב ראש ועדת הבחירות.</t>
  </si>
  <si>
    <t xml:space="preserve">הצעת חוק מימון מדיח כלים למשפחות ברוכות ילדים, התשפ"ב-2021</t>
  </si>
  <si>
    <t xml:space="preserve"> (פ/2549/24)</t>
  </si>
  <si>
    <t xml:space="preserve">הצעת חוק המועצה להשכלה גבוהה (תיקון - איסור הגבלת גיל בהרשמה למוסד להשכלה גבוהה), התשפ"ב-2021</t>
  </si>
  <si>
    <t xml:space="preserve"> (פ/2225/24)</t>
  </si>
  <si>
    <t xml:space="preserve">הצעת חוק המקרקעין (חיזוק בתים משותפים מפני רעידות אדמה) (תיקון - פינוי קשישים), התשפ"א-2021</t>
  </si>
  <si>
    <t xml:space="preserve"> (פ/2174/24)</t>
  </si>
  <si>
    <t xml:space="preserve"> (פ/2150/24)</t>
  </si>
  <si>
    <t xml:space="preserve">הצעת חוק המועצה להשכלה גבוהה (תיקון - איסור הגבלת גיל בהרשמה למוסד להשכלה גבוהה), התשפ"א-2021</t>
  </si>
  <si>
    <t xml:space="preserve"> (פ/1927/24)</t>
  </si>
  <si>
    <t xml:space="preserve">הצעת חוק השמירה על המקומות הקדושים (תיקון - שמירה על הכותל המערבי, הר הבית ומערת המכפלה), התשפ"א-2021</t>
  </si>
  <si>
    <t xml:space="preserve"> (פ/1808/24)</t>
  </si>
  <si>
    <t xml:space="preserve">הצעת חוק חינוך לשוויון מגדרי, התשפ"א-2021 </t>
  </si>
  <si>
    <t xml:space="preserve"> (פ/694/24)</t>
  </si>
  <si>
    <t xml:space="preserve">הצעת חוק חינוך ממלכתי (תיקון - חינוך לשוויון מגדרי חובה), התשפ"א-2021</t>
  </si>
  <si>
    <t xml:space="preserve"> (פ/308/24)</t>
  </si>
  <si>
    <t xml:space="preserve">הצעת חוק דיווח שנתי על מצב הטבע והמגוון הביולוגי בישראל, התשפ"א-2021</t>
  </si>
  <si>
    <t xml:space="preserve"> (פ/1886/24)</t>
  </si>
  <si>
    <t xml:space="preserve">04.01.2022</t>
  </si>
  <si>
    <t xml:space="preserve">חוק התכנון והבנייה (תיקון מס' 136), התשפ"ב-2021</t>
  </si>
  <si>
    <t xml:space="preserve"> (פ/2312/24)</t>
  </si>
  <si>
    <t xml:space="preserve"> (כ/875)</t>
  </si>
  <si>
    <t xml:space="preserve">נקבע כי שר הפנים רשאי לקבוע בצו כי הוראות סעיף 157א לחוק התכנון והבניה התשכ"ה-1965, המתנות חיבור לחשמל, מים וטלפון בקיומו של היתר בנייה ואישור איכלוס לא יחולו על מבנים המשמשים למגורים שהוקמו לפני שנת 2018 המצויים בשטח שלגביו חל הצו. צו כאמור ניתן יהיה להוציא רק אם הוגשה תכנית מפורטת לגבי אותו השטח על ידי אחד הגורמים המנויים בסעיף 1(1)(ב) לחוק או שמדובר בתכנית שהוחלט להפקידה. בקשות לצו אשר יוגשו לשר הפנים יועברו גם לוועדה המחוזית הנוגעת בדבר, אשר תעביר את חוות דעתה לעניין הבקשה תוך 45 יום מיום מסירת הבקשה. נקבע כי אם לא העבירה הוועדה המחוזית את חוות דעתה רשאי שר הפנים להחליט בבקשה גם ללא חוות הדעת.   בנוסף, נקבעו התנאים שבהם נדרש לעמוד מי שמבקש לחבר מבנה המצוי בשטח הצו לחשמל, מים או טלפון, כגון התחייבות להגשת בקשה להיתר בתוך הזמן הקבוע בהצעת החוק, וכן צירוף ערבות בנקאית לתשלום החיובים שיחולו בעת מתן ההיתר. </t>
  </si>
  <si>
    <t xml:space="preserve">הצעת חוק ארגון הפיקוח על העבודה (תיקון מס' 12), התשפ"ב-2022</t>
  </si>
  <si>
    <t xml:space="preserve"> (מ/1494)</t>
  </si>
  <si>
    <t xml:space="preserve">הצעת חוק לתיקון פקודת השותפויות (מס' 6), התשפ"ב-2022 </t>
  </si>
  <si>
    <t xml:space="preserve"> (מ/1495)</t>
  </si>
  <si>
    <t xml:space="preserve">הצעת חוק איסור שימוש בחקירה של מי שנפגע מינית, בממצאי טיפול נפשי וביומנים אישיים (תיקוני חקיקה), התשפ"א-2021</t>
  </si>
  <si>
    <t xml:space="preserve"> (פ/1860/24)</t>
  </si>
  <si>
    <t xml:space="preserve">03.01.2022</t>
  </si>
  <si>
    <t xml:space="preserve"> (פ/1187/24)</t>
  </si>
  <si>
    <t xml:space="preserve">הצעת חוק לתיקון פקודת הראיות (הסרת חיסיון), התשפ"א-2021</t>
  </si>
  <si>
    <t xml:space="preserve"> (פ/970/24)</t>
  </si>
  <si>
    <t xml:space="preserve">חוק לפינוי שדות מוקשים (תיקון – הוראת שעה) (תיקון), התשפ"ב-2022</t>
  </si>
  <si>
    <t xml:space="preserve"> (מ/1484)</t>
  </si>
  <si>
    <t xml:space="preserve">חוק לפינוי שדות מוקשים (תיקון - הוראת שעה) (תיקון), התשפ"ב-2022 אושר בקריאה השנייה והשלישית ביום 3/1/2022, וקבע כי הוראת השעה שנחקקה בשנת 2019 והסדירה פינוי שטחי נפלים תוארך באחד עשר חודשים נוספים, כך שתעמוד בתוקפה עד ה-1 בדצמבר 2022. כחלק מהארכת הוראת השעה, נקבעו בהסדר מספר תיקונים. ראשית, נקבעכי הסמכות לקבוע ששטח שיש בו נפלים יהיה מיועד לפינוי, בכל הנוגע לשטחים שהם בשימוש צה"ל, תינתן לקצין בדרגת אל"מ שמינה הרמטכ"ל לצורך כך, במקום הרמטכ"ל עצמו כפי שהיה קודם לתיקון החוק. בנוסף, מנכ"ל משרד הביטחון יהיה בעל הסמכות לגבי שטח הנמצא בשימוש של מערכת הביטחון, במקומו של שר הביטחון כפי שהתקיים עד התיקון. בנוסף, קובע החוק מנגנון שמאפשר פעילות זמנית בשדה מוקשים או בשטח נפלים, תוך שניתנת האפשרות למימון מיזם פינוי של נפלים באמצעות דמי פינוי. לפי ההסדר שאושר, הרשות תוכל לבצע פינוי של שטח סגור שבו מוקשים או נפלים, על פי בקשת חברת תשתית או גורם אזרחי אחר, כדי לאפשר פעילות זמנית בשטח מבלי להסיר את צו הסגירה, כאשר בסוף הפעילות ישוב השטח לשימושה של מערכת הביטחון. </t>
  </si>
  <si>
    <t xml:space="preserve">הצעת חוק הנוער (טיפול והשגחה) (תיקון - ביטול הגנת קטין מפני פרסומים מזיקים במקרה של טיפול ואשפוז פסיכיאטריים), התשפ"ב-2022</t>
  </si>
  <si>
    <t xml:space="preserve"> (פ/2937/24)</t>
  </si>
  <si>
    <t xml:space="preserve">הצעת חוק מרכזי חירום ושליטה ביישובים סמוכי גבול, התשפ"ב-2022</t>
  </si>
  <si>
    <t xml:space="preserve"> (פ/2936/24)</t>
  </si>
  <si>
    <t xml:space="preserve"> (פ/2934/24)</t>
  </si>
  <si>
    <t xml:space="preserve">הצעת חוק איסור הפליה במוצרים, בשירותים ובכניסה למקומות בידור ולמקומות ציבוריים (תיקון - איסור הפליה בדיור), התשפ"ב-2022</t>
  </si>
  <si>
    <t xml:space="preserve"> (פ/2933/24)</t>
  </si>
  <si>
    <t xml:space="preserve">הצעת חוק הרשויות המקומיות (פטור חיילים, נפגעי מלחמה ושוטרים מארנונה) (תיקון - הארכת תקופת פטור מארנונה לחיילים בודדים), התשפ"ב-2022</t>
  </si>
  <si>
    <t xml:space="preserve"> (פ/2932/24)</t>
  </si>
  <si>
    <t xml:space="preserve">הצעת חוק גיל פרישה (תיקון - שינוי גיל הפרישה לעובדים בענף הבניין), התשפ"ב-2022</t>
  </si>
  <si>
    <t xml:space="preserve"> (פ/2931/24)</t>
  </si>
  <si>
    <t xml:space="preserve">הצעת חוק משפחות חיילים שנספו במערכה (תגמולים ושיקום) (תיקון - המונח יתום), התשפ"ב-2022</t>
  </si>
  <si>
    <t xml:space="preserve"> (פ/2930/24)</t>
  </si>
  <si>
    <t xml:space="preserve"> (פ/2929/24)</t>
  </si>
  <si>
    <t xml:space="preserve">הצעת חוק שקיפות בתשתיות להולכה ולאחסון של נפט, התשפ"ב-2022</t>
  </si>
  <si>
    <t xml:space="preserve"> (פ/2928/24)</t>
  </si>
  <si>
    <t xml:space="preserve"> (פ/2927/24)</t>
  </si>
  <si>
    <t xml:space="preserve">הצעת חוק לתיקון פקודת מס הכנסה (חשבון השקעה), התשפ"ב-2022</t>
  </si>
  <si>
    <t xml:space="preserve"> (פ/2926/24)</t>
  </si>
  <si>
    <t xml:space="preserve">הצעת חוק החברות (תיקון - צמצום פערי השכר במשק), התשפ"ב-2022</t>
  </si>
  <si>
    <t xml:space="preserve"> (פ/2925/24)</t>
  </si>
  <si>
    <t xml:space="preserve">הצעת חוק זכויות סוציאליות לנשים נפגעות אלימות (תיקוני חקיקה), התשפ"ב-2022</t>
  </si>
  <si>
    <t xml:space="preserve"> (פ/2924/24)</t>
  </si>
  <si>
    <t xml:space="preserve">הצעת חוק המקרקעין (תיקון - רישום משכנתה), התשפ"ב-2022</t>
  </si>
  <si>
    <t xml:space="preserve"> (פ/2923/24)</t>
  </si>
  <si>
    <t xml:space="preserve">הצעת חוק זכויות נפגעי עבירה (תיקון - הרחבת זכות היידוע), התשפ"ב-2022</t>
  </si>
  <si>
    <t xml:space="preserve"> (פ/2922/24)</t>
  </si>
  <si>
    <t xml:space="preserve">הצעת חוק שירות המדינה (משמעת) (תיקון - בית הדין), התשפ"ב-2022</t>
  </si>
  <si>
    <t xml:space="preserve"> (פ/2921/24)</t>
  </si>
  <si>
    <t xml:space="preserve">הצעת חוק לטיפול בכתות פוגעניות, התשפ"ב-2022</t>
  </si>
  <si>
    <t xml:space="preserve"> (פ/2920/24)</t>
  </si>
  <si>
    <t xml:space="preserve">הצעת חוק המאבק בטרור (תיקון - קנס חובה בעקבות הרשעה בגין עבירות טרור), התשפ"ב-2022</t>
  </si>
  <si>
    <t xml:space="preserve"> (פ/2919/24)</t>
  </si>
  <si>
    <t xml:space="preserve">הצעת חוק עוסק זעיר, התשפ"ב-2022</t>
  </si>
  <si>
    <t xml:space="preserve"> (פ/2917/24)</t>
  </si>
  <si>
    <t xml:space="preserve">הצעת חוק הפסקת חברות של חבר כנסת והעברת שר וראש ממשלה מכהונתם מחמת הפרת הבטחת בחירות (תיקוני חקיקה), התשפ"ב-2022</t>
  </si>
  <si>
    <t xml:space="preserve"> (פ/2916/24)</t>
  </si>
  <si>
    <t xml:space="preserve">הצעת חוק הבחירות (דרכי תעמולה) (תיקון - יישום המלצות ועדת ביניש), התשפ"ב-2022</t>
  </si>
  <si>
    <t xml:space="preserve"> (פ/2915/24)</t>
  </si>
  <si>
    <t xml:space="preserve"> (פ/2914/24)</t>
  </si>
  <si>
    <t xml:space="preserve">הצעת חוק בתי המשפט (תיקון - צווי איסור פירסום), התשפ"ב-2022</t>
  </si>
  <si>
    <t xml:space="preserve"> (פ/2913/24)</t>
  </si>
  <si>
    <t xml:space="preserve">הצעת חוק שירות המדינה (מינויים) (תיקון - מינוי יועצים משפטיים של משרדים, היועץ המשפטי לממשלה ופרקליט המדינה), התשפ"ב-2022</t>
  </si>
  <si>
    <t xml:space="preserve"> (פ/2912/24)</t>
  </si>
  <si>
    <t xml:space="preserve"> (פ/2911/24)</t>
  </si>
  <si>
    <t xml:space="preserve">הצעת חוק התכנון והבנייה (תיקון - שינוי חלק המקרקעין המותר להפקעה ללא פיצויים), התשפ"ב-2022</t>
  </si>
  <si>
    <t xml:space="preserve"> (פ/2910/24)</t>
  </si>
  <si>
    <t xml:space="preserve">הצעת חוק פיצויי פיטורים (תיקון - התפטרות בשל השתתפות במכינה קדם צבאית), התשפ"ב-2022</t>
  </si>
  <si>
    <t xml:space="preserve"> (פ/2909/24)</t>
  </si>
  <si>
    <t xml:space="preserve"> (פ/2908/24)</t>
  </si>
  <si>
    <t xml:space="preserve"> (פ/2907/24)</t>
  </si>
  <si>
    <t xml:space="preserve"> (פ/2906/24)</t>
  </si>
  <si>
    <t xml:space="preserve"> (פ/2904/24)</t>
  </si>
  <si>
    <t xml:space="preserve"> (פ/2903/24)</t>
  </si>
  <si>
    <t xml:space="preserve">הצעת חוק התקשורת (בזק ושידורים) (תיקון - פנייה טלפונית של עוסק), התשפ"ב-2022</t>
  </si>
  <si>
    <t xml:space="preserve"> (פ/2902/24)</t>
  </si>
  <si>
    <t xml:space="preserve">הצעת חוק הסדרת תפקיד מועצת החלב והמועצה לענף הלול (תיקוני חקיקה), התשפ"ב-2022</t>
  </si>
  <si>
    <t xml:space="preserve"> (פ/2901/24)</t>
  </si>
  <si>
    <t xml:space="preserve">הצעת חוק פיצוי למי שפונה ממבנה בשל סכנה לקריסתו או בשל קריסתו, התשפ"ב-2022</t>
  </si>
  <si>
    <t xml:space="preserve"> (פ/2900/24)</t>
  </si>
  <si>
    <t xml:space="preserve">הצעת חוק חינוך מיוחד (תיקון - קביעת זמן נסיעה), התשפ"ב-2022</t>
  </si>
  <si>
    <t xml:space="preserve"> (פ/2899/24)</t>
  </si>
  <si>
    <t xml:space="preserve">הצעת חוק משק החשמל (תיקון - תעריף מופחת לבתי חולים בפריפריה), התשפ"ב-2022</t>
  </si>
  <si>
    <t xml:space="preserve"> (פ/2898/24)</t>
  </si>
  <si>
    <t xml:space="preserve">הצעת חוק צער בעלי חיים (הגנה על בעלי חיים) (תיקון - תפיסה במקום מגורים ללא צו), התשפ"ב-2022</t>
  </si>
  <si>
    <t xml:space="preserve"> (פ/2897/24)</t>
  </si>
  <si>
    <t xml:space="preserve">הצעת חוק ביטוח בריאות ממלכתי (תיקון - שירותי רפואת שיניים לילדים ממשפחות מעוטות יכולת), התשפ"ב-2022</t>
  </si>
  <si>
    <t xml:space="preserve"> (פ/2896/24)</t>
  </si>
  <si>
    <t xml:space="preserve">הצעת חוק דמי מחלה עבור מלווה בן משפחה לבדיקה רפואית (תיקוני חקיקה), התשפ"ב-2022</t>
  </si>
  <si>
    <t xml:space="preserve"> (פ/2895/24)</t>
  </si>
  <si>
    <t xml:space="preserve">הצעת חוק זכויות נפגעי עבירה (תיקון - חובת יידוע נפגעי עבירה בדבר זכויותיהם), התשפ"ב-2022</t>
  </si>
  <si>
    <t xml:space="preserve"> (פ/2894/24)</t>
  </si>
  <si>
    <t xml:space="preserve"> (פ/2893/24)</t>
  </si>
  <si>
    <t xml:space="preserve">הצעת חוק חינוך ממלכתי (תיקון - איסור תמיכה בטרור), התשפ"ב-2022</t>
  </si>
  <si>
    <t xml:space="preserve"> (פ/2892/24)</t>
  </si>
  <si>
    <t xml:space="preserve">הצעת חוק סיוע לקטינים נפגעי עבירות מין או אלימות (תיקון - טיפול נפשי לילדים נפגעי עבירות מין או אלימות במשפחה), התשפ"ב-2022</t>
  </si>
  <si>
    <t xml:space="preserve"> (פ/2891/24)</t>
  </si>
  <si>
    <t xml:space="preserve">הצעת חוק עבודת נשים (תיקון - הארכת תקופת הזכות לשעת הורות), התשפ"ב-2022</t>
  </si>
  <si>
    <t xml:space="preserve"> (פ/2890/24)</t>
  </si>
  <si>
    <t xml:space="preserve">הצעת חוק הביטוח הלאומי (תיקון - זכאות להטבות לקטועי ידיים על פי הסכם הניידות), התשפ"ב-2022</t>
  </si>
  <si>
    <t xml:space="preserve"> (פ/2889/24)</t>
  </si>
  <si>
    <t xml:space="preserve">הצעת חוק הביטוח הלאומי (תיקון - העלאת דמי לידה), התשפ"ב-2022</t>
  </si>
  <si>
    <t xml:space="preserve"> (פ/2888/24)</t>
  </si>
  <si>
    <t xml:space="preserve">הצעת חוק דמי מחלה (היעדרות בשל מחלת ילד) (תיקון - היעדרות בשל אשפוז פג), התשפ"ב-2022</t>
  </si>
  <si>
    <t xml:space="preserve"> (פ/2887/24)</t>
  </si>
  <si>
    <t xml:space="preserve">הצעת חוק העונשין (תיקון - החמרת ענישה בפשיעה חקלאית) (הוראת שעה), התשפ"ב-2022</t>
  </si>
  <si>
    <t xml:space="preserve"> (פ/2885/24)</t>
  </si>
  <si>
    <t xml:space="preserve">הצעת חוק חובת המכרזים (תיקון - עידוד עסקים קטנים ובינוניים באזור פריפריה במכרז), התשפ"ב-2022</t>
  </si>
  <si>
    <t xml:space="preserve"> (פ/2883/24)</t>
  </si>
  <si>
    <t xml:space="preserve"> (פ/2881/24)</t>
  </si>
  <si>
    <t xml:space="preserve">הצעת חוק למניעת אלימות במשפחה (תיקון - הארכת תוקף צו הגנה), התשפ"ב-2022</t>
  </si>
  <si>
    <t xml:space="preserve"> (פ/2880/24)</t>
  </si>
  <si>
    <t xml:space="preserve"> (פ/2879/24)</t>
  </si>
  <si>
    <t xml:space="preserve">הצעת חוק חדלות פירעון ושיקום כלכלי (תיקון - מתן דין קדימה לבעלי עסקים קטנים כנושים), התשפ"ב-2022</t>
  </si>
  <si>
    <t xml:space="preserve"> (פ/2878/24)</t>
  </si>
  <si>
    <t xml:space="preserve">הצעת חוק הכנסת (תיקון - הרחבת תקופת הצינון במעבר לשדלנות בכנסת), התשפ"ב-2022</t>
  </si>
  <si>
    <t xml:space="preserve"> (פ/2876/24)</t>
  </si>
  <si>
    <t xml:space="preserve">הצעת חוק הפיקוח על מעונות יום לפעוטות (תיקון - חובת החזקת ערכת עזרה ראשונה), התשפ"ב-2022</t>
  </si>
  <si>
    <t xml:space="preserve"> (פ/2875/24)</t>
  </si>
  <si>
    <t xml:space="preserve">הצעת חוק איסור הפליה במוצרים, בשירותים ובכניסה למקומות בידור ולמקומות ציבוריים (תיקון מס' 6) (פיצוי בלא הוכחת נזק), התשפ"ב-2022</t>
  </si>
  <si>
    <t xml:space="preserve"> (מ/1491)</t>
  </si>
  <si>
    <t xml:space="preserve">הצעת חוק לתיקון פקודת התעבורה (מס' 120) (תיקון מס' 3), התשפ"ב-2022</t>
  </si>
  <si>
    <t xml:space="preserve"> (מ/1493)</t>
  </si>
  <si>
    <t xml:space="preserve">הצעת חוק הביטוח הלאומי (תיקון - דמי ביטוח מופחתים לסטודנטים), התשפ"ב-2021</t>
  </si>
  <si>
    <t xml:space="preserve"> (פ/2498/24)</t>
  </si>
  <si>
    <t xml:space="preserve">29.12.2021</t>
  </si>
  <si>
    <t xml:space="preserve"> (פ/2260/24)</t>
  </si>
  <si>
    <t xml:space="preserve">הצעת חוק הביטוח הלאומי (תיקון - דמי ביטוח מופחתים לסטודנטים), התשפ"א-2021</t>
  </si>
  <si>
    <t xml:space="preserve"> (פ/1427/24)</t>
  </si>
  <si>
    <t xml:space="preserve">הצעת חוק מיסוי מקרקעין (שבח ורכישה) (תיקון - מדרגות המס על דירה יחידה ועל בניין להשכרה ובניין לשכירות מוסדית), התשפ''ב-2021</t>
  </si>
  <si>
    <t xml:space="preserve"> (פ/2706/24)</t>
  </si>
  <si>
    <t xml:space="preserve">הצעת חוק המפלגות (תיקון - הגבלת מימון עצמי של נבחרי ציבור), התשפ"ב-2021</t>
  </si>
  <si>
    <t xml:space="preserve"> (פ/2608/24)</t>
  </si>
  <si>
    <t xml:space="preserve"> (פ/2204/24)</t>
  </si>
  <si>
    <t xml:space="preserve">הצעת חוק ביטוח בריאות ממלכתי (תיקון - שירותים ותרופות בסבסוד מלא לאזרחים ותיקים), התשפ"א-2021</t>
  </si>
  <si>
    <t xml:space="preserve"> (פ/2104/24)</t>
  </si>
  <si>
    <t xml:space="preserve">הצעת חוק דמי מחלה (היעדרות בשל מחלת ילד) (תיקון - בן זוג לומד), התשפ"א-2021</t>
  </si>
  <si>
    <t xml:space="preserve"> (פ/2033/24)</t>
  </si>
  <si>
    <t xml:space="preserve">הצעת חוק לתיקון פקודת העדה הדתית (המרה) (גיור על ידי רב מקומי וראש ישיבה), התשפ"א-2021</t>
  </si>
  <si>
    <t xml:space="preserve"> (פ/1846/24)</t>
  </si>
  <si>
    <t xml:space="preserve">הצעת חוק פיקוח על מחירי מצרכים ושירותים (תיקון - הגבלת מרווחי שיווק על ירקות), התשפ"א-2021</t>
  </si>
  <si>
    <t xml:space="preserve"> (פ/1614/24)</t>
  </si>
  <si>
    <t xml:space="preserve">הצעת חוק חסינות חברי הכנסת, זכויותיהם וחובותיהם (תיקון - חסינות בפני דין פלילי של חברי הכנסת המכהנים כחברי הממשלה), התשפ"א-2021</t>
  </si>
  <si>
    <t xml:space="preserve"> (פ/1294/24)</t>
  </si>
  <si>
    <t xml:space="preserve">הצעת חוק המרכז לגביית קנסות, אגרות והוצאות (תיקון - גביית תשלום בעד חוב שטרם חלף המועד לתשלומו), התשפ"א-2021</t>
  </si>
  <si>
    <t xml:space="preserve"> (פ/820/24)</t>
  </si>
  <si>
    <t xml:space="preserve">הצעת חוק התכנית הכלכלית (תיקוני חקיקה ליישום המדיניות הכלכלית לשנות התקציב 2017 ו-2018) (תיקון מס' 6), התשפ"ב-2021 </t>
  </si>
  <si>
    <t xml:space="preserve"> (מ/1470)</t>
  </si>
  <si>
    <t xml:space="preserve">לא התקבלה בקריאה השלישית</t>
  </si>
  <si>
    <t xml:space="preserve">הצעת חוק ביטוח בריאות ממלכתי (תיקון - העברת שירותי הגמילה לאחריות קופות החולים), התשפ"א-2021</t>
  </si>
  <si>
    <t xml:space="preserve"> (פ/2155/24)</t>
  </si>
  <si>
    <t xml:space="preserve">28.12.2021</t>
  </si>
  <si>
    <t xml:space="preserve">הצעת חוק ביטוח בריאות ממלכתי (תיקון - העברת שירותי הגמילה לאחריות קופות החולים וטיפול בהתמכרויות), התשפ"א-2021</t>
  </si>
  <si>
    <t xml:space="preserve"> (פ/2041/24)</t>
  </si>
  <si>
    <t xml:space="preserve">הצעת חוק ביטוח בריאות ממלכתי (תיקון - העברת שירותי הגמילה לתוספת השנייה), התשפ"א-2021</t>
  </si>
  <si>
    <t xml:space="preserve"> (פ/1828/24)</t>
  </si>
  <si>
    <t xml:space="preserve">הצעת חוק הביטוח הלאומי (תיקון - דמי אבטלה למי שנמצא בהכשרה מקצועית) (הוראת שעה), התשפ"ב-2021</t>
  </si>
  <si>
    <t xml:space="preserve"> (פ/2663/24)</t>
  </si>
  <si>
    <t xml:space="preserve">27.12.2021</t>
  </si>
  <si>
    <t xml:space="preserve">הצעת חוק הביטוח הלאומי (תיקון - דמי אבטלה למי שנמצא בהכשרה מקצועית), התשפ"א-2021</t>
  </si>
  <si>
    <t xml:space="preserve"> (פ/1514/24)</t>
  </si>
  <si>
    <t xml:space="preserve">הצעת חוק הנכים (תגמולים ושיקום) (תיקון - ביטול מבחן הכנסה), התשפ"א-2021</t>
  </si>
  <si>
    <t xml:space="preserve"> (פ/220/24)</t>
  </si>
  <si>
    <t xml:space="preserve">הצעת חוק סמכויות מיוחדות להתמודדות עם נגיף הקורונה החדש (הוראת שעה) (תיקון מס' 11), התשפ"ב-2021 </t>
  </si>
  <si>
    <t xml:space="preserve"> (מ/1486)</t>
  </si>
  <si>
    <t xml:space="preserve">חוק לתיקון פקודת העיריות (מס' 150), התשפ"ב-2021</t>
  </si>
  <si>
    <t xml:space="preserve"> (מ/1462)</t>
  </si>
  <si>
    <t xml:space="preserve">נקבע כי הוראת השעה אשר התירה לרשויות מקומיות (עיריות ומועצות מקומיות) לפעול ולהסדיר בתחומן עניינים של שמירה, אבטחה וסדר ציבורי, וכן סמכותן להטיל אגרה או היטל שמירה בגין שירותים אלה, תהפוך להוראת קבע; כספי ההיטל או אגרת השמירה ינוהלו בחשבון נפרד, וישמשו למימון הנושאים שנקבעו בתקנות בלבד; על גזבר המועצה להגיש למועצה מדי שנה דין וחשבון על התקבולים וההוצאות שנעשו לצורך שמירה, אבטחה וסדר ציבורי בהתאם להוראות החוק. החוק קובע כי תחול חובת דיווח שנתית של שר הפנים לוועדת הפנים בעניין יישום הוראות הסעיפים האמורים וסוגי הפעילויות הממומנות בכל שנה מכספי היטל או אגרת השמירה ברשויות המקומיות השונות.</t>
  </si>
  <si>
    <t xml:space="preserve">חוק שירות ביטחון (הצבת יוצאי צבא במשטרת ישראל ובשירות בתי הסוהר) (תיקוני חקיקה) (הוראות שעה), התשפ"ב–2021</t>
  </si>
  <si>
    <t xml:space="preserve"> (מ/1481)</t>
  </si>
  <si>
    <t xml:space="preserve">חוק שירות ביטחון (הצבת יוצאי צבא במשטרת ישראל ובשירות בתי הסוהר) (תיקוני חקיקה) (הוראת שעה), התשפ"ב-2021 אושר בקריאה השנייה והשלישית ביום 28/12/2021.  החוק מאריך בשנה נוספת, עד ה-31/12/2022 שתי הוראות שעה: הוראת שעה אחת מסדירה את הצבתם ואת שירותם של חיילים ביחידות של משטרת ישראל ("שח"ם") שעיקר פעילותן קשור לביטחון המדינה ותושביה. זאת, בנוסף לשירותם של חיילים במשמר הגבול, המוסדר כהוראה קבועה בחוק שירות ביטחון. הוראת השעה השנייה מסדירה את הצבתם ואת שירותם של חיילים בבתי סוהר ובאגפים בהם מוחזקים אסירים ביטחוניים. </t>
  </si>
  <si>
    <t xml:space="preserve">הצעת חוק ארוחה חמה לתלמיד בחופשה, התשפ"ב-2021</t>
  </si>
  <si>
    <t xml:space="preserve"> (פ/2873/24)</t>
  </si>
  <si>
    <t xml:space="preserve">הצעת חוק הביטוח הלאומי (תיקון - השוואת קצבת נכות לשכר המינימום), התשפ"ב-2021</t>
  </si>
  <si>
    <t xml:space="preserve"> (פ/2872/24)</t>
  </si>
  <si>
    <t xml:space="preserve">הצעת חוק הביטוח הלאומי (תיקון - הוראות מיוחדות לעניין דמי אבטלה וכפל קצבאות) (הוראת שעה), התשפ"ב-2021</t>
  </si>
  <si>
    <t xml:space="preserve"> (פ/2870/24)</t>
  </si>
  <si>
    <t xml:space="preserve">הצעת חוק הביטוח הלאומי (תיקון - הוראות מיוחדות לעניין דמי אבטלה וכפל קצבאות) (הוראת שעה), התשפ"ב-2021 </t>
  </si>
  <si>
    <t xml:space="preserve"> (פ/2869/24)</t>
  </si>
  <si>
    <t xml:space="preserve">הצעת חוק הביטוח הלאומי (תיקון - סיווג מאמנים כמבוטחים), התשפ"ב-2021</t>
  </si>
  <si>
    <t xml:space="preserve"> (פ/2868/24)</t>
  </si>
  <si>
    <t xml:space="preserve">הצעת חוק הגנת הצרכן (תיקון - מענה אנושי בשירותים מקוונים), התשפ"ב-2021</t>
  </si>
  <si>
    <t xml:space="preserve"> (פ/2867/24)</t>
  </si>
  <si>
    <t xml:space="preserve">הצעת חוק רכזי ביטחון שוטפים צבאיים, התשפ"ב-2021</t>
  </si>
  <si>
    <t xml:space="preserve"> (פ/2866/24)</t>
  </si>
  <si>
    <t xml:space="preserve">הצעת חוק לתיקון פקודת התעבורה (פיכחון בכבישים), התשפ"ב-2021</t>
  </si>
  <si>
    <t xml:space="preserve"> (פ/2864/24)</t>
  </si>
  <si>
    <t xml:space="preserve">הצעת חוק הגנת הצרכן (תיקון - בטלות עסקה לרכישת מוצרי מזון לאחר חג הפסח), התשפ"ב-2021</t>
  </si>
  <si>
    <t xml:space="preserve"> (פ/2863/24)</t>
  </si>
  <si>
    <t xml:space="preserve">הצעת חוק הביטוח הלאומי (תיקון - חישוב דמי לידה לפי ממוצע שנת עבודה), התשפ"ב-2021</t>
  </si>
  <si>
    <t xml:space="preserve"> (פ/2862/24)</t>
  </si>
  <si>
    <t xml:space="preserve">הצעת חוק הירושה (תיקון – פסלות לרשת ועסקאות בזכות יורש שהמית את המוריש), השתפ"ג–2023</t>
  </si>
  <si>
    <t xml:space="preserve"> (פ/2861/24)</t>
  </si>
  <si>
    <t xml:space="preserve">הצעת חוק בתי המשפט (תיקון - פרסום פסיקה בענייני משפחה), התשפ"ב-2021</t>
  </si>
  <si>
    <t xml:space="preserve"> (פ/2860/24)</t>
  </si>
  <si>
    <t xml:space="preserve">הצעת חוק ההכרזה לכל באי עולם בדבר זכויות האדם, התשפ"ב-2021</t>
  </si>
  <si>
    <t xml:space="preserve"> (פ/2859/24)</t>
  </si>
  <si>
    <t xml:space="preserve"> (פ/2857/24)</t>
  </si>
  <si>
    <t xml:space="preserve"> (פ/2856/24)</t>
  </si>
  <si>
    <t xml:space="preserve">הצעת חוק המקרקעין (תיקון - התקנת תשתית ועמדת טעינה לרכב חשמלי), התשפ"ב-2021</t>
  </si>
  <si>
    <t xml:space="preserve"> (פ/2854/24)</t>
  </si>
  <si>
    <t xml:space="preserve">הצעת חוק לתיקון פקודת התעבורה (הגבלת דמי חניה בחניוני בתי חולים), התשפ"ב-2021</t>
  </si>
  <si>
    <t xml:space="preserve"> (פ/2852/24)</t>
  </si>
  <si>
    <t xml:space="preserve">הצעת חוק חובת המכרזים (תיקון - העדפת תוצרת מקומית), התשפ"ב-2021</t>
  </si>
  <si>
    <t xml:space="preserve"> (פ/2850/24)</t>
  </si>
  <si>
    <t xml:space="preserve">הצעת חוק עבודת נשים (תיקון - הארכת תקופת לידה והורות בתשלום), התשפ"ב-2021</t>
  </si>
  <si>
    <t xml:space="preserve"> (פ/2848/24)</t>
  </si>
  <si>
    <t xml:space="preserve">הצעת חוק לתיקון פקודת הרופאים (שלילת רישיון לרופא שהורשע בעבירת מין), התשפ"ב-2021</t>
  </si>
  <si>
    <t xml:space="preserve"> (פ/2847/24)</t>
  </si>
  <si>
    <t xml:space="preserve">הצעת חוק פיקוח על מחירי מצרכים ושירותים (תיקון - פיקוח על מוצרי מזון לתינוקות), התשפ"ב-2021</t>
  </si>
  <si>
    <t xml:space="preserve"> (פ/2845/24)</t>
  </si>
  <si>
    <t xml:space="preserve">הצעת חוק המכר (דירות) (תיקון – הגבלת הסכום הנקוב במפרט בשל שינוי מיקומו של פריט בדירה חדשה), התשפ"ב–2021</t>
  </si>
  <si>
    <t xml:space="preserve"> (פ/2844/24)</t>
  </si>
  <si>
    <t xml:space="preserve"> (פ/2843/24)</t>
  </si>
  <si>
    <t xml:space="preserve">הצעת חוק הגנה על עובדים בשעת חירום (תיקון - אובדן ימי עבודה בשל מצב מיוחד בעורף), התשפ"ב-2021</t>
  </si>
  <si>
    <t xml:space="preserve"> (פ/2842/24)</t>
  </si>
  <si>
    <t xml:space="preserve"> (פ/2841/24)</t>
  </si>
  <si>
    <t xml:space="preserve">הצעת חוק שירות התעסוקה (תיקון - נגישות לתחבורה ציבורית), התשפ"ב-2021</t>
  </si>
  <si>
    <t xml:space="preserve"> (פ/2839/24)</t>
  </si>
  <si>
    <t xml:space="preserve">הצעת חוק המקרקעין (תיקון - התקנת מעלית מטעמים מיוחדים), התשפ"ב-2021</t>
  </si>
  <si>
    <t xml:space="preserve"> (פ/2838/24)</t>
  </si>
  <si>
    <t xml:space="preserve"> (פ/2837/24)</t>
  </si>
  <si>
    <t xml:space="preserve">הצעת חוק אימוץ ילדים (תיקון - ביטול תנאי דת זהה לאימוץ), התשפ"ב-2021</t>
  </si>
  <si>
    <t xml:space="preserve"> (פ/2836/24)</t>
  </si>
  <si>
    <t xml:space="preserve">הצעת חוק זכויות החולה (תיקון - טיפולים וניתוחים אסתטיים בקטין), התשפ"ב-2021</t>
  </si>
  <si>
    <t xml:space="preserve"> (פ/2835/24)</t>
  </si>
  <si>
    <t xml:space="preserve">הצעת חוק הקמת מאגר מידע פיננסי בענף הביטוח ושוק ההון, התשפ"ב-2021 </t>
  </si>
  <si>
    <t xml:space="preserve"> (פ/2834/24)</t>
  </si>
  <si>
    <t xml:space="preserve">הצעת חוק לתיקון פקודת הרוקחים (שפות העלון לצרכן), התשפ"ב-2021</t>
  </si>
  <si>
    <t xml:space="preserve"> (פ/2833/24)</t>
  </si>
  <si>
    <t xml:space="preserve">הצעת חוק העונשין (תיקון - בעילה אסורה בהסכמה ומעשה סדום בנוכחות אחר), התשפ"ב-2021</t>
  </si>
  <si>
    <t xml:space="preserve"> (פ/2832/24)</t>
  </si>
  <si>
    <t xml:space="preserve">הצעת חוק הביטוח הלאומי (תיקון - העלאת קצבת הילדים), התשפ"ב-2021</t>
  </si>
  <si>
    <t xml:space="preserve"> (פ/2831/24)</t>
  </si>
  <si>
    <t xml:space="preserve">הצעת חוק השוואת זכויות פנסיה לאלמן ולאלמנה, התשפ"ב-2021</t>
  </si>
  <si>
    <t xml:space="preserve"> (פ/2830/24)</t>
  </si>
  <si>
    <t xml:space="preserve">הצעת חוק הרשות לטיפול בנפגעי הלם קרב, התשפ"ב-2021</t>
  </si>
  <si>
    <t xml:space="preserve"> (פ/2829/24)</t>
  </si>
  <si>
    <t xml:space="preserve">הצעת חוק שעות עבודה ומנוחה (תיקון - קיצור שבוע העבודה), התשפ"ב-2021</t>
  </si>
  <si>
    <t xml:space="preserve"> (פ/2827/24)</t>
  </si>
  <si>
    <t xml:space="preserve">הצעת חוק לימוד חובה (תיקון - מנהל מוסד חינוך), התשפ"ב-2021</t>
  </si>
  <si>
    <t xml:space="preserve"> (פ/2826/24)</t>
  </si>
  <si>
    <t xml:space="preserve">הצעת חוק לתיקון דיני הראיות (הגנת ילדים) (תיקון - ביצוע חקירה תוך 48 שעות), התשפ"ב-2021</t>
  </si>
  <si>
    <t xml:space="preserve"> (פ/2825/24)</t>
  </si>
  <si>
    <t xml:space="preserve">הצעת חוק קביעת הזמן (תיקון - קיצור שעון חורף), התשפ"ב-2021</t>
  </si>
  <si>
    <t xml:space="preserve"> (פ/2824/24)</t>
  </si>
  <si>
    <t xml:space="preserve">הצעת חוק הכניסה לישראל (תיקון - זכות הגישה לערכאות), התשפ"ב-2021</t>
  </si>
  <si>
    <t xml:space="preserve"> (פ/2823/24)</t>
  </si>
  <si>
    <t xml:space="preserve">הצעת חוק לתיקון פקודת העיריות (חלוקת הכנסות ממתחם הגורם למפגעים סביבתיים בין רשויות מקומיות), התשפ"ב-2021 </t>
  </si>
  <si>
    <t xml:space="preserve"> (פ/2822/24)</t>
  </si>
  <si>
    <t xml:space="preserve">הצעת חוק התכנון והבנייה (תיקון - פטור מהיטל השבחה על בניית דירת מגורים חדשה), התשפ"ב-2021</t>
  </si>
  <si>
    <t xml:space="preserve"> (פ/2821/24)</t>
  </si>
  <si>
    <t xml:space="preserve">הצעת חוק התכנון והבנייה (תיקון - חובת התקנת גלאי עשן), התשפ"ב-2021</t>
  </si>
  <si>
    <t xml:space="preserve"> (פ/2820/24)</t>
  </si>
  <si>
    <t xml:space="preserve">הצעת חוק לתיקון פקודת העיריות (צדק חלוקתי בכל הרשויות המתוקצבות במדינת ישראל), התשפ"ב-2021</t>
  </si>
  <si>
    <t xml:space="preserve"> (פ/2819/24)</t>
  </si>
  <si>
    <t xml:space="preserve"> (פ/2818/24)</t>
  </si>
  <si>
    <t xml:space="preserve">הצעת חוק לתיקון פקודת העיריות (ייצוג הולם לאוכלוסייה הערבית), התשפ"ב-2021</t>
  </si>
  <si>
    <t xml:space="preserve"> (פ/2817/24)</t>
  </si>
  <si>
    <t xml:space="preserve">הצעת חוק העונשין (תיקון - הוספת עילות לעבירות הסתה ופשע שנאה), התשפ"ב-2021</t>
  </si>
  <si>
    <t xml:space="preserve"> (פ/2816/24)</t>
  </si>
  <si>
    <t xml:space="preserve">הצעת חוק לתיקון פקודת הראיות (הסרת חיסיון), התשפ"ב-2021</t>
  </si>
  <si>
    <t xml:space="preserve"> (פ/2815/24)</t>
  </si>
  <si>
    <t xml:space="preserve">הצעת חוק המועצה להשכלה גבוהה (תיקון - ביטול חובת דרישות מבחני כניסה וציון פסיכומטרי), התשפ"ב-2021</t>
  </si>
  <si>
    <t xml:space="preserve"> (פ/2813/24)</t>
  </si>
  <si>
    <t xml:space="preserve"> (פ/2812/24)</t>
  </si>
  <si>
    <t xml:space="preserve">הצעת חוק הבטחת הכנסה (תיקון - הגדלת שווי רכב המאפשר זכאות לגמלה), התשפ"ב-2021</t>
  </si>
  <si>
    <t xml:space="preserve"> (פ/2811/24)</t>
  </si>
  <si>
    <t xml:space="preserve">הצעת חוק הפיקוח על שירותים פיננסיים (קופות גמל) (תיקון - ריבית על כספי קופות הגמל), התשפ"ב-2021</t>
  </si>
  <si>
    <t xml:space="preserve"> (פ/2810/24)</t>
  </si>
  <si>
    <t xml:space="preserve">הצעת חוק זכויות הסטודנט (תיקון - התאמות לאוכלוסייה הערבית - חגים), התשפ"ב-2021</t>
  </si>
  <si>
    <t xml:space="preserve"> (פ/2809/24)</t>
  </si>
  <si>
    <t xml:space="preserve">הצעת חוק לתיקון פקודת הראיות (פסילת ראיה), התשפ"ב-2021</t>
  </si>
  <si>
    <t xml:space="preserve"> (פ/2808/24)</t>
  </si>
  <si>
    <t xml:space="preserve">הצעת חוק ביטוח בריאות ממלכתי (תיקון - הסדרים מיוחדים עבור זרים שאינם ברי הרחקה), התשפ"ב-2021</t>
  </si>
  <si>
    <t xml:space="preserve"> (פ/2807/24)</t>
  </si>
  <si>
    <t xml:space="preserve">הצעת חוק איסור לשון הרע (תיקון - ביזוי אדם מחמת משקל), התשפ"ב-2021</t>
  </si>
  <si>
    <t xml:space="preserve"> (פ/2806/24)</t>
  </si>
  <si>
    <t xml:space="preserve">הצעת חוק ארוחה יומית לתלמיד (תיקון - הרחבת תחולת החוק), התשפ"ב-2021</t>
  </si>
  <si>
    <t xml:space="preserve"> (פ/2805/24)</t>
  </si>
  <si>
    <t xml:space="preserve"> (פ/2804/24)</t>
  </si>
  <si>
    <t xml:space="preserve">הצעת חוק שירות המדינה (מינויים) (תיקון - ייצוג הולם לבני החברה הערבית, לרבות הדרוזית והצ'רקסית), התשפ"ב-2021</t>
  </si>
  <si>
    <t xml:space="preserve"> (פ/2803/24)</t>
  </si>
  <si>
    <t xml:space="preserve">הצעת חוק זכויות הסטודנט (תיקון - ייעוץ אקדמי בערבית), התשפ"ב-2021 </t>
  </si>
  <si>
    <t xml:space="preserve"> (פ/2802/24)</t>
  </si>
  <si>
    <t xml:space="preserve">הצעת חוק הספורט (תיקון - זכויות ספורטאי בוגר), התשפ"ב-2021</t>
  </si>
  <si>
    <t xml:space="preserve"> (פ/2801/24)</t>
  </si>
  <si>
    <t xml:space="preserve">הצעת חוק כבילת עצורים ואסירים שלא כדין - עוולה אזרחית (תיקוני חקיקה), התשפ"ב-2021</t>
  </si>
  <si>
    <t xml:space="preserve"> (פ/2800/24)</t>
  </si>
  <si>
    <t xml:space="preserve">הצעת חוק ארוחת בוקר במוסדות חינוך, התשפ"ב-2021</t>
  </si>
  <si>
    <t xml:space="preserve"> (פ/2799/24)</t>
  </si>
  <si>
    <t xml:space="preserve">הצעת חוק העונשין (תיקון - תקיפת נהג אוטובוס ציבורי), התשפ"ב-2021</t>
  </si>
  <si>
    <t xml:space="preserve"> (פ/2798/24)</t>
  </si>
  <si>
    <t xml:space="preserve">הצעת חוק צער בעלי חיים (הגנה על בעלי חיים) (תיקון - ביטול כלובים בתעשיית הביצים), התשפ"ב-2021</t>
  </si>
  <si>
    <t xml:space="preserve"> (פ/2797/24)</t>
  </si>
  <si>
    <t xml:space="preserve">הצעת חוק העונשין (תיקון - אלימות במשפחה בנוכחות קטין או חסר ישע), התשפ"ב-2021</t>
  </si>
  <si>
    <t xml:space="preserve"> (פ/2795/24)</t>
  </si>
  <si>
    <t xml:space="preserve">הצעת חוק הסדרים במשק המדינה (תיקוני חקיקה להשגת יעדי התקציב) (תיקון - פטור מארנונה לנשים ששהו במקלט לנשים מוכות), התשפ"ב-2021</t>
  </si>
  <si>
    <t xml:space="preserve"> (פ/2792/24)</t>
  </si>
  <si>
    <t xml:space="preserve">הצעת חוק הגנת הצרכן (תיקון - הנגשת הודעת תשלום לצרכנים שאינם דוברי עברית), התשפ"ב-2021</t>
  </si>
  <si>
    <t xml:space="preserve"> (פ/2791/24)</t>
  </si>
  <si>
    <t xml:space="preserve"> (פ/2790/24)</t>
  </si>
  <si>
    <t xml:space="preserve">הצעת חוק הבחירות לכנסת (תיקון - חובת הגשת מצע ופרסומו), התשפ"ב-2021</t>
  </si>
  <si>
    <t xml:space="preserve"> (פ/2789/24)</t>
  </si>
  <si>
    <t xml:space="preserve">הצעת חוק לתיקון פקודת התעבורה (מס' 130), התשפ"ב-2021 </t>
  </si>
  <si>
    <t xml:space="preserve"> (מ/1488)</t>
  </si>
  <si>
    <t xml:space="preserve">הצעת חוק הפחתת תוספות פיגור שנוספו על קנסות הנגבים בידי המרכז לגביית קנסות, אגרות והוצאות (הוראת שעה), התשפ"ב-2021</t>
  </si>
  <si>
    <t xml:space="preserve"> (פ/2321/24)</t>
  </si>
  <si>
    <t xml:space="preserve">22.12.2021</t>
  </si>
  <si>
    <t xml:space="preserve">הצעת חוק לתיקון פקודת בתי הסוהר (מתן הודעה בכתב לאסיר בדבר מועד שחרור מנהלי והכנת תכנית שיקום), התשפ"א-2021</t>
  </si>
  <si>
    <t xml:space="preserve"> (פ/1884/24)</t>
  </si>
  <si>
    <t xml:space="preserve">הצעת חוק לתיקון פקודת המשטרה (הוראות בדבר פיזור אסיפה או תהלוכה), התשפ"א-2021</t>
  </si>
  <si>
    <t xml:space="preserve"> (פ/1874/24)</t>
  </si>
  <si>
    <t xml:space="preserve">הצעת חוק הממשלה (תיקון - חוות דעת של רשות ציבורית בענייני חקיקה), התשפ"א-2021</t>
  </si>
  <si>
    <t xml:space="preserve"> (פ/1852/24)</t>
  </si>
  <si>
    <t xml:space="preserve">הצעת חוק לתיקון פקודת מס הכנסה (אי-ניכוי הוצאות בגין עבודה בשבת), התשפ"א-2021</t>
  </si>
  <si>
    <t xml:space="preserve"> (פ/1771/24)</t>
  </si>
  <si>
    <t xml:space="preserve">הצעת חוק שירות ביטחון (תיקון - ביטול גיוס חובה), התשפ"א-2021</t>
  </si>
  <si>
    <t xml:space="preserve"> (פ/756/24)</t>
  </si>
  <si>
    <t xml:space="preserve">הצעת חוק איסור הפליה במוצרים, בשירותים ובכניסה למקומות בידור ולמקומות ציבוריים (תיקון - קיום אירועי תרבות בהפרדה מגדרית בשל טעמי דת), התשפ"א-2021</t>
  </si>
  <si>
    <t xml:space="preserve"> (פ/233/24)</t>
  </si>
  <si>
    <t xml:space="preserve">חוק גיל פרישה (הורה שילדו נפטר) (הוראת שעה) (תיקון), התשפ"ב-2021</t>
  </si>
  <si>
    <t xml:space="preserve"> (מ/1483)</t>
  </si>
  <si>
    <t xml:space="preserve">21.12.2021</t>
  </si>
  <si>
    <t xml:space="preserve">הוארך בשנתיים תוקפו של החוק הקובע כי מעסיק לא יחייב עובד שהוא הורה שילדו נפטר, לפרוש מעבודתו בשל גילו, עד ארבע שנים מיום שהגיע לגיל פרישה חובה. בנוסף נקבע כי השר לשוויון חברתי יפרסם למעסיקים ולעובדים מידע לגבי הוראות החוק, וידווח על כך לוועדת העבודה והרווחה. כמו כן נקבע כי עד ליום 31 בדצמבר 2022 יגיש השר לוועדה את המלצותיו לעניין תוקפו של החוק. . </t>
  </si>
  <si>
    <t xml:space="preserve">הצעת חוק לתיקון פקודת מס הכנסה (פטור ממס למענק כספי בשל הישג בתחרות ספורט), התשפ"ב-2021</t>
  </si>
  <si>
    <t xml:space="preserve"> (פ/2265/24)</t>
  </si>
  <si>
    <t xml:space="preserve">20.12.2021</t>
  </si>
  <si>
    <t xml:space="preserve">הצעת חוק לתיקון פקודת מס הכנסה (פטור ממס על מענק ששולם לספורטאי עקב זכייה במדליה במשחקים האולימפיים או באליפויות העולם בספורט), התשפ"א-2021</t>
  </si>
  <si>
    <t xml:space="preserve"> (פ/2138/24)</t>
  </si>
  <si>
    <t xml:space="preserve">הצעת חוק לתיקון פקודת מס הכנסה (פטור ממס על מענק זכייה אולימפי), התשפ"א-2021</t>
  </si>
  <si>
    <t xml:space="preserve"> (פ/2094/24)</t>
  </si>
  <si>
    <t xml:space="preserve">הצעת חוק לתיקון פקודת מס הכנסה (פטור ממס למענק כספי בשל הישג בתחרות ספורט), התשפ"א-2021</t>
  </si>
  <si>
    <t xml:space="preserve"> (פ/1888/24)</t>
  </si>
  <si>
    <t xml:space="preserve">חוק לתיקון פקודת בתי הסוהר (מס' 57 והוראות שעה), התשפ"ב-2021</t>
  </si>
  <si>
    <t xml:space="preserve"> (מ/1398)</t>
  </si>
  <si>
    <t xml:space="preserve">הצעת חוק הגנה על כספי ציבור (איסור מימון ומתן שירותים למאחזים בלתי מורשים), התשפ"ב-2021</t>
  </si>
  <si>
    <t xml:space="preserve"> (פ/2788/24)</t>
  </si>
  <si>
    <t xml:space="preserve">הצעת חוק-יסוד: החקיקה והגבלת ביקורת שיפוטית על חוקים</t>
  </si>
  <si>
    <t xml:space="preserve"> (פ/2786/24)</t>
  </si>
  <si>
    <t xml:space="preserve">הצעת חוק החברות (תיקון - ייצוג הולם לתושבי הפריפריה בדירקטוריונים של חברות ציבוריות), התשפ"ב-2021</t>
  </si>
  <si>
    <t xml:space="preserve"> (פ/2785/24)</t>
  </si>
  <si>
    <t xml:space="preserve">הצעת חוק לייעוד הכנסות מדינה ממס קנייה המוטל על כלים חד-פעמיים ומשקאות מתוקים, התשפ"ב-2021 </t>
  </si>
  <si>
    <t xml:space="preserve"> (פ/2784/24)</t>
  </si>
  <si>
    <t xml:space="preserve">הצעת חוק ביטוח בריאות ממלכתי (תיקון - פטור מתשלום לקשיש מעל גיל 80 שמשתלמת לו גמלה להבטחת הכנסה), התשפ"ב-2021</t>
  </si>
  <si>
    <t xml:space="preserve"> (פ/2782/24)</t>
  </si>
  <si>
    <t xml:space="preserve">הצעת חוק הביטוח הלאומי (תיקון - אי-שלילת זכאות לקצבת שאירים בשל הכנסה מפנסיה), התשפ"ב-2021</t>
  </si>
  <si>
    <t xml:space="preserve"> (פ/2781/24)</t>
  </si>
  <si>
    <t xml:space="preserve">הצעת חוק ההתגוננות האזרחית (תיקון - התקן בטיחותי על דלת מרחב מוגן דירתי), התשפ"ב-2021</t>
  </si>
  <si>
    <t xml:space="preserve"> (פ/2780/24)</t>
  </si>
  <si>
    <t xml:space="preserve">הצעת חוק שירות לאומי-אזרחי (תיקוני חקיקה), התשפ"ב-2021</t>
  </si>
  <si>
    <t xml:space="preserve"> (פ/2778/24)</t>
  </si>
  <si>
    <t xml:space="preserve">הצעת חוק הגבלת פעולות אנשי דת בלתי מורשים בצבא הגנה לישראל ובמשטרת ישראל, התשפ"ב-2021</t>
  </si>
  <si>
    <t xml:space="preserve"> (פ/2777/24)</t>
  </si>
  <si>
    <t xml:space="preserve">הצעת חוק הביטוח הלאומי (תיקון - הצמדת קצבת אזרח ותיק לשכר מינימום), התשפ"ב-2021</t>
  </si>
  <si>
    <t xml:space="preserve"> (פ/2776/24)</t>
  </si>
  <si>
    <t xml:space="preserve">הצעת חוק-יסוד: השפיטה (תיקון - הוועדה לבחירת שופטים)</t>
  </si>
  <si>
    <t xml:space="preserve"> (פ/2775/24)</t>
  </si>
  <si>
    <t xml:space="preserve">הצעת חוק ביטוח בריאות ממלכתי (תיקון - פטור מתשלום דמי ביטוח לעקר בית), התשפ"ב-2021</t>
  </si>
  <si>
    <t xml:space="preserve"> (פ/2774/24)</t>
  </si>
  <si>
    <t xml:space="preserve">הצעת חוק הביטוח הלאומי (תיקון - הוראות לעניין עקרת בית), התשפ"ב-2021</t>
  </si>
  <si>
    <t xml:space="preserve"> (פ/2773/24)</t>
  </si>
  <si>
    <t xml:space="preserve">הצעת חוק שיפוט בתי דין רבניים (נישואין וגירושין) (תיקון - איסור ביטול גיור), התשפ"ב-2021</t>
  </si>
  <si>
    <t xml:space="preserve"> (פ/2770/24)</t>
  </si>
  <si>
    <t xml:space="preserve">הצעת חוק חובת המכרזים (תיקון - ייצוג הולם לאוכלוסייה הערבית), התשפ"ב-2021</t>
  </si>
  <si>
    <t xml:space="preserve"> (פ/2769/24)</t>
  </si>
  <si>
    <t xml:space="preserve">הצעת חוק מימון מפלגות (תיקון - ייצוג הולם לנשים בכנסת), התשפ"ב-2021</t>
  </si>
  <si>
    <t xml:space="preserve"> (פ/2768/24)</t>
  </si>
  <si>
    <t xml:space="preserve"> (פ/2767/24)</t>
  </si>
  <si>
    <t xml:space="preserve">הצעת חוק העונשין (תיקון - עונש מינימום למצית נכס ציבורי), התשפ"ב-2021</t>
  </si>
  <si>
    <t xml:space="preserve"> (פ/2766/24)</t>
  </si>
  <si>
    <t xml:space="preserve">הצעת חוק חובת המכרזים (תיקון - העדפה מתקנת לנכי צה"ל), התשפ"ב-2021</t>
  </si>
  <si>
    <t xml:space="preserve"> (פ/2765/24)</t>
  </si>
  <si>
    <t xml:space="preserve">הצעת חוק הממשלה (תיקון - אישור הכנסת להסכם מדיני), התשפ"ב-2021</t>
  </si>
  <si>
    <t xml:space="preserve"> (פ/2764/24)</t>
  </si>
  <si>
    <t xml:space="preserve">הצעת חוק פתיחת קבר של קטין יוצא תימן, המזרח או הבלקן לשם זיהוי ועריכת בדיקה גנטית לקשר משפחה (הוראת שעה) (תיקון - הארכת תוקף הוראת השעה ואישור בקשה מטעמים מיוחדים), התשפ"ב-2021</t>
  </si>
  <si>
    <t xml:space="preserve"> (פ/2763/24)</t>
  </si>
  <si>
    <t xml:space="preserve">הצעת חוק החלת תקצוב מגדרי על תקציבים ציבוריים בישראל, התשפ"ב-2021</t>
  </si>
  <si>
    <t xml:space="preserve"> (פ/2762/24)</t>
  </si>
  <si>
    <t xml:space="preserve">הצעת חוק הביטוח הלאומי (תיקון - שלילת זכויות סוציאליות לאדם שהורשע ברצח או ניסיון לרצח על רקע לאומני), התשפ"ב-2021</t>
  </si>
  <si>
    <t xml:space="preserve"> (פ/2761/24)</t>
  </si>
  <si>
    <t xml:space="preserve">הצעת חוק התחרות הכלכלית (תיקון - הכרזה על קיום מונופולין ואיסור על מחיר מופרז וטורפני), התשפ"ב-2021</t>
  </si>
  <si>
    <t xml:space="preserve"> (פ/2760/24)</t>
  </si>
  <si>
    <t xml:space="preserve">הצעת חוק ההוצאה לפועל (תיקון - הודעה לחייב בטרם הגשת בקשה לביצוע משכנתה), התשפ"ב-2021</t>
  </si>
  <si>
    <t xml:space="preserve"> (פ/2759/24)</t>
  </si>
  <si>
    <t xml:space="preserve">הצעת חוק פיקוח על רווחי שיווק בתוצרת חקלאית, התשפ"ב-2021</t>
  </si>
  <si>
    <t xml:space="preserve"> (פ/2758/24)</t>
  </si>
  <si>
    <t xml:space="preserve">הצעת חוק נישואין וגירושין, התשפ"ב-2021</t>
  </si>
  <si>
    <t xml:space="preserve"> (פ/2757/24)</t>
  </si>
  <si>
    <t xml:space="preserve">הצעת חוק חובת המכרזים (תיקון - עידוד עסקים קטנים ובינוניים באזור פריפריה במכרז), התשפ"ב-2021</t>
  </si>
  <si>
    <t xml:space="preserve"> (פ/2755/24)</t>
  </si>
  <si>
    <t xml:space="preserve">הצעת חוק קליטת חיילים משוחררים (תיקון - ביטוח פנסיוני לחייל משוחרר), התשפ"ב-2021</t>
  </si>
  <si>
    <t xml:space="preserve"> (פ/2754/24)</t>
  </si>
  <si>
    <t xml:space="preserve">הצעת חוק החברות (תיקון - מינוי דירקטורים מטעם העובדים), התשפ"ב-2021</t>
  </si>
  <si>
    <t xml:space="preserve"> (פ/2752/24)</t>
  </si>
  <si>
    <t xml:space="preserve">הצעת חוק קרקעות כנסייה, התשפ"ב-2021</t>
  </si>
  <si>
    <t xml:space="preserve"> (פ/2751/24)</t>
  </si>
  <si>
    <t xml:space="preserve">הצעת חוק ההוצאה לפועל (תיקון - השהיית הליך ואי נקיטתו לשוהות במקלטים לנשים מוכות), התשפ"ב-2021</t>
  </si>
  <si>
    <t xml:space="preserve"> (פ/2750/24)</t>
  </si>
  <si>
    <t xml:space="preserve">הצעת חוק הפיקדון על מכלי משקה (תיקון - אמצעי תשלום להחזר דמי פיקדון), התשפ"ב-2021</t>
  </si>
  <si>
    <t xml:space="preserve"> (פ/2749/24)</t>
  </si>
  <si>
    <t xml:space="preserve">הצעת חוק הגנת הצרכן (תיקון - התרעה על עסקה לשירותי חנייה באמצעות רדיו טלפון נייד), התשפ"ב-2021</t>
  </si>
  <si>
    <t xml:space="preserve"> (פ/2748/24)</t>
  </si>
  <si>
    <t xml:space="preserve"> (פ/2747/24)</t>
  </si>
  <si>
    <t xml:space="preserve"> (פ/2746/24)</t>
  </si>
  <si>
    <t xml:space="preserve">הצעת חוק התכנון והבנייה (תיקון - איסור התניית היתר בהתקנת מקומות חניה ובניצול חלק קיים משטח דירה), התשפ"ב-2021</t>
  </si>
  <si>
    <t xml:space="preserve"> (פ/2745/24)</t>
  </si>
  <si>
    <t xml:space="preserve">הצעת חוק חובת הכללת אזהרה בפרסום טיפולי המרה לשינוי נטייה מינית, התשפ"ב-2021</t>
  </si>
  <si>
    <t xml:space="preserve"> (פ/2744/24)</t>
  </si>
  <si>
    <t xml:space="preserve">הצעת חוק אימוץ ילדים (תיקון - אימוץ על ידי בני הזוג), התשפ"ב-2021</t>
  </si>
  <si>
    <t xml:space="preserve"> (פ/2743/24)</t>
  </si>
  <si>
    <t xml:space="preserve">הצעת חוק העונשין (תיקון - גזר דין עונש מוות למורשע ברצח בנסיבות טרור), התשפ"ב-2021</t>
  </si>
  <si>
    <t xml:space="preserve"> (פ/2742/24)</t>
  </si>
  <si>
    <t xml:space="preserve">הצעת חוק להקמת אוניברסיטה ערבית ביישוב ערבי, התשפ"ב-2021</t>
  </si>
  <si>
    <t xml:space="preserve"> (פ/2741/24)</t>
  </si>
  <si>
    <t xml:space="preserve">הצעת חוק אזור סחר חופשי באילת (פטורים והנחות ממסים) (תיקון - פיתוח אילת), התשפ"ב-2021</t>
  </si>
  <si>
    <t xml:space="preserve"> (פ/2740/24)</t>
  </si>
  <si>
    <t xml:space="preserve">הצעת חוק מס ערך מוסף (תיקון - פטור ממס במכירת תרופות אונקולוגיות שאינן כלולות בסל הבריאות), התשפ"ב-2021</t>
  </si>
  <si>
    <t xml:space="preserve"> (פ/2739/24)</t>
  </si>
  <si>
    <t xml:space="preserve">הצעת חוק יום משפחות היתומים בישראל, התשפ"ב-2021</t>
  </si>
  <si>
    <t xml:space="preserve"> (פ/2738/24)</t>
  </si>
  <si>
    <t xml:space="preserve">הצעת חוק דמי מחלה (היעדרות בשל מחלת ילד) (תיקון - מחלת תינוק), התשפ"ב-2021</t>
  </si>
  <si>
    <t xml:space="preserve"> (פ/2737/24)</t>
  </si>
  <si>
    <t xml:space="preserve">הצעת חוק הרשויות המקומיות (בחירת ראש הרשות וסגניו וכהונתם) (תיקון - הגבלת כהונה שלישית לראש רשות), התשפ"ב-2021</t>
  </si>
  <si>
    <t xml:space="preserve"> (פ/2736/24)</t>
  </si>
  <si>
    <t xml:space="preserve">הצעת חוק מס ערך מוסף (תיקון - פטור ממס בגין תרומות לבתי חולים בפריפריה), התשפ"ב-2021</t>
  </si>
  <si>
    <t xml:space="preserve"> (פ/2735/24)</t>
  </si>
  <si>
    <t xml:space="preserve">הצעת חוק שוויון ההזדמנויות בעבודה (תיקון - הארכת תקופת ההתיישנות), התשפ"ב-2021</t>
  </si>
  <si>
    <t xml:space="preserve"> (פ/2734/24)</t>
  </si>
  <si>
    <t xml:space="preserve">הצעת חוק דמי מחלה (היעדרות בשל מחלת ילד) (תיקון - ימי מחלה נוספים בשל מחלת ילד), התשפ"ב-2021</t>
  </si>
  <si>
    <t xml:space="preserve"> (פ/2733/24)</t>
  </si>
  <si>
    <t xml:space="preserve">הצעת חוק זכויות התלמיד (תיקון - הנפקת תעודות בגרות), התשפ"ב-2021</t>
  </si>
  <si>
    <t xml:space="preserve"> (פ/2732/24)</t>
  </si>
  <si>
    <t xml:space="preserve">הצעת חוק הרשויות המקומיות (ריבית והפרשי הצמדה על תשלומי חובה) (תיקון - הפחתת אחוז הריבית ברשויות המקומיות), התשפ"ב-2021</t>
  </si>
  <si>
    <t xml:space="preserve"> (פ/2731/24)</t>
  </si>
  <si>
    <t xml:space="preserve">הצעת חוק התכנון והבנייה (תיקון - שומה מתוקנת מוסכמת), התשפ"ב-2021</t>
  </si>
  <si>
    <t xml:space="preserve"> (פ/2730/24)</t>
  </si>
  <si>
    <t xml:space="preserve">הצעת חוק זכויות החולה (תיקון - הכנסת מזון למוסד רפואי בחג הפסח), התשפ"ב-2021</t>
  </si>
  <si>
    <t xml:space="preserve"> (פ/2729/24)</t>
  </si>
  <si>
    <t xml:space="preserve">הצעת חוק התכנון והבנייה (תיקון - גידור ומתקני בטיחות בבריכה), התשפ"ב-2021</t>
  </si>
  <si>
    <t xml:space="preserve"> (פ/2728/24)</t>
  </si>
  <si>
    <t xml:space="preserve">הצעת חוק שמירת הניקיון (תיקון - טיפול בפסולת בניין), התשפ"ב-2021</t>
  </si>
  <si>
    <t xml:space="preserve"> (פ/2727/24)</t>
  </si>
  <si>
    <t xml:space="preserve">הצעת חוק לתיקון פקודת התעבורה (חניה במקום ציבורי למשתמשים בעגלת ילדים), התשפ"ב-2021</t>
  </si>
  <si>
    <t xml:space="preserve"> (פ/2726/24)</t>
  </si>
  <si>
    <t xml:space="preserve">הצעת חוק התכנון והבנייה (תיקון - החלטה מקדמית לפי תכנית החיזוק), התשפ"ב-2021</t>
  </si>
  <si>
    <t xml:space="preserve"> (פ/2725/24)</t>
  </si>
  <si>
    <t xml:space="preserve">הצעת חוק בתי המשפט (תיקון - מספר השופטים בבית המשפט העליון), התשפ"ב-2021</t>
  </si>
  <si>
    <t xml:space="preserve"> (פ/2724/24)</t>
  </si>
  <si>
    <t xml:space="preserve">הצעת חוק התכנון והבנייה (תיקון - גני ילדים ומעונות יום), התשפ"ב-2021</t>
  </si>
  <si>
    <t xml:space="preserve"> (פ/2722/24)</t>
  </si>
  <si>
    <t xml:space="preserve">הצעת חוק הביטוח הלאומי (תיקון - השוואת קצבת אזרח ותיק לשכר המינימום), התשפ"ב-2021</t>
  </si>
  <si>
    <t xml:space="preserve"> (פ/2721/24)</t>
  </si>
  <si>
    <t xml:space="preserve">הצעת חוק להגברת האכיפה של דיני העבודה (תיקון - רכיבי שכר העבודה לעובדים זרים), התשפ"ב-2021</t>
  </si>
  <si>
    <t xml:space="preserve"> (פ/2720/24)</t>
  </si>
  <si>
    <t xml:space="preserve">הצעת חוק הבטחת הכנסה (תיקון - מסגרת שיקומית מזנות), התשפ"ב-2021</t>
  </si>
  <si>
    <t xml:space="preserve"> (פ/2719/24)</t>
  </si>
  <si>
    <t xml:space="preserve">הצעת חוק חינוך ממלכתי (תיקון - שיבוץ עובדי הוראה), התשפ"ב-2021</t>
  </si>
  <si>
    <t xml:space="preserve"> (פ/2718/24)</t>
  </si>
  <si>
    <t xml:space="preserve">הצעת חוק לתיקון פקודת העיריות (פרסום מכרז באתר האינטרנט), התשפ"ב-2021</t>
  </si>
  <si>
    <t xml:space="preserve"> (פ/2717/24)</t>
  </si>
  <si>
    <t xml:space="preserve">הצעת חוק רישום קבלנים לעבודות הנדסה בנאיות (תיקון - טיפול בליקויי בנייה), התשפ"ב-2021</t>
  </si>
  <si>
    <t xml:space="preserve"> (פ/2716/24)</t>
  </si>
  <si>
    <t xml:space="preserve">הצעת חוק לביטול הרשות לפיתוח והתיישבות הבדואים בנגב, התשפ"ב-2021</t>
  </si>
  <si>
    <t xml:space="preserve"> (פ/2715/24)</t>
  </si>
  <si>
    <t xml:space="preserve">הצעת חוק זכויות הסטודנט (תיקון - התאמות לסטודנטית לאחר לידה), התשפ"ב-2021</t>
  </si>
  <si>
    <t xml:space="preserve"> (פ/2714/24)</t>
  </si>
  <si>
    <t xml:space="preserve">הצעת חוק לתיקון פקודת מס הכנסה (דיווח שנתי או חצי שנתי לסוגי נכסים), התשפ"ב-2021</t>
  </si>
  <si>
    <t xml:space="preserve"> (פ/2713/24)</t>
  </si>
  <si>
    <t xml:space="preserve">הצעת חוק שיפוט בתי דין דתיים (בוררות), התשפ"ב-2021</t>
  </si>
  <si>
    <t xml:space="preserve"> (פ/2712/24)</t>
  </si>
  <si>
    <t xml:space="preserve">הצעת חוק למניעת עיגון מנישואין, התשפ"ב-2021</t>
  </si>
  <si>
    <t xml:space="preserve"> (פ/2710/24)</t>
  </si>
  <si>
    <t xml:space="preserve">הצעת חוק הסניגוריה הציבורית (תיקון - ליווי משפטי בשפת חשוד שהוא קטין), התשפ"ב-2021</t>
  </si>
  <si>
    <t xml:space="preserve"> (פ/2709/24)</t>
  </si>
  <si>
    <t xml:space="preserve">הצעת חוק הרשויות המקומיות (בחירות) (תיקון - הגבלת הזכות להיבחר בשל כתב אישום), התשפ"ב-2021</t>
  </si>
  <si>
    <t xml:space="preserve"> (פ/2708/24)</t>
  </si>
  <si>
    <t xml:space="preserve">הצעת חוק בית המשפט לענייני משפחה (תיקון - מימון ניהול ההליך המשפטי), התשפ"ב-2021</t>
  </si>
  <si>
    <t xml:space="preserve"> (פ/2707/24)</t>
  </si>
  <si>
    <t xml:space="preserve">הצעת חוק לתיקון פקודת הראיות (פסילת ראיה), התשפ"א-2021</t>
  </si>
  <si>
    <t xml:space="preserve"> (פ/245/24)</t>
  </si>
  <si>
    <t xml:space="preserve">15.12.2021</t>
  </si>
  <si>
    <t xml:space="preserve"> (פ/244/24)</t>
  </si>
  <si>
    <t xml:space="preserve">הצעת חוק הביטוח הלאומי (תיקון - דמי אבטלה לעצמאים), התשפ"ב-2021</t>
  </si>
  <si>
    <t xml:space="preserve"> (פ/2514/24)</t>
  </si>
  <si>
    <t xml:space="preserve"> (פ/2511/24)</t>
  </si>
  <si>
    <t xml:space="preserve"> (פ/2505/24)</t>
  </si>
  <si>
    <t xml:space="preserve">הצעת חוק הסדרת מקומות רחצה (תיקון - קביעת מקומות לרחצה נפרדת), התשפ"ב-2021</t>
  </si>
  <si>
    <t xml:space="preserve"> (פ/2349/24)</t>
  </si>
  <si>
    <t xml:space="preserve">הצעת חוק למניעת חרם חברתי בבתי ספר, התשפ"ב-2021</t>
  </si>
  <si>
    <t xml:space="preserve"> (פ/2338/24)</t>
  </si>
  <si>
    <t xml:space="preserve">הצעת חוק הביטוח הלאומי (תיקון - תשלום דמי אבטלה לנשים שיצאו לחופשה ללא תשלום לאחר לידה מסיבות מוצדקות), התשפ"ב-2021</t>
  </si>
  <si>
    <t xml:space="preserve"> (פ/2223/24)</t>
  </si>
  <si>
    <t xml:space="preserve">הצעת חוק בתי המשפט (תיקון - קציבת זמן למתן פסק דין בבית המשפט העליון), התשפ"א-2021</t>
  </si>
  <si>
    <t xml:space="preserve"> (פ/1891/24)</t>
  </si>
  <si>
    <t xml:space="preserve">הצעת חוק הביטוח הלאומי (תיקון - דמי אבטלה לעובד עצמאי), התשפ"א-2021</t>
  </si>
  <si>
    <t xml:space="preserve"> (פ/1591/24)</t>
  </si>
  <si>
    <t xml:space="preserve">הצעת חוק המקרקעין (תיקון - התקנת מעלית מטעמים מיוחדים), התשפ"א-2021</t>
  </si>
  <si>
    <t xml:space="preserve"> (פ/1529/24)</t>
  </si>
  <si>
    <t xml:space="preserve">הצעת חוק העונשין (תיקון - תקיפת עובדי חירום), התשפ"א-2021</t>
  </si>
  <si>
    <t xml:space="preserve"> (פ/221/24)</t>
  </si>
  <si>
    <t xml:space="preserve">הצעת חוק החברות הממשלתיות (תיקון - ייצוג הולם לאוכלוסייה הערבית), התשפ"ב-2021</t>
  </si>
  <si>
    <t xml:space="preserve"> (פ/2333/24)</t>
  </si>
  <si>
    <t xml:space="preserve">13.12.2021</t>
  </si>
  <si>
    <t xml:space="preserve">הצעת חוק החברות הממשלתיות (תיקון - ייצוג הולם בתאגידים ממשלתיים וגופים סטטוטוריים), התשפ"א-2021</t>
  </si>
  <si>
    <t xml:space="preserve"> (פ/2115/24)</t>
  </si>
  <si>
    <t xml:space="preserve">הצעת חוק החברות הממשלתיות (תיקון - ייצוג הולם לאוכלוסייה הערבית), התשפ"א-2021</t>
  </si>
  <si>
    <t xml:space="preserve"> (פ/1599/24)</t>
  </si>
  <si>
    <t xml:space="preserve">חוק משק הדלק (קידום התחרות) (תיקון) (תיקון מס' 3), התשפ"ב-2021</t>
  </si>
  <si>
    <t xml:space="preserve"> (מ/1435)</t>
  </si>
  <si>
    <t xml:space="preserve">תיקון מספר 3 לחוק משק הדלק (קידום התחרות) אושר בקריאה השניה והשלישית ביום י' בטבת התשפ"ב (14 בדצמבר 2021).   סעיף 4 לחוק משק הדלק (קידום התחרות) נחקק כתיקון לחוק בשנת 1998. הסעיף קובע שחברת דלק לא תתקשר בחוזה להקמת תחנת תדלוק או בחוזה בלעדיות, אם תחנת התדלוק ממוקמת במרחק של 1 קילומטר בדרך עירונית או 10 קילומטרים בדרך שאינה עירונית, מתחנת תדלוק אחרת שבה נמכר דלק של אותה חברת דלק. הוראות אלו חלות, בשינויים המחויבים, גם על מפעיל תחנת תדלוק אם יש לו זכות להפעיל תחנת תדלוק נוספת הנמצאת במרחקים אלו, אך הן אינן חלות על חידוש חוזה בלעדיות או על מכירת תחנת תדלוק לחברת דלק, אם טרם חקיקת אותו סעיף נחתם חוזה למכירת דלק בין אותה חברת דלק ומפעיל התחנה, והחוזה עומד בתוקפו עד למכירה. עם זאת, קיים בסעיף מנגנון החרגה לפיו הממונה על התחרות רשאי לאשר, בהחלטה מנומקת, התקשרות החורגת מהתנאים המנויים בסעיף, אם שוכנע שההתקשרות לא תגביל באופן ניכר את התחרות באותו אזור, וזאת תוך שקילת אפשרות הגישה לתחנות התדלוק מנתיבי תנועה שונים, מספר התחנות באזור, היקף המכירות של תחנות התדלוק באזור, סיווג הכביש, טיבם של צירי התנועה ונכונותה של חברת דלק אחרת להתקשר בחוזה. על החלטת הממונה ניתן לערור לבית הדין לתחרות. הסעיף נחקק כהוראת שעה שתוקפה הוארך כבר ארבע פעמים, עד שפקעה ביולי 2021. במשך כחצי שנה הוראת השעה לא חלה, עד להארכתה בתיקון זה, בה מוארך תוקפה בשלוש שנים נוספות עד ליום 31 ביולי 2024. </t>
  </si>
  <si>
    <t xml:space="preserve">הצעת חוק לתיקון פקודת הבנקאות (תקופת צינון למפקח על הבנקים), התשפ"ב-2021</t>
  </si>
  <si>
    <t xml:space="preserve"> (פ/2705/24)</t>
  </si>
  <si>
    <t xml:space="preserve">הצעת חוק נתוני אשראי (תיקון - קיצור תקופת שמירת הנתונים במאגר נתוני אשראי), התשפ"ב-2021</t>
  </si>
  <si>
    <t xml:space="preserve"> (פ/2703/24)</t>
  </si>
  <si>
    <t xml:space="preserve">הצעת חוק זכויות הדייר בדיור הציבורי (תיקון - הארכת תוקף זכאות לדירה ציבורית), התשפ"ב-2021</t>
  </si>
  <si>
    <t xml:space="preserve"> (פ/2702/24)</t>
  </si>
  <si>
    <t xml:space="preserve">הצעת חוק הטבות לניצולי שואה (תיקון - הטבות לניצולים שעלו לאחר שנת 1953), התשפ"ב-2021</t>
  </si>
  <si>
    <t xml:space="preserve"> (פ/2700/24)</t>
  </si>
  <si>
    <t xml:space="preserve">הצעת חוק טוס כחול לבן, התשפ"ב-2021</t>
  </si>
  <si>
    <t xml:space="preserve"> (פ/2698/24)</t>
  </si>
  <si>
    <t xml:space="preserve">הצעת חוק חינוך ממלכתי (תיקון - חובת לימוד שפה ותרבות ערבית), התשפ"ב-2021</t>
  </si>
  <si>
    <t xml:space="preserve"> (פ/2697/24)</t>
  </si>
  <si>
    <t xml:space="preserve">הצעת חוק מתן עדות של ילדים ואנשים עם מוגבלות נפשית או שכלית (תיקוני חקיקה), התשפ"ב-2021</t>
  </si>
  <si>
    <t xml:space="preserve"> (פ/2696/24)</t>
  </si>
  <si>
    <t xml:space="preserve">הצעת חוק העונשין (תיקון - מעשה מגונה בהסכמה בקטין שמלאו לו ארבע עשרה שנים וטרם מלאו לו שש עשרה שנים), התשפ"ב-2021</t>
  </si>
  <si>
    <t xml:space="preserve"> (פ/2693/24)</t>
  </si>
  <si>
    <t xml:space="preserve">הצעת חוק איסור שימוש ברכב ממשלתי לשר וסגן שר ביום המנוחה השבועי ובחג, התשפ"ב-2021</t>
  </si>
  <si>
    <t xml:space="preserve"> (פ/2692/24)</t>
  </si>
  <si>
    <t xml:space="preserve">הצעת חוק לתיקון פקודת התעבורה (איסור נסיעת משאיות בשעות העומס), התשפ"ב-2021</t>
  </si>
  <si>
    <t xml:space="preserve"> (פ/2691/24)</t>
  </si>
  <si>
    <t xml:space="preserve">הצעת חוק פיצוי מפונים בני רשות, התשפ"ב-2021</t>
  </si>
  <si>
    <t xml:space="preserve"> (פ/2689/24)</t>
  </si>
  <si>
    <t xml:space="preserve"> (פ/2687/24)</t>
  </si>
  <si>
    <t xml:space="preserve">הצעת חוק העונשין (תיקון - החמרת ענישה על פגיעה במקומות קדושים ורגשי דת), התשפ"ב-2021</t>
  </si>
  <si>
    <t xml:space="preserve"> (פ/2686/24)</t>
  </si>
  <si>
    <t xml:space="preserve">הצעת חוק לתיקון פקודת הראיות (עדות עובד במשרת אמון), התשפ"ב-2021</t>
  </si>
  <si>
    <t xml:space="preserve"> (פ/2685/24)</t>
  </si>
  <si>
    <t xml:space="preserve">הצעת חוק הבחירות לכנסת (תיקון - הצבעת סטודנטים), התשפ"ב-2021</t>
  </si>
  <si>
    <t xml:space="preserve"> (פ/2683/24)</t>
  </si>
  <si>
    <t xml:space="preserve">הצעת חוק הכרה ברישיונות מקצועיים על בסיס הנחיות האיחוד האירופי (תיקוני חקיקה), התשפ"ב-2021</t>
  </si>
  <si>
    <t xml:space="preserve"> (פ/2682/24)</t>
  </si>
  <si>
    <t xml:space="preserve">הצעת חוק הביטוח הלאומי (תיקון - פטור מתשלום דמי ביטוח לסטודנטים בשל הכנסות הוריהם), התשפ"ב-2021</t>
  </si>
  <si>
    <t xml:space="preserve"> (פ/2680/24)</t>
  </si>
  <si>
    <t xml:space="preserve"> (פ/2679/24)</t>
  </si>
  <si>
    <t xml:space="preserve">הצעת חוק לתיקון פקודת מס הכנסה (נקודת זיכוי לסטודנטים ולהוריהם), התשפ"ב-2021</t>
  </si>
  <si>
    <t xml:space="preserve"> (פ/2678/24)</t>
  </si>
  <si>
    <t xml:space="preserve">הצעת חוק התאמת אופן ההעסקה של מטפלות במשפחתונים המפוקחים על ידי האגף למעונות יום ומשפחתונים במשרד הכלכלה והתעשייה, התשפ"ב-2021</t>
  </si>
  <si>
    <t xml:space="preserve"> (פ/2677/24)</t>
  </si>
  <si>
    <t xml:space="preserve">הצעת חוק לתיקון פקודת מס הכנסה (ידועים בציבור), התשפ"ב-2021</t>
  </si>
  <si>
    <t xml:space="preserve"> (פ/2676/24)</t>
  </si>
  <si>
    <t xml:space="preserve">הצעת חוק הביטוח הלאומי (תיקון - טיפול בפעוטות במעונות יום כעבודה מועדפת), התשפ"ב-2021</t>
  </si>
  <si>
    <t xml:space="preserve"> (פ/2675/24)</t>
  </si>
  <si>
    <t xml:space="preserve"> (פ/2674/24)</t>
  </si>
  <si>
    <t xml:space="preserve"> (פ/2673/24)</t>
  </si>
  <si>
    <t xml:space="preserve">הצעת חוק חסינות חברי הכנסת, זכויותיהם וחובותיהם (תיקון - חסינות בפני דין פלילי), התשפ"ב-2021</t>
  </si>
  <si>
    <t xml:space="preserve"> (פ/2672/24)</t>
  </si>
  <si>
    <t xml:space="preserve"> (פ/2671/24)</t>
  </si>
  <si>
    <t xml:space="preserve">הצעת חוק ההוצאה לפועל (תיקון - מגבלת רישיון נהיגה), התשפ"ב-2021</t>
  </si>
  <si>
    <t xml:space="preserve"> (פ/2670/24)</t>
  </si>
  <si>
    <t xml:space="preserve">הצעת חוק איסור ייצוג לקוחות בעלי אינטרסים מנוגדים על ידי שדלן (תיקוני חקיקה), התשפ"ב-2021</t>
  </si>
  <si>
    <t xml:space="preserve"> (פ/2669/24)</t>
  </si>
  <si>
    <t xml:space="preserve">הצעת חוק הפיקוח על שירותים פיננסיים (קופות גמל) (תיקון - חישוב מקדם המרה לקצבה), התשפ"ב-2021</t>
  </si>
  <si>
    <t xml:space="preserve"> (פ/2668/24)</t>
  </si>
  <si>
    <t xml:space="preserve">הצעת חוק לתיקון פקודת מס הכנסה (נקודות זיכוי לאפוטרופוס), התשפ"ב-2021</t>
  </si>
  <si>
    <t xml:space="preserve"> (פ/2667/24)</t>
  </si>
  <si>
    <t xml:space="preserve">הצעת חוק מס ערך מוסף (תיקון - עידוד התיירות באזורי רמת הגולן והגליל) (הוראת שעה), התשפ"ב-2021 </t>
  </si>
  <si>
    <t xml:space="preserve"> (פ/2666/24)</t>
  </si>
  <si>
    <t xml:space="preserve">הצעת חוק צער בעלי חיים (הגנה על בעלי חיים) (תיקון - איסור משלוחים חיים לשחיטה), התשפ"ב-2021</t>
  </si>
  <si>
    <t xml:space="preserve"> (פ/2665/24)</t>
  </si>
  <si>
    <t xml:space="preserve">הצעת חוק יום ציון ממלכתי לוועידת סן רמו, התשפ"ב-2021</t>
  </si>
  <si>
    <t xml:space="preserve"> (פ/2664/24)</t>
  </si>
  <si>
    <t xml:space="preserve">הצעת חוק ביטוח סיעודי ממלכתי (תיקוני חקיקה), התשפ"ב-2021</t>
  </si>
  <si>
    <t xml:space="preserve"> (פ/2662/24)</t>
  </si>
  <si>
    <t xml:space="preserve">הצעת חוק למניעת ביצוע עבירות באמצעות פרסום באינטרנט (הסרת תוכן), התשפ"ב-2021 </t>
  </si>
  <si>
    <t xml:space="preserve"> (פ/2317/24)</t>
  </si>
  <si>
    <t xml:space="preserve">08.12.2021</t>
  </si>
  <si>
    <t xml:space="preserve">הצעת חוק המכר (דירות) (תיקון - חובת מסירת תכניות הדירה לקונה), התשפ"א-2021</t>
  </si>
  <si>
    <t xml:space="preserve"> (פ/2112/24)</t>
  </si>
  <si>
    <t xml:space="preserve">הצעת חוק איסור לשון הרע (תיקון - ביזוי אדם מחמת משקל), התשפ"א-2021</t>
  </si>
  <si>
    <t xml:space="preserve"> (פ/2107/24)</t>
  </si>
  <si>
    <t xml:space="preserve">הצעת חוק גירוש משפחות מחבלים, התשפ"א-2021</t>
  </si>
  <si>
    <t xml:space="preserve"> (פ/2019/24)</t>
  </si>
  <si>
    <t xml:space="preserve">הצעת חוק למניעת פגיעה במדינת ישראל באמצעות חרם (תיקון - מניעת זכאות לפרס), התשפ"א-2021</t>
  </si>
  <si>
    <t xml:space="preserve"> (פ/1989/24)</t>
  </si>
  <si>
    <t xml:space="preserve">הצעת חוק שיפוט בתי דין רבניים (סמכות שיפוט בהסכמה), התשפ"א-2021</t>
  </si>
  <si>
    <t xml:space="preserve"> (פ/1669/24)</t>
  </si>
  <si>
    <t xml:space="preserve">הצעת חוק יום ציון ממלכתי לוועידת סן רמו, התשפ"א-2021</t>
  </si>
  <si>
    <t xml:space="preserve"> (פ/1573/24)</t>
  </si>
  <si>
    <t xml:space="preserve">הצעת חוק שיפוט בתי דין דתיים (בוררות), התשפ"א-2021</t>
  </si>
  <si>
    <t xml:space="preserve"> (פ/1468/24)</t>
  </si>
  <si>
    <t xml:space="preserve"> (פ/1167/24)</t>
  </si>
  <si>
    <t xml:space="preserve">הצעת חוק שלילת זכויות למעורב בטרור (תיקוני חקיקה), התשפ"א-2021</t>
  </si>
  <si>
    <t xml:space="preserve"> (פ/1053/24)</t>
  </si>
  <si>
    <t xml:space="preserve">הצעת חוק הגנת הצרכן (תיקון - הנגשת הודעת תשלום לצרכנים שאינם דוברי עברית), התשפ"א-2021</t>
  </si>
  <si>
    <t xml:space="preserve"> (פ/199/24)</t>
  </si>
  <si>
    <t xml:space="preserve">הצעת חוק-יסוד: בית המשפט לחוקה</t>
  </si>
  <si>
    <t xml:space="preserve"> (פ/72/24)</t>
  </si>
  <si>
    <t xml:space="preserve">חוק העונשין (תיקון מס' 140 – הוראת שעה), התשפ"ב-2021</t>
  </si>
  <si>
    <t xml:space="preserve"> (פ/55/24)</t>
  </si>
  <si>
    <t xml:space="preserve"> (כ/872)</t>
  </si>
  <si>
    <t xml:space="preserve">06.12.2021</t>
  </si>
  <si>
    <t xml:space="preserve">במסגרת הוראת השעה נקבע כי יוטל עונש מינימום של רבע מהעונש המרבי למי שהורשע בעבירות של החזקה, נשיאה וסחר בנשק, וזאת למעט במקרים מיוחדים.</t>
  </si>
  <si>
    <t xml:space="preserve">הצעת חוק העונשין (תיקון - מאסר עולם לאונס קטינים), התשפ"ב-2021</t>
  </si>
  <si>
    <t xml:space="preserve"> (פ/2660/24)</t>
  </si>
  <si>
    <t xml:space="preserve">הצעת חוק ההוצאה לפועל (תיקון - קבלת קהל בשעות אחר הצהריים), התשפ"ב-2021</t>
  </si>
  <si>
    <t xml:space="preserve"> (פ/2659/24)</t>
  </si>
  <si>
    <t xml:space="preserve">הצעת חוק נציבות הדורות הבאים, התשפ"ב-2021</t>
  </si>
  <si>
    <t xml:space="preserve"> (פ/2657/24)</t>
  </si>
  <si>
    <t xml:space="preserve">הצעת חוק התקשורת (בזק ושידורים) (תיקון - קליטה בטלפון נייד בכל חלקי הארץ), התשפ"ב-2021</t>
  </si>
  <si>
    <t xml:space="preserve"> (פ/2656/24)</t>
  </si>
  <si>
    <t xml:space="preserve">הצעת חוק איסור הפליה במוצרים, בשירותים ובכניסה למקומות בידור ולמקומות ציבוריים (תיקון - איסור הפליה בשל הובלת עגלת ילדים), התשפ"ב-2021</t>
  </si>
  <si>
    <t xml:space="preserve"> (פ/2655/24)</t>
  </si>
  <si>
    <t xml:space="preserve"> (פ/2653/24)</t>
  </si>
  <si>
    <t xml:space="preserve">הצעת חוק איסור לשון הרע (תיקון - חשיפת פרטי מידע של מנוי ברשת תקשורת אלקטרונית), התשפ"ב-2021</t>
  </si>
  <si>
    <t xml:space="preserve"> (פ/2652/24)</t>
  </si>
  <si>
    <t xml:space="preserve">הצעת חוק העונשין (תיקון - איומים כלפי עובד ציבור), התשפ"ב-2021 </t>
  </si>
  <si>
    <t xml:space="preserve"> (פ/2651/24)</t>
  </si>
  <si>
    <t xml:space="preserve">הצעת חוק עובדים זרים (תיקון - שימוש בכספים שלא הוצאו על ידי עובדים זרים ומסתננים), התשפ''ב-2021</t>
  </si>
  <si>
    <t xml:space="preserve"> (פ/2650/24)</t>
  </si>
  <si>
    <t xml:space="preserve">הצעת חוק לתיקון פקודת התעבורה (רישום והגברת האכיפה באופניים חשמליים או קורקינט חשמלי), התשפ"ב-2021</t>
  </si>
  <si>
    <t xml:space="preserve"> (פ/2648/24)</t>
  </si>
  <si>
    <t xml:space="preserve">הצעת חוק שירות ביטחון (תיקון - הסדרת תנאי שירות של המשרתים ביחידות מחוץ לצה"ל), התשפ"ב-2021</t>
  </si>
  <si>
    <t xml:space="preserve"> (פ/2647/24)</t>
  </si>
  <si>
    <t xml:space="preserve">הצעת חוק החקלאות, התשפ"ב-2021 </t>
  </si>
  <si>
    <t xml:space="preserve"> (פ/2646/24)</t>
  </si>
  <si>
    <t xml:space="preserve">הצעת חוק חינוך ממלכתי (תיקון - תכנית להוראת שפת הסימנים), התשפ"ב-2021</t>
  </si>
  <si>
    <t xml:space="preserve"> (פ/2644/24)</t>
  </si>
  <si>
    <t xml:space="preserve">הצעת חוק שירות ביטחון (תיקון - ביטול הצבת חיילים בשירות חובה ביחידות אחרות של משטרת ישראל ובשירות בתי הסוהר), התשפ"ב-2021</t>
  </si>
  <si>
    <t xml:space="preserve"> (פ/2643/24)</t>
  </si>
  <si>
    <t xml:space="preserve">הצעת חוק קביעת אופן ההעסקה של מטפלות במשפחתונים המפוקחים על ידי משרד הכלכלה והתעשייה, התשפ"ב-2021</t>
  </si>
  <si>
    <t xml:space="preserve"> (פ/2642/24)</t>
  </si>
  <si>
    <t xml:space="preserve">הצעת חוק למניעת אלימות במשפחה (תיקון - מכשיר מצוקה), התשפ"ב-2021</t>
  </si>
  <si>
    <t xml:space="preserve"> (פ/2641/24)</t>
  </si>
  <si>
    <t xml:space="preserve">הצעת חוק תרומת זרע, התשפ"ב-2021</t>
  </si>
  <si>
    <t xml:space="preserve"> (פ/2640/24)</t>
  </si>
  <si>
    <t xml:space="preserve">הצעת חוק זכויות הדייר בדיור הציבורי (תיקון - זכאות לדיור ציבורי להורה עצמאי המקבל מהמוסד לביטוח לאומי תשלום מזונות ואינו זכאי להבטחת הכנסה), התשפ"ב-2021</t>
  </si>
  <si>
    <t xml:space="preserve"> (פ/2639/24)</t>
  </si>
  <si>
    <t xml:space="preserve"> (פ/2638/24)</t>
  </si>
  <si>
    <t xml:space="preserve">הצעת חוק המרכז למורשת יהדות תוניסיה וג'רבה, התשפ"ב-2021</t>
  </si>
  <si>
    <t xml:space="preserve"> (פ/2637/24)</t>
  </si>
  <si>
    <t xml:space="preserve">הצעת חוק חינוך ממלכתי (תיקון - חינוך אקלימי), התשפ"ב-2021</t>
  </si>
  <si>
    <t xml:space="preserve"> (פ/2636/24)</t>
  </si>
  <si>
    <t xml:space="preserve">הצעת חוק הסדרת העיסוק במקצועות הבריאות (תיקון - הסדרת העיסוק בפודולוגיה), התשפ"ב-2021</t>
  </si>
  <si>
    <t xml:space="preserve"> (פ/2635/24)</t>
  </si>
  <si>
    <t xml:space="preserve">הצעת חוק קביעת הזמן (תיקון - ביטול שעון חורף), התשפ"ב-2021</t>
  </si>
  <si>
    <t xml:space="preserve"> (פ/2633/24)</t>
  </si>
  <si>
    <t xml:space="preserve">הצעת חוק יום העצמאיות והעצמאים, התשפ"ב-2021</t>
  </si>
  <si>
    <t xml:space="preserve"> (פ/2632/24)</t>
  </si>
  <si>
    <t xml:space="preserve">הצעת חוק לתיקון פקודת מס הכנסה (דחיית הגשת דיווח שנתי לעסק שהוקם ברבעון האחרון של השנה), התשפ"ב-2021</t>
  </si>
  <si>
    <t xml:space="preserve"> (פ/2630/24)</t>
  </si>
  <si>
    <t xml:space="preserve">הצעת חוק הכשרות המשפטית והאפוטרופסות (תיקון - מניעת פגיעה בקטין על ידי חשיפתו להורה אלים), התשפ"ב-2021</t>
  </si>
  <si>
    <t xml:space="preserve"> (פ/2629/24)</t>
  </si>
  <si>
    <t xml:space="preserve">הצעת חוק הגנת הצרכן (תיקון - הנגשת הסכמים לצרכנים שאינם דוברי עברית), התשפ"ב-2021</t>
  </si>
  <si>
    <t xml:space="preserve"> (פ/2628/24)</t>
  </si>
  <si>
    <t xml:space="preserve">הצעת חוק לתיקון פקודת מס הכנסה (שתי נקודות זיכוי לסטודנטים ולתומכיהם), התשפ"ב-2021</t>
  </si>
  <si>
    <t xml:space="preserve"> (פ/2627/24)</t>
  </si>
  <si>
    <t xml:space="preserve">הצעת חוק חובת מכרזים (תיקון - עידוד עסקים להעסקת בני החברה הערבית והחרדית), התשפ"ב-2021</t>
  </si>
  <si>
    <t xml:space="preserve"> (פ/2626/24)</t>
  </si>
  <si>
    <t xml:space="preserve">הצעת חוק להרחבת הייצוג ההולם של בני האוכלוסייה החרדית ברשויות ובתאגידים ציבוריים (תיקוני חקיקה), התשפ"ב-2021</t>
  </si>
  <si>
    <t xml:space="preserve"> (פ/2625/24)</t>
  </si>
  <si>
    <t xml:space="preserve">הצעת חוק החלת ריבונות על בקעת הירדן, גוש עציון, גבעת זאב, מעלה אדומים, ביתר עילית ועפרה, התשפ"ב-2021</t>
  </si>
  <si>
    <t xml:space="preserve"> (פ/2624/24)</t>
  </si>
  <si>
    <t xml:space="preserve"> (פ/2622/24)</t>
  </si>
  <si>
    <t xml:space="preserve">הצעת חוק בתי המשפט (תיקון - שקיפות הליכים משפטיים), התשפ"ב-2021</t>
  </si>
  <si>
    <t xml:space="preserve"> (פ/2621/24)</t>
  </si>
  <si>
    <t xml:space="preserve">הצעת חוק לתיקון פקודת הנמלים (איסור על השטת כלי שיט ועל הפלגה באופנוע ים בשכרות), התשפ"ב-2021</t>
  </si>
  <si>
    <t xml:space="preserve"> (פ/2459/24)</t>
  </si>
  <si>
    <t xml:space="preserve">01.12.2021</t>
  </si>
  <si>
    <t xml:space="preserve">הצעת חוק לתיקון פקודת התעבורה (חובת נשיאת לוחית זיהוי באופניים ממונעים ובקורקינט ממונע), התשפ"א-2021</t>
  </si>
  <si>
    <t xml:space="preserve"> (פ/1093/24)</t>
  </si>
  <si>
    <t xml:space="preserve">הצעת חוק דמי מחלה (היעדרות בשל מחלת ילד) (תיקון - מחלת תינוק), התשפ"א-2021</t>
  </si>
  <si>
    <t xml:space="preserve"> (פ/496/24)</t>
  </si>
  <si>
    <t xml:space="preserve">הצעת חוק הביטוח הלאומי (תיקון - השוואת קצבת נכות לשכר המינימום), התשפ"א-2021</t>
  </si>
  <si>
    <t xml:space="preserve"> (פ/456/24)</t>
  </si>
  <si>
    <t xml:space="preserve">הצעת חוק גיור ממלכתי בישראל, התשפ"א-2021</t>
  </si>
  <si>
    <t xml:space="preserve"> (פ/92/24)</t>
  </si>
  <si>
    <t xml:space="preserve">הצעת חוק הסמכת שירות הביטחון הכללי לסייע במאמץ הלאומי לצמצום התפשטות זן אומיקרון omicron של נגיף הקורונה החדש (הוראה שעה), התשפ"ב-2021</t>
  </si>
  <si>
    <t xml:space="preserve"> (מ/1477)</t>
  </si>
  <si>
    <t xml:space="preserve">הצעת חוק תובענות ייצוגיות (תיקון מס' 14), התשפ"ב-2021</t>
  </si>
  <si>
    <t xml:space="preserve"> (מ/1476)</t>
  </si>
  <si>
    <t xml:space="preserve">חוק שיפוט בתי דין רבניים (נישואין וגירושין) (תיקון מס' 5 והוראת שעה), התשפ"ב-2021 </t>
  </si>
  <si>
    <t xml:space="preserve"> (מ/1423)</t>
  </si>
  <si>
    <t xml:space="preserve">30.11.2021</t>
  </si>
  <si>
    <t xml:space="preserve">תיקון מס' 4  (להלן – התיקון) לחוק שיפוט בתי דין רבניים (נישואין וגירושין) (להלן – החוק)  אשר נחקק כהוראת שעה בשנת 2018 לשלוש שנים, הסמיך את בתי הדין הרבניים בישראל לדון בתביעת הגירושין של מי שאינם אזרחי המדינה ותושביה ואף אינם עונים לתנאי הזיקה הקבועים בסעיף 4א לחוק, במקרים שבהם הנישואין נערכו לפי דין תורה והאישה לא קיבלה גט מנישואין אלה בבית דין מחוץ לישראל . הוחלט להפוך את התיקון מהוראת שעה להוראת קבע תוך ביצוע ההתאמות הנדרשות לכך בחוק. </t>
  </si>
  <si>
    <t xml:space="preserve">חוק סמכויות מיוחדות להתמודדות עם נגיף הקורונה החדש (הוראת שעה) (תיקון מס' 10), התשפ"ב-2021</t>
  </si>
  <si>
    <t xml:space="preserve">29.11.2021</t>
  </si>
  <si>
    <t xml:space="preserve"> הוחלט להאריך את תוקפם של חוק הסמכויות וכן חוק קיום דיונים בהיוועדות חזותית בהשתתפות עצורים, אסירים וכלואים בתקופת התפשטות נגיף הקורונה החדש (הוראת שעה), התש"ף-2020, עד ל-31 בינואר 2022. </t>
  </si>
  <si>
    <t xml:space="preserve">הצעת חוק שוויון ההזדמנויות בעבודה (תיקון - חשיפת תנאי העבודה בין עובדים), התשפ"ב-2021</t>
  </si>
  <si>
    <t xml:space="preserve"> (פ/2619/24)</t>
  </si>
  <si>
    <t xml:space="preserve">הצעת חוק הביטוח הלאומי (תיקון - אבטחה במוסד רפואי כעבודה מועדפת), התשפ''ב-2021</t>
  </si>
  <si>
    <t xml:space="preserve"> (פ/2618/24)</t>
  </si>
  <si>
    <t xml:space="preserve">הצעת חוק הפיקוח על שירותים פיננסיים (קופות גמל) (תיקון - היוון קצבה), התשפ"ב-2021</t>
  </si>
  <si>
    <t xml:space="preserve"> (פ/2617/24)</t>
  </si>
  <si>
    <t xml:space="preserve">הצעת חוק להנצחה, מחקר ותיעוד של פרשת ילדי תימן, המזרח והבלקן, התשפ"ב-2021</t>
  </si>
  <si>
    <t xml:space="preserve"> (פ/2614/24)</t>
  </si>
  <si>
    <t xml:space="preserve"> (פ/2611/24)</t>
  </si>
  <si>
    <t xml:space="preserve">הצעת חוק שיפוט בתי דין רבניים (נישואין וגירושין) (תיקון - נישואין אזרחיים בשטח שגרירות בישראל), התשפ"ב-2021</t>
  </si>
  <si>
    <t xml:space="preserve"> (פ/2609/24)</t>
  </si>
  <si>
    <t xml:space="preserve">הצעת חוק מועצת הצמחים (ייצור ושיווק) (תיקון - ביטול מועצת הצמחים), התשפ"ב-2021</t>
  </si>
  <si>
    <t xml:space="preserve"> (פ/2606/24)</t>
  </si>
  <si>
    <t xml:space="preserve">הצעת חוק קליטת חיילים משוחררים (תיקון - לימודים אקדמיים לחיילים קרביים משוחררים במימון המדינה), התשפ"ב-2021</t>
  </si>
  <si>
    <t xml:space="preserve"> (פ/2605/24)</t>
  </si>
  <si>
    <t xml:space="preserve">הצעת חוק רישוי עסקים (תיקון - התקנת מכשיר לבדיקת רמת אלכוהול), התשפ"ב-2021</t>
  </si>
  <si>
    <t xml:space="preserve"> (פ/2603/24)</t>
  </si>
  <si>
    <t xml:space="preserve">הצעת חוק התכנון והבנייה (תיקון - חיבור חשמל מטעמים הומניטריים), התשפ"ב-2021</t>
  </si>
  <si>
    <t xml:space="preserve"> (פ/2602/24)</t>
  </si>
  <si>
    <t xml:space="preserve">הצעת חוק מס הכנסה (פטור ממס על הכנסה מהשכרת דירת מגורים) (תיקון - ניכוי דמי שכירות ששולמו בעד דירת מגורים), התשפ"ב-2021</t>
  </si>
  <si>
    <t xml:space="preserve"> (פ/2600/24)</t>
  </si>
  <si>
    <t xml:space="preserve"> (פ/2599/24)</t>
  </si>
  <si>
    <t xml:space="preserve">הצעת חוק הכניסה לישראל (תיקון - אי מתן אשרה ורישיון ישיבה בישראל), התשפ"ב-2021</t>
  </si>
  <si>
    <t xml:space="preserve"> (פ/2596/24)</t>
  </si>
  <si>
    <t xml:space="preserve"> (פ/2595/24)</t>
  </si>
  <si>
    <t xml:space="preserve">הצעת חוק למניעת הסתננות (עבירות ושיפוט) (הוראת שעה – הארכת תוקף), התשפ"ב-2021 </t>
  </si>
  <si>
    <t xml:space="preserve"> (מ/1474)</t>
  </si>
  <si>
    <t xml:space="preserve">הצעת חוק להפסקת פעילות סוכנות הסעד והתעסוקה של האו"ם לפליטי פלסטין במזרח הקרוב (אונר"א), התשפ"ב-2021</t>
  </si>
  <si>
    <t xml:space="preserve"> (פ/2240/24)</t>
  </si>
  <si>
    <t xml:space="preserve">24.11.2021</t>
  </si>
  <si>
    <t xml:space="preserve">הצעת חוק למדיניות לאומית לשמירה על שטחים פתוחים, התשפ"א-2021</t>
  </si>
  <si>
    <t xml:space="preserve"> (פ/2086/24)</t>
  </si>
  <si>
    <t xml:space="preserve">הצעת חוק לימודי הכנה למבחנים פסיכומטריים לתלמידים, התשפ"א-2021</t>
  </si>
  <si>
    <t xml:space="preserve"> (פ/1903/24)</t>
  </si>
  <si>
    <t xml:space="preserve">הצעת חוק ההוצאה לפועל (תיקון - מסלול מקוצר חובה), התשפ"א-2021</t>
  </si>
  <si>
    <t xml:space="preserve"> (פ/1863/24)</t>
  </si>
  <si>
    <t xml:space="preserve">הצעת חוק הביטוח הלאומי (תיקון - העלאת קצבת הילדים), התשפ"א-2021</t>
  </si>
  <si>
    <t xml:space="preserve"> (פ/1799/24)</t>
  </si>
  <si>
    <t xml:space="preserve">הצעת חוק להנצחת זכרו של מנחם בגין (תיקון - יום זיכרון ממלכתי), התשפ"א-2021</t>
  </si>
  <si>
    <t xml:space="preserve"> (פ/1709/24)</t>
  </si>
  <si>
    <t xml:space="preserve"> (פ/1618/24)</t>
  </si>
  <si>
    <t xml:space="preserve">הצעת חוק הדיור הציבורי (הגדלת המלאי), התשפ"א-2021</t>
  </si>
  <si>
    <t xml:space="preserve"> (פ/1615/24)</t>
  </si>
  <si>
    <t xml:space="preserve"> (פ/1518/24)</t>
  </si>
  <si>
    <t xml:space="preserve">הצעת חוק הבטחת פיצויים לתושבי מתחם פארק חורשות (אבו-כביר), התשפ"א-2021</t>
  </si>
  <si>
    <t xml:space="preserve"> (פ/1389/24)</t>
  </si>
  <si>
    <t xml:space="preserve">הצעת חוק הכללת חוב עונשי בהפטר (תיקוני חקיקה) התשפ"א-2021</t>
  </si>
  <si>
    <t xml:space="preserve"> (פ/810/24)</t>
  </si>
  <si>
    <t xml:space="preserve">הצעת חוק לתיקון פקודת בתי הסוהר (קביעת משך הביקור), התשפ"א-2021</t>
  </si>
  <si>
    <t xml:space="preserve"> (פ/749/24)</t>
  </si>
  <si>
    <t xml:space="preserve">הצעת חוק צער בעלי חיים (הגנה על בעלי חיים) (תיקון - ענישה מזערית), התשפ"א-2021</t>
  </si>
  <si>
    <t xml:space="preserve"> (פ/565/24)</t>
  </si>
  <si>
    <t xml:space="preserve">הצעת חוק ביטול המינהל האזרחי, התשפ"א-2021</t>
  </si>
  <si>
    <t xml:space="preserve"> (פ/425/24)</t>
  </si>
  <si>
    <t xml:space="preserve"> (פ/410/24)</t>
  </si>
  <si>
    <t xml:space="preserve">הצעת חוק לתיקון פקודת התעבורה (תשלום קנס בתשלומים), התשפ"א-2021</t>
  </si>
  <si>
    <t xml:space="preserve"> (פ/304/24)</t>
  </si>
  <si>
    <t xml:space="preserve">חוק מיסוי מקרקעין (שבח ורכישה) (תיקון מס' 98), התשפ"ב-2021</t>
  </si>
  <si>
    <t xml:space="preserve"> (מ/1460)</t>
  </si>
  <si>
    <t xml:space="preserve">22.11.2021</t>
  </si>
  <si>
    <t xml:space="preserve">במכירת זכות בבניין או חלק ממנו שהוא דירת מגורים, לגבי מי שזו אינה דירת המגורים היחידה שלו, ישולם מס רכישה בגובה 8% על חלק השווי שעד 5,348,565 שקלים חדשים, ועל חלק השווי הגבוה מזה, 10%. שינוי זה יחול עד יום ל' בכסלו התשפ"ה (31 בדצמבר 2024). שר האוצר רשאי להאריך תקופה זו בצו, באישור ועדת הכספים של הכנסת, לתקופה של שנתיים.  </t>
  </si>
  <si>
    <t xml:space="preserve">הצעת חוק העונשין (תיקון - תקיפת נהגי אוטובוס בקווי תחבורה ציבורית), התשפ"ב-2021</t>
  </si>
  <si>
    <t xml:space="preserve"> (פ/2594/24)</t>
  </si>
  <si>
    <t xml:space="preserve">הצעת חוק המדיניות הכלכלית לשנים 2011 ו-2012 (תיקוני חקיקה) (תיקון - תנאים להתרת השקעה במניות כהוצאה), התשפ"ב-2021</t>
  </si>
  <si>
    <t xml:space="preserve"> (פ/2593/24)</t>
  </si>
  <si>
    <t xml:space="preserve"> (פ/2591/24)</t>
  </si>
  <si>
    <t xml:space="preserve"> (פ/2590/24)</t>
  </si>
  <si>
    <t xml:space="preserve">הצעת חוק שירות המדינה (מינויים) (תיקון - ייצוג הולם ללוחמים), התשפ"ב-2021</t>
  </si>
  <si>
    <t xml:space="preserve"> (פ/2588/24)</t>
  </si>
  <si>
    <t xml:space="preserve"> (פ/2586/24)</t>
  </si>
  <si>
    <t xml:space="preserve"> (פ/2585/24)</t>
  </si>
  <si>
    <t xml:space="preserve">הצעת חוק הנוער (שפיטה, ענישה ודרכי טיפול) (תיקון - טעמים מיוחדים להעמדה לדין של מי שביצע עבירה בהיותו קטין), התשפ"ב-2021</t>
  </si>
  <si>
    <t xml:space="preserve"> (פ/2582/24)</t>
  </si>
  <si>
    <t xml:space="preserve">הצעת חוק הביטוח הלאומי (תיקון - קבלת מענק במקרה פטירה), התשפ"ב-2021</t>
  </si>
  <si>
    <t xml:space="preserve"> (פ/2581/24)</t>
  </si>
  <si>
    <t xml:space="preserve">הצעת חוק רשם מקרי אובדנות, התשפ"ב-2021</t>
  </si>
  <si>
    <t xml:space="preserve"> (פ/2580/24)</t>
  </si>
  <si>
    <t xml:space="preserve">הצעת חוק הביטוח הלאומי (תיקון - ביטוח זכויות עצמאי שעיקר הכנסתו מעסק בהליכי חדלות פירעון), התשפ"ב-2021</t>
  </si>
  <si>
    <t xml:space="preserve"> (פ/2579/24)</t>
  </si>
  <si>
    <t xml:space="preserve">הצעת חוק התחרות הכלכלית (תיקון - ביטול הפטור לענף החקלאות), התשפ"ב-2021</t>
  </si>
  <si>
    <t xml:space="preserve"> (פ/2578/24)</t>
  </si>
  <si>
    <t xml:space="preserve"> (פ/2577/24)</t>
  </si>
  <si>
    <t xml:space="preserve">הצעת חוק לתיקון פקודת התעבורה (הסמכת רשות מקומית לביצוע תפקידי רישוי), התשפ"ב-2021</t>
  </si>
  <si>
    <t xml:space="preserve"> (פ/2576/24)</t>
  </si>
  <si>
    <t xml:space="preserve">הצעת חוק לתיקון פקודת התעבורה (הגבלת תנועת כלי רכב ביום הכיפורים), התשפ"ב-2021</t>
  </si>
  <si>
    <t xml:space="preserve"> (פ/2575/24)</t>
  </si>
  <si>
    <t xml:space="preserve">הצעת חוק סיוע לנפגעי האסון הלאומי בהר מירון, התשפ"ב-2021</t>
  </si>
  <si>
    <t xml:space="preserve"> (פ/2574/24)</t>
  </si>
  <si>
    <t xml:space="preserve">הצעת חוק חינוך ממלכתי (תיקון - לימוד מורשת יהודי ברית המועצות לשעבר), התשפ"ב-2021</t>
  </si>
  <si>
    <t xml:space="preserve"> (פ/2573/24)</t>
  </si>
  <si>
    <t xml:space="preserve"> (פ/2572/24)</t>
  </si>
  <si>
    <t xml:space="preserve"> (פ/2571/24)</t>
  </si>
  <si>
    <t xml:space="preserve">הצעת חוק מידע גנטי (תיקון - איסור שימוש בתוצאות בדיקה גנטית לקביעת השתייכות לעדה דתית), התשפ"ב-2021</t>
  </si>
  <si>
    <t xml:space="preserve"> (פ/2570/24)</t>
  </si>
  <si>
    <t xml:space="preserve">הצעת חוק לתיקון פקודת מס הכנסה (הכרה בהוצאות אש"ל לעצמאים), התשפ"ב-2021</t>
  </si>
  <si>
    <t xml:space="preserve"> (פ/2569/24)</t>
  </si>
  <si>
    <t xml:space="preserve">הצעת חוק הקמת ועדת חקירה ממלכתית לפרשת מסמך הרפז, התשפ"ב-2021</t>
  </si>
  <si>
    <t xml:space="preserve"> (פ/2567/24)</t>
  </si>
  <si>
    <t xml:space="preserve">הצעת חוק שיקים ללא כיסוי (תיקון - הקלות בהגבלת חשבון), התשפ"ב-2021</t>
  </si>
  <si>
    <t xml:space="preserve"> (פ/2566/24)</t>
  </si>
  <si>
    <t xml:space="preserve">הצעת חוק חינוך ממלכתי (תיקון - חובת לימוד ערבית), התשפ"ב-2021</t>
  </si>
  <si>
    <t xml:space="preserve"> (פ/2564/24)</t>
  </si>
  <si>
    <t xml:space="preserve">הצעת חוק הסדרת העיסוק בייעוץ השקעות, בשיווק השקעות ובניהול תיקי השקעות (תיקון - דיווח יועץ השקעות ללקוח), התשפ"ב-2021</t>
  </si>
  <si>
    <t xml:space="preserve"> (פ/2563/24)</t>
  </si>
  <si>
    <t xml:space="preserve"> (פ/2562/24)</t>
  </si>
  <si>
    <t xml:space="preserve">הצעת חוק לשכת עורכי הדין (תיקון - ציון עובר בבחינת ההתמחות) (הוראת שעה), התשפ"ב-2021</t>
  </si>
  <si>
    <t xml:space="preserve"> (פ/2561/24)</t>
  </si>
  <si>
    <t xml:space="preserve">הצעת חוק מימון מפלגות (תיקון - ייצוג לנשים ברשימות המועמדים), התשפ"ב-2021</t>
  </si>
  <si>
    <t xml:space="preserve"> (פ/2560/24)</t>
  </si>
  <si>
    <t xml:space="preserve">הצעת חוק לתיקון פקודת העיריות (הטלת ארנונה על מפעל לייצור נשק), התשפ"ב-2021</t>
  </si>
  <si>
    <t xml:space="preserve"> (פ/2559/24)</t>
  </si>
  <si>
    <t xml:space="preserve"> (פ/2558/24)</t>
  </si>
  <si>
    <t xml:space="preserve">הצעת חוק חינוך ממלכתי (תיקון - חינוך לשוויון מגדרי חובה), התשפ"ב-2021</t>
  </si>
  <si>
    <t xml:space="preserve"> (פ/2557/24)</t>
  </si>
  <si>
    <t xml:space="preserve">הצעת חוק קרן לאזרחי ישראל (תיקון - מועד תחילת החוק), התשפ"ב-2021</t>
  </si>
  <si>
    <t xml:space="preserve"> (פ/2556/24)</t>
  </si>
  <si>
    <t xml:space="preserve">הצעת חוק הפיקוח על שירותים פיננסיים (ביטוח) (תיקון - תוצאות הפרות חוזרות), התשפ"ב-2021</t>
  </si>
  <si>
    <t xml:space="preserve"> (פ/2555/24)</t>
  </si>
  <si>
    <t xml:space="preserve">הצעת חוק שוויון ההזדמנויות בעבודה (תיקון - עצמאות נציבות שוויון הזדמנויות בעבודה), התשפ"ב-2021</t>
  </si>
  <si>
    <t xml:space="preserve"> (פ/2554/24)</t>
  </si>
  <si>
    <t xml:space="preserve"> (פ/2553/24)</t>
  </si>
  <si>
    <t xml:space="preserve">הצעת חוק חוזה עבודה (הגבלות לעניין סיום העסקה של עובד), התשפ"ב-2021 </t>
  </si>
  <si>
    <t xml:space="preserve"> (פ/2552/24)</t>
  </si>
  <si>
    <t xml:space="preserve">הצעת חוק זכויות בעלי חיים (העברת סמכויות הוועדה בכנסת) (תיקוני חקיקה), התשפ"ב-2021</t>
  </si>
  <si>
    <t xml:space="preserve"> (פ/2551/24)</t>
  </si>
  <si>
    <t xml:space="preserve">הצעת חוק שוויון זכויות לאנשים עם מוגבלות (תיקון - הנפקת תעודות לבעלי מוגבלות בראיה), התשפ"ב-2021</t>
  </si>
  <si>
    <t xml:space="preserve"> (פ/2550/24)</t>
  </si>
  <si>
    <t xml:space="preserve">הצעת חוק זכויות החולה (תיקון - קביעת הוראות לעניין הכנסת חפצים ודברי מאכל למוסד רפואי), התשפ"ב-2021</t>
  </si>
  <si>
    <t xml:space="preserve"> (פ/2548/24)</t>
  </si>
  <si>
    <t xml:space="preserve"> (פ/2545/24)</t>
  </si>
  <si>
    <t xml:space="preserve">הצעת חוק ביטוח בריאות ממלכתי (תיקון - זמינות שירותים רפואיים), התשפ"ב-2021</t>
  </si>
  <si>
    <t xml:space="preserve"> (פ/2544/24)</t>
  </si>
  <si>
    <t xml:space="preserve">הצעת חוק בתי המשפט (תיקון מס' 101) (הוספת אמצעי משמעת של העברה זמנית מכהונה), התשפ"ב-2021 </t>
  </si>
  <si>
    <t xml:space="preserve"> (מ/1465)</t>
  </si>
  <si>
    <t xml:space="preserve">הצעת חוק קבוצות רכישה, התשפ"ב-2021 </t>
  </si>
  <si>
    <t xml:space="preserve"> (מ/1467)</t>
  </si>
  <si>
    <t xml:space="preserve">הצעת חוק המועצה להשכלה גבוהה (תיקון - אמות מידה לתקצוב), התשפ"א-2021</t>
  </si>
  <si>
    <t xml:space="preserve"> (פ/2137/24)</t>
  </si>
  <si>
    <t xml:space="preserve">17.11.2021</t>
  </si>
  <si>
    <t xml:space="preserve">הצעת חוק הטבות לתושבים יוצאי צבא ושירות לאומי ואזרחי, בעיר מעורבת, התשפ"א-2021</t>
  </si>
  <si>
    <t xml:space="preserve"> (פ/2071/24)</t>
  </si>
  <si>
    <t xml:space="preserve">הצעת חוק קביעת אופן ההעסקה של מטפלות במשפחתונים המפוקחים על ידי משרד העבודה, הרווחה והשירותים החברתיים, התשפ"א-2021</t>
  </si>
  <si>
    <t xml:space="preserve"> (פ/1643/24)</t>
  </si>
  <si>
    <t xml:space="preserve">הצעת חוק התאמת אופן ההעסקה של מטפלות במשפחתונים המפוקחים על ידי האגף למעונות יום ומשפחתונים במשרד העבודה, הרווחה והשירותים החברתיים, התשפ"א-2021</t>
  </si>
  <si>
    <t xml:space="preserve"> (פ/1496/24)</t>
  </si>
  <si>
    <t xml:space="preserve">הצעת חוק לעידוד הקמת מרחבים מוגנים דירתיים, התשפ"א-2021</t>
  </si>
  <si>
    <t xml:space="preserve"> (פ/1477/24)</t>
  </si>
  <si>
    <t xml:space="preserve">הצעת חוק הגנה על הציבור מפני עבריינים שביצעו עבירות אלימות חמורות, התשפ"א-2021</t>
  </si>
  <si>
    <t xml:space="preserve"> (פ/854/24)</t>
  </si>
  <si>
    <t xml:space="preserve">הצעת חוק הטבות מס ליישוב מעורב, התשפ"א-2021</t>
  </si>
  <si>
    <t xml:space="preserve"> (פ/778/24)</t>
  </si>
  <si>
    <t xml:space="preserve">הצעת חוק שיקים ללא כיסוי (תיקון - מצב חירום בשל מגיפה עולמית), התשפ"א-2021</t>
  </si>
  <si>
    <t xml:space="preserve"> (פ/677/24)</t>
  </si>
  <si>
    <t xml:space="preserve">הצעת חוק כביש אגרה (כביש ארצי לישראל) (תיקון - פטור מאגרה בשל האטה ממהירות הנסיעה המותרת), התשפ"א-2021</t>
  </si>
  <si>
    <t xml:space="preserve"> (פ/368/24)</t>
  </si>
  <si>
    <t xml:space="preserve"> (פ/138/24)</t>
  </si>
  <si>
    <t xml:space="preserve">הצעת חוק לתיקון פקודת בתי הסוהר (תנאי אסיר ביטחוני בבתי הסוהר), התשפ"ב-2021</t>
  </si>
  <si>
    <t xml:space="preserve"> (פ/2543/24)</t>
  </si>
  <si>
    <t xml:space="preserve">15.11.2021</t>
  </si>
  <si>
    <t xml:space="preserve">הצעת חוק המלחמה בפדופיליה (מאגר מידע), התשפ"ב-2021</t>
  </si>
  <si>
    <t xml:space="preserve"> (פ/2541/24)</t>
  </si>
  <si>
    <t xml:space="preserve">הצעת חוק לתיקון פקודת מס הכנסה (הכרה בהוצאות עבודה מהבית בתקופת התפשטות נגיף הקורונה החדש) (הוראת שעה), התשפ"ב-2021</t>
  </si>
  <si>
    <t xml:space="preserve"> (פ/2540/24)</t>
  </si>
  <si>
    <t xml:space="preserve">הצעת חוק הבחירות (דרכי תעמולה) (תיקון - פרסום סקרים בימי מנוחה), התשפ"ב-2021</t>
  </si>
  <si>
    <t xml:space="preserve"> (פ/2539/24)</t>
  </si>
  <si>
    <t xml:space="preserve"> (פ/2538/24)</t>
  </si>
  <si>
    <t xml:space="preserve">הצעת חוק עבודת נשים (תיקון - תגמול לעובדת עצמאית שבן זוגה משרת במילואים), התשפ"ב-2021</t>
  </si>
  <si>
    <t xml:space="preserve"> (פ/2537/24)</t>
  </si>
  <si>
    <t xml:space="preserve">הצעת חוק מס ערך מוסף (תיקון - הגבלת שיעור מס שכר למלכ"רים בירושלים), התשפ"ב-2021</t>
  </si>
  <si>
    <t xml:space="preserve"> (פ/2536/24)</t>
  </si>
  <si>
    <t xml:space="preserve"> (פ/2534/24)</t>
  </si>
  <si>
    <t xml:space="preserve">הצעת חוק הביטוח הלאומי (תיקון - רכז תנועת נוער או ארגון נוער כעבודה מועדפת), התשפ"ב-2021</t>
  </si>
  <si>
    <t xml:space="preserve"> (פ/2533/24)</t>
  </si>
  <si>
    <t xml:space="preserve">הצעת חוק לתיקון סדרי המינהל (החלטות והנמקות) (תיקון - קיצור זמן המענה בפניות ציבור), התשפ"ב-2021</t>
  </si>
  <si>
    <t xml:space="preserve"> (פ/2532/24)</t>
  </si>
  <si>
    <t xml:space="preserve">הצעת חוק הרשויות המקומיות (יועצת לענייני מעמד האישה) (תיקון - תקציב ייעודי וייחוד הכהונה), התשפ"ב-2021</t>
  </si>
  <si>
    <t xml:space="preserve"> (פ/2531/24)</t>
  </si>
  <si>
    <t xml:space="preserve">הצעת חוק יחסי ממון בין בני זוג (תיקון - הפקעת זכות האיזון מבן זוג שהורשע ברצח בן הזוג השני), התשפ"ב-2021</t>
  </si>
  <si>
    <t xml:space="preserve"> (פ/2530/24)</t>
  </si>
  <si>
    <t xml:space="preserve">הצעת חוק איסור חקירה בדבר עברו המיני של נפגע עבירה (תיקוני חקיקה), התשפ"ב-2021</t>
  </si>
  <si>
    <t xml:space="preserve"> (פ/2529/24)</t>
  </si>
  <si>
    <t xml:space="preserve">הצעת חוק דמי נסיעה לסטודנטים בתחבורה ציבורית (תיקוני חקיקה), התשפ"ב-2021</t>
  </si>
  <si>
    <t xml:space="preserve"> (פ/2528/24)</t>
  </si>
  <si>
    <t xml:space="preserve">הצעת חוק הביטוח הלאומי (תיקון - עבודה מועדפת), התשפ"ב-2021</t>
  </si>
  <si>
    <t xml:space="preserve"> (פ/2526/24)</t>
  </si>
  <si>
    <t xml:space="preserve">הצעת חוק המועצה להשכלה גבוהה (תיקון - קביעת שכר לימוד במוסדות מוכרים שהמדינה אינה משתתפת בתקציביהם), התשפ"ב-2021</t>
  </si>
  <si>
    <t xml:space="preserve"> (פ/2525/24)</t>
  </si>
  <si>
    <t xml:space="preserve">הצעת חוק ההוצאה לפועל (תיקון - החרגת עיקול רכב), התשפ"ב-2021</t>
  </si>
  <si>
    <t xml:space="preserve"> (פ/2524/24)</t>
  </si>
  <si>
    <t xml:space="preserve">הצעת חוק לתיקון פקודת מס הכנסה (הכרה בהוצאות טיפול בילדים), התשפ"ב-2021</t>
  </si>
  <si>
    <t xml:space="preserve"> (פ/2523/24)</t>
  </si>
  <si>
    <t xml:space="preserve">הצעת חוק-יסוד: הגירה לישראל </t>
  </si>
  <si>
    <t xml:space="preserve"> (פ/2521/24)</t>
  </si>
  <si>
    <t xml:space="preserve">הצעת חוק לתיקון פקודת התעבורה (הגבלת הפעלת רכב ציבורי בימי מנוחה), התשפ"ב-2021</t>
  </si>
  <si>
    <t xml:space="preserve"> (פ/2520/24)</t>
  </si>
  <si>
    <t xml:space="preserve">הצעת חוק שמירת הסביבה החופית (בחינה ועדכון של תכניות), התשפ"ב-2021</t>
  </si>
  <si>
    <t xml:space="preserve"> (פ/2518/24)</t>
  </si>
  <si>
    <t xml:space="preserve">הצעת חוק הסכמים קיבוציים (תיקון - שינוי מעסיקים), התשפ"ב-2021</t>
  </si>
  <si>
    <t xml:space="preserve"> (פ/2517/24)</t>
  </si>
  <si>
    <t xml:space="preserve"> (פ/2516/24)</t>
  </si>
  <si>
    <t xml:space="preserve">הצעת חוק חינוך ממלכתי (תיקון - תקצוב מלא למוסדות מוכרים לא רשמיים), התשפ"ב-2021</t>
  </si>
  <si>
    <t xml:space="preserve"> (פ/2515/24)</t>
  </si>
  <si>
    <t xml:space="preserve">הצעת חוק שעות עבודה ומנוחה (תיקון - הפסקה בין יום עבודה למשנהו שלא עולה על 8 שעות), התשפ"ב-2021</t>
  </si>
  <si>
    <t xml:space="preserve"> (פ/2513/24)</t>
  </si>
  <si>
    <t xml:space="preserve">הצעת חוק הירושה (תיקון - בני זוג), התשפ"ב-2021</t>
  </si>
  <si>
    <t xml:space="preserve"> (פ/2512/24)</t>
  </si>
  <si>
    <t xml:space="preserve">הצעת חוק שירותי הסעד (תיקון - הגבלת מספר התיקים בטיפול עובד סוציאלי המטפל במשפחות), התשפ"ב-2021</t>
  </si>
  <si>
    <t xml:space="preserve"> (פ/2510/24)</t>
  </si>
  <si>
    <t xml:space="preserve"> (פ/2509/24)</t>
  </si>
  <si>
    <t xml:space="preserve">הצעת חוק התכנון והבנייה (תיקון - הגבלת תקופת ההפקעה לייעוד ציבורי), התשפ"ב- 2021</t>
  </si>
  <si>
    <t xml:space="preserve"> (פ/2508/24)</t>
  </si>
  <si>
    <t xml:space="preserve">הצעת חוק ההכרה בענף הפוקר, התשפ"ב-2021</t>
  </si>
  <si>
    <t xml:space="preserve"> (פ/2506/24)</t>
  </si>
  <si>
    <t xml:space="preserve">הצעת חוק לימוד חובה (תיקון - חינוך חינם לפעוטות ולילדים), התשפ"ב-2021</t>
  </si>
  <si>
    <t xml:space="preserve"> (פ/2504/24)</t>
  </si>
  <si>
    <t xml:space="preserve">הצעת חוק הפקדות וזכויות סוציאליות לעצמאים (תיקוני חקיקה), התשפ"ב-2021</t>
  </si>
  <si>
    <t xml:space="preserve"> (פ/2502/24)</t>
  </si>
  <si>
    <t xml:space="preserve"> (פ/2496/24)</t>
  </si>
  <si>
    <t xml:space="preserve">הצעת חוק חסינות חברי הכנסת, זכויותיהם וחובותיהם (תיקון - ועדת האתיקה), התשפ"ב-2021</t>
  </si>
  <si>
    <t xml:space="preserve"> (פ/2495/24)</t>
  </si>
  <si>
    <t xml:space="preserve">הצעת חוק משפחות חיילים שנספו במערכה (תגמולים ושיקום) (תיקון - המונח יתום), התשפ"ב-2021</t>
  </si>
  <si>
    <t xml:space="preserve"> (פ/2494/24)</t>
  </si>
  <si>
    <t xml:space="preserve">הצעת חוק שקיפות אינטרסים כספיים וגילוי עניינים של חברי הכנסת והשרים, התשפ"ב-2021</t>
  </si>
  <si>
    <t xml:space="preserve"> (פ/2493/24)</t>
  </si>
  <si>
    <t xml:space="preserve">הצעת חוק מיסוי רווחים ממשאבי טבע (תיקון - שקיפות הליכי השומה), התשפ"ב-2021</t>
  </si>
  <si>
    <t xml:space="preserve"> (פ/2492/24)</t>
  </si>
  <si>
    <t xml:space="preserve">הצעת חוק הביטוח הלאומי (תיקון - העלאת דמי לידה), התשפ"ב-2021</t>
  </si>
  <si>
    <t xml:space="preserve"> (פ/2491/24)</t>
  </si>
  <si>
    <t xml:space="preserve">הצעת חוק הקמת מאגר מידע דיגיטלי בנושא הכשרות מקצועיות, התשפ"ב-2021</t>
  </si>
  <si>
    <t xml:space="preserve"> (פ/2490/24)</t>
  </si>
  <si>
    <t xml:space="preserve"> (פ/2488/24)</t>
  </si>
  <si>
    <t xml:space="preserve">הצעת חוק שירותי הסעד (תיקון - איסור התניית מימון שירותי רווחה ברשויות מוחלשות), התשפ"ב-2021</t>
  </si>
  <si>
    <t xml:space="preserve"> (פ/2487/24)</t>
  </si>
  <si>
    <t xml:space="preserve">הצעת חוק המסייעים לנטרול תוצאות אסון צ'רנוביל (תיקון - ציון יום המסייעים), התשפ"ב-2021</t>
  </si>
  <si>
    <t xml:space="preserve"> (פ/2486/24)</t>
  </si>
  <si>
    <t xml:space="preserve">הצעת חוק עבודת נשים (תיקון - תקופת לידה והורות לנשים בעבודה פיזית קשה), התשפ"ב-2021</t>
  </si>
  <si>
    <t xml:space="preserve"> (פ/2485/24)</t>
  </si>
  <si>
    <t xml:space="preserve"> (פ/2484/24)</t>
  </si>
  <si>
    <t xml:space="preserve">הצעת חוק העונשין (תיקון - החמרת ענישה בפשיעה חקלאית), התשפ"ב-2021</t>
  </si>
  <si>
    <t xml:space="preserve"> (פ/2483/24)</t>
  </si>
  <si>
    <t xml:space="preserve">הצעת חוק חוזה הביטוח (תיקון - ביטוח דירה), התשפ"ב-2021</t>
  </si>
  <si>
    <t xml:space="preserve"> (פ/2481/24)</t>
  </si>
  <si>
    <t xml:space="preserve">הצעת חוק להגברת השקיפות בפעילותם של גופים פיננסיים (תיקוני חקיקה), התשפ"ב-2021</t>
  </si>
  <si>
    <t xml:space="preserve"> (פ/2480/24)</t>
  </si>
  <si>
    <t xml:space="preserve">הצעת חוק קביעת יום לציון עקירת יישובי גוש קטיף וצפון השומרון, התשפ"ב-2021</t>
  </si>
  <si>
    <t xml:space="preserve"> (פ/2479/24)</t>
  </si>
  <si>
    <t xml:space="preserve">הצעת חוק הביטוח הלאומי (תיקון - קצבת נכות לעקרת בית), התשפ"ב-2021</t>
  </si>
  <si>
    <t xml:space="preserve"> (פ/2476/24)</t>
  </si>
  <si>
    <t xml:space="preserve">הצעת חוק העברת היחידות הארציות של משרדי הממשלה לירושלים, התשפ"ב-2021</t>
  </si>
  <si>
    <t xml:space="preserve"> (פ/2475/24)</t>
  </si>
  <si>
    <t xml:space="preserve">הצעת חוק הכשרות המשפטית והאפוטרופסות (תיקון - תנאים להוצאת אדם מביתו בניגוד לרצונו), התשפ"ב-2021</t>
  </si>
  <si>
    <t xml:space="preserve"> (פ/2474/24)</t>
  </si>
  <si>
    <t xml:space="preserve">הצעת חוק יום בריאות הנפש, התשפ"ב-2021</t>
  </si>
  <si>
    <t xml:space="preserve"> (פ/2473/24)</t>
  </si>
  <si>
    <t xml:space="preserve">הצעת חוק העמותות (תיקון - חובת גילוי תרומה אנונימית), התשפ"ב-2021</t>
  </si>
  <si>
    <t xml:space="preserve"> (פ/2472/24)</t>
  </si>
  <si>
    <t xml:space="preserve">הצעת חוק לסימון סוסים, חמורים ופרדים ולהגנתם, התשפ"ב-2021</t>
  </si>
  <si>
    <t xml:space="preserve"> (פ/2471/24)</t>
  </si>
  <si>
    <t xml:space="preserve">הצעת חוק שכר לחיילים בשירות סדיר, התשפ"ב-2021</t>
  </si>
  <si>
    <t xml:space="preserve"> (פ/2470/24)</t>
  </si>
  <si>
    <t xml:space="preserve">הצעת חוק לתיקון פקודת התעבורה (הסדרי תנועה בקרבת בית ספר), התשפ"ב-2021</t>
  </si>
  <si>
    <t xml:space="preserve"> (פ/2469/24)</t>
  </si>
  <si>
    <t xml:space="preserve">חוק מיסוי רווחים ממשאבי טבע (תיקון מס' 3), התשפ"ב-2021</t>
  </si>
  <si>
    <t xml:space="preserve"> (מ/1400)</t>
  </si>
  <si>
    <t xml:space="preserve">10.11.2021</t>
  </si>
  <si>
    <t xml:space="preserve">הגשת ערעור לבית המשפט על שומת היטל לא תדחה את מועד החיוב של 75% מתשלום ההיטל שבו חייב נישום על פי החלטת פקיד השומה בהשגה, אם יתברר על פי הכרעת בית המשפט כי רשות המיסים גבתה סכום ביתר, הוא יושב לנישום בתוספת הפרשי ריבית והצמדה.  תוקם קרן לתקופת ביניים שבה ינהל החשב הכללי את הכספים אשר לגביהם הוגש ערעור. הפך חוב המס סופי – יועברו לאוצר המדינה ויושבו לבעל הזכות. החשב הכללי ידווח לוועדת הכספים, אחת לשנה, אודות סך הכספים שהועברו לקרן לתקופת ביניים וסך רווחי ההשקעות וההפסדים שנוכו מכספים כאמור. כמו כן, ידווח על יתרת הכספים בקרן. עד להקמת קרן לאזרחי ישראל, ידווח החשב הכללי לוועדת הכספים, אחת לשנה, על סך הכספים שנצברו בקרן עד מועד הדיווח.  כמו כן, נקבעו בחוק הוראות לעניין צירוף דוח כספי מבוקר וכן דוח התאמה, וכן יוחלו כללי החשבונאות המקובלים. פקיד השומה מוסמך להטיל קנס גירעון בשיעור של 15%, במקרה שבו הפער בין השומה העצמית לבין השומה גבוה מחמש מאות אלף שקלים חדשים אם הייתה התרשלות בעריכת השומה העצמית. </t>
  </si>
  <si>
    <t xml:space="preserve"> (פ/2403/24)</t>
  </si>
  <si>
    <t xml:space="preserve"> (פ/2402/24)</t>
  </si>
  <si>
    <t xml:space="preserve"> (פ/2381/24)</t>
  </si>
  <si>
    <t xml:space="preserve">הצעת חוק הביטוח הלאומי (תיקון - דמי אבטלה לעצמאיים), התשפ"א-2021</t>
  </si>
  <si>
    <t xml:space="preserve"> (פ/1909/24)</t>
  </si>
  <si>
    <t xml:space="preserve">הצעת חוק העונשין (תיקון - החמרת ענישה בפשיעה חקלאית), התשפ"א-2021</t>
  </si>
  <si>
    <t xml:space="preserve"> (פ/1861/24)</t>
  </si>
  <si>
    <t xml:space="preserve">הצעת חוק יום בריאות הנפש, התשפ"א-2021</t>
  </si>
  <si>
    <t xml:space="preserve"> (פ/1735/24)</t>
  </si>
  <si>
    <t xml:space="preserve">הצעת חוק העונשין (תיקון - חלופת מאסר לנשים הרות ולאמהות), התשפ"א-2021</t>
  </si>
  <si>
    <t xml:space="preserve"> (פ/1699/24)</t>
  </si>
  <si>
    <t xml:space="preserve">הצעת חוק אתרי התיישבות בהליכי הסדרה, התשפ"א-2021</t>
  </si>
  <si>
    <t xml:space="preserve"> (פ/1667/24)</t>
  </si>
  <si>
    <t xml:space="preserve"> (פ/1619/24)</t>
  </si>
  <si>
    <t xml:space="preserve">הצעת חוק הקמת בית חולים בעיר סח'נין (תיקוני חקיקה), התשפ"א-2021</t>
  </si>
  <si>
    <t xml:space="preserve"> (פ/1551/24)</t>
  </si>
  <si>
    <t xml:space="preserve"> (פ/1432/24)</t>
  </si>
  <si>
    <t xml:space="preserve">הצעת חוק העונשין (תיקון - חלופת מאסר לנשים הרות ואמהות), התשפ"א-2021</t>
  </si>
  <si>
    <t xml:space="preserve"> (פ/1100/24)</t>
  </si>
  <si>
    <t xml:space="preserve">הצעת חוק תאגידי מים וביוב (תיקון - ועדת חריגים), התשפ"א-2021</t>
  </si>
  <si>
    <t xml:space="preserve"> (פ/1078/24)</t>
  </si>
  <si>
    <t xml:space="preserve">הצעת חוק עידוד שירות צבאי, לאומי או לאומי-אזרחי, התשפ"א-2021</t>
  </si>
  <si>
    <t xml:space="preserve"> (פ/466/24)</t>
  </si>
  <si>
    <t xml:space="preserve">הצעת חוק הפקדות וזכויות סוציאליות לעצמאים (תיקוני חקיקה), התשפ"א-2021</t>
  </si>
  <si>
    <t xml:space="preserve"> (פ/448/24)</t>
  </si>
  <si>
    <t xml:space="preserve"> (פ/444/24)</t>
  </si>
  <si>
    <t xml:space="preserve">הצעת חוק לשכת עורכי הדין (תיקון - בחינת ההתמחות בעידן הקורונה), התשפ"א-2021 </t>
  </si>
  <si>
    <t xml:space="preserve"> (פ/427/24)</t>
  </si>
  <si>
    <t xml:space="preserve">הצעת חוק הביטוח הלאומי (תיקון - דמי אבטלה לעצמאים), התשפ"א-2021</t>
  </si>
  <si>
    <t xml:space="preserve"> (פ/260/24)</t>
  </si>
  <si>
    <t xml:space="preserve">הצעת חוק הביטוח הלאומי (תיקון - שוויון לעצמאים בזכות לדמי אבטלה), התשפ"א-2021</t>
  </si>
  <si>
    <t xml:space="preserve"> (פ/198/24)</t>
  </si>
  <si>
    <t xml:space="preserve"> (פ/175/24)</t>
  </si>
  <si>
    <t xml:space="preserve">הצעת חוק הביטוח הלאומי (תיקון - דמי אבטלה לעצמאים בתקופת הקורונה) (הוראת שעה), התשפ"א-2021</t>
  </si>
  <si>
    <t xml:space="preserve"> (פ/71/24)</t>
  </si>
  <si>
    <t xml:space="preserve"> (פ/57/24)</t>
  </si>
  <si>
    <t xml:space="preserve">הצעת חוק איסור פרסומת והגבלת השיווק של מוצרי טבק ועישון (תיקון - הגבלת כמויות חומרים רעילים בסיגריות), התשפ"א-2021</t>
  </si>
  <si>
    <t xml:space="preserve"> (פ/321/24)</t>
  </si>
  <si>
    <t xml:space="preserve">08.11.2021</t>
  </si>
  <si>
    <t xml:space="preserve">הצעת חוק הכשרות לאנשי מקצוע בתחום הבריאות בנושא מגדר ונטייה מינית, התשפ"ב-2021</t>
  </si>
  <si>
    <t xml:space="preserve"> (פ/2468/24)</t>
  </si>
  <si>
    <t xml:space="preserve">הצעת חוק חוזה העבודה (הסדרי עבודה מרחוק), התשפ"ב-2021</t>
  </si>
  <si>
    <t xml:space="preserve"> (פ/2467/24)</t>
  </si>
  <si>
    <t xml:space="preserve"> (פ/2466/24)</t>
  </si>
  <si>
    <t xml:space="preserve">הצעת חוק המים (תיקון - מתן הנחות בתעריפי מים לאוכלוסיות נזקקות), התשפ"ב-2021</t>
  </si>
  <si>
    <t xml:space="preserve"> (פ/2462/24)</t>
  </si>
  <si>
    <t xml:space="preserve">הצעת חוק הגנת הצרכן (תיקון - איסור גביית עמלה בעסקה שבוצעה באמצעות האינטרנט), התשפ"ב-2021</t>
  </si>
  <si>
    <t xml:space="preserve"> (פ/2461/24)</t>
  </si>
  <si>
    <t xml:space="preserve">הצעת חוק פיקוח על מחירי מצרכים ושירותים (תיקון - פיקוח על מחירי מוצרים בסיסיים במתחמי שירות חיוניים), התשפ"ב-2021</t>
  </si>
  <si>
    <t xml:space="preserve"> (פ/2458/24)</t>
  </si>
  <si>
    <t xml:space="preserve"> (פ/2456/24)</t>
  </si>
  <si>
    <t xml:space="preserve">הצעת חוק הגנה על רופא הנעדר מעבודתו עקב התפשטות נגיף הקורונה, התשפ"ב-2021</t>
  </si>
  <si>
    <t xml:space="preserve"> (פ/2455/24)</t>
  </si>
  <si>
    <t xml:space="preserve">הצעת חוק התכנון והבנייה (תיקון - הקמת ועדה מיוחדת לקידום והסדרת התכנון ביישובים הדרוזיים והצ'רקסיים) (הוראת שעה), התשפ"ב-2021</t>
  </si>
  <si>
    <t xml:space="preserve"> (פ/2454/24)</t>
  </si>
  <si>
    <t xml:space="preserve">הצעת חוק חינוך ממלכתי (תיקון - איסור נשיאת דברים במוסד חינוך למורשע בעבירות טרור ובבגידה), התשפ"ב-2021</t>
  </si>
  <si>
    <t xml:space="preserve"> (פ/2453/24)</t>
  </si>
  <si>
    <t xml:space="preserve">הצעת חוק הגנת הצרכן (תיקון - סימון מידות אחיד לפריטי לבוש והנעלה), התשפ"ב-2021</t>
  </si>
  <si>
    <t xml:space="preserve"> (פ/2452/24)</t>
  </si>
  <si>
    <t xml:space="preserve">הצעת חוק הדיור הציבורי (זכויות רכישה) (תיקון - העלאת המחיר הבסיסי לחישוב מענק), התשפ"ב-2021</t>
  </si>
  <si>
    <t xml:space="preserve"> (פ/2451/24)</t>
  </si>
  <si>
    <t xml:space="preserve">הצעת חוק תאגידי מים וביוב (תיקון - הפסקת התקשרות עם חברה), התשפ''ב-2021 </t>
  </si>
  <si>
    <t xml:space="preserve"> (פ/2450/24)</t>
  </si>
  <si>
    <t xml:space="preserve">הצעת חוק הדיור הציבורי (הקצאת דירות), התשפ"ב-2021</t>
  </si>
  <si>
    <t xml:space="preserve"> (פ/2449/24)</t>
  </si>
  <si>
    <t xml:space="preserve">הצעת חוק הבטחת הכנסה (תיקון - הגדלת הסכום להשתכרות בנוסף לקיצבה), התשפ"ב-2021</t>
  </si>
  <si>
    <t xml:space="preserve"> (פ/2448/24)</t>
  </si>
  <si>
    <t xml:space="preserve">הצעת חוק הביטוח הלאומי (תיקון - הארכת תקופת הזכאות לדמי אבטלה לצעירים), התשפ"ב-2021</t>
  </si>
  <si>
    <t xml:space="preserve"> (פ/2447/24)</t>
  </si>
  <si>
    <t xml:space="preserve">הצעת חוק הרשויות המקומיות (זכויות וחובות של חברי מועצה), התשפ"ב-2021</t>
  </si>
  <si>
    <t xml:space="preserve"> (פ/2444/24)</t>
  </si>
  <si>
    <t xml:space="preserve">הצעת חוק סיוע לקטינים נפגעי עבירות מין או אלימות (תיקון - טיפול נפשי לילדים שנפגעו מינית), התשפ"ב-2021</t>
  </si>
  <si>
    <t xml:space="preserve"> (פ/2443/24)</t>
  </si>
  <si>
    <t xml:space="preserve">הצעת חוק חופש המידע (תיקון - פגיעה בפרטיות לטובת עניין ציבורי), התשפ"ב-2021</t>
  </si>
  <si>
    <t xml:space="preserve"> (פ/2442/24)</t>
  </si>
  <si>
    <t xml:space="preserve">הצעת חוק איסור פרסומת והגבלת השיווק של מוצרי טבק ועישון (תיקון - איסור על ייצור ושיווק של מוצר עישון בטעם או בריח מובחן), התשפ"ב-2021</t>
  </si>
  <si>
    <t xml:space="preserve"> (פ/2441/24)</t>
  </si>
  <si>
    <t xml:space="preserve">הצעת חוק ביטוח בריאות ממלכתי (תיקון - יצירת מדד לאומי לשוויון בשירותי בריאות), התשפ"ב-2021</t>
  </si>
  <si>
    <t xml:space="preserve"> (פ/2440/24)</t>
  </si>
  <si>
    <t xml:space="preserve">הצעת חוק זכויות החולה (תיקון - מסירת מידע רפואי לאחר), התשפ"ב-2021</t>
  </si>
  <si>
    <t xml:space="preserve"> (פ/2439/24)</t>
  </si>
  <si>
    <t xml:space="preserve">הצעת חוק הביטוח הלאומי (תיקון - הכרה בתורם אבר כמתנדב), התשפ"ב-2021</t>
  </si>
  <si>
    <t xml:space="preserve"> (פ/2438/24)</t>
  </si>
  <si>
    <t xml:space="preserve">הצעת חוק מתן סיוע ריאלי בשכר דירה לזכאים, התשפ"ב-2021</t>
  </si>
  <si>
    <t xml:space="preserve"> (פ/2437/24)</t>
  </si>
  <si>
    <t xml:space="preserve">הצעת חוק הכרה ברצח העם הארמני וציון יום זיכרון, התשפ"ב-2021</t>
  </si>
  <si>
    <t xml:space="preserve"> (פ/2436/24)</t>
  </si>
  <si>
    <t xml:space="preserve">הצעת חוק זכויות הסטודנט (תיקון - איסור הפליה מטעמים של נטייה מינית וזהות מגדרית), התשפ"ב-2021</t>
  </si>
  <si>
    <t xml:space="preserve"> (פ/2435/24)</t>
  </si>
  <si>
    <t xml:space="preserve">הצעת חוק הנצחת זכרם של קורבנות הטבח בכפר קאסם, התשפ"ב-2021</t>
  </si>
  <si>
    <t xml:space="preserve"> (פ/2434/24)</t>
  </si>
  <si>
    <t xml:space="preserve">הצעת חוק לתיקון פקודת מס הכנסה (פטור ממס למקבלי קצבת ילד נכה), התשפ"ב-2021</t>
  </si>
  <si>
    <t xml:space="preserve"> (פ/2432/24)</t>
  </si>
  <si>
    <t xml:space="preserve"> (פ/2431/24)</t>
  </si>
  <si>
    <t xml:space="preserve">הצעת חוק שירות ביטחון (תיקון - ביטול גיוס חובה), התשפ"ב-2021</t>
  </si>
  <si>
    <t xml:space="preserve"> (פ/2430/24)</t>
  </si>
  <si>
    <t xml:space="preserve">הצעת חוק העונשין (תיקון - הארכת ההתיישנות בעבירות מין במשפחה ובידי אחראי על חסר ישע), התשפ"ב-2021</t>
  </si>
  <si>
    <t xml:space="preserve"> (פ/2429/24)</t>
  </si>
  <si>
    <t xml:space="preserve">חוק התקציב לשנת הכספים 2022, התשפ"ב-2021</t>
  </si>
  <si>
    <t xml:space="preserve"> (מ/1442)</t>
  </si>
  <si>
    <t xml:space="preserve">02.11.2021</t>
  </si>
  <si>
    <t xml:space="preserve">התקציב לשנת 2022 יעמוד על - 572,934,898,000 שקלים חדשים. </t>
  </si>
  <si>
    <t xml:space="preserve">חוק התקציב לשנת הכספים 2021, התשפ"ב-2021</t>
  </si>
  <si>
    <t xml:space="preserve"> (מ/1441)</t>
  </si>
  <si>
    <t xml:space="preserve">התקציב לשנת 2021 יעמוד על – 609,143,215,000 שקלים חדשים.</t>
  </si>
  <si>
    <t xml:space="preserve">חוק ההתייעלות הכלכלית (תיקוני חקיקה להשגת יעדי התקציב לשנות התקציב 2021 ו-2022), התשפ"ב-2021</t>
  </si>
  <si>
    <t xml:space="preserve">חוק זה מגיע לצד חוק התקציב, וקובע שינויים בתחומים הבאים: התחשבנות בין בתי החולים לקופות החולים, הלוואות לדיור, מסים, הבטחת היציבות בתשואות קרנות פנסיה, מיסוי הכנסות צבורות, פריסת המועדים להמשך עבודת ההנגשה, מיסוי שותפויות וקרנות השקעה, ביטוח לאומי, יום חינוך ארוך, גנים לאומיים, שכר ממוצע במשק ומענקים לניצולי שואה. </t>
  </si>
  <si>
    <t xml:space="preserve">חוק מסגרות תקציב המדינה (הוראות מיוחדות לשנים 2021 ו-2022) (תיקוני חקיקה והוראת שעה), התשפ"ב-2021</t>
  </si>
  <si>
    <t xml:space="preserve">קיימות שתי מגבלות פיסקליות על התקציב. המגבלה הראשונה קובעת את הגירעון המרבי שניתן לקבוע בעת אישור תקציב המדינה במונחים של אחוזי תוצר והמגבלה השנייה קובעת את שיעור הגידול המרבי הריאלי בהוצאה הממשלתית ביחס להיקף ההוצאה הממשלתית בתקציב השנה הקודמת .לעמידה במגבלות אלה חשיבות מכרעת בשמירה על אמינותה הפיסקלית של הממשלה. בשל השינויים שחלו בשנת 2020, עם פרוץ נגיף הקורונה, הוחלט להעלות את תקרת הגירעון לשנת 2021 ל-3%, ואת תקרת הגירעון לשנת 2022 ל-3.5%, וכן להתאים את קצב הפחתת הגירעון בשנים הבאות. </t>
  </si>
  <si>
    <t xml:space="preserve"> (פ/2428/24)</t>
  </si>
  <si>
    <t xml:space="preserve">01.11.2021</t>
  </si>
  <si>
    <t xml:space="preserve">הצעת חוק הסדרת הטיפול בחולי נפש (תיקוני חקיקה), התשפ"ב-2021</t>
  </si>
  <si>
    <t xml:space="preserve"> (פ/2426/24)</t>
  </si>
  <si>
    <t xml:space="preserve">הצעת חוק העונשין (תיקון - ענישה בגין תקיפת שוטר), התשפ"ב-2021</t>
  </si>
  <si>
    <t xml:space="preserve"> (פ/2425/24)</t>
  </si>
  <si>
    <t xml:space="preserve"> (פ/2424/24)</t>
  </si>
  <si>
    <t xml:space="preserve">הצעת חוק קליטת חיילים משוחררים (תיקון - תקצוב על פי מספר חיילים משוחררים הנרשמים ללימודים), התשפ"ב-2021</t>
  </si>
  <si>
    <t xml:space="preserve"> (פ/2422/24)</t>
  </si>
  <si>
    <t xml:space="preserve">הצעת חוק הנחה לנכים בתחבורה ציבורית, התשפ"ב-2021</t>
  </si>
  <si>
    <t xml:space="preserve"> (פ/2420/24)</t>
  </si>
  <si>
    <t xml:space="preserve">הצעת חוק דמי מחלה (היעדרות בשל מחלת ילד) (תיקון - היעדרות בעקבות פגיעה בעבירת מין או אלימות חמורה), התשפ"ב-2021</t>
  </si>
  <si>
    <t xml:space="preserve"> (פ/2419/24)</t>
  </si>
  <si>
    <t xml:space="preserve">הצעת חוק לתיקון פקודת מס הכנסה (נקודות זיכוי להורי חיילים), התשפ"ב-2021</t>
  </si>
  <si>
    <t xml:space="preserve"> (פ/2418/24)</t>
  </si>
  <si>
    <t xml:space="preserve">הצעת חוק למניעת התעמרות בעבודה, התשפ"ב-2021</t>
  </si>
  <si>
    <t xml:space="preserve"> (פ/2417/24)</t>
  </si>
  <si>
    <t xml:space="preserve"> (פ/2415/24)</t>
  </si>
  <si>
    <t xml:space="preserve"> (פ/2414/24)</t>
  </si>
  <si>
    <t xml:space="preserve">הצעת חוק זכויות החולה (תיקון - הכנסת מזון למוסדות רפואיים בחג הפסח), התשפ"ב-2021</t>
  </si>
  <si>
    <t xml:space="preserve"> (פ/2411/24)</t>
  </si>
  <si>
    <t xml:space="preserve">הצעת חוק מענק יובל לעובדי הוראה עולים, התשפ"ב-2021</t>
  </si>
  <si>
    <t xml:space="preserve"> (פ/2410/24)</t>
  </si>
  <si>
    <t xml:space="preserve">הצעת חוק סיוע למשפחות שבראשן הורה עצמאי (תיקון - הרחבת ההגדרה הורה עצמאי), התשפ"ב-2021</t>
  </si>
  <si>
    <t xml:space="preserve"> (פ/2409/24)</t>
  </si>
  <si>
    <t xml:space="preserve">הצעת חוק סדר הדין הפלילי (סמכויות אכיפה - מעצרים) (תיקון - ביצוע מעצר וחקירת אדם עם מוגבלות שכלית או נפשית), התשפ"ב-2021</t>
  </si>
  <si>
    <t xml:space="preserve"> (פ/2408/24)</t>
  </si>
  <si>
    <t xml:space="preserve">הצעת חוק טיפול בחולי נפש (תיקון - בחירת מקום אשפוז), התשפ"ב-2021</t>
  </si>
  <si>
    <t xml:space="preserve"> (פ/2407/24)</t>
  </si>
  <si>
    <t xml:space="preserve">הצעת חוק הכנסת (תיקון - ועדה לפיקוח על רשויות פיקוח פיננסיות), התשפ"ב-2021</t>
  </si>
  <si>
    <t xml:space="preserve"> (פ/2406/24)</t>
  </si>
  <si>
    <t xml:space="preserve">הצעת חוק לתיקון פקודת מס הכנסה (משיכה פטורה מקרן השתלמות כשחלות תקנות שמטילות הגבלות על פעילות עסקית), התשפ"ב-2021</t>
  </si>
  <si>
    <t xml:space="preserve"> (פ/2405/24)</t>
  </si>
  <si>
    <t xml:space="preserve">הצעת חוק הביטוח הלאומי (תיקון- הצמדת קצבת אזרח ותיק לשכר הממוצע במשק), התשפ"ב-2021</t>
  </si>
  <si>
    <t xml:space="preserve"> (פ/2404/24)</t>
  </si>
  <si>
    <t xml:space="preserve">הצעת חוק נסיעות חיילים ברכבת ישראל, הרכבת הקלה ובאוטובוסים ציבוריים, התשפ"ב-2021</t>
  </si>
  <si>
    <t xml:space="preserve"> (פ/2401/24)</t>
  </si>
  <si>
    <t xml:space="preserve">הצעת חוק לתיקון פקודת הבנקאות (הגבלת עמלת פירעון מוקדם של הלוואה לדיור), התשפ"ב-2021</t>
  </si>
  <si>
    <t xml:space="preserve"> (פ/2400/24)</t>
  </si>
  <si>
    <t xml:space="preserve">הצעת חוק ביטוח בריאות ממלכתי (תיקון - פטור מתקופת המתנה לסטודנטים הלומדים בחו"ל), התשפ"ב-2021</t>
  </si>
  <si>
    <t xml:space="preserve"> (פ/2399/24)</t>
  </si>
  <si>
    <t xml:space="preserve">הצעת חוק חינוך לחוסן נפשי, התשפ"ב–2021</t>
  </si>
  <si>
    <t xml:space="preserve"> (פ/2398/24)</t>
  </si>
  <si>
    <t xml:space="preserve">הצעת חוק הרשויות המקומיות (התאמת תקציב הרווחה), התשפ"ב-2021</t>
  </si>
  <si>
    <t xml:space="preserve"> (פ/2397/24)</t>
  </si>
  <si>
    <t xml:space="preserve">הצעת חוק איסור הקמת מצבות זכרון לזכר מבצעי מעשי טרור (תיקון - איסור הנצחת מחבלים באמצעות ציור קיר), התשפ"ב-2021</t>
  </si>
  <si>
    <t xml:space="preserve"> (פ/2395/24)</t>
  </si>
  <si>
    <t xml:space="preserve">הצעת חוק לקידום שירותי הרפואה בעיר אילת (תיקוני חקיקה), התשפ"ב-2021</t>
  </si>
  <si>
    <t xml:space="preserve"> (פ/2394/24)</t>
  </si>
  <si>
    <t xml:space="preserve">הצעת חוק טיפול בחולי נפש (תיקוני חקיקה), התשפ"ב-2021</t>
  </si>
  <si>
    <t xml:space="preserve"> (פ/2393/24)</t>
  </si>
  <si>
    <t xml:space="preserve">הצעת חוק גיל פרישה (תיקון - הקדמת גיל הפרישה), התשפ"ב-2021</t>
  </si>
  <si>
    <t xml:space="preserve"> (פ/2392/24)</t>
  </si>
  <si>
    <t xml:space="preserve">הצעת חוק הסעות לחיילים, התשפ"ב-2021</t>
  </si>
  <si>
    <t xml:space="preserve"> (פ/2391/24)</t>
  </si>
  <si>
    <t xml:space="preserve">הצעת חוק הסיוע המשפטי (תיקון מס' 22 - הוראת שעה) (תיקון), התשפ"ב-2021</t>
  </si>
  <si>
    <t xml:space="preserve"> (מ/1459)</t>
  </si>
  <si>
    <t xml:space="preserve">פרק ד' (בינוי ושיכון) מתוך הצעת חוק התכנית הכלכלית (תיקוני חקיקה ליישום המדיניות הכלכלית לשנות התקציב 2021 ו-2022), התשפ"א-2021</t>
  </si>
  <si>
    <t xml:space="preserve">28.10.2021</t>
  </si>
  <si>
    <t xml:space="preserve">פרק ז' (שכירות מוסדית), רק סעיף 46 (חוק התכנון והבנייה) מתוך הצעת חוק התכנית הכלכלית (תיקוני חקיקה ליישום המדיניות הכלכלית לשנות התקציב 2021 ו-2022), התשפ"א-2021</t>
  </si>
  <si>
    <t xml:space="preserve">פרק י"ג (רישוי עסקים) מתוך הצעת חוק התכנית הכלכלית (תיקוני חקיקה ליישום המדיניות הכלכלית לשנות התקציב 2021 ו-2022), התשפ"א-2021</t>
  </si>
  <si>
    <t xml:space="preserve">פרק ט"ו (תקשורת), רק סעיפים 80-79 ו-81 (2) (בעניין מתקן שידור לתקשורת) מתוך הצעת חוק התכנית הכלכלית (תיקוני חקיקה ליישום המדיניות הכלכלית לשנות התקציב 2021 ו-2022), התשפ"א-2021</t>
  </si>
  <si>
    <t xml:space="preserve">פרק י"ח (תכנון ובנייה), סימן ב'-שימוש במגרשים המיועדים לתעסוקה ושימושים ממשלתיים מתוך הצעת חוק התכנית הכלכלית (תיקוני חקיקה ליישום המדיניות הכלכלית לשנות התקציב 2021 ו-2022), התשפ"א-2021</t>
  </si>
  <si>
    <t xml:space="preserve">פרק כ"ב (רישוי באמצעות מורשה להיתר) מתוך הצעת חוק התכנית הכלכלית (תיקוני חקיקה ליישום המדיניות הכלכלית לשנות התקציב 2021 ו-2022), התשפ"א-2021</t>
  </si>
  <si>
    <t xml:space="preserve">פרק י"ט (אסדרה), למעט סעיפים 21, 28 ו-30 המוצעים בסעיף 92 להצעת החוק, מתוך הצעת חוק התכנית הכלכלית (תיקוני חקיקה ליישום המדיניות הכלכלית לשנות התקציב 2021 ו-2022), התשפ"א-2021</t>
  </si>
  <si>
    <t xml:space="preserve">27.10.2021</t>
  </si>
  <si>
    <t xml:space="preserve">פרק כ' (ייעול מערך הכשרות) מתוך הצעת חוק התכנית הכלכלית (תיקוני חקיקה ליישום המדיניות הכלכלית לשנות התקציב 2021 ו-2022), התשפ"א-2021</t>
  </si>
  <si>
    <t xml:space="preserve">פרק ז' (פריסת המועדים להמשך עבודות ההנגשה) מתוך הצעת חוק ההתייעלות הכלכלית (תיקוני חקיקה להשגת יעדי התקציב לשנות התקציב 2021 ו-2022), התשפ"א-2021</t>
  </si>
  <si>
    <t xml:space="preserve">הצעת חוק הדחת נציג ציבור התומך במאבק מזוין נגד מדינת ישראל (תיקוני חקיקה), התשפ"א-2021</t>
  </si>
  <si>
    <t xml:space="preserve"> (פ/1871/24)</t>
  </si>
  <si>
    <t xml:space="preserve">הצעת חוק-יסוד: השפיטה (תיקון - הרכב הוועדה לבחירת שופטים ושימוע טרם בחירת שופטי בית המשפט העליון)</t>
  </si>
  <si>
    <t xml:space="preserve"> (פ/1670/24)</t>
  </si>
  <si>
    <t xml:space="preserve">הצעת חוק הנצחת זכרם של קורבנות הטבח בכפר קאסם, התשפ"א-2021</t>
  </si>
  <si>
    <t xml:space="preserve"> (פ/978/24)</t>
  </si>
  <si>
    <t xml:space="preserve">הצעת חוק הנכים (תגמולים ושיקום) (תיקון - הגבלת משך זמן הטיפול בתביעה בשל הפרעה בתר חבלתית בעקבות אירוע לחימה), התשפ"א-2021</t>
  </si>
  <si>
    <t xml:space="preserve"> (פ/639/24)</t>
  </si>
  <si>
    <t xml:space="preserve">הצעת חוק רישוי עסקים (תיקון - שינוי מדיניות הביטוח במכוני כושר), התשפ"א-2021</t>
  </si>
  <si>
    <t xml:space="preserve"> (פ/112/24)</t>
  </si>
  <si>
    <t xml:space="preserve"> (פ/48/24)</t>
  </si>
  <si>
    <t xml:space="preserve">הצעת חוק העונשין (תיקון - עבירה כלפי קשיש או חסר ישע), התשפ"א-2021</t>
  </si>
  <si>
    <t xml:space="preserve"> (פ/21/24)</t>
  </si>
  <si>
    <t xml:space="preserve">פרק כ"ג (יבוא) מתוך הצעת חוק התכנית הכלכלית (תיקוני חקיקה ליישום המדיניות הכלכלית לשנות התקציב 2021 ו-2022), התשפ"א-2021</t>
  </si>
  <si>
    <t xml:space="preserve">26.10.2021</t>
  </si>
  <si>
    <t xml:space="preserve">פרק ט"ז (שירות מידע פיננסי) מתוך הצעת חוק התכנית הכלכלית (תיקוני חקיקה ליישום המדיניות הכלכלית לשנות התקציב 2021 ו-2022), התשפ"א-2021</t>
  </si>
  <si>
    <t xml:space="preserve">25.10.2021</t>
  </si>
  <si>
    <t xml:space="preserve">פרק ט"ו (תקשורת), למעט סעיפים 80-79 ו-81(2) (בעניין מתקן שידור לתקשורת), מתוך הצעת חוק התכנית הכלכלית (תיקוני חקיקה ליישום המדיניות הכלכלית לשנות התקציב 2021 ו-2022), התשפ"א-2021</t>
  </si>
  <si>
    <t xml:space="preserve">פרק י"א (אנרגיה), רק סעיפים 63-62 - משק הגז, מתוך הצעת חוק התכנית הכלכלית (תיקוני חקיקה ליישום המדיניות הכלכלית לשנות התקציב 2021 ו-2022), התשפ"א-2021</t>
  </si>
  <si>
    <t xml:space="preserve">פרק י' (תחבורה) מתוך הצעת חוק התכנית הכלכלית (תיקוני חקיקה ליישום המדיניות הכלכלית לשנות התקציב 2021 ו-2022), התשפ"א-2021</t>
  </si>
  <si>
    <t xml:space="preserve">פרק א' (מטרת החוק) מתוך הצעת חוק ההתייעלות הכלכלית (תיקוני חקיקה להשגת יעדי התקציב לשנות התקציב 2021 ו-2022), התשפ"א-2021</t>
  </si>
  <si>
    <t xml:space="preserve">פרק י"א (תחילה) מתוך הצעת חוק ההתייעלות הכלכלית (תיקוני חקיקה להשגת יעדי התקציב לשנות התקציב 2021 ו-2022), התשפ"א-2021</t>
  </si>
  <si>
    <t xml:space="preserve">פרק כ"ד (תחילה) מתוך הצעת חוק התכנית הכלכלית (תיקוני חקיקה ליישום המדיניות הכלכלית לשנות התקציב 2021 ו-2022), התשפ"א-2021</t>
  </si>
  <si>
    <t xml:space="preserve">פרק א' (מטרת החוק) מתוך הצעת חוק התכנית הכלכלית (תיקוני חקיקה ליישום המדיניות הכלכלית לשנות התקציב 2021 ו-2022), התשפ"ב-2021</t>
  </si>
  <si>
    <t xml:space="preserve">הצעת חוק עבודת הנוער (תיקון - העסקה במנוחה השבועית), התשפ"ב-2021</t>
  </si>
  <si>
    <t xml:space="preserve"> (פ/2390/24)</t>
  </si>
  <si>
    <t xml:space="preserve">הצעת חוק מגן דוד אדום (תיקון - פריסת ניידות טיפול נמרץ ברחבי המדינה), התשפ"ב-2021</t>
  </si>
  <si>
    <t xml:space="preserve"> (פ/2389/24)</t>
  </si>
  <si>
    <t xml:space="preserve"> (פ/2388/24)</t>
  </si>
  <si>
    <t xml:space="preserve">הצעת חוק הפסקת היריון, התשפ"ב-2021</t>
  </si>
  <si>
    <t xml:space="preserve"> (פ/2387/24)</t>
  </si>
  <si>
    <t xml:space="preserve">הצעת חוק כביש אגרה (כביש ארצי לישראל) (תיקון - הפחתת ריבית פיגורים על חוב חלוט), התשפ"ב-2021</t>
  </si>
  <si>
    <t xml:space="preserve"> (פ/2385/24)</t>
  </si>
  <si>
    <t xml:space="preserve">הצעת חוק כביש אגרה (כביש ארצי לישראל) (תיקון - פטור מאגרה בשל האטה ממהירות הנסיעה המותרת), התשפ"ב-2021</t>
  </si>
  <si>
    <t xml:space="preserve"> (פ/2384/24)</t>
  </si>
  <si>
    <t xml:space="preserve">הצעת חוק הביטוח לאומי (תיקון - ביטוח זכויות עצמאי שעיקר הכנסתו מעסק שמצוי בפשיטת רגל או בפירוק), התשפ"ב-2021</t>
  </si>
  <si>
    <t xml:space="preserve"> (פ/2383/24)</t>
  </si>
  <si>
    <t xml:space="preserve">הצעת חוק לתיקון פקודת התעבורה (הוראות לעניין סככות המתנה בתחנות אוטובוס), התשפ"ב-2021</t>
  </si>
  <si>
    <t xml:space="preserve"> (פ/2382/24)</t>
  </si>
  <si>
    <t xml:space="preserve"> (פ/2380/24)</t>
  </si>
  <si>
    <t xml:space="preserve">הצעת חוק משק החשמל (תיקון - איסור ניתוק חשמל), התשפ"ב-2021</t>
  </si>
  <si>
    <t xml:space="preserve"> (פ/2378/24)</t>
  </si>
  <si>
    <t xml:space="preserve">הצעת חוק הכנסת (תיקון - הבטחת שוויון סיעתי בפעילות הכנסת), התשפ"ב-2021</t>
  </si>
  <si>
    <t xml:space="preserve"> (פ/2376/24)</t>
  </si>
  <si>
    <t xml:space="preserve">הצעת חוק הסיוע המשפטי (תיקון - הוצאות מומחים), התשפ"ב-2021</t>
  </si>
  <si>
    <t xml:space="preserve"> (פ/2375/24)</t>
  </si>
  <si>
    <t xml:space="preserve">הצעת חוק צער בעלי חיים (הגנה על בעלי חיים) (תיקון - גידול חזירים והחזקתם לצרכים חקלאיים), התשפ"ב-2021</t>
  </si>
  <si>
    <t xml:space="preserve"> (פ/2374/24)</t>
  </si>
  <si>
    <t xml:space="preserve">הצעת חוק הסיוע המשפטי (תיקון - נפגעי עבירות מין), התשפ"ב-2021</t>
  </si>
  <si>
    <t xml:space="preserve"> (פ/2370/24)</t>
  </si>
  <si>
    <t xml:space="preserve"> (פ/2369/24)</t>
  </si>
  <si>
    <t xml:space="preserve">הצעת חוק הרשויות המקומיות (פטור חיילים, נפגעי מלחמה ושוטרים מארנונה) (תיקון - פטור לחייל בודד בדירת שותפים), התשפ"ב-2021</t>
  </si>
  <si>
    <t xml:space="preserve"> (פ/2368/24)</t>
  </si>
  <si>
    <t xml:space="preserve">הצעת חוק הקלות במס על רכישת מכשיר ניידות מסוג קלנועית (תיקוני חקיקה), התשפ"ב-2021</t>
  </si>
  <si>
    <t xml:space="preserve"> (פ/2367/24)</t>
  </si>
  <si>
    <t xml:space="preserve"> (פ/2366/24)</t>
  </si>
  <si>
    <t xml:space="preserve">הצעת חוק מס ערך מוסף (תיקון - דחיית תשלום בתקופת חירום) (הוראת שעה), התשפ"ב-2021</t>
  </si>
  <si>
    <t xml:space="preserve"> (פ/2365/24)</t>
  </si>
  <si>
    <t xml:space="preserve">הצעת חוק לתיקון פקודת מס הכנסה (ניכוי סכומים שהוצאו לצורך טיפול בילד), התשפ"ב-2021</t>
  </si>
  <si>
    <t xml:space="preserve"> (פ/2364/24)</t>
  </si>
  <si>
    <t xml:space="preserve">הצעת חוק תאגידי מים וביוב (תיקון - ביטול החוק והוראות מעבר), התשפ"ב-2021</t>
  </si>
  <si>
    <t xml:space="preserve"> (פ/2363/24)</t>
  </si>
  <si>
    <t xml:space="preserve">הצעת חוק תמיכה כלכלית של הורים בילדיהם, התשפ"ב-2021</t>
  </si>
  <si>
    <t xml:space="preserve"> (פ/2362/24)</t>
  </si>
  <si>
    <t xml:space="preserve"> (פ/2360/24)</t>
  </si>
  <si>
    <t xml:space="preserve">הצעת חוק איסור ניתוק משירותי חשמל, מים וגז (הוראת שעה - נגיף הקורונה החדש) (תיקוני חקיקה), התשפ"ב-2021</t>
  </si>
  <si>
    <t xml:space="preserve"> (פ/2359/24)</t>
  </si>
  <si>
    <t xml:space="preserve">הצעת חוק סיוע לקטינים נפגעי עבירות מין או אלימות (תיקון - טיפול נפשי לילדים נפגעי אלימות במשפחה), התשפ"ב-2021</t>
  </si>
  <si>
    <t xml:space="preserve"> (פ/2358/24)</t>
  </si>
  <si>
    <t xml:space="preserve">הצעת חוק חובת המכרזים (תיקון - שילוב עסקים קטנים ובינוניים במכרזים ציבוריים), התשפ"ב-2021</t>
  </si>
  <si>
    <t xml:space="preserve"> (פ/2357/24)</t>
  </si>
  <si>
    <t xml:space="preserve"> (פ/2356/24)</t>
  </si>
  <si>
    <t xml:space="preserve"> (פ/2355/24)</t>
  </si>
  <si>
    <t xml:space="preserve">הצעת חוק השכירות והשאילה (תיקון - הארכת תקופת השכירות בעת מצב חירום), התשפ"ב-2021</t>
  </si>
  <si>
    <t xml:space="preserve"> (פ/2354/24)</t>
  </si>
  <si>
    <t xml:space="preserve">הצעת חוק שיקים ללא כיסוי (תיקון - מצב חירום בשל מגפה עולמית), התשפ"ב-2021</t>
  </si>
  <si>
    <t xml:space="preserve"> (פ/2353/24)</t>
  </si>
  <si>
    <t xml:space="preserve">הצעת חוק המכר (דירות) (תיקון - הסדרת בנייה במסגרת קבוצות רכישה), התשפ"ב-2021</t>
  </si>
  <si>
    <t xml:space="preserve"> (פ/2352/24)</t>
  </si>
  <si>
    <t xml:space="preserve">הצעת חוק לימוד חובה (תיקון - חינוך חינם לפעוטות), התשפ"ב-2021</t>
  </si>
  <si>
    <t xml:space="preserve"> (פ/2348/24)</t>
  </si>
  <si>
    <t xml:space="preserve">הצעת חוק בינוי ופינוי של אזורי שיקום (כפר שלם), התשפ"ב-2021</t>
  </si>
  <si>
    <t xml:space="preserve"> (פ/2347/24)</t>
  </si>
  <si>
    <t xml:space="preserve"> (פ/2346/24)</t>
  </si>
  <si>
    <t xml:space="preserve">הצעת חוק מגבלות על חזרתו של עבריין מין לסביבת נפגע העבירה (תיקון - הרחבת סמכות בית המשפט להטלת מגבלות), התשפ"ב-2021</t>
  </si>
  <si>
    <t xml:space="preserve"> (פ/2345/24)</t>
  </si>
  <si>
    <t xml:space="preserve">הצעת חוק העונשין (תיקון - הארכת התיישנות בעבירות מין שבוצעו במסגרת הנישואין), התשפ"ב-2021</t>
  </si>
  <si>
    <t xml:space="preserve"> (פ/2344/24)</t>
  </si>
  <si>
    <t xml:space="preserve">הצעת חוק הגנת הצרכן (תיקון - הגבלת גביית עמלה בעסקת מכר מרחוק שעניינה רכישת כרטיס למופע), התשפ"ב-2021</t>
  </si>
  <si>
    <t xml:space="preserve"> (פ/2343/24)</t>
  </si>
  <si>
    <t xml:space="preserve">הצעת חוק הרשות לפיתוח הנגב (תיקון - הגדרת המחוז), התשפ"ב-2021</t>
  </si>
  <si>
    <t xml:space="preserve"> (פ/2339/24)</t>
  </si>
  <si>
    <t xml:space="preserve">פרק ז' (שכירות מוסדית), למעט סעיף 46 (חוק התכנון והבנייה) מתוך הצעת חוק התכנית הכלכלית (תיקוני חקיקה ליישום המדיניות הכלכלית לשנות התקציב 2021 ו-2022), התשפ"א-2021</t>
  </si>
  <si>
    <t xml:space="preserve">24.10.2021</t>
  </si>
  <si>
    <t xml:space="preserve">פרק ג' (תאגידים שהוקמו לפי חוק) מתוך הצעת חוק התכנית הכלכלית (תיקוני חקיקה ליישום המדיניות הכלכלית לשנות התקציב 2021 ו-2022), התשפ"א-2021</t>
  </si>
  <si>
    <t xml:space="preserve">פרק ו' (היוועדות חזותית) מתוך הצעת חוק התכנית הכלכלית (תיקוני חקיקה ליישום המדיניות הכלכלית לשנות התקציב 2021 ו-2022), התשפ"א-2021</t>
  </si>
  <si>
    <t xml:space="preserve">פרק י"ז (מס גודש) מתוך הצעת חוק התכנית הכלכלית (תיקוני חקיקה ליישום המדיניות הכלכלית לשנות התקציב 2021 ו-2022), התשפ"א-2021</t>
  </si>
  <si>
    <t xml:space="preserve">פרק ה' (צמצום פערים מגדריים בשוק העבודה והעלאת גיל הפרישה לנשים) מתוך הצעת חוק התכנית הכלכלית (תיקוני חקיקה ליישום המדיניות הכלכלית לשנות התקציב 2021 ו-2022), התשפ"א-2021</t>
  </si>
  <si>
    <t xml:space="preserve">פרק ט' (ביטוח לאומי), רק סעיפים 20-19, מתוך הצעת חוק ההתייעלות הכלכלית (תיקוני חקיקה להשגת יעדי התקציב לשנות התקציב 2021 ו-2022), התשפ"א-2021</t>
  </si>
  <si>
    <t xml:space="preserve">פרק י' (שונות), סעיפים 32-30 ו-34 (רשות הטבע והגנים, השכר הממוצע וביטוח לאומי מתוך הצעת חוק ההתייעלות הכלכלית (תיקוני חקיקה להשגת יעדי התקציב לשנות התקציב 2021 ו-2022), התשפ"א-2021</t>
  </si>
  <si>
    <t xml:space="preserve">פרק ה' (הבטחת היציבות בתשואות קרנות הפנסיה) מתוך הצעת חוק ההתייעלות הכלכלית (תיקוני חקיקה להשגת יעדי התקציב לשנות התקציב 2021 ו-2022), התשפ"א-2021</t>
  </si>
  <si>
    <t xml:space="preserve">פרק ו' (מיסוי הכנסות צבורות) מתוך הצעת חוק ההתייעלות הכלכלית (תיקוני חקיקה להשגת יעדי התקציב לשנות התקציב 2021 ו-2022), התשפ"א-2021</t>
  </si>
  <si>
    <t xml:space="preserve">פרק ב' (התחשבנות בין בתי חולים לקופות חולים) מתוך הצעת חוק ההתייעלות הכלכלית (תיקוני חקיקה להשגת יעדי התקציב לשנות התקציב 2021 ו-2022), התשפ"א-2021</t>
  </si>
  <si>
    <t xml:space="preserve">פרק ח' (מיסוי שותפויות וקרנות השקעה) מתוך הצעת חוק ההתייעלות הכלכלית (תיקוני חקיקה להשגת יעדי התקציב לשנות התקציב 2021 ו-2022), התשפ"א-2021</t>
  </si>
  <si>
    <t xml:space="preserve">פרק ד' (מסים) מתוך הצעת חוק ההתייעלות הכלכלית (תיקוני חקיקה להשגת יעדי התקציב לשנות התקציב 2021 ו-2022), התשפ"א-2021</t>
  </si>
  <si>
    <t xml:space="preserve">פרק י"ח (תכנון ובנייה), סימן א' - היתר שימוש להפעלת מעון מתוך הצעת חוק התכנית הכלכלית (תיקוני חקיקה ליישום המדיניות הכלכלית לשנות התקציב 2021 ו-2022), התשפ"א-2021</t>
  </si>
  <si>
    <t xml:space="preserve">20.10.2021</t>
  </si>
  <si>
    <t xml:space="preserve">פרק ט' (ביטוח לאומי), למעט סעיפים 20-19 מתוך הצעת חוק ההתייעלות הכלכלית (תיקוני חקיקה להשגת יעדי התקציב לשנות התקציב 2021 ו-2022), התשפ"א-2021</t>
  </si>
  <si>
    <t xml:space="preserve">הצעת חוק התרבות והאמנות (תיקון - הפחתה או שלילה של תמיכה בשל פעילות נגד עקרונות המדינה), התשפ"א-2021</t>
  </si>
  <si>
    <t xml:space="preserve"> (פ/2156/24)</t>
  </si>
  <si>
    <t xml:space="preserve">הצעת חוק שירות ביטחון (תיקון - פטור לנשים משירות ביטחון), התשפ"א-2021</t>
  </si>
  <si>
    <t xml:space="preserve"> (פ/1898/24)</t>
  </si>
  <si>
    <t xml:space="preserve">הצעת חוק להרחבת הייצוג ההולם של בני האוכלוסייה החרדית ברשויות ובתאגידים ציבוריים (תיקוני חקיקה), התשפ"א-2021</t>
  </si>
  <si>
    <t xml:space="preserve"> (פ/1510/24)</t>
  </si>
  <si>
    <t xml:space="preserve">הצעת חוק יישום הסכם הביניים בדבר הגדה המערבית ורצועת עזה (הגבלת פעילות) (תיקון - עונשין על קיום פעילות וחובות דיווח לכנסת), התשפ"א-2021</t>
  </si>
  <si>
    <t xml:space="preserve"> (פ/1453/24)</t>
  </si>
  <si>
    <t xml:space="preserve">הצעת חוק האזרחות (תיקון - ביטול אזרחות בגין מעשה אלימות בזמן מצב מיוחד בעורף), התשפ"א-2021</t>
  </si>
  <si>
    <t xml:space="preserve"> (פ/1443/24)</t>
  </si>
  <si>
    <t xml:space="preserve">הצעת חוק העונשין (תיקון - עבירת פיתוי קטין), התשפ"א-2021</t>
  </si>
  <si>
    <t xml:space="preserve"> (פ/699/24)</t>
  </si>
  <si>
    <t xml:space="preserve">הצעת חוק ארוחה יומית לתלמיד (תיקון - ארוחת כריך יומית בבית ספר על יסודי), התשפ"א-2021</t>
  </si>
  <si>
    <t xml:space="preserve"> (פ/387/24)</t>
  </si>
  <si>
    <t xml:space="preserve">הצעת חוק הרשות הלאומית למאבק בעוני, התשפ"א-2021</t>
  </si>
  <si>
    <t xml:space="preserve"> (פ/194/24)</t>
  </si>
  <si>
    <t xml:space="preserve">הצעת חוק הפרטת גלי צה"ל, התשפ"א-2021</t>
  </si>
  <si>
    <t xml:space="preserve"> (פ/26/24)</t>
  </si>
  <si>
    <t xml:space="preserve">פרק ח' (כבאות) מתוך הצעת חוק התכנית הכלכלית (תיקוני חקיקה ליישום המדיניות הכלכלית לשנות התקציב 2021 ו-2022), התשפ"א-2021</t>
  </si>
  <si>
    <t xml:space="preserve">19.10.2021</t>
  </si>
  <si>
    <t xml:space="preserve">פרק כ"א (רכבת תחתית (מטרו)), למעט סימן ג' בפרק ב' (המועצה המאסדרת) מתוך הצעת חוק התכנית הכלכלית (תיקוני חקיקה ליישום המדיניות הכלכלית לשנות התקציב 2021 ו-2022), התשפ"א-2021</t>
  </si>
  <si>
    <t xml:space="preserve">18.10.2021</t>
  </si>
  <si>
    <t xml:space="preserve">פרק י"ד (עבודות פיתוח בתוכנית למגורים) מתוך הצעת חוק התכנית הכלכלית (תיקוני חקיקה ליישום המדיניות הכלכלית לשנות התקציב 2021 ו-2022), התשפ"א-2021</t>
  </si>
  <si>
    <t xml:space="preserve">חוק לתיקון פקודת המכרות (מס' 13), התשפ"ב-2021</t>
  </si>
  <si>
    <t xml:space="preserve"> (מ/1403)</t>
  </si>
  <si>
    <t xml:space="preserve">בשנת 2000 תוקנה פקודת המכרות ונוספו לה כלי אכיפה רבים, שמטרתם הייתה מיגור תופעות גניבת חול, כרייה בלתי חוקית וחציבה שלא כדין. בין השאר, נוסף לפקודה סעיף המורה לבית המשפט שלא לשחרר רכב שנתפס בעת ביצוע עבירות אלו, עד תום הליכי המשפט, במקרים בהם בעל הרכב או האחראי מטעמו ביצעו עבירות אלו בעבר, כלומר בטווח של חמש שנים ממועד ביצוע העבירה שבה נתפס הרכב, אלא אם כן ישנם נימוקים מיוחדים שיירשמו. על פי הוראות אותו סעיף, האפשרות להורות על תפיסת רכב עד תום ההליכים קיימת גם כאשר העבירה הקודמת בוצעה באמצעות אחר שאינו בעל הרכב או האחראי מטעמו. הוראה זו היא חריגה, וההצדקה שניתנה לה היא העובדה שהעבריינות בתחום הכרייה והחציבה מתבצעת באמצעות כלי רכב ייחודיים ויקרי ערך, אשר קיים חשש שיועברו בין עבריינים שונים שיש ביניהם היכרות קודמת, כגון קרבת משפחה, במטרה לנתק את זיקת הבעלות של העבריינים בכלי הרכב האמורים. בתיקון זה צומצמה הוראה חריגה זו כך שבית המשפט יהיה רשאי להורות על שחרור כלי הרכב אף שנעברה בו עבירה קודמת שלא על ידי בעלי הרכב הנוכחיים או האחראי מטעמם, בהתקיים נימוקים מיוחדים או אם בעל הרכב הוכיח שלא ידע שבוצעה עבירה קודמת באמצעות הרכב או אם הוכיח שלא הייתה לו זיקה למבצע העבירה הקודמת או למי שהיה בעל הרכב בעת ביצוע העבירה הקודמת, שיש בה כדי להעלות חשד סביר כי ידע שבוצעה עבירה קודמת ברכב, וכן שאם רכש את הרכב לאחר ביצוע העבירה הקודמת –  הוא שילם עבורו תמורה הולמת.  כמו כן, נוספו לפקודה הוראות הנוגעות להעברה חד פעמית של 500 מיליון ₪  מתוך היתרות המצויות בקרן לשיקום מחצבות לאוצר המדינה, וזאת על רקע הנסיבות הכלכליות שנוצרו בעקבות משבר הקורונה. המדינה תשיב סכום זה לקופת הקרן, בתוספת ריבית והצמדה. עם זאת, נקבע כי כספים אלו ימשיכו לשמש כמקור תקציבי לפעולות הקרן כ"כרית ביטחון", בהתאם לתוכניות העבודה שייקבעו על ידה, כך שאם צפתה הקרן במועד מסוים כי במהלך שלושת החודשים שלאחריו יתרת המזומנים בקרן צפויה לרדת מ-50 מיליון ש"ח, היא תהיה רשאית להגיש לממונה על התקציבים במשרד האוצר דרישה, חתומה בידי חשב הקרן, להשבת הסכום הדרוש לשם שמירת "כרית הביטחון" לאחר ביצוע התחייבויות הקרן הצפויות בתקופה האמורה, והמדינה תשיב את הסכום הנקוב בדרישת התשלום. מועד השבת יתרת הסכום, כלומר סכום ההעברה החד פעמית בניכוי הסכומים שיועברו מאוצר המדינה לקרן בהתאם לדרישות תשלום שיימסרו במהלך התקופה, ייקבע בצו על ידי שרי האנרגיה והאוצר, וזאת עד לתאריך 31 בדצמבר 2025, ובלבד שמועד ההשבה שייקבע יהיה לא יאוחר מ-31 בדצמבר 2035. ואולם, אם השרים לא יקבעו מועד כאמור עד ל-31 בדצמבר 2025, מועד ההשבה יהיה לא יאוחר מ-31 בדצמבר 2035.  </t>
  </si>
  <si>
    <t xml:space="preserve">הצעת חוק ליישוב תחת איום מיידי (הוראת שעה), התשפ"ב-2021</t>
  </si>
  <si>
    <t xml:space="preserve"> (פ/2337/24)</t>
  </si>
  <si>
    <t xml:space="preserve">הצעת חוק לתיקון פקודת מס הכנסה (פטור ממס לגמלאים על תשלומי פנסיה), התשפ"ב-2021</t>
  </si>
  <si>
    <t xml:space="preserve"> (פ/2335/24)</t>
  </si>
  <si>
    <t xml:space="preserve">הצעת חוק העונשין (תיקון - תקיפת נהג אוטובוס), התשפ"ב-2021</t>
  </si>
  <si>
    <t xml:space="preserve"> (פ/2334/24)</t>
  </si>
  <si>
    <t xml:space="preserve">הצעת חוק ליצירת תחרות והגדלת זמינות האשראי, התשפ"ב-2021</t>
  </si>
  <si>
    <t xml:space="preserve"> (פ/2332/24)</t>
  </si>
  <si>
    <t xml:space="preserve">הצעת חוק לתיקון פקודת מס הכנסה (הפקדות לקרן השתלמות לעצמאי), התשפ"ב-2021</t>
  </si>
  <si>
    <t xml:space="preserve"> (פ/2331/24)</t>
  </si>
  <si>
    <t xml:space="preserve">הצעת חוק לתיקון פקודת מס הכנסה (ניכוי תשלומים לעצמאים), התשפ"ב-2021</t>
  </si>
  <si>
    <t xml:space="preserve"> (פ/2330/24)</t>
  </si>
  <si>
    <t xml:space="preserve">הצעת חוק סיוע לקטינים נפגעי עבירות מין או אלימות (תיקון - טיפול נפשי לילדים נפגעי אלימות במשפחה או חשופים לאלימות במשפחה), התשפ"ב-2021</t>
  </si>
  <si>
    <t xml:space="preserve"> (פ/2329/24)</t>
  </si>
  <si>
    <t xml:space="preserve">הצעת חוק הסדרים במשק המדינה (תיקוני חקיקה להשגת יעדי התקציב) (תיקון - הנחה מארנונה לעסק חדש בשנת פעילותו הראשונה), התשפ"ב-2021</t>
  </si>
  <si>
    <t xml:space="preserve"> (פ/2328/24)</t>
  </si>
  <si>
    <t xml:space="preserve">הצעת חוק לתיקון פקודת מס הכנסה (הכרה בניכוי הפקדות לביטוח סיעודי), התשפ"ב-2021</t>
  </si>
  <si>
    <t xml:space="preserve"> (פ/2327/24)</t>
  </si>
  <si>
    <t xml:space="preserve"> (פ/2326/24)</t>
  </si>
  <si>
    <t xml:space="preserve">הצעת חוק הפיקוח על שירותים פיננסיים (שירותים פיננסיים מוסדרים) (תיקון - שירות להשוואת עלויות פיננסיות), התשפ"ב-2021</t>
  </si>
  <si>
    <t xml:space="preserve"> (פ/2325/24)</t>
  </si>
  <si>
    <t xml:space="preserve">הצעת חוק לתיקון פקודת התעבורה (חובת התקנת לחצן מצוקה באוטובוס), התשפ"ב-2021</t>
  </si>
  <si>
    <t xml:space="preserve"> (פ/2324/24)</t>
  </si>
  <si>
    <t xml:space="preserve">הצעת חוק סדר הדין הפלילי (תיקון - הגבלת משך זמן החקירה המשטרתית), התשפ"ב-2021</t>
  </si>
  <si>
    <t xml:space="preserve"> (פ/2323/24)</t>
  </si>
  <si>
    <t xml:space="preserve">הצעת חוק להגבלת שכר טרחת כונסי נכסים (תיקוני חקיקה), התשפ"ב-2021</t>
  </si>
  <si>
    <t xml:space="preserve"> (פ/2322/24)</t>
  </si>
  <si>
    <t xml:space="preserve">הצעת חוק שירות המדינה (מינויים) (תיקון - מינוי יועצים משפטיים של משרדים), התשפ"ב-2021</t>
  </si>
  <si>
    <t xml:space="preserve"> (פ/2320/24)</t>
  </si>
  <si>
    <t xml:space="preserve">הצעת חוק לתיקון פקודת מס הכנסה (משיכה מקרן השתלמות) (הוראת שעה), התשפ"ב-2021</t>
  </si>
  <si>
    <t xml:space="preserve"> (פ/2319/24)</t>
  </si>
  <si>
    <t xml:space="preserve">הצעת חוק זכות יוצרים (תיקון - תשלום תמלוגים), התשפ"ב-2021</t>
  </si>
  <si>
    <t xml:space="preserve"> (פ/2318/24)</t>
  </si>
  <si>
    <t xml:space="preserve">הצעת חוק המועצה להשכלה גבוהה (תיקון - ביטול דרישת מבחני כניסה וציון פסיכומטרי), התשפ"ב-2021</t>
  </si>
  <si>
    <t xml:space="preserve"> (פ/2316/24)</t>
  </si>
  <si>
    <t xml:space="preserve">הצעת חוק המועצה להשכלה גבוהה (תיקון - הקמת מוסדות להשכלה גבוהה בפריפריה), התשפ"ב-2021</t>
  </si>
  <si>
    <t xml:space="preserve"> (פ/2315/24)</t>
  </si>
  <si>
    <t xml:space="preserve">הצעת חוק החובה למתן חינוך בלתי פורמאלי לילדים ולנוער, התשפ"ב-2021</t>
  </si>
  <si>
    <t xml:space="preserve"> (פ/2314/24)</t>
  </si>
  <si>
    <t xml:space="preserve"> (פ/2313/24)</t>
  </si>
  <si>
    <t xml:space="preserve"> (פ/2310/24)</t>
  </si>
  <si>
    <t xml:space="preserve">הצעת חוק לתיקון פקודת בתי הסוהר (עתירות אסיר - ערעור בזכות), התשפ"ב-2021</t>
  </si>
  <si>
    <t xml:space="preserve"> (פ/2308/24)</t>
  </si>
  <si>
    <t xml:space="preserve"> (פ/2307/24)</t>
  </si>
  <si>
    <t xml:space="preserve">הצעת חוק להנצחת זכרו של רחבעם זאבי (תיקון - ביטול החוק), התשפ"ב-2021</t>
  </si>
  <si>
    <t xml:space="preserve"> (פ/2306/24)</t>
  </si>
  <si>
    <t xml:space="preserve">הצעת חוק הקרן לעידוד העסקת אזרחים ותיקים, התשפ"ב-2021</t>
  </si>
  <si>
    <t xml:space="preserve"> (פ/2305/24)</t>
  </si>
  <si>
    <t xml:space="preserve"> (פ/2304/24)</t>
  </si>
  <si>
    <t xml:space="preserve">הצעת חוק החברה למתנ"סים, התשפ"ב-2021</t>
  </si>
  <si>
    <t xml:space="preserve"> (פ/2303/24)</t>
  </si>
  <si>
    <t xml:space="preserve">הצעת חוק חג המימונה, התשפ"ב-2021 </t>
  </si>
  <si>
    <t xml:space="preserve"> (פ/2302/24)</t>
  </si>
  <si>
    <t xml:space="preserve">הצעת חוק החברות הממשלתיות (תיקון - קווי פעולה של חברה ממשלתית), התשפ"ב-2021</t>
  </si>
  <si>
    <t xml:space="preserve"> (פ/2301/24)</t>
  </si>
  <si>
    <t xml:space="preserve"> (פ/2300/24)</t>
  </si>
  <si>
    <t xml:space="preserve">הצעת חוק החברות (תיקון - ייצוג הולם לבני שני המינים בדירקטוריונים של חברות ציבוריות), התשפ"ב-2021</t>
  </si>
  <si>
    <t xml:space="preserve"> (פ/2299/24)</t>
  </si>
  <si>
    <t xml:space="preserve">הצעת חוק העונשין (תיקון - הגנה עצמית בנסיבות של אלימות במשפחה), התשפ"ב-2021</t>
  </si>
  <si>
    <t xml:space="preserve"> (פ/2298/24)</t>
  </si>
  <si>
    <t xml:space="preserve">הצעת חוק אוויר נקי (תיקון - איסור שימוש בתנורי עץ, סולר ונפט), התשפ"ב-2021</t>
  </si>
  <si>
    <t xml:space="preserve"> (פ/2297/24)</t>
  </si>
  <si>
    <t xml:space="preserve">הצעת חוק לביטול ההתיישנות בעבירות מין במשפחה (תיקוני חקיקה), התשפ"ב-2021</t>
  </si>
  <si>
    <t xml:space="preserve"> (פ/2296/24)</t>
  </si>
  <si>
    <t xml:space="preserve">הצעת חוק רשות מקרקעי ישראל (תיקון - החכר מימוני לדירות), התשפ"ב-2021</t>
  </si>
  <si>
    <t xml:space="preserve"> (פ/2295/24)</t>
  </si>
  <si>
    <t xml:space="preserve"> (פ/2294/24)</t>
  </si>
  <si>
    <t xml:space="preserve">הצעת חוק ערבויות מטעם המדינה בשעת חירום (תיקוני חקיקה), התשפ"ב-2021</t>
  </si>
  <si>
    <t xml:space="preserve"> (פ/2293/24)</t>
  </si>
  <si>
    <t xml:space="preserve">הצעת חוק התוכנית להבראת כלכלת ישראל (תיקוני חקיקה להשגת יעדי התקציב והמדיניות הכלכלית לשנות הכספים 2003 ו-2004) (תיקון - ביטול ההיטל על עובד זר העוסק בסיעוד בבית חולים גריאטרי), התשפ"ב-2021</t>
  </si>
  <si>
    <t xml:space="preserve"> (פ/2292/24)</t>
  </si>
  <si>
    <t xml:space="preserve">הצעת חוק המועצה להשכלה גבוהה (תיקון - תנאי קבלה למוסד להשכלה גבוהה), התשפ"ב-2021</t>
  </si>
  <si>
    <t xml:space="preserve"> (פ/2291/24)</t>
  </si>
  <si>
    <t xml:space="preserve">הצעת חוק התכנון והבנייה (תיקון - חיבור לחשמל) (הוראת שעה), התשפ"ב-2021</t>
  </si>
  <si>
    <t xml:space="preserve"> (פ/2290/24)</t>
  </si>
  <si>
    <t xml:space="preserve">הצעת חוק גיל הפרישה (תיקון - מקצועות שוחקים), התשפ"ב-2021</t>
  </si>
  <si>
    <t xml:space="preserve"> (פ/2289/24)</t>
  </si>
  <si>
    <t xml:space="preserve">הצעת חוק תשלום פיצויים בשל נזקי אסון טבע, התשפ"ב-2021</t>
  </si>
  <si>
    <t xml:space="preserve"> (פ/2288/24)</t>
  </si>
  <si>
    <t xml:space="preserve">הצעת חוק להגנה על קופת הציבור מפני דרישות כזב, התשפ"ב-2021</t>
  </si>
  <si>
    <t xml:space="preserve"> (פ/2287/24)</t>
  </si>
  <si>
    <t xml:space="preserve">הצעת חוק לתיקון פקודת סדר הדין הפלילי (מעצר וחיפוש) (הוראת שעה) (עילות חיפוש בלא צו בית משפט), התשפ"ב-2021</t>
  </si>
  <si>
    <t xml:space="preserve"> (מ/1452)</t>
  </si>
  <si>
    <t xml:space="preserve">הצעת חוק הבטחת הכנסה (תיקון - הגדלת הגמלה בגיל פרישה והצמדתה לשכר הממוצע), התשפ"א-2021</t>
  </si>
  <si>
    <t xml:space="preserve"> (פ/1544/24)</t>
  </si>
  <si>
    <t xml:space="preserve">14.10.2021</t>
  </si>
  <si>
    <t xml:space="preserve">הצעת חוק הבטחת הכנסה (תיקון - גמלת הבטחת הכנסה לקשיש), התשפ"א-2021</t>
  </si>
  <si>
    <t xml:space="preserve"> (פ/1540/24)</t>
  </si>
  <si>
    <t xml:space="preserve">הצעת חוק שירות המדינה (מינויים) (תיקון - מינוי יועצים משפטיים של משרדים), התשפ"א-2021</t>
  </si>
  <si>
    <t xml:space="preserve"> (פ/2052/24)</t>
  </si>
  <si>
    <t xml:space="preserve">13.10.2021</t>
  </si>
  <si>
    <t xml:space="preserve">הצעת חוק השתתפות המדינה בעלות שכר לימוד במעון או במשפחתון, התשפ''א-2021</t>
  </si>
  <si>
    <t xml:space="preserve"> (פ/2035/24)</t>
  </si>
  <si>
    <t xml:space="preserve">הצעת חוק מס ערך מוסף (תיקון - פטור ממס במכירת תרופות אונקולוגיות שאינן כלולות בסל הבריאות), התשפ"א-2021</t>
  </si>
  <si>
    <t xml:space="preserve"> (פ/1941/24)</t>
  </si>
  <si>
    <t xml:space="preserve">הצעת חוק סיוע לקטינים נפגעי עבירות מין או אלימות (תיקון - טיפול נפשי לילדים שנפגעו מינית), התשפ"א-2021</t>
  </si>
  <si>
    <t xml:space="preserve"> (פ/1896/24)</t>
  </si>
  <si>
    <t xml:space="preserve">הצעת חוק העונשין (תיקון - גזר דין עונש מוות למורשע ברצח בנסיבות טרור), התשפ"א-2021</t>
  </si>
  <si>
    <t xml:space="preserve"> (פ/1879/24)</t>
  </si>
  <si>
    <t xml:space="preserve">הצעת חוק תגמולים לאסירי ציון ולבני משפחותיהם (תיקון - הרוגי עלייה), התשפ"א-2021</t>
  </si>
  <si>
    <t xml:space="preserve"> (פ/1807/24)</t>
  </si>
  <si>
    <t xml:space="preserve">הצעת חוק בתי המשפט (תיקון - שימוע ובחירות חשאיות לשופטי בית המשפט העליון), התשפ''א-2021</t>
  </si>
  <si>
    <t xml:space="preserve"> (פ/1790/24)</t>
  </si>
  <si>
    <t xml:space="preserve">הצעת חוק סל הקליטה (תיקון - סל קליטה לחוזר בתשובה), התשפ"א-2021</t>
  </si>
  <si>
    <t xml:space="preserve"> (פ/1768/24)</t>
  </si>
  <si>
    <t xml:space="preserve">הצעת חוק סל הקליטה (תיקון - זכאות לחוזר בתשובה), התשפ"א-2021</t>
  </si>
  <si>
    <t xml:space="preserve"> (פ/1758/24)</t>
  </si>
  <si>
    <t xml:space="preserve">הצעת חוק שירות המדינה (מינויים) (תיקון - מינוי יועצים משפטיים של משרדים), התשפ"א-2021 </t>
  </si>
  <si>
    <t xml:space="preserve"> (פ/1586/24)</t>
  </si>
  <si>
    <t xml:space="preserve"> (פ/1568/24)</t>
  </si>
  <si>
    <t xml:space="preserve"> (פ/28/24)</t>
  </si>
  <si>
    <t xml:space="preserve"> (פ/432/24)</t>
  </si>
  <si>
    <t xml:space="preserve">11.10.2021</t>
  </si>
  <si>
    <t xml:space="preserve">חוק לעניין ועדות הכנסת (תיקוני חקיקה והוראת שעה), התשפ"ב-2021</t>
  </si>
  <si>
    <t xml:space="preserve"> (כ/873)</t>
  </si>
  <si>
    <t xml:space="preserve">מרבית התיקונים נועדו להקנות לשלוש הוועדות החדשות שהוקמו לתקופת הכנסת ה-24 - ועדת ביטחון הפנים, ועדת מיזמי תשתית לאומיים מיוחדים ושירותי דת יהודיים וועדת הבריאות, סמכויות ותפקידים סטטוטוריים (בעיקר אישור חקיקת משנה וקבלת דיווחים). כמו כן נקבע כי ועדת הכנסת רשאית, בהחלטה שתתקבל ברוב של שלושה רבעים מחבריה, להגדיל את מספר חברי ועדת הכספים וועדת החוץ והביטחון. תיקון נוסף מאפשר לבחור לראשות הוועדה המשותפת לתקציב הביטחון כל אחד מחברי הוועדה, ולא רק חבר מבין נציגי ועדת הכספים.</t>
  </si>
  <si>
    <t xml:space="preserve">חוק שחרור על-תנאי ממאסר (תיקון מס' 17 – הוראת שעה) (תיקון), התשפ"ב-2021</t>
  </si>
  <si>
    <t xml:space="preserve"> (מ/1449)</t>
  </si>
  <si>
    <t xml:space="preserve">הוחלט להאריך בשנתיים נוספות את תוקף הוראת השעה, הנוגעת להקמת יחידה ייעודית לשחרור אסירים ממאסרים קצרים, חלף המנגנונים הקיימים. הארכת הוראת השעה נועדה להמשיך ולבחון את ההסדר החדש טרם ניתן יהיה לקבוע אם להפוכו להסדר של קבע. </t>
  </si>
  <si>
    <t xml:space="preserve">הצעת חוק הכנסת (תיקון - קביעת שכר חברי הכנסת בידי ועדה ציבורית), התשפ"ב-2021</t>
  </si>
  <si>
    <t xml:space="preserve"> (פ/2284/24)</t>
  </si>
  <si>
    <t xml:space="preserve">הצעת חוק התכנון והבנייה (תיקון - דחיית תשלום היטל השבחה אגב גירושין), התשפ"ב-2021</t>
  </si>
  <si>
    <t xml:space="preserve"> (פ/2283/24)</t>
  </si>
  <si>
    <t xml:space="preserve"> (פ/2282/24)</t>
  </si>
  <si>
    <t xml:space="preserve">הצעת חוק הביטוח הלאומי (תיקון - גמלה לשמירת היריון לאם שילדה פג), התשפ"ב-2021</t>
  </si>
  <si>
    <t xml:space="preserve"> (פ/2281/24)</t>
  </si>
  <si>
    <t xml:space="preserve">הצעת חוק הביטוח הלאומי (תיקון - זכות טיעון לפני שלילת גמלה), התשפ"ב-2021</t>
  </si>
  <si>
    <t xml:space="preserve"> (פ/2280/24)</t>
  </si>
  <si>
    <t xml:space="preserve">הצעת חוק דחיית מועד תשלום מסים בעת מצב מיוחד בעורף (תיקוני חקיקה), התשפ"ב-2021</t>
  </si>
  <si>
    <t xml:space="preserve"> (פ/2278/24)</t>
  </si>
  <si>
    <t xml:space="preserve">הצעת חוק שיווי זכויות האישה (תיקון - ייצוג הולם לנשים בכנסים במימון ציבורי), התשפ"ב-2021</t>
  </si>
  <si>
    <t xml:space="preserve"> (פ/2277/24)</t>
  </si>
  <si>
    <t xml:space="preserve">הצעת חוק הביטוח הלאומי (תיקון - מימון הסעת יולדת באמבולנס), התשפ"ב-2021</t>
  </si>
  <si>
    <t xml:space="preserve"> (פ/2275/24)</t>
  </si>
  <si>
    <t xml:space="preserve">הצעת חוק הביטוח הלאומי (תיקון - מימון סייעת לילדים שאינם יכולים לשהות במעון), התשפ"ב-2021</t>
  </si>
  <si>
    <t xml:space="preserve"> (פ/2274/24)</t>
  </si>
  <si>
    <t xml:space="preserve">הצעת חוק הגנת השכר (תיקון - מועד תשלום דו-שבועי), התשפ"ב-2021</t>
  </si>
  <si>
    <t xml:space="preserve"> (פ/2272/24)</t>
  </si>
  <si>
    <t xml:space="preserve">הצעת חוק הביטוח הלאומי (תיקון - ערעור על החלטת ועדה לעררים), התשפ"ב-2021</t>
  </si>
  <si>
    <t xml:space="preserve"> (פ/2270/24)</t>
  </si>
  <si>
    <t xml:space="preserve">הצעת חוק הביטוח הלאומי (תיקון - קביעת דרגת נכות לנפגעי עבודה), התשפ"ב-2021</t>
  </si>
  <si>
    <t xml:space="preserve"> (פ/2269/24)</t>
  </si>
  <si>
    <t xml:space="preserve">הצעת חוק דמי הבראה, התשפ"ב-2021</t>
  </si>
  <si>
    <t xml:space="preserve"> (פ/2268/24)</t>
  </si>
  <si>
    <t xml:space="preserve">הצעת חוק מענק הסתגלות מיוחד לבני 67 ומעלה (הוראת שעה - נגיף הקורונה החדש) (תיקון - הארכת מענק ההסתגלות), התשפ"ב-2021</t>
  </si>
  <si>
    <t xml:space="preserve"> (פ/2267/24)</t>
  </si>
  <si>
    <t xml:space="preserve">הצעת חוק לתיקון פקודת מס הכנסה (הטבות מס ליישובים), התשפ"ב-2021</t>
  </si>
  <si>
    <t xml:space="preserve"> (פ/2266/24)</t>
  </si>
  <si>
    <t xml:space="preserve">הצעת חוק זכויות הדייר בדיור הציבורי (תיקון - זכות למגורים בדירה ציבורית לנשים ששהו במקלט לנשים מוכות), התשפ"ב-2021</t>
  </si>
  <si>
    <t xml:space="preserve"> (פ/2264/24)</t>
  </si>
  <si>
    <t xml:space="preserve">הצעת חוק האזרחים הוותיקים (תיקון - לחצן מצוקה לקשיש), התשפ"ב-2021</t>
  </si>
  <si>
    <t xml:space="preserve"> (פ/2262/24)</t>
  </si>
  <si>
    <t xml:space="preserve">הצעת חוק הסדרת מעמדם של אנשי צוות בהפקות מקומיות, התשפ"ב-2021</t>
  </si>
  <si>
    <t xml:space="preserve"> (פ/2261/24)</t>
  </si>
  <si>
    <t xml:space="preserve">הצעת חוק הביטוח הלאומי (תיקון - קצבת תלויים וקצבת אזרח ותיק), התשפ"ב-2021</t>
  </si>
  <si>
    <t xml:space="preserve"> (פ/2259/24)</t>
  </si>
  <si>
    <t xml:space="preserve">הצעת חוק הרשויות המקומיות (מימון בחירות) (תיקון - רשימות מעורבות), התשפ"ב-2021</t>
  </si>
  <si>
    <t xml:space="preserve"> (פ/2258/24)</t>
  </si>
  <si>
    <t xml:space="preserve">הצעת חוק השבות (תיקון - צמצום הזכאים לזכויות), התשפ"ב-2021</t>
  </si>
  <si>
    <t xml:space="preserve"> (פ/2257/24)</t>
  </si>
  <si>
    <t xml:space="preserve">הצעת חוק עבודת נשים (תיקון - תקופת לידה והורות לבן זוג של סטודנטית), התשפ"ב-2021</t>
  </si>
  <si>
    <t xml:space="preserve"> (פ/2256/24)</t>
  </si>
  <si>
    <t xml:space="preserve">הצעת חוק השכלה גבוהה חינם, התשפ"ב-2021</t>
  </si>
  <si>
    <t xml:space="preserve"> (פ/2255/24)</t>
  </si>
  <si>
    <t xml:space="preserve">הצעת חוק פיקוח על בתי ספר (תיקון - הרחבת תחולה), התשפ"ב-2021</t>
  </si>
  <si>
    <t xml:space="preserve"> (פ/2254/24)</t>
  </si>
  <si>
    <t xml:space="preserve">פרק י' (שונות), סעיף 29 (יום חינוך ארוך) מתוך הצעת חוק ההתייעלות הכלכלית (תיקוני חקיקה להשגת יעדי התקציב לשנות התקציב 2021 ו-2022), התשפ"א-2021</t>
  </si>
  <si>
    <t xml:space="preserve">10.10.2021</t>
  </si>
  <si>
    <t xml:space="preserve">פרק י' (שונות), סעיף 33 (הטבות לניצולי שואה) מתוך הצעת חוק ההתייעלות הכלכלית (תיקוני חקיקה להשגת יעדי התקציב לשנות התקציב 2021 ו-2022), התשפ"א-2021</t>
  </si>
  <si>
    <t xml:space="preserve">06.10.2021</t>
  </si>
  <si>
    <t xml:space="preserve">פרק ג' (הלוואות לדיור) מתוך הצעת חוק ההתייעלות הכלכלית (תיקוני חקיקה להשגת יעדי התקציב לשנות התקציב 2021 ו-2022), התשפ"א-2021</t>
  </si>
  <si>
    <t xml:space="preserve">הצעת חוק שכר לחיילים בשירות סדיר, התשפ"א-2021</t>
  </si>
  <si>
    <t xml:space="preserve"> (פ/2182/24)</t>
  </si>
  <si>
    <t xml:space="preserve">הצעת חוק הכנסת (תיקון - ייצוג האופוזיציה בוועדות הכנסת), התשפ"א-2021</t>
  </si>
  <si>
    <t xml:space="preserve"> (פ/2179/24)</t>
  </si>
  <si>
    <t xml:space="preserve">הצעת חוק זכויות הדייר בדיור הציבורי (תיקון - זכות למגורים בדירה ציבורית לנשים ששהו במקלט לנשים מוכות), התשפ"א-2021</t>
  </si>
  <si>
    <t xml:space="preserve"> (פ/2169/24)</t>
  </si>
  <si>
    <t xml:space="preserve">הצעת חוק להפחתת השימוש ברכב פרטי ולעידוד שימוש בתחבורה הציבורית, התשפ"א-2021 </t>
  </si>
  <si>
    <t xml:space="preserve"> (פ/2165/24)</t>
  </si>
  <si>
    <t xml:space="preserve">הצעת חוק האקלים, התשפ"א-2021</t>
  </si>
  <si>
    <t xml:space="preserve"> (פ/2126/24)</t>
  </si>
  <si>
    <t xml:space="preserve">הצעת חוק יישוב תחת איום מיידי, התשפ"א-2021</t>
  </si>
  <si>
    <t xml:space="preserve"> (פ/2015/24)</t>
  </si>
  <si>
    <t xml:space="preserve">הצעת חוק סדר הדין הפלילי (סמכויות אכיפה - מעצרים) (תיקון - ביצוע מעצר וחקירת אדם בעל מוגבלות שכלית או נפשית), התשפ"א-2021</t>
  </si>
  <si>
    <t xml:space="preserve"> (פ/1944/24)</t>
  </si>
  <si>
    <t xml:space="preserve">הצעת חוק ליישוב תחת איום מיידי (הוראת שעה), התשפ"א-2021</t>
  </si>
  <si>
    <t xml:space="preserve"> (פ/1877/24)</t>
  </si>
  <si>
    <t xml:space="preserve"> (פ/1795/24)</t>
  </si>
  <si>
    <t xml:space="preserve"> (פ/1783/24)</t>
  </si>
  <si>
    <t xml:space="preserve">הצעת חוק חינוך ממלכתי (תיקון - חובת לימוד עברית וערבית במוסדות חינוך תיכוניים), התשפ"א-2021</t>
  </si>
  <si>
    <t xml:space="preserve"> (פ/1690/24)</t>
  </si>
  <si>
    <t xml:space="preserve">הצעת חוק מיגון עוטף עזה, התשפ"א-2021</t>
  </si>
  <si>
    <t xml:space="preserve"> (פ/1650/24)</t>
  </si>
  <si>
    <t xml:space="preserve"> (פ/1592/24)</t>
  </si>
  <si>
    <t xml:space="preserve">פרק י"א (אנרגיה), למעט סעיפים 63-62 (משק הגז) מתוך הצעת חוק התכנית הכלכלית (תיקוני חקיקה ליישום המדיניות הכלכלית לשנות התקציב 2021 ו-2022), התשפ"א-2021</t>
  </si>
  <si>
    <t xml:space="preserve">05.10.2021</t>
  </si>
  <si>
    <t xml:space="preserve"> (פ/2252/24)</t>
  </si>
  <si>
    <t xml:space="preserve">04.10.2021</t>
  </si>
  <si>
    <t xml:space="preserve">הצעת חוק שעות עבודה ומנוחה (תיקון - הגבלת שעות העסקה של מתמחה ברפואה), התשפ"ב-2021</t>
  </si>
  <si>
    <t xml:space="preserve"> (פ/2251/24)</t>
  </si>
  <si>
    <t xml:space="preserve">הצעת חוק רשות מקרקעי ישראל (תיקון - העדפת בני מקום בשיווק קרקעות בפריפריה), התשפ"ב-2021</t>
  </si>
  <si>
    <t xml:space="preserve"> (פ/2250/24)</t>
  </si>
  <si>
    <t xml:space="preserve">הצעת חוק עבודת נשים (תיקון - היעדרות עקב לידה של בת זוג), התשפ"ב-2021</t>
  </si>
  <si>
    <t xml:space="preserve"> (פ/2249/24)</t>
  </si>
  <si>
    <t xml:space="preserve">הצעת חוק הספקת החשמל (הוראת שעה) (תיקון - הארכת תוקף), התשפ"ב-2021</t>
  </si>
  <si>
    <t xml:space="preserve"> (פ/2248/24)</t>
  </si>
  <si>
    <t xml:space="preserve">הצעת חוק זכויות הדייר בדיור הציבורי (תיקון - הגמשת אמות המידה לזכאות לדיור ציבורי), התשפ"ב-2021</t>
  </si>
  <si>
    <t xml:space="preserve"> (פ/2247/24)</t>
  </si>
  <si>
    <t xml:space="preserve">הצעת חוק לתיקון פקודת התעבורה (קידום התחרות באמצעות תחבורה שיתופית מקוונת), התשפ"ב-2021</t>
  </si>
  <si>
    <t xml:space="preserve"> (פ/2246/24)</t>
  </si>
  <si>
    <t xml:space="preserve">הצעת חוק פיקוח על מחירי מצרכים ושירותים (תיקון - פיקוח על מחיר לחם מלא), התשפ''ב-2021</t>
  </si>
  <si>
    <t xml:space="preserve"> (פ/2244/24)</t>
  </si>
  <si>
    <t xml:space="preserve">הצעת חוק סימון רכיבים אלרגניים בתפריטים של בתי אוכל, התשפ"ב-2021</t>
  </si>
  <si>
    <t xml:space="preserve"> (פ/2243/24)</t>
  </si>
  <si>
    <t xml:space="preserve">הצעת חוק החזקת תכשיר אפינפרין במוסדות חינוך ובמקומות ציבוריים (תיקון - החזקת תכשיר אפינפרין בבית אוכל ואולם שמחות), התשפ"ב-2021</t>
  </si>
  <si>
    <t xml:space="preserve"> (פ/2242/24)</t>
  </si>
  <si>
    <t xml:space="preserve">הצעת חוק לתיקון פקודת הסמים המסוכנים (שינוי הגדרת קנבוס), התשפ''ב-2021</t>
  </si>
  <si>
    <t xml:space="preserve"> (פ/2241/24)</t>
  </si>
  <si>
    <t xml:space="preserve">הצעת חוק ביטוח בריאות ממלכתי (תיקון - העברת תיק רפואי במעבר בין קופות חולים), התשפ"ב-2021</t>
  </si>
  <si>
    <t xml:space="preserve"> (פ/2239/24)</t>
  </si>
  <si>
    <t xml:space="preserve"> (פ/2238/24)</t>
  </si>
  <si>
    <t xml:space="preserve"> (פ/2236/24)</t>
  </si>
  <si>
    <t xml:space="preserve">הצעת חוק הסיוע המשפטי (תיקון - סיוע משפטי לנפגעי אלימות במשפחה), התשפ"ב-2021</t>
  </si>
  <si>
    <t xml:space="preserve"> (פ/2235/24)</t>
  </si>
  <si>
    <t xml:space="preserve">הצעת חוק שכר החיילים בשירות סדיר, התשפ''ב-2021</t>
  </si>
  <si>
    <t xml:space="preserve"> (פ/2234/24)</t>
  </si>
  <si>
    <t xml:space="preserve"> (פ/2233/24)</t>
  </si>
  <si>
    <t xml:space="preserve">הצעת חוק הטבות לניצולי שואה (תיקון - תשלום קצבה חודשית במקום מענק שנתי), התשפ"ב-2021</t>
  </si>
  <si>
    <t xml:space="preserve"> (פ/2232/24)</t>
  </si>
  <si>
    <t xml:space="preserve">הצעת חוק הביטוח הלאומי (תיקון - עבודה באולמות אירועים ובגני אירועים כעבודה מועדפת), התשפ"ב-2021</t>
  </si>
  <si>
    <t xml:space="preserve"> (פ/2231/24)</t>
  </si>
  <si>
    <t xml:space="preserve">הצעת חוק חינוך ממלכתי (תיקון - הקניית ידע פיננסי וכישורי חיים), התשפ"ב-2021</t>
  </si>
  <si>
    <t xml:space="preserve"> (פ/2230/24)</t>
  </si>
  <si>
    <t xml:space="preserve">הצעת חוק חינוך ממלכתי (תיקון - חינוך ממלכתי חרדי), התשפ"ב-2021</t>
  </si>
  <si>
    <t xml:space="preserve"> (פ/2229/24)</t>
  </si>
  <si>
    <t xml:space="preserve">הצעת חוק חינוך ממלכתי (תיקון - מעמד החינוך הממלכתי המשלב), התשפ"ב-2021</t>
  </si>
  <si>
    <t xml:space="preserve"> (פ/2227/24)</t>
  </si>
  <si>
    <t xml:space="preserve">הצעת חוק לתיקון פקודת הרוקחים (חיוב רישום רכיבי תמרוקים ומוצרי ניקיון), התשפ"ב-2021</t>
  </si>
  <si>
    <t xml:space="preserve"> (פ/2226/24)</t>
  </si>
  <si>
    <t xml:space="preserve">הצעת חוק הסדרת העיסוק בייצוג דוגמנים, התשפ"ב-2021</t>
  </si>
  <si>
    <t xml:space="preserve"> (פ/2224/24)</t>
  </si>
  <si>
    <t xml:space="preserve">הצעת חוק המרכז להנצחת מורשתו של הנשיא יצחק נבון, התשפ"ב-2021</t>
  </si>
  <si>
    <t xml:space="preserve"> (פ/2222/24)</t>
  </si>
  <si>
    <t xml:space="preserve"> (פ/2220/24)</t>
  </si>
  <si>
    <t xml:space="preserve">הצעת חוק איסור הפליה במוצרים, בשירותים ובכניסה למקומות בידור ולמקומות ציבוריים (תיקון - הפליה מחמת מראה והתניית רישיון עסק באיסור הפליה), התשפ"ב-2021</t>
  </si>
  <si>
    <t xml:space="preserve"> (פ/2219/24)</t>
  </si>
  <si>
    <t xml:space="preserve">הצעת חוק יום האחדות, התשפ"ב-2021</t>
  </si>
  <si>
    <t xml:space="preserve"> (פ/2218/24)</t>
  </si>
  <si>
    <t xml:space="preserve">הצעת חוק עסקאות גופים ציבוריים (תיקון - מעבר לרכבים ידידותיים לסביבה בגופים ציבוריים), התשפ"ב-2021</t>
  </si>
  <si>
    <t xml:space="preserve"> (פ/2216/24)</t>
  </si>
  <si>
    <t xml:space="preserve">הצעת חוק התכנון והבנייה (תיקון - חובת הקמת מערכת סולארית לייצור חשמל במבנים), התשפ"ב-2021 </t>
  </si>
  <si>
    <t xml:space="preserve"> (פ/2215/24)</t>
  </si>
  <si>
    <t xml:space="preserve">הצעת חוק זכות ייצוג לקטין המתנגד לאשפוז פסיכיאטרי (תיקוני חקיקה), התשפ"ב-2021</t>
  </si>
  <si>
    <t xml:space="preserve"> (פ/2214/24)</t>
  </si>
  <si>
    <t xml:space="preserve">הצעת חוק הכשרות לאנשי מקצוע בנושא זיהוי ודיווח על התעללות בילדים, התשפ"ב-2021</t>
  </si>
  <si>
    <t xml:space="preserve"> (פ/2213/24)</t>
  </si>
  <si>
    <t xml:space="preserve">הצעת חוק להגנת חיית הבר (תיקון - ביטול רישיונות ציד), התשפ"ב-2021</t>
  </si>
  <si>
    <t xml:space="preserve"> (פ/2212/24)</t>
  </si>
  <si>
    <t xml:space="preserve">הצעת חוק בתי דין רבניים (קיום פסקי דין של גירושין) (תיקון - גט אוטומטי), התשפ"ב-2021</t>
  </si>
  <si>
    <t xml:space="preserve"> (פ/2211/24)</t>
  </si>
  <si>
    <t xml:space="preserve">הצעת חוק הזכות לקבורה אזרחית חלופית (תיקון - קבורה דתית חלופית), התשפ"ב-2021</t>
  </si>
  <si>
    <t xml:space="preserve"> (פ/2210/24)</t>
  </si>
  <si>
    <t xml:space="preserve">הצעת חוק העונשין (תיקון – תקיפת נהג אוטובוס), התשפ"ב–2021</t>
  </si>
  <si>
    <t xml:space="preserve"> (פ/2209/24)</t>
  </si>
  <si>
    <t xml:space="preserve"> (פ/2208/24)</t>
  </si>
  <si>
    <t xml:space="preserve">הצעת חוק השמירה על המקומות הקדושים (תיקון - חופש הפולחן), התשפ"ב-2021</t>
  </si>
  <si>
    <t xml:space="preserve"> (פ/2207/24)</t>
  </si>
  <si>
    <t xml:space="preserve">הצעת חוק חינוך ממלכתי (תיקון - חינוך לסובלנות ולמניעת הטרדה מינית), התשפ"ב-2021</t>
  </si>
  <si>
    <t xml:space="preserve"> (פ/2206/24)</t>
  </si>
  <si>
    <t xml:space="preserve">הצעת חוק יכולת הציבור לחוקק, התשפ"ב-2021</t>
  </si>
  <si>
    <t xml:space="preserve"> (פ/2205/24)</t>
  </si>
  <si>
    <t xml:space="preserve">הצעת חוק הזכות לקבורה אזרחית חלופית (תיקון – החזר הוצאות כספיות עבור קבורה חילונית בתשלום), התשפ"ב–2021</t>
  </si>
  <si>
    <t xml:space="preserve"> (פ/2203/24)</t>
  </si>
  <si>
    <t xml:space="preserve"> (פ/2202/24)</t>
  </si>
  <si>
    <t xml:space="preserve">הצעת חוק גיל פרישה (תיקון - העלאת גיל הפרישה לנשים וקביעת צעדים תומכים לנשים בגילאי העבודה), התשפ"ב-2021</t>
  </si>
  <si>
    <t xml:space="preserve"> (פ/2201/24)</t>
  </si>
  <si>
    <t xml:space="preserve">הצעת חוק הספורט (תיקון - מחיר נקוב לכרטיס לפעילות ספורט מאורגנת), התשפ"ב-2021</t>
  </si>
  <si>
    <t xml:space="preserve"> (פ/2200/24)</t>
  </si>
  <si>
    <t xml:space="preserve">הצעת חוק חינוך ממלכתי (תיקון - הוספת שיעורי חינוך גופני), התשפ"ב-2021</t>
  </si>
  <si>
    <t xml:space="preserve"> (פ/2199/24)</t>
  </si>
  <si>
    <t xml:space="preserve"> (פ/2198/24)</t>
  </si>
  <si>
    <t xml:space="preserve">הצעת חוק כביש אגרה (כביש ארצי לישראל) (תיקון - תנאי לגביית אגרה), התשפ"ב-2021</t>
  </si>
  <si>
    <t xml:space="preserve"> (פ/2197/24)</t>
  </si>
  <si>
    <t xml:space="preserve">הצעת חוק למניעת אלימות במשפחה (תיקון - מניעת אלימות כלכלית), התשפ"ב-2021</t>
  </si>
  <si>
    <t xml:space="preserve"> (פ/2196/24)</t>
  </si>
  <si>
    <t xml:space="preserve">הצעת חוק הביטוח הלאומי (תיקון - ביטול מבחן ההכנסה לצורך קבלת גמלת סיעוד), התשפ"ב-2021</t>
  </si>
  <si>
    <t xml:space="preserve"> (פ/2193/24)</t>
  </si>
  <si>
    <t xml:space="preserve">הצעת חוק המים (תיקון - איסור הפסקת אספקת מים), התשפ"ב-2021</t>
  </si>
  <si>
    <t xml:space="preserve"> (פ/2192/24)</t>
  </si>
  <si>
    <t xml:space="preserve"> (פ/2191/24)</t>
  </si>
  <si>
    <t xml:space="preserve">הצעת חוק שכר נושאי משרה ברשויות השלטון, התשפ"ב-2021</t>
  </si>
  <si>
    <t xml:space="preserve"> (פ/2188/24)</t>
  </si>
  <si>
    <t xml:space="preserve"> (פ/2187/24)</t>
  </si>
  <si>
    <t xml:space="preserve">חוק סמכויות מיוחדות להתמודדות עם נגיף הקורונה החדש (הוראת שעה) (תיקון מס' 9), התשפ"א-2021 </t>
  </si>
  <si>
    <t xml:space="preserve"> (מ/1447)</t>
  </si>
  <si>
    <t xml:space="preserve">02.09.2021</t>
  </si>
  <si>
    <t xml:space="preserve">במסגרת הוראת השעה, נקבע כי הממשלה תהיה מוסמכת להכריז על פיקוח תוך שימוש באמצעי טכנולוגי על כלל חייבי הבידוד, הן על החוזרים מחו"ל והן על חייבי בידוד מסיבות אחרות, ולא רק על החוזרים מחו"ל כפי שנקבע קודם לכן.</t>
  </si>
  <si>
    <t xml:space="preserve">חוק קיום דיונים בהיוועדות חזותית בהשתתפות עצורים, אסירים וכלואים בתקופת התפשטות נגיף הקורונה החדש (הוראת שעה) (תיקון), התשפ"א-2021</t>
  </si>
  <si>
    <t xml:space="preserve"> (מ/1419)</t>
  </si>
  <si>
    <t xml:space="preserve">11.08.2021</t>
  </si>
  <si>
    <t xml:space="preserve">הוחלט להאריך עד סוף שנת 2021 את תוקף החוק, המסמיך את שר המשפטים והשר לביטחון פנים, להכריז שבשל התפשטות נגיף הקורונה, חלק מהדיונים או כולם, יתקיימו שלא בנוכחות פיזית של אסירים ועצורים אלא תוך שימוש בטכנולוגיה של השתתפות בדיון מרחוק (היוועדות חזותית).  כמו כן, הוחלט להרחיב את האפשרות לקיים דיונים מרחוק בתקופה שבה החשש מהתפשטות נגיף הקורונה נמוך באופן יחסי, אך המגפה טרם מוגרה, כך שלעניין עצורים ואסירים שהם חייבי בידוד, יתקיים דיון מרחוק שלא בנוכחותם, וכן בית המשפט יהיה רשאי לאפשר לקיים דיון מרחוק לאסירים ועצורים שמבקשים שלא להגיע לבית המשפט בשל חשש מהידבקות בנגיף הקורונה, ואשר ניתן לקיים את הדיון בעניינם ללא נוכחותם הפיסית בהתחשב במהות הדיון. יחד עם זאת, נקבעו סוגי דיונים שבשל מהותם לא ניתן יהיה לקיים בהם ככלל דיון בהיוועדות חזותית כאמור, אלא מטעמים מיוחדים. הסדרים אלו יחולו גם על דיונים בוועדת השחרורים, ועל אסורים ועצירים במערכת המשפט הצבאית, בשינויים המחויבים. </t>
  </si>
  <si>
    <t xml:space="preserve"> (פ/239/24)</t>
  </si>
  <si>
    <t xml:space="preserve">09.08.2021</t>
  </si>
  <si>
    <t xml:space="preserve">חוק לקידום הבנייה במתחמים מועדפים לדיור (הוראת שעה) (תיקון מס' 7), התשפ"א-2021 </t>
  </si>
  <si>
    <t xml:space="preserve"> (מ/1438)</t>
  </si>
  <si>
    <t xml:space="preserve">04.08.2021</t>
  </si>
  <si>
    <t xml:space="preserve">נקבע בחוק הארכת הוראת השעה שבה קבוע מסלול תכנון מיוחד למתחמים מועדפים לדיור לתקופה נוספת של ארבע שנים, וכן נוספה אפשרות להארכת הוראת השעה בשתי תקופות נוספות של שנה כל אחת.  כמו כן, מוצעים שינויים נוספים הנדרשים על מנת לתת מענה לאתגרים תכנוניים שנמצא כי נכון יהיה לטפל בהם במסגרת אותו מסלול תכנון מיוחד.   בין השינויים שנקבעו בחוק: הרחבת סמכויות הוועדה בנוגע לתכנון במתחמי פינוי ובינוי במסגרת התחדשות עירונית, קידום תכנון ביישובים של האוכלוסייה הערבית לרבות הדרוזית והצ'רקסית וכן במתחמים לדיור המיועדים לאוכלוסייה החרדית, וכן הרחבת סמכות הוועדה והסמכתה לאשר תכניות במתחמים מוטי פיתוח תחבורה בסמוך לתחנות הסעת המונים שייקבעו בתכנית לתשתית לאומית. כמו כן, נקבעו מגבלות על האחוזים משטח המשבצת שניתן לגרוע מיישובים חקלאיים, כדי לשמר את אופיים הכפרי ולשמור על השטחים הפתוחים, וכן נקבעו הוראות לעניין הכוונת שיקול הדעת בהכרזה על מתחמים מועדפים כך שיילקחו בחשבון גם שיקולים הנוגעים להיבטים סביבתיים. בנוסף, נעשה שינוי בהרכב הוועדה כך שמעתה תיכלל בה נציגות של ראש רשות מקומית שהיא יישוב של בני האוכלוסייה הערבית, לרבות הדרוזית והצ'רקסית וכן משקיף מטעם המועצות האזוריות ומטעם משרד הרווחה. </t>
  </si>
  <si>
    <t xml:space="preserve">חוק תכנון משק החלב (תיקון מס' 4), התשפ"א-2021</t>
  </si>
  <si>
    <t xml:space="preserve"> (מ/1414)</t>
  </si>
  <si>
    <t xml:space="preserve">חוק תכנון משק החלב, התשע"א–2011 (להלן – החוק), מסדיר את ענף החלב כענף מתוכנן, ובין השאר קובע כי "מחירי המטרה", המחירים המזעריים שעל מחלבה לשלם ליצרן (רפתן) בעד חלב בקר במכסה, ייקבעו על פי עקרונות אשר ייקבעו בצווים לפי חוק הפיקוח על מחירי מצרכים ושירותים, התשנ"ו-1996, שיחול לעניין זה בכמה שינויים. עד לחקיקתו של החוק, "מחיר המטרה" נקבע על פי עלויות הייצור, ואופן חישובן היה מבוסס על הסכמות רבות שנים בין הגורמים השונים בענף. כדי לשמור על יציבות הענף, שעלול היה להיפגע משינויי מחירים ללא היערכות מתאימה, החוק כולל הוראת מעבר שלפיה מחיר המטרה ייקבע בהתאם למחיר המטרה האחרון שפורסם ערב תחילתו של החוק ויעודכן לפי מנגנון העדכון שנקבע בתקנות שהתקינו שרי האוצר והחקלאות ופיתוח הכפר (להלן – תקנות עדכון מחיר המטרה). הוראת מעבר זו פקעה ב-6.7.2021. בהתאם ל"סיכום החלב" שנחתם בינואר 2021 בין משרדי האוצר והחקלאות בתיאום עם הגורמים השונים בענף החלב, נקבע בחוק תכנון משק החלב (תיקון מס' 4), התשפ"א–2021, כי הוראת המעבר האמורה תהיה בתוקף עד ליום 31.12.2023. עוד נקבע כי שרי האוצר והחקלאות מוסמכים להאריכה, בצו, באישור ועדת הכלכלה של הכנסת, בתקופה אחת נוספת של שנתיים, עד ליום ה-31.12.2025.  כמו כן, השרים הוסמכו לקבוע, במסגרת תקנות עדכון מחיר המטרה, מנגנון עדכון שונה מזה שקיים היום, וזאת כדי לאפשר להפחית את מחיר המטרה. כמו כן השרים הוסמכו לקבוע בתקנות הפחתה חד פעמית במחירי המטרה הרבעוניים ברבעונים השלישי והרביעי של שנת 2021, בגובה של 2.8 אגורות. הפחתה זו מגלמת את הפחתת המחיר שהייתה אמורה להתבצע אילו ההסכמות היו מעוגנות בחקיקה בחודש ינואר האחרון – אז נחתם "סיכום החלב".   תיקון מס' 4 לחוק נכנס לתוקף ב-1.7.2021, ומתאריך זה ואילך "מחיר המטרה" יעודכן לפי מנגנון העדכון החדש שייקבע בתקנות עדכון מחיר המטרה, ובלבד שאותן תקנות יותקנו עד ל-30.9.2021.</t>
  </si>
  <si>
    <t xml:space="preserve">הצעת חוק בתי המשפט (תיקון - קביעת מותבים בבית המשפט העליון), התשפ"א-2021</t>
  </si>
  <si>
    <t xml:space="preserve"> (פ/2186/24)</t>
  </si>
  <si>
    <t xml:space="preserve">הצעת חוק נישואין וגירושין, התשפ"א-2021</t>
  </si>
  <si>
    <t xml:space="preserve"> (פ/2185/24)</t>
  </si>
  <si>
    <t xml:space="preserve">הצעת חוק ההוצאה לפועל (תיקון - מקדמות על חשבון חוב מזונות ילד), התשפ"א-2021</t>
  </si>
  <si>
    <t xml:space="preserve"> (פ/2184/24)</t>
  </si>
  <si>
    <t xml:space="preserve">הצעת חוק שירות ביטחון (תיקון - סיוע טיפולי לבוגרי השירות הצבאי), התשפ"א-2021</t>
  </si>
  <si>
    <t xml:space="preserve"> (פ/2181/24)</t>
  </si>
  <si>
    <t xml:space="preserve">הצעת חוק שירות ביטחון (תיקון - פטור זקן לחיילים), התשפ"א-2021</t>
  </si>
  <si>
    <t xml:space="preserve"> (פ/2180/24)</t>
  </si>
  <si>
    <t xml:space="preserve">הצעת חוק שיפוט בתי דין רבניים (נישואין וגירושין) (תיקון - בירור יהדות), התשפ"א-2021</t>
  </si>
  <si>
    <t xml:space="preserve"> (פ/2178/24)</t>
  </si>
  <si>
    <t xml:space="preserve">הצעת חוק הכרה אזרחית בהכשרות צבאיות (תיקון - הכרה בניסיון פיקודי כניסיון ניהולי), התשפ"א-2021</t>
  </si>
  <si>
    <t xml:space="preserve"> (פ/2175/24)</t>
  </si>
  <si>
    <t xml:space="preserve">הצעת חוק לתיקון פקודת התעבורה (חובת התקנת לחצן מצוקה באוטובוס), התשפ"א-2021</t>
  </si>
  <si>
    <t xml:space="preserve"> (פ/2173/24)</t>
  </si>
  <si>
    <t xml:space="preserve">הצעת חוק בתי דין רבניים (קיום פסקי דין של גירושין) (תיקון - הפקעת כסף קידושין), התשפ"א-2021</t>
  </si>
  <si>
    <t xml:space="preserve"> (פ/2172/24)</t>
  </si>
  <si>
    <t xml:space="preserve">הצעת חוק תגמול מדליסטים אולימפיים, התשפ"א-2021</t>
  </si>
  <si>
    <t xml:space="preserve"> (פ/2171/24)</t>
  </si>
  <si>
    <t xml:space="preserve">הצעת חוק הסדרת השימוש בקנאביס למטרות רפואיות, התשפ"א-2021</t>
  </si>
  <si>
    <t xml:space="preserve"> (פ/2170/24)</t>
  </si>
  <si>
    <t xml:space="preserve">הצעת חוק איסור פרסומת והגבלת השיווק של מוצרי טבק ועישון (תיקון - איסור פרסום בעיתונות המודפסת), התשפ"א-2021</t>
  </si>
  <si>
    <t xml:space="preserve"> (פ/2168/24)</t>
  </si>
  <si>
    <t xml:space="preserve">הצעת חוק לשכת עורכי הדין (תיקון - ציון עובר בבחינת ההתמחות), התשפ"א-2021</t>
  </si>
  <si>
    <t xml:space="preserve"> (פ/2166/24)</t>
  </si>
  <si>
    <t xml:space="preserve">הצעת חוק הקמת המוסד העליון לשפת הסימנים הישראלית, התשפ"א-2021</t>
  </si>
  <si>
    <t xml:space="preserve"> (פ/2164/24)</t>
  </si>
  <si>
    <t xml:space="preserve">הצעת חוק הפיקוח על מעונות (תיקון - חובת פיקוח של מנהל מעון), התשפ"א-2021</t>
  </si>
  <si>
    <t xml:space="preserve"> (פ/2163/24)</t>
  </si>
  <si>
    <t xml:space="preserve">הצעת חוק זכויות הסטודנט (תיקון - מועד בחינה מיוחד בשל שירות מילואים), התשפ"א-2021</t>
  </si>
  <si>
    <t xml:space="preserve"> (פ/2162/24)</t>
  </si>
  <si>
    <t xml:space="preserve"> (פ/2161/24)</t>
  </si>
  <si>
    <t xml:space="preserve">הצעת חוק ביטוח בריאות ממלכתי (תיקון - פטור מתקופת המתנה לסטודנטים הלומדים בחו"ל), התשפ"א-2021</t>
  </si>
  <si>
    <t xml:space="preserve"> (פ/2160/24)</t>
  </si>
  <si>
    <t xml:space="preserve"> (פ/2159/24)</t>
  </si>
  <si>
    <t xml:space="preserve">הצעת חוק רשות מקרקעי ישראל (תיקון - הקצאת קרקעות בנגב ובגליל לחיילים משוחררים), התשפ"א-2021</t>
  </si>
  <si>
    <t xml:space="preserve"> (פ/2158/24)</t>
  </si>
  <si>
    <t xml:space="preserve">הצעת חוק הביטוח הלאומי (תיקון - עבודה מועדפת באילת), התשפ"א-2021</t>
  </si>
  <si>
    <t xml:space="preserve"> (פ/2157/24)</t>
  </si>
  <si>
    <t xml:space="preserve">הצעת חוק הסדרת מקומות רחצה (תיקון - ייעוד זמנים לרחצה נפרדת באתרי טבע), התשפ"א-2021</t>
  </si>
  <si>
    <t xml:space="preserve"> (פ/2154/24)</t>
  </si>
  <si>
    <t xml:space="preserve">הצעת חוק ארוחה יומית לתלמיד (תיקון - הרחבת תחולת החוק), התשפ"א-2021</t>
  </si>
  <si>
    <t xml:space="preserve"> (פ/2153/24)</t>
  </si>
  <si>
    <t xml:space="preserve">הצעת חוק נציב תלונות הציבור על שופטים (תיקון - פרסום שם שופט), התשפ"א-2021</t>
  </si>
  <si>
    <t xml:space="preserve"> (פ/2152/24)</t>
  </si>
  <si>
    <t xml:space="preserve">הצעת חוק העתיקות (תיקון - הודעה ומחיקת הערה בפנקסי המקרקעין), התשפ"א-2021</t>
  </si>
  <si>
    <t xml:space="preserve"> (פ/2149/24)</t>
  </si>
  <si>
    <t xml:space="preserve">הצעת חוק אומנה לילדים (תיקון - העברת תשלומים להורה אומנה במקרים מיוחדים), התשפ"א-2021</t>
  </si>
  <si>
    <t xml:space="preserve"> (פ/2148/24)</t>
  </si>
  <si>
    <t xml:space="preserve">הצעת חוק סדר הדין הפלילי (תיקון - עבירות נוספות בהן ניתן להורות על הגשת תסקיר קורבן), התשפ"א-2021</t>
  </si>
  <si>
    <t xml:space="preserve"> (פ/2146/24)</t>
  </si>
  <si>
    <t xml:space="preserve">הצעת חוק שוויון זכויות לאנשים עם מוגבלות (תיקון - הנגשת אוטובוסים בין עירוניים), התשפ"א-2021 </t>
  </si>
  <si>
    <t xml:space="preserve"> (פ/2145/24)</t>
  </si>
  <si>
    <t xml:space="preserve">הצעת חוק-יסוד: הממשלה (תיקון - כשירות משפטית לכהונת ראש ממשלה וראש ממשלה חלופי)</t>
  </si>
  <si>
    <t xml:space="preserve"> (פ/2144/24)</t>
  </si>
  <si>
    <t xml:space="preserve">הצעת חוק לתיקון פקודת התעבורה (הוראות לעניין סככות המתנה בתחנות אוטובוס), התשפ"א-2021</t>
  </si>
  <si>
    <t xml:space="preserve"> (פ/2143/24)</t>
  </si>
  <si>
    <t xml:space="preserve"> (פ/2142/24)</t>
  </si>
  <si>
    <t xml:space="preserve">הצעת חוק מניעת עבירות מין בקטינים (תיקוני חקיקה), התשפ"א-2021</t>
  </si>
  <si>
    <t xml:space="preserve"> (פ/2141/24)</t>
  </si>
  <si>
    <t xml:space="preserve"> (פ/2136/24)</t>
  </si>
  <si>
    <t xml:space="preserve">הצעת חוק סדר הדין הפלילי (סמכויות אכיפה - מעצרים) (תיקון - הגבלת משך הזמן להגשת תסקיר), התשפ"א-2021</t>
  </si>
  <si>
    <t xml:space="preserve"> (פ/2134/24)</t>
  </si>
  <si>
    <t xml:space="preserve"> (פ/2133/24)</t>
  </si>
  <si>
    <t xml:space="preserve">הצעת חוק התחרות הכלכלית (תיקון - תוצרת חקלאית גולמית), התשפ"א-2021</t>
  </si>
  <si>
    <t xml:space="preserve"> (פ/2132/24)</t>
  </si>
  <si>
    <t xml:space="preserve">הצעת חוק סדר הדין הפלילי (סמכויות אכיפה - מעצרים) (תיקון - פיצוי בשל מעצר), התשפ"א-2021</t>
  </si>
  <si>
    <t xml:space="preserve"> (פ/2131/24)</t>
  </si>
  <si>
    <t xml:space="preserve">הצעת חוק כביש אגרה (כביש ארצי לישראל) (תיקון - הפחתת ריבית פיגורים על חוב חלוט), התשפ"א-2021</t>
  </si>
  <si>
    <t xml:space="preserve"> (פ/2130/24)</t>
  </si>
  <si>
    <t xml:space="preserve">הצעת חוק לתיקון פקודת התעבורה (הסדרי תנועה בקרבת בית ספר), התשפ"א-2021</t>
  </si>
  <si>
    <t xml:space="preserve"> (פ/2129/24)</t>
  </si>
  <si>
    <t xml:space="preserve">הצעת חוק סדר הדין הפלילי (סמכויות אכיפה - מעצרים) (תיקון - הגדרת מסוכנות של פוגעים בבעלי חיים), התשפ"א-2021</t>
  </si>
  <si>
    <t xml:space="preserve"> (פ/2128/24)</t>
  </si>
  <si>
    <t xml:space="preserve">הצעת חוק הגנת הצרכן (תיקון - תשלום חודשי בעד שירותי מים וחשמל), התשפ"א-2021</t>
  </si>
  <si>
    <t xml:space="preserve"> (פ/2125/24)</t>
  </si>
  <si>
    <t xml:space="preserve">הצעת חוק מעמדן של ההסתדרות הציונית העולמית ושל הסוכנות היהודית לארץ-ישראל (תיקון - ביטול תיקון מס' 2 והחלת חופש מידע), התשפ"א-2021</t>
  </si>
  <si>
    <t xml:space="preserve"> (פ/2124/24)</t>
  </si>
  <si>
    <t xml:space="preserve">הצעת חוק שמירת הניקיון (תיקון - תמיכה באירגוני סביבה), התשפ"א-2021</t>
  </si>
  <si>
    <t xml:space="preserve"> (פ/2123/24)</t>
  </si>
  <si>
    <t xml:space="preserve">הצעת חוק הספקת החשמל (הוראת שעה) (תיקון - הארכת תוקף), התשפ"א-2021</t>
  </si>
  <si>
    <t xml:space="preserve"> (פ/2122/24)</t>
  </si>
  <si>
    <t xml:space="preserve">הצעת חוק הביטוח הלאומי (תיקון - תוספת לקצבה של מי שמעסיק עובד בענף הסיעוד), התשפ"א-2021</t>
  </si>
  <si>
    <t xml:space="preserve"> (פ/2121/24)</t>
  </si>
  <si>
    <t xml:space="preserve">הצעת חוק שיווי זכויות האישה (תיקון - ייצוג הולם לנשים בוועדות ציבוריות ברשויות המקומיות), התשפ"א-2021</t>
  </si>
  <si>
    <t xml:space="preserve"> (פ/2120/24)</t>
  </si>
  <si>
    <t xml:space="preserve">הצעת חוק המועצה לענף הלול (ייצור ושיווק) (תיקון - תוספת מכסה אישית לגדל בלול בלא כלובים), התשפ"א-2021</t>
  </si>
  <si>
    <t xml:space="preserve"> (פ/2119/24)</t>
  </si>
  <si>
    <t xml:space="preserve">הצעת חוק העמותות (תיקון - חובת גילוי תרומה אנונימית), התשפ"א-2021</t>
  </si>
  <si>
    <t xml:space="preserve"> (פ/2118/24)</t>
  </si>
  <si>
    <t xml:space="preserve">הצעת חוק עבודת נשים (תיקון - הארכת תקופת לידה והורות להורי פג), התשפ"א-2021</t>
  </si>
  <si>
    <t xml:space="preserve"> (פ/2117/24)</t>
  </si>
  <si>
    <t xml:space="preserve">הצעת חוק ביטול מאסר חלף קנס (תיקוני חקיקה), התשפ"א-2021</t>
  </si>
  <si>
    <t xml:space="preserve"> (פ/2116/24)</t>
  </si>
  <si>
    <t xml:space="preserve">הצעת חוק לצמצום השימוש במזומן (תיקון - העברת אסמכתאות לאמצעי תשלום כתנאי לאישור העסקה), התשפ"א-2021</t>
  </si>
  <si>
    <t xml:space="preserve"> (פ/2113/24)</t>
  </si>
  <si>
    <t xml:space="preserve">הצעת חוק בתי המשפט (תיקון - תובענת תושב אזור עימות), התשפ"א-2021</t>
  </si>
  <si>
    <t xml:space="preserve"> (פ/2111/24)</t>
  </si>
  <si>
    <t xml:space="preserve">הצעת חוק-יסוד: הכנסת (תיקון - אי חידוש חברותו של שר או סגן שר כחבר כנסת)</t>
  </si>
  <si>
    <t xml:space="preserve"> (פ/2110/24)</t>
  </si>
  <si>
    <t xml:space="preserve">הצעת חוק האזרחים הוותיקים (תיקון - הקמת קרן למימון תרופות לאזרחים ותיקים מעוטי יכולת), התשפ"א-2021</t>
  </si>
  <si>
    <t xml:space="preserve"> (פ/2109/24)</t>
  </si>
  <si>
    <t xml:space="preserve">הצעת חוק עבודת נשים (תיקון - הגנה לעובדת העוברת טיפולי פוריות), התשפ"א- 2021</t>
  </si>
  <si>
    <t xml:space="preserve"> (פ/2108/24)</t>
  </si>
  <si>
    <t xml:space="preserve"> (פ/2106/24)</t>
  </si>
  <si>
    <t xml:space="preserve">הצעת חוק שיקום, פיצוי וסיוע משפטי לנפגעי עבירות מין, התשפ"א-2021</t>
  </si>
  <si>
    <t xml:space="preserve"> (פ/2102/24)</t>
  </si>
  <si>
    <t xml:space="preserve">הצעת חוק חובת המכרזים (תיקון - העדפת טובין בעלי תו תקן ירוק), התשפ"א-2021</t>
  </si>
  <si>
    <t xml:space="preserve"> (פ/2100/24)</t>
  </si>
  <si>
    <t xml:space="preserve">הצעת חוק חובת המכרזים (תיקון - העדפת טובין ממוחזרים), התשפ"א-2021</t>
  </si>
  <si>
    <t xml:space="preserve"> (פ/2099/24)</t>
  </si>
  <si>
    <t xml:space="preserve">הצעת חוק שמירת הסביבה החופית (תיקון - התאמת תכניות ישנות), התשפ"א-2021</t>
  </si>
  <si>
    <t xml:space="preserve"> (פ/2098/24)</t>
  </si>
  <si>
    <t xml:space="preserve">הצעת חוק ארוחת בוקר במוסדות חינוך, התשפ"א-2021</t>
  </si>
  <si>
    <t xml:space="preserve"> (פ/2097/24)</t>
  </si>
  <si>
    <t xml:space="preserve">הצעת חוק לתיקון פקודת הסמים המסוכנים (החזקה או שימוש לצריכה עצמית של סם מסוג קנבוס או שרף של קנבוס), התשפ"א-2021</t>
  </si>
  <si>
    <t xml:space="preserve"> (פ/2096/24)</t>
  </si>
  <si>
    <t xml:space="preserve"> (פ/2095/24)</t>
  </si>
  <si>
    <t xml:space="preserve">הצעת חוק איסור הלבנת הון (תיקון - איסור גביית דמי שמירה בלא רישיון), התשפ"א-2021</t>
  </si>
  <si>
    <t xml:space="preserve"> (פ/2093/24)</t>
  </si>
  <si>
    <t xml:space="preserve">הצעת חוק הגנה על זכויות הדורות הבאים, התשפ"א-2021</t>
  </si>
  <si>
    <t xml:space="preserve"> (פ/2092/24)</t>
  </si>
  <si>
    <t xml:space="preserve">הצעת חוק שיפוט בתי דין רבניים (נישואין וגירושין) (תיקון - מינוי נציגות ציבור), התשפ"א-2021</t>
  </si>
  <si>
    <t xml:space="preserve"> (פ/2091/24)</t>
  </si>
  <si>
    <t xml:space="preserve"> (פ/2090/24)</t>
  </si>
  <si>
    <t xml:space="preserve">הצעת חוק איסור הונאה בכשרות (תיקון - מתן תעודת הכשר על ידי רב מקומי), התשפ"א-2021</t>
  </si>
  <si>
    <t xml:space="preserve"> (פ/2089/24)</t>
  </si>
  <si>
    <t xml:space="preserve">הצעת חוק ביטוח בריאות ממלכתי (תיקון - השתתפות בטיפולי שיניים, פה ולסת לנפגעי שיתוק מוחין), התשפ"א-2021</t>
  </si>
  <si>
    <t xml:space="preserve"> (פ/2088/24)</t>
  </si>
  <si>
    <t xml:space="preserve">הצעת חוק הגנת הסביבה (יחידה סביבתית ברשויות ציבוריות), התשפ"א-2021</t>
  </si>
  <si>
    <t xml:space="preserve"> (פ/2083/24)</t>
  </si>
  <si>
    <t xml:space="preserve">הצעת חוק לעידוד בנייה בת-קיימא (תיקוני חקיקה), התשפ"א-2021</t>
  </si>
  <si>
    <t xml:space="preserve"> (פ/2082/24)</t>
  </si>
  <si>
    <t xml:space="preserve">הצעת חוק נציבות זכויות האדם, התשפ"א-2021</t>
  </si>
  <si>
    <t xml:space="preserve"> (פ/2081/24)</t>
  </si>
  <si>
    <t xml:space="preserve">הצעת חוק הביטוח הלאומי (תיקון - השוואת קצבת נכות לשכר מינימום), התשפ"א-2021</t>
  </si>
  <si>
    <t xml:space="preserve"> (פ/2080/24)</t>
  </si>
  <si>
    <t xml:space="preserve">הצעת חוק הסכמים קיבוציים (תיקון - יציגות ארגון עובדים והגנה על הפרט), התשפ"א-2021</t>
  </si>
  <si>
    <t xml:space="preserve"> (פ/2079/24)</t>
  </si>
  <si>
    <t xml:space="preserve">הצעת חוק לתיקון פקודת הדיג (איכון ספינות דיג), התשפ''א-2021</t>
  </si>
  <si>
    <t xml:space="preserve"> (פ/2077/24)</t>
  </si>
  <si>
    <t xml:space="preserve">הצעת חוק העונשין (תיקון - החמרת ענישה על תקיפת קטין או חסר ישע), התשפ"א-2021</t>
  </si>
  <si>
    <t xml:space="preserve"> (פ/2076/24)</t>
  </si>
  <si>
    <t xml:space="preserve">הצעת חוק עבודת נשים (תיקון - חזרה לעבודה מתקופת לידה והורות), התשפ"א-2021</t>
  </si>
  <si>
    <t xml:space="preserve"> (פ/2075/24)</t>
  </si>
  <si>
    <t xml:space="preserve">הצעת חוק ביטוח בריאות ממלכתי (תיקון - החזר דמי נסיעה באמבולנס), התשפ"א-2021</t>
  </si>
  <si>
    <t xml:space="preserve"> (פ/2074/24)</t>
  </si>
  <si>
    <t xml:space="preserve">הצעת חוק חופש הבחירה במזון מן הצומח, התשפ"א-2021</t>
  </si>
  <si>
    <t xml:space="preserve"> (פ/2073/24)</t>
  </si>
  <si>
    <t xml:space="preserve">הצעת חוק לעידוד פיתוח טכנולוגיה בתחום הפיננסי בישראל, התשפ"א-2021 </t>
  </si>
  <si>
    <t xml:space="preserve"> (מ/1390)</t>
  </si>
  <si>
    <t xml:space="preserve">הצעת חוק השיפוט הצבאי (תיקון מס' 80) (התאמות למערכת האזרחית בענייני סדרי דין וראיות), התשפ"א-2021</t>
  </si>
  <si>
    <t xml:space="preserve"> (מ/1434)</t>
  </si>
  <si>
    <t xml:space="preserve">חוק התכנית לסיוע כלכלי (נגיף הקורונה החדש) (הוראת שעה) (תיקון מס' 6), התשפ"א-2021 </t>
  </si>
  <si>
    <t xml:space="preserve"> (מ/1429)</t>
  </si>
  <si>
    <t xml:space="preserve">03.08.2021</t>
  </si>
  <si>
    <t xml:space="preserve">החוק מאריך עד יום 31 באוקטובר 2021 את תוקפו של ההסדר לעניין תשלום דמי בידוד לעובד ועורך בו מספר שינויים: (א) נקבע כי הורה מלווה – שהוא עובד שאינו חייב בבידוד, אך נעדר מעבודה משום שילדו חייב בידוד, זכאי ל100% דמי בידוד, בכפוף לכך שהילד אינו חייב בבידוד כי הוא חוזר מחו"ל או חולה קורונה, ושההורה האחר של הילד לא נעדר באותו זמן. החוק מאפשר לשני הורים מלווים יכולים להיעדר לסירוגין. הזכאות של הורה מלווה תחול רטרואקטיבית מתחילת 2021. (ב) החוק מבחין בין עובד השוהה בבידוד רגיל – שזכאי ל-75% מדמי הבידוד, ובין "עובד בבידוד מזכה" (מי שחייב בידוד למרות שהוא מחוסן או מחלים, עובד קטין בבידוד, או מי שהחל להתחסן אך טרם השלים את התהליך, או מי שמסיבה רפואית מוכרת נמנע ממנו להתחסן) – שזכאי ל- 100% מדמי הבידוד. למלוא דמי הבידוד כעובד מזכה זכאי גם הורה ששוהה בבידוד בשל בידוד של ילדו, בין אם גם ההורה עצמו חייב בבידוד ובין אם לא, בכפוף לכך שהילד אינו חוזר או חולה קורונה ושההורה האחר לא נעדר באותו זמן. (ג) נקבע כי מעובד הזכאי לדמי בידוד יופחתו רק עד שלושה ימי מחלה, במקום עד ארבעה ימים בהסדר הקיים. (ד)הוגבלה הזכאות לדמי בידוד רק לתקופה המזערית שלאחריה ניתן יהיה לצאת מבידוד אם מבצעים בדיקות קורונה. (ה) עלויות המעסיק שיובאו בחשבון לעניין השיפוי לא יעלו על 30% מדמי הבידוד. התקופה להגשת בקשה לשיפוי הוארכה, והותאמו הפרטים שבקשת השיפוי צריכה לכלול. (ו) אופן מסירת ההצהרות הנדרשות לפי ההסדר החדש לגבי ילדו של עובד שהוא עובד בבידוד מזכה או הורה מלווה הותאם למשפחת אומנה. נוסף לכך נקבע כי נשים שמכוח תיקון 225 לחוק הביטוח הלאומי זכאיות לדמי לידה לאחר שהיו זכאיות לדמי אבטלה עד 30.6.2021, יהיו זכאיות לתשלום נוסף בשווי דמי לידה בעד 18 ימים. </t>
  </si>
  <si>
    <t xml:space="preserve">חוק שמירת הניקיון (הוראת שעה) (תיקון מס' 2), התשפ"א-2021</t>
  </si>
  <si>
    <t xml:space="preserve"> (מ/1413)</t>
  </si>
  <si>
    <t xml:space="preserve">נקבע כי הוראת השעה בחוק שמירת הניקיון שנחקקה ב-2013 ופקעה ביום 6.7.2021, תוארך עד ליום 31 בדצמבר 2022. הוראת השעה עוסקת בייעוד חלק מכספי היטל הטמנה שהתקבלו בקרן לשמירת הניקיון, למטרות של טיפול במפגעי פסולת והקמת תשתיות לטיפול בפסולת ברשויות מקומיות המשויכות לאשכולות ברמה חברתית – כלכלית 1-5, וכן מתן סיוע לטיפול שוטף בפסולת לתקופה שלא תעלה על שנה אחת, באותן רשויות ("מטרות נוספות" בלשון החוק).  כמו כן, הוראת השעה מאפשרת שימוש ב35% מכספי ההיטל לאותן "מטרות נוספות" במקום 25% כפי שהיה קבוע בחוק העיקרי </t>
  </si>
  <si>
    <t xml:space="preserve">הצעת חוק לתיקון פקודת מס הכנסה (דיווח שנתי או חצי שנתי לסוגי נכסים), התשפ"א-2021</t>
  </si>
  <si>
    <t xml:space="preserve"> (פ/2070/24)</t>
  </si>
  <si>
    <t xml:space="preserve">02.08.2021</t>
  </si>
  <si>
    <t xml:space="preserve">הצעת חוק לתיקון פקודת מס הכנסה (הטבות במס במועצות אזוריות בעלות רוב מוטב), התשפ"א-2021 </t>
  </si>
  <si>
    <t xml:space="preserve"> (פ/2069/24)</t>
  </si>
  <si>
    <t xml:space="preserve">הצעת חוק לתיקון פקודת מס הכנסה (שינוי הקריטריונים ליישוב מוטב), התשפ"א-2021</t>
  </si>
  <si>
    <t xml:space="preserve"> (פ/2068/24)</t>
  </si>
  <si>
    <t xml:space="preserve">הצעת חוק לתיקון פקודת מס הכנסה (סמכות ועדת הכספים באישור מוסד ציבורי לעניין הטבות מס), התשפ"א-2021</t>
  </si>
  <si>
    <t xml:space="preserve"> (פ/2067/24)</t>
  </si>
  <si>
    <t xml:space="preserve">הצעת חוק דמי מחלה (תיקון - איסור פיטורים בעת היעדרות בשל מחלת ילד), התשפ"א-2021</t>
  </si>
  <si>
    <t xml:space="preserve"> (פ/2066/24)</t>
  </si>
  <si>
    <t xml:space="preserve">הצעת חוק ביטוח בריאות ממלכתי (תיקון - תנאים להחלפת תרופה, טיפול, מטפל, נותן שירותים או מוסד רפואי), התשפ"א-2021</t>
  </si>
  <si>
    <t xml:space="preserve"> (פ/2065/24)</t>
  </si>
  <si>
    <t xml:space="preserve">הצעת חוק התגמולים לנפגעי פעולות איבה (תיקון - תביעה נגד מפגע), התשפ"א-2021</t>
  </si>
  <si>
    <t xml:space="preserve"> (פ/2064/24)</t>
  </si>
  <si>
    <t xml:space="preserve"> (פ/2063/24)</t>
  </si>
  <si>
    <t xml:space="preserve">הצעת חוק סדר הדין הפלילי (תיקון - התיישנות בעבירות מין שנעשו במסגרת יחסי תלות או מרות), התשפ"א-2021</t>
  </si>
  <si>
    <t xml:space="preserve"> (פ/2062/24)</t>
  </si>
  <si>
    <t xml:space="preserve">הצעת חוק ההתיישנות (תיקון - הארכת התיישנות של תובענה בגין עבירת מין), התשפ"א-2021</t>
  </si>
  <si>
    <t xml:space="preserve"> (פ/2061/24)</t>
  </si>
  <si>
    <t xml:space="preserve">הצעת חוק הרשויות המקומיות (פטור חיילים, נפגעי מלחמה ושוטרים מארנונה) (תיקון - פטור לחייל בודד בדירת שותפים), התשפ"א-2021</t>
  </si>
  <si>
    <t xml:space="preserve"> (פ/2060/24)</t>
  </si>
  <si>
    <t xml:space="preserve">הצעת חוק הביטוח הלאומי (תיקון - דמי פגיעה לעובד עצמאי), התשפ"א-2021</t>
  </si>
  <si>
    <t xml:space="preserve"> (פ/2059/24)</t>
  </si>
  <si>
    <t xml:space="preserve"> (פ/2058/24)</t>
  </si>
  <si>
    <t xml:space="preserve">הצעת חוק איסור הפליה במוצרים, בשירותים ובכניסה למקומות בידור ולמקומות ציבוריים (תיקון - איסור הפליה בשל הובלת עגלת ילדים), התשפ"א-2021</t>
  </si>
  <si>
    <t xml:space="preserve"> (פ/2057/24)</t>
  </si>
  <si>
    <t xml:space="preserve">הצעת חוק חוזה העבודה (הסדרי עבודה מרחוק), התשפ"א-2021</t>
  </si>
  <si>
    <t xml:space="preserve"> (פ/2055/24)</t>
  </si>
  <si>
    <t xml:space="preserve">הצעת חוק הגבלת השכר בסקטור הציבורי, התשפ"א-2021</t>
  </si>
  <si>
    <t xml:space="preserve"> (פ/2054/24)</t>
  </si>
  <si>
    <t xml:space="preserve">הצעת חוק שעות עבודה ומנוחה (תיקון - אישור ועדת העבודה, הרווחה והבריאות של הכנסת במתן היתר עבודה מעל 16 שעות), התשפ"א-2021</t>
  </si>
  <si>
    <t xml:space="preserve"> (פ/2053/24)</t>
  </si>
  <si>
    <t xml:space="preserve">הצעת חוק גמול לחיילים בשירות סדיר, התשפ"א-2021</t>
  </si>
  <si>
    <t xml:space="preserve"> (פ/2051/24)</t>
  </si>
  <si>
    <t xml:space="preserve">הצעת חוק להרחבת הזכאות לדמי מחלה בהיעדרות בשל מחלת בני משפחה (תיקוני חקיקה), התשפ"א-2021</t>
  </si>
  <si>
    <t xml:space="preserve"> (פ/2050/24)</t>
  </si>
  <si>
    <t xml:space="preserve">הצעת חוק למניעת אלימות במוסדות למתן טיפול (תיקון - נציבות מניעת אלימות כלפי אנשי צוות במוסדות רפואיים), התשפ"א-¬2021</t>
  </si>
  <si>
    <t xml:space="preserve"> (פ/2048/24)</t>
  </si>
  <si>
    <t xml:space="preserve">הצעת חוק שכר מינימום לחיילים בשירות סדיר, התשפ"א-2021</t>
  </si>
  <si>
    <t xml:space="preserve"> (פ/2047/24)</t>
  </si>
  <si>
    <t xml:space="preserve">הצעת חוק איסור הפליה ברישוי מחמת מצב בריאותי (תיקוני חקיקה), התשפ"א-2021</t>
  </si>
  <si>
    <t xml:space="preserve"> (פ/2045/24)</t>
  </si>
  <si>
    <t xml:space="preserve">הצעת חוק הכנסת (תיקון - ייצוג נשים בקרב יושבי ראש ועדות הכנסת), התשפ"א-2021</t>
  </si>
  <si>
    <t xml:space="preserve"> (פ/2044/24)</t>
  </si>
  <si>
    <t xml:space="preserve">הצעת חוק הביטוח הלאומי (תיקון - תשלום קצבת נכות למי שזכאי לקצבת אזרח ותיק), התשפ"א-2021</t>
  </si>
  <si>
    <t xml:space="preserve"> (פ/2043/24)</t>
  </si>
  <si>
    <t xml:space="preserve">הצעת חוק עבודת נשים (תיקון - תקופת לידה והורות לבנות זוג מאותו המין), התשפ"א-2021</t>
  </si>
  <si>
    <t xml:space="preserve"> (פ/2042/24)</t>
  </si>
  <si>
    <t xml:space="preserve">הצעת חוק הביטוח הלאומי (תיקון - משלוח הודעה בדבר זכאות המבוטח), התשפ"א-2021</t>
  </si>
  <si>
    <t xml:space="preserve"> (פ/2040/24)</t>
  </si>
  <si>
    <t xml:space="preserve">הצעת חוק עבודת נשים (תיקון - הוספת חלקו של חודש במניין), התשפ"א-2021</t>
  </si>
  <si>
    <t xml:space="preserve"> (פ/2039/24)</t>
  </si>
  <si>
    <t xml:space="preserve">הצעת חוק הביטוח הלאומי (תיקון - שמירת היריון חלקית), התשפ"א-2021</t>
  </si>
  <si>
    <t xml:space="preserve"> (פ/2038/24)</t>
  </si>
  <si>
    <t xml:space="preserve">הצעת חוק הסדרת שוק הקנאביס לצריכה עצמית, התשפ"א-2021</t>
  </si>
  <si>
    <t xml:space="preserve"> (פ/2037/24)</t>
  </si>
  <si>
    <t xml:space="preserve">הצעת חוק עסקאות גופים ציבוריים (תיקון - איסור על התקשרות קבלנית להעסקת עובדים), התשפ"א-2021</t>
  </si>
  <si>
    <t xml:space="preserve"> (פ/2036/24)</t>
  </si>
  <si>
    <t xml:space="preserve">הצעת חוק הרשויות המקומיות (התאמת תקציב החינוך), התשפ"א-2021</t>
  </si>
  <si>
    <t xml:space="preserve"> (פ/2034/24)</t>
  </si>
  <si>
    <t xml:space="preserve">הצעת חוק משכן הכנסת, רחבתו ומשמר הכנסת (תיקון - איסור העסקה קבלנית), התשפ"א-2021</t>
  </si>
  <si>
    <t xml:space="preserve"> (פ/2032/24)</t>
  </si>
  <si>
    <t xml:space="preserve">הצעת חוק השיפוט הצבאי (תיקון - פקודת מעצר), התשפ"א-2021</t>
  </si>
  <si>
    <t xml:space="preserve"> (פ/2031/24)</t>
  </si>
  <si>
    <t xml:space="preserve">הצעת חוק גיל פרישה (תיקון - העלאת גיל הפרישה לנשים וקביעת צעדים תומכים לנשים בגילאי העבודה), התשפ"א-2021</t>
  </si>
  <si>
    <t xml:space="preserve"> (פ/2030/24)</t>
  </si>
  <si>
    <t xml:space="preserve">הצעת חוק הסכמים לנשיאת עוברים (אישור הסכם ומעמד היילוד) (תיקון - הרחבת הזכאות להליכי נשיאת עוברים), התשפ"א-2021</t>
  </si>
  <si>
    <t xml:space="preserve"> (פ/2029/24)</t>
  </si>
  <si>
    <t xml:space="preserve">הצעת חוק גוש מודיעין, התשפ"א-2021</t>
  </si>
  <si>
    <t xml:space="preserve"> (פ/2028/24)</t>
  </si>
  <si>
    <t xml:space="preserve">הצעת חוק חינוך ממלכתי (תיקון - חובת לימוד ערבית), התשפ"א-2021</t>
  </si>
  <si>
    <t xml:space="preserve"> (פ/2027/24)</t>
  </si>
  <si>
    <t xml:space="preserve">הצעת חוק ריבונות מעלה אדומים, התשפ"א-2021</t>
  </si>
  <si>
    <t xml:space="preserve"> (פ/2026/24)</t>
  </si>
  <si>
    <t xml:space="preserve">הצעת חוק חינוך אקלימי, התשפ"א-2021</t>
  </si>
  <si>
    <t xml:space="preserve"> (פ/2025/24)</t>
  </si>
  <si>
    <t xml:space="preserve">הצעת חוק החלת ריבונות על בקעת הירדן, גוש עציון, גבעת זאב, מעלה אדומים, ביתר עילית ועפרה, התשפ"א-2021</t>
  </si>
  <si>
    <t xml:space="preserve"> (פ/2024/24)</t>
  </si>
  <si>
    <t xml:space="preserve">הצעת חוק גוש מרכז בנימין, התשפ"א-2021</t>
  </si>
  <si>
    <t xml:space="preserve"> (פ/2023/24)</t>
  </si>
  <si>
    <t xml:space="preserve">הצעת חוק גוש אריאל, התשפ"א-2021</t>
  </si>
  <si>
    <t xml:space="preserve"> (פ/2022/24)</t>
  </si>
  <si>
    <t xml:space="preserve">הצעת חוק הדיור הציבורי (זכות לדירה ציבורית), התשפ"א-2021</t>
  </si>
  <si>
    <t xml:space="preserve"> (פ/2021/24)</t>
  </si>
  <si>
    <t xml:space="preserve">הצעת חוק התאגדות לרכישת קרקע חקלאית, התשפ"א-2021</t>
  </si>
  <si>
    <t xml:space="preserve"> (פ/2020/24)</t>
  </si>
  <si>
    <t xml:space="preserve"> (פ/2018/24)</t>
  </si>
  <si>
    <t xml:space="preserve">הצעת חוק ראש המטה הכללי של צבא ההגנה לישראל (תקופת כהונה), התשפ"א-2021</t>
  </si>
  <si>
    <t xml:space="preserve"> (פ/2017/24)</t>
  </si>
  <si>
    <t xml:space="preserve">הצעת חוק לקביעת שעות ההצבעה בקלפיות ולקביעת היקף יום השבתון בבחירות לכנסת ולרשויות המקומיות (תיקוני חקיקה), התשפ"א-2021</t>
  </si>
  <si>
    <t xml:space="preserve"> (פ/2016/24)</t>
  </si>
  <si>
    <t xml:space="preserve">הצעת חוק מעלה אדומים, התשפ"א-2021</t>
  </si>
  <si>
    <t xml:space="preserve"> (פ/2014/24)</t>
  </si>
  <si>
    <t xml:space="preserve">הצעת חוק אסדרת שוק הקנאביס בישראל, התשפ"א-2021</t>
  </si>
  <si>
    <t xml:space="preserve"> (פ/2013/24)</t>
  </si>
  <si>
    <t xml:space="preserve">הצעת חוק עבודת נשים (תיקון - הארכת תקופת לידה והורות בתשלום), התשפ"א-2021</t>
  </si>
  <si>
    <t xml:space="preserve"> (פ/2012/24)</t>
  </si>
  <si>
    <t xml:space="preserve">הצעת חוק הרשות הלאומית לשעת משבר, התשפ"א-2021</t>
  </si>
  <si>
    <t xml:space="preserve"> (פ/2011/24)</t>
  </si>
  <si>
    <t xml:space="preserve"> (פ/2009/24)</t>
  </si>
  <si>
    <t xml:space="preserve">הצעת חוק הביטוח הלאומי (תיקון - דמי אבטלה לחיילים, מתנדבים ומשרתים בשירות לאומי-אזרחי), התשפ"א-2021</t>
  </si>
  <si>
    <t xml:space="preserve"> (פ/2008/24)</t>
  </si>
  <si>
    <t xml:space="preserve">הצעת חוק פיקוח ודיווח על עבירות נשק, התשפ"א-2021</t>
  </si>
  <si>
    <t xml:space="preserve"> (פ/2007/24)</t>
  </si>
  <si>
    <t xml:space="preserve">הצעת חוק הביטוח הלאומי (תיקון - הדרכה בתנועת נוער כעבודה מועדפת), התשפ"א-2021</t>
  </si>
  <si>
    <t xml:space="preserve"> (פ/2006/24)</t>
  </si>
  <si>
    <t xml:space="preserve">הצעת חוק שירות ביטחון (תיקוני חקיקה), התשפ"א-2021 </t>
  </si>
  <si>
    <t xml:space="preserve"> (פ/2005/24)</t>
  </si>
  <si>
    <t xml:space="preserve">הצעת חוק בחינת חלופות מדיניות לא-צבאיות (תיקוני חקיקה), התשפ"א-2021</t>
  </si>
  <si>
    <t xml:space="preserve"> (פ/2004/24)</t>
  </si>
  <si>
    <t xml:space="preserve">הצעת חוק הנגשת מוקדי פניות חירום באמצעות שיחוח ומסרון, התשפ"א-2021</t>
  </si>
  <si>
    <t xml:space="preserve"> (פ/2003/24)</t>
  </si>
  <si>
    <t xml:space="preserve">הצעת חוק העמדת רכב לרשות נושאי משרה, התשפ"א-2021</t>
  </si>
  <si>
    <t xml:space="preserve"> (פ/2002/24)</t>
  </si>
  <si>
    <t xml:space="preserve">הצעת חוק גיל פרישה (תיקון - ביטול גיל פרישת חובה), התשפ"א-2021</t>
  </si>
  <si>
    <t xml:space="preserve"> (פ/2001/24)</t>
  </si>
  <si>
    <t xml:space="preserve">הצעת חוק ההוצאה לפועל (תיקון - הגבלת עיקול מיטלטליו של קשיש), התשפ"א-2021</t>
  </si>
  <si>
    <t xml:space="preserve"> (פ/1999/24)</t>
  </si>
  <si>
    <t xml:space="preserve">הצעת חוק יישוב סכסוכי עבודה (תיקון - דין שביתה בתקופת בחירות), התשפ"א-2021</t>
  </si>
  <si>
    <t xml:space="preserve"> (פ/1997/24)</t>
  </si>
  <si>
    <t xml:space="preserve">הצעת חוק הרשויות המקומיות (בחירת ראש הרשות וסגניו וכהונתם) (תיקון - סגן ראש רשות ברשות מעורבת), התשפ"א-2021</t>
  </si>
  <si>
    <t xml:space="preserve"> (פ/1996/24)</t>
  </si>
  <si>
    <t xml:space="preserve">הצעת חוק הודעה מוקדמת לפיטורים ולהתפטרות (תיקון - החלה על עובד המועסק ביהודה ושומרון), התשפ"א-2021</t>
  </si>
  <si>
    <t xml:space="preserve"> (פ/1995/24)</t>
  </si>
  <si>
    <t xml:space="preserve">הצעת חוק זכויות התורמים למדינה, התשפ"א-2021</t>
  </si>
  <si>
    <t xml:space="preserve"> (פ/1992/24)</t>
  </si>
  <si>
    <t xml:space="preserve">הצעת חוק ההתייעלות הכלכלית (תיקוני חקיקה להשגת יעדי התקציב לשנות התקציב 2015 ו-2016) (תיקון - הארכת התקופה להשלמת הבנייה עקב משבר הקורונה), התשפ"א-2021</t>
  </si>
  <si>
    <t xml:space="preserve"> (פ/1990/24)</t>
  </si>
  <si>
    <t xml:space="preserve">הצעת חוק סדר הדין הפלילי (סמכויות אכיפה - מעצרים) (תיקון - שחרור ממעצר באין הכרעת דין), התשפ"א-2021</t>
  </si>
  <si>
    <t xml:space="preserve"> (פ/1988/24)</t>
  </si>
  <si>
    <t xml:space="preserve">הצעת חוק להקמת ועדת חקירה ממלכתית לבדיקת אסון הטביעה בנחל צפית, התשפ"א-2021</t>
  </si>
  <si>
    <t xml:space="preserve"> (פ/1987/24)</t>
  </si>
  <si>
    <t xml:space="preserve">הצעת חוק האזנת סתר (תיקון - האזנת אחראי לקטין), התשפ"א-2021</t>
  </si>
  <si>
    <t xml:space="preserve"> (פ/1985/24)</t>
  </si>
  <si>
    <t xml:space="preserve">הצעת חוק הביטוח הלאומי (תיקון - קצבת לידה בשל לידת תאומים), התשפ"א-2021</t>
  </si>
  <si>
    <t xml:space="preserve"> (פ/1984/24)</t>
  </si>
  <si>
    <t xml:space="preserve"> (פ/1983/24)</t>
  </si>
  <si>
    <t xml:space="preserve">הצעת חוק הביטוח הלאומי (תיקון - פטור מתשלום דמי ביטוח לאומי עד גיל 21), התשפ"א-2021</t>
  </si>
  <si>
    <t xml:space="preserve"> (פ/1982/24)</t>
  </si>
  <si>
    <t xml:space="preserve">הצעת חוק הסיוע המשפטי (תיקון - סיוע משפטי לנפגעי אלימות במשפחה), התשפ"א-2021</t>
  </si>
  <si>
    <t xml:space="preserve"> (פ/1981/24)</t>
  </si>
  <si>
    <t xml:space="preserve">הצעת חוק שירות המילואים (תיקון - הפחתת שיעור המס שחל על תגמולים למשרתי מילואים), התשפ"א-2021</t>
  </si>
  <si>
    <t xml:space="preserve"> (פ/1980/24)</t>
  </si>
  <si>
    <t xml:space="preserve">הצעת חוק לתיקון פקודת מס הכנסה (הכרה בניכוי הפקדות לביטוח סיעודי), התשפ"א-2021</t>
  </si>
  <si>
    <t xml:space="preserve"> (פ/1979/24)</t>
  </si>
  <si>
    <t xml:space="preserve">הצעת חוק רישוי עסקים (תיקון - מכירת יין בחנות גדולה), התשפ"א-2021</t>
  </si>
  <si>
    <t xml:space="preserve"> (פ/1978/24)</t>
  </si>
  <si>
    <t xml:space="preserve">הצעת חוק שעות עבודה ומנוחה (תיקון - שבוע עבודה בן חמישה ימים וקביעת יום ראשון כיום חופשי), התשפ"א-2021</t>
  </si>
  <si>
    <t xml:space="preserve"> (פ/1977/24)</t>
  </si>
  <si>
    <t xml:space="preserve">הצעת חוק שירותי הדת היהודיים (תיקון - דין משמעתי לרבני ערים), התשפ"א-2021</t>
  </si>
  <si>
    <t xml:space="preserve"> (פ/1975/24)</t>
  </si>
  <si>
    <t xml:space="preserve">הצעת חוק הביטוח הלאומי (תיקון - הגדלת קצבת אזרח ותיק לשבעים אחוז משכר המינימום), התשפ"א-2021</t>
  </si>
  <si>
    <t xml:space="preserve"> (פ/1974/24)</t>
  </si>
  <si>
    <t xml:space="preserve">הצעת חוק כליאתם של אסירים נדרשים, התשפ"א-2021</t>
  </si>
  <si>
    <t xml:space="preserve"> (פ/1973/24)</t>
  </si>
  <si>
    <t xml:space="preserve">הצעת חוק חינוך פיננסי, התשפ"א-2021</t>
  </si>
  <si>
    <t xml:space="preserve"> (פ/1972/24)</t>
  </si>
  <si>
    <t xml:space="preserve">הצעת חוק הביטוח הלאומי (תיקון - ייעוד מענק אשפוז בשל לידת פג למחלקת פגים בלבד), התשפ"א-2021</t>
  </si>
  <si>
    <t xml:space="preserve"> (פ/1971/24)</t>
  </si>
  <si>
    <t xml:space="preserve">הצעת חוק איסור הפליה במוצרים, בשירותים ובכניסה למקומות בידור ולמקומות ציבוריים (תיקון - הפליה מחמת מראה והתניית רישיון עסק באיסור הפליה), התשפ"א-2021</t>
  </si>
  <si>
    <t xml:space="preserve"> (פ/1970/24)</t>
  </si>
  <si>
    <t xml:space="preserve">הצעת חוק המים (תיקון - מתן הנחות בתעריפי מים לאוכלוסיות נזקקות), התשפ"א-2021</t>
  </si>
  <si>
    <t xml:space="preserve"> (פ/1969/24)</t>
  </si>
  <si>
    <t xml:space="preserve">הצעת חוק לביטול ההתיישנות בעבירות מין (תיקוני חקיקה), התשפ"א-2021</t>
  </si>
  <si>
    <t xml:space="preserve"> (פ/1968/24)</t>
  </si>
  <si>
    <t xml:space="preserve">הצעת חוק לתיקון פקודת התעבורה (הסדרי תנועה בקרבת בית ספר), התשפ"א-2021 </t>
  </si>
  <si>
    <t xml:space="preserve"> (פ/1967/24)</t>
  </si>
  <si>
    <t xml:space="preserve">הצעת חוק התכנון והבנייה (תיקון - חובת הקמת מערכת סולארית לייצור חשמל במבנים), התשפ"א-2021</t>
  </si>
  <si>
    <t xml:space="preserve"> (פ/1966/24)</t>
  </si>
  <si>
    <t xml:space="preserve">הצעת חוק לתיקון פקודת התעבורה (שמירת מרחק בעת עקיפת רוכבי אופניים), התשפ"א-2021</t>
  </si>
  <si>
    <t xml:space="preserve"> (פ/1965/24)</t>
  </si>
  <si>
    <t xml:space="preserve">הצעת חוק שעות עבודה ומנוחה (תיקון - הגבלת שעות העסקה של מתמחה ברפואה), התשפ"א-2021</t>
  </si>
  <si>
    <t xml:space="preserve"> (פ/1964/24)</t>
  </si>
  <si>
    <t xml:space="preserve"> (פ/1963/24)</t>
  </si>
  <si>
    <t xml:space="preserve">הצעת חוק מתן שירות לציבור בגופים ציבוריים בשעות אחר הצהריים, התשפ"א-2021</t>
  </si>
  <si>
    <t xml:space="preserve"> (פ/1962/24)</t>
  </si>
  <si>
    <t xml:space="preserve">הצעת חוק איסור טיפול המרה לקטין, התשפ"א-2021</t>
  </si>
  <si>
    <t xml:space="preserve"> (פ/1961/24)</t>
  </si>
  <si>
    <t xml:space="preserve">הצעת חוק הביטוח הלאומי (תיקון - מועד לתביעת גמלת כסף והתקופה שבעדה תשולם), התשפ"א-2021 </t>
  </si>
  <si>
    <t xml:space="preserve"> (פ/1960/24)</t>
  </si>
  <si>
    <t xml:space="preserve">הצעת גוש מערב השומרון, התשפ"א-2021</t>
  </si>
  <si>
    <t xml:space="preserve"> (פ/1959/24)</t>
  </si>
  <si>
    <t xml:space="preserve"> (פ/1958/24)</t>
  </si>
  <si>
    <t xml:space="preserve">הצעת חוק גוש לב השומרון, התשפ"א-2021</t>
  </si>
  <si>
    <t xml:space="preserve"> (פ/1957/24)</t>
  </si>
  <si>
    <t xml:space="preserve">הצעת חוק גוש מנשה, התשפ"א-2021</t>
  </si>
  <si>
    <t xml:space="preserve"> (פ/1956/24)</t>
  </si>
  <si>
    <t xml:space="preserve">הצעת חוק חברון ובנותיה, התשפ"א-2021</t>
  </si>
  <si>
    <t xml:space="preserve"> (פ/1955/24)</t>
  </si>
  <si>
    <t xml:space="preserve"> (פ/1954/24)</t>
  </si>
  <si>
    <t xml:space="preserve">הצעת חוק גוש עציון, התשפ"א-2021</t>
  </si>
  <si>
    <t xml:space="preserve"> (פ/1953/24)</t>
  </si>
  <si>
    <t xml:space="preserve">הצעת חוק תנאי העסקת עובדי הוראה (איסור העסקת מורי קבלן), התשפ"א-2021</t>
  </si>
  <si>
    <t xml:space="preserve"> (פ/1952/24)</t>
  </si>
  <si>
    <t xml:space="preserve">הצעת חוק לתיקון פקודת מס הכנסה (משיכה מקרן השתלמות לרכישת דירה ראשונה), התשפ"א-2021 </t>
  </si>
  <si>
    <t xml:space="preserve"> (פ/1951/24)</t>
  </si>
  <si>
    <t xml:space="preserve">הצעת חוק לתיקון פקודת הבנקאות (תקופת צינון למפקח על הבנקים), התשפ"א-2021</t>
  </si>
  <si>
    <t xml:space="preserve"> (פ/1950/24)</t>
  </si>
  <si>
    <t xml:space="preserve">הצעת חוק המועצה להשכלה גבוהה (תיקון - שינוי דרישות הקבלה), התשפ"א-2021</t>
  </si>
  <si>
    <t xml:space="preserve"> (פ/1949/24)</t>
  </si>
  <si>
    <t xml:space="preserve"> (פ/1948/24)</t>
  </si>
  <si>
    <t xml:space="preserve">הצעת חוק לתיקון פקודת התעבורה (ביטול מופע אור ירוק ברמזור פנייה ימינה בעת הופעת אור ירוק ברמזור להולכי רגל), התשפ"א-2021</t>
  </si>
  <si>
    <t xml:space="preserve"> (פ/1947/24)</t>
  </si>
  <si>
    <t xml:space="preserve">הצעת חוק זכויות הסטודנט (תיקון - סיוע כלכלי בשעת חירום), התשפ"א-2021</t>
  </si>
  <si>
    <t xml:space="preserve"> (פ/1946/24)</t>
  </si>
  <si>
    <t xml:space="preserve">הצעת חוק הרשויות המקומיות (פטור חיילים, נפגעי מלחמה ושוטרים מארנונה) (תיקון - החרגת ההגבלה סייג לדירות גדולות לחיילים בודדים), התשפ"א-2021</t>
  </si>
  <si>
    <t xml:space="preserve"> (פ/1945/24)</t>
  </si>
  <si>
    <t xml:space="preserve">הצעת חוק ההוצאה לפועל (תיקון - קביעת תעריף מקסימלי לשכר טרחת עורך דין), התשפ"א-2021</t>
  </si>
  <si>
    <t xml:space="preserve"> (פ/1942/24)</t>
  </si>
  <si>
    <t xml:space="preserve">הצעת חוק הגנת השכר (תיקון - החלה על עובד המועסק ביהודה והשומרון), התשפ"א-2021</t>
  </si>
  <si>
    <t xml:space="preserve"> (פ/1940/24)</t>
  </si>
  <si>
    <t xml:space="preserve">הצעת חוק הודעה מוקדמת לפיטורים ולהתפטרות (תיקון - החלה על עובד המועסק ביהודה והשומרון), התשפ"א-2021</t>
  </si>
  <si>
    <t xml:space="preserve"> (פ/1939/24)</t>
  </si>
  <si>
    <t xml:space="preserve">הצעת חוק-יסוד: הכנסת (תיקון - חבר כנסת הנאמן למצע מפלגתו לא יחשב כפורש מסיעתו)</t>
  </si>
  <si>
    <t xml:space="preserve"> (פ/1938/24)</t>
  </si>
  <si>
    <t xml:space="preserve">הצעת חוק החזר הוצאות כספיות בגין עריכת נישואין אזרחיים בחוץ לארץ למי שאינם רשאים להינשא על פי הדין הדתי, התשפ"א-2021</t>
  </si>
  <si>
    <t xml:space="preserve"> (פ/1937/24)</t>
  </si>
  <si>
    <t xml:space="preserve">הצעת חוק צער בעלי חיים (הגנה על בעלי חיים) (תיקון - איסור משלוחים חיים לשחיטה), התשפ"א-2021</t>
  </si>
  <si>
    <t xml:space="preserve"> (פ/1936/24)</t>
  </si>
  <si>
    <t xml:space="preserve">הצעת חוק המכינות הקדם-צבאיות (תיקון - סעיף תקציב משרד החינוך), התשפ"א-2021</t>
  </si>
  <si>
    <t xml:space="preserve"> (פ/1934/24)</t>
  </si>
  <si>
    <t xml:space="preserve">הצעת חוק הדואר (תיקון - תשלומי ריבית למקבלי השירותים הכספיים), התשפ"א-2021</t>
  </si>
  <si>
    <t xml:space="preserve"> (פ/1933/24)</t>
  </si>
  <si>
    <t xml:space="preserve">הצעת חוק איסור קבלת תרומות ממדינות אויב או מדינות תומכות טרור, התשפ"א-2021</t>
  </si>
  <si>
    <t xml:space="preserve"> (פ/1932/24)</t>
  </si>
  <si>
    <t xml:space="preserve">הצעת חוק שלילת תשלומים מחבר הכנסת ומחבר הכנסת לשעבר בשל עבירה (תיקון - חשוד בעבירת ביטחון), התשפ"א-2021</t>
  </si>
  <si>
    <t xml:space="preserve"> (פ/1931/24)</t>
  </si>
  <si>
    <t xml:space="preserve">הצעת חוק מרשם האוכלוסין (תיקון - רישום הורה נוסף), התשפ"א-2021 </t>
  </si>
  <si>
    <t xml:space="preserve"> (פ/1930/24)</t>
  </si>
  <si>
    <t xml:space="preserve">הצעת חוק החברות (תיקון - ייצוג הולם לבני שני המינים בדירקטוריונים של חברות ציבוריות), התשפ"א-2021</t>
  </si>
  <si>
    <t xml:space="preserve"> (פ/1929/24)</t>
  </si>
  <si>
    <t xml:space="preserve">הצעת חוק העונשין (תיקון - איסור שידול להמרת דת), התשפ"א-2021</t>
  </si>
  <si>
    <t xml:space="preserve"> (פ/1928/24)</t>
  </si>
  <si>
    <t xml:space="preserve">הצעת חוק נציבות תלונות הציבור על מייצגי המדינה בערכאות (תיקון - הסדרת מעמד הנציבות כגוף ביקורת עצמאי), התשפ"א-2021</t>
  </si>
  <si>
    <t xml:space="preserve"> (פ/1926/24)</t>
  </si>
  <si>
    <t xml:space="preserve">הצעת חוק התכנון והבנייה (תיקון - גודל האותיות בהודעות בענייני תכנון ובנייה), התשפ"א-2021</t>
  </si>
  <si>
    <t xml:space="preserve"> (פ/1925/24)</t>
  </si>
  <si>
    <t xml:space="preserve">הצעת חוק למניעת אלימות במשפחה (תיקון - מניעת אלימות כלכלית), התשפ"א-2021</t>
  </si>
  <si>
    <t xml:space="preserve"> (פ/1924/24)</t>
  </si>
  <si>
    <t xml:space="preserve"> (פ/1923/24)</t>
  </si>
  <si>
    <t xml:space="preserve">הצעת חוק יום האחדות, התשפ"א-2021</t>
  </si>
  <si>
    <t xml:space="preserve"> (פ/1922/24)</t>
  </si>
  <si>
    <t xml:space="preserve">הצעת חוק יום האחדות, התשפ"א-2021 </t>
  </si>
  <si>
    <t xml:space="preserve"> (פ/1921/24)</t>
  </si>
  <si>
    <t xml:space="preserve">הצעת חוק פיקוח על מחירי מצרכים ושירותים (תיקון - פיקוח על מחיר לחם מלא), התשפ"א-2021</t>
  </si>
  <si>
    <t xml:space="preserve"> (פ/1920/24)</t>
  </si>
  <si>
    <t xml:space="preserve">הצעת חוק ניירות ערך (תיקון מס' 70), התשפ"א-2021</t>
  </si>
  <si>
    <t xml:space="preserve"> (מ/1439)</t>
  </si>
  <si>
    <t xml:space="preserve">הצעת חוק הרשתות החברתיות, התשפ"א-2021</t>
  </si>
  <si>
    <t xml:space="preserve"> (פ/1479/24)</t>
  </si>
  <si>
    <t xml:space="preserve">28.07.2021</t>
  </si>
  <si>
    <t xml:space="preserve"> (פ/1405/24)</t>
  </si>
  <si>
    <t xml:space="preserve">הצעת חוק לתיקון פקודת הסמים המסוכנים (הגדרת צמח הקנבוס, מדרוג עבירות ועונשים בסם קנבוס), התשפ"א-2021</t>
  </si>
  <si>
    <t xml:space="preserve"> (פ/1373/24)</t>
  </si>
  <si>
    <t xml:space="preserve">הצעת חוק הרשות הלאומית למניעת התאבדויות, התשפ"א-2021</t>
  </si>
  <si>
    <t xml:space="preserve"> (פ/1369/24)</t>
  </si>
  <si>
    <t xml:space="preserve">הצעת חוק העונשין (תיקון - הגדרת גזענות), התשפ"א-2021</t>
  </si>
  <si>
    <t xml:space="preserve"> (פ/1256/24)</t>
  </si>
  <si>
    <t xml:space="preserve">הצעת חוק הבחירות לכנסת (תיקון - אחוז החסימה), התשפ"א-2021</t>
  </si>
  <si>
    <t xml:space="preserve"> (פ/1083/24)</t>
  </si>
  <si>
    <t xml:space="preserve"> (פ/968/24)</t>
  </si>
  <si>
    <t xml:space="preserve"> (פ/817/24)</t>
  </si>
  <si>
    <t xml:space="preserve"> (פ/667/24)</t>
  </si>
  <si>
    <t xml:space="preserve">הצעת חוק החלת הריבונות של מדינת ישראל בחבלי יהודה והשומרון, התשפ"א-2021</t>
  </si>
  <si>
    <t xml:space="preserve"> (פ/551/24)</t>
  </si>
  <si>
    <t xml:space="preserve"> (פ/550/24)</t>
  </si>
  <si>
    <t xml:space="preserve"> (פ/285/24)</t>
  </si>
  <si>
    <t xml:space="preserve"> (פ/229/24)</t>
  </si>
  <si>
    <t xml:space="preserve"> (פ/114/24)</t>
  </si>
  <si>
    <t xml:space="preserve">הצעת חוק פקודת הסמים המסוכנים (תיקון - הגדרת צמח הקנבוס, מדרוג עבירות ועונשים בסם קנבוס), התשפ"א-2021</t>
  </si>
  <si>
    <t xml:space="preserve"> (פ/19/24)</t>
  </si>
  <si>
    <t xml:space="preserve">הצעת חוק חיזוק מעמד חברי המועצה (תיקוני חקיקה), התשפ"א-2021</t>
  </si>
  <si>
    <t xml:space="preserve"> (פ/7/24)</t>
  </si>
  <si>
    <t xml:space="preserve">הצעת חוק-יסוד: הכנסת (תיקון - הרחבת עילות הפסילה בגין הסתה לגזענות כנגד האוכלוסייה החרדית)</t>
  </si>
  <si>
    <t xml:space="preserve"> (פ/6/24)</t>
  </si>
  <si>
    <t xml:space="preserve">חוק הדיינים (תיקון מס' 29), התשפ"א-2021 </t>
  </si>
  <si>
    <t xml:space="preserve"> (מ/1436)</t>
  </si>
  <si>
    <t xml:space="preserve">27.07.2021</t>
  </si>
  <si>
    <t xml:space="preserve">במסגרת החוק הוחלט על הגדלת מספר החברים בוועדה לבחירת דיינים מ-11 חברים ל-13 חברים. בהתאם, נקבע כי יהיו בוועדה שלושה שרים במקום שניים וכן, תתווסף טוענת רבנית כך שיהיו בוועדה שתי טוענות. הטוענות הרבניות יבחרו בתוך שלושה חודשים ממועד כינון ממשלה חדשה האחת על ידי שר המשפטים והשנייה על ידי השר לשירותי דת. נוכח הגדלת הוועדה, מספר החברים המינימאלי לפעילות הוועדה יהיה שבעה במקום שישה; הרוב הדרוש למינוי דיין לבית הדין הגדול הוא 10 חברים בוועדה במקום 8; על מנת לסיים את כהונתו של דיין נדרשת הסכמתם של 9 חברים במקום 7.</t>
  </si>
  <si>
    <t xml:space="preserve">חוק-יסוד: הממשלה (תיקון מס' 10)</t>
  </si>
  <si>
    <t xml:space="preserve"> (מ/1410)</t>
  </si>
  <si>
    <t xml:space="preserve">26.07.2021</t>
  </si>
  <si>
    <t xml:space="preserve">הוחלט להחיל את מנגנון ההצבעה הפריטטי שקבעה הממשלה לגבי מליאת הממשלה גם בוועדות השרים השונות. עוד נקבע כי במשרד ראש הממשלה בעת כינון ממשלה ניתן יהיה למנות שני סגני שרים. בנוסף, נקבע כי חילופים בין ראש הממשלה וראש הממשלה החלופי ייערכו גם אם הוחלט על התפזרות הכנסת לפני גמר כהונתה, ובעד חוק ההתפזרות בקריאה השלישית הצביעו שני חברי כנסת מהסיעות ששריהן מזוהים כבעלי זיקה לראש הממשלה במועד השבעת ממשלת החילופים; או במידה ולא נתקבל חוק תקציב עד תום התקופה המיועדת לכך לפי חוק-יסוד: הכנסת.</t>
  </si>
  <si>
    <t xml:space="preserve">הצעת חוק לתיקון פקודת התעבורה (מסירת מידע על תאונות דרכים), התשפ"א-2021</t>
  </si>
  <si>
    <t xml:space="preserve"> (פ/1919/24)</t>
  </si>
  <si>
    <t xml:space="preserve">הצעת חוק איסור פרסומת והגבלת השיווק של מוצרי טבק ועישון (תיקון - פרסומות מנע של חברות מוצרי טבק ועישון), התשפ"א-2021</t>
  </si>
  <si>
    <t xml:space="preserve"> (פ/1918/24)</t>
  </si>
  <si>
    <t xml:space="preserve">הצעת חוק ביטוח בריאות ממלכתי (תיקון - העברת שירותי הגמילה לתוספת השנייה), התשפ"א-2021 </t>
  </si>
  <si>
    <t xml:space="preserve"> (פ/1917/24)</t>
  </si>
  <si>
    <t xml:space="preserve">הצעת חוק הגנת הצרכן (תיקון - איסור הפליית מחירים בשל מגדר), התשפ"א-2021</t>
  </si>
  <si>
    <t xml:space="preserve"> (פ/1916/24)</t>
  </si>
  <si>
    <t xml:space="preserve"> (פ/1915/24)</t>
  </si>
  <si>
    <t xml:space="preserve">הצעת חוק לתיקון פקודת התעבורה (פטור מאגרת רישיון לרכב חשמלי), התשפ"א-2021</t>
  </si>
  <si>
    <t xml:space="preserve"> (פ/1914/24)</t>
  </si>
  <si>
    <t xml:space="preserve">הצעת חוק איסור קבלת ביטחונות מעובד (תיקון - החלה על עובד המועסק ביהודה והשומרון), התשפ"א-2021</t>
  </si>
  <si>
    <t xml:space="preserve"> (פ/1913/24)</t>
  </si>
  <si>
    <t xml:space="preserve">הצעת חוק שעות עבודה ומנוחה (תיקון - החלה על עובד המועסק ביהודה והשומרון), התשפ"א-2021</t>
  </si>
  <si>
    <t xml:space="preserve"> (פ/1912/24)</t>
  </si>
  <si>
    <t xml:space="preserve">הצעת חוק-יסוד: הממשלה (תיקון - הגבלת כהונת ראש הממשלה)</t>
  </si>
  <si>
    <t xml:space="preserve"> (פ/1911/24)</t>
  </si>
  <si>
    <t xml:space="preserve">הצעת חוק להגברת האכיפה של דיני העבודה (תיקון - החלה על עובד המועסק ביהודה והשומרון), התשפ"א-2021</t>
  </si>
  <si>
    <t xml:space="preserve"> (פ/1910/24)</t>
  </si>
  <si>
    <t xml:space="preserve">הצעת חוק מיסוי מקרקעין (שבח ורכישה) (תיקון - דירה שאינה בבעלותם המשותפת של בני זוג), התשפ"א-2021</t>
  </si>
  <si>
    <t xml:space="preserve"> (פ/1908/24)</t>
  </si>
  <si>
    <t xml:space="preserve">הצעת חוק שידור אירועי ספורט בעלי עניין ציבורי, התשפ"א-2021</t>
  </si>
  <si>
    <t xml:space="preserve"> (פ/1907/24)</t>
  </si>
  <si>
    <t xml:space="preserve">הצעת חוק הדיור הציבורי (פתרונות דיור עבור ממתינים לדיור ציבורי), התשפ"א-2021</t>
  </si>
  <si>
    <t xml:space="preserve"> (פ/1906/24)</t>
  </si>
  <si>
    <t xml:space="preserve">הצעת חוק הגנת הצרכן (תיקון - איסור גביית עמלה בעסקה שבוצעה באמצעות האינטרנט), התשפ"א-2021</t>
  </si>
  <si>
    <t xml:space="preserve"> (פ/1905/24)</t>
  </si>
  <si>
    <t xml:space="preserve"> (פ/1904/24)</t>
  </si>
  <si>
    <t xml:space="preserve">הצעת חוק מענק לבניית מרחב מוגן, התשפ"א-2021</t>
  </si>
  <si>
    <t xml:space="preserve"> (פ/1901/24)</t>
  </si>
  <si>
    <t xml:space="preserve">הצעת חוק בתי המשפט (תיקון - שקיפות הליכים משפטיים בעתירות בעניינים ציבוריים) (הוראת שעה), התשפ"א-2021</t>
  </si>
  <si>
    <t xml:space="preserve"> (פ/1900/24)</t>
  </si>
  <si>
    <t xml:space="preserve"> (פ/1899/24)</t>
  </si>
  <si>
    <t xml:space="preserve">הצעת חוק גיל פרישה (תיקון - גיל פרישה לאישה), התשפ"א-2021</t>
  </si>
  <si>
    <t xml:space="preserve"> (פ/1897/24)</t>
  </si>
  <si>
    <t xml:space="preserve">הצעת חוק הביטוח הלאומי (תיקון - קצבת אזרח ותיק וקצבת נכות), התשפ"א-2021</t>
  </si>
  <si>
    <t xml:space="preserve"> (פ/1895/24)</t>
  </si>
  <si>
    <t xml:space="preserve">הצעת חוק המועצה להשכלה גבוהה (תיקון - תנאי קבלה למוסד להשכלה גבוהה), התשפ"א-2021</t>
  </si>
  <si>
    <t xml:space="preserve"> (פ/1894/24)</t>
  </si>
  <si>
    <t xml:space="preserve">הצעת חוק הביטוח הלאומי (תיקון - הצמדת קצבת אזרח ותיק לשכר המינימום), התשפ"א-2021</t>
  </si>
  <si>
    <t xml:space="preserve"> (פ/1893/24)</t>
  </si>
  <si>
    <t xml:space="preserve">הצעת חוק הגנת הפרטיות (תיקון - תקופת ההתיישנות), התשפ"א-2021</t>
  </si>
  <si>
    <t xml:space="preserve"> (פ/1892/24)</t>
  </si>
  <si>
    <t xml:space="preserve"> (פ/1890/24)</t>
  </si>
  <si>
    <t xml:space="preserve">הצעת חוק לתיקון פקודת מס הכנסה (פטור ממס לגמלאים על תשלומי הפנסיה), התשפ"א-2021</t>
  </si>
  <si>
    <t xml:space="preserve"> (פ/1887/24)</t>
  </si>
  <si>
    <t xml:space="preserve">הצעת חוק בית המשפט לענייני משפחה (תיקון - בני הזוג מאותו המין), התשפ"א-2021</t>
  </si>
  <si>
    <t xml:space="preserve"> (פ/1885/24)</t>
  </si>
  <si>
    <t xml:space="preserve">הצעת חוק לקידום מתחרים ולהגברת יעילות במתן רישיונות והיתרים בענף הפיננסים, התשפ"א-2021 </t>
  </si>
  <si>
    <t xml:space="preserve"> (פ/1883/24)</t>
  </si>
  <si>
    <t xml:space="preserve"> (פ/1882/24)</t>
  </si>
  <si>
    <t xml:space="preserve">הצעת חוק החלת הריבונות הישראלית על בקעת הירדן, התשפ"א-2021</t>
  </si>
  <si>
    <t xml:space="preserve"> (פ/1881/24)</t>
  </si>
  <si>
    <t xml:space="preserve">הצעת חוק מס ערך מוסף (תיקון - מס בשיעור אפס על מוצרי היגיינה נשית), התשפ"א-2021</t>
  </si>
  <si>
    <t xml:space="preserve"> (פ/1880/24)</t>
  </si>
  <si>
    <t xml:space="preserve"> (פ/1878/24)</t>
  </si>
  <si>
    <t xml:space="preserve">הצעת חוק הביטוח הלאומי (תיקון - עבודה במסגרות חינוך בלתי פורמלי כעבודה מועדפת), התשפ"א-2021</t>
  </si>
  <si>
    <t xml:space="preserve"> (פ/1876/24)</t>
  </si>
  <si>
    <t xml:space="preserve"> (פ/1875/24)</t>
  </si>
  <si>
    <t xml:space="preserve">הצעת חוק ההתגוננות האזרחית (תיקון - פיקוח על מקלטים משותפים), התשפ"א-2021</t>
  </si>
  <si>
    <t xml:space="preserve"> (פ/1873/24)</t>
  </si>
  <si>
    <t xml:space="preserve">הצעת חוק התכנון והבנייה (תיקון מס' 116) (תיקון - ביטול החוק), התשפ"א-2021</t>
  </si>
  <si>
    <t xml:space="preserve"> (פ/1872/24)</t>
  </si>
  <si>
    <t xml:space="preserve"> (פ/1870/24)</t>
  </si>
  <si>
    <t xml:space="preserve">הצעת חוק הסדרת התפילה בכותל המערבי, התשפ"א-2021</t>
  </si>
  <si>
    <t xml:space="preserve"> (פ/1869/24)</t>
  </si>
  <si>
    <t xml:space="preserve">הצעת חוק הכשרות המשפטית והאפוטרופסות (תיקון - ביטול חזקת הגיל הרך), התשפ"א-2021</t>
  </si>
  <si>
    <t xml:space="preserve"> (פ/1865/24)</t>
  </si>
  <si>
    <t xml:space="preserve"> (פ/1864/24)</t>
  </si>
  <si>
    <t xml:space="preserve"> (פ/1858/24)</t>
  </si>
  <si>
    <t xml:space="preserve"> (פ/1857/24)</t>
  </si>
  <si>
    <t xml:space="preserve">הצעת חוק זכויות החולה (תיקון - שיכוך כאב בעת מתן טיפול רפואי לקטין), התשפ"א-2021</t>
  </si>
  <si>
    <t xml:space="preserve"> (פ/1856/24)</t>
  </si>
  <si>
    <t xml:space="preserve">הצעת חוק הביטוח הלאומי (תיקון - עבודה מועדפת בענף המסעדנות בעוטף עזה), התשפ"א-2021</t>
  </si>
  <si>
    <t xml:space="preserve"> (פ/1855/24)</t>
  </si>
  <si>
    <t xml:space="preserve">הצעת חוק הבטחת הכנסה (תיקון - תוספת לגמלה בעד הילד השלישי ואילך), התשפ"א-2021</t>
  </si>
  <si>
    <t xml:space="preserve"> (פ/1854/24)</t>
  </si>
  <si>
    <t xml:space="preserve">הצעת חוק ביטוח בריאות ממלכתי (תיקון - עיגון זכאות לשירותים לילדים עם אוטיזם), התשפ"א-2021</t>
  </si>
  <si>
    <t xml:space="preserve"> (פ/1853/24)</t>
  </si>
  <si>
    <t xml:space="preserve">הצעת חוק נציב תלונות הציבור על שופטים (תיקון - נציבות תלונות הציבור על דיינים וקאדים), התשפ"א-2021</t>
  </si>
  <si>
    <t xml:space="preserve"> (פ/1851/24)</t>
  </si>
  <si>
    <t xml:space="preserve">הצעת חוק חסינות חברי הכנסת, זכויותיהם וחובותיהם (תיקון - ביקור במוסדות ובמתקנים סגורים ותחולה באזור), התשפ"א-2021</t>
  </si>
  <si>
    <t xml:space="preserve"> (פ/1850/24)</t>
  </si>
  <si>
    <t xml:space="preserve">הצעת חוק אימוץ ילדים (תיקון - אימוץ על ידי בני הזוג), התשפ"א-2021</t>
  </si>
  <si>
    <t xml:space="preserve"> (פ/1848/24)</t>
  </si>
  <si>
    <t xml:space="preserve">הצעת חוק הבחירות (דרכי תעמולה) (תיקון - תעמולה דיגיטלית), התשפ"א-2021</t>
  </si>
  <si>
    <t xml:space="preserve"> (פ/1847/24)</t>
  </si>
  <si>
    <t xml:space="preserve">הצעת חוק הביטוח הלאומי (תיקון - דמי אבטלה לעובדי ענף התעופה), התשפ"א-2021</t>
  </si>
  <si>
    <t xml:space="preserve"> (פ/1845/24)</t>
  </si>
  <si>
    <t xml:space="preserve">הצעת חוק השיפוט הצבאי (סייגים לתחולת סימן ב'1 בפרק ו' לחוק העונשין) (הוראת שעה), התשפ"א-2021</t>
  </si>
  <si>
    <t xml:space="preserve"> (מ/1437)</t>
  </si>
  <si>
    <t xml:space="preserve">21.07.2021</t>
  </si>
  <si>
    <t xml:space="preserve">חוק הכניסה לישראל (הוראת שעה – נגיף הקורונה החדש), התשפ"א-2021 </t>
  </si>
  <si>
    <t xml:space="preserve"> (מ/1425)</t>
  </si>
  <si>
    <t xml:space="preserve">20.07.2021</t>
  </si>
  <si>
    <t xml:space="preserve">במטרה למנוע ניתוקו של קשר טיפולי ארוך בין מטופל לבין עובד זר המועסק בתחום הסיעוד, אשר יכול לגרום לפגיעה קשה במטופל, נקבע בהוראת שעה, התקפה למשך ארבעה חודשים, כי שר הפנים רשאי לבחון מחדש ולאשר בקשות הארכה לרישיון לישיבת ביקור, לשם העסקת עובדים זרים בסיעוד, אשר נדחו בתקופת מגפת הקורונה.  בקשות אלה יבחנו במקרים בהם הקשר בין המטופל לעובד הזר נמשך מחודש מרץ 2021 לפחות, בשל הסתמכות על תקופת ההיערכות הארוכה שניתנה בעקבות מגפת הקורונה, ובלבד שבעת הגשת הבקשה העובד הזר לא שהה בישראל מעל 13 שנים.  </t>
  </si>
  <si>
    <t xml:space="preserve">חוק רישוי שירותים ומקצועות בענף הרכב (תיקון מס' 7), התשפ"א-2021</t>
  </si>
  <si>
    <t xml:space="preserve"> (מ/1418)</t>
  </si>
  <si>
    <t xml:space="preserve">19.07.2021</t>
  </si>
  <si>
    <t xml:space="preserve">חוק רישוי שירותים ומקצועות בענף הרכב (תיקון מס' 7), התשפ"א–2021 (להלן – התיקון לחוק), מתקן את חוק רישוי שירותים ומקצועות בענף הרכב, התשע"ו–2016 (להלן – החוק). החוק מסדיר באופן מקיף תחומים שונים בענף הרכב, ובהם ייבוא רכב, מוסכים ושמאות רכב, ובמסגרתו נקבעו הסדרים עדכניים שנועדו להחליף צווים מכוח חוק הפיקוח על מצרכים ושירותים, התשי"ח–1957 (להלן – צווי הפיקוח), שהם חקיקה לשעת חירום ובהם הוסדרו תחומים אלה עד לחקיקת החוק. נושאים מסוימים מוסדרים בהוראות נוהל שנקבעו לפי צווי הפיקוח.  לשם יישומו המלא של החוק יש צורך בהתקנת מספר רב של תקנות, חלקן באישור ועדת הכלכלה של הכנסת. כדי לאפשר לשר התחבורה והבטיחות בדרכים להשלים את התקנתן של כל התקנות הנדרשות, נקבעה בחוק הוראת שעה שלפיה צווי הפיקוח והוראות הנוהל מכוחם ימשיכו לעמוד בתוקף עד שיותקנו אותן תקנות. הוראת שעה זו פקעה ב-6.7.2021. מאחר שטרם הושלמה התקנתן של התקנות הנדרשות מכוח החוק ואשר אמורות להחליף את צווי הפיקוח, נקבע בתיקון לחוק כי תוקפם של צווי הפיקוח יוארך עד ל-31.12.2021.   כמו כן, התיקון לחוק כולל הארכה של הוראת שעה נוספת, הקבועה בסעיף 253(א) לחוק ונוגעת לתנאים לקבלת רישיון ייבוא רכב שבהם צריך לעמוד יבואן זעיר (שהוא יבואן רכב המורשה לייבא עד 20 כלי רכב בשנה). הוראת שעה זו, שתוארך עד ל-18.10.2022, מאפשרת ליבואנים זעירים לייבא גם כלי רכב שאינם חדשים, ובלבד שטרם עברו 12 חודשים ממועד ייצור הרכב ועד למועד רישומו בארץ. </t>
  </si>
  <si>
    <t xml:space="preserve">הצעת חוק רשות מקרקעי ישראל (תיקון - החכר מימוני לדירות), התשפ"א-2021</t>
  </si>
  <si>
    <t xml:space="preserve"> (פ/1844/24)</t>
  </si>
  <si>
    <t xml:space="preserve"> (פ/1842/24)</t>
  </si>
  <si>
    <t xml:space="preserve"> (פ/1841/24)</t>
  </si>
  <si>
    <t xml:space="preserve">הצעת חוק המועצה לענף הלול (ייצור ושיווק) (תיקון - סימון ביצים), התשפ"א-2021</t>
  </si>
  <si>
    <t xml:space="preserve"> (פ/1839/24)</t>
  </si>
  <si>
    <t xml:space="preserve">הצעת חוק הגנת הפרטיות (תיקון - מניעת פרסום פרטיו של אדם שנהרג או נפגע ברבים בטרם נמסרה הודעה למשפחה), התשפ"א-2021</t>
  </si>
  <si>
    <t xml:space="preserve"> (פ/1838/24)</t>
  </si>
  <si>
    <t xml:space="preserve">הצעת חוק העבירות המינהליות (תיקון - הגנה מן הצדק בעבירת קנס), התשפ"א-2021</t>
  </si>
  <si>
    <t xml:space="preserve"> (פ/1837/24)</t>
  </si>
  <si>
    <t xml:space="preserve">הצעת חוק רכזי ביטחון שוטף צבאיים, התשפ''א-2021</t>
  </si>
  <si>
    <t xml:space="preserve"> (פ/1836/24)</t>
  </si>
  <si>
    <t xml:space="preserve">הצעת חוק להקפאת קצבאות שמשולמות לפעיל טרור ומשפחתו מקופת המדינה, התשפ"א-2021</t>
  </si>
  <si>
    <t xml:space="preserve"> (פ/1835/24)</t>
  </si>
  <si>
    <t xml:space="preserve"> (פ/1834/24)</t>
  </si>
  <si>
    <t xml:space="preserve">הצעת חוק רשת ביטחון לעצמאים - הפקדות וזכויות סוציאליות (תיקוני חקיקה), התשפ"א-2021</t>
  </si>
  <si>
    <t xml:space="preserve"> (פ/1833/24)</t>
  </si>
  <si>
    <t xml:space="preserve"> (פ/1832/24)</t>
  </si>
  <si>
    <t xml:space="preserve">הצעת חוק כביש אגרה (כביש ארצי לישראל) (תיקון - פטור מאגרה לחיילי מילואים בדרכם לשירות), התשפ"א-2021</t>
  </si>
  <si>
    <t xml:space="preserve"> (פ/1831/24)</t>
  </si>
  <si>
    <t xml:space="preserve">הצעת חוק המאבק בטרור (תיקון - זכות להחזיק בגופות מחבלים לצורכי משא ומתן), התשפ"א-2021</t>
  </si>
  <si>
    <t xml:space="preserve"> (פ/1830/24)</t>
  </si>
  <si>
    <t xml:space="preserve"> (פ/1829/24)</t>
  </si>
  <si>
    <t xml:space="preserve">הצעת חוק עבודת נשים (תיקון - אובדן הריון), התשפ"א-2021</t>
  </si>
  <si>
    <t xml:space="preserve"> (פ/1827/24)</t>
  </si>
  <si>
    <t xml:space="preserve">הצעת חוק הביטוח הלאומי (תיקון - דמי מחלה לעובד עצמאי), התשפ"א-2021</t>
  </si>
  <si>
    <t xml:space="preserve"> (פ/1826/24)</t>
  </si>
  <si>
    <t xml:space="preserve">הצעת חוק-יסוד: הממשלה (תיקון - הבעת אי אמון בממשלה)</t>
  </si>
  <si>
    <t xml:space="preserve"> (פ/1825/24)</t>
  </si>
  <si>
    <t xml:space="preserve">הצעת חוק שעות עבודה ומנוחה (תיקון - הסדרת סוף שבוע ארוך), התשפ"א-2021</t>
  </si>
  <si>
    <t xml:space="preserve"> (פ/1824/24)</t>
  </si>
  <si>
    <t xml:space="preserve">הצעת חוק בריאות ממלכתי (תיקון - העברת מידע מלא בעת מעבר בין קופות החולים), התשפ"א-2021</t>
  </si>
  <si>
    <t xml:space="preserve"> (פ/1823/24)</t>
  </si>
  <si>
    <t xml:space="preserve">הצעת חוק דמי מחלה (תיקון - תשלום דמי מחלה החל מהיום הראשון להיעדרות), התשפ"א-2021</t>
  </si>
  <si>
    <t xml:space="preserve"> (פ/1822/24)</t>
  </si>
  <si>
    <t xml:space="preserve">הצעת חוק הביטוח הלאומי (תיקון - תשלום קצבת ילדים לאחר גיל 18 בעד ילד המשרת בשירות צבאי, לאומי או אזרחי), התשפ"א-2021</t>
  </si>
  <si>
    <t xml:space="preserve"> (פ/1821/24)</t>
  </si>
  <si>
    <t xml:space="preserve">הצעת חוק לקביעת חיסיון ליועצי מס ורואי חשבון (תיקוני חקיקה), התשפ"א-2021</t>
  </si>
  <si>
    <t xml:space="preserve"> (פ/1820/24)</t>
  </si>
  <si>
    <t xml:space="preserve">הצעת חוק-יסוד: הממשלה (תיקון - הפסקת כהונה של שר וסגן שר בשל חשד לפלילים)</t>
  </si>
  <si>
    <t xml:space="preserve"> (פ/1818/24)</t>
  </si>
  <si>
    <t xml:space="preserve">הצעת חוק חובת המכרזים (תיקון - הרחבת חובת העדפה של תוצרת הארץ), התשפ"א-2021</t>
  </si>
  <si>
    <t xml:space="preserve"> (פ/1817/24)</t>
  </si>
  <si>
    <t xml:space="preserve">הצעת חוק זכויות הסטודנט (תיקון - מסלולי לימוד נפרדים), התשפ"א-2021</t>
  </si>
  <si>
    <t xml:space="preserve"> (פ/1816/24)</t>
  </si>
  <si>
    <t xml:space="preserve">הצעת חוק שיקים ללא כיסוי (תיקון - סייגים לתחולת החוק בשל התמשכות משבר הקורונה), התשפ"א-2021 </t>
  </si>
  <si>
    <t xml:space="preserve"> (פ/1814/24)</t>
  </si>
  <si>
    <t xml:space="preserve">הצעת חוק הרשויות המקומיות (גמול השתתפות בישיבות והחזר הוצאות לחברי מועצה), התשפ"א-2021</t>
  </si>
  <si>
    <t xml:space="preserve"> (פ/1813/24)</t>
  </si>
  <si>
    <t xml:space="preserve"> (פ/1812/24)</t>
  </si>
  <si>
    <t xml:space="preserve">הצעת חוק העונשין (תיקון - עונש מינימום על החזקת נשק בלתי חוקי), התשפ"א-2021</t>
  </si>
  <si>
    <t xml:space="preserve"> (פ/1811/24)</t>
  </si>
  <si>
    <t xml:space="preserve">הצעת חוק הבטחת הכנסה (תיקון - הכנסה שלא תחושב), התשפ"א-2021</t>
  </si>
  <si>
    <t xml:space="preserve"> (פ/1810/24)</t>
  </si>
  <si>
    <t xml:space="preserve">הצעת חוק האזרחים הוותיקים (תיקון - פטור מתשלום בתחבורה ציבורית), התשפ"א-2021</t>
  </si>
  <si>
    <t xml:space="preserve"> (פ/1809/24)</t>
  </si>
  <si>
    <t xml:space="preserve">הצעת חוק התפתחות טבעית בערי יהודה ושומרון, התשפ"א-2021</t>
  </si>
  <si>
    <t xml:space="preserve"> (פ/1806/24)</t>
  </si>
  <si>
    <t xml:space="preserve">הצעת חוק לתיקון פקודת המשטרה (חובת לבישת מדים בהפגנות), התשפ"א-2021</t>
  </si>
  <si>
    <t xml:space="preserve"> (פ/1805/24)</t>
  </si>
  <si>
    <t xml:space="preserve">הצעת חוק החלת החוק הישראלי בשטח בקעת הירדן (הליך קבלת אזרחות), התשפ"א-2021</t>
  </si>
  <si>
    <t xml:space="preserve"> (פ/1804/24)</t>
  </si>
  <si>
    <t xml:space="preserve">הצעת חוק המאבק בטרור (תיקון - איסור החזרת גופות מחבלים), התשפ"א-2021</t>
  </si>
  <si>
    <t xml:space="preserve"> (פ/1803/24)</t>
  </si>
  <si>
    <t xml:space="preserve">הצעת חוק הדואר (תיקון - אחריות לאיחורים וטעויות), התשפ"א-2021 </t>
  </si>
  <si>
    <t xml:space="preserve"> (פ/1802/24)</t>
  </si>
  <si>
    <t xml:space="preserve">הצעת חוק הסדרת העיסוק במקצועות הבריאות (תיקון - טיפול באמצעות בעלי חיים), התשפ"א-2021</t>
  </si>
  <si>
    <t xml:space="preserve"> (פ/1801/24)</t>
  </si>
  <si>
    <t xml:space="preserve">הצעת חוק זכויות הסטודנט (תיקון - חופשת לידה לסטודנטית), התשפ"א-2021</t>
  </si>
  <si>
    <t xml:space="preserve"> (פ/1800/24)</t>
  </si>
  <si>
    <t xml:space="preserve">הצעת חוק ביטוח בריאות ממלכתי (תיקון - שירותי בריאות נוספים לשוהים במוסדות לילדים ונוער בסיכון), התשפ"א-2021</t>
  </si>
  <si>
    <t xml:space="preserve"> (פ/1798/24)</t>
  </si>
  <si>
    <t xml:space="preserve"> (פ/1797/24)</t>
  </si>
  <si>
    <t xml:space="preserve">הצעת חוק זכויות הסטודנט (תיקון - פעילות ציבורית ופוליטית במוסד להשכלה גבוהה), התשפ"א-2021</t>
  </si>
  <si>
    <t xml:space="preserve"> (פ/1796/24)</t>
  </si>
  <si>
    <t xml:space="preserve">הצעת חוק השיפוט הצבאי (תיקון מס' 78), התשפ"א-2021</t>
  </si>
  <si>
    <t xml:space="preserve"> (מ/1432)</t>
  </si>
  <si>
    <t xml:space="preserve">הצעת חוק השיפוט הצבאי (תיקון מס' 79) (הבניית שיקול הדעת השיפוטי בענישה), התשפ"א-2021</t>
  </si>
  <si>
    <t xml:space="preserve"> (מ/1433)</t>
  </si>
  <si>
    <t xml:space="preserve">הצעת חוק שירות הקבע בצבא הגנה לישראל (גמלאות) (תיקון מס' 33) (מינוי חייל לוועדת ערעור), התשפ"א-2021</t>
  </si>
  <si>
    <t xml:space="preserve"> (מ/1430)</t>
  </si>
  <si>
    <t xml:space="preserve">הצעת חוק הדיינים (תיקון מס' 29), התשפ"א-2021</t>
  </si>
  <si>
    <t xml:space="preserve"> (מ/1417)</t>
  </si>
  <si>
    <t xml:space="preserve">14.07.2021</t>
  </si>
  <si>
    <t xml:space="preserve">הצעת חוק זכויות החולה (תיקון - הכנסת מזון למוסדות רפואיים בחג הפסח), התשפ"א-2021</t>
  </si>
  <si>
    <t xml:space="preserve"> (פ/1469/24)</t>
  </si>
  <si>
    <t xml:space="preserve"> (פ/1254/24)</t>
  </si>
  <si>
    <t xml:space="preserve">הצעת חוק התובע הכללי, התשפ"א-2021</t>
  </si>
  <si>
    <t xml:space="preserve"> (פ/1138/24)</t>
  </si>
  <si>
    <t xml:space="preserve">הצעת חוק הדגל, הסמל והמנון המדינה (תיקון - פגיעה בכבוד דגל המדינה או סמלה), התשפ״א-2021</t>
  </si>
  <si>
    <t xml:space="preserve"> (פ/1052/24)</t>
  </si>
  <si>
    <t xml:space="preserve"> (פ/813/24)</t>
  </si>
  <si>
    <t xml:space="preserve"> (פ/774/24)</t>
  </si>
  <si>
    <t xml:space="preserve"> (פ/765/24)</t>
  </si>
  <si>
    <t xml:space="preserve">הצעת חוק סיוע לנפגעי האסון הלאומי בהר מירון, התשפ"א-2021</t>
  </si>
  <si>
    <t xml:space="preserve"> (פ/717/24)</t>
  </si>
  <si>
    <t xml:space="preserve"> (פ/608/24)</t>
  </si>
  <si>
    <t xml:space="preserve">הצעת חוק לביטול אזרחותו או תושבותו של פעיל טרור שמקבל תגמול עבור ביצוע מעשה הטרור (תיקוני חקיקה), התשפ"א-2021</t>
  </si>
  <si>
    <t xml:space="preserve"> (פ/556/24)</t>
  </si>
  <si>
    <t xml:space="preserve"> (פ/553/24)</t>
  </si>
  <si>
    <t xml:space="preserve">הצעת חוק לתיקון פקודת העיריות (צדק חלוקתי בכל הרשויות המתוקצבות במדינת ישראל), התשפ"א-2021</t>
  </si>
  <si>
    <t xml:space="preserve"> (פ/355/24)</t>
  </si>
  <si>
    <t xml:space="preserve">הצעת חוק זכויות החולה (תיקון - קביעת הוראות לעניין הכנסת חפצים ודברי מאכל למוסד רפואי), התשפ"א-2021</t>
  </si>
  <si>
    <t xml:space="preserve"> (פ/197/24)</t>
  </si>
  <si>
    <t xml:space="preserve">הצעת חוק לתיקון פקודת הבנקאות (הגבלת עמלת פירעון מוקדם של הלוואה לדיור), התשפ"א-2021</t>
  </si>
  <si>
    <t xml:space="preserve"> (פ/158/24)</t>
  </si>
  <si>
    <t xml:space="preserve">חוק חדלות פירעון ושיקום כלכלי (תיקון מס' 5), התשפ"א-2021 </t>
  </si>
  <si>
    <t xml:space="preserve"> (מ/1406)</t>
  </si>
  <si>
    <t xml:space="preserve">12.07.2021</t>
  </si>
  <si>
    <t xml:space="preserve">החוק מאריך את תוקפה של הוראת השעה המאפשרת מינוי נאמן שלא מתוך רשימות הנאמנים שיגובשו לפי חוק חדלות פירעון ושיקום כלכלי והתקנות שהותקנו מכוחו. הוראת השעה פקעה ביום 6.7 ולכן החוק מאריך את תוקפה באופן רטרואקטיבי.</t>
  </si>
  <si>
    <t xml:space="preserve">חוק לתיקון פקודת התעבורה (מס' 120) (תיקון מס' 2), התשפ"א-2021</t>
  </si>
  <si>
    <t xml:space="preserve"> (מ/1415)</t>
  </si>
  <si>
    <t xml:space="preserve">התיקון נועד להאריך את תקופת המעבר שנקבעה בחוק לתיקון פקודת התעבורה (מס' 120), התשע"ח–2018 (להלן – החוק), שעניינו ברפורמה בענף מוניות השירות.  מטרת הרפורמה הייתה לפתוח לתחרות את ענף מוניות השירות, כך שהרישיונות לקווי שירות למוניות יינתנו בהליך תחרותי, שוויוני ופומבי, כלומר במכרז. כדי לאפשר את הפעלתן הרציפה של מוניות השירות עד לסיום ההליכים התחרותיים כאמור, נקבעה במסגרת הרפורמה הוראת מעבר, שלפיה הוסמך המפקח על התעבורה במשרד התחבורה לחדש את רישיונותיהם של בעלי הרישיונות הוותיקים, כלומר אלה שהפעילו את מוניות השירות לפני תחילתה של הרפורמה, וזאת עד ל-31 בדצמבר 2019. לפי הוראת המעבר, המפקח על התעבורה יאריך את רישיונותיהם של בעלי הרישיונות הוותיקים בהתחשב בין היתר בהתקדמות ההליכים התחרותיים לבחירת בעלי הרישיונות החדשים. תקופת המעבר שבה ניתן לחדש את הרישיונות כאמור הוארכה בתיקון קודם לחוק עד ל-31.12.2020, ובשל התפזרות הכנסת ה-23 ומערכת הבחירות לכנסת ה-24, הוארכה תקופה זו מכוח חוק יסוד: הכנסת עד ל-6.7.2021. מאחר שטרם הושלמו ההליכים התחרותיים לבחירת כל בעלי הרישיונות החדשים, נקבע בתיקון לחוק כי תקופת המעבר תוארך בשנה נוספת, כלומר המפקח על התעבורה יוסמך לחדש את רישיונותיהם של בעלי הרישיונות הוותיקים לכל המאוחר עד ל-31 בדצמבר 2021.  </t>
  </si>
  <si>
    <t xml:space="preserve">הצעת חוק הפחתת תוספות פיגור שנוספו על קנסות הנגבים בידי המרכז לגביית קנסות, אגרות והוצאות (הוראת שעה), התשפ"א-2021</t>
  </si>
  <si>
    <t xml:space="preserve"> (פ/1794/24)</t>
  </si>
  <si>
    <t xml:space="preserve">הצעת חוק לשכת עורכי הדין (תיקון - הגבלת שכר טרחה על מכתבי התראה לפני גביית חוב), התשפ"א-2021</t>
  </si>
  <si>
    <t xml:space="preserve"> (פ/1793/24)</t>
  </si>
  <si>
    <t xml:space="preserve">הצעת חוק הקמת מאגר מידע דיגיטלי בנושא הכשרות מקצועיות, התשפ"א- 2021</t>
  </si>
  <si>
    <t xml:space="preserve"> (פ/1792/24)</t>
  </si>
  <si>
    <t xml:space="preserve">הצעת חוק סדר הדין הפלילי (תיקון - הוכחת העדר מסוגלות לעמוד לדין לפי מאזן הסתברויות), התשפ"א-2021</t>
  </si>
  <si>
    <t xml:space="preserve"> (פ/1791/24)</t>
  </si>
  <si>
    <t xml:space="preserve"> (פ/1789/24)</t>
  </si>
  <si>
    <t xml:space="preserve"> (פ/1788/24)</t>
  </si>
  <si>
    <t xml:space="preserve">הצעת חוק יום אבל במות קרוב מדרגה שנייה, התשפ"א-2021</t>
  </si>
  <si>
    <t xml:space="preserve"> (פ/1787/24)</t>
  </si>
  <si>
    <t xml:space="preserve">הצעת חוק הכשרות המשפטית והאפוטרופסות (תיקון - שינוי חזקת הגיל הרך), התשפ''א-2021</t>
  </si>
  <si>
    <t xml:space="preserve"> (פ/1784/24)</t>
  </si>
  <si>
    <t xml:space="preserve">הצעת חוק לטיפול בכתות פוגעניות, התשפ"א-2021</t>
  </si>
  <si>
    <t xml:space="preserve"> (פ/1782/24)</t>
  </si>
  <si>
    <t xml:space="preserve"> (פ/1781/24)</t>
  </si>
  <si>
    <t xml:space="preserve">הצעת חוק המזונות (הבטחת תשלום) (תיקון - סכום שלא יובא בחשבון במבחן ההכנסה), התשפ"א-2021</t>
  </si>
  <si>
    <t xml:space="preserve"> (פ/1780/24)</t>
  </si>
  <si>
    <t xml:space="preserve">הצעת חוק התקשורת (בזק ושידורים) (תיקון - התרת משלוח דבר פרסומת באמצעות הודעת מסר קצר לשם קבלת תרומה או תעמולה על ידי מפרסם שהוא עמותה או חברה לתועלת הציבור), התשפ"א-2021</t>
  </si>
  <si>
    <t xml:space="preserve"> (פ/1779/24)</t>
  </si>
  <si>
    <t xml:space="preserve">הצעת חוק משפחות חיילים שנספו במערכה (תגמולים ושיקום) (תיקון - הכרה בארוסות חיילים שנספו במערכה), התשפ"א-2021</t>
  </si>
  <si>
    <t xml:space="preserve"> (פ/1778/24)</t>
  </si>
  <si>
    <t xml:space="preserve">הצעת חוק הבטחת הכנסה (תיקון - גמלה לאם חד הורית), התשפ"א-2021</t>
  </si>
  <si>
    <t xml:space="preserve"> (פ/1776/24)</t>
  </si>
  <si>
    <t xml:space="preserve">הצעת חוק מס רכוש וקרן פיצויים (תיקון - פיצוי בעד נזקי מגפת הקורונה) (הוראת שעה), התשפ"א-2021</t>
  </si>
  <si>
    <t xml:space="preserve"> (פ/1775/24)</t>
  </si>
  <si>
    <t xml:space="preserve">הצעת חוק עבודת נשים (תיקון - הזכות להיעדר מהעבודה בשל צורך רפואי בתקופת ההיריון ללא ניכוי מהשכר), התשפ"א-2021</t>
  </si>
  <si>
    <t xml:space="preserve"> (פ/1774/24)</t>
  </si>
  <si>
    <t xml:space="preserve"> (פ/1773/24)</t>
  </si>
  <si>
    <t xml:space="preserve">הצעת חוק יסודות התקציב (תיקון - אישור נוהל הגשת בקשות תמיכה), התשפ"א-2021</t>
  </si>
  <si>
    <t xml:space="preserve"> (פ/1772/24)</t>
  </si>
  <si>
    <t xml:space="preserve">הצעת חוק יסודות התקציב (תיקון - תמיכת משרדי ממשלה במוסדות ציבור), התשפ"א-2021</t>
  </si>
  <si>
    <t xml:space="preserve"> (פ/1770/24)</t>
  </si>
  <si>
    <t xml:space="preserve">הצעת חוק הקמת חדרי מיון בקרית שמונה ושדרות, התשפ"א-2021</t>
  </si>
  <si>
    <t xml:space="preserve"> (פ/1769/24)</t>
  </si>
  <si>
    <t xml:space="preserve">הצעת חוק ביטוח בריאות ממלכתי (תיקון - רפואת שיניים למי שמלאו להם 60 שנים), התשפ"א-2021</t>
  </si>
  <si>
    <t xml:space="preserve"> (פ/1767/24)</t>
  </si>
  <si>
    <t xml:space="preserve">הצעת חוק הסכמי קדם נישואין, התשפ"א-2021</t>
  </si>
  <si>
    <t xml:space="preserve"> (פ/1766/24)</t>
  </si>
  <si>
    <t xml:space="preserve">הצעת חוק התכנית להבראת כלכלת ישראל (תיקוני חקיקה להשגת יעדי התקציב והמדיניות הכלכלית לשנות הכספים 2003 ו-2004) (תיקון - ביטול הדרגתי של היטל על העסקת עובד זר) (הוראת שעה), התשפ"א-2021</t>
  </si>
  <si>
    <t xml:space="preserve"> (פ/1765/24)</t>
  </si>
  <si>
    <t xml:space="preserve"> (פ/1764/24)</t>
  </si>
  <si>
    <t xml:space="preserve"> (פ/1763/24)</t>
  </si>
  <si>
    <t xml:space="preserve">הצעת חוק בתי דין רבניים (קיום פסק דין של גירושין) (תיקון - הפקעת זכויות במקרה של סירוב גט מתמשך או מעשי אלימות), התשפ"א-2021</t>
  </si>
  <si>
    <t xml:space="preserve"> (פ/1762/24)</t>
  </si>
  <si>
    <t xml:space="preserve">הצעת חוק הממשלה (תיקון - הקמת מנגנון מוסדר לחילופי שלטון), התשפ״א-2021</t>
  </si>
  <si>
    <t xml:space="preserve"> (פ/1761/24)</t>
  </si>
  <si>
    <t xml:space="preserve">הצעת חוק הביטוח הלאומי (תיקון - דמי ביטוח מופחתים למעסיק קולט עלייה), התשפ"א-2021</t>
  </si>
  <si>
    <t xml:space="preserve"> (פ/1760/24)</t>
  </si>
  <si>
    <t xml:space="preserve">הצעת חוק דמי מחלה (היעדרות בשל מחלת ילד) (תיקון - היעדרות בשל אשפוז ממושך של ילד), התשפ"א-2021</t>
  </si>
  <si>
    <t xml:space="preserve"> (פ/1759/24)</t>
  </si>
  <si>
    <t xml:space="preserve">הצעת חוק לימוד מורשת עדות ישראל, התשפ"א-2021</t>
  </si>
  <si>
    <t xml:space="preserve"> (פ/1756/24)</t>
  </si>
  <si>
    <t xml:space="preserve">הצעת חוק לקידום המיחזור בישראל (תיקוני חקיקה), התשפ"א-2021</t>
  </si>
  <si>
    <t xml:space="preserve"> (פ/1755/24)</t>
  </si>
  <si>
    <t xml:space="preserve">הצעת חוק יסודות התקציב (תיקון - ועדת ערר לתמיכה במוסד ציבור), התשפ"א-2021</t>
  </si>
  <si>
    <t xml:space="preserve"> (פ/1754/24)</t>
  </si>
  <si>
    <t xml:space="preserve">הצעת חוק העסקת עובדים על ידי קבלני כוח אדם (תיקון - שמירת תנאי העסקה בעת החלפת קבלן כוח אדם), התשפ"א-2021</t>
  </si>
  <si>
    <t xml:space="preserve"> (פ/1753/24)</t>
  </si>
  <si>
    <t xml:space="preserve">הצעת חוק לתיקון פקודת מס הכנסה (הגדלת שיעור הזיכוי ממס בתרומה למוסד ציבורי) (הוראת שעה), התשפ"א-2021</t>
  </si>
  <si>
    <t xml:space="preserve"> (פ/1752/24)</t>
  </si>
  <si>
    <t xml:space="preserve">הצעת חוק העסקת עובדים על ידי קבלני כוח אדם (תיקון - ביטול החוק), התשפ"א-2021</t>
  </si>
  <si>
    <t xml:space="preserve"> (פ/1751/24)</t>
  </si>
  <si>
    <t xml:space="preserve">הצעת חוק המשתתף החופשי, התשפ"א-2021</t>
  </si>
  <si>
    <t xml:space="preserve"> (פ/1750/24)</t>
  </si>
  <si>
    <t xml:space="preserve"> (פ/1748/24)</t>
  </si>
  <si>
    <t xml:space="preserve">הצעת חוק הבנקאות (שירות ללקוח) (תיקון - חובת הצבת מכשיר אוטומטי למשיכת והפקדת מזומנים ושיקים), התשפ"א-2021</t>
  </si>
  <si>
    <t xml:space="preserve"> (פ/1747/24)</t>
  </si>
  <si>
    <t xml:space="preserve">הצעת חוק ביטוח בריאות ממלכתי (תיקון - אישור הסדרי הבחירה), התשפ"א-2021</t>
  </si>
  <si>
    <t xml:space="preserve"> (פ/1746/24)</t>
  </si>
  <si>
    <t xml:space="preserve">הצעת חוק ביטוח בריאות ממלכתי (תיקון - הרחבת הסדרי הבחירה), התשפ"א-2021</t>
  </si>
  <si>
    <t xml:space="preserve"> (פ/1745/24)</t>
  </si>
  <si>
    <t xml:space="preserve">הצעת חוק הסדרים במשק המדינה (תיקוני חקיקה להשגת יעדי התקציב) (תיקון - חישוב עליית מחירי הארנונה), התשפ"א-2021</t>
  </si>
  <si>
    <t xml:space="preserve"> (פ/1744/24)</t>
  </si>
  <si>
    <t xml:space="preserve">הצעת חוק למניעת אלימות במשפחה (תיקון - תכניות ומרכזי טיפול באלימות במשפחה), התשפ"א-2021</t>
  </si>
  <si>
    <t xml:space="preserve"> (פ/1743/24)</t>
  </si>
  <si>
    <t xml:space="preserve">הצעת חוק הטבות לניצולי שואה (תיקון - הטבות לניצולים שעלו לאחר שנת 1953), התשפ"א-2021</t>
  </si>
  <si>
    <t xml:space="preserve"> (פ/1742/24)</t>
  </si>
  <si>
    <t xml:space="preserve">הצעת חוק לתיקון פקודת מס הכנסה (נקודות זיכוי בעד ילדים), התשפ"א-2021</t>
  </si>
  <si>
    <t xml:space="preserve"> (פ/1741/24)</t>
  </si>
  <si>
    <t xml:space="preserve">הצעת חוק סבסוד מוצרים ללא גלוטן, התשפ"א-2021</t>
  </si>
  <si>
    <t xml:space="preserve"> (פ/1740/24)</t>
  </si>
  <si>
    <t xml:space="preserve">הצעת חוק שירות אזרחי (תיקון - הארכת גיל הזכאות של נכה נפש לשרת במסגרת שירות לאומי או התנדבות קהילתית), התשפ"א-2021</t>
  </si>
  <si>
    <t xml:space="preserve"> (פ/1739/24)</t>
  </si>
  <si>
    <t xml:space="preserve">הצעת חוק לתיקון פקודת מס הכנסה (פטור ממס על משיכה הונית מקופת גמל), התשפ"א-2021</t>
  </si>
  <si>
    <t xml:space="preserve"> (פ/1738/24)</t>
  </si>
  <si>
    <t xml:space="preserve">הצעת חוק תאגידי מים וביוב (תיקון - הקמת ועדת הנחות), התשפ"א-2021</t>
  </si>
  <si>
    <t xml:space="preserve"> (פ/1737/24)</t>
  </si>
  <si>
    <t xml:space="preserve"> (פ/1736/24)</t>
  </si>
  <si>
    <t xml:space="preserve">הצעת חוק התכנית הכלכלית (תיקוני חקיקה ליישום המדיניות הכלכלית לשנת התקציב 2019) (תיקון) (אחריות בנק קולט בהעברת פעילות פיננסית של לקוח), התשפ"א-2021</t>
  </si>
  <si>
    <t xml:space="preserve"> (מ/1427)</t>
  </si>
  <si>
    <t xml:space="preserve">הצעת חוק לתיקון דיני הקניין הרוחני (מועד ערעור על החלטות הרשם), התשפ"א-2021 </t>
  </si>
  <si>
    <t xml:space="preserve"> (מ/1426)</t>
  </si>
  <si>
    <t xml:space="preserve">הצעת חוק הארכת תקופות וקיום דיונים בהיוועדות חזותית בענייני תכנון ובנייה (נגיף הקורונה החדש – הוראת שעה) (תיקון) (הארכת תוקף), התשפ"א-2021 </t>
  </si>
  <si>
    <t xml:space="preserve"> (מ/1428)</t>
  </si>
  <si>
    <t xml:space="preserve">חוק הכנסת (תיקון מס' 49), התשפ"א-2021</t>
  </si>
  <si>
    <t xml:space="preserve"> (מ/1412)</t>
  </si>
  <si>
    <t xml:space="preserve">06.07.2021</t>
  </si>
  <si>
    <t xml:space="preserve">החוק קובע שני תיקונים לחוק הכנסת לפיהם: 1. מועדי ישראל וערביהם לא יבואו במניין התקופה שבה יש להעביר את חוק התקציב לאחר הקמת הממשלה (כפי שמוצע בהצעת חוק-יסוד: הכנסת (תיקון מס' 51)); 2. קבוצה של ארבעה חברי כנסת יכולים להתפלג מסיעתם, גם אם אינם מהווים שליש ממנה. </t>
  </si>
  <si>
    <t xml:space="preserve">חוק-יסוד: הכנסת (תיקון מס' 51)</t>
  </si>
  <si>
    <t xml:space="preserve"> (מ/1411)</t>
  </si>
  <si>
    <t xml:space="preserve">תוקן ההסדר הנוגע לחקיקת התקציב בנסיבות המיוחדות המנויות בסעיף 36א(ב) – כשהיו בחירות לכנסת, התפזרות הכנסת או הבעת אמון בממשלה חדשה, לפני שאושר תקציב מדינה. במצבים אלה תוארך התקופה לאישור חוק התקציב לשלושה חודשים מתחילת שנת התקציב או עד תום 145 ימים ממועד כינון הממשלה, לפי המאוחר, כאשר ניתנים לממשלה 85 ימים להניח את הצעת החוק, ולכנסת ניתנים 60 ימים לאישור החוק. במידה והניחה הממשלה ביוזמתה את חוק התקציב על שולחן הכנסת לפני היום ה-85 מיום כינונה, לא ייגרעו הימים מהזמן שניתן לכנסת לדון בהצעת התקציב.  בהתאם, יתוקן חוק-יסוד: משק המדינה, כך שהממשלה תניח את הצעת חוק התקציב על שולחן הכנסת במועד שקבעה ועדת הכספים של הכנסת, אך לא יאוחר מ-60 ימים לפני היום הקובע (שהוא כאמור, 145 ימים ממועד כינון הממשלה).  במניין כל התקופות האלו לא יימנו מועדי ישראל וערביהם. עוד נקבע להגדיל את מכסות הרשאים להפסיק חברותם בכנסת לפי "החוק הנורווגי" כך שבסיעה שבה ישנם ארבעה עד שישה חברי כנסת יוכלו להפסיק חברותם שלושה חברי כנסת, בסיעה שבה ישנם שבעה עד תשעה חברי כנסת יוכלו להפסיק חברותם ארבעה חברי כנסת, ובסיעה שבה עשרה חברי כנסת ומעלה יוכלו להפסיק חברותם חמישה חברי כנסת. </t>
  </si>
  <si>
    <t xml:space="preserve">חוק לייעול האכיפה והפיקוח העירוניים ברשויות המקומיות (הוראת שעה) (תיקון מס' 6), התשפ"א-2021</t>
  </si>
  <si>
    <t xml:space="preserve"> (מ/1421)</t>
  </si>
  <si>
    <t xml:space="preserve">05.07.2021</t>
  </si>
  <si>
    <t xml:space="preserve">חוק לייעול האכיפה והפיקוח העירוניים ברשויות המקומיות (הוראת שעה) (תיקון מס' 6), התשפ"א–2021, עבר בקריאה השנייה והשלישית בכ"ו בתמוז התשפ"א (6 ביולי 2021). החוק מסמיך פקחים עירוניים לאכיפת חוקי העזר בתחומי הרשות המקומית. בנוסף, החוק הקים את מערך השיטור העירוני, במסגרתו פועלים פקחים של הרשויות המקומיות בסיוע למשטרת ישראל בפעולות למניעת אלימות. לשם ביצוע תפקידם, מוענקים לפקחי השיטור העירוני סמכויות המאפשרות להם, במקרה של מעשה אלימות, לדרוש מאדם להזדהות, ואף לחפש עליו נשק ולעכבו עד לבואו של שוטר, תוך שימוש בכוח סביר. החוק נחקק כהוראת שעה בשנת 2011, והוא חל כיום בכמה עשרות רשויות מקומיות. תוקפה של הוראת השעה הוארך ארבע פעמים, והחוק מאריך אותה בפעם החמישית, עד לתאריך א׳ בתמוז התשפ״ב (30 ביוני 2022). </t>
  </si>
  <si>
    <t xml:space="preserve">הצעת חוק שירות ביטחון (תיקון מס' 18 והוראת שעה) (תיקון), התשפ"א-2021</t>
  </si>
  <si>
    <t xml:space="preserve"> (מ/1416)</t>
  </si>
  <si>
    <t xml:space="preserve">חוק העונשין (תיקון מס' 133 – הוראת שעה) (תיקון), התשפ"א-2021 </t>
  </si>
  <si>
    <t xml:space="preserve"> (מ/1409)</t>
  </si>
  <si>
    <t xml:space="preserve">הוחלט להאריך את תקופת הוראת השעה המאפשרת ריצוי עונש של מאסר של עד תשעה חודשים בעבודות שירות (במקום שישה חודשים) בשנתיים נוספות. זאת לאור העיכוב בביצוע המחקר המלווה ומגפת הקורונה אשר שיבשה את מהלכו התקין של המחקר והפריעה לאיסוף הנתונים וניתוחם.  </t>
  </si>
  <si>
    <t xml:space="preserve">הצעת חוק הבנקאות (שירות ללקוח) (תיקון - ריבית על יתרת זכות), התשפ"א-2021</t>
  </si>
  <si>
    <t xml:space="preserve"> (פ/1734/24)</t>
  </si>
  <si>
    <t xml:space="preserve">הצעת חוק הגנת הצרכן (תיקון - פיצויים בלא הוכחת נזק בשל חריגה מזמני המתנה במוקד שירות טלפוני), התשפ"א-2021</t>
  </si>
  <si>
    <t xml:space="preserve"> (פ/1733/24)</t>
  </si>
  <si>
    <t xml:space="preserve">הצעת חוק הנכים (תגמולים ושיקום) (תיקון - הוראות לגבי אישה נכה), התשפ"א-2021</t>
  </si>
  <si>
    <t xml:space="preserve"> (פ/1732/24)</t>
  </si>
  <si>
    <t xml:space="preserve"> (פ/1731/24)</t>
  </si>
  <si>
    <t xml:space="preserve">הצעת חוק שירות הציבור (הגבלות לאחר פרישה) (תיקון - תקופת צינון של עובדי אגף התקציבים במשרד האוצר במעבר למגזר הפרטי), התשפ"א-2021</t>
  </si>
  <si>
    <t xml:space="preserve"> (פ/1729/24)</t>
  </si>
  <si>
    <t xml:space="preserve">הצעת חוק הביטוח הלאומי (תיקון - גמלה לשמירת הריון לאם שילדה פג), התשפ"א-2021</t>
  </si>
  <si>
    <t xml:space="preserve"> (פ/1728/24)</t>
  </si>
  <si>
    <t xml:space="preserve">הצעת חוק ההתגוננות האזרחית (תיקון - הקמת תשתית חיבור לרשת אינטרנט אלחוטית במקלטים שביישובי קו העימות), התשפ"א-2021</t>
  </si>
  <si>
    <t xml:space="preserve"> (פ/1727/24)</t>
  </si>
  <si>
    <t xml:space="preserve">הצעת חוק נציבות תלונות אסירים, התשפ"א-2021</t>
  </si>
  <si>
    <t xml:space="preserve"> (פ/1726/24)</t>
  </si>
  <si>
    <t xml:space="preserve">הצעת חוק מקרקעין באזורי יהודה ושומרון, התשפ"א-2021</t>
  </si>
  <si>
    <t xml:space="preserve"> (פ/1725/24)</t>
  </si>
  <si>
    <t xml:space="preserve">הצעת חוק לתיקון דיני הראיות (הגנת ילדים) (תיקון - חקירה תוך 48 שעות), התשפ"א-2021</t>
  </si>
  <si>
    <t xml:space="preserve"> (פ/1724/24)</t>
  </si>
  <si>
    <t xml:space="preserve"> (פ/1723/24)</t>
  </si>
  <si>
    <t xml:space="preserve"> (פ/1722/24)</t>
  </si>
  <si>
    <t xml:space="preserve">הצעת חוק לייעול הפיקוח של ועדת החוץ והביטחון של הכנסת, התשפ"א-2021</t>
  </si>
  <si>
    <t xml:space="preserve"> (פ/1721/24)</t>
  </si>
  <si>
    <t xml:space="preserve">הצעת חוק לתיקון פקודת הראיות (חיסיון עיתונאי), התשפ"א-2021</t>
  </si>
  <si>
    <t xml:space="preserve"> (פ/1720/24)</t>
  </si>
  <si>
    <t xml:space="preserve">הצעת חוק חינוך ממלכתי (תיקון - מטרות החינוך), התשפ"א-2021</t>
  </si>
  <si>
    <t xml:space="preserve"> (פ/1719/24)</t>
  </si>
  <si>
    <t xml:space="preserve">הצעת חוק שינוי במינוח המייצג מטעם המדינה (תיקוני חקיקה), התשפ"א-2021</t>
  </si>
  <si>
    <t xml:space="preserve"> (פ/1718/24)</t>
  </si>
  <si>
    <t xml:space="preserve">הצעת חוק לתיקון פקודת העיריות (חובת גילוי מסמכי תאגיד עירוני), התשפ"א-2021</t>
  </si>
  <si>
    <t xml:space="preserve"> (פ/1716/24)</t>
  </si>
  <si>
    <t xml:space="preserve">הצעת חוק הביטוח הלאומי (תיקון - השוואת קצבת הנכות לשכר מינימום), התשפ"א-2021</t>
  </si>
  <si>
    <t xml:space="preserve"> (פ/1714/24)</t>
  </si>
  <si>
    <t xml:space="preserve"> (פ/1713/24)</t>
  </si>
  <si>
    <t xml:space="preserve">הצעת חוק הביטוח הלאומי (תיקון - השוואת קצבת נכות לשכר המינימום), התשפ''א-2021</t>
  </si>
  <si>
    <t xml:space="preserve"> (פ/1712/24)</t>
  </si>
  <si>
    <t xml:space="preserve"> (פ/1711/24)</t>
  </si>
  <si>
    <t xml:space="preserve">הצעת חוק לקידום דיור בר השגה, התשפ"א-2021</t>
  </si>
  <si>
    <t xml:space="preserve"> (פ/1710/24)</t>
  </si>
  <si>
    <t xml:space="preserve">הצעת חוק מעונות יום שיקומיים (תיקון - מעון יום שיקומי ייעודי לילדים עם אוטיזם), התשפ"א-2021</t>
  </si>
  <si>
    <t xml:space="preserve"> (פ/1708/24)</t>
  </si>
  <si>
    <t xml:space="preserve">הצעת חוק שירות ביטחון (תיקון - פטור מטעמי מצפון), התשפ"א-2021</t>
  </si>
  <si>
    <t xml:space="preserve"> (פ/1707/24)</t>
  </si>
  <si>
    <t xml:space="preserve">הצעת חוק ביטוח בריאות ממלכתי (תיקון - מימון שירותי בריאות נוספים לאוכלוסיות מסוימות), התשפ"א-2021</t>
  </si>
  <si>
    <t xml:space="preserve"> (פ/1706/24)</t>
  </si>
  <si>
    <t xml:space="preserve">הצעת חוק הגנה על עובדים בשעת חירום (תיקון - תשלום שכר עבודה לעובד שנעדר עקב סגירת מוסד הלימוד של ילדו), התשפ"א-2021</t>
  </si>
  <si>
    <t xml:space="preserve"> (פ/1705/24)</t>
  </si>
  <si>
    <t xml:space="preserve">הצעת חוק לימוד חובה (תיקון - הוספת סייעת בגני ילדים), התשפ"א-2021</t>
  </si>
  <si>
    <t xml:space="preserve"> (פ/1704/24)</t>
  </si>
  <si>
    <t xml:space="preserve">הצעת חוק זכויות הדייר בדיור הציבורי (תיקון - זכאות לאימהות יחידניות המקבלות מזונות ילדים), התשפ"א-2021</t>
  </si>
  <si>
    <t xml:space="preserve"> (פ/1702/24)</t>
  </si>
  <si>
    <t xml:space="preserve">הצעת חוק מס ערך מוסף (תיקון - מס בשיעור אפס על מוצרי מזון בסיסיים), התשפ"א-2021</t>
  </si>
  <si>
    <t xml:space="preserve"> (פ/1701/24)</t>
  </si>
  <si>
    <t xml:space="preserve">הצעת חוק הרשויות המקומיות (בחירת ראש הרשות וסגניו וכהונתם) (תיקון - מינוי סגן ראש רשות בשכר), התשפ"א-2021 </t>
  </si>
  <si>
    <t xml:space="preserve"> (פ/1700/24)</t>
  </si>
  <si>
    <t xml:space="preserve">הצעת חוק הפיקוח על מעונות יום לפעוטות (תיקון - העברת האחריות למשרד החינוך), התשפ"א-2021</t>
  </si>
  <si>
    <t xml:space="preserve"> (פ/1698/24)</t>
  </si>
  <si>
    <t xml:space="preserve">הצעת חוק הביטוח הלאומי (תיקון - הגדלת קצבת הנכות), התשפ"א-2021</t>
  </si>
  <si>
    <t xml:space="preserve"> (פ/1697/24)</t>
  </si>
  <si>
    <t xml:space="preserve">הצעת חוק הסדרת הטיפול בחולי נפש (תיקוני חקיקה), התשפ"א-2021</t>
  </si>
  <si>
    <t xml:space="preserve"> (פ/1696/24)</t>
  </si>
  <si>
    <t xml:space="preserve">הצעת חוק רשות מקרקעי ישראל (תיקון - הקצאת קרקעות בנגב ובגליל לחיילים משוחררים ומשרתי שירות לאומי-אזרחי), התשפ"א-2021</t>
  </si>
  <si>
    <t xml:space="preserve"> (פ/1695/24)</t>
  </si>
  <si>
    <t xml:space="preserve">הצעת חוק האזרחות והכניסה לישראל (הוראת שעה) (תיקון - ביטול החוק), התשפ"א-2021</t>
  </si>
  <si>
    <t xml:space="preserve"> (פ/1694/24)</t>
  </si>
  <si>
    <t xml:space="preserve"> (פ/1693/24)</t>
  </si>
  <si>
    <t xml:space="preserve">הצעת חוק המרכז לגביית קנסות, אגרות והוצאות (תיקון - פיצויים שהוטלו על ידי בית משפט צבאי), התשפ"א-2021</t>
  </si>
  <si>
    <t xml:space="preserve"> (פ/1692/24)</t>
  </si>
  <si>
    <t xml:space="preserve"> (פ/1691/24)</t>
  </si>
  <si>
    <t xml:space="preserve">הצעת חוק ההוצאה לפועל (תיקון - החרגת עיקול ביטוח רפואי בידי צד שלישי), התשפ"א-2021</t>
  </si>
  <si>
    <t xml:space="preserve"> (פ/1689/24)</t>
  </si>
  <si>
    <t xml:space="preserve"> (פ/1688/24)</t>
  </si>
  <si>
    <t xml:space="preserve"> (פ/1687/24)</t>
  </si>
  <si>
    <t xml:space="preserve">הצעת חוק הרשויות המקומיות (ייעוד כספי הקצבות למטרות שירותי סידור חוץ-ביתי הולם לילדים), התשפ"א-2021</t>
  </si>
  <si>
    <t xml:space="preserve"> (פ/1686/24)</t>
  </si>
  <si>
    <t xml:space="preserve">הצעת חוק הביטוח הלאומי (תיקון - תקופת אכשרה לעובדים בעבודה מחזורית), התשפ"א-2021</t>
  </si>
  <si>
    <t xml:space="preserve"> (פ/1685/24)</t>
  </si>
  <si>
    <t xml:space="preserve">הצעת חוק אבחון פסיכו-דידקטי לילדים נזקקים, התשפ"א-2021</t>
  </si>
  <si>
    <t xml:space="preserve"> (פ/1684/24)</t>
  </si>
  <si>
    <t xml:space="preserve">הצעת חוק ביטוח בריאות ממלכתי (תיקון - החזר דמי נסיעה באמבולנס עבור מטופל בתחום בריאות הנפש), התשפ"א-2021</t>
  </si>
  <si>
    <t xml:space="preserve"> (פ/1683/24)</t>
  </si>
  <si>
    <t xml:space="preserve">הצעת חוק אימוץ ילדים (תיקון - כשירות לאמץ והתאמת מאמצים לילד), התשפ"א-2021</t>
  </si>
  <si>
    <t xml:space="preserve"> (פ/1682/24)</t>
  </si>
  <si>
    <t xml:space="preserve">הצעת חוק הבחירות לכנסת (תיקון - הצבעת אזרחים מחוץ לישראל), התשפ"א-2021</t>
  </si>
  <si>
    <t xml:space="preserve"> (פ/1681/24)</t>
  </si>
  <si>
    <t xml:space="preserve">הצעת חוק-יסוד: משאל עם (תיקון - יישובים באזור יהודה ושומרון)</t>
  </si>
  <si>
    <t xml:space="preserve"> (פ/1680/24)</t>
  </si>
  <si>
    <t xml:space="preserve">הצעת חוק המועצה להשכלה גבוהה (תיקון - איסור פעילות פוגענית), התשפ"א-2021</t>
  </si>
  <si>
    <t xml:space="preserve"> (פ/1679/24)</t>
  </si>
  <si>
    <t xml:space="preserve">הצעת חוק ההגנה על חוסים (תיקון - מחיקת זיקנה מההגדרה), התשפ"א-2021</t>
  </si>
  <si>
    <t xml:space="preserve"> (פ/1678/24)</t>
  </si>
  <si>
    <t xml:space="preserve">הצעת חוק-יסוד: הממשלה (תיקון מס' 11) (שר נוסף במשרד)</t>
  </si>
  <si>
    <t xml:space="preserve"> (מ/1422)</t>
  </si>
  <si>
    <t xml:space="preserve">חוק סמכויות מיוחדות להתמודדות עם נגיף הקורונה החדש (הוראת שעה) (תיקון מס' 8), התשפ"א-2021 </t>
  </si>
  <si>
    <t xml:space="preserve"> (מ/1407)</t>
  </si>
  <si>
    <t xml:space="preserve">30.06.2021</t>
  </si>
  <si>
    <t xml:space="preserve">תיקון זה מאריך בחמישה חודשים את תוקף חוק סמכויות מיוחדות להתמודדות עם נגיף הקורונה החדש וזאת עד 30 בנובמבר 2021.</t>
  </si>
  <si>
    <t xml:space="preserve">חוק הביטוח הלאומי (תיקון מס' 225 והוראת שעה), התשפ"א-2021</t>
  </si>
  <si>
    <t xml:space="preserve"> (מ/1420)</t>
  </si>
  <si>
    <t xml:space="preserve">נקבע כי מי שילדה בחודשים יולי עד דצמבר של שנת 2021 והיתה זכאית לדמי אבטלה בהיותה בהיריון לפני יום 30.6.21, אך לא זכאית לדמי לידה משום שכאשר הופסקה עבודתה היא לא הייתה בהריון, תהיה זכאית לדמי לידה שיחושבו לפי התקופה האחרונה שבה עבדה בפועל. בתיקון נוסף, הוארכה הוראת השעה שבה נקבע לענין יולדות עצמאיות כי ההכנסה לצורך חישוב דמי הלידה תוכל להיקבע גם על בסיס רבע שנה בשנת 2019 והוחל ההסדר האמור גם לגבי מבוטחת שילדה עד לסוף שנת 2021. כמו כן, הוארכה והותאמה הוראת השעה בחוק עבודת נשים, לפיה חופשה ללא תשלום לא תיחשב במסגרת 60 הימים שבהם חל איסור לפטר עובדת או עובד לאחר שנעדרו בשל תקופת לידה והורות, ותקופת ההגנה מפני פיטורים תוארך בהתאם. נקבע כי מי שהופסקה העסקתו בחודשים יולי עד ספטמבר של שנת 2021 זכאי לדמי אבטלה אף אם צבר 6 חודשי אכשרה בלבד מתוך 18 חודשים, ויהיה זכאי למחצית מימי האבטלה להם זכאי מובטל שהשלים 12 חדשי אכשרה, ומי שהופסקה העסקתו בחודשים אוקטובר עד דצמבר של שנת 2021 יהיה זכאי לדמי אבטלה אף אם צבר 10 חודשי אכשרה בלבד מתוך 18 חודשים, ויהיה זכאי ל83% מימי האבטלה להם זכאי מובטל בהסדר הקבוע. עוד נקבע כי מבוטח שמלאו לו 45 שנים ושולמו לו דמי אבטלה בתקופה שמיום 1.3.20 ועד ליום 30.6.21 מכוח הזכאות הרגילה לדמי אבטלה או מכוח הזכאות המיוחדת בתקופת קורונה לימי אבטלה מקוצרים למי שצבר תקופת אכשרה חלקית, זכאי לתוספת ימי אבטלה בשיעור של מחצית מימי האבטלה שבעדם שולמו לו דמי אבטלה מכוח הזכאויות האמורות. כמו כן התקופה למימוש ימי אבטלה מכוח תיקון זה הוארכה וכן, לגבי מבוטחים בני 45 ומעלה, הוארכה התקופה למימוש ימי אבטלה מכוח הדין שטרם מומשו עד ליום 30.6.21. ברוב המקרים, דמי האבטלה שישולמו לפי תיקון זה יהיו בשיעור של 85% מגובה דמי אבטלה שמשולמים לפי החוק. עוד הוארכה הוראת השעה בעניין ביטול ההפחתה בשיעור של 30% מדמי האבטלה למובטל שנמצא בהכשרה מקצועית. כמו כן, נקבע כהוראה קבועה כי אדם לא יהיה זכאי לדמי אבטלה בעד ימי חופשה שהוא זכאי להם, בין ששולמו לו ובין שלא שולמו לו. עוד נקבע כהוראה קבועה כי תשלום דמי אבטלה בתקופת חל"ת ביוזמת המעסיק יותנה בכך שמשך החל"ת יהיה לפחות 30 ימים רצופים. בנוסף נקבע כי מי שהיה זכאי מכוח הוראת שעה למענק הסתגלות לבני 67 ומעלה בחודש יוני 2021, יהיה זכאי למענק גם בעד החודשים יולי עד ספטמבר 2021 בשיעורים מופחתים ביחס לסכום המענק המלא. </t>
  </si>
  <si>
    <t xml:space="preserve">חוק חומרי נפץ (תיקון מס' 4 – הוראת שעה) (תיקון מס' 2), התשפ"א-2021 </t>
  </si>
  <si>
    <t xml:space="preserve"> (מ/1408)</t>
  </si>
  <si>
    <t xml:space="preserve">29.06.2021</t>
  </si>
  <si>
    <t xml:space="preserve">חוק חומרי נפץ (תיקון מס' 4 – הוראת שעה) (תיקון מס' 2), התשפ"א–2021 עבר בקריאה השנייה והשלישית בכ' בתמוז התשפ"א (30 ביוני 2021). החוק האריך עד ה-6 בינואר 2022 את תוקפה של הוראת שעה שקובעת כי הוראות חוק חומרי נפץ, התשי"ד-1954 בעניין מפעלי מערכת הביטחון יחולו גם על מפעלים שהופרטו. משמעות הדבר היא כי המפעלים המופרטים יהיו פטורים מהוראות חוק חומרי נפץ, אך יחולו עליהם הוראות בטיחות שקבע שר הביטחון.</t>
  </si>
  <si>
    <t xml:space="preserve"> (פ/1677/24)</t>
  </si>
  <si>
    <t xml:space="preserve">28.06.2021</t>
  </si>
  <si>
    <t xml:space="preserve">הצעת חוק החברות הממשלתיות (תיקון - ביטול מעורבות רשות החברות הממשלתיות במינוי דירקטורים), התשפ"א-2021</t>
  </si>
  <si>
    <t xml:space="preserve"> (פ/1676/24)</t>
  </si>
  <si>
    <t xml:space="preserve">הצעת חוק-יסוד: הממשלה (תיקון - דיון בהשתתפות ראש הממשלה החלופי)</t>
  </si>
  <si>
    <t xml:space="preserve"> (פ/1675/24)</t>
  </si>
  <si>
    <t xml:space="preserve">הצעת חוק-יסוד: הממשלה (תיקון - דיון בהשתתפות ראש הממשלה)</t>
  </si>
  <si>
    <t xml:space="preserve"> (פ/1674/24)</t>
  </si>
  <si>
    <t xml:space="preserve">הצעת חוק הרבנות הראשית לישראל (תיקון - הרחבת האסיפה הבוחרת), התשפ"א-2021</t>
  </si>
  <si>
    <t xml:space="preserve"> (פ/1673/24)</t>
  </si>
  <si>
    <t xml:space="preserve">הצעת חוק הממשלה (תיקון - ועדת שרים לענייני חקיקה), התשפ"א-2021</t>
  </si>
  <si>
    <t xml:space="preserve"> (פ/1672/24)</t>
  </si>
  <si>
    <t xml:space="preserve"> (פ/1671/24)</t>
  </si>
  <si>
    <t xml:space="preserve">הצעת חוק השימוש בתאריך העברי (תיקון - ציון מניין השנים למדינת ישראל), התשפ"א-2021</t>
  </si>
  <si>
    <t xml:space="preserve"> (פ/1668/24)</t>
  </si>
  <si>
    <t xml:space="preserve"> (פ/1666/24)</t>
  </si>
  <si>
    <t xml:space="preserve">הצעת חוק אמנות ג'נבה, התשפ"א-2021</t>
  </si>
  <si>
    <t xml:space="preserve"> (פ/1665/24)</t>
  </si>
  <si>
    <t xml:space="preserve">הצעת חוק לתיקון פקודת המשטרה (הצעת מועמדים לתפקיד המפקח הכללי של המשטרה בידי ועדת איתור מקצועית-ציבורית), התשפ"א-2021</t>
  </si>
  <si>
    <t xml:space="preserve"> (פ/1664/24)</t>
  </si>
  <si>
    <t xml:space="preserve"> (פ/1663/24)</t>
  </si>
  <si>
    <t xml:space="preserve">הצעת חוק הרשויות המקומיות (בחירות) (תיקון - הגבלת הזכות להיבחר בשל כתב אישום), התשפ"א-2021</t>
  </si>
  <si>
    <t xml:space="preserve"> (פ/1662/24)</t>
  </si>
  <si>
    <t xml:space="preserve">הצעת חוק הגנת הצרכן (תיקון - סימון שינוי בכמות המצרך), התשפ"א-2021</t>
  </si>
  <si>
    <t xml:space="preserve"> (פ/1661/24)</t>
  </si>
  <si>
    <t xml:space="preserve">הצעת חוק לתיקון פקודת התעבורה (הגבלת דמי חניה בחניוני בתי חולים), התשפ"א-2021</t>
  </si>
  <si>
    <t xml:space="preserve"> (פ/1659/24)</t>
  </si>
  <si>
    <t xml:space="preserve">הצעת חוק לתיקון פקודת מסי העירייה ומסי הממשלה (פטורין) (פטור מארנונה לעמותות הפועלות להנצחת השואה או למען ניצולי השואה), התשפ"א-2021</t>
  </si>
  <si>
    <t xml:space="preserve"> (פ/1658/24)</t>
  </si>
  <si>
    <t xml:space="preserve">הצעת חוק ניהול ושימור אתר קבר רבי שמעון בר יוחאי, התשפ"א-2021</t>
  </si>
  <si>
    <t xml:space="preserve"> (פ/1657/24)</t>
  </si>
  <si>
    <t xml:space="preserve">הצעת חוק החלת המשפט הישראלי ביישובים הישראליים ביהודה והשומרון, התשפ"א-2021</t>
  </si>
  <si>
    <t xml:space="preserve"> (פ/1655/24)</t>
  </si>
  <si>
    <t xml:space="preserve">הצעת חוק לתיקון פקודת המשטרה (הרכב המחלקה לחקירת שוטרים), התשפ"א-2021</t>
  </si>
  <si>
    <t xml:space="preserve"> (פ/1654/24)</t>
  </si>
  <si>
    <t xml:space="preserve"> (פ/1653/24)</t>
  </si>
  <si>
    <t xml:space="preserve">הצעת חוק החלת החוק הישראלי על כל היישובים היהודיים בשטחי יהודה והשומרון, התשפ"א-2021</t>
  </si>
  <si>
    <t xml:space="preserve"> (פ/1652/24)</t>
  </si>
  <si>
    <t xml:space="preserve"> (פ/1651/24)</t>
  </si>
  <si>
    <t xml:space="preserve">הצעת חוק רישוי עסקים (תיקון - דרישת רישוי לאירועים דתיים וטקסים), התשפ"א-2021</t>
  </si>
  <si>
    <t xml:space="preserve"> (פ/1649/24)</t>
  </si>
  <si>
    <t xml:space="preserve"> (פ/1648/24)</t>
  </si>
  <si>
    <t xml:space="preserve">הצעת חוק דחיית מועד הבחירות ברשויות המקומיות (הוראת שעה), התשפ"א-2021</t>
  </si>
  <si>
    <t xml:space="preserve"> (פ/1647/24)</t>
  </si>
  <si>
    <t xml:space="preserve">הצעת חוק הביטוח הלאומי (תיקון - פירוט החוב במכתב דרישה), התשפ"א-2021</t>
  </si>
  <si>
    <t xml:space="preserve"> (פ/1646/24)</t>
  </si>
  <si>
    <t xml:space="preserve">הצעת חוק מיסוי מקרקעין (שבח ורכישה) (תיקון - אי תחולת פטור ממס שבח על מי שהשכיר דירת מגורים לשוהה שלא כדין), התשפ"א-2021</t>
  </si>
  <si>
    <t xml:space="preserve"> (פ/1645/24)</t>
  </si>
  <si>
    <t xml:space="preserve">הצעת חוק הפיקוח על שירותים פיננסיים (ביטוח) (תיקון - הוספת רישיון הנפקה), התשפ"א-2021</t>
  </si>
  <si>
    <t xml:space="preserve"> (פ/1641/24)</t>
  </si>
  <si>
    <t xml:space="preserve"> (פ/1640/24)</t>
  </si>
  <si>
    <t xml:space="preserve">הצעת חוק הסדרת העיסוק במקצועות הבריאות (תיקון - מתן תעודה במקצועות הבריאות לבעלי הכשרה מקצועית), התשפ"א-2021</t>
  </si>
  <si>
    <t xml:space="preserve"> (פ/1639/24)</t>
  </si>
  <si>
    <t xml:space="preserve">הצעת חוק הביטוח הלאומי (תיקון - קצבת ילד נכה לילד עם תסמונת דאון), התשפ"א-2021</t>
  </si>
  <si>
    <t xml:space="preserve"> (פ/1638/24)</t>
  </si>
  <si>
    <t xml:space="preserve">הצעת חוק הביטוח הלאומי (תיקון - חישוב דמי לידה לפי שנה שקדמה ליום הקובע), התשפ"א-2021</t>
  </si>
  <si>
    <t xml:space="preserve"> (פ/1637/24)</t>
  </si>
  <si>
    <t xml:space="preserve">הצעת חוק מדד לזכות לקיום אנושי בכבוד, התשפ"א-2021</t>
  </si>
  <si>
    <t xml:space="preserve"> (פ/1636/24)</t>
  </si>
  <si>
    <t xml:space="preserve">הצעת חוק הביטוח הלאומי (תיקון - הגדלת קצבאות הילדים), התשפ"א-2021</t>
  </si>
  <si>
    <t xml:space="preserve"> (פ/1635/24)</t>
  </si>
  <si>
    <t xml:space="preserve">הצעת חוק חובת הודעה להורים על אי הגעת ילד למוסד חינוך או למעון יום (תיקוני חקיקה), התשפ"א-2021</t>
  </si>
  <si>
    <t xml:space="preserve"> (פ/1634/24)</t>
  </si>
  <si>
    <t xml:space="preserve"> (פ/1633/24)</t>
  </si>
  <si>
    <t xml:space="preserve">הצעת חוק לימוד חובה (תיקון - הגבלת מספר התלמידים בכיתה בבית ספר יסודי), התשפ"א-2021</t>
  </si>
  <si>
    <t xml:space="preserve"> (פ/1632/24)</t>
  </si>
  <si>
    <t xml:space="preserve">הצעת חוק זכויות התלמיד (תיקון - הזכות להיבחן בבחינת בגרות ללא תשלום), התשפ"א-2021</t>
  </si>
  <si>
    <t xml:space="preserve"> (פ/1630/24)</t>
  </si>
  <si>
    <t xml:space="preserve">הצעת חוק חובת שקיפות תקציבית במוסדות החינוך, התשפ"א-2021</t>
  </si>
  <si>
    <t xml:space="preserve"> (פ/1629/24)</t>
  </si>
  <si>
    <t xml:space="preserve">הצעת חוק זכויות ושירותים לילדים ובני נוער עם קשיים נפשיים, התשפ"א-2021</t>
  </si>
  <si>
    <t xml:space="preserve"> (פ/1628/24)</t>
  </si>
  <si>
    <t xml:space="preserve">הצעת חוק ביטוח בריאות ממלכתי (תיקון - הוספת טיפול בקנבוס למטרות רפואיות לסל שירותי הבריאות), התשפ"א-2021</t>
  </si>
  <si>
    <t xml:space="preserve"> (פ/1627/24)</t>
  </si>
  <si>
    <t xml:space="preserve">הצעת חוק זכויות החולה (תיקון - שמירת דגימות שנלקחו מנפגעי עבירות מין), התשפ"א-2021</t>
  </si>
  <si>
    <t xml:space="preserve"> (פ/1626/24)</t>
  </si>
  <si>
    <t xml:space="preserve">הצעת חוק הביטוח הלאומי (תיקון - קצבת תלויים וקצבת אזרח ותיק), התשפ"א-2021</t>
  </si>
  <si>
    <t xml:space="preserve"> (פ/1625/24)</t>
  </si>
  <si>
    <t xml:space="preserve"> (פ/1624/24)</t>
  </si>
  <si>
    <t xml:space="preserve">הצעת חוק הפרשנות (תיקון - הגדרת הפליה על רקע זהות מגדרית או נטייה מינית), התשפ"א-2021</t>
  </si>
  <si>
    <t xml:space="preserve"> (פ/1623/24)</t>
  </si>
  <si>
    <t xml:space="preserve"> (פ/1622/24)</t>
  </si>
  <si>
    <t xml:space="preserve"> (פ/1621/24)</t>
  </si>
  <si>
    <t xml:space="preserve">הצעת חוק בתי המשפט (תיקון - מספר השופטים בבית המשפט העליון), התשפ"א-2021</t>
  </si>
  <si>
    <t xml:space="preserve"> (פ/1620/24)</t>
  </si>
  <si>
    <t xml:space="preserve">הצעת חוק הטבות מענק מקום לרכישת דירה בפריפריה, לזכאים לרכישת דירה בתכנית מחיר למשתכן שאין התכנית פועלת בעירם, התשפ"א-2021</t>
  </si>
  <si>
    <t xml:space="preserve"> (פ/1617/24)</t>
  </si>
  <si>
    <t xml:space="preserve">הצעת חוק התקשורת (בזק ושידורים) (תיקון - צבירת יחידות של שירותי גלישה באינטרנט באמצעות רט"ן), התשפ"א-2021</t>
  </si>
  <si>
    <t xml:space="preserve"> (פ/1616/24)</t>
  </si>
  <si>
    <t xml:space="preserve">הצעת חוק-יסוד: כבוד האדם וחירותו (תיקון - שיריון זכויות האדם)</t>
  </si>
  <si>
    <t xml:space="preserve"> (פ/1613/24)</t>
  </si>
  <si>
    <t xml:space="preserve"> (פ/1612/24)</t>
  </si>
  <si>
    <t xml:space="preserve"> (פ/1611/24)</t>
  </si>
  <si>
    <t xml:space="preserve"> (פ/1610/24)</t>
  </si>
  <si>
    <t xml:space="preserve">הצעת חוק התכנון והבנייה (תיקון - תסקירי השפעה על הסביבה ועל הבריאות), התשפ"א-2021</t>
  </si>
  <si>
    <t xml:space="preserve"> (פ/1609/24)</t>
  </si>
  <si>
    <t xml:space="preserve">הצעת חוק הלוואות לדיור (תיקון - הלוואה כהון עצמי) (הוראת שעה), התשפ"א-2021</t>
  </si>
  <si>
    <t xml:space="preserve"> (פ/1608/24)</t>
  </si>
  <si>
    <t xml:space="preserve">הצעת חוק הביטוח הלאומי (תיקון - פטור מהמצאת אישור מעסיק לעניין גמלה), התשפ"א-2021</t>
  </si>
  <si>
    <t xml:space="preserve"> (פ/1607/24)</t>
  </si>
  <si>
    <t xml:space="preserve"> (פ/1605/24)</t>
  </si>
  <si>
    <t xml:space="preserve"> (פ/1604/24)</t>
  </si>
  <si>
    <t xml:space="preserve">הצעת חוק מרשם האוכלוסין (תיקון - רישום בת זוג או בן זוג כהורה), התשפ"א-2021</t>
  </si>
  <si>
    <t xml:space="preserve"> (פ/1603/24)</t>
  </si>
  <si>
    <t xml:space="preserve">הצעת חוק הספורט (תיקון - ביטוח קטינים), התשפ"א-2021</t>
  </si>
  <si>
    <t xml:space="preserve"> (פ/1602/24)</t>
  </si>
  <si>
    <t xml:space="preserve">הצעת חוק לביטול ההתיישנות בעבירות מין במשפחה (תיקוני חקיקה), התשפ"א-2021</t>
  </si>
  <si>
    <t xml:space="preserve"> (פ/1598/24)</t>
  </si>
  <si>
    <t xml:space="preserve">הצעת חוק לימוד חובה (תיקון - הבטחת פיקוח פרלמנטרי על תשלומי הורים), התשפ"א-2021</t>
  </si>
  <si>
    <t xml:space="preserve"> (פ/1597/24)</t>
  </si>
  <si>
    <t xml:space="preserve">הצעת חוק חופש מהתאגדות (הוראת שעה ותיקוני חקיקה), התשפ"א-2021</t>
  </si>
  <si>
    <t xml:space="preserve"> (פ/1596/24)</t>
  </si>
  <si>
    <t xml:space="preserve">הצעת חוק-יסוד: כבוד האדם וחירותו (תיקון - שוויון וחופש ביטוי ומחשבה)</t>
  </si>
  <si>
    <t xml:space="preserve"> (פ/1595/24)</t>
  </si>
  <si>
    <t xml:space="preserve">הצעת חוק העונשין (תיקון - הכנת פרסום בדבר שירותי זנות), התשפ"א-2021</t>
  </si>
  <si>
    <t xml:space="preserve"> (פ/1594/24)</t>
  </si>
  <si>
    <t xml:space="preserve">הצעת חוק חובת מיגון לנכים, קשישים, דיירי הדיור הציבורי ולמתגוררים ביישובי קו העימות בעוטף עזה, התשפ"א-2021</t>
  </si>
  <si>
    <t xml:space="preserve"> (פ/1593/24)</t>
  </si>
  <si>
    <t xml:space="preserve">הצעת חוק ערבות למשכנתאות (תיקון - ערבות מדינה לדירה יחידה), התשפ"א-2021</t>
  </si>
  <si>
    <t xml:space="preserve"> (פ/1590/24)</t>
  </si>
  <si>
    <t xml:space="preserve"> (פ/1589/24)</t>
  </si>
  <si>
    <t xml:space="preserve"> (פ/1588/24)</t>
  </si>
  <si>
    <t xml:space="preserve">הצעת חוק מגבלות על חזרתו של עבריין מין לסביבת נפגע העבירה (תיקון - הרחבת סמכות בית המשפט להטלת מגבלות), התשפ"א-2021</t>
  </si>
  <si>
    <t xml:space="preserve"> (פ/1587/24)</t>
  </si>
  <si>
    <t xml:space="preserve">הצעת חוק הכנסת (תיקון - כינוס הכנסת בתקופת הפגרה), התשפ"א-2021</t>
  </si>
  <si>
    <t xml:space="preserve"> (פ/1584/24)</t>
  </si>
  <si>
    <t xml:space="preserve">הצעת חוק העונשין (תיקון - עבירות מין במשפחה), התשפ"א-2021</t>
  </si>
  <si>
    <t xml:space="preserve"> (פ/1583/24)</t>
  </si>
  <si>
    <t xml:space="preserve">הצעת חוק לימודי יסוד במערכת החינוך, התשפ"א-2021</t>
  </si>
  <si>
    <t xml:space="preserve"> (פ/1582/24)</t>
  </si>
  <si>
    <t xml:space="preserve">הצעת חוק הרישום למוסדות להשכלה גבוהה, התשפ"א-2021</t>
  </si>
  <si>
    <t xml:space="preserve"> (פ/1580/24)</t>
  </si>
  <si>
    <t xml:space="preserve">הצעת חוק לימוד חובה (תיקון - יועץ חינוכי בכל מוסד חינוך), התשפ"א-2021</t>
  </si>
  <si>
    <t xml:space="preserve"> (פ/1579/24)</t>
  </si>
  <si>
    <t xml:space="preserve">הצעת חוק לימוד חובה (תיקון - חינוך חינם לפעוטות ולילדים), התשפ"א-2021</t>
  </si>
  <si>
    <t xml:space="preserve"> (פ/1578/24)</t>
  </si>
  <si>
    <t xml:space="preserve">הצעת חוק שיפוט בתי דין רבניים (נישואין וגירושין) (תיקון - הענקת סמכות לדון בנושא ערכי הזהות היהודית), התשפ"א-2021</t>
  </si>
  <si>
    <t xml:space="preserve"> (פ/1577/24)</t>
  </si>
  <si>
    <t xml:space="preserve">הצעת חוק מניעת בריונות ברשת, התשפ"א-2021</t>
  </si>
  <si>
    <t xml:space="preserve"> (פ/1576/24)</t>
  </si>
  <si>
    <t xml:space="preserve">הצעת חוק לתיקון פקודת מס הכנסה (שווי השימוש ברכב או ברדיו טלפון נייד), התשפ"א-2021</t>
  </si>
  <si>
    <t xml:space="preserve"> (פ/1575/24)</t>
  </si>
  <si>
    <t xml:space="preserve"> (פ/1574/24)</t>
  </si>
  <si>
    <t xml:space="preserve">הצעת חוק לתיקון פקודת מס הכנסה (נקודות זיכוי להורי חיילים), התשפ"א-2021</t>
  </si>
  <si>
    <t xml:space="preserve"> (פ/1572/24)</t>
  </si>
  <si>
    <t xml:space="preserve">הצעת חוק-יסוד: חופש הביטוי וההתאגדות</t>
  </si>
  <si>
    <t xml:space="preserve"> (פ/1571/24)</t>
  </si>
  <si>
    <t xml:space="preserve"> (פ/1570/24)</t>
  </si>
  <si>
    <t xml:space="preserve">הצעת חוק זכויות התלמיד (תיקון - איסור התניית זכות הלימוד בתשלום), התשפ"א-2021</t>
  </si>
  <si>
    <t xml:space="preserve"> (פ/1567/24)</t>
  </si>
  <si>
    <t xml:space="preserve">21.06.2021</t>
  </si>
  <si>
    <t xml:space="preserve">הצעת חוק זכויות הדייר בדיור הציבורי (תיקון - עיגון זכויות דייר ממשיך בדיור הציבורי), התשפ"א-2021</t>
  </si>
  <si>
    <t xml:space="preserve"> (פ/1566/24)</t>
  </si>
  <si>
    <t xml:space="preserve">הצעת חוק הכשרות לאנשי מקצוע בתחום החינוך בנושא מגדר ונטייה מינית, התשפ"א-2021</t>
  </si>
  <si>
    <t xml:space="preserve"> (פ/1565/24)</t>
  </si>
  <si>
    <t xml:space="preserve">הצעת חוק התקשורת (בזק ושידורים) (תיקון - חובת סינון אתרים פוגעניים), התשפ"א-2021</t>
  </si>
  <si>
    <t xml:space="preserve"> (פ/1564/24)</t>
  </si>
  <si>
    <t xml:space="preserve">הצעת חוק בית המשפט לענייני משפחה (תיקון - בני זוג מאותו המין), התשפ"א-2021</t>
  </si>
  <si>
    <t xml:space="preserve"> (פ/1562/24)</t>
  </si>
  <si>
    <t xml:space="preserve">הצעת חוק נכסי נפקדים (תיקון - החזרת נכסים לנפקד שהפך לאזרח), התשפ"א-2021</t>
  </si>
  <si>
    <t xml:space="preserve"> (פ/1559/24)</t>
  </si>
  <si>
    <t xml:space="preserve">הצעת חוק אימוץ ילדים (תיקון - צמצום דרישת דת זהה), התשפ"א-2021</t>
  </si>
  <si>
    <t xml:space="preserve"> (פ/1558/24)</t>
  </si>
  <si>
    <t xml:space="preserve">הצעת חוק השבות (תיקון - מיהו יהודי), התשפ"א-2021</t>
  </si>
  <si>
    <t xml:space="preserve"> (פ/1557/24)</t>
  </si>
  <si>
    <t xml:space="preserve"> (פ/1556/24)</t>
  </si>
  <si>
    <t xml:space="preserve">הצעת חוק הכשרות המשפטית והאפוטרופסות (תיקון - שלילת האפוטרופסות הטבעית עבור נאשמים ומורשעים בעבירות אלימות במשפחה), התשפ"א-2021</t>
  </si>
  <si>
    <t xml:space="preserve"> (פ/1553/24)</t>
  </si>
  <si>
    <t xml:space="preserve">הצעת חוק הגנה על בריאות הציבור (מזון) (תיקון - סימון רכיבים אלרגניים), התשפ"א-2021</t>
  </si>
  <si>
    <t xml:space="preserve"> (פ/1552/24)</t>
  </si>
  <si>
    <t xml:space="preserve">הצעת חוק פיצויים לנפגעי התאונה בהר מירון, התשפ"א-2021</t>
  </si>
  <si>
    <t xml:space="preserve"> (פ/1550/24)</t>
  </si>
  <si>
    <t xml:space="preserve">הצעת חוק התאמת טפסים ממשלתיים (פרטי הורים), התשפ"א-2021</t>
  </si>
  <si>
    <t xml:space="preserve"> (פ/1549/24)</t>
  </si>
  <si>
    <t xml:space="preserve"> (פ/1548/24)</t>
  </si>
  <si>
    <t xml:space="preserve">הצעת חוק שכר החיילים בשירות סדיר, התשפ"א-2021</t>
  </si>
  <si>
    <t xml:space="preserve"> (פ/1546/24)</t>
  </si>
  <si>
    <t xml:space="preserve">הצעת חוק התכנון והבנייה (תיקון - חיבור לחשמל) (הוראת שעה), התשפ"א-2021</t>
  </si>
  <si>
    <t xml:space="preserve"> (פ/1545/24)</t>
  </si>
  <si>
    <t xml:space="preserve"> (פ/1543/24)</t>
  </si>
  <si>
    <t xml:space="preserve"> (פ/1542/24)</t>
  </si>
  <si>
    <t xml:space="preserve">הצעת חוק ביטוח בריאות ממלכתי (תיקון - מימון הסעה לבית חולים), התשפ"א-2021</t>
  </si>
  <si>
    <t xml:space="preserve"> (פ/1541/24)</t>
  </si>
  <si>
    <t xml:space="preserve">הצעת חוק עובדים זרים (תיקון - ביטול הצורך בהיתר להעסקת עובד זר מומחה לתקופה קצרה), התשפ"א-2021</t>
  </si>
  <si>
    <t xml:space="preserve"> (פ/1539/24)</t>
  </si>
  <si>
    <t xml:space="preserve">הצעת חוק הכנסת (תיקון - פרסומים רשמיים מטעם הכנסת), התשפ"א-2021</t>
  </si>
  <si>
    <t xml:space="preserve"> (פ/1538/24)</t>
  </si>
  <si>
    <t xml:space="preserve">הצעת חוק לימוד חובה (תיקון - תקופת שנת הלימודים וחופשות), התשפ"א-2021</t>
  </si>
  <si>
    <t xml:space="preserve"> (פ/1537/24)</t>
  </si>
  <si>
    <t xml:space="preserve">הצעת חוק הגנת הצרכן (תיקון - פרסומת ודרכי שיווק אסורים במוסד חינוך), התשפ"א-2021</t>
  </si>
  <si>
    <t xml:space="preserve"> (פ/1536/24)</t>
  </si>
  <si>
    <t xml:space="preserve">הצעת חוק איסור אלימות בספורט (תיקון - איסור התבטאות גזענית מטעמים של זהות מגדרית או נטייה מינית), התשפ"א-2021</t>
  </si>
  <si>
    <t xml:space="preserve"> (פ/1535/24)</t>
  </si>
  <si>
    <t xml:space="preserve">הצעת חוק פנייה לגופים ציבוריים באמצעי קשר דיגיטליים (תיקון - קביעת תור באמצעות האינטרנט), התשפ"א-2021</t>
  </si>
  <si>
    <t xml:space="preserve"> (פ/1534/24)</t>
  </si>
  <si>
    <t xml:space="preserve">הצעת חוק הרשות לטקסים ולסמלים ממלכתיים, התשפ"א-2021</t>
  </si>
  <si>
    <t xml:space="preserve"> (פ/1533/24)</t>
  </si>
  <si>
    <t xml:space="preserve"> (פ/1532/24)</t>
  </si>
  <si>
    <t xml:space="preserve">הצעת חוק תרומת ביציות (תיקון - תרומת ביציות בין בנות זוג), התשפ"א-2021</t>
  </si>
  <si>
    <t xml:space="preserve"> (פ/1531/24)</t>
  </si>
  <si>
    <t xml:space="preserve">הצעת חוק האפוטרופוס הכללי (תיקון - הקמת מאגר מידע לעניין כספים ללא דורש), התשפ"א-2021</t>
  </si>
  <si>
    <t xml:space="preserve"> (פ/1530/24)</t>
  </si>
  <si>
    <t xml:space="preserve"> (פ/1528/24)</t>
  </si>
  <si>
    <t xml:space="preserve">הצעת חוק הביטוח הלאומי (תיקון - גמלת אבל), התשפ"א-2021</t>
  </si>
  <si>
    <t xml:space="preserve"> (פ/1527/24)</t>
  </si>
  <si>
    <t xml:space="preserve"> (פ/1526/24)</t>
  </si>
  <si>
    <t xml:space="preserve">הצעת חוק השוואת תשלומים לחיילים בודדים ילידי ישראל וחיילים בודדים שנולדו מחוץ לישראל, התשפ"א-2021</t>
  </si>
  <si>
    <t xml:space="preserve"> (פ/1525/24)</t>
  </si>
  <si>
    <t xml:space="preserve">הצעת חוק הביטוח הלאומי (תיקון - דמי פגיעה לעצמאי), התשפ"א-2021</t>
  </si>
  <si>
    <t xml:space="preserve"> (פ/1524/24)</t>
  </si>
  <si>
    <t xml:space="preserve">הצעת חוק דמי מחלה (תיקון - הצהרת מחלה), התשפ"א-2021</t>
  </si>
  <si>
    <t xml:space="preserve"> (פ/1522/24)</t>
  </si>
  <si>
    <t xml:space="preserve">הצעת חוק לתיקון פקודת העיריות (מס' 146 - הוראת שעה) (קיצור הוראת השעה), התשפ"א-2021</t>
  </si>
  <si>
    <t xml:space="preserve"> (פ/1521/24)</t>
  </si>
  <si>
    <t xml:space="preserve">הצעת חוק רכזי ביטחון שוטף צבאיים, התשפ"א-2021</t>
  </si>
  <si>
    <t xml:space="preserve"> (פ/1520/24)</t>
  </si>
  <si>
    <t xml:space="preserve">הצעת חוק רישום האוכלוסין (תיקון - רישום הורה נוסף), התשפ"א-2021</t>
  </si>
  <si>
    <t xml:space="preserve"> (פ/1519/24)</t>
  </si>
  <si>
    <t xml:space="preserve"> (פ/1517/24)</t>
  </si>
  <si>
    <t xml:space="preserve">הצעת חוק מס ערך מוסף (תיקון - מס בשיעור אפס על ספרי לימוד), התשפ"א-2021</t>
  </si>
  <si>
    <t xml:space="preserve"> (פ/1516/24)</t>
  </si>
  <si>
    <t xml:space="preserve"> (פ/1515/24)</t>
  </si>
  <si>
    <t xml:space="preserve"> (פ/1513/24)</t>
  </si>
  <si>
    <t xml:space="preserve"> (פ/1512/24)</t>
  </si>
  <si>
    <t xml:space="preserve">הצעת חוק הדיינים (תיקון - כשירות הרבנים הראשיים לישראל), התשפ"א-2021</t>
  </si>
  <si>
    <t xml:space="preserve"> (פ/1509/24)</t>
  </si>
  <si>
    <t xml:space="preserve">הצעת חוק-יסוד: משק המדינה (תיקון - בחירה בין תקציב חד-שנתי לדו-שנתי)</t>
  </si>
  <si>
    <t xml:space="preserve"> (פ/1508/24)</t>
  </si>
  <si>
    <t xml:space="preserve">14.06.2021</t>
  </si>
  <si>
    <t xml:space="preserve"> (פ/1507/24)</t>
  </si>
  <si>
    <t xml:space="preserve"> (פ/1506/24)</t>
  </si>
  <si>
    <t xml:space="preserve">הצעת חוק-יסוד: ממשלת חילופים (תיקוני חקיקה)</t>
  </si>
  <si>
    <t xml:space="preserve"> (פ/1505/24)</t>
  </si>
  <si>
    <t xml:space="preserve">הצעת חוק המוזיאונים (תיקון - מוזיאונים להנצחה ולהנחלה של זכר השואה והגבורה), התשפ"א-2021</t>
  </si>
  <si>
    <t xml:space="preserve"> (פ/1504/24)</t>
  </si>
  <si>
    <t xml:space="preserve">הצעת חוק הגנת הצרכן (תיקון - שינוי פרטים בכרטיס טיסה או בכרטיס לשיט), התשפ"א-2021</t>
  </si>
  <si>
    <t xml:space="preserve"> (פ/1503/24)</t>
  </si>
  <si>
    <t xml:space="preserve">הצעת חוק עבודת נשים (תיקון - תקופת לידה והורות לגבר), התשפ"א-2021</t>
  </si>
  <si>
    <t xml:space="preserve"> (פ/1502/24)</t>
  </si>
  <si>
    <t xml:space="preserve">הצעת חוק איסור טיפולי המרה לקטין, התשפ"א-2021</t>
  </si>
  <si>
    <t xml:space="preserve"> (פ/1501/24)</t>
  </si>
  <si>
    <t xml:space="preserve">הצעת חוק הדיינים (תיקון - אופן הבטחת הייצוג ההולם לנשים בוועדה), התשפ"א-2021</t>
  </si>
  <si>
    <t xml:space="preserve"> (פ/1500/24)</t>
  </si>
  <si>
    <t xml:space="preserve">הצעת חוק גמול כספי לחברי מועצה, התשפ"א-2021 </t>
  </si>
  <si>
    <t xml:space="preserve"> (פ/1499/24)</t>
  </si>
  <si>
    <t xml:space="preserve">הצעת חוק הכנסת (תיקון - כללי אתיקה לשדלנים), התשפ"א-2021</t>
  </si>
  <si>
    <t xml:space="preserve"> (פ/1498/24)</t>
  </si>
  <si>
    <t xml:space="preserve">הצעת חוק הכנסת (תיקון - התפלגות ארבעה חברי כנסת מסיעתם), התשפ"א-2021</t>
  </si>
  <si>
    <t xml:space="preserve"> (פ/1497/24)</t>
  </si>
  <si>
    <t xml:space="preserve">הצעת חוק הביטוח הלאומי (תיקון - גמלה בשל דיכאון לאחר לידה), התשפ"א-2021</t>
  </si>
  <si>
    <t xml:space="preserve"> (פ/1495/24)</t>
  </si>
  <si>
    <t xml:space="preserve">הצעת חוק הבטחת הכנסה (תיקון - גמלאות להורה עצמאי), התשפ"א-2021</t>
  </si>
  <si>
    <t xml:space="preserve"> (פ/1494/24)</t>
  </si>
  <si>
    <t xml:space="preserve">הצעת חוק הביטוח הלאומי (תיקון - הכפלת קצבת הילדים בחודשי החגים), התשפ"א-2021</t>
  </si>
  <si>
    <t xml:space="preserve"> (פ/1493/24)</t>
  </si>
  <si>
    <t xml:space="preserve"> (פ/1491/24)</t>
  </si>
  <si>
    <t xml:space="preserve"> (פ/1490/24)</t>
  </si>
  <si>
    <t xml:space="preserve">הצעת חוק ביטוח בריאות ממלכתי (תיקון - העברת תיק רפואי במעבר בין קופות), התשפ"א-2021</t>
  </si>
  <si>
    <t xml:space="preserve"> (פ/1489/24)</t>
  </si>
  <si>
    <t xml:space="preserve">הצעת חוק ברית הזוגיות לחסרי דת (תיקון - הרחבת רישום בני זוג), התשפ"א-2021</t>
  </si>
  <si>
    <t xml:space="preserve"> (פ/1488/24)</t>
  </si>
  <si>
    <t xml:space="preserve">הצעת חוק העונשין (תיקון - איסור שידול קטינים להוצאה בשאלה), התשפ"א-2021</t>
  </si>
  <si>
    <t xml:space="preserve"> (פ/1487/24)</t>
  </si>
  <si>
    <t xml:space="preserve">הצעת חוק-יסוד: הממשלה (תיקון - חובת אמונים לציבור הבוחרים) </t>
  </si>
  <si>
    <t xml:space="preserve"> (פ/1486/24)</t>
  </si>
  <si>
    <t xml:space="preserve">הצעת חוק האזרחות (תיקון - הוראות לעניין בקשת התאזרחות של בעל ואישה), התשפ''א-2021</t>
  </si>
  <si>
    <t xml:space="preserve"> (פ/1484/24)</t>
  </si>
  <si>
    <t xml:space="preserve"> (פ/1483/24)</t>
  </si>
  <si>
    <t xml:space="preserve">הצעת חוק בתי המשפט (תיקון - הצבעה גלויה) (הוראת שעה), התשפ"א-2021</t>
  </si>
  <si>
    <t xml:space="preserve"> (פ/1482/24)</t>
  </si>
  <si>
    <t xml:space="preserve"> (פ/1481/24)</t>
  </si>
  <si>
    <t xml:space="preserve">הצעת חוק הממשלה (תיקון - הקדמת מועד פרסום הסכמים קואליציונים), התשפ"א-2021</t>
  </si>
  <si>
    <t xml:space="preserve"> (פ/1480/24)</t>
  </si>
  <si>
    <t xml:space="preserve"> (פ/1478/24)</t>
  </si>
  <si>
    <t xml:space="preserve"> (פ/1476/24)</t>
  </si>
  <si>
    <t xml:space="preserve">הצעת חוק זיכרון השואה והגבורה - יד ושם (תיקון - הגבלות ביקורים של נציגים זרים המעורבים או תומכים בפשעים נגד האנושות, פשעי מלחמה והפרות חמורות של זכויות אדם), התשפ"א-2021</t>
  </si>
  <si>
    <t xml:space="preserve"> (פ/1475/24)</t>
  </si>
  <si>
    <t xml:space="preserve">הצעת חוק רמת הגולן (תיקון - ביטול החוק), התשפ"א-2021</t>
  </si>
  <si>
    <t xml:space="preserve"> (פ/1473/24)</t>
  </si>
  <si>
    <t xml:space="preserve">הצעת חוק החזרת תושבי בירעם ואיקרית לבתיהם, התשפ"א-2021</t>
  </si>
  <si>
    <t xml:space="preserve"> (פ/1472/24)</t>
  </si>
  <si>
    <t xml:space="preserve">הצעת חוק מעונות יום שיקומיים (תיקון - טיפולים לפעוט עם מוגבלות מחוץ למעון היום השיקומי), התשפ"א-2021</t>
  </si>
  <si>
    <t xml:space="preserve"> (פ/1471/24)</t>
  </si>
  <si>
    <t xml:space="preserve"> (פ/1470/24)</t>
  </si>
  <si>
    <t xml:space="preserve">הצעת חוק הלוואות לשכר לימוד (תיקון - הלוואה ללא ריבית), התשפ"א-2021</t>
  </si>
  <si>
    <t xml:space="preserve"> (פ/1467/24)</t>
  </si>
  <si>
    <t xml:space="preserve">הצעת חוק הרשות הלאומית למאבק בעוני, התשפ"א-2021 </t>
  </si>
  <si>
    <t xml:space="preserve"> (פ/1466/24)</t>
  </si>
  <si>
    <t xml:space="preserve">הצעת חוק הביטוח הלאומי (תיקון - תשלום גמלה לשמירת היריון בעד כל התקופה), התשפ"א-2021</t>
  </si>
  <si>
    <t xml:space="preserve"> (פ/1465/24)</t>
  </si>
  <si>
    <t xml:space="preserve">הצעת חוק הדיינים (תיקון - מינוי דיין עמית בבית הדין הרבני הגדול), התשפ"א-2021</t>
  </si>
  <si>
    <t xml:space="preserve"> (פ/1464/24)</t>
  </si>
  <si>
    <t xml:space="preserve">הצעת חוק שעות עבודה ומנוחה (תיקון - קיצור שבוע העבודה), התשפ"א-2021</t>
  </si>
  <si>
    <t xml:space="preserve"> (פ/1463/24)</t>
  </si>
  <si>
    <t xml:space="preserve"> (פ/359/24)</t>
  </si>
  <si>
    <t xml:space="preserve">הוועדה המסדרת </t>
  </si>
  <si>
    <t xml:space="preserve">09.06.2021</t>
  </si>
  <si>
    <t xml:space="preserve">הצעת חוק איסור הונאה בכשרות (תיקון - הגדרת המינוח כשר לעניין הטעיה), התשפ"א-2021</t>
  </si>
  <si>
    <t xml:space="preserve"> (פ/1462/24)</t>
  </si>
  <si>
    <t xml:space="preserve">07.06.2021</t>
  </si>
  <si>
    <t xml:space="preserve">הצעת חוק שירות המדינה (מינויים) (תיקון - תואר אקדמי רלוונטי), התשפ"א-2021</t>
  </si>
  <si>
    <t xml:space="preserve"> (פ/1460/24)</t>
  </si>
  <si>
    <t xml:space="preserve">הצעת חוק העונשין (תיקון - מאסר למשתתף בהתפרעות אלימה בעת מצב חירום), התשפ"א-2021</t>
  </si>
  <si>
    <t xml:space="preserve"> (פ/1459/24)</t>
  </si>
  <si>
    <t xml:space="preserve">הצעת חוק הבחירות לכנסת (תיקון - הצבעה על ידי אזרחים בחוץ לארץ), התשפ"א-2021</t>
  </si>
  <si>
    <t xml:space="preserve"> (פ/1458/24)</t>
  </si>
  <si>
    <t xml:space="preserve">הצעת חוק העונשין (תיקון - תקיפת נהג אוטובוס ציבורי), התשפ"א-2021</t>
  </si>
  <si>
    <t xml:space="preserve"> (פ/1457/24)</t>
  </si>
  <si>
    <t xml:space="preserve"> (פ/1455/24)</t>
  </si>
  <si>
    <t xml:space="preserve">הצעת חוק לתיקון פקודת סדרי השלטון והמשפט (חקיקה באמצעות צו), התשפ"א-2021</t>
  </si>
  <si>
    <t xml:space="preserve"> (פ/1454/24)</t>
  </si>
  <si>
    <t xml:space="preserve">הצעת חוק תשלום פיצויים בשל נזקי אסון טבע, התשפ"א-2021</t>
  </si>
  <si>
    <t xml:space="preserve"> (פ/1452/24)</t>
  </si>
  <si>
    <t xml:space="preserve">הצעת חוק הרשות הלאומית למניעה ולמאבק באלימות במשפחה ובאלימות נגד נשים, התשפ"א -2021</t>
  </si>
  <si>
    <t xml:space="preserve"> (פ/1451/24)</t>
  </si>
  <si>
    <t xml:space="preserve">הצעת חוק הביטוח הלאומי (תיקון - אי שלילת זכאות לגמלת סיעוד מקשיש לאחר פטירת בן הזוג), התשפ"א-2021</t>
  </si>
  <si>
    <t xml:space="preserve"> (פ/1450/24)</t>
  </si>
  <si>
    <t xml:space="preserve"> (פ/1449/24)</t>
  </si>
  <si>
    <t xml:space="preserve"> (פ/1448/24)</t>
  </si>
  <si>
    <t xml:space="preserve">הצעת חוק לתיקון פקודת העיריות (חברות גבייה) (הוראת שעה), התשפ"א-2021</t>
  </si>
  <si>
    <t xml:space="preserve"> (פ/1447/24)</t>
  </si>
  <si>
    <t xml:space="preserve">הצעת חוק שיפוט בתי דין רבניים (נישואין וגירושין) (תיקון - כפיית גט), התשפ"א-2021</t>
  </si>
  <si>
    <t xml:space="preserve"> (פ/1446/24)</t>
  </si>
  <si>
    <t xml:space="preserve">הצעת חוק שוויון הזדמנויות במקום מגורים, התשפ"א-2021</t>
  </si>
  <si>
    <t xml:space="preserve"> (פ/1445/24)</t>
  </si>
  <si>
    <t xml:space="preserve"> (פ/1444/24)</t>
  </si>
  <si>
    <t xml:space="preserve"> (פ/1442/24)</t>
  </si>
  <si>
    <t xml:space="preserve">הצעת חוק שיפוט בתי דין רבניים (נישואין וגירושין) (תיקון - החרגת שפיטה בענייני רכוש בעת גירושין), התשפ"א-2021</t>
  </si>
  <si>
    <t xml:space="preserve"> (פ/1441/24)</t>
  </si>
  <si>
    <t xml:space="preserve">הצעת חוק-יסוד: נשיא המדינה (תיקון - תקופת צינון למועמד שהוא חבר הכנסת או חבר ממשלה שאינו חבר הכנסת)</t>
  </si>
  <si>
    <t xml:space="preserve"> (פ/1439/24)</t>
  </si>
  <si>
    <t xml:space="preserve"> (פ/1438/24)</t>
  </si>
  <si>
    <t xml:space="preserve">הצעת חוק לתיקון פקודת מס הכנסה (נקודת זיכוי לסטודנטים ולהוריהם), התשפ"א-2021</t>
  </si>
  <si>
    <t xml:space="preserve"> (פ/1437/24)</t>
  </si>
  <si>
    <t xml:space="preserve"> (פ/1436/24)</t>
  </si>
  <si>
    <t xml:space="preserve"> (פ/1435/24)</t>
  </si>
  <si>
    <t xml:space="preserve">הצעת חוק עוסק מפר בנסיבות מחמירות (תיקוני חקיקה), התשפ"א-2021</t>
  </si>
  <si>
    <t xml:space="preserve"> (פ/1434/24)</t>
  </si>
  <si>
    <t xml:space="preserve">הצעת חוק מס ערך מוסף (תיקון - שיעור מס מופחת על מוצרי מזון בסיסיים), התשפ"א-2021</t>
  </si>
  <si>
    <t xml:space="preserve"> (פ/1431/24)</t>
  </si>
  <si>
    <t xml:space="preserve"> (פ/1430/24)</t>
  </si>
  <si>
    <t xml:space="preserve">הצעת חוק שכירות הוגנת (רשם השכירויות), התשפ"א-2021</t>
  </si>
  <si>
    <t xml:space="preserve"> (פ/1429/24)</t>
  </si>
  <si>
    <t xml:space="preserve">הצעת חוק קביעת יום לציון הטבעת הספינה אלטלנה, התשפ"א-2021</t>
  </si>
  <si>
    <t xml:space="preserve"> (פ/1428/24)</t>
  </si>
  <si>
    <t xml:space="preserve">הצעת חוק מס ערך מוסף (תיקון - פטור ממס ערך מוסף במכירת תרופות לחולים סופניים), התשפ"א-2021</t>
  </si>
  <si>
    <t xml:space="preserve"> (פ/1426/24)</t>
  </si>
  <si>
    <t xml:space="preserve"> (פ/1425/24)</t>
  </si>
  <si>
    <t xml:space="preserve">הצעת חוק הביטוח הלאומי (תיקון - בדיקת תלות בידי רופא מומחה למבוטח מגיל 75), התשפ"א-2021</t>
  </si>
  <si>
    <t xml:space="preserve"> (פ/1424/24)</t>
  </si>
  <si>
    <t xml:space="preserve">הצעת חוק המועצה להשכלה גבוהה (תיקון - הקמת מוסדות להשכלה גבוהה), התשפ"א-2021</t>
  </si>
  <si>
    <t xml:space="preserve"> (פ/1423/24)</t>
  </si>
  <si>
    <t xml:space="preserve">הצעת חוק להסדרת הפיקוח על כלבים (תיקון - הקמת מאגר מידע גנטי של כלבים), התשפ"א-2021</t>
  </si>
  <si>
    <t xml:space="preserve"> (פ/1422/24)</t>
  </si>
  <si>
    <t xml:space="preserve">הצעת חוק לתיקון פקודת בריאות העם (הוספת מכשור רפואי לפריפריה), התשפ"א-2021</t>
  </si>
  <si>
    <t xml:space="preserve"> (פ/1421/24)</t>
  </si>
  <si>
    <t xml:space="preserve">הצעת חוק זכויות נפגעי עבירה (תיקון - זכאות בני משפחה), התשפ"א-2021</t>
  </si>
  <si>
    <t xml:space="preserve"> (פ/1420/24)</t>
  </si>
  <si>
    <t xml:space="preserve">הצעת חוק טיפול בחולי נפש (תיקון - בחירת מקום אשפוז), התשפ"א-2021</t>
  </si>
  <si>
    <t xml:space="preserve"> (פ/1419/24)</t>
  </si>
  <si>
    <t xml:space="preserve">הצעת חוק רישום מקרי אובדנות, התשפ"א-2021</t>
  </si>
  <si>
    <t xml:space="preserve"> (פ/1418/24)</t>
  </si>
  <si>
    <t xml:space="preserve">הצעת חוק הרשויות המקומיות (פיצול המועצה המקומית כסרא סמיע), התשפ"א-2021 </t>
  </si>
  <si>
    <t xml:space="preserve"> (פ/1417/24)</t>
  </si>
  <si>
    <t xml:space="preserve">הצעת חוק איסור הפרטת שיקול דעת שלטוני (הסדרת מעמדה של החטיבה להתיישבות), התשפ"א-2021 </t>
  </si>
  <si>
    <t xml:space="preserve"> (פ/1415/24)</t>
  </si>
  <si>
    <t xml:space="preserve">הצעת חוק להסדר התדיינויות בסכסוכי משפחה (הוראת שעה) (תיקון - הוספת גירושין בשיתוף פעולה), התשפ"א-2021</t>
  </si>
  <si>
    <t xml:space="preserve"> (פ/1414/24)</t>
  </si>
  <si>
    <t xml:space="preserve">הצעת חוק לתיקון פקודת מס הכנסה (פטור ממס בעד דמי הבראה והחזרי הוצאות נסיעה), התשפ"א-2021</t>
  </si>
  <si>
    <t xml:space="preserve"> (פ/460/24)</t>
  </si>
  <si>
    <t xml:space="preserve">02.06.2021</t>
  </si>
  <si>
    <t xml:space="preserve">הצעת חוק התכנון והבנייה (תיקון - ייצוג הולם לאוכלוסייה הערבית במוסדות התכנון), התשפ"א-2021</t>
  </si>
  <si>
    <t xml:space="preserve"> (פ/1413/24)</t>
  </si>
  <si>
    <t xml:space="preserve">31.05.2021</t>
  </si>
  <si>
    <t xml:space="preserve">הצעת חוק לתיקון פקודת התעבורה (קביעת קנס בגין גביית יתר של שכר הסעה במונית), התשפ"א-2021</t>
  </si>
  <si>
    <t xml:space="preserve"> (פ/1412/24)</t>
  </si>
  <si>
    <t xml:space="preserve">הצעת חוק התכנון והבנייה (הוראות מיוחדות לעניין יישובי מיעוטים) (הוראת שעה), התשפ"א-2021</t>
  </si>
  <si>
    <t xml:space="preserve"> (פ/1411/24)</t>
  </si>
  <si>
    <t xml:space="preserve">הצעת חוק שוויון הזדמנויות בעבודה (תיקון - איסור הפליה על רקע זהות מגדרית), התשפ"א-2021</t>
  </si>
  <si>
    <t xml:space="preserve"> (פ/1410/24)</t>
  </si>
  <si>
    <t xml:space="preserve"> (פ/1409/24)</t>
  </si>
  <si>
    <t xml:space="preserve">הצעת חוק שכר מינימום (תיקון - הצמדת שכר המינימום למדד המחירים לצרכן), התשפ"א-2021</t>
  </si>
  <si>
    <t xml:space="preserve"> (פ/1408/24)</t>
  </si>
  <si>
    <t xml:space="preserve"> (פ/1407/24)</t>
  </si>
  <si>
    <t xml:space="preserve">הצעת חוק איסור לשון הרע (תיקון - הגבלת סעד לאישי ציבור), התשפ"א-2021</t>
  </si>
  <si>
    <t xml:space="preserve"> (פ/1406/24)</t>
  </si>
  <si>
    <t xml:space="preserve">הצעת חוק הפסקת היריון, התשפ"א-2021</t>
  </si>
  <si>
    <t xml:space="preserve"> (פ/1404/24)</t>
  </si>
  <si>
    <t xml:space="preserve">הצעת חוק שכר מינימום (תיקון - עוולה נזיקית וקובלנה), התשפ"א-2021</t>
  </si>
  <si>
    <t xml:space="preserve"> (פ/1403/24)</t>
  </si>
  <si>
    <t xml:space="preserve">הצעת חוק-יסוד: הכנסת (תיקון - תקופת צינון והגבלת כהונה לראש ממשלה ולראש הממשלה החלופי)</t>
  </si>
  <si>
    <t xml:space="preserve"> (פ/1402/24)</t>
  </si>
  <si>
    <t xml:space="preserve">הצעת חוק סדר הדין הפלילי (סמכויות אכיפה - מעצרים) (תיקון - מעצר עד תום ההליכים בגין עבירה של החזקת נשק שלא כדין), התשפ"א-2021</t>
  </si>
  <si>
    <t xml:space="preserve"> (פ/1401/24)</t>
  </si>
  <si>
    <t xml:space="preserve">הצעת חוק שכר מינימום (תיקון - שכר מינימום לעובד שטרם מלאו לו 18 שנים), התשפ"א-2021</t>
  </si>
  <si>
    <t xml:space="preserve"> (פ/1400/24)</t>
  </si>
  <si>
    <t xml:space="preserve">הצעת חוק החזקת תכשיר אפינפרין במוסדות חינוך ובמקומות ציבוריים (תיקון - החזקת תכשיר אפינפרין בבית אוכל), התשפ"א-2021</t>
  </si>
  <si>
    <t xml:space="preserve"> (פ/1399/24)</t>
  </si>
  <si>
    <t xml:space="preserve">הצעת חוק הביטוח הלאומי (תיקון - מועד לתביעת גמלת כסף והתקופה שבעדה שולמה), התשפ"א-2021</t>
  </si>
  <si>
    <t xml:space="preserve"> (פ/1398/24)</t>
  </si>
  <si>
    <t xml:space="preserve">הצעת חוק טיפול בחולי נפש (תיקון - התמכרות פסיכוטית לחומרים פסיכו-אקטיביים), התשפ"א-2021</t>
  </si>
  <si>
    <t xml:space="preserve"> (פ/1397/24)</t>
  </si>
  <si>
    <t xml:space="preserve">הצעת חוק הלוואות לדיור (תיקון - מענק מיוחד לרכישת דירת מגורים מזכה באזור עדיפות לאומית), התשפ"א-2021</t>
  </si>
  <si>
    <t xml:space="preserve"> (פ/1396/24)</t>
  </si>
  <si>
    <t xml:space="preserve">הצעת חוק לתיקון פקודת מס הכנסה (הפחתת מס רווחי הון), התשפ"א-2021</t>
  </si>
  <si>
    <t xml:space="preserve"> (פ/1395/24)</t>
  </si>
  <si>
    <t xml:space="preserve">הצעת חוק משבר נגיף הקורונה החדש (הגנה על שוק הדיור) (תיקוני חקיקה), התשפ״א-2021</t>
  </si>
  <si>
    <t xml:space="preserve"> (פ/1394/24)</t>
  </si>
  <si>
    <t xml:space="preserve"> (פ/1393/24)</t>
  </si>
  <si>
    <t xml:space="preserve">הצעת חוק סמכות ואחריות הורית (משמורת), התשפ"א-2021</t>
  </si>
  <si>
    <t xml:space="preserve"> (פ/1392/24)</t>
  </si>
  <si>
    <t xml:space="preserve">הצעת חוק-יסוד: הממשלה (תיקון - השכלת ראש הממשלה)</t>
  </si>
  <si>
    <t xml:space="preserve"> (פ/1391/24)</t>
  </si>
  <si>
    <t xml:space="preserve">הצעת חוק לתיקון פקודת מס הכנסה (ניכוי בגין הוצאות טיפול בילדים), התשפ"א-2021</t>
  </si>
  <si>
    <t xml:space="preserve"> (פ/1390/24)</t>
  </si>
  <si>
    <t xml:space="preserve">הצעת חוק זכויות הסטודנט (תיקון - הגבלת דמי רישום), התשפ"א-2021</t>
  </si>
  <si>
    <t xml:space="preserve"> (פ/1388/24)</t>
  </si>
  <si>
    <t xml:space="preserve">הצעת חוק הספריה הלאומית (תיקון - פטור ממס והשתתפות המדינה בתקציב), התשפ"א-2021</t>
  </si>
  <si>
    <t xml:space="preserve"> (פ/1386/24)</t>
  </si>
  <si>
    <t xml:space="preserve"> (פ/1385/24)</t>
  </si>
  <si>
    <t xml:space="preserve">הצעת חוק הגנת הצרכן (תיקון - איסור פרסום כפוי במענה טלפוני), התשפ"א-2021</t>
  </si>
  <si>
    <t xml:space="preserve"> (פ/1384/24)</t>
  </si>
  <si>
    <t xml:space="preserve">הצעת חוק זכויות החולה (תיקון - הסכמה מדעת של קטין), התשפ"א-2021</t>
  </si>
  <si>
    <t xml:space="preserve"> (פ/1383/24)</t>
  </si>
  <si>
    <t xml:space="preserve">הצעת חוק איסור ניתוק שירותי חשמל ומים למוסדות חינוך (תיקוני חקיקה), התשפ"א-2021</t>
  </si>
  <si>
    <t xml:space="preserve"> (פ/1381/24)</t>
  </si>
  <si>
    <t xml:space="preserve">הצעת חוק חופשה שנתית (תיקון - ימי חופשה להורים שילדם נפטר), התשפ"א-2021</t>
  </si>
  <si>
    <t xml:space="preserve"> (פ/1380/24)</t>
  </si>
  <si>
    <t xml:space="preserve">הצעת חוק עבודת נשים (תיקון - הסדרי עבודה גמישים להורה עצמאי), התשפ"א-2021</t>
  </si>
  <si>
    <t xml:space="preserve"> (פ/1379/24)</t>
  </si>
  <si>
    <t xml:space="preserve">הצעת חוק הבטחת הכנסה (תיקון - הכנסה שמקורה בדמי אבטלה), התשפ"א-2021</t>
  </si>
  <si>
    <t xml:space="preserve"> (פ/1378/24)</t>
  </si>
  <si>
    <t xml:space="preserve">הצעת חוק העונשין (תיקון - הגבלת שימוש ברשתות חברתיות), התשפ"א-2021 </t>
  </si>
  <si>
    <t xml:space="preserve"> (פ/1377/24)</t>
  </si>
  <si>
    <t xml:space="preserve"> (פ/1376/24)</t>
  </si>
  <si>
    <t xml:space="preserve">הצעת חוק הסדרת העיסוק בייעוץ השקעות, בשיווק השקעות ובניהול תיקי השקעות (תיקון - דיווח יועץ השקעות ללקוח), התשפ"א-2021</t>
  </si>
  <si>
    <t xml:space="preserve"> (פ/1374/24)</t>
  </si>
  <si>
    <t xml:space="preserve">הצעת חוק התקשורת (בזק ושידורים) (תיקון - יידוע מנוי בדבר קצב הגלישה הממוצע באינטרנט), התשפ"א-2021</t>
  </si>
  <si>
    <t xml:space="preserve"> (פ/1372/24)</t>
  </si>
  <si>
    <t xml:space="preserve">הצעת חוק עבודת נשים (תיקון - תקופת לידה והורות להורה יחיד), התשפ"א-2021 </t>
  </si>
  <si>
    <t xml:space="preserve"> (פ/1371/24)</t>
  </si>
  <si>
    <t xml:space="preserve">הצעת חוק ארגוני עזר רפואיים הפועלים בתחום רפואת חירום דחופה טרום אשפוזית, התשפ"א-2021</t>
  </si>
  <si>
    <t xml:space="preserve"> (פ/1370/24)</t>
  </si>
  <si>
    <t xml:space="preserve">הצעת חוק מעונות לסטודנטים, התשפ"א-2021</t>
  </si>
  <si>
    <t xml:space="preserve"> (פ/1368/24)</t>
  </si>
  <si>
    <t xml:space="preserve">הצעת חוק הביטוח הלאומי (תיקון - קביעת אחוזי נכות ללקויי שמיעה - דו-צידי וחד-צידי), התשפ"א-2021</t>
  </si>
  <si>
    <t xml:space="preserve"> (פ/1367/24)</t>
  </si>
  <si>
    <t xml:space="preserve">הצעת חוק יום לציון פועלו וזכרו של אלי כהן, התשפ"א-2021</t>
  </si>
  <si>
    <t xml:space="preserve"> (פ/1366/24)</t>
  </si>
  <si>
    <t xml:space="preserve">הצעת חוק זכויות למשפחות של אנשים עם מוגבלות, התשפ"א-2021</t>
  </si>
  <si>
    <t xml:space="preserve"> (פ/1365/24)</t>
  </si>
  <si>
    <t xml:space="preserve">הצעת חוק חינוך ממלכתי (תיקון - ביטול השתתפות רשות מקומית בתקציבי מוסדות חינוך מוכרים לא רשמיים), התשפ"א-2021</t>
  </si>
  <si>
    <t xml:space="preserve"> (פ/1363/24)</t>
  </si>
  <si>
    <t xml:space="preserve"> (פ/1362/24)</t>
  </si>
  <si>
    <t xml:space="preserve">הצעת חוק התגמולים לנפגעי פעולות איבה (תיקון - פשעי שנאה), התשפ"א-2021</t>
  </si>
  <si>
    <t xml:space="preserve"> (פ/1361/24)</t>
  </si>
  <si>
    <t xml:space="preserve">הצעת חוק משפחות חיילים שנספו במערכה (תגמולים ושיקום) (תיקון - הגדרת אלמן ושכול), התשפ"א-2021</t>
  </si>
  <si>
    <t xml:space="preserve"> (פ/1360/24)</t>
  </si>
  <si>
    <t xml:space="preserve">הצעת חוק עבודת נשים (תיקון - הגנה לעובדת העוברת טיפולי פוריות), התשפ"א-2021</t>
  </si>
  <si>
    <t xml:space="preserve"> (פ/1359/24)</t>
  </si>
  <si>
    <t xml:space="preserve">הצעת חוק עבודת נשים (תיקון - תקופת לידה והורות מדורגת), התשפ"א-2021</t>
  </si>
  <si>
    <t xml:space="preserve"> (פ/1358/24)</t>
  </si>
  <si>
    <t xml:space="preserve">הצעת חוק העסקת עובדי הוראה, התשפ"א-2021</t>
  </si>
  <si>
    <t xml:space="preserve"> (פ/1357/24)</t>
  </si>
  <si>
    <t xml:space="preserve"> (פ/1356/24)</t>
  </si>
  <si>
    <t xml:space="preserve">הצעת חוק התרבות והאומנות (תיקון - הקצאת תקציב שנתי לתרבות והאומנות), התשפ"א-2021</t>
  </si>
  <si>
    <t xml:space="preserve"> (פ/1355/24)</t>
  </si>
  <si>
    <t xml:space="preserve">הצעת חוק איסור הפליה במוצרים, בשירותים ובכניסה למקומות בידור ולמקומות ציבוריים (תיקון - הגדלת סכום הפיצוי בלא הוכחת נזק), התשפ"א-2021</t>
  </si>
  <si>
    <t xml:space="preserve"> (פ/1354/24)</t>
  </si>
  <si>
    <t xml:space="preserve"> (פ/1353/24)</t>
  </si>
  <si>
    <t xml:space="preserve"> (פ/1352/24)</t>
  </si>
  <si>
    <t xml:space="preserve"> (פ/1351/24)</t>
  </si>
  <si>
    <t xml:space="preserve">הצעת חוק ניירות ערך (תיקון - קנס מוגדל בגין הרצת מניות), התשפ"א-2021</t>
  </si>
  <si>
    <t xml:space="preserve"> (פ/1350/24)</t>
  </si>
  <si>
    <t xml:space="preserve">הצעת חוק הצמדת תשלומים לחיילים בודדים למדד המחירים לצרכן, התשפ"א-2021</t>
  </si>
  <si>
    <t xml:space="preserve"> (פ/1349/24)</t>
  </si>
  <si>
    <t xml:space="preserve"> (פ/1347/24)</t>
  </si>
  <si>
    <t xml:space="preserve">הצעת חוק לימוד חובה (תיקון - הסעת תלמידים), התשפ"א-2021</t>
  </si>
  <si>
    <t xml:space="preserve"> (פ/1346/24)</t>
  </si>
  <si>
    <t xml:space="preserve">הצעת חוק לתיקון פקודת התעבורה (שילוט אלקטרוני ומערכת כריזה באוטובוס בשפה הערבית), התשפ"א-2021</t>
  </si>
  <si>
    <t xml:space="preserve"> (פ/1343/24)</t>
  </si>
  <si>
    <t xml:space="preserve">הצעת חוק לתיקון פקודת התעבורה (שירותי תחבורה ציבורית ללא תשלום), התשפ"א-2021</t>
  </si>
  <si>
    <t xml:space="preserve"> (פ/1342/24)</t>
  </si>
  <si>
    <t xml:space="preserve"> (פ/1341/24)</t>
  </si>
  <si>
    <t xml:space="preserve">הצעת חוק סל הקליטה (תיקון - זכאות יוצאים לשאלה), התשפ"א-2021</t>
  </si>
  <si>
    <t xml:space="preserve"> (פ/1340/24)</t>
  </si>
  <si>
    <t xml:space="preserve"> (פ/1339/24)</t>
  </si>
  <si>
    <t xml:space="preserve">הצעת חוק תהליך קבלת החלטות בעניין הסכמי סחר בין-לאומיים, התשפ"א-2021</t>
  </si>
  <si>
    <t xml:space="preserve"> (פ/1338/24)</t>
  </si>
  <si>
    <t xml:space="preserve">הצעת חוק לתיקון פקודת היערות (חובת פרסום לציבור על ידי הצבת שלט), התשפ"א-2021</t>
  </si>
  <si>
    <t xml:space="preserve"> (פ/1337/24)</t>
  </si>
  <si>
    <t xml:space="preserve">הצעת חוק לתיקון פקודת היערות (סמכות השר להגנת הסביבה), התשפ"א-2021</t>
  </si>
  <si>
    <t xml:space="preserve"> (פ/1336/24)</t>
  </si>
  <si>
    <t xml:space="preserve">הצעת חוק לתיקון פקודת היערות (פקידי יערות ברשות מקומית), התשפ"א-2021</t>
  </si>
  <si>
    <t xml:space="preserve"> (פ/1335/24)</t>
  </si>
  <si>
    <t xml:space="preserve">הצעת חוק לתיקון פקודת העיריות (ביטול סמכויות גבייה מנהליות), התשפ"א-2021</t>
  </si>
  <si>
    <t xml:space="preserve"> (פ/1334/24)</t>
  </si>
  <si>
    <t xml:space="preserve">הצעת חוק איסור הפליה במוצרים, בשירותים ובכניסה למקומות בידור ולמקומות ציבוריים (תיקון - איסור הפליה במוסדות חינוך, החלת אחריות אישית על מנהלי בתי ספר והגדלת סכום הפיצוי ללא הוכחת נזק), התשפ''א-2021</t>
  </si>
  <si>
    <t xml:space="preserve"> (פ/1333/24)</t>
  </si>
  <si>
    <t xml:space="preserve">הצעת חוק רישוי עסקים (תיקון - עסק של אבזרי מין), התשפ"א-2021</t>
  </si>
  <si>
    <t xml:space="preserve"> (פ/1332/24)</t>
  </si>
  <si>
    <t xml:space="preserve">הצעת חוק תשלום שכר היועץ המשפטי ומבקר העירייה (תיקוני חקיקה), התשפ"א-2021</t>
  </si>
  <si>
    <t xml:space="preserve"> (פ/1331/24)</t>
  </si>
  <si>
    <t xml:space="preserve">הצעת חוק לסימון סוסים, חמורים ופרדים ולהגנתם, התשפ"א-2021</t>
  </si>
  <si>
    <t xml:space="preserve"> (פ/1330/24)</t>
  </si>
  <si>
    <t xml:space="preserve">הצעת חוק איסור הפליה של תלמידים במערכת החינוך (תיקוני חקיקה), התשפ"א-2021</t>
  </si>
  <si>
    <t xml:space="preserve"> (פ/1329/24)</t>
  </si>
  <si>
    <t xml:space="preserve">הצעת חוק צער בעלי חיים (הגנה על בעלי חיים) (תיקון - איסור על זיווג ומכירה של כלבים וחתולים), התשפ"א-2021</t>
  </si>
  <si>
    <t xml:space="preserve"> (פ/1328/24)</t>
  </si>
  <si>
    <t xml:space="preserve">הצעת חוק סדנאות הכשרה לשוויון מגדרי בגיל הרך, התשפ"א-2021</t>
  </si>
  <si>
    <t xml:space="preserve"> (פ/1327/24)</t>
  </si>
  <si>
    <t xml:space="preserve">הצעת חוק לקידום התחרות ולצמצום הריכוזיות (תיקון - קביעת תאגיד שאינו מדווח או שותפות כחברת שכבה), התשפ"א-2021</t>
  </si>
  <si>
    <t xml:space="preserve"> (פ/1326/24)</t>
  </si>
  <si>
    <t xml:space="preserve">הצעת חוק לתיקון פקודת מס הכנסה (זיכוי במס לגרושים ידועים בציבור), התשפ"א-2021</t>
  </si>
  <si>
    <t xml:space="preserve"> (פ/1325/24)</t>
  </si>
  <si>
    <t xml:space="preserve">הצעת חוק הקמת שדה תעופה בנבטים, התשפ"א-2021</t>
  </si>
  <si>
    <t xml:space="preserve"> (פ/1324/24)</t>
  </si>
  <si>
    <t xml:space="preserve">הצעת חוק שיווי זכויות האישה (תיקון - פנייה שוויונית בשילוט במקום ציבורי), התשפ"א-2021</t>
  </si>
  <si>
    <t xml:space="preserve"> (פ/1323/24)</t>
  </si>
  <si>
    <t xml:space="preserve">הצעת חוק בתי המשפט (תיקון - נציגי הכנסת בוועדה לבחירת שופטים), התשפ"א-2021</t>
  </si>
  <si>
    <t xml:space="preserve"> (פ/1322/24)</t>
  </si>
  <si>
    <t xml:space="preserve"> (פ/1321/24)</t>
  </si>
  <si>
    <t xml:space="preserve"> (פ/1320/24)</t>
  </si>
  <si>
    <t xml:space="preserve">הצעת חוק זכויות התלמיד (תיקון - הנחה בתחבורה ציבורית), התשפ"א-2021</t>
  </si>
  <si>
    <t xml:space="preserve"> (פ/1319/24)</t>
  </si>
  <si>
    <t xml:space="preserve">הצעת חוק הרבנות הראשית לישראל (תיקון - ביטול החוק), התשפ"א-2021</t>
  </si>
  <si>
    <t xml:space="preserve"> (פ/1318/24)</t>
  </si>
  <si>
    <t xml:space="preserve">הצעת חוק לתיקון פקודת בריאות העם (הוספת מרכז לידה), התשפ"א-2021</t>
  </si>
  <si>
    <t xml:space="preserve"> (פ/1317/24)</t>
  </si>
  <si>
    <t xml:space="preserve">הצעת חוק לתיקון פקודת הרוקחים (חובת איסוף סמי מרפא), התשפ"א-2021</t>
  </si>
  <si>
    <t xml:space="preserve"> (פ/1316/24)</t>
  </si>
  <si>
    <t xml:space="preserve">הצעת חוק יסודות התקציב (תיקון - אישור הוועדה המשותפת לתקציב הביטחון להחלטות הממשלה להצטיידות או התעצמות), התשפ"א-2021</t>
  </si>
  <si>
    <t xml:space="preserve"> (פ/1315/24)</t>
  </si>
  <si>
    <t xml:space="preserve"> (פ/1314/24)</t>
  </si>
  <si>
    <t xml:space="preserve">הצעת חוק המקרקעין (תיקון - הארכת התקופה לשימוש בכוח נגד הסגת גבול), התשפ"א-2021</t>
  </si>
  <si>
    <t xml:space="preserve"> (פ/1313/24)</t>
  </si>
  <si>
    <t xml:space="preserve">הצעת חוק למניעת התעמרות בעבודה, התשפ"א-2021</t>
  </si>
  <si>
    <t xml:space="preserve"> (פ/1312/24)</t>
  </si>
  <si>
    <t xml:space="preserve">הצעת חוק לפיצוי לנפגעי נגיף הקורונה, התשפ"א-2021</t>
  </si>
  <si>
    <t xml:space="preserve"> (פ/1311/24)</t>
  </si>
  <si>
    <t xml:space="preserve"> (פ/1310/24)</t>
  </si>
  <si>
    <t xml:space="preserve"> (פ/1309/24)</t>
  </si>
  <si>
    <t xml:space="preserve">הצעת חוק שוויון זכויות לאנשים עם מוגבלות (תיקון - הנגשת תחבורה ציבורית), התשפ"א-2021</t>
  </si>
  <si>
    <t xml:space="preserve"> (פ/1307/24)</t>
  </si>
  <si>
    <t xml:space="preserve">הצעת חוק יסודות התקציב (תיקון - תקציב המוקצה למאבק בנגיף הקורונה) (הוראת שעה), התשפ"א-2021</t>
  </si>
  <si>
    <t xml:space="preserve"> (פ/1306/24)</t>
  </si>
  <si>
    <t xml:space="preserve">הצעת חוק צער בעלי חיים (הגנה על בעלי חיים) (תיקון - איסור מכירת פרוות), התשפ"א-2021</t>
  </si>
  <si>
    <t xml:space="preserve"> (פ/1305/24)</t>
  </si>
  <si>
    <t xml:space="preserve">הצעת חוק-יסוד: טוהר המידות במוסדות השלטון (תיקוני חקיקה)</t>
  </si>
  <si>
    <t xml:space="preserve"> (פ/1304/24)</t>
  </si>
  <si>
    <t xml:space="preserve"> (פ/1303/24)</t>
  </si>
  <si>
    <t xml:space="preserve"> (פ/1302/24)</t>
  </si>
  <si>
    <t xml:space="preserve">הצעת חוק העסקת עובדים על ידי קבלני כוח אדם (תיקון - מגבלות ברישוי קבלני כוח אדם), התשפ"א-2021</t>
  </si>
  <si>
    <t xml:space="preserve"> (פ/1301/24)</t>
  </si>
  <si>
    <t xml:space="preserve">הצעת חוק המרכז למורשת הערבים בישראל, התשפ"א-2021</t>
  </si>
  <si>
    <t xml:space="preserve"> (פ/1300/24)</t>
  </si>
  <si>
    <t xml:space="preserve">הצעת חוק לחינוך נגד גזענות, התשפ"א-2021</t>
  </si>
  <si>
    <t xml:space="preserve"> (פ/1299/24)</t>
  </si>
  <si>
    <t xml:space="preserve">הצעת חוק ההתייעלות הכלכלית (תיקוני חקיקה ליישום התכנית הכלכלית לשנים 2009 ו-2010) (תיקון - סיוע לעסקים קטנים ובינוניים בהתמודדות עם נגיף הקורונה) (הוראת שעה), התשפ"א-2021</t>
  </si>
  <si>
    <t xml:space="preserve"> (פ/1298/24)</t>
  </si>
  <si>
    <t xml:space="preserve">הצעת חוק לתיקון פקודת מס הכנסה (פטור ממס על מלגה לחוקר), התשפ"א-2021</t>
  </si>
  <si>
    <t xml:space="preserve"> (פ/1297/24)</t>
  </si>
  <si>
    <t xml:space="preserve">הצעת חוק הפיקוח על שירותים פיננסיים (קופות גמל) (תיקון - הגבלת דמי ניהול לעמית שסיים את עבודתו), התשפ"א-2021</t>
  </si>
  <si>
    <t xml:space="preserve"> (פ/1296/24)</t>
  </si>
  <si>
    <t xml:space="preserve">הצעת חוק לתיקון פקודת העדה הדתית (המרה) (גיור על ידי רב עיר), התשפ"א-2021</t>
  </si>
  <si>
    <t xml:space="preserve"> (פ/1295/24)</t>
  </si>
  <si>
    <t xml:space="preserve">הצעת חוק-יסוד: הממשלה (תיקון - שלילת שכר בגין אי-הקמת ממשלה)</t>
  </si>
  <si>
    <t xml:space="preserve"> (פ/1293/24)</t>
  </si>
  <si>
    <t xml:space="preserve"> (פ/1292/24)</t>
  </si>
  <si>
    <t xml:space="preserve">הצעת חוק מס ערך מוסף (תיקון - פטור ממס בעד הוצאות פיתוח במסגרת רכישת מקרקעין), התשפ"א-2021 </t>
  </si>
  <si>
    <t xml:space="preserve"> (פ/1290/24)</t>
  </si>
  <si>
    <t xml:space="preserve">24.05.2021</t>
  </si>
  <si>
    <t xml:space="preserve"> (פ/1289/24)</t>
  </si>
  <si>
    <t xml:space="preserve">הצעת חוק רשות מקרקעי ישראל (תיקון - הגדלת מלאי הדיור הציבורי), התשפ"א-2021</t>
  </si>
  <si>
    <t xml:space="preserve"> (פ/1288/24)</t>
  </si>
  <si>
    <t xml:space="preserve">הצעת חוק התגמולים (ילד שנתייתם עקב אלימות במשפחה) (תיקון - הרחבת זכויות והחלה על נפגעי עבירות אלימות), התשפ"א-2021</t>
  </si>
  <si>
    <t xml:space="preserve"> (פ/1287/24)</t>
  </si>
  <si>
    <t xml:space="preserve"> (פ/1286/24)</t>
  </si>
  <si>
    <t xml:space="preserve"> (פ/1285/24)</t>
  </si>
  <si>
    <t xml:space="preserve">הצעת חוק השמירה על המקומות הקדושים (תיקון - הבטחת פלורליזם דתי), התשפ"א-2021</t>
  </si>
  <si>
    <t xml:space="preserve"> (פ/1284/24)</t>
  </si>
  <si>
    <t xml:space="preserve">הצעת חוק שירותי הדת היהודיים (תיקון - משך כהונת רב עיר), התשפ"א-2021</t>
  </si>
  <si>
    <t xml:space="preserve"> (פ/1283/24)</t>
  </si>
  <si>
    <t xml:space="preserve">הצעת חוק אוויר נקי (תיקון - איסור הפעלת מפוחים), התשפ"א-2021</t>
  </si>
  <si>
    <t xml:space="preserve"> (פ/1282/24)</t>
  </si>
  <si>
    <t xml:space="preserve">הצעת חוק הנגשת שירותי קבלת קהל הניתנים בגופי שלטון לשפות נוספות, התשפ"א-2021 </t>
  </si>
  <si>
    <t xml:space="preserve"> (פ/1281/24)</t>
  </si>
  <si>
    <t xml:space="preserve">הצעת חוק החלת תקצוב מגדרי על תקציבים ציבוריים בישראל, התשפ"א-2021</t>
  </si>
  <si>
    <t xml:space="preserve"> (פ/1279/24)</t>
  </si>
  <si>
    <t xml:space="preserve">הצעת חוק למניעת הטרדה מינית (תיקון - נקיטת אמצעים למניעת הטרדה מינית במקומות בילוי), התשפ"א-2021</t>
  </si>
  <si>
    <t xml:space="preserve"> (פ/1278/24)</t>
  </si>
  <si>
    <t xml:space="preserve">הצעת חוק למניעת הטרדה מינית (תיקון - הרחבת תחולה על עובד של קבלן שירות המועסק אצל מזמין השירות), התשפ"א-2021</t>
  </si>
  <si>
    <t xml:space="preserve"> (פ/1277/24)</t>
  </si>
  <si>
    <t xml:space="preserve"> (פ/1275/24)</t>
  </si>
  <si>
    <t xml:space="preserve">הצעת חוק מערך החוץ וההסברה, התשפ"א-2021</t>
  </si>
  <si>
    <t xml:space="preserve"> (פ/1274/24)</t>
  </si>
  <si>
    <t xml:space="preserve">הצעת חוק זכויות הסטודנט (תיקון - ביטול ארגון סטודנטים יציג), התשפ''א-2021</t>
  </si>
  <si>
    <t xml:space="preserve"> (פ/1273/24)</t>
  </si>
  <si>
    <t xml:space="preserve">הצעת חוק לחלוקה צודקת של הנטל הכלכלי עקב נגיף הקורונה החדש (תיקוני חקיקה), התשפ"א-2021</t>
  </si>
  <si>
    <t xml:space="preserve"> (פ/1272/24)</t>
  </si>
  <si>
    <t xml:space="preserve">הצעת חוק מרשם האוכלוסין (תיקון - הגדרת יהודי), התשפ"א-2021</t>
  </si>
  <si>
    <t xml:space="preserve"> (פ/1271/24)</t>
  </si>
  <si>
    <t xml:space="preserve"> (פ/1270/24)</t>
  </si>
  <si>
    <t xml:space="preserve">הצעת חוק להסדרת הפיקוח על כלבים (תיקון - קנס מוגדל בשל כלב משוטט שאינו מסורס או מעוקר), התשפ"א-2021</t>
  </si>
  <si>
    <t xml:space="preserve"> (פ/1269/24)</t>
  </si>
  <si>
    <t xml:space="preserve">הצעת חוק יום חינוך ארוך ולימודי העשרה (תיקון - תחולת החוק), התשפ"א-2021</t>
  </si>
  <si>
    <t xml:space="preserve"> (פ/1268/24)</t>
  </si>
  <si>
    <t xml:space="preserve">הצעת חוק להנצחת זכרה של גולדה מאיר, התשפ"א-2021</t>
  </si>
  <si>
    <t xml:space="preserve"> (פ/1267/24)</t>
  </si>
  <si>
    <t xml:space="preserve"> (פ/1266/24)</t>
  </si>
  <si>
    <t xml:space="preserve">הצעת חוק זכויות הדייר בדיור הציבורי (תיקון - התקנת דוד שמש), התשפ"א-2021</t>
  </si>
  <si>
    <t xml:space="preserve"> (פ/1265/24)</t>
  </si>
  <si>
    <t xml:space="preserve">הצעת חוק לתיקון פקודת מס הכנסה (הטבות ליישובים), התשפ"א-2021</t>
  </si>
  <si>
    <t xml:space="preserve"> (פ/1264/24)</t>
  </si>
  <si>
    <t xml:space="preserve">הצעת חוק פיקוח על מחירי מצרכים ושירותים (תיקון - פיקוח על מחיר גז טבעי), התשפ"א-2021</t>
  </si>
  <si>
    <t xml:space="preserve"> (פ/1263/24)</t>
  </si>
  <si>
    <t xml:space="preserve">הצעת חוק שיעור ריבית פיגורים מקסימלי (תיקוני חקיקה), התשפ"א-2021</t>
  </si>
  <si>
    <t xml:space="preserve"> (פ/1262/24)</t>
  </si>
  <si>
    <t xml:space="preserve"> (פ/1261/24)</t>
  </si>
  <si>
    <t xml:space="preserve">הצעת חוק איסור הפליה במוצרים, בשירותים ובכניסה למקומות בידור ולמקומות ציבוריים (תיקון - איסור בקשה לשינוי בהסדר במתן השירות), התשפ"א-2021</t>
  </si>
  <si>
    <t xml:space="preserve"> (פ/1260/24)</t>
  </si>
  <si>
    <t xml:space="preserve"> (פ/1259/24)</t>
  </si>
  <si>
    <t xml:space="preserve">הצעת חוק הרשויות המקומיות (יועצת לענייני מעמד האשה) (תיקון - תקציב ייעודי וייחוד הכהונה), התשפ"א-2021</t>
  </si>
  <si>
    <t xml:space="preserve"> (פ/1258/24)</t>
  </si>
  <si>
    <t xml:space="preserve">הצעת חוק איסור רוכלות רוחנית במוסדות חינוך ובקרבתם, התשפ"א-2021</t>
  </si>
  <si>
    <t xml:space="preserve"> (פ/1257/24)</t>
  </si>
  <si>
    <t xml:space="preserve">הצעת חוק חופשה שנתית (תיקון - קביעת יום פתיחת שנת הלימודים כיום בחירה), התשפ"א-2021</t>
  </si>
  <si>
    <t xml:space="preserve"> (פ/1255/24)</t>
  </si>
  <si>
    <t xml:space="preserve">הצעת חוק טיפול בחולי נפש (תיקון - החלת הוראות על בגיר שסובל מאנורקסיה נרבוזה), התשפ"א-2021</t>
  </si>
  <si>
    <t xml:space="preserve"> (פ/1253/24)</t>
  </si>
  <si>
    <t xml:space="preserve">הצעת חוק למניעת העישון במקומות ציבוריים והחשיפה לעישון (תיקון - ייעול האכיפה וביטול חדרי העישון), התשפ"א-2021</t>
  </si>
  <si>
    <t xml:space="preserve"> (פ/1252/24)</t>
  </si>
  <si>
    <t xml:space="preserve">הצעת חוק חזקת הסכמה לתרומת אברים (תיקוני חקיקה), התשפ"א-2021</t>
  </si>
  <si>
    <t xml:space="preserve"> (פ/1251/24)</t>
  </si>
  <si>
    <t xml:space="preserve">הצעת חוק עסקאות גופים ציבוריים (תיקון - מניעת העסקה במיקור חוץ בשירות הציבורי), התשפ"א-2021</t>
  </si>
  <si>
    <t xml:space="preserve"> (פ/1250/24)</t>
  </si>
  <si>
    <t xml:space="preserve">הצעת חוק שירות הציבור (הגבלות לאחר פרישה) (תיקון - תקופת צינון לנושאי משרה בכירה בשירות הציבור), התשפ"א-2021</t>
  </si>
  <si>
    <t xml:space="preserve"> (פ/1249/24)</t>
  </si>
  <si>
    <t xml:space="preserve">הצעת חוק יסודות התקציב (תיקון - שלילת תמיכה ותקצוב ממוסד חינוך שאינו ממלא אחר הנחיות הממשלה לצמצום התפשטות נגיף הקורונה החדש או מסית לאי מילוי ההנחיות) (הוראת שעה), התשפ"א-2021</t>
  </si>
  <si>
    <t xml:space="preserve"> (פ/1248/24)</t>
  </si>
  <si>
    <t xml:space="preserve">הצעת חוק הגנת הצרכן (תיקון - סיכום פניה), התשפ"א-2021</t>
  </si>
  <si>
    <t xml:space="preserve"> (פ/1247/24)</t>
  </si>
  <si>
    <t xml:space="preserve">הצעת חוק שירות הקבע בצבא הגנה לישראל (גמלאות) (תיקון - גמלה לאלמנה שנישאה מחדש), התשפ"א-2021</t>
  </si>
  <si>
    <t xml:space="preserve"> (פ/1246/24)</t>
  </si>
  <si>
    <t xml:space="preserve">הצעת חוק בתי קברות צבאיים (תיקון - חיילים זכאי חוק השבות), התשפ"א-2021</t>
  </si>
  <si>
    <t xml:space="preserve"> (פ/1245/24)</t>
  </si>
  <si>
    <t xml:space="preserve">הצעת חוק להגנה על האגן הצפוני של ים המלח, התשפ"א-2021</t>
  </si>
  <si>
    <t xml:space="preserve"> (פ/1244/24)</t>
  </si>
  <si>
    <t xml:space="preserve">הצעת חוק לתיקון פקודת התעבורה (הדרכה בנהיגה בשפות שאינן עברית), התשפ"א-2021</t>
  </si>
  <si>
    <t xml:space="preserve"> (פ/1243/24)</t>
  </si>
  <si>
    <t xml:space="preserve">הצעת חוק פיצויים בעד נזק עקב אסון טבע, התשפ"א-2021</t>
  </si>
  <si>
    <t xml:space="preserve"> (פ/1242/24)</t>
  </si>
  <si>
    <t xml:space="preserve"> (פ/1241/24)</t>
  </si>
  <si>
    <t xml:space="preserve">הצעת חוק סדר הדין הפלילי (סמכויות אכיפה - חיפוש בגוף ונטילת אמצעי זיהוי) (תיקון - בדיקה לגילוי נגיף HIV), התשפ"א-2021</t>
  </si>
  <si>
    <t xml:space="preserve"> (פ/1240/24)</t>
  </si>
  <si>
    <t xml:space="preserve"> (פ/1239/24)</t>
  </si>
  <si>
    <t xml:space="preserve">הצעת חוק הפיקוח על שירותים פיננסיים (קופות גמל) (תיקון - הרחבת הגדרת פנסיה תקציבית), התשפ"א-2021</t>
  </si>
  <si>
    <t xml:space="preserve"> (פ/1238/24)</t>
  </si>
  <si>
    <t xml:space="preserve">הצעת חוק אימוץ ילדים (תיקון - הוספת סמכות בנושא דתו של המאומץ), התשפ"א-2021</t>
  </si>
  <si>
    <t xml:space="preserve"> (פ/1237/24)</t>
  </si>
  <si>
    <t xml:space="preserve">הצעת חוק להסדרת מינויים בשירות החוץ, התשפ"א-2021</t>
  </si>
  <si>
    <t xml:space="preserve"> (פ/1236/24)</t>
  </si>
  <si>
    <t xml:space="preserve"> (פ/1235/24)</t>
  </si>
  <si>
    <t xml:space="preserve">הצעת חוק הביטוח הלאומי (תיקון - דמי אבטלה למשרתים בשירות לאומי-אזרחי), התשפ"א-2021</t>
  </si>
  <si>
    <t xml:space="preserve"> (פ/1234/24)</t>
  </si>
  <si>
    <t xml:space="preserve">הצעת חוק למניעת העישון במקומות ציבוריים והחשיפה לעישון (תיקון - הוספת מקומות ציבוריים שהעישון בהם אסור), התשפ"א-2021</t>
  </si>
  <si>
    <t xml:space="preserve"> (פ/1233/24)</t>
  </si>
  <si>
    <t xml:space="preserve">הצעת חוק איסור הונאה בכשרות (תיקון - פיקוח על מחירי תעודת הכשר), התשפ"א-2021</t>
  </si>
  <si>
    <t xml:space="preserve"> (פ/1232/24)</t>
  </si>
  <si>
    <t xml:space="preserve">הצעת חוק הממשלה (תיקון - דיווח על נסיעות שרים לחוץ לארץ), התשפ"א-2021</t>
  </si>
  <si>
    <t xml:space="preserve"> (פ/1231/24)</t>
  </si>
  <si>
    <t xml:space="preserve">הצעת חוק הממשלה (תיקון - דיווח שר בדבר אי התקנת תקנות במועד), התשפ"א-2021</t>
  </si>
  <si>
    <t xml:space="preserve"> (פ/1230/24)</t>
  </si>
  <si>
    <t xml:space="preserve">הצעת חוק שירותי הדת היהודיים (תיקון - הנחה ברכישת קבר זוגי), התשפ"א-2021</t>
  </si>
  <si>
    <t xml:space="preserve"> (פ/1229/24)</t>
  </si>
  <si>
    <t xml:space="preserve">הצעת חוק חוזה הביטוח (תיקון - הארכת תקופת ההתיישנות לביטוח חיים), התשפ"א-2021</t>
  </si>
  <si>
    <t xml:space="preserve"> (פ/1228/24)</t>
  </si>
  <si>
    <t xml:space="preserve">הצעת חוק למניעת כפייה מינית, התשפ"א-2021</t>
  </si>
  <si>
    <t xml:space="preserve"> (פ/1227/24)</t>
  </si>
  <si>
    <t xml:space="preserve">הצעת חוק למניעת התנכלות תעסוקתית, התשפ"א-2021</t>
  </si>
  <si>
    <t xml:space="preserve"> (פ/1226/24)</t>
  </si>
  <si>
    <t xml:space="preserve">הצעת חוק לתיקון פקודת התעבורה (אזורי מנוחה ומפרצי עצירה בדרך בין-עירונית), התשפ"א-2021</t>
  </si>
  <si>
    <t xml:space="preserve"> (פ/1225/24)</t>
  </si>
  <si>
    <t xml:space="preserve">הצעת חוק בתי דין רבניים (קיום פסקי דין של גירושין) (תיקון - סמכות בית המשפט לענייני משפחה), התשפ"א-2021</t>
  </si>
  <si>
    <t xml:space="preserve"> (פ/1224/24)</t>
  </si>
  <si>
    <t xml:space="preserve">הצעת חוק לעידוד בנייה בת קיימא (תיקוני חקיקה), התשפ"א-2021</t>
  </si>
  <si>
    <t xml:space="preserve"> (פ/1223/24)</t>
  </si>
  <si>
    <t xml:space="preserve"> (פ/1222/24)</t>
  </si>
  <si>
    <t xml:space="preserve"> (פ/1221/24)</t>
  </si>
  <si>
    <t xml:space="preserve">הצעת חוק הדיינים (תיקון - כשירות למנהל בתי הדין הרבניים), התשפ"א-2021</t>
  </si>
  <si>
    <t xml:space="preserve"> (פ/1220/24)</t>
  </si>
  <si>
    <t xml:space="preserve"> (פ/1219/24)</t>
  </si>
  <si>
    <t xml:space="preserve"> (פ/1218/24)</t>
  </si>
  <si>
    <t xml:space="preserve">הצעת חוק העונשין (תיקון - ביטול עבירת השוטטות), התשפ"א-2021</t>
  </si>
  <si>
    <t xml:space="preserve"> (פ/1217/24)</t>
  </si>
  <si>
    <t xml:space="preserve">הצעת חוק הסדרת מעמדם של פליטים ומבקשי מקלט, התשפ"א-2021</t>
  </si>
  <si>
    <t xml:space="preserve"> (פ/1216/24)</t>
  </si>
  <si>
    <t xml:space="preserve">הצעת חוק הרשויות המקומיות (דירות מקלט), התשפ"א-2021</t>
  </si>
  <si>
    <t xml:space="preserve"> (פ/1215/24)</t>
  </si>
  <si>
    <t xml:space="preserve">הצעת חוק שכר מינימום (תיקון - תוספת שלא תובא בחשבון בשכר המינימום), התשפ"א-2021</t>
  </si>
  <si>
    <t xml:space="preserve"> (פ/1214/24)</t>
  </si>
  <si>
    <t xml:space="preserve">הצעת חוק לתיקון פקודת בריאות העם (טיפול בפסולת רפואית), התשפ"א-2021</t>
  </si>
  <si>
    <t xml:space="preserve"> (פ/1213/24)</t>
  </si>
  <si>
    <t xml:space="preserve">הצעת חוק הבטחת הכנסה (תיקון - מסגרת שיקומית מזנות), התשפ"א-2021</t>
  </si>
  <si>
    <t xml:space="preserve"> (פ/1212/24)</t>
  </si>
  <si>
    <t xml:space="preserve">הצעת חוק לידה בבית (תיקוני חקיקה), התשפ"א-2021</t>
  </si>
  <si>
    <t xml:space="preserve"> (פ/1211/24)</t>
  </si>
  <si>
    <t xml:space="preserve">הצעת חוק הגבלת פעולות אנשי דת בלתי מורשים בצבא הגנה לישראל ובמשטרת ישראל, התשפ"א-2021</t>
  </si>
  <si>
    <t xml:space="preserve"> (פ/1210/24)</t>
  </si>
  <si>
    <t xml:space="preserve">הצעת חוק שירות המילואים, התשפ"א-2021</t>
  </si>
  <si>
    <t xml:space="preserve"> (פ/1208/24)</t>
  </si>
  <si>
    <t xml:space="preserve">הצעת חוק פדיון הטבת חניה לעובד לשם צמצום שימוש ברכב פרטי, התשפ"א-2021</t>
  </si>
  <si>
    <t xml:space="preserve"> (פ/1207/24)</t>
  </si>
  <si>
    <t xml:space="preserve">הצעת חוק היערכות אזרחית למצבי חירום, התשפ"א-2021</t>
  </si>
  <si>
    <t xml:space="preserve"> (פ/1206/24)</t>
  </si>
  <si>
    <t xml:space="preserve">הצעת חוק שירות ביטחון (תיקון - פטור מטעמי הכרה דתית), התשפ"א-2021</t>
  </si>
  <si>
    <t xml:space="preserve"> (פ/1205/24)</t>
  </si>
  <si>
    <t xml:space="preserve">הצעת חוק נסיעות חיילים ברכבת ישראל, הרכבת הקלה ובאוטובוסים ציבוריים, התשפ"א-2021</t>
  </si>
  <si>
    <t xml:space="preserve"> (פ/1204/24)</t>
  </si>
  <si>
    <t xml:space="preserve">הצעת חוק פיצויי פיטורים (תיקון - מתן פיצויי פיטורים עקב העתקת מקום מגורים לבני זוג ידועים בציבור), התשפ"א-2021</t>
  </si>
  <si>
    <t xml:space="preserve"> (פ/1203/24)</t>
  </si>
  <si>
    <t xml:space="preserve">הצעת חוק החברות (תיקון - איסור חברות בדירקטוריון של בנק ושל חברה ציבורית נוספת), התשפ"א-2021</t>
  </si>
  <si>
    <t xml:space="preserve"> (פ/1201/24)</t>
  </si>
  <si>
    <t xml:space="preserve">הצעת חוק לתיקון פקודת מס הכנסה (משיכה מקרן השתלמות לרכישת דירה ראשונה), התשפ"א-2021</t>
  </si>
  <si>
    <t xml:space="preserve"> (פ/1200/24)</t>
  </si>
  <si>
    <t xml:space="preserve">הצעת חוק עבודת נשים (תיקון - איסור פגיעה בתנאי עבודה של עובד שחלה הגבלה על פיטוריו), התשפ"א-2021</t>
  </si>
  <si>
    <t xml:space="preserve"> (פ/1199/24)</t>
  </si>
  <si>
    <t xml:space="preserve">הצעת חוק הבחירות לכנסת (תיקון - הצבעה בקלפיות של בעלי מוגבלויות), התשפ"א-2021</t>
  </si>
  <si>
    <t xml:space="preserve"> (פ/1198/24)</t>
  </si>
  <si>
    <t xml:space="preserve">הצעת חוק מיסוי מקרקעין (שבח ורכישה) (תיקון - רכישת דירה על ידי ילד יתום), התשפ"א-2021</t>
  </si>
  <si>
    <t xml:space="preserve"> (פ/1197/24)</t>
  </si>
  <si>
    <t xml:space="preserve">הצעת חוק שירותי הדת היהודיים (מועצות דתיות - בחירות), התשפ"א-2021</t>
  </si>
  <si>
    <t xml:space="preserve"> (פ/1196/24)</t>
  </si>
  <si>
    <t xml:space="preserve">הצעת חוק שירות הציבור (הגבלות לאחר פרישה) (תיקון - איסור על מתן היתרים או פטורים למשרתים בכוחות הביטחון ובמשרד הביטחון), התשפ"א-2021</t>
  </si>
  <si>
    <t xml:space="preserve"> (פ/1195/24)</t>
  </si>
  <si>
    <t xml:space="preserve">הצעת חוק הביטוח הלאומי (תיקון - קצבת אזרח ותיק), התשפ"א-2021</t>
  </si>
  <si>
    <t xml:space="preserve"> (פ/1194/24)</t>
  </si>
  <si>
    <t xml:space="preserve">הצעת חוק שוויון ההזדמנויות בעבודה (תיקון - איסור דרישת מידע ביומטרי מעובד או מדורש עבודה), התשפ"א-2021</t>
  </si>
  <si>
    <t xml:space="preserve"> (פ/1193/24)</t>
  </si>
  <si>
    <t xml:space="preserve">הצעת חוק הביטוח הלאומי (תיקון - הארכת מועד הזכות למענק בשל עבודה מועדפת) (הוראת שעה), התשפ"א-2021</t>
  </si>
  <si>
    <t xml:space="preserve"> (פ/1192/24)</t>
  </si>
  <si>
    <t xml:space="preserve">הצעת חוק לתיקון פקודת העיריות (שינוי מועד תשלום הארנונה), התשפ"א-2021</t>
  </si>
  <si>
    <t xml:space="preserve"> (פ/1191/24)</t>
  </si>
  <si>
    <t xml:space="preserve">הצעת חוק איסור פרסום הפליה (תיקוני חקיקה), התשפ"א-2021</t>
  </si>
  <si>
    <t xml:space="preserve"> (פ/1189/24)</t>
  </si>
  <si>
    <t xml:space="preserve">הצעת חוק הביטוח הלאומי (תיקון- ביטוח זכויות בהליכי חדלות פירעון לעובד עצמאי שעיקר הכנסתו ממקור אחד), התשפ"א-2021</t>
  </si>
  <si>
    <t xml:space="preserve"> (פ/1188/24)</t>
  </si>
  <si>
    <t xml:space="preserve"> (פ/1186/24)</t>
  </si>
  <si>
    <t xml:space="preserve">הצעת חוק הביטוח הלאומי (תיקון - קצבת שאירים למי שמנהל משק בית משותף), התשפ"א-2021</t>
  </si>
  <si>
    <t xml:space="preserve"> (פ/1185/24)</t>
  </si>
  <si>
    <t xml:space="preserve">הצעת חוק הסכמים לנשיאת עוברים (אישור הסכם ומעמד היילוד) (תיקון - ביצוע הסכם מחוץ לישראל), התשפ"א-2021</t>
  </si>
  <si>
    <t xml:space="preserve"> (פ/1184/24)</t>
  </si>
  <si>
    <t xml:space="preserve">הצעת חוק העמותות (תיקון - שקיפות במימון ממשלתי או עירוני), התשפ"א-2021</t>
  </si>
  <si>
    <t xml:space="preserve"> (פ/1183/24)</t>
  </si>
  <si>
    <t xml:space="preserve">הצעת חוק בנק הזרע (הזרעות והפריות חוץ בבני זוג פרודים), התשפ"א-2021</t>
  </si>
  <si>
    <t xml:space="preserve"> (פ/1182/24)</t>
  </si>
  <si>
    <t xml:space="preserve">הצעת חוק לתיקון פקודת הנזיקין (חסינות חברי מועצה), התשפ"א-2021</t>
  </si>
  <si>
    <t xml:space="preserve"> (פ/1181/24)</t>
  </si>
  <si>
    <t xml:space="preserve">הצעת חוק הגנה על עובדים (חשיפת עבירות ופגיעה בטוהר המידות או במינהל התקין) (תיקון - הגדלת סכום הפיצוי שאינו תלוי בנזק ושינוי נטל ההוכחה), התשפ"א-2021</t>
  </si>
  <si>
    <t xml:space="preserve"> (פ/1180/24)</t>
  </si>
  <si>
    <t xml:space="preserve"> (פ/1179/24)</t>
  </si>
  <si>
    <t xml:space="preserve">הצעת חוק העונשין (תיקון - שימוש במידע בידי עובד הציבור), התשפ"א-2021</t>
  </si>
  <si>
    <t xml:space="preserve"> (פ/1178/24)</t>
  </si>
  <si>
    <t xml:space="preserve">הצעת חוק הביטוח הלאומי (תיקון - זכאות לדמי לידה לחיילות בשירות קבע), התשפ"א-2021</t>
  </si>
  <si>
    <t xml:space="preserve"> (פ/1177/24)</t>
  </si>
  <si>
    <t xml:space="preserve">הצעת חוק הביטוח הלאומי (תיקון - עקר בית), התשפ"א-2021</t>
  </si>
  <si>
    <t xml:space="preserve"> (פ/1176/24)</t>
  </si>
  <si>
    <t xml:space="preserve"> (פ/1175/24)</t>
  </si>
  <si>
    <t xml:space="preserve">הצעת חוק הגנת השכר (תיקון - צירוף פירוט שעות חודשי לתלוש השכר), התשפ"א-2021</t>
  </si>
  <si>
    <t xml:space="preserve"> (פ/1174/24)</t>
  </si>
  <si>
    <t xml:space="preserve"> (פ/1173/24)</t>
  </si>
  <si>
    <t xml:space="preserve">הצעת חוק הביטוח הלאומי (תיקון - הוראות לעניין עקרת בית), התשפ"א-2021</t>
  </si>
  <si>
    <t xml:space="preserve"> (פ/1172/24)</t>
  </si>
  <si>
    <t xml:space="preserve">הצעת חוק למניעת אלימות במשפחה (תיקון - דיון במעמד צד אחד באלימות נפשית), התשפ"א-2021</t>
  </si>
  <si>
    <t xml:space="preserve"> (פ/1171/24)</t>
  </si>
  <si>
    <t xml:space="preserve">הצעת חוק הערבות (תיקון - ביטול החוק), התשפ"א-2021</t>
  </si>
  <si>
    <t xml:space="preserve"> (פ/1170/24)</t>
  </si>
  <si>
    <t xml:space="preserve">הצעת חוק איסור הפליה מחמת משקל (תיקוני חקיקה), התשפ"א-2021</t>
  </si>
  <si>
    <t xml:space="preserve"> (פ/1169/24)</t>
  </si>
  <si>
    <t xml:space="preserve">הצעת חוק דמי מחלה (היעדרות בשל מחלת נכד), התשפ"א-2021</t>
  </si>
  <si>
    <t xml:space="preserve"> (פ/1168/24)</t>
  </si>
  <si>
    <t xml:space="preserve">הצעת חוק הסדרי עבודה גמישים, התשפ"א-2021</t>
  </si>
  <si>
    <t xml:space="preserve"> (פ/1166/24)</t>
  </si>
  <si>
    <t xml:space="preserve">הצעת חוק איסור פרסום גזעני, הסתה לגזענות ורישום גזעני במסמכי תאגיד, התשפ"א-2021</t>
  </si>
  <si>
    <t xml:space="preserve"> (פ/1165/24)</t>
  </si>
  <si>
    <t xml:space="preserve">הצעת חוק קליטת חיילים משוחררים (תיקון - טיפול פסיכו-סוציאלי לחייל משוחרר), התשפ"א-2021</t>
  </si>
  <si>
    <t xml:space="preserve"> (פ/1164/24)</t>
  </si>
  <si>
    <t xml:space="preserve">הצעת חוק למניעת שימוש לרעה בהליך משפטי, התשפ"א-2021</t>
  </si>
  <si>
    <t xml:space="preserve"> (פ/1163/24)</t>
  </si>
  <si>
    <t xml:space="preserve">הצעת חוק לתיקון סדרי המינהל (החלטות והנמקות) (תיקון - חובת מתן תשובה במועד), התשפ"א-2021</t>
  </si>
  <si>
    <t xml:space="preserve"> (פ/1162/24)</t>
  </si>
  <si>
    <t xml:space="preserve">הצעת חוק שיפוט בתי דין רבניים (נישואין וגירושין) (תיקון - ביטול כריכה), התשפ"א-2021</t>
  </si>
  <si>
    <t xml:space="preserve"> (פ/1161/24)</t>
  </si>
  <si>
    <t xml:space="preserve"> (פ/1160/24)</t>
  </si>
  <si>
    <t xml:space="preserve">הצעת חוק חובת ניהול ופרסום פרוטוקול של ועדות מייעצות (תיקוני חקיקה), התשפ"א-2021</t>
  </si>
  <si>
    <t xml:space="preserve"> (פ/1159/24)</t>
  </si>
  <si>
    <t xml:space="preserve"> (פ/1158/24)</t>
  </si>
  <si>
    <t xml:space="preserve">הצעת חוק העונשין (תיקון - החריגים לעבירת ריבוי נישואין), התשפ"א-2021</t>
  </si>
  <si>
    <t xml:space="preserve"> (פ/1157/24)</t>
  </si>
  <si>
    <t xml:space="preserve">הצעת חוק ציון שם ההורה בטופס, התשפ"א-2021</t>
  </si>
  <si>
    <t xml:space="preserve"> (פ/1156/24)</t>
  </si>
  <si>
    <t xml:space="preserve">הצעת חוק הסניגוריה הציבורית (תיקון - פיקוח על החזקה בבידוד או על החזקה באיפול תקשורתי), התשפ"א-2021</t>
  </si>
  <si>
    <t xml:space="preserve"> (פ/1155/24)</t>
  </si>
  <si>
    <t xml:space="preserve">הצעת חוק זכויות נפגעי עבירה (תיקון - החלת זכויות בדין האזרחי), התשפ"א-2021</t>
  </si>
  <si>
    <t xml:space="preserve"> (פ/1154/24)</t>
  </si>
  <si>
    <t xml:space="preserve"> (פ/1153/24)</t>
  </si>
  <si>
    <t xml:space="preserve">הצעת חוק סמכות ואחריות הורית (מזונות), התשפ"א-2021</t>
  </si>
  <si>
    <t xml:space="preserve"> (פ/1152/24)</t>
  </si>
  <si>
    <t xml:space="preserve"> (פ/1151/24)</t>
  </si>
  <si>
    <t xml:space="preserve">הצעת חוק שירות המדינה (מינויים) (תיקון - תקופת צינון במעבר מהמגזר הפרטי לשירות המדינה), התשפ"א-2021</t>
  </si>
  <si>
    <t xml:space="preserve"> (פ/1150/24)</t>
  </si>
  <si>
    <t xml:space="preserve">הצעת חוק למניעת עיגון מנישואין, התשפ"א-2021</t>
  </si>
  <si>
    <t xml:space="preserve"> (פ/1149/24)</t>
  </si>
  <si>
    <t xml:space="preserve">הצעת חוק ההתגוננות האזרחית (תיקון - אפשרות לקבלת פטור מבניית מקלט בהרחבת בית), התשפ"א-2021</t>
  </si>
  <si>
    <t xml:space="preserve"> (פ/1148/24)</t>
  </si>
  <si>
    <t xml:space="preserve"> (פ/1147/24)</t>
  </si>
  <si>
    <t xml:space="preserve">הצעת חוק שיפוט בתי דין רבניים (נישואין וגירושין) (תיקון - דרישת הסכמה בכתב), התשפ"א-2021</t>
  </si>
  <si>
    <t xml:space="preserve"> (פ/1146/24)</t>
  </si>
  <si>
    <t xml:space="preserve">הצעת חוק למניעת העסקה של עברייני מין במוסדות מסוימים (תיקון - הגדרת עבירת מין), התשפ"א-2021</t>
  </si>
  <si>
    <t xml:space="preserve"> (פ/1145/24)</t>
  </si>
  <si>
    <t xml:space="preserve">הצעת חוק העמותות (תיקון - הסדרת מעמדן של אגודות עותמאניות כעמותות רשומות), התשפ"א-2021</t>
  </si>
  <si>
    <t xml:space="preserve"> (פ/1144/24)</t>
  </si>
  <si>
    <t xml:space="preserve">הצעת חוק התקשורת (בזק ושידורים) (תיקון - התראת חיוב בהתקשרות לחוץ לארץ), התשפ"א-2021</t>
  </si>
  <si>
    <t xml:space="preserve"> (פ/1143/24)</t>
  </si>
  <si>
    <t xml:space="preserve">הצעת חוק הגנת הצרכן (תיקון - קביעת סכום מרבי לחיוב חשבון), התשפ"א-2021</t>
  </si>
  <si>
    <t xml:space="preserve"> (פ/1141/24)</t>
  </si>
  <si>
    <t xml:space="preserve"> (פ/1139/24)</t>
  </si>
  <si>
    <t xml:space="preserve">הצעת חוק ביטוח בריאות ממלכתי (תיקון - העברת מידע מלא בעת מעבר בין קופות החולים), התשפ"א-2021</t>
  </si>
  <si>
    <t xml:space="preserve"> (פ/1137/24)</t>
  </si>
  <si>
    <t xml:space="preserve">הצעת חוק התפלגות סיעה (תיקוני חקיקה), התשפ"א-2021</t>
  </si>
  <si>
    <t xml:space="preserve"> (פ/1136/24)</t>
  </si>
  <si>
    <t xml:space="preserve">הצעת חוק מועצת הצמחים (ייצור ושיווק) (תיקון - ביטול מועצת הצמחים), התשפ"א-2021</t>
  </si>
  <si>
    <t xml:space="preserve"> (פ/1135/24)</t>
  </si>
  <si>
    <t xml:space="preserve"> (פ/1134/24)</t>
  </si>
  <si>
    <t xml:space="preserve">הצעת חוק החזרתם של תושבי איקרית ובירעם לכפריהם, התשפ"א-2021</t>
  </si>
  <si>
    <t xml:space="preserve"> (פ/1133/24)</t>
  </si>
  <si>
    <t xml:space="preserve">הצעת חוק קירוב לבבות במערכת החינוך, התשפ"א-2021</t>
  </si>
  <si>
    <t xml:space="preserve"> (פ/1132/24)</t>
  </si>
  <si>
    <t xml:space="preserve"> (פ/1131/24)</t>
  </si>
  <si>
    <t xml:space="preserve"> (פ/1130/24)</t>
  </si>
  <si>
    <t xml:space="preserve">הצעת חוק ביטוח בריאות ממלכתי (תיקון - הגבלת מספר המטופלים אצל רופא משפחה), התשפ"א-2021</t>
  </si>
  <si>
    <t xml:space="preserve"> (פ/1129/24)</t>
  </si>
  <si>
    <t xml:space="preserve">הצעת חוק אימוץ ילדים (תיקון - כשירות המאמץ), התשפ"א-2021</t>
  </si>
  <si>
    <t xml:space="preserve"> (פ/1128/24)</t>
  </si>
  <si>
    <t xml:space="preserve">הצעת חוק נישואים אזרחיים, התשפ"א-2021</t>
  </si>
  <si>
    <t xml:space="preserve"> (פ/1127/24)</t>
  </si>
  <si>
    <t xml:space="preserve">הצעת חוק להגברת האכיפה של דיני העבודה (תיקון - עיצום כספי בשל אי-תשלום שכר שווה לעובדת ולעובד), התשפ"א-2021</t>
  </si>
  <si>
    <t xml:space="preserve"> (פ/1126/24)</t>
  </si>
  <si>
    <t xml:space="preserve">הצעת חוק סדר הדין הפלילי (חקירת חשודים) (תיקון - יידוע זכויות חשודים), התשפ"א-2021</t>
  </si>
  <si>
    <t xml:space="preserve"> (פ/1125/24)</t>
  </si>
  <si>
    <t xml:space="preserve">הצעת חוק להגברת האכיפה של דיני העבודה (תיקון - הפרת הוראות צווי הרחבה לעניין החזר הוצאות נסיעה), התשפ"א-2021</t>
  </si>
  <si>
    <t xml:space="preserve"> (פ/1124/24)</t>
  </si>
  <si>
    <t xml:space="preserve">הצעת חוק תקופת צינון לבכירים בשירות הציבורי (תיקוני חקיקה), התשפ"א-2021</t>
  </si>
  <si>
    <t xml:space="preserve"> (פ/1123/24)</t>
  </si>
  <si>
    <t xml:space="preserve">הצעת חוק חינוך ממלכתי (תיקון - חובת לימוד עברית וערבית), התשפ"א-2021</t>
  </si>
  <si>
    <t xml:space="preserve"> (פ/1122/24)</t>
  </si>
  <si>
    <t xml:space="preserve">הצעת חוק חובת שימוש חוזר במי מזגנים, התשפ"א-2021</t>
  </si>
  <si>
    <t xml:space="preserve"> (פ/1121/24)</t>
  </si>
  <si>
    <t xml:space="preserve">הצעת חוק שימוש חוזר במים אפורים, התשפ"א-2021</t>
  </si>
  <si>
    <t xml:space="preserve"> (פ/1120/24)</t>
  </si>
  <si>
    <t xml:space="preserve">הצעת חוק הסיוע המשפטי (תיקון - נפגעי עבירות מין), התשפ"א-2021</t>
  </si>
  <si>
    <t xml:space="preserve"> (פ/1119/24)</t>
  </si>
  <si>
    <t xml:space="preserve">הצעת חוק חובת הצגת תג זיהוי והזדהות של עובד ציבור, התשפ"א-2021</t>
  </si>
  <si>
    <t xml:space="preserve"> (פ/1118/24)</t>
  </si>
  <si>
    <t xml:space="preserve">הצעת חוק ההוצאה לפועל (תיקון - שכר עורך דין), התשפ"א-2021</t>
  </si>
  <si>
    <t xml:space="preserve"> (פ/1117/24)</t>
  </si>
  <si>
    <t xml:space="preserve">הצעת חוק למניעת הטרדה מינית (תיקון - הרחבת התחולה לגבי מוסד ציבורי הנותן שירות חיוני), התשפ"א-2021</t>
  </si>
  <si>
    <t xml:space="preserve"> (פ/1116/24)</t>
  </si>
  <si>
    <t xml:space="preserve">הצעת חוק הביטוח הלאומי (תיקון - הרחבת הזכאות למענק לימודים), התשפ"א-2021</t>
  </si>
  <si>
    <t xml:space="preserve"> (פ/1115/24)</t>
  </si>
  <si>
    <t xml:space="preserve"> (פ/1114/24)</t>
  </si>
  <si>
    <t xml:space="preserve"> (פ/1113/24)</t>
  </si>
  <si>
    <t xml:space="preserve">הצעת חוק זכויות הסטודנט (תיקון - פעילות ציבורית), התשפ"א-2021</t>
  </si>
  <si>
    <t xml:space="preserve"> (פ/1112/24)</t>
  </si>
  <si>
    <t xml:space="preserve"> (פ/1111/24)</t>
  </si>
  <si>
    <t xml:space="preserve"> (פ/1110/24)</t>
  </si>
  <si>
    <t xml:space="preserve">הצעת חוק-יסוד: הכנסת (תיקון - חובת התייצבות בוועדות הכנסת)</t>
  </si>
  <si>
    <t xml:space="preserve"> (פ/1109/24)</t>
  </si>
  <si>
    <t xml:space="preserve"> (פ/1108/24)</t>
  </si>
  <si>
    <t xml:space="preserve"> (פ/1107/24)</t>
  </si>
  <si>
    <t xml:space="preserve">הצעת חוק חג המצות (איסורי חמץ) (תיקון - ביטול החוק), התשפ"א-2021</t>
  </si>
  <si>
    <t xml:space="preserve"> (פ/1106/24)</t>
  </si>
  <si>
    <t xml:space="preserve">הצעת חוק ההוצאה לפועל (תיקון - הגבלת סכום עיקול בידי צד שלישי שהוא תאגיד בנקאי), התשפ"א-2021</t>
  </si>
  <si>
    <t xml:space="preserve"> (פ/1104/24)</t>
  </si>
  <si>
    <t xml:space="preserve">הצעת חוק הפעלת תחבורה ציבורית מצומצמת ביום המנוחה השבועי, התשפ"א-2021</t>
  </si>
  <si>
    <t xml:space="preserve"> (פ/1103/24)</t>
  </si>
  <si>
    <t xml:space="preserve">הצעת חוק זכויות הסטודנט (תיקון - חופש הביטוי וההתארגנות של סטודנטים), התשפ"א-2021</t>
  </si>
  <si>
    <t xml:space="preserve"> (פ/1102/24)</t>
  </si>
  <si>
    <t xml:space="preserve"> (פ/1101/24)</t>
  </si>
  <si>
    <t xml:space="preserve"> (פ/1099/24)</t>
  </si>
  <si>
    <t xml:space="preserve">הצעת חוק זכויות החולה (תיקון - איסור הפליה על בסיס מצב כלכלי), התשפ"א-2021</t>
  </si>
  <si>
    <t xml:space="preserve"> (פ/1098/24)</t>
  </si>
  <si>
    <t xml:space="preserve">הצעת חוק הביטוח הלאומי (תיקון - התאמת קצבת הסיעוד להעלאת שכר המינימום), התשפ"א-2021</t>
  </si>
  <si>
    <t xml:space="preserve"> (פ/1097/24)</t>
  </si>
  <si>
    <t xml:space="preserve">הצעת חוק הגבלת תקופת עסקה בעניין הגרלות או הימורים, התשפ"א-2021</t>
  </si>
  <si>
    <t xml:space="preserve"> (פ/1096/24)</t>
  </si>
  <si>
    <t xml:space="preserve">הצעת חוק הקרינה הבלתי מייננת (תיקון - תוספת מקורות קרינה שהקמתם והפעלתם אינה טעונה היתר), התשפ"א-2021</t>
  </si>
  <si>
    <t xml:space="preserve"> (פ/1095/24)</t>
  </si>
  <si>
    <t xml:space="preserve">הצעת חוק לתיקון פקודת בתי הסוהר (מס' 48) (ביטול החוק), התשפ"א-2021</t>
  </si>
  <si>
    <t xml:space="preserve"> (פ/1094/24)</t>
  </si>
  <si>
    <t xml:space="preserve">הצעת חוק העונשין (תיקון - החמרת הענישה בשל תקיפת עובדים סוציאליים), התשפ"א-2021 </t>
  </si>
  <si>
    <t xml:space="preserve"> (פ/1092/24)</t>
  </si>
  <si>
    <t xml:space="preserve">הצעת חוק לתיקון פקודת סדר הדין הפלילי (מעצר וחיפוש) (תנאים למסירת התפוס לפי צו), התשפ"א-2021</t>
  </si>
  <si>
    <t xml:space="preserve"> (פ/1091/24)</t>
  </si>
  <si>
    <t xml:space="preserve"> (פ/1090/24)</t>
  </si>
  <si>
    <t xml:space="preserve">הצעת חוק הפסקת שיטת ההעסקה הקבלנית, התשפ"א-2021</t>
  </si>
  <si>
    <t xml:space="preserve"> (פ/1089/24)</t>
  </si>
  <si>
    <t xml:space="preserve">הצעת חוק תרומת ביציות (תיקון - מימון הקפאת ביציות למטרת שמירת פוריות של התורמת), התשפ"א-2021</t>
  </si>
  <si>
    <t xml:space="preserve"> (פ/1088/24)</t>
  </si>
  <si>
    <t xml:space="preserve">הצעת חוק חסינות רבנים, התשפ"א-2021</t>
  </si>
  <si>
    <t xml:space="preserve"> (פ/1086/24)</t>
  </si>
  <si>
    <t xml:space="preserve">הצעת חוק לתיקון פקודת התעבורה (איסור עישון ברכב שנמצא בו קטין שטרם מלאו לו 15 שנים), התשפ"א-2021</t>
  </si>
  <si>
    <t xml:space="preserve"> (פ/1085/24)</t>
  </si>
  <si>
    <t xml:space="preserve">הצעת חוק אימוץ ילדים (תיקון - אימוץ על ידי הורה יחיד), התשפ"א-2021</t>
  </si>
  <si>
    <t xml:space="preserve"> (פ/1084/24)</t>
  </si>
  <si>
    <t xml:space="preserve">הצעת חוק הגנת הפרטיות (תיקון - איסור פרסום שמו של נפגע), התשפ"א-2021</t>
  </si>
  <si>
    <t xml:space="preserve"> (פ/1082/24)</t>
  </si>
  <si>
    <t xml:space="preserve">הצעת חוק לתיקון פקודת התעבורה (מרכז שירות ארצי לעניין כרטיס רב-קו), התשפ"א-2021</t>
  </si>
  <si>
    <t xml:space="preserve"> (פ/1081/24)</t>
  </si>
  <si>
    <t xml:space="preserve">הצעת חוק תאגידי מים וביוב (תיקון - ביטול סמכויות גבייה ואכיפה מיוחדות), התשפ"א-2021</t>
  </si>
  <si>
    <t xml:space="preserve"> (פ/1080/24)</t>
  </si>
  <si>
    <t xml:space="preserve">הצעת חוק התקנת מצלמות לשם פיקוח והגנה בחינוך המיוחד, התשפ"א-2021</t>
  </si>
  <si>
    <t xml:space="preserve"> (פ/1079/24)</t>
  </si>
  <si>
    <t xml:space="preserve">הצעת חוק תיעוד הדבקה של כתבי בית דין (תיקוני חקיקה), התשפ"א-2021</t>
  </si>
  <si>
    <t xml:space="preserve"> (פ/1077/24)</t>
  </si>
  <si>
    <t xml:space="preserve">הצעת חוק לתיקון פקודת התעבורה (הקמת מאגר אופניים ממונעים), התשפ"א-2021</t>
  </si>
  <si>
    <t xml:space="preserve"> (פ/1076/24)</t>
  </si>
  <si>
    <t xml:space="preserve">הצעת חוק הדיינים (תיקון - נציגי הוועדה לבחירת דיינים), התשפ"א-2021</t>
  </si>
  <si>
    <t xml:space="preserve"> (פ/1075/24)</t>
  </si>
  <si>
    <t xml:space="preserve">הצעת חוק השירות הצבאי או האזרחי, התשפ"א-2021</t>
  </si>
  <si>
    <t xml:space="preserve"> (פ/1074/24)</t>
  </si>
  <si>
    <t xml:space="preserve">הצעת חוק מס ערך מוסף (תיקון - שיעור מס אפס על מוצרי יסוד ותרופות), התשפ"א-2021</t>
  </si>
  <si>
    <t xml:space="preserve"> (פ/1073/24)</t>
  </si>
  <si>
    <t xml:space="preserve"> (פ/1072/24)</t>
  </si>
  <si>
    <t xml:space="preserve"> (פ/1071/24)</t>
  </si>
  <si>
    <t xml:space="preserve">הצעת חוק למניעת הטרדה מינית (תיקון - הטלת חובות לשם מניעת הטרדה מינית במוסד חינוך), התשפ"א-2021</t>
  </si>
  <si>
    <t xml:space="preserve"> (פ/1070/24)</t>
  </si>
  <si>
    <t xml:space="preserve">הצעת חוק מגן דוד אדום (תיקון - פריסת ניידות טיפול נמרץ ברחבי המדינה), התשפ"א-2021</t>
  </si>
  <si>
    <t xml:space="preserve"> (פ/1069/24)</t>
  </si>
  <si>
    <t xml:space="preserve"> (פ/1068/24)</t>
  </si>
  <si>
    <t xml:space="preserve">הצעת חוק הבחירות לכנסת (תיקון - ביטול אחוז החסימה ותיקון הסכמי עודפים), התשפ"א-2021</t>
  </si>
  <si>
    <t xml:space="preserve"> (פ/1067/24)</t>
  </si>
  <si>
    <t xml:space="preserve">הצעת חוק פסילת חבר מועצה מועמד למלא מקום ראש רשות מקומית שהושעה בשל הגשת כתב אישום (תיקוני חקיקה), התשפ"א-2021</t>
  </si>
  <si>
    <t xml:space="preserve"> (פ/1066/24)</t>
  </si>
  <si>
    <t xml:space="preserve">הצעת חוק העונשין (תיקון - הסתה לגזענות), התשפ"א-2021</t>
  </si>
  <si>
    <t xml:space="preserve"> (פ/1065/24)</t>
  </si>
  <si>
    <t xml:space="preserve">הצעת חוק הרשויות המקומיות (בחירת ראש הרשות וסגניו וכהונתם) (תיקון - בחירת חבר מועצה למילוי מקום ראש רשות וסגניו), התשפ"א-2021</t>
  </si>
  <si>
    <t xml:space="preserve"> (פ/1064/24)</t>
  </si>
  <si>
    <t xml:space="preserve">הצעת חוק להסדרת ההימורים החוקיים בישראל, התשפ"א-2021</t>
  </si>
  <si>
    <t xml:space="preserve"> (פ/1063/24)</t>
  </si>
  <si>
    <t xml:space="preserve">הצעת חוק העונשין (תיקון - איסור על עבירות נלוות לחשפנות לצורך גירוי מיני), התשפ"א-2021</t>
  </si>
  <si>
    <t xml:space="preserve"> (פ/1062/24)</t>
  </si>
  <si>
    <t xml:space="preserve">הצעת חוק למניעת הטרדה מינית (תיקון - דין התפטרות עקב הטרדה מינית או התנכלות כפיטורין), התשפ"א-2021</t>
  </si>
  <si>
    <t xml:space="preserve"> (פ/1061/24)</t>
  </si>
  <si>
    <t xml:space="preserve">הצעת חוק הסדרים במשק המדינה (תיקוני חקיקה להשגת יעדי התקציב) (תיקון - פטור מארנונה לנשים ששהו במקלט לנשים מוכות), התשפ"א-2021</t>
  </si>
  <si>
    <t xml:space="preserve"> (פ/1060/24)</t>
  </si>
  <si>
    <t xml:space="preserve">הצעת חוק שירות המדינה (מינויים) (תיקון - חובת פרסום שאלון לאיתור חשש לניגוד עניינים), התשפ"א-2021</t>
  </si>
  <si>
    <t xml:space="preserve"> (פ/1059/24)</t>
  </si>
  <si>
    <t xml:space="preserve">הצעת חוק ביטול עונש המוות (תיקוני חקיקה), התשפ"א-2021</t>
  </si>
  <si>
    <t xml:space="preserve"> (פ/1058/24)</t>
  </si>
  <si>
    <t xml:space="preserve"> (פ/1057/24)</t>
  </si>
  <si>
    <t xml:space="preserve">הצעת חוק לתיקון פקודת הסטטיסטיקה (סטטיסטיקה לפי מגדר), התשפ"א-2021</t>
  </si>
  <si>
    <t xml:space="preserve"> (פ/1056/24)</t>
  </si>
  <si>
    <t xml:space="preserve"> (פ/1055/24)</t>
  </si>
  <si>
    <t xml:space="preserve"> (פ/1054/24)</t>
  </si>
  <si>
    <t xml:space="preserve">הצעת חוק חנינה, הפסקת הליכים ומחיקת רישומים בעבירות קורונה, התשפ"א-2021</t>
  </si>
  <si>
    <t xml:space="preserve"> (פ/1051/24)</t>
  </si>
  <si>
    <t xml:space="preserve">18.05.2021</t>
  </si>
  <si>
    <t xml:space="preserve">הצעת חוק הקמת ועדת חקירה ציבורית לאירועי אסון הילולת הרשב"י בהר מירון, התשפ"א-2021</t>
  </si>
  <si>
    <t xml:space="preserve"> (פ/1050/24)</t>
  </si>
  <si>
    <t xml:space="preserve">הצעת חוק העונשין (תיקון - הארכת התיישנות בעבירות מין שבוצעו במסגרת הנישואין), התשפ"א-2021</t>
  </si>
  <si>
    <t xml:space="preserve"> (פ/1049/24)</t>
  </si>
  <si>
    <t xml:space="preserve">הצעת חוק המרכז לגביית קנסות, אגרות והוצאות (תיקון - גביית חובות עבור רשות המים הארצית), התשפ"א-2021</t>
  </si>
  <si>
    <t xml:space="preserve"> (פ/1048/24)</t>
  </si>
  <si>
    <t xml:space="preserve">הצעת חוק שירות ביטחון (תיקון - מינוי קצינה לקידום נשים לתפקידים בכירים ויצירת מסלולים לקידום קצינות בדרג הבכיר), התשפ"א-2021</t>
  </si>
  <si>
    <t xml:space="preserve"> (פ/1047/24)</t>
  </si>
  <si>
    <t xml:space="preserve">הצעת חוק דמי ביטוח לאומי ודמי ביטוח בריאות מופחתים למי שיצא לפרישה מוקדמת (תיקוני חקיקה), התשפ"א-2021</t>
  </si>
  <si>
    <t xml:space="preserve"> (פ/1046/24)</t>
  </si>
  <si>
    <t xml:space="preserve"> (פ/1045/24)</t>
  </si>
  <si>
    <t xml:space="preserve">הצעת חוק העונשין (תיקון - איסור שידול קטינים לחזרה בתשובה), התשפ"א-2021</t>
  </si>
  <si>
    <t xml:space="preserve"> (פ/1043/24)</t>
  </si>
  <si>
    <t xml:space="preserve">הצעת חוק החברות (תיקון - הגבלת כהונת דירקטור לשלוש חברות), התשפ"א-2021</t>
  </si>
  <si>
    <t xml:space="preserve"> (פ/1042/24)</t>
  </si>
  <si>
    <t xml:space="preserve">הצעת חוק האזרחות והכניסה לישראל (הוראת שעה) (תיקון - איסור הארכת החוק באמצעות צו ושינוי קריטריונים), התשפ"א-2021</t>
  </si>
  <si>
    <t xml:space="preserve"> (פ/1041/24)</t>
  </si>
  <si>
    <t xml:space="preserve">הצעת חוק הגנה על עובדים בשעת חירום (תיקון - תשלום שכר בעד היעדרות בשל ביטול יום לימודים במוסד חינוך), התשפ"א-2021</t>
  </si>
  <si>
    <t xml:space="preserve"> (פ/1040/24)</t>
  </si>
  <si>
    <t xml:space="preserve"> (פ/1039/24)</t>
  </si>
  <si>
    <t xml:space="preserve">הצעת חוק העונשין (תיקון - עבירות מין על ידי בן משפחה פונקציונאלי), התשפ"א-2021</t>
  </si>
  <si>
    <t xml:space="preserve"> (פ/1038/24)</t>
  </si>
  <si>
    <t xml:space="preserve">הצעת חוק זכויות חברתיות ושירותי רווחה לאנשים עם אוטיזם, התשפ"א-2021</t>
  </si>
  <si>
    <t xml:space="preserve"> (פ/1037/24)</t>
  </si>
  <si>
    <t xml:space="preserve">הצעת חוק לתיקון דיני הראיות (הגנת ילדים) (תיקון - הרחבת ההסדרים הקבועים בחוק לילדים אשר עברו את גיל 14 במועד העדות), התשפ"א-2021</t>
  </si>
  <si>
    <t xml:space="preserve"> (פ/1036/24)</t>
  </si>
  <si>
    <t xml:space="preserve">הצעת חוק הגישור, התשפ"א-2021</t>
  </si>
  <si>
    <t xml:space="preserve"> (פ/1035/24)</t>
  </si>
  <si>
    <t xml:space="preserve">הצעת חוק העונשין (תיקון - אחראי על קטין או חסר ישע לעניין חובת הדיווח), התשפ"א-2021</t>
  </si>
  <si>
    <t xml:space="preserve"> (פ/1034/24)</t>
  </si>
  <si>
    <t xml:space="preserve">הצעת חוק העונשין (תיקון - חובת דיווח של איש דת או טוען רבני), התשפ"א-2021</t>
  </si>
  <si>
    <t xml:space="preserve"> (פ/1033/24)</t>
  </si>
  <si>
    <t xml:space="preserve">הצעת חוק העונשין (תיקון - חובת פיצוי נפגע עבירה וחובת הנמקה), התשפ"א-2021</t>
  </si>
  <si>
    <t xml:space="preserve"> (פ/1032/24)</t>
  </si>
  <si>
    <t xml:space="preserve">הצעת חוק הסניגוריה הציבורית (תיקון - ליווי משפטי בשפת חשוד שהוא קטין), התשפ"א-2021</t>
  </si>
  <si>
    <t xml:space="preserve"> (פ/1031/24)</t>
  </si>
  <si>
    <t xml:space="preserve">הצעת חוק הביטוח הלאומי (תיקון - הודעה לפני גביית חוב), התשפ"א-2021</t>
  </si>
  <si>
    <t xml:space="preserve"> (פ/1030/24)</t>
  </si>
  <si>
    <t xml:space="preserve"> (פ/1029/24)</t>
  </si>
  <si>
    <t xml:space="preserve">הצעת חוק-יסוד: נשיא המדינה (תיקון - ייחוד כהונה)</t>
  </si>
  <si>
    <t xml:space="preserve"> (פ/1028/24)</t>
  </si>
  <si>
    <t xml:space="preserve">הצעת חוק ביטול סמכות הוועדה המרכזית למניעת השתתפות בבחירות (תיקוני חקיקה), התשפ"א-2021</t>
  </si>
  <si>
    <t xml:space="preserve"> (פ/1027/24)</t>
  </si>
  <si>
    <t xml:space="preserve">הצעת חוק איסור הפליה בדיור, התשפ"א-2021</t>
  </si>
  <si>
    <t xml:space="preserve"> (פ/1026/24)</t>
  </si>
  <si>
    <t xml:space="preserve">הצעת חוק השכירות והשאילה (תיקון - הגבלה על העלאת דמי השכירות), התשפ"א-2021</t>
  </si>
  <si>
    <t xml:space="preserve"> (פ/1025/24)</t>
  </si>
  <si>
    <t xml:space="preserve">הצעת חוק השיפוט הצבאי (תיקון - וידוא הריגה), התשפ"א-2021</t>
  </si>
  <si>
    <t xml:space="preserve"> (פ/1024/24)</t>
  </si>
  <si>
    <t xml:space="preserve">הצעת חוק החברות הממשלתיות (תיקון - חובת דיווח חברתי-סביבתי), התשפ"א-2021</t>
  </si>
  <si>
    <t xml:space="preserve"> (פ/1021/24)</t>
  </si>
  <si>
    <t xml:space="preserve">הצעת חוק העונשין (תיקון - הגנה עצמית מפני בקבוק תבערה), התשפ"א-2021</t>
  </si>
  <si>
    <t xml:space="preserve"> (פ/1020/24)</t>
  </si>
  <si>
    <t xml:space="preserve">הצעת חוק היקף משרתה של עובדת הוראה לעניין קבלה למעון יום והשתתפות בעלות שכר לימוד במעון יום, התשפ"א-2021 </t>
  </si>
  <si>
    <t xml:space="preserve"> (פ/1018/24)</t>
  </si>
  <si>
    <t xml:space="preserve">הצעת חוק היועץ המשפטי לראש הממשלה (מינוי וכהונה), התשפ"א-2021</t>
  </si>
  <si>
    <t xml:space="preserve"> (פ/1017/24)</t>
  </si>
  <si>
    <t xml:space="preserve">הצעת חוק הגנה על עיתונאים (תיקוני חקיקה), התשפ"א-2021</t>
  </si>
  <si>
    <t xml:space="preserve"> (פ/1016/24)</t>
  </si>
  <si>
    <t xml:space="preserve"> (פ/1015/24)</t>
  </si>
  <si>
    <t xml:space="preserve">הצעת חוק שיפוט בתי דין רבניים (נישואין וגירושין) (תיקון - איסור ביטול גיור), התשפ"א-2021</t>
  </si>
  <si>
    <t xml:space="preserve"> (פ/1014/24)</t>
  </si>
  <si>
    <t xml:space="preserve">הצעת חוק סיוע למשפחות שבראשן הורה עצמאי (תיקון - הרחבת תחולה), התשפ"א-2021</t>
  </si>
  <si>
    <t xml:space="preserve"> (פ/1013/24)</t>
  </si>
  <si>
    <t xml:space="preserve">הצעת חוק הבחירות לכנסת (תיקון - ביטול עקרון הריתוק לקלפי), התשפ"א-2021</t>
  </si>
  <si>
    <t xml:space="preserve"> (פ/1012/24)</t>
  </si>
  <si>
    <t xml:space="preserve">הצעת חוק הליך טיפול מזורז על ידי גוף ציבורי בחולה הנוטה למות, התשפ"א-2021</t>
  </si>
  <si>
    <t xml:space="preserve"> (פ/1011/24)</t>
  </si>
  <si>
    <t xml:space="preserve"> (פ/1010/24)</t>
  </si>
  <si>
    <t xml:space="preserve"> (פ/1009/24)</t>
  </si>
  <si>
    <t xml:space="preserve">הצעת חוק הכללת אמצעי זיהוי ביומטריים ונתוני זיהוי ביומטריים במסמכי זיהוי ובמאגר מידע (תיקון - ביטול המאגר הביומטרי), התשפ"א-2021</t>
  </si>
  <si>
    <t xml:space="preserve"> (פ/1008/24)</t>
  </si>
  <si>
    <t xml:space="preserve">הצעת חוק איסור שימוש בסוסים לשם פיזור התקהלויות, התשפ"א-2021</t>
  </si>
  <si>
    <t xml:space="preserve"> (פ/1007/24)</t>
  </si>
  <si>
    <t xml:space="preserve">הצעת חוק ביטוח בריאות ממלכתי (תיקון - תוספת שנתית לסל שירותי הבריאות), התשפ"א-2021</t>
  </si>
  <si>
    <t xml:space="preserve"> (פ/1006/24)</t>
  </si>
  <si>
    <t xml:space="preserve">הצעת חוק העונשין (תיקון - סחר בבני אדם למטרות נישואין), התשפ"א-2021</t>
  </si>
  <si>
    <t xml:space="preserve"> (פ/1005/24)</t>
  </si>
  <si>
    <t xml:space="preserve">הצעת חוק-יסוד: השפיטה (תיקון - מינוי חברי הכנסת לוועדה לבחירת שופטים)</t>
  </si>
  <si>
    <t xml:space="preserve"> (פ/1004/24)</t>
  </si>
  <si>
    <t xml:space="preserve"> (פ/1003/24)</t>
  </si>
  <si>
    <t xml:space="preserve"> (פ/1002/24)</t>
  </si>
  <si>
    <t xml:space="preserve"> (פ/1001/24)</t>
  </si>
  <si>
    <t xml:space="preserve">הצעת חוק זכויות נפגעי עבירה (תיקון - הרחבת זכויות נפגעי עבירות מין למידע על הליכים משפטיים), התשפ"א-2021</t>
  </si>
  <si>
    <t xml:space="preserve"> (פ/1000/24)</t>
  </si>
  <si>
    <t xml:space="preserve"> (פ/999/24)</t>
  </si>
  <si>
    <t xml:space="preserve"> (פ/998/24)</t>
  </si>
  <si>
    <t xml:space="preserve">הצעת חוק איסור הפליה בשל מין, נטיה מינית או זהות מגדרית (תיקוני חקיקה), התשפ"א-2021</t>
  </si>
  <si>
    <t xml:space="preserve"> (פ/997/24)</t>
  </si>
  <si>
    <t xml:space="preserve">הצעת חוק ההוצאה לפועל (תיקון - חייבים מוגנים), התשפ"א-2021</t>
  </si>
  <si>
    <t xml:space="preserve"> (פ/996/24)</t>
  </si>
  <si>
    <t xml:space="preserve">הצעת חוק הגנת הפרטיות (תיקון - מינוי נציג רשמי), התשפ"א-2021</t>
  </si>
  <si>
    <t xml:space="preserve"> (פ/995/24)</t>
  </si>
  <si>
    <t xml:space="preserve">הצעת חוק זכויות נפגעי עבירה (תיקון - מרכזי טיפול ייעודיים לנפגעות ונפגעי עבירות מין בגירים), התשפ"א-2021</t>
  </si>
  <si>
    <t xml:space="preserve"> (פ/994/24)</t>
  </si>
  <si>
    <t xml:space="preserve">הצעת חוק הגנה על הציבור מפני ביצוע עבירות מין ( תיקון - מתן טיפול שיקום מונע ללא הרשעה), התשפ"א-2021</t>
  </si>
  <si>
    <t xml:space="preserve"> (פ/992/24)</t>
  </si>
  <si>
    <t xml:space="preserve">הצעת חוק הגנת הפרטיות (תיקון - פרטיות קטינים), התשפ"א-2021</t>
  </si>
  <si>
    <t xml:space="preserve"> (פ/991/24)</t>
  </si>
  <si>
    <t xml:space="preserve">הצעת חוק הפעלת תחבורה ציבורית בשבת, התשפ"א-2021</t>
  </si>
  <si>
    <t xml:space="preserve"> (פ/990/24)</t>
  </si>
  <si>
    <t xml:space="preserve">הצעת חוק העונשין (תיקון - ביטול האפשרות למאסר במקום קנס) (הוראת שעה), התשפ"א-2021</t>
  </si>
  <si>
    <t xml:space="preserve"> (פ/989/24)</t>
  </si>
  <si>
    <t xml:space="preserve">הצעת חוק בתי המשפט (תיקון - תקופת צינון במועמדות חבר כנסת או שר למשרת שופט), התשפ"א-2021</t>
  </si>
  <si>
    <t xml:space="preserve"> (פ/987/24)</t>
  </si>
  <si>
    <t xml:space="preserve"> (פ/986/24)</t>
  </si>
  <si>
    <t xml:space="preserve"> (פ/985/24)</t>
  </si>
  <si>
    <t xml:space="preserve">הצעת חוק הביטוח הלאומי (תיקון - זכאות לדמי אבטלה מגיל 18), התשפ"א-2021</t>
  </si>
  <si>
    <t xml:space="preserve"> (פ/984/24)</t>
  </si>
  <si>
    <t xml:space="preserve">הצעת חוק הביטוח הלאומי (תיקון - תוספת קצבה לנכים מונשמים), התשפ"א-2021</t>
  </si>
  <si>
    <t xml:space="preserve"> (פ/983/24)</t>
  </si>
  <si>
    <t xml:space="preserve">הצעת חוק לתיקון פקודת סדרי השלטון והמשפט (יום האישה הבינלאומי), התשפ"א-2021</t>
  </si>
  <si>
    <t xml:space="preserve"> (פ/982/24)</t>
  </si>
  <si>
    <t xml:space="preserve">הצעת חוק שוויון זכויות לאנשים עם מוגבלות (תיקון - הוראות לעניין מוסד על-תיכוני להשכלה תורנית או דתית), התשפ"א-2021</t>
  </si>
  <si>
    <t xml:space="preserve"> (פ/981/24)</t>
  </si>
  <si>
    <t xml:space="preserve"> (פ/980/24)</t>
  </si>
  <si>
    <t xml:space="preserve">הצעת חוק חישוב דרגת הזכאות של מורה להשתתפות המדינה בדמי ההחזקה לילד במעונות יום ובמשפחתונים, התשפ"א-2021</t>
  </si>
  <si>
    <t xml:space="preserve"> (פ/979/24)</t>
  </si>
  <si>
    <t xml:space="preserve">הצעת חוק-יסוד: הכנסת (תיקון - גיל הבוחר)</t>
  </si>
  <si>
    <t xml:space="preserve"> (פ/977/24)</t>
  </si>
  <si>
    <t xml:space="preserve">הצעת חוק ביטוח בריאות ממלכתי (תיקון - אשפוז בית), התשפ"א-2021</t>
  </si>
  <si>
    <t xml:space="preserve"> (פ/976/24)</t>
  </si>
  <si>
    <t xml:space="preserve">הצעת חוק שירות המדינה (משמעת) (תיקון - הארכת תקופת ההתיישנות בהטרדות מיניות), התשפ"א-2021</t>
  </si>
  <si>
    <t xml:space="preserve"> (פ/975/24)</t>
  </si>
  <si>
    <t xml:space="preserve"> (פ/974/24)</t>
  </si>
  <si>
    <t xml:space="preserve"> (פ/973/24)</t>
  </si>
  <si>
    <t xml:space="preserve">הצעת חוק למניעת הטרדה מינית (תיקון - הטרדת קטין), התשפ"א-2021</t>
  </si>
  <si>
    <t xml:space="preserve"> (פ/972/24)</t>
  </si>
  <si>
    <t xml:space="preserve">הצעת חוק לתיקון פקודת הבנקאות (הסכם הלוואה לדיור ללא עמלת היוון בשל פירעון מוקדם), התשפ"א-2021</t>
  </si>
  <si>
    <t xml:space="preserve"> (פ/971/24)</t>
  </si>
  <si>
    <t xml:space="preserve"> (פ/969/24)</t>
  </si>
  <si>
    <t xml:space="preserve">הצעת חוק הפיקוח על שירותים פיננסיים (עיסוק בייעוץ מימון דיור), התשפ"א-2021</t>
  </si>
  <si>
    <t xml:space="preserve"> (פ/967/24)</t>
  </si>
  <si>
    <t xml:space="preserve"> (פ/966/24)</t>
  </si>
  <si>
    <t xml:space="preserve">הצעת חוק הביטוח הלאומי (תיקון - נכה שהגיע לגיל פרישה), התשפ"א-2021</t>
  </si>
  <si>
    <t xml:space="preserve"> (פ/965/24)</t>
  </si>
  <si>
    <t xml:space="preserve">הצעת חוק איסור הונאה בכשרות (תיקון - כשרות לבית אוכל שאינו מחלל שבת), התשפ"א-2021</t>
  </si>
  <si>
    <t xml:space="preserve"> (פ/964/24)</t>
  </si>
  <si>
    <t xml:space="preserve">הצעת חוק זכויות נפגעי עבירה (תיקון - זכויות בהליך בפני שופט מגשר), התשפ"א-2021</t>
  </si>
  <si>
    <t xml:space="preserve"> (פ/963/24)</t>
  </si>
  <si>
    <t xml:space="preserve">הצעת חוק הגנה על עובדים בעת אירוע חירום אזרחי, התשפ"א-2021</t>
  </si>
  <si>
    <t xml:space="preserve"> (פ/962/24)</t>
  </si>
  <si>
    <t xml:space="preserve">הצעת חוק הביטוח הלאומי (תיקון - ביטול דרישה לחתימת הורים כתנאי למשיכת כספי החיסכון), התשפ"א-2021</t>
  </si>
  <si>
    <t xml:space="preserve"> (פ/961/24)</t>
  </si>
  <si>
    <t xml:space="preserve"> (פ/960/24)</t>
  </si>
  <si>
    <t xml:space="preserve">הצעת חוק סדר הדין הפלילי (תיקון - ביטול האיסור המוטל על המשטרה למסור לפרקליטות עמדה בכתב לעניין מכלול התשתית הראייתית לביסוס אשמה נגד חשודים בחקירה), התשפ"א-2021</t>
  </si>
  <si>
    <t xml:space="preserve"> (פ/959/24)</t>
  </si>
  <si>
    <t xml:space="preserve">הצעת חוק שירותי הדת היהודיים (תיקון - פיזור מועצה דתית בידי מועצת הרשות המקומית), התשפ"א-2021</t>
  </si>
  <si>
    <t xml:space="preserve"> (פ/958/24)</t>
  </si>
  <si>
    <t xml:space="preserve">הצעת חוק העונשין (תיקון - תקיפת איש כוחות הביטחון וההצלה), התשפ"א-2021</t>
  </si>
  <si>
    <t xml:space="preserve"> (פ/957/24)</t>
  </si>
  <si>
    <t xml:space="preserve"> (פ/956/24)</t>
  </si>
  <si>
    <t xml:space="preserve"> (פ/955/24)</t>
  </si>
  <si>
    <t xml:space="preserve">הצעת חוק הוועדה לטיפול במשפחות נעדרים אזרחיים, התשפ"א-2021</t>
  </si>
  <si>
    <t xml:space="preserve"> (פ/954/24)</t>
  </si>
  <si>
    <t xml:space="preserve">הצעת חוק לקידום שירותי הרפואה בעיר אילת (תיקוני חקיקה), התשפ"א-2021</t>
  </si>
  <si>
    <t xml:space="preserve"> (פ/953/24)</t>
  </si>
  <si>
    <t xml:space="preserve">הצעת חוק הביטוח הלאומי (תיקון - מענק פטירה להורה של נכה), התשפ"א-2021</t>
  </si>
  <si>
    <t xml:space="preserve"> (פ/952/24)</t>
  </si>
  <si>
    <t xml:space="preserve">הצעת חוק יחסי ממון בין בני זוג (תיקון - איסור פגיעה בזכות לאיזון בעת פקיעת הנישואין בנסיבות של חוסר נאמנות מינית), התשפ"א-2021</t>
  </si>
  <si>
    <t xml:space="preserve"> (פ/951/24)</t>
  </si>
  <si>
    <t xml:space="preserve">הצעת חוק לשכת עורכי הדין (תיקון - הכשרה למקצוע), התשפ"א-2021</t>
  </si>
  <si>
    <t xml:space="preserve"> (פ/950/24)</t>
  </si>
  <si>
    <t xml:space="preserve">הצעת חוק לתיקון פקודת מס הכנסה (החזר בתשלום למעונות יום לאמהות), התשפ"א-2021</t>
  </si>
  <si>
    <t xml:space="preserve"> (פ/949/24)</t>
  </si>
  <si>
    <t xml:space="preserve"> (פ/948/24)</t>
  </si>
  <si>
    <t xml:space="preserve">הצעת חוק סדר הדין הפלילי (סמכויות אכיפה - מעצרים) (תיקון - מעצר אדם שנאשם בסיכון בטחונו של בעל חיים), התשפ"א-2021</t>
  </si>
  <si>
    <t xml:space="preserve"> (פ/947/24)</t>
  </si>
  <si>
    <t xml:space="preserve">הצעת חוק לתיקון פקודת העיריות (חיזוק שלטון החוק וטוהר המידות בשלטון המקומי), התשפ"א-2021</t>
  </si>
  <si>
    <t xml:space="preserve"> (פ/946/24)</t>
  </si>
  <si>
    <t xml:space="preserve">הצעת חוק הבטחת הכנסה (תיקון - זכויות נשים ששהו במקלט לנשים מוכות), התשפ"א-2021</t>
  </si>
  <si>
    <t xml:space="preserve"> (פ/945/24)</t>
  </si>
  <si>
    <t xml:space="preserve">הצעת חוק הביטוח הלאומי (תיקון - ביטול מעמד עקרת הבית), התשפ"א-2021</t>
  </si>
  <si>
    <t xml:space="preserve"> (פ/943/24)</t>
  </si>
  <si>
    <t xml:space="preserve">הצעת חוק עבודת נשים (תיקון - חלוקת תקופת הלידה וההורות בין סטודנטית לבן זוגה), התשפ"א-2021</t>
  </si>
  <si>
    <t xml:space="preserve"> (פ/942/24)</t>
  </si>
  <si>
    <t xml:space="preserve">הצעת חוק העונשין (תיקון - מרמה והפרת אמונים), התשפ"א-2021</t>
  </si>
  <si>
    <t xml:space="preserve"> (פ/941/24)</t>
  </si>
  <si>
    <t xml:space="preserve">הצעת חוק ביטוח בריאות ממלכתי (תיקון - החזר עבור פינוי באמבולנס מבית הספר בשל התקף אנפילקסיס), התשפ"א-2021</t>
  </si>
  <si>
    <t xml:space="preserve"> (פ/939/24)</t>
  </si>
  <si>
    <t xml:space="preserve">הצעת חוק ביטוח בריאות ממלכתי (תיקון - תוספת שנתית קבועה לסל שירותי הבריאות לצורך הוספת תרופות, מכשור וטכנולוגיות רפואיות חדשות), התשפ"א-2021</t>
  </si>
  <si>
    <t xml:space="preserve"> (פ/938/24)</t>
  </si>
  <si>
    <t xml:space="preserve">הצעת חוק עבודת נשים (תיקון - חישוב ימי מחלה בתקופת היריון), התשפ"א-2021 </t>
  </si>
  <si>
    <t xml:space="preserve"> (פ/937/24)</t>
  </si>
  <si>
    <t xml:space="preserve">הצעת חוק עובדים זרים (תיקון - הפחתת הפרשת מעסיק לפיקדון עבור עובד זר שהוא מסתנן), התשפ"א-2021</t>
  </si>
  <si>
    <t xml:space="preserve"> (פ/936/24)</t>
  </si>
  <si>
    <t xml:space="preserve">הצעת חוק מעמד ותיקי מלחמת העולם השנייה (תיקון - מענק הטבות לוותיק מלחמה), התשפ"א-2021</t>
  </si>
  <si>
    <t xml:space="preserve"> (פ/935/24)</t>
  </si>
  <si>
    <t xml:space="preserve">הצעת חוק הפיקוח על שירותים פיננסיים (קופות גמל) (תיקון - שלילת זכאות לקצבאות ולפיצויי פיטורים עקב ביצוע פעילות טרור), התשפ"א-2021</t>
  </si>
  <si>
    <t xml:space="preserve"> (פ/934/24)</t>
  </si>
  <si>
    <t xml:space="preserve">הצעת חוק הטבות לניצולי שואה (תיקון - הגדלת מענק שנתי), התשפ"א-2021</t>
  </si>
  <si>
    <t xml:space="preserve"> (פ/933/24)</t>
  </si>
  <si>
    <t xml:space="preserve">הצעת חוק תרומת זרע, התשפ"א-2021</t>
  </si>
  <si>
    <t xml:space="preserve"> (פ/932/24)</t>
  </si>
  <si>
    <t xml:space="preserve">הצעת חוק האזרחים הוותיקים (תיקון - סל תרבות לאזרחים ותיקים עצמאיים המתגוררים בהוסטלים, מקבצי דיור או בתי דיור מוגן), התשפ"א-2021</t>
  </si>
  <si>
    <t xml:space="preserve"> (פ/931/24)</t>
  </si>
  <si>
    <t xml:space="preserve">הצעת חוק-יסוד: מבקר המדינה (תיקון - כשירות מועמדים לכהונה כמבקר המדינה)</t>
  </si>
  <si>
    <t xml:space="preserve"> (פ/930/24)</t>
  </si>
  <si>
    <t xml:space="preserve"> (פ/929/24)</t>
  </si>
  <si>
    <t xml:space="preserve">הצעת חוק הביטוח הלאומי (תיקון - הטבות למי שמקבל גמלה לפי חוק הביטוח הלאומי וקיבל גמלת הבטחת הכנסה), התשפ"א-2021</t>
  </si>
  <si>
    <t xml:space="preserve"> (פ/928/24)</t>
  </si>
  <si>
    <t xml:space="preserve">הצעת חוק לתיקון פקודת העיריות (עידוד נשים בעסקים), התשפ"א-2021</t>
  </si>
  <si>
    <t xml:space="preserve"> (פ/927/24)</t>
  </si>
  <si>
    <t xml:space="preserve">הצעת חוק החזר הוצאות כספיות בגין עריכת נישואין אזרחיים בחוץ לארץ למי שאינם רשאים להינשא בישראל על פי דיני המדינה, התשפ"א-2021</t>
  </si>
  <si>
    <t xml:space="preserve"> (פ/926/24)</t>
  </si>
  <si>
    <t xml:space="preserve">הצעת חוק לשכת עורכי הדין (תיקון - הנחיות למתן ציונים במבחני הסמכה) (הוראת שעה), התשפ"א-2021</t>
  </si>
  <si>
    <t xml:space="preserve"> (פ/925/24)</t>
  </si>
  <si>
    <t xml:space="preserve">הצעת חוק לתיקון פקודת בריאות העם (אישור ועדת העבודה, הרווחה והבריאות בפריסת רישיונות למכשור רפואי), התשפ"א-2021</t>
  </si>
  <si>
    <t xml:space="preserve"> (פ/924/24)</t>
  </si>
  <si>
    <t xml:space="preserve">הצעת חוק הפיקוח על יצוא ביטחוני (תיקון - הגבלות על ייצוא ביטחוני), התשפ"א-2021</t>
  </si>
  <si>
    <t xml:space="preserve"> (פ/923/24)</t>
  </si>
  <si>
    <t xml:space="preserve">הצעת חוק הקמת רשות לפיתוח מקומות קדושים למוסלמים, התשפ"א-2021</t>
  </si>
  <si>
    <t xml:space="preserve"> (פ/922/24)</t>
  </si>
  <si>
    <t xml:space="preserve"> (פ/920/24)</t>
  </si>
  <si>
    <t xml:space="preserve">הצעת חוק המקרקעין (תיקון - התקנת תשתית ועמדת טעינה לרכב חשמלי), התשפ"א-2021</t>
  </si>
  <si>
    <t xml:space="preserve"> (פ/919/24)</t>
  </si>
  <si>
    <t xml:space="preserve">הצעת חוק אסדרת שוק הקנאביס לצריכה עצמית, התשפ"א-2021</t>
  </si>
  <si>
    <t xml:space="preserve"> (פ/918/24)</t>
  </si>
  <si>
    <t xml:space="preserve">הצעת חוק האזרחים הוותיקים (תיקון - הנחה בארנונה לאזרח ותיק המתגורר בדירה שאינה בהחזקתו), התשפ"א-2021</t>
  </si>
  <si>
    <t xml:space="preserve"> (פ/917/24)</t>
  </si>
  <si>
    <t xml:space="preserve"> (פ/916/24)</t>
  </si>
  <si>
    <t xml:space="preserve">הצעת חוק הוראות לעניין עובד שלא התחסן (תיקוני חקיקה), התשפ"א-2021</t>
  </si>
  <si>
    <t xml:space="preserve"> (פ/915/24)</t>
  </si>
  <si>
    <t xml:space="preserve">הצעת חוק הגנת השכר (תיקון - פיצויי פיטורים בזמן אמת), התשפ"א-2021</t>
  </si>
  <si>
    <t xml:space="preserve"> (פ/914/24)</t>
  </si>
  <si>
    <t xml:space="preserve">הצעת חוק לתיקון פקודת מס הכנסה (השוואת תנאים בין שכיר לעצמאי בחיסכון ארוך טווח), התשפ"א-2021</t>
  </si>
  <si>
    <t xml:space="preserve"> (פ/913/24)</t>
  </si>
  <si>
    <t xml:space="preserve">הצעת חוק לתיקון פקודת מסי העיריה ומסי הממשלה (פיטורין) (החלת חובת תשלום ארנונה על נכסי ממשלה המצויים באזור), התשפ"א-2021</t>
  </si>
  <si>
    <t xml:space="preserve"> (פ/912/24)</t>
  </si>
  <si>
    <t xml:space="preserve">הצעת חוק להגדלת שיעור ההשתתפות בכוח העבודה ולצמצום פערים חברתיים (מענק עבודה) (תיקון - זכאות להטבות נלוות), התשפ"א-2021</t>
  </si>
  <si>
    <t xml:space="preserve"> (פ/911/24)</t>
  </si>
  <si>
    <t xml:space="preserve">הצעת חוק הביטוח הלאומי (תיקון - הארכת המועד להגשת תביעות ליקוי שמיעה), התשפ"א-2021</t>
  </si>
  <si>
    <t xml:space="preserve"> (פ/910/24)</t>
  </si>
  <si>
    <t xml:space="preserve">הצעת חוק מרכזי צעירים, התשפ"א-2021</t>
  </si>
  <si>
    <t xml:space="preserve"> (פ/909/24)</t>
  </si>
  <si>
    <t xml:space="preserve">הצעת חוק יישוב סכסוכי עבודה (תיקון - איסור שביתה ללא הודעה מראש), התשפ"א-2021</t>
  </si>
  <si>
    <t xml:space="preserve"> (פ/908/24)</t>
  </si>
  <si>
    <t xml:space="preserve">הצעת חוק שעות עבודה ומנוחה (תיקון - תשלום בעד שעות המנוחה השבועית), התשפ"א-2021</t>
  </si>
  <si>
    <t xml:space="preserve"> (פ/907/24)</t>
  </si>
  <si>
    <t xml:space="preserve">הצעת חוק איסור לשון הרע (תיקון - השתייכות חברתית), התשפ"א-2021</t>
  </si>
  <si>
    <t xml:space="preserve"> (פ/906/24)</t>
  </si>
  <si>
    <t xml:space="preserve">הצעת חוק הודעה לעובד ולמועמד לעבודה (תנאי עבודה והליכי מיון וקבלה לעבודה) (תיקון - הגברת השקיפות בעניין הפרשות לפנסיה), התשפ"א-2021</t>
  </si>
  <si>
    <t xml:space="preserve"> (פ/904/24)</t>
  </si>
  <si>
    <t xml:space="preserve">הצעת חוק הבטחת הכנסה (תיקון - הצמדת הגמלה בגיל פרישה לשכר הממוצע במשק), התשפ"א-2021</t>
  </si>
  <si>
    <t xml:space="preserve"> (פ/903/24)</t>
  </si>
  <si>
    <t xml:space="preserve"> (פ/902/24)</t>
  </si>
  <si>
    <t xml:space="preserve">הצעת חוק השוואת תנאי שכר לקבוצות שאסור להפלותן (תיקוני חקיקה), התשפ"א-2021</t>
  </si>
  <si>
    <t xml:space="preserve"> (פ/901/24)</t>
  </si>
  <si>
    <t xml:space="preserve"> (פ/900/24)</t>
  </si>
  <si>
    <t xml:space="preserve">הצעת חוק הפנסיה (מועד תחילת הביטוח הפנסיוני), התשפ"א-2021</t>
  </si>
  <si>
    <t xml:space="preserve"> (פ/899/24)</t>
  </si>
  <si>
    <t xml:space="preserve">הצעת חוק החקלאות, התשפ"א-2021 </t>
  </si>
  <si>
    <t xml:space="preserve"> (פ/898/24)</t>
  </si>
  <si>
    <t xml:space="preserve">הצעת חוק הביטוח לאומי (תיקון - ביטוח זכויות עצמאי שעיקר הכנסתו מעסק בהליכי חדלות פרעון), התשפ"א-2021</t>
  </si>
  <si>
    <t xml:space="preserve"> (פ/894/24)</t>
  </si>
  <si>
    <t xml:space="preserve">הצעת חוק רישום נישואין אזרחיים באילת (תיקוני חקיקה), התשפ"א-2021</t>
  </si>
  <si>
    <t xml:space="preserve"> (פ/893/24)</t>
  </si>
  <si>
    <t xml:space="preserve">הצעת חוק הביטוח הלאומי (תיקון - שמירה חקלאית כעבודה מועדפת), התשפ"א-2021</t>
  </si>
  <si>
    <t xml:space="preserve"> (פ/892/24)</t>
  </si>
  <si>
    <t xml:space="preserve">הצעת חוק עיקול ותפיסה מידתיים של נכסים המוחזקים בידי צד שלישי (תיקוני חקיקה), התשפ"א-2021</t>
  </si>
  <si>
    <t xml:space="preserve"> (פ/891/24)</t>
  </si>
  <si>
    <t xml:space="preserve">הצעת חוק לתיקון פקודת מס הכנסה (ביטול הפטור ממס לתשלומים ושירותים הניתנים לראש הממשלה), התשפ"א-2021</t>
  </si>
  <si>
    <t xml:space="preserve"> (פ/890/24)</t>
  </si>
  <si>
    <t xml:space="preserve">הצעת חוק חוזה הביטוח (תיקון - בחינת סבירות פעולות מבטח, העברת נטל ועיצום כספי), התשפ"א-2021</t>
  </si>
  <si>
    <t xml:space="preserve"> (פ/889/24)</t>
  </si>
  <si>
    <t xml:space="preserve">הצעת חוק הכניסה לישראל (תיקון - הארכת היתר ישיבה ומתן רישיון לישיבת קבע לקורבנות סחר בבני אדם), התשפ"א-2021</t>
  </si>
  <si>
    <t xml:space="preserve"> (פ/888/24)</t>
  </si>
  <si>
    <t xml:space="preserve">הצעת חוק שירות הקבע בצבא הגנה לישראל (הליכים לעניין החלטות הנוגעות לחיילים בשירות קבע) (תיקון - סמכות נגררת ומקום מושב), התשפ"א-2021</t>
  </si>
  <si>
    <t xml:space="preserve"> (פ/887/24)</t>
  </si>
  <si>
    <t xml:space="preserve">הצעת חוק אי נקיטת הליכים לפני מועדי ישראל (תיקוני חקיקה), התשפ"א-2021</t>
  </si>
  <si>
    <t xml:space="preserve"> (פ/886/24)</t>
  </si>
  <si>
    <t xml:space="preserve">הצעת חוק שירות אזרחי (תיקון - צמצום יכולת ההשפעה של חשודים על התנהלות גוף מוכר), התשפ"א-2021</t>
  </si>
  <si>
    <t xml:space="preserve"> (פ/885/24)</t>
  </si>
  <si>
    <t xml:space="preserve"> (פ/884/24)</t>
  </si>
  <si>
    <t xml:space="preserve"> (פ/883/24)</t>
  </si>
  <si>
    <t xml:space="preserve">הצעת חוק לתיקון פקודת מסילות הברזל (פטור מתשלום דמי נסיעה לעגלת ילדים), התשפ"א-2021</t>
  </si>
  <si>
    <t xml:space="preserve"> (פ/882/24)</t>
  </si>
  <si>
    <t xml:space="preserve">הצעת חוק סדר הדין הפלילי (תיקון - ביטול האיסור המוטל על המשטרה למסור לפרקליטות עמדה בכתב לעניין מכלול התשתית הראייתית), התשפ"א-2021</t>
  </si>
  <si>
    <t xml:space="preserve"> (פ/881/24)</t>
  </si>
  <si>
    <t xml:space="preserve"> (פ/880/24)</t>
  </si>
  <si>
    <t xml:space="preserve">הצעת חוק שיפוט בתי דין רבניים (נישואין וגירושין) (תיקון - סמכות שיפוט בהסכמה בעניין אזרחי), התשפ"א-2021</t>
  </si>
  <si>
    <t xml:space="preserve"> (פ/879/24)</t>
  </si>
  <si>
    <t xml:space="preserve">הצעת חוק חופש המידע (תיקון - החלת חופש המידע על תאגידים בנקאיים, גופים פיננסיים ונותני אשראי ובורסה לניירות ערך), התשפ"א-2021</t>
  </si>
  <si>
    <t xml:space="preserve"> (פ/878/24)</t>
  </si>
  <si>
    <t xml:space="preserve">הצעת חוק שופט עמית ודיין עמית (תיקוני חקיקה), התשפ"א-2021</t>
  </si>
  <si>
    <t xml:space="preserve"> (פ/876/24)</t>
  </si>
  <si>
    <t xml:space="preserve">הצעת חוק עיטור הפציעה הקרבית, התשפ"א-2021</t>
  </si>
  <si>
    <t xml:space="preserve"> (פ/875/24)</t>
  </si>
  <si>
    <t xml:space="preserve">הצעת חוק מגן דוד אדום (תיקון - פריסת ניידות טיפול נמרץ ברחבי המדינה), התשפ"א-2021 </t>
  </si>
  <si>
    <t xml:space="preserve"> (פ/874/24)</t>
  </si>
  <si>
    <t xml:space="preserve"> (פ/873/24)</t>
  </si>
  <si>
    <t xml:space="preserve"> (פ/872/24)</t>
  </si>
  <si>
    <t xml:space="preserve">הצעת חוק ביטוח בריאות ממלכתי (תיקון - ביטול הגבלת זכותו של תושב גלמוד ששהה מחוץ לישראל), התשפ"א-2021</t>
  </si>
  <si>
    <t xml:space="preserve"> (פ/871/24)</t>
  </si>
  <si>
    <t xml:space="preserve">הצעת חוק הביטוח הלאומי (תיקון - הארכת תקופת הזכאות לדמי אבטלה לשכיר שהפך לעצמאי ועסקו נסגר), התשפ"א-2021</t>
  </si>
  <si>
    <t xml:space="preserve"> (פ/870/24)</t>
  </si>
  <si>
    <t xml:space="preserve">הצעת חוק שוויון זכויות לאנשים עם מוגבלות (תיקון - פטור מהמתנה בתור לנכי גפיים), התשפ"א-2021</t>
  </si>
  <si>
    <t xml:space="preserve"> (פ/869/24)</t>
  </si>
  <si>
    <t xml:space="preserve">הצעת חוק הביטוח הלאומי (תיקון - הצמדת קצבת אזרח ותיק לשכר הממוצע לפחות), התשפ"א-2021</t>
  </si>
  <si>
    <t xml:space="preserve"> (פ/868/24)</t>
  </si>
  <si>
    <t xml:space="preserve">הצעת חוק לתיקון פקודת ביטוח רכב מנועי (פוליסה לשני כלי רכב של נהג יחיד), התשפ"א-2021</t>
  </si>
  <si>
    <t xml:space="preserve"> (פ/867/24)</t>
  </si>
  <si>
    <t xml:space="preserve">הצעת חוק מיסוי מקרקעין (שבח ורכישה) (דירה נוספת שלא נעשה בה שימוש), התשפ"א-2021</t>
  </si>
  <si>
    <t xml:space="preserve"> (פ/866/24)</t>
  </si>
  <si>
    <t xml:space="preserve"> (פ/864/24)</t>
  </si>
  <si>
    <t xml:space="preserve">הצעת חוק הבטחת הכנסה (תיקון - הכנסת מינימום לאזרח ותיק), התשפ"א-2021</t>
  </si>
  <si>
    <t xml:space="preserve"> (פ/863/24)</t>
  </si>
  <si>
    <t xml:space="preserve"> (פ/862/24)</t>
  </si>
  <si>
    <t xml:space="preserve">הצעת חוק שכר שווה לעובדת ולעובד (תיקון - חובת מסירת מידע), התשפ"א-2021</t>
  </si>
  <si>
    <t xml:space="preserve"> (פ/861/24)</t>
  </si>
  <si>
    <t xml:space="preserve">הצעת חוק חופש המידע (תיקון - מידע על נגישות), התשפ"א-2021</t>
  </si>
  <si>
    <t xml:space="preserve"> (פ/860/24)</t>
  </si>
  <si>
    <t xml:space="preserve">הצעת חוק ביטוח בריאות ממלכתי (תיקון - מחלה יתומה), התשפ"א-2021</t>
  </si>
  <si>
    <t xml:space="preserve"> (פ/859/24)</t>
  </si>
  <si>
    <t xml:space="preserve">הצעת חוק מעונות יום שיקומיים (תיקון - פטור מתשלומי תאגיד בריאות לבית חולים), התשפ"א-2021</t>
  </si>
  <si>
    <t xml:space="preserve"> (פ/858/24)</t>
  </si>
  <si>
    <t xml:space="preserve">הצעת חוק הפיקוח על שירותים פיננסיים (קופות גמל) (תיקון - היוון קצבה על ידי שאיר הזכאי לפנסיה תקציבית או לקצבה מקופה אחרת), התשפ"א-2021</t>
  </si>
  <si>
    <t xml:space="preserve"> (פ/857/24)</t>
  </si>
  <si>
    <t xml:space="preserve"> (פ/856/24)</t>
  </si>
  <si>
    <t xml:space="preserve">הצעת חוק בית המשפט לענייני משפחה (תיקון - פטור מתשלום אגרה למקבלי הבטחת הכנסה), התשפ"א-2021</t>
  </si>
  <si>
    <t xml:space="preserve"> (פ/855/24)</t>
  </si>
  <si>
    <t xml:space="preserve">הצעת חוק לתיקון פקודת המכס (ביטול חיוב בעד בדיקת טובין), התשפ"א-2021</t>
  </si>
  <si>
    <t xml:space="preserve"> (פ/853/24)</t>
  </si>
  <si>
    <t xml:space="preserve">הצעת חוק נכי רדיפות הנאצים (תיקון - הגדרות זכאות), התשפ"א-2021</t>
  </si>
  <si>
    <t xml:space="preserve"> (פ/852/24)</t>
  </si>
  <si>
    <t xml:space="preserve">הצעת חוק עבודת נשים (תיקון - תקופת לידה והורות לנשים בעבודה פיזית קשה), התשפ"א-2021</t>
  </si>
  <si>
    <t xml:space="preserve"> (פ/851/24)</t>
  </si>
  <si>
    <t xml:space="preserve">הצעת חוק מס ערך מוסף (תיקון - פטור בעת קניית דירה ראשונה לזוגות צעירים), התשפ"א-2021</t>
  </si>
  <si>
    <t xml:space="preserve"> (פ/850/24)</t>
  </si>
  <si>
    <t xml:space="preserve"> (פ/849/24)</t>
  </si>
  <si>
    <t xml:space="preserve">הצעת חוק רישוי עסקים (תיקון - חובת הספקת אמצעים לגילוי סם מסוכן), התשפ"א-2021</t>
  </si>
  <si>
    <t xml:space="preserve"> (פ/848/24)</t>
  </si>
  <si>
    <t xml:space="preserve">הצעת חוק בתי המשפט (תיקון - שימוע ובחירות חשאיות לשופטי בית המשפט העליון), התשפ"א-2021</t>
  </si>
  <si>
    <t xml:space="preserve"> (פ/847/24)</t>
  </si>
  <si>
    <t xml:space="preserve">הצעת חוק לתיקון פקודת מס הכנסה (פריסת תשלומי מס הכנסה בעקבות משבר הקורונה), התשפ"א-2021</t>
  </si>
  <si>
    <t xml:space="preserve"> (פ/845/24)</t>
  </si>
  <si>
    <t xml:space="preserve">הצעת חוק בית הדין לעבודה (תיקון - סמכות ליישוב סכסוך בהסכמה), התשפ"א-2021</t>
  </si>
  <si>
    <t xml:space="preserve"> (פ/844/24)</t>
  </si>
  <si>
    <t xml:space="preserve">הצעת חוק זכויות הדייר בדיור הציבורי (תיקון - זכאות לאם יחידנית המקבלת תשלומי מזונות מהמוסד לביטוח לאומי), התשפ"א-2021</t>
  </si>
  <si>
    <t xml:space="preserve"> (פ/843/24)</t>
  </si>
  <si>
    <t xml:space="preserve">הצעת חוק ההוצאה לפועל (תיקון - דחיית ביצוע משכנתה על דירת מגורים), התשפ"א-2021</t>
  </si>
  <si>
    <t xml:space="preserve"> (פ/842/24)</t>
  </si>
  <si>
    <t xml:space="preserve">הצעת חוק לתיקון פקודת העיריות (שידור ישיבות מועצה), התשפ"א-2021</t>
  </si>
  <si>
    <t xml:space="preserve"> (פ/841/24)</t>
  </si>
  <si>
    <t xml:space="preserve">הצעת חוק מיסוי מקרקעין (שבח ורכישה) (תיקון - שחלוף דירה ומיסוי מכירת דירה), התשפ"א‏-2021</t>
  </si>
  <si>
    <t xml:space="preserve"> (פ/840/24)</t>
  </si>
  <si>
    <t xml:space="preserve"> (פ/839/24)</t>
  </si>
  <si>
    <t xml:space="preserve">הצעת חוק טוס כחול לבן, התשפ"א-2021</t>
  </si>
  <si>
    <t xml:space="preserve"> (פ/838/24)</t>
  </si>
  <si>
    <t xml:space="preserve">הצעת חוק הגנת הצרכן (תיקון - תשלום על פי צריכה בעסקה מתמשכת), התשפ"א-2021</t>
  </si>
  <si>
    <t xml:space="preserve"> (פ/837/24)</t>
  </si>
  <si>
    <t xml:space="preserve"> (פ/836/24)</t>
  </si>
  <si>
    <t xml:space="preserve"> (פ/835/24)</t>
  </si>
  <si>
    <t xml:space="preserve">הצעת חוק מיסוי מקרקעין (שבח ורכישה) (תיקון - הרחבת הקלה לרוכשים דירה מקבלן), התשפ"א-2021</t>
  </si>
  <si>
    <t xml:space="preserve"> (פ/834/24)</t>
  </si>
  <si>
    <t xml:space="preserve">הצעת חוק האזרחות והכניסה לישראל (הוראת שעה) (תיקון - היתר לגבי בני זוג), התשפ"א-2021</t>
  </si>
  <si>
    <t xml:space="preserve"> (פ/833/24)</t>
  </si>
  <si>
    <t xml:space="preserve">הצעת חוק הביטוח הלאומי (תיקון - חובת נוכחות מתורגמן בדיוני ועדה רפואית), התשפ"א-2021</t>
  </si>
  <si>
    <t xml:space="preserve"> (פ/832/24)</t>
  </si>
  <si>
    <t xml:space="preserve">הצעת חוק שירותי תשלום (תיקון - הפסקת ביצוע של פעולת תשלום בעסקת יסוד בשל השפעה בלתי הוגנת על ידי מוטב), התשפ"א-2021</t>
  </si>
  <si>
    <t xml:space="preserve"> (פ/831/24)</t>
  </si>
  <si>
    <t xml:space="preserve">הצעת חוק זכויות נפגעי עבירה (תיקון - חובת בית המשפט לשמוע נפגעי עבירה כולל נפגעי מעשי טרור), התשפ"א-2021</t>
  </si>
  <si>
    <t xml:space="preserve"> (פ/830/24)</t>
  </si>
  <si>
    <t xml:space="preserve">הצעת חוק-יסוד: השפיטה (תיקון - הרכב הוועדה לבחירת שופטים)</t>
  </si>
  <si>
    <t xml:space="preserve"> (פ/829/24)</t>
  </si>
  <si>
    <t xml:space="preserve">הצעת חוק לביטול הרשות לפיתוח והתיישבות הבדואים בנגב, התשפ"א-2021</t>
  </si>
  <si>
    <t xml:space="preserve"> (פ/828/24)</t>
  </si>
  <si>
    <t xml:space="preserve"> (פ/827/24)</t>
  </si>
  <si>
    <t xml:space="preserve">הצעת חוק לתיקון פקודת התעבורה (פיצוי כספי בגין איחור אוטובוס), התשפ"א-2021</t>
  </si>
  <si>
    <t xml:space="preserve"> (פ/826/24)</t>
  </si>
  <si>
    <t xml:space="preserve">הצעת חוק לתיקון פקודת העיריות (הסדרת מבנים לתנועות נוער), התשפ"א-2021</t>
  </si>
  <si>
    <t xml:space="preserve"> (פ/825/24)</t>
  </si>
  <si>
    <t xml:space="preserve">הצעת חוק הביטוח הלאומי (תיקון - דמי אבטלה למי שנמצא בהכשרה מקצועית), התשפ"א-2021 </t>
  </si>
  <si>
    <t xml:space="preserve"> (פ/824/24)</t>
  </si>
  <si>
    <t xml:space="preserve">הצעת חוק הביטוח הלאומי (תיקון - שינוי המונח נכה), התשפ"א-2021</t>
  </si>
  <si>
    <t xml:space="preserve"> (פ/823/24)</t>
  </si>
  <si>
    <t xml:space="preserve">הצעת חוק מס הכנסה (פטור ממס על הכנסה מהשכרת דירת מגורים) (תיקון - ניכוי דמי שכירות), התשפ"א-2021</t>
  </si>
  <si>
    <t xml:space="preserve"> (פ/822/24)</t>
  </si>
  <si>
    <t xml:space="preserve">הצעת חוק ביטוח בריאות ממלכתי (תיקון - בדיקות לגילוי מוקדם של מחלות קשות אצל ילדים עד גיל 18), התשפ"א-2021</t>
  </si>
  <si>
    <t xml:space="preserve"> (פ/821/24)</t>
  </si>
  <si>
    <t xml:space="preserve">הצעת חוק החברות הממשלתיות (תיקון - ייצוג הולם בתאגידים שהוקמו בחוק ובחברות ממשלתיות), התשפ"א-2021</t>
  </si>
  <si>
    <t xml:space="preserve"> (פ/819/24)</t>
  </si>
  <si>
    <t xml:space="preserve">הצעת חוק בדבר סמכויות להשבת פליטים שהשבתם לא מהווה סכנה, התשפ"א-2021</t>
  </si>
  <si>
    <t xml:space="preserve"> (פ/818/24)</t>
  </si>
  <si>
    <t xml:space="preserve">הצעת חוק הביטוח הלאומי (תיקון - קצבת נכות וקצבת שאירים), התשפ"א-2021</t>
  </si>
  <si>
    <t xml:space="preserve"> (פ/816/24)</t>
  </si>
  <si>
    <t xml:space="preserve">הצעת חוק לתיקון פקודת מס הכנסה (ביטול מס בגין זקיפה סלולרית), התשפ"א-2021</t>
  </si>
  <si>
    <t xml:space="preserve"> (פ/815/24)</t>
  </si>
  <si>
    <t xml:space="preserve">הצעת חוק עובדים זרים (תיקון - הפחתת אגרות בענף החקלאות) (הוראת שעה), התשפ"א-2021</t>
  </si>
  <si>
    <t xml:space="preserve"> (פ/814/24)</t>
  </si>
  <si>
    <t xml:space="preserve">הצעת חוק הרשויות המקומיות (בחירות) (תיקון - ספירת פתקי ההצבעה לראש הרשות תחילה), התשפ"א-2021</t>
  </si>
  <si>
    <t xml:space="preserve"> (פ/812/24)</t>
  </si>
  <si>
    <t xml:space="preserve">הצעת חוק יסודות התקציב (תיקון - שימוש בעודפי תקציב לתכניות בהן נכללו במקור), התשפ"א-2021</t>
  </si>
  <si>
    <t xml:space="preserve"> (פ/811/24)</t>
  </si>
  <si>
    <t xml:space="preserve">הצעת חוק שירות ביטחון (תיקון - הזדמנות שווה לנשים בצה"ל), התשפ"א-2021</t>
  </si>
  <si>
    <t xml:space="preserve"> (פ/809/24)</t>
  </si>
  <si>
    <t xml:space="preserve">הצעת חוק לתיקון פקודת התעבורה (איסור העמדת משאיות וחנייתן באזור מגורים בתחום רשות מקומית), התשפ"א-2021</t>
  </si>
  <si>
    <t xml:space="preserve"> (פ/808/24)</t>
  </si>
  <si>
    <t xml:space="preserve">הצעת חוק סיוג הגבלת חשבון והגבלת לקוח בשל שיקים שסורבו בתקופה שהוכרזה מחלה מידבקת מסוכנת (תיקוני חקיקה), התשפ"א-2021</t>
  </si>
  <si>
    <t xml:space="preserve"> (פ/807/24)</t>
  </si>
  <si>
    <t xml:space="preserve">הצעת חוק הטיס (ביטחון בתעופה האזרחית) (תיקון - איסור שימוש בעילה של לאום או מוצא אתני בביצוע חיפוש), התשפ"א-2021</t>
  </si>
  <si>
    <t xml:space="preserve"> (פ/806/24)</t>
  </si>
  <si>
    <t xml:space="preserve">הצעת חוק הטבות לניצולי שואה (תיקון - זכאות למענק הטבות שנתי לבן זוג של ניצול שואה שנפטר), התשפ"א-2021</t>
  </si>
  <si>
    <t xml:space="preserve"> (פ/805/24)</t>
  </si>
  <si>
    <t xml:space="preserve"> (פ/804/24)</t>
  </si>
  <si>
    <t xml:space="preserve">הצעת חוק העונשין (תיקון - תקיפת עורך דין כתקיפת עובד ציבור), התשפ"א-2021</t>
  </si>
  <si>
    <t xml:space="preserve"> (פ/803/24)</t>
  </si>
  <si>
    <t xml:space="preserve"> (פ/801/24)</t>
  </si>
  <si>
    <t xml:space="preserve">הצעת חוק להגבלת שכר טרחת כונסי נכסים (תיקוני חקיקה), התשפ"א-2021</t>
  </si>
  <si>
    <t xml:space="preserve"> (פ/800/24)</t>
  </si>
  <si>
    <t xml:space="preserve">הצעת חוק שיווי זכויות האישה (תיקון - תחולה על תפקידים דתיים), התשפ"א-2021</t>
  </si>
  <si>
    <t xml:space="preserve"> (פ/799/24)</t>
  </si>
  <si>
    <t xml:space="preserve">הצעת חוק סיוע למשפחות שבראשן הורה עצמאי (תיקון - הגנה מפני עיקול של כספי סיוע), התשפ"א-2021 </t>
  </si>
  <si>
    <t xml:space="preserve"> (פ/798/24)</t>
  </si>
  <si>
    <t xml:space="preserve">הצעת חוק סיוע למשפחות שבראשן הורה עצמאי (תיקון - הגנה מפני עיקול של כספי סיוע), התשפ"א-2021</t>
  </si>
  <si>
    <t xml:space="preserve"> (פ/797/24)</t>
  </si>
  <si>
    <t xml:space="preserve">הצעת חוק הביטוח הלאומי (תיקון - דמי אבטלה למתמחים), התשפ"א-2021</t>
  </si>
  <si>
    <t xml:space="preserve"> (פ/796/24)</t>
  </si>
  <si>
    <t xml:space="preserve">הצעת חוק לתיקון פקודת הבנקאות (הוראות ניהול בנקאי תקין להלוואה בערבות מדינה בשעת חירום), התשפ"א-2021</t>
  </si>
  <si>
    <t xml:space="preserve"> (פ/795/24)</t>
  </si>
  <si>
    <t xml:space="preserve">הצעת חוק זכויות הדייר בדיור הציבורי (תיקון - זכאות להורה עצמאי המקבל מזונות ילדים מהביטוח הלאומי), התשפ"א-2021 </t>
  </si>
  <si>
    <t xml:space="preserve"> (פ/794/24)</t>
  </si>
  <si>
    <t xml:space="preserve">הצעת חוק שיפוט בתי דין רבניים (נישואין וגירושין) (תיקון - תשלומי מזונות לילדי בני הזוג), התשפ"א-2021</t>
  </si>
  <si>
    <t xml:space="preserve"> (פ/793/24)</t>
  </si>
  <si>
    <t xml:space="preserve">הצעת חוק יסודות התקציב (תיקון - פיקוח אחיד על שימוש בתמיכה), התשפ"א-2021</t>
  </si>
  <si>
    <t xml:space="preserve"> (פ/792/24)</t>
  </si>
  <si>
    <t xml:space="preserve">הצעת חוק שירותי תעופה (פיצוי וסיוע בשל ביטול טיסה או שינוי בתנאיה) (תיקון - הגבלת מחיר כרטיס טיסה לכיוון אחד), התשפ"א-2021</t>
  </si>
  <si>
    <t xml:space="preserve"> (פ/791/24)</t>
  </si>
  <si>
    <t xml:space="preserve">הצעת חוק הבטחת הכנסה (תיקון - הגדרת הכנסה), התשפ"א-2021 </t>
  </si>
  <si>
    <t xml:space="preserve"> (פ/790/24)</t>
  </si>
  <si>
    <t xml:space="preserve">הצעת חוק הביטוח הלאומי (תיקון - הפחתת קצבת ילדים בשל אי חיסון), התשפ"א-2021</t>
  </si>
  <si>
    <t xml:space="preserve"> (פ/789/24)</t>
  </si>
  <si>
    <t xml:space="preserve">הצעת חוק לתיקון פקודת בריאות העם (מכרז להצבת מכונות מזון אוטומטיות), התשפ"א-2021</t>
  </si>
  <si>
    <t xml:space="preserve"> (פ/788/24)</t>
  </si>
  <si>
    <t xml:space="preserve">הצעת חוק הביטוח הלאומי (תיקון - מענק פטירה להורה), התשפ"א-2021</t>
  </si>
  <si>
    <t xml:space="preserve"> (פ/787/24)</t>
  </si>
  <si>
    <t xml:space="preserve">הצעת חוק הבטחת הכנסה (תיקון - ניכוי הכנסות להורה עצמאי), התשפ"א-2021 </t>
  </si>
  <si>
    <t xml:space="preserve"> (פ/786/24)</t>
  </si>
  <si>
    <t xml:space="preserve">הצעת חוק פיצויי פיטורים (תיקון - פיצויי פיטורים למתגייס לרשות הארצית לכבאות והצלה), התשפ"א-2021</t>
  </si>
  <si>
    <t xml:space="preserve"> (פ/785/24)</t>
  </si>
  <si>
    <t xml:space="preserve">הצעת חוק הקלות במס על רכישת מכשיר ניידות מסוג קלנועית (תיקוני חקיקה), התשפ"א-2021</t>
  </si>
  <si>
    <t xml:space="preserve"> (פ/784/24)</t>
  </si>
  <si>
    <t xml:space="preserve">הצעת חוק להגדלת היצע מעונות סטודנטים, התשפ"א-2021 </t>
  </si>
  <si>
    <t xml:space="preserve"> (פ/783/24)</t>
  </si>
  <si>
    <t xml:space="preserve">הצעת חוק לעידוד השקעות בשכירות ארוכת טווח (תיקוני חקיקה), התשפ"א-2021</t>
  </si>
  <si>
    <t xml:space="preserve"> (פ/782/24)</t>
  </si>
  <si>
    <t xml:space="preserve">הצעת חוק הבחירות לכנסת (תיקון - זכות לשכר ביום הבחירות), התשפ"א-2021</t>
  </si>
  <si>
    <t xml:space="preserve"> (פ/781/24)</t>
  </si>
  <si>
    <t xml:space="preserve">הצעת חוק לתיקון פקודת סדרי השלטון והמשפט (יום הפועלים הבינלאומי), התשפ"א-2021</t>
  </si>
  <si>
    <t xml:space="preserve"> (פ/780/24)</t>
  </si>
  <si>
    <t xml:space="preserve">הצעת חוק בית המשפט לענייני משפחה (תיקון - רשימת כונסי נכסים), התשפ"א-2021</t>
  </si>
  <si>
    <t xml:space="preserve"> (פ/779/24)</t>
  </si>
  <si>
    <t xml:space="preserve">הצעת חוק ביטוח בריאות ממלכתי (תיקון - זכויות תושב חוזר), התשפ"א-2021</t>
  </si>
  <si>
    <t xml:space="preserve"> (פ/777/24)</t>
  </si>
  <si>
    <t xml:space="preserve">הצעת חוק ביטוח בריאות ממלכתי (תיקון - תושב ששהה מחוץ לישראל ואין לו קרוב משפחה), התשפ"א-2021</t>
  </si>
  <si>
    <t xml:space="preserve"> (פ/776/24)</t>
  </si>
  <si>
    <t xml:space="preserve">הצעת חוק הפיקוח על שירותים פיננסיים (קופות גמל) (תיקון - הגדלת הסכום המרבי להפקדה בקופות גמל להשקעה), התשפ"א-2021</t>
  </si>
  <si>
    <t xml:space="preserve"> (פ/773/24)</t>
  </si>
  <si>
    <t xml:space="preserve">הצעת חוק הגנת הצרכן (תיקון - איסור התניית תשלום בכרטיס אשראי בסכום רכישה מזערי), התשפ"א-2021</t>
  </si>
  <si>
    <t xml:space="preserve"> (פ/772/24)</t>
  </si>
  <si>
    <t xml:space="preserve"> (פ/771/24)</t>
  </si>
  <si>
    <t xml:space="preserve">הצעת חוק להקפאת כספים ששילמה הרשות הפלסטינית בזיקה לטרור מהכספים המועברים אליה מממשלת ישראל (תיקון - הקפאת כספי תגמולים לתושבי האזור מכוח חוק התגמולים לנפגעי פעולות איבה), התשפ"א-2021</t>
  </si>
  <si>
    <t xml:space="preserve"> (פ/770/24)</t>
  </si>
  <si>
    <t xml:space="preserve">הצעת חוק הביטוח הלאומי (תיקון - חיסכון מוקדם לגיל פרישה), התשפ"א-2021</t>
  </si>
  <si>
    <t xml:space="preserve"> (פ/769/24)</t>
  </si>
  <si>
    <t xml:space="preserve">הצעת חוק שיפוט בתי דין רבניים (נישואין וגירושין) (תיקון - נישואין אזרחיים בשטח שגרירות בישראל), התשפ"א-2021</t>
  </si>
  <si>
    <t xml:space="preserve"> (פ/768/24)</t>
  </si>
  <si>
    <t xml:space="preserve"> (פ/767/24)</t>
  </si>
  <si>
    <t xml:space="preserve">הצעת חוק הביטוח הלאומי (תיקון - דמי ביטוח מופחתים בעד עובד בעבודה מהבית), התשפ"א-2021</t>
  </si>
  <si>
    <t xml:space="preserve"> (פ/766/24)</t>
  </si>
  <si>
    <t xml:space="preserve"> (פ/764/24)</t>
  </si>
  <si>
    <t xml:space="preserve">הצעת חוק הסדרת שוק הכשרות בישראל, התשפ"א-2021</t>
  </si>
  <si>
    <t xml:space="preserve"> (פ/763/24)</t>
  </si>
  <si>
    <t xml:space="preserve">הצעת חוק לצמצום השימוש בשקיות נשיאה חד-פעמיות (תיקון - פטור מהיטל), התשפ"א-2021 </t>
  </si>
  <si>
    <t xml:space="preserve"> (פ/762/24)</t>
  </si>
  <si>
    <t xml:space="preserve">הצעת חוק תכנון משק החלב (תיקון - הארכת מועדים), התשפ"א-2021</t>
  </si>
  <si>
    <t xml:space="preserve"> (פ/761/24)</t>
  </si>
  <si>
    <t xml:space="preserve"> (פ/760/24)</t>
  </si>
  <si>
    <t xml:space="preserve">הצעת חוק חובת המכרזים (תיקון - מתן עדיפות לשירותים מתוצרת הארץ), התשפ"א-2021</t>
  </si>
  <si>
    <t xml:space="preserve"> (פ/759/24)</t>
  </si>
  <si>
    <t xml:space="preserve">הצעת חוק הביטוח הלאומי (תיקון - קידום קצבת אזרח ותיק לפי השכר הממוצע במשק), התשפ"א-2021</t>
  </si>
  <si>
    <t xml:space="preserve"> (פ/758/24)</t>
  </si>
  <si>
    <t xml:space="preserve">הצעת חוק אבטחה במוסדות חינוך, התשפ"א-2021</t>
  </si>
  <si>
    <t xml:space="preserve"> (פ/757/24)</t>
  </si>
  <si>
    <t xml:space="preserve"> (פ/755/24)</t>
  </si>
  <si>
    <t xml:space="preserve"> (פ/754/24)</t>
  </si>
  <si>
    <t xml:space="preserve"> (פ/753/24)</t>
  </si>
  <si>
    <t xml:space="preserve">הצעת חוק אוויר נקי (תיקון - איסור שימוש בתנורי עץ, סולר ונפט), התשפ"א-2021</t>
  </si>
  <si>
    <t xml:space="preserve"> (פ/752/24)</t>
  </si>
  <si>
    <t xml:space="preserve"> (פ/751/24)</t>
  </si>
  <si>
    <t xml:space="preserve">הצעת חוק הפיקוח על יצוא ביטחוני (תיקון - הגבלות על יצוא ביטחוני לכוחות ביטחון שביצעו הפרות חמורות של זכויות אדם), התשפ"א-2021</t>
  </si>
  <si>
    <t xml:space="preserve"> (פ/750/24)</t>
  </si>
  <si>
    <t xml:space="preserve"> (פ/748/24)</t>
  </si>
  <si>
    <t xml:space="preserve">הצעת חוק לצמצום רגולציה ושעורי אגרות לעסקים קטנים, התשפ"א-2021</t>
  </si>
  <si>
    <t xml:space="preserve"> (פ/747/24)</t>
  </si>
  <si>
    <t xml:space="preserve">הצעת חוק הרב הצבאי הראשי, התשפ"א-2021</t>
  </si>
  <si>
    <t xml:space="preserve"> (פ/746/24)</t>
  </si>
  <si>
    <t xml:space="preserve">הצעת חוק לעידוד השקעות הון (תיקון - הקלה בתנאי סף למפעל קטן), התשפ"א-2021 </t>
  </si>
  <si>
    <t xml:space="preserve"> (פ/745/24)</t>
  </si>
  <si>
    <t xml:space="preserve">הצעת חוק העונשין (תיקון - מאסר עולם לאונס קטינים), התשפ"א-2021</t>
  </si>
  <si>
    <t xml:space="preserve"> (פ/744/24)</t>
  </si>
  <si>
    <t xml:space="preserve">10.05.2021</t>
  </si>
  <si>
    <t xml:space="preserve">הצעת חוק הקמת ועדת חקירה ממלכתית לאירועי אסון הילולת הרשב"י בהר מירון, התשפ"א-2021</t>
  </si>
  <si>
    <t xml:space="preserve"> (פ/743/24)</t>
  </si>
  <si>
    <t xml:space="preserve">הצעת חוק לאיחוד קווי החירום הטלפוניים, התשפ"א-2021</t>
  </si>
  <si>
    <t xml:space="preserve"> (פ/742/24)</t>
  </si>
  <si>
    <t xml:space="preserve">הצעת חוק לתיקון פקודת בתי הסוהר (מות אסיר), התשפ"א-2021</t>
  </si>
  <si>
    <t xml:space="preserve"> (פ/741/24)</t>
  </si>
  <si>
    <t xml:space="preserve">הצעת חוק מיסוי מקרקעין (שבח ורכישה) (תיקון - תשלום המס בתשלומים), התשפ"א-2021</t>
  </si>
  <si>
    <t xml:space="preserve"> (פ/740/24)</t>
  </si>
  <si>
    <t xml:space="preserve">הצעת חוק שוויון זכויות לאנשים עם מוגבלות (תיקון - בירור תלונות ופיקוח על שמירת זכויות של אנשים עם מוגבלות במסגרות מגורים), התשפ"א-2021</t>
  </si>
  <si>
    <t xml:space="preserve"> (פ/739/24)</t>
  </si>
  <si>
    <t xml:space="preserve">הצעת חוק להסדרת הטיפול באריזות (תיקון - החלת החוק על מכלי משקה גדולים), התשפ"א-2021</t>
  </si>
  <si>
    <t xml:space="preserve"> (פ/738/24)</t>
  </si>
  <si>
    <t xml:space="preserve">הצעת חוק בתי המשפט (תיקון - פרסום פסיקה בענייני משפחה), התשפ"א-2021</t>
  </si>
  <si>
    <t xml:space="preserve"> (פ/737/24)</t>
  </si>
  <si>
    <t xml:space="preserve">הצעת חוק ביטוח בריאות ממלכתי (תיקון - הגבלת סכום ההשתתפות העצמית בתכשיר מרשם), התשפ"א-2021</t>
  </si>
  <si>
    <t xml:space="preserve"> (פ/736/24)</t>
  </si>
  <si>
    <t xml:space="preserve"> (פ/735/24)</t>
  </si>
  <si>
    <t xml:space="preserve">הצעת חוק סדר הדין הפלילי (חקירת חשודים) (תיקון - זכויות חשודים), התשפ"א-2021</t>
  </si>
  <si>
    <t xml:space="preserve"> (פ/734/24)</t>
  </si>
  <si>
    <t xml:space="preserve">הצעת חוק הצבת מכשירי החייאה במקומות ציבוריים (תיקון - בדיקות תקינות שנתיות ותיעודן), התשפ"א-2021</t>
  </si>
  <si>
    <t xml:space="preserve"> (פ/733/24)</t>
  </si>
  <si>
    <t xml:space="preserve">הצעת חוק חוזה הביטוח (תיקון - מניעת כפל ביטוחים), התשפ"א-2021</t>
  </si>
  <si>
    <t xml:space="preserve"> (פ/732/24)</t>
  </si>
  <si>
    <t xml:space="preserve">הצעת חוק דמי מחלה (תיקון - יתרה שלילית של ימי מחלה), התשפ"א-2021</t>
  </si>
  <si>
    <t xml:space="preserve"> (פ/730/24)</t>
  </si>
  <si>
    <t xml:space="preserve">הצעת חוק זכויות נפגעי עבירה (תיקון - חובת מסירת הודעה בדבר כניסה, יציאה ושחרור של נידון ממעון נעול), התשפ"א-2021</t>
  </si>
  <si>
    <t xml:space="preserve"> (פ/729/24)</t>
  </si>
  <si>
    <t xml:space="preserve"> (פ/728/24)</t>
  </si>
  <si>
    <t xml:space="preserve">הצעת חוק הביטוח הלאומי (תיקון - דמי אבטלה לעובד שפוטר לאחר שהגיע לגיל פרישה), התשפ"א-2021</t>
  </si>
  <si>
    <t xml:space="preserve"> (פ/727/24)</t>
  </si>
  <si>
    <t xml:space="preserve">הצעת חוק העונשין (תיקון - איסור שיווק ומכירת הימורים בידי מי שאינו בעל היתר, פועל מטעמו או בפיקוחו), התשפ"א-2021</t>
  </si>
  <si>
    <t xml:space="preserve"> (פ/726/24)</t>
  </si>
  <si>
    <t xml:space="preserve"> (פ/725/24)</t>
  </si>
  <si>
    <t xml:space="preserve">הצעת חוק הצבת מכשירי החייאה במקומות ציבוריים (תיקון - חובת הצבת מכשיר החייאה בבנייני מגורים גדולים), התשפ"א-2021</t>
  </si>
  <si>
    <t xml:space="preserve"> (פ/724/24)</t>
  </si>
  <si>
    <t xml:space="preserve">הצעת חוק הביטוח הלאומי (תיקון - הארכת תקופת הזכאות לדמי אבטלה לצעירים), התשפ"א-2021</t>
  </si>
  <si>
    <t xml:space="preserve"> (פ/723/24)</t>
  </si>
  <si>
    <t xml:space="preserve">הצעת חוק העונשין (תיקון - נשיאת מאסר בעבודת שירות), התשפ"א-2021</t>
  </si>
  <si>
    <t xml:space="preserve"> (פ/722/24)</t>
  </si>
  <si>
    <t xml:space="preserve">הצעת חוק מיסוי מקרקעין (שבח ורכישה) (תיקון - חזקת דירה יחידה), התשפ"א-2021</t>
  </si>
  <si>
    <t xml:space="preserve"> (פ/721/24)</t>
  </si>
  <si>
    <t xml:space="preserve">הצעת חוק סיוע לבני משפחה של נפטר ממחלה סופנית, התשפ"א-2021</t>
  </si>
  <si>
    <t xml:space="preserve"> (פ/720/24)</t>
  </si>
  <si>
    <t xml:space="preserve">הצעת חוק יישוב סכסוכי עבודה (תיקון - סכסוך עבודה פוליטי), התשפ"א-2021</t>
  </si>
  <si>
    <t xml:space="preserve"> (פ/719/24)</t>
  </si>
  <si>
    <t xml:space="preserve">הצעת חוק דמי מחלה (היעדרות בשל מחלת ילד) (תיקון - התליית מספר ימי ההיעדרות במספר ילדי העובד), התשפ"א-2021</t>
  </si>
  <si>
    <t xml:space="preserve"> (פ/716/24)</t>
  </si>
  <si>
    <t xml:space="preserve">הצעת חוק ידועים בציבור, התשפ"א-2021</t>
  </si>
  <si>
    <t xml:space="preserve"> (פ/715/24)</t>
  </si>
  <si>
    <t xml:space="preserve">הצעת חוק הגנת השכר (תיקון - התיישנות), התשפ"א-2021</t>
  </si>
  <si>
    <t xml:space="preserve"> (פ/714/24)</t>
  </si>
  <si>
    <t xml:space="preserve">הצעת חוק הביטוח הלאומי (תיקון - ניכוי הכנסה חודשית שלא מעבודה או ממשלח יד), התשפ"א-2021</t>
  </si>
  <si>
    <t xml:space="preserve"> (פ/713/24)</t>
  </si>
  <si>
    <t xml:space="preserve">הצעת חוק העונשין (תיקון - איסור מתן טיפול המרה לקטין), התשפ"א-2021</t>
  </si>
  <si>
    <t xml:space="preserve"> (פ/711/24)</t>
  </si>
  <si>
    <t xml:space="preserve">הצעת חוק לתיקון פקודת העיריות (תשלום עבור המצאת מסמכי מכרז), התשפ"א-2021</t>
  </si>
  <si>
    <t xml:space="preserve"> (פ/710/24)</t>
  </si>
  <si>
    <t xml:space="preserve"> (פ/709/24)</t>
  </si>
  <si>
    <t xml:space="preserve">הצעת חוק לעידוד השקעות הון (תיקון - הטבות מס למפעלים תעשיתיים חדשים), התשפ"א-2021</t>
  </si>
  <si>
    <t xml:space="preserve"> (פ/708/24)</t>
  </si>
  <si>
    <t xml:space="preserve">הצעת חוק להנצחת זכרו של רחבעם זאבי (תיקון - ביטול החוק), התשפ"א-2021</t>
  </si>
  <si>
    <t xml:space="preserve"> (פ/707/24)</t>
  </si>
  <si>
    <t xml:space="preserve">הצעת חוק הביטוח הלאומי (תיקון - הכנסה מביטוח אובדן כושר עבודה), התשפ"א-2021</t>
  </si>
  <si>
    <t xml:space="preserve"> (פ/706/24)</t>
  </si>
  <si>
    <t xml:space="preserve"> (פ/705/24)</t>
  </si>
  <si>
    <t xml:space="preserve">הצעת חוק יישוב סכסוכי עבודה (תיקון - בוררות חובה בשירותים חיוניים), התשפ"א-2021</t>
  </si>
  <si>
    <t xml:space="preserve"> (פ/703/24)</t>
  </si>
  <si>
    <t xml:space="preserve"> (פ/702/24)</t>
  </si>
  <si>
    <t xml:space="preserve">הצעת חוק לתיקון פקודת התעבורה (מאגר מידע של ניקוד מסוכנות לעניין נהגים מקצועיים), התשפ"א-2021</t>
  </si>
  <si>
    <t xml:space="preserve"> (פ/701/24)</t>
  </si>
  <si>
    <t xml:space="preserve">הצעת חוק הארכיונים (תיקון - הגדרת חומר ארכיוני), התשפ"א-2021 </t>
  </si>
  <si>
    <t xml:space="preserve"> (פ/700/24)</t>
  </si>
  <si>
    <t xml:space="preserve">הצעת חוק פקודת הראיות (תיקון - עדות יועץ תקשורת או דובר), התשפ"א-2021</t>
  </si>
  <si>
    <t xml:space="preserve"> (פ/698/24)</t>
  </si>
  <si>
    <t xml:space="preserve"> (פ/697/24)</t>
  </si>
  <si>
    <t xml:space="preserve">הצעת חוק שיקים ללא כיסוי (תיקון - חשבון פרטי וחשבון עסקי), התשפ"א-2021</t>
  </si>
  <si>
    <t xml:space="preserve"> (פ/696/24)</t>
  </si>
  <si>
    <t xml:space="preserve">הצעת חוק חופשה שנתית (תיקון - חופשה לרגל נישואין), התשפ"א-2021</t>
  </si>
  <si>
    <t xml:space="preserve"> (פ/695/24)</t>
  </si>
  <si>
    <t xml:space="preserve">הצעת חוק פיקוח על בתי ספר (תיקון - חובת הכנת תסקיר בטיחות), התשפ"א-2021</t>
  </si>
  <si>
    <t xml:space="preserve"> (פ/692/24)</t>
  </si>
  <si>
    <t xml:space="preserve">הצעת חוק לתיקון פקודת התעבורה (הבחינה העיונית לשם מתן רישיון נהיגה), התשפ"א-2021</t>
  </si>
  <si>
    <t xml:space="preserve"> (פ/691/24)</t>
  </si>
  <si>
    <t xml:space="preserve"> (פ/690/24)</t>
  </si>
  <si>
    <t xml:space="preserve">הצעת חוק חינוך ממלכתי (תיקון - איסור פעילות שיש בה שנאה בשל נטייה מינית, גזענות והדרת נשים במוסדות חינוך רשמיים), התשפ"א-2021</t>
  </si>
  <si>
    <t xml:space="preserve"> (פ/689/24)</t>
  </si>
  <si>
    <t xml:space="preserve"> (פ/688/24)</t>
  </si>
  <si>
    <t xml:space="preserve"> (פ/687/24)</t>
  </si>
  <si>
    <t xml:space="preserve">הצעת חוק צער בעלי חיים (הגנה על בעלי חיים) (תיקון - קביעת עונש מינימום בגין התעללות בבעלי חיים), התשפ"א-2021</t>
  </si>
  <si>
    <t xml:space="preserve"> (פ/686/24)</t>
  </si>
  <si>
    <t xml:space="preserve">הצעת חוק הביטוח הלאומי (תיקון - זכאות לכפל גמלאות), התשפ"א-2021</t>
  </si>
  <si>
    <t xml:space="preserve"> (פ/685/24)</t>
  </si>
  <si>
    <t xml:space="preserve">הצעת חוק תוכנית למניעת אלימות מינית וקידום מיניות בריאה, התשפ"א-2021</t>
  </si>
  <si>
    <t xml:space="preserve"> (פ/684/24)</t>
  </si>
  <si>
    <t xml:space="preserve">הצעת חוק הירושה (תיקון - בטלות צוואה ישנה), התשפ"א-2021</t>
  </si>
  <si>
    <t xml:space="preserve"> (פ/683/24)</t>
  </si>
  <si>
    <t xml:space="preserve">הצעת חוק לתיקון פקודת היערות (הגברת ההגנה על עצים בוגרים), התשפ"א-2021</t>
  </si>
  <si>
    <t xml:space="preserve"> (פ/682/24)</t>
  </si>
  <si>
    <t xml:space="preserve">הצעת חוק סדר הדין הפלילי (תיקון - החרגת עובד מערכת אכיפת החוק מתקופת ההתיישנות), התשפ"א-2021</t>
  </si>
  <si>
    <t xml:space="preserve"> (פ/681/24)</t>
  </si>
  <si>
    <t xml:space="preserve">הצעת חוק הביטוח הלאומי (תיקון - ביטול מעמד עקרת בית), התשפ"א-2021</t>
  </si>
  <si>
    <t xml:space="preserve"> (פ/680/24)</t>
  </si>
  <si>
    <t xml:space="preserve">הצעת חוק בתי המשפט (תיקון - שופט משנה), התשפ"א-2021</t>
  </si>
  <si>
    <t xml:space="preserve"> (פ/679/24)</t>
  </si>
  <si>
    <t xml:space="preserve"> (פ/678/24)</t>
  </si>
  <si>
    <t xml:space="preserve"> (פ/676/24)</t>
  </si>
  <si>
    <t xml:space="preserve"> (פ/675/24)</t>
  </si>
  <si>
    <t xml:space="preserve">הצעת חוק אימוץ ילדים (תיקון - איסור הפרדה בין אחים בהליך אימוץ), התשפ"א-2021</t>
  </si>
  <si>
    <t xml:space="preserve"> (פ/674/24)</t>
  </si>
  <si>
    <t xml:space="preserve">הצעת חוק התכנון והבנייה (תיקון - תסקיר תחבורה ציבורית), התשפ"א-2021</t>
  </si>
  <si>
    <t xml:space="preserve"> (פ/673/24)</t>
  </si>
  <si>
    <t xml:space="preserve">הצעת חוק השכירות והשאילה (תיקון - פטור מתשלומים על נכס המשמש כמקום עבודה בשל נגיף הקורונה), התשפ"א-2021</t>
  </si>
  <si>
    <t xml:space="preserve"> (פ/672/24)</t>
  </si>
  <si>
    <t xml:space="preserve">הצעת חוק שיווי זכויות האישה (תיקון - תחולה), התשפ"א-2021</t>
  </si>
  <si>
    <t xml:space="preserve"> (פ/671/24)</t>
  </si>
  <si>
    <t xml:space="preserve">הצעת חוק הבחירות לכנסת (תיקון - אי-זכאות ליום שבתון לעובדים זרים), התשפ"א-2021</t>
  </si>
  <si>
    <t xml:space="preserve"> (פ/670/24)</t>
  </si>
  <si>
    <t xml:space="preserve">הצעת חוק הלוואות לדיור (תיקון - הצמדת סכום ההלוואה למדד), התשפ"א-2021</t>
  </si>
  <si>
    <t xml:space="preserve"> (פ/669/24)</t>
  </si>
  <si>
    <t xml:space="preserve">הצעת חוק מימון מפלגות (תיקון - ייצוג הולם לנשים בבחירות לכנסת), התשפ"א-2021</t>
  </si>
  <si>
    <t xml:space="preserve"> (פ/668/24)</t>
  </si>
  <si>
    <t xml:space="preserve"> (פ/666/24)</t>
  </si>
  <si>
    <t xml:space="preserve">הצעת חוק לתיקון פקודת מס הכנסה (עידוד צמיחה לעסקים עצמאיים קטנים ובינוניים), התשפ"א-2021</t>
  </si>
  <si>
    <t xml:space="preserve"> (פ/665/24)</t>
  </si>
  <si>
    <t xml:space="preserve">הצעת חוק מס ערך מוסף (תיקון - מועד הוצאת חשבונית מס), התשפ"א-2021</t>
  </si>
  <si>
    <t xml:space="preserve"> (פ/664/24)</t>
  </si>
  <si>
    <t xml:space="preserve">הצעת חוק המכר (דירות) (הבטחת השקעות של רוכשי דירות) (תיקון - התחדשות עירונית), התשפ"א-2021</t>
  </si>
  <si>
    <t xml:space="preserve"> (פ/663/24)</t>
  </si>
  <si>
    <t xml:space="preserve">הצעת חוק לתיקון פקודת העיריות (ייצוג הולם בשמות מקומות ציבוריים), התשפ"א-2021</t>
  </si>
  <si>
    <t xml:space="preserve"> (פ/662/24)</t>
  </si>
  <si>
    <t xml:space="preserve">הצעת חוק הרבנות הראשית לישראל (תיקון - סייג לבחירה או למינוי לתפקיד רב ראשי לישראל או לחבר מועצה), התשפ"א-2021</t>
  </si>
  <si>
    <t xml:space="preserve"> (פ/661/24)</t>
  </si>
  <si>
    <t xml:space="preserve">הצעת חוק זכויות הסטודנט (תיקון - איסור הפליית מועמדים או סטודנטים), התשפ"א-2021</t>
  </si>
  <si>
    <t xml:space="preserve"> (פ/660/24)</t>
  </si>
  <si>
    <t xml:space="preserve">הצעת חוק איסור הפליה במוצרים, בשירותים ובכניסה למקומות בידור ולמקומות ציבוריים (תיקון - איסור הפרעה להנקה בציבור), התשפ"א-2021</t>
  </si>
  <si>
    <t xml:space="preserve"> (פ/659/24)</t>
  </si>
  <si>
    <t xml:space="preserve">הצעת חוק הבנקאות (רישוי) (תיקון - אישור ועדת הכספים של הכנסת לרכישת תאגיד בנקאי על ידי תאגיד בנקאי אחר), התשפ"א-2021</t>
  </si>
  <si>
    <t xml:space="preserve"> (פ/658/24)</t>
  </si>
  <si>
    <t xml:space="preserve">הצעת חוק להגבלת כהונת ראש רשות מקומית (תיקוני חקיקה), התשפ"א-2021</t>
  </si>
  <si>
    <t xml:space="preserve"> (פ/657/24)</t>
  </si>
  <si>
    <t xml:space="preserve">הצעת חוק חינוך ממלכתי (תיקון - הקניית ידע פיננסי וכישורי חיים), התשפ"א-2021</t>
  </si>
  <si>
    <t xml:space="preserve"> (פ/656/24)</t>
  </si>
  <si>
    <t xml:space="preserve"> (פ/655/24)</t>
  </si>
  <si>
    <t xml:space="preserve">הצעת חוק התכנון והבנייה (תיקון - הוראות שונות לעניין היטל השבחה), התשפ"א-2021</t>
  </si>
  <si>
    <t xml:space="preserve"> (פ/654/24)</t>
  </si>
  <si>
    <t xml:space="preserve"> (פ/653/24)</t>
  </si>
  <si>
    <t xml:space="preserve">הצעת חוק הקרן הקיימת לישראל (תחולת דיני המס), התשפ"א-2021</t>
  </si>
  <si>
    <t xml:space="preserve"> (פ/652/24)</t>
  </si>
  <si>
    <t xml:space="preserve"> (פ/651/24)</t>
  </si>
  <si>
    <t xml:space="preserve">הצעת חוק מיסוי מקרקעין (שבח ורכישה) (תיקון - ביטול הפטור ממס שבח לתושב חוץ), התשפ"א-2021</t>
  </si>
  <si>
    <t xml:space="preserve"> (פ/650/24)</t>
  </si>
  <si>
    <t xml:space="preserve">הצעת חוק איסור הפליה במוצרים, בשירותים ובכניסה למקומות בידור ולמקומות ציבוריים (תיקון - איסור הפרדה), התשפ"א-2021</t>
  </si>
  <si>
    <t xml:space="preserve"> (פ/649/24)</t>
  </si>
  <si>
    <t xml:space="preserve">הצעת חוק התכנון והבנייה (תיקון - הטמנת תשתיות בחוף הים), התשפ"א-2021</t>
  </si>
  <si>
    <t xml:space="preserve"> (פ/648/24)</t>
  </si>
  <si>
    <t xml:space="preserve">הצעת חוק לתיקון פקודת הבנקאות (בדיקה ודיווח לבקשת ועדת הכספים של הכנסת), התשפ"א-2021</t>
  </si>
  <si>
    <t xml:space="preserve"> (פ/647/24)</t>
  </si>
  <si>
    <t xml:space="preserve">הצעת חוק התכנון והבנייה (תיקון - היתר הניתן לפי תכניות ישנות), התשפ"א-2021</t>
  </si>
  <si>
    <t xml:space="preserve"> (פ/646/24)</t>
  </si>
  <si>
    <t xml:space="preserve">הצעת חוק הרשויות המקומיות (בחירת ראש הרשות וסגניו וכהונתם) (תיקון - הליך ההשעיה בגין הגשת כתב אישום), התשפ"א-2021</t>
  </si>
  <si>
    <t xml:space="preserve"> (פ/645/24)</t>
  </si>
  <si>
    <t xml:space="preserve">הצעת חוק חסינות חברי הכנסת, זכויותיהם וחובותיהם (תיקון - הצהרה על חשבונות בנק בחוץ לארץ), התשפ"א-2021</t>
  </si>
  <si>
    <t xml:space="preserve"> (פ/644/24)</t>
  </si>
  <si>
    <t xml:space="preserve">הצעת חוק הסדרים במשק המדינה (תיקוני חקיקה להשגת יעדי התקציב) (תיקון - ארנונה על מבנה מגורים שאינו בשימוש), התשפ"א-2021</t>
  </si>
  <si>
    <t xml:space="preserve"> (פ/643/24)</t>
  </si>
  <si>
    <t xml:space="preserve">הצעת חוק הבטחת הכנסה (תיקון - גמלה לאם חד-הורית), התשפ"א-2021</t>
  </si>
  <si>
    <t xml:space="preserve"> (פ/642/24)</t>
  </si>
  <si>
    <t xml:space="preserve">הצעת חוק הנכים (תגמולים ושיקום) (תיקון - הגבלת שכר טרחת עורך דין), התשפ"א-2021</t>
  </si>
  <si>
    <t xml:space="preserve"> (פ/641/24)</t>
  </si>
  <si>
    <t xml:space="preserve"> (פ/640/24)</t>
  </si>
  <si>
    <t xml:space="preserve">הצעת חוק הביקורת הפנימית (תיקון - אחריות ועצמאות המבקר), התשפ"א-2021</t>
  </si>
  <si>
    <t xml:space="preserve"> (פ/638/24)</t>
  </si>
  <si>
    <t xml:space="preserve"> (פ/637/24)</t>
  </si>
  <si>
    <t xml:space="preserve">הצעת חוק רשות מקרקעי ישראל (תיקון - הקצאה שוויונית לאוכלוסייה הערבית), התשפ"א-2021</t>
  </si>
  <si>
    <t xml:space="preserve"> (פ/636/24)</t>
  </si>
  <si>
    <t xml:space="preserve">הצעת חוק לתיקון פקודת התעבורה (התראה מפני מצלמות ומכמונות מהירות), התשפ"א-2021</t>
  </si>
  <si>
    <t xml:space="preserve"> (פ/635/24)</t>
  </si>
  <si>
    <t xml:space="preserve">הצעת חוק התכנון והבנייה (תיקון - תסקיר גישה ובטיחות בנתיבי תנועה ציבוריים), התשפ"א-2021</t>
  </si>
  <si>
    <t xml:space="preserve"> (פ/634/24)</t>
  </si>
  <si>
    <t xml:space="preserve">הצעת חוק מתן שירות בשפה הערבית בגופים ציבוריים ובגופים מסחריים, התשפ"א-2021 </t>
  </si>
  <si>
    <t xml:space="preserve"> (פ/633/24)</t>
  </si>
  <si>
    <t xml:space="preserve">הצעת חוק הסדרת מקומות רחצה (תיקון - איסור גביית דמי כניסה), התשפ"א-2021</t>
  </si>
  <si>
    <t xml:space="preserve"> (פ/632/24)</t>
  </si>
  <si>
    <t xml:space="preserve">הצעת חוק שירותי תעופה (פיצוי וסיוע בשל ביטול טיסה או שינוי בתנאיה) (תיקון - הוראות שונות), התשפ"א-2021</t>
  </si>
  <si>
    <t xml:space="preserve"> (פ/631/24)</t>
  </si>
  <si>
    <t xml:space="preserve">הצעת חוק דמי מחלה (היעדרות בשל מחלת ילד) (תיקון - מספר ימי מחלת ילד להורה ליותר מילד אחד), התשפ"א-2021</t>
  </si>
  <si>
    <t xml:space="preserve"> (פ/630/24)</t>
  </si>
  <si>
    <t xml:space="preserve">הצעת חוק לתיקון פקודת מס הכנסה (דחיית הגשת דיווח שנתי לעסק שהוקם ברבעון האחרון של השנה), התשפ"א-2021</t>
  </si>
  <si>
    <t xml:space="preserve"> (פ/629/24)</t>
  </si>
  <si>
    <t xml:space="preserve">הצעת חוק אמנת הפליט להסדרת מעמד מבקשי מקלט ופליטים בישראל, התשפ"א-2021</t>
  </si>
  <si>
    <t xml:space="preserve"> (פ/628/24)</t>
  </si>
  <si>
    <t xml:space="preserve">הצעת חוק הסכמים קיבוציים (תיקון - סייג לגביית דמי חבר ודמי טיפול מקצועי-ארגוני בארגון עובדים), התשפ"א-2021</t>
  </si>
  <si>
    <t xml:space="preserve"> (פ/627/24)</t>
  </si>
  <si>
    <t xml:space="preserve">הצעת חוק יישוב סכסוכי עבודה (תיקון - הוספת שירות לשינוע מזומנים ומעות להגדרה "שירות ציבורי"), התשפ"א-2021</t>
  </si>
  <si>
    <t xml:space="preserve"> (פ/626/24)</t>
  </si>
  <si>
    <t xml:space="preserve">הצעת חוק ביטוח בריאות ממלכתי (תיקון - בחירה מבין נותני השירותים), התשפ"א-2021</t>
  </si>
  <si>
    <t xml:space="preserve"> (פ/625/24)</t>
  </si>
  <si>
    <t xml:space="preserve">הצעת חוק הביטוח הלאומי (תיקון - הגדלת סכום קצבאות הילדים), התשפ"א-2021</t>
  </si>
  <si>
    <t xml:space="preserve"> (פ/624/24)</t>
  </si>
  <si>
    <t xml:space="preserve">הצעת חוק האזרחים הוותיקים (הנחה בארנונה), התשפ"א-2021</t>
  </si>
  <si>
    <t xml:space="preserve"> (פ/623/24)</t>
  </si>
  <si>
    <t xml:space="preserve">הצעת חוק זכויות נפגעי עבירה (תיקון - הקמת נציבות זכויות נפגעי עבירה), התשפ"א-2021</t>
  </si>
  <si>
    <t xml:space="preserve"> (פ/622/24)</t>
  </si>
  <si>
    <t xml:space="preserve">הצעת חוק העונשין (תיקון - החרגת טורניר מהגדרת משחק אסור), התשפ"א-2021</t>
  </si>
  <si>
    <t xml:space="preserve"> (פ/620/24)</t>
  </si>
  <si>
    <t xml:space="preserve">הצעת חוק שוויון ההזדמנויות בעבודה (תיקון - עצמאות נציבות שוויון הזדמנויות בעבודה), התשפ"א-2021</t>
  </si>
  <si>
    <t xml:space="preserve"> (פ/618/24)</t>
  </si>
  <si>
    <t xml:space="preserve">הצעת חוק הביטוח הלאומי (תיקון - הרחבת הזכאות למענק פטירה), התשפ"א-2021</t>
  </si>
  <si>
    <t xml:space="preserve"> (פ/617/24)</t>
  </si>
  <si>
    <t xml:space="preserve">הצעת חוק פיקוח על מחירי מצרכים ושירותים (תיקון - פיקוח על מוצרי מזון לתינוקות), התשפ"א-2021</t>
  </si>
  <si>
    <t xml:space="preserve"> (פ/616/24)</t>
  </si>
  <si>
    <t xml:space="preserve">הצעת חוק הביטוח הלאומי (דמי הסתגלות לעצמאית) (הוראת שעה), התשפ"א-2021</t>
  </si>
  <si>
    <t xml:space="preserve"> (פ/615/24)</t>
  </si>
  <si>
    <t xml:space="preserve">הצעת חוק האזרחים הוותיקים (תיקון - חניה חינם לאזרח ותיק שמלאו לו 70 שנים), התשפ"א-2021</t>
  </si>
  <si>
    <t xml:space="preserve"> (פ/614/24)</t>
  </si>
  <si>
    <t xml:space="preserve"> (פ/613/24)</t>
  </si>
  <si>
    <t xml:space="preserve"> (פ/612/24)</t>
  </si>
  <si>
    <t xml:space="preserve">הצעת חוק לתיקון פקודת הרוקחים (הכשרת עוזרי רוקח), התשפ"א-2021</t>
  </si>
  <si>
    <t xml:space="preserve"> (פ/611/24)</t>
  </si>
  <si>
    <t xml:space="preserve">הצעת חוק למניעת אלימות במשפחה (תיקון - הוראה לקבלת טיפול) (הוראת שעה), התשפ"א-2021</t>
  </si>
  <si>
    <t xml:space="preserve"> (פ/610/24)</t>
  </si>
  <si>
    <t xml:space="preserve">הצעת חוק השמות (תיקון - בחירה או שינוי שם), התשפ"א-2021</t>
  </si>
  <si>
    <t xml:space="preserve"> (פ/609/24)</t>
  </si>
  <si>
    <t xml:space="preserve"> (פ/607/24)</t>
  </si>
  <si>
    <t xml:space="preserve">הצעת חוק התכנון והבנייה (תיקון - פרסום בדבר קבלת היתר בנייה ותחילת עבודה), התשפ"א-2021</t>
  </si>
  <si>
    <t xml:space="preserve"> (פ/605/24)</t>
  </si>
  <si>
    <t xml:space="preserve">הצעת חוק החברות הממשלתיות (תיקון - כשירות מיוחדת), התשפ"א-2021</t>
  </si>
  <si>
    <t xml:space="preserve"> (פ/604/24)</t>
  </si>
  <si>
    <t xml:space="preserve">הצעת חוק קליטת חיילים משוחררים (תיקון - תקצוב על פי מספר חיילים משוחררים הנרשמים ללימודים), התשפ"א-2021</t>
  </si>
  <si>
    <t xml:space="preserve"> (פ/603/24)</t>
  </si>
  <si>
    <t xml:space="preserve">הצעת חוק הכניסה לישראל (תיקון - ביטול האיסור על מתן אשרה ורישיון ישיבה לקורא לחרם על ישראל), התשפ"א-2021</t>
  </si>
  <si>
    <t xml:space="preserve"> (פ/602/24)</t>
  </si>
  <si>
    <t xml:space="preserve">הצעת חוק פיצוי לנפגעי פוליו (תיקון - הרחבת הזכאות לחולים שנותחו לפני שנת 1980), התשפ"א-2021</t>
  </si>
  <si>
    <t xml:space="preserve"> (פ/601/24)</t>
  </si>
  <si>
    <t xml:space="preserve">הצעת חוק המאבק בטרור (תיקון - גילוי הזדהות עם ארגון טרור ברשת חברתית), התשפ"א-2021</t>
  </si>
  <si>
    <t xml:space="preserve"> (פ/600/24)</t>
  </si>
  <si>
    <t xml:space="preserve"> (פ/599/24)</t>
  </si>
  <si>
    <t xml:space="preserve">הצעת חוק הבחירות לכנסת (תיקון - יושב ראש ועדת הבחירות המרכזית), התשפ"א-2021 </t>
  </si>
  <si>
    <t xml:space="preserve"> (פ/598/24)</t>
  </si>
  <si>
    <t xml:space="preserve"> (פ/597/24)</t>
  </si>
  <si>
    <t xml:space="preserve"> (פ/595/24)</t>
  </si>
  <si>
    <t xml:space="preserve"> (פ/594/24)</t>
  </si>
  <si>
    <t xml:space="preserve">הצעת חוק יסודות התקציב (תיקון - תקציב המשטרה), התשפ"א-2021</t>
  </si>
  <si>
    <t xml:space="preserve"> (פ/593/24)</t>
  </si>
  <si>
    <t xml:space="preserve">הצעת חוק השתלת אברים (תיקון - שינוי ברירת המחדל), התשפ"א-2021</t>
  </si>
  <si>
    <t xml:space="preserve"> (פ/592/24)</t>
  </si>
  <si>
    <t xml:space="preserve"> (פ/591/24)</t>
  </si>
  <si>
    <t xml:space="preserve">הצעת חוק דמי מחלה (תיקון - קרן ימי מחלה), התשפ"א-2021</t>
  </si>
  <si>
    <t xml:space="preserve"> (פ/590/24)</t>
  </si>
  <si>
    <t xml:space="preserve">הצעת חוק יום הזיכרון לנכבה, התשפ"א-2021</t>
  </si>
  <si>
    <t xml:space="preserve"> (פ/589/24)</t>
  </si>
  <si>
    <t xml:space="preserve">הצעת חוק למניעת העישון במקומות ציבוריים והחשיפה לעישון (תיקון - איסור עישון במקומות ציבוריים פתוחים), התשפ"א-2021</t>
  </si>
  <si>
    <t xml:space="preserve"> (פ/588/24)</t>
  </si>
  <si>
    <t xml:space="preserve"> (פ/587/24)</t>
  </si>
  <si>
    <t xml:space="preserve">הצעת חוק זכויות, שירותים והתאמות בחינוך לילדים עם צרכים מיוחדים, התשפ"א-2021</t>
  </si>
  <si>
    <t xml:space="preserve"> (פ/586/24)</t>
  </si>
  <si>
    <t xml:space="preserve">הצעת חוק המועצה להשכלה גבוהה (תיקון - ביטול חובת דרישות מבחני כניסה וציון פסיכומטרי), התשפ"א-2021 </t>
  </si>
  <si>
    <t xml:space="preserve"> (פ/585/24)</t>
  </si>
  <si>
    <t xml:space="preserve"> (פ/584/24)</t>
  </si>
  <si>
    <t xml:space="preserve">הצעת חוק להגנת חיית הבר (תיקון - איסור מכירת פרוות), התשפ"א-2021</t>
  </si>
  <si>
    <t xml:space="preserve"> (פ/583/24)</t>
  </si>
  <si>
    <t xml:space="preserve">הצעת חוק חינוך ממלכתי (תיקון - הגבלת כהונה של מפקח מחוז), התשפ"א-2021</t>
  </si>
  <si>
    <t xml:space="preserve"> (פ/582/24)</t>
  </si>
  <si>
    <t xml:space="preserve"> (פ/581/24)</t>
  </si>
  <si>
    <t xml:space="preserve">הצעת חוק לתיקון פקודת התעבורה (הסעת אזרח ותיק באוטובוס), התשפ"א-2021</t>
  </si>
  <si>
    <t xml:space="preserve"> (פ/580/24)</t>
  </si>
  <si>
    <t xml:space="preserve">הצעת חוק מרשם האוכלוסין (תיקון - רישום הורה נוסף), התשפ"א-2021</t>
  </si>
  <si>
    <t xml:space="preserve"> (פ/579/24)</t>
  </si>
  <si>
    <t xml:space="preserve"> (פ/578/24)</t>
  </si>
  <si>
    <t xml:space="preserve"> (פ/577/24)</t>
  </si>
  <si>
    <t xml:space="preserve"> (פ/576/24)</t>
  </si>
  <si>
    <t xml:space="preserve">הצעת חוק לתיקון פקודת המסים (גבייה) (ביטול החוק), התשפ"א-2021</t>
  </si>
  <si>
    <t xml:space="preserve"> (פ/575/24)</t>
  </si>
  <si>
    <t xml:space="preserve">הצעת חוק הגנת השכר (תיקון - זכות בחוזה עבודה לעניין שכר דירה או הוצאות לינה), התשפ"א-2021</t>
  </si>
  <si>
    <t xml:space="preserve"> (פ/574/24)</t>
  </si>
  <si>
    <t xml:space="preserve"> (פ/573/24)</t>
  </si>
  <si>
    <t xml:space="preserve"> (פ/572/24)</t>
  </si>
  <si>
    <t xml:space="preserve">הצעת חוק הסכמים לנשיאת עוברים (אישור הסכם ומעמד היילוד) (תיקון - הרחבת הזכאות להליכי נשיאת עוברים והרחבת ההגנה על האם הנושאת), התשפ"א-2021 </t>
  </si>
  <si>
    <t xml:space="preserve"> (פ/571/24)</t>
  </si>
  <si>
    <t xml:space="preserve">הצעת חוק למניעת העישון במקומות ציבוריים והחשיפה לעישון (תיקון - איסור עישון במקומות רחצה, גנים לאומיים ושמורות טבע), התשפ"א-2021</t>
  </si>
  <si>
    <t xml:space="preserve"> (פ/570/24)</t>
  </si>
  <si>
    <t xml:space="preserve">הצעת חוק עבודת נשים (תיקון - שעות היעדרות מעבודה לאישה בהריון בר-סיכון), התשפ"א-2021</t>
  </si>
  <si>
    <t xml:space="preserve"> (פ/569/24)</t>
  </si>
  <si>
    <t xml:space="preserve"> (פ/568/24)</t>
  </si>
  <si>
    <t xml:space="preserve"> (פ/567/24)</t>
  </si>
  <si>
    <t xml:space="preserve">הצעת חוק הביטוח הלאומי (תיקון - ביטול מבחן הכנסה לצורך קביעת זכאות ניצול שואה לגמלת סיעוד), התשפ"א-2021</t>
  </si>
  <si>
    <t xml:space="preserve"> (פ/566/24)</t>
  </si>
  <si>
    <t xml:space="preserve">הצעת חוק דמי מחלה (היעדרות בשל מחלת ילד) (תיקון - היעדרות בשל מחלת ילדו של בן זוג), התשפ"א-2021</t>
  </si>
  <si>
    <t xml:space="preserve"> (פ/564/24)</t>
  </si>
  <si>
    <t xml:space="preserve">הצעת חוק סיוע לצעירים חסרי עורף משפחתי, התשפ"א-2021</t>
  </si>
  <si>
    <t xml:space="preserve"> (פ/563/24)</t>
  </si>
  <si>
    <t xml:space="preserve">הצעת חוק שיפוט בעניני התרת נישואין (מקרים מיוחדים וסמכות בין-לאומית) (תיקון - התרת נישואין אזרחיים), התשפ"א-2021</t>
  </si>
  <si>
    <t xml:space="preserve"> (פ/562/24)</t>
  </si>
  <si>
    <t xml:space="preserve"> (פ/561/24)</t>
  </si>
  <si>
    <t xml:space="preserve">הצעת חוק עסקאות גופים ציבוריים (תיקון - מעבר לרכבים ידידותיים לסביבה בגופים ציבוריים), התשפ"א-2021</t>
  </si>
  <si>
    <t xml:space="preserve"> (פ/560/24)</t>
  </si>
  <si>
    <t xml:space="preserve"> (פ/559/24)</t>
  </si>
  <si>
    <t xml:space="preserve"> (פ/558/24)</t>
  </si>
  <si>
    <t xml:space="preserve">הצעת חוק הפיקוח על מצרכים ושירותים (תיקון - סייגים לעסקאות בציוד צבאי), התשפ"א-2021</t>
  </si>
  <si>
    <t xml:space="preserve"> (פ/557/24)</t>
  </si>
  <si>
    <t xml:space="preserve">הצעת חוק לעידוד מחקר, פיתוח וחדשנות טכנולוגית בתעשייה (תיקון - תקציב הרשות הלאומית לחדשנות טכנולוגית), התשפ"א-2021</t>
  </si>
  <si>
    <t xml:space="preserve"> (פ/555/24)</t>
  </si>
  <si>
    <t xml:space="preserve"> (פ/554/24)</t>
  </si>
  <si>
    <t xml:space="preserve"> (פ/549/24)</t>
  </si>
  <si>
    <t xml:space="preserve">הצעת חוק המועצה להשכלה גבוהה (תיקון - קביעת שכר לימוד במוסדות מוכרים שהמדינה אינה משתתפת בתקציביהם), התשפ"א-2021</t>
  </si>
  <si>
    <t xml:space="preserve"> (פ/548/24)</t>
  </si>
  <si>
    <t xml:space="preserve"> (פ/547/24)</t>
  </si>
  <si>
    <t xml:space="preserve">הצעת חוק הביטוח הלאומי (תיקון - חישוב דמי לידה לפי ממוצע שנת עבודה), התשפ"א-2021</t>
  </si>
  <si>
    <t xml:space="preserve"> (פ/545/24)</t>
  </si>
  <si>
    <t xml:space="preserve">הצעת חוק שכר ותנאי עבודה לנהגי תחבורה ציבורית, התשפ"א-2021</t>
  </si>
  <si>
    <t xml:space="preserve"> (פ/544/24)</t>
  </si>
  <si>
    <t xml:space="preserve">הצעת חוק פינוי ההתנחלות בחברון, התשפ"א-2021</t>
  </si>
  <si>
    <t xml:space="preserve"> (פ/543/24)</t>
  </si>
  <si>
    <t xml:space="preserve">הצעת חוק לתיקון פקודת התעבורה (סמכות שוטר בעבירות הנוגעות לשימוש בטלפון נייד), התשפ"א-2021</t>
  </si>
  <si>
    <t xml:space="preserve"> (פ/542/24)</t>
  </si>
  <si>
    <t xml:space="preserve">הצעת חוק הרשויות המקומיות (בחירת ראש הרשות וסגניו וכהונתם) (תיקון - מילוי מקום ראש רשות שהושעה מכהונה בשל הגשת כתב אישום ושב ונבחר), התשפ"א-2021</t>
  </si>
  <si>
    <t xml:space="preserve"> (פ/541/24)</t>
  </si>
  <si>
    <t xml:space="preserve">הצעת חוק להגבלת הריסה וענישה על בנייה בלתי חוקית במגזר הערבי (הוראת שעה), התשפ"א-2021</t>
  </si>
  <si>
    <t xml:space="preserve"> (פ/540/24)</t>
  </si>
  <si>
    <t xml:space="preserve">הצעת חוק אחריות לעבודות שיפוצים, התשפ"א-2021</t>
  </si>
  <si>
    <t xml:space="preserve"> (פ/539/24)</t>
  </si>
  <si>
    <t xml:space="preserve">הצעת חוק להגברת האכיפה של דיני העבודה (תיקון - הפרות בטיחות בעבודה בתחום הבנייה), התשפ"א-2021</t>
  </si>
  <si>
    <t xml:space="preserve"> (פ/538/24)</t>
  </si>
  <si>
    <t xml:space="preserve">הצעת חוק צער בעלי חיים (הגנה על בעלי חיים) (תיקון - איסור ניצול בעלי חיים למטרות הימורים), התשפ"א-2021</t>
  </si>
  <si>
    <t xml:space="preserve"> (פ/537/24)</t>
  </si>
  <si>
    <t xml:space="preserve">הצעת חוק ביטוח בריאות ממלכתי (תיקון - מתן טיפולי שיניים, פה ולסת למבוטח עם שיתוק מוחין), התשפ"א-2021</t>
  </si>
  <si>
    <t xml:space="preserve"> (פ/536/24)</t>
  </si>
  <si>
    <t xml:space="preserve">הצעת חוק האזרחים הוותיקים (תיקון - הקצאת מקומות חניה במקום ציבורי לאזרח ותיק), התשפ"א-2021</t>
  </si>
  <si>
    <t xml:space="preserve"> (פ/535/24)</t>
  </si>
  <si>
    <t xml:space="preserve">הצעת חוק הרשות לטיפול בנפגעי הלם קרב, התשפ"א-2021</t>
  </si>
  <si>
    <t xml:space="preserve"> (פ/534/24)</t>
  </si>
  <si>
    <t xml:space="preserve">הצעת חוק לתיקון פקודת המסים (גבייה) (פיצוי עקב טעות), התשפ"א-2021</t>
  </si>
  <si>
    <t xml:space="preserve"> (פ/533/24)</t>
  </si>
  <si>
    <t xml:space="preserve">הצעת חוק חסינות חברי הכנסת, זכויותיהם וחובותיהם (תיקון - חובת גילוי של מסחר בניירות ערך לחבר בוועדת הכספים או הכלכלה של הכנסת), התשפ"א-2021</t>
  </si>
  <si>
    <t xml:space="preserve"> (פ/532/24)</t>
  </si>
  <si>
    <t xml:space="preserve"> (פ/531/24)</t>
  </si>
  <si>
    <t xml:space="preserve">הצעת חוק ביטוח בריאות ממלכתי (תיקון - תרופות בסבסוד מלא לוותיקי מלחמת העולם השנייה), התשפ"א-2021</t>
  </si>
  <si>
    <t xml:space="preserve"> (פ/530/24)</t>
  </si>
  <si>
    <t xml:space="preserve">הצעת חוק שירות לאומי-אזרחי (תיקון - משרת בודד), התשפ"א-2021</t>
  </si>
  <si>
    <t xml:space="preserve"> (פ/529/24)</t>
  </si>
  <si>
    <t xml:space="preserve">הצעת חוק העונשין (תיקון - גזענות נגד קבוצה דתית), התשפ"א-2021</t>
  </si>
  <si>
    <t xml:space="preserve"> (פ/528/24)</t>
  </si>
  <si>
    <t xml:space="preserve"> (פ/527/24)</t>
  </si>
  <si>
    <t xml:space="preserve"> (פ/526/24)</t>
  </si>
  <si>
    <t xml:space="preserve">הצעת חוק המיזם הלאומי לביטחון תזונתי, התשפ"א-2021</t>
  </si>
  <si>
    <t xml:space="preserve"> (פ/525/24)</t>
  </si>
  <si>
    <t xml:space="preserve">הצעת חוק קליטת חיילים משוחררים (תיקון - מימון שכר לימוד), התשפ"א-2021</t>
  </si>
  <si>
    <t xml:space="preserve"> (פ/524/24)</t>
  </si>
  <si>
    <t xml:space="preserve">הצעת חוק הביטוח הלאומי (תיקון - סיוע לחוזרים בתשובה), התשפ"א-2021</t>
  </si>
  <si>
    <t xml:space="preserve"> (פ/523/24)</t>
  </si>
  <si>
    <t xml:space="preserve"> (פ/522/24)</t>
  </si>
  <si>
    <t xml:space="preserve">הצעת חוק להנצחת מורשת המחתרות, התשפ"א-2021</t>
  </si>
  <si>
    <t xml:space="preserve"> (פ/521/24)</t>
  </si>
  <si>
    <t xml:space="preserve">הצעת חוק הביטוח הלאומי (תיקון - שיעור ההטבה לפי הסכם בדבר גמלת ניידות), התשפ"א-2021</t>
  </si>
  <si>
    <t xml:space="preserve"> (פ/520/24)</t>
  </si>
  <si>
    <t xml:space="preserve">הצעת חוק לתיקון פקודת העדה הדתית (המרה) (גיור על ידי רב מקומי), התשפ"א-2021</t>
  </si>
  <si>
    <t xml:space="preserve"> (פ/518/24)</t>
  </si>
  <si>
    <t xml:space="preserve">הצעת חוק-יסוד: הממשלה (תיקון - החלת שקיפות ופרסום פרוטוקולים ונתונים בהתקנת תקנות לשעת חירום)</t>
  </si>
  <si>
    <t xml:space="preserve"> (פ/517/24)</t>
  </si>
  <si>
    <t xml:space="preserve">הצעת חוק-יסוד: הממשלה (תיקון - החלת שקיפות ופרסום פרוטוקולים ונתונים, בהתקנת תקנות לשעת חירום)</t>
  </si>
  <si>
    <t xml:space="preserve"> (פ/516/24)</t>
  </si>
  <si>
    <t xml:space="preserve">הצעת חוק ההתיישנות (תיקון - תביעה בגין אחריות לפגיעה מינית בקטין), התשפ"א-2021</t>
  </si>
  <si>
    <t xml:space="preserve"> (פ/515/24)</t>
  </si>
  <si>
    <t xml:space="preserve">הצעת חוק לתיקון פקודת התעבורה (פטור מתשלום דמי חניה באזורי מגורים במהלך שבתות ומועדי ישראל), התשפ"א-2021</t>
  </si>
  <si>
    <t xml:space="preserve"> (פ/514/24)</t>
  </si>
  <si>
    <t xml:space="preserve">הצעת חוק הגנת הצרכן (תיקון - צירוף הוראות שימוש בשפה העברית למוצרי חשמל), התשפ"א-2021</t>
  </si>
  <si>
    <t xml:space="preserve"> (פ/513/24)</t>
  </si>
  <si>
    <t xml:space="preserve">הצעת חוק חינוך ממלכתי (תיקון - מימון מוסדות חינוך מוכרים לא רשמיים), התשפ"א-2021</t>
  </si>
  <si>
    <t xml:space="preserve"> (פ/512/24)</t>
  </si>
  <si>
    <t xml:space="preserve">הצעת חוק דמי מחלה (היעדרות בשל מחלת ילד) (תיקון - היעדרות בשל אשפוז ילד), התשפ"א-2021</t>
  </si>
  <si>
    <t xml:space="preserve"> (פ/511/24)</t>
  </si>
  <si>
    <t xml:space="preserve"> (פ/510/24)</t>
  </si>
  <si>
    <t xml:space="preserve">הצעת חוק ביטוח בריאות ממלכתי (תיקון - החזר אגרת נסיעה באמבולנס), התשפ"א-2021</t>
  </si>
  <si>
    <t xml:space="preserve"> (פ/509/24)</t>
  </si>
  <si>
    <t xml:space="preserve">הצעת חוק פינוי ההתנחלות יצהר ותשעת המאחזים הסמוכים אליה, התשפ"א-2021</t>
  </si>
  <si>
    <t xml:space="preserve"> (פ/508/24)</t>
  </si>
  <si>
    <t xml:space="preserve"> (פ/507/24)</t>
  </si>
  <si>
    <t xml:space="preserve">הצעת חוק חיזוק מעמד חברי המועצה מקרב סיעות האופוזיציה (תיקוני חקיקה), התשפ"א-2021</t>
  </si>
  <si>
    <t xml:space="preserve"> (פ/506/24)</t>
  </si>
  <si>
    <t xml:space="preserve">הצעת חוק לתיקון פקודת העיריות (ערר על החלטת שר הפנים לעניין חוקי עזר), התשפ"א-2021</t>
  </si>
  <si>
    <t xml:space="preserve"> (פ/505/24)</t>
  </si>
  <si>
    <t xml:space="preserve">הצעת חוק הרשויות המקומיות (זכויות וחובות של חברי מועצה), התשפ"א-2021</t>
  </si>
  <si>
    <t xml:space="preserve"> (פ/504/24)</t>
  </si>
  <si>
    <t xml:space="preserve">הצעת חוק נתוני אשראי (תיקון - איסור שימוש בנתוני אשראי שנאספו בתקופת משבר הקורונה), התשפ"א-2021 </t>
  </si>
  <si>
    <t xml:space="preserve"> (פ/503/24)</t>
  </si>
  <si>
    <t xml:space="preserve">הצעת חוק חניה לנכים (תיקון - תג נכה אישי), התשפ"א-2021</t>
  </si>
  <si>
    <t xml:space="preserve"> (פ/502/24)</t>
  </si>
  <si>
    <t xml:space="preserve"> (פ/501/24)</t>
  </si>
  <si>
    <t xml:space="preserve">הצעת חוק העברת מידע לשם פיקוח על הפרשות לפנסיה, התשפ"א-2021</t>
  </si>
  <si>
    <t xml:space="preserve"> (פ/500/24)</t>
  </si>
  <si>
    <t xml:space="preserve">הצעת חוק חניה לנכים (תיקון - החלפת המונח נכה), התשפ"א-2021</t>
  </si>
  <si>
    <t xml:space="preserve"> (פ/499/24)</t>
  </si>
  <si>
    <t xml:space="preserve">הצעת חוק לתיקון פקודת הרוקחים (חיוב רישום רכיבי תמרוקים ומוצרי ניקיון), התשפ"א-2021</t>
  </si>
  <si>
    <t xml:space="preserve"> (פ/498/24)</t>
  </si>
  <si>
    <t xml:space="preserve">הצעת חוק הסכמים לנשיאת עוברים (אישור הסכם ומעמד היילוד) (תיקון - הורים מיועדים), התשפ"א-2021</t>
  </si>
  <si>
    <t xml:space="preserve"> (פ/497/24)</t>
  </si>
  <si>
    <t xml:space="preserve">הצעת חוק הכשרות המשפטית והאפוטרופסות (תיקון - תשלום שכר והוצאות של אפוטרופוס מאוצר המדינה), התשפ"א-2021</t>
  </si>
  <si>
    <t xml:space="preserve"> (פ/495/24)</t>
  </si>
  <si>
    <t xml:space="preserve">הצעת חוק הביטוח הלאומי (תיקון - תוספת דמי אבטלה למי שמתחת לגיל 28 עם ילד אחד לפחות), התשפ"א-2021 </t>
  </si>
  <si>
    <t xml:space="preserve"> (פ/494/24)</t>
  </si>
  <si>
    <t xml:space="preserve">הצעת חוק התגמולים לנפגעי פעולות איבה (תיקון - פגיעה מנפל), התשפ"א-2021</t>
  </si>
  <si>
    <t xml:space="preserve"> (פ/493/24)</t>
  </si>
  <si>
    <t xml:space="preserve"> (פ/492/24)</t>
  </si>
  <si>
    <t xml:space="preserve">הצעת חוק התרת נישואין אזרחיים (תיקוני חקיקה), התשפ"א-2021</t>
  </si>
  <si>
    <t xml:space="preserve"> (פ/491/24)</t>
  </si>
  <si>
    <t xml:space="preserve">הצעת חוק התכנון והבנייה (תיקון - תוקף היתר הבנייה), התשפ"א-2021</t>
  </si>
  <si>
    <t xml:space="preserve"> (פ/490/24)</t>
  </si>
  <si>
    <t xml:space="preserve">הצעת חוק הכנסת (תיקון - דיווח מנהלים כלליים חדשים לוועדות הכנסת), התשפ"א-2021</t>
  </si>
  <si>
    <t xml:space="preserve"> (פ/489/24)</t>
  </si>
  <si>
    <t xml:space="preserve">הצעת חוק מעונות יום שיקומיים (תיקון - מעונות יום עם הגנה חיסונית), התשפ"א-2021</t>
  </si>
  <si>
    <t xml:space="preserve"> (פ/488/24)</t>
  </si>
  <si>
    <t xml:space="preserve">הצעת חוק הבטחת הכנסה (תיקון - הגדלת הסכום להשתכרות בנוסף לקצבה), התשפ"א-2021</t>
  </si>
  <si>
    <t xml:space="preserve"> (פ/487/24)</t>
  </si>
  <si>
    <t xml:space="preserve">הצעת חוק הבחירות לכנסת (תיקון - הפחתת אחוז החסימה), התשפ"א-2021</t>
  </si>
  <si>
    <t xml:space="preserve"> (פ/486/24)</t>
  </si>
  <si>
    <t xml:space="preserve"> (פ/485/24)</t>
  </si>
  <si>
    <t xml:space="preserve"> (פ/484/24)</t>
  </si>
  <si>
    <t xml:space="preserve"> (פ/483/24)</t>
  </si>
  <si>
    <t xml:space="preserve">הצעת חוק בקעת הירדן, צפון ים המלח ומדבר יהודה, התשפ"א-2021</t>
  </si>
  <si>
    <t xml:space="preserve"> (פ/482/24)</t>
  </si>
  <si>
    <t xml:space="preserve">הצעת חוק לתיקון פקודת המשטרה (אלימות שוטרים ושינויים ארגוניים), התשפ"א-2021</t>
  </si>
  <si>
    <t xml:space="preserve"> (פ/481/24)</t>
  </si>
  <si>
    <t xml:space="preserve">הצעת חוק החלת החוק הישראלי בשטח בקעת הירדן, צפון ים המלח, ובישובים היהודיים ביהודה והשומרון, התשפ"א-2021</t>
  </si>
  <si>
    <t xml:space="preserve"> (פ/480/24)</t>
  </si>
  <si>
    <t xml:space="preserve">הצעת חוק הגנה על ישראלים מפני מוסדות בין-לאומיים עוינים, התשפ"א-2021</t>
  </si>
  <si>
    <t xml:space="preserve"> (פ/478/24)</t>
  </si>
  <si>
    <t xml:space="preserve">הצעת חוק הגנת השכר (תיקון - הגבלת ניכוי דמי חבר ודמי טיפול מקצועי ארגוני), התשפ"א-2021</t>
  </si>
  <si>
    <t xml:space="preserve"> (פ/477/24)</t>
  </si>
  <si>
    <t xml:space="preserve">הצעת חוק ביטוח בריאות ממלכתי (תיקון - זמן סביר לעניין שירות רפואי), התשפ"א-2021</t>
  </si>
  <si>
    <t xml:space="preserve"> (פ/476/24)</t>
  </si>
  <si>
    <t xml:space="preserve"> (פ/474/24)</t>
  </si>
  <si>
    <t xml:space="preserve"> (פ/473/24)</t>
  </si>
  <si>
    <t xml:space="preserve">הצעת חוק שירות ביטחון (תיקון - השוואת תהליכי המיון, השיבוץ, התקינה וההכשרה, המסלולים המקצועיים ואופקי הקידום לנשים וגברים), התשפ"א-2021</t>
  </si>
  <si>
    <t xml:space="preserve"> (פ/472/24)</t>
  </si>
  <si>
    <t xml:space="preserve"> (פ/471/24)</t>
  </si>
  <si>
    <t xml:space="preserve">הצעת חוק מס ערך מוסף (תיקון - עוסק פטור חדש), התשפ"א-2021 </t>
  </si>
  <si>
    <t xml:space="preserve"> (פ/470/24)</t>
  </si>
  <si>
    <t xml:space="preserve">הצעת חוק החזר דמי נסיעה במונית לבית החולים (תיקוני חקיקה), התשפ"א-2021</t>
  </si>
  <si>
    <t xml:space="preserve"> (פ/469/24)</t>
  </si>
  <si>
    <t xml:space="preserve">הצעת חוק-יסוד: הכנסת (תיקון - שלילת שכר בשל אי-הצהרת אמונים)</t>
  </si>
  <si>
    <t xml:space="preserve"> (פ/468/24)</t>
  </si>
  <si>
    <t xml:space="preserve">הצעת חוק האזרחים הוותיקים (תיקון - פטור מתשלום עבור שמירת מקום ישיבה בתחבורה ציבורית), התשפ"א-2021</t>
  </si>
  <si>
    <t xml:space="preserve"> (פ/467/24)</t>
  </si>
  <si>
    <t xml:space="preserve"> (פ/465/24)</t>
  </si>
  <si>
    <t xml:space="preserve">הצעת חוק הסדרת מקומות רחצה (תיקון - תיקון קביעת מקומות לרחצה נפרדת), התשפ"א-2021</t>
  </si>
  <si>
    <t xml:space="preserve"> (פ/463/24)</t>
  </si>
  <si>
    <t xml:space="preserve">הצעת חוק הסדרים במשק המדינה (תיקוני חקיקה להשגת יעדי התקציב) (תיקון - חובת הענקת הנחה בארנונה לאדם בעל מוגבלות), התשפ"א-2021</t>
  </si>
  <si>
    <t xml:space="preserve"> (פ/462/24)</t>
  </si>
  <si>
    <t xml:space="preserve">הצעת חוק התכנון והבנייה (תיקון - חלף היטל השבחה), התשפ"א-2021</t>
  </si>
  <si>
    <t xml:space="preserve"> (פ/461/24)</t>
  </si>
  <si>
    <t xml:space="preserve">הצעת חוק תאגידי מים וביוב (תיקון - הפסקת התקשרות עם חברה), התשפ"א-2021</t>
  </si>
  <si>
    <t xml:space="preserve"> (פ/459/24)</t>
  </si>
  <si>
    <t xml:space="preserve">הצעת חוק הביטוח הלאומי (תיקון - ביטול מענק עבודה מועדפת), התשפ"א-2021</t>
  </si>
  <si>
    <t xml:space="preserve"> (פ/458/24)</t>
  </si>
  <si>
    <t xml:space="preserve">הצעת חוק הביטוח הלאומי (תיקון - ביטול הפחתת דמי אבטלה למי שנמצא בהכשרה מקצועית), התשפ"א-2021</t>
  </si>
  <si>
    <t xml:space="preserve"> (פ/457/24)</t>
  </si>
  <si>
    <t xml:space="preserve">הצעת חוק הביטוח הלאומי (תיקון - זכאות לדמי אבטלה בחמשת הימים הראשונים), התשפ"א-2021</t>
  </si>
  <si>
    <t xml:space="preserve"> (פ/454/24)</t>
  </si>
  <si>
    <t xml:space="preserve"> (פ/453/24)</t>
  </si>
  <si>
    <t xml:space="preserve">הצעת חוק הביטוח הלאומי (תיקון - תשלום רטרואקטיבי בעד תקופה שקדמה להגשת התביעה), התשפ"א-2021</t>
  </si>
  <si>
    <t xml:space="preserve"> (פ/452/24)</t>
  </si>
  <si>
    <t xml:space="preserve">הצעת חוק-יסוד: הממשלה (תיקון - הגבלת מועמד המצוי בחקירה מהרכבת ממשלה)</t>
  </si>
  <si>
    <t xml:space="preserve"> (פ/451/24)</t>
  </si>
  <si>
    <t xml:space="preserve">הצעת חוק הביטוח הלאומי (תיקון - תשלום גמלה בעד תקופה שקדמה להגשת התביעה), התשפ"א-2021</t>
  </si>
  <si>
    <t xml:space="preserve"> (פ/450/24)</t>
  </si>
  <si>
    <t xml:space="preserve"> (פ/449/24)</t>
  </si>
  <si>
    <t xml:space="preserve">הצעת חוק שירות המילואים (תיקון - תוספת גמול לימי מילואים נוספים), התשפ"א-2021</t>
  </si>
  <si>
    <t xml:space="preserve"> (פ/447/24)</t>
  </si>
  <si>
    <t xml:space="preserve">הצעת חוק בתי המשפט (תיקון - שקיפות הליכים משפטיים), התשפ"א-2021</t>
  </si>
  <si>
    <t xml:space="preserve"> (פ/446/24)</t>
  </si>
  <si>
    <t xml:space="preserve"> (פ/445/24)</t>
  </si>
  <si>
    <t xml:space="preserve">הצעת חוק השיפוט הצבאי (תיקון - קביעת ערובה חלף מעצר), התשפ"א-2021</t>
  </si>
  <si>
    <t xml:space="preserve"> (פ/443/24)</t>
  </si>
  <si>
    <t xml:space="preserve">הצעת חוק הנישואין ופירוקם, התשפ"א-2021 </t>
  </si>
  <si>
    <t xml:space="preserve"> (פ/442/24)</t>
  </si>
  <si>
    <t xml:space="preserve">הצעת חוק הביטוח הלאומי (תיקון - זכאות לדמי אבטלה מגיל 19), התשפ"א-2021</t>
  </si>
  <si>
    <t xml:space="preserve"> (פ/441/24)</t>
  </si>
  <si>
    <t xml:space="preserve">הצעת חוק שלילת זכויות למעורב בטרור ולבני משפחתו (תיקוני חקיקה), התשפ"א-2021</t>
  </si>
  <si>
    <t xml:space="preserve"> (פ/440/24)</t>
  </si>
  <si>
    <t xml:space="preserve"> (פ/439/24)</t>
  </si>
  <si>
    <t xml:space="preserve">הצעת חוק הסדרת העיסוק במקצועות הבריאות (תיקון - הסדרת העיסוק בפודולוגיה), התשפ"א-2021</t>
  </si>
  <si>
    <t xml:space="preserve"> (פ/438/24)</t>
  </si>
  <si>
    <t xml:space="preserve">הצעת חוק שירות ביטחון (תיקון - הסדר מעמדם של לומדי התורה), התשפ"א-2021 </t>
  </si>
  <si>
    <t xml:space="preserve"> (פ/437/24)</t>
  </si>
  <si>
    <t xml:space="preserve"> (פ/435/24)</t>
  </si>
  <si>
    <t xml:space="preserve">הצעת חוק ההוצאה לפועל (תיקון - מגבלת רשיון נהיגה), התשפ"א-2021</t>
  </si>
  <si>
    <t xml:space="preserve"> (פ/434/24)</t>
  </si>
  <si>
    <t xml:space="preserve">הצעת חוק הפסיכולוגים (תיקון - איסור טיפולי המרה), התשפ"א-2021</t>
  </si>
  <si>
    <t xml:space="preserve"> (פ/433/24)</t>
  </si>
  <si>
    <t xml:space="preserve">הצעת חוק הפסיכולוגים (איסור טיפולי המרה), התשפ"א-2021</t>
  </si>
  <si>
    <t xml:space="preserve"> (פ/431/24)</t>
  </si>
  <si>
    <t xml:space="preserve">הצעת חוק יסוד: השפיטה (תיקון - הגבלת זכות העמידה)</t>
  </si>
  <si>
    <t xml:space="preserve"> (פ/430/24)</t>
  </si>
  <si>
    <t xml:space="preserve"> (פ/429/24)</t>
  </si>
  <si>
    <t xml:space="preserve"> (פ/428/24)</t>
  </si>
  <si>
    <t xml:space="preserve"> (פ/426/24)</t>
  </si>
  <si>
    <t xml:space="preserve">הצעת חוק השירות הצבאי (שוויון הנטל) (תיקוני חקיקה), התשפ"א-2021</t>
  </si>
  <si>
    <t xml:space="preserve"> (פ/424/24)</t>
  </si>
  <si>
    <t xml:space="preserve"> (פ/423/24)</t>
  </si>
  <si>
    <t xml:space="preserve"> (פ/422/24)</t>
  </si>
  <si>
    <t xml:space="preserve"> (פ/421/24)</t>
  </si>
  <si>
    <t xml:space="preserve">הצעת חוק העונשין (תיקון - החמרת ענישה בגין אי-חובת דיווח), התשפ"א-2021</t>
  </si>
  <si>
    <t xml:space="preserve"> (פ/420/24)</t>
  </si>
  <si>
    <t xml:space="preserve">הצעת חוק למניעת אלימות במשפחה (תיקון - מניעת אלימות כלכלית) (הוראת שעה), התשפ"א-2021</t>
  </si>
  <si>
    <t xml:space="preserve"> (פ/418/24)</t>
  </si>
  <si>
    <t xml:space="preserve">הצעת חוק לביטול ולהארכת ההתיישנות בעבירות מין והטרדה מינית (תיקוני חקיקה), התשפ"א-2021</t>
  </si>
  <si>
    <t xml:space="preserve"> (פ/417/24)</t>
  </si>
  <si>
    <t xml:space="preserve">הצעת חוק-יסוד: הכנסת (תיקון - הרוב הנדרש למניעת השתתפות בבחירות) </t>
  </si>
  <si>
    <t xml:space="preserve"> (פ/416/24)</t>
  </si>
  <si>
    <t xml:space="preserve">הצעת חוק החלת ריבונות ישראל בשטח בקעת הירדן וצפון ים המלח, התשפ"א-2021</t>
  </si>
  <si>
    <t xml:space="preserve"> (פ/415/24)</t>
  </si>
  <si>
    <t xml:space="preserve"> (פ/414/24)</t>
  </si>
  <si>
    <t xml:space="preserve">הצעת חוק הביטוח הלאומי (תיקון - פטור מתשלום דמי ביטוח לתלמיד על יסודי), התשפ"א-2021</t>
  </si>
  <si>
    <t xml:space="preserve"> (פ/413/24)</t>
  </si>
  <si>
    <t xml:space="preserve"> (פ/412/24)</t>
  </si>
  <si>
    <t xml:space="preserve"> (פ/411/24)</t>
  </si>
  <si>
    <t xml:space="preserve"> (פ/409/24)</t>
  </si>
  <si>
    <t xml:space="preserve"> (פ/407/24)</t>
  </si>
  <si>
    <t xml:space="preserve">הצעת חוק בתי המשפט (תיקון - מחלקות לעבירות מין), התשפ"א-2021</t>
  </si>
  <si>
    <t xml:space="preserve"> (פ/406/24)</t>
  </si>
  <si>
    <t xml:space="preserve">הצעת חוק בית המשפט לענייני משפחה (תיקון - מימון ניהול ההליך המשפטי), התשפ"א-2021</t>
  </si>
  <si>
    <t xml:space="preserve"> (פ/405/24)</t>
  </si>
  <si>
    <t xml:space="preserve"> (פ/404/24)</t>
  </si>
  <si>
    <t xml:space="preserve"> (פ/403/24)</t>
  </si>
  <si>
    <t xml:space="preserve">הצעת חוק לתיקון דיני הרשויות המקומיות (ביטול סמכות שר הפנים לעניין חוקי עזר בדבר פתיחתם וסגירתם של עסקים בימי מנוחה), התשפ"א-2021</t>
  </si>
  <si>
    <t xml:space="preserve"> (פ/397/24)</t>
  </si>
  <si>
    <t xml:space="preserve">03.05.2021</t>
  </si>
  <si>
    <t xml:space="preserve"> (פ/396/24)</t>
  </si>
  <si>
    <t xml:space="preserve">הצעת חוק פיקוח על בתי ספר (תיקון - הרחבת תקפו של רישיון), התשפ"א-2021</t>
  </si>
  <si>
    <t xml:space="preserve"> (פ/395/24)</t>
  </si>
  <si>
    <t xml:space="preserve">הצעת חוק ביטוח בריאות ממלכתי (תיקון - העברת מידע בין קופות החולים בעת מעבר תושב), התשפ"א-2021</t>
  </si>
  <si>
    <t xml:space="preserve"> (פ/394/24)</t>
  </si>
  <si>
    <t xml:space="preserve">הצעת חוק התכנון והבנייה (תיקון - פיצול דירות) (הוראת שעה), התשפ"א-2021 </t>
  </si>
  <si>
    <t xml:space="preserve"> (פ/393/24)</t>
  </si>
  <si>
    <t xml:space="preserve"> (פ/392/24)</t>
  </si>
  <si>
    <t xml:space="preserve">הצעת חוק הבנקאות (שירות ללקוח) (תיקון - הגבלת עמלת ביטול עסקה בעד שירותי סליקה שמשלם עסק זעיר, קטן או בינוני), התשפ"א-2021</t>
  </si>
  <si>
    <t xml:space="preserve"> (פ/391/24)</t>
  </si>
  <si>
    <t xml:space="preserve">הצעת חוק לתיקון פקודת התעבורה (התניית מתן רישיון רכב או חידושו בהתקנת מערכת המונעת השארת ילדים ברכב), התשפ"א-2021</t>
  </si>
  <si>
    <t xml:space="preserve"> (פ/390/24)</t>
  </si>
  <si>
    <t xml:space="preserve">הצעת חוק המכר (דירות) (תיקון - הסדרת בנייה במסגרת קבוצות רכישה), התשפ"א-2021</t>
  </si>
  <si>
    <t xml:space="preserve"> (פ/389/24)</t>
  </si>
  <si>
    <t xml:space="preserve">הצעת חוק המים (תיקון - איסור הפקעת מבנה המשמש מוסד ללא כוונת רווח), התשפ"א-2021</t>
  </si>
  <si>
    <t xml:space="preserve"> (פ/388/24)</t>
  </si>
  <si>
    <t xml:space="preserve">הצעת חוק לתיקון פקודת התעבורה (הגבלת מתן רישיון נהיגה לטרקטורון), התשפ"א-2021</t>
  </si>
  <si>
    <t xml:space="preserve"> (פ/386/24)</t>
  </si>
  <si>
    <t xml:space="preserve">הצעת חוק הקצאת דירות שנבנו במסגרת תכנית מחיר למשתכן למחוסרי דיור או לדיור הציבורי, התשפ"א-2021</t>
  </si>
  <si>
    <t xml:space="preserve"> (פ/385/24)</t>
  </si>
  <si>
    <t xml:space="preserve"> (פ/384/24)</t>
  </si>
  <si>
    <t xml:space="preserve">הצעת חוק זכויות החולה (תיקון - זכות מטופל לקבל רשומות רפואיות), התשפ"א-2021</t>
  </si>
  <si>
    <t xml:space="preserve"> (פ/383/24)</t>
  </si>
  <si>
    <t xml:space="preserve">הצעת חוק פנימיות הנוער, התשפ"א-2021</t>
  </si>
  <si>
    <t xml:space="preserve"> (פ/382/24)</t>
  </si>
  <si>
    <t xml:space="preserve">הצעת חוק רשות העתיקות (תיקון - הגנה על עתיקות), התשפ"א-2021</t>
  </si>
  <si>
    <t xml:space="preserve"> (פ/381/24)</t>
  </si>
  <si>
    <t xml:space="preserve">הצעת חוק ביטוח בריאות ממלכתי (תיקון - מתן שירותים במרפאה ביישוב קטן לחברי קופה אחרת), התשפ"א-2021</t>
  </si>
  <si>
    <t xml:space="preserve"> (פ/380/24)</t>
  </si>
  <si>
    <t xml:space="preserve"> (פ/379/24)</t>
  </si>
  <si>
    <t xml:space="preserve">הצעת חוק ביטוח בריאות ממלכתי (תיקון - תוספת קבועה לסל שירותי הבריאות לעדכון טכנולוגיות רפואיות חדשות, תרופות, מכשור ושיטות טיפול), התשפ"א-2021</t>
  </si>
  <si>
    <t xml:space="preserve"> (פ/378/24)</t>
  </si>
  <si>
    <t xml:space="preserve">הצעת חוק האזרחים הוותיקים (תיקון - סבסוד מלא של נסיעות בתחבורה ציבורית לניצולי שואה ולאסירי ציון), התשפ"א-2021</t>
  </si>
  <si>
    <t xml:space="preserve"> (פ/377/24)</t>
  </si>
  <si>
    <t xml:space="preserve">הצעת חוק מכירת זכויות שידור לאירוע ספורט משמעותי, התשפ"א-2021</t>
  </si>
  <si>
    <t xml:space="preserve"> (פ/376/24)</t>
  </si>
  <si>
    <t xml:space="preserve">הצעת חוק הביטוח הלאומי (תיקון - זכות המוסד לתביעה), התשפ"א-2021</t>
  </si>
  <si>
    <t xml:space="preserve"> (פ/374/24)</t>
  </si>
  <si>
    <t xml:space="preserve">הצעת חוק בתי המשפט (תיקון - חובת ביקור שופט בבתי סוהר), התשפ"א-2021</t>
  </si>
  <si>
    <t xml:space="preserve"> (פ/373/24)</t>
  </si>
  <si>
    <t xml:space="preserve"> (פ/372/24)</t>
  </si>
  <si>
    <t xml:space="preserve">הצעת חוק הגנה על הציבור מפני ביצוע עבירות מין (תיקון - הוצאת צו פיקוח חדש לאחר תום התקופה המרבית), התשפ"א-2021</t>
  </si>
  <si>
    <t xml:space="preserve"> (פ/371/24)</t>
  </si>
  <si>
    <t xml:space="preserve">הצעת חוק בית הדין לעבודה (תיקון - ערעור לפני בית המשפט העליון), התשפ"א-2021</t>
  </si>
  <si>
    <t xml:space="preserve"> (פ/370/24)</t>
  </si>
  <si>
    <t xml:space="preserve"> (פ/369/24)</t>
  </si>
  <si>
    <t xml:space="preserve">הצעת חוק-יסוד: ההגירה לישראל </t>
  </si>
  <si>
    <t xml:space="preserve"> (פ/367/24)</t>
  </si>
  <si>
    <t xml:space="preserve">הצעת חוק החלפת המונח בתי אב (תיקוני חקיקה), התשפ"א-2021</t>
  </si>
  <si>
    <t xml:space="preserve"> (פ/366/24)</t>
  </si>
  <si>
    <t xml:space="preserve">הצעת חוק זכויות הדייר בדיור הציבורי (תיקון - סיוע ריאלי בשכר דירה), התשפ"א-2021</t>
  </si>
  <si>
    <t xml:space="preserve"> (פ/365/24)</t>
  </si>
  <si>
    <t xml:space="preserve"> (פ/364/24)</t>
  </si>
  <si>
    <t xml:space="preserve"> (פ/363/24)</t>
  </si>
  <si>
    <t xml:space="preserve">הצעת חוק התקשורת (בזק ושידורים) (תיקון - הגנה על קטינים מפני תכנים פוגעניים באינטרנט), התשפ"א-2021</t>
  </si>
  <si>
    <t xml:space="preserve"> (פ/362/24)</t>
  </si>
  <si>
    <t xml:space="preserve">הצעת חוק-יסוד: משאל עם (תיקון - זכות הצבעה לתושבי קבע בשטח לגביו מתקיים משאל העם)</t>
  </si>
  <si>
    <t xml:space="preserve"> (פ/361/24)</t>
  </si>
  <si>
    <t xml:space="preserve">הצעת חוק חובת המכרזים (תיקון - שיתוף פעולה עסקי בין-לאומי ורכש גומלין בין-לאומי), התשפ"א-2021</t>
  </si>
  <si>
    <t xml:space="preserve"> (פ/360/24)</t>
  </si>
  <si>
    <t xml:space="preserve">הצעת חוק לימוד חובה (תיקון - חובת לימודי ליבה), התשפ"א-2021</t>
  </si>
  <si>
    <t xml:space="preserve"> (פ/358/24)</t>
  </si>
  <si>
    <t xml:space="preserve">הצעת חוק הבטחת הכנסה (תיקון - הגדלת הגמלה), התשפ"א-2021</t>
  </si>
  <si>
    <t xml:space="preserve"> (פ/357/24)</t>
  </si>
  <si>
    <t xml:space="preserve"> (פ/354/24)</t>
  </si>
  <si>
    <t xml:space="preserve">הצעת חוק הכשרות המשפטית והאפוטרופסות (תיקון - קביעת בית המשפט באין הסכם בין ההורים), התשפ"א-2021</t>
  </si>
  <si>
    <t xml:space="preserve"> (פ/353/24)</t>
  </si>
  <si>
    <t xml:space="preserve"> (פ/352/24)</t>
  </si>
  <si>
    <t xml:space="preserve">הצעת חוק התכנון והבנייה (תיקון - מבנה מחוזק), התשפ"א-2021</t>
  </si>
  <si>
    <t xml:space="preserve"> (פ/351/24)</t>
  </si>
  <si>
    <t xml:space="preserve">הצעת חוק איסור שימוש ברכב ממשלתי לשר וסגן שר ביום המנוחה השבועי ובחג, התשפ"א-2021</t>
  </si>
  <si>
    <t xml:space="preserve"> (פ/350/24)</t>
  </si>
  <si>
    <t xml:space="preserve">הצעת חוק לתיקון פקודת מס הכנסה (חישוב שווי שימוש ברכב לשומרי שבת וחג), התשפ"א-2021</t>
  </si>
  <si>
    <t xml:space="preserve"> (פ/349/24)</t>
  </si>
  <si>
    <t xml:space="preserve">הצעת חוק העונשין (תיקון - ביטול העבירה על העלבת עובד ציבור), התשפ"א-2021</t>
  </si>
  <si>
    <t xml:space="preserve"> (פ/348/24)</t>
  </si>
  <si>
    <t xml:space="preserve"> (פ/347/24)</t>
  </si>
  <si>
    <t xml:space="preserve">הצעת חוק המים (תיקון - הנחות לאוכלוסיות זכאיות), התשפ"א-2021</t>
  </si>
  <si>
    <t xml:space="preserve"> (פ/346/24)</t>
  </si>
  <si>
    <t xml:space="preserve">הצעת חוק-יסוד: משאל עם (תיקון - ביטול החוק)</t>
  </si>
  <si>
    <t xml:space="preserve"> (פ/345/24)</t>
  </si>
  <si>
    <t xml:space="preserve"> (פ/344/24)</t>
  </si>
  <si>
    <t xml:space="preserve">הצעת חוק לתיקון פקודת מס הכנסה (משיכה מקרן השתלמות לאחר לידה או אימוץ), התשפ"א-2021</t>
  </si>
  <si>
    <t xml:space="preserve"> (פ/343/24)</t>
  </si>
  <si>
    <t xml:space="preserve">הצעת חוק זכויות הדייר בדיור הציבורי (תיקון - הארכת תוקף זכאות לדירה ציבורית), התשפ"א-2021</t>
  </si>
  <si>
    <t xml:space="preserve"> (פ/341/24)</t>
  </si>
  <si>
    <t xml:space="preserve">הצעת חוק לתיקון פקודת העיריות (מענק הבירה), התשפ"א-2021</t>
  </si>
  <si>
    <t xml:space="preserve"> (פ/340/24)</t>
  </si>
  <si>
    <t xml:space="preserve">הצעת חוק שמירת הקדושה של הכותל המערבי ורחבתו, התשפ"א-2021</t>
  </si>
  <si>
    <t xml:space="preserve"> (פ/339/24)</t>
  </si>
  <si>
    <t xml:space="preserve">הצעת חוק להגבלת העברת השליטה בתאגידים מרכזיים לגופים זרים, התשפ"א-2021</t>
  </si>
  <si>
    <t xml:space="preserve"> (פ/338/24)</t>
  </si>
  <si>
    <t xml:space="preserve">הצעת חוק איסור הפליה במוצרים, בשירותים ובכניסה למקומות בידור ולמקומות ציבוריים (תיקון - איסור הפליה בשל אי מסירת מידע אישי), התשפ"א-2021</t>
  </si>
  <si>
    <t xml:space="preserve"> (פ/337/24)</t>
  </si>
  <si>
    <t xml:space="preserve">הצעת חוק לתיקון פקודת התעבורה (ביטול קנס בשל רכישת מערכות בטיחות מתקדמות), התשפ"א-2021</t>
  </si>
  <si>
    <t xml:space="preserve"> (פ/336/24)</t>
  </si>
  <si>
    <t xml:space="preserve">הצעת חוק האגודות העותומניות (רישום ופיקוח), התשפ"א-2021</t>
  </si>
  <si>
    <t xml:space="preserve"> (פ/335/24)</t>
  </si>
  <si>
    <t xml:space="preserve">הצעת חוק לעידוד השקעות הון (תיקון - ביטול מסלול הטבות המס), התשפ"א-2021</t>
  </si>
  <si>
    <t xml:space="preserve"> (פ/334/24)</t>
  </si>
  <si>
    <t xml:space="preserve">הצעת חוק תגמול נושאי משרה בחברות ציבוריות, התשפ"א-2021</t>
  </si>
  <si>
    <t xml:space="preserve"> (פ/333/24)</t>
  </si>
  <si>
    <t xml:space="preserve">הצעת חוק לתיקון פקודת התעבורה (תשלום עבור נסיעה בתחבורה ציבורית בכרטיס אשראי), התשפ"א-2021</t>
  </si>
  <si>
    <t xml:space="preserve"> (פ/332/24)</t>
  </si>
  <si>
    <t xml:space="preserve">הצעת חוק הפיקדון על מכלי משקה (תיקון - ביטול החלת חובת פיקדון על מכלי משקה גדולים), התשפ"א-2021</t>
  </si>
  <si>
    <t xml:space="preserve"> (פ/331/24)</t>
  </si>
  <si>
    <t xml:space="preserve"> (פ/330/24)</t>
  </si>
  <si>
    <t xml:space="preserve"> (פ/329/24)</t>
  </si>
  <si>
    <t xml:space="preserve">הצעת חוק פטור מדמי נסיעה בתחבורה ציבורית למתנדבים לשנת שירות (תיקוני חקיקה), התשפ"א-2021</t>
  </si>
  <si>
    <t xml:space="preserve"> (פ/327/24)</t>
  </si>
  <si>
    <t xml:space="preserve"> (פ/326/24)</t>
  </si>
  <si>
    <t xml:space="preserve">הצעת חוק השידור הציבורי הישראלי (תיקון - קציבת כהונה במינוי ממלא מקום), התשפ"א-2021</t>
  </si>
  <si>
    <t xml:space="preserve"> (פ/325/24)</t>
  </si>
  <si>
    <t xml:space="preserve">הצעת חוק לתיקון פקודת מסילות הברזל (העלאת אופניים לרכבת), התשפ"א-2021</t>
  </si>
  <si>
    <t xml:space="preserve"> (פ/324/24)</t>
  </si>
  <si>
    <t xml:space="preserve">הצעת חוק מתן סמכויות פיקוח והסמכת מפקחים ופקחים (תיקוני חקיקה), התשפ"א-2021</t>
  </si>
  <si>
    <t xml:space="preserve"> (פ/323/24)</t>
  </si>
  <si>
    <t xml:space="preserve">הצעת חוק איסור פרסומת והגבלת השיווק של מוצרי טבק ועישון (תיקון - סימון רכיבי מוצר טבק על גבי חפיסות או אריזות), התשפ"א-2021</t>
  </si>
  <si>
    <t xml:space="preserve"> (פ/322/24)</t>
  </si>
  <si>
    <t xml:space="preserve">הצעת חוק מס ערך מוסף (תיקון - פטור ממס על תשר), התשפ"א-2021</t>
  </si>
  <si>
    <t xml:space="preserve"> (פ/320/24)</t>
  </si>
  <si>
    <t xml:space="preserve">הצעת חוק הרשויות המקומיות (אכיפה סביבתית - סמכויות פקחים) (תיקון - הסמכת פקחים באיגוד ערים לווטרינריה), התשפ"א-2021</t>
  </si>
  <si>
    <t xml:space="preserve"> (פ/319/24)</t>
  </si>
  <si>
    <t xml:space="preserve">הצעת חוק לתיקון פקודת התעבורה (סימון אחיד להסדרי חניה), התשפ"א-2021</t>
  </si>
  <si>
    <t xml:space="preserve"> (פ/318/24)</t>
  </si>
  <si>
    <t xml:space="preserve">הצעת חוק למניעת תשדירי פרסומת פוגעניים (תיקוני חקיקה), התשפ"א-2021</t>
  </si>
  <si>
    <t xml:space="preserve"> (פ/317/24)</t>
  </si>
  <si>
    <t xml:space="preserve">הצעת חוק המים (תיקון - שקיפות פעילות הרשות הממשלתית), התשפ"א-2021</t>
  </si>
  <si>
    <t xml:space="preserve"> (פ/316/24)</t>
  </si>
  <si>
    <t xml:space="preserve">הצעת חוק הביטוח הלאומי (תיקון - זכאות לדמי אבטלה לעובד שהתפטר לשם טיפול בילדו), התשפ"א-2021</t>
  </si>
  <si>
    <t xml:space="preserve"> (פ/315/24)</t>
  </si>
  <si>
    <t xml:space="preserve">הצעת חוק הגנת הצרכן (תיקון - תיעוד שיחות בין צרכן לעוסק ומסירתו לצרכן), התשפ"א-2021</t>
  </si>
  <si>
    <t xml:space="preserve"> (פ/314/24)</t>
  </si>
  <si>
    <t xml:space="preserve"> (פ/313/24)</t>
  </si>
  <si>
    <t xml:space="preserve">הצעת חוק לתיקון פקודת מס הכנסה (זיכוי וניכוי בגין הוצאות טיפול בילדים), התשפ"א-2021</t>
  </si>
  <si>
    <t xml:space="preserve"> (פ/312/24)</t>
  </si>
  <si>
    <t xml:space="preserve"> (פ/311/24)</t>
  </si>
  <si>
    <t xml:space="preserve">הצעת חוק התכנון והבנייה (תיקון - חובת שידור והקלטת ישיבות, ניהול פרוטוקול ופרסומו), התשפ"א-2021</t>
  </si>
  <si>
    <t xml:space="preserve"> (פ/310/24)</t>
  </si>
  <si>
    <t xml:space="preserve">הצעת חוק חינוך ממלכתי (תיקון - מעמד החינוך הממלכתי המשלב), התשפ"א-2021</t>
  </si>
  <si>
    <t xml:space="preserve"> (פ/309/24)</t>
  </si>
  <si>
    <t xml:space="preserve"> (פ/307/24)</t>
  </si>
  <si>
    <t xml:space="preserve">הצעת חוק פיצוי לנפגעי פוליו (תיקון - הכרה באחוזי נכות של נפגע פוליו לצורך דינים אחרים), התשפ"א-2021</t>
  </si>
  <si>
    <t xml:space="preserve"> (פ/306/24)</t>
  </si>
  <si>
    <t xml:space="preserve">הצעת חוק מיסוי מקרקעין (שבח ורכישה) (תיקון - ייצוג נישום על ידי רואה חשבון), התשפ"א-2021</t>
  </si>
  <si>
    <t xml:space="preserve"> (פ/305/24)</t>
  </si>
  <si>
    <t xml:space="preserve">הצעת חוק הפעלת שירות רכבות בשבת ובמועדי ישראל, התשפ"א-2021</t>
  </si>
  <si>
    <t xml:space="preserve"> (פ/303/24)</t>
  </si>
  <si>
    <t xml:space="preserve"> (פ/302/24)</t>
  </si>
  <si>
    <t xml:space="preserve">הצעת חוק זכויות התלמיד (תיקון - שוויון בין תלמידים בציוני מגן), התשפ"א-2021</t>
  </si>
  <si>
    <t xml:space="preserve"> (פ/301/24)</t>
  </si>
  <si>
    <t xml:space="preserve">הצעת חוק זכויות הסטודנט (תיקון - פטור מתשלום עבור קורס חוזר בשל שירות מילואים), התשפ"א-2021 </t>
  </si>
  <si>
    <t xml:space="preserve"> (פ/299/24)</t>
  </si>
  <si>
    <t xml:space="preserve"> (פ/297/24)</t>
  </si>
  <si>
    <t xml:space="preserve"> (פ/295/24)</t>
  </si>
  <si>
    <t xml:space="preserve">הצעת חוק הספורט (תיקון - זכויות ספורטאי בוגר), התשפ"א-2021</t>
  </si>
  <si>
    <t xml:space="preserve"> (פ/294/24)</t>
  </si>
  <si>
    <t xml:space="preserve"> (פ/293/24)</t>
  </si>
  <si>
    <t xml:space="preserve"> (פ/292/24)</t>
  </si>
  <si>
    <t xml:space="preserve">הצעת חוק הדרכונים (תיקון - מתן דרכון לעולה), התשפ"א-2021</t>
  </si>
  <si>
    <t xml:space="preserve"> (פ/291/24)</t>
  </si>
  <si>
    <t xml:space="preserve"> (פ/290/24)</t>
  </si>
  <si>
    <t xml:space="preserve"> (פ/289/24)</t>
  </si>
  <si>
    <t xml:space="preserve"> (פ/288/24)</t>
  </si>
  <si>
    <t xml:space="preserve">הצעת חוק למניעת אלימות כלכלית בין בני זוג ובני משפחה, התשפ"א-2021</t>
  </si>
  <si>
    <t xml:space="preserve"> (פ/286/24)</t>
  </si>
  <si>
    <t xml:space="preserve">הצעת חוק הביטוח הלאומי (תיקון - מענק לידה אחיד מילד שני ואילך), התשפ"א-2021</t>
  </si>
  <si>
    <t xml:space="preserve"> (פ/284/24)</t>
  </si>
  <si>
    <t xml:space="preserve">הצעת חוק הביטוח הלאומי (תיקון - התפטרות הורה על מנת לטפל בילדו), התשפ"א-2021</t>
  </si>
  <si>
    <t xml:space="preserve"> (פ/283/24)</t>
  </si>
  <si>
    <t xml:space="preserve">הצעת חוק זכויות הסטודנט (תיקון - חובת דיווח שנתית בדבר תלונות סטודנטים לוועדת החינוך, התרבות והספורט של הכנסת), התשפ"א-2021</t>
  </si>
  <si>
    <t xml:space="preserve"> (פ/282/24)</t>
  </si>
  <si>
    <t xml:space="preserve">הצעת חוק תקופת לידה והורות להורים (תיקוני חקיקה), התשפ"א-2021</t>
  </si>
  <si>
    <t xml:space="preserve"> (פ/281/24)</t>
  </si>
  <si>
    <t xml:space="preserve">הצעת חוק תקצוב מיוחד לרשויות חינוך מקומיות מרוחקות, התשפ"א-2021</t>
  </si>
  <si>
    <t xml:space="preserve"> (פ/280/24)</t>
  </si>
  <si>
    <t xml:space="preserve">הצעת חוק דמי מחלה (היעדרות בשל מחלת ילד) (תיקון - היעדרות בעקבות תקיפה או התעללות בילד), התשפ"א-2021</t>
  </si>
  <si>
    <t xml:space="preserve"> (פ/279/24)</t>
  </si>
  <si>
    <t xml:space="preserve"> (פ/277/24)</t>
  </si>
  <si>
    <t xml:space="preserve"> (פ/276/24)</t>
  </si>
  <si>
    <t xml:space="preserve">הצעת חוק התכנון והבנייה (תיקון - שומה מתוקנת מוסכמת), התשפ"א-2021</t>
  </si>
  <si>
    <t xml:space="preserve"> (פ/275/24)</t>
  </si>
  <si>
    <t xml:space="preserve">הצעת חוק זכויות תלמידים מחוננים ומצטיינים, התשפ"א-2021</t>
  </si>
  <si>
    <t xml:space="preserve"> (פ/274/24)</t>
  </si>
  <si>
    <t xml:space="preserve">הצעת חוק שירות הציבור (הגבלות לאחר פרישה) (תיקון - תקופת צינון לשוטרים בתפקידי חקירה ומודיעין), התשפ"א-2021</t>
  </si>
  <si>
    <t xml:space="preserve"> (פ/273/24)</t>
  </si>
  <si>
    <t xml:space="preserve">הצעת חוק שירות המדינה (מינויים) (תיקון - הכרה בלימודים תורניים גבוהים לעניין תנאי סף), התשפ"א-2021</t>
  </si>
  <si>
    <t xml:space="preserve"> (פ/272/24)</t>
  </si>
  <si>
    <t xml:space="preserve">הצעת חוק קליטת חיילים משוחררים (תיקון - הטבות לחיילים משוחררים בודדים), התשפ"א-2021</t>
  </si>
  <si>
    <t xml:space="preserve"> (פ/271/24)</t>
  </si>
  <si>
    <t xml:space="preserve">הצעת חוק הפרטת תאגיד השידור הציבורי הישראלי, התשפ"א-2021</t>
  </si>
  <si>
    <t xml:space="preserve"> (פ/270/24)</t>
  </si>
  <si>
    <t xml:space="preserve">הצעת חוק לתיקון פקודת מס הכנסה (ניכוי תשלומים לביטוח בריאות לעצמאים), התשפ״א-2021</t>
  </si>
  <si>
    <t xml:space="preserve"> (פ/269/24)</t>
  </si>
  <si>
    <t xml:space="preserve">הצעת חוק הביטוח הלאומי (תיקון - הארכת המועד להגשת תביעה לגמלה והתקופה שבעדה תשולם), התשפ"א-2021</t>
  </si>
  <si>
    <t xml:space="preserve"> (פ/268/24)</t>
  </si>
  <si>
    <t xml:space="preserve"> (פ/267/24)</t>
  </si>
  <si>
    <t xml:space="preserve"> (פ/266/24)</t>
  </si>
  <si>
    <t xml:space="preserve">הצעת חוק הגנת הצרכן (תיקון - השוואת תנאי צרכן ועוסק בעניין החזרת טובין), התשפ"א-2021</t>
  </si>
  <si>
    <t xml:space="preserve"> (פ/265/24)</t>
  </si>
  <si>
    <t xml:space="preserve">הצעת חוק הביטוח הלאומי (תיקון - ביטוח זכויות עצמאי שעיקר הכנסתו מעסק בהליכי חדלות פירעון), התשפ"א-2021</t>
  </si>
  <si>
    <t xml:space="preserve"> (פ/264/24)</t>
  </si>
  <si>
    <t xml:space="preserve">הצעת חוק הפרטת תחנת גלי צה"ל, התשפ"א-2021</t>
  </si>
  <si>
    <t xml:space="preserve"> (פ/263/24)</t>
  </si>
  <si>
    <t xml:space="preserve"> (פ/262/24)</t>
  </si>
  <si>
    <t xml:space="preserve">הצעת חוק חינוך מיוחד (תיקון - הרחבה לגבי מוסדות שאינם מוכרים), התשפ"א-2021</t>
  </si>
  <si>
    <t xml:space="preserve"> (פ/261/24)</t>
  </si>
  <si>
    <t xml:space="preserve">הצעת חוק הפיקוח על שירותים פיננסיים (קופות גמל) (תיקון - הגבלת דמי ניהול בקרנות הפנסיה), התשפ"א-2021</t>
  </si>
  <si>
    <t xml:space="preserve"> (פ/259/24)</t>
  </si>
  <si>
    <t xml:space="preserve">הצעת חוק לפיקוח על הפעלת צהרונים (תיקון - אמות המידה לקביעת מחיר חודשי מרבי ושיעור השתתפות המדינה), התשפ"א-2021</t>
  </si>
  <si>
    <t xml:space="preserve"> (פ/258/24)</t>
  </si>
  <si>
    <t xml:space="preserve"> (פ/257/24)</t>
  </si>
  <si>
    <t xml:space="preserve"> (פ/256/24)</t>
  </si>
  <si>
    <t xml:space="preserve"> (פ/255/24)</t>
  </si>
  <si>
    <t xml:space="preserve"> (פ/253/24)</t>
  </si>
  <si>
    <t xml:space="preserve"> (פ/252/24)</t>
  </si>
  <si>
    <t xml:space="preserve"> (פ/251/24)</t>
  </si>
  <si>
    <t xml:space="preserve">הצעת חוק לתיקון פקודת מס הכנסה (ביטול הטבות מס לתושב חוזר ותיק), התשפ"א-2021</t>
  </si>
  <si>
    <t xml:space="preserve"> (פ/250/24)</t>
  </si>
  <si>
    <t xml:space="preserve"> (פ/249/24)</t>
  </si>
  <si>
    <t xml:space="preserve">הצעת חוק לאי מתן הטבות מס למוסד המקיים הפליה (תיקוני חקיקה), התשפ"א-2021</t>
  </si>
  <si>
    <t xml:space="preserve"> (פ/248/24)</t>
  </si>
  <si>
    <t xml:space="preserve"> (פ/247/24)</t>
  </si>
  <si>
    <t xml:space="preserve"> (פ/246/24)</t>
  </si>
  <si>
    <t xml:space="preserve">הצעת חוק לעידוד הסעות שיתופיות (תיקוני חקיקה), התשפ"א-2021</t>
  </si>
  <si>
    <t xml:space="preserve"> (פ/243/24)</t>
  </si>
  <si>
    <t xml:space="preserve">הצעת חוק הבנקאות (שירות ללקוח) (תיקון - מרווח שיעורי הריבית), התשפ"א-2021</t>
  </si>
  <si>
    <t xml:space="preserve"> (פ/242/24)</t>
  </si>
  <si>
    <t xml:space="preserve"> (פ/241/24)</t>
  </si>
  <si>
    <t xml:space="preserve">הצעת חוק לתיקון פקודת מס הכנסה (טיפול נפשי כהוצאה מוכרת), התשפ"א-2021</t>
  </si>
  <si>
    <t xml:space="preserve"> (פ/240/24)</t>
  </si>
  <si>
    <t xml:space="preserve">הצעת חוק הבטחת הכנסה (תיקון - מענק קירור), התשפ"א-2021</t>
  </si>
  <si>
    <t xml:space="preserve"> (פ/238/24)</t>
  </si>
  <si>
    <t xml:space="preserve"> (פ/237/24)</t>
  </si>
  <si>
    <t xml:space="preserve"> (פ/235/24)</t>
  </si>
  <si>
    <t xml:space="preserve"> (פ/234/24)</t>
  </si>
  <si>
    <t xml:space="preserve"> (פ/232/24)</t>
  </si>
  <si>
    <t xml:space="preserve"> (פ/231/24)</t>
  </si>
  <si>
    <t xml:space="preserve"> (פ/230/24)</t>
  </si>
  <si>
    <t xml:space="preserve">הצעת חוק זכויות הסטודנט (תיקון - ביטול ארגון סטודנטים יציג), התשפ"א-2021</t>
  </si>
  <si>
    <t xml:space="preserve"> (פ/227/24)</t>
  </si>
  <si>
    <t xml:space="preserve"> (פ/226/24)</t>
  </si>
  <si>
    <t xml:space="preserve"> (פ/225/24)</t>
  </si>
  <si>
    <t xml:space="preserve"> (פ/224/24)</t>
  </si>
  <si>
    <t xml:space="preserve">הצעת חוק-יסוד: נשיא המדינה (תיקון - כשירות)</t>
  </si>
  <si>
    <t xml:space="preserve"> (פ/223/24)</t>
  </si>
  <si>
    <t xml:space="preserve">הצעת חוק הגבלת מימון מפעלים מזהמים (תיקוני חקיקה), התשפ"א-2021</t>
  </si>
  <si>
    <t xml:space="preserve"> (פ/222/24)</t>
  </si>
  <si>
    <t xml:space="preserve">הצעת חוק הגנת הצרכן (תיקון - תאריך ייצור ומועד תפוגה בגודל גופן קריא), התשפ"א-2021</t>
  </si>
  <si>
    <t xml:space="preserve"> (פ/219/24)</t>
  </si>
  <si>
    <t xml:space="preserve"> (פ/218/24)</t>
  </si>
  <si>
    <t xml:space="preserve"> (פ/215/24)</t>
  </si>
  <si>
    <t xml:space="preserve">הצעת חוק לתיקון פקודת מס הכנסה (עידוד הגירה ליישובי הפריפריה), התשפ"א-2021</t>
  </si>
  <si>
    <t xml:space="preserve"> (פ/214/24)</t>
  </si>
  <si>
    <t xml:space="preserve">הצעת חוק ביטוח בריאות ממלכתי (תיקון - הרחבת פטור מתשלום בחדר מיון), התשפ"א-2021</t>
  </si>
  <si>
    <t xml:space="preserve"> (פ/212/24)</t>
  </si>
  <si>
    <t xml:space="preserve">הצעת חוק הקמת האקדמיה הלאומית לשפת הסימנים, התשפ"א-2021</t>
  </si>
  <si>
    <t xml:space="preserve"> (פ/211/24)</t>
  </si>
  <si>
    <t xml:space="preserve">הצעת חוק הקמת חדרי מיון קדמיים, התשפ"א-2021</t>
  </si>
  <si>
    <t xml:space="preserve"> (פ/210/24)</t>
  </si>
  <si>
    <t xml:space="preserve">הצעת חוק ביטוח בריאות ממלכתי (תיקון - הפחתה בדמי ביטוח בריאות לתושבי הפריפריה), התשפ"א-2021</t>
  </si>
  <si>
    <t xml:space="preserve"> (פ/209/24)</t>
  </si>
  <si>
    <t xml:space="preserve">הצעת חוק החינוך המוזיקלי בישראל, התשפ"א-2021</t>
  </si>
  <si>
    <t xml:space="preserve"> (פ/208/24)</t>
  </si>
  <si>
    <t xml:space="preserve"> (פ/207/24)</t>
  </si>
  <si>
    <t xml:space="preserve">הצעת חוק התניית יום שבתון בהצבעה בבחירות (תיקוני חקיקה), התשפ"א-2021</t>
  </si>
  <si>
    <t xml:space="preserve"> (פ/206/24)</t>
  </si>
  <si>
    <t xml:space="preserve">הצעת חוק לתיקון פקודת מס הכנסה (ניכוי תשלומים לעצמאים), התשפ"א-2021</t>
  </si>
  <si>
    <t xml:space="preserve"> (פ/205/24)</t>
  </si>
  <si>
    <t xml:space="preserve">הצעת חוק לתיקון פקודת בריאות העם (סמכות לקביעת כללים למתן רישיון למכשירים רפואיים מיוחדים) (הוראת שעה), התשפ"א-2021</t>
  </si>
  <si>
    <t xml:space="preserve"> (פ/204/24)</t>
  </si>
  <si>
    <t xml:space="preserve">הצעת חוק המרכז להנצחת מורשתו של הנשיא יצחק נבון, התשפ"א-2021</t>
  </si>
  <si>
    <t xml:space="preserve"> (פ/203/24)</t>
  </si>
  <si>
    <t xml:space="preserve">הצעת חוק הביטוח הלאומי (תיקון - שלילת קצבה בשל מעשה טרור), התשפ"א-2021</t>
  </si>
  <si>
    <t xml:space="preserve"> (פ/202/24)</t>
  </si>
  <si>
    <t xml:space="preserve">הצעת חוק הביטוח הלאומי (תיקון - הכרה בלקות שמיעה באחת האוזניים), התשפ"א-2021</t>
  </si>
  <si>
    <t xml:space="preserve"> (פ/201/24)</t>
  </si>
  <si>
    <t xml:space="preserve">הצעת חוק הביטוח הלאומי (תיקון - פטור מתשלום דמי ביטוח), התשפ"א-2021</t>
  </si>
  <si>
    <t xml:space="preserve"> (פ/200/24)</t>
  </si>
  <si>
    <t xml:space="preserve">הצעת חוק הכשרות לאנשי מקצוע בנושא זיהוי ודיווח על התעללות בילדים, התשפ"א-2021</t>
  </si>
  <si>
    <t xml:space="preserve"> (פ/196/24)</t>
  </si>
  <si>
    <t xml:space="preserve"> (פ/195/24)</t>
  </si>
  <si>
    <t xml:space="preserve"> (פ/193/24)</t>
  </si>
  <si>
    <t xml:space="preserve">הצעת חוק זכויות החולה (תיקון - איסור הפליה בשל מקום מגורים), התשפ"א-2021</t>
  </si>
  <si>
    <t xml:space="preserve"> (פ/192/24)</t>
  </si>
  <si>
    <t xml:space="preserve">הצעת חוק ביטוח בריאות ממלכתי (תיקון - קציבת מועדים לקבלת טיפול רפואי או פארא-רפואי), התשפ"א-2021</t>
  </si>
  <si>
    <t xml:space="preserve"> (פ/190/24)</t>
  </si>
  <si>
    <t xml:space="preserve"> (פ/189/24)</t>
  </si>
  <si>
    <t xml:space="preserve">הצעת חוק שלילת תקצוב מוסדות חינוך המפלים תלמידים ברישום אליהם (תיקוני חקיקה), התשפ"א-2021</t>
  </si>
  <si>
    <t xml:space="preserve"> (פ/188/24)</t>
  </si>
  <si>
    <t xml:space="preserve"> (פ/187/24)</t>
  </si>
  <si>
    <t xml:space="preserve"> (פ/186/24)</t>
  </si>
  <si>
    <t xml:space="preserve">הצעת חוק חג המצות (איסורי חמץ) (תיקון - איסור הצגת חמץ בפסח בבתי חולים), התשפ"א-2021</t>
  </si>
  <si>
    <t xml:space="preserve"> (פ/185/24)</t>
  </si>
  <si>
    <t xml:space="preserve">הצעת חוק חג המצות (איסורי חמץ) (תיקון - איסור מכירת חמץ גם שלא בפומבי), התשפ"א-2021</t>
  </si>
  <si>
    <t xml:space="preserve"> (פ/184/24)</t>
  </si>
  <si>
    <t xml:space="preserve"> (פ/183/24)</t>
  </si>
  <si>
    <t xml:space="preserve"> (פ/182/24)</t>
  </si>
  <si>
    <t xml:space="preserve">הצעת חוק להגברת השקיפות בפעילותם של גופים פיננסיים (תיקוני חקיקה), התשפ"א-2021</t>
  </si>
  <si>
    <t xml:space="preserve"> (פ/181/24)</t>
  </si>
  <si>
    <t xml:space="preserve">הצעת חוק שוויון זכויות לאנשים עם מוגבלות (תיקון - מידע בדבר עמידת מעסיקים פרטיים גדולים ביעד הייצוג ההולם), התשפ"א-2021</t>
  </si>
  <si>
    <t xml:space="preserve"> (פ/180/24)</t>
  </si>
  <si>
    <t xml:space="preserve">הצעת חוק הבנקאות (שירות ללקוח) (תיקון - הפחתת יוקר תשלומי הלוואה לדיור), התשפ"א-2021</t>
  </si>
  <si>
    <t xml:space="preserve"> (פ/179/24)</t>
  </si>
  <si>
    <t xml:space="preserve"> (פ/178/24)</t>
  </si>
  <si>
    <t xml:space="preserve">הצעת חוק לתיקון פקודת מס הכנסה (נקודות זיכוי לאפוטרופוס), התשפ"א-2021</t>
  </si>
  <si>
    <t xml:space="preserve"> (פ/177/24)</t>
  </si>
  <si>
    <t xml:space="preserve">הצעת חוק הביטוח הלאומי (תיקון - ביטול מבחן הכנסה לצורך קבלת גמלת סיעוד), התשפ"א-2021</t>
  </si>
  <si>
    <t xml:space="preserve"> (פ/176/24)</t>
  </si>
  <si>
    <t xml:space="preserve">הצעת חוק הביטוח הלאומי (תיקון - ביטול מבחן ההכנסה לצורך קבלת גמלת סיעוד), התשפ"א-2021</t>
  </si>
  <si>
    <t xml:space="preserve"> (פ/174/24)</t>
  </si>
  <si>
    <t xml:space="preserve">הצעת חוק הביטוח לאומי (תיקון - ביטוח זכויות עצמאי שעיקר הכנסתו מעסק בהליכי חדלות פירעון), התשפ"א-2021</t>
  </si>
  <si>
    <t xml:space="preserve"> (פ/173/24)</t>
  </si>
  <si>
    <t xml:space="preserve"> (פ/172/24)</t>
  </si>
  <si>
    <t xml:space="preserve">הצעת חוק שכר נושאי משרה ברשויות השלטון, התשפ"א-2021</t>
  </si>
  <si>
    <t xml:space="preserve"> (פ/171/24)</t>
  </si>
  <si>
    <t xml:space="preserve">הצעת חוק מכר סיטונאי חקלאי, התשפ"א-2021</t>
  </si>
  <si>
    <t xml:space="preserve"> (פ/170/24)</t>
  </si>
  <si>
    <t xml:space="preserve"> (פ/169/24)</t>
  </si>
  <si>
    <t xml:space="preserve">הצעת חוק להסדרת רעיית דבורים וייצור דבש, התשפ"א-2021</t>
  </si>
  <si>
    <t xml:space="preserve"> (פ/168/24)</t>
  </si>
  <si>
    <t xml:space="preserve">הצעת חוק לעידוד השקעות הון (תיקון - תחומי אזורי פיתוח א'), התשפ"א-2021</t>
  </si>
  <si>
    <t xml:space="preserve"> (פ/167/24)</t>
  </si>
  <si>
    <t xml:space="preserve">הצעת חוק עבודת נשים (תיקון - תגמול לעובדת עצמאית שבן זוגה משרת במילואים), התשפ"א-2021</t>
  </si>
  <si>
    <t xml:space="preserve"> (פ/166/24)</t>
  </si>
  <si>
    <t xml:space="preserve">הצעת חוק לתיקון פקודת מס הכנסה (תלוש שכר לעצמאי), התשפ"א-2021</t>
  </si>
  <si>
    <t xml:space="preserve"> (פ/165/24)</t>
  </si>
  <si>
    <t xml:space="preserve">הצעת חוק דמי מחלה (היעדרות בשל מחלת ילד) (תיקון - היעדרות בעקבות פגיעה בעבירת מין או אלימות חמורה), התשפ"א-2021</t>
  </si>
  <si>
    <t xml:space="preserve"> (פ/164/24)</t>
  </si>
  <si>
    <t xml:space="preserve"> (פ/163/24)</t>
  </si>
  <si>
    <t xml:space="preserve"> (פ/162/24)</t>
  </si>
  <si>
    <t xml:space="preserve">הצעת חוק דיני העבודה (תיקוני חקיקה), התשפ"א-2021</t>
  </si>
  <si>
    <t xml:space="preserve"> (פ/161/24)</t>
  </si>
  <si>
    <t xml:space="preserve">הצעת חוק המים (תיקון - הוספת נציג ציבור לעניין איכות הסביבה למועצת רשות המים), התשפ"א-2021</t>
  </si>
  <si>
    <t xml:space="preserve"> (פ/160/24)</t>
  </si>
  <si>
    <t xml:space="preserve"> (פ/157/24)</t>
  </si>
  <si>
    <t xml:space="preserve">הצעת חוק מס ערך מוסף (תיקון - עידוד פתיחת עסקים חדשים), התשפ"א-2021</t>
  </si>
  <si>
    <t xml:space="preserve"> (פ/156/24)</t>
  </si>
  <si>
    <t xml:space="preserve">הצעת חוק לפיצוי עסקים בשל סגירת עסקיהם במצב חירום, התשפ"א-2021 </t>
  </si>
  <si>
    <t xml:space="preserve"> (פ/155/24)</t>
  </si>
  <si>
    <t xml:space="preserve"> (פ/154/24)</t>
  </si>
  <si>
    <t xml:space="preserve">הצעת חוק גנים לאומיים, שמורות טבע אתרים לאומיים ואתרי הנצחה (תיקון - הסדרת תחבורה ציבורית), התשפ"א-2021</t>
  </si>
  <si>
    <t xml:space="preserve"> (פ/153/24)</t>
  </si>
  <si>
    <t xml:space="preserve">הצעת חוק לתיקון פקודת התעבורה (החרגת בעלי רישיון שימוש בקנבוס רפואי), התשפ"א-2021</t>
  </si>
  <si>
    <t xml:space="preserve"> (פ/152/24)</t>
  </si>
  <si>
    <t xml:space="preserve"> (פ/151/24)</t>
  </si>
  <si>
    <t xml:space="preserve">הצעת חוק הנכים (תגמולים ושיקום) (תיקון - הכרה בחבלות נפש על רקע השתתפות בפעילות מבצעית וקביעת אחוזי נכות), התשפ"א-2021</t>
  </si>
  <si>
    <t xml:space="preserve"> (פ/150/24)</t>
  </si>
  <si>
    <t xml:space="preserve"> (פ/149/24)</t>
  </si>
  <si>
    <t xml:space="preserve">הצעת חוק הממשלה (תיקון - פרסום פרוטוקול ישיבות הממשלה), התשפ"א-2021</t>
  </si>
  <si>
    <t xml:space="preserve"> (פ/148/24)</t>
  </si>
  <si>
    <t xml:space="preserve">הצעת חוק המועצות האזוריות (בחירת ראש המועצה) (תיקון - הגשת רשימה על ידי סיעה או מפלגה), התשפ"א-2021</t>
  </si>
  <si>
    <t xml:space="preserve"> (פ/147/24)</t>
  </si>
  <si>
    <t xml:space="preserve">הצעת חוק איסור הפליה במוצרים, בשירותים ובכניסה למקומות בידור ולמקומות ציבוריים (תיקון - חובת הודעה מוקדמת על אירוע סגור), התשפ"א-2021</t>
  </si>
  <si>
    <t xml:space="preserve"> (פ/146/24)</t>
  </si>
  <si>
    <t xml:space="preserve"> (פ/145/24)</t>
  </si>
  <si>
    <t xml:space="preserve">הצעת חוק היטלי סחר ואמצעי הגנה (תיקון - אי פתיחת חקירה בשל יבוא בהיצף בשוק מונופוליסטי או ריכוזי), התשפ"א-2021</t>
  </si>
  <si>
    <t xml:space="preserve"> (פ/144/24)</t>
  </si>
  <si>
    <t xml:space="preserve">הצעת חוק הגנת הצרכן (תיקון - הגבלות על מכירה מיוחדת), התשפ"א-2021</t>
  </si>
  <si>
    <t xml:space="preserve"> (פ/143/24)</t>
  </si>
  <si>
    <t xml:space="preserve">הצעת חוק לתיקון פקודת בתי הסוהר (עתירות אסיר - ערעור בזכות), התשפ"א-2021</t>
  </si>
  <si>
    <t xml:space="preserve"> (פ/142/24)</t>
  </si>
  <si>
    <t xml:space="preserve">הצעת חוק הבנקאות (רישוי) (תיקון - הפרדה בין בנקים), התשפ"א-2021</t>
  </si>
  <si>
    <t xml:space="preserve"> (פ/140/24)</t>
  </si>
  <si>
    <t xml:space="preserve">הצעת חוק הרשויות המקומיות (בחירת ראש הרשות וסגניו וכהונתם) (תיקון - מינוי סגן ראש רשות תשיעי בעיריית ירושלים), התשפ"א-2021</t>
  </si>
  <si>
    <t xml:space="preserve"> (פ/139/24)</t>
  </si>
  <si>
    <t xml:space="preserve">הצעת חוק נציב תלונות הציבור על שופטים (תיקון - מינוי הנציב), התשפ"א-2021</t>
  </si>
  <si>
    <t xml:space="preserve"> (פ/137/24)</t>
  </si>
  <si>
    <t xml:space="preserve">הצעת חוק הביטוח הלאומי (תיקון - קצבת נכות לעקרת בית), התשפ"א-2021</t>
  </si>
  <si>
    <t xml:space="preserve"> (פ/136/24)</t>
  </si>
  <si>
    <t xml:space="preserve"> (פ/135/24)</t>
  </si>
  <si>
    <t xml:space="preserve"> (פ/134/24)</t>
  </si>
  <si>
    <t xml:space="preserve">הצעת חוק שיקום שכונות דרום תל-אביב (תמריצים לפיזור גיאוגרפי של מסתננים) (הוראת שעה), התשפ"א-2021</t>
  </si>
  <si>
    <t xml:space="preserve"> (פ/133/24)</t>
  </si>
  <si>
    <t xml:space="preserve">הצעת חוק התגמולים לנפגעי פעולות איבה (תיקון - פשע שנאה), התשפ"א-2021</t>
  </si>
  <si>
    <t xml:space="preserve"> (פ/132/24)</t>
  </si>
  <si>
    <t xml:space="preserve">הצעת חוק הגנת הצרכן (תיקון - סימון תאריך ייצור ומועד תפוגה עברי), התשפ"א-2021</t>
  </si>
  <si>
    <t xml:space="preserve"> (פ/131/24)</t>
  </si>
  <si>
    <t xml:space="preserve">הצעת חוק שידורי טלוויזיה (תיאור קולי), התשפ"א-2021</t>
  </si>
  <si>
    <t xml:space="preserve"> (פ/130/24)</t>
  </si>
  <si>
    <t xml:space="preserve">הצעת חוק הביטוח הלאומי (תיקון - הכרה בפגיעה מינית בעבודה כתאונת עבודה), התשפ"א-2021</t>
  </si>
  <si>
    <t xml:space="preserve"> (פ/129/24)</t>
  </si>
  <si>
    <t xml:space="preserve">הצעת חוק דמי נסיעה לסטודנטים בתחבורה ציבורית (תיקוני חקיקה), התשפ"א-2021</t>
  </si>
  <si>
    <t xml:space="preserve"> (פ/128/24)</t>
  </si>
  <si>
    <t xml:space="preserve"> (פ/127/24)</t>
  </si>
  <si>
    <t xml:space="preserve">הצעת חוק דחיית תשלומי מס לעסק חדש (תיקוני חקיקה), התשפ"א-2021</t>
  </si>
  <si>
    <t xml:space="preserve"> (פ/125/24)</t>
  </si>
  <si>
    <t xml:space="preserve"> (פ/124/24)</t>
  </si>
  <si>
    <t xml:space="preserve">הצעת חוק לתיקון פקודת מס הכנסה (ניכוי הוצאות כיבוד לפגישה מחוץ למקום העיסוק), התשפ"א-2021</t>
  </si>
  <si>
    <t xml:space="preserve"> (פ/123/24)</t>
  </si>
  <si>
    <t xml:space="preserve">הצעת חוק לתיקון פקודת התעבורה (הארכת משך האור הירוק ברמזור להולכי רגל בקרבת בתי ספר ובתי אבות), התשפ"א-2021</t>
  </si>
  <si>
    <t xml:space="preserve"> (פ/122/24)</t>
  </si>
  <si>
    <t xml:space="preserve">הצעת חוק לתיקון פקודת העיריות (הצבת דוכנים המשמשים לצרכי דת), התשפ"א-2021</t>
  </si>
  <si>
    <t xml:space="preserve"> (פ/120/24)</t>
  </si>
  <si>
    <t xml:space="preserve"> (פ/118/24)</t>
  </si>
  <si>
    <t xml:space="preserve">הצעת חוק הרשויות המקומיות (הגבלת הזכות להיבחר) (תיקון - חזרת עובד רשות לעבודתו לאחר שהתמודד לראשות המועצה), התשפ"א-2021</t>
  </si>
  <si>
    <t xml:space="preserve"> (פ/117/24)</t>
  </si>
  <si>
    <t xml:space="preserve">הצעת חוק החזר גביית יתר (תיקוני חקיקה), התשפ"א-2021</t>
  </si>
  <si>
    <t xml:space="preserve"> (פ/116/24)</t>
  </si>
  <si>
    <t xml:space="preserve">הצעת חוק חובת תשלום בשוברים, התשפ"א-2021</t>
  </si>
  <si>
    <t xml:space="preserve"> (פ/115/24)</t>
  </si>
  <si>
    <t xml:space="preserve">הצעת חוק עבודת נשים (תיקון - תקופת לידה והורות להורה יחיד), התשפ"א-2021</t>
  </si>
  <si>
    <t xml:space="preserve"> (פ/113/24)</t>
  </si>
  <si>
    <t xml:space="preserve">הצעת חוק רשת ביטחון לעצמאים בעת אירוע חירום, התשפ"א-2021</t>
  </si>
  <si>
    <t xml:space="preserve"> (פ/111/24)</t>
  </si>
  <si>
    <t xml:space="preserve">הצעת חוק לפיקוח על ייצור הצמח ושיווקו (תיקון - חובת סימון ארץ הייצור של צמחים הנמכרים בתפזורת), התשפ"א-2021 </t>
  </si>
  <si>
    <t xml:space="preserve"> (פ/110/24)</t>
  </si>
  <si>
    <t xml:space="preserve"> (פ/109/24)</t>
  </si>
  <si>
    <t xml:space="preserve">הצעת חוק מגן דוד אדום (תיקון - הענקת שירותי רפואה מרחוק), התשפ"א-2021</t>
  </si>
  <si>
    <t xml:space="preserve"> (פ/108/24)</t>
  </si>
  <si>
    <t xml:space="preserve">הצעת חוק להסדרת שירותי ההשגחה על הכשרות, התשפ"א-2021</t>
  </si>
  <si>
    <t xml:space="preserve"> (פ/106/24)</t>
  </si>
  <si>
    <t xml:space="preserve">הצעת חוק הגנת הצרכן (תיקון - ביטול עסקה במסרון ומסירת אישור על קבלת הודעת ביטול), התשפ"א-2021</t>
  </si>
  <si>
    <t xml:space="preserve"> (פ/105/24)</t>
  </si>
  <si>
    <t xml:space="preserve">הצעת חוק הגנת הצרכן (תיקון - אחריות מנהל כללי ונושא משרה בשל הפרת הוראות החוק), התשפ"א-2021 </t>
  </si>
  <si>
    <t xml:space="preserve"> (פ/104/24)</t>
  </si>
  <si>
    <t xml:space="preserve"> (פ/103/24)</t>
  </si>
  <si>
    <t xml:space="preserve">הצעת חוק היטל על דירת מגורים ריקה באזור היצע דירות מגורים נמוך, התשפ"א-2021</t>
  </si>
  <si>
    <t xml:space="preserve"> (פ/102/24)</t>
  </si>
  <si>
    <t xml:space="preserve">הצעת חוק לתיקון פקודת התעבורה (פטור מתשלום דמי חניה לרכב של כונן רפואת חירום עם ציוד), התשפ"א-2021</t>
  </si>
  <si>
    <t xml:space="preserve"> (פ/101/24)</t>
  </si>
  <si>
    <t xml:space="preserve">הצעת חוק התכנון והבנייה (תיקון - פרסום הודעת הפקדה בשפה שאינה עברית), התשפ"א-2021</t>
  </si>
  <si>
    <t xml:space="preserve"> (פ/100/24)</t>
  </si>
  <si>
    <t xml:space="preserve">הצעת חוק הגנת הצרכן (תיקון - הארכת תקופת האחריות), התשפ"א-2021</t>
  </si>
  <si>
    <t xml:space="preserve"> (פ/99/24)</t>
  </si>
  <si>
    <t xml:space="preserve">הצעת חוק פקודת הסמים המסוכנים (תיקון - שידול לייבוא או ייצוא חומר הנחשב לסם בחו"ל), התשפ"א-2021</t>
  </si>
  <si>
    <t xml:space="preserve"> (פ/98/24)</t>
  </si>
  <si>
    <t xml:space="preserve">הצעת חוק הבנקאות (שירות ללקוח) (תיקון - מועדי החזר של הלוואה לדיור), התשפ"א-2021</t>
  </si>
  <si>
    <t xml:space="preserve"> (פ/97/24)</t>
  </si>
  <si>
    <t xml:space="preserve">הצעת חוק הבנקאות (שירות ללקוח) (תיקון - שירות מקוון ללקוח), התשפ"א-2021</t>
  </si>
  <si>
    <t xml:space="preserve"> (פ/96/24)</t>
  </si>
  <si>
    <t xml:space="preserve">הצעת חוק התכנון והבנייה (תיקון - חדרי הנקה בבניינים ציבוריים), התשפ"א-2021</t>
  </si>
  <si>
    <t xml:space="preserve"> (פ/95/24)</t>
  </si>
  <si>
    <t xml:space="preserve"> (פ/94/24)</t>
  </si>
  <si>
    <t xml:space="preserve">הצעת חוק לעידוד השקעות הון (תיקון - תחולה על מפעל תעשייתי ביישובים הסמוכים לגבול העימות בצפון, שדרות ויישובי עוטף עזה), התשפ"א-2021</t>
  </si>
  <si>
    <t xml:space="preserve"> (פ/93/24)</t>
  </si>
  <si>
    <t xml:space="preserve">הצעת חוק העונשין (תיקון - החמרת ענישה בגין ירי מנשק חם שלא כדין), התשפ"א-2021</t>
  </si>
  <si>
    <t xml:space="preserve"> (פ/91/24)</t>
  </si>
  <si>
    <t xml:space="preserve"> (פ/90/24)</t>
  </si>
  <si>
    <t xml:space="preserve">הצעת חוק פיצוי נפגעי אסון טבע (פיצוי לנפגעי שריפה), התשפ"א-2021</t>
  </si>
  <si>
    <t xml:space="preserve"> (פ/89/24)</t>
  </si>
  <si>
    <t xml:space="preserve">הצעת חוק העונשין (תיקון - הגנה עצמית בנסיבות של אלימות במשפחה), התשפ"א-2021</t>
  </si>
  <si>
    <t xml:space="preserve"> (פ/88/24)</t>
  </si>
  <si>
    <t xml:space="preserve">הצעת חוק שקיפות הצהרות הון של נבחרי ציבור, התשפ"א-2021</t>
  </si>
  <si>
    <t xml:space="preserve"> (פ/87/24)</t>
  </si>
  <si>
    <t xml:space="preserve">הצעת חוק הטבות לנפגעי התנכלות אנטישמית וגזענות בתקופת מלחמת העולם השניה, התשפ"א-2021</t>
  </si>
  <si>
    <t xml:space="preserve"> (פ/86/24)</t>
  </si>
  <si>
    <t xml:space="preserve">הצעת חוק ביטוח בריאות ממלכתי (תיקון - החזר דמי נסיעות והסעות לטיפולי אונקולוגיה ודיאליזה), התשפ"א-2021</t>
  </si>
  <si>
    <t xml:space="preserve"> (פ/85/24)</t>
  </si>
  <si>
    <t xml:space="preserve">הצעת חוק התכנון והבנייה (תיקון - הגדרת חדר מחוזק כמרחב מוגן), התשפ"א-2021</t>
  </si>
  <si>
    <t xml:space="preserve"> (פ/84/24)</t>
  </si>
  <si>
    <t xml:space="preserve"> (פ/83/24)</t>
  </si>
  <si>
    <t xml:space="preserve">הצעת חוק מרשם האוכלוסין (תיקון - אי חובת ציון שם הורה בתעודת זהות), התשפ"א-2021</t>
  </si>
  <si>
    <t xml:space="preserve"> (פ/82/24)</t>
  </si>
  <si>
    <t xml:space="preserve">הצעת חוק קביעת הזמן (תיקון - ביטול שעון חורף), התשפ"א-2021</t>
  </si>
  <si>
    <t xml:space="preserve"> (פ/80/24)</t>
  </si>
  <si>
    <t xml:space="preserve">הצעת חוק הרבנות הראשית (תיקון - בחירת נציגים מהאזור), התשפ"א-2021</t>
  </si>
  <si>
    <t xml:space="preserve"> (פ/79/24)</t>
  </si>
  <si>
    <t xml:space="preserve"> (פ/78/24)</t>
  </si>
  <si>
    <t xml:space="preserve">הצעת חוק שירותי הדת היהודיים (תיקון - כהונת רבני עיר), התשפ"א-2021</t>
  </si>
  <si>
    <t xml:space="preserve"> (פ/77/24)</t>
  </si>
  <si>
    <t xml:space="preserve">הצעת חוק יום לציון רצח העם הארמני, התשפ"א-2021</t>
  </si>
  <si>
    <t xml:space="preserve"> (פ/76/24)</t>
  </si>
  <si>
    <t xml:space="preserve">הצעת חוק הכרה ברצח העם הארמני וציון יום זיכרון, התשפ"א-2021</t>
  </si>
  <si>
    <t xml:space="preserve"> (פ/75/24)</t>
  </si>
  <si>
    <t xml:space="preserve">הצעת חוק העונשין (תיקון - החמרת הענישה על עבירות כלפי אנשי צוות רפואי), התשפ"א-2021 </t>
  </si>
  <si>
    <t xml:space="preserve"> (פ/74/24)</t>
  </si>
  <si>
    <t xml:space="preserve">הצעת חוק הגבלת אשראי למקבלי שירות מאמנים, עיתונאים ומרצים, התשפ"א-2021</t>
  </si>
  <si>
    <t xml:space="preserve"> (פ/73/24)</t>
  </si>
  <si>
    <t xml:space="preserve">הצעת חוק הוועדה למינוי בכירים (תיקוני חקיקה), התשפ"א-2021</t>
  </si>
  <si>
    <t xml:space="preserve"> (פ/70/24)</t>
  </si>
  <si>
    <t xml:space="preserve">הצעת חוק לתיקון פקודת הרופאים (רופא שהורשע בעבירת מין), התשפ"א-2021</t>
  </si>
  <si>
    <t xml:space="preserve"> (פ/69/24)</t>
  </si>
  <si>
    <t xml:space="preserve">הצעת חוק המכינות הקדם-צבאיות (תיקון - שלילת הכרה ממכינות המעודדות סירוב פקודה והסתה), התשפ"א-2021</t>
  </si>
  <si>
    <t xml:space="preserve"> (פ/68/24)</t>
  </si>
  <si>
    <t xml:space="preserve">הצעת חוק הסדרת הטיפול בחופי הכנרת (תיקון - מועצת איגוד ערים כנרת), התשפ"א-2021</t>
  </si>
  <si>
    <t xml:space="preserve"> (פ/67/24)</t>
  </si>
  <si>
    <t xml:space="preserve">הצעת חוק התכנון והבנייה (תיקון - שימוש חורג בקרקע חקלאית), התשפ"א-2021</t>
  </si>
  <si>
    <t xml:space="preserve"> (פ/66/24)</t>
  </si>
  <si>
    <t xml:space="preserve">הצעת חוק שירותי הדת היהודיים (תיקון - מינוי רבני התיישבות, רבנים אזוריים ורבני שכונות), התשפ"א-2021</t>
  </si>
  <si>
    <t xml:space="preserve"> (פ/65/24)</t>
  </si>
  <si>
    <t xml:space="preserve">הצעת חוק זכויות נפגעי עבירה (תיקון - מתן זכות הבעת עמדה לנפגעי או נפגעות עבירה במעמד פסק הדין או גזר הדין), התשפ"א-2021</t>
  </si>
  <si>
    <t xml:space="preserve"> (פ/63/24)</t>
  </si>
  <si>
    <t xml:space="preserve"> (פ/62/24)</t>
  </si>
  <si>
    <t xml:space="preserve"> (פ/61/24)</t>
  </si>
  <si>
    <t xml:space="preserve"> (פ/60/24)</t>
  </si>
  <si>
    <t xml:space="preserve"> (פ/59/24)</t>
  </si>
  <si>
    <t xml:space="preserve">הצעת חוק הגנת הצרכן (תיקון - השוואת תנאי צרכן ונותן שירות בעניין החזרת טובין), התשפ"א-2021</t>
  </si>
  <si>
    <t xml:space="preserve"> (פ/58/24)</t>
  </si>
  <si>
    <t xml:space="preserve">הצעת חוק הקמת מאגר מידע דיגיטלי בנושא הכשרות מקצועיות, התשפ"א-2021</t>
  </si>
  <si>
    <t xml:space="preserve"> (פ/56/24)</t>
  </si>
  <si>
    <t xml:space="preserve">הצעת חוק מרשם האוכלוסין (תיקון - ביטול סעיף המין בתעודת הזהות), התשפ"א-2021</t>
  </si>
  <si>
    <t xml:space="preserve"> (פ/54/24)</t>
  </si>
  <si>
    <t xml:space="preserve">הצעת חוק סדר הדין הפלילי (תיקון - הגבלת משך זמן החקירה המשטרתית), התשפ"א-2021</t>
  </si>
  <si>
    <t xml:space="preserve"> (פ/53/24)</t>
  </si>
  <si>
    <t xml:space="preserve">הצעת חוק ביטוח בריאות ממלכתי (תיקון - קביעת זמני המתנה ומרחקי נסיעה מירביים לקבלת טיפול רפואי), התשפ"א-2021</t>
  </si>
  <si>
    <t xml:space="preserve"> (פ/52/24)</t>
  </si>
  <si>
    <t xml:space="preserve">הצעת חוק הכנסת (תיקון - פיקוח על רשויות פיקוח פיננסיות), התשפ"א-2021</t>
  </si>
  <si>
    <t xml:space="preserve"> (פ/51/24)</t>
  </si>
  <si>
    <t xml:space="preserve"> (פ/49/24)</t>
  </si>
  <si>
    <t xml:space="preserve"> (פ/47/24)</t>
  </si>
  <si>
    <t xml:space="preserve">הצעת חוק הכניסה לישראל (תיקון - רישיון מיוחד לישיבת ביקור), התשפ"א-2021</t>
  </si>
  <si>
    <t xml:space="preserve"> (פ/46/24)</t>
  </si>
  <si>
    <t xml:space="preserve">הצעת חוק לתיקון פקודת הסמים המסוכנים (זנים תעשייתיים של קנבוס), התשפ"א-2021</t>
  </si>
  <si>
    <t xml:space="preserve"> (פ/45/24)</t>
  </si>
  <si>
    <t xml:space="preserve">הצעת חוק הכנסת (תיקון - ועדה לפיקוח על רשויות פיקוח פיננסיות), התשפ"א-2021</t>
  </si>
  <si>
    <t xml:space="preserve"> (פ/44/24)</t>
  </si>
  <si>
    <t xml:space="preserve"> (פ/43/24)</t>
  </si>
  <si>
    <t xml:space="preserve"> (פ/42/24)</t>
  </si>
  <si>
    <t xml:space="preserve"> (פ/41/24)</t>
  </si>
  <si>
    <t xml:space="preserve"> (פ/40/24)</t>
  </si>
  <si>
    <t xml:space="preserve"> (פ/39/24)</t>
  </si>
  <si>
    <t xml:space="preserve">הצעת חוק-יסוד: הממשלה (תיקון - בחירות ישירות לראשות הממשלה) (הוראת שעה)</t>
  </si>
  <si>
    <t xml:space="preserve"> (פ/38/24)</t>
  </si>
  <si>
    <t xml:space="preserve">הצעת חוק המרכז למורשת הערבית, התשפ"א-2021</t>
  </si>
  <si>
    <t xml:space="preserve"> (פ/37/24)</t>
  </si>
  <si>
    <t xml:space="preserve">הצעת חוק לתיקון פקודת התעבורה (הקמת מערך מידע וניתוח נתונים לשיפור התחבורה הציבורית), התשפ"א-2021</t>
  </si>
  <si>
    <t xml:space="preserve"> (פ/36/24)</t>
  </si>
  <si>
    <t xml:space="preserve"> (פ/35/24)</t>
  </si>
  <si>
    <t xml:space="preserve"> (פ/33/24)</t>
  </si>
  <si>
    <t xml:space="preserve">הצעת חוק הסעה בטיחותית לילדים ולפעוטות עם מוגבלות (תיקון - הרחבת ההגדרה מוסד חינוך), התשפ"א-2021</t>
  </si>
  <si>
    <t xml:space="preserve"> (פ/32/24)</t>
  </si>
  <si>
    <t xml:space="preserve">הצעת חוק צער בעלי חיים (הגנה על בעלי חיים) (תיקון - איחוד סמכויות), התשפ"א-2021</t>
  </si>
  <si>
    <t xml:space="preserve"> (פ/31/24)</t>
  </si>
  <si>
    <t xml:space="preserve"> (פ/30/24)</t>
  </si>
  <si>
    <t xml:space="preserve">הצעת חוק התכנון והבנייה (תיקון - פרסום נאות), התשפ"א-2021</t>
  </si>
  <si>
    <t xml:space="preserve"> (פ/29/24)</t>
  </si>
  <si>
    <t xml:space="preserve"> (פ/27/24)</t>
  </si>
  <si>
    <t xml:space="preserve"> (פ/25/24)</t>
  </si>
  <si>
    <t xml:space="preserve">הצעת חוק המועצה להשכלה גבוהה (תיקון - עידוד הנגשה להשכלה גבוהה), התשפ"א-2021</t>
  </si>
  <si>
    <t xml:space="preserve"> (פ/23/24)</t>
  </si>
  <si>
    <t xml:space="preserve">הצעת חוק-יסוד: משאל עם - שוויון בנישואין וגירושין</t>
  </si>
  <si>
    <t xml:space="preserve"> (פ/22/24)</t>
  </si>
  <si>
    <t xml:space="preserve">הצעת חוק רישוי עסקים (תיקון - פטור מהגשת מסמכים), התשפ"א-2021 </t>
  </si>
  <si>
    <t xml:space="preserve"> (פ/20/24)</t>
  </si>
  <si>
    <t xml:space="preserve">הצעת חוק מבקר המדינה (תיקון - תקופת צינון למועמדים לכנסת, חברי כנסת ושרים), התשפ"א-2021</t>
  </si>
  <si>
    <t xml:space="preserve"> (פ/18/24)</t>
  </si>
  <si>
    <t xml:space="preserve">הצעת חוק לתיקון פקודות הדיג (איכון ספינות דיג), התשפ"א-2021</t>
  </si>
  <si>
    <t xml:space="preserve"> (פ/17/24)</t>
  </si>
  <si>
    <t xml:space="preserve">הצעת חוק בתי המשפט (תיקון - תקופת צינון לפני מינוי), התשפ"א-2021</t>
  </si>
  <si>
    <t xml:space="preserve"> (פ/16/24)</t>
  </si>
  <si>
    <t xml:space="preserve">הצעת חוק הפעלת תחבורה ציבורית ביום המנוחה השבועי, התשפ"א-2021</t>
  </si>
  <si>
    <t xml:space="preserve"> (פ/15/24)</t>
  </si>
  <si>
    <t xml:space="preserve">הצעת חוק העונשין (תיקון - החמרת ענישה בגין תקיפת סתם), התשפ"א-2021</t>
  </si>
  <si>
    <t xml:space="preserve"> (פ/14/24)</t>
  </si>
  <si>
    <t xml:space="preserve">הצעת חוק לתיקון פקודת בריאות העם (העדפות מתן רשיון למכשור רפואי בפריפריה), התשפ"א-2021</t>
  </si>
  <si>
    <t xml:space="preserve"> (פ/13/24)</t>
  </si>
  <si>
    <t xml:space="preserve">הצעת חוק עסקאות למכירת נשק או ציוד צבאי של מדינה זרה, התשפ"א-2021</t>
  </si>
  <si>
    <t xml:space="preserve"> (פ/12/24)</t>
  </si>
  <si>
    <t xml:space="preserve">הצעת חוק להנצחת הרב עובדיה יוסף (ציון זכרו ופועלו), התשפ"א-2021</t>
  </si>
  <si>
    <t xml:space="preserve"> (פ/11/24)</t>
  </si>
  <si>
    <t xml:space="preserve">הצעת חוק סדר הדין הפלילי (סמכויות אכיפה – מעצרים) (תיקון–הגדרת מסוכנות של פוגעים בבעלי חיים), התשפ"א-2021</t>
  </si>
  <si>
    <t xml:space="preserve"> (פ/10/24)</t>
  </si>
  <si>
    <t xml:space="preserve">הצעת חוק לתיקון פקודת הסמים המסוכנים (הוספת חומר קנבוס כחומר בעל תועלת רפואית), התשפ"א-2021</t>
  </si>
  <si>
    <t xml:space="preserve"> (פ/8/24)</t>
  </si>
  <si>
    <t xml:space="preserve"> (פ/5/24)</t>
  </si>
  <si>
    <t xml:space="preserve"> (פ/4/24)</t>
  </si>
  <si>
    <t xml:space="preserve"> (פ/3/24)</t>
  </si>
  <si>
    <t xml:space="preserve"> (פ/2/24)</t>
  </si>
  <si>
    <t xml:space="preserve"> (פ/1/24)</t>
  </si>
  <si>
    <t xml:space="preserve">חוק אנשי צבא דרום לבנון ומשפחותיהם (תיקון), התשפ"א-2021</t>
  </si>
  <si>
    <t xml:space="preserve"> (מ/1399)</t>
  </si>
  <si>
    <t xml:space="preserve">17.03.2021</t>
  </si>
  <si>
    <t xml:space="preserve">התיקון לחוק מקנה לשר הביטחון סמכות להעניק את אות המערכה לפי חוק העיטורים בצה"ל, לאנשי צבא דרום לבנון אשר לחמו לצד חיילי צה"ל בזמן המערכה ברצועת הביטחון בדרום לבנון. נוסף על כך, נקבע בתיקון עקיף לחוק התכנית לסיוע כלכלי (נגיף הקורונה החדש) (הוראת שעה), התש"ף–2020, כי עצמאי או שכיר בעל שליטה בחברת מעטים יהיה רשאי להתבסס על מחזור עסקאותיו בשנת 2018 או בשנת 2019, לפי הגבוה מביניהם, לשם קבלת מענק סיוע בהתמודדות עם נגיף הקורונה לשנת 2021.</t>
  </si>
  <si>
    <t xml:space="preserve">חוק סמכויות מיוחדות להתמודדות עם נגיף הקורונה החדש (הוראת שעה) (תיקון מס' 7), התשפ"א-2021 </t>
  </si>
  <si>
    <t xml:space="preserve"> (מ/1402)</t>
  </si>
  <si>
    <t xml:space="preserve">במסגרת התיקון, נקבע כי הממשלה רשאית להכריז כי כל אדם הנכנס לישראל וחייב בבידוד, ישהה בבידוד בפיקוח של אמצעי טכנולוגי אשר מאושר על-ידי שר הבריאות. לשם כך, המדינה רשאית להתקשר עם חברה פרטית לסיוע טכני בעניינים המוגדרים בחוק ותתבצע בקרה על פעולותיה על-ידי הגורמים המוסמכים.</t>
  </si>
  <si>
    <t xml:space="preserve">חוק הביטוח הלאומי (תיקון מס' 224 והוראת שעה), התשפ"א-2021</t>
  </si>
  <si>
    <t xml:space="preserve"> (מ/1401)</t>
  </si>
  <si>
    <t xml:space="preserve">15.03.2021</t>
  </si>
  <si>
    <t xml:space="preserve">מעסיקים מחויבים בתשלום דמי ביטוח לאומי ודמי ביטוח בריאות עבור עובדיהם בעד חודשיים מתוך התקופה שבה העובדים שוהים בחופשה ללא תשלום, מה שמטיל על המעסיקים נטל משמעותי בתקופה קשה זו. החוק קובע כהוראת שעה פטור למעסיקים מתשלום דמי ביטוח לאומי ודמי ביטוח בריאות בעד עובדים השוהים בחופשה ללא תשלום. הפטור מתשלום דמי ביטוח יחול לגבי עובדים שהיו בחופשה ללא תשלום במשך חודש קלנדרי אחד לפחות, בתקופה שבין ה-1 לאפריל 2020 ועד 30 באפריל 2021. שר האוצר רשאי בצו להאריך את התקופה האמורה עד ליום 30 ביוני 2021.</t>
  </si>
  <si>
    <t xml:space="preserve">חוק הביטוח הלאומי (תיקון מס' 218 - הוראת שעה) (מענק חד-פעמי חלף הגדלת קצבאות הנכות לשנת 2020) (תיקון), התשפ"א-2021</t>
  </si>
  <si>
    <t xml:space="preserve"> (מ/1395)</t>
  </si>
  <si>
    <t xml:space="preserve">03.03.2021</t>
  </si>
  <si>
    <t xml:space="preserve">חוק הביטוח הלאומי (תיקון מס' 218 - הוראת שעה) (מענק חד-פעמי חלף הגדלת קצבאות הנכות לשנת 2020), התשפ"א-2020 קובע כהוראת שעה כי חלף הגדלת קצבאות הנכות לשנת 2020 ישולם מענק חד-פעמי למקבלי קצבאות נכות. נקבע כי המענק ישולם בשתי פעימות בחודשים אוקטובר ודצמבר 2020 בעד כל חודש בשנת 2020 שבו שולמה לזכאי קצבת נכות. גובה המענק משתנה בהתאם לסוג הגמלה המשולמת. בנוסף נקבע כי אוצר המדינה ישפה את המוסד לביטוח לאומי עד לסכום של 1.007 מיליארד שקלים חדשים.  לבסוף, נקבע כי תשלומים לפי הסכמים שנערכו לפי הוראת סעיף 9 לחוק הביטוח הלאומי בשל ההשפעות הכלכליות של נגיף הקורונה החדש לא ייחשבו הכנסה לעניין כל דין אלא אם נקבע אחרת בהסכם. </t>
  </si>
  <si>
    <t xml:space="preserve">הצעת חוק העונשין (תיקון מס' 140 והוראת שעה) (החמרת הענישה בעבירות אלימות נגד קטין או חסר ישע), התשפ"א-2021</t>
  </si>
  <si>
    <t xml:space="preserve"> (מ/1396)</t>
  </si>
  <si>
    <t xml:space="preserve">הצעת חוק התקשורת (בזק ושידורים) (תיקון מס' 75) (שינוי מתכונת האסדרה בתחום הבזק), התשפ"א-2021</t>
  </si>
  <si>
    <t xml:space="preserve"> (מ/1397)</t>
  </si>
  <si>
    <t xml:space="preserve">חוק חדלות פירעון ושיקום כלכלי (תיקון מס' 4 – הוראת שעה – נגיף הקורונה החדש), התשפ"א-2021 </t>
  </si>
  <si>
    <t xml:space="preserve"> (מ/1391)</t>
  </si>
  <si>
    <t xml:space="preserve">01.03.2021</t>
  </si>
  <si>
    <t xml:space="preserve">על רקע משבר הקורונה, נקבעה הוראת השעה לשנה (ישנה אפשרות לשתי הארכות של שישה חודשים כל אחת), עוגן הסדר מיוחד המאפשר עיכוב הליכים משפטיים והליכי גבייה נגד חייבים (תאגידים ויחידים) המבקשים לגבש הסדר חוב עם נושיהם ולחזור למסלול עסקים תקין, זאת בלא להיכנס להליכי חדלות פירעון מלאים. בהסדר נקבעו ההגנות שיוענקו לנושים בתקופה זו.</t>
  </si>
  <si>
    <t xml:space="preserve">חוק לתיקון פקודת בריאות העם (מס' 36 – הוראת שעה – נגיף הקורונה החדש), התשפ"א–2021</t>
  </si>
  <si>
    <t xml:space="preserve"> (מ/1394)</t>
  </si>
  <si>
    <t xml:space="preserve">24.02.2021</t>
  </si>
  <si>
    <t xml:space="preserve">לשם עידוד הציבור להתחסן מפני נגיף הקורונה החוק מאפשר למנכ"ל משרד הבריאות להעביר מידע הכולל שם, מספר זהות וכן כתובת ומספר טלפון של מי שרשאי להתחסן לפי הנחיות משרד הבריאות אך טרם התחסן במנה הראשונה או השניה, לעובד רשות מקומית שמונה לכך – לגבי מי שמתגורר ברשות, למנכ"ל משרד החינוך -  לגבי מי שמועסק במוסד המקיים פעילות חינוך באחריות משרד החינוך  - לגבי מי שמועסק במוסד רווחה. המידע יימסר  בכפוף לכך שמקבל המידע יוכיח באמצעות הגשת בקשה הכוללת תכנית המפרטת פעולות מתוכננות לעידוד התחסנות, כי הוא זקוק למידע כדי לסייע למשרד הבריאות לעודד התחסנות וכן כי יש לו יתרון בביצוע פעולות עידוד לעומת משרד הבריאות ושאר העוסקים בחיסונים. החוק מגביל את השימוש במידע לבעלי תפקידים שקיבלו הסמכה לכך וחתמו על התחייבות לשמירת סודיות, וקובע הוראות לעניין שמירת המידע, מחיקתו ושמירת סודיותו. השימוש במידע יהיה לביצוע פעולות לעידוד התחסנות לפי הנחיות שיקבע מנכ"ל משרד הבריאות, ופעולות אלה לא יכללו מניעת שירותים, הפעלת סמכות, או פגיעה בזכויות כתושב או כעובד, ולא ינקטו כלפי אדם בידי מי שמכיר אותו או בידי חבר מועצה ברשות המקומית בה הוא מתגורר. עוד נקבע כי פניה לעידוד התחסנות של קטין תיעשה רק לאפוטרופוס של הקטין. החוק מפרט כי הנחיות מנכ"ל משרד הבריאות יכללו, נוסף להוראות לעניין אופן הגשת הבקשה, דרכי העברת המידע, שמירתו, השימוש בו ומחיקתו, גם הוראות לעניין סוגי פעולות שניתן יהיה לבצע לעידוד התחסנות מעבר ליצירת קשר עם אדם, וכן הוראות לעניין מחיקת מידע של אדם שביקש במהלך פעולה לעידוד התחסנות כי המידע אודותיו יימחק ומניעת פעולות לגבי אדם שביקש שיחדלו מפעולות כלפיו, ונוסף על כל אלה יכללו הוראות לעניין סוגי בעלי התפקידים שניתן להסמיך לביצוע הפעולות ומספר בעלי התפקידים. החוק גם מסמיך את משרד הבריאות לדרוש מידע כאמור ממוסד רפואי או מגוף ציבורי לשם עידוד התחסנות או לשם מתן תעודת מתחסן.</t>
  </si>
  <si>
    <t xml:space="preserve">חוק סליקת שיקים ושיקים ללא כיסוי (תיקוני חקיקה), התשפ"א-2021</t>
  </si>
  <si>
    <t xml:space="preserve"> (מ/1388)</t>
  </si>
  <si>
    <t xml:space="preserve">08.02.2021</t>
  </si>
  <si>
    <t xml:space="preserve">חוק סליקת שיקים ושיקים ללא כיסוי (תיקוני חקיקה), התשפ"א–2021 (להלן – החוק), אושר בקריאה השנייה והשלישית ביום כ"ו בשבט התשפ"א (8 בפברואר 2021).  בשנת 2016 חוקקה הכנסת את חוק סליקה אלקטרונית של שיקים, התשע"ו–2016, הקובע כי ניתן להפקיד ולסלוק שיקים בסליקה אלקטרונית. עד לחקיקתו של החוק, שיקים נסלקו בסליקה בין בנקאית באופן ידני. בנוסף, בשנת 2018, במסגרת חוק התכנית הכלכלית (תיקוני חקיקה ליישום המדיניות הכלכלית לשנת התקציב 2019), התשע"ח–2018, תוקן חוק הבנקאות (שירות ללקוח) ונחקקה בו רפורמת הניידות בין בנקים ("ניידות בקליק") שמטרתה לאפשר העברת הפעילות הפיננסית של לקוח פרטי,  מבנק מעביר לבנק קולט בלחיצת כפתור, תוך כדי הטלת חובות על הבנקים לבצע את ההעברה באופן מקוון, נוח, אמין, מאובטח ובלא גביית תשלום מהלקוח בעד הליך העברת החשבון. תחילתה של הרפורמה נקבעה ליום ט' בניסן התשפ"א (22 במרץ 2020), אולם נדחתה, בצו, עד ליום ט"ז בתשרי התשפ"ב (22 בספטמבר 2021). החוק מכיל הוראות משלימות במספר חוקים, ליישום רפורמת הניידות בכל הנוגע להעברת חשבון שיקים בין בנק לבנק ואופן סליקתם, זאת בהתייחס למספר מצבים: האחד, מעבר מבנק לבנק של לקוח שמשך את השיק; השני, מעבר מבנק לבנק של לקוח הפורע את השיק; השלישי, החלת ההוראות הנוגעות לחשבון מוגבל. תיקון אחד הוא לחוק סליקה אלקטרונית של שיקים, התשע"ו–2016. במסגרת התיקון נקבע מנגנון שיאפשר ללקוח לעבור בנק גם אם נמשכו שיקים מהחשבון שלו בבנק המקורי, כך שהם ייפרעו מהחשבון שלו בבנק הקולט. כך גם הבנק הקולט יוכל להציג שיק לפירעון גם אם הופקד או הועבר לגבייה בבנק המקורי. בנוסף, שמו של חוק זה שונה לחוק סליקת שיקים, התשע"ו–2016, זאת משום שעם חקיקת התיקון החוק יתייחס לסליקת שיקים באופן כללי ולא רק לסליקה אלקטרונית. כמו כן, הוסמך המפקח על הבנקים להטיל עיצום כספי על בנק שהפר את הוראות חוק זה.  תיקון שני הוא לחוק שיקים ללא כיסוי, התשמ"א–1981 (להלן – חוק שיקים ללא כיסוי), הקובע הסדרים לעניין הגבלת חשבון לאחר שסורבו בו שיקים בהתאם למספר הקבוע בחוק. במסגרת התיקון לחוק נקבעו הוראות המבהירות כיצד יחול החוק על חשבון שנוייד, ובכלל זה וכיצד יילקחו בחשבון שיקים שסורבו קודם לכן בחשבון בבנק המקורי לצורך הגבלת החשבון.  בנוסף, בהתאם להסדר הקבוע היום בחוק שיקים ללא כיסוי, בנק ישראל מפרסם את מספרי החשבונות המוגבלים, עם ציון שם הבנק שבו מתנהל החשבון ותאריך סיום ההגבלה.  כדי לאפשר לבנק ישראל להציג מידע עדכני ואמין גם על חשבון שנוייד, נקבע כי על הבנק הקולט מוטלת חובה למסור מידע אודות החשבון לבנק ישראל. במקרה שחשבון שנוייד היה מוגבל בבנק המקורי ולא יהיה מוגבל בבנק הקולט – בנק ישראל לא יפרסם את החשבון שנוייד כחשבון מוגבל. לעומת זאת, אם החשבון בבנק המקורי לא היה מוגבל, אולם הוא עתיד להיות מוגבל בבנק הקולט – יפרסם בנק ישראל את פרטי החשבון המוגבל בציון תאריך סיום ההגבלה. מובהר שאם החשבון היה מוגבל בבנק המקורי והוגבל גם בבנק הקולט – בנק ישראל יפרסם את פרטי החשבון. תיקון שלישי הוא לחוק הבנקאות (שירות ללקוח), התשמ"א–1981. החוק קובע כי בשל הצורך להתייחס לניתוב הפעילות הפיננסית שממשיכה להגיע אל הבנק המקורי גם לאחר העברת החשבון ממנו (תשלומים או זיכויים), תורחב סמכותו של נגיד בנק ישראל לקבוע בכללים סוגי פעילות פיננסית שלגביהם יבצעו הבנק הקולט והבנק המעביר את הפעולות הדרושות לשם העברת הפעילות הפיננסית של לקוח ביניהם, גם לאחר מועד העברת החשבון, כך שהוא יהיה רשאי לקבוע תקופות שונות לסוגי פעילות פיננסית שונים. מועד תחילת החוק הוא מועד כניסתה לתוקף של המסגרת הנורמטיבית של הרפורמה, ביום ט"ז בתשרי התשפ"ב (22 בספטמבר 2021). ההוראה המסמיכה את המפקח על הבנקים להטיל עיצום כספי לפי חוק סליקה אלקטרונית של שיקים, התשע"ו–2016, תיכנס לתוקף ביום י"ט באייר התשפ"א (1 במאי 2021), ותיקון שמו של חוק זה ייכנס לתוקף עם פרסום החוק. </t>
  </si>
  <si>
    <t xml:space="preserve">חוק סמכויות מיוחדות להתמודדות עם נגיף הקורונה החדש (הוראת שעה) (תיקון מס' 6), התשפ"א-2021 </t>
  </si>
  <si>
    <t xml:space="preserve"> (מ/1392)</t>
  </si>
  <si>
    <t xml:space="preserve">03.02.2021</t>
  </si>
  <si>
    <t xml:space="preserve">במסגרת התיקון, נקבע כי לממשלה תינתן הסמכות להתקין תקנות המגבילות כניסה לישראל ויציאה ממנה למדינות אחרות, זאת כחלק מההתמודדות עם נגיף הקורונה.</t>
  </si>
  <si>
    <t xml:space="preserve">חוק סמכויות מיוחדות להתמודדות עם נגיף הקורונה החדש (הוראת שעה) (תיקון מס' 5), התשפ"א-2021</t>
  </si>
  <si>
    <t xml:space="preserve"> (מ/1371)</t>
  </si>
  <si>
    <t xml:space="preserve">31.01.2021</t>
  </si>
  <si>
    <t xml:space="preserve">במסגרת התיקון, הוחמרה הענישה כלפי מי שמפר הגבלות מסוימות שנקבעו לפי חוק הסמכויות וכן ניתנה סמכות לסגירת מוסד המקיים פעילות חינוך בניגוד לתקנות שהותקנו מכוח חוק סמכויות מיוחדות להתמודדות עם נגיף הקורונה.</t>
  </si>
  <si>
    <t xml:space="preserve">הצעת חוק המידע הפלילי ותקנת השבים (תיקון והוראת שעה), התשפ"א-2020 - החלק הנותר</t>
  </si>
  <si>
    <t xml:space="preserve"> (מ/1384)</t>
  </si>
  <si>
    <t xml:space="preserve">13.01.2021</t>
  </si>
  <si>
    <t xml:space="preserve">חוק הביטוח הלאומי (תיקון מס' 223 - הוראת שעה), התשפ"א-2021</t>
  </si>
  <si>
    <t xml:space="preserve"> (מ/1387)</t>
  </si>
  <si>
    <t xml:space="preserve">11.01.2021</t>
  </si>
  <si>
    <t xml:space="preserve">התיקון לחוק קובע כי מבוטחת שהיתה זכאית לדמי אבטלה וילדה בתקופה שמיום 1.8.2020 ועד תום תקופת הזכאות המיוחדת לדמי אבטלה עקב משבר הקורונה, תהיה זכאית לדמי לידה בהתאם לתנאים שבחוק הביטוח הלאומי למרות שהרתה בזמן שכבר לא עבדה. עוד קובע התיקון לחוק כי מי שהיתה זכאית לדמי אבטלה וילדה בתקופה שמיום 1.3.2020 ועד תום תקופת הזכאות המיוחדת לדמי אבטלה עקב משבר הקורונה, תהיה זכאית לתשלום מיוחד, בסכום דמי האבטלה שהיתה זכאית להם אילו לא ילדה, במשך 15 שבועות מיום הלידה, למעט בפרק הזמן שבו היא זכאית לדמי לידה. נקבע כי הוראה זו תחול גם לעניין הורה מאמץ, הורה מיועד והורה במשפחת אומנה. תשלומים לפי ההוראות האמורות ישולמו לא לפני 12.3.2021 ואוצר המדינה ישפה את המוסד לביטוח לאומי על ההוצאות הכרוכות בביצועם. כמו כן, החוק קובע כי עובדת עצמאית שילדה בתקופה שמיום 1.8.2020 ועד תום תקופת הזכאות מיוחדת לדמי אבטלה עקב משבר הקורונה, תוכל להביא בחשבון לענין קביעת דמי הלידה המגיעים לה, את הכנסותיה ברבע שנה בשנת 2019, בשנת 2020 או בשנת הלידה, לפי הסכום הגבוה מביניהם.  </t>
  </si>
  <si>
    <t xml:space="preserve">חוק התכנית לסיוע כלכלי (נגיף הקורונה החדש) (הוראת שעה) (תיקון מס' 4), התשפ"א-2021</t>
  </si>
  <si>
    <t xml:space="preserve"> (מ/1386)</t>
  </si>
  <si>
    <t xml:space="preserve">בחוק זה תוקנו ההוראות למתן מענק הסיוע להוצאות קבועות מכוח חוק התכנית לסיוע כלכלי (נגיף הקורונה החדש) (הוראת שעה), התש"ף-2020 ולמענק עבודה מכוח החוק להגדלת שיעור ההשתתפות בכוח העבודה ולצמצום פערים חברתיים (מענק עבודה), התשס"ח-2007 כך שיינתנו גם עבור החודשים ינואר-פברואר 2021.  דרישת ירידת המחזורים במענק הסיוע להוצאות קבועות, ביחס לתקופה המקבילה בשנת 2019, תמשיך לעמוד על ירידה של 25 אחוזים, כאשר גובה המענק ייקבע לפי מדרגות ירידה שהן בין 25 אחוזים ל-40 אחוזים, בין 40 אחוזים ל-60 אחוזים, ומעל 60 אחוזים. נקבע שהמענק עבור החודשים מאי-יוני 2021 יעמוד על מחצית, וששר האוצר יהיה רשאי לקבוע שיינתן מענק עבור אותם חודשים רק במידה וההוצאה הדרושה לשם כך תיכלל במסגרת ההוצאות להתמודדות עם משבר נגיף הקורונה, או במסגרת התקציב השנתי, ככל שיתקבל חוק בנושא.  יוענק מענק סיוע בשל פגיעה ממושכת שנגרמה מההשפעה הכלכלית של נגיף הקורונה החדש, אשר יינתן למי שמחזור עסקאותיו בשנת 2019 עולה על 18 אלף ₪ אך אינו עולה על 300 אלף  ₪, ואשר הירידה במחזור עסקאותיו עקב המשבר עולה על 25%, כאשר בחישוב זה יובאו בחשבון הסכומים שקיבל כמענק סיוע להוצאות קבועות. עבור עוסק שמחזור עסקאותיו אינו עולה על 300,000 ש"ח סכום המענק בשל פגיעה ממושכת ינוע בין 3,000 ש"ח ל-9,000 ש"ח כתלות בשיעור הפגיעה במחזור עסקאותיו עקב השפעת הנגיף, ועבור עוסק שמחזור עסקאותיו עולה על 300,000 ש"ח, יוכל לקבל מענק שיחושב לפי הסכומים שקיבל במענקי ההשתתפות בהוצאות קבועות. עם זאת, עוסק שמחזור עסקאותיו בשנת 2020 הגיע ל-90% ממחזור עסקאותיו בשנת 2019 יהיה זכאי רק ל-60% מגובה המענק לו הוא היה זכאי בהתאם למחזור עסקאותיו.  בנוסף, תביעה לקבלת מענק פגיעה ממושכת תוגש באופן מקוון בתוך שלושה חודשים מיום 10 בפברואר 2021. מנהל רשות המיסים יוסמך לדחות את מועד התחילה להגשת התקופה אם לא תתאפשר הגשת תביעה מקוונת. </t>
  </si>
  <si>
    <t xml:space="preserve">חוק המידע הפלילי ותקנת השבים (תיקון), התשפ"א–2021</t>
  </si>
  <si>
    <t xml:space="preserve">הוחלט לדחות את כניסת החוק לתוקף לחודש ינואר 2022. שר המשפטים והשר לבטחון פנים יהיו רשאים להאריך את המועד לפרק זמן של עד חצי שנה נוספת בצו באישור ועדת החוקה, חוק ומשפט.</t>
  </si>
  <si>
    <t xml:space="preserve">חוק התכנית להבראת כלכלת ישראל (תיקוני חקיקה להשגת יעדי התקציב והמדיניות הכלכלית לשנות הכספים 2003 ו-2004) (תיקון מס' 19 - הוראת שעה), התשפ"א-2021</t>
  </si>
  <si>
    <t xml:space="preserve"> (מ/1385)</t>
  </si>
  <si>
    <t xml:space="preserve">סעיף 45 לחוק התכנית להבראת כלכלת ישראל (תיקוני חקיקה להשגת יעדי התקציב והמדיניות הכלכלית לשנות הכספים 2003 ו-2004), התשס"ג-2003, קובע כי מעסיק חייב בתשלום היטל על העסקת עובד זר בשיעור של 20% מסך כל ההכנסה ששילם לעובד הזר בשנת מס מסוימת, אך אם העובד הזר הועסק לפי היתר להעסקת עובד זר בענף החקלאות, עומד שיעור ההיטל על 10% מסך ההכנסה האמורה. בשנת 2016 נקבע בהוראת שעה שבענף החקלאות, שיעור ההיטל יעמוד על 0%,  וזאת עד יום 31/12/2020. תיקון זה קובע שיעור היטל 0% בענף החקלאות לשנתיים נוספות, עד ליום 31/12/2022.</t>
  </si>
  <si>
    <t xml:space="preserve">חוק הארכת תקופות (הוראת שעה - נגיף הקורונה החדש) (אישורים רגולטוריים) (תיקון), התשפ"א-2021</t>
  </si>
  <si>
    <t xml:space="preserve"> (מ/1383)</t>
  </si>
  <si>
    <t xml:space="preserve">בתקופת הקורונה הוטלו הגבלות על המשק באופן שהקשה על רשויות ציבוריות לחדש אישורים רגולטוריים. לכן, בהמשך לתיקון דומה שנערך כמה חודשים קודם לכן, נקבע באופן רוחבי כי תקופת תוקפם של אישורים רגולטוריים שפקעו או היו אמורים לפקוע בתקופה שנקבעה תוארך. בנוסף, ראש הממשלה רשאי, בצו, באישור הממשלה ובאישור ועדה רלבנטית של הכנסת, להאריך את התקופה בתקופות נוספות שלא יעלו על שישה חודשים כל אחת, אם מתקיימות נסיבות מיוחדות אחרות המצדיקות זאת.  האישורים רגולטוריים ניתנים בידי רשות ציבורית לצורך ביצוע פעילות או פעולה בידי אדם לתקופה העולה על חודש, או לפטור מביצוע פעולה. לדוגמא, רישיון עסק, אשרת שהייה, היתר כיבוי אש, רישיון שימוש בקנאביס רפואי. החוק קובע סוגים שונים של היתרים שהוחרגו מההארכה האוטומטית, וכן היתרים שיוארכו לתקופות אחרות ובתנאים אחרים. לצד זאת, היתרים זמניים של רישוי עסקים קיבלו הארכה אוטומטית לפרק זמן ארוך יותר מאישורים אחרים.  </t>
  </si>
  <si>
    <t xml:space="preserve">הצעת חוק התכנית להבראת כלכלת ישראל (תיקוני חקיקה להשגת יעדי התקציב והמדיניות הכלכלית לשנות הכספים 2003 ו-2004) (תיקון מס' 18 והוראת שעה) (תיקון), התשפ"א-2020</t>
  </si>
  <si>
    <t xml:space="preserve"> (פ/2228/23)</t>
  </si>
  <si>
    <t xml:space="preserve">06.01.2021</t>
  </si>
  <si>
    <t xml:space="preserve">חוק דחיית מועדים לביצוע בדיקות של מיתקני גז (נגיף הקורונה החדש) (הוראת שעה), התשפ"א-2021</t>
  </si>
  <si>
    <t xml:space="preserve"> (מ/1372)</t>
  </si>
  <si>
    <t xml:space="preserve">05.01.2021</t>
  </si>
  <si>
    <t xml:space="preserve">חוק דחיית מועדים לביצוע בדיקות של מיתקני גז (נגיף הקורונה החדש) (הוראת שעה), התשפ"א–2021 (להלן – החוק), אושר בקריאה השנייה והשלישית ביום כ"א בטבת התשפ"א (5 בינואר 2021). החוק קובע הוראת שעה מיוחדת הגוברת על הוראות הדין הקיים שלפיהן ספק גז מחויב לבדוק מיתקן גז המשמש צרכן גז ביתי בבדיקה שחלקה נעשה בתוך דירת הצרכן, טרם הספקת הגז לצרכן הגז, וכן אחת לתקופה (בדיקה תקופתית). הוראות הדין הקיים מעוגנות בחוק הגז (בטיחות ורישוי), התשמ"ט–1989, בתקן ישראלי 158, המהווה תקן רשמי, ובחוק הגז הפחמימני המעובה, התשפ"א–2020 (שייכנס לתוקף ביום 1 ביולי 2021). הוראות הדין הקיים קובעות כי אם בדיקות כאמור לא בוצעו, ספק הגז מחויב לנתק את המיתקן מהספקת גז. הוראת השעה, שתחול כל עוד עומדת בתוקפה ההכרזה על מצב חירום בשל נגיף הקורונה, קובעת כי ספק הגז יוכל לדחות את ביצוע הבדיקה כאמור, מבלי לנתק את המיתקן מהספקת גז,  בהתקיים אחד משני תנאים: הראשון – הצרכן ביקש בכתב (לרבות באמצעים אלקטרוניים) מספק הגז שלא יגיע לדירתו בשל הימצאותו בדירה של אדם חולה בקורונה, או אדם שחלה עליו חובת בידוד ביתי, או שכניסתו של אדם מטעם ספק הגז עלולה לסכן את כל הבגירים הנמצאים בדירה; והשני – אם המנהל לענייני גז במשרד האנרגיה אישר לספק הגז, מראש ובכתב, לדחות את מועד ביצוע הבדיקה לאחר ששוכנע כי 25% או יותר ממי שמבצעים בדיקות של מיתקני גז נעדרים מעבודתם בשל מחלה או בשל הימצאותם בבידוד, או כי מתקיימות נסיבות מיוחדות הנוגעות להתפשטות נגיף הקורונה שבגינן לא ניתן לבצע בדיקת מיתקן גז כאמור. יודגש כי דחיית המועד לבדיקת מיתקן הגז כאמור לא תחול אם התגלתה תקלה במיתקן הגז, או אם קיים חשש לתקלה כאמור. הוראת השעה קובעת הוראות לעניין המועדים שאליהם תידחה בדיקת מיתקני הגז: בהתאם לכך, במקרה שבו ביצוע הבדיקה נדחה בשל הימצאותו בדירה של אדם חולה בקורונה או בשל החשש לסיכון הבגירים בדירה, או אם המנהל לענייני גז במשרד האנרגיה אישר זאת מהסיבות האמורות לעיל, ספק הגז יידרש לבצע את הבדיקה בהקדם האפשרי ולא יאוחר מחודשיים מהמועד האחרון לביצועה. אם בסמוך לתום תקופת הדחייה יתקיים אחד מהמקרים כאמור, תינתן דחייה נוספת באותם תנאים. אם ביצוע הבדיקה יידחה בשל הימצאותו של אדם בבידוד ביתי בדירת הצרכן, ספק הגז יידרש לבצע את הבדיקה בהקדם האפשרי ולא יאוחר מחודש מהמועד האחרון לביצועה. כמו כן, ספק הגז יהיה מחויב לשמור את ההודעות שעל בסיסן החליט לדחות את הבדיקה במשך שנה. הוראת השעה תיכנס לתוקף במועד פרסומה ברשומות ותעמוד בתוקפה כל עוד ההכרזה על מצב חירום בשל נגיף הקורונה, לפי סעיף 2 לחוק סמכויות מיוחדות להתמודדות עם נגיף הקורונה החדש (הוראת שעה), התש"ף–2020, נמצאת בתוקף, ואולם, אם ראה שר האנרגיה כי הצורך בדחיית מועדים לביצוע בדיקת מיתקני גז אינו רלוונטי עוד, רשאי הוא לקבוע בצו תקופת תוקף קצרה יותר. צו זה טעון אישור של ועדת הכלכלה של הכנסת, ואם לא הוקמה – של ועדה אחרת מוועדות הכנסת כפי שתקבע ועדת הכנסת.</t>
  </si>
  <si>
    <t xml:space="preserve">חוק הביטוח הלאומי (תיקון מס' 222), התשפ"א-2021</t>
  </si>
  <si>
    <t xml:space="preserve"> (פ/1861/23)</t>
  </si>
  <si>
    <t xml:space="preserve"> (כ/870)</t>
  </si>
  <si>
    <t xml:space="preserve">החוק קובע כי הורה או בן משפחה אחר שנקבע בתקנות, של מי שנפטר עקב הושטת עזרה להצלת חיי אדם אחר באירוע פתאומי,  יהיו זכאים  למענק, תגמול או הטבות שיקבעו בתקנות שאותן יש להתקין עד סוף שנת 2021, וזאת אף אם ההורה או בן המשפחה אינו זכאי לתגמול אחר למתנדבים. החוק מסמיך לקבוע בתקנות האמורות את התנאים לזכאות של הורה או בן משפחה כאמור. כמו כן החוק מאפשר לקבוע בתקנות כללים לזכאות למענק, תגמול או הטבות למתנדב שרק נפגע עקב הושטת עזרה כאמור. ניתן יהיה גם לקבוע בתקנות כי אותם מענקים, תגמולים או הטבות לא יהוו הכנסה לעניינים מסוימים או כי קבלתם לא תמנע קבלת גמלה אחרת. החוק יחול גם על מתנדבים שנפטרו או נפגעו החל מ1.1.2018, אך לא תהיה זכאות לתשלום מכוחם עבור התקופה שלפני יום התחילה. </t>
  </si>
  <si>
    <t xml:space="preserve">חוק יסודות התקציב (תיקון מס' 53), התשפ"א–2020</t>
  </si>
  <si>
    <t xml:space="preserve"> (מ/1381)</t>
  </si>
  <si>
    <t xml:space="preserve">28.12.2020</t>
  </si>
  <si>
    <t xml:space="preserve">סעיף 3ב לחוק-יסוד: משק המדינה קובע את ההוראות החלות בשנה שבה לא התקבל חוק תקציב לפני תחילתה של שנת הכספים. בתקופה זו רשאית הממשלה להוציא בכל חודש סכום השווה לחלק השנים- עשר מהתקציב השנתי הקודם, בתוספת הצמדה למדד המחירים לצרכן, אשר מנוהל ע"י החשב הכללי (תקציב המשכי). חוק זה תוקן במקביל לתיקון מס' 11 לחוק-יסוד: משק המדינה אשר קבע מספר תיקונים בהוראות שחלו על תקציב המשכי, על מנת להתמודד עם קשיים בהסדר. התיקון הפריד את רכיבי ההוצאה להוצאה של 1/12, הוצאות המותנות בהכנסה, הוצאות של מפעלים עסקיים, החזרי קרן בגין חוב שאינו חוב לביטוח לאומי. בנוסף, התיקון מאפשר למדינה להתחייב להוצאות בסכום ההוצאה הממשלתית תוך התחשבות בהתחייבויות עבר ובתנאי שההתחייבויות לא יגדילו את ההוצאה מעבר למסגרת התקציב ההמשכי, או לגבי שנה אחרת מעבר להוצאה המותרת בתכנית התקציב התלת-שנתית. בנוסף, התיקון קובע שהממשלה תהיה רשאית להתחייב בסכומי עודפים משנה קודמת, בתנאי שההתחייבות תהיה לצורך ביצוע פעולה אשר עבורה נועד הסכום במקור, אולם רק ל-85% מסכומי העודפים האמורים.  כמו כן, נקבע בשנת תקציב המשכי משרד האוצר נדרש לפרסם מדי חודש פירוט על הכספים שהוציאה הממשלה מכוח ההסדר האמור, וכן כל החלטה אחרת שהתקבלה לפי הנחיות החשב הכללי בשנת התקציב ההמשכי. </t>
  </si>
  <si>
    <t xml:space="preserve">חוק-יסוד: משק המדינה (תיקון מס' 11 והוראת שעה לשנת 2021)</t>
  </si>
  <si>
    <t xml:space="preserve"> (מ/1380)</t>
  </si>
  <si>
    <t xml:space="preserve">סעיף 3ב לחוק-יסוד: משק המדינה קובע את ההוראות החלות בשנה שבה לא התקבל חוק תקציב לפני תחילתה של שנת הכספים. בתקופה זו רשאית הממשלה להוציא בכל חודש סכום השווה לחלק השנים-עשר מהתקציב השנתי הקודם, בתוספת הצמדה למדד המחירים לצרכן, אשר מנוהל ע"י החשב הכללי (תקציב המשכי). תיקון זה קובע הוראות לגבי תקציב המשכי אשר מטרתו להתמודד עם קשיים בהסדר האמור. ראשית, נקבע שבמקום הצמדה למדד המחירים לצרכן, יוצמד התקציב ההמשכי לשיעור הגידול באוכלוסייה. שנית, הופרדו רכיבי ההוצאה להוצאה של סכום השווה לחלק השנים-עשר מהתקציב השנתי הקודם, הוצאות המותנות בהכנסה, הוצאות של מפעלים עסקיים, החזרי קרן בגין חוב שאינו חוב לביטוח לאומי. כמו כן למדינה להתחייב להוצאות בסכום ההוצאה הממשלתית תוך התחשבות בהתחייבויות עבר ובתנאי שההתחייבויות לא יגדילו את ההוצאה מעבר למסגרת התקציב ההמשכי. שלישית, נקבע שהממשלה תהיה רשאית להתחייב בסכומי עודפים משנה קודמת וכן מוצע שהממשלה תהיה רשאית למלא משרות במספר שלא יעלה על מספר המשרות הנקוב בחוק התקציב הקודם.  כן, נקבעה הוראת שעה לשנת הכספים 2021, עד למועד אישור התקציב לשנת כספים זו, אשר קובעת סכום של 52.3 מיליארד שקלים חדשים המיועדים להתמודדות עם משבר הקורונה, ולמטרה זו בלבד. כמו כן, מוצע שעד קבלת חוק התקציב לשנת 2021, הממשלה תהיה רשאית להשתמש גם בעודפים מהסכומים אשר הוקצו להתמודדות עם משבר הקורונה בשנת 2020. </t>
  </si>
  <si>
    <t xml:space="preserve">חוק לדחיית מועדי תשלומי מסים והוראות לעניין מענקים בשל נגיף הקורונה החדש (תיקוני חקיקה), התשפ"א-2020</t>
  </si>
  <si>
    <t xml:space="preserve"> (פ/1053/23)</t>
  </si>
  <si>
    <t xml:space="preserve"> (כ/861)</t>
  </si>
  <si>
    <t xml:space="preserve">חוק זה קובע, בין היתר, כי אם שולם למעסיק מענק לפי חוק זה וכן נקבעה זכאותו למענק אחר לעניין עובדיו, יובא המענק ששולם למעסיק לפי חוק זה בחשבון לעניין המענק האחר והמעסיק לא יידרש להצהיר שלא קיבל מענק לפי חוק זה. כמו כן, בחישוב התקופות שנקבעו בהוראות חוק מיסוי מקרקעין המפורטות בחוק, התקופה שמיום 1 במרס 2020 עד יום 30 ביוני 2021, לא תבוא במניין, אם מועדי סיומן חלים באותה תקופה. בנוסף, נקבע כי מיום פרסומו של חוק זה ועד ליום 31 בדצמבר 2022 חוק הביטוח הלאומי יקרא כך שמי שהשתחרר משירות סדיר בתקופה שמיום 1 בינואר 2020 ועד יום 31 בדצמבר 2020, יראו חייל כזכאי לדמי אבטלה במשך שנתיים מיום שחרורו.</t>
  </si>
  <si>
    <t xml:space="preserve">חוק השכר הממוצע (הוראת שעה - נגיף הקורונה החדש), התשפ"א-2020</t>
  </si>
  <si>
    <t xml:space="preserve"> (מ/1382)</t>
  </si>
  <si>
    <t xml:space="preserve">חוק הבחירות לכנסת העשרים וארבע (הוראות מיוחדות ותיקוני חקיקה), התשפ"א-2020</t>
  </si>
  <si>
    <t xml:space="preserve"> (כ/869)</t>
  </si>
  <si>
    <t xml:space="preserve">22.12.2020</t>
  </si>
  <si>
    <t xml:space="preserve">הבחירות לכנסת ה-24 נערכו בתקופה ייחודית: 4 מערכות בחירות שהתקיימו בסמיכות תוך פחות משנתיים לצד ומשבר הקורונה. על רקע זאת, לקראת הבחירות לכנסת ה-24, נעשו מספר שינויים הנוגעים לבחירות, וביניהם: קיצור המועד לרישום מפלגות, קביעה כי רשויות ציבוריות לא תוכלנה למנוע מעובדיהן מלעבוד בוועדת הבחירות, הקמת קלפיות מיוחדות לחולי קורונה, מבודדים, קלפיות בבתי אבות ובמוסדות למוגבלים בניידות, וגמישות בנושא המכרזים עבור וועדת הבחירות המרכזית על מנת שתוכל להיערך במהירות לקראת הבחירות.  בנוסף, החוק מתקן באופן זמני את הסדרי ההלוואות למפלגות כדי להתאימן לסמיכות מערכות הבחירות, ומקל עליהן לקבל הלוואות נוספות תוך הקפאה של החזרת החובות על מנת שיוכלו לממן את קמפיין הבחירות.   </t>
  </si>
  <si>
    <t xml:space="preserve">חוק המקרקעין (תיקון מס' 34), התשפ"א-2020 </t>
  </si>
  <si>
    <t xml:space="preserve"> (מ/1377)</t>
  </si>
  <si>
    <t xml:space="preserve">החוק קובע הסדרים מיוחדים במטרה לעודד התקנת מערכת לייצור חשמל הממירה ישירות אנרגיית שמש (מערכת פוטו וולטאי) בבתים משותפים. ההסדרים מתייחסים לבתים בהם התקנת המתקן נעשית על ידי בעל דירה אחת בבית המשותף, אשר ישמש את דירתו בלבד, או על ידי כמה בעלי דירות, לטובת שימוש כל בעלי הדירות בבית המשותף. כאשר מדובר על בעל דירה אחת, אין הוא חייב לקבל את הסכמת שאר הדיירים, בתנאי שהתקנת המתקן אינה עולה על חלקו היחסי בשטח המשותף על הגג. כאשר מדובר על רוב של שני שלישים מבעלי הדירות בבית המשותף, רשאים הם להתקין את המתקן על כל השטח המשותף בגג הבניין או על חלקו. בשני המקרים יש לצמצם ככל הניתן את הפגיעה בחזות הבית וכן לא לפגוע ביתר המתקנים שהותקנו כדין על הגג המשותף.   בנוסף, בהתקנה משותפת של דיירי הבית המשותף, נקבע כי הרווחים שייווצרו, בעקבות התקנת המערכת, ישמשו תחילת לטובת תחזוקת המתקן ולהשבת הוצאות ההתקנה. הרווחים שייוותרו לאחר מכן, ישמשו את כל בעלי הדירות בבית המשותף בהתאם לחלקם היחסי בבית המשותף. מנגד, כאשר מדובר בהתקנה של דייר בודד, הוא יישא בכל ההוצאות הקשורות למתקן, והרווחים שייווצרו יהיו שייכים לו. </t>
  </si>
  <si>
    <t xml:space="preserve">חוק החזר מקדמה בשל ביטול אירוע (נגיף הקורונה החדש), התשפ"א–2020</t>
  </si>
  <si>
    <t xml:space="preserve"> (פ/1709/23)</t>
  </si>
  <si>
    <t xml:space="preserve"> (כ/862)</t>
  </si>
  <si>
    <t xml:space="preserve">חוק החזר מקדמה בשל ביטול אירוע (נגיף הקורונה החדש), התשפ"א–2020 (להלן – החוק), אושר בקריאה השנייה והשלישית ביום ז' בטבת התשפ"א (22 בדצמבר 2020). החוק קובע הוראות לעניין השבת כספי מקדמות על אירועים שבוטלו עקב הגבלות נגיף הקורונה, והוא חל רק על חוזים לקיום אירועים כאמור שנחתמו לפני ט"ז באדר התש"ף (12 במרס 2020). יצוין כי החוק חל על כל סוגי האירועים ועל כל סוגי המקומות המיועדים לקיום אירועים. החוק קובע כי מזמין האירוע ובעל אולם האירועים ינהלו ביניהם משא ומתן, אשר במסגרתו יצטרכו להגיע להסכמה בתוך 60 ימים, במטרה לקיים את החוזה ולקיים את האירוע במועד חדש. מועד האירוע החדש לא יידחה מעבר לפרק זמן סביר, ולעניין זה החוק קובע כי פרק זמן סביר הוא לא יותר מ-5 חודשים ממועד האירוע המקורי. עוד קובע החוק כי המשא ומתן כאמור צריך להתנהל בתום לב וכן כי והתנאים לקיום החוזה צריכים להיקבע בתום לב. נטל ההוכחה כי התנאים לקיום האירוע במועד אחר הוצעו בתום לב הוא על בעל אולם האירועים.  כמו כן, החוק קובע כי אם הסכימו הצדדים על מועד חדש לקיום האירוע וגם הוא בוטל בשל הגבלות נגיף הקורונה, בעל אולם האירועים מחויב להשיב את כספי המקדמה בתוך חודש מהמועד החדש שבו היה אמור להתקיים האירוע. לפי החוק, בעל אולם האירועים יוכל לנכות מהסכום שישיב את סכום הוצאות "אירוע הטעימות", אך ורק אם אכן התקיים "אירוע טעימות" ורק אם הוצאות אלה נקבעו בחוזה המקורי שנחתם בין הצדדים, ובלבד שהסכום שינכה לא יעלה על 2,000 שקלים חדשים, או על מכפלת מחיר המזון והמשקאות לאדם כפי שנקבע בחוזה במספר המשתתפים ב"אירוע הטעימות", לפי הנמוך מביניהם.  עוד קובע החוק כי במקרה שבו לא הסכימו הצדדים על עריכת האירוע במועד אחר, או אם מזמין האירוע החליט שלא לנהל משא ומתן כאמור, בעל אולם האירועים ישיב למזמין את כספי המקדמה ששילם בתוך חודש מיום שהמזמין ביקש זאת ממנו בכתב. במקרה כזה, בעל אולם האירועים יהיה רשאי לנכות מסכום המקדמה שישיב גם הוצאות הנוגעות לעריכת "אירוע טעימות", כאמור לעיל, וגם דמי ביטול בסכום שלא יעלה על 5 אחוזים ממחיר האירוע שסוכם בין הצדדים מלכתחילה או על 3,000 שקלים חדשים, לפי הנמוך מביניהם. בנוסף, החוק קובע כי בית המשפט יוכל לפסוק לטובת מזמין האירוע פיצויים שאינם תלויים בנזק בסכום של עד 10,000 שקלים חדשים אם בעל אולם האירועים לא השיב לו את המקדמה לפי החוק. החוק נכנס לתוקף ביום י"ז בטבת התשפ"א (1 בינואר 2021). אם הסכימו הצדדים לפני יום כניסת החוק לתוקף על מועד אחר לעריכת האירוע, והאירוע במועד החדש בוטל בשל הגבלות נגיף הקורונה, ישיב בעל אולם האירועים למזמין האירוע את סכום המקדמה בתוך חודש מיום כניסת החוק לתוקף, וממנו יוכל לנכות את הוצאות "אירוע הטעימות" בלבד, כאמור לעיל.</t>
  </si>
  <si>
    <t xml:space="preserve">הצעת חוק להרחבת הייצוג ההולם של בני האוכלוסייה החרדית בתאגידים ציבוריים וברשויות מקומיות (תיקוני חקיקה), התשפ"א–2020</t>
  </si>
  <si>
    <t xml:space="preserve"> (פ/1223/23)</t>
  </si>
  <si>
    <t xml:space="preserve"> (כ/865)</t>
  </si>
  <si>
    <t xml:space="preserve">הצעת חוק-יסוד: הכנסת (תיקון מס' 51 - הוראת שעה) (התפזרות בשל אי-קבלת חוק תקציב והמועד להגשתו לכנסת)</t>
  </si>
  <si>
    <t xml:space="preserve"> (כ/868)</t>
  </si>
  <si>
    <t xml:space="preserve">21.12.2020</t>
  </si>
  <si>
    <t xml:space="preserve">הצעת חוק לימוד חובה (תיקון - חינוך חינם לגיל הרך), התש"ף-2020</t>
  </si>
  <si>
    <t xml:space="preserve"> (פ/1461/23)</t>
  </si>
  <si>
    <t xml:space="preserve">הצעת חוק לימוד חובה (תיקון - חינוך חינם לפעוטות ולילדים), התש"ף-2020</t>
  </si>
  <si>
    <t xml:space="preserve"> (פ/505/23)</t>
  </si>
  <si>
    <t xml:space="preserve"> (פ/340/23)</t>
  </si>
  <si>
    <t xml:space="preserve">חוק עבודת נשים (תיקון מס' 62), התשפ"א-2020</t>
  </si>
  <si>
    <t xml:space="preserve"> (פ/1121/23)</t>
  </si>
  <si>
    <t xml:space="preserve"> (כ/859)</t>
  </si>
  <si>
    <t xml:space="preserve">חוק הרשות למאבק באלימות, בסמים ובאלכוהול (תיקון), התשפ"א-2020</t>
  </si>
  <si>
    <t xml:space="preserve"> (מ/1379)</t>
  </si>
  <si>
    <t xml:space="preserve">חוק הרשות למאבק באלימות, בסמים ובאלכוהול (תיקון), התשפ"א–2020, התקבל בקריאה השנייה והשלישית בתאריך ו' בטבת התשפ"א (21 בדצמבר 2020). החוק מסדיר את העברת הסמכויות בנוגע לרשות למאבק באלימות, סמים ואלכוהול מהמשרד לביטחון הפנים למשרד לחיזוק וקידום קהילתי ומשנה את שמה של הרשות לרשות הלאומית לביטחון קהילתי. בנוסף, החוק מבטל את תחום מניעת העבריינות מתפקידי הרשות, קובע כי הוועדה המייעצת שמונתה לפי החוק תייעץ לשר ולא לרשות, וכן קובע כי המנהלים היישוביים למאבק באלימות, בסמים ובאלכוהול יהיו חברים בוועדות העירוניות למאבק בנגע הסמים ולמיגור האלימות.  </t>
  </si>
  <si>
    <t xml:space="preserve">חוק התקשורת (בזק ושידורים) (תיקון מס' 74), התשפ"א-2020</t>
  </si>
  <si>
    <t xml:space="preserve"> (מ/1378)</t>
  </si>
  <si>
    <t xml:space="preserve">חוק התקשורת (בזק ושידורים) (תיקון מס' 74), התשפ"א–2020 (להלן – התיקון), התקבל בקריאה השנייה והשלישית ביום ו' בטבת התשפא (21 בדצמבר 2020). התיקון נועד להביא לפריסה ארצית של רשת תקשורת מתקדמת, המבוססת על סיבים אופטיים או על טכנולוגיה שוות ערך, שתאפשר גלישה ברשת האינטרנט במהירות גבוהה. לפי התיקון, שייכנס לתוקף ביום י"ז בטבת התשפ"א (1 בינואר 2021), "בזק", החברה הישראלית לתקשורת בע"מ (להלן – בזק) תודיע לשר התקשורת (להלן – השר) בתוך חמישה חודשים על אזורים בהם היא מבקשת לפרוס תשתית מתקדמת (להלן – ההודעה המקורית). השר רשאי להאריך את המועד האמור בחודשיים. בזק תחוייב לפרוס תשתית מתקדמת באזורים שבחרה בתוך 6 שנים ולספק בהם את השירות, ולעניין זה תהיה פטורה מ"חובת האוניברסליות" החלה עליה לפי החוק, כלומר מהחובה לספק את השירות בכל הארץ.  לשם פריסת רשת מתקדמת בשאר אזורי הארץ בהם בזק בחרה שלא לפרוס רשת מתקדמת ("אזורי התמרוץ") תוקם קופה מיוחדת ("קופת התמרוץ"). כל בעל זיקה לשירותי הרשת המתקדמת, הצפוי ליהנות מהקמתה ושהכנסתו השנתית עולה על 10 מיליון ש"ח, יעביר לקופת התמרוץ חצי אחוז מהכנסותיו בכל שנה, והכספים שיצטברו יוקצו במכרזים לפריסת רשת מתקדמת באזורי התמרוץ שתפרסם ועדת מכרזים ייעודית, עד שייקבעו חובות פריסה לגבי כל אזורי התמרוץ. בשלוש השנים הראשונות יוכל השר לתעדף אזורי תמרוץ המצויים בתחומים גאוגרפיים מסוימים לעניין הקצאת הכספים כאמור, לפי שיקולים שנקבעו בתיקון. בנוסף, חברת בזק וחברות הקשורות אליה לא יוכלו להתמודד במכרזים כאמור ולא יוכלו לפרוס רשת מתקדמת באזור תמרוץ במשך 5 שנים לאחר שחברה אחרת זכתה במכרז לפריסת רשת מתקדמת באותו אזור. עם זאת, השר יוכל להתיר לבזק לפרוס רשת מתקדמת באזורים נוספים, אם שיעור משקי הבית בכל האזורים הנוספים הוא 10% או פחות ממשקי הבית באזורים שנכללו בהודעתה המקורית. עוד נקבעו עיצומים כספיים שיחולו על גוף שהפר את הוראות התיקון, וכן נקבע שהשר ידווח לוועדת הכלכלה של הכנסת, אחת לשנה במשך 6 שנים, על ההתקדמות ביישום הוראות התיקון.</t>
  </si>
  <si>
    <t xml:space="preserve">חוק קליטת חיילים משוחררים (תיקון מס' 23), התשפ"א-2020 </t>
  </si>
  <si>
    <t xml:space="preserve"> (מ/1374)</t>
  </si>
  <si>
    <t xml:space="preserve">הצעת חוק לעידוד השקעות הון (תיקון - תחומי אזורי פיתוח א'), התשפ"א-2020</t>
  </si>
  <si>
    <t xml:space="preserve"> (פ/2605/23)</t>
  </si>
  <si>
    <t xml:space="preserve">הצעת חוק מרכזי צעירים, התשפ"א-2020</t>
  </si>
  <si>
    <t xml:space="preserve"> (פ/2604/23)</t>
  </si>
  <si>
    <t xml:space="preserve">הצעת חוק ביטוח בריאות ממלכתי (תיקון - שמירת זכאות לביטוח בריאות לשוהים מחוץ לישראל), התשפ"א-2020</t>
  </si>
  <si>
    <t xml:space="preserve"> (פ/2603/23)</t>
  </si>
  <si>
    <t xml:space="preserve">הצעת חוק הכשרות המשפטית והאפוטרופסות (תיקון - שלילת אפוטרופסות להורה פוגע), התשפ"א-2020</t>
  </si>
  <si>
    <t xml:space="preserve"> (פ/2602/23)</t>
  </si>
  <si>
    <t xml:space="preserve">הצעת חוק בתי המשפט (תיקון - רישום פרוטוקול בוועדה לבחירת שופטים), התשפ"א-2020</t>
  </si>
  <si>
    <t xml:space="preserve"> (פ/2601/23)</t>
  </si>
  <si>
    <t xml:space="preserve">הצעת חוק בתי המשפט (תיקון - ראיון עם אדם הרואה עצמו מועמד לשפיטה), התשפ"א-2020</t>
  </si>
  <si>
    <t xml:space="preserve"> (פ/2600/23)</t>
  </si>
  <si>
    <t xml:space="preserve">הצעת חוק זכויות נפגעי עבירה (תיקון - הקמת נציבות זכויות נפגעי עבירה), התשפ"א-2020</t>
  </si>
  <si>
    <t xml:space="preserve"> (פ/2599/23)</t>
  </si>
  <si>
    <t xml:space="preserve">הצעת חוק העונשין (תיקון - עבירות מין על ידי בן משפחה פונקציונאלי), התשפ"א-2020</t>
  </si>
  <si>
    <t xml:space="preserve"> (פ/2598/23)</t>
  </si>
  <si>
    <t xml:space="preserve">הצעת חוק-יסוד: כבוד האדם וחירותו (תיקון - הוראת שריון)</t>
  </si>
  <si>
    <t xml:space="preserve"> (פ/2597/23)</t>
  </si>
  <si>
    <t xml:space="preserve"> (פ/2596/23)</t>
  </si>
  <si>
    <t xml:space="preserve">הצעת חוק הבחירות לכנסת (תיקון - הצבעה בבתי אבות, בתי דיור מוגן ומוסדות לאנשים עם מוגבלויות), התשפ"א-2020</t>
  </si>
  <si>
    <t xml:space="preserve"> (פ/2595/23)</t>
  </si>
  <si>
    <t xml:space="preserve">הצעת חוק הירושה (תיקון - פסלות לרשת ומניעת פעולות בנכסי העיזבון), התשפ"א-2020</t>
  </si>
  <si>
    <t xml:space="preserve"> (פ/2594/23)</t>
  </si>
  <si>
    <t xml:space="preserve">הצעת חוק התפזרות הכנסת העשרים ושלוש, התשפ"א-2020</t>
  </si>
  <si>
    <t xml:space="preserve"> (פ/2593/23)</t>
  </si>
  <si>
    <t xml:space="preserve">הצעת חוק החברות (תיקון - צמצום פערי השכר במשק), התשפ"א-2020</t>
  </si>
  <si>
    <t xml:space="preserve"> (פ/2592/23)</t>
  </si>
  <si>
    <t xml:space="preserve"> (פ/2591/23)</t>
  </si>
  <si>
    <t xml:space="preserve">הצעת חוק חוזה הביטוח (תיקון - התיישנות תביעת השתתפות עצמית), התשפ"א-2020</t>
  </si>
  <si>
    <t xml:space="preserve"> (פ/2590/23)</t>
  </si>
  <si>
    <t xml:space="preserve"> (פ/2589/23)</t>
  </si>
  <si>
    <t xml:space="preserve">הצעת חוק בתי המשפט (תיקון - ביטול הסמכות למינוי לכהונה בפועל), התשפ"א-2020</t>
  </si>
  <si>
    <t xml:space="preserve"> (פ/2588/23)</t>
  </si>
  <si>
    <t xml:space="preserve">הצעת חוק לתיקון דיני הראיות (הגנת ילדים) (תיקון - הרחבת ההסדרים הקבועים בחוק לילדים אשר עברו את גיל 14 במועד העדות), התשפ"א-2020</t>
  </si>
  <si>
    <t xml:space="preserve"> (פ/2587/23)</t>
  </si>
  <si>
    <t xml:space="preserve">הצעת חוק להסדרת הטיפול באריזות (תיקון - יעדי איסוף על מכלי משקה גדולים), התשפ"א-2020</t>
  </si>
  <si>
    <t xml:space="preserve"> (פ/2586/23)</t>
  </si>
  <si>
    <t xml:space="preserve">הצעת חוק הרשויות המקומיות (בחירת ראש הרשות וסגניו וכהונתם) (תיקון - מינוי סגן ראש רשות תשיעי בעיריית ירושלים), התשפ"א-2020</t>
  </si>
  <si>
    <t xml:space="preserve"> (פ/2585/23)</t>
  </si>
  <si>
    <t xml:space="preserve">הצעת חוק הכניסה לישראל (תיקון - הארכת היתר ישיבה ומתן רישיון לישיבת קבע לקורבנות סחר בבני אדם), התשפ"א-2020</t>
  </si>
  <si>
    <t xml:space="preserve"> (פ/2584/23)</t>
  </si>
  <si>
    <t xml:space="preserve">הצעת חוק ביטוח בריאות ממלכתי (תיקון - זכויות תושב חוזר), התשפ"א-2020</t>
  </si>
  <si>
    <t xml:space="preserve"> (פ/2583/23)</t>
  </si>
  <si>
    <t xml:space="preserve">הצעת חוק הביטוח הלאומי (תיקון - שכר הוגן לחיילי מילואים שעובדים במשרה חלקית), התשפ"א-2020</t>
  </si>
  <si>
    <t xml:space="preserve"> (פ/2582/23)</t>
  </si>
  <si>
    <t xml:space="preserve">הצעת חוק השוואת תנאי שכר לקבוצות שאסור להפלותן (תיקוני חקיקה), התשפ"א-2020</t>
  </si>
  <si>
    <t xml:space="preserve"> (פ/2581/23)</t>
  </si>
  <si>
    <t xml:space="preserve">הצעת חוק שעות עבודה ומנוחה (תיקון - תשלום בעד שעות המנוחה השבועית), התשפ"א-2020</t>
  </si>
  <si>
    <t xml:space="preserve"> (פ/2580/23)</t>
  </si>
  <si>
    <t xml:space="preserve">הצעת חוק להגדלת שיעור ההשתתפות בכוח העבודה ולצמצום פערים חברתיים (מענק עבודה) (תיקון - גילו של עצמאי), התשפ"א-2020</t>
  </si>
  <si>
    <t xml:space="preserve"> (פ/2579/23)</t>
  </si>
  <si>
    <t xml:space="preserve">הצעת חוק הביטוח הלאומי (תיקון - קצבת ילדים כפולה בלידת תאומים או יותר), התשפ"א-2020</t>
  </si>
  <si>
    <t xml:space="preserve"> (פ/2578/23)</t>
  </si>
  <si>
    <t xml:space="preserve">הצעת חוק הביטוח הלאומי (תיקון - אי ניכוי מלוא ההכנסה מדמי האבטלה), התשפ"א-2020</t>
  </si>
  <si>
    <t xml:space="preserve"> (פ/2577/23)</t>
  </si>
  <si>
    <t xml:space="preserve"> (פ/2576/23)</t>
  </si>
  <si>
    <t xml:space="preserve">הצעת חוק הוקרת שירות הלוחם והלוחמת (תיקוני חקיקה), התשפ"א-2020</t>
  </si>
  <si>
    <t xml:space="preserve"> (פ/2575/23)</t>
  </si>
  <si>
    <t xml:space="preserve">הצעת חוק עסקאות גופים ציבוריים (תיקון - מעבר לרכבים ידידותיים לסביבה בגופים ציבוריים), התשפ"א-2020</t>
  </si>
  <si>
    <t xml:space="preserve"> (פ/2574/23)</t>
  </si>
  <si>
    <t xml:space="preserve">הצעת חוק לתיקון פקודת מס הכנסה (מיסוי תרומה מישות מדינית זרה), התשפ"א-2020</t>
  </si>
  <si>
    <t xml:space="preserve"> (פ/2573/23)</t>
  </si>
  <si>
    <t xml:space="preserve">הצעת חוק הסדרים במשק המדינה (תיקוני חקיקה להשגת יעדי התקציב) (תיקון - שיעור ארנונה לעסק זעיר), התשפ"א-2020</t>
  </si>
  <si>
    <t xml:space="preserve"> (פ/2572/23)</t>
  </si>
  <si>
    <t xml:space="preserve">הצעת חוק חוזה העבודה (הסדרי עבודה מרחוק), התשפ"א-2020</t>
  </si>
  <si>
    <t xml:space="preserve"> (פ/2571/23)</t>
  </si>
  <si>
    <t xml:space="preserve">הצעת חוק שידורי טלוויזיה (תיאור קולי), התשפ"א-2020</t>
  </si>
  <si>
    <t xml:space="preserve"> (פ/2570/23)</t>
  </si>
  <si>
    <t xml:space="preserve">הצעת חוק שידורי טלוויזיה (כתוביות ושפת סימנים) (תיקון - חובת ליווי בכתוביות תכנית ותשדיר פרסומת), התשפ"א-2020</t>
  </si>
  <si>
    <t xml:space="preserve"> (פ/2569/23)</t>
  </si>
  <si>
    <t xml:space="preserve">הצעת חוק הגנת הצרכן (תיקון - הגבלות על מכירה מיוחדת), התשפ"א-2020</t>
  </si>
  <si>
    <t xml:space="preserve"> (פ/2568/23)</t>
  </si>
  <si>
    <t xml:space="preserve">הצעת חוק התקשורת (בזק ושידורים) (תיקון - הרחבת החובה לציין פרטים בדבר פרסומת והרחבת אחריות לעניין דבר פרסומת ששוגר באמצעות מיתקן בזק), התשפ"א-2020</t>
  </si>
  <si>
    <t xml:space="preserve"> (פ/2567/23)</t>
  </si>
  <si>
    <t xml:space="preserve">הצעת חוק איסור פרסומת והגבלת השיווק של מוצרי טבק ועישון (תיקון - איסור על ייצור ושיווק של מוצר עישון בטעם או בריח מובחן), התשפ"א-2020</t>
  </si>
  <si>
    <t xml:space="preserve"> (פ/2566/23)</t>
  </si>
  <si>
    <t xml:space="preserve">הצעת חוק תאגידי מים וביוב (תיקון - הקמת ועדת הנחות), התשפ"א-2020</t>
  </si>
  <si>
    <t xml:space="preserve"> (פ/2565/23)</t>
  </si>
  <si>
    <t xml:space="preserve">הצעת חוק לתיקון פקודת התעבורה (ריבית פיגורים בשל אי תשלום קנס על עבירת חניה), התשפ"א-2020</t>
  </si>
  <si>
    <t xml:space="preserve"> (פ/2564/23)</t>
  </si>
  <si>
    <t xml:space="preserve">הצעת חוק התכנון והבנייה (תיקון - שיעור היטל השבחה), התשפ"א-2020</t>
  </si>
  <si>
    <t xml:space="preserve"> (פ/2563/23)</t>
  </si>
  <si>
    <t xml:space="preserve">הצעת חוק רשות העתיקות (תיקון - הגנה על עתיקות), התשפ"א-2020</t>
  </si>
  <si>
    <t xml:space="preserve"> (פ/2562/23)</t>
  </si>
  <si>
    <t xml:space="preserve">הצעת חוק המועצה להשכלה גבוהה (תיקון - הקמת מוסדות להשכלה גבוהה בפריפריה), התשפ"א-2020</t>
  </si>
  <si>
    <t xml:space="preserve"> (פ/2561/23)</t>
  </si>
  <si>
    <t xml:space="preserve">הצעת חוק יום לציון זכר קורבנות האינקוויזיציה בספרד ובפורטוגל, התשפ"א-2020</t>
  </si>
  <si>
    <t xml:space="preserve"> (פ/2560/23)</t>
  </si>
  <si>
    <t xml:space="preserve">הצעת חוק הספריה הלאומית (תיקון - פטור ממס והשתתפות המדינה בתקציב), התשפ"א-2020</t>
  </si>
  <si>
    <t xml:space="preserve"> (פ/2559/23)</t>
  </si>
  <si>
    <t xml:space="preserve">הצעת חוק ארוחה יומית לתלמיד (תיקון - ארוחת כריך יומית בבית ספר על יסודי), התשפ"א-2020</t>
  </si>
  <si>
    <t xml:space="preserve"> (פ/2558/23)</t>
  </si>
  <si>
    <t xml:space="preserve">הצעת חוק חינוך ממלכתי (תיקון - חינוך ממלכתי ערבי), התשפ"א-2020</t>
  </si>
  <si>
    <t xml:space="preserve"> (פ/2557/23)</t>
  </si>
  <si>
    <t xml:space="preserve">הצעת חוק זכויות הסטודנט (תיקון - הגבלת דמי רישום), התשפ"א-2020</t>
  </si>
  <si>
    <t xml:space="preserve"> (פ/2556/23)</t>
  </si>
  <si>
    <t xml:space="preserve">הצעת חוק ההתייעלות הכלכלית (תיקוני חקיקה להשגת יעדי התקציב לשנות התקציב 2017 ו-2018) (תיקון - דחיית קיצור שירות הגברים בצה"ל), התשפ"א-2020</t>
  </si>
  <si>
    <t xml:space="preserve"> (פ/2555/23)</t>
  </si>
  <si>
    <t xml:space="preserve">הצעת חוק לתיקון פקודת המשטרה (חובת לבישת מדים בהפגנות), התשפ"א-2020</t>
  </si>
  <si>
    <t xml:space="preserve"> (פ/2554/23)</t>
  </si>
  <si>
    <t xml:space="preserve">הצעת חוק-יסוד: כבוד האדם וחירותו (תיקון מס' 2) (הזכות לשוויון)</t>
  </si>
  <si>
    <t xml:space="preserve"> (פ/1728/23)</t>
  </si>
  <si>
    <t xml:space="preserve"> (כ/867)</t>
  </si>
  <si>
    <t xml:space="preserve">הצעת חוק לתיקון סדרי המינהל (החלטות והנמקות) (תיקון מס' 5) (קיצור זמן התשובה לפניות ציבור), התשפ"א-2020</t>
  </si>
  <si>
    <t xml:space="preserve"> (פ/1643/23)</t>
  </si>
  <si>
    <t xml:space="preserve"> (כ/863)</t>
  </si>
  <si>
    <t xml:space="preserve">הצעת חוק הרשות לפיתוח הנגב (תיקון מס' 5) (שינוי ההגדרה "הנגב" ותפקידי הרשות וסמכויותיה), התשפ"א-2020</t>
  </si>
  <si>
    <t xml:space="preserve"> (פ/1227/23)</t>
  </si>
  <si>
    <t xml:space="preserve"> (כ/866)</t>
  </si>
  <si>
    <t xml:space="preserve">הצעת חוק יישובים ושכונות בהליכי הסדרה, התשפ"א-2020</t>
  </si>
  <si>
    <t xml:space="preserve"> (פ/2209/23)</t>
  </si>
  <si>
    <t xml:space="preserve">16.12.2020</t>
  </si>
  <si>
    <t xml:space="preserve">הצעת חוק חוזה העבודה (הסדרי עבודה מרחוק), התש"ף-2020</t>
  </si>
  <si>
    <t xml:space="preserve"> (פ/1633/23)</t>
  </si>
  <si>
    <t xml:space="preserve">הצעת חוק העונשין (תיקון - עבירה כלפי קשיש או חסר ישע), התש"ף-2020</t>
  </si>
  <si>
    <t xml:space="preserve"> (פ/520/23)</t>
  </si>
  <si>
    <t xml:space="preserve">הצעת חוק המקרקעין (תיקון - התקנת מתקן פוטו וולטאי), התש"ף-2020</t>
  </si>
  <si>
    <t xml:space="preserve"> (פ/1705/23)</t>
  </si>
  <si>
    <t xml:space="preserve">15.12.2020</t>
  </si>
  <si>
    <t xml:space="preserve"> (פ/1843/23)</t>
  </si>
  <si>
    <t xml:space="preserve">14.12.2020</t>
  </si>
  <si>
    <t xml:space="preserve">הצעת חוק המרכז לגביית קנסות, אגרות והוצאות (תיקון - פיצויים שהוטלו על ידי בית משפט צבאי), התש"ף-2020</t>
  </si>
  <si>
    <t xml:space="preserve"> (פ/1716/23)</t>
  </si>
  <si>
    <t xml:space="preserve">הצעת חוק ציון יום לאומי לתרומתה ולפועלה של העדה הדרוזית (תיקון - עיגון מעמדה של העדה הדרוזית כשוות זכויות במדינת ישראל), התש"ף-2020</t>
  </si>
  <si>
    <t xml:space="preserve"> (פ/167/23)</t>
  </si>
  <si>
    <t xml:space="preserve">חוק הכשרות המשפטית והאפוטרופסות (תיקון מס' 19), התשפ"א-2020</t>
  </si>
  <si>
    <t xml:space="preserve"> (פ/2429/23)</t>
  </si>
  <si>
    <t xml:space="preserve"> (כ/858)</t>
  </si>
  <si>
    <t xml:space="preserve">חוק המכינות הקדם-צבאיות (תיקון מס' 2), התשפ"א-2020 </t>
  </si>
  <si>
    <t xml:space="preserve"> (מ/1376)</t>
  </si>
  <si>
    <t xml:space="preserve">חוק שירותי תעופה (פיצוי וסיוע בשל ביטול טיסה או שינוי בתנאיה) (נגיף הקורונה החדש – הוראת שעה – תיקון) (תיקון מס' 2), התשפ"א-2020 </t>
  </si>
  <si>
    <t xml:space="preserve"> (מ/1373)</t>
  </si>
  <si>
    <t xml:space="preserve">חוק שירותי תעופה (פיצוי וסיוע בשל ביטול טיסה או שינוי בתנאיה) (נגיף הקורונה החדש – הוראת שעה – תיקון) (תיקון מס' 2), התשפ"א–2020, התקבל בקריאה השנייה והשלישית ביום כ"ח בכסלו התשפ"א (14.12.2020).  חוק שירותי תעופה (פיצוי וסיוע בשל ביטול טיסה או שינוי בתנאיה), התשע"ב–2012 (להלן – החוק), מחייב את חברות התעופה להעניק לנוסעים הטבות בשל ביטול טיסה או שינוי בתנאיה מסיבות שאינן תלויות בנוסע. התפשטות מגפת הקורונה הביאה למשבר חמור וחסר תקדים בענף התעופה, להשבתה כמעט מוחלטת של התעבורה האווירית מישראל ואליה ולמצוקה תזרימית של חברות התעופה. בחודש יולי 2020, נקבעו בחוק שירותי תעופה (פיצוי וסיוע בשל ביטול טיסה או שינוי בתנאיה) (נגיף הקורונה החדש – הוראת שעה – תיקון), התש"ף–2020 (להלן – הוראת השעה), הוראות שמטרתן לסייע לענף זה, ובפרט לחברות התעופה הישראליות שנפגעו קשות עקב המשבר, להתמודד עמו, זאת, כהוראת שעה מוגבלת בזמן. הוראת השעה האריכה את התקופה הקבועה בחוק להשבת התמורה ששולמה בעד כרטיס הטיסה לנוסע הזכאי לכך (להלן – מועד קבלת ההחזר הכספי מחברת התעופה עבור הנוסע). הוראת השעה חלה על כל טיסה מישראל ואליה, וכן על טיסת פנים, שמועד המראתה הוא החל ב-1.3.2020. בנוסף, הוראת השעה חלה על טיסות שמועד המראתן המתוכנן היה לפני ה-1.3.2020, אם הן היו ליעדים או מיעדים שחלה לגביהם חובת בידוד בשל נגיף הקורונה. בהמשך, התקופה הקבועה בהוראת השעה הוארכה עד ל-1.10.2020 במקום עד ל-14.8.2020.  חוק שירותי תעופה (פיצוי וסיוע בשל ביטול טיסה או שינוי בתנאיה) (נגיף הקורונה החדש – הוראת שעה – תיקון) (תיקון מס' 2), התשפ"א–2020, מקצר את מועד קבלת ההחזר הכספי מחברת התעופה או המארגן עבור הנוסע, כך שהנוסע יקבל את כספו בתוך לא יאוחר מ-30 ימים ממועד הטיסה הנקוב בכרטיס הטיסה שבוטלה. כמו כן, נקבע כי סוכן נסיעות שקיבל את ההחזר הכספי מחברת התעופה עבור הנוסע, ישיב לנוסע את כספו בתוך 15 ימי עסקים מהיום שבו קיבל את הכסף מחברת התעופה או מהמארגן, ואם קיבל את התשלום כאמור לפני ה-15.12.2020, ישיבו לנוסע בתוך 15 ימי עסקים ממועד זה. עוד נקבע כי סוכן נסיעות רשאי להפחית מתשלום ההחזר הכספי כאמור סכום נוסף עבור שירות שסיפק סוכן הנסיעות לנוסע, וזאת רק אם  הוסכם על תשלום נוסף כאמור עם הנוסע במועד רכישת כרטיס הטיסה.</t>
  </si>
  <si>
    <t xml:space="preserve">הצעת חוק להגדלת שיעור ההשתתפות בכוח העבודה ולצמצום פערים חברתיים (מענק עבודה) (תיקון - גיל העובד), התשפ"א-2020</t>
  </si>
  <si>
    <t xml:space="preserve"> (פ/2553/23)</t>
  </si>
  <si>
    <t xml:space="preserve">הצעת חוק הביטוח הלאומי (תיקון - דמי מחלה לעובד עצמאי), התשפ"א-2020</t>
  </si>
  <si>
    <t xml:space="preserve"> (פ/2552/23)</t>
  </si>
  <si>
    <t xml:space="preserve">הצעת חוק בחינת השקעות זרות, התשפ"א-2020</t>
  </si>
  <si>
    <t xml:space="preserve"> (פ/2551/23)</t>
  </si>
  <si>
    <t xml:space="preserve">הצעת חוק-יסוד: משק המדינה (תיקון - איסור על סעיפים שאינם תקציביים בנושאי בריאות בחוק ההסדרים)</t>
  </si>
  <si>
    <t xml:space="preserve"> (פ/2550/23)</t>
  </si>
  <si>
    <t xml:space="preserve">הצעת חוק חובת המכרזים (תיקון - חובת עריכת מכרז סגור בחלוקת מגרשים), התשפ"א-2020</t>
  </si>
  <si>
    <t xml:space="preserve"> (פ/2549/23)</t>
  </si>
  <si>
    <t xml:space="preserve">הצעת חוק חיסיון על טיפול נפשי בהליכים משפטיים שעניינם עבירות מין (תיקוני חקיקה), התשפ"א-2020</t>
  </si>
  <si>
    <t xml:space="preserve"> (פ/2548/23)</t>
  </si>
  <si>
    <t xml:space="preserve">הצעת חוק לתיקון פקודת סדרי השלטון והמשפט (ימי מנוחה), התשפ"א-2020</t>
  </si>
  <si>
    <t xml:space="preserve"> (פ/2547/23)</t>
  </si>
  <si>
    <t xml:space="preserve">הצעת חוק חובת המכרזים (תיקון - עידוד עסקים להעסקת בני החברה הערבית והחרדית), התשפ"א-2020</t>
  </si>
  <si>
    <t xml:space="preserve"> (פ/2546/23)</t>
  </si>
  <si>
    <t xml:space="preserve">הצעת חוק העונשין (תיקון – החמרת ענישה בפשיעה חקלאית), התשפ"א–2020</t>
  </si>
  <si>
    <t xml:space="preserve"> (פ/2545/23)</t>
  </si>
  <si>
    <t xml:space="preserve">הצעת חוק היתר כניסה לעסקים בתקופת הקורונה (הוראת שעה), התשפ"א-2020</t>
  </si>
  <si>
    <t xml:space="preserve"> (פ/2544/23)</t>
  </si>
  <si>
    <t xml:space="preserve">הצעת חוק הנכים (תגמולים ושיקום) (תיקון - ביטול מבחן הכנסה), התשפ"א-2020</t>
  </si>
  <si>
    <t xml:space="preserve"> (פ/2543/23)</t>
  </si>
  <si>
    <t xml:space="preserve">הצעת חוק הרשות הלאומית למאבק בעוני, התשפ"א-2020</t>
  </si>
  <si>
    <t xml:space="preserve"> (פ/2542/23)</t>
  </si>
  <si>
    <t xml:space="preserve">הצעת חוק הביטוח הלאומי (תיקון - שיתוף פעולה מצד המעסיק), התשפ"א-2020</t>
  </si>
  <si>
    <t xml:space="preserve"> (פ/2541/23)</t>
  </si>
  <si>
    <t xml:space="preserve">הצעת חוק הביטוח הלאומי (תיקון - דמי פגיעה לעצמאי), התשפ"א-2020</t>
  </si>
  <si>
    <t xml:space="preserve"> (פ/2540/23)</t>
  </si>
  <si>
    <t xml:space="preserve">הצעת חוק ביטוח בריאות ממלכתי (תיקון - מימוש מרשם בכל בית מרקחת), התשפ"א-2020</t>
  </si>
  <si>
    <t xml:space="preserve"> (פ/2539/23)</t>
  </si>
  <si>
    <t xml:space="preserve">הצעת חוק הביטוח הלאומי (תיקון - ביטוח זכויות עצמאי שעיקר הכנסתו מעסק בהליכי חדלות פירעון), התשפ"א-2020</t>
  </si>
  <si>
    <t xml:space="preserve"> (פ/2538/23)</t>
  </si>
  <si>
    <t xml:space="preserve">הצעת חוק זכויות הסטודנט (תיקון - התאמות לבני זוג של משרתי מילואים), התשפ"א-2020</t>
  </si>
  <si>
    <t xml:space="preserve"> (פ/2537/23)</t>
  </si>
  <si>
    <t xml:space="preserve">הצעת חוק להגדלת היצע מעונות סטודנטים, התשפ"א-2020</t>
  </si>
  <si>
    <t xml:space="preserve"> (פ/2536/23)</t>
  </si>
  <si>
    <t xml:space="preserve">הצעת חוק הביטוח הלאומי (תיקון - הצמדת קצבת אזרח ותיק לשכר הממוצע במשק), התשפ"א-2020</t>
  </si>
  <si>
    <t xml:space="preserve"> (פ/2535/23)</t>
  </si>
  <si>
    <t xml:space="preserve">הצעת חוק הביטוח הלאומי (תיקון - הארכת תקופת הזכאות לדמי אבטלה לצעירים), התשפ"א-2020</t>
  </si>
  <si>
    <t xml:space="preserve"> (פ/2534/23)</t>
  </si>
  <si>
    <t xml:space="preserve">הצעת חוק שכר מינימום (תיקון - הצמדת שכר המינימום למדד המחירים לצרכן), התשפ"א-2020</t>
  </si>
  <si>
    <t xml:space="preserve"> (פ/2533/23)</t>
  </si>
  <si>
    <t xml:space="preserve">הצעת חוק דוד בן-גוריון (תיקון - מרכז בן-גוריון), התשפ"א-2020</t>
  </si>
  <si>
    <t xml:space="preserve"> (פ/2532/23)</t>
  </si>
  <si>
    <t xml:space="preserve">הצעת חוק הכניסה לישראל (תיקון - הארכת רישיונות עובדים זרים בתחום הסיעוד מטעמים הומניטריים מיוחדים וחריגים)(הוראת שעה), התשפ"א-2020</t>
  </si>
  <si>
    <t xml:space="preserve"> (פ/2531/23)</t>
  </si>
  <si>
    <t xml:space="preserve">הצעת חוק לתיקון פקודת העיריות (הגבלת התקשרות בחוזה של נושאי משרה ועובדים בכירים), התשפ"א-2020</t>
  </si>
  <si>
    <t xml:space="preserve"> (פ/2530/23)</t>
  </si>
  <si>
    <t xml:space="preserve">הצעת חוק רמת הגולן (תיקון - ביטול החוק), התשפ"א-2020</t>
  </si>
  <si>
    <t xml:space="preserve"> (פ/2529/23)</t>
  </si>
  <si>
    <t xml:space="preserve">הצעת חוק שוויון זכויות לאנשים עם מוגבלות (תיקון - כרטיס קדימות), התשפ"א-2020</t>
  </si>
  <si>
    <t xml:space="preserve"> (פ/2528/23)</t>
  </si>
  <si>
    <t xml:space="preserve">הצעת חוק עסקאות גופים ציבוריים (תיקון - מניעת העסקה במיקור חוץ בשירות הציבורי), התשפ"א-2020</t>
  </si>
  <si>
    <t xml:space="preserve"> (פ/2527/23)</t>
  </si>
  <si>
    <t xml:space="preserve">הצעת חוק ביטוח בריאות ממלכתי (תיקון - חובת יידוע מבוטח בדבר ביצוע בדיקה לגילוי מוקדם של מחלה ממאירה), התשפ"א-2020</t>
  </si>
  <si>
    <t xml:space="preserve"> (פ/2526/23)</t>
  </si>
  <si>
    <t xml:space="preserve">הצעת חוק לתיקון פקודת מס הכנסה (זיכוי בשל הוצאות אלזכא), התשפ"א-2020</t>
  </si>
  <si>
    <t xml:space="preserve"> (פ/2525/23)</t>
  </si>
  <si>
    <t xml:space="preserve">הצעת חוק יסודות התקציב (תיקון - אישור נוהל הגשת בקשות תמיכה), התשפ"א-2020</t>
  </si>
  <si>
    <t xml:space="preserve"> (פ/2524/23)</t>
  </si>
  <si>
    <t xml:space="preserve">הצעת חוק לתיקון פקודת בריאות העם (חובת החזרת גופות), התשפ"א-2020</t>
  </si>
  <si>
    <t xml:space="preserve"> (פ/2523/23)</t>
  </si>
  <si>
    <t xml:space="preserve">הצעת חוק הבטחת הכנסה (תיקון - זכויות נשים ששהו במקלט לנשים מוכות), התשפ"א-2020</t>
  </si>
  <si>
    <t xml:space="preserve"> (פ/2522/23)</t>
  </si>
  <si>
    <t xml:space="preserve"> (פ/2521/23)</t>
  </si>
  <si>
    <t xml:space="preserve">הצעת חוק תגמולים לאסירי ציון ולבני משפחותיהם (תיקון - שינוי מועד יום ציון פועלם של אסירי ציון וקביעת פעולות לציונו), התשפ"א-2020</t>
  </si>
  <si>
    <t xml:space="preserve"> (פ/2520/23)</t>
  </si>
  <si>
    <t xml:space="preserve">הצעת חוק הטבות לניצולי שואה (תיקון - זכאות למענק הטבות שנתי לבן זוג של ניצול שואה שנפטר), התשפ"א-2020</t>
  </si>
  <si>
    <t xml:space="preserve"> (פ/2519/23)</t>
  </si>
  <si>
    <t xml:space="preserve">הצעת חוק הטבות לניצולי שואה (תיקון - הגדלת מענק שנתי), התשפ"א-2020</t>
  </si>
  <si>
    <t xml:space="preserve"> (פ/2518/23)</t>
  </si>
  <si>
    <t xml:space="preserve">הצעת חוק מעמד ותיקי מלחמת העולם השנייה (תיקון - מענק הטבות לוותיק מלחמה), התשפ"א-2020</t>
  </si>
  <si>
    <t xml:space="preserve"> (פ/2517/23)</t>
  </si>
  <si>
    <t xml:space="preserve">הצעת חוק הרשויות המקומיות (ממונה על בטיחות ילדים), התשפ"א-2020 </t>
  </si>
  <si>
    <t xml:space="preserve"> (פ/2516/23)</t>
  </si>
  <si>
    <t xml:space="preserve">הצעת חוק הכשרות המשפטית והאפוטרופסות (תיקון מס' 19) (שלילת אפוטרופסות מהורה בשל עבירה פלילית חמורה), התשפ"א-2020</t>
  </si>
  <si>
    <t xml:space="preserve"> (פ/2333/23)</t>
  </si>
  <si>
    <t xml:space="preserve">10.12.2020</t>
  </si>
  <si>
    <t xml:space="preserve"> (פ/1219/23)</t>
  </si>
  <si>
    <t xml:space="preserve"> (כ/860)</t>
  </si>
  <si>
    <t xml:space="preserve">09.12.2020</t>
  </si>
  <si>
    <t xml:space="preserve">חוק למניעת הסתננות (עבירות ושיפוט) (הוראות שעה - הארכת תוקף), התשפ"א-2020</t>
  </si>
  <si>
    <t xml:space="preserve"> (מ/1375)</t>
  </si>
  <si>
    <t xml:space="preserve">נקבע כי תוקף הוראות השעה המצויות בחוק למניעת הסתננות (עבירת ושיפוט) (הוראות שעה – הארכת תוקף), התשע"ב–2012, בחוק למניעת הסתננות (עבירות ושיפוט) (הוראת שעה), התשע"ג–2013, בחוק למניעת הסתננות (עבירות ושיפוט) (תיקון מס' 4 והוראת שעה), התשע"ד–2013 ובחוק למניעת הסתננות ולהבטחת יציאתם של מסתננים מישראל (תיקוני חקיקה והוראות שעה), התשע"ה–2014, יוארכו עד תום שנה מיום תחילתו של חוק זה.</t>
  </si>
  <si>
    <t xml:space="preserve"> (פ/2372/23)</t>
  </si>
  <si>
    <t xml:space="preserve">הצעת חוק הסכמים לנשיאת עוברים (אישור הסכם ומעמד היילוד) (תיקון - ביצוע הסכם מחוץ לישראל), התשפ"א-2020</t>
  </si>
  <si>
    <t xml:space="preserve"> (פ/2225/23)</t>
  </si>
  <si>
    <t xml:space="preserve"> (פ/2215/23)</t>
  </si>
  <si>
    <t xml:space="preserve">הצעת חוק שיפוט בתי דין רבניים (נישואין וגירושין) (תיקון - נישואין אזרחיים בשטח שגרירות בישראל עקב נגיף הקורונה החדש), התשפ"א-2020</t>
  </si>
  <si>
    <t xml:space="preserve"> (פ/2208/23)</t>
  </si>
  <si>
    <t xml:space="preserve">הצעת חוק שיפוט בתי דין רבניים (נישואין וגירושין) (תיקון - נישואין בנציגויות זרות בשטח ישראל) (הוראת שעה), התשפ"א-2020</t>
  </si>
  <si>
    <t xml:space="preserve"> (פ/2205/23)</t>
  </si>
  <si>
    <t xml:space="preserve">הצעת חוק הכשרות המשפטית והאפוטרופסות (תיקון - ביטול חזקת הגיל הרך), התשפ"א-2020</t>
  </si>
  <si>
    <t xml:space="preserve"> (פ/2174/23)</t>
  </si>
  <si>
    <t xml:space="preserve">הצעת חוק שיקים ללא כיסוי (תיקון - מצב חירום בשל מגפה עולמית), התש"ף-2020</t>
  </si>
  <si>
    <t xml:space="preserve"> (פ/1544/23)</t>
  </si>
  <si>
    <t xml:space="preserve">הצעת חוק בטיחות בתעסוקה ובריאות תעסוקתית, התש"ף-2020</t>
  </si>
  <si>
    <t xml:space="preserve"> (פ/1478/23)</t>
  </si>
  <si>
    <t xml:space="preserve">הצעת חוק אימוץ ילדים (תיקון - אימוץ על ידי הורה יחיד), התש"ף-2020</t>
  </si>
  <si>
    <t xml:space="preserve"> (פ/946/23)</t>
  </si>
  <si>
    <t xml:space="preserve">הצעת חוק הסכמים לנשיאת עוברים (אישור הסכם ומעמד היילוד) (תיקון - הגדרת הורים מיועדים וביצוע הסכם מחוץ לישראל), התש"ף-2020</t>
  </si>
  <si>
    <t xml:space="preserve"> (פ/898/23)</t>
  </si>
  <si>
    <t xml:space="preserve">הצעת חוק הסכמים לנשיאת עוברים (אישור הסכם ומעמד היילוד) (תיקון - הרחבת הזכאות להליכי נשיאת עוברים והרחבת ההגנה על האם הנושאת), התש"ף-2020</t>
  </si>
  <si>
    <t xml:space="preserve"> (פ/157/23)</t>
  </si>
  <si>
    <t xml:space="preserve">הצעת חוק חובת שקיפות להסדר ניגוד עניינים של שר או ראש הממשלה, התש"ף-2020</t>
  </si>
  <si>
    <t xml:space="preserve"> (פ/74/23)</t>
  </si>
  <si>
    <t xml:space="preserve">הצעת חוק התפזרות הכנסת העשרים ושלוש, התש"ף-2020</t>
  </si>
  <si>
    <t xml:space="preserve"> (פ/1405/23)</t>
  </si>
  <si>
    <t xml:space="preserve">08.12.2020</t>
  </si>
  <si>
    <t xml:space="preserve">הצעת חוק עבודת נשים (תיקון - הגבלת פיטורים של אישה השוהה במקלט לנשים מוכות), התש"ף-2020</t>
  </si>
  <si>
    <t xml:space="preserve"> (פ/1441/23)</t>
  </si>
  <si>
    <t xml:space="preserve">07.12.2020</t>
  </si>
  <si>
    <t xml:space="preserve">הצעת חוק שירותי תעופה (פיצוי וסיוע בשל ביטול טיסה או שינוי בתנאיה) (הוראת שעה - נגיף הקורונה החדש - תיקון) (תיקון - קיצור המועד להשבת התמורה), התשפ"א-2020</t>
  </si>
  <si>
    <t xml:space="preserve"> (פ/2350/23)</t>
  </si>
  <si>
    <t xml:space="preserve">חוק רשות הספנות והנמלים (תיקון מס' 7), התשפ"א-2020</t>
  </si>
  <si>
    <t xml:space="preserve"> (מ/1354)</t>
  </si>
  <si>
    <t xml:space="preserve">תיקון זה מוסיף על תפקידיה של חברת נמלי ישראל – הפיתוח והנכסים בע"מ (להלן – חנ"י), הקבועים בחוק רשות הספנות והנמלים, התשס"ד-2004 (להלן – החוק), גם  מתן שירותי תעבורה ימית, לרבות באמצעות חברות בת, בנמלים אשדוד וחיפה; זאת בהתאם להחלטת ממשלה, במסגרתה הוחלט כי פעילות ניהול התעבורה הימית שמבוצעת היום על ידי חברות הנמל תועבר מכל אחת מהחברות לחברות בת של חנ"י, כאשר כל אחת מחברות הבת תפעל במרחב הנמלי הרלבנטי למתן שירותי ים לכלל הגורמים הפועלים במרחב הרלבנטי. כמו כן, סעיף 17 לחוק האוסר על בעלות צולבת, בין תאגידים מוסמכים לא יחול בקשר שבין חנ"י לחברת הבת שלה שיתנו שירותי תעבורה ימית בלבד. כן מוצע להסמיך את שר התחבורה לקבוע מהם השירותים ואיכותם שעל חנ"י ליתן לעניין מתן שירותי תעבורה ימית. בנוסף מוצע להרחיב את זכות העיכבון לגבי טובין גם לחנ"י ולחברות הבת שלה לעניין מתן שירותי תעבורה ימית.  בנוסף, הוארך המועד שבו יש להקים קופת גמל מרכזית לקצבה וליתן פטור ממס על כספים המיועדים להפקדה בקופת גמל כאמור בקשר לכספים שמיועדים לתשלום גמלה לעובדים מסוימים שמצויים בהסדר של פנסיה תקציבית מ-31/8/2018 ל-31/12/2021 זאת מאחר שחברת נמל אשדוד טרם השלימה את הליך הקמת קופת גמל מרכזית לקצבה. כן מוצע כי עד יום 01/11/2021 תדווח רשות החברות הממשלתיות לוועדת הכספים על הליך הקמת קופת גמל מרכזית עבור עובדי חברת נמל אשדוד בע"מ. </t>
  </si>
  <si>
    <t xml:space="preserve">חוק הבטחת הכנסה (תיקון מס' 55), התשפ"א-2020</t>
  </si>
  <si>
    <t xml:space="preserve"> (פ/26/23)</t>
  </si>
  <si>
    <t xml:space="preserve"> (כ/857)</t>
  </si>
  <si>
    <t xml:space="preserve">החוק קובע כי מי שהגיע לגיל פרישה והגיש תביעה לקבלת גמלת הבטחת הכנסה, והתברר כי עמד בתנאי הזכאות בשל גילו גם לפני הגשת התביעה, יוכל לקבל גם תשלום רטרואקטיבי של הגמלה בעד תקופה של לא יותר מ12 חודשים לפני שהגיש את התביעה, ואולם התשלום הרטרואקטיבי לא יזכה אותו בעד התקופה הרטרואקטיבית להטבות אחרות לפי דין הניתנות לזכאים לגמלת הבטחת הכנסה. החוק חל על תביעות לגמלת הכנסה שהוגשו החל מיום פרסום החוק.</t>
  </si>
  <si>
    <t xml:space="preserve"> (פ/2515/23)</t>
  </si>
  <si>
    <t xml:space="preserve">הצעת חוק מימון מפלגות (תיקון - הגבלת מימון בבחירות לכנסת העשרים וארבע) (הוראת שעה), התשפ"א-2020</t>
  </si>
  <si>
    <t xml:space="preserve"> (פ/2514/23)</t>
  </si>
  <si>
    <t xml:space="preserve">הצעת חוק רשת ביטחון לעצמאים בעת אירוע חירום, התשפ"א-2020</t>
  </si>
  <si>
    <t xml:space="preserve"> (פ/2513/23)</t>
  </si>
  <si>
    <t xml:space="preserve">הצעת חוק הבחירות (דרכי תעמולה) (תיקון - תעמולה דיגטלית), התשפ"א-2020</t>
  </si>
  <si>
    <t xml:space="preserve"> (פ/2512/23)</t>
  </si>
  <si>
    <t xml:space="preserve">הצעת חוק לתיקון פקודת מס הכנסה (שווי השימוש ברכב או ברדיו טלפון נייד), התשפ"א-2020</t>
  </si>
  <si>
    <t xml:space="preserve"> (פ/2511/23)</t>
  </si>
  <si>
    <t xml:space="preserve"> (פ/2510/23)</t>
  </si>
  <si>
    <t xml:space="preserve">הצעת חוק התכנית לסיוע כלכלי (נגיף הקורונה החדש) (הוראת שעה) (תיקון - מענק נוסף לעסקים), התשפ"א-2020</t>
  </si>
  <si>
    <t xml:space="preserve"> (פ/2509/23)</t>
  </si>
  <si>
    <t xml:space="preserve">הצעת חוק חופש המידע (תיקון - החלת חופש המידע על תאגידים בנקאיים, גופים פיננסיים ונותני אשראי ובורסה לניירות ערך), התשפ"א-2020</t>
  </si>
  <si>
    <t xml:space="preserve"> (פ/2508/23)</t>
  </si>
  <si>
    <t xml:space="preserve"> (פ/2507/23)</t>
  </si>
  <si>
    <t xml:space="preserve">הצעת חוק חובת גילוי לגבי מי שנתמך על ידי ישות מדינית זרה (תיקון - ביטול החוק), התשפ"א-2020</t>
  </si>
  <si>
    <t xml:space="preserve"> (פ/2506/23)</t>
  </si>
  <si>
    <t xml:space="preserve"> (פ/2505/23)</t>
  </si>
  <si>
    <t xml:space="preserve">הצעת חוק שירות ביטחון (תיקון - שירות שוויוני לנשים), התשפ"א-2020</t>
  </si>
  <si>
    <t xml:space="preserve"> (פ/2504/23)</t>
  </si>
  <si>
    <t xml:space="preserve"> (פ/2503/23)</t>
  </si>
  <si>
    <t xml:space="preserve"> (פ/2502/23)</t>
  </si>
  <si>
    <t xml:space="preserve">הצעת חוק הכשרות המשפטית והאפוטרופסות (תיקון - שלילת אפוטרופסות מהורה שהורשע ברצח או בנסיון לרצח), התשפ"א-2020</t>
  </si>
  <si>
    <t xml:space="preserve"> (פ/2501/23)</t>
  </si>
  <si>
    <t xml:space="preserve">הצעת חוק מימון מפלגות (תיקון - ייצוג הולם לנשים בבחירות לכנסת), התשפ"א-2020</t>
  </si>
  <si>
    <t xml:space="preserve"> (פ/2500/23)</t>
  </si>
  <si>
    <t xml:space="preserve">הצעת חוק הכשרות המשפטית והאפוטרופסות (תיקון - מניעת פגיעה בקטין על ידי חשיפתו להורה אלים), התשפ"א-2020</t>
  </si>
  <si>
    <t xml:space="preserve"> (פ/2499/23)</t>
  </si>
  <si>
    <t xml:space="preserve">הצעת חוק השכירות והשאילה (תיקון - הארכת תקופת השכירות בעת מצב חירום), התשפ"א-2020</t>
  </si>
  <si>
    <t xml:space="preserve"> (פ/2498/23)</t>
  </si>
  <si>
    <t xml:space="preserve">הצעת חוק הביטוח הלאומי (תיקון - בדיקת תלות בידי רופא מומחה למבוטח מגיל 75), התשפ"א-2020</t>
  </si>
  <si>
    <t xml:space="preserve"> (פ/2497/23)</t>
  </si>
  <si>
    <t xml:space="preserve">הצעת חוק הביטוח הלאומי (תיקון - איסור קיזוז קצבת ילדים כנגד חוב לביטוח הלאומי), התשפ"א-2020</t>
  </si>
  <si>
    <t xml:space="preserve"> (פ/2496/23)</t>
  </si>
  <si>
    <t xml:space="preserve">הצעת חוק הביטוח הלאומי (תיקון - אי שלילת זכאות לגמלת סיעוד מקשיש לאחר פטירת בן הזוג), התשפ"א-2020</t>
  </si>
  <si>
    <t xml:space="preserve"> (פ/2495/23)</t>
  </si>
  <si>
    <t xml:space="preserve">הצעת חוק משפחות חיילים שנספו במערכה (תגמולים ושיקום) (תיקון - הכרה בארוסות חיילים שנספו במערכה), התשפ"א-2020</t>
  </si>
  <si>
    <t xml:space="preserve"> (פ/2494/23)</t>
  </si>
  <si>
    <t xml:space="preserve">הצעת חוק חופשה שנתית (תיקון - פדיון חופשה במהלך ההעסקה) (הוראת שעה), התשפ"א-2020</t>
  </si>
  <si>
    <t xml:space="preserve"> (פ/2493/23)</t>
  </si>
  <si>
    <t xml:space="preserve">הצעת חוק שלילת זכויות למעורב בטרור ולבני משפחתו (תיקוני חקיקה), התשפ"א-2020</t>
  </si>
  <si>
    <t xml:space="preserve"> (פ/2492/23)</t>
  </si>
  <si>
    <t xml:space="preserve">הצעת חוק קרן לאזרחי ישראל (תיקון - הרכב ועדת האיתור ומועד תחילת החוק), התשפ"א-2020</t>
  </si>
  <si>
    <t xml:space="preserve"> (פ/2491/23)</t>
  </si>
  <si>
    <t xml:space="preserve">הצעת חוק הביטוח הלאומי (תיקון - קביעת דרגת נכות לנפגעי עבודה), התשפ"א-2020</t>
  </si>
  <si>
    <t xml:space="preserve"> (פ/2490/23)</t>
  </si>
  <si>
    <t xml:space="preserve">הצעת חוק לתיקון פקודת בתי הסוהר (עתירות אסיר - ערעור בזכות), התשפ"א-2020</t>
  </si>
  <si>
    <t xml:space="preserve"> (פ/2489/23)</t>
  </si>
  <si>
    <t xml:space="preserve">הצעת חוק שירות ביטחון (תיקון - הזדמנות שווה לנשים בצה"ל), התשפ"א-2020</t>
  </si>
  <si>
    <t xml:space="preserve"> (פ/2488/23)</t>
  </si>
  <si>
    <t xml:space="preserve">הצעת חוק הגנת הצרכן (תיקון - החלת חובת ההודעה על סיום עסקה מתמשכת על תאגידים בנקאיים ופיננסיים), התשפ"א-2020</t>
  </si>
  <si>
    <t xml:space="preserve"> (פ/2487/23)</t>
  </si>
  <si>
    <t xml:space="preserve">הצעת חוק חובת יידוע והפסקת חיוב של מנוי לא פעיל (תיקוני חקיקה), התשפ"א-2020</t>
  </si>
  <si>
    <t xml:space="preserve"> (פ/2486/23)</t>
  </si>
  <si>
    <t xml:space="preserve">הצעת חוק שירותי תעופה (פיצוי וסיוע בשל ביטול טיסה או שינוי בתנאיה) (נגיף הקורונה החדש - הוראת שעה - תיקון) (תיקון - השבת תשלום על ידי נותן שירותי סוכנות נסיעות), התשפ"א-2020 </t>
  </si>
  <si>
    <t xml:space="preserve"> (פ/2485/23)</t>
  </si>
  <si>
    <t xml:space="preserve"> (פ/2484/23)</t>
  </si>
  <si>
    <t xml:space="preserve">הצעת חוק הצמדת תשלומים לחיילים בודדים למדד המחירים לצרכן, התשפ"א-2020</t>
  </si>
  <si>
    <t xml:space="preserve"> (פ/2483/23)</t>
  </si>
  <si>
    <t xml:space="preserve"> (פ/2482/23)</t>
  </si>
  <si>
    <t xml:space="preserve">הצעת חוק יום העצמאיות והעצמאיים, התשפ"א-2020</t>
  </si>
  <si>
    <t xml:space="preserve"> (פ/2481/23)</t>
  </si>
  <si>
    <t xml:space="preserve">הצעת חוק התכנית להבראת כלכלת ישראל (תיקוני חקיקה להשגת יעדי התקציב והמדיניות הכלכלית לשנות הכספים 2003 ו-2004) (תיקון מס' 18 והוראת שעה) (תיקון - הארכת הפחתת היטל על העסקת עובד זר בענף החקלאות), התשפ"א-2020</t>
  </si>
  <si>
    <t xml:space="preserve"> (פ/2480/23)</t>
  </si>
  <si>
    <t xml:space="preserve">הצעת חוק מס ערך מוסף (תיקון - דחיית תשלום בתקופת חירום) (הוראת שעה), התשפ"א-2020</t>
  </si>
  <si>
    <t xml:space="preserve"> (פ/2479/23)</t>
  </si>
  <si>
    <t xml:space="preserve">הצעת חוק לביטול אזרחותו או תושבותו של פעיל טרור שמקבל תגמול עבור ביצוע מעשה הטרור (תיקוני חקיקה), התשפ"א-2020</t>
  </si>
  <si>
    <t xml:space="preserve"> (פ/2478/23)</t>
  </si>
  <si>
    <t xml:space="preserve">הצעת חוק הדרכונים (תיקון - מתן דרכון לעולה), התשפ"א-2020</t>
  </si>
  <si>
    <t xml:space="preserve"> (פ/2477/23)</t>
  </si>
  <si>
    <t xml:space="preserve">הצעת חוק לימוד חובה (תיקון - איסור תשלומים נלווים), התשפ"א-2020</t>
  </si>
  <si>
    <t xml:space="preserve"> (פ/2476/23)</t>
  </si>
  <si>
    <t xml:space="preserve">הצעת חוק סייעות במוסדות חינוך, התשפ"א-2020</t>
  </si>
  <si>
    <t xml:space="preserve"> (פ/2475/23)</t>
  </si>
  <si>
    <t xml:space="preserve">הצעת חוק חינוך ממלכתי (תיקון - חובת לימוד מאבק באלימות), התשפ"א-2020</t>
  </si>
  <si>
    <t xml:space="preserve"> (פ/2474/23)</t>
  </si>
  <si>
    <t xml:space="preserve">הצעת חוק חינוך ממלכתי (תיקון - מעמד החינוך הממלכתי המשלב), התשפ"א-2020</t>
  </si>
  <si>
    <t xml:space="preserve"> (פ/2473/23)</t>
  </si>
  <si>
    <t xml:space="preserve">הצעת חוק זכויות התלמיד (תיקון - הזכות להיבחן בבחינות בגרות), התשפ"א-2020</t>
  </si>
  <si>
    <t xml:space="preserve"> (פ/2472/23)</t>
  </si>
  <si>
    <t xml:space="preserve">הצעת חוק המועצה להשכלה גבוהה (תיקון - ביטול דרישת מבחני כניסה וציון פסיכומטרי), התשפ"א-2020</t>
  </si>
  <si>
    <t xml:space="preserve"> (פ/2471/23)</t>
  </si>
  <si>
    <t xml:space="preserve">הצעת חוק התקשורת (בזק ושידורים) (תיקון - הוראות לעניין פריסת רשת מתקדמת), התשפ"א-2020</t>
  </si>
  <si>
    <t xml:space="preserve"> (פ/2332/23)</t>
  </si>
  <si>
    <t xml:space="preserve">06.12.2020</t>
  </si>
  <si>
    <t xml:space="preserve"> (פ/2380/23)</t>
  </si>
  <si>
    <t xml:space="preserve">02.12.2020</t>
  </si>
  <si>
    <t xml:space="preserve"> (פ/2336/23)</t>
  </si>
  <si>
    <t xml:space="preserve">הצעת חוק לתיקון פקודת מס הכנסה (נקודת זיכוי לסטודנטים ומממני שכר לימוד), התשפ"א-2020</t>
  </si>
  <si>
    <t xml:space="preserve"> (פ/2184/23)</t>
  </si>
  <si>
    <t xml:space="preserve">הצעת חוק ביטוח בריאות ממלכתי (הוראת שעה לקביעת תקציב לשם הוספת תרופות, מכשור וטכנולוגיות רפואיות חדשות לסל שירותי הבריאות לשנת 2021), התש"ף-2020</t>
  </si>
  <si>
    <t xml:space="preserve"> (פ/2059/23)</t>
  </si>
  <si>
    <t xml:space="preserve">הצעת חוק שירות המדינה (תנאי עבודה של עובדי המדינה) (עבודה מרחוק), התש"ף-2020</t>
  </si>
  <si>
    <t xml:space="preserve"> (פ/2054/23)</t>
  </si>
  <si>
    <t xml:space="preserve">הצעת חוק איסור חקירה בדבר עברו המיני של נפגע עבירה (תיקוני חקיקה), התש"ף-2020</t>
  </si>
  <si>
    <t xml:space="preserve"> (פ/2050/23)</t>
  </si>
  <si>
    <t xml:space="preserve">הצעת חוק משק החשמל (תיקון - ועדה מיוחדת), התש"ף-2020</t>
  </si>
  <si>
    <t xml:space="preserve"> (פ/1815/23)</t>
  </si>
  <si>
    <t xml:space="preserve"> (פ/1657/23)</t>
  </si>
  <si>
    <t xml:space="preserve">הצעת חוק הנכים (תגמולים ושיקום) (תיקון - ביטול מבחן הכנסה), התש"ף-2020</t>
  </si>
  <si>
    <t xml:space="preserve"> (פ/1607/23)</t>
  </si>
  <si>
    <t xml:space="preserve"> (פ/906/23)</t>
  </si>
  <si>
    <t xml:space="preserve">חוק מקורות אנרגיה (תיקון מס' 2), התשפ"א-2020 </t>
  </si>
  <si>
    <t xml:space="preserve"> (מ/1347)</t>
  </si>
  <si>
    <t xml:space="preserve">30.11.2020</t>
  </si>
  <si>
    <t xml:space="preserve">חוק מקורות אנרגיה (תיקון מס' 2), התשפ"א–2020 (להלן – התיקון), אושר בקריאה השנייה והשלישית ביום י"ד בכסלו התשפ"א (30 בנובמבר 2020). התיקון נועד להקל על ייבוא מוצרי חשמל לישראל באמצעות הפחתת הנטל הרגולטורי והבירוקרטי המוטל על יבואני מכשירי החשמל בתהליך הייבוא. הוראות הדין הקיים קובעות כי יבואן מוצרי חשמל מחויב להעביר את המוצרים לבדיקה במכון התקנים או במעבדה המוסמכת לכך, לבדיקה מקדימה כפולה שבוחנת את עמידת המכשיר בתקני בטיחות ואת היעילות האנרגטית של המכשיר לפי הנחיות משרד האנרגיה. התיקון מסמיך את שר האנרגיה לקבוע בתקנות את סוגי המכשירים החשמליים שעליהם יחולו ההקלות שיחליפו את דרישות הדין הקיים, כך שיצרן או יבואן יוכל להצהיר, במערכת מקוונת, על עמידה של אב הטיפוס של המכשיר החשמלי בדרישות הנצילות האנרגטית שייקבעו אף הן בתקנות, וכן להתחייב לציית להוראות הממונה במשרד האנרגיה אם יידרשו לכך. הצהרה זו תחליף את הצורך לקבל את אישור הממונה לייבוא המכשיר, המותנה בבדיקת מעבדה כאמור. בנוסף, התיקון קובע כי על היבואן והיצרן תחול חובת שמירת מסמכים המעידים על עמידת המכשיר החשמלי בדרישות הנצילות האנרגטית לתקופה של שבע שנים לפחות. כמו כן, שר האנרגיה יקבע בתקנות את הדירוג האנרגטי לכל מכשיר והמידרג האנרגטי הכללי, כלומר טווח הדירוגים האנרגטיים. התקנות האמורות יותקנו בשים לב לאמות המידה המקובלות במדינות מתקדמות ובמטרה לקדם חיסכון באנרגיה, צמצום ביקוש לחשמל והפחתת זיהום האוויר. התקנות הנוגעות לנצילות האנרגטית ולמידרג האנרגטי יותקנו בהתייעצות עם השר להגנת הסביבה.  עוד נקבע בתיקון כי יבואנים ויצרנים יהיו מחויבים להציג מכשיר חשמלי לשיווק עם תווית הדירוג האנרגטי שנקבעה למכשיר בעת מתן האישור ואשר תוצמד למכשיר, וזאת כדי ליידע את הצרכנים על מידת היעילות האנרגטית שלו. כמו כן, הדירוג האנרגטי של מכשיר חשמלי יוצג גם בכל פרסומת של המכשיר וכן בעת שיווק מרחוק (שיווק שנעשה שלא בנוכחות הצדדים, למשל שיווק באינטרנט). כמו כן, התיקון קובע את סמכויותיו של הממונה במשרד האנרגיה לעניין מתן הוראות ליבואן או ליצרן בשל אי-עמידת מכשיר חשמלי בדרישות נצילות אנרגטית או בשל דירוג אנרגטי שגוי. לממונה במשרד האנרגיה יוקנו סמכויות רחבות לנקוט בהליכים שונים כלפי יבואן, יצרן או משווק של מכשיר חשמל שלא יעמדו בדרישות החוק, לרבות הפסקת שיווק, איסוף מכשירים ששווקו ללא תווית אנרגטית והטלת עיצומים כספיים. עם זאת, סמכויות האכיפה לעניין שיווק מרחוק כאמור יוקנו לממונה על הגנת הצרכן והסחר ההוגן – המוסמך לפי חוק הגנת הצרכן, התשמ"א–1981, לאכוף את קיום חובות הגילוי של משווק בשיווק מרחוק. בנוסף, התיקון מרחיב את סמכויות הפיקוח והאכיפה של משרד האנרגיה לעניין כלל הוראותיו של חוק מקורות אנרגיה, התש"ן–1989 (להלן – החוק), ובכללן הוראות התיקון. במסגרת זו, נקבעו בתיקון הוראות עדכניות לגבי אכיפה פלילית, הסמכת מפקחי משרד האנרגיה לעניין החוק וכן סמכות הממונה להטיל עיצום כספי בשל הפרת  הוראות החוק או התקנות שהותקנו לפיו. לתיקון נלווה גם תיקון עקיף לחוק התכנית הכלכלית (תיקוני חקיקה ליישום המדיניות הכלכלית לשנות התקציב 2017 ו-2018), התשע"ז–2016, המאריך בחמש שנים נוספות את הוראת השעה המעניקה פטור מהיטל השבחה למיתקנים פוטו-וולטאיים המותקנים על גגות בניינים.</t>
  </si>
  <si>
    <t xml:space="preserve">הצעת חוק שוויון זכויות לאנשים עם מוגבלות (תיקון - מידע בדבר עמידת מעסיקים פרטיים גדולים ביעד הייצוג ההולם), התש"ף-2020</t>
  </si>
  <si>
    <t xml:space="preserve"> (פ/1506/23)</t>
  </si>
  <si>
    <t xml:space="preserve">הצעת חוק הבטחת הכנסה (תיקון - גמלת הבטחת הכנסה לקשיש), התשפ"א-2020</t>
  </si>
  <si>
    <t xml:space="preserve"> (פ/2470/23)</t>
  </si>
  <si>
    <t xml:space="preserve">הצעת חוק הבטחת הכנסה (תיקון - הגדלת הסכום להשתכרות בנוסף לקיצבה), התשפ"א-2020</t>
  </si>
  <si>
    <t xml:space="preserve"> (פ/2469/23)</t>
  </si>
  <si>
    <t xml:space="preserve">הצעת חוק הכשרות המשפטית והאפוטרופסות (תיקון - שלילת אפוטרופסות מהורה שהורשע ברצח הורה נוסף של הקטין או של הקטין), התשפ"א-2020</t>
  </si>
  <si>
    <t xml:space="preserve"> (פ/2468/23)</t>
  </si>
  <si>
    <t xml:space="preserve">הצעת חוק הנכים (תגמולים ושיקום) (תיקון - הכרה בחבלות נפש על רקע השתתפות בפעילות מבצעית וקביעת אחוזי נכות), התשפ"א-2020</t>
  </si>
  <si>
    <t xml:space="preserve"> (פ/2467/23)</t>
  </si>
  <si>
    <t xml:space="preserve">הצעת חוק ביטוח בריאות ממלכתי (תיקון - קביעת זמני המתנה ומרחקי נסיעה מרביים לקבלת טיפול רפואי), התשפ"א-2020</t>
  </si>
  <si>
    <t xml:space="preserve"> (פ/2466/23)</t>
  </si>
  <si>
    <t xml:space="preserve">הצעת חוק ביטוח בריאות ממלכתי (תיקון - רפואת שיניים לאנשים שמלאו להם 65 שנים), התשפ"א-2020</t>
  </si>
  <si>
    <t xml:space="preserve"> (פ/2465/23)</t>
  </si>
  <si>
    <t xml:space="preserve">הצעת חוק ביטוח בריאות ממלכתי (תיקון - אשפוז בית), התשפ"א-2020</t>
  </si>
  <si>
    <t xml:space="preserve"> (פ/2464/23)</t>
  </si>
  <si>
    <t xml:space="preserve">הצעת חוק הביטוח הלאומי (תיקון - הצמדת קצבת אזרח ותיק לשכר הממוצע לפחות), התשפ"א-2020</t>
  </si>
  <si>
    <t xml:space="preserve"> (פ/2463/23)</t>
  </si>
  <si>
    <t xml:space="preserve">הצעת חוק משפחות חיילים שנספו במערכה (תגמולים ושיקום) (תיקון - סיוע בהחלפת דירה), התשפ"א-2020</t>
  </si>
  <si>
    <t xml:space="preserve"> (פ/2462/23)</t>
  </si>
  <si>
    <t xml:space="preserve">הצעת חוק ביטוח בריאות ממלכתי (תיקון - רפואת שיניים למי שמלאו להם 60 שנים), התשפ"א-2020</t>
  </si>
  <si>
    <t xml:space="preserve"> (פ/2461/23)</t>
  </si>
  <si>
    <t xml:space="preserve">הצעת חוק הבטחת הכנסה (תיקון - הכנסת מינימום לאזרח ותיק), התשפ"א-2020</t>
  </si>
  <si>
    <t xml:space="preserve"> (פ/2460/23)</t>
  </si>
  <si>
    <t xml:space="preserve">הצעת חוק ביטוח בריאות ממלכתי (תיקון - תרופות בסבסוד מלא לוותיקי מלחמת העולם השנייה), התשפ"א-2020</t>
  </si>
  <si>
    <t xml:space="preserve"> (פ/2459/23)</t>
  </si>
  <si>
    <t xml:space="preserve">הצעת חוק האזרחים הוותיקים (תיקון - פטור מתשלום עבור שמירת מקום ישיבה בתחבורה ציבורית), התשפ"א-2020</t>
  </si>
  <si>
    <t xml:space="preserve"> (פ/2458/23)</t>
  </si>
  <si>
    <t xml:space="preserve">הצעת חוק שוויון זכויות לאנשים עם מוגבלות (תיקון - חברות ממשלתיות כמעסיק ציבורי גדול), התשפ"א-2020</t>
  </si>
  <si>
    <t xml:space="preserve"> (פ/2457/23)</t>
  </si>
  <si>
    <t xml:space="preserve">הצעת חוק הביטוח הלאומי (תיקון - חישוב תגמול מילואים למי שהופסקה עבודתו בשל נגיף הקורונה) (הוראת שעה), התשפ"א-2020</t>
  </si>
  <si>
    <t xml:space="preserve"> (פ/2456/23)</t>
  </si>
  <si>
    <t xml:space="preserve">הצעת חוק הביטוח הלאומי (תיקון - פטור מתקופת אכשרה לחיילים משוחררים), התשפ"א-2020</t>
  </si>
  <si>
    <t xml:space="preserve"> (פ/2455/23)</t>
  </si>
  <si>
    <t xml:space="preserve">הצעת חוק התכנון והבנייה (תיקון - איסור שימוש ברכב או ציוד מכני הנדסי), התשפ"א-2020</t>
  </si>
  <si>
    <t xml:space="preserve"> (פ/2454/23)</t>
  </si>
  <si>
    <t xml:space="preserve">הצעת חוק הפיקדון על מכלי משקה (תיקון - ביטול החלת חובת פיקדון על מכלי משקה גדולים), התשפ"א-2020</t>
  </si>
  <si>
    <t xml:space="preserve"> (פ/2453/23)</t>
  </si>
  <si>
    <t xml:space="preserve">הצעת חוק הבנקאות (רישוי) (תיקון - ועדה לבחינת סגירת סניפי בנק), התשפ"א-2020</t>
  </si>
  <si>
    <t xml:space="preserve"> (פ/2452/23)</t>
  </si>
  <si>
    <t xml:space="preserve">הצעת חוק איסור לשון הרע (תיקון - הליכים אזרחיים או פליליים לענין לשון הרע על מת), התשפ"א-2020</t>
  </si>
  <si>
    <t xml:space="preserve"> (פ/2451/23)</t>
  </si>
  <si>
    <t xml:space="preserve">הצעת חוק הסיוע המשפטי (תיקון - נפגעי עבירות מין), התשפ"א-2020</t>
  </si>
  <si>
    <t xml:space="preserve"> (פ/2450/23)</t>
  </si>
  <si>
    <t xml:space="preserve">הצעת חוק זכויות נפגעי עבירה (תיקון - הרחבת זכויות נפגעי עבירה בהליכים משפטיים), התשפ"א-2020</t>
  </si>
  <si>
    <t xml:space="preserve"> (פ/2449/23)</t>
  </si>
  <si>
    <t xml:space="preserve">הצעת חוק מימון מפלגות (תיקון - ייצוג לנשים ברשימות המועמדים), התשפ"א-2020</t>
  </si>
  <si>
    <t xml:space="preserve"> (פ/2448/23)</t>
  </si>
  <si>
    <t xml:space="preserve"> (פ/2447/23)</t>
  </si>
  <si>
    <t xml:space="preserve">הצעת חוק הכשרות המשפטית והאפוטרופסות (תיקון - שלילת האפוטרופסות הטבעית עבור נאשמים ומורשעים בעבירות אלימות במשפחה), התשפ"א-2020</t>
  </si>
  <si>
    <t xml:space="preserve"> (פ/2446/23)</t>
  </si>
  <si>
    <t xml:space="preserve">הצעת חוק חופש המידע (תיקון - שקיפות בקבלת החלטות בתקופת התפשטות נגיף הקורונה), התשפ"א-2020</t>
  </si>
  <si>
    <t xml:space="preserve"> (פ/2445/23)</t>
  </si>
  <si>
    <t xml:space="preserve">הצעת חוק החברות הממשלתיות (תיקון - כשירות לכהונה כדירקטור בחברה ממשלתית), התשפ"א-2020</t>
  </si>
  <si>
    <t xml:space="preserve"> (פ/2444/23)</t>
  </si>
  <si>
    <t xml:space="preserve">הצעת חוק-יסוד: ירושלים בירת ישראל (תיקון - ירושלים המערבית)</t>
  </si>
  <si>
    <t xml:space="preserve"> (פ/2443/23)</t>
  </si>
  <si>
    <t xml:space="preserve">הצעת חוק גיל פרישה (תיקון - העלאת גיל הפרישה לנשים וקביעת צעדים תומכים לנשים בגילאי העבודה), התשפ"א-2020</t>
  </si>
  <si>
    <t xml:space="preserve"> (פ/2442/23)</t>
  </si>
  <si>
    <t xml:space="preserve">הצעת חוק מס ערך מוסף (תיקון - פטור ממס ערך מוסף במכירת תרופות לחולים סופניים), התשפ"א-2020</t>
  </si>
  <si>
    <t xml:space="preserve"> (פ/2441/23)</t>
  </si>
  <si>
    <t xml:space="preserve"> (פ/2440/23)</t>
  </si>
  <si>
    <t xml:space="preserve">הצעת חוק רישוי עסקים (תיקון - מתן רישיון עסק על סמך תצהיר), התשפ"א-2020</t>
  </si>
  <si>
    <t xml:space="preserve"> (פ/2439/23)</t>
  </si>
  <si>
    <t xml:space="preserve">הצעת חוק יסודות התקציב (תיקון - שלילת תמיכה ותקצוב ממוסד חינוך שאינו ממלא אחר הנחיות הממשלה לצמצום התפשטות נגיף הקורונה החדש או מסית לאי מילוי ההנחיות) (הוראת שעה), התשפ"א-2020</t>
  </si>
  <si>
    <t xml:space="preserve"> (פ/2438/23)</t>
  </si>
  <si>
    <t xml:space="preserve">הצעת חוק מרשם האוכלוסין (תיקון - הגנה על פרטי תעודת זהות ודרכון), התשפ"א-2020</t>
  </si>
  <si>
    <t xml:space="preserve"> (פ/2437/23)</t>
  </si>
  <si>
    <t xml:space="preserve">הצעת חוק התכנון והבנייה (תיקון - ייצוג הולם לאוכלוסייה הערבית במוסדות התכנון), התשפ"א-2020</t>
  </si>
  <si>
    <t xml:space="preserve"> (פ/2436/23)</t>
  </si>
  <si>
    <t xml:space="preserve">הצעת חוק לתיקון פקודת מס הכנסה (שווי שימוש ברכב), התשפ"א-2020</t>
  </si>
  <si>
    <t xml:space="preserve"> (פ/2435/23)</t>
  </si>
  <si>
    <t xml:space="preserve">הצעת חוק בינוי ופינוי של אזורי שיקום (כפר שלם), התשפ"א-2020</t>
  </si>
  <si>
    <t xml:space="preserve"> (פ/2434/23)</t>
  </si>
  <si>
    <t xml:space="preserve">הצעת חוק לתיקון פקודת התעבורה (חובת התקנת לחצן מצוקה באוטובוס), התשפ"א-2020</t>
  </si>
  <si>
    <t xml:space="preserve"> (פ/2433/23)</t>
  </si>
  <si>
    <t xml:space="preserve">הצעת חוק רכזי ביטחון שוטפים צבאיים, התשפ"א-2020</t>
  </si>
  <si>
    <t xml:space="preserve"> (פ/2432/23)</t>
  </si>
  <si>
    <t xml:space="preserve">הצעת חוק לימוד חובה (תיקון - חובת לימודי ליבה), התשפ"א-2020</t>
  </si>
  <si>
    <t xml:space="preserve"> (פ/2431/23)</t>
  </si>
  <si>
    <t xml:space="preserve">חוק חוזה הביטוח (תיקון מס' 11), התשפ"א-2020</t>
  </si>
  <si>
    <t xml:space="preserve"> (פ/71/23)</t>
  </si>
  <si>
    <t xml:space="preserve"> (כ/844)</t>
  </si>
  <si>
    <t xml:space="preserve">25.11.2020</t>
  </si>
  <si>
    <t xml:space="preserve">בהתאם לחוק זה, תקופת ההתיישנות לעניין תביעת תגמולי ביטוח הוארכה משלוש שנים לחמש שנים לאחר שקרה מקרה הביטוח בביטוח חיים למקרי מוות, בביטוח מפני מחלות ואשפוז ובביטוח סיעודי. בנוסף,  המבטח יציין בכל הודעה שהוא שולח למבוטח שהגיש תביעה, מהי תקופת ההתיישנות ושעניינה לא נעצר בעקבות הודעת המבוטח למבטח. כמו כן, על המבטח להודיע על סיום תקופת ההתיישנות 12 חודשים לפני תום התקופה וכן 3 חודשים לפני תום התקופה, ובהודעות אלו יסביר המבטח למבוטח על משמעות סיום תקופת ההתיישנות, אף אם מתקיים ביניהם משא ומתן. חוק זה יחול על חוזי ביטוח שייכרתו או יחודשו החל מיום תחילתו ולאחריו.</t>
  </si>
  <si>
    <t xml:space="preserve">הצעת חוק עסקאות למכירת נשק או ציוד צבאי של מדינה זרה, התשפ"א-2020</t>
  </si>
  <si>
    <t xml:space="preserve"> (פ/2138/23)</t>
  </si>
  <si>
    <t xml:space="preserve">הצעת חוק לתיקון פקודת המשטרה (הוראות בדבר פיזור אסיפה או תהלוכה), התש"ף-2020</t>
  </si>
  <si>
    <t xml:space="preserve"> (פ/2030/23)</t>
  </si>
  <si>
    <t xml:space="preserve">הצעת חוק בתי המשפט (תיקון - תקופת צינון למינוי היועץ המשפטי לממשלה או פרקליט המדינה כשופטים בבית המשפט העליון), התש"ף-2020</t>
  </si>
  <si>
    <t xml:space="preserve"> (פ/1419/23)</t>
  </si>
  <si>
    <t xml:space="preserve">הצעת חוק חדלות פירעון ושיקום כלכלי (תיקון - מתן דין קדימה לבעלי עסקים קטנים כנושים), התש"ף-2020</t>
  </si>
  <si>
    <t xml:space="preserve"> (פ/1050/23)</t>
  </si>
  <si>
    <t xml:space="preserve">חוק הגנת הצרכן (תיקון מס' 61), התשפ"א-2020</t>
  </si>
  <si>
    <t xml:space="preserve"> (מ/1362)</t>
  </si>
  <si>
    <t xml:space="preserve">23.11.2020</t>
  </si>
  <si>
    <t xml:space="preserve">חוק הגנת הצרכן (תיקון מס' 61), התשפ"א–2020 (להלן – התיקון), התקבל בקריאה השנייה והשלישית ביום ז' בכסלו התשפ"א (23 בנובמבר 2020). בתיקון נקבע כי יוקם מאגר שיכלול מספרי טלפון של צרכנים המעוניינים להגביל שיחות טלפון שיווקיות אליהם מאת עוסקים. צרכן יהיה רשאי לבקש לרשום מספר טלפון במאגר, לשנותו או להסירו, בכל עת. על המאגר יחולו הוראות חוק הגנת הפרטיות, התשמ"א–1981, החלות על מאגרי מידע. כמו כן, נקבע כי שר הכלכלה והתעשייה (להלן – השר) יקבע הוראות בנוגע להקמת המאגר ולניהולו, באישור ועדת הכלכלה של הכנסת. לפי התיקון, עוסק או מי מטעמו לא יפנו לצרכן הרשום במאגר בפנייה שיווקית בשיחת טלפון, אלא בחריגים – מקרים, נסיבות וסוגי עסקאות המפורטים בתיקון – אותם מוסמך השר לשנות, באישור ועדת הכלכלה של הכנסת. חריגים אלה יחולו, למשל, במקרים שבהם צרכן ביקש מעוסק לחזור אליו בשיחה או נתן לעוסק הסכמה לקבל ממנו פניות שיווקיות; כשמדובר בעוסק הפונה לצרכן בתקופת עסקה מתמשכת ביניהם ולגבי אותה עסקה, והכל בתנאים הקבועים בתיקון. בנוסף נקבע כי הממונה על הגנת הצרכן והסחר ההוגן (להלן – הממונה) מוסמך להוציא צו מנהלי להפסקת הפרה במקרים שבהם עוסק הפר הוראה מהוראות חוק הגנת הצרכן, התשמ"א–1981, בתנאים שנקבעו בתיקון. עוד נקבע כי ההוראות הנוגעות להקמת מאגר הצרכנים ייכנסו לתוקפן 18 חודשים מיום פרסום התיקון וכי הממונה ידווח לוועדת הכלכלה של הכנסת על יישומו של התיקון.</t>
  </si>
  <si>
    <t xml:space="preserve">חוק לתיקון פקודת מס הכנסה (מס' 256), התשפ"א-2020</t>
  </si>
  <si>
    <t xml:space="preserve"> (פ/545/23)</t>
  </si>
  <si>
    <t xml:space="preserve"> (כ/850)</t>
  </si>
  <si>
    <t xml:space="preserve">חוק זה קובע, בהוראת שעה, מיום 17 ביוני 2020 עד יום 31 בדצמבר 2022, מה הוא יישוב עירוני, וכן קובע כי כל מי שהיה במשך כל שנת המס תושב ביישוב מוטב שהוא יישוב עירוני המשויך לאשכול 4 או לאשכול נמוך יותר במדרג החברתי-כלכלי ובמדרג הפריפריאלי, יווסף לזיכוי ממס שהוא זכאי לו 5% ותקרת ההכנסה יווסף סכום נוסף של 36,000 שקלים חדשים, ובלבד שסך שיעור הזיכוי ממס לתושב כאמור לא יעלה על 12% מהכנסתו החייבת מיגיעה אישית עד לתקרת הכנסה של 168,000 שקלים חדשים. כמו כן, נקבע כי שר האוצר, באישור ועדת הכספים של הכנסת, רשאי להאריך בצו את התקופה האמורה כך שתחול לגבי שנות מס נוספות. בנוסף, קובע החוק כי תושב של יישוב מוטב שהיה זכאי לזיכוי ממס בשנת 2019, לפי הוראות סעיפי החוק, ימשיך להיות זכאי לזיכוי ממס לפי הוראות אותם הסעיפים עד ליום 31 בדצמבר 2020, אם היה תושב היישוב בשנת 2020 עד המועד האמור. כן נקבע כי שר האוצר ימנה צוות שיבחן את הוראות סעיפים אלה וההמלצות יועברו לוועדת הכספים של הכנסת.</t>
  </si>
  <si>
    <t xml:space="preserve">חוק לביטול העדכון של שכר חברי הכנסת בשנת 2021 (הוראת שעה), התשפ"א-2020</t>
  </si>
  <si>
    <t xml:space="preserve"> (כ/855)</t>
  </si>
  <si>
    <t xml:space="preserve">החוק קובע כי בשנת 2021 יוקפא שכרם של חברי הכנסת ולא יוצמד, כמדי חודש ינואר, לשכר הממוצע במשק.  </t>
  </si>
  <si>
    <t xml:space="preserve">הצעת חוק הטבות במס ליישובים (תיקוני חקיקה והוראת שעה), התשפ"א-2020</t>
  </si>
  <si>
    <t xml:space="preserve"> (פ/2430/23)</t>
  </si>
  <si>
    <t xml:space="preserve">הצעת חוק הפקדות וזכויות סוציאליות לעצמאים (תיקוני חקיקה), התשפ"א-2020</t>
  </si>
  <si>
    <t xml:space="preserve"> (פ/2428/23)</t>
  </si>
  <si>
    <t xml:space="preserve"> (פ/2427/23)</t>
  </si>
  <si>
    <t xml:space="preserve">הצעת חוק הרשתות החברתיות, התשפ"א-2020</t>
  </si>
  <si>
    <t xml:space="preserve"> (פ/2426/23)</t>
  </si>
  <si>
    <t xml:space="preserve">הצעת חוק העונשין (תיקון - החמרת ענישה במקרי אונס ותקיפה מינית), התשפ"א-2020</t>
  </si>
  <si>
    <t xml:space="preserve"> (פ/2425/23)</t>
  </si>
  <si>
    <t xml:space="preserve">הצעת חוק נישואין וגירושין, התשפ"א-2020</t>
  </si>
  <si>
    <t xml:space="preserve"> (פ/2424/23)</t>
  </si>
  <si>
    <t xml:space="preserve"> (פ/2423/23)</t>
  </si>
  <si>
    <t xml:space="preserve">הצעת חוק העונשין (תיקון - תקיפת נהג אוטובוס), התשפ"א-2020</t>
  </si>
  <si>
    <t xml:space="preserve"> (פ/2422/23)</t>
  </si>
  <si>
    <t xml:space="preserve">הצעת חוק התאמת טפסים ממשלתיים (פרטי הורים), התשפ"א-2020 </t>
  </si>
  <si>
    <t xml:space="preserve"> (פ/2421/23)</t>
  </si>
  <si>
    <t xml:space="preserve">הצעת חוק-יסוד: הכנסת (תיקון - שלילת סמכותו של בית המשפט העליון מלהתערב בהחלטות ועדת הבחירות המרכזית)</t>
  </si>
  <si>
    <t xml:space="preserve"> (פ/2420/23)</t>
  </si>
  <si>
    <t xml:space="preserve"> (פ/2419/23)</t>
  </si>
  <si>
    <t xml:space="preserve"> (פ/2418/23)</t>
  </si>
  <si>
    <t xml:space="preserve">הצעת חוק הסדרת העיסוק במקצועות הבריאות (תיקון - הסדרת העיסוק בפודולוגיה), התשפ"א-2020</t>
  </si>
  <si>
    <t xml:space="preserve"> (פ/2417/23)</t>
  </si>
  <si>
    <t xml:space="preserve">הצעת חוק צער בעלי חיים (הגנה על בעלי חיים) (תיקון - המעמד המשפטי של בעלי חיים), התשפ"א-2020</t>
  </si>
  <si>
    <t xml:space="preserve"> (פ/2416/23)</t>
  </si>
  <si>
    <t xml:space="preserve">הצעת חוק משק המים (תיקוני חקיקה), התשפ"א-2020</t>
  </si>
  <si>
    <t xml:space="preserve"> (פ/2415/23)</t>
  </si>
  <si>
    <t xml:space="preserve">הצעת חוק לתיקון פקודת התעבורה (הגבלת סכום אגרת רישיון רכב), התשפ"א-2020</t>
  </si>
  <si>
    <t xml:space="preserve"> (פ/2414/23)</t>
  </si>
  <si>
    <t xml:space="preserve">הצעת חוק הגנת הצרכן (תיקון - סימון תוצרת חקלאית שאינה ארוזה מראש), התשפ"א-2020</t>
  </si>
  <si>
    <t xml:space="preserve"> (פ/2413/23)</t>
  </si>
  <si>
    <t xml:space="preserve">הצעת חוק הגנת הצרכן (תיקון - צירוף הוראות שימוש בשפה העברית למוצרי חשמל), התשפ"א-2020</t>
  </si>
  <si>
    <t xml:space="preserve"> (פ/2412/23)</t>
  </si>
  <si>
    <t xml:space="preserve">הצעת חוק לתיקון פקודת התעבורה (הגבלת דמי חניה במוסד רפואי), התשפ"א-2020</t>
  </si>
  <si>
    <t xml:space="preserve"> (פ/2411/23)</t>
  </si>
  <si>
    <t xml:space="preserve">הצעת חוק התכנון והבנייה (תיקון - חובת הקמת מערכת סולארית לייצור חשמל במבנים), התשפ"א-2020</t>
  </si>
  <si>
    <t xml:space="preserve"> (פ/2410/23)</t>
  </si>
  <si>
    <t xml:space="preserve">הצעת חוק השמירה על המקומות הקדושים (תיקון - המועצה הציבורית והגבלת כהונת הממונה), התשפ"א-2020</t>
  </si>
  <si>
    <t xml:space="preserve"> (פ/2409/23)</t>
  </si>
  <si>
    <t xml:space="preserve">הצעת חוק לתיקון דיני הרשויות המקומיות (ביטול סמכות שר הפנים לעניין חוקי עזר בדבר פתיחתם וסגירתם של עסקים בימי מנוחה), התשפ"א-2020</t>
  </si>
  <si>
    <t xml:space="preserve"> (פ/2408/23)</t>
  </si>
  <si>
    <t xml:space="preserve">הצעת חוק לתיקון פקודת התעבורה (פטור מתשלום דמי חניה באזורי מגורים במהלך שבתות ומועדי ישראל), התשפ"א-2020</t>
  </si>
  <si>
    <t xml:space="preserve"> (פ/2407/23)</t>
  </si>
  <si>
    <t xml:space="preserve">הצעת חוק לסימון סוסים, חמורים ופרדים ולהגנתם, התשפ"א-2020</t>
  </si>
  <si>
    <t xml:space="preserve"> (פ/2406/23)</t>
  </si>
  <si>
    <t xml:space="preserve"> (פ/2405/23)</t>
  </si>
  <si>
    <t xml:space="preserve"> (פ/2404/23)</t>
  </si>
  <si>
    <t xml:space="preserve"> (פ/2403/23)</t>
  </si>
  <si>
    <t xml:space="preserve">הצעת חוק הביטוח הלאומי (תיקון - קצבת נכות וקצבת שאירים), התשפ"א-2020</t>
  </si>
  <si>
    <t xml:space="preserve"> (פ/2402/23)</t>
  </si>
  <si>
    <t xml:space="preserve">הצעת חוק הביטוח הלאומי (תיקון - הטבות למי שמקבל גמלה לפי חוק הביטוח הלאומי וקיבל גמלת הבטחת הכנסה), התשפ"א-2020</t>
  </si>
  <si>
    <t xml:space="preserve"> (פ/2401/23)</t>
  </si>
  <si>
    <t xml:space="preserve">הצעת חוק הסדרת שוק הקנאביס לצריכה עצמית, התשפ"א-2020</t>
  </si>
  <si>
    <t xml:space="preserve"> (פ/2400/23)</t>
  </si>
  <si>
    <t xml:space="preserve">הצעת חוק מס ערך מוסף (תיקון - מס בשיעור אפס לחצי שנה) (הוראת שעה), התשפ"א-2020</t>
  </si>
  <si>
    <t xml:space="preserve"> (פ/2399/23)</t>
  </si>
  <si>
    <t xml:space="preserve">הצעת חוק לתיקון פקודת מס הכנסה (ביטול הפטור ממס לתשלומים ושירותים הניתנים לראש הממשלה), התשפ"א-2020</t>
  </si>
  <si>
    <t xml:space="preserve"> (פ/2398/23)</t>
  </si>
  <si>
    <t xml:space="preserve">הצעת חוק מעון ראש הממשלה, התשפ"א-2020</t>
  </si>
  <si>
    <t xml:space="preserve"> (פ/2397/23)</t>
  </si>
  <si>
    <t xml:space="preserve">הצעת חוק הטבות מס ליישוב מעורב, התשפ"א-2020</t>
  </si>
  <si>
    <t xml:space="preserve"> (פ/2396/23)</t>
  </si>
  <si>
    <t xml:space="preserve">הצעת חוק לתיקון פקודת מס הכנסה (טיפול נפשי כהוצאה מוכרת), התשפ"א-2020</t>
  </si>
  <si>
    <t xml:space="preserve"> (פ/2395/23)</t>
  </si>
  <si>
    <t xml:space="preserve">הצעת חוק לתיקון פקודת מס הכנסה (דחיית הגשת דיווח שנתי לעסק שהוקם ברבעון האחרון של השנה), התשפ"א-2020</t>
  </si>
  <si>
    <t xml:space="preserve"> (פ/2394/23)</t>
  </si>
  <si>
    <t xml:space="preserve">הצעת חוק לתיקון פקודת מס הכנסה (ניכוי הוצאות כיבוד לפגישה מחוץ למקום העיסוק), התשפ"א-2020</t>
  </si>
  <si>
    <t xml:space="preserve"> (פ/2393/23)</t>
  </si>
  <si>
    <t xml:space="preserve">הצעת חוק שיווי זכויות האישה (תיקון - תחולה על תפקידים דתיים), התשפ"א-2020</t>
  </si>
  <si>
    <t xml:space="preserve"> (פ/2392/23)</t>
  </si>
  <si>
    <t xml:space="preserve">הצעת חוק הכנסת (תיקון - דיווח מנהלים כלליים חדשים לוועדות הכנסת), התשפ"א-2020</t>
  </si>
  <si>
    <t xml:space="preserve"> (פ/2391/23)</t>
  </si>
  <si>
    <t xml:space="preserve">הצעת חוק התקנת מצלמות לשם פיקוח והגנה בחינוך המיוחד, התשפ"א-2020</t>
  </si>
  <si>
    <t xml:space="preserve"> (פ/2390/23)</t>
  </si>
  <si>
    <t xml:space="preserve">חוק התכנית לסיוע כלכלי (נגיף הקורונה החדש) (הוראת שעה) (תיקון מס' 3), התשפ"א-2020</t>
  </si>
  <si>
    <t xml:space="preserve"> (מ/1368)</t>
  </si>
  <si>
    <t xml:space="preserve">18.11.2020</t>
  </si>
  <si>
    <t xml:space="preserve">ראשית, החוק מעגן הסדר לתשלום עבור ימי בידוד של עובדים שכירים. לפי ההסדר עובד השוהה בבידוד עקב חובת בידוד שלו או של ילדו זכאי ממעסיקו לתשלום בשווי דמי מחלה שייקרא "דמי בידוד", על ימי העבודה שבהם שהה בבידוד, למעט יום אחד שבעדו אין העובד זכאי לדמי בידוד, אך הוא יוכל לזקוף עבור תשלום בעדו יום חופשה. אם על העובד חל הסדר מיטיב לתשלום דמי מחלה או דמי בידוד החל מהיום הראשון הוא יקבל דמי בידוד גם על היום האחד האמור, אולם מעסיק פרטי שאינו מתוקצב על ידי המדינה רשאי להודיע לעובד כי אינו מחיל הסדר מחלה מיטיב לעניין דמי הבידוד. בעד ימי העבודה שבהם שוהה העובד בבידוד יכול המעסיק לגרוע עד 4 ימים מימי המחלה הצבורים של העובד, ואם אין לעובד יתרת ימי מחלה מספקת תחויב תקופת המחלה העתידית שלו, ונקבע הסדר לגמר חשבון למקרה שהסתיימו יחסי העבודה בטרם צבר העובד ימי מחלה לקיזוז הימים שחוייב בהם. זכאות העובד לתשלום דמי בידוד מותנית בדיווח למשרד הבריאות על ימי הבידוד ומסירת העתק מהדיווח למעסיק. בתקופת הבידוד עובד יהיה מוגן מפי פיטורים, יימשכו ההפרשות עבורו לקופת גמל ותימשך צבירת ותק. מהזכאות לדמי בידוד מוחרג עובד שחייב בבידוד בגלל שובו מחו"ל אלא אם כן נסע לחו"ל מטעם מעסיקו, שאז יהיה זכאי לתשלום דמי בידוד בעד כל ימי העבודה (כולל היום האחד ). עוד נקבע כי עובד בבידוד שמבצע עבודה מביתו יהיה זכאי עבור השעות בהן עבד לשכר ולא לדמי בידוד ולא יופחתו לו ימי מחלה בעד אותן שעות. הסדר דמי הבידוד אינו חל בעת שהעובד חולה בקורונה, אך אם המחלה היתה בהמשך לבידוד, יימנו לעניין חישוב דמי המחלה ימי בידוד שהופחתו כנגדם ימי מחלה. במקרה שחל לגביו הסכם קיבוצי או חוזה אישי לעניין ימי בידוד בנוסף להוראות החוק, יחול ההסדר המיטיב מהם.  שנית, נקבע בחוק הסדר לשיפוי מעסיק בגין דמי בידוד ששילם לעובד לפי חוק זה. המוסד לביטוח לאומי ישפה את המעסיקים על עלות דמי הבידוד ששילמו לעובדים בשיעורים אלה: ב100 מהעלות שנשאו בעד יום עבודה אחד שבו שילמו דמי בידוד;  וב50% מהעלות שנשאו בעד תשלום דמי בידוד בשאר ימי העבודה או 75% מהעלות בשאר הימים -  למי שמעסיק עשרים עובדים ומטה. מעסיק שעובדו בבידוד עקב נסיעה לחו"ל מטעם המעסיק ומעסיק ששילם דמי בידוד בעד יום אחד מכוח הסדר מיטיב לדמי מחלה או בידוד לא יקבלו שיפוי בעד יום אחד. נקבעה הדרך להגיש בקשה מקוונת לקבלת שיפוי, שתוגש החל מ1 בפברואר 2021, וכי אוצר המדינה ישפה את המוסד לביטוח לאומי על התשלום למעסיקים.  לצורך בקרה נקבע בחוק הסדר להעברת מידע בין המוסד לביטוח לאומי לבין משרד הבריאות המוודא כי העובד עבורו התבקש השיפוי אכן דיווח על בידוד, ונקבעו הוראות לעניין מורשי הגישה למידע והשימוש שניתן לעשות בו, שמירתו, אבטחתו ומחיקתו. כן נקבעה חובת סודיות למי שנחשף למידע, וסמכות שיפוט לבית דין אזורי לעבודה בתביעות של עובדים ומעסיקים לעניין דמי בידוד. הסדר דמי הבידוד נקבע בחוק כהוראת שעה החל מ29 באוקטובר 2020 ועד 31 במרס 2021, וישנה אפשרות להאריך את תוקפו בתקופות של שישה חודשים. לגבי התקופה שבין 1 באוקטובר 2020 ליום התחילה, נקבע כי ישולם שיפוי רטרואקטיבי בכפוף להוראות ההסדר למעסיק ששילם לעובד דמי מחלה עקב שהייתו בבידוד. בנוסף נקבע כהוראת מעבר כי בתקופה שבין יום התחילה לבין יום פרסום החוק ישולמו דמי בידוד גם לעובד שלא דיווח על הבידוד, או שמסר דיווח רק על שהיית ילדו בבידוד. שלישית, החוק מחייב מעסיקים ומשלמי פנסיה מוקדמת למסור למוסד לביטוח לאומי דיווח חודשי מקוון על שכר העבודה ששילמו ודמי הביטוח שעליהם לשלם, וכן נתונים פרטניים לכל עובד או מקבל פנסיה מוקדמת שבעדו הם משלמים. בנוסף יוכל המוסד לדרוש דיווח מקוון ממעסיק לבירור תביעה מסוימת של עובד בתנאי שהמוסד יידע את העובד על הפניה למעסיקו והעובד לא התנגד, וכן מידע לחישוב דמי ביטוח של עובד בתנאי שישנה חובה חוקית למעסיק או לעובד למוסרה או רשות חוקית למוסד לדרוש אותה. הסדר זה יחול החל מ1 באפריל 2021 וניתן יהיה לדרוש מידע מכוחו ממעסיק שיש לו מעל 180 עובדים כבר החל מחודש אפריל 2021, ואילו ממעסיק שלו 180 עובדים או פחות רק החל מחודש אוקטובר 2021. רביעית, החוק מגדיל בהוראת שעה עד לסוף 2020 בכעשרה מיליון ₪ בסך הכל, את הסכומים בקרנות שמפעיל המוסד לביטוח לאומי בתחום אבטלה ובתחום ילדים בסיכון. כספי התוספת לפעילות הקרנות ישולמו מאוצר המדינה. </t>
  </si>
  <si>
    <t xml:space="preserve">חוק הרשויות המקומיות (בחירות) (תיקון מס' 52 - הוראת שעה - נגיף הקורונה החדש), התשפ"א-2020</t>
  </si>
  <si>
    <t xml:space="preserve"> (מ/1369)</t>
  </si>
  <si>
    <t xml:space="preserve">חוק הרשויות המקומיות (בחירות), התשכ"ה–1965, תוקן, בהוראת שעה, ונקבעו בו הסדרים שונים בנוגע לקלפיות ייעודיות לחייבי בידוד, כדי לאפשר להם להשתתף בבחירות לרשויות המקומיות. זאת, לרבות קביעת הסדרים לעניין מקומות לקלפיות ייעודיות, הרכב ועדת הקלפי, חובת הצהרה של אדם חייב בבידוד וכן פרסום באינטרנט בדבר מקומות הקלפיות, סדרי ההצבעה ושעות ההצבעה בהן. יתר על כן, שר הפנים הוסמך, בהתייעצות עם שר הבריאות, לקבוע הוראות פרטניות, המסדירות את ההצבעה בקלפיות ייעודיות של חייבי בידוד.</t>
  </si>
  <si>
    <t xml:space="preserve">הצעת חוק העונשין (תיקון - קביעת עונש מזערי והוראת שעה לעבירת החזקת נשק בלא רשות על פי דין), התש"ף-2020</t>
  </si>
  <si>
    <t xml:space="preserve"> (פ/2066/23)</t>
  </si>
  <si>
    <t xml:space="preserve">הצעת חוק לתיקון פקודת מס הכנסה (ניכוי בגין הוצאות טיפול בילדים), התש"ף-2020</t>
  </si>
  <si>
    <t xml:space="preserve"> (פ/1992/23)</t>
  </si>
  <si>
    <t xml:space="preserve">הצעת חוק העונשין (תיקון - עונש מינימום על החזקת נשק בלתי חוקי), התש"ף-2020 </t>
  </si>
  <si>
    <t xml:space="preserve"> (פ/1893/23)</t>
  </si>
  <si>
    <t xml:space="preserve"> (פ/1067/23)</t>
  </si>
  <si>
    <t xml:space="preserve">הצעת חוק לתיקון פקודת הדיג (איכון ספינות דיג), התש"ף-2020</t>
  </si>
  <si>
    <t xml:space="preserve"> (פ/353/23)</t>
  </si>
  <si>
    <t xml:space="preserve"> (פ/173/23)</t>
  </si>
  <si>
    <t xml:space="preserve">הצעת חוק למניעת אלימות במשפחה (תיקון - מניעת אלימות כלכלית), התש"ף-2020</t>
  </si>
  <si>
    <t xml:space="preserve"> (פ/885/23)</t>
  </si>
  <si>
    <t xml:space="preserve">17.11.2020</t>
  </si>
  <si>
    <t xml:space="preserve">הצעת חוק למניעת אלימות במשפחה (תיקון מס' 18 והוראת שעה) (מניעת אלימות כלכלית), התש"ף-2020</t>
  </si>
  <si>
    <t xml:space="preserve"> (מ/1356)</t>
  </si>
  <si>
    <t xml:space="preserve">הצעת חוק חוזה הביטוח (תיקון - הארכת תקופת ההתיישנות), התש"ף-2020</t>
  </si>
  <si>
    <t xml:space="preserve"> (פ/1666/23)</t>
  </si>
  <si>
    <t xml:space="preserve">הצעת חוק הקפאת שכר חברי הכנסת (הוראת שעה), התשפ"א-2020</t>
  </si>
  <si>
    <t xml:space="preserve"> (פ/2341/23)</t>
  </si>
  <si>
    <t xml:space="preserve">הצעת חוק התכנית להבראת כלכלת ישראל (תיקוני חקיקה להשגת יעדי התקציב והמדיניות הכלכלית לשנות הכספים 2003 ו-2004) (תיקון - ביטול הדרגתי של היטל על העסקת עובד זר) (הוראת שעה), התשפ"א-2020</t>
  </si>
  <si>
    <t xml:space="preserve"> (פ/2389/23)</t>
  </si>
  <si>
    <t xml:space="preserve">16.11.2020</t>
  </si>
  <si>
    <t xml:space="preserve">הצעת חוק התכנית להבראת כלכלת ישראל (תיקוני חקיקה להשגת יעדי התקציב והמדיניות הכלכלית לשנות הכספים 2003 ו-2004) (תיקון - ביטול ההיטל על העסקת עובד זר בענף החקלאות), התשפ"א-2020</t>
  </si>
  <si>
    <t xml:space="preserve"> (פ/2388/23)</t>
  </si>
  <si>
    <t xml:space="preserve">הצעת חוק גיור ממלכתי בישראל, התשפ"א-2020</t>
  </si>
  <si>
    <t xml:space="preserve"> (פ/2387/23)</t>
  </si>
  <si>
    <t xml:space="preserve">הצעת חוק סמכויות מיוחדות להתמודדות עם נגיף הקורונה החדש (הוראת שעה) (תיקון - עסקים המקיימים פעילות חיונית), התשפ"א-2020</t>
  </si>
  <si>
    <t xml:space="preserve"> (פ/2386/23)</t>
  </si>
  <si>
    <t xml:space="preserve">הצעת חוק להתמודדות עם נגיף הקורונה החדש (הוראת שעה) (תיקון - הסמכת הרשויות המקומיות), התשפ"א-2020</t>
  </si>
  <si>
    <t xml:space="preserve"> (פ/2385/23)</t>
  </si>
  <si>
    <t xml:space="preserve">הצעת חוק פיצוי נפגעי אסון טבע (פיצוי לנפגעי שריפה), התשפ"א-2020</t>
  </si>
  <si>
    <t xml:space="preserve"> (פ/2384/23)</t>
  </si>
  <si>
    <t xml:space="preserve">הצעת חוק למניעת העסקה בתחום החינוך והטיפול של אדם שהורשע או שמואשם בתקיפה או בהתעללות בחסר ישע, התשפ"א-2020</t>
  </si>
  <si>
    <t xml:space="preserve"> (פ/2383/23)</t>
  </si>
  <si>
    <t xml:space="preserve">הצעת חוק-יסוד: הכנסת (תיקון - מועד לבחירות בשל פיזור מוקדם של הכנסת)</t>
  </si>
  <si>
    <t xml:space="preserve"> (פ/2382/23)</t>
  </si>
  <si>
    <t xml:space="preserve">הצעת חוק הביטוח הלאומי (תיקון - הצמדת קצבת אזרח ותיק לשכר מינימום), התשפ"א-2020</t>
  </si>
  <si>
    <t xml:space="preserve"> (פ/2381/23)</t>
  </si>
  <si>
    <t xml:space="preserve">הצעת חוק לחיזוק הקשר בין יהודי התפוצות ומדינת ישראל, התשפ"א-2020</t>
  </si>
  <si>
    <t xml:space="preserve"> (פ/2379/23)</t>
  </si>
  <si>
    <t xml:space="preserve">הצעת חוק העונשין (תיקון - הקטנת תוספת פיגור לקנס), התשפ"א-2020</t>
  </si>
  <si>
    <t xml:space="preserve"> (פ/2378/23)</t>
  </si>
  <si>
    <t xml:space="preserve"> (פ/2377/23)</t>
  </si>
  <si>
    <t xml:space="preserve">הצעת חוק מגבלות על חזרתו של עבריין מין לסביבת נפגע העבירה (תיקון - הרחבת סמכות בית המשפט להטלת מגבלות), התשפ"א-2020</t>
  </si>
  <si>
    <t xml:space="preserve"> (פ/2376/23)</t>
  </si>
  <si>
    <t xml:space="preserve">הצעת חוק לשכת עורכי הדין (תיקון - הכשרה למקצוע), התשפ"א-2020</t>
  </si>
  <si>
    <t xml:space="preserve"> (פ/2375/23)</t>
  </si>
  <si>
    <t xml:space="preserve">הצעת חוק זכויות נפגעי עבירה (תיקון - חובת בית המשפט לשמוע נפגעי עבירה כולל נפגעי מעשי טרור), התשפ"א-2020</t>
  </si>
  <si>
    <t xml:space="preserve"> (פ/2374/23)</t>
  </si>
  <si>
    <t xml:space="preserve">הצעת חוק הגנה על עיתונאים (תיקוני חקיקה), התשפ"א-2020</t>
  </si>
  <si>
    <t xml:space="preserve"> (פ/2373/23)</t>
  </si>
  <si>
    <t xml:space="preserve"> (פ/2371/23)</t>
  </si>
  <si>
    <t xml:space="preserve"> (פ/2370/23)</t>
  </si>
  <si>
    <t xml:space="preserve">הצעת חוק ביטוח בריאות ממלכתי (תיקון - תוספת שנתית קבועה לסל שירותי הבריאות לצורך הוספת תרופות, מכשור וטכנולוגיות רפואיות חדשות), התשפ"א-2020</t>
  </si>
  <si>
    <t xml:space="preserve"> (פ/2369/23)</t>
  </si>
  <si>
    <t xml:space="preserve">הצעת חוק הנכים (תגמולים ושיקום) (תיקון - הגבלת משך זמן הטיפול בתביעה בשל הפרעה בתר חבלתית בעקבות אירוע לחימה), התשפ"א-2020</t>
  </si>
  <si>
    <t xml:space="preserve"> (פ/2368/23)</t>
  </si>
  <si>
    <t xml:space="preserve">הצעת חוק הביטוח הלאומי (תיקון - קיצור תקופת אכשרה לחיילים משוחררים), התשפ"א-2020</t>
  </si>
  <si>
    <t xml:space="preserve"> (פ/2367/23)</t>
  </si>
  <si>
    <t xml:space="preserve">הצעת חוק עוסק זעיר, התשפ"א-2020</t>
  </si>
  <si>
    <t xml:space="preserve"> (פ/2366/23)</t>
  </si>
  <si>
    <t xml:space="preserve">הצעת חוק לתיקון פקודת הרוקחים (חיוב רישום רכיבי תמרוקים ומוצרי ניקיון), התשפ"א-2020</t>
  </si>
  <si>
    <t xml:space="preserve"> (פ/2365/23)</t>
  </si>
  <si>
    <t xml:space="preserve">הצעת חוק הביטוח הלאומי (תיקון - דמי אבטלה לחיילים, מתנדבים ומשרתים בשירות לאומי-אזרחי), התשפ"א-2020</t>
  </si>
  <si>
    <t xml:space="preserve"> (פ/2364/23)</t>
  </si>
  <si>
    <t xml:space="preserve">הצעת חוק הפחתת שכר חברי הכנסת (הוראת שעה), התשפ"א-2020</t>
  </si>
  <si>
    <t xml:space="preserve"> (פ/2363/23)</t>
  </si>
  <si>
    <t xml:space="preserve">הצעת חוק לתיקון פקודת התעבורה (איסור עישון ברכב בקרבת קטין שטרם מלאו לו 16 שנים), התשפ"א-2020</t>
  </si>
  <si>
    <t xml:space="preserve"> (פ/2362/23)</t>
  </si>
  <si>
    <t xml:space="preserve">הצעת חוק איסור שימוש בסוסים לשם פיזור התקהלויות, התשפ"א-2020</t>
  </si>
  <si>
    <t xml:space="preserve"> (פ/2361/23)</t>
  </si>
  <si>
    <t xml:space="preserve">הצעת חוק החזרתם של תושבי גאבסיה, איקרית ובירעם לכפריהם, התשפ"א-2020</t>
  </si>
  <si>
    <t xml:space="preserve"> (פ/2360/23)</t>
  </si>
  <si>
    <t xml:space="preserve">הצעת חוק ליישוב תחת איום מיידי (הוראת שעה), התשפ"א-2020</t>
  </si>
  <si>
    <t xml:space="preserve"> (פ/2359/23)</t>
  </si>
  <si>
    <t xml:space="preserve">הצעת חוק מס ערך מוסף (תיקון - שיעור מס מופחת על מוצרי מזון בסיסיים), התשפ"א-2020</t>
  </si>
  <si>
    <t xml:space="preserve"> (פ/2358/23)</t>
  </si>
  <si>
    <t xml:space="preserve">הצעת חוק מס קניה (טובין ושירותים) (תיקון - הפחתת מס על רכב), התשפ"א-2020</t>
  </si>
  <si>
    <t xml:space="preserve"> (פ/2357/23)</t>
  </si>
  <si>
    <t xml:space="preserve">הצעת חוק קביעת אזורי עדיפות, התשפ"א-2020</t>
  </si>
  <si>
    <t xml:space="preserve"> (פ/2356/23)</t>
  </si>
  <si>
    <t xml:space="preserve">הצעת חוק לתיקון פקודת מס הכנסה (משיכה מקרן השתלמות) (הוראת שעה), התשפ"א-2020</t>
  </si>
  <si>
    <t xml:space="preserve"> (פ/2355/23)</t>
  </si>
  <si>
    <t xml:space="preserve">הצעת חוק לתיקון פקודת מס הכנסה (הכרה בהוצאות עבודה מהבית בתקופת התפשטות נגיף הקורונה החדש) (הוראת שעה), התשפ"א-2020</t>
  </si>
  <si>
    <t xml:space="preserve"> (פ/2354/23)</t>
  </si>
  <si>
    <t xml:space="preserve">הצעת חוק המועצה לענף הלול (ייצור ושיווק) (תיקון - תוספת מכסה אישית לגדל בלול בלא כלובים), התשפ"א-2020</t>
  </si>
  <si>
    <t xml:space="preserve"> (פ/2353/23)</t>
  </si>
  <si>
    <t xml:space="preserve">הצעת חוק הפעלת שירות רכבות בשבת ובמועדי ישראל, התשפ"א-2020</t>
  </si>
  <si>
    <t xml:space="preserve"> (פ/2352/23)</t>
  </si>
  <si>
    <t xml:space="preserve">הצעת חוק להגברת התחרות ולצמצום הריכוזיות בשוק הבנקאות בישראל (תיקוני חקיקה) (תיקון - מניעת מצוקת אשראי של משקי הבית והשכבות המוחלשות בשל נגיף הקורונה החדש), התשפ"א-2020</t>
  </si>
  <si>
    <t xml:space="preserve"> (פ/2351/23)</t>
  </si>
  <si>
    <t xml:space="preserve">הצעת חוק לתיקון פקודת התעבורה (הבחינה העיונית לשם מתן רישיון נהיגה), התשפ"א-2020</t>
  </si>
  <si>
    <t xml:space="preserve"> (פ/2349/23)</t>
  </si>
  <si>
    <t xml:space="preserve">הצעת חוק רישוי עסקים (תיקון - שינוי מדיניות הביטוח במכוני כושר), התשפ"א-2020</t>
  </si>
  <si>
    <t xml:space="preserve"> (פ/2348/23)</t>
  </si>
  <si>
    <t xml:space="preserve">הצעת חוק זכויות הסטודנט (תיקון - סיוע כלכלי בשעת חירום), התשפ"א-2020</t>
  </si>
  <si>
    <t xml:space="preserve"> (פ/2347/23)</t>
  </si>
  <si>
    <t xml:space="preserve">חוק סמכויות מיוחדות להתמודדות עם נגיף הקורונה החדש (הוראת שעה) (תיקון מס' 3), התשפ"א-2020</t>
  </si>
  <si>
    <t xml:space="preserve"> (פ/2224/23)</t>
  </si>
  <si>
    <t xml:space="preserve"> (כ/856)</t>
  </si>
  <si>
    <t xml:space="preserve">11.11.2020</t>
  </si>
  <si>
    <t xml:space="preserve">במסגרת התיקון, נקבע כי הממשלה רשאית בתנאים מסוימים להכריז על העיר אילת ועל אזור עין בוקק כאזורי תיירות מיוחדים וזאת בלא קיומו של מצב חירום בשל נגיף הקורונה.</t>
  </si>
  <si>
    <t xml:space="preserve">חוק לתיקון פקודת הכלבת (מס' 6), התשפ"א-2020</t>
  </si>
  <si>
    <t xml:space="preserve"> (פ/447/23)</t>
  </si>
  <si>
    <t xml:space="preserve"> (כ/852)</t>
  </si>
  <si>
    <t xml:space="preserve">מטרת החוק היא לקבוע חלופה לבידוד במאורת בידוד (להלן - מכלאה עירונית) של כלב או חתול שנשך או בא במגע עם אדם או בעל חיים אחר ויש חשש להדבקה במחלת הכלבת. החלופה קובעת שלבקשת בעליו של כלב או חתול שנשך או בא במגע כאמור, רופא וטרינר ממשלתי או רופא וטרינר עירוני ייתן היתר להחזיק את הכלב או החתול בפיקוח והשגחה שלא במכלאה עירונית, לרבות במקום מגוריו של הבעלים, אם התקיימו התנאים המקדמיים למתן ההיתר. החוק מסמיך את שר החקלאות, באישור ועדת הכלכלה של הכנסת, לקבוע את התנאים המקדמיים למתן ההיתר וכן את החובה להפקיד ערובה כספית להבטחת התנאים למתן היתר להחזקה בפיקוח והשגחה, אם מצא לאחר כניסתו לתוקף של ההסדר המוצע, כי הפקדת הערובה נדרשת לשם הבטחת תנאי ההיתר. השר, בהתייעצות עם שר הפנים, אף הוסמך להתקין תקנות הקובעות אגרות בעד היתר להחזקת כלב או חתול בפיקוח והשגחה. עד לקביעה של התנאים המקדמיים על ידי השר בתקנות כאמור, יחולו התנאים למתן ההיתר הקבועים בחוק. בין יתר התנאים נקבע כי על הכלב או החתול להיות מחוסן נגד כלבת, את החובה לערוך בדיקה לכלב או לחתול להימצאות סימנים קליניים המעלים חשד לכלבת, תנאי שלפיו בשלושת החודשים שקדמו לנשיכה או למגע, הכלב או החתול לא נמצאו באזור שהוכרז לפי הפקודה כנגוע בכלבת, הצגתו של רישיון בתוקף לפי חוק להסדרת הפיקוח על כלבים, התשס"ג–2002, וכי אם בעל החיים הוא כלב – הוא לא נתפס משוטט בהיותו מוחזק על ידי מבקש ההיתר יותר מפעמיים בשנתיים שקדמו למועד הנשיכה או המגע, וכן תשלום אגרה בסך 365 שקלים חדשים. רופא וטרינר עירוני או רופא וטרינר ממשלתי רשאי להתיר החזקה של כלב או חתול בפיקוח והשגחה במרפאה וטרינרית, אם קיימת סיבה רפואית המצדיקה שלא להחזיקו במכלאה עירונית ובהתקיים תנאים נוספים הקבועים בחוק. הטפסים להגשת הבקשה להיתר קבועים גם הם בחוק. ניתן ההיתר, עד להתקנת התקנות על ידי השר כאמור, יחולו התנאים הקבועים גם הם בחוק, שעיקריהם כוללים את החובה להביא את הכלב או החתול לבדיקה וטרינרית של רופא וטרינר עירוני או רופא וטרינר ממשלתי במקום ובמועד שנקבעו בהיתר, וכן ביום העבודה הראשון שלאחר תום עשרת הימים ממועד הנשיכה או המגע. הבאה לבדיקה תהיה גם בכל מקרה של שינוי בהתנהגות או במצב הבריאותי שלו שניתן להבחין בו, וכן במקרה מוות; מניעת מגע של הכלב או החתול עם כל אדם או בעל חיים אחר, למעט מי שנמצא במקום הפיקוח וההשגחה דרך קבע; אין להוציא את הכלב ממקום הפיקוח וההשגחה אלא למרחק שאינו עולה על 500 מטרים מהמקום או לצורך בדיקה וכשהוא מוחזק על ידי אדם שמלאו לו 18 שנים ברצועה שאורכה אינו עולה על 2 מטרים ופיו חסום; אין להכניסו לגינות כלבים, לגנים ציבוריים, לגני משחקים ולמוסדות חינוך. רופא וטרינר עירוני או רופא וטרינר ממשלתי רשאי לבטל לאלתר היתר שניתן אם הופרו או חדלו להתקיים התנאים למתן ההיתר או שההיתר ניתן על סמך מידע כוזב, שגוי, מטעה או חלקי. עוד נקבע בחוק, שהחזקת הכלב או החתול בהסגר במכלאה עירונית או בפיקוח והשגחה תהיה למשך עשרה ימים ממועד הנשיכה ולא מיום תחילת המעצר לפי נוסח הפקודה ערב כניסת החוק לתוקף, שכן שלילת סימני כלבת נעשית במהלך עשרה ימים מיום הנשיכה או המגע ולא מרגע היוודע דבר הנשיכה או המגע. החוק קובע כי אם הבעלים לא החזיר את בעל החיים לרשותו לאחר תקופת הבידוד, רשאי רופא וטרינר עירוני או ממשלתי, לאחר שנתן לבעליו של בעל החיים הזדמנות להשמיע טענותיו בתוך 14 ימים ממועד שמסרו לו הודעה על כך, למסור לאימוץ את בעל החיים וזאת במקום הסמכות הנתונה היום בחוק לפיה ניתן להמית את הכלב או החתול. רק אם לא ניתן היה למסור את בעל החיים לאימוץ במאמץ סביר ובפרק זמן סביר, יהיה הרופא הווטרינר רשאי להורות על המתתו, תוך מניעת סבל מיותר. החוק מגביל את האפשרות לבקש צו להשמיד בעל חיים, בלא תשלום פיצויים לבעלים, רק מהטעם שבעל החיים משתולל. הדבר יתאפשר רק אם הוא צפוי להידבק או להדביק בכלבת. בנוסף, תחולת הפקודה על עופות תבוטל, זאת לאור ההבנה שהם אינם נשאים של מחלת הכלבת, וכן המונח "בעל חי", השגור בפקודה, מוחלף ל"בעל חיים", בהתאם להנחיית האקדמיה ללשון העברית.</t>
  </si>
  <si>
    <t xml:space="preserve">הצעת חוק הביטוח הלאומי (תיקון - העלאת קצבת אזרח ותיק), התש"ף-2020</t>
  </si>
  <si>
    <t xml:space="preserve"> (פ/1553/23)</t>
  </si>
  <si>
    <t xml:space="preserve">הצעת חוק הביטוח הלאומי (תיקון - השוואת קצבת אזרח ותיק לשכר המינימום), התש"ף-2020</t>
  </si>
  <si>
    <t xml:space="preserve"> (פ/1513/23)</t>
  </si>
  <si>
    <t xml:space="preserve"> (פ/1246/23)</t>
  </si>
  <si>
    <t xml:space="preserve">הצעת חוק התכנון והבנייה (תיקון - ייצוג הולם לאוכלוסייה הערבית במוסדות התכנון), התש"ף-2020</t>
  </si>
  <si>
    <t xml:space="preserve"> (פ/1009/23)</t>
  </si>
  <si>
    <t xml:space="preserve">הצעת חוק מרשם האוכלוסין (תיקון - רישום חסר דת), התש"ף-2020</t>
  </si>
  <si>
    <t xml:space="preserve"> (פ/601/23)</t>
  </si>
  <si>
    <t xml:space="preserve">הצעת חוק התכנון והבנייה (הוראות מיוחדות לעניין יישובי מיעוטים) (הוראת שעה), התש"ף-2020</t>
  </si>
  <si>
    <t xml:space="preserve"> (פ/57/23)</t>
  </si>
  <si>
    <t xml:space="preserve">חוק יד יצחק בן-צבי (תיקון מס' 3), התשפ"א–2020 </t>
  </si>
  <si>
    <t xml:space="preserve"> (כ/854)</t>
  </si>
  <si>
    <t xml:space="preserve">09.11.2020</t>
  </si>
  <si>
    <t xml:space="preserve">בטרם התיקון קבע חוק יד יצחק בן-צבי כי מספר חברי מועצת יד בן-צבי לא יפחת מעשרים וחמישה, ושיכהנו בה שלושה חברי כנסת. תיקון מס' 3 מבטל את כהונתם של חברי הכנסת, וקובע שמספר חברי המועצה לא יפחת מעשרים ושניים. </t>
  </si>
  <si>
    <t xml:space="preserve"> (פ/2346/23)</t>
  </si>
  <si>
    <t xml:space="preserve">הצעת חוק הבחירות לכנסת (תיקון - תיעוד חזותי או קולי בקלפיות), התשפ"א-2020</t>
  </si>
  <si>
    <t xml:space="preserve"> (פ/2345/23)</t>
  </si>
  <si>
    <t xml:space="preserve">הצעת חוק הבחירות לכנסת (תיקון - תיעוד חזותי או קולי בקלפיות), תשפ"א-2020</t>
  </si>
  <si>
    <t xml:space="preserve"> (פ/2344/23)</t>
  </si>
  <si>
    <t xml:space="preserve"> (פ/2343/23)</t>
  </si>
  <si>
    <t xml:space="preserve">הצעת חוק לסיוע משלים בעקבות התפשטות נגיף הקורונה החדש (תיקוני חקיקה), התשפ"א-2020</t>
  </si>
  <si>
    <t xml:space="preserve"> (פ/2342/23)</t>
  </si>
  <si>
    <t xml:space="preserve">הצעת חוק שחרור על תנאי ממאסר (תיקון - שחרור אסיר הנושא מאסר בשל עבירת אלימות חמורה הנשקפת ממנו מסוכנות גבוהה), התשפ"א-2020</t>
  </si>
  <si>
    <t xml:space="preserve"> (פ/2340/23)</t>
  </si>
  <si>
    <t xml:space="preserve">הצעת חוק-יסוד: משאל עם (תיקון - החלת ריבונות)</t>
  </si>
  <si>
    <t xml:space="preserve"> (פ/2339/23)</t>
  </si>
  <si>
    <t xml:space="preserve">הצעת חוק הרבנות הראשית לישראל (תיקון - הרחבת האסיפה הבוחרת), התשפ"א-2020</t>
  </si>
  <si>
    <t xml:space="preserve"> (פ/2338/23)</t>
  </si>
  <si>
    <t xml:space="preserve"> (פ/2337/23)</t>
  </si>
  <si>
    <t xml:space="preserve">הצעת חוק הבחירות (דרכי תעמולה) (תיקון - ביטול האיסור על שימוש בכלי טיס ובכלי שיט), התשפ"א-2020</t>
  </si>
  <si>
    <t xml:space="preserve"> (פ/2335/23)</t>
  </si>
  <si>
    <t xml:space="preserve">הצעת חוק בתי המשפט (תיקון - מספר השופטים בבית המשפט העליון), התשפ"א-2020</t>
  </si>
  <si>
    <t xml:space="preserve"> (פ/2334/23)</t>
  </si>
  <si>
    <t xml:space="preserve">הצעת חוק חישוב דרגת הזכאות של מורה להשתתפות המדינה בדמי ההחזקה לילד במעונות יום ובמשפחתונים, התשפ"א-2020</t>
  </si>
  <si>
    <t xml:space="preserve"> (פ/2331/23)</t>
  </si>
  <si>
    <t xml:space="preserve">הצעת חוק לתיקון פקודת התעבורה (תשלום עבור נסיעה בתחבורה ציבורית בכרטיס אשראי), התשפ"א-2020</t>
  </si>
  <si>
    <t xml:space="preserve"> (פ/2330/23)</t>
  </si>
  <si>
    <t xml:space="preserve">הצעת חוק המועצה לענף הלול (ייצור ושיווק) (תיקון - סימון ביצים), התשפ"א-2020</t>
  </si>
  <si>
    <t xml:space="preserve"> (פ/2329/23)</t>
  </si>
  <si>
    <t xml:space="preserve">הצעת חוק איסור פרסומת והגבלת השיווק של מוצרי טבק ועישון (תיקון - תמונה בדבר נזקי העישון), התשפ"א-2020</t>
  </si>
  <si>
    <t xml:space="preserve"> (פ/2328/23)</t>
  </si>
  <si>
    <t xml:space="preserve"> (פ/2327/23)</t>
  </si>
  <si>
    <t xml:space="preserve">הצעת חוק להפחתת השימוש ברכב פרטי ולעידוד שימוש בתחבורה הציבורית, התש"ף-2020 </t>
  </si>
  <si>
    <t xml:space="preserve"> (פ/2326/23)</t>
  </si>
  <si>
    <t xml:space="preserve">הצעת חוק לתיקון פקודת התעבורה (רישום רכב), התשפ"א-2020</t>
  </si>
  <si>
    <t xml:space="preserve"> (פ/2325/23)</t>
  </si>
  <si>
    <t xml:space="preserve">הצעת חוק הבנקאות (שירות ללקוח) (תיקון - מרווח שיעורי הריבית), התשפ"א-2020</t>
  </si>
  <si>
    <t xml:space="preserve"> (פ/2324/23)</t>
  </si>
  <si>
    <t xml:space="preserve">הצעת חוק לעידוד הסעות שיתופיות (תיקוני חקיקה), התשפ"א-2020</t>
  </si>
  <si>
    <t xml:space="preserve"> (פ/2323/23)</t>
  </si>
  <si>
    <t xml:space="preserve">הצעת חוק לתיקון פקודת מסילות הברזל (פטור מתשלום דמי נסיעה לעגלת ילדים), התשפ"א-2020</t>
  </si>
  <si>
    <t xml:space="preserve"> (פ/2322/23)</t>
  </si>
  <si>
    <t xml:space="preserve">הצעת חוק הנכים (תגמולים ושיקום) (תיקון - הגבלת משך זמן הטיפול בתביעה בשל הפרעה בתר חבלתית), התשפ"א-2020</t>
  </si>
  <si>
    <t xml:space="preserve"> (פ/2321/23)</t>
  </si>
  <si>
    <t xml:space="preserve">הצעת חוק שיווי זכויות האישה (תיקון - תחולה), התשפ"א-2020</t>
  </si>
  <si>
    <t xml:space="preserve"> (פ/2320/23)</t>
  </si>
  <si>
    <t xml:space="preserve">הצעת חוק ביטוח בריאות ממלכתי (תיקון - זכאות לבדיקת ממוגרפיה מגיל 40 לגילוי מוקדם של סרטן השד), התשפ"א-2020</t>
  </si>
  <si>
    <t xml:space="preserve"> (פ/2319/23)</t>
  </si>
  <si>
    <t xml:space="preserve">הצעת חוק גנים לאומיים, שמורות טבע, אתרים לאומיים ואתרי הנצחה (תיקון - פטור מתשלומי חובה עבור התקנת תשתיות ציבוריות), התשפ"א-2020</t>
  </si>
  <si>
    <t xml:space="preserve"> (פ/2318/23)</t>
  </si>
  <si>
    <t xml:space="preserve">הצעת חוק צער בעלי חיים (הגנה על בעלי חיים) (תיקון - איסור ניצול בעלי חיים למטרות הימורים), התשפ"א-2020</t>
  </si>
  <si>
    <t xml:space="preserve"> (פ/2317/23)</t>
  </si>
  <si>
    <t xml:space="preserve">הצעת חוק הביטוח הלאומי (תיקון - זכאות פדיון סכום החיסכון הצבור הכולל לחייל בודד), התשפ"א-2020</t>
  </si>
  <si>
    <t xml:space="preserve"> (פ/2316/23)</t>
  </si>
  <si>
    <t xml:space="preserve">הצעת חוק עובדים זרים (תיקון - הפחתת הפרשת מעסיק לפיקדון עבור עובד זר שהוא מסתנן), התשפ"א-2020</t>
  </si>
  <si>
    <t xml:space="preserve"> (פ/2315/23)</t>
  </si>
  <si>
    <t xml:space="preserve">הצעת חוק לתיקון פקודת מס הכנסה (חישוב שווי שימוש ברכב לשומרי שבת וחג), התשפ"א-2020</t>
  </si>
  <si>
    <t xml:space="preserve"> (פ/2314/23)</t>
  </si>
  <si>
    <t xml:space="preserve">הצעת חוק מס רכוש וקרן פיצויים (תיקון - תשלום פיצויים ומקדמות לנפגעי התפרצות נגיף הקורונה החדש), התשפ"א-2020</t>
  </si>
  <si>
    <t xml:space="preserve"> (פ/2313/23)</t>
  </si>
  <si>
    <t xml:space="preserve">הצעת חוק תוכנית למניעת אלימות מינית וקידום מיניות בריאה, התשפ"א-2020</t>
  </si>
  <si>
    <t xml:space="preserve"> (פ/2312/23)</t>
  </si>
  <si>
    <t xml:space="preserve">הצעת חוק ארוחה יומית לתלמיד (תיקון - אספקת ארוחות לתלמידים בזמן הגבלת פעילות של מוסד חינוך)(הוראת שעה), התשפ"א-2020</t>
  </si>
  <si>
    <t xml:space="preserve"> (פ/2311/23)</t>
  </si>
  <si>
    <t xml:space="preserve"> (פ/2310/23)</t>
  </si>
  <si>
    <t xml:space="preserve">הצעת חוק הנצחת זכרם של קורבנות הטבח בכפר קאסם, התשפ"א-2020</t>
  </si>
  <si>
    <t xml:space="preserve"> (פ/2309/23)</t>
  </si>
  <si>
    <t xml:space="preserve">הצעת חוק התוכנית להבראת כלכלת ישראל (תיקוני חקיקה להשגת יעדי התקציב והמדיניות הכלכלית לשנות הכספים 2003 ו-2004) (תיקון - ביטול ההיטל על עובד זר העוסק בסיעוד בבית חולים גריאטרי), התשפ"א-2020 </t>
  </si>
  <si>
    <t xml:space="preserve"> (פ/2308/23)</t>
  </si>
  <si>
    <t xml:space="preserve"> (פ/2307/23)</t>
  </si>
  <si>
    <t xml:space="preserve">הצעת חוק חסינות חברי הכנסת, זכויותיהם וחובותיהם (תיקון - חובת גילוי של מסחר בניירות ערך לחבר בוועדת הכספים או הכלכלה של הכנסת), התשפ"א-2020</t>
  </si>
  <si>
    <t xml:space="preserve"> (פ/2306/23)</t>
  </si>
  <si>
    <t xml:space="preserve">הצעת חוק סמכויות מיוחדות להתמודדות עם נגיף הקורונה החדש (הוראת שעה) (תיקון מס' 3), התשפ"א-2020</t>
  </si>
  <si>
    <t xml:space="preserve"> (מ/1370)</t>
  </si>
  <si>
    <t xml:space="preserve">הצעת חוק הביטוח הלאומי (תיקון - דמי פגיעה לעצמאי), התש"ף-2020</t>
  </si>
  <si>
    <t xml:space="preserve"> (פ/1852/23)</t>
  </si>
  <si>
    <t xml:space="preserve">04.11.2020</t>
  </si>
  <si>
    <t xml:space="preserve">הצעת חוק הביטוח הלאומי (תיקון - תשלום דמי ביטוח לאומי מופחתים לסטודנט במוסד להשכלה גבוהה מחוץ לישראל), התש"ף-2020</t>
  </si>
  <si>
    <t xml:space="preserve"> (פ/1521/23)</t>
  </si>
  <si>
    <t xml:space="preserve">הצעת חוק זכויות הסטודנט (תיקון - פטור מתשלום עבור קורס חוזר בשל שירות מילואים), התש"ף-2020</t>
  </si>
  <si>
    <t xml:space="preserve"> (פ/1275/23)</t>
  </si>
  <si>
    <t xml:space="preserve">הצעת חוק החברות הממשלתיות (תיקון - ייצוג הולם לאוכלוסייה הערבית), התש"ף-2020</t>
  </si>
  <si>
    <t xml:space="preserve"> (פ/1201/23)</t>
  </si>
  <si>
    <t xml:space="preserve">הצעת חוק הגנת הצרכן (תיקון - סימון תוצרת חקלאית שאינה ארוזה מראש), התש"ף-2020 </t>
  </si>
  <si>
    <t xml:space="preserve"> (פ/1144/23)</t>
  </si>
  <si>
    <t xml:space="preserve">הצעת חוק הביטוח הלאומי (תיקון - פטור לסטודנטים מתשלום דמי ביטוח לאומי), התש"ף-2020</t>
  </si>
  <si>
    <t xml:space="preserve"> (פ/758/23)</t>
  </si>
  <si>
    <t xml:space="preserve">הצעת חוק לתיקון פקודת מס הכנסה (ביטול הפטור ממס לתשלומים ושירותים הניתנים לראש הממשלה), התש"ף-2020</t>
  </si>
  <si>
    <t xml:space="preserve"> (פ/623/23)</t>
  </si>
  <si>
    <t xml:space="preserve"> (פ/98/23)</t>
  </si>
  <si>
    <t xml:space="preserve">חוק קיום דיונים בהיוועדות חזותית בהשתתפות עצורים, אסירים וכלואים בתקופת התפשטות נגיף הקורונה החדש (הוראת שעה), התש"ף-2020</t>
  </si>
  <si>
    <t xml:space="preserve"> (מ/1308)</t>
  </si>
  <si>
    <t xml:space="preserve">02.11.2020</t>
  </si>
  <si>
    <t xml:space="preserve">הוראת השעה מעגנת תשתית נורמטיבית המסדירה את השתתפותם של עצורים או אסירים באמצעים טכנולוגיים בדיונים הדורשים נוכחותם, במקרים שבהם יש למנוע את השתתפותם הפיזית לאור התפשטות נגיף הקורונה.</t>
  </si>
  <si>
    <t xml:space="preserve">הצעת חוק הפסיכולוגים (תיקון - איסור טיפולי המרה), התש"ף-2020</t>
  </si>
  <si>
    <t xml:space="preserve"> (פ/702/23)</t>
  </si>
  <si>
    <t xml:space="preserve"> (פ/254/23)</t>
  </si>
  <si>
    <t xml:space="preserve"> (פ/2305/23)</t>
  </si>
  <si>
    <t xml:space="preserve">הצעת חוק המועצה הארצית לביטחון תזונתי (תיקון - חיזוק מעמדה של המועצה), התשפ"א-2020</t>
  </si>
  <si>
    <t xml:space="preserve"> (פ/2304/23)</t>
  </si>
  <si>
    <t xml:space="preserve"> (פ/2303/23)</t>
  </si>
  <si>
    <t xml:space="preserve">הצעת חוק החולה הנוטה למות (תיקון - מוות במרשם רופא), התשפ"א-2020</t>
  </si>
  <si>
    <t xml:space="preserve"> (פ/2302/23)</t>
  </si>
  <si>
    <t xml:space="preserve">הצעת חוק חופשה שנתית (תיקון - ימי חופשה להורים שילדם נפטר), התשפ"א-2020</t>
  </si>
  <si>
    <t xml:space="preserve"> (פ/2301/23)</t>
  </si>
  <si>
    <t xml:space="preserve">הצעת חוק לשכת עורכי הדין (תיקון - בחינת ההתמחות בעידן הקורונה), התשפ"א־2020 </t>
  </si>
  <si>
    <t xml:space="preserve"> (פ/2300/23)</t>
  </si>
  <si>
    <t xml:space="preserve">הצעת חוק המחאת חיובים (תיקון - המחאת חיובים לגוף מפוקח), התשפ"א-2020</t>
  </si>
  <si>
    <t xml:space="preserve"> (פ/2299/23)</t>
  </si>
  <si>
    <t xml:space="preserve">הצעת חוק סדר הדין הפלילי (סמכויות אכיפה - מעצרים) (תיקון - מעצר אדם שנאשם בסיכון בטחונו של בעל חיים), התשפ"א-2020</t>
  </si>
  <si>
    <t xml:space="preserve"> (פ/2298/23)</t>
  </si>
  <si>
    <t xml:space="preserve">הצעת חוק סדר הדין הפלילי (סמכויות אכיפה - מעצרים) (תיקון - הגדרת מסוכנות של פוגעים בבעלי חיים), התשפ"א-2020</t>
  </si>
  <si>
    <t xml:space="preserve"> (פ/2297/23)</t>
  </si>
  <si>
    <t xml:space="preserve">הצעת חוק הפחתת תוספות פיגור שנוספו על קנסות הנגבים בידי המרכז לגביית קנסות, אגרות והוצאות (הוראת שעה), התשפ"א-2020</t>
  </si>
  <si>
    <t xml:space="preserve"> (פ/2296/23)</t>
  </si>
  <si>
    <t xml:space="preserve">הצעת חוק העונשין (תיקון - הרחבת הגדרת הגזענות), התשפ"א-2020</t>
  </si>
  <si>
    <t xml:space="preserve"> (פ/2295/23)</t>
  </si>
  <si>
    <t xml:space="preserve"> (פ/2294/23)</t>
  </si>
  <si>
    <t xml:space="preserve">הצעת חוק-יסוד: השפיטה (תיקון - מינוי שופטים)</t>
  </si>
  <si>
    <t xml:space="preserve"> (פ/2293/23)</t>
  </si>
  <si>
    <t xml:space="preserve"> (פ/2292/23)</t>
  </si>
  <si>
    <t xml:space="preserve">הצעת חוק ועדת חקירה מיוחדת לרכש ספינות השיט והצוללות לחיל הים, התשפ"א-2020</t>
  </si>
  <si>
    <t xml:space="preserve"> (פ/2291/23)</t>
  </si>
  <si>
    <t xml:space="preserve">הצעת חוק איסור כספים קואליציוניים, התשפ"א-2020</t>
  </si>
  <si>
    <t xml:space="preserve"> (פ/2290/23)</t>
  </si>
  <si>
    <t xml:space="preserve">הצעת חוק סדר הדין הפלילי (תיקון - ביטול האיסור המוטל על המשטרה למסור לפרקליטות עמדה בכתב לעניין מכלול התשתית הראייתית), התשפ"א-2020</t>
  </si>
  <si>
    <t xml:space="preserve"> (פ/2289/23)</t>
  </si>
  <si>
    <t xml:space="preserve">הצעת חוק לשכת עורכי הדין (תיקון - הנחיות למתן ציונים במבחני הסמכה) (הוראת שעה), התשפ"א-2020</t>
  </si>
  <si>
    <t xml:space="preserve"> (פ/2288/23)</t>
  </si>
  <si>
    <t xml:space="preserve">הצעת חוק הנציבות לצמצום הרגולציה והבירוקרטיה הממשלתית, התשפ"א-2020</t>
  </si>
  <si>
    <t xml:space="preserve"> (פ/2287/23)</t>
  </si>
  <si>
    <t xml:space="preserve">הצעת חוק שנת שירות, התשפ"א-2020</t>
  </si>
  <si>
    <t xml:space="preserve"> (פ/2286/23)</t>
  </si>
  <si>
    <t xml:space="preserve">הצעת חוק הסדרים במשק המדינה (תיקוני חקיקה להשגת יעדי התקציב) (תיקון - הנחה בארנונה לסטודנטים בעבור התנדבות), התשפ"א-2020</t>
  </si>
  <si>
    <t xml:space="preserve"> (פ/2285/23)</t>
  </si>
  <si>
    <t xml:space="preserve">הצעת חוק אסדרת שוק הקנאביס לצריכה עצמית, התשפ"א-2020</t>
  </si>
  <si>
    <t xml:space="preserve"> (פ/2284/23)</t>
  </si>
  <si>
    <t xml:space="preserve">הצעת חוק להקפאת קצבאות שמשולמות לפעיל טרור ומשפחתו מקופת המדינה, התשפ"א-2020</t>
  </si>
  <si>
    <t xml:space="preserve"> (פ/2283/23)</t>
  </si>
  <si>
    <t xml:space="preserve">הצעת חוק הביטוח הלאומי (תיקון - גמלת סיעוד מטעמים הומניטריים להורה שילדו עלה לפי חוק השבות), התשפ"א-2020</t>
  </si>
  <si>
    <t xml:space="preserve"> (פ/2282/23)</t>
  </si>
  <si>
    <t xml:space="preserve">הצעת חוק זכויות החולה (תיקון - הכנסת מזון למוסדות רפואיים בחג הפסח), התשפ"א-2020</t>
  </si>
  <si>
    <t xml:space="preserve"> (פ/2281/23)</t>
  </si>
  <si>
    <t xml:space="preserve">הצעת חוק הביטוח הלאומי (תיקון - דמי אבטלה למתמחים), התשפ"א-2020</t>
  </si>
  <si>
    <t xml:space="preserve"> (פ/2280/23)</t>
  </si>
  <si>
    <t xml:space="preserve">הצעת חוק הבטחת הכנסה (תיקון - הגדלת הגמלה), התשפ"א-2020</t>
  </si>
  <si>
    <t xml:space="preserve"> (פ/2279/23)</t>
  </si>
  <si>
    <t xml:space="preserve">הצעת חוק ערבויות מטעם המדינה בשעת חירום (תיקוני חקיקה), התשפ"א-2020</t>
  </si>
  <si>
    <t xml:space="preserve"> (פ/2278/23)</t>
  </si>
  <si>
    <t xml:space="preserve">הצעת חוק הביטוח הלאומי (תיקון - הארכת מועד הזכות למענק בשל עבודה מועדפת) (הוראת שעה), התשפ"א-2020</t>
  </si>
  <si>
    <t xml:space="preserve"> (פ/2277/23)</t>
  </si>
  <si>
    <t xml:space="preserve">הצעת חוק צער בעלי חיים (הגנה על בעלי חיים) (תיקון - החמרת ענישה בגין התעללות בבעלי חיים), התשפ"א-2020</t>
  </si>
  <si>
    <t xml:space="preserve"> (פ/2276/23)</t>
  </si>
  <si>
    <t xml:space="preserve">הצעת חוק חיזוק מעמד חברי המועצה מקרב סיעות האופוזיציה (תיקוני חקיקה), התשפ"א-2020</t>
  </si>
  <si>
    <t xml:space="preserve"> (פ/2275/23)</t>
  </si>
  <si>
    <t xml:space="preserve">הצעת חוק צער בעלי חיים (הגנה על בעלי חיים) (תיקון - קביעת עונש מינימום בגין התעללות בבעלי חיים), התשפ"א-2020</t>
  </si>
  <si>
    <t xml:space="preserve"> (פ/2274/23)</t>
  </si>
  <si>
    <t xml:space="preserve"> (פ/2273/23)</t>
  </si>
  <si>
    <t xml:space="preserve"> (פ/2272/23)</t>
  </si>
  <si>
    <t xml:space="preserve">הצעת חוק הגנת הצרכן (תיקון - סימון תוצרת חקלאית שיוצרה במדינת ישראל), התשפ"א-2020</t>
  </si>
  <si>
    <t xml:space="preserve"> (פ/2271/23)</t>
  </si>
  <si>
    <t xml:space="preserve">הצעת חוק הנחות בתעריפי מים וחשמל לבתי תפילה (תיקוני חקיקה) (הוראת שעה), התשפ"א-2020</t>
  </si>
  <si>
    <t xml:space="preserve"> (פ/2270/23)</t>
  </si>
  <si>
    <t xml:space="preserve">הצעת חוק היטלי סחר ואמצעי הגנה (תיקון - אי פתיחת חקירה בשל יבוא בהיצף בשוק מונופוליסטי או ריכוזי), התשפ"א-2020</t>
  </si>
  <si>
    <t xml:space="preserve"> (פ/2269/23)</t>
  </si>
  <si>
    <t xml:space="preserve">הצעת חוק איסור פרסומת והגבלת השיווק של מוצרי טבק ועישון (תיקון - איסור מכירה), התשפ"א-2020</t>
  </si>
  <si>
    <t xml:space="preserve"> (פ/2268/23)</t>
  </si>
  <si>
    <t xml:space="preserve">הצעת חוק הגנת הצרכן (תיקון - תאריך ייצור ומועד תפוגה בגודל גופן קריא), התשפ"א-2020</t>
  </si>
  <si>
    <t xml:space="preserve"> (פ/2267/23)</t>
  </si>
  <si>
    <t xml:space="preserve">הצעת חוק הספקת חשמל (הוראת שעה) (תיקון - הארכת תוקף), התשפ"א-2020</t>
  </si>
  <si>
    <t xml:space="preserve"> (פ/2266/23)</t>
  </si>
  <si>
    <t xml:space="preserve">הצעת חוק השכלה גבוהה חינם, התשפ"א-2020</t>
  </si>
  <si>
    <t xml:space="preserve"> (פ/2265/23)</t>
  </si>
  <si>
    <t xml:space="preserve">הצעת חוק צער בעלי חיים (ניסויים בבעלי חיים) (תיקון - נציג ציבור בוועדה פנימית), התשפ"א-2020</t>
  </si>
  <si>
    <t xml:space="preserve"> (פ/2264/23)</t>
  </si>
  <si>
    <t xml:space="preserve">הצעת חוק מוסדות חינוך עצמאיים, התשפ"א-2020</t>
  </si>
  <si>
    <t xml:space="preserve"> (פ/2263/23)</t>
  </si>
  <si>
    <t xml:space="preserve">הצעת חוק פיקוח על בתי ספר (תיקון - איסור התחזות לגננת), התשפ"א-2020</t>
  </si>
  <si>
    <t xml:space="preserve"> (פ/2262/23)</t>
  </si>
  <si>
    <t xml:space="preserve">הצעת חוק מידע גנטי (תיקון - עריכת בדיקה גנטית לאיתור בן משפחה שעלתה בין השנים 1948 ו-1959), התשפ"א-2020</t>
  </si>
  <si>
    <t xml:space="preserve"> (פ/2261/23)</t>
  </si>
  <si>
    <t xml:space="preserve">הצעת חוק הגנה על עובד הנעדר מעבודתו עקב התפשטות נגיף הקורונה, התש"ף-2020</t>
  </si>
  <si>
    <t xml:space="preserve"> (פ/2022/23)</t>
  </si>
  <si>
    <t xml:space="preserve">28.10.2020</t>
  </si>
  <si>
    <t xml:space="preserve">הצעת חוק דמי מחלה (תיקון - הגדרת שוהה בבידוד כחולה) (נגיף הקורונה החדש) (הוראת שעה), התש"ף-2020</t>
  </si>
  <si>
    <t xml:space="preserve"> (פ/1928/23)</t>
  </si>
  <si>
    <t xml:space="preserve">הצעת חוק דמי מחלה (תיקון - הגדרת שוהה בבידוד כחולה), התש"ף-2020</t>
  </si>
  <si>
    <t xml:space="preserve"> (פ/1764/23)</t>
  </si>
  <si>
    <t xml:space="preserve">הצעת חוק סיוע לצעירים חסרי עורף משפחתי, התש"ף-2020</t>
  </si>
  <si>
    <t xml:space="preserve"> (פ/1933/23)</t>
  </si>
  <si>
    <t xml:space="preserve">הצעת חוק התאמת טפסים ממשלתיים (פרטי הורים), התש"ף-2020</t>
  </si>
  <si>
    <t xml:space="preserve"> (פ/1731/23)</t>
  </si>
  <si>
    <t xml:space="preserve">הצעת חוק הפיקוח על ייצוא ביטחוני (תיקון - הגבלות על ייצוא ביטחוני לכוחות ביטחון שביצעו הפרות חמורות של זכויות אדם), התש"ף-2020</t>
  </si>
  <si>
    <t xml:space="preserve"> (פ/1540/23)</t>
  </si>
  <si>
    <t xml:space="preserve">הצעת חוק הנצחת זכרם של קורבנות הטבח בכפר קאסם, התש"ף-2020</t>
  </si>
  <si>
    <t xml:space="preserve"> (פ/1179/23)</t>
  </si>
  <si>
    <t xml:space="preserve">הצעת חוק הרבנות הראשית לישראל (תיקון - הרחבת האסיפה הבוחרת), התש"ף-2020</t>
  </si>
  <si>
    <t xml:space="preserve"> (פ/1109/23)</t>
  </si>
  <si>
    <t xml:space="preserve"> (פ/448/23)</t>
  </si>
  <si>
    <t xml:space="preserve">הצעת חוק הרבנות הראשית לישראל (תיקון - הסרת הרב הצבאי הראשי וסגנו מהאסיפה הבוחרת), התש"ף-2020</t>
  </si>
  <si>
    <t xml:space="preserve"> (פ/360/23)</t>
  </si>
  <si>
    <t xml:space="preserve">חוק רשות שדות התעופה (תיקון מס' 12 - הוראת שעה), התשפ"א-2020</t>
  </si>
  <si>
    <t xml:space="preserve"> (מ/1359)</t>
  </si>
  <si>
    <t xml:space="preserve">26.10.2020</t>
  </si>
  <si>
    <t xml:space="preserve">לאור התפשטות נגיף הקורונה, הוטלו הגבלות שונות על פעילות התעופה המסחרית, וירדה תנועת הנוסעים מישראל ואליה ב-98% ביחס לתקופה המקבילה בשנת 2019, ולפיכך חלה ירידה חדה בהכנסות. עקב חידוש הטיסות, ובהתחשב בתחזיות לגבי הפעילות בענף התעופה בשנים הקרובות, תהיה הרשות מחויבת לפעול באופן יעיל יותר מבחינה כלכלית ולהגדיל את היקף הכנסותיה, לרבות בדרך של נטילת מילוות שיאפשרו את המשך פעילותה בתקופת המשבר.  התיקון מאפשר לרשות שדות התעופה לקבל מילוות למטרות פיתוח ולמטרות מימון פעילות שוטפת, ולהנפיק למטרות אלה אג"ח, ובלבד שהסכום הכולל של המילוות שתקבל הרשות ושל אג"ח שתנפיק לא יעלה על 3.1 מיליארד ש"ח. כמו כן, המילוות ותנאיהם והנפקת אג"ח ותנאיהן טעונים אישור הממשלה, בשים לב למצבה הכספי של הרשות ולצפי לעניין יכולתה לעמוד בהתחייבויותיה, וכן לצפי לעניין היקף הפעילות בענף התעופה. בנוסף, לצורך חישוב התמלוגים שעל רשות שדות התעופה לשלם למדינה, ינוכה מהרווח הנקי של הרשות החזר קרן המילוות המותר בניכוי, ובלבד שהסכום שיופחת לא יעלה על 2.5 מיליארד ש"ח, וכל זאת כדי לסייע לרשות שדות התעופה לנוכח הירידה בהכנסותיה עקב משבר הקורונה. כמו כן, מוצע לקבוע כי ניכוי ההחזר יתאפשר לרשות עד לשנה שבה תנועת הנוסעים הבינלאומית תעלה על 24 מיליון נוסעים, כפי שהיה בשנת 2019. </t>
  </si>
  <si>
    <t xml:space="preserve">הצעת חוק למניעת אלימות כלכלית בין בני זוג ובני משפחה, התשפ"א-2020</t>
  </si>
  <si>
    <t xml:space="preserve"> (פ/2260/23)</t>
  </si>
  <si>
    <t xml:space="preserve">הצעת חוק בית המשפט לענייני משפחה (תיקון - מימון ניהול ההליך המשפטי), התשפ"א-2020</t>
  </si>
  <si>
    <t xml:space="preserve"> (פ/2259/23)</t>
  </si>
  <si>
    <t xml:space="preserve">הצעת חוק רישום נישואין אזרחיים באילת (תיקוני חקיקה), התשפ"א-2020</t>
  </si>
  <si>
    <t xml:space="preserve"> (פ/2258/23)</t>
  </si>
  <si>
    <t xml:space="preserve"> (פ/2257/23)</t>
  </si>
  <si>
    <t xml:space="preserve"> (פ/2256/23)</t>
  </si>
  <si>
    <t xml:space="preserve">הצעת חוק סדר הדין הפלילי (תיקון - הגבלת משך זמן החקירה המשטרתית), התשפ"א-2020</t>
  </si>
  <si>
    <t xml:space="preserve"> (פ/2255/23)</t>
  </si>
  <si>
    <t xml:space="preserve">הצעת חוק בתי המשפט (תיקון - הרכב מלא בדיון בתיקי בג"ץ), התשפ"א-2020</t>
  </si>
  <si>
    <t xml:space="preserve"> (פ/2254/23)</t>
  </si>
  <si>
    <t xml:space="preserve">הצעת חוק יסודות התקציב (תיקון - הכחשת הנכבה), התשפ"א-2020</t>
  </si>
  <si>
    <t xml:space="preserve"> (פ/2253/23)</t>
  </si>
  <si>
    <t xml:space="preserve">הצעת חוק העונשין (תיקון - ביטול האפשרות למאסר במקום קנס) (הוראת שעה), התשפ"א-2020</t>
  </si>
  <si>
    <t xml:space="preserve"> (פ/2252/23)</t>
  </si>
  <si>
    <t xml:space="preserve"> (פ/2251/23)</t>
  </si>
  <si>
    <t xml:space="preserve">הצעת חוק הממשלה (תיקון - היוועצות ועדת השרים לענייני חקיקה בנציגי העם היהודי בתפוצות), התשפ"א-2020</t>
  </si>
  <si>
    <t xml:space="preserve"> (פ/2250/23)</t>
  </si>
  <si>
    <t xml:space="preserve">הצעת חוק האזרחות והכניסה לישראל (הוראת שעה) (תיקון - איסור הארכת החוק באמצעות צו ושינוי קריטריונים), התשפ"א-2020</t>
  </si>
  <si>
    <t xml:space="preserve"> (פ/2249/23)</t>
  </si>
  <si>
    <t xml:space="preserve">הצעת חוק הפיקוח על תכולת מוצרי עישון, התשפ"א-2020</t>
  </si>
  <si>
    <t xml:space="preserve"> (פ/2248/23)</t>
  </si>
  <si>
    <t xml:space="preserve">הצעת חוק ביטוח בריאות ממלכתי (תיקון - החזר הוצאות עבור נסיעה באמבולנס), התשפ"א-2020</t>
  </si>
  <si>
    <t xml:space="preserve"> (פ/2247/23)</t>
  </si>
  <si>
    <t xml:space="preserve">הצעת חוק צער בעלי חיים (הגנה על בעלי חיים) (תיקון - ענישה מזערית), התשפ"א-2020</t>
  </si>
  <si>
    <t xml:space="preserve"> (פ/2246/23)</t>
  </si>
  <si>
    <t xml:space="preserve">הצעת חוק הסדרת מקומות רחצה (תיקון - קביעת מקומות לרחצה נפרדת), התשפ"א-2020</t>
  </si>
  <si>
    <t xml:space="preserve"> (פ/2245/23)</t>
  </si>
  <si>
    <t xml:space="preserve">הצעת חוק להגבלת הריסה וענישה על בנייה בלתי חוקית במגזר הערבי (הוראת שעה), התשפ"א-2020</t>
  </si>
  <si>
    <t xml:space="preserve"> (פ/2244/23)</t>
  </si>
  <si>
    <t xml:space="preserve">הצעת חוק התקשורת (בזק ושידורים) (תיקון - הגנה על קטינים מפני תכנים פוגעניים באינטרנט), התשפ"א-2020</t>
  </si>
  <si>
    <t xml:space="preserve"> (פ/2243/23)</t>
  </si>
  <si>
    <t xml:space="preserve"> (פ/2242/23)</t>
  </si>
  <si>
    <t xml:space="preserve">הצעת חוק איסור לשון הרע (תיקון - פרסום לשון הרע ברשת האינטרנט), התשפ"א-2020 </t>
  </si>
  <si>
    <t xml:space="preserve"> (פ/2241/23)</t>
  </si>
  <si>
    <t xml:space="preserve">הצעת חוק הביטוח הלאומי (תיקון - תשלום דמי אבטלה בעת שירות), התשפ"א-2020</t>
  </si>
  <si>
    <t xml:space="preserve"> (פ/2240/23)</t>
  </si>
  <si>
    <t xml:space="preserve">הצעת חוק הביטוח הלאומי (תיקון - תשלום דמי אבטלה החל מיום האבטלה הראשון) (הוראת שעה), התשפ"א-2020</t>
  </si>
  <si>
    <t xml:space="preserve"> (פ/2239/23)</t>
  </si>
  <si>
    <t xml:space="preserve">הצעת חוק מתן שירות בשפה הערבית בגופים ציבוריים ובגופים מסחריים, התשפ"א-2020</t>
  </si>
  <si>
    <t xml:space="preserve"> (פ/2238/23)</t>
  </si>
  <si>
    <t xml:space="preserve">הצעת חוק רשות מקרקעי ישראל (תיקון - הקצאה שוויונית לאוכלוסייה הערבית), התשפ"א-2020</t>
  </si>
  <si>
    <t xml:space="preserve"> (פ/2237/23)</t>
  </si>
  <si>
    <t xml:space="preserve">הצעת חוק שבת יום המנוחה, התשפ"א-2020</t>
  </si>
  <si>
    <t xml:space="preserve"> (פ/2236/23)</t>
  </si>
  <si>
    <t xml:space="preserve">הצעת חוק לתיקון פקודת התעבורה (התראה מפני מצלמות ומכמונות מהירות), התשפ"א-2020</t>
  </si>
  <si>
    <t xml:space="preserve"> (פ/2235/23)</t>
  </si>
  <si>
    <t xml:space="preserve">הצעת חוק מס ערך מוסף (תיקון - דחיית תשלום עד לאחר קבלת התמורה) (הוראת שעה), התשפ"א-2020</t>
  </si>
  <si>
    <t xml:space="preserve"> (פ/2234/23)</t>
  </si>
  <si>
    <t xml:space="preserve">הצעת חוק מס ערך מוסף (תיקון - דחיית תשלום עד לאחר קבלת התמורה), התשפ"א-2020</t>
  </si>
  <si>
    <t xml:space="preserve"> (פ/2233/23)</t>
  </si>
  <si>
    <t xml:space="preserve">הצעת חוק הסדרים במשק המדינה (תיקוני חקיקה להשגת יעדי התקציב) (תיקון - חובת הענקת הנחה בארנונה לאדם בעל מוגבלות), התשפ"א-2020</t>
  </si>
  <si>
    <t xml:space="preserve"> (פ/2232/23)</t>
  </si>
  <si>
    <t xml:space="preserve">הצעת חוק השיפוט הצבאי (תיקון - קביעת ערובה חלף מעצר), התשפ"א-2020</t>
  </si>
  <si>
    <t xml:space="preserve"> (פ/2231/23)</t>
  </si>
  <si>
    <t xml:space="preserve"> (פ/2230/23)</t>
  </si>
  <si>
    <t xml:space="preserve">הצעת חוק ההתייעלות הכלכלית (תיקוני חקיקה להשגת יעדי התקציב לשנות התקציב 2017 ו-2018) (תיקון - הקצאת סכום לרשויות המקומיות הסמוכות לנמל התעופה בן-גוריון), התשפ"א-2020</t>
  </si>
  <si>
    <t xml:space="preserve"> (פ/2229/23)</t>
  </si>
  <si>
    <t xml:space="preserve">הצעת חוק לעידוד השקעות הון (תיקון - עידוד חברות ממשלתיות הפועלות בסביבה בינלאומית תחרותית), התשפ"א-2020</t>
  </si>
  <si>
    <t xml:space="preserve"> (פ/2227/23)</t>
  </si>
  <si>
    <t xml:space="preserve">הצעת חוק הטבת מס ליישובים הסמוכים לגבולות ונמצאים תחת איום מיידי (הוראת שעה), התשפ"א-2020</t>
  </si>
  <si>
    <t xml:space="preserve"> (פ/2226/23)</t>
  </si>
  <si>
    <t xml:space="preserve">הצעת חוק הגנת הצרכן (תיקון - איסור על שיווק טלפוני למספר הרשום במאגר "אל תתקשרו אלי"), התש"ף-2020</t>
  </si>
  <si>
    <t xml:space="preserve"> (פ/196/23)</t>
  </si>
  <si>
    <t xml:space="preserve">21.10.2020</t>
  </si>
  <si>
    <t xml:space="preserve">חוק הביטוח הלאומי (תיקון מס' 218 - הוראת שעה) (מענק חד-פעמי חלף הגדלת קצבאות הנכות לשנת 2020), התשפ"א-2020</t>
  </si>
  <si>
    <t xml:space="preserve"> (מ/1367)</t>
  </si>
  <si>
    <t xml:space="preserve">הצעת חוק לתיקון דיני הרשויות המקומיות (ביטול סמכות שר הפנים לעניין חוקי עזר בדבר פתיחתם וסגירתם של עסקים בימי מנוחה), התש"ף-2020</t>
  </si>
  <si>
    <t xml:space="preserve"> (פ/1870/23)</t>
  </si>
  <si>
    <t xml:space="preserve">הצעת חוק הקמת מאגר מידע דיגיטלי בנושא הכשרות מקצועיות, התש"ף-2020</t>
  </si>
  <si>
    <t xml:space="preserve"> (פ/1862/23)</t>
  </si>
  <si>
    <t xml:space="preserve">הצעת חוק הכנסת (תיקון - ייצוג נשים בקרב יושבי ראש ועדות הכנסת), התש"ף-2020</t>
  </si>
  <si>
    <t xml:space="preserve"> (פ/1388/23)</t>
  </si>
  <si>
    <t xml:space="preserve">הצעת חוק חובת המכרזים (תיקון - מתן עדיפות לשירותים מתוצרת הארץ), התש"ף-2020</t>
  </si>
  <si>
    <t xml:space="preserve"> (פ/979/23)</t>
  </si>
  <si>
    <t xml:space="preserve">הצעת חוק הסדרים במשק המדינה (תיקוני חקיקה להשגת יעדי התקציב) (תיקון - חישוב עליית מחירי הארנונה), התש"ף-2020</t>
  </si>
  <si>
    <t xml:space="preserve"> (פ/891/23)</t>
  </si>
  <si>
    <t xml:space="preserve"> (פ/726/23)</t>
  </si>
  <si>
    <t xml:space="preserve"> (פ/37/23)</t>
  </si>
  <si>
    <t xml:space="preserve">הצעת חוק-יסוד: משק המדינה (תיקון - תקציב דו שנתי בשנת כספים שהתקיימו בה בחירות)</t>
  </si>
  <si>
    <t xml:space="preserve"> (פ/2223/23)</t>
  </si>
  <si>
    <t xml:space="preserve">19.10.2020</t>
  </si>
  <si>
    <t xml:space="preserve">הצעת חוק שירות הקבע בצבא הגנה לישראל (גימלאות) (תיקון - ביטול ניכוי מקצבה), התשפ"א-2020</t>
  </si>
  <si>
    <t xml:space="preserve"> (פ/2222/23)</t>
  </si>
  <si>
    <t xml:space="preserve"> (פ/2221/23)</t>
  </si>
  <si>
    <t xml:space="preserve">הצעת חוק-יסוד: הכנסת (תיקון - ביטול מניעת ההשתתפות בבחירות)</t>
  </si>
  <si>
    <t xml:space="preserve"> (פ/2220/23)</t>
  </si>
  <si>
    <t xml:space="preserve">הצעת חוק העונשין (תיקון - השחתת מודעות על רקע מגדר), התשפ"א-2020</t>
  </si>
  <si>
    <t xml:space="preserve"> (פ/2219/23)</t>
  </si>
  <si>
    <t xml:space="preserve">הצעת חוק הבחירות לכנסת (תיקון - הפחתת אחוז החסימה), התשפ"א-2020</t>
  </si>
  <si>
    <t xml:space="preserve"> (פ/2218/23)</t>
  </si>
  <si>
    <t xml:space="preserve">הצעת חוק פיזור הכנסת העשרים ושלוש, התשפ"א-2020</t>
  </si>
  <si>
    <t xml:space="preserve"> (פ/2217/23)</t>
  </si>
  <si>
    <t xml:space="preserve"> (פ/2216/23)</t>
  </si>
  <si>
    <t xml:space="preserve"> (פ/2214/23)</t>
  </si>
  <si>
    <t xml:space="preserve">הצעת חוק יסוד: משאל עם (תיקון - זכות הצבעה לתושבי קבע בשטח לגביו מתקיים משאל העם)</t>
  </si>
  <si>
    <t xml:space="preserve"> (פ/2213/23)</t>
  </si>
  <si>
    <t xml:space="preserve">הצעת חוק דמי מחלה (היעדרות בשל מחלת קרוב משפחה בודד), התשפ"א-2020</t>
  </si>
  <si>
    <t xml:space="preserve"> (פ/2212/23)</t>
  </si>
  <si>
    <t xml:space="preserve">הצעת חוק נציבות תלונות הציבור על מייצגי המדינה בערכאות (תיקון - הסדרת מעמד הנציבות כגוף ביקורת עצמאי), התשפ"א-2020</t>
  </si>
  <si>
    <t xml:space="preserve"> (פ/2211/23)</t>
  </si>
  <si>
    <t xml:space="preserve">הצעת חוק לחלוקה צודקת של הנטל הכלכלי עקב נגיף הקורונה החדש (תיקוני חקיקה), התשפ"א-2020</t>
  </si>
  <si>
    <t xml:space="preserve"> (פ/2210/23)</t>
  </si>
  <si>
    <t xml:space="preserve">הצעת חוק החזר הוצאות כספיות בגין עריכת נישואין אזרחיים בחוץ לארץ למי שאינם רשאים להינשא בישראל על פי דיני המדינה, התשפ"א-2020</t>
  </si>
  <si>
    <t xml:space="preserve"> (פ/2207/23)</t>
  </si>
  <si>
    <t xml:space="preserve">הצעת חוק יחסי ממון בין בני זוג (תיקון - הפקעת זכות האיזון מבן זוג שהורשע ברצח בן הזוג השני), התשפ"א-2020</t>
  </si>
  <si>
    <t xml:space="preserve"> (פ/2206/23)</t>
  </si>
  <si>
    <t xml:space="preserve">הצעת חוק התכנון והבנייה (תיקון - ייצוג הולם לאוכלוסייה הערבית במוסדות התכנון), התשפ"א-2020 </t>
  </si>
  <si>
    <t xml:space="preserve"> (פ/2204/23)</t>
  </si>
  <si>
    <t xml:space="preserve">הצעת חוק התכנון והבנייה (תיקון - פטור מהיטל השבחה על בניית דירת מגורים חדשה), התשפ"א-2020 </t>
  </si>
  <si>
    <t xml:space="preserve"> (פ/2203/23)</t>
  </si>
  <si>
    <t xml:space="preserve">הצעת חוק הטבות לניצולי שואה (תיקון - הטבות לניצולים שעלו לאחר שנת 1953), התשפ"א-2020</t>
  </si>
  <si>
    <t xml:space="preserve"> (פ/2202/23)</t>
  </si>
  <si>
    <t xml:space="preserve">הצעת חוק הטבות לניצולי שואה (תיקון - תשלום קצבה חודשית במקום מענק שנתי), התשפ"א-2020</t>
  </si>
  <si>
    <t xml:space="preserve"> (פ/2201/23)</t>
  </si>
  <si>
    <t xml:space="preserve">הצעת חוק תרומת זרע, התשפ"א-2020</t>
  </si>
  <si>
    <t xml:space="preserve"> (פ/2200/23)</t>
  </si>
  <si>
    <t xml:space="preserve">הצעת חוק התכנון והבנייה (תיקון - אישור על הגבלת הספקת חשמל, מים וטלפון), התשפ"א-2020</t>
  </si>
  <si>
    <t xml:space="preserve"> (פ/2199/23)</t>
  </si>
  <si>
    <t xml:space="preserve">הצעת חוק התכנון והבנייה (תיקון - הגבלת תקופת ההפקעה לייעוד ציבורי), התשפ"א-2020 </t>
  </si>
  <si>
    <t xml:space="preserve"> (פ/2198/23)</t>
  </si>
  <si>
    <t xml:space="preserve">הצעת חוק ביטוח בריאות ממלכתי (תיקון - פטור מתשלום לקשיש מעל גיל 80 שמשתלמת לו גמלה להבטחת הכנסה), התשפ"א-2020</t>
  </si>
  <si>
    <t xml:space="preserve"> (פ/2197/23)</t>
  </si>
  <si>
    <t xml:space="preserve">הצעת חוק הביטוח הלאומי (תיקון - הגדלת התוספת לקצבת אזרח ותיק בעד ילדים), התשפ"א-2020</t>
  </si>
  <si>
    <t xml:space="preserve"> (פ/2196/23)</t>
  </si>
  <si>
    <t xml:space="preserve">הצעת חוק קליטת חיילים משוחררים (תיקון - הטבות לחיילים משוחררים בודדים), התשפ"א-2020</t>
  </si>
  <si>
    <t xml:space="preserve"> (פ/2195/23)</t>
  </si>
  <si>
    <t xml:space="preserve">הצעת חוק תאגידי מים וביוב (תיקון - ועדת חריגים), התשפ"א-2020</t>
  </si>
  <si>
    <t xml:space="preserve"> (פ/2194/23)</t>
  </si>
  <si>
    <t xml:space="preserve"> (פ/2193/23)</t>
  </si>
  <si>
    <t xml:space="preserve">הצעת חוק זכויות לעובד עצמאי, התשפ"א-2020</t>
  </si>
  <si>
    <t xml:space="preserve"> (פ/2192/23)</t>
  </si>
  <si>
    <t xml:space="preserve">הצעת חוק להסדרת הפיקוח על כלבים (תיקון – חובת עיקור של כלבות), התשפ"א–2020</t>
  </si>
  <si>
    <t xml:space="preserve"> (פ/2191/23)</t>
  </si>
  <si>
    <t xml:space="preserve">הצעת חוק הגנת הצרכן (תיקון - פריסת תשלומים בעסקה מתמשכת), התשפ"א-2020</t>
  </si>
  <si>
    <t xml:space="preserve"> (פ/2190/23)</t>
  </si>
  <si>
    <t xml:space="preserve">הצעת חוק לתיקון פקודת התעבורה (ריבית פיגורים בגין אי תשלום קנס על עבירת חניה), התשפ"א-2020</t>
  </si>
  <si>
    <t xml:space="preserve"> (פ/2189/23)</t>
  </si>
  <si>
    <t xml:space="preserve">הצעת חוק להסדרת הפיקוח על כלבים (תיקון - חובת עיקור של כלבות), התשפ"א-2020</t>
  </si>
  <si>
    <t xml:space="preserve"> (פ/2188/23)</t>
  </si>
  <si>
    <t xml:space="preserve">הצעת חוק לתיקון פקודת התעבורה (פיצוי כספי בגין איחור אוטובוס), התשפ"א-2020</t>
  </si>
  <si>
    <t xml:space="preserve"> (פ/2187/23)</t>
  </si>
  <si>
    <t xml:space="preserve">הצעת חוק התקשורת (בזק ושידורים) (תיקון - התראת חיוב בהתקשרות לחוץ לארץ), התשפ"א-2020</t>
  </si>
  <si>
    <t xml:space="preserve"> (פ/2186/23)</t>
  </si>
  <si>
    <t xml:space="preserve">הצעת חוק הגנה על ישראלים מפני מוסדות בין-לאומיים עוינים, התשפ"א-2020</t>
  </si>
  <si>
    <t xml:space="preserve"> (פ/2185/23)</t>
  </si>
  <si>
    <t xml:space="preserve">הצעת חוק הקמת המוסד העליון לשפת הסימנים הישראלית, התשפ"א-2020</t>
  </si>
  <si>
    <t xml:space="preserve"> (פ/2183/23)</t>
  </si>
  <si>
    <t xml:space="preserve">הצעת חוק לפיקוח על הפעלת צהרונים (תיקון - אמות המידה לקביעת מחיר חודשי מירבי ושיעור השתתפות המדינה), התשפ"א-2020</t>
  </si>
  <si>
    <t xml:space="preserve"> (פ/2182/23)</t>
  </si>
  <si>
    <t xml:space="preserve">הצעת חוק לתיקון פקודת מס הכנסה (ניכוי הוצאות בשל ארוחה עסקית לעצמאיים), התשפ"א-2020</t>
  </si>
  <si>
    <t xml:space="preserve"> (פ/2181/23)</t>
  </si>
  <si>
    <t xml:space="preserve">הצעת חוק החקלאות, התשפ"א-2020</t>
  </si>
  <si>
    <t xml:space="preserve"> (פ/2180/23)</t>
  </si>
  <si>
    <t xml:space="preserve">הצעת חוק לתיקון פקודת מס הכנסה (הכרה בהוצאות אש"ל לעצמאיים), התשפ"א-2020</t>
  </si>
  <si>
    <t xml:space="preserve"> (פ/2179/23)</t>
  </si>
  <si>
    <t xml:space="preserve">הצעת חוק דחיית תשלומי מס לעסק חדש (תיקוני חקיקה), התשפ"א-2020</t>
  </si>
  <si>
    <t xml:space="preserve"> (פ/2178/23)</t>
  </si>
  <si>
    <t xml:space="preserve">הצעת חוק זכויות הסטודנט (תיקון - סיוע כלכלי בשעת חירום), התש"ף-2020</t>
  </si>
  <si>
    <t xml:space="preserve"> (פ/1771/23)</t>
  </si>
  <si>
    <t xml:space="preserve">14.10.2020</t>
  </si>
  <si>
    <t xml:space="preserve">הצעת חוק להתמודדות כלכלית עם משבר נגיף הקורונה החדש (תיקון - חישוב מס מאוחד לשנים 2020-2019), התש"ף-2020</t>
  </si>
  <si>
    <t xml:space="preserve"> (פ/1738/23)</t>
  </si>
  <si>
    <t xml:space="preserve">הצעת חוק הביטוח הלאומי (תיקון - פטור מתקופת אכשרה לחיילים משוחררים), התש"ף-2020</t>
  </si>
  <si>
    <t xml:space="preserve"> (פ/1518/23)</t>
  </si>
  <si>
    <t xml:space="preserve">הצעת חוק הנישואין ופירוקם, התש"ף-2020</t>
  </si>
  <si>
    <t xml:space="preserve"> (פ/1259/23)</t>
  </si>
  <si>
    <t xml:space="preserve">הצעת חוק נישואין וגירושין, התש"ף-2020</t>
  </si>
  <si>
    <t xml:space="preserve"> (פ/535/23)</t>
  </si>
  <si>
    <t xml:space="preserve">הצעת חוק צער בעלי חיים (הגנה על בעלי חיים) (תיקון - החמרת ענישה בגין התעללות בבעלי חיים), התש"ף-2020</t>
  </si>
  <si>
    <t xml:space="preserve"> (פ/469/23)</t>
  </si>
  <si>
    <t xml:space="preserve">הצעת חוק החולה הנוטה למות (תיקון - מוות במרשם רופא), התש"ף-2020</t>
  </si>
  <si>
    <t xml:space="preserve"> (פ/20/23)</t>
  </si>
  <si>
    <t xml:space="preserve"> (פ/2177/23)</t>
  </si>
  <si>
    <t xml:space="preserve">12.10.2020</t>
  </si>
  <si>
    <t xml:space="preserve">הצעת חוק הביטוח הלאומי (תיקון - שלילת קצבת ילדים ממשפחות פוליגמיות), התשפ"א-2020</t>
  </si>
  <si>
    <t xml:space="preserve"> (פ/2176/23)</t>
  </si>
  <si>
    <t xml:space="preserve">הצעת חוק ברית הזוגיות לחסרי דת (תיקון - ברית זוגיות למנועי חיתון בישראל), התשפ"א-2020</t>
  </si>
  <si>
    <t xml:space="preserve"> (פ/2175/23)</t>
  </si>
  <si>
    <t xml:space="preserve">הצעת חוק החברות (תיקון - ייצוג הולם לבני שני המינים בדירקטוריונים של חברות ציבוריות), התשפ"א-2020</t>
  </si>
  <si>
    <t xml:space="preserve"> (פ/2173/23)</t>
  </si>
  <si>
    <t xml:space="preserve"> (פ/2172/23)</t>
  </si>
  <si>
    <t xml:space="preserve">הצעת חוק שיווי זכויות האישה (תיקון - ייצוג הולם לנשים במקום העבודה), התשפ"א-2020</t>
  </si>
  <si>
    <t xml:space="preserve"> (פ/2171/23)</t>
  </si>
  <si>
    <t xml:space="preserve">הצעת חוק לתיקון דיני הראיות (הגנת ילדים) (תיקון - ביצוע חקירה תוך 48 שעות), התשפ"א-2020</t>
  </si>
  <si>
    <t xml:space="preserve"> (פ/2170/23)</t>
  </si>
  <si>
    <t xml:space="preserve">הצעת חוק העונשין (תיקון - שינוי הגדרת הגזענות), התשפ"א-2020</t>
  </si>
  <si>
    <t xml:space="preserve"> (פ/2169/23)</t>
  </si>
  <si>
    <t xml:space="preserve">הצעת חוק המרכז לגביית קנסות, אגרות והוצאות (תיקון - גביית תשלום בעד חוב שטרם חלף המועד לתשלומו), התשפ"א-2020</t>
  </si>
  <si>
    <t xml:space="preserve"> (פ/2168/23)</t>
  </si>
  <si>
    <t xml:space="preserve">הצעת חוק השכירות והשאילה (תיקון - פטור מתשלומים על נכס המשמש כמקום עבודה בשל נגיף הקורונה), התשפ"א-2020</t>
  </si>
  <si>
    <t xml:space="preserve"> (פ/2167/23)</t>
  </si>
  <si>
    <t xml:space="preserve">הצעת חוק בתי המשפט (תיקון - שימוש בתסקיר קורבן עבירה), התשפ"א-2020</t>
  </si>
  <si>
    <t xml:space="preserve"> (פ/2166/23)</t>
  </si>
  <si>
    <t xml:space="preserve">הצעת חוק הסיוע המשפטי (תיקון - הוצאות מומחים), התשפ"א-2020</t>
  </si>
  <si>
    <t xml:space="preserve"> (פ/2165/23)</t>
  </si>
  <si>
    <t xml:space="preserve">הצעת חוק זכות לשכר ביום הבחירות (תיקוני חקיקה), התשפ"א-2020</t>
  </si>
  <si>
    <t xml:space="preserve"> (פ/2164/23)</t>
  </si>
  <si>
    <t xml:space="preserve">הצעת חוק חסינות חברי הכנסת, זכויותיהם וחובותיהם (תיקון - חיפוש בחומר מחשב וסמכות יושב ראש הכנסת), התשפ"א-2020</t>
  </si>
  <si>
    <t xml:space="preserve"> (פ/2163/23)</t>
  </si>
  <si>
    <t xml:space="preserve">הצעת חוק למניעת הטרדה מינית (תיקון - פרסום מיני מבזה או משפיל כלפי בעל תפקיד ציבורי), התשפ"א-2020</t>
  </si>
  <si>
    <t xml:space="preserve"> (פ/2162/23)</t>
  </si>
  <si>
    <t xml:space="preserve">הצעת חוק שירותי הדת היהודיים (תיקון - כהונת רבני עיר), התשפ"א-2020</t>
  </si>
  <si>
    <t xml:space="preserve"> (פ/2161/23)</t>
  </si>
  <si>
    <t xml:space="preserve">הצעת חוק הקמת המועצה הלאומית לשפת הסימנים, התשפ"א-2020</t>
  </si>
  <si>
    <t xml:space="preserve"> (פ/2160/23)</t>
  </si>
  <si>
    <t xml:space="preserve">הצעת חוק הקמת המוסד העליון לשפת הסימנים, התשפ"א-2020</t>
  </si>
  <si>
    <t xml:space="preserve"> (פ/2159/23)</t>
  </si>
  <si>
    <t xml:space="preserve">הצעת חוק הספורט (תיקון - הסדרת מקצוע מאמן ספורט), התשפ"א-2020</t>
  </si>
  <si>
    <t xml:space="preserve"> (פ/2158/23)</t>
  </si>
  <si>
    <t xml:space="preserve">הצעת חוק זכויות התלמיד (תיקון - חשד להפרת טוהר הבחינות), התשפ"א-2020</t>
  </si>
  <si>
    <t xml:space="preserve"> (פ/2157/23)</t>
  </si>
  <si>
    <t xml:space="preserve">הצעת חוק פיקוח על בתי ספר (תיקון - השעיית עובד שירות), התשפ"א-2020</t>
  </si>
  <si>
    <t xml:space="preserve"> (פ/2156/23)</t>
  </si>
  <si>
    <t xml:space="preserve">הצעת חוק קביעת מועדי בחינות (אי קיום בחינות במועדים מסוימים) (תיקוני חקיקה), התשפ"א-2020</t>
  </si>
  <si>
    <t xml:space="preserve"> (פ/2155/23)</t>
  </si>
  <si>
    <t xml:space="preserve">הצעת חוק לתיקון פקודת העיריות (חלוקת הכנסות ממתחם הגורם למפגעים סביבתיים בין רשויות מקומיות), התשפ"א-2020 </t>
  </si>
  <si>
    <t xml:space="preserve"> (פ/2154/23)</t>
  </si>
  <si>
    <t xml:space="preserve">הצעת חוק הקמת יישוב עירוני חדש, התשפ"א-2020 </t>
  </si>
  <si>
    <t xml:space="preserve"> (פ/2153/23)</t>
  </si>
  <si>
    <t xml:space="preserve">הצעת חוק הכניסה לישראל (תיקון - זכות הגישה לערכאות), התשפ"א-2020 </t>
  </si>
  <si>
    <t xml:space="preserve"> (פ/2152/23)</t>
  </si>
  <si>
    <t xml:space="preserve">הצעת חוק לתיקון פקודת המועצות המקומיות (קבלת עובדים לעבודה), התשפ"א-2020 </t>
  </si>
  <si>
    <t xml:space="preserve"> (פ/2151/23)</t>
  </si>
  <si>
    <t xml:space="preserve">הצעת חוק להגנת חיית הבר (תיקון - ביטול רשיונות ציד), התשפ"א-2020 </t>
  </si>
  <si>
    <t xml:space="preserve"> (פ/2150/23)</t>
  </si>
  <si>
    <t xml:space="preserve">הצעת חוק הביטוח הלאומי (תיקון - פטור מכפל תשלום דמי ביטוח לאומי), התשפ"א-2020</t>
  </si>
  <si>
    <t xml:space="preserve"> (פ/2149/23)</t>
  </si>
  <si>
    <t xml:space="preserve">הצעת חוק ביטוח בריאות ממלכתי (תיקון - פטור מתשלום עבור הטיפול הרפואי הניתן בחדרי מיון), התשפ"א-2020</t>
  </si>
  <si>
    <t xml:space="preserve"> (פ/2148/23)</t>
  </si>
  <si>
    <t xml:space="preserve">הצעת חוק הביטוח הלאומי (תיקון - ביטול תקופת הזכאות הראשונה), התשפ"א-2020</t>
  </si>
  <si>
    <t xml:space="preserve"> (פ/2147/23)</t>
  </si>
  <si>
    <t xml:space="preserve">הצעת חוק קליטת חיילים משוחררים (תיקון - ביטוח פנסיוני לחייל משוחרר), התשפ"א-2020</t>
  </si>
  <si>
    <t xml:space="preserve"> (פ/2146/23)</t>
  </si>
  <si>
    <t xml:space="preserve">הצעת חוק התגמולים לנפגעי פעולות שנאה, התשפ"א-2020</t>
  </si>
  <si>
    <t xml:space="preserve"> (פ/2145/23)</t>
  </si>
  <si>
    <t xml:space="preserve">הצעת חוק לתיקון פקודת מס הכנסה (הכרה בהוצאות הקמה של פעילות עסקית), התשפ"א-2020</t>
  </si>
  <si>
    <t xml:space="preserve"> (פ/2144/23)</t>
  </si>
  <si>
    <t xml:space="preserve">הצעת חוק הביטוח הלאומי (תיקון - תגמול בעד ימי בידוד - נגיף קורונה החדש), התשפ"א-2020</t>
  </si>
  <si>
    <t xml:space="preserve"> (פ/2143/23)</t>
  </si>
  <si>
    <t xml:space="preserve">הצעת חוק לתיקון פקודת מס הכנסה (קיזוז הפסד כנגד הכנסה חייבת), התשפ"א-2020</t>
  </si>
  <si>
    <t xml:space="preserve"> (פ/2142/23)</t>
  </si>
  <si>
    <t xml:space="preserve">הצעת חוק למניעת הטרדה מינית (תיקון - הטרדת קטין), התשפ"א-2020</t>
  </si>
  <si>
    <t xml:space="preserve"> (פ/2141/23)</t>
  </si>
  <si>
    <t xml:space="preserve">חוק סמכויות מיוחדות להתמודדות עם נגיף הקורונה החדש (הוראת שעה) (תיקון מס' 2), התשפ"א-2020 </t>
  </si>
  <si>
    <t xml:space="preserve"> (מ/1366)</t>
  </si>
  <si>
    <t xml:space="preserve">29.09.2020</t>
  </si>
  <si>
    <t xml:space="preserve">בחוק הוגדרו הנסיבות בהן הממשלה יכולה להכריז על "מצב חירום מיוחד" והסמכויות אותן יכולה הממשלה להפעיל במצב חירום זה, ובראשן הטלת מגבלות על הפגנות ותפילות. </t>
  </si>
  <si>
    <t xml:space="preserve">חוק להגדלת שיעור ההשתתפות בכוח העבודה ולצמצום פערים חברתיים (מענק עבודה) (תיקון מס' 15 - הוראת שעה - נגיף הקורונה החדש), התשפ"א-2020</t>
  </si>
  <si>
    <t xml:space="preserve"> (מ/1360)</t>
  </si>
  <si>
    <t xml:space="preserve">חוק  להגדלת שיעור ההשתתפות בכוח העבודה ולצמצום פערים חברתיים (מענק עבודה), התשס"ח-2007 קובע הוראות המעניקות מענק לשכירים ולעצמאים בעלי שכר עד גובה מסוים, בתנאים הקבועים בחוק, על מנת לעודד אנשים להצטרף למעגל העבודה. חוק זה קובע תוספת למענק לעובד ולעצמאי בעד עבודה בחודשים אפריל עד דצמבר בשנת המס 2020, העומדת על 62% מסכום המענק לו היה זכאי השכיר או העצמאי, ובלבד שסכום התוספת הכולל שישולם כאמור לא יפחת מ-1,000 שקלים חדשים. לעובד שהיה זכאי למענק בעד עבודתו בשנת המס 2019 ישולם בכל חודש באותה שנת מס שבעדו היה זכאי לסכום נוסף של 25% ולא פחות מ-500 שקלים חדשים; סכום שישולם כאמור יחשב כמקדמה על חשבון התוספת למענק. המקדמה תשולם לא יאוחר מיום 30.9.20 או עד תום 30 ימים מהיום שנקבעה זכאותו של העובד למענק לשנת 2019. עובד ששולמה לו מקדמה ואינו זכאי לתוספת למענק לא יידרש להשיב בשל כך את סכום המקדמה.  עובד שהיה זכאי לדמי אבטלה בעד כל אחד מהחודשים אפריל עד יולי 2020 במלואם לא יהיה זכאי למקדמה, ומי שהייתה לו הכנסה מעבודה או ממשלח יד שנוכתה מדמי האבטלה המגיעים לו לפי סעיף 176 לחוק הביטוח הלאומי לא ייחשב כמי שהיה מובטל ברצף, כאמור, ויתכן שיהיה זכאי למקדמה בהתאם להוראות החוק להגדלת שיעור ההשתתפות בכוח העבודה.  עוד נקבע כי עובד שמועסק אצל קרובו יהיה זכאי למענק בעד כל חודש מהחודשים אפריל עד דצמבר בשנת המס 2020 בשיעור של 62% מהמענק שהיה זכאי לו בעד חודשים אלה, אילולא קיבל את שכר העבודה מקרובו.  החוק הקל את התנאים להקל את התנאים למקבלי מענק סיוע בעד השתתפות בהוצאות קבועות לעוסק שמחזור עסקאותיו בשנת 2019 אינו עולה על 300,000 שקלים חדשים כך שגם ירידה במחזור העולה על 25% ולא 40% תקנה לו זכאות למענק בעד החודשים מאי ויוני 2020.  בתקופה שמיום 1.10.20 עד ליום 30.6.21 מבוטח שהגיש למוסד תביעה לביטוח הלאומי לדמי אבטלה בעד תקופה שחלה בתקופה האמורה, והוא לא נרשם בלשכת שירות התעסוקה או מידע בדבר הרישום לא התקבל במוסד – יראו אותו כמובטל לפי סעיף 163(א) לחוק הביטוח הלאומי לעניין זכאות לדמי אבטלה מיום הגשת התביעה לביטוח הלאומי או 1.10.20 לפי המאוחר. ככלל, על מבוטח כאמור יהיה להגיש את תביעתו בתוך 14 ימים מיום הפסקת עבודתו.  נקבעה זכאות למענק החד פעמי שנקבע בחוק התכנית לסיוע כלכלי (נגיף הקורונה החדש – מענק חד פעמי) (הוראת שעה ותיקוני חקיקה), התש"ף-2020 גם ליחיד שהיה חייב בהגשת דוח לשנת 2018 לפי סעיף 131 לפקודת מס הכנסה ולא הגישו, ובלבד שבחודש יולי 2020 היה זכאי לגמלת סיעוד, גמלת נכה לפי הכנסה, גמלת הבטחת הכנסה,  תשלום לתושב חוזר נזקק, או תשלום לעולה נזקק. </t>
  </si>
  <si>
    <t xml:space="preserve">חוק-יסוד: משק המדינה (תיקון מס' 10 והוראת שעה לשנת 2020) (תיקון מס' 6)</t>
  </si>
  <si>
    <t xml:space="preserve"> (מ/1364)</t>
  </si>
  <si>
    <t xml:space="preserve">חוק זה ממשיך את סדרת התיקונים שנעשו בחוק-יסוד: משק המדינה (תיקון מס' 10 והוראת שעה לשנת 2020), ומגדיל את ההוצאות הממשלתיות להתמודדות עם התפרצות נגיף הקורונה פעם נוספת בהוראת שעה בהיקף של כ-2.5 מיליארד שקלים חדשים, על מנת לאפשר מתן מענקים נוספים לעסקים, לעצמאים ולמחוסרי עבודה, וכן למתן תוספת למענק עבודה בהתאם לחוק להגדלת שיעור ההשתתפות בכוח העבודה ולצמצום פערים חברתיים (מענק עבודה) (תיקון מס' 15 - הוראת שעה - נגיף הקורונה החדש), התשפ"א-2020).</t>
  </si>
  <si>
    <t xml:space="preserve">חוק התכנית לסיוע כלכלי (נגיף הקורונה החדש) (הוראת שעה) (תיקון), התשפ"א-2020</t>
  </si>
  <si>
    <t xml:space="preserve"> (מ/1365)</t>
  </si>
  <si>
    <t xml:space="preserve">החוק קובע תיקונים שונים שעניינם הגמשת ההגבלות למענק עידוד תעסוקה עבור חודש ספטמבר 2020, מענק סיוע לעוסקים שמחזור העסקאות שלהם נפגע לפחות ב25%, וכן תשלום מקדמה לתקופת זכאות למענק בחודשים ספטמבר ואוקטובר 2020.</t>
  </si>
  <si>
    <t xml:space="preserve">חוק ההתייעלות הכלכלית (תיקוני חקיקה להשגת יעדי התקציב לשנות התקציב 2017 ו-2018) (תיקון מס' 6), התשפ"א-2020</t>
  </si>
  <si>
    <t xml:space="preserve"> (מ/1361)</t>
  </si>
  <si>
    <t xml:space="preserve">23.09.2020</t>
  </si>
  <si>
    <t xml:space="preserve">חוק ההתייעלות הכלכלית (תיקוני חקיקה להשגת יעדי התקציב לשנות התקציב 2017 ו־2018) (תיקון מס' 6), התש"ף-2020 מאריך לשנת 2020, בהתאמות שונות, את הסדר ההתחשבנות שחל בשנים 2017 עד 2019 בין קופות החולים לבתי החולים הציבוריים הכלליים והפסיכיאטריים. בין ההתאמות נקבע כי קופות החולים לשלם בעד השירותים שבהסדר ההתחשבנות, בצירוף שירותי המיון ובצירוף האשפוז במחלקות הקורונה, סכום שנע בין 100% ל-101.5% מהסכום שנדרשה קופת חולים לשלם בעד שירותי בריאות מסוימים בשנת 2019. </t>
  </si>
  <si>
    <t xml:space="preserve">חוק פנייה לגופים ציבוריים באמצעי קשר דיגיטליים (תיקון), התשפ"א-2020</t>
  </si>
  <si>
    <t xml:space="preserve"> (פ/133/23)</t>
  </si>
  <si>
    <t xml:space="preserve"> (כ/848)</t>
  </si>
  <si>
    <t xml:space="preserve">החוק קובע כי מקום שגוף ציבורי מאפשר פנייה אליו באמצעות דואר אלקטרוני או באמצעי דיגיטלי אחר באופן שהשימוש בו זהה לפניה בדואר אלקטרוני- חובה עליו לאפשר פנייה אליו באותו עניין גם באמצעות פקסימיליה. כן קובע החוק כי הגופים הציבוריים עליהם הוא חל ידווחו על יישום החוק על ידיהם,  בהתאמה, לשרים השונים הממונים על פעילותם והשרים ירכזו את הדיווחים ויעבירו אותם לוועדת המדע והטכנולוגיה לא יאוחר מסוף הרבעון השני בשנים 2021, 2022, ו- 2024. </t>
  </si>
  <si>
    <t xml:space="preserve">חוק הכנסת (תיקון מס' 48), התשפ"א-2020</t>
  </si>
  <si>
    <t xml:space="preserve"> (כ/851)</t>
  </si>
  <si>
    <t xml:space="preserve">22.09.2020</t>
  </si>
  <si>
    <t xml:space="preserve">בטרם התיקון קבע חוק הכנסת כי יושב ראש הוועדה הציבורית לעניין שכר חברי הכנסת חייב להיות איש אקדמיה. תיקון מס' 48 מבטל חובה זו, כך שהכנסת תוכל לבחור את יושב ראש הוועדה הציבורית מבין כל חבריה.</t>
  </si>
  <si>
    <t xml:space="preserve">חוק ההוצאה לפועל (נגיף הקורונה החדש – תיקון מס' 68 והוראת שעה), התשפ"א-2020</t>
  </si>
  <si>
    <t xml:space="preserve"> (מ/1348)</t>
  </si>
  <si>
    <t xml:space="preserve">בשל המשבר הכלכלי שנוצר עקב מגפת הקורונה, אנשים רבים נקלעו לחובות והתקשו להחזירם אף יותר מימים שבשגרה. החוק קובע הסדרים מיוחדים בהליכי הוצאה לפועל שנועדו להקל על החייבים. ביניהם: הארכת מועדים שנועדו לאפשר לחייבים זמן נוסף להסדרת החוב; קביעת הסדר תשלומים מיוחד שנועד להביא לתשלום החוב בתקופה קצרה ולהפחתת עלויות בתיק; הקפאת ביצוע צווי הבאה ותפיסות של כלי רכב ורכוש; מתן סמכות לרשם ההוצאה לפועל לאחד מיוזמתו את תיקי החייב. בנוסף מוצע לקבוע כהוראות קבע תיקונים שונים בחוק, למשל, מתן שיקול דעת לרשם לפרוס חוב לתקופות ארוכות מאלה שקובע החוק וכן קביעת תנאים נוספים לעיקול מיטלטלין, וכן מוצע לערוך תיקונים הנדרשים בשל קבלת חוק חדלות פירעון.</t>
  </si>
  <si>
    <t xml:space="preserve">הצעת חוק המפלגות (תיקון - הגבלת מימון עצמי של נבחרי ציבור), התשפ"א-2020</t>
  </si>
  <si>
    <t xml:space="preserve"> (פ/2140/23)</t>
  </si>
  <si>
    <t xml:space="preserve"> (פ/2139/23)</t>
  </si>
  <si>
    <t xml:space="preserve">הצעת חוק הירושה (תיקון - בטלות צוואה ישנה), התשפ"א-2020</t>
  </si>
  <si>
    <t xml:space="preserve"> (פ/2137/23)</t>
  </si>
  <si>
    <t xml:space="preserve">הצעת חוק הכשרות המשפטית והאפוטרופסות (תיקון - קביעת בית המשפט באין הסכם בין ההורים), התשפ"א-2020</t>
  </si>
  <si>
    <t xml:space="preserve"> (פ/2136/23)</t>
  </si>
  <si>
    <t xml:space="preserve">הצעת חוק הסדרת העיסוק במקצועות הבריאות (תיקון - טיפול באמצעות אמנויות), התשפ"א-2020</t>
  </si>
  <si>
    <t xml:space="preserve"> (פ/2135/23)</t>
  </si>
  <si>
    <t xml:space="preserve">הצעת חוק הביטוח הלאומי (תיקון - הרחבת הזכאות למענק לימודים), התשפ"א-2020</t>
  </si>
  <si>
    <t xml:space="preserve"> (פ/2134/23)</t>
  </si>
  <si>
    <t xml:space="preserve">הצעת חוק דמי מחלה (תיקון - אופן חישוב דמי מחלה לעובד יומי או שעתי), התשפ"א-2020</t>
  </si>
  <si>
    <t xml:space="preserve"> (פ/2133/23)</t>
  </si>
  <si>
    <t xml:space="preserve">הצעת חוק ביטוח בריאות ממלכתי (תיקון - תוספת שנתית לסל שירותי הבריאות), התשפ"א-2020</t>
  </si>
  <si>
    <t xml:space="preserve"> (פ/2132/23)</t>
  </si>
  <si>
    <t xml:space="preserve">הצעת חוק הביטוח הלאומי (תיקון - הכרה בפגיעה מתוך מניע גזעני בעבודה כתאונת עבודה), התשפ"א-2020</t>
  </si>
  <si>
    <t xml:space="preserve"> (פ/2131/23)</t>
  </si>
  <si>
    <t xml:space="preserve">הצעת חוק האזרחים הוותיקים (תיקון - לחצן מצוקה לקשיש), התשפ"א-2020</t>
  </si>
  <si>
    <t xml:space="preserve"> (פ/2130/23)</t>
  </si>
  <si>
    <t xml:space="preserve">הצעת חוק ביטוח בריאות ממלכתי (תיקון - הפחתה בדמי ביטוח בריאות לתושבי הפריפריה), התשפ"א-2020</t>
  </si>
  <si>
    <t xml:space="preserve"> (פ/2129/23)</t>
  </si>
  <si>
    <t xml:space="preserve">הצעת חוק מענה טלפוני אנושי לאזרח ותיק (תיקוני חקיקה), התשפ"א-2020 </t>
  </si>
  <si>
    <t xml:space="preserve"> (פ/2128/23)</t>
  </si>
  <si>
    <t xml:space="preserve">הצעת חוק שירותי תעופה (פיצוי וסיוע בשל ביטול טיסה או שינוי בתנאיה) (תיקון - הוראות שונות), התשפ"א-2020</t>
  </si>
  <si>
    <t xml:space="preserve"> (פ/2127/23)</t>
  </si>
  <si>
    <t xml:space="preserve">הצעת חוק לתיקון פקודת מס הכנסה (פטור ממס בעד דמי הבראה והחזרי הוצאות נסיעה), התשפ"א-2020</t>
  </si>
  <si>
    <t xml:space="preserve"> (פ/2126/23)</t>
  </si>
  <si>
    <t xml:space="preserve">הצעת חוק-יסוד: משק המדינה (תיקון - הוספת מחצית התקציב)</t>
  </si>
  <si>
    <t xml:space="preserve"> (פ/2125/23)</t>
  </si>
  <si>
    <t xml:space="preserve">הצעת חוק לתיקון פקודת מס הכנסה (דיווח שנתי או חצי שנתי לסוגי נכסים), התשפ"א-2020</t>
  </si>
  <si>
    <t xml:space="preserve"> (פ/2124/23)</t>
  </si>
  <si>
    <t xml:space="preserve">הצעת חוק פיקוח פרלמנטרי על התקנת תקנות במצב חירום במערכת המשפט (תיקוני חקיקה), התשפ"א-2020</t>
  </si>
  <si>
    <t xml:space="preserve"> (פ/2123/23)</t>
  </si>
  <si>
    <t xml:space="preserve">הצעת חוק בתי המשפט (תיקון - פסלות שופט בשל כללי ניגוד עניינים), התשפ"א-2020</t>
  </si>
  <si>
    <t xml:space="preserve"> (פ/2122/23)</t>
  </si>
  <si>
    <t xml:space="preserve">הצעת חוק שירותי הדת היהודיים (תיקון - מינוי רבני התיישבות, רבנים אזוריים ורבני שכונות), התשפ"א-2020</t>
  </si>
  <si>
    <t xml:space="preserve"> (פ/2121/23)</t>
  </si>
  <si>
    <t xml:space="preserve">הצעת חוק התכנון והבנייה (תיקון - מבנה מחוזק), התשפ"א-2020</t>
  </si>
  <si>
    <t xml:space="preserve"> (פ/2120/23)</t>
  </si>
  <si>
    <t xml:space="preserve">הצעת חוק נתוני אשראי (תיקון - איסור שימוש בנתוני אשראי שנאספו בתקופת משבר הקורונה), התשפ"א-2020</t>
  </si>
  <si>
    <t xml:space="preserve"> (פ/2119/23)</t>
  </si>
  <si>
    <t xml:space="preserve">הצעת חוק הבחירות לכנסת (תיקון - שינויים בפעילות ועדת הבחירות המרכזית והרכבה), התשפ"א-2020</t>
  </si>
  <si>
    <t xml:space="preserve"> (פ/2118/23)</t>
  </si>
  <si>
    <t xml:space="preserve">הצעת חוק לתיקון פקודת סדר הדין הפלילי (מעצר וחיפוש)(שלילת הסכמה כהיתר לחיפוש בחומר מחשב), התשפ"א-2020</t>
  </si>
  <si>
    <t xml:space="preserve"> (פ/2117/23)</t>
  </si>
  <si>
    <t xml:space="preserve">הצעת חוק איסור לשון הרע (תיקון - הגבלת סעד לאישי ציבור), התשפ"א-2020</t>
  </si>
  <si>
    <t xml:space="preserve"> (פ/2116/23)</t>
  </si>
  <si>
    <t xml:space="preserve"> (פ/2115/23)</t>
  </si>
  <si>
    <t xml:space="preserve">הצעת חוק החברות הממשלתיות (תיקון - כשירות מיוחדת), התשפ"א-2020</t>
  </si>
  <si>
    <t xml:space="preserve"> (פ/2114/23)</t>
  </si>
  <si>
    <t xml:space="preserve"> (פ/2113/23)</t>
  </si>
  <si>
    <t xml:space="preserve">הצעת חוק העונשין (תיקון - החמרת ענישה בגין ירי מנשק חם שלא כדין), התשפ"א-2020</t>
  </si>
  <si>
    <t xml:space="preserve"> (פ/2112/23)</t>
  </si>
  <si>
    <t xml:space="preserve">הצעת חוק העונשין (תיקון - הגדרת סוכן חוץ), התשפ"א-2020</t>
  </si>
  <si>
    <t xml:space="preserve"> (פ/2111/23)</t>
  </si>
  <si>
    <t xml:space="preserve">הצעת חוק הדיינים (תיקון - כשירות הרבנים הראשיים לישראל), התשפ"א-2020</t>
  </si>
  <si>
    <t xml:space="preserve"> (פ/2110/23)</t>
  </si>
  <si>
    <t xml:space="preserve">הצעת חוק תמיכה בקבוצות כדורגל עקב התפשטות נגיף הקורונה (הוראת שעה), התשפ"א-2020</t>
  </si>
  <si>
    <t xml:space="preserve"> (פ/2109/23)</t>
  </si>
  <si>
    <t xml:space="preserve">הצעת חוק יסודות התקציב (תיקון - תאגיד בריאות המפעיל מעון יום שיקומי), התשפ"א-2020</t>
  </si>
  <si>
    <t xml:space="preserve"> (פ/2108/23)</t>
  </si>
  <si>
    <t xml:space="preserve">הצעת חוק הפיקוח על שירותים פיננסיים (ביטוח) (תיקון - איסור הפליה במתן שירותי ביטוח), התשפ"א-2020</t>
  </si>
  <si>
    <t xml:space="preserve"> (פ/2107/23)</t>
  </si>
  <si>
    <t xml:space="preserve">הצעת חוק הכשרות המשפטית והאפוטרופסות (תיקון - שינוי חזקת הגיל הרך), התשפ"א-2020</t>
  </si>
  <si>
    <t xml:space="preserve"> (פ/2106/23)</t>
  </si>
  <si>
    <t xml:space="preserve">הצעת חוק הפיקוח על שירותים פיננסיים (קופות גמל) (תיקון - היוון קצבה על ידי שאיר הזכאי לפנסיה תקציבית או לקצבה מקופה אחרת), התשפ"א-2020</t>
  </si>
  <si>
    <t xml:space="preserve"> (פ/2105/23)</t>
  </si>
  <si>
    <t xml:space="preserve">הצעת חוק לתיקון פקודת מס הכנסה (מיסוי מכירת מטבעות דיגיטליים), התשפ"א-2020</t>
  </si>
  <si>
    <t xml:space="preserve"> (פ/2104/23)</t>
  </si>
  <si>
    <t xml:space="preserve">הצעת חוק חופש המידע (תיקון - שקיפות בקבלת החלטות בתקופת התפשטות נגיף הקורונה), התש"ף-2020</t>
  </si>
  <si>
    <t xml:space="preserve"> (פ/1714/23)</t>
  </si>
  <si>
    <t xml:space="preserve">16.09.2020</t>
  </si>
  <si>
    <t xml:space="preserve">הצעת חוק שעות עבודה ומנוחה (תיקון - הגבלת שעות העסקה של מתמחה ברפואה), התש"ף-2020</t>
  </si>
  <si>
    <t xml:space="preserve"> (פ/1698/23)</t>
  </si>
  <si>
    <t xml:space="preserve">הצעת חוק ייעוד כספי קנסות על עבירות שנקבעו לצורך התמודדות עם משבר נגיף הקורונה, התש"ף-2020 </t>
  </si>
  <si>
    <t xml:space="preserve"> (פ/1647/23)</t>
  </si>
  <si>
    <t xml:space="preserve">הצעת חוק הספקת החשמל (הוראת שעה) (תיקון - הארכת תוקף), התש"ף-2020</t>
  </si>
  <si>
    <t xml:space="preserve"> (פ/1601/23)</t>
  </si>
  <si>
    <t xml:space="preserve">הצעת חוק-יסוד: מדינה דמוקרטית, שוויונית ומשותפת</t>
  </si>
  <si>
    <t xml:space="preserve"> (פ/1599/23)</t>
  </si>
  <si>
    <t xml:space="preserve">חוק החברות (תיקון מס' 34), התש"ף-2020</t>
  </si>
  <si>
    <t xml:space="preserve"> (מ/1351)</t>
  </si>
  <si>
    <t xml:space="preserve">14.09.2020</t>
  </si>
  <si>
    <t xml:space="preserve">על מנת להקל ולקצר את תהליך רישום החברות בישראל, החוק מאפשר לקבוע בתקנות דרכים מקוונות לאימות החתימות של בעלי המניות הראשונים שחתמו על תקנון החברה, אשר נדרשו עד לתיקון החוק לאמת את חתימתם בפני עורך דין. התיקון עתיד להקל על הליך רישום חברה הן בקיצור מספר הימים הנדרש להשלמת ההליך והן מבחינת עלות התהליך.</t>
  </si>
  <si>
    <t xml:space="preserve">חוק חוזה הביטוח (תיקון מס' 10), התש"ף-2020</t>
  </si>
  <si>
    <t xml:space="preserve"> (פ/406/23)</t>
  </si>
  <si>
    <t xml:space="preserve"> (כ/849)</t>
  </si>
  <si>
    <t xml:space="preserve">מוצע לקבוע כי חברות הביטוח ישלמו את תגמולי הביטוח באמצעות העברה בנקאית, אלא אם כן בחר המבוטח או המוטב אחרת.</t>
  </si>
  <si>
    <t xml:space="preserve">הצעת חוק מועצת עורכי הדין בישראל, התש"ף-2020</t>
  </si>
  <si>
    <t xml:space="preserve"> (פ/2103/23)</t>
  </si>
  <si>
    <t xml:space="preserve">הצעת חוק לתיקון פקודת מס הכנסה (נקודות זיכוי לסטודנטים), התש"ף-2020</t>
  </si>
  <si>
    <t xml:space="preserve"> (פ/2102/23)</t>
  </si>
  <si>
    <t xml:space="preserve">הצעת חוק יסודות התקציב (תיקון - פיקוח אחיד על שימוש בתמיכה), התש"ף-2020</t>
  </si>
  <si>
    <t xml:space="preserve"> (פ/2101/23)</t>
  </si>
  <si>
    <t xml:space="preserve">הצעת חוק מיסוי מקרקעין (שבח ורכישה) (תיקון - הרחבת הקלה לרוכשים דירה מקבלן), התש"ף-2020</t>
  </si>
  <si>
    <t xml:space="preserve"> (פ/2100/23)</t>
  </si>
  <si>
    <t xml:space="preserve">הצעת חוק המסים (קנס פיגורים) (תיקון - ביטול פיגורים בתקופת משבר הקורונה) (הוראת שעה), התש"ף-2020</t>
  </si>
  <si>
    <t xml:space="preserve"> (פ/2099/23)</t>
  </si>
  <si>
    <t xml:space="preserve">הצעת חוק הסדרים במשק המדינה (תיקוני חקיקה להשגת יעדי התקציב) (תיקון - דחיית הנחה בארנונה לעולים חדשים), התש"ף-2020</t>
  </si>
  <si>
    <t xml:space="preserve"> (פ/2098/23)</t>
  </si>
  <si>
    <t xml:space="preserve">הצעת חוק הסדרים במשק המדינה (תיקוני חקיקה להשגת יעדי התקציב) (תיקון - הארכת תקופת הנחה בארנונה לחיילים עולים), התש"ף-2020</t>
  </si>
  <si>
    <t xml:space="preserve"> (פ/2097/23)</t>
  </si>
  <si>
    <t xml:space="preserve">הצעת חוק פיצוי לעסקים קטנים עקב אסון טבע, התש"ף-2020</t>
  </si>
  <si>
    <t xml:space="preserve"> (פ/2096/23)</t>
  </si>
  <si>
    <t xml:space="preserve">הצעת חוק לתיקון פקודת מס הכנסה (הטבות מס ליישובים), התש"ף-2020</t>
  </si>
  <si>
    <t xml:space="preserve"> (פ/2095/23)</t>
  </si>
  <si>
    <t xml:space="preserve">הצעת חוק הסדרים במשק המדינה (תיקוני חקיקה להשגת יעדי התקציב) (תיקון - פטור מארנונה לנשים ששהו במקלט לנשים מוכות), התש"ף-2020</t>
  </si>
  <si>
    <t xml:space="preserve"> (פ/2094/23)</t>
  </si>
  <si>
    <t xml:space="preserve">הצעת חוק לתיקון פקודת מס הכנסה (פריסת תשלומי מס הכנסה בעקבות משבר הקורונה), התש"ף-2020</t>
  </si>
  <si>
    <t xml:space="preserve"> (פ/2093/23)</t>
  </si>
  <si>
    <t xml:space="preserve">הצעת חוק מיסוי מקרקעין (שבח ורכישה) (תיקון - שחלוף דירה ומיסוי מכירת דירה), התש"ף‏-2020</t>
  </si>
  <si>
    <t xml:space="preserve"> (פ/2092/23)</t>
  </si>
  <si>
    <t xml:space="preserve">הצעת חוק לתיקון פקודת הסמים המסוכנים (החזקה או שימוש לצריכה עצמית של סם מסוג קנבוס או שרף של קנבוס), התש"ף-2020</t>
  </si>
  <si>
    <t xml:space="preserve"> (פ/2091/23)</t>
  </si>
  <si>
    <t xml:space="preserve">הצעת חוק שכירות הוגנת (רשם השכירויות), התש"ף-2020</t>
  </si>
  <si>
    <t xml:space="preserve"> (פ/2090/23)</t>
  </si>
  <si>
    <t xml:space="preserve">הצעת חוק לטיפול בכתות פוגעניות, התש"ף-2020</t>
  </si>
  <si>
    <t xml:space="preserve"> (פ/2089/23)</t>
  </si>
  <si>
    <t xml:space="preserve">הצעת חוק העונשין (תיקון - הרחבת הגדרת הגזענות), התש"ף-2020</t>
  </si>
  <si>
    <t xml:space="preserve"> (פ/2088/23)</t>
  </si>
  <si>
    <t xml:space="preserve">הצעת חוק לתיקון פקודת סדר הדין הפלילי (מעצר וחיפוש) (תנאים למסירת התפוס לפי צו), התש"ף-2020</t>
  </si>
  <si>
    <t xml:space="preserve"> (פ/2087/23)</t>
  </si>
  <si>
    <t xml:space="preserve">הצעת חוק הדיינים (תיקון - כשירות הרבנים הראשיים לישראל), התש"ף-2020</t>
  </si>
  <si>
    <t xml:space="preserve"> (פ/2086/23)</t>
  </si>
  <si>
    <t xml:space="preserve">הצעת חוק לימוד חובה (תיקון - הסעת תלמידים), התש"ף-2020</t>
  </si>
  <si>
    <t xml:space="preserve"> (פ/2085/23)</t>
  </si>
  <si>
    <t xml:space="preserve">הצעת חוק הרשות הלאומית למאבק בעוני, התש"ף-2020</t>
  </si>
  <si>
    <t xml:space="preserve"> (פ/2084/23)</t>
  </si>
  <si>
    <t xml:space="preserve">הצעת חוק משפחות חיילים שנספו במערכה (תגמולים ושיקום) (תיקון - סיוע במימון שכר לימוד ליתום לאחר גיל 30), התש"ף-2020</t>
  </si>
  <si>
    <t xml:space="preserve"> (פ/2083/23)</t>
  </si>
  <si>
    <t xml:space="preserve">הצעת חוק הביטוח הלאומי (תיקון - חישוב דמי לידה לפי ממוצע שנת עבודה), התש"ף-2020</t>
  </si>
  <si>
    <t xml:space="preserve"> (פ/2082/23)</t>
  </si>
  <si>
    <t xml:space="preserve">הצעת חוק לתיקון פקודת המשטרה (חובת שימוש במצלמות גוף בעת הפגנה), התש"ף-2020</t>
  </si>
  <si>
    <t xml:space="preserve"> (פ/2081/23)</t>
  </si>
  <si>
    <t xml:space="preserve">הצעת חוק האזרחות והכניסה לישראל (הוראת שעה) (תיקון - היתר לגבי בני זוג), התש"ף-2020</t>
  </si>
  <si>
    <t xml:space="preserve"> (פ/2080/23)</t>
  </si>
  <si>
    <t xml:space="preserve">הצעת חוק מס הכנסה (פטור ממס על הכנסה מהשכרת דירת מגורים) (תיקון - ניכוי דמי שכירות), התש"ף-2020</t>
  </si>
  <si>
    <t xml:space="preserve"> (פ/2079/23)</t>
  </si>
  <si>
    <t xml:space="preserve">הצעת חוק לתיקון פקודת מס הכנסה (תלוש שכר לעצמאי), התש"ף-2020</t>
  </si>
  <si>
    <t xml:space="preserve"> (פ/2078/23)</t>
  </si>
  <si>
    <t xml:space="preserve">הצעת חוק הדרכונים (תיקון - סמכות השר באי-מתן דרכון לעולה), התש"ף-2020</t>
  </si>
  <si>
    <t xml:space="preserve"> (פ/2077/23)</t>
  </si>
  <si>
    <t xml:space="preserve">הצעת חוק הדרכונים (תיקון - מתן דרכון לעולה), התש"ף-2020</t>
  </si>
  <si>
    <t xml:space="preserve"> (פ/2076/23)</t>
  </si>
  <si>
    <t xml:space="preserve">הצעת חוק חיזוק מעמד חברי המועצה מקרב סיעות האופוזיציה (תיקוני חקיקה), התש"ף-2020</t>
  </si>
  <si>
    <t xml:space="preserve"> (פ/2075/23)</t>
  </si>
  <si>
    <t xml:space="preserve">הצעת חוק שירותי הדת היהודיים (תיקון - כהונת רבני עיר), התש"ף-2020</t>
  </si>
  <si>
    <t xml:space="preserve"> (פ/2074/23)</t>
  </si>
  <si>
    <t xml:space="preserve">הצעת חוק רישוי עסקים (תיקון - פטור מהגשת מסמכים), התש"ף-2020 </t>
  </si>
  <si>
    <t xml:space="preserve"> (פ/2073/23)</t>
  </si>
  <si>
    <t xml:space="preserve">הצעת חוק הרשות הלאומית לשעת משבר, התש"ף-2020</t>
  </si>
  <si>
    <t xml:space="preserve"> (פ/2072/23)</t>
  </si>
  <si>
    <t xml:space="preserve">הצעת חוק הסדרים במשק המדינה (תיקוני חקיקה להשגת יעדי התקציב) (תיקון - חובת הענקת הנחה בארנונה לנכים), התש"ף-2020</t>
  </si>
  <si>
    <t xml:space="preserve"> (פ/2071/23)</t>
  </si>
  <si>
    <t xml:space="preserve">הצעת חוק לתיקון פקודת מס הכנסה (הגדלת שיעור הזיכוי ממס בתרומה למוסד ציבורי) (הוראת שעה), התש"ף-2020</t>
  </si>
  <si>
    <t xml:space="preserve"> (פ/2070/23)</t>
  </si>
  <si>
    <t xml:space="preserve">הצעת חוק-יסוד: נשיא המדינה (תיקון - איסור מועמדות וכהונה לנאשם או למורשע בפלילים)</t>
  </si>
  <si>
    <t xml:space="preserve"> (פ/1847/23)</t>
  </si>
  <si>
    <t xml:space="preserve">09.09.2020</t>
  </si>
  <si>
    <t xml:space="preserve">הצעת חוק הביטוח הלאומי (תיקון - ביטול הפחתת דמי אבטלה למי שנמצא בהכשרה מקצועית), התש"ף-2020</t>
  </si>
  <si>
    <t xml:space="preserve"> (פ/1613/23)</t>
  </si>
  <si>
    <t xml:space="preserve">הצעת חוק הביטוח הלאומי (תיקון - דמי ביטוח מופחתים בעד עובד בעבודה מהבית), התש"ף-2020</t>
  </si>
  <si>
    <t xml:space="preserve"> (פ/1522/23)</t>
  </si>
  <si>
    <t xml:space="preserve"> (פ/1423/23)</t>
  </si>
  <si>
    <t xml:space="preserve">הצעת חוק הבטחת פיצויים לתושבי מתחם פארק חורשות (אבו-כביר), התש"ף-2020</t>
  </si>
  <si>
    <t xml:space="preserve"> (פ/1075/23)</t>
  </si>
  <si>
    <t xml:space="preserve">הצעת חוק סיוע לקטינים נפגעי עבירות מין או אלימות (תיקון - טיפול נפשי לילדים), התש"ף-2020 </t>
  </si>
  <si>
    <t xml:space="preserve"> (פ/914/23)</t>
  </si>
  <si>
    <t xml:space="preserve">הצעת חוק-יסוד: נשיא המדינה (תיקון - כשירות) </t>
  </si>
  <si>
    <t xml:space="preserve"> (פ/890/23)</t>
  </si>
  <si>
    <t xml:space="preserve">הצעת חוק נכסי נפקדים (תיקון - החזרת נכסים לנפקד שהפך לאזרח), התש"ף-2020</t>
  </si>
  <si>
    <t xml:space="preserve"> (פ/567/23)</t>
  </si>
  <si>
    <t xml:space="preserve">חוק להסדר התדיינויות בסכסוכי משפחה (הוראת שעה) (תיקון מס' 3), התש"ף-2020</t>
  </si>
  <si>
    <t xml:space="preserve"> (מ/1313)</t>
  </si>
  <si>
    <t xml:space="preserve">07.09.2020</t>
  </si>
  <si>
    <t xml:space="preserve">הוחלט לעגן כהוראת קבע את החוק להסדר התדיינויות בסכסוכי משפחה (הוראת שעה), התשע"ה–2014. החוק קובע כי על צדדים המבקשים להגיש תובענה בעניין של סכסוך משפחתי להקדים ולהגיש תחילה בקשה ליישוב סכסוך. מטרתו של החוק האמור היא לסייע לבני זוג ולהורים וילידיהם ליישב סכסוכים משפחתיים בהסכמה ובדרכי שלום ולצמצם את הצורך בקיום התדיינות משפטית, באמצעות הפניית תובענות אלו תחילה להליך של יישוב סכסוך ביחידות הסיוע שליד בתי המשפט לענייני משפחה ובתי הדין הדתיים. הצדדים מוזמנים לפגישה ביחידת הסיוע, בה הם מקבלים מידע על ההליך המשפטי והשלכותיו, ועל דרכים אחרות ליישוב הסכסוך. נוכח הניסיון שנצבר בתקופת הוראת השעה, הוחלט לערוך מספר הבהרות ושינויים ולעגן את ההסדר כהוראת קבע. </t>
  </si>
  <si>
    <t xml:space="preserve">חוק הפחתת הגירעון והגבלת ההוצאה התקציבית (תיקון מס' 20), התש"ף-2020</t>
  </si>
  <si>
    <t xml:space="preserve"> (מ/1353)</t>
  </si>
  <si>
    <t xml:space="preserve">עקב היעדר אישור חוק התקציב לשנת 2020, פעלה הממשלה לפי סעיף 3ב לחוק יסוד: משק המדינה, אשר קובע כי כל עוד לא התקבל חוק התקציב, תהיה הממשלה רשאית להוציא כל חודש סכום השווה לחלק השנים עשר מהתקציב השנתי הקודם, בתוספת הצמדה למדד המחירים לצרכן. לפיכך, הוגדלה מגבלת ההוצאה לשנת 2020 בחוק יסוד: משק המדינה (תיקון מס' 10 והוראת שעה לשנת 2020), מאז, תוקן חוק יסוד: משק המדינה 5 פעמים ונוספו לו סכומים בהתאם לתוכניות לצורך התמודדות עם משבר הקורונה.  תיקון זה משלים את התיקון בחוק-יסוד: משק המדינה (תיקון מס' 10 והוראת שעה לשנת 2020) (תיקון מס' 5) ומוגדלת בו שיעור מגבלת ההוצאה התקציבית לשנים 2020 ו-2021 כך שמגבלת ההוצאה הממשלתית לשנת 2020 לא תעלה בסך הכל על 20.95% ביחס לסכום ההוצאה הממשלתית בשנת התקציב 2019 ומגבלת ההוצאה הממשלתית לשנת 2021 שלא תעלה בסך הכל על 10.75% ביחס לסכום ההוצאה הממשלתית בשנת התקציב 2020. לשם התמודדות עם משבר הקורונה ולמטרה זו בלבד, יש לאפשר לממשלה בשנת 2021 להגדיל את שיעור הגירעון הכולל מן התמ"ג בשיעור נוסף של עד 0.06% ובשנת 2022 להגדיל את שיעור זה בשיעור נוסף של עד 0.08%. </t>
  </si>
  <si>
    <t xml:space="preserve">חוק־יסוד: משק המדינה (תיקון מס' 10 והוראת שעה לשנת 2020) (תיקון מס' 5)</t>
  </si>
  <si>
    <t xml:space="preserve"> (מ/1352)</t>
  </si>
  <si>
    <t xml:space="preserve">סעיף 3ב לחוק-יסוד: משק המדינה, עוסק במצב בו לא התקבל חוק התקציב לפני תחילתה של שנת הכספים וקובע כי במצב זה, תהיה הממשלה רשאית להוציא כל חודש סכום השווה לחלק השניים עשר מהתקציב השנתי הקודם, בתוספת הצמדה למדד המחירים לצרכן. כמו כן, קובע הסעיף את סדר הקדימויות בשימוש בתקציב ההמשכי. בעקבות התפרצות נגיף הקורונה והצורך בצמצום התפשטותו, הוטלו הגבלות שונות על המשק ועל הציבור. הגבלות אלו הביאו למשבר כלכלי עמוק. לנוכח המשבר הבריאותי והכלכלי החמור, נדרש סיוע נרחב למשק. מכיוון שחוק היסוד מגביל את האפשרות להוציא כספים במצב בו אין תקציב מאושר, נחקק חוק-יסוד: משק המדינה (תיקון מס' 10 והוראת שעה לשנת 2020) בו נקבע כי עד סוף שנת 2020 או עד יום קבלת חוק התקציב, לפי המוקדם, ניתן יהיה להגדיל את ההוצאה הממשלתית לשם התמודדות עם משבר הקורונה, בהתאם לתכנית כלכלית. בחוק-יסוד: משק המדינה (תיקון מס' 10 והוראת שעה 2020) (תיקון), אושרה הגדלה נוספת של ההוצאה הממשלתית כך שבשנת 2020 סכומי ההוצאות הוגדלו בכ-14 מיליארד ש"ח. לנוכח העלייה בהיקפי התחלואה והתארכות המשבר, בחוק-יסוד: משק המדינה (תיקון מס' 10 והוראת שעה 2020) (תיקון מס' 2), הוגדלו הסכומים הקבועים בהוראת השעה בהיקף של כ-25.1 מיליארד ש"ח. לצורך מימון התכנית לתשלום מענקים חד-פעמיים לשם תמיכה כלכלית נוספת, המעוגנת בהצעה חוק התכנית לסיוע כלכלי (נגיף הקורונה החדש – מענק חד-פעמי) (הוראת שעה), התש"ף-2020, תוקנה הוראת השעה בחוק-יסוד: משק המדינה (תיקון מס' 10 והוראת שעה 2020) (תיקון מס' 3) כך שניתן יהיה להוציא סכום נוסף של כ- 6.7 מיליארד ש"ח בשנת 2020, עד לאישורו של חוק התקציב לשנה זו. בתיקון זה הוקצה סכום של 1.75 מיליארד שקלים חדשים לטובת מימון היערכות מערכת החינוך לפעילות בשנת הלימודים התשפ"א בהתאם להגבלות החלות לשם התמודדות עם התפשטות נגיף הקורונה וכן סכום של 1 מיליארד שקלים חדשים לעידוד התעסוקה באמצעות מענק עבודה.</t>
  </si>
  <si>
    <t xml:space="preserve">הצעת חוק הכניסה לישראל (תיקון - הארכת רישיון לעובד זר בענף הסיעוד), התש"ף-2020</t>
  </si>
  <si>
    <t xml:space="preserve"> (פ/2069/23)</t>
  </si>
  <si>
    <t xml:space="preserve">הצעת חוק חוזה הביטוח (תיקון - מניעת כפל ביטוחים), התש"ף-2020</t>
  </si>
  <si>
    <t xml:space="preserve"> (פ/2068/23)</t>
  </si>
  <si>
    <t xml:space="preserve">הצעת חוק שירות המדינה (תיקון - העברת דין וחשבון נציב שירות המדינה בדבר ייצוג הולם של עולים בשירות המדינה לוועדת העלייה, הקליטה והתפוצות), התש"ף-2020</t>
  </si>
  <si>
    <t xml:space="preserve"> (פ/2067/23)</t>
  </si>
  <si>
    <t xml:space="preserve">הצעת חוק העונשין (תיקון - החמרת ענישה לתוקף או מתעלל בקטין או חסר ישע), התש"ף-2020</t>
  </si>
  <si>
    <t xml:space="preserve"> (פ/2065/23)</t>
  </si>
  <si>
    <t xml:space="preserve">הצעת חוק בתי המשפט (תיקון - תקופת כהונה של נשיא וסגן נשיא בית המשפט העליון), התש"ף-2020</t>
  </si>
  <si>
    <t xml:space="preserve"> (פ/2064/23)</t>
  </si>
  <si>
    <t xml:space="preserve">הצעת חוק העונשין (תיקון - עבירת תקיפה בנסיבות מחמירות על ידי אחראי על קטין), התש"ף-2020</t>
  </si>
  <si>
    <t xml:space="preserve"> (פ/2063/23)</t>
  </si>
  <si>
    <t xml:space="preserve">הצעת חוק העונשין (תיקון - הגנה עצמית בנסיבות של אלימות במשפחה), התש"ף-2020</t>
  </si>
  <si>
    <t xml:space="preserve"> (פ/2062/23)</t>
  </si>
  <si>
    <t xml:space="preserve">הצעת חוק דמי מחלה (תיקון - יתרה שלילית של ימי מחלה), התש"ף-2020</t>
  </si>
  <si>
    <t xml:space="preserve"> (פ/2061/23)</t>
  </si>
  <si>
    <t xml:space="preserve">הצעת חוק הביטוח הלאומי (תיקון - ביטוח זכויות בהליכי חדלות פירעון לעובד עצמאי שעיקר הכנסתו ממקור אחד), התש"ף-2020</t>
  </si>
  <si>
    <t xml:space="preserve"> (פ/2060/23)</t>
  </si>
  <si>
    <t xml:space="preserve">הצעת חוק הביטוח הלאומי (תיקון - ביטוח שאירים לאלמן), התש"ף-2020</t>
  </si>
  <si>
    <t xml:space="preserve"> (פ/2058/23)</t>
  </si>
  <si>
    <t xml:space="preserve">הצעת חוק חלוקת מסכות לכל אזרח (הוראת שעה), התש"ף-2020</t>
  </si>
  <si>
    <t xml:space="preserve"> (פ/2057/23)</t>
  </si>
  <si>
    <t xml:space="preserve">הצעת חוק הגנה על רופא הנעדר מעבודתו עקב התפשטות נגיף הקורונה, התש"ף-2020</t>
  </si>
  <si>
    <t xml:space="preserve"> (פ/2056/23)</t>
  </si>
  <si>
    <t xml:space="preserve">הצעת חוק העונשין (תיקון - החמרת ענישה בשל אי קיום חובת דיווח), התש"ף-2020</t>
  </si>
  <si>
    <t xml:space="preserve"> (פ/2055/23)</t>
  </si>
  <si>
    <t xml:space="preserve">הצעת חוק מימון מפלגות (תיקון - הפחתת מימון למפלגה בהיעדר ייצוג לבני שני המינים), התש"ף-2020</t>
  </si>
  <si>
    <t xml:space="preserve"> (פ/2053/23)</t>
  </si>
  <si>
    <t xml:space="preserve">הצעת חוק סדר הדין הפלילי (תיקון - ביטול האיסור המוטל על המשטרה למסור לפרקליטות עמדה בכתב לעניין מכלול התשתית הראייתית לביסוס אשמה נגד חשודים בחקירה), התש"ף-2020</t>
  </si>
  <si>
    <t xml:space="preserve"> (פ/2052/23)</t>
  </si>
  <si>
    <t xml:space="preserve">הצעת חוק איסור פרסום גזעני, הסתה לגזענות ורישום גזעני במסמכי תאגיד, התש"ף-2020</t>
  </si>
  <si>
    <t xml:space="preserve"> (פ/2051/23)</t>
  </si>
  <si>
    <t xml:space="preserve">הצעת חוק חובת המכרזים (תיקון - שיתוף פעולה עסקי בין-לאומי ורכש גומלין בין-לאומי), התש"ף-2020 </t>
  </si>
  <si>
    <t xml:space="preserve"> (פ/2049/23)</t>
  </si>
  <si>
    <t xml:space="preserve"> (פ/2048/23)</t>
  </si>
  <si>
    <t xml:space="preserve">הצעת חוק הגנת הצרכן (תיקון - איסור פרסום כפוי במענה טלפוני), התש"ף-2020</t>
  </si>
  <si>
    <t xml:space="preserve"> (פ/2047/23)</t>
  </si>
  <si>
    <t xml:space="preserve">הצעת חוק העונשין (תיקון - הוספת עילות לעבירות הסתה ופשע שנאה), התש"ף-2020</t>
  </si>
  <si>
    <t xml:space="preserve"> (פ/2046/23)</t>
  </si>
  <si>
    <t xml:space="preserve">הצעת חוק הפחתת תשלומים לבעלי מקצועות מוסדרים (הוראת שעה), התש"ף-2020</t>
  </si>
  <si>
    <t xml:space="preserve"> (פ/2045/23)</t>
  </si>
  <si>
    <t xml:space="preserve">הצעת חוק העונשין (תיקון - נשיאת מאסר בעבודת שירות), התש"ף-2020</t>
  </si>
  <si>
    <t xml:space="preserve"> (פ/2044/23)</t>
  </si>
  <si>
    <t xml:space="preserve">הצעת חוק מרשם האוכלוסין (תיקון - רישום הורה נוסף), התש"ף-2020</t>
  </si>
  <si>
    <t xml:space="preserve"> (פ/2043/23)</t>
  </si>
  <si>
    <t xml:space="preserve">הצעת חוק שירותי הדת היהודיים (תיקון - פיזור מועצה דתית בידי מועצת הרשות המקומית), התש"פ-2020</t>
  </si>
  <si>
    <t xml:space="preserve"> (פ/2042/23)</t>
  </si>
  <si>
    <t xml:space="preserve">הצעת חוק תאגידי מים וביוב (תיקון - הפסקת הפעלת שירותי מים וביוב באמצעות חברה), התש"ף-2020</t>
  </si>
  <si>
    <t xml:space="preserve"> (פ/2041/23)</t>
  </si>
  <si>
    <t xml:space="preserve">הצעת חוק הגנת הצרכן (תיקון - מאגר צרכנים להגבלת שיחות שיווק מרחוק), התש"ף-2020</t>
  </si>
  <si>
    <t xml:space="preserve"> (פ/2040/23)</t>
  </si>
  <si>
    <t xml:space="preserve"> (פ/2039/23)</t>
  </si>
  <si>
    <t xml:space="preserve">הצעת חוק הפרטת תאגיד השידור הציבורי הישראלי, התש"ף-2020</t>
  </si>
  <si>
    <t xml:space="preserve"> (פ/2038/23)</t>
  </si>
  <si>
    <t xml:space="preserve">הצעת חוק השבת כספים בשל ביטול אירוע פרטי (נגיף הקורונה החדש), התש"ף-2020</t>
  </si>
  <si>
    <t xml:space="preserve"> (פ/2037/23)</t>
  </si>
  <si>
    <t xml:space="preserve">הצעת חוק לתיקון פקודת התעבורה (הקמת מאגר אופניים ממונעים), התש"ף-2020</t>
  </si>
  <si>
    <t xml:space="preserve"> (פ/2036/23)</t>
  </si>
  <si>
    <t xml:space="preserve">הצעת חוק המים (תיקון - הנחות לבתי תפילה), התש"ף-2020</t>
  </si>
  <si>
    <t xml:space="preserve"> (פ/2035/23)</t>
  </si>
  <si>
    <t xml:space="preserve">הצעת חוק תהליך קבלת החלטות בעניין הסכמי סחר בין-לאומיים, התש"ף-2020</t>
  </si>
  <si>
    <t xml:space="preserve"> (פ/2034/23)</t>
  </si>
  <si>
    <t xml:space="preserve">הצעת חוק חינוך ממלכתי (תיקון - איסור פעילות שיש בה הדתה, שנאה בשל נטייה מינית, גזענות והדרת נשים במוסדות חינוך ממלכתיים), התש"ף-2020</t>
  </si>
  <si>
    <t xml:space="preserve"> (פ/2033/23)</t>
  </si>
  <si>
    <t xml:space="preserve">הצעת חוק האזרחות והכניסה לישראל (הוראת שעה) (תיקון - ביטול החוק), התש"ף-2020</t>
  </si>
  <si>
    <t xml:space="preserve"> (פ/2032/23)</t>
  </si>
  <si>
    <t xml:space="preserve">הצעת חוק לתיקון פקודת המשטרה (הצעת מועמדים לתפקיד המפקח הכללי של המשטרה בידי ועדת איתור מקצועית-ציבורית), התש"ף-2020</t>
  </si>
  <si>
    <t xml:space="preserve"> (פ/2031/23)</t>
  </si>
  <si>
    <t xml:space="preserve">הצעת חוק פינוי ההתנחלויות, התש"ף-2020</t>
  </si>
  <si>
    <t xml:space="preserve"> (פ/2029/23)</t>
  </si>
  <si>
    <t xml:space="preserve">הצעת חוק הסרת גדר ההפרדה, התש"ף-2020</t>
  </si>
  <si>
    <t xml:space="preserve"> (פ/2028/23)</t>
  </si>
  <si>
    <t xml:space="preserve">הצעת חוק ביטול המינהל האזרחי, התש"ף-2020</t>
  </si>
  <si>
    <t xml:space="preserve"> (פ/2027/23)</t>
  </si>
  <si>
    <t xml:space="preserve">הצעת חוק התובע הכללי, התש"ף-2020</t>
  </si>
  <si>
    <t xml:space="preserve"> (פ/2026/23)</t>
  </si>
  <si>
    <t xml:space="preserve">חוק ההוצאה לפועל (הקפאת הגבלת רישיונות נהיגה) (נגיף הקורונה החדש - הוראת שעה), התש"ף-2020</t>
  </si>
  <si>
    <t xml:space="preserve"> (מ/1358)</t>
  </si>
  <si>
    <t xml:space="preserve">26.08.2020</t>
  </si>
  <si>
    <t xml:space="preserve">על רקע התפשטות מגפת הקורונה, צומצם היקף התחבורה הציבורית כך שאנשים ללא רישיון נהיגה התקשו לנסוע לעבודתם. לכן, החוק הקפיא לתקופה של חצי שנה את ההגבלות המוטלות על קבלה, החזקה וחידוש רישיון נהיגה של חייבים בהוצאה לפועל, כך שהחייבים יוכלו לנסוע לעבודתם בכלי הרכב שברשותם, להימנע מהדבקה בתחבורה הציבורית וכן לא להיפגע כלכלית, וכך גם להחזיר את חובם. חריג לכך הוא חוב שנפתח בשל בקשה לביצוע פסק דין למזונות, בגינו עדיין ניתן להטיל מגבלות על רישיון הנהיגה. </t>
  </si>
  <si>
    <t xml:space="preserve">חוק לתיקון פקודת בריאות העם (מס' 34), התש"ף-2020</t>
  </si>
  <si>
    <t xml:space="preserve"> (מ/1357)</t>
  </si>
  <si>
    <t xml:space="preserve">החוק מעגן בפקודת בריאות העם עבירות פליליות ועבירות מינהליות בשל הפרתן של הוראות הקבועות בצו בריאות העם (נגיף הקורונה החדש) (בידוד בית והוראות שונות) (הוראת שעה), התש"ף-2020: חובת בידוד, איסור הגעה לבידוד בתחבורה ציבורית, חובת דיווח על בידוד וחובת עטיית מסכה. כמו כן קובע החוק מי הגורמים המוסמכים לפיקוח על עבירות אלה, מהן הסמכויות של אותם גורמים, וכי הסמכויות יופעלו בהתאם למדיניות פיקוח אחידה, וכן קובע חובת דיווח חודשית לוועדה על האכיפה שננקטה. לנוכח קביעת נפקות פלילית להוראות האמורות בצו בידוד ביתר, עוגן בחוק מנגנון פיקוח פרלמנטרי על כל תיקון עתידי שייעשה בצו בידוד בית לגבי אותן הוראות, כשנקבע מצד אחד כי התיקון יכול להיכנס לתוקפו אף לפני שניתן לו אישור ועדה, ומצד שני כי הוועדה רשאית שלא לאשר את התיקון או לקצר את תקופת תוקפו, וכי כל תיקון שלא אושר במועדים שנקבעו לכך על ידי הוועדה או על ידי מליאת הכנסת יפקע והאחריות הפלילית לעשיית עבירות שנקבעו בו תבוטל רטרואקטיבית. החוק קובע גם חובת פרסום של התיקון והחובות על פיו בצורה נגישה לציבור. נוסף על כך החוק קובע סמכות לדרישת מידע מסויים מאדם במסגרת חקירה אפידמיולוגית, וכן קובע כי חוקר אפידמיולוגי רשאי להסתייע בהפעלת סמכויותיו באדם אחר לרבות חייל, בתנאי שהגורם המסייע עבר הכשרה לכך, חתם על התחייבות לסודיות, פועל בפיקוח משרד הבריאות, ואינו מסייע בעניינו של אדם שהוא מכיר או עשוי להכיר. עוד נקבע כי אדם רשאי להודיע לגורם מסייע כי ימסור מידע רק לחוקר אפידמיולוגי. כמו כן קובע החוק הוראות לעניין שמירת המידע, הגבלת השימוש בו למטרת איתור מגעים של חולי קורונה וחובת שמירת המידע בסודיות. הוראות החוק חלות כל עוד ההכרזה על הקורונה כמחלה מדבקת מסוכנת עומדת בעינה. </t>
  </si>
  <si>
    <t xml:space="preserve">הצעת חוק השבות (תיקון - זכויות בני משפחה), התש"ף-2020</t>
  </si>
  <si>
    <t xml:space="preserve"> (פ/1406/23)</t>
  </si>
  <si>
    <t xml:space="preserve">הצעת חוק הביטוח הלאומי (תיקון - תשלום דמי אבטלה החל מיום האבטלה הראשון) (הוראת שעה), התש"ף-2020</t>
  </si>
  <si>
    <t xml:space="preserve"> (פ/1250/23)</t>
  </si>
  <si>
    <t xml:space="preserve">הצעת חוק השחתת מודעות על רקע מגדר, התש"ף-2020</t>
  </si>
  <si>
    <t xml:space="preserve"> (פ/903/23)</t>
  </si>
  <si>
    <t xml:space="preserve"> (פ/882/23)</t>
  </si>
  <si>
    <t xml:space="preserve">הצעת חוק זכויות לעובד עצמאי, התש"ף-2020</t>
  </si>
  <si>
    <t xml:space="preserve"> (פ/557/23)</t>
  </si>
  <si>
    <t xml:space="preserve">הצעת חוק החזר הוצאות כספיות בגין עריכת נישואין אזרחיים בחוץ לארץ למי שאינם רשאים להינשא בישראל על פי דיני המדינה, התש"ף-2020</t>
  </si>
  <si>
    <t xml:space="preserve"> (פ/89/23)</t>
  </si>
  <si>
    <t xml:space="preserve">הצעת חוק ההוצאה לפועל (תיקון - ביטול הגבלת רישיון נהיגה) (הוראת שעה), התש"ף-2020</t>
  </si>
  <si>
    <t xml:space="preserve"> (פ/1099/23)</t>
  </si>
  <si>
    <t xml:space="preserve">25.08.2020</t>
  </si>
  <si>
    <t xml:space="preserve">הצעת חוק ההוצאה לפועל (תיקון - הגבלת רישיון נהיגה), התש"ף-2020</t>
  </si>
  <si>
    <t xml:space="preserve"> (פ/1089/23)</t>
  </si>
  <si>
    <t xml:space="preserve">הצעת חוק ההוצאה לפועל (תיקון - מגבלת רישיון נהיגה), התש"ף-2020</t>
  </si>
  <si>
    <t xml:space="preserve"> (פ/983/23)</t>
  </si>
  <si>
    <t xml:space="preserve">הצעת חוק ההוצאה לפועל (תיקון - ביטול הגבלת רישיון נהיגה), התש"ף-2020</t>
  </si>
  <si>
    <t xml:space="preserve"> (פ/399/23)</t>
  </si>
  <si>
    <t xml:space="preserve"> (פ/32/23)</t>
  </si>
  <si>
    <t xml:space="preserve">חוק-יסוד: הכנסת (תיקון מס' 50 - הוראת שעה) </t>
  </si>
  <si>
    <t xml:space="preserve"> (פ/1741/23)</t>
  </si>
  <si>
    <t xml:space="preserve"> (כ/847)</t>
  </si>
  <si>
    <t xml:space="preserve">24.08.2020</t>
  </si>
  <si>
    <t xml:space="preserve">חוק זה דוחה את היום הקובע לאישור חוק התקציב לפי סעיף 36א לחוק יסוד: הכנסת ליום ח' בטבת התשפ"א (23 בדצמבר 2020). כמו כן, קובע החוק בהוראת שעה תוספת של 11 מיליארד שקלים חדשים לתקציב ההמשכי. כמו כן נקבע כי שר האוצר יביא לאישור הממשלה תכנית פעולה מפרטת לשימוש בסכום ההוצאה הממשלתית שתובא לאישור ועדת הכספים של הכנסת עד ליום כ"ד באלול התש"ף (13 בספטמבר 2020). הממשלה לא תהיה רשאית להוציא את סכום 11 מיליארד השקלים האמור ללא אישורה של ועדת הכספים את התכנית האמורה. בנוסף, נקבע כי שינוי בסכומים של מרכיבי התכנית בשיעור העולה על 15% מאחד ממרכיבי התכנית, טעון אישור ועדת הכספים של הכנסת.</t>
  </si>
  <si>
    <t xml:space="preserve">חוק שכר שווה לעובדת ולעובד (תיקון מס' 6), התש"ף-2020</t>
  </si>
  <si>
    <t xml:space="preserve"> (פ/661/23)</t>
  </si>
  <si>
    <t xml:space="preserve"> (כ/846)</t>
  </si>
  <si>
    <t xml:space="preserve">החוק קובע כי מעסיק שמעסיק מעל 518 עובדים וכן מעסיק שמוטלת עליו חובת דיווח לפי סעיף 6א לחוק, יהיו מחוייבים לאסוף נתונים ולערוך דין וחשבון שנתי אודות פערי השכר במקום העבודה. הדוח הפנימי שיערוך המעסיק יכלול נתונים על השכר הממוצע של עובדים המועסקים אצלו, בפילוח לפי סוגי עובדים ומשרות, תוך פירוט פערי השכר הממוצע בין גברים לנשים בכל פילוח. החוק מחייב את המעסיק למסור, עם עריכת הדוח הפנימי ובהתבסס עליו, מידע לכל עובד בדבר פילוח העובדים שאליו משתייך העובד, סוגי המשרות שנכללו באותו פילוח ופערי השכר בתוך אותו פילוח באחוזים. במקביל מחוייב המעסיק לפרסם לציבור דוח פומבי שיכלול נתונים בדבר פערי השכר הקיימים אצלו, באחוזים, וזאת מבלי לפרסם מידע שיש בו כדי לאפשר זיהוי של העובדים, מידע רגיש או מידע המגלה את כינוי קבוצות העובדים במקום העבודה. מעסיק יכול לנמק בדוח הפומבי את פערי השכר בכל קבוצת עובדים. בנוסף נקבע כי דיווח של גוף ציבורי לפי סעיף 33א לחוק יסודות התקציב לממונה על השכר ייחשב כדוח פומבי לעניין חוק זה. שר העבודה, הרווחה והשירותים החברתיים, בהסכמת שר האוצר ובאישור ועדת העבודה, הרווחה והבריאות של הכנסת, רשאי לקבוע בעתיד, בצו, כי הוראות החוק יחולו גם על מעסיק המעסיק פחות מ-518 עובדים.</t>
  </si>
  <si>
    <t xml:space="preserve">הצעת חוק לתיקון פקודת המשטרה (רישוי הפגנות), התש"ף-2020</t>
  </si>
  <si>
    <t xml:space="preserve"> (פ/2025/23)</t>
  </si>
  <si>
    <t xml:space="preserve">הצעת חוק הגנת הצרכן (תיקון - תווי קנייה בעסקת מכר מרחוק והארכת תוקף תווי קנייה), התש"ף-2020</t>
  </si>
  <si>
    <t xml:space="preserve"> (פ/2024/23)</t>
  </si>
  <si>
    <t xml:space="preserve">הצעת חוק יישוב סכסוכי עבודה (תיקון - הוספת שירות לשינוע מזומנים ומעות להגדרה "שירות ציבורי"), התש"ף-2020</t>
  </si>
  <si>
    <t xml:space="preserve"> (פ/2023/23)</t>
  </si>
  <si>
    <t xml:space="preserve">הצעת חוק פיצוי לנפגעי פוליו (תיקון - הרחבת הזכאות לחולים שנותחו לפני שנת 1980), התש"ף-2020</t>
  </si>
  <si>
    <t xml:space="preserve"> (פ/2021/23)</t>
  </si>
  <si>
    <t xml:space="preserve">הצעת חוק החברות הממשלתיות (תיקון - קווי פעולה של חברה ממשלתית), התש"ף-2020</t>
  </si>
  <si>
    <t xml:space="preserve"> (פ/2020/23)</t>
  </si>
  <si>
    <t xml:space="preserve">הצעת חוק בתי המשפט (תיקון - מחלקות לעבירות מין), התש"ף-2020</t>
  </si>
  <si>
    <t xml:space="preserve"> (פ/2019/23)</t>
  </si>
  <si>
    <t xml:space="preserve">הצעת חוק הדיינים (תיקון - כשירות למנהל בתי הדין הרבניים), התש"ף-2020</t>
  </si>
  <si>
    <t xml:space="preserve"> (פ/2018/23)</t>
  </si>
  <si>
    <t xml:space="preserve">הצעת חוק החברות (תיקון - ייצוג הולם לאוכלוסייה הערבית בדירקטוריונים של חברות ציבוריות), התש"ף-2020</t>
  </si>
  <si>
    <t xml:space="preserve"> (פ/2017/23)</t>
  </si>
  <si>
    <t xml:space="preserve">הצעת חוק יישום תכנית ההתנתקות (תיקון - ביטול סעיפי הפינוי ושינוי שם החוק), התש"ף-2020</t>
  </si>
  <si>
    <t xml:space="preserve"> (פ/2016/23)</t>
  </si>
  <si>
    <t xml:space="preserve">הצעת חוק שיפוט בתי דין רבניים (נישואין וגירושין) (תיקון - מינוי נציגות ציבור), התש"ף-2020</t>
  </si>
  <si>
    <t xml:space="preserve"> (פ/2015/23)</t>
  </si>
  <si>
    <t xml:space="preserve"> (פ/2014/23)</t>
  </si>
  <si>
    <t xml:space="preserve">הצעת חוק דמי מחלה (תיקון - הוספת ימי בידוד בעקבות נגיף הקורונה לימי המחלה) (הוראת שעה), התש"ף-2020</t>
  </si>
  <si>
    <t xml:space="preserve"> (פ/2013/23)</t>
  </si>
  <si>
    <t xml:space="preserve">הצעת חוק תיעוד הדבקה של כתבי בית דין (תיקוני חקיקה), התש"ף-2020</t>
  </si>
  <si>
    <t xml:space="preserve"> (פ/2012/23)</t>
  </si>
  <si>
    <t xml:space="preserve">הצעת חוק הרבנות הראשית לישראל (תיקון - ייצוג הולם לנשים בהרכב האסיפה הבוחרת), התש"ף-2020</t>
  </si>
  <si>
    <t xml:space="preserve"> (פ/2011/23)</t>
  </si>
  <si>
    <t xml:space="preserve">הצעת חוק העונשין (תיקון - חילוט רווחי סרסרות), התש"ף-2020</t>
  </si>
  <si>
    <t xml:space="preserve"> (פ/2010/23)</t>
  </si>
  <si>
    <t xml:space="preserve"> (פ/2009/23)</t>
  </si>
  <si>
    <t xml:space="preserve">הצעת חוק תמיכה במימון פעילות ארגון נכי צה"ל ובתי הלוחם, התש"ף-2020</t>
  </si>
  <si>
    <t xml:space="preserve"> (פ/2008/23)</t>
  </si>
  <si>
    <t xml:space="preserve">הצעת חוק הכרה באחים שכולים ובזכויותיהם, התש"ף-2020</t>
  </si>
  <si>
    <t xml:space="preserve"> (פ/2007/23)</t>
  </si>
  <si>
    <t xml:space="preserve">הצעת חוק השתלת אברים (תיקון - שינוי ברירת המחדל), התש"ף-2020</t>
  </si>
  <si>
    <t xml:space="preserve"> (פ/2006/23)</t>
  </si>
  <si>
    <t xml:space="preserve">הצעת חוק הטבות מס ליישוב מעורב, התש"ף-2020</t>
  </si>
  <si>
    <t xml:space="preserve"> (פ/2005/23)</t>
  </si>
  <si>
    <t xml:space="preserve">הצעת חוק להפסקת פעילות סוכנות הסעד והתעסוקה של האו"ם לפליטי פלסטין במזרח הקרוב (אונר"א), התש"ף-2020</t>
  </si>
  <si>
    <t xml:space="preserve"> (פ/2004/23)</t>
  </si>
  <si>
    <t xml:space="preserve">הצעת חוק המים (תיקון - הוספת נציג ציבור לעניין איכות הסביבה למועצת רשות המים), התש"ף-2020</t>
  </si>
  <si>
    <t xml:space="preserve"> (פ/2003/23)</t>
  </si>
  <si>
    <t xml:space="preserve">הצעת חוק רשות מקרקעי ישראל (תיקון - הקצאת קרקעות בנגב ובגליל לחיילים משוחררים), התש"ף-2020</t>
  </si>
  <si>
    <t xml:space="preserve"> (פ/2002/23)</t>
  </si>
  <si>
    <t xml:space="preserve">הצעת חוק איסור ניתוק משירותי חשמל, מים וגז (הוראת שעה - נגיף הקורונה החדש) (תיקוני חקיקה), התש"ף-2020</t>
  </si>
  <si>
    <t xml:space="preserve"> (פ/2001/23)</t>
  </si>
  <si>
    <t xml:space="preserve">הצעת חוק איסור הפליה במוצרים, בשירותים ובכניסה למקומות בידור ולמקומות ציבוריים (תיקון - איסור הפרדה), התש"ף-2020</t>
  </si>
  <si>
    <t xml:space="preserve"> (פ/2000/23)</t>
  </si>
  <si>
    <t xml:space="preserve">הצעת חוק תאגידי מים וביוב (תיקון - ביטול החוק והוראות מעבר), התש"ף-2020</t>
  </si>
  <si>
    <t xml:space="preserve"> (פ/1999/23)</t>
  </si>
  <si>
    <t xml:space="preserve">הצעת חוק לתיקון פקודת הנמלים (פרק הזמן המרבי למתן שירות מקדים לפריקת מטען מאוניות), התש"ף-2020</t>
  </si>
  <si>
    <t xml:space="preserve"> (פ/1998/23)</t>
  </si>
  <si>
    <t xml:space="preserve">הצעת חוק איסור פרסומת והגבלת השיווק של מוצרי טבק ועישון (תיקון - הגבלת כמויות חומרים רעילים בסיגריות), התש"ף-2020</t>
  </si>
  <si>
    <t xml:space="preserve"> (פ/1997/23)</t>
  </si>
  <si>
    <t xml:space="preserve">הצעת חוק איסור הפליה במוצרים, בשירותים ובכניסה למקומות בידור ולמקומות ציבוריים (תיקון - איסור הפליה במוסדות חינוך, החלת אחריות אישית על מנהלי בתי ספר והגדלת סכום הפיצוי ללא הוכחת נזק), התש"ף-2020</t>
  </si>
  <si>
    <t xml:space="preserve"> (פ/1996/23)</t>
  </si>
  <si>
    <t xml:space="preserve">הצעת חוק פיצוי עסקים קטנים בשל אירועי איבה מתמשכים או מצב חירום כלכלי, התש"ף-2020</t>
  </si>
  <si>
    <t xml:space="preserve"> (פ/1995/23)</t>
  </si>
  <si>
    <t xml:space="preserve">הצעת חוק לתיקון פקודת המכס (ביטול חיוב בעד בדיקת טובין), התש"ף-2020</t>
  </si>
  <si>
    <t xml:space="preserve"> (פ/1994/23)</t>
  </si>
  <si>
    <t xml:space="preserve">הצעת חוק לעידוד מחקר, פיתוח וחדשנות טכנולוגית בתעשייה (תיקון - תקציב הרשות הלאומית לחדשנות טכנולוגית), התש"ף-2020</t>
  </si>
  <si>
    <t xml:space="preserve"> (פ/1993/23)</t>
  </si>
  <si>
    <t xml:space="preserve">הצעת חוק מס ערך מוסף (תיקון - פטור בעת קניית דירה ראשונה לזוגות צעירים), התש"ף-2020</t>
  </si>
  <si>
    <t xml:space="preserve"> (פ/1991/23)</t>
  </si>
  <si>
    <t xml:space="preserve">הצעת חוק לתיקון פקודת מס הכנסה (ביטול מס בגין זקיפה סלולרית), התש"ף-2020</t>
  </si>
  <si>
    <t xml:space="preserve"> (פ/1990/23)</t>
  </si>
  <si>
    <t xml:space="preserve">הצעת חוק הגבלת מימון מפעלים מזהמים (תיקוני חקיקה), התש"ף-2020</t>
  </si>
  <si>
    <t xml:space="preserve"> (פ/1989/23)</t>
  </si>
  <si>
    <t xml:space="preserve">הצעת חוק מס ערך מוסף (תיקון - העברת מס בין עוסקים מורשים), התש"ף-2020</t>
  </si>
  <si>
    <t xml:space="preserve"> (פ/1988/23)</t>
  </si>
  <si>
    <t xml:space="preserve">הצעת חוק מס רכוש וקרן פיצויים (תיקון - פיצוי בעד נזקי מגפת הקורונה) (הוראת שעה), התש"ף-2020</t>
  </si>
  <si>
    <t xml:space="preserve"> (פ/1987/23)</t>
  </si>
  <si>
    <t xml:space="preserve">הצעת חוק פיצוי עסקים קטנים בשל אירועי איבה מתמשכים, התש"ף-2020</t>
  </si>
  <si>
    <t xml:space="preserve"> (פ/1986/23)</t>
  </si>
  <si>
    <t xml:space="preserve">הצעת חוק שעות עבודה ומנוחה (תיקון - הסדרת סוף שבוע ארוך), התש''ף-2020</t>
  </si>
  <si>
    <t xml:space="preserve"> (פ/1985/23)</t>
  </si>
  <si>
    <t xml:space="preserve">הצעת חוק ביטוח בריאות ממלכתי (תיקון - החזר דמי נסיעות עבור חולה סיעודי וחולה שנפטר), התש"ף-2020 </t>
  </si>
  <si>
    <t xml:space="preserve"> (פ/1984/23)</t>
  </si>
  <si>
    <t xml:space="preserve">הצעת חוק לתיקון פקודת האגודות השיתופיות (מספר בתי אב ביישוב קהילתי), התש"ף-2020</t>
  </si>
  <si>
    <t xml:space="preserve"> (פ/1983/23)</t>
  </si>
  <si>
    <t xml:space="preserve">הצעת חוק המיזם הלאומי לביטחון תזונתי, התש"ף-2020 </t>
  </si>
  <si>
    <t xml:space="preserve"> (פ/1982/23)</t>
  </si>
  <si>
    <t xml:space="preserve">הצעת חוק סדר הדין הפלילי (תיקון - החרגת עובד מערכת אכיפת החוק מתקופת ההתיישנות), התש"ף-2020</t>
  </si>
  <si>
    <t xml:space="preserve"> (פ/1981/23)</t>
  </si>
  <si>
    <t xml:space="preserve">הצעת חוק עבודת נשים (תיקון - תקופת לידה והורות להורה יחיד), התש"ף-2020 </t>
  </si>
  <si>
    <t xml:space="preserve"> (פ/1980/23)</t>
  </si>
  <si>
    <t xml:space="preserve">הצעת חוק זכויות הסטודנט (תיקון - ייצוג הולם במוסדות אגודת הסטודנטים), התש"ף-2020</t>
  </si>
  <si>
    <t xml:space="preserve"> (פ/1979/23)</t>
  </si>
  <si>
    <t xml:space="preserve">הצעת חוק זכויות הסטודנט (תיקון - פרסום ושילוט בשפה הערבית), התש"ף-2020</t>
  </si>
  <si>
    <t xml:space="preserve"> (פ/1978/23)</t>
  </si>
  <si>
    <t xml:space="preserve">הצעת חוק זכויות הסטודנט (תיקון - התאמות לאוכלוסייה הערבית - חגים), התש"ף-2020</t>
  </si>
  <si>
    <t xml:space="preserve"> (פ/1977/23)</t>
  </si>
  <si>
    <t xml:space="preserve">הצעת חוק המועצה להשכלה גבוה (תיקון - ייצוג הולם), התש"ף-2020</t>
  </si>
  <si>
    <t xml:space="preserve"> (פ/1976/23)</t>
  </si>
  <si>
    <t xml:space="preserve">הצעת חוק משפחות חיילים שנספו במערכה (תגמולים ושיקום) (תיקון - הטבות רפואיות לאלמנה), התש"ף-2020</t>
  </si>
  <si>
    <t xml:space="preserve"> (פ/1975/23)</t>
  </si>
  <si>
    <t xml:space="preserve">הצעת חוק התאמת אופן ההעסקה של מטפלות במשפחתונים המפוקחים על ידי האגף למעונות יום ומשפחתונים במשרד העבודה, הרווחה והשירותים החברתיים, התש"ף-2020</t>
  </si>
  <si>
    <t xml:space="preserve"> (פ/1974/23)</t>
  </si>
  <si>
    <t xml:space="preserve">הצעת חוק הגנה על עובדים בשעת חירום (תיקון - היעדרות הורה מחמת הגבלת לימודים מכוח פקודת בריאות העם), התש"ף-2020</t>
  </si>
  <si>
    <t xml:space="preserve"> (פ/1973/23)</t>
  </si>
  <si>
    <t xml:space="preserve">הצעת חוק התרבות והאמנות (תיקון - הקצאה שוויונית בתקציב לחברה הערבית), התש"ף-2020</t>
  </si>
  <si>
    <t xml:space="preserve"> (פ/1972/23)</t>
  </si>
  <si>
    <t xml:space="preserve">הצעת חוק חינוך ממלכתי (תיקון - חובת הטמעת ערכי הסובלנות ומיגור האלימות), התש"ף-2020</t>
  </si>
  <si>
    <t xml:space="preserve"> (פ/1971/23)</t>
  </si>
  <si>
    <t xml:space="preserve">הצעת חוק דמי מחלה (תיקון - קרן ימי מחלה), התש"ף-2020</t>
  </si>
  <si>
    <t xml:space="preserve"> (פ/1970/23)</t>
  </si>
  <si>
    <t xml:space="preserve">הצעת חוק זכויות הסטודנט (תיקון - ייעוץ אקדמי בערבית), התש"ף-2020 </t>
  </si>
  <si>
    <t xml:space="preserve"> (פ/1969/23)</t>
  </si>
  <si>
    <t xml:space="preserve">הצעת חוק זכויות הסטודנט (תיקון - קורס דיאלוג רב תרבותי), התש"ף-2020</t>
  </si>
  <si>
    <t xml:space="preserve"> (פ/1968/23)</t>
  </si>
  <si>
    <t xml:space="preserve">הצעת חוק הביטוח הלאומי (תיקון - הארכת התקופה לקבלת קצבה רטרואקטיבית), התש"ף-2020</t>
  </si>
  <si>
    <t xml:space="preserve"> (פ/1967/23)</t>
  </si>
  <si>
    <t xml:space="preserve">הצעת חוק עבודת הנשים (תיקון - תגמול לעובדת עצמאית שבן זוגה משרת במילואים), התש"ף-2020</t>
  </si>
  <si>
    <t xml:space="preserve"> (פ/1966/23)</t>
  </si>
  <si>
    <t xml:space="preserve">הצעת חוק יום השפה הערבית, התש"ף-2020</t>
  </si>
  <si>
    <t xml:space="preserve"> (פ/1965/23)</t>
  </si>
  <si>
    <t xml:space="preserve">הצעת חוק הכנסת (תיקון - קביעת שכר חברי הכנסת בידי ועדה ציבורית), התש"ף-2020</t>
  </si>
  <si>
    <t xml:space="preserve"> (פ/1964/23)</t>
  </si>
  <si>
    <t xml:space="preserve">הצעת חוק הכנסת (תיקון - חוות דעת בעניין השלכות חקיקה על השוויון), התש"ף-2020</t>
  </si>
  <si>
    <t xml:space="preserve"> (פ/1963/23)</t>
  </si>
  <si>
    <t xml:space="preserve">חוק למתן שירותים חיוניים מרחוק (נגיף הקורונה החדש - הוראת שעה), התש"ף-2020</t>
  </si>
  <si>
    <t xml:space="preserve"> (מ/1343)</t>
  </si>
  <si>
    <t xml:space="preserve">19.08.2020</t>
  </si>
  <si>
    <t xml:space="preserve">החוק מסמיך את הגורם הממונה- שר או גורם אחר הממונה על התקנת תקנות בנושא מסוים, וכן נושא משרה בכיר שאחד מאלה האציל לו את סמכותו,  לקבוע כי בתקופת תוקפה של הכרזה על מצב חירום בשל התפרצות נגיף הקורונה, שירות חיוני שנועד להבטיח את בטחונו התעסוקתי, הכלכלי או הסוציאלי של אדם, הניתן בידי גוף ציבורי, שהדין הקיים אינו מאפשר במידה מספקת את מתן השירות מרחוק – יינתן כשירות מרחוק בנוסף לשירות בדרך הקבועה.  עוד מעגן החוק, בהוראת שעה, את ההסדר שנקבע בתקנות שעות חירום ביחס להסכמת הלקוח לחוזה כרטיסי חיוב בחתימתו. במקביל, מתקן החוק את חוק הוצאה לפועל, התשכ"ז-1967 ומסייג את ההגבלות הקבועות בו על כל כרטיסי החיוב המיידיים. ההסדר יחול רטרואקטיבית.  הוספת גופים ציבוריים נוספים לתחולת החוק תחול באמצעות שינוי התוספת ובאישור ועדת המדע של הכנסת. חוק זה יעמוד בתוקפו עד תום תקופת תוקפו של חוק סמכויות מיוחדות בשל נגיף הקורונה.      </t>
  </si>
  <si>
    <t xml:space="preserve"> (פ/1466/23)</t>
  </si>
  <si>
    <t xml:space="preserve">הצעת חוק-יסוד: המיעוט הערבי כמיעוט לאומי </t>
  </si>
  <si>
    <t xml:space="preserve"> (פ/1200/23)</t>
  </si>
  <si>
    <t xml:space="preserve">הצעת חוק איסור כספים קואליציוניים, התש"ף-2020</t>
  </si>
  <si>
    <t xml:space="preserve"> (פ/1051/23)</t>
  </si>
  <si>
    <t xml:space="preserve">הצעת חוק הביטוח הלאומי (תיקון - זכאות לדמי אבטלה מגיל 18), התש"ף-2020</t>
  </si>
  <si>
    <t xml:space="preserve"> (פ/835/23)</t>
  </si>
  <si>
    <t xml:space="preserve">הצעת חוק לתיקון פקודת העדה הדתית (המרה) (גיור על ידי רב מקומי), התש"ף-2020</t>
  </si>
  <si>
    <t xml:space="preserve"> (פ/428/23)</t>
  </si>
  <si>
    <t xml:space="preserve">הצעת חוק המשתתף החופשי, התש"ף-2020</t>
  </si>
  <si>
    <t xml:space="preserve"> (פ/248/23)</t>
  </si>
  <si>
    <t xml:space="preserve">הצעת חוק הגנה על זכויות הדורות הבאים, התש"ף-2020</t>
  </si>
  <si>
    <t xml:space="preserve"> (פ/63/23)</t>
  </si>
  <si>
    <t xml:space="preserve">הצעת חוק ליישוב תחת איום מידי (הוראת שעה), התש"ף-2020</t>
  </si>
  <si>
    <t xml:space="preserve"> (פ/60/23)</t>
  </si>
  <si>
    <t xml:space="preserve">חוק סמכויות מיוחדות להתמודדות עם נגיף הקורונה החדש (הוראת שעה) (תיקון), התש"ף-2020</t>
  </si>
  <si>
    <t xml:space="preserve"> (מ/1332)</t>
  </si>
  <si>
    <t xml:space="preserve">17.08.2020</t>
  </si>
  <si>
    <t xml:space="preserve">במסגרת התיקון תוקנו היבטים שונים בחוק ובכלל זה נקבע כי בנסיבות מסוימות ניתן להחליף את הבידוד מטעם המדינה לחייבי בידוד, לבידוד בבית מגוריהם או במקום אחר העומד לרשותם. כמו כן, הורחבה אחריות המדינה כלפי השוהים במלוניות וכחלק מכך על המדינה לספק תנאי מגורים ותברואה הולמים. בנוסף, הוסדרה האפשרות להוצאת צו סגירה מנהלי למקרים בהם מקום אינו פועל לפי הוראות החוק ותקנותיו, זאת למעט בתי תפילה, מוסדות חינוך או מוסדות רווחה. לבסוף, נקבע כי משרד הבריאות היה מוסמך לקבל מעסקים מסוימים מספרי טלפון וכן פרטים נוספים של מי ששהה במקום.</t>
  </si>
  <si>
    <t xml:space="preserve">חוק שיקים ללא כיסוי (תיקון מס' 14), התש"ף-2020</t>
  </si>
  <si>
    <t xml:space="preserve"> (פ/410/23)</t>
  </si>
  <si>
    <t xml:space="preserve"> (כ/845)</t>
  </si>
  <si>
    <t xml:space="preserve">הוחלט לתקן את חוק שיקים ללא כיסוי ולקבוע כי כאשר מוצג שיק לפירעון ואין בחשבון הבנק יתרה מספקת שמאפשרת את פירעונו, הבנק יהיה חייב להודיע לבעל החשבון, מוקדם ככל הניתן, שעליו להפקיד כספים בחשבון עד שעתיים וחצי לפני תום יום העסקים כדי למנוע את סירוב השיק. כמו כן, הוחלט להוסיף עילות נוספות הנוגעות למסירת ההודעה כאמור לעילות המאפשרות ללקוח מוגבל וללקוח מוגבל חמור לבקש מבית המשפט לבטל הבאת שיק שסורב במניין השיקים שסורבו וכן, להסמיך את המפקח על הבנקים לקבוע הוראות ביצוע פרטניות בעניין פרטי ההודעה ושליחתה.</t>
  </si>
  <si>
    <t xml:space="preserve">הצעת חוק פרסומים רשמיים מטעם הכנסת (תיקוני חקיקה), התש"ף-2020</t>
  </si>
  <si>
    <t xml:space="preserve"> (פ/1962/23)</t>
  </si>
  <si>
    <t xml:space="preserve"> (פ/1961/23)</t>
  </si>
  <si>
    <t xml:space="preserve">הצעת חוק עסקאות גופים ציבוריים (תיקון - מניעת העסקה במיקור חוץ בשירות הציבורי), התש"ף-2020</t>
  </si>
  <si>
    <t xml:space="preserve"> (פ/1960/23)</t>
  </si>
  <si>
    <t xml:space="preserve">הצעת חוק הביטוח הלאומי (תיקון - ביטול מעמד עקרת הבית), התש"ף-2020</t>
  </si>
  <si>
    <t xml:space="preserve"> (פ/1959/23)</t>
  </si>
  <si>
    <t xml:space="preserve">הצעת חוק הסניגוריה הציבורית (תיקון - ליווי משפטי בשפת חשוד שהוא קטין), התש"ף-2020</t>
  </si>
  <si>
    <t xml:space="preserve"> (פ/1958/23)</t>
  </si>
  <si>
    <t xml:space="preserve">הצעת חוק העונשין (תיקון - חובת פיצוי נפגע עבירה וחובת הנמקה), התש"ף-2020</t>
  </si>
  <si>
    <t xml:space="preserve"> (פ/1957/23)</t>
  </si>
  <si>
    <t xml:space="preserve">הצעת חוק העונשין (תיקון - חובת דיווח של איש דת או טוען רבני), התש"ף-2020</t>
  </si>
  <si>
    <t xml:space="preserve"> (פ/1956/23)</t>
  </si>
  <si>
    <t xml:space="preserve">הצעת חוק ההתיישנות (תיקון - הרחבת הגדרת בן משפחה לעניין תקופת ההתיישנות של תביעה בשל תקיפה מינית או התעללות), התש"ף-2020</t>
  </si>
  <si>
    <t xml:space="preserve"> (פ/1955/23)</t>
  </si>
  <si>
    <t xml:space="preserve">הצעת חוק ביטול עונש המוות (תיקוני חקיקה), התש"ף-2020</t>
  </si>
  <si>
    <t xml:space="preserve"> (פ/1954/23)</t>
  </si>
  <si>
    <t xml:space="preserve">הצעת חוק לתיקון סדרי המינהל (החלטות והנמקות) (תיקון - חובת מתן תשובה במועד), התש"ף-2020</t>
  </si>
  <si>
    <t xml:space="preserve"> (פ/1953/23)</t>
  </si>
  <si>
    <t xml:space="preserve">הצעת חוק שירות המדינה (מינויים) (תיקון - תקופת צינון במעבר מהמגזר הפרטי לשירות המדינה), התש"ף-2020</t>
  </si>
  <si>
    <t xml:space="preserve"> (פ/1952/23)</t>
  </si>
  <si>
    <t xml:space="preserve">הצעת חוק לתיקון פקודת מס הכנסה (ניכוי תשלומים לביטוח בריאות לעצמאים), התש"ף-2020</t>
  </si>
  <si>
    <t xml:space="preserve"> (פ/1951/23)</t>
  </si>
  <si>
    <t xml:space="preserve">הצעת חוק מס ערך מוסף (תיקון - חוברת זכויות), התש"ף-2020</t>
  </si>
  <si>
    <t xml:space="preserve"> (פ/1950/23)</t>
  </si>
  <si>
    <t xml:space="preserve">הצעת חוק לתיקון פקודת מס הכנסה (הכרה בניכוי הפקדות לביטוח סיעודי), התש"ף-2020</t>
  </si>
  <si>
    <t xml:space="preserve"> (פ/1949/23)</t>
  </si>
  <si>
    <t xml:space="preserve">הצעת חוק לביטול ולהארכת ההתיישנות בעבירות מין והטרדה מינית (תיקוני חקיקה), התש"ף-2020</t>
  </si>
  <si>
    <t xml:space="preserve"> (פ/1948/23)</t>
  </si>
  <si>
    <t xml:space="preserve">הצעת חוק העונשין (תיקון - איסור על עבירות נלוות לחשפנות לצורך גירוי מיני), התש"ף-2020</t>
  </si>
  <si>
    <t xml:space="preserve"> (פ/1947/23)</t>
  </si>
  <si>
    <t xml:space="preserve">הצעת חוק העמותות (תיקון - שקיפות במימון ממשלתי או עירוני), התש"ף-2020</t>
  </si>
  <si>
    <t xml:space="preserve"> (פ/1946/23)</t>
  </si>
  <si>
    <t xml:space="preserve">הצעת חוק הסדרים במשק המדינה (תיקוני חקיקה להשגת יעדי התקציב) (תיקון - הנחה מארנונה לעסק חדש בשנת פעילותו הראשונה), התש"ף-2020</t>
  </si>
  <si>
    <t xml:space="preserve"> (פ/1945/23)</t>
  </si>
  <si>
    <t xml:space="preserve">הצעת חוק לתיקון פקודת מס הכנסה (עידוד צמיחה לעסקים עצמאיים קטנים ובינוניים), התש"ף-2020</t>
  </si>
  <si>
    <t xml:space="preserve"> (פ/1944/23)</t>
  </si>
  <si>
    <t xml:space="preserve">הצעת חוק איסור הפליה בדיור, התש"ף-2020</t>
  </si>
  <si>
    <t xml:space="preserve"> (פ/1943/23)</t>
  </si>
  <si>
    <t xml:space="preserve">הצעת חוק התרת נישואין אזרחיים (תיקוני חקיקה), התש"ף-2020</t>
  </si>
  <si>
    <t xml:space="preserve"> (פ/1942/23)</t>
  </si>
  <si>
    <t xml:space="preserve">הצעת חוק הפיקוח על שירותים פיננסיים (קופות גמל) (תיקון - השקעה של גוף מוסדי בתעשייה עתירת ידע בישראל), התש"ף-2020</t>
  </si>
  <si>
    <t xml:space="preserve"> (פ/1941/23)</t>
  </si>
  <si>
    <t xml:space="preserve">הצעת חוק לעידוד השקעות הון (תיקון - הקלה בתנאי סף למפעל קטן) (הוראת שעה), התש"ף-2020</t>
  </si>
  <si>
    <t xml:space="preserve"> (פ/1940/23)</t>
  </si>
  <si>
    <t xml:space="preserve">הצעת חוק יישוב סכסוכי עבודה (תיקון - איסור שביתה בבתי ספר יסודיים וגני ילדים) (הוראת שעה), התש"ף-2020</t>
  </si>
  <si>
    <t xml:space="preserve"> (פ/1939/23)</t>
  </si>
  <si>
    <t xml:space="preserve">הצעת חוק הביטוח הלאומי (תיקון - פטור מתשלום דמי ביטוח לתלמיד על יסודי), התש"ף-2020</t>
  </si>
  <si>
    <t xml:space="preserve"> (פ/1938/23)</t>
  </si>
  <si>
    <t xml:space="preserve">הצעת חוק הביטוח הלאומי (תיקון - הגדלת סכום קצבאות הילדים), התש"ף-2020</t>
  </si>
  <si>
    <t xml:space="preserve"> (פ/1937/23)</t>
  </si>
  <si>
    <t xml:space="preserve">הצעת חוק הביטוח הלאומי (תיקון - קצבת תלויים בעד כל ילדי נכה), התש"ף-2020</t>
  </si>
  <si>
    <t xml:space="preserve"> (פ/1936/23)</t>
  </si>
  <si>
    <t xml:space="preserve">הצעת חוק שוויון הזדמנויות בעבודה (תיקון - ייצוג הולם לאוכלוסייה הערבית), התש"ף-2020</t>
  </si>
  <si>
    <t xml:space="preserve"> (פ/1935/23)</t>
  </si>
  <si>
    <t xml:space="preserve">הצעת חוק לקידום שירותי הרפואה בעיר אילת (תיקוני חקיקה), התש"ף-2020</t>
  </si>
  <si>
    <t xml:space="preserve"> (פ/1934/23)</t>
  </si>
  <si>
    <t xml:space="preserve">הצעת חוק לתיקון פקודת בריאות העם (הבטחת שירותי בידור לחולים), התש"ף-2020</t>
  </si>
  <si>
    <t xml:space="preserve"> (פ/1932/23)</t>
  </si>
  <si>
    <t xml:space="preserve">הצעת חוק הרשות הלאומית למניעה ולמאבק באלימות במשפחה ובאלימות נגד נשים, התש"ף-2020</t>
  </si>
  <si>
    <t xml:space="preserve"> (פ/1931/23)</t>
  </si>
  <si>
    <t xml:space="preserve">הצעת חוק הביטוח הלאומי (תיקון - תשלום דמי אבטלה בעת שירות), התש"ף-2020</t>
  </si>
  <si>
    <t xml:space="preserve"> (פ/1930/23)</t>
  </si>
  <si>
    <t xml:space="preserve">הצעת חוק ביטוח בריאות ממלכתי (תיקון - החזר עבור פינוי באמבולנס מבית הספר בשל התקף אנפילקסיס), התש"ף-2020</t>
  </si>
  <si>
    <t xml:space="preserve"> (פ/1929/23)</t>
  </si>
  <si>
    <t xml:space="preserve">הצעת חוק גיל פרישה (תיקון - ביטול גיל פרישת חובה), התש"ף-2020</t>
  </si>
  <si>
    <t xml:space="preserve"> (פ/1927/23)</t>
  </si>
  <si>
    <t xml:space="preserve">הצעת חוק הביטוח הלאומי (תיקון - דמי לידה מוגדלים לעצמאית), התש"ף-2020</t>
  </si>
  <si>
    <t xml:space="preserve"> (פ/1926/23)</t>
  </si>
  <si>
    <t xml:space="preserve">הצעת חוק התאמת לוח חופשות הלימודים לשעות העבודה והמנוחה במשק (תיקוני חקיקה), התש"ף-2020</t>
  </si>
  <si>
    <t xml:space="preserve"> (פ/1925/23)</t>
  </si>
  <si>
    <t xml:space="preserve">הצעת חוק הביטוח הלאומי (תיקון - זכאות לדמי אבטלה לעובד שהתפטר לשם טיפול בילדו), התש"ף-2020</t>
  </si>
  <si>
    <t xml:space="preserve"> (פ/1924/23)</t>
  </si>
  <si>
    <t xml:space="preserve">הצעת חוק למניעת התנכלות תעסוקתית, התש"ף-2020</t>
  </si>
  <si>
    <t xml:space="preserve"> (פ/1923/23)</t>
  </si>
  <si>
    <t xml:space="preserve">הצעת חוק הביטוח הלאומי (תיקון - הכרה בפגיעה מינית בעבודה כתאונת עבודה), התש"ף-2020</t>
  </si>
  <si>
    <t xml:space="preserve"> (פ/1922/23)</t>
  </si>
  <si>
    <t xml:space="preserve">הצעת חוק עבודת נשים (תיקון - איסור פגיעה בתנאי עבודה של עובד שחלה הגבלה על פיטוריו), התש"ף-2020</t>
  </si>
  <si>
    <t xml:space="preserve"> (פ/1921/23)</t>
  </si>
  <si>
    <t xml:space="preserve">הצעת חוק שכר שווה לעובדת ולעובד (תיקון - חובת מסירת מידע), התש"ף-2020</t>
  </si>
  <si>
    <t xml:space="preserve"> (פ/1920/23)</t>
  </si>
  <si>
    <t xml:space="preserve">הצעת חוק הביטוח הלאומי (תיקון - מענק הסתגלות לעצמאית) (הוראת שעה), התש"ף-2020</t>
  </si>
  <si>
    <t xml:space="preserve"> (פ/1919/23)</t>
  </si>
  <si>
    <t xml:space="preserve">הצעת חוק הביטוח הלאומי (תיקון - חישוב דמי לידה למבוטחת עצמאית), התש"ף-2020</t>
  </si>
  <si>
    <t xml:space="preserve"> (פ/1918/23)</t>
  </si>
  <si>
    <t xml:space="preserve">הצעת חוק הבטחת הכנסה (תיקון - מסגרת שיקומית מזנות), התש"ף-2020</t>
  </si>
  <si>
    <t xml:space="preserve"> (פ/1917/23)</t>
  </si>
  <si>
    <t xml:space="preserve">הצעת חוק הביטוח הלאומי (תיקון - דמי מחלה לעובד עצמאי), התש"ף-2020</t>
  </si>
  <si>
    <t xml:space="preserve"> (פ/1916/23)</t>
  </si>
  <si>
    <t xml:space="preserve">הצעת חוק הבטחת הכנסה (תיקון - הגדלת הסכום להשתכרות בנוסף לקצבה), התש"ף-2020</t>
  </si>
  <si>
    <t xml:space="preserve"> (פ/1915/23)</t>
  </si>
  <si>
    <t xml:space="preserve">הצעת חוק לתיקון פקודת הרוקחים (הכשרת עוזרי רוקח), התש"ף-2020</t>
  </si>
  <si>
    <t xml:space="preserve"> (פ/1914/23)</t>
  </si>
  <si>
    <t xml:space="preserve">הצעת חוק עבודת נשים (תיקון - תקופת לידה והורות לעובד עצמאי), התש"ף-2020</t>
  </si>
  <si>
    <t xml:space="preserve"> (פ/1913/23)</t>
  </si>
  <si>
    <t xml:space="preserve">הצעת חוק עבודת נשים (תיקון - הסדרי עבודה גמישים להורה עצמאי), התש"ף-2020</t>
  </si>
  <si>
    <t xml:space="preserve"> (פ/1912/23)</t>
  </si>
  <si>
    <t xml:space="preserve">הצעת חוק ביטוח בריאות ממלכתי (תיקון - פטור מתקופת המתנה לסטודנטים הלומדים בחו"ל), התש"ף-2020</t>
  </si>
  <si>
    <t xml:space="preserve"> (פ/1911/23)</t>
  </si>
  <si>
    <t xml:space="preserve">הצעת חוק לתיקון פקודת מס הכנסה (ניכוי הוצאות החזקת רכב), התש"ף-2020</t>
  </si>
  <si>
    <t xml:space="preserve"> (פ/1910/23)</t>
  </si>
  <si>
    <t xml:space="preserve"> (פ/1909/23)</t>
  </si>
  <si>
    <t xml:space="preserve">הצעת חוק לתיקון פקודת מסי העירייה ומסי הממשלה (פטורין) (פטור מארנונה למגורים), התש"ף-2020</t>
  </si>
  <si>
    <t xml:space="preserve"> (פ/1908/23)</t>
  </si>
  <si>
    <t xml:space="preserve">הצעת חוק הביטוח הלאומי (תיקון - תשלום גמלה לשמירת היריון בעד כל התקופה), התש"ף-2020</t>
  </si>
  <si>
    <t xml:space="preserve"> (פ/1907/23)</t>
  </si>
  <si>
    <t xml:space="preserve"> (פ/1906/23)</t>
  </si>
  <si>
    <t xml:space="preserve">הצעת חוק למניעת הטרדה מינית (תיקון - תחולה על מטפל במסגרת טיפול נפשי, בריאותי, רפואי או פארה-רפואי), התש"ף-2020</t>
  </si>
  <si>
    <t xml:space="preserve"> (פ/1905/23)</t>
  </si>
  <si>
    <t xml:space="preserve">הצעת חוק למניעת הטרדה מינית (תיקון - נקיטת אמצעים למניעת הטרדה מינית במקומות בילוי), התש"ף-2020</t>
  </si>
  <si>
    <t xml:space="preserve"> (פ/1904/23)</t>
  </si>
  <si>
    <t xml:space="preserve">הצעת חוק למניעת הטרדה מינית (תיקון - הטלת חובות לשם מניעת הטרדה מינית במוסד חינוך), התש"ף-2020</t>
  </si>
  <si>
    <t xml:space="preserve"> (פ/1903/23)</t>
  </si>
  <si>
    <t xml:space="preserve">הצעת חוק שיווי זכויות האישה (תיקון - ייצוג הולם בחברות קבורה), התש"ף-2020</t>
  </si>
  <si>
    <t xml:space="preserve"> (פ/1902/23)</t>
  </si>
  <si>
    <t xml:space="preserve">הצעת חוק למניעת הטרדה מינית (תיקון - הטרדת קטין), התש"ף-2020</t>
  </si>
  <si>
    <t xml:space="preserve"> (פ/1901/23)</t>
  </si>
  <si>
    <t xml:space="preserve">הצעת חוק למניעת הטרדה מינית (תיקון - הרחבת חובות מעסיק גדול), התש"ף-2020</t>
  </si>
  <si>
    <t xml:space="preserve"> (פ/1900/23)</t>
  </si>
  <si>
    <t xml:space="preserve">הצעת חוק שיווי זכויות האישה (תיקון - פנייה שוויונית בשילוט במקום ציבורי), התש"ף-2020</t>
  </si>
  <si>
    <t xml:space="preserve"> (פ/1899/23)</t>
  </si>
  <si>
    <t xml:space="preserve">הצעת חוק לתיקון פקודת מס הכנסה (פטור ממס בגין משיכה הונית מקופת גמל), התש"ף-2020</t>
  </si>
  <si>
    <t xml:space="preserve"> (פ/1898/23)</t>
  </si>
  <si>
    <t xml:space="preserve">הצעת חוק לתיקון פקודת מס הכנסה (הפקדות לקרן השתלמות לעצמאי), התש"ף-2020</t>
  </si>
  <si>
    <t xml:space="preserve"> (פ/1897/23)</t>
  </si>
  <si>
    <t xml:space="preserve">הצעת חוק העונשין (תיקון - החמרת הענישה בשל תקיפת עובדים סוציאליים), התש"ף-2020</t>
  </si>
  <si>
    <t xml:space="preserve"> (פ/1896/23)</t>
  </si>
  <si>
    <t xml:space="preserve">הצעת חוק המקרקעין (תיקון - התקנת מערכת לייצור חשמל בבית משותף), התש"ף-2020</t>
  </si>
  <si>
    <t xml:space="preserve"> (פ/1895/23)</t>
  </si>
  <si>
    <t xml:space="preserve">הצעת חוק העונשין (תיקון - החמרת ענישה בעבירות החזקת נשק שלא כדין), התש"ף-2020</t>
  </si>
  <si>
    <t xml:space="preserve"> (פ/1894/23)</t>
  </si>
  <si>
    <t xml:space="preserve">הצעת חוק הגנה על שוכרי דירות בזמן משבר הקורונה (הוראת שעה), התש"ף-2020</t>
  </si>
  <si>
    <t xml:space="preserve"> (פ/1892/23)</t>
  </si>
  <si>
    <t xml:space="preserve">הצעת חוק נציב תלונות הציבור על שופטים (תיקון - מינוי הנציב), התש"ף-2020</t>
  </si>
  <si>
    <t xml:space="preserve"> (פ/1891/23)</t>
  </si>
  <si>
    <t xml:space="preserve">הצעת חוק הבטחת הכנסה (תיקון - הגדלת שווי רכב המאפשר זכאות לגמלה), התש''ף-2020</t>
  </si>
  <si>
    <t xml:space="preserve"> (פ/1890/23)</t>
  </si>
  <si>
    <t xml:space="preserve">הצעת חוק לתיקון פקודת מס הכנסה (ניכוי תשלומים לעצמאים), התש"ף-2020</t>
  </si>
  <si>
    <t xml:space="preserve"> (פ/1889/23)</t>
  </si>
  <si>
    <t xml:space="preserve">הצעת חוק לתיקון פקודת מס הכנסה (זיכוי במס לגרושים ידועים בציבור), התש"ף-2020</t>
  </si>
  <si>
    <t xml:space="preserve"> (פ/1888/23)</t>
  </si>
  <si>
    <t xml:space="preserve">הצעת חוק מס ערך מוסף (תיקון - פטור ממס למלכ"רים) (הוראת שעה), התש"ף-2020</t>
  </si>
  <si>
    <t xml:space="preserve"> (פ/1887/23)</t>
  </si>
  <si>
    <t xml:space="preserve">הצעת חוק לתיקון פקודת מסי העירייה ומסי הממשלה (פטורין) (פטור מארנונה למבנה ברחוב שמתבצעות בו עבודות פיתוח או תשתית), התש"ף-2020</t>
  </si>
  <si>
    <t xml:space="preserve"> (פ/1886/23)</t>
  </si>
  <si>
    <t xml:space="preserve">הצעת חוק לתיקון פקודת מס הכנסה (פטור ממס לגמלאים על תשלומי פנסיה), התש"ף-2020</t>
  </si>
  <si>
    <t xml:space="preserve"> (פ/1885/23)</t>
  </si>
  <si>
    <t xml:space="preserve">הצעת חוק הפיקוח על ייצוא ביטחוני (תיקון - הגבלות על ייצוא ביטחוני), התש"ף-2020</t>
  </si>
  <si>
    <t xml:space="preserve"> (פ/1884/23)</t>
  </si>
  <si>
    <t xml:space="preserve">הצעת חוק לתיקון פקודת מס הכנסה (הכרה בהוצאות עבודה מהבית בתקופת התפשטות נגיף הקורונה החדש) (הוראת שעה), התש"ף-2020</t>
  </si>
  <si>
    <t xml:space="preserve"> (פ/1883/23)</t>
  </si>
  <si>
    <t xml:space="preserve">הצעת חוק לתיקון פקודת מס הכנסה (ביטול הפטור על רווח הון ממכירת איגרת חוב או מילווה של מדינת ישראל לתושב חוץ), התש"ף-2020</t>
  </si>
  <si>
    <t xml:space="preserve"> (פ/1882/23)</t>
  </si>
  <si>
    <t xml:space="preserve">הצעת חוק לתיקון פקודת המשטרה (הרכב המחלקה לחקירת שוטרים), התש"ף-2020</t>
  </si>
  <si>
    <t xml:space="preserve"> (פ/1881/23)</t>
  </si>
  <si>
    <t xml:space="preserve">הצעת חוק היטל על דירת מגורים ריקה באזור היצע דירות מגורים נמוך, התש"ף-2020</t>
  </si>
  <si>
    <t xml:space="preserve"> (פ/1880/23)</t>
  </si>
  <si>
    <t xml:space="preserve">הצעת חוק לאי מתן הטבות מס למוסד המקיים הפליה (תיקוני חקיקה), התש"ף-2020</t>
  </si>
  <si>
    <t xml:space="preserve"> (פ/1879/23)</t>
  </si>
  <si>
    <t xml:space="preserve">הצעת חוק החלת אמנת ג'נבה על השטחים המוחזקים על ידי הצבא הישראלי מאז מלחמת יוני 1967, התש"ף-2020</t>
  </si>
  <si>
    <t xml:space="preserve"> (פ/1878/23)</t>
  </si>
  <si>
    <t xml:space="preserve">הצעת חוק לציון ביטולו של הממשל הצבאי, התש"ף-2020</t>
  </si>
  <si>
    <t xml:space="preserve"> (פ/1877/23)</t>
  </si>
  <si>
    <t xml:space="preserve">הצעת חוק לאשרור אמנת רומא, התש"ף-2020</t>
  </si>
  <si>
    <t xml:space="preserve"> (פ/1876/23)</t>
  </si>
  <si>
    <t xml:space="preserve">הצעת חוק התכנון והבנייה (תיקון - התניית היתר בהתקנת מקומות חניה), התש"ף-2020</t>
  </si>
  <si>
    <t xml:space="preserve"> (פ/1875/23)</t>
  </si>
  <si>
    <t xml:space="preserve">הצעת חוק הביקורת הפנימית (תיקון - יישום המלצות הוועדה הציבורית לבחינת חוק הביקורת הפנימית), התש"ף-2020</t>
  </si>
  <si>
    <t xml:space="preserve"> (פ/1874/23)</t>
  </si>
  <si>
    <t xml:space="preserve">הצעת חוק הרשויות המקומיות (יועץ לקידום מעמד אנשים עם מוגבלויות), התש"ף-2020</t>
  </si>
  <si>
    <t xml:space="preserve"> (פ/1873/23)</t>
  </si>
  <si>
    <t xml:space="preserve">הצעת חוק מרשם האוכלוסין (תיקון - אי חובת ציון שם הורה בתעודת זהות), התש"ף-2020</t>
  </si>
  <si>
    <t xml:space="preserve"> (פ/1872/23)</t>
  </si>
  <si>
    <t xml:space="preserve">הצעת חוק רישוי עסקים (תיקון - עסק של אבזרי מין), התש"ף-2020</t>
  </si>
  <si>
    <t xml:space="preserve"> (פ/1871/23)</t>
  </si>
  <si>
    <t xml:space="preserve">הצעת חוק הכניסה לישראל (תיקון - רישיון מיוחד לישיבת ביקור), התש"ף-2020</t>
  </si>
  <si>
    <t xml:space="preserve"> (פ/1869/23)</t>
  </si>
  <si>
    <t xml:space="preserve">הצעת חוק הסדרת הטיפול בחופי הכנרת (תיקון - מועצת איגוד ערים כנרת), התש"ף-2020</t>
  </si>
  <si>
    <t xml:space="preserve"> (פ/1868/23)</t>
  </si>
  <si>
    <t xml:space="preserve">הצעת חוק לפיקוח על ייצור הצמח ושיווקו (תיקון - חובת סימון ארץ הייצור של צמחים הנמכרים בתפזורת), התש"ף-2020</t>
  </si>
  <si>
    <t xml:space="preserve"> (פ/1867/23)</t>
  </si>
  <si>
    <t xml:space="preserve">הצעת חוק האזרחים הוותיקים (תיקון - פטור מתשלום בתחבורה ציבורית), התש"ף-2020</t>
  </si>
  <si>
    <t xml:space="preserve"> (פ/1866/23)</t>
  </si>
  <si>
    <t xml:space="preserve">חוק שירותי תעופה (פיצוי וסיוע בשל ביטול טיסה או שינוי בתנאיה) (נגיף הקורונה החדש – הוראת שעה – תיקון) (תיקון), התש"ף-2020</t>
  </si>
  <si>
    <t xml:space="preserve"> (מ/1355)</t>
  </si>
  <si>
    <t xml:space="preserve">12.08.2020</t>
  </si>
  <si>
    <t xml:space="preserve">הוארכה התקופה הקבועה בחוק שירותי תעופה (פיצוי וסיוע בשל ביטול טיסה או שינוי בתנאיה) (נגיף הקורונה החדש – הוראת השעה – תיקון), התש"ף–2020, להשבת תמורה לנוסע שטיסתו בוטלה או חל שינוי בתנאיה עקב משבר הקורונה. הארכת התקופה כאמור חלה על מפעיל טיסה או מארגן שמחזור ההכנסות שלו ברבעון השני של 2020 ירד בשיעור של 70% לפחות לעומת מחזור ההכנסות שלו ברבעון השני של שנת 2019 ושהודיע על כך למנהל רשות התעופה האזרחית. התקופה להשבת התמורה על ידי מפעיל טיסה או מארגן כאמור הוארכה עד ל-1.10.2020 במקום עד ל-14.8.2020. לפיכך, על מפעיל טיסה או מארגן כאמור להשיב את התמורה לנוסע עד 90 ימים ממועד המראתה המתוכנן של הטיסה או עד ל-1.10.2020, לפי המאוחר מבין המועדים. כמו כן, נקבע כי מפעיל טיסה או מארגן שהארכת התקופה חלה לגביהם יפרסמו הודעה על כך באתר האינטרנט שלהם, וכן תפורסם רשימת מפעילי הטיסה והמארגנים כאמור באתר האינטרנט של רשות התעופה האזרחית.</t>
  </si>
  <si>
    <t xml:space="preserve"> (פ/172/23)</t>
  </si>
  <si>
    <t xml:space="preserve">הצעת חוק הבטחת הכנסה (תיקון - תשלום רטרואקטיבי של גמלת הבטחת הכנסה למקבלי קצבת אזרח ותיק), התש"ף-2020</t>
  </si>
  <si>
    <t xml:space="preserve"> (פ/695/23)</t>
  </si>
  <si>
    <t xml:space="preserve">10.08.2020</t>
  </si>
  <si>
    <t xml:space="preserve"> (פ/691/23)</t>
  </si>
  <si>
    <t xml:space="preserve">חוק הארכת תקופות וקיום דיונים בהיוועדות חזותית בענייני תכנון ובנייה (נגיף הקורונה החדש - הוראת שעה), התש"ף-2020 </t>
  </si>
  <si>
    <t xml:space="preserve"> (מ/1337)</t>
  </si>
  <si>
    <t xml:space="preserve">ניתנה סמכות לשר הפנים להכריז בצו, באישור ועדת הפנים והגנת הסביבה, על תקופת חירום לעניין הליכים ופעולות לפי חוק התכנון והבנייה, התשכ"ה–1965‏, חוק לקידום הבנייה במתחמים מועדפים לדיור, התשע"ד–2014, חוק משק הגז הטבעי, התשס"ב–2002 וחוק הדרכים (שילוט), התשכ"ו–1966 וזאת אם נוכח כי יש צורך בכך בשל הגבלות שהוטלו לשם התמודדות עם נגיף הקורונה. תקופת החירום לא תעלה על שלושה חודשים בכל פעם או על תקופת מצב הכרזת החירום עליו הכריזה הממשלה. בתקופת החירום יחולו הוראות מיוחדות אשר יאפשרו את קיומם של ישיבות במוסדות התכנון באמצעות היוועדות חזותית. לעניין ישיבות שעניינן שמיעת התנגדויות ועררים, יקבל יושב ראש מוסד התכנון את ההחלטה על קיום הישיבה בדרך של היוועדות חזותית רק לאחר ששקל שיקולים המפורטים בהצעת החוק.  עוד נקבע כי במהלך תקופת החירום יוסמך שר הפנים לקבוע בצו, באישור ועדת הפנים והגנת הסביבה, הוראות לעניין הארכת תקופות שנקבעו בחוקים כאמור או בהחלטות מוסד תכנון או השהייתן וזאת אם נוכח כי יש צורך בכך בשל הגבלות שהוטלו לשם התמודדות עם נגיף הקורונה. תקופת החוק תהיה עד לתאריך 30 ביוני 2021.</t>
  </si>
  <si>
    <t xml:space="preserve">הצעת חוק הקמת קרן לדמי מחלה לעובדים עצמאים שחלו בנגיף הקורונה או שחלה עליהם חובת בידוד, התש"ף-2020 </t>
  </si>
  <si>
    <t xml:space="preserve"> (פ/1865/23)</t>
  </si>
  <si>
    <t xml:space="preserve">הצעת חוק ארגוני עזר רפואיים הפועלים בתחום רפואת חירום דחופה טרום אשפוזית, התש"ף-2020 </t>
  </si>
  <si>
    <t xml:space="preserve"> (פ/1864/23)</t>
  </si>
  <si>
    <t xml:space="preserve">הצעת חוק הליך טיפול מזורז על ידי גוף ציבורי בחולה הנוטה למות, התש"ף-2020</t>
  </si>
  <si>
    <t xml:space="preserve"> (פ/1863/23)</t>
  </si>
  <si>
    <t xml:space="preserve">הצעת חוק מס רכוש וקרן פיצויים (תיקון - תשלום פיצויים ומקדמות בעד נזק בגין נגיף הקורונה החדש), התש"ף-2020</t>
  </si>
  <si>
    <t xml:space="preserve"> (פ/1860/23)</t>
  </si>
  <si>
    <t xml:space="preserve">הצעת חוק קליטת חיילים משוחררים (תיקון - הטבות לחיילים בודדים), התש"ף-2020</t>
  </si>
  <si>
    <t xml:space="preserve"> (פ/1859/23)</t>
  </si>
  <si>
    <t xml:space="preserve">הצעת חוק הפיקוח על שירותים פיננסיים (שירותים פיננסיים מוסדרים) (תיקון - שירות להשוואת עלויות פיננסיות), התש"ף-2020</t>
  </si>
  <si>
    <t xml:space="preserve"> (פ/1858/23)</t>
  </si>
  <si>
    <t xml:space="preserve">הצעת חוק הביטוח הלאומי (תיקון - קצבת נכות לעקרת בית), התש"ף-2020</t>
  </si>
  <si>
    <t xml:space="preserve"> (פ/1857/23)</t>
  </si>
  <si>
    <t xml:space="preserve">הצעת חוק העונשין (תיקון - איסור שיווק ומכירת הימורים בידי מי שאינו בעל היתר, פועל מטעמו או בפיקוחו), התש"ף-2020</t>
  </si>
  <si>
    <t xml:space="preserve"> (פ/1856/23)</t>
  </si>
  <si>
    <t xml:space="preserve">הצעת חוק שירות המדינה (מינויים) (תיקון - מתן העדפה למשרתים בהעדפה מתקנת), התש"ף-2020</t>
  </si>
  <si>
    <t xml:space="preserve"> (פ/1855/23)</t>
  </si>
  <si>
    <t xml:space="preserve">הצעת חוק הסדרת ההתיישבות ביהודה והשומרון, התש"ף-2020</t>
  </si>
  <si>
    <t xml:space="preserve"> (פ/1854/23)</t>
  </si>
  <si>
    <t xml:space="preserve"> (פ/1853/23)</t>
  </si>
  <si>
    <t xml:space="preserve"> (פ/1851/23)</t>
  </si>
  <si>
    <t xml:space="preserve">הצעת חוק הנכים (תגמולים ושיקום) (תיקון - הגבלת שכר טרחת עורך דין), התש"ף-2020</t>
  </si>
  <si>
    <t xml:space="preserve"> (פ/1850/23)</t>
  </si>
  <si>
    <t xml:space="preserve">הצעת חוק שירות הציבור (הגבלות לאחר פרישה) (תיקון - איסור על מתן היתרים או פטורים למשרתים בכוחות הביטחון ובמשרד הביטחון), התש"ף-2020</t>
  </si>
  <si>
    <t xml:space="preserve"> (פ/1849/23)</t>
  </si>
  <si>
    <t xml:space="preserve">הצעת חוק זכויות החולה (תיקון - איסור הפליה על בסיס מצב כלכלי), התש"ף-2020</t>
  </si>
  <si>
    <t xml:space="preserve"> (פ/1848/23)</t>
  </si>
  <si>
    <t xml:space="preserve">הצעת חוק להגברת האכיפה של דיני העבודה (תיקון - עיצום כספי בשל אי תשלום שכר שווה לעובדת ולעובד), התש"ף-2020</t>
  </si>
  <si>
    <t xml:space="preserve"> (פ/1846/23)</t>
  </si>
  <si>
    <t xml:space="preserve">הצעת חוק החברות (תיקון - הגבלת כהונת דירקטור לשלוש חברות), התש"ף-2020</t>
  </si>
  <si>
    <t xml:space="preserve"> (פ/1845/23)</t>
  </si>
  <si>
    <t xml:space="preserve">הצעת חוק יישוב סכסוכי עבודה (תיקון - שביתה בבתי ספר יסודיים וגני ילדים ללא אישור בית הדין לעבודה), התש"ף-2020</t>
  </si>
  <si>
    <t xml:space="preserve"> (פ/1844/23)</t>
  </si>
  <si>
    <t xml:space="preserve">הצעת חוק שעות עבודה ומנוחה (תיקון - עסקים בתחום ההסעדה והבילוי), התש"ף-2020</t>
  </si>
  <si>
    <t xml:space="preserve"> (פ/1842/23)</t>
  </si>
  <si>
    <t xml:space="preserve"> (פ/1841/23)</t>
  </si>
  <si>
    <t xml:space="preserve">הצעת חוק שירות המדינה (מינויים) (תיקון - פיקוח על תכניות הכשרה), התש"ף-2020</t>
  </si>
  <si>
    <t xml:space="preserve"> (פ/1840/23)</t>
  </si>
  <si>
    <t xml:space="preserve"> (פ/1839/23)</t>
  </si>
  <si>
    <t xml:space="preserve"> (פ/1838/23)</t>
  </si>
  <si>
    <t xml:space="preserve">הצעת חוק המלחמה בפדופיליה (מאגר מידע), התש"ף-2020</t>
  </si>
  <si>
    <t xml:space="preserve"> (פ/1837/23)</t>
  </si>
  <si>
    <t xml:space="preserve">הצעת חוק לתיקון פקודת התעבורה (חובת התקנת מצלמות באוטובוס), התש"ף-2020</t>
  </si>
  <si>
    <t xml:space="preserve"> (פ/1836/23)</t>
  </si>
  <si>
    <t xml:space="preserve">הצעת חוק העבירות המינהליות (תיקון - מועד להחלטה מנומקת), התש"ף-2020</t>
  </si>
  <si>
    <t xml:space="preserve"> (פ/1835/23)</t>
  </si>
  <si>
    <t xml:space="preserve">הצעת חוק המים (תיקון - איסור הפסקת אספקת מים בשל חובות של רשויות מקומיות), התש"ף-2020</t>
  </si>
  <si>
    <t xml:space="preserve"> (פ/1834/23)</t>
  </si>
  <si>
    <t xml:space="preserve">הצעת חוק לשיפור השירות במגזר הציבורי ולמניעת התעמרות של עובדי הציבור בתושבי המדינה ובמגזר העסקי, התש"ף-2020</t>
  </si>
  <si>
    <t xml:space="preserve"> (פ/1833/23)</t>
  </si>
  <si>
    <t xml:space="preserve">הצעת חוק עידוד שירות צבאי, אזרחי או לאומי, התש"ף-2020</t>
  </si>
  <si>
    <t xml:space="preserve"> (פ/1832/23)</t>
  </si>
  <si>
    <t xml:space="preserve">הצעת חוק זכויות הדייר בדיור הציבורי (תיקון - התקנת דוד שמש), התש"ף-2020</t>
  </si>
  <si>
    <t xml:space="preserve"> (פ/1831/23)</t>
  </si>
  <si>
    <t xml:space="preserve">הצעת חוק הגבלת אשראי למקבלי שירות מאמנים, עיתונאים ומרצים, התש"ף-2020</t>
  </si>
  <si>
    <t xml:space="preserve"> (פ/1830/23)</t>
  </si>
  <si>
    <t xml:space="preserve">הצעת חוק לשכת עורכי הדין (תיקון - בחינות מסכמות כתנאי להתמחות), התש"ף-2020</t>
  </si>
  <si>
    <t xml:space="preserve"> (פ/1829/23)</t>
  </si>
  <si>
    <t xml:space="preserve"> (פ/1828/23)</t>
  </si>
  <si>
    <t xml:space="preserve">הצעת חוק איסור הפליה במוצרים, בשירותים ובכניסה למקומות בידור ולמקומות ציבוריים (תיקון - איסור הפליה בשל אי מסירת מידע אישי), התש"ף-2020</t>
  </si>
  <si>
    <t xml:space="preserve"> (פ/1827/23)</t>
  </si>
  <si>
    <t xml:space="preserve">הצעת חוק לתיקון פקודת התעבורה (הוראות לעניין סככות המתנה בתחנות אוטובוס), התש"ף-2020</t>
  </si>
  <si>
    <t xml:space="preserve"> (פ/1826/23)</t>
  </si>
  <si>
    <t xml:space="preserve">הצעת חוק איסור הפליה במוצרים, בשירותים ובכניסה למקומות בידור ולמקומות ציבוריים (תיקון - איסור הפרעה להנקה בציבור), התש"ף-2020</t>
  </si>
  <si>
    <t xml:space="preserve"> (פ/1825/23)</t>
  </si>
  <si>
    <t xml:space="preserve">הצעת חוק איסור הכחשת השואה (תיקון - איסור הבעת אהדה לשלטון הנאצי או הזדהות עמו ואיסור שימוש בסמלים נאציים), התש"ף-2020</t>
  </si>
  <si>
    <t xml:space="preserve"> (פ/1824/23)</t>
  </si>
  <si>
    <t xml:space="preserve">הצעת חוק ביטול מרוץ הסמכויות (תיקוני חקיקה), התש"ף-2020</t>
  </si>
  <si>
    <t xml:space="preserve"> (פ/1823/23)</t>
  </si>
  <si>
    <t xml:space="preserve"> (פ/1822/23)</t>
  </si>
  <si>
    <t xml:space="preserve">הצעת חוק האפוטרופוס הכללי (תיקון - הקמת מאגר מידע לעניין כספים ללא דורש), התש"ף-2020</t>
  </si>
  <si>
    <t xml:space="preserve"> (פ/1821/23)</t>
  </si>
  <si>
    <t xml:space="preserve">הצעת חוק זכויות נפגעי עבירה (תיקון - חובת יידוע זכויות בנפגעי עבירה), התש"ף-2020</t>
  </si>
  <si>
    <t xml:space="preserve"> (פ/1820/23)</t>
  </si>
  <si>
    <t xml:space="preserve">הצעת חוק שירות המדינה (מינויים) (תיקון - ניסיון ניהולי במגזר הפרטי), התש"ף-2020</t>
  </si>
  <si>
    <t xml:space="preserve"> (פ/1819/23)</t>
  </si>
  <si>
    <t xml:space="preserve">הצעת חוק להסדרת הפיקוח על כלבים (תיקון - קנס מוגדל בשל כלב משוטט שאינו מסורס או מעוקר), התש"ף-2020</t>
  </si>
  <si>
    <t xml:space="preserve"> (פ/1818/23)</t>
  </si>
  <si>
    <t xml:space="preserve">הצעת חוק איסור פרסומת והגבלת השיווק של מוצרי טבק ועישון (תיקון - ביטול החרגת העיתונות המודפסת), התש"ף-2020 </t>
  </si>
  <si>
    <t xml:space="preserve"> (פ/1817/23)</t>
  </si>
  <si>
    <t xml:space="preserve">הצעת חוק ההסגרה (תיקון - סייג להסגרת אזרח תושב ישראל), התש"ף-2020</t>
  </si>
  <si>
    <t xml:space="preserve"> (פ/1816/23)</t>
  </si>
  <si>
    <t xml:space="preserve">הצעת חוק שיפוט בתי דין דתיים (בוררות), התש"ף-2020</t>
  </si>
  <si>
    <t xml:space="preserve"> (פ/1814/23)</t>
  </si>
  <si>
    <t xml:space="preserve">הצעת חוק איסור הפליה במוצרים, בשירותים ובכניסה למקומות בידור ולמקומות ציבוריים (תיקון - חובת הודעה מוקדמת על אירוע סגור), התש"ף-2020</t>
  </si>
  <si>
    <t xml:space="preserve"> (פ/1813/23)</t>
  </si>
  <si>
    <t xml:space="preserve"> (פ/1812/23)</t>
  </si>
  <si>
    <t xml:space="preserve">הצעת חוק החלפת המונח בתי אב (תיקוני חקיקה), התש"ף-2020</t>
  </si>
  <si>
    <t xml:space="preserve"> (פ/1811/23)</t>
  </si>
  <si>
    <t xml:space="preserve">הצעת חוק הגנת הצרכן (תיקון - השוואת תנאי צרכן ועוסק בעניין החזרת טובין), התש"ף-2020</t>
  </si>
  <si>
    <t xml:space="preserve"> (פ/1810/23)</t>
  </si>
  <si>
    <t xml:space="preserve">הצעת חוק מגבלות על חזרתו של עבריין מין לסביבת נפגע העבירה (תיקון - החלה על בגיר שהיה קטין מעל גיל 16 בעת ביצוע העבירה), התש"ף-2020</t>
  </si>
  <si>
    <t xml:space="preserve"> (פ/1809/23)</t>
  </si>
  <si>
    <t xml:space="preserve">הצעת חוק מכירת זכויות שידור לאירוע ספורט משמעותי, התש"ף-2020</t>
  </si>
  <si>
    <t xml:space="preserve"> (פ/1808/23)</t>
  </si>
  <si>
    <t xml:space="preserve">הצעת חוק העונשין (תיקון - אחראי על קטין או חסר ישע לעניין חובת הדיווח), התש"ף-2020</t>
  </si>
  <si>
    <t xml:space="preserve"> (פ/1807/23)</t>
  </si>
  <si>
    <t xml:space="preserve">הצעת חוק רישום קבלנים לעבודות הנדסה בנאיות (תיקון - טיפול בליקויי בנייה), התש"ף-2020</t>
  </si>
  <si>
    <t xml:space="preserve"> (פ/1806/23)</t>
  </si>
  <si>
    <t xml:space="preserve">הצעת חוק ההתיישנות (תיקון - תביעה בגין אחריות לפגיעה מינית בקטין), התש"ף-2020</t>
  </si>
  <si>
    <t xml:space="preserve"> (פ/1805/23)</t>
  </si>
  <si>
    <t xml:space="preserve">הצעת חוק הגנה על הציבור מפני ביצוע עבירות מין (תיקון - הוצאת צו פיקוח חדש לאחר תום התקופה המרבית), התש"ף-2020</t>
  </si>
  <si>
    <t xml:space="preserve"> (פ/1804/23)</t>
  </si>
  <si>
    <t xml:space="preserve">הצעת חוק הביטוח הלאומי (תיקון - דמי אבטלה לעצמאים), התש"ף-2020</t>
  </si>
  <si>
    <t xml:space="preserve"> (פ/1803/23)</t>
  </si>
  <si>
    <t xml:space="preserve">הצעת חוק הרבנות הראשית לישראל (תיקון - סמכות בענייני גיור), התש"ף-2020</t>
  </si>
  <si>
    <t xml:space="preserve"> (פ/1802/23)</t>
  </si>
  <si>
    <t xml:space="preserve">הצעת חוק הדיינים (תיקון - כשירות מנהל בתי הדין הרבניים), התש"ף-2020 </t>
  </si>
  <si>
    <t xml:space="preserve"> (פ/1801/23)</t>
  </si>
  <si>
    <t xml:space="preserve">הצעת חוק המקרקעין (תיקון - התקנת תשתית ועמדת טעינה לרכב חשמלי), התש"ף-2020</t>
  </si>
  <si>
    <t xml:space="preserve"> (פ/1800/23)</t>
  </si>
  <si>
    <t xml:space="preserve">הצעת חוק הוועדה לטיפול במשפחות נעדרים אזרחיים, התש"ף-2020</t>
  </si>
  <si>
    <t xml:space="preserve"> (פ/1799/23)</t>
  </si>
  <si>
    <t xml:space="preserve">הצעת חוק חובת המכרזים (תיקון - שילוב עסקים קטנים ובינוניים), התש"ף-2020</t>
  </si>
  <si>
    <t xml:space="preserve"> (פ/1798/23)</t>
  </si>
  <si>
    <t xml:space="preserve"> (פ/1797/23)</t>
  </si>
  <si>
    <t xml:space="preserve">הצעת חוק רמת הגולן (תיקון - ביטול החוק), התש"ף-2020</t>
  </si>
  <si>
    <t xml:space="preserve"> (פ/1796/23)</t>
  </si>
  <si>
    <t xml:space="preserve">הצעת חוק המאבק בטרור (תיקון - איסור החזרת גופות מחבלים), התש"ף-2020</t>
  </si>
  <si>
    <t xml:space="preserve"> (פ/1795/23)</t>
  </si>
  <si>
    <t xml:space="preserve">הצעת חוק האזרחות והכניסה לישראל (הוראת שעה) (תיקון - מניעת ריבוי נישואין), התש"ף-2020</t>
  </si>
  <si>
    <t xml:space="preserve"> (פ/1794/23)</t>
  </si>
  <si>
    <t xml:space="preserve">הצעת חוק למניעת העישון במקומות ציבוריים והחשיפה לעישון (תיקון - ייעול האכיפה וביטול חדרי העישון), התש"ף-2020</t>
  </si>
  <si>
    <t xml:space="preserve"> (פ/1793/23)</t>
  </si>
  <si>
    <t xml:space="preserve"> (פ/1792/23)</t>
  </si>
  <si>
    <t xml:space="preserve">הצעת חוק למניעת העישון במקומות ציבוריים והחשיפה לעישון (תיקון - איסור עישון במקומות ציבוריים פתוחים), התש"ף-2020</t>
  </si>
  <si>
    <t xml:space="preserve"> (פ/1791/23)</t>
  </si>
  <si>
    <t xml:space="preserve">הצעת חוק ביטוח בריאות ממלכתי (תיקון - השתתפות עצמית ברכישת תכשיר מרשם מבית מרקחת שאינו בהסדר עם קופת החולים), התש"ף-2020</t>
  </si>
  <si>
    <t xml:space="preserve"> (פ/1790/23)</t>
  </si>
  <si>
    <t xml:space="preserve">הצעת חוק הבטחת הכנסה (תיקון - מענק קירור), התש"ף-2020</t>
  </si>
  <si>
    <t xml:space="preserve"> (פ/1789/23)</t>
  </si>
  <si>
    <t xml:space="preserve">הצעת חוק הביטוח הלאומי (תיקון - תשלום רטרואקטיבי בעד תקופה שקדמה להגשת התביעה), התש"ף-2020</t>
  </si>
  <si>
    <t xml:space="preserve"> (פ/1788/23)</t>
  </si>
  <si>
    <t xml:space="preserve">הצעת חוק הפיקוח על מעונות יום לפעוטות (תיקון - העברת האחריות למשרד החינוך), התש"ף-2020</t>
  </si>
  <si>
    <t xml:space="preserve"> (פ/1787/23)</t>
  </si>
  <si>
    <t xml:space="preserve">הצעת חוק להגברת האכיפה של דיני העבודה (תיקון - הפרת הוראות צווי הרחבה לעניין החזר הוצאות נסיעה), התש"ף-2020</t>
  </si>
  <si>
    <t xml:space="preserve"> (פ/1786/23)</t>
  </si>
  <si>
    <t xml:space="preserve">הצעת חוק לתיקון פקודת בריאות העם (הגבלת תקופת כהונה של מנהלי מחלקות בבתי חולים ציבוריים), התש"ף-2020</t>
  </si>
  <si>
    <t xml:space="preserve"> (פ/1785/23)</t>
  </si>
  <si>
    <t xml:space="preserve"> (פ/1784/23)</t>
  </si>
  <si>
    <t xml:space="preserve">הצעת חוק פיצויי פיטורים (תיקון - פיצויי פיטורים למתגייס לרשות הארצית לכבאות והצלה), התש"ף-2020</t>
  </si>
  <si>
    <t xml:space="preserve"> (פ/1783/23)</t>
  </si>
  <si>
    <t xml:space="preserve">הצעת חוק מגן דוד אדום (תיקון - הענקת שירותי רפואה מרחוק), התש"ף-2020</t>
  </si>
  <si>
    <t xml:space="preserve"> (פ/1782/23)</t>
  </si>
  <si>
    <t xml:space="preserve">הצעת חוק שירותי הדת היהודיים (תיקון - תפעול מקוואות טהרה), התש"ף-2020</t>
  </si>
  <si>
    <t xml:space="preserve"> (פ/1781/23)</t>
  </si>
  <si>
    <t xml:space="preserve">הצעת חוק זכויות החולה (תיקון - איסור הפליה), התש"ף-2020</t>
  </si>
  <si>
    <t xml:space="preserve"> (פ/1780/23)</t>
  </si>
  <si>
    <t xml:space="preserve">הצעת חוק התכנון והבנייה (תיקון - פרסום הודעת הפקדה בשפה שאינה עברית), התש"ף-2020</t>
  </si>
  <si>
    <t xml:space="preserve"> (פ/1779/23)</t>
  </si>
  <si>
    <t xml:space="preserve">הצעת חוק לתיקון פקודת מס הכנסה (ניכוי סכומים שהוצאו לצורך טיפול בילד), התש"ף-2020</t>
  </si>
  <si>
    <t xml:space="preserve"> (פ/1778/23)</t>
  </si>
  <si>
    <t xml:space="preserve">הצעת חוק לתיקון פקודת מס הכנסה (החזר בתשלום למעונות יום לאמהות), התש"ף-2020</t>
  </si>
  <si>
    <t xml:space="preserve"> (פ/1777/23)</t>
  </si>
  <si>
    <t xml:space="preserve">הצעת חוק התכנון והבנייה (תיקון - פרסום בדבר קבלת היתר בנייה ותחילת עבודה), התש"ף-2020</t>
  </si>
  <si>
    <t xml:space="preserve"> (פ/1776/23)</t>
  </si>
  <si>
    <t xml:space="preserve">הצעת חוק התכנון והבנייה (תיקון - גודל האותיות בהודעות בענייני תכנון ובנייה), התש"ף-2020</t>
  </si>
  <si>
    <t xml:space="preserve"> (פ/1775/23)</t>
  </si>
  <si>
    <t xml:space="preserve">הצעת חוק שירותי הדת היהודיים (תיקון - ייצוג הולם לנשים במועצות הדתיות), התש"ף-2020</t>
  </si>
  <si>
    <t xml:space="preserve"> (פ/1774/23)</t>
  </si>
  <si>
    <t xml:space="preserve">הצעת חוק הסדרת העיסוק בייעוץ השקעות, בשיווק השקעות ובניהול תיקי השקעות (תיקון - דיווח יועץ השקעות ללקוח), התש"ף-2020</t>
  </si>
  <si>
    <t xml:space="preserve"> (פ/1773/23)</t>
  </si>
  <si>
    <t xml:space="preserve">הצעת חוק לתיקון פקודת העיריות (פרסום מכרז באתר האינטרנט), התש"ף-2020</t>
  </si>
  <si>
    <t xml:space="preserve"> (פ/1772/23)</t>
  </si>
  <si>
    <t xml:space="preserve">הצעת חוק הדחת נציג ציבור התומך במאבק מזוין נגד מדינת ישראל (תיקוני חקיקה), התש"ף-2020</t>
  </si>
  <si>
    <t xml:space="preserve"> (פ/1770/23)</t>
  </si>
  <si>
    <t xml:space="preserve">הצעת חוק המועצה הלאומית לחינוך, התש"ף-2020 </t>
  </si>
  <si>
    <t xml:space="preserve"> (פ/1769/23)</t>
  </si>
  <si>
    <t xml:space="preserve">הצעת חוק הרשויות המקומיות (בחירות) (תיקון - בחירה של בעל עסק בתחום רשות מקומית שעסקו רשום בה), התש"ף-2020</t>
  </si>
  <si>
    <t xml:space="preserve"> (פ/1768/23)</t>
  </si>
  <si>
    <t xml:space="preserve">הצעת חוק להסדרה ועידוד של מקצוע ההוראה, התש"ף-2020</t>
  </si>
  <si>
    <t xml:space="preserve"> (פ/1767/23)</t>
  </si>
  <si>
    <t xml:space="preserve">הצעת חוק חינוך ממלכתי (תיקון - חובת לימוד עברית וערבית), התש"ף-2020</t>
  </si>
  <si>
    <t xml:space="preserve"> (פ/1766/23)</t>
  </si>
  <si>
    <t xml:space="preserve">הצעת חוק הרשויות המקומיות (בחירות) (תיקון - התניית יום שבתון באישור הצבעה), התש"ף-2020</t>
  </si>
  <si>
    <t xml:space="preserve"> (פ/1765/23)</t>
  </si>
  <si>
    <t xml:space="preserve">הצעת חוק לתיקון פקודת העיריות (חלוקת הכנסות), התש"ף-2020</t>
  </si>
  <si>
    <t xml:space="preserve"> (פ/1763/23)</t>
  </si>
  <si>
    <t xml:space="preserve">הצעת חוק התכנון והבנייה (תיקון - חדרי הנקה בבניינים ציבוריים), התש"ף-2020</t>
  </si>
  <si>
    <t xml:space="preserve"> (פ/1762/23)</t>
  </si>
  <si>
    <t xml:space="preserve">הצעת חוק התכנון והבנייה (תיקון - הטמנת תשתיות בחוף הים), התש"ף-2020</t>
  </si>
  <si>
    <t xml:space="preserve"> (פ/1761/23)</t>
  </si>
  <si>
    <t xml:space="preserve">הצעת חוק הביטוח הלאומי (תיקון - תגמולים למתנדב בצוות חירום יישובי או שכונתי), התש"ף-2020</t>
  </si>
  <si>
    <t xml:space="preserve"> (פ/1760/23)</t>
  </si>
  <si>
    <t xml:space="preserve">הצעת חוק לתיקון פקודת בריאות העם (מדיניות חיסונים לאומית ומתן תמריצים להתחסנות), התש''ף-2020</t>
  </si>
  <si>
    <t xml:space="preserve"> (פ/1759/23)</t>
  </si>
  <si>
    <t xml:space="preserve">הצעת חוק הביטוח הלאומי (תיקון - השלמת קצבת נכות לשכר המינימום), התש"ף-2020</t>
  </si>
  <si>
    <t xml:space="preserve"> (פ/1758/23)</t>
  </si>
  <si>
    <t xml:space="preserve">הצעת חוק הביטוח הלאומי (תיקון - תוספת קצבה לנכים מונשמים), התש"ף-2020</t>
  </si>
  <si>
    <t xml:space="preserve"> (פ/1757/23)</t>
  </si>
  <si>
    <t xml:space="preserve">הצעת חוק הביטוח הלאומי (תיקון - דמי לידה לעצמאיות - מתן זכות לעבודה חלקית), התש"ף-2020</t>
  </si>
  <si>
    <t xml:space="preserve"> (פ/1756/23)</t>
  </si>
  <si>
    <t xml:space="preserve">הצעת חוק הסדרת מקומות רחצה (תיקון - איסור גביית דמי כניסה), התש"ף-2020</t>
  </si>
  <si>
    <t xml:space="preserve"> (פ/1755/23)</t>
  </si>
  <si>
    <t xml:space="preserve">הצעת חוק התכנון והבנייה (תיקון - פטור מהיתר ורישוי מהיר למרחב מוגן דירתי), התש"ף-2020</t>
  </si>
  <si>
    <t xml:space="preserve"> (פ/1754/23)</t>
  </si>
  <si>
    <t xml:space="preserve">הצעת חוק יום הזיכרון לנכבה, התש"ף-2020</t>
  </si>
  <si>
    <t xml:space="preserve"> (פ/1753/23)</t>
  </si>
  <si>
    <t xml:space="preserve">הצעת חוק חינוך ממלכתי (תיקון - הגבלת כהונה של מפקח מחוז), התש"ף-2020</t>
  </si>
  <si>
    <t xml:space="preserve"> (פ/1752/23)</t>
  </si>
  <si>
    <t xml:space="preserve">הצעת חוק לימוד חובה (תיקון - הוספת סייעת בגני ילדים), התש"ף-2020</t>
  </si>
  <si>
    <t xml:space="preserve"> (פ/1751/23)</t>
  </si>
  <si>
    <t xml:space="preserve">הצעת חוק קביעת יום לציון הטבעת הספינה אלטלנה, התש"ף-2020</t>
  </si>
  <si>
    <t xml:space="preserve"> (פ/1750/23)</t>
  </si>
  <si>
    <t xml:space="preserve">הצעת חוק איסור הפליה של תלמידים במערכת החינוך (תיקוני חקיקה), התש"ף-2020</t>
  </si>
  <si>
    <t xml:space="preserve"> (פ/1749/23)</t>
  </si>
  <si>
    <t xml:space="preserve">הצעת חוק הקייטנות (רישוי ופיקוח) (תיקון - הגדרת קייטנה מפוקחת), התש"ף-2020</t>
  </si>
  <si>
    <t xml:space="preserve"> (פ/1748/23)</t>
  </si>
  <si>
    <t xml:space="preserve">הצעת חוק יום ציון ממלכתי לוועידת סן רמו, התש"ף-2020</t>
  </si>
  <si>
    <t xml:space="preserve"> (פ/1747/23)</t>
  </si>
  <si>
    <t xml:space="preserve">הצעת חוק לימוד חובה (תיקון - חינוך חינם לפעוטות), התש"ף-2020</t>
  </si>
  <si>
    <t xml:space="preserve"> (פ/1746/23)</t>
  </si>
  <si>
    <t xml:space="preserve">הצעת חוק להנצחת זכרו של רחבעם זאבי (תיקון - ביטול החוק), התש"ף-2020</t>
  </si>
  <si>
    <t xml:space="preserve"> (פ/1745/23)</t>
  </si>
  <si>
    <t xml:space="preserve">הצעת חוק חינוך ממלכתי (תיקון - חובת לימוד עברית וערבית במוסדות חינוך תיכוניים), התש"ף-2020</t>
  </si>
  <si>
    <t xml:space="preserve"> (פ/1744/23)</t>
  </si>
  <si>
    <t xml:space="preserve">הצעת חוק השוואת תנאים לתלמידי ועובדי מוסדות חינוך מיוחד מוכרים שאינם רשמיים, התש"ף-2020</t>
  </si>
  <si>
    <t xml:space="preserve"> (פ/1743/23)</t>
  </si>
  <si>
    <t xml:space="preserve">הצעת חוק המכינות הקדם-צבאיות (תיקון - שלילת הכרה ממכינות המעודדות סירוב פקודה והסתה), התש"ף-2020</t>
  </si>
  <si>
    <t xml:space="preserve"> (פ/1742/23)</t>
  </si>
  <si>
    <t xml:space="preserve">הצעת חוק הפיקוח על שירותים פיננסיים (קופות גמל) (תיקון - הגבלת דמי ניהול בקרנות הפנסיה), התש"ף-2020</t>
  </si>
  <si>
    <t xml:space="preserve"> (פ/1740/23)</t>
  </si>
  <si>
    <t xml:space="preserve">הצעת חוק הקלות במס על רכישת מכשיר ניידות מסוג קלנועית (תיקוני חקיקה), התש"ף-2020</t>
  </si>
  <si>
    <t xml:space="preserve"> (פ/1739/23)</t>
  </si>
  <si>
    <t xml:space="preserve">הצעת חוק לתיקון פקודת מס הכנסה (ביטול הטבות מס לתושב חוזר ותיק), התש"ף-2020</t>
  </si>
  <si>
    <t xml:space="preserve"> (פ/1737/23)</t>
  </si>
  <si>
    <t xml:space="preserve">הצעת חוק לתיקון פקודת מס הכנסה (נקודות זיכוי לאפוטרופוס), התש"ף-2020</t>
  </si>
  <si>
    <t xml:space="preserve"> (פ/1736/23)</t>
  </si>
  <si>
    <t xml:space="preserve">הצעת חוק ניירות ערך (תיקון - קנס מוגדל בגין הרצת מניות), התש"ף-2020</t>
  </si>
  <si>
    <t xml:space="preserve"> (פ/1735/23)</t>
  </si>
  <si>
    <t xml:space="preserve">הצעת חוק חומרי נפץ (תיקון מס' 5 והוראת שעה), התש"ף-2020 </t>
  </si>
  <si>
    <t xml:space="preserve"> (מ/1345)</t>
  </si>
  <si>
    <t xml:space="preserve">הצעת חוק ניהול דיוני ועדות השחרורים והוועדה לעיון בעונש (הוראת שעה – נגיף הקורונה החדש), התש"ף-2020 - החלק הנותר</t>
  </si>
  <si>
    <t xml:space="preserve"> (מ/1335)</t>
  </si>
  <si>
    <t xml:space="preserve">05.08.2020</t>
  </si>
  <si>
    <t xml:space="preserve">חוק עובדים זרים (נגיף הקורונה החדש - הוראת שעה - תיקון מס' 21), התש"ף-2020</t>
  </si>
  <si>
    <t xml:space="preserve"> (מ/1303)</t>
  </si>
  <si>
    <t xml:space="preserve">החוק מטיל, כהוראת שעה חובת הסדרת תנאי מגורים הולמים וביטוח רפואי על מעסיק של עובדים זרים מהרשות הפלסטינית, שלנוכח התפשטות נגיף הקורונה ניתנו להם היתרי שהייה המאפשרים לינה בישראל. בעד העמדת מגורים לעובד בענפי החקלאות והתעשייה, המותאמים למנגנון קפסולה של תשעה עובדים בכל קבוצה, יוכל המעסיק לנכות משכר העובד הוצאות בהתאם להוראות התקנות הקיימות. מעסיק של עובדים זרים מהרשות הפלסטינית כאמור המועסקים בענף הבניין יוכל להסתפק במתן מגורים בהתאם לתנאים שבתוספת הראשונה1 לחוק אך ללא אפשרות של ניכוי משכר העובד בעד העמדת המגורים.  לצורך יישום החוק נקבעו בו גם סמכויות פיקוח ואכיפה לעניין הזכויות לתנאי מגורים וביטוח רפואי, שיוקנו למפקחים מטעם משרדי הבינוי והשיכון, החקלאות ופיתוח הכפר והכלכלה והתעשייה, שיתגברו את מערך הפיקוח והאכיפה הקיים. הוראת השעה נקבעה לשלושה חודשים, אך ניתן להאריך את תוקפה בצו באישור הוועדה למשך שלושה חודשים בכל פעם, אך זאת רק כל עוד עומדת בתוקפה הכרזה על מצב חירום בשל נגיף הקורונה לפי חוק סמכויות מיוחדות להתמודדות עם נגיף הקורונה החדש (הוראת שעה), התש"ף–2020.</t>
  </si>
  <si>
    <t xml:space="preserve"> (פ/1262/23)</t>
  </si>
  <si>
    <t xml:space="preserve">הצעת חוק ועדת חקירה מיוחדת לרכש ספינות השיט והצוללות לחיל הים, התש"ף-2020</t>
  </si>
  <si>
    <t xml:space="preserve"> (פ/1198/23)</t>
  </si>
  <si>
    <t xml:space="preserve">הצעת חוק מס ערך מוסף (תיקון - שיעור מס מופחת על מוצרי מזון בסיסיים), התש"ף-2020</t>
  </si>
  <si>
    <t xml:space="preserve"> (פ/1007/23)</t>
  </si>
  <si>
    <t xml:space="preserve">הצעת חוק לתיקון פקודת הכלבת (בידוד בעלי חיים), התש"ף-2020</t>
  </si>
  <si>
    <t xml:space="preserve"> (פ/592/23)</t>
  </si>
  <si>
    <t xml:space="preserve">04.08.2020</t>
  </si>
  <si>
    <t xml:space="preserve">הצעת חוק שירות עבודה בשעת־חירום (הוראת שעה - נגיף הקורונה החדש), התש"ף-2020</t>
  </si>
  <si>
    <t xml:space="preserve"> (מ/1306)</t>
  </si>
  <si>
    <t xml:space="preserve">03.08.2020</t>
  </si>
  <si>
    <t xml:space="preserve">חוק ההוצאה לפועל (תיקון מס' 66), התש"ף-2020</t>
  </si>
  <si>
    <t xml:space="preserve"> (פ/221/23)</t>
  </si>
  <si>
    <t xml:space="preserve"> (כ/842)</t>
  </si>
  <si>
    <t xml:space="preserve">סעיף 50 לחוק ההוצאה לפועל התשכ"ז–1967 קובע כי למרות הכלל הבסיסי לפיו ניתן לעקל כל נכס של חייב לרבות זכות קיימת או עתידית, הנמצאת בידי צד שלישי, ישנם נכסים חריגים אשר אינם ניתנים לעיקול. הוחלט להכליל בגדרם של חריגים אלה, שאינם ניתנים לעיקול, גם כספים המגיעים לחייב מכל אחד מאלה: סל שירותי הבריאות שאדם זכאי לו מכוח חוק בריאות ממלכתי, פוליסת ביטוח לתרופות שאינן כלולות בסל שירותי הבריאות, פוליסת ביטוח למימון השתלות או ניתוחים בחוץ לארץ ופוליסת ביטוח סיעודי.</t>
  </si>
  <si>
    <t xml:space="preserve">הצעת חוק יום לציון אירועי הפרהוד, התש"ף-2020</t>
  </si>
  <si>
    <t xml:space="preserve"> (פ/1734/23)</t>
  </si>
  <si>
    <t xml:space="preserve">הצעת חוק סיוע לקטינים נפגעי עבירות מין או אלימות (תיקון - טיפול נפשי לילדים), התש"ף-2020</t>
  </si>
  <si>
    <t xml:space="preserve"> (פ/1733/23)</t>
  </si>
  <si>
    <t xml:space="preserve">הצעת חוק הרשות הלאומית למניעת התאבדויות, התש"ף-2020</t>
  </si>
  <si>
    <t xml:space="preserve"> (פ/1732/23)</t>
  </si>
  <si>
    <t xml:space="preserve"> (פ/1730/23)</t>
  </si>
  <si>
    <t xml:space="preserve">הצעת חוק כבילת עצורים ואסירים שלא כדין - עוולה אזרחית (תיקוני חקיקה), התש"ף-2020</t>
  </si>
  <si>
    <t xml:space="preserve"> (פ/1729/23)</t>
  </si>
  <si>
    <t xml:space="preserve">הצעת חוק לתיקון פקודת היערות (פקידי יערות ברשות מקומית), התש"ף-2020</t>
  </si>
  <si>
    <t xml:space="preserve"> (פ/1727/23)</t>
  </si>
  <si>
    <t xml:space="preserve">הצעת חוק מרשם האוכלוסין (תיקון - ביטול סעיף המין בתעודת הזהות), התש"ף-2020</t>
  </si>
  <si>
    <t xml:space="preserve"> (פ/1726/23)</t>
  </si>
  <si>
    <t xml:space="preserve">הצעת חוק הרשויות המקומיות (גמול השתתפות בישיבות והחזר הוצאות לחברי מועצה), התש"ף-2020</t>
  </si>
  <si>
    <t xml:space="preserve"> (פ/1725/23)</t>
  </si>
  <si>
    <t xml:space="preserve">הצעת חוק הרשויות המקומיות (זכויות וחובות של חברי מועצה), התש"ף-2020</t>
  </si>
  <si>
    <t xml:space="preserve"> (פ/1724/23)</t>
  </si>
  <si>
    <t xml:space="preserve">הצעת חוק חובת שימוש חוזר במי מזגנים, התש"ף-2020 </t>
  </si>
  <si>
    <t xml:space="preserve"> (פ/1723/23)</t>
  </si>
  <si>
    <t xml:space="preserve">הצעת חוק לתיקון פקודת היערות (חובת פרסום לציבור על ידי הצבת שלט), התש"ף-2020 </t>
  </si>
  <si>
    <t xml:space="preserve"> (פ/1722/23)</t>
  </si>
  <si>
    <t xml:space="preserve">הצעת חוק התכנון והבנייה (תיקון - פרסום נאות), התש"ף-2020</t>
  </si>
  <si>
    <t xml:space="preserve"> (פ/1721/23)</t>
  </si>
  <si>
    <t xml:space="preserve"> (פ/1720/23)</t>
  </si>
  <si>
    <t xml:space="preserve">הצעת חוק איסור שימוש ברכב ממשלתי לשר וסגן שר ביום המנוחה השבועי ובחג, התש"ף-2020</t>
  </si>
  <si>
    <t xml:space="preserve"> (פ/1719/23)</t>
  </si>
  <si>
    <t xml:space="preserve">הצעת חוק התכנון והבנייה (תיקון - תסקיר גישה ובטיחות בנתיבי תנועה ציבוריים), התש"ף-2020</t>
  </si>
  <si>
    <t xml:space="preserve"> (פ/1718/23)</t>
  </si>
  <si>
    <t xml:space="preserve">הצעת חוק הפרשנות (תיקון - הגדרת הפליה על רקע זהות מגדרית או נטייה מינית), התש"ף-2020</t>
  </si>
  <si>
    <t xml:space="preserve"> (פ/1717/23)</t>
  </si>
  <si>
    <t xml:space="preserve">הצעת חוק שמירת הסביבה החופית (תיקון - התאמת תכניות ישנות), התש"ף-2020</t>
  </si>
  <si>
    <t xml:space="preserve"> (פ/1715/23)</t>
  </si>
  <si>
    <t xml:space="preserve">הצעת חוק התכנון והבנייה (תיקון - הגדרת חדר מחוזק כמרחב מוגן), התש"ף-2020</t>
  </si>
  <si>
    <t xml:space="preserve"> (פ/1713/23)</t>
  </si>
  <si>
    <t xml:space="preserve">הצעת החוק העותומני על האגודות (תיקון - שימוש בשם), התש"ף-2020</t>
  </si>
  <si>
    <t xml:space="preserve"> (פ/1712/23)</t>
  </si>
  <si>
    <t xml:space="preserve">הצעת חוק האגודות העותומניות (רישום ופיקוח), התש"ף-2020</t>
  </si>
  <si>
    <t xml:space="preserve"> (פ/1711/23)</t>
  </si>
  <si>
    <t xml:space="preserve">הצעת חוק שירות המדינה (מינויים) (תיקון - ייצוג הולם בקרב העובדים בשירות המדינה), התש"ף-2020</t>
  </si>
  <si>
    <t xml:space="preserve"> (פ/1710/23)</t>
  </si>
  <si>
    <t xml:space="preserve">הצעת חוק זכויות נפגעי עבירה (תיקון - חובת יידוע נפגעי עבירה בדבר זכויותיהם), התש"ף-2020</t>
  </si>
  <si>
    <t xml:space="preserve"> (פ/1708/23)</t>
  </si>
  <si>
    <t xml:space="preserve">הצעת חוק בית המשפט לענייני משפחה (תיקון - בני זוג מאותו המין), התש"ף-2020</t>
  </si>
  <si>
    <t xml:space="preserve"> (פ/1707/23)</t>
  </si>
  <si>
    <t xml:space="preserve">הצעת חוק החברות הממשלתיות (תיקון - ייצוג הולם בתאגידים שהוקמו בחוק ובחברות ממשלתיות), התש"ף-2020</t>
  </si>
  <si>
    <t xml:space="preserve"> (פ/1706/23)</t>
  </si>
  <si>
    <t xml:space="preserve">הצעת חוק הביטוח הלאומי (תיקון - פטור מתשלום דמי ביטוח), התש"ף-2020</t>
  </si>
  <si>
    <t xml:space="preserve"> (פ/1704/23)</t>
  </si>
  <si>
    <t xml:space="preserve">הצעת חוק הביטוח הלאומי (תיקון - הודעה לפני גביית חוב), התש"ף-2020</t>
  </si>
  <si>
    <t xml:space="preserve"> (פ/1703/23)</t>
  </si>
  <si>
    <t xml:space="preserve">הצעת חוק דמי ביטוח לאומי ודמי ביטוח בריאות מופחתים למי שיצא לפרישה מוקדמת (תיקוני חקיקה), התש"ף-2020</t>
  </si>
  <si>
    <t xml:space="preserve"> (פ/1702/23)</t>
  </si>
  <si>
    <t xml:space="preserve">הצעת חוק הביטוח הלאומי (תיקון - מועד לתביעת גמלת כסף והתקופה שבעדה תשולם), התש"ף-2020</t>
  </si>
  <si>
    <t xml:space="preserve"> (פ/1701/23)</t>
  </si>
  <si>
    <t xml:space="preserve">הצעת חוק לתיקון פקודת הרופאים (פטור מבחינות לרופאים ממדינות מסוימות בחוץ-לארץ בעלי ניסיון של 5 שנים), התש"ף-2020</t>
  </si>
  <si>
    <t xml:space="preserve"> (פ/1700/23)</t>
  </si>
  <si>
    <t xml:space="preserve">הצעת חוק איסור הפליית אנשים עם עיוורון המלווים בכלבי נחייה (תיקון - אנשים עם מוגבלות המלווים בבעל חיים מסייע), התש"ף-2020</t>
  </si>
  <si>
    <t xml:space="preserve"> (פ/1699/23)</t>
  </si>
  <si>
    <t xml:space="preserve">הצעת חוק ציון שם ההורה בטופס, התש"ף-2020</t>
  </si>
  <si>
    <t xml:space="preserve"> (פ/1697/23)</t>
  </si>
  <si>
    <t xml:space="preserve">הצעת חוק העונשין (תיקון - שימוש במידע בידי עובד הציבור), התש"ף-2020</t>
  </si>
  <si>
    <t xml:space="preserve"> (פ/1696/23)</t>
  </si>
  <si>
    <t xml:space="preserve">הצעת חוק הגנת הפרטיות (תיקון - איסור פרסום שמו של נפגע), התש"ף-2020</t>
  </si>
  <si>
    <t xml:space="preserve"> (פ/1695/23)</t>
  </si>
  <si>
    <t xml:space="preserve">הצעת חוק לתיקון פקודת התעבורה (שמירת מרחק בעת עקיפת רוכבי אופניים), התש"ף-2020</t>
  </si>
  <si>
    <t xml:space="preserve"> (פ/1694/23)</t>
  </si>
  <si>
    <t xml:space="preserve">הצעת חוק לתיקון פקודת התעבורה (שילוט אלקטרוני ומערכת כריזה באוטובוס בשפה הערבית), התש"ף-2020</t>
  </si>
  <si>
    <t xml:space="preserve"> (פ/1693/23)</t>
  </si>
  <si>
    <t xml:space="preserve">הצעת חוק לתיקון פקודת העיריות (ביטול סמכויות גבייה מנהליות), התש"ף-2020</t>
  </si>
  <si>
    <t xml:space="preserve"> (פ/1692/23)</t>
  </si>
  <si>
    <t xml:space="preserve">הצעת חוק העונשין (תיקון - עבירת פיתוי קטין), התש"ף-2020</t>
  </si>
  <si>
    <t xml:space="preserve"> (פ/1691/23)</t>
  </si>
  <si>
    <t xml:space="preserve">הצעת חוק תשלום שכר היועץ המשפטי ומבקר העירייה (תיקוני חקיקה), התש"ף-2020</t>
  </si>
  <si>
    <t xml:space="preserve"> (פ/1690/23)</t>
  </si>
  <si>
    <t xml:space="preserve">הצעת חוק איסור פרסומת והגבלת השיווק של מוצרי טבק ועישון (תיקון - סימון רכיבי מוצר טבק על גבי חפיסות או אריזות), התש"ף-2020</t>
  </si>
  <si>
    <t xml:space="preserve"> (פ/1689/23)</t>
  </si>
  <si>
    <t xml:space="preserve">הצעת חוק איסור פרסומת והגבלת השיווק של מוצרי טבק ועישון (תיקון - דור ללא עישון), התש"ף-2020</t>
  </si>
  <si>
    <t xml:space="preserve"> (פ/1688/23)</t>
  </si>
  <si>
    <t xml:space="preserve"> (פ/1687/23)</t>
  </si>
  <si>
    <t xml:space="preserve">הצעת חוק ההוצאה לפועל (תיקון - ביטול האפשרות לצוות על עיכוב יציאה מהארץ בגין חוב כספי נמוך), התש"ף-2020</t>
  </si>
  <si>
    <t xml:space="preserve"> (פ/1686/23)</t>
  </si>
  <si>
    <t xml:space="preserve"> (פ/1685/23)</t>
  </si>
  <si>
    <t xml:space="preserve">הצעת חוק ההוצאה לפועל (תיקון - מקדמות על חשבון חוב מזונות ילד), התש"ף-2020</t>
  </si>
  <si>
    <t xml:space="preserve"> (פ/1684/23)</t>
  </si>
  <si>
    <t xml:space="preserve">הצעת חוק תאגידי מים וביוב (תיקון - ביטול סמכויות גבייה ואכיפה מיוחדות), התש"ף-2020</t>
  </si>
  <si>
    <t xml:space="preserve"> (פ/1683/23)</t>
  </si>
  <si>
    <t xml:space="preserve">הצעת חוק הגנת הצרכן (תיקון - תיעוד שיחות בין צרכן לעוסק ומסירתו לצרכן), התש"ף-2020</t>
  </si>
  <si>
    <t xml:space="preserve"> (פ/1682/23)</t>
  </si>
  <si>
    <t xml:space="preserve">הצעת חוק הגנת הצרכן (תיקון - קביעת סכום מרבי לחיוב חשבון), התש"ף-2020</t>
  </si>
  <si>
    <t xml:space="preserve"> (פ/1681/23)</t>
  </si>
  <si>
    <t xml:space="preserve">הצעת חוק הפעלת תחבורה ציבורית ביום המנוחה השבועי, התש"ף-2020</t>
  </si>
  <si>
    <t xml:space="preserve"> (פ/1680/23)</t>
  </si>
  <si>
    <t xml:space="preserve">הצעת חוק הגנת הצרכן (תיקון - תשלום על פי צריכה בעסקה מתמשכת), התש"ף-2020</t>
  </si>
  <si>
    <t xml:space="preserve"> (פ/1679/23)</t>
  </si>
  <si>
    <t xml:space="preserve">הצעת חוק להסדרת הפיקוח על כלבים (תיקון - איסור המתת כלבים בריאים), התש"ף-2020</t>
  </si>
  <si>
    <t xml:space="preserve"> (פ/1678/23)</t>
  </si>
  <si>
    <t xml:space="preserve">הצעת חוק לתיקון פקודת התעבורה (איסור עישון ברכב שנמצא בו קטין שטרם מלאו לו 15 שנים), התש"ף-2020</t>
  </si>
  <si>
    <t xml:space="preserve"> (פ/1677/23)</t>
  </si>
  <si>
    <t xml:space="preserve">הצעת חוק זכויות הדייר בדיור הציבורי (תיקון - זכות למגורים בדירה ציבורית לנשים ששהו במקלט לנשים מוכות), התש"ף-2020</t>
  </si>
  <si>
    <t xml:space="preserve"> (פ/1676/23)</t>
  </si>
  <si>
    <t xml:space="preserve">הצעת חוק השיפוט הצבאי (תיקון - סייג לגרימת מוות בפעילות מבצעית), התש"ף-2020</t>
  </si>
  <si>
    <t xml:space="preserve"> (פ/1675/23)</t>
  </si>
  <si>
    <t xml:space="preserve">הצעת חוק שירות ביטחון (תיקון - חובת תשלום מס למי שאינו משרת שירות צבאי או שירות אזרחי), התש"ף-2020</t>
  </si>
  <si>
    <t xml:space="preserve"> (פ/1674/23)</t>
  </si>
  <si>
    <t xml:space="preserve"> (פ/1673/23)</t>
  </si>
  <si>
    <t xml:space="preserve">הצעת חוק לתיקון פקודת היערות (סמכות השר להגנת הסביבה), התש"ף-2020</t>
  </si>
  <si>
    <t xml:space="preserve"> (פ/1672/23)</t>
  </si>
  <si>
    <t xml:space="preserve">חוק התכנית לסיוע כלכלי (נגיף הקורונה החדש – מענק חד-פעמי) (הוראת שעה ותיקוני חקיקה), התש"ף-2020 </t>
  </si>
  <si>
    <t xml:space="preserve"> (מ/1350)</t>
  </si>
  <si>
    <t xml:space="preserve">29.07.2020</t>
  </si>
  <si>
    <t xml:space="preserve">החוק קובע כי ישולמו מענקים חד פעמיים שלא ייחשבו כהכנסה לפי כל דין, ותשלומם ייעשה ללא צורך בהגשת בקשה לפי המידע שברשות המוסד או שהוא יוכל לקבל מרשויות בהתאם לפירוט בחוק, ובהעדר מידע - לפי בקשה שתכלול פרטים נדרשים ותוגש בתוך 24 חודשים מתחילת החוק: א. מענק בעד כל ילד שמשתלמת עבורו בחודש יולי 2020 קצבת ילדים או שנולד באותו חודש ולכן טרם זכאי לה. סכום המענק  500 ₪, אך החל מהילד החמישי סכום המענק הוא 300 ₪. המענק יחשב כקצבת ילדים וישולם באופן אוטומטי לחשבון הבנק שאליו היא משולמת, בלי לגרוע מזכות של הורה פרוד או גרוש לחלקו במענק לפי פסק דין או הסכם לעניין החזקה כלכלית של הילד. ב. מענק לתושב ישראל שמלאו לו 18 שנים, או שהוא נשוי גם אם טרם הגיע לגיל 18- בסכום 750 ₪.  תוספת  למענק בסך 750 ₪ נוספים תשולם לתושב ישראל שזכאי לגמלת סיעוד, גמלת נכה לפי הכנסה, גמלת הבטחת הכנסה, תשלום לתושב חוזר נזקק או תשלום לעולה נזקק. לא תשולם יותר מתוספת אחת לאדם, ואם שני בני זוג זכאים לה – תשולם רק תוספת אחת. הזכאות לתושב ישראל לא תחול על מי שמשלם מס יסף בשל הכנסתו הגבוהה ב-2018 (אלא אם כן הוכיח שלא היה חייב בו ב-2019), ועל מי שהיה חייב להגיש דו"ח שנתי למס הכנסה ל-2018 ולא עשה כן, אלא אם כן היה זכאי לגמלאות המזכות בתוספת למענק בעד חודש יולי 2020. החוק קובע בנוסף לאלה גם זכאות למענק חד- פעמי בסכום של 500 ₪ לחיילים משוחררים שסיימו את שירותם הסדיר בשנת 2020, כולל מי שסיימו שירות לאומי, התנדבות קהילתית או שירות לאומי-אזרחי בשנה זו. עוד קובע החוק, כי לשם מימון ההוצאות הנדרשות להתמודדות עם משבר הקורונה רשאית הממשלה להגדיל בשיעור נוסף את סכום ההוצאה הממשלתית ובלבד שלא תעלה  ביותר מ1.69% לעומת ההוצאה הממשלתית לשנת 2019. בחוק נכלל גם תיקון לחוק מיסוי מקרקעין (שבח ורכישה), התשכ״ג-1963, שעניינו ביטול הוראת שעה שאמורה היתה לפקוע רק בסוף שנת 2020, ובכך מפחית את מדרגות מס הרכישה למשקיעים שרוכשים דירה שניה או יותר החל מיום פרסום החוק ואילך. </t>
  </si>
  <si>
    <t xml:space="preserve">הצעת חוק מס רכוש וקרן פיצויים (תיקון - תשלום פיצויים ומקדמות לנפגעי התפרצות נגיף הקורונה החדש), התש"ף-2020</t>
  </si>
  <si>
    <t xml:space="preserve"> (פ/1026/23)</t>
  </si>
  <si>
    <t xml:space="preserve">הצעת חוק יסוד: ישראל - מדינת הלאום של העם היהודי (תיקון - שוויון, שפה והתיישבות)</t>
  </si>
  <si>
    <t xml:space="preserve"> (פ/211/23)</t>
  </si>
  <si>
    <t xml:space="preserve">חוק־יסוד: משק המדינה (תיקון מס' 10 והוראת שעה לשנת 2020) (תיקון מס' 3) </t>
  </si>
  <si>
    <t xml:space="preserve"> (מ/1349)</t>
  </si>
  <si>
    <t xml:space="preserve">28.07.2020</t>
  </si>
  <si>
    <t xml:space="preserve">סעיף 3ב לחוק-יסוד: משק המדינה, עוסק במצב בו לא התקבל חוק התקציב לפני תחילתה של שנת הכספים וקובע כי במצב זה, תהיה הממשלה רשאית להוציא כל חודש סכום השווה לחלק השניים עשר מהתקציב השנתי הקודם, בתוספת הצמדה למדד המחירים לצרכן. כמו כן, קובע הסעיף את סדר הקדימויות בשימוש בתקציב ההמשכי. בעקבות התפרצות נגיף הקורונה והצורך בצמצום התפשטותו, הוטלו הגבלות שונות על המשק ועל הציבור. הגבלות אלו הביאו למשבר כלכלי עמוק. לנוכח המשבר הבריאותי והכלכלי החמור, נדרש סיוע נרחב למשק. מכיוון שחוק היסוד מגביל את האפשרות להוציא כספים במצב בו אין תקציב מאושר, נחקק חוק-יסוד: משק המדינה (תיקון מס' 10 והוראת שעה לשנת 2020) בו נקבע כי עד סוף שנת 2020 או עד יום קבלת חוק התקציב, לפי המוקדם, ניתן יהיה להגדיל את ההוצאה הממשלתית לשם התמודדות עם משבר הקורונה, בהתאם לתכנית כלכלית. בחוק-יסוד: משק המדינה (תיקון מס' 10 והוראת שעה 2020) (תיקון), אושרה הגדלה נוספת של ההוצאה הממשלתית כך שבשנת 2020 סכומי ההוצאות הוגדלו בכ-14 מיליארד ש"ח. לנוכח העלייה בהיקפי התחלואה והתארכות המשבר, בחוק-יסוד: משק המדינה (תיקון מס' 10 והוראת שעה 2020) (תיקון מס' 2), הוגדלו הסכומים הקבועים בהוראת השעה בהיקף של כ-25.1 מיליארד ש"ח. לצורך מימון התכנית לתשלום מענקים חד-פעמיים לשם תמיכה כלכלית נוספת, המעוגנת בהצעה חוק התכנית לסיוע כלכלי (נגיף הקורונה החדש – מענק חד-פעמי) (הוראת שעה), התש"ף-2020, תוקנה פעם נוספת הוראת השעה כך שניתן יהיה להוציא סכום נוסף של 6.7 מיליארד ש"ח בשנת 2020, עד לאישורו של חוק התקציב לשנה זו.</t>
  </si>
  <si>
    <t xml:space="preserve">חוק התכנית לסיוע כלכלי (נגיף הקורונה החדש) (הוראת שעה), התש"ף-2020</t>
  </si>
  <si>
    <t xml:space="preserve"> (מ/1341)</t>
  </si>
  <si>
    <t xml:space="preserve">החוק קובע הוראות לסיוע כלכלי לשכירים, לבני 67 ומעלה, לעצמאים ולעסקים בתקופת משבר הקורונה. לגבי שכירים ועצמאים, נקבעה לאפשר להם למשוך בכל חודש סכום של עד 7,500 ש"ח מקרן השתלמות בפטור ממס גם אם טרם חלפו 6 שנים. עוד נקבע, להאריך את קיצור תקופת האכשרה לדמי אבטלה גם לשכירים שהעסקתם הופסקה עד יום 30/06/21 או עד חודש לאחר ששיעור הבלתי מועסקים במשק פחת מ-7.5% לפי פרסום הלשכה המרכזית לסטטיסטיקה, לפי המקוצר. בין היתר, הוארכה תקופת התשלום לדמי אבטלה עד 30/06/21 או עד ששיעור הבלתי מועסקים יפחת מ-7.5%. כמו כן, הוקלה הדרישה מעובד שהוצא לחל"ת שיהיה זכאי לדמי אבטלה כך שתקופת החל"ת שתידרש מ-15/07/20 תהיה 14 ימים רצופים לפחות ולא 30 כפי שנדרש עד כה. לעניין סיוע לבני  67  ומעלה, הוארכה תקופת הזכאות למענק הסתגלות מיוחד מלא וחלקי לחודשים אוגוסט עד דצמבר 2020. כן הוארכה התקופה שבה חיילים משוחררים יהיו רשאים למשוך כספים לתקופה שמיום 20/07/20 עד 30/06/21 והוגדלו הסכומים שניתן למשוך מהפיקדון, בהתאם למועד שחרורו של החייל. בנוסף, נקבע שיינתנו מענקי סיוע לעצמאי שבשנת 2019 מלאו לו 20 שנים לפחות ולשכיר בעל שליטה בחברת מעטים בתקופת הזכאות (תקופה בת חודש בכל פעם ששר האוצר קבע בצו שיינתן לגביה מענק). המענק יהיה דו-חודשי והוא יתייחס גם למצב שעצמאי הוא בעל עסק חדש ובהתאמה- חברת מעטים חדשה. סכום המענק המרבי לא יעלה על 15,000 ש"ח. עוד נקבע ליתן סיוע לעסקים בעד השתתפות בהוצאות קבועות, שההגבלות על פתיחתם השפיעו על פעילותם, וכן ליתן מענק גם לעסקים הבינוניים ולמוסד ציבורי זכאי לפי התנאים.  בדומה לסיוע לעצמאים, גם תקופות הזכאות יהיו כפופות לצו שר האוצר שניתן ליתן לגביהן מענק.  </t>
  </si>
  <si>
    <t xml:space="preserve">חוק צער בעלי חיים (הגנה על בעלי חיים) (תיקון מס' 11 - הוראת שעה), התש"ף–2020</t>
  </si>
  <si>
    <t xml:space="preserve"> (פ/874/23)</t>
  </si>
  <si>
    <t xml:space="preserve"> (כ/843)</t>
  </si>
  <si>
    <t xml:space="preserve">27.07.2020</t>
  </si>
  <si>
    <t xml:space="preserve">נקבע כי בתקופת כהונתה של הכנסת ה-23 הוועדה המוסמכת לדון בחוק צער בעלי חיים (הגנה על בעלי חיים), התשנ"ד–1994, תהיה ועדת הפנים והגנת הסביבה במקום ועדת החינוך התרבות והספורט.</t>
  </si>
  <si>
    <t xml:space="preserve"> (פ/1671/23)</t>
  </si>
  <si>
    <t xml:space="preserve">הצעת חוק לתיקון פקודת מס הכנסה (חישוב שווי שימוש ברכב לשומרי שבת וחג), התש"ף-2020</t>
  </si>
  <si>
    <t xml:space="preserve"> (פ/1670/23)</t>
  </si>
  <si>
    <t xml:space="preserve">הצעת חוק שירות ביטחון (תיקון - מינוי קצינה לקידום נשים לתפקידים בכירים ויצירת מסלולים לקידום קצינות בדרג הבכיר), התש"ף-2020</t>
  </si>
  <si>
    <t xml:space="preserve"> (פ/1669/23)</t>
  </si>
  <si>
    <t xml:space="preserve">הצעת חוק הגנת הצרכן (תיקון - הנגשת הודעת תשלום לצרכנים שאינם דוברי עברית), התש"ף-2020</t>
  </si>
  <si>
    <t xml:space="preserve"> (פ/1668/23)</t>
  </si>
  <si>
    <t xml:space="preserve">הצעת חוק שירות ביטחון (תיקון - פטור מטעמי מצפון), התש"ף-2020</t>
  </si>
  <si>
    <t xml:space="preserve"> (פ/1667/23)</t>
  </si>
  <si>
    <t xml:space="preserve">הצעת חוק העונשין (תיקון - החמרת ענישה על תקיפת קטין או חסר ישע), התש"ף-2020</t>
  </si>
  <si>
    <t xml:space="preserve"> (פ/1665/23)</t>
  </si>
  <si>
    <t xml:space="preserve"> (פ/1664/23)</t>
  </si>
  <si>
    <t xml:space="preserve">הצעת חוק איסור הפליה מחמת משקל (תיקוני חקיקה), התש"ף-2020</t>
  </si>
  <si>
    <t xml:space="preserve"> (פ/1663/23)</t>
  </si>
  <si>
    <t xml:space="preserve">הצעת חוק החברות הממשלתיות (תיקון - חובת דיווח חברתי-סביבתי), התש"ף-2020</t>
  </si>
  <si>
    <t xml:space="preserve"> (פ/1662/23)</t>
  </si>
  <si>
    <t xml:space="preserve">הצעת חוק שיפוט בתי דין רבניים (נישואין וגירושין) (תיקון - נישואין אזרחיים בשטח שגרירות בישראל), התש"ף-2020</t>
  </si>
  <si>
    <t xml:space="preserve"> (פ/1661/23)</t>
  </si>
  <si>
    <t xml:space="preserve">הצעת חוק בתי המשפט (תיקון - תקופת צינון לפני מינוי), התש"ף-2020</t>
  </si>
  <si>
    <t xml:space="preserve"> (פ/1660/23)</t>
  </si>
  <si>
    <t xml:space="preserve"> (פ/1659/23)</t>
  </si>
  <si>
    <t xml:space="preserve">הצעת חוק חסינות רבנים, התש"ף-2020</t>
  </si>
  <si>
    <t xml:space="preserve"> (פ/1658/23)</t>
  </si>
  <si>
    <t xml:space="preserve">הצעת חוק תובענות ייצוגיות (תיקון - תובענה ייצוגית בשל פגיעה בפרטיות), התש"ף-2020</t>
  </si>
  <si>
    <t xml:space="preserve"> (פ/1656/23)</t>
  </si>
  <si>
    <t xml:space="preserve">הצעת חוק איסור לשון הרע (תיקון - ביזוי אדם מחמת משקל), התש"ף-2020</t>
  </si>
  <si>
    <t xml:space="preserve"> (פ/1655/23)</t>
  </si>
  <si>
    <t xml:space="preserve">הצעת חוק הכללת אמצעי זיהוי ביומטריים ונתוני זיהוי ביומטריים במסמכי זיהוי ובמאגר מידע (תיקון - ביטול המאגר הביומטרי), התש"ף-2020</t>
  </si>
  <si>
    <t xml:space="preserve"> (פ/1654/23)</t>
  </si>
  <si>
    <t xml:space="preserve">הצעת חוק ההוצאה לפועל (תיקון - הגבלת סכום עיקול בידי צד שלישי שהוא תאגיד בנקאי), התש"ף-2020</t>
  </si>
  <si>
    <t xml:space="preserve"> (פ/1653/23)</t>
  </si>
  <si>
    <t xml:space="preserve"> (פ/1652/23)</t>
  </si>
  <si>
    <t xml:space="preserve">הצעת חוק ביטול סמכות הוועדה המרכזית למניעת השתתפות בבחירות (תיקוני חקיקה), התש"ף-2020</t>
  </si>
  <si>
    <t xml:space="preserve"> (פ/1651/23)</t>
  </si>
  <si>
    <t xml:space="preserve">הצעת חוק הרבנות הראשית (תיקון - בחירת נציגים מהאזור), התש"ף-2020</t>
  </si>
  <si>
    <t xml:space="preserve"> (פ/1650/23)</t>
  </si>
  <si>
    <t xml:space="preserve">הצעת חוק מעמדן של ההסתדרות הציונית העולמית ושל הסוכנות היהודית לארץ-ישראל (תיקון - ניהול והקצאת מקרקעין באזור יהודה והשומרון על ידי החטיבה להתיישבות), התש"ף-2020</t>
  </si>
  <si>
    <t xml:space="preserve"> (פ/1649/23)</t>
  </si>
  <si>
    <t xml:space="preserve">הצעת חוק לתיקון פקודת הסטטיסטיקה (הפניה לאפיון הרשויות המקומיות), התש"ף-2020</t>
  </si>
  <si>
    <t xml:space="preserve"> (פ/1648/23)</t>
  </si>
  <si>
    <t xml:space="preserve">הצעת חוק להגבלת שכר טרחת כונסי נכסים (תיקוני חקיקה), התש"ף-2020</t>
  </si>
  <si>
    <t xml:space="preserve"> (פ/1646/23)</t>
  </si>
  <si>
    <t xml:space="preserve">הצעת חוק-יסוד: הממשלה (תיקון - סייג לרציפות הממשלה בהסכמים ואמנות מדיניים)</t>
  </si>
  <si>
    <t xml:space="preserve"> (פ/1645/23)</t>
  </si>
  <si>
    <t xml:space="preserve">הצעת חוק ההתגוננות האזרחית (תיקון - אפשרות לקבלת פטור מבניית מקלט בהרחבת בית), התש"ף-2020</t>
  </si>
  <si>
    <t xml:space="preserve"> (פ/1644/23)</t>
  </si>
  <si>
    <t xml:space="preserve">הצעת חוק שיקים ללא כיסוי (תיקון - חובת הודעה ללקוח טרם סירוב שיק), התש"ף-2020</t>
  </si>
  <si>
    <t xml:space="preserve"> (פ/1642/23)</t>
  </si>
  <si>
    <t xml:space="preserve">הצעת חוק חינוך פיננסי, התש"ף-2020</t>
  </si>
  <si>
    <t xml:space="preserve"> (פ/1641/23)</t>
  </si>
  <si>
    <t xml:space="preserve">הצעת חוק פיצויי פיטורים (תיקון - מתן פיצויי פיטורים עקב העתקת מקום מגורים לבני זוג ידועים בציבור), התש"ף-2020</t>
  </si>
  <si>
    <t xml:space="preserve"> (פ/1640/23)</t>
  </si>
  <si>
    <t xml:space="preserve">הצעת חוק האזרחים הותיקים (תיקון - סל תרבות לאזרחים ותיקים עצמאיים המתגוררים בהוסטלים, מקבצי דיור או בתי דיור מוגן), התש"ף-2020</t>
  </si>
  <si>
    <t xml:space="preserve"> (פ/1639/23)</t>
  </si>
  <si>
    <t xml:space="preserve"> (פ/1638/23)</t>
  </si>
  <si>
    <t xml:space="preserve"> (פ/1637/23)</t>
  </si>
  <si>
    <t xml:space="preserve">הצעת חוק הביטוח הלאומי (תיקון - דמי אבטלה לעצמאים בתקופת הקורונה) (הוראת שעה), התש"ף-2020</t>
  </si>
  <si>
    <t xml:space="preserve"> (פ/1636/23)</t>
  </si>
  <si>
    <t xml:space="preserve">הצעת חוק איסור רוכלות רוחנית במוסדות חינוך ובקרבתם, התש"ף-2020</t>
  </si>
  <si>
    <t xml:space="preserve"> (פ/1635/23)</t>
  </si>
  <si>
    <t xml:space="preserve">הצעת חוק התרבות והאמנות (תיקון - תקציב התרבות), התש"ף-2020</t>
  </si>
  <si>
    <t xml:space="preserve"> (פ/1634/23)</t>
  </si>
  <si>
    <t xml:space="preserve">הצעת חוק לתיקון פקודת בריאות העם (הוספת מרכז לידה), התש"ף-2020</t>
  </si>
  <si>
    <t xml:space="preserve"> (פ/1632/23)</t>
  </si>
  <si>
    <t xml:space="preserve">הצעת חוק הטבות לניצולי שואה (תיקון - הטבות לניצולים שעלו לאחר שנת 1953), התש"ף-2020</t>
  </si>
  <si>
    <t xml:space="preserve"> (פ/1631/23)</t>
  </si>
  <si>
    <t xml:space="preserve">הצעת חוק הסכמים לנשיאת עוברים (אישור הסכם ומעמד היילוד) (תיקון - הורים מיועדים), התש"ף-2020</t>
  </si>
  <si>
    <t xml:space="preserve"> (פ/1630/23)</t>
  </si>
  <si>
    <t xml:space="preserve">הצעת חוק הביטוח הלאומי (תיקון - דמי ביטוח מופחתים לסטודנטים), התש"ף-2020</t>
  </si>
  <si>
    <t xml:space="preserve"> (פ/1629/23)</t>
  </si>
  <si>
    <t xml:space="preserve">הצעת חוק מגן דוד אדום (תיקון - פריסת ניידות טיפול נמרץ ברחבי המדינה), התש"ף-2020 </t>
  </si>
  <si>
    <t xml:space="preserve"> (פ/1628/23)</t>
  </si>
  <si>
    <t xml:space="preserve">הצעת חוק הביטוח הלאומי (תיקון - קצבת נכות וקצבת שאירים), התש"ף-2020</t>
  </si>
  <si>
    <t xml:space="preserve"> (פ/1627/23)</t>
  </si>
  <si>
    <t xml:space="preserve">הצעת חוק לידה בבית (תיקוני חקיקה), התש"ף-2020</t>
  </si>
  <si>
    <t xml:space="preserve"> (פ/1626/23)</t>
  </si>
  <si>
    <t xml:space="preserve">הצעת חוק פדיון הטבת חניה לעובד לשם צמצום שימוש ברכב פרטי, התש"ף-2020</t>
  </si>
  <si>
    <t xml:space="preserve"> (פ/1625/23)</t>
  </si>
  <si>
    <t xml:space="preserve">הצעת חוק לתיקון פקודת בריאות העם (טיפול בפסולת רפואית), התש"ף-2020</t>
  </si>
  <si>
    <t xml:space="preserve"> (פ/1624/23)</t>
  </si>
  <si>
    <t xml:space="preserve">הצעת חוק שוויון ההזדמנויות בעבודה (תיקון - איסור דרישת מידע ביומטרי מעובד או מדורש עבודה), התש"ף-2020</t>
  </si>
  <si>
    <t xml:space="preserve"> (פ/1623/23)</t>
  </si>
  <si>
    <t xml:space="preserve">הצעת חוק חובת הצגת תג זיהוי והזדהות של עובד ציבור, התש"ף-2020</t>
  </si>
  <si>
    <t xml:space="preserve"> (פ/1622/23)</t>
  </si>
  <si>
    <t xml:space="preserve">הצעת חוק זכויות החולה (תיקון - הכנסת מזון למוסדות רפואיים בחג הפסח), התש"ף-2020</t>
  </si>
  <si>
    <t xml:space="preserve"> (פ/1621/23)</t>
  </si>
  <si>
    <t xml:space="preserve">הצעת חוק הכנסת (תיקון - גיל סיום כהונת היועץ המשפטי לכנסת), התש"ף-2020</t>
  </si>
  <si>
    <t xml:space="preserve"> (פ/1620/23)</t>
  </si>
  <si>
    <t xml:space="preserve">הצעת חוק המועצה להשכלה גבוהה (תיקון - מוסד מוכר כתאגיד לפי חוק), התש"ף-2020</t>
  </si>
  <si>
    <t xml:space="preserve"> (פ/1619/23)</t>
  </si>
  <si>
    <t xml:space="preserve"> (פ/1618/23)</t>
  </si>
  <si>
    <t xml:space="preserve">הצעת חוק לתיקון פקודת התעבורה (הגבלת תשלום דמי חניה במוסד רפואי), התש"ף-2020</t>
  </si>
  <si>
    <t xml:space="preserve"> (פ/1617/23)</t>
  </si>
  <si>
    <t xml:space="preserve">הצעת חוק חניה לנכים (תיקון - החלפת המונח נכה), התש"ף-2020</t>
  </si>
  <si>
    <t xml:space="preserve"> (פ/1616/23)</t>
  </si>
  <si>
    <t xml:space="preserve"> (פ/1615/23)</t>
  </si>
  <si>
    <t xml:space="preserve">הצעת חוק תרומת זרע, התש"ף-2020</t>
  </si>
  <si>
    <t xml:space="preserve"> (פ/1614/23)</t>
  </si>
  <si>
    <t xml:space="preserve">הצעת חוק עדכון שכר נושאי משרה ברשויות השלטון (הכללת דמי האבטלה בחישוב השכר הממוצע) (הוראת שעה), התש"ף-2020</t>
  </si>
  <si>
    <t xml:space="preserve"> (פ/1612/23)</t>
  </si>
  <si>
    <t xml:space="preserve"> (פ/1611/23)</t>
  </si>
  <si>
    <t xml:space="preserve">הצעת חוק הביטוח הלאומי (תיקון - השוואת קצבת נכות לשכר המינימום), התש"ף-2020</t>
  </si>
  <si>
    <t xml:space="preserve"> (פ/1610/23)</t>
  </si>
  <si>
    <t xml:space="preserve"> (פ/1609/23)</t>
  </si>
  <si>
    <t xml:space="preserve">הצעת חוק הביטוח הלאומי (תיקון - הטבות למי שמקבל גמלה לפי חוק הביטוח הלאומי וקיבל גמלת הבטחת הכנסה), התש"ף-2020</t>
  </si>
  <si>
    <t xml:space="preserve"> (פ/1608/23)</t>
  </si>
  <si>
    <t xml:space="preserve">הצעת חוק הגנת הצרכן (תיקון - חובת הקלטה של עסקה טלפונית), התש"ף-2020</t>
  </si>
  <si>
    <t xml:space="preserve"> (פ/1606/23)</t>
  </si>
  <si>
    <t xml:space="preserve">הצעת חוק הכנסת (תיקון - מינוי היועץ המשפטי לכנסת), התש"ף-2020</t>
  </si>
  <si>
    <t xml:space="preserve"> (פ/1605/23)</t>
  </si>
  <si>
    <t xml:space="preserve">הצעת חוק לתיקון פקודת התעבורה (מרכז שירות ארצי לעניין כרטיס רב-קו), התש"ף-2020</t>
  </si>
  <si>
    <t xml:space="preserve"> (פ/1604/23)</t>
  </si>
  <si>
    <t xml:space="preserve">הצעת חוק תאגידי מים וביוב (תיקון - החרגת הפרשי גובה וצפיפות הבנייה בחישוב דמי הקמה של מערכות מים וביוב), התש"ף-2020</t>
  </si>
  <si>
    <t xml:space="preserve"> (פ/1603/23)</t>
  </si>
  <si>
    <t xml:space="preserve">הצעת חוק הרשות לפיתוח הנגב (תיקון מס' 4) (תיקון - דיווח השר לפיתוח הפריפריה, הנגב והגליל לוועדת הכלכלה), התש"ף-2020</t>
  </si>
  <si>
    <t xml:space="preserve"> (פ/1602/23)</t>
  </si>
  <si>
    <t xml:space="preserve">הצעת חוק איסור פרסומת והגבלת השיווק של מוצרי טבק ועישון (תיקון - פרסומות מנע של חברות מוצרי טבק ועישון), התש"ף-2020</t>
  </si>
  <si>
    <t xml:space="preserve"> (פ/1600/23)</t>
  </si>
  <si>
    <t xml:space="preserve">חוק סמכויות מיוחדות להתמודדות עם נגיף הקורונה החדש (הוראת שעה), התש"ף-2020</t>
  </si>
  <si>
    <t xml:space="preserve"> (מ/1320)</t>
  </si>
  <si>
    <t xml:space="preserve">22.07.2020</t>
  </si>
  <si>
    <t xml:space="preserve">החוק שנקבע כהוראת שעה עד 30/6/21 מאפשר לממשלה בנסיבות מסוימות להכריז על מצב חירום בשל נגיף הקורונה. בתקופת תוקפה של ההכרזה, הממשלה מוסמכת להתקין תקנות שיגבילו את הפעילות הציבורית בתחומים הקבועים בחוק- פעילות במרחב הפרטי, הציבורי, מקומות עבודה, אירועים, מוסדות חינוך, מסגרות רווחה ותחום התחבורה הציבורית. תוקפן של התקנות בין 14 ל-28 ימים כתלות בסוגן, והארכתן תלויה באישור ועדת החוקה. כמו כן, בתנאים מוגדרים ועדת השרים רשאית להכריז על אזור כאזור מוגבל, ומכוח הכרזה זאת להגביל כניסה לאזור זה ויציאה ממנו למעט מטרות המנויות בחוק. לבסוף, הוגדרו העונשים על הפרת הוראות ותקנות החוק. </t>
  </si>
  <si>
    <t xml:space="preserve">הצעת חוק הנציבות לצמצום הרגולציה והבירוקרטיה הממשלתית, התש"ף-2020</t>
  </si>
  <si>
    <t xml:space="preserve"> (פ/1111/23)</t>
  </si>
  <si>
    <t xml:space="preserve"> (פ/322/23)</t>
  </si>
  <si>
    <t xml:space="preserve"> (פ/29/23)</t>
  </si>
  <si>
    <t xml:space="preserve">חוק הסמכת שירות הביטחון הכללי לסייע במאמץ הלאומי לצמצום התפשטות נגיף הקורונה החדש (הוראת שעה) (תיקון), התש"ף-2020</t>
  </si>
  <si>
    <t xml:space="preserve"> (מ/1334)</t>
  </si>
  <si>
    <t xml:space="preserve">20.07.2020</t>
  </si>
  <si>
    <t xml:space="preserve">החוק מאפשר למשרד הבריאות להסתייע בשירות הביטחון הכללי לטובת עיבוד מידע טכנולוגי ממכשירי טלפון ניידים של מי שאובחנו כחולים בנגיף הקורונה, ושל מי שבא עימם במגע ב-14 הימים שקדמו לאבחונם כחולים. זאת, כדי שניתן יהיה להורות לאנשים שבאו במגע קרוב עם חולי הקורונה להיכנס לבידוד מחשש שנדבקו בנגיף. הממשלה תהיה רשאית להכריז על הסמכת השב"כ אם היא שוכנעה שיש חשש להתפשטות רחבת היקף של המחלה ויש צורך ממשי בהסתייעות בשירות. הממשלה לא תכריז אלא אם כן שוכנעה שאין חלופה מתאימה אחרת. עוד נקבע שמשרד הבריאות יוכל להסתייע בשירות רק אם אובחנו יותר ממאתיים חולים חדשים באותו יום, או ביום שקדם לו, ושהכרזת הממשלה תהיה בתוקף ל-21 ימים. נקבע שמשרד הבריאות יוכל לצמצם את טווח ימי הבידוד לאנשים שנחשפו לחולה מאומת לפי שיקולים מקצועיים, ומי שאותר כמגע קרוב של חולה, רשאי להגיש השגה על ההודעה ולבקש כי הנתונים שעל בסיסם התקבלה ייבחנו מחדש. בנוסף, הממשלה תמנה צוות שרים לבחינת הצורך בהמשך ההסתייעות בשירות בהתחשב במצב התחלואה, בתרומת תוצאות פעולות הסיוע לצמצום התפשטות המחלה ובקיומן של חלופות, תוך שיקולי הפגיעה בזכות לפרטיות. המלצות הצוות יונחו על שולחן הממשלה. נקבע שמשרד הבריאות יפעל להמשך פיתוח טכנולוגיה אזרחית לאיתור מגעים שאינה כוללת הסתייעות בשב"כ ויגבש תכנית לאומית לעידוד הציבור להשתמש בטכנולוגיה האזרחית ויבטיח את התקציב הדרוש למימושה. החוק קובע חובת דיווחים שבועית לוועדת החוץ והביטחון עם נתונים הכוללים את מספר החולים שלגביהם בוצעו פעולות סיוע, מספר האנשים שפרטיהם הועברו למשרד הבריאות כמי שאותרו כי באו במגע עם קרוב עם חולה ומספר החולים המאובחנים שאותרו לפני כן על בסיס פעולות הסיוע לעומת אלה שאותרו על בסיס חקירה אפידמיולוגית או לא אותרו כלל. החוק כולל הסדרים הנוגעים לאבטחת המידע במשרד הבריאות ובשירות הביטחון הכללי, וכן הוראות לגבי שמירת המידע, מגבלות השימוש בו והעברתו. כמו כן, נקבע הסדר מיוחד לעיתונאים לפיו עיתונאי צריך להסכים להעברת פרטיו לשב"כ. החוק יעמוד בתוקפו למשך חצי שנה, עד יום 20 בינואר 2021. </t>
  </si>
  <si>
    <t xml:space="preserve">הצעת חוק נתוני אשראי (תיקון - איסור שימוש בנתוני אשראי שנאספו בתקופת משבר הקורונה), התש"ף-2020</t>
  </si>
  <si>
    <t xml:space="preserve"> (פ/1228/23)</t>
  </si>
  <si>
    <t xml:space="preserve">הצעת חוק סיוג הגבלת חשבון והגבלת לקוח בשל שיקים שסורבו בתקופה שהוכרזה מחלה מידבקת מסוכנת (תיקוני חקיקה), התש"ף-2020</t>
  </si>
  <si>
    <t xml:space="preserve"> (פ/922/23)</t>
  </si>
  <si>
    <t xml:space="preserve">הצעת חוק הרשויות המקומיות (הוראת שעה – נגיף הקורונה החדש) (קיום ישיבת מועצה בהיוועדות חזותית), התש"ף-2020</t>
  </si>
  <si>
    <t xml:space="preserve"> (מ/1299)</t>
  </si>
  <si>
    <t xml:space="preserve">חוק לתיקון ולהארכת תוקפן של תקנות שעת חירום (נגיף הקורונה החדש - דיונים בהשתתפות עצורים, אסירים וכלואים) (תיקון מס' 2), התש"ף-2020</t>
  </si>
  <si>
    <t xml:space="preserve">הוחלט לתקן את החוק לתיקון ולהארכת תוקפן של תקנות שעת חירום (נגיף הקורונה החדש – דיונים בהשתתפות עצורים, אסירים וכלואים) ולקבוע כי עצור או אסיר הנמצאים בבידוד ישתתפו בדיון באמצעים טכנולוגיים ואם יש חשש ממשי שנדבקו, או באו במגע עם חולה, יוסמכו גורמים בשירות בתי הסוהר לקבוע כי הדיון יתקיים בהשתתפותם באמצעים טכנולוגיים. עוד הוחלט להסמיך את שר המשפטים והשר לביטחון פנים להכריז, בתנאים מסויימים ובאישור בדיעבד של ועדת החוקה, על אי-קיום דיונים בנוכחות עצורים או אסירים. כמו כן, הוחלט לקבוע הסדרים מקבילים לעניין השתתפות כלואים בדיונים בבתי הדין הצבאיים.</t>
  </si>
  <si>
    <t xml:space="preserve">חוק הארכת תקופות ודחיית מועדים בענייני הליכי מס ומענקי סיוע (נגיף הקורונה החדש – הוראת שעה – תיקוני חקיקה), התש"ף–2020 </t>
  </si>
  <si>
    <t xml:space="preserve"> (מ/1309)</t>
  </si>
  <si>
    <t xml:space="preserve">חוק זה קובע כי בחישוב התקופות שנקבעו בדיני המס להליכים שונים הנוגעים לנישומים ולרשות המיסים, התקופה הקובעת (מיום 22 במרס 2020 עד יום 31 במאי 2020) לא תבוא במניין, אם מועדי תחילתן של התקופות חלים לפני תום התקופה הקובעת ואם מועד סיומן של התקופות חלים בתקופה הקובעת או בחודשיים שאחריה. בנוסף, קובע הארכת תקופות המסתיימות בחודשים מרס עד אוקטובר 2020 לעניין חוק מיסוי מקרקעין, וכן הארכת תקופות לעניין עיצומים כספיים וקנסות אזרחיים. כמו כן, החוק מעגן מענקי הסיוע לעצמאים ולשכירים בעלי שליטה, ומענקים לעסקים בעד השתתפות בהוצאות קבועות בתקופת ההתמודדות עם נגיף הקורונה וכן הארכת המועדים להגשת הבקשה לקבלת המענק, לפי העניין.</t>
  </si>
  <si>
    <t xml:space="preserve">הצעת חוק הפרטת תחנת גלי צה"ל, התש"ף-2020</t>
  </si>
  <si>
    <t xml:space="preserve"> (פ/1598/23)</t>
  </si>
  <si>
    <t xml:space="preserve">הצעת חוק להסדרת המגורים בשטחי מרעה, התש"ף–2020</t>
  </si>
  <si>
    <t xml:space="preserve"> (פ/1597/23)</t>
  </si>
  <si>
    <t xml:space="preserve">הצעת חוק רציפות הדיון בהצעות חוק (הוראת שעה - כנסת יוצאת וכנסת נכנסת שאינן ברציפות), התש"ף-2020</t>
  </si>
  <si>
    <t xml:space="preserve"> (פ/1596/23)</t>
  </si>
  <si>
    <t xml:space="preserve">הצעת חוק הביטוח הלאומי (תיקון - הארכת תקופת הזכאות לדמי אבטלה לשכיר שהחל לעבוד כעצמאי ועסקו נסגר), התש"ף-2020</t>
  </si>
  <si>
    <t xml:space="preserve"> (פ/1595/23)</t>
  </si>
  <si>
    <t xml:space="preserve">הצעת חוק הסדרת העיסוק במקצועות הבריאות (תיקון - מתן תעודה במקצועות הבריאות לבעלי הכשרה מקצועית), התש"ף-2020</t>
  </si>
  <si>
    <t xml:space="preserve"> (פ/1594/23)</t>
  </si>
  <si>
    <t xml:space="preserve">הצעת חוק לתיקון פקודת הרופאים (רופא שהורשע בעבירת מין), התש"ף-2020</t>
  </si>
  <si>
    <t xml:space="preserve"> (פ/1593/23)</t>
  </si>
  <si>
    <t xml:space="preserve">הצעת חוק הביטוח הלאומי (תיקון - זכאות לדמי אבטלה מגיל 19), התש"ף-2020</t>
  </si>
  <si>
    <t xml:space="preserve"> (פ/1592/23)</t>
  </si>
  <si>
    <t xml:space="preserve">הצעת חוק הבטחת הכנסה (תיקון - הגדלת הסכום להשתכרות בנוסף לקיצבה), התש"ף-2020</t>
  </si>
  <si>
    <t xml:space="preserve"> (פ/1591/23)</t>
  </si>
  <si>
    <t xml:space="preserve">הצעת חוק הביטוח הלאומי (תיקון - דמי אבטלה למשרתים בשירות לאומי-אזרחי), התש"ף-2020</t>
  </si>
  <si>
    <t xml:space="preserve"> (פ/1590/23)</t>
  </si>
  <si>
    <t xml:space="preserve">הצעת חוק הרשויות המקומיות (דירות מקלט), התש"ף-2020</t>
  </si>
  <si>
    <t xml:space="preserve"> (פ/1589/23)</t>
  </si>
  <si>
    <t xml:space="preserve"> (פ/1588/23)</t>
  </si>
  <si>
    <t xml:space="preserve">הצעת חוק הרשויות המקומיות (הגבלת הזכות להיבחר) (תיקון - חזרת עובד רשות לעבודתו לאחר שהתמודד לראשות המועצה), התש"ף-2020</t>
  </si>
  <si>
    <t xml:space="preserve"> (פ/1587/23)</t>
  </si>
  <si>
    <t xml:space="preserve">הצעת חוק המים (תיקון - שקיפות פעילות הרשות הממשלתית), התש"ף-2020</t>
  </si>
  <si>
    <t xml:space="preserve"> (פ/1586/23)</t>
  </si>
  <si>
    <t xml:space="preserve">הצעת חוק התקשורת (בזק ושידורים) (תיקון - שיחה למוקדי חירום), התש"ף-2020</t>
  </si>
  <si>
    <t xml:space="preserve"> (פ/1585/23)</t>
  </si>
  <si>
    <t xml:space="preserve">הצעת חוק הדיינים (תיקון - מינוי דיין עמית בבית הדין הרבני הגדול), התש"ף-2020</t>
  </si>
  <si>
    <t xml:space="preserve"> (פ/1584/23)</t>
  </si>
  <si>
    <t xml:space="preserve">הצעת חוק שופט עמית ודיין עמית (תיקוני חקיקה), התש"ף-2020</t>
  </si>
  <si>
    <t xml:space="preserve"> (פ/1583/23)</t>
  </si>
  <si>
    <t xml:space="preserve">הצעת חוק להגדלת שיעור ההשתתפות בכוח העבודה ולצמצום פערים חברתיים (מס הכנסה שלילי) (תיקון - מענק לעובד בשל טיפולי הפריה ופריון), התש"ף-2020</t>
  </si>
  <si>
    <t xml:space="preserve"> (פ/1582/23)</t>
  </si>
  <si>
    <t xml:space="preserve">הצעת חוק מס ערך מוסף (תיקון - מס בשיעור אפס על ספרי לימוד), התש"ף-2020</t>
  </si>
  <si>
    <t xml:space="preserve"> (פ/1581/23)</t>
  </si>
  <si>
    <t xml:space="preserve">הצעת חוק שיפוט בתי דין רבניים (נישואין וגירושין) (תיקון - סמכות שיפוט בהסכמה בעניין אזרחי), התש"ף-2020</t>
  </si>
  <si>
    <t xml:space="preserve"> (פ/1580/23)</t>
  </si>
  <si>
    <t xml:space="preserve">הצעת חוק איסור פרסום והפצת שמות נפגעים, התש"ף-2020</t>
  </si>
  <si>
    <t xml:space="preserve"> (פ/1579/23)</t>
  </si>
  <si>
    <t xml:space="preserve">הצעת חוק בתי המשפט (תיקון - חובת ביקור שופט בבתי סוהר), התש"ף-2020</t>
  </si>
  <si>
    <t xml:space="preserve"> (פ/1578/23)</t>
  </si>
  <si>
    <t xml:space="preserve">הצעת חוק עידוד שירות צבאי, לאומי או לאומי-אזרחי, התש"ף-2020</t>
  </si>
  <si>
    <t xml:space="preserve"> (פ/1577/23)</t>
  </si>
  <si>
    <t xml:space="preserve">הצעת חוק איסור לשון הרע (תיקון - השתייכות חברתית), התש"ף-2020</t>
  </si>
  <si>
    <t xml:space="preserve"> (פ/1576/23)</t>
  </si>
  <si>
    <t xml:space="preserve"> (פ/1575/23)</t>
  </si>
  <si>
    <t xml:space="preserve"> (פ/1574/23)</t>
  </si>
  <si>
    <t xml:space="preserve"> (פ/1573/23)</t>
  </si>
  <si>
    <t xml:space="preserve">הצעת חוק-יסוד: השפיטה (תיקון - הגנה על סמכויות בית המשפט העליון)</t>
  </si>
  <si>
    <t xml:space="preserve"> (פ/1572/23)</t>
  </si>
  <si>
    <t xml:space="preserve">הצעת חוק שיפוט בעניני התרת נישואין (מקרים מיוחדים וסמכות בין-לאומית) (תיקון - התרת נישואין אזרחיים), התש"ף-2020</t>
  </si>
  <si>
    <t xml:space="preserve"> (פ/1571/23)</t>
  </si>
  <si>
    <t xml:space="preserve">הצעת חוק החברות (תיקון - ייצוג הולם של בני שני המינים והאוכלוסייה הערבית במינוי דירקטור חיצוני), התש"ף-2020</t>
  </si>
  <si>
    <t xml:space="preserve"> (פ/1570/23)</t>
  </si>
  <si>
    <t xml:space="preserve">הצעת חוק חובת המכרזים (תיקון - ייצוג הולם לאוכלוסייה הערבית), התש"ף-2020</t>
  </si>
  <si>
    <t xml:space="preserve"> (פ/1569/23)</t>
  </si>
  <si>
    <t xml:space="preserve"> (פ/1568/23)</t>
  </si>
  <si>
    <t xml:space="preserve">הצעת חוק הממשלה (תיקון - פרסום פרוטוקול ישיבות הממשלה), התש"ף-2020</t>
  </si>
  <si>
    <t xml:space="preserve"> (פ/1567/23)</t>
  </si>
  <si>
    <t xml:space="preserve">הצעת חוק איסור הפרטת שיקול דעת שלטוני (הסדרת מעמדה של החטיבה להתיישבות), התש"ף-2020</t>
  </si>
  <si>
    <t xml:space="preserve"> (פ/1566/23)</t>
  </si>
  <si>
    <t xml:space="preserve">הצעת חוק לשכת עורכי הדין (תיקון - קורס הכנה למבחני הלשכה), התש"ף-2020</t>
  </si>
  <si>
    <t xml:space="preserve"> (פ/1565/23)</t>
  </si>
  <si>
    <t xml:space="preserve">הצעת חוק הכשרות לאנשי מקצוע בתחום החינוך בנושא מגדר ונטייה מינית, התש"ף-2020</t>
  </si>
  <si>
    <t xml:space="preserve"> (פ/1564/23)</t>
  </si>
  <si>
    <t xml:space="preserve">הצעת חוק השמות (תיקון - בחירה או שינוי שם), התש"ף-2020</t>
  </si>
  <si>
    <t xml:space="preserve"> (פ/1563/23)</t>
  </si>
  <si>
    <t xml:space="preserve">הצעת חוק הרשויות המקומיות (בחירת ראש הרשות וסגניו וכהונתם) (תיקון - בחירת חבר מועצה למילוי מקום ראש רשות וסגניו), התש"ף-2020</t>
  </si>
  <si>
    <t xml:space="preserve"> (פ/1562/23)</t>
  </si>
  <si>
    <t xml:space="preserve">הצעת חוק מבקר המדינה (תיקון - תקופת צינון למועמדים לכנסת, חברי כנסת ושרים), התש"ף-2020</t>
  </si>
  <si>
    <t xml:space="preserve"> (פ/1561/23)</t>
  </si>
  <si>
    <t xml:space="preserve">הצעת חוק הגבלות על יצוא ביטחוני למיאנמר (הוראת שעה), התש"ף-2020</t>
  </si>
  <si>
    <t xml:space="preserve"> (פ/1560/23)</t>
  </si>
  <si>
    <t xml:space="preserve">הצעת חוק משפחות חיילים שנספו במערכה (תגמולים ושיקום) (תיקון - שימוש בזרע חייל שנספה), התש"ף-2020</t>
  </si>
  <si>
    <t xml:space="preserve"> (פ/1559/23)</t>
  </si>
  <si>
    <t xml:space="preserve">הצעת חוק הגנה על בריאות הציבור (מזון) (תיקון - סימון אופן טיפול במוצרי עוף וביצים עם חשש להימצאותם של חיידקי סלמונלה), התש"ף-2020</t>
  </si>
  <si>
    <t xml:space="preserve"> (פ/1558/23)</t>
  </si>
  <si>
    <t xml:space="preserve">הצעת חוק סדר הדין הפלילי (תיקון - העברת הטיפול בעבירות נגד שוטרים לידי הפרקליטות), התש"ף-2020</t>
  </si>
  <si>
    <t xml:space="preserve"> (פ/1557/23)</t>
  </si>
  <si>
    <t xml:space="preserve">הצעת חוק הביטוח הלאומי (תיקון - סיווג מאמנים כמבוטחים), התש"ף-2020</t>
  </si>
  <si>
    <t xml:space="preserve"> (פ/1556/23)</t>
  </si>
  <si>
    <t xml:space="preserve">הצעת חוק קליטת חיילים משוחררים (תיקון - מימון שכר לימוד), התש"ף-2020</t>
  </si>
  <si>
    <t xml:space="preserve"> (פ/1555/23)</t>
  </si>
  <si>
    <t xml:space="preserve">הצעת חוק הבטחת הכנסה (תיקון - גמלת הבטחת הכנסה לקשיש), התש"ף-2020</t>
  </si>
  <si>
    <t xml:space="preserve"> (פ/1554/23)</t>
  </si>
  <si>
    <t xml:space="preserve">הצעת חוק ביטוח בריאות ממלכתי (תיקון - פטור מתשלום דמי ביטוח למי שטרם מלאו לו 21 שנים), התש"ף-2020</t>
  </si>
  <si>
    <t xml:space="preserve"> (פ/1552/23)</t>
  </si>
  <si>
    <t xml:space="preserve">הצעת חוק מעונות יום שיקומיים (תיקון - מספר ילדים בשלוחה), התש"ף-2020</t>
  </si>
  <si>
    <t xml:space="preserve"> (פ/1551/23)</t>
  </si>
  <si>
    <t xml:space="preserve">הצעת חוק הביטוח הלאומי (תיקון - זכות טיעון לפני שלילת גמלה), התש"ף-2020</t>
  </si>
  <si>
    <t xml:space="preserve"> (פ/1550/23)</t>
  </si>
  <si>
    <t xml:space="preserve">הצעת חוק שירותי הסעד (תיקון - הגבלת מספר התיקים בטיפול עובד סוציאלי המטפל במשפחות), התש"ף-2020</t>
  </si>
  <si>
    <t xml:space="preserve"> (פ/1549/23)</t>
  </si>
  <si>
    <t xml:space="preserve">חוק-יסוד: משק המדינה (תיקון מס' 10 והוראת שעה לשנת 2020) (תיקון מס' 2) </t>
  </si>
  <si>
    <t xml:space="preserve"> (מ/1340)</t>
  </si>
  <si>
    <t xml:space="preserve">15.07.2020</t>
  </si>
  <si>
    <t xml:space="preserve">סעיף 3ב לחוק-יסוד: משק המדינה, עוסק במצב בו לא התקבל חוק התקציב לפני תחילתה של שנת הכספים, וקובע כי במצב זה, תהיה הממשלה רשאית להוציא כל חודש סכום השווה לחלק השניים עשר מהתקציב השנתי הקודם, בתוספת הצמדה למדד המחירים לצרכן. כמו כן, קובע הסעיף את סדר הקדימויות בשימוש בתקציב ההמשכי. בעקבות התפרצות נגיף הקורונה והצורך בצמצום התפשטותו, הוטלו הגבלות שונות על המשק ועל הציבור. הגבלות אלו הביאו למשבר כלכלי עמוק. לנוכח המשבר הבריאותי והכלכלי החמור, נדרש סיוע נרחב למשק. מכיוון שחוק היסוד מגביל את האפשרות להוציא כספים במצב בו אין תקציב מאושר, נחקק תיקון לחוק היסוד- חוק-יסוד: משק המדינה (תיקון מס' 10 והוראת שעה לשנת 2020), בו נקבע כי עד סוף שנת 2020 או עד יום קבלת חוק התקציב, לפי המוקדם, יהיה ניתן להגדיל את ההוצאה הממשלתית לשם התמודדות עם משבר הקורונה, בהתאם לתכנית כלכלית. בחוק-יסוד: משק המדינה (תיקון מס' 10 והוראת שעה לשנת 2020) (תיקון), אושרה הגדלה נוספת של ההוצאה הממשלתית כך שבשנת 2020 סכומי ההוצאות הוגדלו בכ-14 מיליארד ש"ח. לנוכח העלייה בהיקפי התחלואה והתארכות המשבר, מתוקנת פעם נוספת הוראת השעה לחוק היסוד, ומגדילה את הסכומים הקבועים בהוראת השעה בהיקף של כ-25.1 מיליארד שקלים חדשים.</t>
  </si>
  <si>
    <t xml:space="preserve">הצעת חוק מניעת כניסת מבקרים ועורכי דין למקומות מעצר, תחנות משטרה, בתי הסוהר, חדרי משמר ובתי הסוהר הצבאיים (הוראת שעה), התש"ף-2020 </t>
  </si>
  <si>
    <t xml:space="preserve"> (מ/1316)</t>
  </si>
  <si>
    <t xml:space="preserve"> (פ/1116/23)</t>
  </si>
  <si>
    <t xml:space="preserve">הצעת חוק משבר נגיף הקורונה החדש (הגנה על שוק הדיור) (תיקוני חקיקה) התש״ף-2020</t>
  </si>
  <si>
    <t xml:space="preserve"> (פ/1068/23)</t>
  </si>
  <si>
    <t xml:space="preserve"> (פ/1025/23)</t>
  </si>
  <si>
    <t xml:space="preserve">הצעת חוק דמי מחלה (תיקון - תשלום דמי מחלה החל מהיום הראשון להיעדרות), התש"ף-2020</t>
  </si>
  <si>
    <t xml:space="preserve"> (פ/742/23)</t>
  </si>
  <si>
    <t xml:space="preserve">הצעת חוק-יסוד: ישראל - מדינת הלאום של העם היהודי (תיקון - ביטול החוק) </t>
  </si>
  <si>
    <t xml:space="preserve"> (פ/332/23)</t>
  </si>
  <si>
    <t xml:space="preserve"> (פ/308/23)</t>
  </si>
  <si>
    <t xml:space="preserve"> (פ/11/23)</t>
  </si>
  <si>
    <t xml:space="preserve">חוק חובת המכרזים (תיקון מס' 24 - הוראת שעה) (תיקון), התש"ף-2020</t>
  </si>
  <si>
    <t xml:space="preserve"> (מ/1339)</t>
  </si>
  <si>
    <t xml:space="preserve">14.07.2020</t>
  </si>
  <si>
    <t xml:space="preserve">במסגרת התיקון, הוחלט להאריך בשלוש שנים נוספות (עד ליולי 2023) את הוראת השעה שקבעה כי במכרזים לרכישת טקסטיל עבור מערכת הביטחון והמשרד לביטחון הפנים, תינתן העדפה לרכישה של טקסטיל מתוצרת הארץ. כמו כן, הוסכם להסמיך את שר האוצר להאריך בצו, באישור ועדת החוקה, את הוראת השעה בשנתיים נוספות. </t>
  </si>
  <si>
    <t xml:space="preserve">הצעת חוק חובת המכרזים (תיקון - העדפת תוצרת הארץ במכרזי מערכת הביטחון והמשרד לביטחון הפנים) (הוראת שעה), התש"ף-2020</t>
  </si>
  <si>
    <t xml:space="preserve"> (פ/1429/23)</t>
  </si>
  <si>
    <t xml:space="preserve">הצעת חוק למניעת אלימות במשפחה (תיקון - פיקוח אלקטרוני על אדם שהוצא כלפיו צו הגנה), התש"ף-2020</t>
  </si>
  <si>
    <t xml:space="preserve"> (פ/1097/23)</t>
  </si>
  <si>
    <t xml:space="preserve">13.07.2020</t>
  </si>
  <si>
    <t xml:space="preserve">הצעת חוק למניעת אלימות במשפחה (תיקון - פיקוח אלקטרוני על אדם שהוצא כנגדו צו הגנה), התש"ף-2020</t>
  </si>
  <si>
    <t xml:space="preserve"> (פ/542/23)</t>
  </si>
  <si>
    <t xml:space="preserve"> (פ/85/23)</t>
  </si>
  <si>
    <t xml:space="preserve">חוק שירותי תעופה (פיצוי וסיוע בשל ביטול טיסה או שינוי בתנאיה) (נגיף הקורונה החדש – הוראת שעה – תיקון), התש"ף-2020</t>
  </si>
  <si>
    <t xml:space="preserve"> (מ/1300)</t>
  </si>
  <si>
    <t xml:space="preserve">חוק שירותי תעופה (פיצוי וסיוע בשל ביטול טיסה או שינוי בתנאיה), התשע"ב–2012 (להלן – החוק), מחייב את חברות התעופה להעניק לנוסעים הטבות בשל ביטול טיסה או שינוי בתנאיה מסיבות שאינן תלויות בנוסע. התפשטות מגפת הקורונה הביאה למשבר חמור וחסר תקדים בענף התעופה, להשבתה כמעט מוחלטת של התעבורה האווירית מישראל ואליה ולמצוקה תזרימית של חברות התעופה. לפיכך נקבעו הוראות שמטרתן לסייע לענף זה, ובפרט לחברות התעופה הישראליות שנפגעו קשות עקב המשבר, להתמודד עמו. זאת, כהוראת שעה מוגבלת בזמן. הוראת השעה חלה על כל טיסה מישראל ואליה, וכן על טיסת פנים, שמועד המראתה הוא החל ב-1.3.2020 ועד ל-31.8.2020. בנוסף, הוראת השעה חלה על טיסות שמועד המראתן המתוכנן היה לפני ה-1.3.2020, אם הן היו ליעדים או מיעדים שחלה לגביהם חובת בידוד בשל נגיף הקורונה. לעניין טיסות שהוראת השעה חלה לגביהן, הוארכה התקופה הקבועה בחוק להשבת התמורה ששולמה בעד כרטיס הטיסה לנוסע הזכאי לכך (כלומר, מועד ההחזר הכספי לנוסע), מ-21 ימים לאחר פנייתו של הנוסע בכתב לחברת התעופה, ל-90 ימים מיום ההמראה המתוכננת, ללא צורך בפנייה של הנוסע לחברה. לעניין טיסות שכבר חלף לגביהן מועד זה, חברות התעופה מחויבות להשיב את הכסף לנוסעים עד ליום 14.8.2020.  לגבי טיסה שבוטלה, המוגדרת בחוק גם כטיסה שהמריאה באיחור של 8 שעות לפחות, נקבע בהוראת השעה כי נוסע לא יהיה זכאי לפיצוי כספי בשל הביטול, אולם יוסיף להיות זכאי להשבת תמורה או לכרטיס טיסה חלופי. חברת התעופה תוכל לתת לנוסע שובר זיכוי במקום השבת תמורה או כרטיס טיסה חלופי רק אם הנוסע בחר בכך והסכים לכך בכתב, ועל שובר הזיכוי לעמוד בהוראות הקבועות בהוראת השעה, שמטרתן להגן על הנוסע. בין הוראות אלה – אפשרות להעברת השובר לאדם אחר בלא תשלום נוסף; אפשרות לממש את השובר במשך שנה לפחות ולכל שירות שמציעה חברת התעופה, ועוד.  נוסף על כך, הוגבלה זכאותם של נוסעים שטיסתם בוטלה לשירותי לינה בבית מלון לשני לילות לכל היותר. עוד נקבע כי שר התחבורה והבטיחות בדרכים, בהתייעצות עם שר הכלכלה והתעשייה ובאישור ועדת הכלכלה של הכנסת, רשאי להאריך את תוקפה של הוראת השעה בתקופות נוספות, שכולן יחד לא יעלו במצטבר על 9 חודשים, אם קיימות מגבלות עקב נגיף הקורונה המשפיעות באופן משמעותי על תנועת נוסעים מישראל ואליה. </t>
  </si>
  <si>
    <t xml:space="preserve">חוק איסור התערבות גנטית (שיבוט אדם ושינוי גנטי בתאי רבייה) (תיקון מס' 4), התש"ף-2020 </t>
  </si>
  <si>
    <t xml:space="preserve"> (מ/1333)</t>
  </si>
  <si>
    <t xml:space="preserve">החוק בארבע שנים נוספות את האיסור על שיבוט גנטי והתערבות גנטית בתאי רבייה על מנת להביא ליצירת אדם. כן קובע החוק כי ועדת המדע והטכנולוגיה תקיים דיון על סקירה ודוח שאמורים להיות מונחים על שולחנה מדי שנה על ידי הוועדה העליונה לניסויים בבני אדם שהיא הוועדה המייעצת לפי חוק זה, בעניין עבודת הועדה וההתפתחויות המדעיות בתחום בארץ ובעולם. נקבע כי לצד סמכות השר לביצועו של החוק, תקנות שיותקנו לפי חוק זה יובאו לאישור ועדת המדע והטכנולוגיה של הכנסת. תוקפו של החוק, שפג ב- 16.6.20  יחול רטרואקטיבית מיום 17.6.20,אולם לא יועמד לדין מי שפעל בתקופה זו בניגוד להוראותיו.</t>
  </si>
  <si>
    <t xml:space="preserve"> (פ/1548/23)</t>
  </si>
  <si>
    <t xml:space="preserve">הצעת חוק איסור ניתוק מים וחשמל בתקופת הקורונה (תיקוני חקיקה) (הוראת שעה), התש"ף-2020</t>
  </si>
  <si>
    <t xml:space="preserve"> (פ/1547/23)</t>
  </si>
  <si>
    <t xml:space="preserve">הצעת חוק לתיקון פקודת הראיות (הסרת חיסיון), התש"ף-2020</t>
  </si>
  <si>
    <t xml:space="preserve"> (פ/1546/23)</t>
  </si>
  <si>
    <t xml:space="preserve"> (פ/1545/23)</t>
  </si>
  <si>
    <t xml:space="preserve">הצעת חוק חובת המכרזים (תיקון - שילוב עסקים קטנים ובינוניים במכרזים ציבוריים), התש"ף-2020</t>
  </si>
  <si>
    <t xml:space="preserve"> (פ/1543/23)</t>
  </si>
  <si>
    <t xml:space="preserve">הצעת חוק הגנה על בריאות הציבור (מזון) (תיקון - סימון מוצרי בשר בקר או עוף, ביצים ודגים מחשש לחיידקים צואתיים), התש"ף-2020</t>
  </si>
  <si>
    <t xml:space="preserve"> (פ/1542/23)</t>
  </si>
  <si>
    <t xml:space="preserve">הצעת חוק החלת הריבונות של מדינת ישראל בחבלי יהודה והשומרון, התש"ף-2020</t>
  </si>
  <si>
    <t xml:space="preserve"> (פ/1541/23)</t>
  </si>
  <si>
    <t xml:space="preserve">הצעת חוק זיכרון השואה והגבורה - יד ושם (תיקון - הגבלות ביקורים של נציגים זרים המעורבים או תומכים בפשעים נגד האנושות, פשעי מלחמה והפרות חמורות של זכויות אדם), התש"ף-2020</t>
  </si>
  <si>
    <t xml:space="preserve"> (פ/1539/23)</t>
  </si>
  <si>
    <t xml:space="preserve">הצעת חוק הביטוח הלאומי (תיקון - זכאות לדמי אבטלה בחמשת הימים הראשונים), התש"ף-2020</t>
  </si>
  <si>
    <t xml:space="preserve"> (פ/1538/23)</t>
  </si>
  <si>
    <t xml:space="preserve">הצעת חוק התגמולים לנפגעי פעולות איבה (תיקון - פשע שנאה), התש"ף-2020</t>
  </si>
  <si>
    <t xml:space="preserve"> (פ/1537/23)</t>
  </si>
  <si>
    <t xml:space="preserve">הצעת חוק סיוע לקטינים נפגעי עבירות מין או אלימות (תיקון - טיפול נפשי לילדים נפגעי אלימות במשפחה), התש"ף-2020</t>
  </si>
  <si>
    <t xml:space="preserve"> (פ/1536/23)</t>
  </si>
  <si>
    <t xml:space="preserve">הצעת חוק ביטוח בריאות ממלכתי (תיקון - פטור מתשלום דמי ביטוח לקשיש מעל גיל 80 שמשתלמת לו גמלה להבטחת הכנסה), התש"ף-2020</t>
  </si>
  <si>
    <t xml:space="preserve"> (פ/1535/23)</t>
  </si>
  <si>
    <t xml:space="preserve">הצעת חוק זכויות החולה (תיקון - הסכמה מדעת של קטין), התש"ף-2020</t>
  </si>
  <si>
    <t xml:space="preserve"> (פ/1534/23)</t>
  </si>
  <si>
    <t xml:space="preserve">הצעת חוק לאיחוד קווי החירום הטלפוניים, התש"ף-2020</t>
  </si>
  <si>
    <t xml:space="preserve"> (פ/1533/23)</t>
  </si>
  <si>
    <t xml:space="preserve">הצעת חוק פטור מתשלומים בעד ימי מילואים (תיקוני חקיקה), התש"ף-2020</t>
  </si>
  <si>
    <t xml:space="preserve"> (פ/1532/23)</t>
  </si>
  <si>
    <t xml:space="preserve">הצעת חוק לפדיון שבויים, חטופים ונעדרים, התש"ף-2020</t>
  </si>
  <si>
    <t xml:space="preserve"> (פ/1531/23)</t>
  </si>
  <si>
    <t xml:space="preserve">הצעת חוק פינוי ההתנחלות בחברון, התש"ף-2020</t>
  </si>
  <si>
    <t xml:space="preserve"> (פ/1530/23)</t>
  </si>
  <si>
    <t xml:space="preserve"> (פ/1529/23)</t>
  </si>
  <si>
    <t xml:space="preserve"> (פ/1528/23)</t>
  </si>
  <si>
    <t xml:space="preserve">הצעת חוק שעות עבודה ומנוחה (תיקון - הרחבת ועדת השרים), התש"ף-2020</t>
  </si>
  <si>
    <t xml:space="preserve"> (פ/1527/23)</t>
  </si>
  <si>
    <t xml:space="preserve">הצעת חוק הסכמים לנשיאת עוברים (אישור הסכם ומעמד היילוד) (תיקון - הרחבת הזכאות להליכי נשיאת עוברים), התש"ף-2020</t>
  </si>
  <si>
    <t xml:space="preserve"> (פ/1526/23)</t>
  </si>
  <si>
    <t xml:space="preserve">הצעת חוק לפיצוי עסקים בשל סגירת עסקיהם במצב חירום, התש"ף-2020 </t>
  </si>
  <si>
    <t xml:space="preserve"> (פ/1525/23)</t>
  </si>
  <si>
    <t xml:space="preserve">הצעת חוק מס ערך מוסף (תיקון - דחיית תשלום בתקופת חירום) (הוראת שעה), התש"ף-2020</t>
  </si>
  <si>
    <t xml:space="preserve"> (פ/1524/23)</t>
  </si>
  <si>
    <t xml:space="preserve">הצעת חוק דמי מחלה (היעדרות בשל מחלת ילד) (תיקון - בן זוג לומד), התש"ף-2020</t>
  </si>
  <si>
    <t xml:space="preserve"> (פ/1523/23)</t>
  </si>
  <si>
    <t xml:space="preserve">הצעת חוק ביטוח בריאות ממלכתי (תיקון - מחלה נדירה), התש"ף-2020</t>
  </si>
  <si>
    <t xml:space="preserve"> (פ/1520/23)</t>
  </si>
  <si>
    <t xml:space="preserve">הצעת חוק הביטוח הלאומי (תיקון - זכאות להטבות לקטועי ידיים על פי הסכם הניידות), התש"ף-2020</t>
  </si>
  <si>
    <t xml:space="preserve"> (פ/1519/23)</t>
  </si>
  <si>
    <t xml:space="preserve">הצעת חוק הטבות לניצולי שואה (תיקון - זכאות למענק הטבות שנתי לבן זוג של ניצול שואה שנפטר), התש''ף-2020</t>
  </si>
  <si>
    <t xml:space="preserve"> (פ/1517/23)</t>
  </si>
  <si>
    <t xml:space="preserve">הצעת חוק האזרחים הוותיקים (תיקון - לחצן מצוקה לקשיש), התש"ף-2020</t>
  </si>
  <si>
    <t xml:space="preserve"> (פ/1516/23)</t>
  </si>
  <si>
    <t xml:space="preserve">הצעת חוק הפקדות וזכויות סוציאליות לעצמאיים (תיקוני חקיקה), התש"ף-2020</t>
  </si>
  <si>
    <t xml:space="preserve"> (פ/1515/23)</t>
  </si>
  <si>
    <t xml:space="preserve">הצעת חוק הפיקוח על שירותים פיננסיים (קופות גמל) (תיקון - שלילת זכאות לקצבאות ולפיצויי פיטורים עקב ביצוע פעילות טרור), התש"ף-2020</t>
  </si>
  <si>
    <t xml:space="preserve"> (פ/1514/23)</t>
  </si>
  <si>
    <t xml:space="preserve">הצעת חוק למניעת הטרדה מינית (תיקון - הרחבת התחולה לגבי מוסד ציבורי הנותן שירות חיוני), התש"ף-2020</t>
  </si>
  <si>
    <t xml:space="preserve"> (פ/1512/23)</t>
  </si>
  <si>
    <t xml:space="preserve">הצעת חוק ליצירת תחרות והגדלת זמינות האשראי, התש"ף-2020</t>
  </si>
  <si>
    <t xml:space="preserve"> (פ/1511/23)</t>
  </si>
  <si>
    <t xml:space="preserve"> (פ/1510/23)</t>
  </si>
  <si>
    <t xml:space="preserve"> (פ/1509/23)</t>
  </si>
  <si>
    <t xml:space="preserve">הצעת חוק שיווי זכויות האישה (תיקון - ייצוג הולם לנשים בוועדות ציבוריות ברשויות המקומיות), התש"ף-2020</t>
  </si>
  <si>
    <t xml:space="preserve"> (פ/1508/23)</t>
  </si>
  <si>
    <t xml:space="preserve">הצעת חוק הגנה על עובדים בשעת חירום (תיקון - תשלום שכר בעד היעדרות בשל ביטול יום לימודים במוסד חינוך), התש"ף-2020</t>
  </si>
  <si>
    <t xml:space="preserve"> (פ/1507/23)</t>
  </si>
  <si>
    <t xml:space="preserve"> (פ/767/23)</t>
  </si>
  <si>
    <t xml:space="preserve">08.07.2020</t>
  </si>
  <si>
    <t xml:space="preserve">הצעת חוק הבטחת הכנסה (תיקון - הגדלת הגמלה), התש"ף-2020</t>
  </si>
  <si>
    <t xml:space="preserve"> (פ/324/23)</t>
  </si>
  <si>
    <t xml:space="preserve"> (פ/311/23)</t>
  </si>
  <si>
    <t xml:space="preserve">הצעת חוק הביטוח הלאומי (תיקון - השוואת קצבת הנכות לשכר מינימום), התש"ף-2020</t>
  </si>
  <si>
    <t xml:space="preserve"> (פ/298/23)</t>
  </si>
  <si>
    <t xml:space="preserve">הצעת חוק הפרשנות (תיקון - הגדרת הפליה על רקע נטייה מינית או זהות מגדר), התש"ף-2020</t>
  </si>
  <si>
    <t xml:space="preserve"> (פ/86/23)</t>
  </si>
  <si>
    <t xml:space="preserve"> (פ/84/23)</t>
  </si>
  <si>
    <t xml:space="preserve">הצעת חוק למניעת אלימות כלכלית בין בני זוג ובני משפחה, התש"ף-2020</t>
  </si>
  <si>
    <t xml:space="preserve"> (פ/25/23)</t>
  </si>
  <si>
    <t xml:space="preserve">הצעת חוק מיסוי מקרקעין (שבח ורכישה) (תיקון - הארכת התקופה לשחלוף דירה עקב משבר הקורונה), התש"ף-2020</t>
  </si>
  <si>
    <t xml:space="preserve"> (פ/620/23)</t>
  </si>
  <si>
    <t xml:space="preserve">07.07.2020</t>
  </si>
  <si>
    <t xml:space="preserve">חוק לתיקון ולקיום תוקפן של תקנות שעת חירום (נגיף הקורונה החדש – הגבלת פעילות) (תיקון), התש"ף-2020 </t>
  </si>
  <si>
    <t xml:space="preserve"> (מ/1338)</t>
  </si>
  <si>
    <t xml:space="preserve">הוועדה המיוחדת לעניין נגיף הקורונה החדש ולבחינת היערכות המדינה למגפות ולרעידות אדמה</t>
  </si>
  <si>
    <t xml:space="preserve">06.07.2020</t>
  </si>
  <si>
    <t xml:space="preserve">ההצעה באה להאריך את תוקפן של תקנות שעת חירום בנושא הגבלת פעילות שתוקפן פג ב21.6.20. החוק  נכנס לתוקפו ב- 23.6.20 מהשעה שש בבוקר ויעמוד בתוקפו למשך 45 ימים. בחוק נערכו מספר שינויים ביחס לתקנות שעת החירום. החוק מפרט הסדרים הקשורים להגבלת פעילות של אזרחים ועסקים על רקע נגיף הקורונה. מוסדרים בו איסורים על שהייה במרחב הציבורי למשל- במתקני שעשועים, דיסקוטקים, פארקי מים ופארקי שעשועים ;  בחוק מוסדרים גם כללי התנהגות במרחב הציבורי של שמירה על מרחק של שני מטרים בין אדם לאדם, כאשר מוחרגים אנשים הגרים במקום מגורים אחד או בני אותו תא משפחתי. כמו כן קבועים בחוק כללים לגבי נסיעה ברכב פרטי. עניין נוסף המוסדר בחוק הוא תנאים להפעלתם של מקומות הפתוחים לציבור – התו הסגול, וכן  אחריותו של מעסיק לגבי הכנסת אנשים, עובדים או מבקרים, למקום העבודה בו הוא מנהל את עסקיו ומעסיק עובדים- בתישאול לגבי מצב בריאותם.  החוק קובע הסדרים פרטניים להפעלתם של עסקים מסוימים ובהם בין היתר בתי קפה, מסעדות, חנויות שונות, מספרות, טיפולי רפואה אלטרנטיבית וטיפולי יופי ואחרים, קניונים, שווקים ספריות, גני חיות, מכוני כושר מוזיאונים, אטרקציות תיירותיות וכן אולמות אירועים ומקומות לעריכת אירועי תרבות.   על ההסדרים הקבועים בחוק חלות, בנוסף, גם הוראות מנכ"ל משרד הבריאות, אשר מפרטות את ההגבלות  לגבי סוגי העסקים השונים כמו גם הוראות לעניין תפילה במבנה, הפעלת מקווה טהרה ועוד. החוק קובע גם הגבלות על הפעלת תחבורה ציבורית, בהתאם לתנאים והוראות שיקבע שר התחבורה. בנוסף לכל אלה- החוק  קובע הסדר שלא היה קיים בתקנות שעת החירום ולפיו הממשלה תוכל לשנות בצו, אשר יועבר לאישור הוועדה, את מספר השוהים המותר באולמות אירועים ובאירועי תרבות. אירועי התרבות  אושרו רק לאחרונה ונכללו בחוק. החוק קובע שהממשלה תוכל בצו, שיובא לאישור הוועדה, לאפשר הפעלתם ,במגבלות, של עסקים שכרגע פעילותם לא הותרה וכן לעצור את פעילותם של עסקים שפעילותם מותרת לפי החוק.  בחוק נכללות עבירות המטילות אחריות פלילית על אדם או בעל עסק שלא פעל לפי ההגבלות שהוטלו עליו בחוק.  גובה הקנסות קבוע בתקנות שעת חירום נגיף הקורונה שעניינן אכיפה. החוק הכניס הקלה בתנאים למספרות, מטפלים ברפואה אלטרנטיבית ועסקים לטיפול לא רפואי בגוף האדם ולפיה לא תהיה חובה על המטפלים והספרים לעטות מסיכה, מגן וכפפות אלא מסיכה בלבד, כל עוד הלקוח עוטה אף הוא מסיכה. כמו כן מפורטות בחוק סמכויות שוטר לאכוף את האמור בו וכן למנוע כניסה של אדם באופן לא חוקי למקום מסוים.</t>
  </si>
  <si>
    <t xml:space="preserve">חוק הביטוח הלאומי (נגיף הקורונה החדש - הוראת שעה - תיקון מס' 216) (הוראות מיוחדות לעניין ביטוח אבטלה), התש"ף-2020</t>
  </si>
  <si>
    <t xml:space="preserve"> (מ/1305)</t>
  </si>
  <si>
    <t xml:space="preserve">חוק הביטוח הלאומי (נגיף הקורונה החדש – הוראת שעה  - תיקון מס' 216) (הוראות מיוחדות לעניין ביטוח אבטלה), התש"ף-2020 קבע כהוראת שעה הוראות מקלות מיוחדות לעניין תשלום דמי אבטלה, באופן שנועד להרחיב את הזכאות לדמי אבטלה. בין היתר, החוק מאפשר להעניק דמי אבטלה לעובד שפוטר וגם לעובד שהוצא לחופשה ללא תשלום לתקופה של 30 ימים לפחות, עד יום 16.8.2020, וכן מאפשר להמשיך ולשלם עד אותו מועד דמי אבטלה למי שכבר מיצה את ימי האבטלה שעמדו לרשותו. כמו כן, החוק כולל הוראות המאפשרות תשלום דמי אבטלה למרות אי עמידה בחובות הרישום בשירות התעסוקה. בנוסף נקבעו בחוק הוראות המאפשרות תשלום דמי אבטלה במקביל לקצבאות אחרות, וקובעות כי לעניין מבחני ההכנסה לגבי קצבאות אזרח ותיק ושאירים, קצבת נכות, גמלת הבטחת הכנסה ותשלום מזונות מהמוסד לביטוח לאומי, יחולו על דמי האבטלה כללי הניכוי מהכנסה ("דיסריגארד") שחלים על הכנסה מעבודה או ממשלח יד.</t>
  </si>
  <si>
    <t xml:space="preserve">חוק קליטת חיילים משוחררים (נגיף הקורונה החדש – הוראת שעה – תיקון מס' 20) (מימוש חלק מהפיקדון לכל מטרה), התש"ף–2020</t>
  </si>
  <si>
    <t xml:space="preserve"> (מ/1326)</t>
  </si>
  <si>
    <t xml:space="preserve">ועדת העלייה, הקליטה והתפוצות</t>
  </si>
  <si>
    <t xml:space="preserve">חוק זה מתקן בהוראת שעה את חוק קליטת חיילים משוחררים, התשנ"ד-1994 וקובע כי חייל משוחרר זכאי, במשך שלושה חודשים שתחילתם ביום 20/07/2020 ועד ליום 20/10/2020, לפנות לקרן לחיילים משוחררים בבקשה לקבל מיתרת הפיקדון שנזקפה לזכותו, למימוש לכל מטרה, סכום כמפורט להלן: חייל משוחרר שביום התחילה טרם חלפו 18 חודשים ממועד שחרורו יהיה זכאי למשוך סכום של 5,300 שקלים חדשים וחייל משוחרר שחלפו 18 חודשים ממועד שחרורו יהיה זכאי למשוך סכום של 3,500 שקלים חדשים. שר הביטחון, בהסכמת שר האוצר, ובאישור ועדת העלייה, הקליטה והתפוצות, רשאי להאריך את הוראת השעה בתקופה אחת נוספת של שלושה חודשים.</t>
  </si>
  <si>
    <t xml:space="preserve">חוק לתיקון ולקיום תוקפן של תקנות שעת חירום (נגיף הקורונה החדש – אכיפה) (תיקון מס' 2), התש"ף-2020</t>
  </si>
  <si>
    <t xml:space="preserve"> (מ/1336)</t>
  </si>
  <si>
    <t xml:space="preserve">התיקון לחוק קובע הוראות שמטרתן העיקרית היא ייעול והגברה של האכיפה על חובת עטיית מסכה. בכלל זה, התיקון לחוק מרחיב את מעגל הפקחים שיוסמכו להטיל קנס בשל אי-עטיית מסכה, כך שיכלול גם פקחים של הרשויות המקומיות, מפקחים שהם עובדי המדינה ופקחי רשות הטבע והגנים, ואולם רק בכפוף להנחיה ולהכשרה מתאימה. האכיפה בידי כל הגורמים תתבצע בהתאם למדיניות שתיקבע על ידי המשטרה, תוך התחשבות בתנאי אכיפה כלפי אוכלוסיות מיוחדות כגון בעלי מוגבלויות, ילדים, ומבוגרים, בהתאם לאמות מידה שוויוניות, ותוך האפשרות של הפקח או השוטר להימנע מהטלת הקנס בהתאם לנסיבות. כמו כן, הועלה גובה הקנס על אי-עטיית מסכה מ-200 שקלים ל-500 שקלים.  לבסוף, נקבעה האפשרות למסור הודעה על הטלת קנס מינהלי בכל הנוגע לעבירות שונות הקשורות לפתיחת עסקים, גם בדרך של מסירה לאחראי על המקום או העסק, בנוסף להמצאתה בדואר רשום למפעיל. </t>
  </si>
  <si>
    <t xml:space="preserve">הצעת חוק קליטת חיילים משוחררים (תיקון - מימוש כספי פיקדון בשל נגיף הקורונה) (הוראת שעה), התש"ף-2020</t>
  </si>
  <si>
    <t xml:space="preserve"> (פ/2/23)</t>
  </si>
  <si>
    <t xml:space="preserve">הצעת חוק טיפול בחולי נפש (תיקון - בחירת מקום אשפוז), התש"ף-2020</t>
  </si>
  <si>
    <t xml:space="preserve"> (פ/1505/23)</t>
  </si>
  <si>
    <t xml:space="preserve"> (פ/1504/23)</t>
  </si>
  <si>
    <t xml:space="preserve">הצעת חוק הביטוח הלאומי (תיקון - שוויון לעצמאים בזכות לדמי אבטלה), התש"ף-2020</t>
  </si>
  <si>
    <t xml:space="preserve"> (פ/1503/23)</t>
  </si>
  <si>
    <t xml:space="preserve">הצעת חוק לתיקון פקודת הרוקחים (חובת איסוף סמי מרפא), התש"ף-2020</t>
  </si>
  <si>
    <t xml:space="preserve"> (פ/1502/23)</t>
  </si>
  <si>
    <t xml:space="preserve">הצעת חוק שירות ביטחון (תיקון - ביטול גיוס חובה), התש"ף-2020</t>
  </si>
  <si>
    <t xml:space="preserve"> (פ/1501/23)</t>
  </si>
  <si>
    <t xml:space="preserve">הצעת חוק דמי מחלה (היעדרות בשל מחלת ילד) (תיקון - מספר ימי מחלת ילד להורה ליותר מילד אחד), התש"ף-2020</t>
  </si>
  <si>
    <t xml:space="preserve"> (פ/1500/23)</t>
  </si>
  <si>
    <t xml:space="preserve">הצעת חוק מעונות יום שיקומיים (תיקון - פעוט עם מוגבלות שטרם מלאו לו שישה חודשים), התש"ף-2020</t>
  </si>
  <si>
    <t xml:space="preserve"> (פ/1499/23)</t>
  </si>
  <si>
    <t xml:space="preserve">הצעת חוק לתיקון פקודת המשטרה (אלימות שוטרים ושינויים ארגוניים), התש"ף-2020</t>
  </si>
  <si>
    <t xml:space="preserve"> (פ/1498/23)</t>
  </si>
  <si>
    <t xml:space="preserve">הצעת חוק הבחירות (דרכי תעמולה) (תיקון - איסור על תעמולה גזענית), התש"ף-2020</t>
  </si>
  <si>
    <t xml:space="preserve"> (פ/1497/23)</t>
  </si>
  <si>
    <t xml:space="preserve"> (פ/1496/23)</t>
  </si>
  <si>
    <t xml:space="preserve">הצעת חוק העונשין (תיקון - תקיפת עורך דין כתקיפת עובד ציבור), התש"ף-2020</t>
  </si>
  <si>
    <t xml:space="preserve"> (פ/1495/23)</t>
  </si>
  <si>
    <t xml:space="preserve">הצעת חוק בתי המשפט (תיקון - תקופת צינון במועמדות חבר כנסת או שר למשרת שופט), התש"ף-2020</t>
  </si>
  <si>
    <t xml:space="preserve"> (פ/1494/23)</t>
  </si>
  <si>
    <t xml:space="preserve">הצעת חוק לשכת עורכי הדין (תיקון - ייצוג אסור בעסקה לרכישת דירה מאת קבלן), התש"ף-2020</t>
  </si>
  <si>
    <t xml:space="preserve"> (פ/1493/23)</t>
  </si>
  <si>
    <t xml:space="preserve">הצעת חוק לתיקון פקודת הנזיקין (חסינות חברי מועצה), התש"ף-2020</t>
  </si>
  <si>
    <t xml:space="preserve"> (פ/1492/23)</t>
  </si>
  <si>
    <t xml:space="preserve">הצעת חוק העונשין (תיקון - איסור שידול קטינים לחזרה בתשובה), התש"ף-2020</t>
  </si>
  <si>
    <t xml:space="preserve"> (פ/1491/23)</t>
  </si>
  <si>
    <t xml:space="preserve">הצעת חוק חובת המכרזים (תיקון - העדפת טובין בעלי תו תקן ירוק), התש"ף-2020</t>
  </si>
  <si>
    <t xml:space="preserve"> (פ/1490/23)</t>
  </si>
  <si>
    <t xml:space="preserve">הצעת חוק למניעת שימוש לרעה בהליך משפטי, התש"ף-2020</t>
  </si>
  <si>
    <t xml:space="preserve"> (פ/1489/23)</t>
  </si>
  <si>
    <t xml:space="preserve">הצעת חוק התכנון והבנייה (תיקון - חובת הקמת מערכת סולארית לייצור חשמל במבנים), התש"ף-2020</t>
  </si>
  <si>
    <t xml:space="preserve"> (פ/1488/23)</t>
  </si>
  <si>
    <t xml:space="preserve">הצעת חוק התכנון והבנייה (תיקון - פיצול דירות) (הוראת שעה), התש"ף-2020</t>
  </si>
  <si>
    <t xml:space="preserve"> (פ/1487/23)</t>
  </si>
  <si>
    <t xml:space="preserve">הצעת חוק לתיקון פקודת העיריות (הצבת דוכנים המשמשים לצרכי דת), התש"ף-2020</t>
  </si>
  <si>
    <t xml:space="preserve"> (פ/1486/23)</t>
  </si>
  <si>
    <t xml:space="preserve">הצעת חוק ההוצאה לפועל (תיקון - דחיית ביצוע משכנתה על דירת מגורים), התש"ף-2020</t>
  </si>
  <si>
    <t xml:space="preserve"> (פ/1485/23)</t>
  </si>
  <si>
    <t xml:space="preserve">הצעת חוק לתיקון פקודת הראיות (דרישת הסיוע להרשעה על פי הודיה), התש"ף-2020</t>
  </si>
  <si>
    <t xml:space="preserve"> (פ/1484/23)</t>
  </si>
  <si>
    <t xml:space="preserve">הצעת חוק לתיקון דיני הראיות (הגנת ילדים) (תיקון - חקירה תוך 48 שעות), התש"ף-2020</t>
  </si>
  <si>
    <t xml:space="preserve"> (פ/1483/23)</t>
  </si>
  <si>
    <t xml:space="preserve">הצעת חוק העונשין (תיקון - תקיפת עובד חירום), התש"ף-2020 </t>
  </si>
  <si>
    <t xml:space="preserve"> (פ/1482/23)</t>
  </si>
  <si>
    <t xml:space="preserve">הצעת חוק בית הדין לעבודה (תיקון - סמכות ליישוב סכסוך בהסכמה), התש"ף-2020</t>
  </si>
  <si>
    <t xml:space="preserve"> (פ/1481/23)</t>
  </si>
  <si>
    <t xml:space="preserve">הצעת חוק סדר הדין הפלילי (חקירת חשודים) (תיקון - זכויות חשודים), התש"ף-2020</t>
  </si>
  <si>
    <t xml:space="preserve"> (פ/1480/23)</t>
  </si>
  <si>
    <t xml:space="preserve">הצעת חוק הבחירות לכנסת (תיקון - אחוז החסימה), התש"ף-2020</t>
  </si>
  <si>
    <t xml:space="preserve"> (פ/1479/23)</t>
  </si>
  <si>
    <t xml:space="preserve"> (פ/1477/23)</t>
  </si>
  <si>
    <t xml:space="preserve">הצעת חוק חובת המכרזים (תיקון - העדפת טובין ממוחזרים), התש"ף-2020</t>
  </si>
  <si>
    <t xml:space="preserve"> (פ/1476/23)</t>
  </si>
  <si>
    <t xml:space="preserve"> (פ/1475/23)</t>
  </si>
  <si>
    <t xml:space="preserve"> (פ/1474/23)</t>
  </si>
  <si>
    <t xml:space="preserve">הצעת חוק הפחתת תוספות פיגור שנוספו על קנסות הנגבים בידי המרכז לגביית קנסות, אגרות והוצאות (הוראת שעה), התש"ף-2020</t>
  </si>
  <si>
    <t xml:space="preserve"> (פ/1473/23)</t>
  </si>
  <si>
    <t xml:space="preserve">הצעת חוק השירות הצבאי (שוויון הנטל) (תיקוני חקיקה), התש"ף-2020</t>
  </si>
  <si>
    <t xml:space="preserve"> (פ/1472/23)</t>
  </si>
  <si>
    <t xml:space="preserve">הצעת חוק לתיקון פקודת העיריות (שידור ישיבות מועצה), התש"ף-2020</t>
  </si>
  <si>
    <t xml:space="preserve"> (פ/1471/23)</t>
  </si>
  <si>
    <t xml:space="preserve">הצעת חוק בתי המשפט (תיקון - אמצעי משמעת), התש"ף-2020</t>
  </si>
  <si>
    <t xml:space="preserve"> (פ/1470/23)</t>
  </si>
  <si>
    <t xml:space="preserve">הצעת חוק לקידום המיחזור בישראל (תיקוני חקיקה), התש"ף-2020</t>
  </si>
  <si>
    <t xml:space="preserve"> (פ/1469/23)</t>
  </si>
  <si>
    <t xml:space="preserve">הצעת חוק התכנון והבנייה (תיקון - התקנת מנגנון שבת למשאבות מים), התש"ף-2020 </t>
  </si>
  <si>
    <t xml:space="preserve"> (פ/1468/23)</t>
  </si>
  <si>
    <t xml:space="preserve">הצעת חוק הרשויות המקומיות (זכויות וחובות של חברי מועצה), התש"ף-2020 </t>
  </si>
  <si>
    <t xml:space="preserve"> (פ/1467/23)</t>
  </si>
  <si>
    <t xml:space="preserve">הצעת חוק הביקורת הפנימית (תיקון - אחריות ועצמאות המבקר), התש"ף-2020 </t>
  </si>
  <si>
    <t xml:space="preserve"> (פ/1465/23)</t>
  </si>
  <si>
    <t xml:space="preserve">הצעת חוק הכניסה לישראל (תיקון - ביטול האיסור על מתן אשרה ורישיון ישיבה לקורא לחרם על ישראל), התש"ף-2020</t>
  </si>
  <si>
    <t xml:space="preserve"> (פ/1464/23)</t>
  </si>
  <si>
    <t xml:space="preserve">הצעת חוק קביעת הזמן (תיקון - ביטול שעון חורף), התש"ף-2020</t>
  </si>
  <si>
    <t xml:space="preserve"> (פ/1463/23)</t>
  </si>
  <si>
    <t xml:space="preserve">הצעת חוק זכויות הסטודנט (תיקון - מועד בחינה מיוחד בשל שירות מילואים), התש"ף-2020</t>
  </si>
  <si>
    <t xml:space="preserve"> (פ/1462/23)</t>
  </si>
  <si>
    <t xml:space="preserve">הצעת חוק יחסי ממון בין בני זוג (תיקון - איסור פגיעה בזכות לאיזון בעת פקיעת נישואין בנסיבות של חוסר נאמנות מינית), התש"ף-2020</t>
  </si>
  <si>
    <t xml:space="preserve"> (פ/1460/23)</t>
  </si>
  <si>
    <t xml:space="preserve">הצעת חוק חינוך לשוויון מגדרי, התש"ף-2020</t>
  </si>
  <si>
    <t xml:space="preserve"> (פ/1459/23)</t>
  </si>
  <si>
    <t xml:space="preserve">הצעת חוק חובת המכרזים (תיקון - חובה לשקול שיקולי הגנת צרכן במכרזים), התש"ף-2020</t>
  </si>
  <si>
    <t xml:space="preserve"> (פ/1458/23)</t>
  </si>
  <si>
    <t xml:space="preserve">הצעת חוק חינוך מיוחד (תיקון - קביעת זמן נסיעה), התש"ף-2020</t>
  </si>
  <si>
    <t xml:space="preserve"> (פ/1457/23)</t>
  </si>
  <si>
    <t xml:space="preserve">הצעת חוק המתווכים במקרקעין (תיקון - אחריות לתשלום דמי תיווך), התש"ף-2020</t>
  </si>
  <si>
    <t xml:space="preserve"> (פ/1456/23)</t>
  </si>
  <si>
    <t xml:space="preserve">הצעת חוק לתיקון פקודת התעבורה (פטור מאגרת רישיון לרכב חשמלי), התש"ף-2020</t>
  </si>
  <si>
    <t xml:space="preserve"> (פ/1455/23)</t>
  </si>
  <si>
    <t xml:space="preserve">הצעת חוק פיקוח על מחירי מצרכים ושירותים (תיקון - פיקוח על מחיר גז טבעי), התש"ף-2020</t>
  </si>
  <si>
    <t xml:space="preserve"> (פ/1454/23)</t>
  </si>
  <si>
    <t xml:space="preserve">הצעת חוק איסור הפליה במוצרים, בשירותים ובכניסה למקומות בידור ולמקומות ציבוריים (תיקון - הפליה מחמת מראה והתניית רישיון עסק באיסור הפליה), התש"ף-2020</t>
  </si>
  <si>
    <t xml:space="preserve"> (פ/1453/23)</t>
  </si>
  <si>
    <t xml:space="preserve">הצעת חוק המועצה להשכלה גבוהה (תיקון - ביטול חובת דרישות מבחני כניסה וציון פסיכומטרי), התש"ף-2020</t>
  </si>
  <si>
    <t xml:space="preserve"> (פ/1452/23)</t>
  </si>
  <si>
    <t xml:space="preserve">הצעת חוק לתיקון פקודת התעבורה (הסדרי תנועה בקרבת בית ספר), התש"ף-2020 </t>
  </si>
  <si>
    <t xml:space="preserve"> (פ/1451/23)</t>
  </si>
  <si>
    <t xml:space="preserve">הצעת חוק המים (תיקון - מתן הנחות בתעריפי מים לאוכלוסיות נזקקות), התש"ף-2020</t>
  </si>
  <si>
    <t xml:space="preserve"> (פ/1450/23)</t>
  </si>
  <si>
    <t xml:space="preserve"> (פ/1449/23)</t>
  </si>
  <si>
    <t xml:space="preserve">הצעת חוק תשלום פיצויים בשל נזקי אסון טבע, התש"ף-2020</t>
  </si>
  <si>
    <t xml:space="preserve"> (פ/1448/23)</t>
  </si>
  <si>
    <t xml:space="preserve">הצעת חוק דחיית מועד תשלום מסים בעת מצב מיוחד בעורף (תיקוני חקיקה), התש"ף-2020</t>
  </si>
  <si>
    <t xml:space="preserve"> (פ/1447/23)</t>
  </si>
  <si>
    <t xml:space="preserve">הצעת חוק מס ערך מוסף (תיקון - פטור למלכ"רים מסויימים), התש"ף-2020</t>
  </si>
  <si>
    <t xml:space="preserve"> (פ/1446/23)</t>
  </si>
  <si>
    <t xml:space="preserve">הצעת חוק תכנית חירום כלכלית לאומית בעקבות משבר הקורונה (נגיף קורונה החדש) (הוראת שעה), התש"ף-2020</t>
  </si>
  <si>
    <t xml:space="preserve"> (פ/1445/23)</t>
  </si>
  <si>
    <t xml:space="preserve">הצעת חוק חינוך לבריאות התלמיד, התש"ף-2020</t>
  </si>
  <si>
    <t xml:space="preserve"> (פ/1444/23)</t>
  </si>
  <si>
    <t xml:space="preserve">הצעת חוק הסדרת שוק הקנאביס לצריכה עצמית, התש"ף-2020</t>
  </si>
  <si>
    <t xml:space="preserve"> (פ/1443/23)</t>
  </si>
  <si>
    <t xml:space="preserve">הצעת חוק דמי מחלה (היעדרות בשל מחלת ילד) (תיקון - היעדרות בעקבות פגיעה בעבירת מין או אלימות חמורה), התש"ף-2020</t>
  </si>
  <si>
    <t xml:space="preserve"> (פ/1442/23)</t>
  </si>
  <si>
    <t xml:space="preserve">הצעת חוק עבודת נשים (תיקון - חזרה לעבודה מתקופת לידה והורות), התש"ף-2020</t>
  </si>
  <si>
    <t xml:space="preserve"> (פ/1440/23)</t>
  </si>
  <si>
    <t xml:space="preserve">הצעת חוק הפסקת היריון, התש"ף-2020</t>
  </si>
  <si>
    <t xml:space="preserve"> (פ/1439/23)</t>
  </si>
  <si>
    <t xml:space="preserve">הצעת חוק חופש הבחירה במזון מן הצומח, התש"ף-2020</t>
  </si>
  <si>
    <t xml:space="preserve"> (פ/1438/23)</t>
  </si>
  <si>
    <t xml:space="preserve">הצעת חוק הביטוח הלאומי (תיקון - דמי אבטלה לעצמאיים), התש"ף-2020</t>
  </si>
  <si>
    <t xml:space="preserve"> (פ/1437/23)</t>
  </si>
  <si>
    <t xml:space="preserve"> (פ/1436/23)</t>
  </si>
  <si>
    <t xml:space="preserve">הצעת חוק לפיקוח על הפרשות לפנסיה, התש"ף-2020</t>
  </si>
  <si>
    <t xml:space="preserve"> (פ/1435/23)</t>
  </si>
  <si>
    <t xml:space="preserve">הצעת חוק הפיקוח על מעונות (תיקון - חובת פיקוח של מנהל מעון), התש"ף-2020</t>
  </si>
  <si>
    <t xml:space="preserve"> (פ/1434/23)</t>
  </si>
  <si>
    <t xml:space="preserve">הצעת חוק שירות אזרחי-ביטחוני (תיקוני חקיקה), התש"ף-2020</t>
  </si>
  <si>
    <t xml:space="preserve"> (פ/1433/23)</t>
  </si>
  <si>
    <t xml:space="preserve">הצעת חוק השיפוט הצבאי (תיקון - וידוא הריגה), התש"ף-2020</t>
  </si>
  <si>
    <t xml:space="preserve"> (פ/1432/23)</t>
  </si>
  <si>
    <t xml:space="preserve">הצעת חוק חופשה שנתית (תיקון - חופשה לרגל נישואין), התש"ף-2020</t>
  </si>
  <si>
    <t xml:space="preserve"> (פ/1431/23)</t>
  </si>
  <si>
    <t xml:space="preserve">חוק סמכויות מיוחדות להתמודדות עם נגיף הקורונה החדש (צווי סגירה מינהליים) (הוראת שעה), התש"ף–2020</t>
  </si>
  <si>
    <t xml:space="preserve">01.07.2020</t>
  </si>
  <si>
    <t xml:space="preserve">נקבע כי לראש רשות מקומית, רופא מחוזי או קצין משטרה בדרגת סגן ניצב ישנה סמכות להורות על סגירת עסקים או מקומות נוספים שבעל המקום פותח או מפעיל בניגוד להוראות החוק השונות שנועדו למנוע את התפשטות מגפת הקורונה, וזאת אחרי שקיבל דוח משוטר או פקח. צו הסגירה הראשון הוא לשבעה ימים, וניתן להאריכו בסך הכול עד ל-14 יום בלבד. על פי ההסדר יש שני סוגים של צווי סגירה: הראשון – צו סגירה במקרה של הפרות ממוקדות של הוראות העוסקות בפתיחה לציבור של מקום או עסק שפתיחתו נאסרה, הפרה ניכרת של הגבלה על מספר האנשים במקום או בעסק או הפרה ניכרת של החובה של הגורם האחראי על המקום לכך שהעובדים בעסק יעטו מסכה; השני – צו סגירה בקשת רחבה יותר של נסיבות, שיינתן כשמדובר בהפרה מהותית או בכמה הפרות שבשלהן קיים חשש משמעותי להדבקה בנגיף.   במסגרת שיקול הדעת במתן הצו, יש לבחון בין היתר את מידת הסכנה או הנזק לציבור או לאדם שעשויים להיגרם מהמשך הפעילות במקום, האם מדובר בעבריין חוזר, האם ניתן לתקן את הליקוי ולהימנע ממתן הצו, האפשרות להטיל קנס במקום לתת צו סגירה וכן החיוניות לציבור של המקום שמבקשים לסגור והפגיעה בבעלים או האחראי למקום כשקובעים את משך הצו והיקפו. על ההחלטה להוציא צו סגירה ניתן להגיש השגה לגורם בכיר יותר, ולאחר מכן – עתירה לבית משפט השלום.   </t>
  </si>
  <si>
    <t xml:space="preserve">חוק לתיקון ולהארכת תוקפן של תקנות שעת חירום (נגיף הקורונה החדש) (אזור מוגבל), התש"ף-2020 </t>
  </si>
  <si>
    <t xml:space="preserve"> (מ/1330)</t>
  </si>
  <si>
    <t xml:space="preserve">נקבע כי תוקפן של תקנות שעת חירום (נגיף הקורונה החדש) (אזור מוגבל) יוארך ב-45 ימים וכן אושרו תיקונים לנוסח החוק. תקנות אלה מסמיכות ועדת שרים מיוחדת להכריז על אזור מסוים שבו מחלת הקורונה התפשטה בהיקף נרחב וברמת תחלואה גבוהה יחסית לכלל המדינה, כעל אזור מוגבל לתקופות קצרות וקצובות אם הדבר הכרחי כדי למנוע את המשך התפשטות המחלה, וכן לקבוע מגבלות על הכניסה לאזור ועל היציאה ממנו, ועל הפעילות העסקית והיציאה למרחב הציבורי בתוך האזור. נקבע שעל ועדת השרים לבחון דרכים חלופיות ולהשתכנע שאין מנוס מהכרזה על האזור כולו כאזור מוגבל, ולצמצם את ההגבלות שיחולו באזור ואת גודל האזור שעליו תחול ההכרזה למינימום הנדרש. נקבע שהכרזה על אזור מוגבל לא תוביל להחלה גורפת של כלל ההגבלות, אלא יהיה על ועדת השרים לבחון בחינה פרטנית, לקבוע במפורש ולנמק אילו הגבלות יחולו באזור המוגבל. כן נקבעו הוראות שיחייבו התייעצות ושיתוף הרשות המקומית הרלוונטית כבר בשלבים המוקדמים של התהליך ועוד בטרם מתקבלת החלטת ועדת השרים, וכן בחינה מהותית של עמדת ראשי הרשויות – שתובא או בכתב או בעל פה. עוד נקבע כי יש להביא את ההכרזה המנומקת בפני ועדת חוקה מיד לאחר שניתנה, וכן נקבעה האפשרות לביטול ההכרזה על ידי הוועדה. כמו כן, נקבעה החובה ליידע את תושבי האזור על ההכרזה בדרכים אפקטיביות ומותאמות. </t>
  </si>
  <si>
    <t xml:space="preserve">חוק לתיקון ולהארכת תוקפן של תקנות שעת חירום (נגיף הקורונה החדש) (בידוד במקום לבידוד מטעם המדינה), התש"ף-2020 </t>
  </si>
  <si>
    <t xml:space="preserve"> (מ/1331)</t>
  </si>
  <si>
    <t xml:space="preserve">נקבע כי תוקפן של תקנות שעת חירום (נגיף הקורונה החדש) (בידוד במקום לבידוד מטעם המדינה) יוארך ב-45 ימים וכן אושרו תיקונים לנוסח התקנות. התקנות מאפשרות להורות לאדם החייב בבידוד – בין אם בשל חזרתו מחו"ל ובין אם משום שהיה במגע הדוק עם חולה קורונה – לשהות בבידוד במלונית במימון המדינה אם אינו יכול לקיים את הבידוד בביתו או במקום העומד לרשותו. נקבע כי ברירת המחדל היא שאדם יקיים את הבידוד בביתו, ורק אם הגורם המוסמך מצא שהדבר לא אפשרי, הוא יוכל להורות לו לשהות בבידוד במלונית.  כמו כן, נקבע כי קטין מתחת לגיל 17 לא יישהה במלונית ללא ליווי של אחד ההורים או של אפוטרופוס אחר. ביחס לקטינים בגילאי 17 עד 18 – נקבע שבנסיבות חריגות, אם משפחת הקטין ביקשה זאת והקטין הסכים, ניתן יהיה להורות על שהייתו בבידוד במלונית ללא ליווי. בנוסף, נקבעו הוראות מיוחדות ביחס לאנשים עם מוגבלות כדי להבטיח שהמקום יהיה נגיש ומותאם. </t>
  </si>
  <si>
    <t xml:space="preserve">חוק לתיקון ולהארכת תוקפן של תקנות שעת חירום (נגיף הקורונה החדש – דיונים בהשתתפות עצורים, אסירים וכלואים) (תיקון), התש"ף–2020</t>
  </si>
  <si>
    <t xml:space="preserve">התיקון החליף את ההסדרים אשר נקבעו בתקנות שעת חירום (דיוני ועדות שחרורים), התש"ף–2020, שמטרתם להסדיר את אופן קיום הדיון בוועדות השחרורים ובוועדה לעיון בעונש, הפועלת מכוח חוק השיפוט הצבאי, בדרך שתצמצם, ככל האפשר, את הסיכון להדבקה של אסירים כתוצאה מחשיפתם לגורמים שמחוץ לכלא.  לכן, נקבע כי למעט סוגי דיונים אחדים, לא יתקיימו דיוני שחרורים בתקופת תוקפה של הודעת שר המשפטים על מצב חירום מיוחד לפי תקנות בתי המשפט ולשכות ההוצאה לפועל אלא אם כן הורה יושב הראש לקיימם, בשל דחיפות העניין. בנוסף, נקבעו הוראות בעניין אופן קיום דיונים בוועדות בלא נוכחות האסירים באולם, אלא בהשתתפותם מרחוק באמצעים טכנולוגיים, ובמידת הצורך - גם בהשתתפות מרחוק של הצדדים הנוספים לדיון ושל ועדות השחרורים עצמן. נקבעה זכותו של האסיר לבקש דיון חוזר בנוכחותו לאחר שלא תהיה עוד מניעה לעשות כן. כמו כן, הוענקה סמכות ליושב ראש הוועדה לדון, בעניינים מסויימים, בדן יחיד וללא קיום דיון בעל פה. וכן, בשל הגבלת היציאה למרחב הציבורי, הוסף תחליף טלפוני לחובת ההתייצבות במשטרה לפי החוק, או לפי החלטת ועדת השחרורים. לבסוף, נקבעה חובת דיווח על מספר הדיונים שהתקיימו כאמור לעיל לוועדת החוקה, חוק ומשפט.  </t>
  </si>
  <si>
    <t xml:space="preserve">חוק הסמכת שירות הביטחון הכללי לסייע במאמץ הלאומי לצמצום התפשטות נגיף הקורונה החדש (הוראת שעה), התש"ף-2020</t>
  </si>
  <si>
    <t xml:space="preserve">החוק מאפשר למשרד הבריאות להסתייע בשירות הביטחון הכללי לטובת עיבוד מידע טכנולוגי ממכשירי טלפון ניידים של מי שאובחנו כחולים בנגיף הקורונה, ושל מי שבא עימם במגע ב-14 הימים שקדמו לאבחונם כחולים. זאת, כדי שניתן יהיה להורות לאנשים שבאו במגע קרוב עם חולי הקורונה להיכנס לבידוד מחשש שנדבקו בנגיף. נקבע שהממשלה תהיה רשאית להכריז על הסמכת השב"כ באחד משלושת המצבים הבאים:  א. אובחנו יותר ממאתיים חולים חדשים באותו יום. ב. הממשלה שוכנעה שקיים צורך בהסתייעות בשב"כ במקרים פרטניים וייחודיים שבהם לא ניתן להשלים את זיהוי האנשים שבאו במגע קרוב עם חולה באמצעות חקירה אפידמיולוגית בשיטות אחרות. ג.  התקיימו נסיבות חריגות נוספות שהיו אמורות להיות מנויות בתוספת לחוק, אך לא נקבעו נסיבות כאלה. ההכרזה תונח על שולחן הכנסת ועל שולחן ועדת החוץ והביטחון. בנוסף, הממשלה תמנה צוות שרים לבחינת הצורך בהמשך ההסתייעות בשירות בהתחשב במצב התחלואה, בתרומת תוצאות פעולות הסיוע לצמצום התפשטות המחלה ובקיומן של חלופות, תוך שיקולי הפגיעה בזכות לפרטיות. נקבעו הסדרים הנוגעים לאבטחת המידע במשרד הבריאות ובשב"כ, הוראות לגבי מחיקת הנתונים, הגבלות על העברת מידע בין גופים ודרישה שמי שייחשף למידע יהיה מוסמך לכך על ידי גורם בכיר ויחתום על הצהרת סודיות. בנוסף, החוק מחייב פרסום מידע באתר האינטרנט של משרד הבריאות ודיווחים לוועדת הכנסת לענייני השירות אחת לשבועיים ממשרד הבריאות ומהשב"כ לגבי הנתונים שנאספו. הכרזת הממשלה תהיה בתוקף ל-21 ימים.</t>
  </si>
  <si>
    <t xml:space="preserve">הצעת חוק הרשות לפיתוח הנגב (תיקון מס' 4) (תיקון - ביטול החוק), התש"ף-2020</t>
  </si>
  <si>
    <t xml:space="preserve"> (פ/800/23)</t>
  </si>
  <si>
    <t xml:space="preserve"> (פ/779/23)</t>
  </si>
  <si>
    <t xml:space="preserve"> (פ/647/23)</t>
  </si>
  <si>
    <t xml:space="preserve">הצעת חוק הרבנות הראשית לישראל (תיקון - כשירות רב ראשי והרכב האסיפה הבוחרת), התש"ף-2020</t>
  </si>
  <si>
    <t xml:space="preserve"> (פ/364/23)</t>
  </si>
  <si>
    <t xml:space="preserve">הצעת חוק התרבות והאמנות (תיקון - הקצאת תקציב שנתי לתרבות והאמנות), התש"ף-2020</t>
  </si>
  <si>
    <t xml:space="preserve"> (פ/348/23)</t>
  </si>
  <si>
    <t xml:space="preserve"> (פ/180/23)</t>
  </si>
  <si>
    <t xml:space="preserve"> (פ/174/23)</t>
  </si>
  <si>
    <t xml:space="preserve"> (פ/164/23)</t>
  </si>
  <si>
    <t xml:space="preserve"> (פ/28/23)</t>
  </si>
  <si>
    <t xml:space="preserve">הצעת חוק דיני העבודה (תיקוני חקיקה), התש"ף-2020</t>
  </si>
  <si>
    <t xml:space="preserve"> (פ/24/23)</t>
  </si>
  <si>
    <t xml:space="preserve">חוק מענק הסתגלות מיוחד לבני 67 ומעלה (הוראת שעה – נגיף הקורונה החדש), התש"ף-2020 </t>
  </si>
  <si>
    <t xml:space="preserve"> (מ/1328)</t>
  </si>
  <si>
    <t xml:space="preserve">29.06.2020</t>
  </si>
  <si>
    <t xml:space="preserve">חוק מענק הסתגלות מיוחד לבני 67 ומעלה (הוראת שעה – נגיף הקורונה החדש), התש"ף-2020 (להלן: החוק) קובע כי תושב ישראל שמלאו לו 67 שנים  או יותר בתקופה שבין ה-1.3.2020 ועד ה-16.8.2020 והוא פוטר מעבודתו או הוצא לחופש ללא תשלום לתקופה של 30 ימים לפחות בתקופה האמורה ועבד לפני כן כשכיר  לתקופה של שלושה חודשים רצופים לפחות, יהיה זכאי למענק הסתגלות בסכומים משתנים (עד 4,000) כתלות בהכנסתו הפנסיונית, בעד החודשים מרץ עד אמצע אוגוסט 2020 וכל עוד לא חזר לעבוד. עובדים כאמור שחזרו לעבודתם במהלך החודשים מאי עד אוגוסט יהיו זכאים למענק בשיעור חלקי בעד חודש חזרתם לעבודה. </t>
  </si>
  <si>
    <t xml:space="preserve">חוק חדלות פירעון ושיקום כלכלי (תיקון מס' 3), התש"ף-2020 </t>
  </si>
  <si>
    <t xml:space="preserve"> (מ/1327)</t>
  </si>
  <si>
    <t xml:space="preserve">התיקון האריך את הוראת השעה שמאפשרת מינוי נאמנים שלא מתוך רשימת הנאמנים שתגובש לפי חוק חדלות פירעון ושיקום כלכלי, התשע"ח–2018.  לפי החוק, כשניתן צו לפתיחת הליכים, ממונה נאמן בהליך שהוא בעל תפקיד האחראי לניהול הליכי חדלות הפירעון. בשל הסמכויות הרחבות שמוענקות לו נקבעו לתפקיד תנאי כשירות ברורים והליך מינוי שמורכב מכמה שלבים, ביניהם מינוי ועדה ציבורית שתגבש רשימת נאמנים כשירים, תוך הסתמכות על תקנות שמוטל על שר המשפטים להתקין. בשל מערכות הבחירות העוקבות הממשלה לא הספיקה להשלים את ההיערכות למינוי הנאמנים לפי ההסדר שבחוק. לכן, נוספה לו הוראת שעה עד ליום 1 ביולי 2020 שלפיה מינוי נאמנים ייעשה שלא מתוך הרשימה שקובע החוק, אלא לפי תנאי כשירות והליך מינוי כפי שנהגו לפני כניסת החוק לתוקף. התיקון האריך את אותה הוראת השעה עד ליום 1 במרץ 2021.  כמו כן, החוק קובע כי הממונה ימנה נאמנים לפי אמות מידה שוויוניות שיגבש ויפרסם, בתיקון הובהר, שאם חל גידול משמעותי במספר הליכי חדלות פירעון של יחיד, יבחן הממונה את הצורך בהגדלה של מספר הנאמנים שרשאים להתמנות לפי אותן אמות מידה. </t>
  </si>
  <si>
    <t xml:space="preserve">חוק הגז (בטיחות ורישוי) (תיקון מס' 7), התש"ף-2020 </t>
  </si>
  <si>
    <t xml:space="preserve"> (מ/1317)</t>
  </si>
  <si>
    <t xml:space="preserve">חוק הגז (בטיחות ורישוי) (תיקון מס' 7), התש"ף–2020 (להלן – תיקון מס' 7) נועד להאריך מועדים הקבועים בהוראות המעבר ברפורמה לחיבור מפעלי תעשייה לרשת הגז הטבעי, רפורמה שעוגנה בתיקון מס' 4 לחוק הגז (בטיחות ורישוי), התשמ"ט–1989. הרפורמה נועדה לקדם את חיבור מפעלי התעשייה לרשת הגז הטבעי. במסגרת זו נקבעו הוראות המאפשרות להסמיך גופים פרטיים כ"גופים בודקים", שיערכו בדיקות בטיחות להתקנתם ולהפעלתם של מתקני גז טבעי לצריכה וייתנו אישור תקינות לגביהם. כמו כן, נקבע ברפורמה כי במקרים שבהם יש חשש לבטיחות הציבור, רשאי הממונה על הבטיחות ברשות הגז הטבעי להורות לגוף בודק, ובכלל זה למכון התקנים, לבצע בדיקת תקינות למתקן, ובלבד שהגוף שיבדוק את המתקן לא יהיה אותו הגוף שנתן את אישור התקינות לגבי המתקן. לשם היערכות ליישום הרפורמה, ובכלל זה כדי לאפשר הסמכה של "גופים בודקים" כאמור, נקבעו בחוק הוראות מעבר שנועדו, בין השאר, לאפשר למתקנים קיימים להמשיך לפעול מכוח אישורים שקיבלו טרם הרפורמה. עוד נקבע, כי על מתקנים אלה לעמוד בבדיקת תקינות ראשונה עד ליום ה-30.6.2020. בשל משבר הקורונה נוצר קושי לעמוד במועד זה, ועל כן במסגרת תיקון מס' 7 הוארך המועד האמור בשלושה חודשים, עד ל-30.9.2020. מועד נוסף שהוארך במסגרת תיקון מס' 7 נוגע לסמכות הממונה על הבטיחות ברשות הגז הטבעי להורות למכון התקנים לבצע בדיקת תקינות במתקן גז טבעי במקרה של סכנה לבטיחות הציבור, גם אם מכון התקנים היה הגוף שנתן את אישור התקינות לגבי אותו מתקן. תוקפה של הסמכה זו הוארך פעמיים, עד לחודש ספטמבר 2019, ולאחר מכן הוארך שוב באופן אוטומטי עד ל-16.6.2020 מכוח סעיף 38 לחוק-יסוד: הכנסת. אולם, עד לאותו מועד לא הוסמכו מספיק גופים בודקים, ולפיכך במסגרת תיקון מס' 7, הוארך המועד האמור עד ל-1.1.2024. </t>
  </si>
  <si>
    <t xml:space="preserve">חוק הארכת תקופות (הוראת שעה – נגיף הקורונה החדש) (אישורים רגולטוריים), התש"ף-2020</t>
  </si>
  <si>
    <t xml:space="preserve"> (מ/1329)</t>
  </si>
  <si>
    <t xml:space="preserve">החוק בא להאריך את תקופת תוקפם של אישורים רגולטוריים שנתנה רשות ציבורית אם מועד פקיעתם חל מיום 10.3.2020 ועד 30.6.2020 - בשלושה חודשים, ואם האישורים פוקעים בחודשיים שלאחר מכן (יולי או אוגוסט 2020) - ב-10 שבועות. לראש הממשלה באישור הממשלה והוועדה נתונה אפשרות לקבוע כי הארכות זהות (בשלושה חודשים ולאחר מכן בעשרה שבועות) יחולו גם על אישורים שמועד פקיעתם חל בתקופה של עד 3 חודשים החל מיולי 2020 ובהתאמה גם בשני החודשים שלאחר סיומה.  הארכת התוקף לא תחול לגבי סוגי אישורים כמפורט בתוספת השניה לחוק, וכמו כן רשאית הרשות הציבורית להחליט שלא להאריך את תוקפו של אישור רגולטורי מסויים, והחלטתה כפופה לביקורת שיפוטית.   כן מאפשר החוק לספק גז להמשיך באספקת גז למתקן ביתי שמועד הבדיקה התקופתית לגביו חל בין 10.3.2020 ובין 30.6.2020, וזאת למשך 3 חודשים מהמועד שנועד לביצוע הבדיקה או ממועד תחילתן של חוק זה, אלא אם כן יש חשש לתקלה במתקן.</t>
  </si>
  <si>
    <t xml:space="preserve">חוק תכנון משק החלב (תיקון מס' 3), התש"ף-2020 </t>
  </si>
  <si>
    <t xml:space="preserve"> (מ/1322)</t>
  </si>
  <si>
    <t xml:space="preserve">חוק תכנון משק החלב, התשע"א–2011 (להלן – החוק), מסדיר את ענף החלב כענף מתוכנן, ובין השאר קובע כי "מחיר המטרה", מחיר המינימום אותו המחלבות מחויבות לשלם ליצרנים (רפתנים) בעבור ליטר חלב גולמי, יקבע על פי עקרונות אשר ייקבעו בצווים לפי חוק הפיקוח על מחירי מצרכים ושירותים, התשנ"ו-1996, שיחול לעניין זה בכמה שינויים.  עד לחקיקתו של החוק מחיר המטרה נקבע על פי עלויות הייצור, ואופן חישובן היה מבוסס על הסכמות רבות שנים בין הגורמים השונים בענף. כדי לשמור על יציבות הענף, שעלול היה להיפגע משינויי מחירים ללא הערכות מתאימה, נקבעה הוראת מעבר לפיה, במהלך שמונה שנים מיום תחילתו של החוק, כלומר עד ליום 6 באוקטובר 2019, מחיר המטרה יקבע בהתאם למחיר המטרה האחרון שפורסם ערב תחילתו של החוק ויעודכן לפי מנגנון העדכון שיקבע בתקנות (תקנות אלו תוקנו בשנת 2012). הוראת המעבר הוארכה בהתאם לקבוע בסעיף 38 לחוק יסוד: הכנסת, שעניינו הארכת תוקפם של חיקוקים, עד ליום 16 ביוני 2020. כדי לאפשר לשרי החקלאות והאוצר הנכנסים לגבש מדיניות בנושא ולהתקין צווים שישקפו מדיניות זו, הוארכה במסגרת חוק תכנון משק החלב (תיקון מס' 3), התש"ף–2020, הוראת המעבר האמורה עד ליום 31.12.2020. השרים הוסמכו להאריכה, בצו, באישור ועדת הכלכלה של הכנסת, בתקופה אחת נוספת עד ליום ה-30.6.2021.  כמו כן, נמחקה ההוראה בחוק המחייבת את השרים לפרסם צו שבו ייקבע לראשונה מחיר המטרה לפי חוק הפיקוח על מחירי מצרכים ושירותים, התשנ"ו-199, שישה חודשים לפחות לפני תום תקופת המעבר, וזאת משום שבהתאם להוראה האמורה, על השרים לפרסם את הצו כבר בימים אלו, ועוד בטרם גובשה מדיניותם בנושא. </t>
  </si>
  <si>
    <t xml:space="preserve">הצעת חוק מימון מפלגות (תיקון - ייצוג הולם לנשים בכנסת), התש"ף-2020</t>
  </si>
  <si>
    <t xml:space="preserve"> (פ/1430/23)</t>
  </si>
  <si>
    <t xml:space="preserve">הצעת חוק ביטוח בריאות ממלכתי (תיקון - תושב ששהה מחוץ לישראל ואין לו קרוב משפחה), התש"ף-2020</t>
  </si>
  <si>
    <t xml:space="preserve"> (פ/1428/23)</t>
  </si>
  <si>
    <t xml:space="preserve">הצעת חוק הגנה כלכלית על חסרי ישע (איסור על העברת רכוש, הון ונכסים ממטופל למטפל) (תיקוני חקיקה), התש"ף-2020</t>
  </si>
  <si>
    <t xml:space="preserve"> (פ/1427/23)</t>
  </si>
  <si>
    <t xml:space="preserve">הצעת חוק לתיקון פקודת בריאות העם (מכרז להצבת מכונות מזון אוטומטיות), התש"ף-2020</t>
  </si>
  <si>
    <t xml:space="preserve"> (פ/1426/23)</t>
  </si>
  <si>
    <t xml:space="preserve">הצעת חוק שירות הציבור (הגבלות לאחר פרישה) (תיקון - תקופת צינון לשוטרים בתפקידי חקירה ומודיעין), התש"ף-2020</t>
  </si>
  <si>
    <t xml:space="preserve"> (פ/1425/23)</t>
  </si>
  <si>
    <t xml:space="preserve">הצעת חוק-יסוד: השפיטה (תיקון – הגבלת זכות העמידה) </t>
  </si>
  <si>
    <t xml:space="preserve"> (פ/1424/23)</t>
  </si>
  <si>
    <t xml:space="preserve">הצעת חוק זכויות נפגעי עבירה (תיקון - זכויות בהליך בפני שופט מגשר), התש"ף-2020</t>
  </si>
  <si>
    <t xml:space="preserve"> (פ/1422/23)</t>
  </si>
  <si>
    <t xml:space="preserve">הצעת חוק חובת המכרזים (תיקון - עידוד העסקת עובדים מאוכלוסיות ייחודיות), התש"ף-2020</t>
  </si>
  <si>
    <t xml:space="preserve"> (פ/1421/23)</t>
  </si>
  <si>
    <t xml:space="preserve"> (פ/1420/23)</t>
  </si>
  <si>
    <t xml:space="preserve"> (פ/1418/23)</t>
  </si>
  <si>
    <t xml:space="preserve"> (פ/1417/23)</t>
  </si>
  <si>
    <t xml:space="preserve"> (פ/1416/23)</t>
  </si>
  <si>
    <t xml:space="preserve">הצעת חוק למניעת העסקה של עברייני מין במוסדות מסוימים (תיקון - העסקת בגיר שהורשע בעבירת מין כעובד זמני במוסד), התש"ף-2020</t>
  </si>
  <si>
    <t xml:space="preserve"> (פ/1415/23)</t>
  </si>
  <si>
    <t xml:space="preserve">הצעת חוק לתיקון פקודת הראיות (עדות יועץ תקשורת או דובר), התש"ף-2020</t>
  </si>
  <si>
    <t xml:space="preserve"> (פ/1414/23)</t>
  </si>
  <si>
    <t xml:space="preserve"> (פ/1413/23)</t>
  </si>
  <si>
    <t xml:space="preserve">הצעת חוק האזרחים הוותיקים (תיקון - הקצאת מקומות חניה במקום ציבורי לאזרח ותיק), התש"ף-2020</t>
  </si>
  <si>
    <t xml:space="preserve"> (פ/1412/23)</t>
  </si>
  <si>
    <t xml:space="preserve">הצעת חוק הגנת הפרטיות (תיקון - מינוי נציג רשמי), התש"ף-2020</t>
  </si>
  <si>
    <t xml:space="preserve"> (פ/1411/23)</t>
  </si>
  <si>
    <t xml:space="preserve">הצעת חוק היועץ המשפטי לממשלה (מינוי וכהונה), התש"ף-2020</t>
  </si>
  <si>
    <t xml:space="preserve"> (פ/1410/23)</t>
  </si>
  <si>
    <t xml:space="preserve">הצעת חוק הממשלה (תיקון - ועדת שרים לענייני חקיקה), התש"ף-2020</t>
  </si>
  <si>
    <t xml:space="preserve"> (פ/1409/23)</t>
  </si>
  <si>
    <t xml:space="preserve">הצעת חוק חופש המידע (תיקון - הקמת נציבות חופש המידע והסדרת סמכותו של הממונה על חופש המידע ברשות ציבורית), התש"ף-2020</t>
  </si>
  <si>
    <t xml:space="preserve"> (פ/1408/23)</t>
  </si>
  <si>
    <t xml:space="preserve">הצעת חוק זכות ייצוג לקטין המתנגד לאשפוז פסיכיאטרי (תיקוני חקיקה), התש"ף-2020</t>
  </si>
  <si>
    <t xml:space="preserve"> (פ/1407/23)</t>
  </si>
  <si>
    <t xml:space="preserve"> (פ/1404/23)</t>
  </si>
  <si>
    <t xml:space="preserve">הצעת חוק שירות המדינה (מינויים) (תיקון - מינוי יועצים משפטיים של משרדים), התש"ף-2020</t>
  </si>
  <si>
    <t xml:space="preserve"> (פ/1403/23)</t>
  </si>
  <si>
    <t xml:space="preserve">הצעת חוק-יסוד: משק המדינה (תיקון - חובת דיון על יעדי תקציב)</t>
  </si>
  <si>
    <t xml:space="preserve"> (פ/1402/23)</t>
  </si>
  <si>
    <t xml:space="preserve">הצעת חוק תקופת לידה והורות להורים (תיקוני חקיקה), התש"ף-2020</t>
  </si>
  <si>
    <t xml:space="preserve"> (פ/1401/23)</t>
  </si>
  <si>
    <t xml:space="preserve">הצעת חוק הפיקוח על שירותים פיננסיים (ביטוח) (תיקון - העלאת הגיל לקבלת קצבה לנשים בקרן ותיקה שבהסדר), התש"ף-2020</t>
  </si>
  <si>
    <t xml:space="preserve"> (פ/1400/23)</t>
  </si>
  <si>
    <t xml:space="preserve">הצעת חוק עבודת נשים (תיקון - חישוב ימי מחלה בתקופת היריון), התש"ף-2020</t>
  </si>
  <si>
    <t xml:space="preserve"> (פ/1399/23)</t>
  </si>
  <si>
    <t xml:space="preserve">הצעת חוק הטבות לניצולי שואה (תיקון - השוואת זכויות מקבלי קצבה חודשית מהרפובליקה הפדראלית של גרמניה), התש"ף-2020</t>
  </si>
  <si>
    <t xml:space="preserve"> (פ/1398/23)</t>
  </si>
  <si>
    <t xml:space="preserve">הצעת חוק הרשויות המקומיות (פטור חיילים, נפגעי מלחמה ושוטרים מארנונה) (תיקון - פטור לחייל בודד בדירת שותפים), התש''ף-2020</t>
  </si>
  <si>
    <t xml:space="preserve"> (פ/1397/23)</t>
  </si>
  <si>
    <t xml:space="preserve">הצעת חוק לעידוד בנייה בת קיימא (תיקוני חקיקה), התש"ף-2020</t>
  </si>
  <si>
    <t xml:space="preserve"> (פ/1396/23)</t>
  </si>
  <si>
    <t xml:space="preserve">הצעת חוק הגנת הסביבה (יחידה סביבתית ברשויות ציבוריות), התש"ף-2020</t>
  </si>
  <si>
    <t xml:space="preserve"> (פ/1395/23)</t>
  </si>
  <si>
    <t xml:space="preserve">הצעת חוק לביטול הרשות לפיתוח והתיישבות הבדואים בנגב, התש"ף-2020</t>
  </si>
  <si>
    <t xml:space="preserve"> (פ/1394/23)</t>
  </si>
  <si>
    <t xml:space="preserve">הצעת חוק לתיקון פקודת העיריות (עידוד נשים בעסקים), התש"ף-2020</t>
  </si>
  <si>
    <t xml:space="preserve"> (פ/1393/23)</t>
  </si>
  <si>
    <t xml:space="preserve">הצעת חוק לתיקון פקודת העיריות (הכשרת חברי מועצה), התש"ף-2020</t>
  </si>
  <si>
    <t xml:space="preserve"> (פ/1392/23)</t>
  </si>
  <si>
    <t xml:space="preserve">הצעת חוק האזרחות (תיקון - אזרחות מכוח לידה לפני הקמת המדינה), התש"ף-2020</t>
  </si>
  <si>
    <t xml:space="preserve"> (פ/1391/23)</t>
  </si>
  <si>
    <t xml:space="preserve"> (פ/1390/23)</t>
  </si>
  <si>
    <t xml:space="preserve">הצעת חוק להגנה על האגן הצפוני של ים המלח, התש"ף-2020</t>
  </si>
  <si>
    <t xml:space="preserve"> (פ/1389/23)</t>
  </si>
  <si>
    <t xml:space="preserve">הצעת חוק קליטת חיילים משוחררים (תיקון - תקצוב על פי מספר חיילים משוחררים הנרשמים ללימודים), התש"ף-2020</t>
  </si>
  <si>
    <t xml:space="preserve"> (פ/1387/23)</t>
  </si>
  <si>
    <t xml:space="preserve">הצעת חוק לתיקון פקודת העיריות (נוסח חדש) (הסמכת שר הפנים לחתום על היתר עסקה), התש"ף-2020</t>
  </si>
  <si>
    <t xml:space="preserve"> (פ/1386/23)</t>
  </si>
  <si>
    <t xml:space="preserve">הצעת חוק למדיניות לאומית לשמירה על שטחים פתוחים, התש"ף-2020</t>
  </si>
  <si>
    <t xml:space="preserve"> (פ/1385/23)</t>
  </si>
  <si>
    <t xml:space="preserve">הצעת חוק חג המצות (איסורי חמץ) (תיקון - איסור מכירת חמץ גם שלא בפומבי), התש"ף-2020</t>
  </si>
  <si>
    <t xml:space="preserve"> (פ/1384/23)</t>
  </si>
  <si>
    <t xml:space="preserve">הצעת חוק איסוף ופינוי פסולת למיחזור (תיקון - חובת מיחזור בבית עסק גדול), התש"ף-2020</t>
  </si>
  <si>
    <t xml:space="preserve"> (פ/1383/23)</t>
  </si>
  <si>
    <t xml:space="preserve">הצעת חוק חג המצות (איסורי חמץ) (תיקון - איסור הצגת חמץ בפסח בבתי חולים), התש"ף-2020</t>
  </si>
  <si>
    <t xml:space="preserve"> (פ/1382/23)</t>
  </si>
  <si>
    <t xml:space="preserve">הצעת חוק התכנון והבנייה (תיקון - היתר הניתן לפי תכניות ישנות), התש"ף-2020</t>
  </si>
  <si>
    <t xml:space="preserve"> (פ/1381/23)</t>
  </si>
  <si>
    <t xml:space="preserve">הצעת חוק הגנת הצרכן (תיקון - ביטול עסקה במסרון ומסירת אישור על קבלת הודעת ביטול), התש"ף-2020</t>
  </si>
  <si>
    <t xml:space="preserve"> (פ/1380/23)</t>
  </si>
  <si>
    <t xml:space="preserve">הצעת חוק כביש אגרה (כביש ארצי לישראל) (תיקון - תנאי לגביית אגרה), התש"ף-2020</t>
  </si>
  <si>
    <t xml:space="preserve"> (פ/1379/23)</t>
  </si>
  <si>
    <t xml:space="preserve">הצעת חוק לתיקון פקודת התעבורה (הארכת משך האור הירוק ברמזור להולכי רגל בקרבת בתי ספר ובתי אבות), התש"ף-2020</t>
  </si>
  <si>
    <t xml:space="preserve"> (פ/1378/23)</t>
  </si>
  <si>
    <t xml:space="preserve">הצעת חוק הגנת הצרכן (תיקון - חובת הנגשת שיחה מוקלטת), התש"ף-2020</t>
  </si>
  <si>
    <t xml:space="preserve"> (פ/1377/23)</t>
  </si>
  <si>
    <t xml:space="preserve">הצעת חוק לתיקון פקודת התעבורה (ביטול מופע אור ירוק ברמזור פנייה ימינה בעת הופעת אור ירוק ברמזור להולכי רגל), התש"ף-2020</t>
  </si>
  <si>
    <t xml:space="preserve"> (פ/1376/23)</t>
  </si>
  <si>
    <t xml:space="preserve">הצעת חוק הגנת הצרכן (תיקון - מתן שירות טלפוני חינם על ידי מבטח), התש"ף-2020</t>
  </si>
  <si>
    <t xml:space="preserve"> (פ/1375/23)</t>
  </si>
  <si>
    <t xml:space="preserve">הצעת חוק התקשורת (בזק ושידורים) (תיקון - חובת מסירת פרטים של שולח פרסומת בניגוד לחוק), התש"ף-2020</t>
  </si>
  <si>
    <t xml:space="preserve"> (פ/1374/23)</t>
  </si>
  <si>
    <t xml:space="preserve">הצעת חוק המים (תיקון - איסור הפסקת אספקת מים), התש"ף-2020</t>
  </si>
  <si>
    <t xml:space="preserve"> (פ/1373/23)</t>
  </si>
  <si>
    <t xml:space="preserve">הצעת חוק כביש אגרה (כביש ארצי לישראל) (תיקון - פטור מאגרה לתחבורה ציבורית), התש"ף-2020</t>
  </si>
  <si>
    <t xml:space="preserve"> (פ/1372/23)</t>
  </si>
  <si>
    <t xml:space="preserve"> (פ/1371/23)</t>
  </si>
  <si>
    <t xml:space="preserve">הצעת חוק הגנת הצרכן (תיקון - סיכום פנייה), התש"ף-2020</t>
  </si>
  <si>
    <t xml:space="preserve"> (פ/1370/23)</t>
  </si>
  <si>
    <t xml:space="preserve">הצעת חוק זכויות הסטודנט (תיקון - איסור הפליית מועמדים או סטודנטים), התש"ף-2020</t>
  </si>
  <si>
    <t xml:space="preserve"> (פ/1369/23)</t>
  </si>
  <si>
    <t xml:space="preserve">הצעת חוק הגנת הצרכן (תיקון - שינוי פרטים בכרטיס טיסה או בכרטיס לשיט), התש"ף-2020</t>
  </si>
  <si>
    <t xml:space="preserve"> (פ/1368/23)</t>
  </si>
  <si>
    <t xml:space="preserve">הצעת חוק זכויות הסטודנט (תיקון - פעילות ציבורית), התש"ף-2020</t>
  </si>
  <si>
    <t xml:space="preserve"> (פ/1367/23)</t>
  </si>
  <si>
    <t xml:space="preserve">הצעת חוק כביש אגרה (כביש ארצי לישראל) (תיקון - פטור מאגרה בשל האטה ממהירות הנסיעה המותרת), התש"ף-2020</t>
  </si>
  <si>
    <t xml:space="preserve"> (פ/1366/23)</t>
  </si>
  <si>
    <t xml:space="preserve">הצעת חוק יום לציון רצח העם הארמני, התש"ף-2020</t>
  </si>
  <si>
    <t xml:space="preserve"> (פ/1365/23)</t>
  </si>
  <si>
    <t xml:space="preserve">הצעת חוק צער בעלי חיים (הגנה על בעלי חיים) (תיקון - איחוד סמכויות), התש"ף-2020</t>
  </si>
  <si>
    <t xml:space="preserve"> (פ/1364/23)</t>
  </si>
  <si>
    <t xml:space="preserve">הצעת חוק זכויות הסטודנט (תיקון - חופש הביטוי וההתארגנות של סטודנטים), התש"ף-2020</t>
  </si>
  <si>
    <t xml:space="preserve"> (פ/1363/23)</t>
  </si>
  <si>
    <t xml:space="preserve">הצעת חוק יישוב סכסוכי עבודה (תיקון - בוררות חובה בשירות הציבורי), התש"ף-2020</t>
  </si>
  <si>
    <t xml:space="preserve"> (פ/1362/23)</t>
  </si>
  <si>
    <t xml:space="preserve">הצעת חוק המועצה להשכלה גבוהה (תיקון - איסור הגבלת גיל בהרשמה למוסד להשכלה גבוהה), התש"ף-2020</t>
  </si>
  <si>
    <t xml:space="preserve"> (פ/1361/23)</t>
  </si>
  <si>
    <t xml:space="preserve"> (פ/1360/23)</t>
  </si>
  <si>
    <t xml:space="preserve"> (פ/1267/23)</t>
  </si>
  <si>
    <t xml:space="preserve">24.06.2020</t>
  </si>
  <si>
    <t xml:space="preserve"> (פ/683/23)</t>
  </si>
  <si>
    <t xml:space="preserve"> (פ/680/23)</t>
  </si>
  <si>
    <t xml:space="preserve">הצעת חוק לתיקון פקודת הסמים המסוכנים (שידול לייבוא או ייצוא חומר הנחשב לסם בחו"ל), התש"ף-2020</t>
  </si>
  <si>
    <t xml:space="preserve"> (פ/472/23)</t>
  </si>
  <si>
    <t xml:space="preserve"> (פ/288/23)</t>
  </si>
  <si>
    <t xml:space="preserve"> (פ/116/23)</t>
  </si>
  <si>
    <t xml:space="preserve">הצעת חוק לתיקון פקודת הסמים המסוכנים (הגדרת צמח הקנבוס, מדרוג עבירות ועונשים בסם קנבוס), התש"ף-2020</t>
  </si>
  <si>
    <t xml:space="preserve"> (פ/80/23)</t>
  </si>
  <si>
    <t xml:space="preserve">חוק לתיקון ולקיום תוקפן של תקנות שעת חירום (נגיף הקורונה החדש – הגבלת פעילות), התש"ף-2020 </t>
  </si>
  <si>
    <t xml:space="preserve"> (מ/1324)</t>
  </si>
  <si>
    <t xml:space="preserve">22.06.2020</t>
  </si>
  <si>
    <t xml:space="preserve">החוק מתקן וקובע תוקף חדש לתקנות שעת חירום (נגיף הקורונה החדש-הגבלת פעילות), התש"ף-2020, שתוקפן פקע ב-21.6.20 בחצות. החוק החדש נכנס לתוקפו ב-23.6.20 בשעה שש בבוקר ויעמוד בתוקפו למשך 45 ימים. החוק מסדיר כללי התנהגות במרחב הציבורי וכן קובע תנאים להפעלתם של עסקים ומקומות הפתוחים לציבור. החוק אף כולל מספר שינויים מנוסח התקנות שפקעו, כדוגמת הוספת הוראה בדבר פעילות במקומות תרבות, הסרת ההוראה המגבילה שהייה בגני שעשועים וביטול עונש המאסר על אדם או בעל עסק שלא פעל לפי ההגבלות שהוטלו עליו בחוק. בנוסף החוק מאפשר לממשלה לשנות בצו, אשר יועבר לאישור הוועדה, את מספר השוהים המותר באולמות אירועים ובאירועי תרבות וכן לאפשר, בצו שיובא לאישור הוועדה, את הפעלתם, תחת מגבלות, של עסקים שפעילותם טרם הותרה או את הפסקת פעילותם של עסקים שפעילותם הותרה על פי החוק. </t>
  </si>
  <si>
    <t xml:space="preserve">חוק לתיקון ולקיום תוקפן של תקנות שעת חירום (נגיף הקורונה החדש – הגבלת מספר העובדים במקום עבודה לשם צמצום התפשטות נגיף הקורונה החדש), התש"ף-2020 </t>
  </si>
  <si>
    <t xml:space="preserve"> (מ/1325)</t>
  </si>
  <si>
    <t xml:space="preserve">החוק קובע כי תקנות שעת חירום (הגבלת מספר העובדים במקום עבודה לשם צמצום התפשטות נגיף הקורונה החדש), התש"ף–2020 בנוסח שבתוספת לחוק יעמדו בתוקפן עד 6.8.2020. התקנות קובעות כברירת מחדל הגבלה על מספר העובדים שמעסיק יכול לאפשר להם לשהות בו זמנית במקום העבודה. לעובד ייחשב כל מי שפועל באופן יומיומי במקום העבודה גם אם לא מתקיימים יחסי עבודה, אך לעניין חישוב ההגבלה על מספר העובדים לא יובאו בחשבון עובדים מסוימים שנחשבים חיוניים לפעילות בעת מצב החירום של התפשטות הקורונה. מעסיק שמאפשר כניסה או שהות של עובדים במקום העבודה מעבר למגבלת מספר העובדים עובר עבירה פלילית. ואולם, מעסיק שיעמוד במספר תנאים הקשורים לכללים הידועים כ"תו סגול" לא יהיה כפוף למגבלה על מספר העובדים המרבי המותר לשהיה בו זמנית במקום העבודה, אלא אם כן אירעה הדבקה בקורונה במקום העבודה. משרדי הממשלה אינם כפופים להגבלה על מספר העובדים ונקבעו לגביהם ולגבי יחידות הסמך שלהם הוראות דומות לכללי התו הסגול. כמו כן, הגבלת מספר העובדים אינה חלה גם על גופים שתחומי פעילותם העיקריים מפורטים בתוספת הראשונה. מהוראות התקנות הוחרגה רשימת גופים שפעילותם חיונית והם מפורטים בתקנה 4.</t>
  </si>
  <si>
    <t xml:space="preserve">הצעת חוק זכויות הדייר בדיור הציבורי (תיקון - זכאות לאם יחידנית המקבלת תשלומי מזונות מהמוסד לביטוח לאומי), התש"ף-2020</t>
  </si>
  <si>
    <t xml:space="preserve"> (פ/1359/23)</t>
  </si>
  <si>
    <t xml:space="preserve">הצעת חוק לתיקון פקודת התעבורה (ריבית פיגורים בשל אי תשלום קנס על עבירת חניה), התש"ף-2020</t>
  </si>
  <si>
    <t xml:space="preserve"> (פ/1358/23)</t>
  </si>
  <si>
    <t xml:space="preserve">הצעת חוק הגנת הצרכן (תיקון - מענה אנושי בשירות טלפוני לאזרח ותיק), התש"ף-2020</t>
  </si>
  <si>
    <t xml:space="preserve"> (פ/1357/23)</t>
  </si>
  <si>
    <t xml:space="preserve">הצעת חוק זכויות הדייר בדיור הציבורי (תיקון - זכאות לדיור ציבורי להורה עצמאי המקבל מהמוסד לביטוח לאומי תשלום מזונות ואינו זכאי להבטחת הכנסה), התש"ף-2020</t>
  </si>
  <si>
    <t xml:space="preserve"> (פ/1356/23)</t>
  </si>
  <si>
    <t xml:space="preserve"> (פ/1355/23)</t>
  </si>
  <si>
    <t xml:space="preserve">הצעת חוק השכירות והשאילה (תיקון - הארכת תקופת השכירות בעת מצב חירום), התש"ף-2020</t>
  </si>
  <si>
    <t xml:space="preserve"> (פ/1354/23)</t>
  </si>
  <si>
    <t xml:space="preserve">הצעת חוק-יסוד: הממשלה (תיקון - איסור על חקירה פלילית נגד ראש הממשלה במהלך תקופת כהונתו)</t>
  </si>
  <si>
    <t xml:space="preserve"> (פ/1353/23)</t>
  </si>
  <si>
    <t xml:space="preserve">הצעת חוק הבטחת מסגרת השמה חוץ-ביתית לקטינים נזקקים, התש"ף-2020</t>
  </si>
  <si>
    <t xml:space="preserve"> (פ/1352/23)</t>
  </si>
  <si>
    <t xml:space="preserve">הצעת חוק זכויות החולה (תיקון - שמירת דגימות שנלקחו מנפגעי עבירות מין), התש"ף-2020</t>
  </si>
  <si>
    <t xml:space="preserve"> (פ/1351/23)</t>
  </si>
  <si>
    <t xml:space="preserve">הצעת חוק גיל פרישה (תיקון - העלאת גיל הפרישה לנשים וקביעת צעדים תומכים לנשים בגילאי העבודה), התש"ף-2020</t>
  </si>
  <si>
    <t xml:space="preserve"> (פ/1350/23)</t>
  </si>
  <si>
    <t xml:space="preserve">הצעת חוק לתיקון פקודת מסי העירייה ומסי הממשלה (פטורין) (פטור מארנונה למעון), התש"ף-2020</t>
  </si>
  <si>
    <t xml:space="preserve"> (פ/1349/23)</t>
  </si>
  <si>
    <t xml:space="preserve">הצעת חוק מס ערך מוסף (תיקון - פטור ממס במכירת תרופות מצילות חיים שאינן כלולות בסל הבריאות), התש"ף-2020</t>
  </si>
  <si>
    <t xml:space="preserve"> (פ/1348/23)</t>
  </si>
  <si>
    <t xml:space="preserve">הצעת חוק למניעת העסקה של עברייני מין במוסדות מסוימים (תיקון - הגדרת עבירת מין), התש"ף-2020</t>
  </si>
  <si>
    <t xml:space="preserve"> (פ/1347/23)</t>
  </si>
  <si>
    <t xml:space="preserve">הצעת חוק-יסוד: הממשלה (תיקון - הגבלות על כהונת ראש ממשלה ושר ביותר ממשרד אחד)</t>
  </si>
  <si>
    <t xml:space="preserve"> (פ/1346/23)</t>
  </si>
  <si>
    <t xml:space="preserve">הצעת חוק הגנת הפרטיות (תיקון - מניעת פרסום פרטיו ותצלומו של אדם שנהרג או נפגע ברבים בטרם נמסרה הודעה למשפחה), התש"ף-2020</t>
  </si>
  <si>
    <t xml:space="preserve"> (פ/1345/23)</t>
  </si>
  <si>
    <t xml:space="preserve">הצעת חוק לתיקון פקודת מס הכנסה (פטור ממס להכנסות קשיש וניכוי הוצאות שכר דירה), התש"ף-2020</t>
  </si>
  <si>
    <t xml:space="preserve"> (פ/1344/23)</t>
  </si>
  <si>
    <t xml:space="preserve">הצעת חוק הגנת הפרטיות (תיקון - הזכות להישכח של קטינים), התש"ף-2020</t>
  </si>
  <si>
    <t xml:space="preserve"> (פ/1343/23)</t>
  </si>
  <si>
    <t xml:space="preserve">הצעת חוק לעידוד השקעות הון (תיקון - עידוד ענף היהלומים) (הוראת שעה), התש"ף-2020</t>
  </si>
  <si>
    <t xml:space="preserve"> (פ/1342/23)</t>
  </si>
  <si>
    <t xml:space="preserve">הצעת חוק בחירות לגופים ציבוריים (תיקון - הגבלת כהונת יושב ראש ועד עובדים), התש"ף-2020</t>
  </si>
  <si>
    <t xml:space="preserve"> (פ/1341/23)</t>
  </si>
  <si>
    <t xml:space="preserve">הצעת חוק לתיקון פקודת מס הכנסה (נקודות זיכוי למשפחות אומנה), התש"ף-2020</t>
  </si>
  <si>
    <t xml:space="preserve"> (פ/1340/23)</t>
  </si>
  <si>
    <t xml:space="preserve"> (פ/1339/23)</t>
  </si>
  <si>
    <t xml:space="preserve">הצעת חוק רשת ביטחון כלכלי לעסקים, בתקופת משבר וירוס הקורונה, התש"ף-2020</t>
  </si>
  <si>
    <t xml:space="preserve"> (פ/1338/23)</t>
  </si>
  <si>
    <t xml:space="preserve">הצעת חוק ההוצאה לפועל (תיקון - הגבלת עיקול מיטלטליו של קשיש), התש"ף-2020</t>
  </si>
  <si>
    <t xml:space="preserve"> (פ/1337/23)</t>
  </si>
  <si>
    <t xml:space="preserve">הצעת חוק הבחירות לכנסת (תיקון - אי זכאות ליום שבתון לעובדים זרים), התש"ף-2020</t>
  </si>
  <si>
    <t xml:space="preserve"> (פ/1336/23)</t>
  </si>
  <si>
    <t xml:space="preserve">הצעת חוק סל הקליטה (תיקון - זכאות יוצאים לשאלה), התש"ף-2020</t>
  </si>
  <si>
    <t xml:space="preserve"> (פ/1335/23)</t>
  </si>
  <si>
    <t xml:space="preserve">הצעת חוק שיפוט בתי דין רבניים (נישואין וגירושין) (תיקון - תשלומי מזונות לילדי בני הזוג), התש"ף-2020</t>
  </si>
  <si>
    <t xml:space="preserve"> (פ/1334/23)</t>
  </si>
  <si>
    <t xml:space="preserve"> (פ/1333/23)</t>
  </si>
  <si>
    <t xml:space="preserve">הצעת חוק שירות המדינה (מינויים) (תיקון - חובת פרסום שאלון לאיתור חשש לניגוד עניינים), התש"ף-2020</t>
  </si>
  <si>
    <t xml:space="preserve"> (פ/1332/23)</t>
  </si>
  <si>
    <t xml:space="preserve">הצעת חוק למניעת הטרדה מינית (תיקון - דין התפטרות עקב הטרדה מינית או התנכלות כפיטורין), התש"ף-2020</t>
  </si>
  <si>
    <t xml:space="preserve"> (פ/1331/23)</t>
  </si>
  <si>
    <t xml:space="preserve">הצעת חוק סמכות ואחריות הורית (משמורת), התש"ף-2020</t>
  </si>
  <si>
    <t xml:space="preserve"> (פ/1330/23)</t>
  </si>
  <si>
    <t xml:space="preserve">הצעת חוק לתיקון פקודת הסטטיסטיקה (סטטיסטיקה לפי מגדר), התש"ף-2020</t>
  </si>
  <si>
    <t xml:space="preserve"> (פ/1329/23)</t>
  </si>
  <si>
    <t xml:space="preserve">הצעת חוק העונשין (תיקון - הארכת התיישנות בעבירות מין שבוצעו במסגרת הנישואין), התש"ף-2020</t>
  </si>
  <si>
    <t xml:space="preserve"> (פ/1328/23)</t>
  </si>
  <si>
    <t xml:space="preserve">הצעת חוק המרכז לגביית קנסות, אגרות והוצאות (תיקון - גביית חובות עבור רשות המים הארצית), התש"ף-2020</t>
  </si>
  <si>
    <t xml:space="preserve"> (פ/1327/23)</t>
  </si>
  <si>
    <t xml:space="preserve">הצעת חוק חדלות פירעון ושיקום כלכלי (תיקון - הפטר על קנסות בשל עבירות חניה ועל ריביות של תשלום עונשי), התש"ף-2020</t>
  </si>
  <si>
    <t xml:space="preserve"> (פ/1326/23)</t>
  </si>
  <si>
    <t xml:space="preserve">הצעת חוק נישואים אזרחיים, התש"ף-2020</t>
  </si>
  <si>
    <t xml:space="preserve"> (פ/1325/23)</t>
  </si>
  <si>
    <t xml:space="preserve">הצעת חוק הרשויות המקומיות (התאמת תקציב הרווחה), התש"ף-2020</t>
  </si>
  <si>
    <t xml:space="preserve"> (פ/1324/23)</t>
  </si>
  <si>
    <t xml:space="preserve">הצעת חוק המזונות (הבטחת תשלום) (תיקון - סכום שלא יובא בחשבון במבחן ההכנסה), התש"ף-2020</t>
  </si>
  <si>
    <t xml:space="preserve"> (פ/1323/23)</t>
  </si>
  <si>
    <t xml:space="preserve">הצעת חוק צבא ההגנה לישראל, התש"ף-2020</t>
  </si>
  <si>
    <t xml:space="preserve"> (פ/1322/23)</t>
  </si>
  <si>
    <t xml:space="preserve">הצעת חוק הוועדה להשקעות זרות, התש"ף-2020</t>
  </si>
  <si>
    <t xml:space="preserve"> (פ/1321/23)</t>
  </si>
  <si>
    <t xml:space="preserve">הצעת חוק רכש מערכת הביטחון ורכש גומלין ביטחוני, התש"ף-2020</t>
  </si>
  <si>
    <t xml:space="preserve"> (פ/1320/23)</t>
  </si>
  <si>
    <t xml:space="preserve">הצעת חוק השירותים החשאיים, התש"ף-2020</t>
  </si>
  <si>
    <t xml:space="preserve"> (פ/1319/23)</t>
  </si>
  <si>
    <t xml:space="preserve">הצעת חוק הגנה על עובדים בשעת חירום (תיקון - אובדן ימי עבודה בשל מצב מיוחד בעורף), התש"ף-2020</t>
  </si>
  <si>
    <t xml:space="preserve"> (פ/1318/23)</t>
  </si>
  <si>
    <t xml:space="preserve">הצעת חוק הפיקוח על מעונות (תיקון - מניעת העסקה של עבריינים בעבירות מסוימות), התש"ף-2020</t>
  </si>
  <si>
    <t xml:space="preserve"> (פ/1317/23)</t>
  </si>
  <si>
    <t xml:space="preserve">הצעת חוק שוויון זכויות לאנשים עם מוגבלות (תיקון - הנגשת כל מקומות הרחצה), התש"ף-2020</t>
  </si>
  <si>
    <t xml:space="preserve"> (פ/1316/23)</t>
  </si>
  <si>
    <t xml:space="preserve">הצעת חוק לתיקון פקודת בריאות העם (הגבלת שעות תורנות רצופות של מטפל), התש"ף-2020</t>
  </si>
  <si>
    <t xml:space="preserve"> (פ/1315/23)</t>
  </si>
  <si>
    <t xml:space="preserve">הצעת חוק ביטוח בריאות ממלכתי (תיקון - החזר דמי נסיעה באמבולנס), התש"ף-2020</t>
  </si>
  <si>
    <t xml:space="preserve"> (פ/1314/23)</t>
  </si>
  <si>
    <t xml:space="preserve">הצעת חוק שירות המדינה (גמלאות) (תיקון - ביטול שלילת גמלאות מאלמנים שנישאו), התש"ף-2020</t>
  </si>
  <si>
    <t xml:space="preserve"> (פ/1313/23)</t>
  </si>
  <si>
    <t xml:space="preserve">הצעת חוק זכויות החולה (תיקון - הסדר חניה למאושפזים בבית חולים ולמבקריהם), התש"ף-2020</t>
  </si>
  <si>
    <t xml:space="preserve"> (פ/1312/23)</t>
  </si>
  <si>
    <t xml:space="preserve">הצעת חוק הביטוח הלאומי (תיקון - קצבת תלויים וקצבת אזרח ותיק), התש"ף-2020</t>
  </si>
  <si>
    <t xml:space="preserve"> (פ/1311/23)</t>
  </si>
  <si>
    <t xml:space="preserve">הצעת חוק הצבת מכשירי החייאה במקומות ציבוריים (תיקון - חובת הצבת מכשיר החייאה בבנייני מגורים גדולים), התש"ף-2020</t>
  </si>
  <si>
    <t xml:space="preserve"> (פ/1310/23)</t>
  </si>
  <si>
    <t xml:space="preserve">הצעת חוק ביטוח בריאות ממלכתי (תיקון - השתתפות בטיפולי שיניים, פה ולסת לנפגעי שיתוק מוחין), התש"ף-2020</t>
  </si>
  <si>
    <t xml:space="preserve"> (פ/1309/23)</t>
  </si>
  <si>
    <t xml:space="preserve">הצעת חוק הביטוח הלאומי (תיקון - ערעור על החלטת ועדה לעררים), התש"ף-2020</t>
  </si>
  <si>
    <t xml:space="preserve"> (פ/1308/23)</t>
  </si>
  <si>
    <t xml:space="preserve"> (פ/1307/23)</t>
  </si>
  <si>
    <t xml:space="preserve">הצעת חוק עבודת נשים (תיקון - הארכת תקופת הלידה וההורות להורי פג), התש"ף-2020</t>
  </si>
  <si>
    <t xml:space="preserve"> (פ/1306/23)</t>
  </si>
  <si>
    <t xml:space="preserve">הצעת חוק הביטוח הלאומי (תיקון - גמלה לשמירת היריון לאם שילדה פג), התש"ף-2020</t>
  </si>
  <si>
    <t xml:space="preserve"> (פ/1305/23)</t>
  </si>
  <si>
    <t xml:space="preserve"> (פ/1304/23)</t>
  </si>
  <si>
    <t xml:space="preserve"> (פ/1303/23)</t>
  </si>
  <si>
    <t xml:space="preserve">הצעת חוק יישוב סכסוכי עבודה (תיקון - ריכוז מידע על שביתות והשבתות), התש"ף-2020</t>
  </si>
  <si>
    <t xml:space="preserve"> (פ/1302/23)</t>
  </si>
  <si>
    <t xml:space="preserve">הצעת חוק הביטוח הלאומי (תיקון - קביעת דרגת נכות לנפגעי עבודה), התש"ף-2020</t>
  </si>
  <si>
    <t xml:space="preserve"> (פ/1301/23)</t>
  </si>
  <si>
    <t xml:space="preserve">הצעת חוק זכויות החולה (תיקון - מתן הסכמה לטיפול רפואי), התש"ף-2020</t>
  </si>
  <si>
    <t xml:space="preserve"> (פ/1300/23)</t>
  </si>
  <si>
    <t xml:space="preserve">הצעת חוק מעונות יום שיקומיים (תיקון - הקדמת גיל הזכאות), התש"ף-2020</t>
  </si>
  <si>
    <t xml:space="preserve"> (פ/1299/23)</t>
  </si>
  <si>
    <t xml:space="preserve"> (פ/1298/23)</t>
  </si>
  <si>
    <t xml:space="preserve">הצעת חוק הביטוח הלאומי (תיקון - שירותים מיוחדים לילד נכה), התש"ף-2020</t>
  </si>
  <si>
    <t xml:space="preserve"> (פ/1297/23)</t>
  </si>
  <si>
    <t xml:space="preserve">הצעת חוק הבטחת הכנסה (תיקון - הכנסה שלא תחושב), התש"ף-2020</t>
  </si>
  <si>
    <t xml:space="preserve"> (פ/1296/23)</t>
  </si>
  <si>
    <t xml:space="preserve">הצעת חוק הביטוח הלאומי (תיקון - מימון הסעת יולדת באמבולנס), התש"ף-2020</t>
  </si>
  <si>
    <t xml:space="preserve"> (פ/1295/23)</t>
  </si>
  <si>
    <t xml:space="preserve">הצעת חוק הביטוח הלאומי (תיקון - מימון סייעת לילדים שאינם יכולים לשהות במעון), התש"ף-2020</t>
  </si>
  <si>
    <t xml:space="preserve"> (פ/1294/23)</t>
  </si>
  <si>
    <t xml:space="preserve">הצעת חוק מעונות יום שיקומיים (תיקון - פעוטות עם צרכים רפואיים וחלופה ביתית), התש"ף-2020</t>
  </si>
  <si>
    <t xml:space="preserve"> (פ/1293/23)</t>
  </si>
  <si>
    <t xml:space="preserve"> (פ/1292/23)</t>
  </si>
  <si>
    <t xml:space="preserve">הצעת חוק סיוע בקידום תעסוקתי למשפחות של עובדים מעוטי הכנסה, התש"ף-2020</t>
  </si>
  <si>
    <t xml:space="preserve"> (פ/1291/23)</t>
  </si>
  <si>
    <t xml:space="preserve">הצעת חוק דמי מחלה (תיקון - איסור פיטורים בעת היעדרות בשל מחלת ילד), התש"ף-2020</t>
  </si>
  <si>
    <t xml:space="preserve"> (פ/1290/23)</t>
  </si>
  <si>
    <t xml:space="preserve">הצעת חוק זכויות ושירותים לילדים ובני נוער עם קשיים נפשיים, התש"ף-2020</t>
  </si>
  <si>
    <t xml:space="preserve"> (פ/1289/23)</t>
  </si>
  <si>
    <t xml:space="preserve"> (פ/1288/23)</t>
  </si>
  <si>
    <t xml:space="preserve">הצעת חוק העברת מידע בין רשויות, התש"ף-2020</t>
  </si>
  <si>
    <t xml:space="preserve"> (פ/1287/23)</t>
  </si>
  <si>
    <t xml:space="preserve">הצעת חוק לתיקון פקודת הרוקחים (הבטחת מלאי תרופתי), התש"ף-2020</t>
  </si>
  <si>
    <t xml:space="preserve"> (פ/1286/23)</t>
  </si>
  <si>
    <t xml:space="preserve">הצעת חוק הביטוח הלאומי (תיקון - הארכת המועד להגשת תביעה לגמלה והתקופה שבעדה תשולם), התש"ף-2020</t>
  </si>
  <si>
    <t xml:space="preserve"> (פ/1285/23)</t>
  </si>
  <si>
    <t xml:space="preserve">הצעת חוק הגנת השכר (תיקון - זכות בחוזה עבודה לעניין שכר דירה או הוצאות לינה), התש"ף-2020</t>
  </si>
  <si>
    <t xml:space="preserve"> (פ/1284/23)</t>
  </si>
  <si>
    <t xml:space="preserve">הצעת חוק יישוב סכסוכי עבודה (תיקון - בוררות חובה בשירותים חיוניים), התש"ף-2020</t>
  </si>
  <si>
    <t xml:space="preserve"> (פ/1283/23)</t>
  </si>
  <si>
    <t xml:space="preserve">הצעת חוק הביטוח הלאומי (תיקון - הארכת מועד להגשת תביעה לניידות עד חצי שנה לאחר גיל הפרישה), התש"ף-2020</t>
  </si>
  <si>
    <t xml:space="preserve"> (פ/1282/23)</t>
  </si>
  <si>
    <t xml:space="preserve">הצעת חוק הפיקוח על מעונות יום לפעוטות (תיקון - חובת החזקת ערכת עזרה ראשונה), התש"ף-2020</t>
  </si>
  <si>
    <t xml:space="preserve"> (פ/1281/23)</t>
  </si>
  <si>
    <t xml:space="preserve"> (פ/1280/23)</t>
  </si>
  <si>
    <t xml:space="preserve">הצעת חוק סיוע לחולי דגנת, התש"ף-2020</t>
  </si>
  <si>
    <t xml:space="preserve"> (פ/1279/23)</t>
  </si>
  <si>
    <t xml:space="preserve">הצעת חוק עבודת נשים (תיקון - זכאות להשתתפות בעלות מעון יום בתקופת הלידה וההורות), התש"ף-2020</t>
  </si>
  <si>
    <t xml:space="preserve"> (פ/1278/23)</t>
  </si>
  <si>
    <t xml:space="preserve">הצעת חוק ארוחה יומית לתלמיד (תיקון - הרחבת תחולת החוק), התש"ף-2020</t>
  </si>
  <si>
    <t xml:space="preserve"> (פ/1277/23)</t>
  </si>
  <si>
    <t xml:space="preserve">הצעת חוק ארוחת בוקר במוסדות חינוך, התש"ף-2020</t>
  </si>
  <si>
    <t xml:space="preserve"> (פ/1276/23)</t>
  </si>
  <si>
    <t xml:space="preserve">הצעת חוק צער בעלי חיים (הגנה על בעלי חיים) (תיקון - איסור משלוחים חיים לשחיטה), התש"ף-2020</t>
  </si>
  <si>
    <t xml:space="preserve"> (פ/1274/23)</t>
  </si>
  <si>
    <t xml:space="preserve">הצעת חוק לתיקון פקודת בריאות העם (הוספת מגנזיום למי השתייה), התש"ף-2020</t>
  </si>
  <si>
    <t xml:space="preserve"> (פ/1273/23)</t>
  </si>
  <si>
    <t xml:space="preserve">הצעת חוק רישוי עסקים (תיקון - מכירת יין בחנות גדולה), התש"ף-2020</t>
  </si>
  <si>
    <t xml:space="preserve"> (פ/1272/23)</t>
  </si>
  <si>
    <t xml:space="preserve">הצעת חוק רישוי עסקים (תיקון - חובת הספקת אמצעים לגילוי סם מסוכן), התש"ף-2020</t>
  </si>
  <si>
    <t xml:space="preserve"> (פ/1271/23)</t>
  </si>
  <si>
    <t xml:space="preserve">הצעת חוק החומרים המסוכנים (תיקון - פרטי התקשרות למרכז רעלים), התש"ף-2020</t>
  </si>
  <si>
    <t xml:space="preserve"> (פ/1270/23)</t>
  </si>
  <si>
    <t xml:space="preserve">הצעת חוק התכנון והבנייה (תיקון - גני ילדים ומעונות יום), התש"ף-2020</t>
  </si>
  <si>
    <t xml:space="preserve"> (פ/1269/23)</t>
  </si>
  <si>
    <t xml:space="preserve">הצעת חוק עיטור הפציעה הקרבית, התש"ף-2020</t>
  </si>
  <si>
    <t xml:space="preserve"> (פ/1268/23)</t>
  </si>
  <si>
    <t xml:space="preserve"> (פ/170/23)</t>
  </si>
  <si>
    <t xml:space="preserve">17.06.2020</t>
  </si>
  <si>
    <t xml:space="preserve">הצעת חוק חינוך ממלכתי (תיקון - שלילת השתתפות בתקציב עקב הפליה), התש"ף-2020</t>
  </si>
  <si>
    <t xml:space="preserve"> (פ/154/23)</t>
  </si>
  <si>
    <t xml:space="preserve">הצעת חוק הפקדות וזכויות סוציאליות לעצמאים (תיקוני חקיקה), התש"ף-2020</t>
  </si>
  <si>
    <t xml:space="preserve"> (פ/45/23)</t>
  </si>
  <si>
    <t xml:space="preserve"> (פ/12/23)</t>
  </si>
  <si>
    <t xml:space="preserve">חוק לתיקון ולקיום תוקפן של תקנות שעת חירום (נגיף הקורונה החדש - אכיפה), התש"ף-2020</t>
  </si>
  <si>
    <t xml:space="preserve"> (מ/1321)</t>
  </si>
  <si>
    <t xml:space="preserve">16.06.2020</t>
  </si>
  <si>
    <t xml:space="preserve">החוק מאריך את תוקפן של תקנות שעת החירום (נגיף הקורונה החדש – אכיפה), התש"ף–2020 (להלן –תקנות שעת החירום), בשינויים שקבעה הוועדה, וזאת לתקופה של 45 ימים מיום הפקיעה, כלומר עד ה-30/07/2020, תוך מתן אופציה להארכה נוספת של 45 ימים, על פי בקשת הממשלה, ובאישור ועדת החוקה חוק ומשפט ומליאת הכנסת. תקנות שעת החירום קובעות את התשתית המשפטית ליצירת הסדר האכיפה של הוראות שונות הנוגעות להתמודדות עם נגיף הקורונה (כגון חובת בידוד, עטיית מסיכה, והגבלות על פעילות המסחר  והבילוי), באמצעות קביעת עבירות פליליות ומינהליות – כלומר הטלת קנסות על ידי שוטר או פקח. כחלק מהשינויים שנקבעו על ידי הוועדה בוטלה סמכותם של שוטרים ופקחים להיכנס לבית מגורים ללא צו של בית משפט, הוחלט שלא לאשר עונשי מאסר על העבירות הקבועות בחוק, הובהר שבעבירה שבמסגרתה שוטר רשאי להורות על התפזרות של התקהלות לא יהיה בכך כדי לאפשר פגיעה בהפגנה, וכן הוחלט שרק שוטר ומפקח עובד המדינה יוכלו להטיל קנס מינהלי על הפרת חובת בידוד.  </t>
  </si>
  <si>
    <t xml:space="preserve">חוק לתיקון פקודת העיריות (הוראת שעה) (תיקון מס' 5), התש"ף-2020 </t>
  </si>
  <si>
    <t xml:space="preserve"> (מ/1315)</t>
  </si>
  <si>
    <t xml:space="preserve">הוארכה הוראת השעה המאפשרת לרשויות מקומיות לפעול ולהסדיר בתחומן עניינים של שמירה, אבטחה וסדר ציבורי וכן הטלת אגרת או היטל שמירה בגין שירותים אלה, עד ליום 31 בדצמבר 2021.</t>
  </si>
  <si>
    <t xml:space="preserve">חוק להסדר התדיינויות בסכסוכי משפחה (הוראת שעה) (תיקון מס' 2), התש"ף-2020 </t>
  </si>
  <si>
    <t xml:space="preserve">התיקון מאריך את החוק להסדר התדיינויות בסכסוכי משפחה שנקבע כהוראת שעה לשלוש שנים, וקובע כעת את הוראת השעה לתקופת זמן של חמש שנים. החוק קובע כי על צדדים המבקשים להגיש תובענה בעניין של סכסוך משפחתי לבית משפט לענייני משפחה או לבית דין דתי, להקדים ולהגיש תחילה לערכאה כאמור בקשה ליישוב סכסוך, ולא כתב תביעה מפורט. לאחר הגשת הבקשה, מוזמנים הצדדים לפגישת מידע, היכרות ותיאום ביחידת הסיוע שליד הערכאה השיפוטית (להלן – פגישת מהו"ת), ובה הם מקבלים מידע על ההשלכות המשפטיות, הרגשיות, החברתיות והכלכליות של הגירושין עליהם ועל ילדיהם, וכן מידע על הדרכים שיש בהן כדי לסייע בניסיון ליישב את הסכסוך ביניהם בהסכמה ; זאת באמצעות גישור, גירושין בשיתוף פעולה או כל דרך אחרת. נוסף על כך, מסייעת יחידת הסיוע לצדדים להגיע להסדרים זמניים בהסכמה. חוק זה הוא מיזוג של הצעת חוק להסדר התדיינויות בסכסוכי משפחה (הוראת שעה) (תיקון מס' 2), התש"פ–2020, מטעם הממשלה, ושל הצעת חוק להסדר התדיינויות בסכסוכי משפחה (הוראת שעה) (תיקון – קביעה כהוראת קבע), התש"ף–2020 מטעם חברת הכנסת מרב מיכאלי. </t>
  </si>
  <si>
    <t xml:space="preserve">חוק ההוצאה לפועל (תיקון מס' 65), התש"ף-2020 </t>
  </si>
  <si>
    <t xml:space="preserve"> (מ/1312)</t>
  </si>
  <si>
    <t xml:space="preserve">התיקון לחוק מעגן כהוראת קבע את פרק א'2 לחוק ההוצאה לפועל, התשכ"ז–1967, שנקבע כהוראת שעה שפגה בתאריך 16/06/2020. הפרק מסדיר הקמת "מסלול מזונות", אשר במסגרתו תיכנס ההוצאה לפועל בנעלי הזוכה ותפעל בעבורו לביצוע פסקי דין למזונות מול החייב. בעוד תיקי המוסד לביטוח לאומי לפי חוק המזונות (הבטחת תשלום) יפתחו תמיד במסלול המזונות, זוכה פרטית רשאית לבחור בין מסלול המזונות למסלול הרגיל. מערכת ההוצאה לפועל רשאית לנקוט בכל ההליכים המפורטים בחוק, לפי כללים אשר יבטיחו מדיניות אחידה, יעילה ומאוזנת שאינה פוגעת בחייב יתר על המידה, בעיקר לעניין מאסר, ועדיפות לטיפול בתיקי הזוכות הפרטיות על פני תיקי המוסד. הסדר זה הוכח כיעיל הן לזוכה והן לחייב ולכן הוחלט לעגן אותו כהוראת קבע. חוק זה התקבל ממיזוג של הצעת חוק ההוצאה לפועל (תיקון מס' 65), התש"ף–2020, מטעם הממשלה ושל הצעת חוק ההוצאה לפועל (תיקון – הוצאה לפועל במסלול מזונות), התש"ף–2020, מטעם חברי הכנסת משה ארבל וינון אזולאי. </t>
  </si>
  <si>
    <t xml:space="preserve">הצעת חוק להסדר התדיינויות בסכסוכי משפחה (הוראת שעה) (תיקון - קביעה כהוראת קבע), התש"ף-2020</t>
  </si>
  <si>
    <t xml:space="preserve"> (פ/1202/23)</t>
  </si>
  <si>
    <t xml:space="preserve">חוק חומרי נפץ (תיקון מס' 4 - הוראת שעה) (תיקון), התש"ף-2020 </t>
  </si>
  <si>
    <t xml:space="preserve"> (מ/1314)</t>
  </si>
  <si>
    <t xml:space="preserve">חוק חומרי נפץ (תיקון מס' 4 – הוראת שעה) (תיקון), התש"ף-2020 עבר בקריאה השנייה והשלישית בט"ז בסיוון התש"ף (8 ביוני 2020). החוק האריך עד ה-31 בדצמבר 2020 את תוקפה של הוראת שעה שקובעת כי הוראות חוק חומרי נפץ, התשי"ד-1954 בעניין מפעלי מערכת הביטחון יחולו גם על מפעלים שהופרטו. משמעות הדבר היא כי המפעלים המופרטים יהיו פטורים מהוראות חוק חומרי נפץ, אך יחולו עליהם הוראות בטיחות שקבע שר הביטחון.</t>
  </si>
  <si>
    <t xml:space="preserve">הצעת חוק ההוצאה לפועל (תיקון - הוצאה לפועל במסלול מזונות), התש"ף-2020</t>
  </si>
  <si>
    <t xml:space="preserve"> (פ/1033/23)</t>
  </si>
  <si>
    <t xml:space="preserve">חוק התכנון והבנייה (תיקון מס' 101) (תיקון מס' 5), התש"ף-2020 </t>
  </si>
  <si>
    <t xml:space="preserve"> (מ/1323)</t>
  </si>
  <si>
    <t xml:space="preserve">הוארכה תקופת ההיערכות לפיה מגיש בקשה להיתר רשאי לבחור ולהודיע לרשות הרישוי  כי לא תחול לגביו חובת בקרה במכון בקרה, עד ליום 16 ביוני 2021. בנוסף, נקבעה חובת דיווח לוועדה על יישום ההוראות ביחס למכוני הבקרה, יישום המתווה שנקבע לעניין תקופת ההיערכות והפעולות שננקטו בתקופת ההיערכות כדי לעודד מגישי בקשה להיתר לפנות אל מכוני הבקרה.</t>
  </si>
  <si>
    <t xml:space="preserve">חוק מענק לעידוד תעסוקה (הוראת שעה – נגיף הקורונה החדש), התש"ף-2020</t>
  </si>
  <si>
    <t xml:space="preserve"> (מ/1311)</t>
  </si>
  <si>
    <t xml:space="preserve">15.06.2020</t>
  </si>
  <si>
    <t xml:space="preserve">חוק זה מטרתו להעניק תמריץ כספי למעסיקים אשר יקלטו או יחזירו לעבודה עובדים שפוטרו או הוצאו לחל"ת כתוצאה מהתפרצות נגיף הקורונה או בסמוך לתחילתו ולא השתלבו מחדש בשוק העבודה. מענק זה יתמרץ את המעסיקים לקלוט ולהעסיק את העובדים בחודשים הקרובים. ועדת הכספים קיימה דיונים רבים לאורך הליך חקיקת חוק זה ובהם תיקנה והוסיפה מספר תיקונים ובהם, הרחבת ההגדרה "עובד מזכה" כך שתובא בחשבון גם תקופת הלידה וההורות של עובד בנוסף לעובד אשר פוטר או הוצא לחופשה ללא תשלום בזמן משבר הקורונה. כמו כן, נקבע כי קרוב משפחה של בעל שליטה בתאגיד או מנהל תאגיד שעבד עד ליום 29/2/2020 יהיה זכאי למענק. בדומה לכך נקבע בחוק כי גם  חברים באגודות שיתופיות יהיו זכאים למענק. כמו כן, נקבע בחוק לוחות זמנים לקבלת החלטה בבקשה למענק, נקבעו 21 ימים לקביעת הזכאות. עוד נקבע בחוק, כי במקום בו קיים תשלום יתר, המעסיק יחזיר בתוספת הצמדה בלבד ללא ריבית.  כמו כן, נקבע כי תקופת שמירת המידע של המעסיקים והעובדים המבקשים מענק לפי חוק זה, לפרק הזמן המזערי הדרוש ולכל היותר לתקופה שלא תעלה על שנה, בתום תקופה זו שירות התעסוקה ימחק את המידע אלא אם כן המידע דרוש לצורך הליך משפטי. לשם פיקוח על יישומו של חוק זה, הוסף סעיף דיווח הקובע כי שר האוצר או מי מטעמו ידווח לוועדת הכספים של הכנסת בתוך 75 ימים ובתוך 120 ימים מיום תחילתו של חוק זה על ביצוע חוק זה, ובכלל זה נתונים לגבי מספר הבקשות שהוגשו, מספר המענקים ששולמו, היקף המענקים וכל נתון אחר הקשור בהם. כן, נקבע סעיף שמבטיח מענק נוסף למעסיקים בסכום של 500 מיליון ש"ח כפי שנקבע בתיקון לחוק-יסוד: משק המדינה (תיקון מס' 10 והוראת שעה לשנת הכספים 2020) ובטרם הבאת הצעת החוק או ההסדר לגבי סכום זה, שר האוצר יציג בפני ועדת הכספים את הצעתו שתובא לממשלה והוא ישמע את עמדת ועדת הכספים בנושא. הצעת החוק או ההסדר לעניין זה יובא לאישור ועדת הכספים של הכנסת בתוך חמישה ימים מיום אישורו בממשלה. </t>
  </si>
  <si>
    <t xml:space="preserve">חוק לתיקון ולהארכת תוקפן של תקנות שעת חירום (נגיף הקורונה החדש - דיונים בהשתתפות עצורים, אסירים וכלואים), התש"ף-2020</t>
  </si>
  <si>
    <t xml:space="preserve">החוק מעגן את עיקרי ההסדר שנקבע בתקנות שעת חירום עקב התפרצות נגיף הקורונה, שהסדירו את השתתפות העצורים והאסירים בבתי המשפט ובבתי הדין. בכלל זה נקבע כי בכל יום יובאו לדיונים בבתי במשפט המספר המרבי של עצורים ואסירים שניתן להביא, תוך עמידה בהמלצות משרד הבריאות שניתנו לשירות בתי הסוהר ולהנהלת בתי המשפט בעניין ההתמודדות עם נגיף הקורונה. ואולם, אם לא ניתן להביא עצור או אסיר לדיון בבית המשפט בגלל ההגבלות האמורות, יתקיים הדיון בהשתתפותו של העצור או האסיר באמצעות היוועדות חזותית, או בתמונה חזותית או במקרים חריגים באמצעות קול. כמו כן, נקבע כי מיום ה-16/06/2020 כל הדיונים הראשוניים במעצר ימים יתקיימו בנוכחות הפיזית של העצור. בנוסף, הוספו סעיפי דיווח לוועדה מכלל הגורמים הרלוונטיים מדי שבוע.  </t>
  </si>
  <si>
    <t xml:space="preserve">חוק הכנסת (תיקון מס' 47), התש"ף-2020</t>
  </si>
  <si>
    <t xml:space="preserve"> (פ/869/23)</t>
  </si>
  <si>
    <t xml:space="preserve"> (כ/841)</t>
  </si>
  <si>
    <t xml:space="preserve">תיקון זה לחוק הכנסת משלים את התיקון לחוק-יסוד: הכנסת (תיקון מס' 49) שעניינו בהסדרת הפסקת חברות בכנסת של חבר הכנסת המכהן כשר או כסגן שר ("החוק הנורווגי"), ובראש ובראשונה בעריכת התיקונים הנדרשים מכך שבמסגרת ההסדר יש סגני שרים שאינם מכהנים כחברי כנסת. בנוסף, התיקון, עיגן בחוק הכנסת את סעיף 10 לתקנון הכנסת, העוסק בקביעת ההשתייכות הסיעתית של חבר כנסת שהתחיל לכהן בכנסת לאחר שסיעתו התפלגה, תוך שקבע הסדר מיוחד לעניין מועד מסירת ההודעה לפי הסדר זה – כאשר חבר הכנסת החדש מתחיל לכהן במקומו של חבר כנסת שהפסיק את חברותו בכנסת בשל כהונתו כשר או כסגן שר.  כמו כן, התיקון קבע כי החלטות על תשלומים לשר או סגן שר שהוא חבר כנסת יחולו גם על שר או סגן שר שאינו חבר כנסת, החיל על סגן שר את הכללים שחלו על שר לפי חוק חסינות חברי הכנסת, זכויותיהם וחובותיהם, התשי"א–1951 וכן החיל על שר או סגן שר, שאינו חבר כנסת, את הוראות סעיף 27 לחוק משכן הכנסת, רחבתו ומשמר הכנסת, התשכ"ח–1968. </t>
  </si>
  <si>
    <t xml:space="preserve">חוק-יסוד: הכנסת (תיקון מס' 49)</t>
  </si>
  <si>
    <t xml:space="preserve"> (פ/868/23)</t>
  </si>
  <si>
    <t xml:space="preserve">התיקון הוסיף לחוק-יסוד: הכנסת הסדר שיאפשר לחברי כנסת שהתמנו לכהונת שר או לכהונת סגן שר להפסיק את חברותם בכנסת לתקופה שבה הם מכהנים בתפקיד זה, ולחזור לכהונתם בכנסת עם תום כהונתם ברשות המבצעת. לפי ההסדר, הידוע בכינוי "החוק הנורווגי", מספר השרים וסגני השרים היכולים להתפטר מהכנסת ולחזור אליה נגזר מגודל הסיעה וממספר חברי הכנסת ה"פנויים" – אלה הנמנים עם הסיעה שאינם שרים או סגני שרים.  על פי ההסדר, כדי לשמור על עצמאותו של חבר הכנסת החדש שנכנס לכנסת, השר (או סגן השר) שהתפטר מהכנסת רשאי לחזור לכנסת רק במקרים מוגבלים – אם הוא חדל לכהן כשר או סגן שר, או אם התמנה לראש הממשלה (כולל ממלא מקום וראש ממשלה בפועל), ולא על יסוד החלטה חד-צדדית מצדו. כמו כן נקבע כי שרים או סגני שרים, החברים באותה הסיעה, יכולים לבצע ביניהם החלפה כך שחברותו של אחד מהם כחבר כנסת, שנפסקה לפי ההסדר, תתחדש וחברותו של השני תיפסק במקומו.  </t>
  </si>
  <si>
    <t xml:space="preserve">חוק לייעול האכיפה והפיקוח העירוניים ברשויות המקומיות (הוראת שעה) (תיקון מס' 5), התש"ף-2020 </t>
  </si>
  <si>
    <t xml:space="preserve"> (מ/1310)</t>
  </si>
  <si>
    <t xml:space="preserve">החוק לייעול האכיפה והפיקוח העירוניים ברשויות המקומיות מסמיך פקחים עירוניים לאכיפת חוקי העזר בתחומי הרשות המקומית. בנוסף, החוק הקים את מערך השיטור העירוני, במסגרתו פועלים פקחים של הרשויות המקומיות בסיוע למשטרת ישראל בפעולות למניעת אלימות. לשם ביצוע תפקידם, מוענקים לפקחי השיטור העירוני סמכויות המאפשרות להם, במקרה של מעשה אלימות, לדרוש מאדם להזדהות, ואף לחפש עליו נשק ולעכבו עד לבואו של שוטר, תוך שימוש בכוח סביר. החוק נחקק כהוראת שעה בשנת 2011, והוא חל כיום בכמה עשרות רשויות מקומיות. תוקפה של הוראת השעה הוארך שלוש פעמים, והחוק מאריך אותה בפעם הרביעית, עד לתאריך כ׳ בתמוז התשפ״א (30 ביוני 2021).</t>
  </si>
  <si>
    <t xml:space="preserve">הצעת חוק הביטוח הלאומי (תיקון - שיפור תנאי ביטוח אבטלה לצעירים) (הוראת שעה), התש"ף-2020</t>
  </si>
  <si>
    <t xml:space="preserve"> (פ/1266/23)</t>
  </si>
  <si>
    <t xml:space="preserve"> (פ/1265/23)</t>
  </si>
  <si>
    <t xml:space="preserve"> (פ/1264/23)</t>
  </si>
  <si>
    <t xml:space="preserve">הצעת חוק העמותות (תיקון - דין אגודה שלא נרשמה), התש"ף-2020</t>
  </si>
  <si>
    <t xml:space="preserve"> (פ/1263/23)</t>
  </si>
  <si>
    <t xml:space="preserve"> (פ/1261/23)</t>
  </si>
  <si>
    <t xml:space="preserve">הצעת חוק לביטול ההתיישנות בעבירות מין (תיקוני חקיקה), התש"ף-2020</t>
  </si>
  <si>
    <t xml:space="preserve"> (פ/1260/23)</t>
  </si>
  <si>
    <t xml:space="preserve">הצעת חוק התכנון והבנייה (תיקון - התקנת מנגנון שבת למשאבות מים), התש"ף-2020</t>
  </si>
  <si>
    <t xml:space="preserve"> (פ/1258/23)</t>
  </si>
  <si>
    <t xml:space="preserve">הצעת חוק איסור הונאה בכשרות (תיקון - כללים אחידים למתן תעודת הכשר), התש"ף-2020</t>
  </si>
  <si>
    <t xml:space="preserve"> (פ/1257/23)</t>
  </si>
  <si>
    <t xml:space="preserve">הצעת חוק התכנון והבנייה (תיקון - איסור התניית היתר בהתקנת מקומות חניה ובניצול חלק קיים משטח דירה), התש"ף-2020</t>
  </si>
  <si>
    <t xml:space="preserve"> (פ/1256/23)</t>
  </si>
  <si>
    <t xml:space="preserve">הצעת חוק התכנון והבנייה (תיקון - החלטה מקדמית לפי תכנית החיזוק), התש"ף-2020</t>
  </si>
  <si>
    <t xml:space="preserve"> (פ/1255/23)</t>
  </si>
  <si>
    <t xml:space="preserve">הצעת חוק התכנון והבנייה (תיקון מס' 116) (תיקון - דחיית תחילתו של החוק), התש"ף-2020 </t>
  </si>
  <si>
    <t xml:space="preserve"> (פ/1254/23)</t>
  </si>
  <si>
    <t xml:space="preserve">הצעת חוק עבודת נשים (תיקון - תקופת לידה והורות לנשים בעבודה פיזית קשה), התש"ף-2020</t>
  </si>
  <si>
    <t xml:space="preserve"> (פ/1253/23)</t>
  </si>
  <si>
    <t xml:space="preserve">הצעת חוק הביטוח הלאומי (תיקון - חובת נוכחות מתורגמן בדיוני ועדה רפואית), התש"ף-2020</t>
  </si>
  <si>
    <t xml:space="preserve"> (פ/1252/23)</t>
  </si>
  <si>
    <t xml:space="preserve">הצעת חוק הביטוח הלאומי (תיקון - עדכון הסכום הבסיסי לפי שכר המינימום לעניין קצבת שירותים מיוחדים), התש"ף-2020</t>
  </si>
  <si>
    <t xml:space="preserve"> (פ/1251/23)</t>
  </si>
  <si>
    <t xml:space="preserve">הצעת חוק הגנה מפני פיטורים (נגיף הקורונה החדש) (הוראת שעה), התש"ף-2020</t>
  </si>
  <si>
    <t xml:space="preserve"> (פ/1249/23)</t>
  </si>
  <si>
    <t xml:space="preserve">הצעת חוק דמי מחלה (היעדרות בשל מחלת ילד) (תיקון - התליית מספר ימי ההיעדרות במספר ילדי העובד), התש"ף-2020</t>
  </si>
  <si>
    <t xml:space="preserve"> (פ/1248/23)</t>
  </si>
  <si>
    <t xml:space="preserve">הצעת חוק הביטוח הלאומי (תיקון - עדכון קצבת אזרח ותיק בהתאם לשכר המינימום), התש"ף-2020</t>
  </si>
  <si>
    <t xml:space="preserve"> (פ/1247/23)</t>
  </si>
  <si>
    <t xml:space="preserve">הצעת חוק לתיקון פקודת בתי הסוהר (מס' 48) (ביטול החוק), התש"ף-2020</t>
  </si>
  <si>
    <t xml:space="preserve"> (פ/1245/23)</t>
  </si>
  <si>
    <t xml:space="preserve"> (פ/1244/23)</t>
  </si>
  <si>
    <t xml:space="preserve">הצעת חוק לתיקון פקודת בתי הסוהר (מות אסיר), התש"ף-2020</t>
  </si>
  <si>
    <t xml:space="preserve"> (פ/1243/23)</t>
  </si>
  <si>
    <t xml:space="preserve">הצעת חוק המטה לביטחון לאומי (תיקון - פיקוח הכנסת על מינוי ראש המטה לביטחון לאומי), התש"ף-2020</t>
  </si>
  <si>
    <t xml:space="preserve"> (פ/1242/23)</t>
  </si>
  <si>
    <t xml:space="preserve">הצעת חוק עבודת נשים (תיקון - תקופת לידה והורות להורה יחיד), התש"ף-2020</t>
  </si>
  <si>
    <t xml:space="preserve"> (פ/1241/23)</t>
  </si>
  <si>
    <t xml:space="preserve">הצעת חוק הסכמים קיבוציים (תיקון - יציגות ארגון עובדים והגנה על הפרט), התש"ף-2020</t>
  </si>
  <si>
    <t xml:space="preserve"> (פ/1240/23)</t>
  </si>
  <si>
    <t xml:space="preserve">הצעת חוק הביטוח הלאומי (תיקון - התאמת קצבת הסיעוד להעלאת שכר המינימום), התש"ף-2020</t>
  </si>
  <si>
    <t xml:space="preserve"> (פ/1239/23)</t>
  </si>
  <si>
    <t xml:space="preserve">הצעת חוק הפסקת שיטת ההעסקה הקבלנית, התש"ף-2020</t>
  </si>
  <si>
    <t xml:space="preserve"> (פ/1238/23)</t>
  </si>
  <si>
    <t xml:space="preserve">הצעת חוק הביטוח הלאומי (תיקון - ביטול דחיית תשלום דמי אבטלה בגין חמשת ימי האבטלה הראשונים), התש"ף-2020</t>
  </si>
  <si>
    <t xml:space="preserve"> (פ/1237/23)</t>
  </si>
  <si>
    <t xml:space="preserve">הצעת חוק התגמולים לנפגעי פעולות איבה (תיקון מס' 30) (תיקון - הוראות לעניין מענק ליתום משני הוריו), התש"ף-2020</t>
  </si>
  <si>
    <t xml:space="preserve"> (פ/1236/23)</t>
  </si>
  <si>
    <t xml:space="preserve"> (פ/1235/23)</t>
  </si>
  <si>
    <t xml:space="preserve">הצעת חוק הביטוח הלאומי (תיקון - זכאות לגמלת סיעוד להורה של מי שעלה לפי חוק השבות), התש"ף-2020</t>
  </si>
  <si>
    <t xml:space="preserve"> (פ/1234/23)</t>
  </si>
  <si>
    <t xml:space="preserve"> (פ/1233/23)</t>
  </si>
  <si>
    <t xml:space="preserve">הצעת חוק הביטוח לאומי (תיקון – ביטוח זכויות עצמאי שעיקר הכנסתו מעסק שמצוי בפשיטת רגל או בפירוק) (הוראת שעה), התש"ף–2020</t>
  </si>
  <si>
    <t xml:space="preserve"> (פ/1232/23)</t>
  </si>
  <si>
    <t xml:space="preserve">הצעת חוק שוויון ההזדמנויות בעבודה (תיקון - איסור הפליה על רקע זהות מגדרית), התש"ף-2020</t>
  </si>
  <si>
    <t xml:space="preserve"> (פ/1231/23)</t>
  </si>
  <si>
    <t xml:space="preserve">הצעת חוק-יסוד: הממשלה (תיקון - הפסקת כהונת שר ורציפות הממשלה)</t>
  </si>
  <si>
    <t xml:space="preserve"> (פ/1230/23)</t>
  </si>
  <si>
    <t xml:space="preserve">הצעת חוק נתוני אשראי (הוראות מיוחדות - נגיף הקורונה החדש) (הוראת שעה), התש"ף-2020</t>
  </si>
  <si>
    <t xml:space="preserve"> (פ/1229/23)</t>
  </si>
  <si>
    <t xml:space="preserve">הצעת חוק איסור ניתוק שירותי חשמל ומים למוסדות חינוך (תיקוני חקיקה), התש"ף-2020</t>
  </si>
  <si>
    <t xml:space="preserve"> (פ/1226/23)</t>
  </si>
  <si>
    <t xml:space="preserve">הצעת חוק איסור הפליה במוצרים, בשירותים ובכניסה למקומות בידור ולמקומות ציבוריים (תיקון - מניעת פגיעה באמונה דתית), התש"ף-2020</t>
  </si>
  <si>
    <t xml:space="preserve"> (פ/1225/23)</t>
  </si>
  <si>
    <t xml:space="preserve">הצעת חוק להסדרת הטיפול באריזות (תיקון - החלת החוק על מכלי משקה גדולים), התש"ף-2020</t>
  </si>
  <si>
    <t xml:space="preserve"> (פ/1224/23)</t>
  </si>
  <si>
    <t xml:space="preserve">הצעת חוק הגנת הפרטיות (תיקון - דיווח על פריצה למאגר מידע), התש"ף-2020</t>
  </si>
  <si>
    <t xml:space="preserve"> (פ/1222/23)</t>
  </si>
  <si>
    <t xml:space="preserve">הצעת חוק-יסוד: הממשלה (תיקון - בחירות מוקדמות באין ממשלה)</t>
  </si>
  <si>
    <t xml:space="preserve"> (פ/1221/23)</t>
  </si>
  <si>
    <t xml:space="preserve">הצעת חוק הגבלת תקופת עסקה בעניין הגרלות או הימורים, התש"ף-2020</t>
  </si>
  <si>
    <t xml:space="preserve"> (פ/1220/23)</t>
  </si>
  <si>
    <t xml:space="preserve">הצעת חוק הבחירות לכנסת (תיקון - ביטול אחוז החסימה ותיקון הסכמי עודפים), התש"ף-2020</t>
  </si>
  <si>
    <t xml:space="preserve"> (פ/1218/23)</t>
  </si>
  <si>
    <t xml:space="preserve">הצעת חוק לתיקון פקודת הראיות (התייחסות איש צוות רפואי שלא תשמש ראיה), התש"ף-2020</t>
  </si>
  <si>
    <t xml:space="preserve"> (פ/1217/23)</t>
  </si>
  <si>
    <t xml:space="preserve">הצעת חוק העונשין (תיקון - חלופת מאסר לנשים הרות ולאמהות), התש"ף-2020</t>
  </si>
  <si>
    <t xml:space="preserve"> (פ/1216/23)</t>
  </si>
  <si>
    <t xml:space="preserve">הצעת חוק סדר הדין הפלילי (תיקון - ביטול פסק דין שניתן בהיעדרו של הנאשם), התש"ף-2020</t>
  </si>
  <si>
    <t xml:space="preserve"> (פ/1215/23)</t>
  </si>
  <si>
    <t xml:space="preserve">הצעת חוק העונשין (תיקון - הסתה לגזענות), התש"ף-2020</t>
  </si>
  <si>
    <t xml:space="preserve"> (פ/1214/23)</t>
  </si>
  <si>
    <t xml:space="preserve">הצעת חוק ביטול קנסות שהוטלו בתקופת התפרצות נגיף קורונה החדש, התש"ף-2020</t>
  </si>
  <si>
    <t xml:space="preserve"> (פ/1213/23)</t>
  </si>
  <si>
    <t xml:space="preserve">הצעת חוק להסדרת ההימורים החוקיים בישראל, התש"ף-2020</t>
  </si>
  <si>
    <t xml:space="preserve"> (פ/1212/23)</t>
  </si>
  <si>
    <t xml:space="preserve"> (פ/1211/23)</t>
  </si>
  <si>
    <t xml:space="preserve">הצעת חוק העונשין (תיקון - חלופת מאסר לנשים הרות ואמהות), התש"ף-2020</t>
  </si>
  <si>
    <t xml:space="preserve"> (פ/1210/23)</t>
  </si>
  <si>
    <t xml:space="preserve">הצעת חוק העונשין (תיקון - הגדרת גזענות), התש"ף-2020</t>
  </si>
  <si>
    <t xml:space="preserve"> (פ/1209/23)</t>
  </si>
  <si>
    <t xml:space="preserve"> (פ/1208/23)</t>
  </si>
  <si>
    <t xml:space="preserve">הצעת חוק סמכות ואחריות הורית, התש"ף-2020</t>
  </si>
  <si>
    <t xml:space="preserve"> (פ/1207/23)</t>
  </si>
  <si>
    <t xml:space="preserve"> (פ/1206/23)</t>
  </si>
  <si>
    <t xml:space="preserve">חוק סדר הדין הפלילי (סמכויות אכיפה - מעצרים) (הוראת שעה - נגיף הקורונה החדש) (שיקול חיוניות המעצר), התש"ף-2020</t>
  </si>
  <si>
    <t xml:space="preserve">08.06.2020</t>
  </si>
  <si>
    <t xml:space="preserve">החוק תיקן, כהוראת שעה למשך תקופת תוקפן של תקנות שעת חירום (דיוני מעצרים), התש"ף–2020, את חוק סדר הדין הפלילי (סמכויות אכיפה – מעצרים), התשנ"ו–1996 כך שבבואו לצוות על מעצרו של אדם לפני הגשת כתב אישום יהיה על השופט לשקול גם את חיוניות המעצר, בין השאר בהתחשב בסיכון להידבקות העצור בנגיף הקורונה בעת שהותו במעצר, במצב הכליאה באותה עת, ואם הדיון בעניינו נעשה בהשתתפותו באמצעים טכנולוגיים גם בפגיעה הנובעת מקיום הדיון שלא בנוכחותו.</t>
  </si>
  <si>
    <t xml:space="preserve">הצעת חוק לתיקון פקודת העיריות (הרשאת שימוש במקרקעין למוסד ציבורי), התש"ף-2020</t>
  </si>
  <si>
    <t xml:space="preserve"> (פ/1205/23)</t>
  </si>
  <si>
    <t xml:space="preserve">הצעת חוק שכר נושאי משרה ברשויות השלטון, התש"ף-2020</t>
  </si>
  <si>
    <t xml:space="preserve"> (פ/1204/23)</t>
  </si>
  <si>
    <t xml:space="preserve">הצעת חוק-יסוד: שכר נושאי משרה ברשויות השלטון (תיקוני חקיקה) </t>
  </si>
  <si>
    <t xml:space="preserve"> (פ/1203/23)</t>
  </si>
  <si>
    <t xml:space="preserve"> (פ/1199/23)</t>
  </si>
  <si>
    <t xml:space="preserve">הצעת חוק תקופת צינון לבכירים בשירות הציבורי (תיקוני חקיקה), התש"ף-2020</t>
  </si>
  <si>
    <t xml:space="preserve"> (פ/1197/23)</t>
  </si>
  <si>
    <t xml:space="preserve">הצעת חוק פתיחת קבר של קטין יוצא תימן, המזרח או הבלקן לשם זיהוי ועריכת בדיקה גנטית לקשר משפחה (הוראת שעה) (תיקון - הארכת תוקף הוראת השעה ואישור בקשה מטעמים מיוחדים), התש"ף-2020</t>
  </si>
  <si>
    <t xml:space="preserve"> (פ/1196/23)</t>
  </si>
  <si>
    <t xml:space="preserve">הצעת חוק ביטוח בריאות ממלכתי (תיקון - העברת תיק רפואי במעבר בין קופות חולים), התש"ף-2020</t>
  </si>
  <si>
    <t xml:space="preserve"> (פ/1195/23)</t>
  </si>
  <si>
    <t xml:space="preserve">הצעת חוק הביטוח הלאומי (תיקון - חובת יידוע מבוטחים), התש"ף-2020</t>
  </si>
  <si>
    <t xml:space="preserve"> (פ/1194/23)</t>
  </si>
  <si>
    <t xml:space="preserve">הצעת חוק הביטוח הלאומי (תיקון - הכפלת קצבת נכות בהגעה לגיל הזכאות לקצבת זקנה), התש"ף-2020</t>
  </si>
  <si>
    <t xml:space="preserve"> (פ/1193/23)</t>
  </si>
  <si>
    <t xml:space="preserve">הצעת חוק לתיקון פקודת בריאות העם (מדיניות חיסונים לאומית ותמריצים להתחסנות), התש"ף-2020</t>
  </si>
  <si>
    <t xml:space="preserve"> (פ/1192/23)</t>
  </si>
  <si>
    <t xml:space="preserve">הצעת חוק הביטוח הלאומי (תיקון - זכאות לדמי אבטלה מגיל שמונה עשרה וחצי), התש"ף-2020</t>
  </si>
  <si>
    <t xml:space="preserve"> (פ/1191/23)</t>
  </si>
  <si>
    <t xml:space="preserve">הצעת חוק יסודות התקציב (תיקון - ועדת ערר לתמיכה במוסד ציבור), התש"ף-2020</t>
  </si>
  <si>
    <t xml:space="preserve"> (פ/1190/23)</t>
  </si>
  <si>
    <t xml:space="preserve">הצעת חוק לתיקון פקודת התעבורה (סמכות לאכיפת עבירות חניה בידי רשויות מקומיות באמצעות מצלמות וסימון אזורי האכיפה בתמרור), התש"ף-2020</t>
  </si>
  <si>
    <t xml:space="preserve"> (פ/1189/23)</t>
  </si>
  <si>
    <t xml:space="preserve">הצעת חוק לתיקון פקודת התעבורה (שירות טלפוני לדיווח ולקבלת תלונות על עבירות תעבורה או נהיגה מסוכנת של נהג אוטובוס), התש"ף-2020</t>
  </si>
  <si>
    <t xml:space="preserve"> (פ/1188/23)</t>
  </si>
  <si>
    <t xml:space="preserve">הצעת חוק המועצה הישראלית לצרכנות (תיקון - ודאות תקציבית), התש"ף-2020</t>
  </si>
  <si>
    <t xml:space="preserve"> (פ/1187/23)</t>
  </si>
  <si>
    <t xml:space="preserve">הצעת חוק לתיקון פקודת התעבורה (פיצוי למתלונן), התש"ף-2020</t>
  </si>
  <si>
    <t xml:space="preserve"> (פ/1186/23)</t>
  </si>
  <si>
    <t xml:space="preserve">הצעת חוק הגנת הצרכן (תיקון – מגבלות על חיוב חשבון של צרכן בתשלומים), התשפ"ב–2021</t>
  </si>
  <si>
    <t xml:space="preserve"> (פ/1185/23)</t>
  </si>
  <si>
    <t xml:space="preserve">הצעת חוק סדר הדין הפלילי (חקירת חשודים) (תיקון - יידוע זכויות חשודים), התש"ף-2020</t>
  </si>
  <si>
    <t xml:space="preserve"> (פ/1184/23)</t>
  </si>
  <si>
    <t xml:space="preserve">הצעת חוק היועץ המשפטי לראש ממשלה (מינוי וכהונה), התש"ף-2020</t>
  </si>
  <si>
    <t xml:space="preserve"> (פ/1183/23)</t>
  </si>
  <si>
    <t xml:space="preserve">הצעת חוק הרשויות המקומיות (התאמת תקציב החינוך), התש"ף-2020</t>
  </si>
  <si>
    <t xml:space="preserve"> (פ/1182/23)</t>
  </si>
  <si>
    <t xml:space="preserve">הצעת חוק חינוך ממלכתי (תיקון - הכללת המורשת הערבית), התש"ף-2020</t>
  </si>
  <si>
    <t xml:space="preserve"> (פ/1181/23)</t>
  </si>
  <si>
    <t xml:space="preserve">הצעת חוק פיקוח על בתי ספר (תיקון - הרחבת תחולה), התש"ף-2020</t>
  </si>
  <si>
    <t xml:space="preserve"> (פ/1180/23)</t>
  </si>
  <si>
    <t xml:space="preserve">הצעת חוק חינוך ממלכתי (תיקון - איסור פעילות שיש בה שנאה בשל נטייה מינית, גזענות והדרת נשים במוסדות חינוך רשמיים), התש"ף-2020</t>
  </si>
  <si>
    <t xml:space="preserve"> (פ/1178/23)</t>
  </si>
  <si>
    <t xml:space="preserve">הצעת חוק זכויות הסטודנט (תיקון - התאמות לסטודנטית לאחר לידה), התש"ף-2020</t>
  </si>
  <si>
    <t xml:space="preserve"> (פ/1177/23)</t>
  </si>
  <si>
    <t xml:space="preserve">הצעת חוק זכויות הסטודנט (תיקון - הגבלת דמי רישום), התש"ף-2020</t>
  </si>
  <si>
    <t xml:space="preserve"> (פ/1176/23)</t>
  </si>
  <si>
    <t xml:space="preserve"> (פ/1175/23)</t>
  </si>
  <si>
    <t xml:space="preserve">הצעת חוק הספורט (תיקון - זכויות ספורטאי בוגר), התש"ף-2020</t>
  </si>
  <si>
    <t xml:space="preserve"> (פ/1174/23)</t>
  </si>
  <si>
    <t xml:space="preserve">הצעת חוק זכויות התלמיד (תיקון - הנחה בתחבורה ציבורית), התש"ף-2020</t>
  </si>
  <si>
    <t xml:space="preserve"> (פ/1173/23)</t>
  </si>
  <si>
    <t xml:space="preserve"> (פ/1172/23)</t>
  </si>
  <si>
    <t xml:space="preserve">הצעת חוק צער בעלי חיים (הגנה על בעלי חיים) (תיקון - איסור משלוחים חיים לשחיטה), התש''ף-2020</t>
  </si>
  <si>
    <t xml:space="preserve"> (פ/1171/23)</t>
  </si>
  <si>
    <t xml:space="preserve">הצעת חוק זכויות הסטודנט (תיקון - מסלולי לימוד נפרדים), התש"ף-2020</t>
  </si>
  <si>
    <t xml:space="preserve"> (פ/1170/23)</t>
  </si>
  <si>
    <t xml:space="preserve">הצעת חוק הגנת הצרכן (תיקון - איסור גביית עמלה בהרשאה לחיוב חשבון בהוראת קבע), התש"ף-2020</t>
  </si>
  <si>
    <t xml:space="preserve"> (פ/1169/23)</t>
  </si>
  <si>
    <t xml:space="preserve">הצעת חוק המועצה להשכלה גבוהה (תיקון - עידוד הנגשה להשכלה גבוהה), התש"ף-2020</t>
  </si>
  <si>
    <t xml:space="preserve"> (פ/1168/23)</t>
  </si>
  <si>
    <t xml:space="preserve">הצעת חוק הגנת הצרכן (תיקון - חובת הצגת מחיר מוצר בעת עריכת החשבון בקופה), התש"ף-2020</t>
  </si>
  <si>
    <t xml:space="preserve"> (פ/1167/23)</t>
  </si>
  <si>
    <t xml:space="preserve">הצעת חוק זכויות התלמיד (תיקון - שוויון בין תלמידים בציוני מגן), התש"ף-2020</t>
  </si>
  <si>
    <t xml:space="preserve"> (פ/1166/23)</t>
  </si>
  <si>
    <t xml:space="preserve">הצעת חוק לתיקון פקודת התעבורה (חובת התקנת חיישן בטיחות), התש"ף-2020</t>
  </si>
  <si>
    <t xml:space="preserve"> (פ/1165/23)</t>
  </si>
  <si>
    <t xml:space="preserve">הצעת חוק פיקוח על בתי ספר (תיקון - חובת הכנת תסקיר בטיחות), התש"ף-2020</t>
  </si>
  <si>
    <t xml:space="preserve"> (פ/1164/23)</t>
  </si>
  <si>
    <t xml:space="preserve">הצעת חוק הגנת הצרכן (תיקון - חובת גילוי הוזלה במחיר בעסקה מתמשכת), התש"ף-2020</t>
  </si>
  <si>
    <t xml:space="preserve"> (פ/1163/23)</t>
  </si>
  <si>
    <t xml:space="preserve">הצעת חוק משק החשמל (תיקון - תשלומי חשמל מופחתים לקשישים נכים), התש"ף-2020</t>
  </si>
  <si>
    <t xml:space="preserve"> (פ/1162/23)</t>
  </si>
  <si>
    <t xml:space="preserve">הצעת חוק הגנת הצרכן (תיקון - חובת סימון נפח האריזה וקביעת הנפח בשימוש), התש"ף-2020</t>
  </si>
  <si>
    <t xml:space="preserve"> (פ/1161/23)</t>
  </si>
  <si>
    <t xml:space="preserve">הצעת חוק המתווכים במקרקעין (תיקון - הגבלת תקופת הבלעדיות לשלושה חודשים), התש"ף-2020</t>
  </si>
  <si>
    <t xml:space="preserve"> (פ/1160/23)</t>
  </si>
  <si>
    <t xml:space="preserve">הצעת חוק הגנת הצרכן (תיקון - פנייה מקדימה בעסקת מכר מרחוק), התש"ף-2020</t>
  </si>
  <si>
    <t xml:space="preserve"> (פ/1159/23)</t>
  </si>
  <si>
    <t xml:space="preserve">הצעת חוק איסור הפליה במוצרים, בשירותים ובכניסה למקומות בידור ולמקומות ציבוריים (תיקון - איסור הפליה בשל הובלת עגלת ילדים), התש"ף-2020</t>
  </si>
  <si>
    <t xml:space="preserve"> (פ/1158/23)</t>
  </si>
  <si>
    <t xml:space="preserve">הצעת חוק משק החשמל (תיקון - פיקוח פרלמנטרי על תעריפי החשמל), התש"ף-2020</t>
  </si>
  <si>
    <t xml:space="preserve"> (פ/1157/23)</t>
  </si>
  <si>
    <t xml:space="preserve">הצעת חוק לתיקון פקודת התעבורה (הסדר ארצי אחיד לעניין גרירת רכב), התש"ף-2020</t>
  </si>
  <si>
    <t xml:space="preserve"> (פ/1156/23)</t>
  </si>
  <si>
    <t xml:space="preserve">הצעת חוק לתיקון פקודת התעבורה (הפחתת גובה קנס בשל תשלום מיידי), התש"ף-2020</t>
  </si>
  <si>
    <t xml:space="preserve"> (פ/1155/23)</t>
  </si>
  <si>
    <t xml:space="preserve">הצעת חוק כרטיסי חיוב (תיקון - חובת פרסום פרטי ספק), התש"ף-2020</t>
  </si>
  <si>
    <t xml:space="preserve"> (פ/1154/23)</t>
  </si>
  <si>
    <t xml:space="preserve">הצעת חוק פיקוח על מחירי מצרכים ושירותים (תיקון - קביעת ההפרש בין מחיר מצרך לצרכן ומחיר מצרך לקמעונאי כרווח מרבי), התש"ף-2020</t>
  </si>
  <si>
    <t xml:space="preserve"> (פ/1153/23)</t>
  </si>
  <si>
    <t xml:space="preserve">הצעת חוק לתיקון פקודת התעבורה (סימון שונה במקומות שבהם היתר החניה תלוי בשעות), התש"ף-2020</t>
  </si>
  <si>
    <t xml:space="preserve"> (פ/1152/23)</t>
  </si>
  <si>
    <t xml:space="preserve">הצעת חוק הרשות לפיתוח הנגב (תיקון - הרחבת סמכויות הרשות ותפקידיה), התש"ף-2020</t>
  </si>
  <si>
    <t xml:space="preserve"> (פ/1151/23)</t>
  </si>
  <si>
    <t xml:space="preserve">הצעת חוק המים (תיקון - הנחות לאוכלוסיות זכאיות), התש"ף-2020</t>
  </si>
  <si>
    <t xml:space="preserve"> (פ/1150/23)</t>
  </si>
  <si>
    <t xml:space="preserve">הצעת חוק חינוך ממלכתי (תיקון - שלילת תקצוב וקביעת אזורי רישום), התש"ף-2020</t>
  </si>
  <si>
    <t xml:space="preserve"> (פ/1149/23)</t>
  </si>
  <si>
    <t xml:space="preserve">הצעת חוק לתיקון פקודת התעבורה (סדרי דין מיוחדים לעניין שירות לתועלת הציבור בעבירות תעבורה), התש"ף-2020</t>
  </si>
  <si>
    <t xml:space="preserve"> (פ/1148/23)</t>
  </si>
  <si>
    <t xml:space="preserve">הצעת חוק לתיקון פקודת מס הכנסה (קיזוז הפסדי עבר), התש"ף-2020</t>
  </si>
  <si>
    <t xml:space="preserve"> (פ/1147/23)</t>
  </si>
  <si>
    <t xml:space="preserve">הצעת חוק הגנה כלכלית על חסרי ישע (תיקוני חקיקה), התש"ף-2020</t>
  </si>
  <si>
    <t xml:space="preserve"> (פ/1146/23)</t>
  </si>
  <si>
    <t xml:space="preserve">הצעת חוק ביטוח בריאות ממלכתי (תיקון - קביעת זמני המתנה ומרחקי נסיעה מרביים לקבלת טיפול רפואי), התש"ף-2020</t>
  </si>
  <si>
    <t xml:space="preserve"> (פ/1145/23)</t>
  </si>
  <si>
    <t xml:space="preserve">הצעת חוק לתיקון פקודת מס הכנסה (פטור לדמי הבראה), התש"ף-2020</t>
  </si>
  <si>
    <t xml:space="preserve"> (פ/1143/23)</t>
  </si>
  <si>
    <t xml:space="preserve">הצעת חוק ביטוח בריאות ממלכתי (תיקון - החזר דמי נסיעות והסעות לטיפולי אונקולוגיה ודיאליזה), התש"ף-2020 </t>
  </si>
  <si>
    <t xml:space="preserve"> (פ/1142/23)</t>
  </si>
  <si>
    <t xml:space="preserve">הצעת חוק מס ערך מוסף (תיקון - פטור ממס לתרופות אונקולוגיות שאינן כלולות בסל הבריאות), התש"ף-2020</t>
  </si>
  <si>
    <t xml:space="preserve"> (פ/1141/23)</t>
  </si>
  <si>
    <t xml:space="preserve"> (פ/1140/23)</t>
  </si>
  <si>
    <t xml:space="preserve">הצעת חוק מס ערך מוסף (תיקון - פטור ממס ממכירת תרופות מאריכות חיים שאינן כלולות בסל הבריאות), התש"ף-2020</t>
  </si>
  <si>
    <t xml:space="preserve"> (פ/1139/23)</t>
  </si>
  <si>
    <t xml:space="preserve">הצעת חוק הביטוח הלאומי (תיקון - קצבת ילד נכה לילד החולה במחלה או בתסמונת נדירה), התש"ף-2020</t>
  </si>
  <si>
    <t xml:space="preserve"> (פ/1138/23)</t>
  </si>
  <si>
    <t xml:space="preserve">הצעת חוק הגנת השכר (תיקון - התיישנות), התש"ף-2020</t>
  </si>
  <si>
    <t xml:space="preserve"> (פ/1137/23)</t>
  </si>
  <si>
    <t xml:space="preserve">הצעת חוק שעות עבודה ומנוחה (תיקון - קיצור שבוע העבודה), התש"ף-2020</t>
  </si>
  <si>
    <t xml:space="preserve"> (פ/1136/23)</t>
  </si>
  <si>
    <t xml:space="preserve">הצעת חוק עסקאות גופים ציבוריים (תיקון - איסור על התקשרות קבלנית להעסקת עובדים), התש"ף-2020</t>
  </si>
  <si>
    <t xml:space="preserve"> (פ/1135/23)</t>
  </si>
  <si>
    <t xml:space="preserve">הצעת חוק הבטחת הכנסה (תיקון - החרגת תוספת ותק מהכנסה), התש"ף-2020</t>
  </si>
  <si>
    <t xml:space="preserve"> (פ/1134/23)</t>
  </si>
  <si>
    <t xml:space="preserve">הצעת חוק הביטוח הלאומי (תיקון - מענק פטירה להורה של נכה), התש"ף-2020</t>
  </si>
  <si>
    <t xml:space="preserve"> (פ/1133/23)</t>
  </si>
  <si>
    <t xml:space="preserve">הצעת חוק הסיוע המשפטי (תיקון - נפגעי עבירות מין), התש"ף-2020</t>
  </si>
  <si>
    <t xml:space="preserve"> (פ/1132/23)</t>
  </si>
  <si>
    <t xml:space="preserve">הצעת חוק לתיקון פקודת העיריות (קבלת חוות דעת היועץ המשפטי לממשלה לעניין טוהר המידות ברשות מקומית טרם הכרזתה כרשות איתנה), התש"ף-2020</t>
  </si>
  <si>
    <t xml:space="preserve"> (פ/1131/23)</t>
  </si>
  <si>
    <t xml:space="preserve">הצעת חוק הרשויות המקומיות (בחירת ראש הרשות וסגניו וכהונתם) (תיקון - הגבלת כהונה שלישית של ראש רשות מקומית), התש"ף-2020</t>
  </si>
  <si>
    <t xml:space="preserve"> (פ/1130/23)</t>
  </si>
  <si>
    <t xml:space="preserve"> (פ/1129/23)</t>
  </si>
  <si>
    <t xml:space="preserve">הצעת חוק מס ערך מוסף (תיקון - פטור ממס להשכרה למגורים באמצעות מלכ"ר), התש"ף-2020</t>
  </si>
  <si>
    <t xml:space="preserve"> (פ/1128/23)</t>
  </si>
  <si>
    <t xml:space="preserve">הצעת חוק ההוצאה לפועל (תיקון - שכר עורך דין), התש"ף-2020</t>
  </si>
  <si>
    <t xml:space="preserve"> (פ/1127/23)</t>
  </si>
  <si>
    <t xml:space="preserve">הצעת חוק העונשין (תיקון - תקיפת איש כוחות הביטחון וההצלה), התש"ף-2020</t>
  </si>
  <si>
    <t xml:space="preserve"> (פ/1126/23)</t>
  </si>
  <si>
    <t xml:space="preserve">הצעת חוק שוויון הזדמנויות במקום מגורים, התש"ף-2020</t>
  </si>
  <si>
    <t xml:space="preserve"> (פ/1125/23)</t>
  </si>
  <si>
    <t xml:space="preserve">הצעת חוק התכנון והבנייה (תיקון - ייצוג הוועדה המקומית), התש"ף-2020</t>
  </si>
  <si>
    <t xml:space="preserve"> (פ/1124/23)</t>
  </si>
  <si>
    <t xml:space="preserve">הצעת חוק התכנון והבנייה (תיקון - סייגים להתניית היתר), התש"ף-2020</t>
  </si>
  <si>
    <t xml:space="preserve"> (פ/1123/23)</t>
  </si>
  <si>
    <t xml:space="preserve">הצעת חוק התכנון והבנייה (תיקון - הרחבת הפטור מהיטל השבחה), התש"ף-2020</t>
  </si>
  <si>
    <t xml:space="preserve"> (פ/1122/23)</t>
  </si>
  <si>
    <t xml:space="preserve">הצעת חוק סיוע לבני משפחה של נפטר ממחלה סופנית, התש"ף-2020</t>
  </si>
  <si>
    <t xml:space="preserve"> (פ/1120/23)</t>
  </si>
  <si>
    <t xml:space="preserve">הצעת חוק ההוצאה לפועל (תיקון - קביעת תעריף מקסימלי לשכר טרחת עורך דין), התש"ף-2020</t>
  </si>
  <si>
    <t xml:space="preserve"> (פ/1119/23)</t>
  </si>
  <si>
    <t xml:space="preserve">הצעת חוק מעונות יום שיקומיים (תיקון - מעונות יום עם הגנה חיסונית), התש"ף-2020</t>
  </si>
  <si>
    <t xml:space="preserve"> (פ/1118/23)</t>
  </si>
  <si>
    <t xml:space="preserve"> (פ/1117/23)</t>
  </si>
  <si>
    <t xml:space="preserve"> (פ/1115/23)</t>
  </si>
  <si>
    <t xml:space="preserve"> (פ/1114/23)</t>
  </si>
  <si>
    <t xml:space="preserve"> (פ/1113/23)</t>
  </si>
  <si>
    <t xml:space="preserve">הצעת חוק-יסוד: גבולות המדינה וריבונותה</t>
  </si>
  <si>
    <t xml:space="preserve"> (פ/1112/23)</t>
  </si>
  <si>
    <t xml:space="preserve">הצעת חוק העונשין (תיקון - עבירות מין במשפחה), התש"ף-2020</t>
  </si>
  <si>
    <t xml:space="preserve"> (פ/1110/23)</t>
  </si>
  <si>
    <t xml:space="preserve">הצעת חוק העונשין (תיקון - איסור הצבת מכונות משחק של מפעל הפיס), התש"ף-2020</t>
  </si>
  <si>
    <t xml:space="preserve"> (פ/1108/23)</t>
  </si>
  <si>
    <t xml:space="preserve">הצעת חוק הבטחת הכנסה (הוראת שעה - נגיף הקורונה החדש) (דמי אבטלה), התש"ף-2020 </t>
  </si>
  <si>
    <t xml:space="preserve"> (מ/1318)</t>
  </si>
  <si>
    <t xml:space="preserve">הצעת חוק הביטוח הלאומי (הוראת שעה - נגיף הקורונה החדש) (הוראות מיוחדות לעניין מבחן הכנסות לקצבת נכות ולגמלת אזרח ותיק), התש"ף-2020 </t>
  </si>
  <si>
    <t xml:space="preserve"> (מ/1319)</t>
  </si>
  <si>
    <t xml:space="preserve">חוק־יסוד: משק המדינה (תיקון מס' 10 והוראת שעה לשנת 2020) (תיקון)</t>
  </si>
  <si>
    <t xml:space="preserve"> (מ/1307)</t>
  </si>
  <si>
    <t xml:space="preserve">01.06.2020</t>
  </si>
  <si>
    <t xml:space="preserve">סעיף 3ב' לחוק-יסוד: משק המדינה (להלן – חוק היסוד), קובע שכאשר שנת כספים החלה ללא תקציב מאושר, רשאית הממשלה להוציא כל חודש סכום השווה ל- 1/12 מהתקציב השנתי הקודם בתוספת הצמדה.  לאור משבר הקורונה שהוביל את הממשלה לקבוע תקנות שעת חירום ובהן הוראות לצמצום הפעולות במשק, הוצאו עובדים רבים לחל"ת, עובדים אחרים פוטרו ועסקים עצמאיים נאלצו לסגור את עסקיהם. לשם כך, נדרשה הממשלה ליתן פתרונות המצריכים הוצאה תקציבית שאינה מתאפשרת לפי הוראות סעיף 3ב' האמור.  ביום 7/4/2020 התקבלה בקריאה שנייה ושלישית הצעת חוק-יסוד: משק המדינה (תיקון מס' 10 והוראת שעה לשנת 2020) (להלן – החוק). החוק קובע בין היתר תכנית כלכלית ובה חבילת צעדים לשמירה על יציבות המשק בעקבות משבר הקורונה, והכל בהתאם להוראת שעה שתחול עד סוף שנת 2020 או עד אישור התקציב לשנת 2020, לפי המוקדם, כי סכום ההוצאה הממשלתית לשנת 2019 ממנה ייגזר סכום ההוצאה החודשית בתקציב המשכי, יהיה סכום ההוצאה הממשלתית נטו, לרבות מתן אשראי ולמעט החזר חובות קרן, ובלבד שאינו החזר חובות כאמור לביטוח הלאומי בצירוף המדד. בנוסף, קובע החוק סכום שייעודו אך ורק לצורך משבר הקורונה; סכום זה ייפרס כאחוז מסכום ההוצאה הממשלתית לשנת 2019 ויפחת עם חלוף הזמן. עוד קובע החוק כי החזר החובות למוסד לביטוח לאומי בשל ההוצאות הדרושות להתמודדות עם התפרצות נגיף הקורונה, יוקצה סכום שלא יעלה על 16.1 מיליארד שקלים.  ביום 2/6/2020 התקבל חוק-יסוד: משק המדינה (תיקון מס' 10 והוראת שעה לשנת 2020) (תיקון) בקריאה שנייה ושלישית, החוק מגדיל בשנית את ההוצאה הממשלתית המיועדת להתמודדות עם המשבר שנוצר בשל התפשטות נגיף הקורונה, לחודשים מאי עד דצמבר או עד יום קבלת חוק התקציב, לפי המוקדם. הגדלת הסכומים הם בהיקף של 14 מיליארד ש"ח, החוק מתקן את חלוקת הסכומים בין השימושים השונים שנקבעו בהוראת השעה הקודמת, זאת כדי לאפשר הוצאת סכומים לטובת תחומים שלא ניתן להם מענה מלא במסגרת הוראת השעה הקודמת: עידוד התעסוקה, סיוע לענפים שלא ישובו לפעילות סדירה בתקופה הקרובה והיערכות המשק הישראלי ב"שגרת קורונה". בנוסף, קובע החוק כי יובא בפני ועדת הכספים של הכנסת עדכון התכנית המפורטת וכן סכום של 500 מיליון ש"ח יוקצה כמענק נוסף לעסקים, שחלוקתו יהיה טעון אישור ועדת הכספים של הכנסת.  </t>
  </si>
  <si>
    <t xml:space="preserve">הצעת חוק תנאי עבודה לעובדים בענף הסיעוד (צבירת ותק למטפל שנותן שירותי סיעוד מטעם המוסד לביטוח לאומי), התש''ף-2020 </t>
  </si>
  <si>
    <t xml:space="preserve"> (פ/1107/23)</t>
  </si>
  <si>
    <t xml:space="preserve">הצעת חוק לתיקון פקודת סדרי השלטון והמשפט (יום הפועלים הבינלאומי), התש"ף-2020</t>
  </si>
  <si>
    <t xml:space="preserve"> (פ/1106/23)</t>
  </si>
  <si>
    <t xml:space="preserve">הצעת חוק שיפוט בתי דין רבניים (נישואין וגירושין) (תיקון - כפיית גט), התש"ף-2020</t>
  </si>
  <si>
    <t xml:space="preserve"> (פ/1105/23)</t>
  </si>
  <si>
    <t xml:space="preserve">הצעת חוק זכויות נפגעי עבירה (תיקון - זכאות בני משפחה), התש"ף-2020</t>
  </si>
  <si>
    <t xml:space="preserve"> (פ/1104/23)</t>
  </si>
  <si>
    <t xml:space="preserve"> (פ/1103/23)</t>
  </si>
  <si>
    <t xml:space="preserve">הצעת חוק העונשין (תיקון - סחר בבני אדם למטרות נישואין), התש"ף-2020</t>
  </si>
  <si>
    <t xml:space="preserve"> (פ/1102/23)</t>
  </si>
  <si>
    <t xml:space="preserve">הצעת חוק שיפוט בתי דין רבניים (נישואין וגירושין) (תיקון - דרישת הסכמה בכתב), התש"ף-2020</t>
  </si>
  <si>
    <t xml:space="preserve"> (פ/1101/23)</t>
  </si>
  <si>
    <t xml:space="preserve">הצעת חוק שירות המדינה (משמעת) (תיקון - הארכת תקופת ההתיישנות בהטרדות מיניות), התש"ף-2020</t>
  </si>
  <si>
    <t xml:space="preserve"> (פ/1100/23)</t>
  </si>
  <si>
    <t xml:space="preserve">הצעת חוק למניעת העסקה של עברייני מין במוסדות מסוימים (תיקון - הגדרת עבירת מין) , התש"ף-2020</t>
  </si>
  <si>
    <t xml:space="preserve"> (פ/1098/23)</t>
  </si>
  <si>
    <t xml:space="preserve"> (פ/1096/23)</t>
  </si>
  <si>
    <t xml:space="preserve">הצעת חוק לתיקון פקודת סדרי השלטון והמשפט (יום האישה הבינלאומי), התש"ף-2020</t>
  </si>
  <si>
    <t xml:space="preserve"> (פ/1095/23)</t>
  </si>
  <si>
    <t xml:space="preserve">הצעת חוק הביטוח הלאומי (תיקון - אי הפליה בשל שירות צבאי או שירות לאומי), התש"ף-2020</t>
  </si>
  <si>
    <t xml:space="preserve"> (פ/1094/23)</t>
  </si>
  <si>
    <t xml:space="preserve">הצעת חוק הכנסת (תיקון - שעת שאלות לראש הממשלה), התש"ף-2020</t>
  </si>
  <si>
    <t xml:space="preserve"> (פ/1093/23)</t>
  </si>
  <si>
    <t xml:space="preserve">הצעת חוק לתיקון סדרי המינהל (החלטות והנמקות) (תיקון - חריגה ממועד מתן תשובה), התש"ף-2020</t>
  </si>
  <si>
    <t xml:space="preserve"> (פ/1092/23)</t>
  </si>
  <si>
    <t xml:space="preserve">הצעת חוק לתיקון פקודת הראיות (חיסיון עיתונאי), התש"ף-2020</t>
  </si>
  <si>
    <t xml:space="preserve"> (פ/1091/23)</t>
  </si>
  <si>
    <t xml:space="preserve">הצעת חוק העונשין (תיקון - החמרת הענישה על עבירות כלפי אנשי צוות רפואי), התש"ף-2020</t>
  </si>
  <si>
    <t xml:space="preserve"> (פ/1090/23)</t>
  </si>
  <si>
    <t xml:space="preserve">הצעת חוק שיפוט בתי דין רבניים (נישואין וגירושין) (תיקון - החרגת שפיטה בענייני רכוש בעת גירושין), התש"ף-2020</t>
  </si>
  <si>
    <t xml:space="preserve"> (פ/1088/23)</t>
  </si>
  <si>
    <t xml:space="preserve">הצעת חוק להבטחת תשלום שכר עובדים, התש"ף-2020</t>
  </si>
  <si>
    <t xml:space="preserve"> (פ/1087/23)</t>
  </si>
  <si>
    <t xml:space="preserve">הצעת חוק התכנון והבנייה (תיקון - סייג לאחריות פלילית בשל אי-קיום צו לאחר הרשעה), התש"ף-2020</t>
  </si>
  <si>
    <t xml:space="preserve"> (פ/1086/23)</t>
  </si>
  <si>
    <t xml:space="preserve">הצעת חוק התכנון והבנייה (תיקון - חובת קיום התייעצות), התש"ף-2020</t>
  </si>
  <si>
    <t xml:space="preserve"> (פ/1085/23)</t>
  </si>
  <si>
    <t xml:space="preserve">הצעת חוק התכנון והבנייה (תיקון - ייעוד קרקע למבנים לאוכלוסייה הקשישה), התש"ף-2020 </t>
  </si>
  <si>
    <t xml:space="preserve"> (פ/1084/23)</t>
  </si>
  <si>
    <t xml:space="preserve">הצעת חוק חינוך ממלכתי (תיקון - חינוך ממלכתי חרדי), התש"ף-2020</t>
  </si>
  <si>
    <t xml:space="preserve"> (פ/1083/23)</t>
  </si>
  <si>
    <t xml:space="preserve">הצעת חוק שכר מינימום (תיקון - שכר מינימום לעובד שטרם מלאו לו 18 שנים), התש"ף-2020</t>
  </si>
  <si>
    <t xml:space="preserve"> (פ/1082/23)</t>
  </si>
  <si>
    <t xml:space="preserve"> (פ/1081/23)</t>
  </si>
  <si>
    <t xml:space="preserve">הצעת חוק פיצויי פיטורים (תיקון - הזכות לפיצויי התפטרות), התש"ף-2020</t>
  </si>
  <si>
    <t xml:space="preserve"> (פ/1080/23)</t>
  </si>
  <si>
    <t xml:space="preserve">הצעת חוק זכויות החולה (תיקון - הזכות למינוי מתורגמן רפואי), התש"ף-2020</t>
  </si>
  <si>
    <t xml:space="preserve"> (פ/1079/23)</t>
  </si>
  <si>
    <t xml:space="preserve">הצעת חוק לתיקון פקודת התעבורה (הגבלת דמי חניה בחניוני בתי חולים), התש"ף-2020</t>
  </si>
  <si>
    <t xml:space="preserve"> (פ/1078/23)</t>
  </si>
  <si>
    <t xml:space="preserve">הצעת חוק הבנקאות (שירות ללקוח) (תיקון - דיווח על ניצול קשיש או חסר ישע), התש"ף-2020</t>
  </si>
  <si>
    <t xml:space="preserve"> (פ/1077/23)</t>
  </si>
  <si>
    <t xml:space="preserve">הצעת חוק הבטחת הכנסה (תיקון - אופן חישוב הכנסה מדמי אבטלה)(הוראת שעה), התש"ף-2020</t>
  </si>
  <si>
    <t xml:space="preserve"> (פ/1076/23)</t>
  </si>
  <si>
    <t xml:space="preserve">הצעת חוק הביטוח הלאומי (תיקון - אופן חישוב הכנסה מדמי אבטלה לעניין זכאות לקצבת נכות ולקצבת אזרח ותיק) (הוראת שעה), התש"ף-2020</t>
  </si>
  <si>
    <t xml:space="preserve"> (פ/1074/23)</t>
  </si>
  <si>
    <t xml:space="preserve">הצעת חוק זכויות החולה (תיקון - קביעת הוראות לעניין הכנסת חפצים ודברי מאכל למוסד רפואי), התש"ף-2020</t>
  </si>
  <si>
    <t xml:space="preserve"> (פ/1073/23)</t>
  </si>
  <si>
    <t xml:space="preserve">הצעת חוק שיקים ללא כיסוי (תיקון - מצב חירום בשל מגיפה עולמית), התש"ף-2020</t>
  </si>
  <si>
    <t xml:space="preserve"> (פ/1072/23)</t>
  </si>
  <si>
    <t xml:space="preserve">הצעת חוק העונשין (תיקון - גזענות נגד קבוצה דתית), התש"ף-2020</t>
  </si>
  <si>
    <t xml:space="preserve"> (פ/1071/23)</t>
  </si>
  <si>
    <t xml:space="preserve"> (פ/1070/23)</t>
  </si>
  <si>
    <t xml:space="preserve"> (פ/1069/23)</t>
  </si>
  <si>
    <t xml:space="preserve"> (פ/1066/23)</t>
  </si>
  <si>
    <t xml:space="preserve"> (פ/1065/23)</t>
  </si>
  <si>
    <t xml:space="preserve"> (פ/1064/23)</t>
  </si>
  <si>
    <t xml:space="preserve">הצעת חוק הפיקוח על שירותים פיננסיים (קופות גמל) (תיקון - הגבלה על השקעות בחברה שערכה הסדר חוב), התש"ף-2020</t>
  </si>
  <si>
    <t xml:space="preserve"> (פ/1063/23)</t>
  </si>
  <si>
    <t xml:space="preserve">הצעת חוק הכנסת (תיקון - כינוס הכנסת בתקופת הפגרה), התש"ף-2019</t>
  </si>
  <si>
    <t xml:space="preserve"> (פ/1062/23)</t>
  </si>
  <si>
    <t xml:space="preserve"> (פ/1061/23)</t>
  </si>
  <si>
    <t xml:space="preserve">הצעת חוק לביטול ההתיישנות בעבירות מין במשפחה (תיקוני חקיקה), התש"ף-2020</t>
  </si>
  <si>
    <t xml:space="preserve"> (פ/1060/23)</t>
  </si>
  <si>
    <t xml:space="preserve">הצעת חוק למניעת חרם חברתי בבתי ספר, התש"ף-2020</t>
  </si>
  <si>
    <t xml:space="preserve"> (פ/1059/23)</t>
  </si>
  <si>
    <t xml:space="preserve">הצעת חוק מס רכוש וקרן פיצויים (תיקון - פיצויים בישוב עורפי), התש"ף-2020</t>
  </si>
  <si>
    <t xml:space="preserve"> (פ/1057/23)</t>
  </si>
  <si>
    <t xml:space="preserve"> (פ/1056/23)</t>
  </si>
  <si>
    <t xml:space="preserve">הצעת חוק בית המשפט לענייני משפחה (תיקון - רשימת כונסי נכסים), התש"ף-2020</t>
  </si>
  <si>
    <t xml:space="preserve"> (פ/1055/23)</t>
  </si>
  <si>
    <t xml:space="preserve">הצעת חוק העונשין (תיקון - הכנת פרסום בדבר שירותי זנות), התש"ף-2020</t>
  </si>
  <si>
    <t xml:space="preserve"> (פ/1054/23)</t>
  </si>
  <si>
    <t xml:space="preserve">הצעת חוק העונשין (תיקון - מרמה והפרת אמונים), התש"ף-2020</t>
  </si>
  <si>
    <t xml:space="preserve"> (פ/1052/23)</t>
  </si>
  <si>
    <t xml:space="preserve">הצעת חוק חופש המידע (תיקון - פרסום מידע אודות מכרזים), התש"ף-2020</t>
  </si>
  <si>
    <t xml:space="preserve"> (פ/1049/23)</t>
  </si>
  <si>
    <t xml:space="preserve">הצעת חוק יסודות התקציב (תיקון - אישור נוהל הגשת בקשות תמיכה), התש"ף-2020</t>
  </si>
  <si>
    <t xml:space="preserve"> (פ/1048/23)</t>
  </si>
  <si>
    <t xml:space="preserve">הצעת חוק לתיקון פקודת הבנקאות (הוראות ניהול בנקאי תקין להלוואה בערבות מדינה בשעת חירום), התש"ף-2020</t>
  </si>
  <si>
    <t xml:space="preserve"> (פ/1047/23)</t>
  </si>
  <si>
    <t xml:space="preserve"> (פ/1046/23)</t>
  </si>
  <si>
    <t xml:space="preserve">הצעת חוק הדרוזים והצ'רקסים (הבטחת שוויון זכויות), התש"ף-2020</t>
  </si>
  <si>
    <t xml:space="preserve"> (פ/1045/23)</t>
  </si>
  <si>
    <t xml:space="preserve">הצעת חוק לתיקון פקודת המשטרה (העברת המחלקה לחקירת שוטרים למשרד מבקר המדינה וקביעת תקופת צינון), התש"ף-2020</t>
  </si>
  <si>
    <t xml:space="preserve"> (פ/1044/23)</t>
  </si>
  <si>
    <t xml:space="preserve">הצעת חוק נציבות הדורות הבאים, התש"ף-2020</t>
  </si>
  <si>
    <t xml:space="preserve"> (פ/1043/23)</t>
  </si>
  <si>
    <t xml:space="preserve">הצעת חוק התוכנית להבראת כלכלת ישראל (תיקוני חקיקה להשגת יעדי התקציב והמדיניות הכלכלית לשנות הכספים 2003 ו-2004) (תיקון - ביטול ההיטל על עובד זר העוסק בסיעוד בבית חולים גריאטרי), התש"ף-2020 </t>
  </si>
  <si>
    <t xml:space="preserve"> (פ/1042/23)</t>
  </si>
  <si>
    <t xml:space="preserve">הצעת חוק ההתגוננות האזרחית (תיקון - התקן בטיחותי על דלת מרחב מוגן דירתי), התש"ף-2020</t>
  </si>
  <si>
    <t xml:space="preserve"> (פ/1041/23)</t>
  </si>
  <si>
    <t xml:space="preserve">הצעת חוק זכויות הסטודנט (תיקון - חובת דיווח שנתית בדבר תלונות סטודנטים לוועדת החינוך התרבות והספורט של הכנסת), התש"ף-2020</t>
  </si>
  <si>
    <t xml:space="preserve"> (פ/1040/23)</t>
  </si>
  <si>
    <t xml:space="preserve">הצעת חוק הפיקוח על שירותים פיננסיים (קופות גמל) (תיקון - משיכת כספי פיצויים מקופת גמל) (הוראת שעה), התש"ף-2020</t>
  </si>
  <si>
    <t xml:space="preserve"> (פ/1039/23)</t>
  </si>
  <si>
    <t xml:space="preserve"> (פ/1038/23)</t>
  </si>
  <si>
    <t xml:space="preserve">הצעת חוק להנצחת מורשת המחתרות, התש"ף-2020</t>
  </si>
  <si>
    <t xml:space="preserve"> (פ/1037/23)</t>
  </si>
  <si>
    <t xml:space="preserve">הצעת חוק העמותות (תיקון - הסדרת מעמדן של אגודות עותמאניות כעמותות רשומות), התש"ף-2020</t>
  </si>
  <si>
    <t xml:space="preserve"> (פ/1036/23)</t>
  </si>
  <si>
    <t xml:space="preserve">הצעת חוק ביטול יום האחד במאי בחקיקה (תיקוני חקיקה), התש"ף-2020</t>
  </si>
  <si>
    <t xml:space="preserve"> (פ/1035/23)</t>
  </si>
  <si>
    <t xml:space="preserve">הצעת חוק הבטחת הכנסה (תיקון - גמלה לאם חד-הורית), התש"ף-2020</t>
  </si>
  <si>
    <t xml:space="preserve"> (פ/1034/23)</t>
  </si>
  <si>
    <t xml:space="preserve">הצעת חוק הפיקוח על שירותים פיננסיים (קופות גמל) (תיקון - פטור משיכה מקרן השתלמות בשעת חירום), התש"ף-2020</t>
  </si>
  <si>
    <t xml:space="preserve"> (פ/1032/23)</t>
  </si>
  <si>
    <t xml:space="preserve"> (פ/1031/23)</t>
  </si>
  <si>
    <t xml:space="preserve"> (פ/1030/23)</t>
  </si>
  <si>
    <t xml:space="preserve">25.05.2020</t>
  </si>
  <si>
    <t xml:space="preserve">הצעת חוק להקפאת כספים ששילמה הרשות הפלסטינית בזיקה לטרור מהכספים המועברים אליה מממשלת ישראל (תיקון - הקפאת כספי תגמולים לתושבי האזור מכוח חוק התגמולים לנפגעי פעולות איבה), התש"ף-2020</t>
  </si>
  <si>
    <t xml:space="preserve"> (פ/1029/23)</t>
  </si>
  <si>
    <t xml:space="preserve">הצעת חוק החזרת תושבי בירעם ואיקרית לבתיהם, התש"ף-2020</t>
  </si>
  <si>
    <t xml:space="preserve"> (פ/1028/23)</t>
  </si>
  <si>
    <t xml:space="preserve">הצעת חוק הכנסת (תיקון - ויתור על שכר של חבר הכנסת), התש"ף-2020</t>
  </si>
  <si>
    <t xml:space="preserve"> (פ/1027/23)</t>
  </si>
  <si>
    <t xml:space="preserve"> (פ/1024/23)</t>
  </si>
  <si>
    <t xml:space="preserve"> (פ/1023/23)</t>
  </si>
  <si>
    <t xml:space="preserve">הצעת חוק שירות המדינה (מינויים) (תיקון - העדפת מי שסיים שירות סדיר), התש"ף-2020</t>
  </si>
  <si>
    <t xml:space="preserve"> (פ/1022/23)</t>
  </si>
  <si>
    <t xml:space="preserve">הצעת חוק הביטוח הלאומי (תיקון - הצמדת קצבת אזרח ותיק לשכר הממוצע במשק), התש"ף-2020</t>
  </si>
  <si>
    <t xml:space="preserve"> (פ/1021/23)</t>
  </si>
  <si>
    <t xml:space="preserve"> (פ/1020/23)</t>
  </si>
  <si>
    <t xml:space="preserve"> (פ/1019/23)</t>
  </si>
  <si>
    <t xml:space="preserve"> (פ/1018/23)</t>
  </si>
  <si>
    <t xml:space="preserve">הצעת חוק לתיקון פקודת בריאות העם (העדפות מתן רשיון למכשור רפואי בפריפריה), התש"ף-2020</t>
  </si>
  <si>
    <t xml:space="preserve"> (פ/1017/23)</t>
  </si>
  <si>
    <t xml:space="preserve">הצעת חוק הביטוח הלאומי (תיקון - זכאות לכפל גמלאות), התש"ף-2020</t>
  </si>
  <si>
    <t xml:space="preserve"> (פ/1016/23)</t>
  </si>
  <si>
    <t xml:space="preserve">הצעת חוק להגברת האכיפה של דיני העבודה (תיקון - הפרות בטיחות בעבודה בתחום הבנייה), התש"ף-2020</t>
  </si>
  <si>
    <t xml:space="preserve"> (פ/1015/23)</t>
  </si>
  <si>
    <t xml:space="preserve">הצעת חוק הביטוח הלאומי (תיקון - הגדלת קצבת הנכות), התש"ף-2020</t>
  </si>
  <si>
    <t xml:space="preserve"> (פ/1014/23)</t>
  </si>
  <si>
    <t xml:space="preserve"> (פ/1013/23)</t>
  </si>
  <si>
    <t xml:space="preserve"> (פ/1012/23)</t>
  </si>
  <si>
    <t xml:space="preserve">הצעת חוק הגנה על עובדים (חשיפת עבירות ופגיעה בטוהר המידות או במינהל התקין) (תיקון - הארכת תקופת ההתיישנות בתביעה של חושף שחיתות נגד מעסיקו), התש"ף-2020</t>
  </si>
  <si>
    <t xml:space="preserve"> (פ/1011/23)</t>
  </si>
  <si>
    <t xml:space="preserve">הצעת חוק התכנון והבנייה (תיקון - הגבלת תקופת ההפקעה לייעוד ציבורי), התש"ף-2020</t>
  </si>
  <si>
    <t xml:space="preserve"> (פ/1010/23)</t>
  </si>
  <si>
    <t xml:space="preserve">הצעת חוק לתיקון פקודת העיריות (ייצוג הולם בשמות מקומות ציבוריים), התש"ף-2020</t>
  </si>
  <si>
    <t xml:space="preserve"> (פ/1008/23)</t>
  </si>
  <si>
    <t xml:space="preserve">הצעת חוק פטור מדמי נסיעה בתחבורה ציבורית למתנדבים לשנת שירות (תיקוני חקיקה), התש"ף-2020</t>
  </si>
  <si>
    <t xml:space="preserve"> (פ/1006/23)</t>
  </si>
  <si>
    <t xml:space="preserve">הצעת חוק בקעת הירדן, צפון ים המלח ומדבר יהודה, התש"ף-2020</t>
  </si>
  <si>
    <t xml:space="preserve"> (פ/1005/23)</t>
  </si>
  <si>
    <t xml:space="preserve">הצעת חוק אמנות ג'נבה, התש"ף-2020</t>
  </si>
  <si>
    <t xml:space="preserve"> (פ/1004/23)</t>
  </si>
  <si>
    <t xml:space="preserve">הצעת חוק למניעת תשדירי פרסומת פוגעניים (תיקוני חקיקה), התש"ף-2020</t>
  </si>
  <si>
    <t xml:space="preserve"> (פ/1003/23)</t>
  </si>
  <si>
    <t xml:space="preserve">הצעת חוק לייעול הפיקוח של ועדת החוץ והביטחון של הכנסת, התש"ף-2020</t>
  </si>
  <si>
    <t xml:space="preserve"> (פ/1002/23)</t>
  </si>
  <si>
    <t xml:space="preserve">הצעת חוק לתיקון פקודת התעבורה (הגבלת תשלום בעד חניה במוסד רפואי), התש"ף-2020</t>
  </si>
  <si>
    <t xml:space="preserve"> (פ/1001/23)</t>
  </si>
  <si>
    <t xml:space="preserve">הצעת חוק לתיקון פקודת התעבורה (סימון אחיד להסדרי חניה), התש"ף-2020</t>
  </si>
  <si>
    <t xml:space="preserve"> (פ/1000/23)</t>
  </si>
  <si>
    <t xml:space="preserve">הצעת חוק שירות הקבע בצבא הגנה לישראל (הליכים לעניין החלטות הנוגעות לחיילים בשירות קבע) (תיקון - סמכות נגררת ומקום מושב), התש"ף-2020</t>
  </si>
  <si>
    <t xml:space="preserve"> (פ/999/23)</t>
  </si>
  <si>
    <t xml:space="preserve">הצעת חוק לתיקון פקודת מסילות הברזל (העלאת אופניים לרכבת), התש"ף-2020</t>
  </si>
  <si>
    <t xml:space="preserve"> (פ/998/23)</t>
  </si>
  <si>
    <t xml:space="preserve">הצעת חוק השידור הציבורי הישראלי (תיקון - קציבת כהונה במינוי ממלא מקום), התש"ף-2020</t>
  </si>
  <si>
    <t xml:space="preserve"> (פ/997/23)</t>
  </si>
  <si>
    <t xml:space="preserve">הצעת חוק האזרחות והכניסה לישראל (הוראת שעה) (תיקון - ביטול החוק), התש"ף-2019</t>
  </si>
  <si>
    <t xml:space="preserve"> (פ/996/23)</t>
  </si>
  <si>
    <t xml:space="preserve">הצעת חוק שירות אזרחי (תיקון - עידוד הצטרפות לשירות אזרחי רק למי שקיבל פטור משירות סדיר או לא נקרא לו), התש"ף-2020</t>
  </si>
  <si>
    <t xml:space="preserve"> (פ/995/23)</t>
  </si>
  <si>
    <t xml:space="preserve"> (פ/994/23)</t>
  </si>
  <si>
    <t xml:space="preserve">הצעת חוק להגבלת כהונת ראש רשות מקומית (תיקוני חקיקה), התש"ף-2020</t>
  </si>
  <si>
    <t xml:space="preserve"> (פ/993/23)</t>
  </si>
  <si>
    <t xml:space="preserve">הצעת חוק להסדרת שירותי ההשגחה על הכשרות, התש"ף-2020</t>
  </si>
  <si>
    <t xml:space="preserve"> (פ/992/23)</t>
  </si>
  <si>
    <t xml:space="preserve">הצעת חוק התכנון והבנייה (תיקון - חובת שידור והקלטת ישיבות, ניהול פרוטוקול ופרסומו), התש"ף-2020</t>
  </si>
  <si>
    <t xml:space="preserve"> (פ/991/23)</t>
  </si>
  <si>
    <t xml:space="preserve">הצעת חוק לתיקון פקודת העיריות (הסדרת מבנים לתנועות נוער), התש"ף-2020</t>
  </si>
  <si>
    <t xml:space="preserve"> (פ/990/23)</t>
  </si>
  <si>
    <t xml:space="preserve">הצעת חוק הרשויות המקומיות (בחירות) (תיקון - הגבלת הזכות להיבחר בשל כתב אישום), התש"ף-2020</t>
  </si>
  <si>
    <t xml:space="preserve"> (פ/989/23)</t>
  </si>
  <si>
    <t xml:space="preserve">הצעת חוק הגנת הצרכן (תיקון - ביטול עסקה מתמשכת), התש"ף-2020</t>
  </si>
  <si>
    <t xml:space="preserve"> (פ/988/23)</t>
  </si>
  <si>
    <t xml:space="preserve">הצעת חוק התכנון והבנייה (תיקון - חיבור חשמל מטעמים הומניטריים), התש"ף-2020</t>
  </si>
  <si>
    <t xml:space="preserve"> (פ/987/23)</t>
  </si>
  <si>
    <t xml:space="preserve">הצעת חוק הרבנות הראשית לישראל (תיקון - סייג לבחירה או למינוי לתפקיד רב ראשי לישראל או לחבר מועצה), התש"ף-2020</t>
  </si>
  <si>
    <t xml:space="preserve"> (פ/986/23)</t>
  </si>
  <si>
    <t xml:space="preserve">הצעת חוק האגודות העותמאניות (רישום ופיקוח), התש"ף-2020</t>
  </si>
  <si>
    <t xml:space="preserve"> (פ/985/23)</t>
  </si>
  <si>
    <t xml:space="preserve">הצעת חוק העמותות (תיקון - אגודות עותמאניות), התש"ף-2020</t>
  </si>
  <si>
    <t xml:space="preserve"> (פ/984/23)</t>
  </si>
  <si>
    <t xml:space="preserve">הצעת חוק הגנה על הציבור מפני ביצוע עבירות מין (תיקון - סמכות קצין הפיקוח לעכב או לעצור ללא צו), התש"ף-2020</t>
  </si>
  <si>
    <t xml:space="preserve"> (פ/982/23)</t>
  </si>
  <si>
    <t xml:space="preserve">הצעת חוק-יסוד: החקיקה</t>
  </si>
  <si>
    <t xml:space="preserve"> (פ/981/23)</t>
  </si>
  <si>
    <t xml:space="preserve">הצעת חוק סדר הדין הפלילי (תיקון - ביטול האיסור המוטל על המשטרה למסור לפרקליטות עמדה בכתב לעניין מכלול התשתית הראייתית), התש"ף-2020</t>
  </si>
  <si>
    <t xml:space="preserve"> (פ/980/23)</t>
  </si>
  <si>
    <t xml:space="preserve">הצעת חוק-יסוד: הכנסת (תיקון - חבר הכנסת שהוגש נגדו כתב אישום המעלה חשש לסכנה לביטחון המדינה)</t>
  </si>
  <si>
    <t xml:space="preserve"> (פ/978/23)</t>
  </si>
  <si>
    <t xml:space="preserve">הצעת חוק סמכות ואחריות הורית (מזונות), התש"ף-2020</t>
  </si>
  <si>
    <t xml:space="preserve"> (פ/977/23)</t>
  </si>
  <si>
    <t xml:space="preserve"> (פ/976/23)</t>
  </si>
  <si>
    <t xml:space="preserve">הצעת חוק החזר הוצאות כספיות בגין עריכת נישואין אזרחיים בחוץ לארץ למי שאינם רשאים להינשא על פי הדין הדתי, התש"ף-2020</t>
  </si>
  <si>
    <t xml:space="preserve"> (פ/975/23)</t>
  </si>
  <si>
    <t xml:space="preserve">הצעת חוק חובת ניהול ופרסום פרוטוקול של ועדות מייעצות (תיקוני חקיקה), התש"ף-2020</t>
  </si>
  <si>
    <t xml:space="preserve"> (פ/974/23)</t>
  </si>
  <si>
    <t xml:space="preserve">הצעת חוק זכויות נפגעי עבירה (תיקון - החלת זכויות בדין האזרחי), התש"ף-2020</t>
  </si>
  <si>
    <t xml:space="preserve"> (פ/973/23)</t>
  </si>
  <si>
    <t xml:space="preserve">הצעת חוק שיפוט בתי דין רבניים (נישואין וגירושין) (תיקון - ביטול כריכה), התש"ף-2020</t>
  </si>
  <si>
    <t xml:space="preserve"> (פ/972/23)</t>
  </si>
  <si>
    <t xml:space="preserve">הצעת חוק חופשה שנתית (תיקון - קביעת יום פתיחת שנת הלימודים כיום בחירה), התש"ף-2020</t>
  </si>
  <si>
    <t xml:space="preserve"> (פ/971/23)</t>
  </si>
  <si>
    <t xml:space="preserve">הצעת חוק הביטוח הלאומי (תיקון - הכנסה מביטוח אובדן כושר עבודה), התש"ף-2020</t>
  </si>
  <si>
    <t xml:space="preserve"> (פ/970/23)</t>
  </si>
  <si>
    <t xml:space="preserve">הצעת חוק הביטוח הלאומי (תיקון - דמי אבטלה לעובד שפוטר לאחר שהגיע לגיל פרישה), התש"ף-2020</t>
  </si>
  <si>
    <t xml:space="preserve"> (פ/969/23)</t>
  </si>
  <si>
    <t xml:space="preserve">הצעת חוק משפחות חיילים שנספו במערכה (תגמולים ושיקום) (תיקון - המונח יתום), התש"ף-2020</t>
  </si>
  <si>
    <t xml:space="preserve"> (פ/968/23)</t>
  </si>
  <si>
    <t xml:space="preserve"> (פ/967/23)</t>
  </si>
  <si>
    <t xml:space="preserve">הצעת חוק הפיקדון על מכלי משקה (תיקון - החלת החוק על מכלי משקה גדולים), התש"ף-2020</t>
  </si>
  <si>
    <t xml:space="preserve"> (פ/966/23)</t>
  </si>
  <si>
    <t xml:space="preserve">הצעת חוק הבחירות לכנסת (תיקון - ביטול עקרון הריתוק לקלפי), התש"ף-2020</t>
  </si>
  <si>
    <t xml:space="preserve"> (פ/965/23)</t>
  </si>
  <si>
    <t xml:space="preserve">הצעת חוק סייעות במוסדות חינוך, התש"ף-2020</t>
  </si>
  <si>
    <t xml:space="preserve"> (פ/964/23)</t>
  </si>
  <si>
    <t xml:space="preserve">הצעת חוק הביטוח הלאומי (תיקון - הפחתת קצבת ילדים בשל אי חיסון), התש"ף-2020</t>
  </si>
  <si>
    <t xml:space="preserve"> (פ/963/23)</t>
  </si>
  <si>
    <t xml:space="preserve">הצעת חוק העונשין (תיקון - החריגים לעבירת ריבוי נישואין), התש"ף-2020</t>
  </si>
  <si>
    <t xml:space="preserve"> (פ/962/23)</t>
  </si>
  <si>
    <t xml:space="preserve">הצעת חוק תקצוב מיוחד לרשויות חינוך מקומיות מרוחקות, התש"ף-2020</t>
  </si>
  <si>
    <t xml:space="preserve"> (פ/961/23)</t>
  </si>
  <si>
    <t xml:space="preserve"> (פ/960/23)</t>
  </si>
  <si>
    <t xml:space="preserve">הצעת חוק למניעת עיגון מנישואין, התש"ף-2020</t>
  </si>
  <si>
    <t xml:space="preserve"> (פ/959/23)</t>
  </si>
  <si>
    <t xml:space="preserve"> (פ/958/23)</t>
  </si>
  <si>
    <t xml:space="preserve">הצעת חוק הקמת האקדמיה הלאומית לשפת הסימנים, התש"ף-2020</t>
  </si>
  <si>
    <t xml:space="preserve"> (פ/957/23)</t>
  </si>
  <si>
    <t xml:space="preserve">הצעת חוק מניעת עבירות מין בקטינים (תיקוני חקיקה), התש"ף-2020</t>
  </si>
  <si>
    <t xml:space="preserve"> (פ/956/23)</t>
  </si>
  <si>
    <t xml:space="preserve">הצעת חוק ביטוח בריאות ממלכתי (תיקון - מחלה יתומה), התש"ף-2020</t>
  </si>
  <si>
    <t xml:space="preserve"> (פ/955/23)</t>
  </si>
  <si>
    <t xml:space="preserve"> (פ/954/23)</t>
  </si>
  <si>
    <t xml:space="preserve">הצעת חוק הסניגוריה הציבורית (תיקון - פיקוח על החזקה בבידוד או על החזקה באיפול תקשורתי), התש"ף-2020</t>
  </si>
  <si>
    <t xml:space="preserve"> (פ/953/23)</t>
  </si>
  <si>
    <t xml:space="preserve">הצעת חוק ביטוח בריאות ממלכתי (תיקון - צמצום הפערים בין הפריפריה למרכז), התש"ף-2020</t>
  </si>
  <si>
    <t xml:space="preserve"> (פ/952/23)</t>
  </si>
  <si>
    <t xml:space="preserve">הצעת חוק הביטוח הלאומי (תיקון - הארכת המועד להגשת תביעות ליקוי שמיעה), התש"ף-2020</t>
  </si>
  <si>
    <t xml:space="preserve"> (פ/951/23)</t>
  </si>
  <si>
    <t xml:space="preserve">הצעת חוק למניעת אלימות במשפחה (תיקון - דיון במעמד צד אחד באלימות נפשית), התש"ף-2020</t>
  </si>
  <si>
    <t xml:space="preserve"> (פ/950/23)</t>
  </si>
  <si>
    <t xml:space="preserve">הצעת חוק העסקת עובדי הוראה, התש"ף-2020</t>
  </si>
  <si>
    <t xml:space="preserve"> (פ/949/23)</t>
  </si>
  <si>
    <t xml:space="preserve">הצעת חוק הערבות (תיקון - ביטול החוק), התש"ף-2020</t>
  </si>
  <si>
    <t xml:space="preserve"> (פ/948/23)</t>
  </si>
  <si>
    <t xml:space="preserve">הצעת חוק הגנת הצרכן (תיקון - פרסום פרטי עוסק באינטרנט), התש"ף-2020</t>
  </si>
  <si>
    <t xml:space="preserve"> (פ/947/23)</t>
  </si>
  <si>
    <t xml:space="preserve">הצעת חוק איסור שימוש בחקירה של מי שנפגע מינית, בממצאי טיפול נפשי וביומנים אישיים (תיקוני חקיקה), התש"ף-2020</t>
  </si>
  <si>
    <t xml:space="preserve"> (פ/945/23)</t>
  </si>
  <si>
    <t xml:space="preserve"> (פ/944/23)</t>
  </si>
  <si>
    <t xml:space="preserve">הצעת חוק המועצה להשכלה גבוהה (תיקון - הקמת מוסדות להשכלה גבוהה), התש"ף-2020</t>
  </si>
  <si>
    <t xml:space="preserve"> (פ/943/23)</t>
  </si>
  <si>
    <t xml:space="preserve">הצעת חוק סביבה בטוחה ונקייה מאלרגנים במוסדות חינוך (תיקוני חקיקה), התש"ף-2020</t>
  </si>
  <si>
    <t xml:space="preserve"> (פ/942/23)</t>
  </si>
  <si>
    <t xml:space="preserve">הצעת חוק זכויות תלמידים מחוננים ומצטיינים, התש"ף-2020</t>
  </si>
  <si>
    <t xml:space="preserve"> (פ/941/23)</t>
  </si>
  <si>
    <t xml:space="preserve">הצעת חוק לימוד חובה (תיקון - סיוע לתלמידים במימון טיולים שנתיים), התש"ף-2020</t>
  </si>
  <si>
    <t xml:space="preserve"> (פ/940/23)</t>
  </si>
  <si>
    <t xml:space="preserve">הצעת חוק החינוך המוזיקלי בישראל, התש"ף-2020</t>
  </si>
  <si>
    <t xml:space="preserve"> (פ/939/23)</t>
  </si>
  <si>
    <t xml:space="preserve"> (פ/938/23)</t>
  </si>
  <si>
    <t xml:space="preserve">הצעת חוק איסור הפליה בשל מין, נטייה מינית או זהות מגדרית (תיקוני חקיקה), התש"ף-2020</t>
  </si>
  <si>
    <t xml:space="preserve"> (פ/937/23)</t>
  </si>
  <si>
    <t xml:space="preserve">הצעת חוק המועצה להשכלה גבוהה (תיקון - קביעת תנאי קבלה בידי מוסד), התש"ף-2020</t>
  </si>
  <si>
    <t xml:space="preserve"> (פ/936/23)</t>
  </si>
  <si>
    <t xml:space="preserve">הצעת חוק הגנה על הציבור מפני ביצוע עבירות מין (תיקון - מתן טיפול שיקום מונע ללא הרשעה), התש"ף-2020</t>
  </si>
  <si>
    <t xml:space="preserve"> (פ/935/23)</t>
  </si>
  <si>
    <t xml:space="preserve">הצעת חוק איסור פרסום הפליה (תיקוני חקיקה), התש"ף-2020</t>
  </si>
  <si>
    <t xml:space="preserve"> (פ/934/23)</t>
  </si>
  <si>
    <t xml:space="preserve">הצעת חוק הכשרות המשפטית והאפוטרופסות (תיקון - תשלום שכר והוצאות של אפוטרופוס מאוצר המדינה), התש"ף-2020</t>
  </si>
  <si>
    <t xml:space="preserve"> (פ/933/23)</t>
  </si>
  <si>
    <t xml:space="preserve">הצעת חוק זכויות נפגעי עבירה (תיקון - הכשרת חוקרי וחוקרות עבירות מין ואלימות במשפחה), התש"ף-2020</t>
  </si>
  <si>
    <t xml:space="preserve"> (פ/932/23)</t>
  </si>
  <si>
    <t xml:space="preserve"> (פ/931/23)</t>
  </si>
  <si>
    <t xml:space="preserve">הצעת חוק דמי מחלה (היעדרות בשל מחלת ילד) (תיקון - היעדרות בשל אשפוז ילד), התש"ף-2020</t>
  </si>
  <si>
    <t xml:space="preserve"> (פ/930/23)</t>
  </si>
  <si>
    <t xml:space="preserve">הצעת חוק הגנת השכר (תיקון - צירוף פירוט שעות חודשי לתלוש השכר), התש"ף-2020</t>
  </si>
  <si>
    <t xml:space="preserve"> (פ/929/23)</t>
  </si>
  <si>
    <t xml:space="preserve">הצעת חוק לשכת עורכי הדין (תיקון - ביטול פקיעת חברות בפשיטת רגל), התש"ף-2020</t>
  </si>
  <si>
    <t xml:space="preserve"> (פ/928/23)</t>
  </si>
  <si>
    <t xml:space="preserve">הצעת חוק הביטוח הלאומי (תיקון - גמלת אבל), התש"ף-2020</t>
  </si>
  <si>
    <t xml:space="preserve"> (פ/927/23)</t>
  </si>
  <si>
    <t xml:space="preserve"> (פ/926/23)</t>
  </si>
  <si>
    <t xml:space="preserve">הצעת חוק הביטוח הלאומי (תיקון - דמי הסתגלות לעצמאית) (הוראת שעה), התש"ף-2020</t>
  </si>
  <si>
    <t xml:space="preserve"> (פ/925/23)</t>
  </si>
  <si>
    <t xml:space="preserve">הצעת חוק דמי מחלה (היעדרות בשל מחלת נכד), התש"ף-2020</t>
  </si>
  <si>
    <t xml:space="preserve"> (פ/924/23)</t>
  </si>
  <si>
    <t xml:space="preserve">הצעת חוק הסדרי עבודה גמישים, התש"ף-2020</t>
  </si>
  <si>
    <t xml:space="preserve"> (פ/923/23)</t>
  </si>
  <si>
    <t xml:space="preserve">הצעת חוק הבטחת סידור ביתי לקטינים נזקקים, התש"ף-2020</t>
  </si>
  <si>
    <t xml:space="preserve"> (פ/921/23)</t>
  </si>
  <si>
    <t xml:space="preserve"> (פ/920/23)</t>
  </si>
  <si>
    <t xml:space="preserve"> (פ/919/23)</t>
  </si>
  <si>
    <t xml:space="preserve">הצעת חוק בתי המשפט (תיקון - שקיפות הליכים משפטיים), התש"ף-2020</t>
  </si>
  <si>
    <t xml:space="preserve"> (פ/918/23)</t>
  </si>
  <si>
    <t xml:space="preserve">הצעת חוק התניית יום שבתון בהצבעה בבחירות (תיקוני חקיקה), התש"ף-2020</t>
  </si>
  <si>
    <t xml:space="preserve"> (פ/917/23)</t>
  </si>
  <si>
    <t xml:space="preserve"> (פ/916/23)</t>
  </si>
  <si>
    <t xml:space="preserve">הצעת חוק הביטוח הלאומי (תיקון - עקר בית), התש"ף-2020</t>
  </si>
  <si>
    <t xml:space="preserve"> (פ/915/23)</t>
  </si>
  <si>
    <t xml:space="preserve">הצעת חוק העונשין (תיקון - פיצויים לזכאי במשפט חוזר ובערעור בבית המשפט העליון), התש"ף-2020</t>
  </si>
  <si>
    <t xml:space="preserve"> (פ/913/23)</t>
  </si>
  <si>
    <t xml:space="preserve">הצעת חוק ביטוח בריאות ממלכתי (תיקון - צמצום פערים בין הפריפריה למרכז), התש"ף-2020</t>
  </si>
  <si>
    <t xml:space="preserve"> (פ/912/23)</t>
  </si>
  <si>
    <t xml:space="preserve">הצעת חוק ביטוח בריאות ממלכתי (תיקון - מתן טיפולי שיניים, פה ולסת למבוטח עם שיתוק מוחין), התש"ף-2020</t>
  </si>
  <si>
    <t xml:space="preserve"> (פ/911/23)</t>
  </si>
  <si>
    <t xml:space="preserve">הצעת חוק הביטוח לאומי (תיקון - ביטוח זכויות עצמאי שעיקר הכנסתו מעסק שמצוי בפשיטת רגל או בפירוק), התש"ף-2020</t>
  </si>
  <si>
    <t xml:space="preserve"> (פ/910/23)</t>
  </si>
  <si>
    <t xml:space="preserve">הצעת חוק ביטוח בריאות ממלכתי (תיקון - תוספת קבועה לסל שירותי הבריאות לעדכון טכנולוגיות רפואיות חדשות, תרופות, מכשור ושיטות טיפול), התש"ף-2020</t>
  </si>
  <si>
    <t xml:space="preserve"> (פ/909/23)</t>
  </si>
  <si>
    <t xml:space="preserve">הצעת חוק מימון מפלגות (תיקון - ייצוג הולם לנשים בבחירות לכנסת), התש"ף-2020</t>
  </si>
  <si>
    <t xml:space="preserve"> (פ/908/23)</t>
  </si>
  <si>
    <t xml:space="preserve">הצעת חוק הביטוח הלאומי (תיקון - קצבה יחסית לאזרח ותיק), התש"ף-2020 </t>
  </si>
  <si>
    <t xml:space="preserve"> (פ/907/23)</t>
  </si>
  <si>
    <t xml:space="preserve">הצעת חוק הביטוח הלאומי (תיקון - הוראות לעניין עקרת בית), התש"ף-2020</t>
  </si>
  <si>
    <t xml:space="preserve"> (פ/905/23)</t>
  </si>
  <si>
    <t xml:space="preserve">הצעת חוק הביטוח הלאומי (תיקון - זכאות לדמי לידה לחיילות בשירות קבע), התש"ף-2020</t>
  </si>
  <si>
    <t xml:space="preserve"> (פ/904/23)</t>
  </si>
  <si>
    <t xml:space="preserve">הצעת חוק הבחירות לכנסת (תיקון - הצבעת אנשי צוות אוויר), התש"ף-2020</t>
  </si>
  <si>
    <t xml:space="preserve"> (פ/902/23)</t>
  </si>
  <si>
    <t xml:space="preserve">הצעת חוק תרומת ביציות (תיקון - מימון הקפאת ביציות למטרת שמירת פוריות של התורמת), התש"ף-2020</t>
  </si>
  <si>
    <t xml:space="preserve"> (פ/901/23)</t>
  </si>
  <si>
    <t xml:space="preserve"> (פ/900/23)</t>
  </si>
  <si>
    <t xml:space="preserve">הצעת חוק הביטוח הלאומי (תיקון - שכר הוגן לחיילי מילואים שעובדים במשרה חלקית), התש"ף-2020</t>
  </si>
  <si>
    <t xml:space="preserve"> (פ/899/23)</t>
  </si>
  <si>
    <t xml:space="preserve">הצעת חוק הביטוח הלאומי (תיקון - השלמת סכום קצבת אזרח ותיק לנכה), התש"ף-2020</t>
  </si>
  <si>
    <t xml:space="preserve"> (פ/897/23)</t>
  </si>
  <si>
    <t xml:space="preserve">הצעת חוק הביטוח הלאומי (תיקון - תוספת לקצבה של מי שמעסיק עובד בענף הסיעוד), התש"ף-2020</t>
  </si>
  <si>
    <t xml:space="preserve"> (פ/896/23)</t>
  </si>
  <si>
    <t xml:space="preserve">הצעת חוק שוויון ההזדמנויות בעבודה (תיקון - עצמאות נציבות שוויון ההזדמנויות בעבודה), התש"ף-2020</t>
  </si>
  <si>
    <t xml:space="preserve"> (פ/895/23)</t>
  </si>
  <si>
    <t xml:space="preserve"> (פ/894/23)</t>
  </si>
  <si>
    <t xml:space="preserve">הצעת חוק הביטוח הלאומי (תיקון - קצבת שאירים למי שמנהל משק בית משותף), התש"ף-2020</t>
  </si>
  <si>
    <t xml:space="preserve"> (פ/893/23)</t>
  </si>
  <si>
    <t xml:space="preserve">הצעת חוק הביטוח הלאומי (תיקון - קצבת אזרח ותיק ראויה), התש"ף-2020</t>
  </si>
  <si>
    <t xml:space="preserve"> (פ/892/23)</t>
  </si>
  <si>
    <t xml:space="preserve">הצעת חוק להגדלת שיעור ההשתתפות בכוח העבודה ולצמצום פערים חברתיים (מענק עבודה) (תיקון - זכאות להטבות נלוות), התש"ף-2020</t>
  </si>
  <si>
    <t xml:space="preserve"> (פ/889/23)</t>
  </si>
  <si>
    <t xml:space="preserve">הצעת חוק בנק הזרע (הזרעות והפריות חוץ בבני זוג פרודים), התש"ף-2020</t>
  </si>
  <si>
    <t xml:space="preserve"> (פ/888/23)</t>
  </si>
  <si>
    <t xml:space="preserve">הצעת חוק הגנה על עובדים (חשיפת עבירות ופגיעה בטוהר המידות או במינהל התקין) (תיקון - הגדלת סכום הפיצוי שאינו תלוי בנזק ושינוי נטל ההוכחה), התש"ף-2020</t>
  </si>
  <si>
    <t xml:space="preserve"> (פ/887/23)</t>
  </si>
  <si>
    <t xml:space="preserve">הצעת חוק האזרחים הוותיקים (תיקון - פטור מתשלום עבור שמירת מקום ישיבה בתחבורה ציבורית), התש"ף-2020</t>
  </si>
  <si>
    <t xml:space="preserve"> (פ/886/23)</t>
  </si>
  <si>
    <t xml:space="preserve">הצעת חוק נכי רדיפות הנאצים (תיקון - הגדרות זכאות), התש"ף-2020</t>
  </si>
  <si>
    <t xml:space="preserve"> (פ/884/23)</t>
  </si>
  <si>
    <t xml:space="preserve">הצעת חוק הכללת חוב עונשי בהפטר (תיקוני חקיקה), התש"ף-2020</t>
  </si>
  <si>
    <t xml:space="preserve"> (פ/883/23)</t>
  </si>
  <si>
    <t xml:space="preserve">הצעת חוק לעידוד השקעות הון (תיקון - ביטול מסלול הטבות המס), התש"ף-2020</t>
  </si>
  <si>
    <t xml:space="preserve"> (פ/881/23)</t>
  </si>
  <si>
    <t xml:space="preserve">הצעת חוק תגמול נושאי משרה בחברות ציבוריות, התש"ף-2020</t>
  </si>
  <si>
    <t xml:space="preserve"> (פ/880/23)</t>
  </si>
  <si>
    <t xml:space="preserve">הצעת חוק לקידום התחרות ולצמצום הריכוזיות (תיקון - קביעת תאגיד שאינו מדווח או שותפות כחברת שכבה), התש"ף-2020</t>
  </si>
  <si>
    <t xml:space="preserve"> (פ/879/23)</t>
  </si>
  <si>
    <t xml:space="preserve">הצעת חוק הודעה מוקדמת לפני סגירת עסק באזורים מוכי אבטלה, התש"ף-2020</t>
  </si>
  <si>
    <t xml:space="preserve"> (פ/878/23)</t>
  </si>
  <si>
    <t xml:space="preserve">הצעת חוק הביטוח הלאומי (תיקון - הארכת תקופת הזכאות לדמי אבטלה לצעירים), התש"ף-2020</t>
  </si>
  <si>
    <t xml:space="preserve"> (פ/877/23)</t>
  </si>
  <si>
    <t xml:space="preserve">הצעת חוק לתיקון פקודת מס הכנסה (משיכה מקרן השתלמות לאחר לידה או אימוץ), התש"ף-2020</t>
  </si>
  <si>
    <t xml:space="preserve"> (פ/876/23)</t>
  </si>
  <si>
    <t xml:space="preserve">הצעת חוק להגבלת העברת השליטה בתאגידים מרכזיים לגופים זרים, התש"ף-2020</t>
  </si>
  <si>
    <t xml:space="preserve"> (פ/875/23)</t>
  </si>
  <si>
    <t xml:space="preserve">הצעת חוק הבטחת הכנסה (תיקון - זכאות לגמלה למי שמצוי בהכשרה מקצועית), התש"ף-2020</t>
  </si>
  <si>
    <t xml:space="preserve"> (פ/873/23)</t>
  </si>
  <si>
    <t xml:space="preserve">הצעת חוק הביטוח הלאומי (תיקון - תשלום דמי אבטלה מהיום הראשון) (הוראת שעה), התש"ף-2020 </t>
  </si>
  <si>
    <t xml:space="preserve"> (פ/872/23)</t>
  </si>
  <si>
    <t xml:space="preserve">הצעת חוק האזרחים הוותיקים (תיקון - הקצאת מקומות חניה במקום ציבורי לאזרח ותיק שגילו עולה על 75), התש"ף-2020</t>
  </si>
  <si>
    <t xml:space="preserve"> (פ/871/23)</t>
  </si>
  <si>
    <t xml:space="preserve">הצעת חוק הביטוח הלאומי (תיקון - תוספת דמי אבטלה למי שמתחת לגיל 28 עם ילד אחד לפחות), התש"ף-2020 </t>
  </si>
  <si>
    <t xml:space="preserve"> (פ/870/23)</t>
  </si>
  <si>
    <t xml:space="preserve">הצעת חוק שקיפות הצהרות הון של נבחרי ציבור, התש"ף-2020</t>
  </si>
  <si>
    <t xml:space="preserve"> (פ/867/23)</t>
  </si>
  <si>
    <t xml:space="preserve">18.05.2020</t>
  </si>
  <si>
    <t xml:space="preserve">הצעת חוק רציפות הדיון בהצעות חוק (תיקון - כנסת שלא כוננה בה ממשלה), התש"ף-2020</t>
  </si>
  <si>
    <t xml:space="preserve"> (פ/866/23)</t>
  </si>
  <si>
    <t xml:space="preserve">הצעת חוק פנייה לגופים ציבוריים באמצעי קשר דיגיטליים (תיקון - קביעת תור באמצעות האינטרנט), התש"ף-2020</t>
  </si>
  <si>
    <t xml:space="preserve"> (פ/865/23)</t>
  </si>
  <si>
    <t xml:space="preserve">הצעת חוק הטבות לניצולי שואה (תיקון - הגדלת מענק שנתי), התש"ף-2020</t>
  </si>
  <si>
    <t xml:space="preserve"> (פ/864/23)</t>
  </si>
  <si>
    <t xml:space="preserve">הצעת חוק הטבות לניצולי שואה (תיקון - מענק שנתי למקבלי קצבאות מחוץ לארץ), התש"ף-2020</t>
  </si>
  <si>
    <t xml:space="preserve"> (פ/863/23)</t>
  </si>
  <si>
    <t xml:space="preserve">הצעת חוק למניעת הטרדה מינית (תיקון - הרחבת תחולה על עובדים עצמאים ומתנדבים), התש"ף-2020</t>
  </si>
  <si>
    <t xml:space="preserve"> (פ/862/23)</t>
  </si>
  <si>
    <t xml:space="preserve">הצעת חוק המסייעים לנטרול תוצאות אסון צ'רנוביל (תיקון - הגדלת מענק שנתי), התש"ף-2020</t>
  </si>
  <si>
    <t xml:space="preserve"> (פ/861/23)</t>
  </si>
  <si>
    <t xml:space="preserve">הצעת חוק מעמד ותיקי מלחמת העולם השנייה (תיקון - מענק הטבות לוותיק מלחמה), התש"ף-2020 </t>
  </si>
  <si>
    <t xml:space="preserve"> (פ/860/23)</t>
  </si>
  <si>
    <t xml:space="preserve"> (פ/859/23)</t>
  </si>
  <si>
    <t xml:space="preserve">הצעת חוק ביטוח בריאות ממלכתי (תיקון - מתן שירותים במרפאה ביישוב קטן לחברי קופה אחרת), התש"ף-2020</t>
  </si>
  <si>
    <t xml:space="preserve"> (פ/858/23)</t>
  </si>
  <si>
    <t xml:space="preserve">הצעת חוק שירות לאומי-אזרחי (תיקון - משרת בודד), התש"ף-2020</t>
  </si>
  <si>
    <t xml:space="preserve"> (פ/857/23)</t>
  </si>
  <si>
    <t xml:space="preserve"> (פ/856/23)</t>
  </si>
  <si>
    <t xml:space="preserve">הצעת חוק המאבק בטרור (תיקון - החמרת ענישה), התש"ף-2020</t>
  </si>
  <si>
    <t xml:space="preserve"> (פ/855/23)</t>
  </si>
  <si>
    <t xml:space="preserve">הצעת חוק למניעת העסקה של עברייני מין במוסדות מסוימים (תיקון - קביעת חובה לחדש את אישור המשטרה), התש"ף-2020</t>
  </si>
  <si>
    <t xml:space="preserve"> (פ/854/23)</t>
  </si>
  <si>
    <t xml:space="preserve">הצעת חוק זכויות נפגעי עבירה (תיקון - שמירת דגימה פורנזית של נפגעי עבירת מין לצורך הפקת דנ"א ללא הגבלת זמן), התש"ף-2020</t>
  </si>
  <si>
    <t xml:space="preserve"> (פ/853/23)</t>
  </si>
  <si>
    <t xml:space="preserve">הצעת חוק הבחירות לכנסת (תיקון - זכות לשכר ביום הבחירות), התש"ף-2020</t>
  </si>
  <si>
    <t xml:space="preserve"> (פ/852/23)</t>
  </si>
  <si>
    <t xml:space="preserve">הצעת חוק הביטוח הלאומי (תיקון - תוספת דחיית קצבה), התש"ף-2020</t>
  </si>
  <si>
    <t xml:space="preserve"> (פ/851/23)</t>
  </si>
  <si>
    <t xml:space="preserve">הצעת חוק להנצחת זכרו של הרב עובדיה יוסף, התש"ף-2020</t>
  </si>
  <si>
    <t xml:space="preserve"> (פ/850/23)</t>
  </si>
  <si>
    <t xml:space="preserve">הצעת חוק זכויות התלמיד (תיקון - איסור התניית זכות הלימוד בתשלום), התש"ף-2020</t>
  </si>
  <si>
    <t xml:space="preserve"> (פ/849/23)</t>
  </si>
  <si>
    <t xml:space="preserve">הצעת חוק המרכז למורשת הערבית, התש"ף-2020</t>
  </si>
  <si>
    <t xml:space="preserve"> (פ/848/23)</t>
  </si>
  <si>
    <t xml:space="preserve">הצעת חוק חינוך ממלכתי (תיקון - מטרות החינוך הערבי), התש"ף-2020</t>
  </si>
  <si>
    <t xml:space="preserve"> (פ/847/23)</t>
  </si>
  <si>
    <t xml:space="preserve">הצעת חוק שירותי הדת היהודיים (מועצות דתיות - בחירות), התש"ף-2020</t>
  </si>
  <si>
    <t xml:space="preserve"> (פ/846/23)</t>
  </si>
  <si>
    <t xml:space="preserve">הצעת חוק צער בעלי חיים (הגנה על בעלי חיים) (תיקון - איסור ניצול בעלי חיים למטרות הימורים), התש"ף-2020</t>
  </si>
  <si>
    <t xml:space="preserve"> (פ/845/23)</t>
  </si>
  <si>
    <t xml:space="preserve">הצעת חוק שוויון זכויות לאנשים עם מוגבלות (תיקון - בירור תלונות ופיקוח על שמירת זכויות של אנשים עם מוגבלות במסגרות מגורים), התש"ף-2020</t>
  </si>
  <si>
    <t xml:space="preserve"> (פ/844/23)</t>
  </si>
  <si>
    <t xml:space="preserve">הצעת חוק הגישור, התש"ף-2020</t>
  </si>
  <si>
    <t xml:space="preserve"> (פ/843/23)</t>
  </si>
  <si>
    <t xml:space="preserve">הצעת חוק שירותי בריאות נפש ממלכתיים, התש"ף-2020</t>
  </si>
  <si>
    <t xml:space="preserve"> (פ/842/23)</t>
  </si>
  <si>
    <t xml:space="preserve">הצעת חוק שוויון זכויות לאנשים עם מוגבלות (תיקון - דיור בקהילה וסיוע אישי), התש"ף-2020</t>
  </si>
  <si>
    <t xml:space="preserve"> (פ/841/23)</t>
  </si>
  <si>
    <t xml:space="preserve">הצעת חוק מדד לזכות לקיום אנושי בכבוד, התש"ף-2020</t>
  </si>
  <si>
    <t xml:space="preserve"> (פ/840/23)</t>
  </si>
  <si>
    <t xml:space="preserve">הצעת חוק הביטוח הלאומי (תיקון - גמלה בשל דיכאון לאחר לידה), התש"ף-2020</t>
  </si>
  <si>
    <t xml:space="preserve"> (פ/839/23)</t>
  </si>
  <si>
    <t xml:space="preserve">הצעת חוק הבחירות לכנסת (תיקון - עדכון כתובת לצורכי בחירות), התש"ף-2020</t>
  </si>
  <si>
    <t xml:space="preserve"> (פ/838/23)</t>
  </si>
  <si>
    <t xml:space="preserve">הצעת חוק הבטחת הכנסה (תיקון - גמלאות להורה עצמאי), התש"ף-2020</t>
  </si>
  <si>
    <t xml:space="preserve"> (פ/837/23)</t>
  </si>
  <si>
    <t xml:space="preserve">הצעת חוק שיפוט בתי דין רבניים (נישואין וגירושין) (תיקון - איסור ביטול גיור), התש"ף-2020</t>
  </si>
  <si>
    <t xml:space="preserve"> (פ/836/23)</t>
  </si>
  <si>
    <t xml:space="preserve">הצעת חוק החברות (תיקון - איסור חברות בדירקטוריון של בנק ושל חברה ציבורית נוספת), התש"ף-2020</t>
  </si>
  <si>
    <t xml:space="preserve"> (פ/834/23)</t>
  </si>
  <si>
    <t xml:space="preserve">הצעת חוק קביעת אופן ההעסקה של מטפלות במשפחתונים המפוקחים על ידי משרד העבודה, הרווחה והשירותים החברתיים, התש"ף-2020</t>
  </si>
  <si>
    <t xml:space="preserve"> (פ/833/23)</t>
  </si>
  <si>
    <t xml:space="preserve">הצעת חוק הביטוח הלאומי (תיקון - הארכת תקופת הזכאות לדמי אבטלה למובטל שגם בן זוגו מובטל או שהוא הורה עצמאי), התש"ף-2020</t>
  </si>
  <si>
    <t xml:space="preserve"> (פ/832/23)</t>
  </si>
  <si>
    <t xml:space="preserve">הצעת חוק האזרחים הוותיקים (תיקון - התקנת לחצן מצוקה לקשיש ואיחוד מוקדי חירום), התש"ף-2020</t>
  </si>
  <si>
    <t xml:space="preserve"> (פ/831/23)</t>
  </si>
  <si>
    <t xml:space="preserve"> (פ/830/23)</t>
  </si>
  <si>
    <t xml:space="preserve"> (פ/829/23)</t>
  </si>
  <si>
    <t xml:space="preserve">הצעת חוק הנחה לנכים בתחבורה ציבורית, התש"ף-2020</t>
  </si>
  <si>
    <t xml:space="preserve"> (פ/828/23)</t>
  </si>
  <si>
    <t xml:space="preserve">הצעת חוק הגנת הצרכן (תיקון - אישור להמשך מתן שירות בעסקה מתמשכת), התש"ף-2020</t>
  </si>
  <si>
    <t xml:space="preserve"> (פ/827/23)</t>
  </si>
  <si>
    <t xml:space="preserve">הצעת חוק-יסוד: אוצרות הטבע ומשאבי הסביבה</t>
  </si>
  <si>
    <t xml:space="preserve"> (פ/826/23)</t>
  </si>
  <si>
    <t xml:space="preserve">הצעת חוק הבחירות לכנסת (תיקון - הצבעה בקלפיות של בעלי מוגבלויות), התש"ף-2020</t>
  </si>
  <si>
    <t xml:space="preserve"> (פ/825/23)</t>
  </si>
  <si>
    <t xml:space="preserve">הצעת חוק משק החשמל (תיקון - איסור ניתוק חשמל), התש"ף-2020</t>
  </si>
  <si>
    <t xml:space="preserve"> (פ/824/23)</t>
  </si>
  <si>
    <t xml:space="preserve"> (פ/823/23)</t>
  </si>
  <si>
    <t xml:space="preserve"> (פ/822/23)</t>
  </si>
  <si>
    <t xml:space="preserve">הצעת חוק לתיקון פקודת העיריות (שינוי מועד תשלום הארנונה), התש"ף-2020</t>
  </si>
  <si>
    <t xml:space="preserve"> (פ/821/23)</t>
  </si>
  <si>
    <t xml:space="preserve">הצעת חוק לתיקון פקודת מס הכנסה (משיכה מקרן השתלמות לרכישת דירה ראשונה), התש"ף-2020</t>
  </si>
  <si>
    <t xml:space="preserve"> (פ/820/23)</t>
  </si>
  <si>
    <t xml:space="preserve"> (פ/819/23)</t>
  </si>
  <si>
    <t xml:space="preserve">הצעת חוק הפיקוח על שירותים פיננסיים (ביטוח) (תיקון - הוספת רישיון הנפקה), התש"ף-2020</t>
  </si>
  <si>
    <t xml:space="preserve"> (פ/818/23)</t>
  </si>
  <si>
    <t xml:space="preserve">הצעת חוק-יסוד: משק המדינה (תיקון - סעיף נוקשות)</t>
  </si>
  <si>
    <t xml:space="preserve"> (פ/817/23)</t>
  </si>
  <si>
    <t xml:space="preserve">הצעת חוק לתיקון פקודת מסי העיריה ומסי הממשלה (פיטורין) (החלת חובת תשלום ארנונה על נכסי ממשלה המצויים באזור), התש"ף-2020</t>
  </si>
  <si>
    <t xml:space="preserve"> (פ/816/23)</t>
  </si>
  <si>
    <t xml:space="preserve">הצעת חוק לתיקון פקודת מס הכנסה (השוואת תנאים בין שכיר לעצמאי בחיסכון ארוך טווח), התש"ף-2020</t>
  </si>
  <si>
    <t xml:space="preserve"> (פ/815/23)</t>
  </si>
  <si>
    <t xml:space="preserve">הצעת חוק לתיקון פקודת המסים (גבייה) (ביטול החוק), התש"ף-2020</t>
  </si>
  <si>
    <t xml:space="preserve"> (פ/814/23)</t>
  </si>
  <si>
    <t xml:space="preserve">הצעת חוק מיסוי מקרקעין (שבח ורכישה) (דירה נוספת שלא נעשה בה שימוש), התש"ף-2020</t>
  </si>
  <si>
    <t xml:space="preserve"> (פ/813/23)</t>
  </si>
  <si>
    <t xml:space="preserve">הצעת חוק הגנת השכר (תיקון - פיצויי פיטורים בזמן אמת), התש"ף-2020</t>
  </si>
  <si>
    <t xml:space="preserve"> (פ/812/23)</t>
  </si>
  <si>
    <t xml:space="preserve">הצעת חוק הביטוח הלאומי (תיקון - חישוב דמי לידה לפי החודש שבו הייתה ההכנסה הגבוהה ביותר), התש"ף-2020</t>
  </si>
  <si>
    <t xml:space="preserve"> (פ/811/23)</t>
  </si>
  <si>
    <t xml:space="preserve"> (פ/810/23)</t>
  </si>
  <si>
    <t xml:space="preserve">הצעת חוק משק החשמל (תיקון - מניעת הפסקת אספקת חשמל לצרכן נזקק) התש"ף-2020</t>
  </si>
  <si>
    <t xml:space="preserve"> (פ/809/23)</t>
  </si>
  <si>
    <t xml:space="preserve">הצעת חוק הפיקוח על שירותים פיננסיים (קופות גמל) (משיכת כספים מקופת גמל) (הוראת שעה), התש"ף-2020</t>
  </si>
  <si>
    <t xml:space="preserve"> (פ/808/23)</t>
  </si>
  <si>
    <t xml:space="preserve">הצעת חוק המים (תיקון - מתן הנחות בתעריפי מים לאוכלוסיית נזקקות), התש"ף-2020</t>
  </si>
  <si>
    <t xml:space="preserve"> (פ/807/23)</t>
  </si>
  <si>
    <t xml:space="preserve">הצעת חוק הדיינים (תיקון - כשירות דיינים), התש"ף-2020</t>
  </si>
  <si>
    <t xml:space="preserve"> (פ/806/23)</t>
  </si>
  <si>
    <t xml:space="preserve">הצעת חוק הגנת הצרכן (תיקון - אחריות מנהל כללי ונושא משרה בשל הפרת הוראות החוק), התש"ף-2020</t>
  </si>
  <si>
    <t xml:space="preserve"> (פ/805/23)</t>
  </si>
  <si>
    <t xml:space="preserve">הצעת חוק כרטיסי חיוב (תיקון - ביטול חיוב באשראי בשל עסקה עם ספק מפר), התש"ף-2020</t>
  </si>
  <si>
    <t xml:space="preserve"> (פ/804/23)</t>
  </si>
  <si>
    <t xml:space="preserve">הצעת חוק ההוצאה לפועל (תיקון - חייבים מוגנים), התש"ף-2020</t>
  </si>
  <si>
    <t xml:space="preserve"> (פ/803/23)</t>
  </si>
  <si>
    <t xml:space="preserve">הצעת חוק כביש אגרה (כביש ארצי לישראל) (תיקון - מידע על עומס תנועה), התש"ף-2020</t>
  </si>
  <si>
    <t xml:space="preserve"> (פ/802/23)</t>
  </si>
  <si>
    <t xml:space="preserve">הצעת חוק החברות הממשלתיות (תיקון - נבחרת הדירקטורים), התש"ף-2020</t>
  </si>
  <si>
    <t xml:space="preserve"> (פ/801/23)</t>
  </si>
  <si>
    <t xml:space="preserve">הצעת חוק חובת המכרזים (תיקון - הרחבת חובת העדפה של תוצרת הארץ), התש"ף-2020</t>
  </si>
  <si>
    <t xml:space="preserve"> (פ/799/23)</t>
  </si>
  <si>
    <t xml:space="preserve">הצעת חוק התקשורת (בזק ושידורים) (תיקון - איסור הפסקה, עיכוב או הגבלה של שירות שיחות אל מוקדי חירום), התש"ף-2020</t>
  </si>
  <si>
    <t xml:space="preserve"> (פ/798/23)</t>
  </si>
  <si>
    <t xml:space="preserve">הצעת חוק העונשין (תיקון - החמרת ענישה להריגה בתאונת דרכים בנהיגה תחת השפעת אלכוהול וסמים), התש"ף-2020</t>
  </si>
  <si>
    <t xml:space="preserve"> (פ/797/23)</t>
  </si>
  <si>
    <t xml:space="preserve">הצעת חוק הנגשת מוקדי פניות חירום באמצעות שיחוח ומסרון, התש"ף-2020</t>
  </si>
  <si>
    <t xml:space="preserve"> (פ/796/23)</t>
  </si>
  <si>
    <t xml:space="preserve"> (פ/795/23)</t>
  </si>
  <si>
    <t xml:space="preserve">הצעת חוק העונשין (תיקון - ענישה על עבירה חוזרת כנגד קטין וחסר ישע), התש"ף-2020</t>
  </si>
  <si>
    <t xml:space="preserve"> (פ/794/23)</t>
  </si>
  <si>
    <t xml:space="preserve">הצעת חוק הדואר (תיקון - אחריות לאיחורים וטעויות), התש"ף-2020</t>
  </si>
  <si>
    <t xml:space="preserve"> (פ/793/23)</t>
  </si>
  <si>
    <t xml:space="preserve"> (פ/792/23)</t>
  </si>
  <si>
    <t xml:space="preserve">הצעת חוק הלוואות לדיור (תיקון - הצמדת סכום ההלוואה למדד), התש"ף-2020</t>
  </si>
  <si>
    <t xml:space="preserve"> (פ/791/23)</t>
  </si>
  <si>
    <t xml:space="preserve">הצעת חוק הוועדה למינוי בכירים (תיקוני חקיקה), התש"ף-2020</t>
  </si>
  <si>
    <t xml:space="preserve"> (פ/790/23)</t>
  </si>
  <si>
    <t xml:space="preserve">הצעת חוק הבחירות לכנסת (תיקון - קלפי ניידת למרותקים לביתם), התש"ף-2020</t>
  </si>
  <si>
    <t xml:space="preserve"> (פ/789/23)</t>
  </si>
  <si>
    <t xml:space="preserve">הצעת חוק שירות המדינה (מינויים) (הכרה בלימודים תורניים גבוהים לעניין תנאי סף), התש"ף-2020</t>
  </si>
  <si>
    <t xml:space="preserve"> (פ/788/23)</t>
  </si>
  <si>
    <t xml:space="preserve">הצעת חוק זכויות דיירים בקרקעות מוחכרות שנמכרו, התש"ף-2020</t>
  </si>
  <si>
    <t xml:space="preserve"> (פ/787/23)</t>
  </si>
  <si>
    <t xml:space="preserve">הצעת חוק העונשין (תיקון - איסור מתן טיפול המרה לקטין), התש"ף-2020</t>
  </si>
  <si>
    <t xml:space="preserve"> (פ/786/23)</t>
  </si>
  <si>
    <t xml:space="preserve">הצעת חוק אימוץ ילדים (תיקון - הוספת סמכות בנושא דתו של המאומץ), התש"ף-2020</t>
  </si>
  <si>
    <t xml:space="preserve"> (פ/785/23)</t>
  </si>
  <si>
    <t xml:space="preserve">הצעת חוק ההוצאה לפועל (תיקון - מסלול מקוצר חובה), התש"ף-2020</t>
  </si>
  <si>
    <t xml:space="preserve"> (פ/784/23)</t>
  </si>
  <si>
    <t xml:space="preserve">הצעת חוק סדר הדין הפלילי (סמכויות אכיפה - חיפוש בגוף ונטילת אמצעי זיהוי) (תיקון - בדיקה לגילוי נגיף HIV), התש"ף-2020</t>
  </si>
  <si>
    <t xml:space="preserve"> (פ/783/23)</t>
  </si>
  <si>
    <t xml:space="preserve">הצעת חוק סדר הדין הפלילי (תיקון - התיישנות בעבירות מין שנעשו במסגרת יחסי תלות או מרות), התש"ף-2020</t>
  </si>
  <si>
    <t xml:space="preserve"> (פ/782/23)</t>
  </si>
  <si>
    <t xml:space="preserve">הצעת חוק הממשלה (תיקון - דיווח על נסיעות שרים לחוץ לארץ), התש"ף-2020</t>
  </si>
  <si>
    <t xml:space="preserve"> (פ/781/23)</t>
  </si>
  <si>
    <t xml:space="preserve">הצעת חוק חוזה הביטוח (תיקון - הארכת תקופת ההתיישנות לביטוח חיים), התש"ף-2020</t>
  </si>
  <si>
    <t xml:space="preserve"> (פ/780/23)</t>
  </si>
  <si>
    <t xml:space="preserve"> (פ/778/23)</t>
  </si>
  <si>
    <t xml:space="preserve">הצעת חוק הביטוח הלאומי (תיקון - סיעוד על ידי בן משפחה), התש"ף-2020</t>
  </si>
  <si>
    <t xml:space="preserve"> (פ/777/23)</t>
  </si>
  <si>
    <t xml:space="preserve">הצעת חוק האזרחים הוותיקים (תיקון - הנחה בארנונה לאזרח ותיק המתגורר בדירה שאינה בהחזקתו), התש"ף-2020</t>
  </si>
  <si>
    <t xml:space="preserve"> (פ/776/23)</t>
  </si>
  <si>
    <t xml:space="preserve">הצעת חוק בתי דין רבניים (קיום פסקי דין של גירושין) (תיקון - סמכות בית המשפט לענייני משפחה), התש"ף-2020</t>
  </si>
  <si>
    <t xml:space="preserve"> (פ/775/23)</t>
  </si>
  <si>
    <t xml:space="preserve">הצעת חוק זכויות למשפחות של אנשים עם מוגבלות, התש"ף-2020</t>
  </si>
  <si>
    <t xml:space="preserve"> (פ/774/23)</t>
  </si>
  <si>
    <t xml:space="preserve"> (פ/773/23)</t>
  </si>
  <si>
    <t xml:space="preserve"> (פ/772/23)</t>
  </si>
  <si>
    <t xml:space="preserve"> (פ/771/23)</t>
  </si>
  <si>
    <t xml:space="preserve">הצעת חוק למניעת כפייה מינית, התש"ף-2020</t>
  </si>
  <si>
    <t xml:space="preserve"> (פ/770/23)</t>
  </si>
  <si>
    <t xml:space="preserve">הצעת חוק הביטוח הלאומי (תיקון - דמי פגיעה לעובד עצמאי), התש"ף-2020</t>
  </si>
  <si>
    <t xml:space="preserve"> (פ/769/23)</t>
  </si>
  <si>
    <t xml:space="preserve">הצעת חוק הגנת הצרכן (תיקון - פיצויים בלא הוכחת נזק בשל חריגה מזמני המתנה במוקד שירות טלפוני), התש"ף-2020</t>
  </si>
  <si>
    <t xml:space="preserve"> (פ/768/23)</t>
  </si>
  <si>
    <t xml:space="preserve">הצעת חוק לתיקון פקודת התעבורה (אזורי מנוחה ומפרצי עצירה בדרך בין-עירונית), התש"ף-2020</t>
  </si>
  <si>
    <t xml:space="preserve"> (פ/766/23)</t>
  </si>
  <si>
    <t xml:space="preserve">הצעת חוק הגנת הצרכן (תיקון - איסור הפליית מחירים בשל מגדר), התש"ף-2020</t>
  </si>
  <si>
    <t xml:space="preserve"> (פ/765/23)</t>
  </si>
  <si>
    <t xml:space="preserve">הצעת חוק עבודת נשים (תיקון - שעות היעדרות מעבודה לאישה בהריון בר-סיכון), התש"ף-2020</t>
  </si>
  <si>
    <t xml:space="preserve"> (פ/764/23)</t>
  </si>
  <si>
    <t xml:space="preserve">הצעת חוק שכר מינימום (תיקון - תוספת שלא תובא בחשבון בשכר המינימום), התש"ף-2020</t>
  </si>
  <si>
    <t xml:space="preserve"> (פ/763/23)</t>
  </si>
  <si>
    <t xml:space="preserve">הצעת חוק דמי מחלה (תיקון - ניכוי ימי מחלה), התש"ף-2020</t>
  </si>
  <si>
    <t xml:space="preserve"> (פ/762/23)</t>
  </si>
  <si>
    <t xml:space="preserve"> (פ/761/23)</t>
  </si>
  <si>
    <t xml:space="preserve">הצעת חוק ביטוח בריאות ממלכתי (תיקון - תנאים להחלפת תרופה, טיפול, מטפל, נותן שירותים או מוסד רפואי), התש"ף-2020</t>
  </si>
  <si>
    <t xml:space="preserve"> (פ/760/23)</t>
  </si>
  <si>
    <t xml:space="preserve">הצעת חוק זכויות החולה (תיקון - איסור הפליה בשל מקום מגורים), התש"ף-2020</t>
  </si>
  <si>
    <t xml:space="preserve"> (פ/759/23)</t>
  </si>
  <si>
    <t xml:space="preserve">הצעת חוק הסדרת מעמדם של פליטים ומבקשי מקלט, התש"ף-2020</t>
  </si>
  <si>
    <t xml:space="preserve"> (פ/757/23)</t>
  </si>
  <si>
    <t xml:space="preserve">הצעת חוק קליטת חיילים משוחררים (תיקון - התקשרות להענקת זכויות במקרקעין ביישוב מיעוטים עם מי שנבצר ממנו להשלים את שירותו הצבאי), התש"ף-2020</t>
  </si>
  <si>
    <t xml:space="preserve"> (פ/756/23)</t>
  </si>
  <si>
    <t xml:space="preserve">הצעת חוק שירותי הדת היהודיים (תיקון - דין משמעתי לרבני ערים), התש"ף-2020</t>
  </si>
  <si>
    <t xml:space="preserve"> (פ/755/23)</t>
  </si>
  <si>
    <t xml:space="preserve">הצעת חוק שימוש חוזר במים אפורים, התש"ף-2020</t>
  </si>
  <si>
    <t xml:space="preserve"> (פ/754/23)</t>
  </si>
  <si>
    <t xml:space="preserve">הצעת חוק שירותי הדת היהודיים (תיקון - הנחה ברכישת קבר זוגי), התש"ף-2020</t>
  </si>
  <si>
    <t xml:space="preserve"> (פ/753/23)</t>
  </si>
  <si>
    <t xml:space="preserve">הצעת חוק משפחות חיילים שנספו במערכה (תגמולים ושיקום) (תיקון - תשלום לבן זוגו של שכול שנפטר), התש"ף-2020</t>
  </si>
  <si>
    <t xml:space="preserve"> (פ/752/23)</t>
  </si>
  <si>
    <t xml:space="preserve">הצעת חוק מרשם האוכלוסין (תיקון - רישום בת זוג או בן זוג כהורה), התש"ף-2020</t>
  </si>
  <si>
    <t xml:space="preserve"> (פ/751/23)</t>
  </si>
  <si>
    <t xml:space="preserve">הצעת חוק איסור הונאה בכשרות (תיקון - פיקוח על מחירי תעודת הכשר), התש"ף-2020</t>
  </si>
  <si>
    <t xml:space="preserve"> (פ/750/23)</t>
  </si>
  <si>
    <t xml:space="preserve">הצעת חוק נסיעות חיילים ברכבת ישראל, הרכבת הקלה ובאוטובוסים ציבוריים, התש"ף-2020</t>
  </si>
  <si>
    <t xml:space="preserve"> (פ/749/23)</t>
  </si>
  <si>
    <t xml:space="preserve">הצעת חוק הקמת חדרי מיון בקרית שמונה ושדרות, התש"ף-2020</t>
  </si>
  <si>
    <t xml:space="preserve"> (פ/748/23)</t>
  </si>
  <si>
    <t xml:space="preserve">הצעת חוק לתיקון פקודת המשטרה (ביטול הצורך בקבלת רישיון להפגנה), התש"ף-2020</t>
  </si>
  <si>
    <t xml:space="preserve"> (פ/747/23)</t>
  </si>
  <si>
    <t xml:space="preserve">הצעת חוק שירות ביטחון (תיקון - השוואת תהליכי המיון, השיבוץ, התקינה וההכשרה, המסלולים המקצועיים ואופקי הקידום לנשים וגברים), התש"ף-2020</t>
  </si>
  <si>
    <t xml:space="preserve"> (פ/746/23)</t>
  </si>
  <si>
    <t xml:space="preserve">הצעת חוק שירות ביטחון (תיקון - פטור מטעמי הכרה דתית), התש"ף-2020</t>
  </si>
  <si>
    <t xml:space="preserve"> (פ/745/23)</t>
  </si>
  <si>
    <t xml:space="preserve">הצעת חוק הבטחת הכנסה (תיקון - החרגת הכנסתו של עובד בענף הסיעוד), התש"ף-2020</t>
  </si>
  <si>
    <t xml:space="preserve"> (פ/744/23)</t>
  </si>
  <si>
    <t xml:space="preserve">הצעת חוק היערכות אזרחית למצבי חירום, התש"ף-2020</t>
  </si>
  <si>
    <t xml:space="preserve"> (פ/743/23)</t>
  </si>
  <si>
    <t xml:space="preserve">הצעת חוק שירות המילואים, התש"ף-2020</t>
  </si>
  <si>
    <t xml:space="preserve"> (פ/741/23)</t>
  </si>
  <si>
    <t xml:space="preserve">הצעת חוק המהנדסים והאדריכלים (תיקון - ביטול תעודה ומחיקת רישום בשל הרשעה חלוטה בעבירה שגרמה למותו של אדם), התש"ף-2020</t>
  </si>
  <si>
    <t xml:space="preserve"> (פ/740/23)</t>
  </si>
  <si>
    <t xml:space="preserve">הצעת חוק שוויון זכויות לאנשים עם מוגבלות (תיקון - מניעת הפליה במחיר של שירות ציבורי או מוצר שהם נגישים), התש"ף-2020</t>
  </si>
  <si>
    <t xml:space="preserve"> (פ/739/23)</t>
  </si>
  <si>
    <t xml:space="preserve">הצעת חוק הגבלת פעולות אנשי דת בלתי מורשים בצבא הגנה לישראל ובמשטרת ישראל, התש"ף-2020</t>
  </si>
  <si>
    <t xml:space="preserve"> (פ/738/23)</t>
  </si>
  <si>
    <t xml:space="preserve">הצעת חוק להסדרת מינויים בשירות החוץ, התש"ף-2020</t>
  </si>
  <si>
    <t xml:space="preserve"> (פ/737/23)</t>
  </si>
  <si>
    <t xml:space="preserve">הצעת חוק עובדים זרים (תיקון - ביטול הצורך בהיתר להעסקת עובד זר מומחה לתקופה קצרה), התש"ף-2020</t>
  </si>
  <si>
    <t xml:space="preserve"> (פ/736/23)</t>
  </si>
  <si>
    <t xml:space="preserve"> (פ/735/23)</t>
  </si>
  <si>
    <t xml:space="preserve"> (פ/734/23)</t>
  </si>
  <si>
    <t xml:space="preserve"> (פ/733/23)</t>
  </si>
  <si>
    <t xml:space="preserve"> (פ/732/23)</t>
  </si>
  <si>
    <t xml:space="preserve">הצעת חוק הביטוח הלאומי (תיקון - עבודות טבחות, תחזוקה וניקיון במסעדות ובתי אוכל כעבודה מועדפת), התש"ף-2020</t>
  </si>
  <si>
    <t xml:space="preserve"> (פ/731/23)</t>
  </si>
  <si>
    <t xml:space="preserve"> (פ/730/23)</t>
  </si>
  <si>
    <t xml:space="preserve">הצעת חוק הרשויות המקומיות (בחירת ראש הרשות וסגניו וכהונתם) (תיקון - סגן ראש רשות ברשות מעורבת), התש"ף-2020 </t>
  </si>
  <si>
    <t xml:space="preserve"> (פ/729/23)</t>
  </si>
  <si>
    <t xml:space="preserve">הצעת חוק התכנון והבנייה (תיקון - חדרי הנקה בבניינים ציבוריים), התש"ף-2020 </t>
  </si>
  <si>
    <t xml:space="preserve"> (פ/728/23)</t>
  </si>
  <si>
    <t xml:space="preserve">הצעת חוק לתיקון פקודת העיריות (שקיפות פיננסית), התש"ף-2020</t>
  </si>
  <si>
    <t xml:space="preserve"> (פ/727/23)</t>
  </si>
  <si>
    <t xml:space="preserve">הצעת חוק הפיקוח על מצרכים ושירותים (תיקון - סייגים לעסקאות בציוד צבאי), התש"ף-2020</t>
  </si>
  <si>
    <t xml:space="preserve"> (פ/725/23)</t>
  </si>
  <si>
    <t xml:space="preserve"> (פ/724/23)</t>
  </si>
  <si>
    <t xml:space="preserve"> (פ/723/23)</t>
  </si>
  <si>
    <t xml:space="preserve"> (פ/722/23)</t>
  </si>
  <si>
    <t xml:space="preserve">הצעת חוק שירות אזרחי (תיקון - הפסקת פעילותו של גוף מוכר שדיווח דיווחים כוזבים), התש"ף-2020</t>
  </si>
  <si>
    <t xml:space="preserve"> (פ/721/23)</t>
  </si>
  <si>
    <t xml:space="preserve">הצעת חוק עיקול ותפיסה מידתיים של נכסים המוחזקים בידי צד שלישי (תיקוני חקיקה), התש"ף-2020</t>
  </si>
  <si>
    <t xml:space="preserve"> (פ/719/23)</t>
  </si>
  <si>
    <t xml:space="preserve">11.05.2020</t>
  </si>
  <si>
    <t xml:space="preserve">הצעת חוק יום שבתון בבחירות לעובד שהוא אזרח ישראל (תיקוני חקיקה), התש"ף-2020</t>
  </si>
  <si>
    <t xml:space="preserve"> (פ/718/23)</t>
  </si>
  <si>
    <t xml:space="preserve">הצעת חוק הגנה על הציבור מפני עבריינים שביצעו עבירות אלימות חמורות, התש"ף-2020</t>
  </si>
  <si>
    <t xml:space="preserve"> (פ/717/23)</t>
  </si>
  <si>
    <t xml:space="preserve">הצעת חוק אומנה לילדים (תיקון - תשלום קצבת ילדים להורי אומנה)(הוראת שעה), התש"ף-2020</t>
  </si>
  <si>
    <t xml:space="preserve"> (פ/716/23)</t>
  </si>
  <si>
    <t xml:space="preserve"> (פ/715/23)</t>
  </si>
  <si>
    <t xml:space="preserve">הצעת חוק הבטחת הכנסה (תיקון - אופן חישוב דמי אבטלה כהכנסה) (הוראת שעה), התש"ף-2020</t>
  </si>
  <si>
    <t xml:space="preserve"> (פ/714/23)</t>
  </si>
  <si>
    <t xml:space="preserve">הצעת חוק הביטוח הלאומי (תיקון - תקופת הזכאות לדמי אבטלה למובטל שגם בן זוגו מובטל או שהוא הורה עצמאי אשר מתגוררים בעיר אילת)(הוראת שעה), התש"ף-2020</t>
  </si>
  <si>
    <t xml:space="preserve"> (פ/713/23)</t>
  </si>
  <si>
    <t xml:space="preserve"> (פ/712/23)</t>
  </si>
  <si>
    <t xml:space="preserve"> (פ/711/23)</t>
  </si>
  <si>
    <t xml:space="preserve"> (פ/710/23)</t>
  </si>
  <si>
    <t xml:space="preserve"> (פ/709/23)</t>
  </si>
  <si>
    <t xml:space="preserve">הצעת חוק פיצויים בעד נזק עקב אסון טבע, התש"ף-2020</t>
  </si>
  <si>
    <t xml:space="preserve"> (פ/708/23)</t>
  </si>
  <si>
    <t xml:space="preserve">הצעת חוק שירות המילואים (תיקון - תוספת גמול לימי מילואים נוספים), התש"ף-2020</t>
  </si>
  <si>
    <t xml:space="preserve"> (פ/707/23)</t>
  </si>
  <si>
    <t xml:space="preserve">הצעת חוק בתי קברות צבאיים (תיקון - חיילים זכאי חוק השבות), התש"ף-2020</t>
  </si>
  <si>
    <t xml:space="preserve"> (פ/706/23)</t>
  </si>
  <si>
    <t xml:space="preserve">הצעת חוק הצמדת תשלומים לחיילים בודדים למדד המחירים לצרכן, התש"ף-2020</t>
  </si>
  <si>
    <t xml:space="preserve"> (פ/705/23)</t>
  </si>
  <si>
    <t xml:space="preserve">הצעת חוק הרשויות המקומיות (פטור חיילים, נפגעי מלחמה ושוטרים מארנונה) (תיקון - פטור לחייל בודד בדירת שותפים), התש"ף-2020</t>
  </si>
  <si>
    <t xml:space="preserve"> (פ/704/23)</t>
  </si>
  <si>
    <t xml:space="preserve">הצעת חוק הביטוח הלאומי (תיקון - דמי אבטלה למי שנמצא בהכשרה מקצועית), התש"ף-2020</t>
  </si>
  <si>
    <t xml:space="preserve"> (פ/703/23)</t>
  </si>
  <si>
    <t xml:space="preserve"> (פ/701/23)</t>
  </si>
  <si>
    <t xml:space="preserve"> (פ/700/23)</t>
  </si>
  <si>
    <t xml:space="preserve">הצעת חוק המזונות (הבטחת תשלום) (תיקון - סכום שלא יובא בחשבון במבחן ההכנסה), התש"ף - 2020</t>
  </si>
  <si>
    <t xml:space="preserve"> (פ/699/23)</t>
  </si>
  <si>
    <t xml:space="preserve"> (פ/698/23)</t>
  </si>
  <si>
    <t xml:space="preserve">הצעת חוק סיוע לבוגרי מסגרת השמה חוץ ביתית, התש"ף-2020</t>
  </si>
  <si>
    <t xml:space="preserve"> (פ/697/23)</t>
  </si>
  <si>
    <t xml:space="preserve">הצעת חוק שירות הקבע בצבא הגנה לישראל (גמלאות) (תיקון - גמלה לאלמנה שנישאה מחדש), התש"ף-2020</t>
  </si>
  <si>
    <t xml:space="preserve"> (פ/696/23)</t>
  </si>
  <si>
    <t xml:space="preserve"> (פ/694/23)</t>
  </si>
  <si>
    <t xml:space="preserve">הצעת חוק ביטוח בריאות ממלכתי (תיקון - עיגון זכאות לשירותים לילדים עם אוטיזם), התש"ף-2020</t>
  </si>
  <si>
    <t xml:space="preserve"> (פ/693/23)</t>
  </si>
  <si>
    <t xml:space="preserve">הצעת חוק טיפול בחולי נפש (תיקון - החלת הוראות על בגיר שסובל מאנורקסיה נרבוזה), התש"ף-2020</t>
  </si>
  <si>
    <t xml:space="preserve"> (פ/692/23)</t>
  </si>
  <si>
    <t xml:space="preserve">הצעת חוק הביטוח הלאומי (תיקון - הצמדת קצבת אזרח ותיק לשכר הממוצע לפחות), התש"ף-2020</t>
  </si>
  <si>
    <t xml:space="preserve"> (פ/690/23)</t>
  </si>
  <si>
    <t xml:space="preserve">הצעת חוק הביטוח הלאומי (תיקון- קצבת אזרח ותיק ראויה), התש"ף-2020</t>
  </si>
  <si>
    <t xml:space="preserve"> (פ/689/23)</t>
  </si>
  <si>
    <t xml:space="preserve">הצעת חוק חזקת הסכמה לתרומת אברים (תיקוני חקיקה), התש"ף-2020</t>
  </si>
  <si>
    <t xml:space="preserve"> (פ/688/23)</t>
  </si>
  <si>
    <t xml:space="preserve"> (פ/687/23)</t>
  </si>
  <si>
    <t xml:space="preserve">הצעת חוק שבת יום המנוחה, התש"ף-2020</t>
  </si>
  <si>
    <t xml:space="preserve"> (פ/686/23)</t>
  </si>
  <si>
    <t xml:space="preserve"> (פ/685/23)</t>
  </si>
  <si>
    <t xml:space="preserve">הצעת חוק הרשויות המקומיות (ייעוד כספי הקצבות למטרות שירותי סידור חוץ-ביתי הולם לילדים), התש"ף-2020</t>
  </si>
  <si>
    <t xml:space="preserve"> (פ/684/23)</t>
  </si>
  <si>
    <t xml:space="preserve"> (פ/682/23)</t>
  </si>
  <si>
    <t xml:space="preserve"> (פ/681/23)</t>
  </si>
  <si>
    <t xml:space="preserve">הצעת חוק לתיקון פקודת התעבורה (הדרכה בנהיגה בשפות שאינן עברית), התש"ף-2020</t>
  </si>
  <si>
    <t xml:space="preserve"> (פ/679/23)</t>
  </si>
  <si>
    <t xml:space="preserve"> (פ/678/23)</t>
  </si>
  <si>
    <t xml:space="preserve">הצעת חוק הגנת הצרכן (תיקון - ביטול החרגת תאגידים בנקאיים וביטוחיים), התש"ף-2020</t>
  </si>
  <si>
    <t xml:space="preserve"> (פ/677/23)</t>
  </si>
  <si>
    <t xml:space="preserve">הצעת חוק הגנת הצרכן (תיקון - סיכום פניה), התש"ף-2020</t>
  </si>
  <si>
    <t xml:space="preserve"> (פ/676/23)</t>
  </si>
  <si>
    <t xml:space="preserve">הצעת חוק הביטוח הלאומי (תיקון - דמי אבטלה לעובד עצמאי), התש"ף-2020</t>
  </si>
  <si>
    <t xml:space="preserve"> (פ/675/23)</t>
  </si>
  <si>
    <t xml:space="preserve"> (פ/674/23)</t>
  </si>
  <si>
    <t xml:space="preserve"> (פ/673/23)</t>
  </si>
  <si>
    <t xml:space="preserve">הצעת חוק הטבות מענק מקום לרכישת דירה בפריפריה, לזכאים לרכישת דירה בתכנית מחיר למשתכן שאין התכנית פועלת בעירם, התש"ף-2020</t>
  </si>
  <si>
    <t xml:space="preserve"> (פ/672/23)</t>
  </si>
  <si>
    <t xml:space="preserve"> (פ/671/23)</t>
  </si>
  <si>
    <t xml:space="preserve"> (פ/670/23)</t>
  </si>
  <si>
    <t xml:space="preserve">הצעת חוק הגנה כלכלית על חסרי ישע (תעודת יושר) (תיקוני חקיקה), התש"ף-2020</t>
  </si>
  <si>
    <t xml:space="preserve"> (פ/669/23)</t>
  </si>
  <si>
    <t xml:space="preserve"> (פ/668/23)</t>
  </si>
  <si>
    <t xml:space="preserve">הצעת חוק האזרחים הוותיקים (תיקון - סבסוד מלא של נסיעות בתחבורה ציבורית לניצולי שואה ולאסירי ציון), התש"ף-2020</t>
  </si>
  <si>
    <t xml:space="preserve"> (פ/667/23)</t>
  </si>
  <si>
    <t xml:space="preserve"> (פ/666/23)</t>
  </si>
  <si>
    <t xml:space="preserve">הצעת חוק שירות הציבור (הגבלות לאחר פרישה) (תיקון - תקופת צינון לנושאי משרה בכירה בשירות הציבור), התש"ף-2020</t>
  </si>
  <si>
    <t xml:space="preserve"> (פ/665/23)</t>
  </si>
  <si>
    <t xml:space="preserve">הצעת חוק דמי מחלה (היעדרות בשל מחלת ילד) (תיקון - היעדרות בשל מחלת ילדו של בן זוג), התש"ף-2020</t>
  </si>
  <si>
    <t xml:space="preserve"> (פ/664/23)</t>
  </si>
  <si>
    <t xml:space="preserve"> (פ/663/23)</t>
  </si>
  <si>
    <t xml:space="preserve">הצעת חוק ביטוח בריאות ממלכתי (תיקון - קציבת מועדים לקבלת טיפול רפואי או פארא-רפואי), התש"ף-2020</t>
  </si>
  <si>
    <t xml:space="preserve"> (פ/662/23)</t>
  </si>
  <si>
    <t xml:space="preserve">הצעת חוק שוויון זכויות לאנשים עם מוגבלות (תיקון - הנגשת אוטובוסים בין עירוניים), התש"ף-2020</t>
  </si>
  <si>
    <t xml:space="preserve"> (פ/660/23)</t>
  </si>
  <si>
    <t xml:space="preserve"> (פ/659/23)</t>
  </si>
  <si>
    <t xml:space="preserve"> (פ/658/23)</t>
  </si>
  <si>
    <t xml:space="preserve"> (פ/657/23)</t>
  </si>
  <si>
    <t xml:space="preserve">הצעת חוק ביטוח בריאות ממלכתי (תיקון - שירותי בריאות נוספים לשוהים במוסדות לילדים ונוער בסיכון), התש"ף-2020</t>
  </si>
  <si>
    <t xml:space="preserve"> (פ/656/23)</t>
  </si>
  <si>
    <t xml:space="preserve"> (פ/655/23)</t>
  </si>
  <si>
    <t xml:space="preserve">הצעת חוק דמי מחלה (היעדרות בשל מחלת ילד) (תיקון - היעדרות בשל אשפוז ממושך של ילד), התש"ף-2020</t>
  </si>
  <si>
    <t xml:space="preserve"> (פ/654/23)</t>
  </si>
  <si>
    <t xml:space="preserve"> (פ/653/23)</t>
  </si>
  <si>
    <t xml:space="preserve">הצעת חוק עבודת נשים (תיקון - חלוקת תקופת הלידה וההורות בין סטודנטית לבן זוגה), התש"ף-2020</t>
  </si>
  <si>
    <t xml:space="preserve"> (פ/652/23)</t>
  </si>
  <si>
    <t xml:space="preserve">הצעת חוק הבטחת הכנסה (תיקון - הכנסת מינימום לאזרח ותיק), התש"ף-2020</t>
  </si>
  <si>
    <t xml:space="preserve"> (פ/651/23)</t>
  </si>
  <si>
    <t xml:space="preserve">הצעת חוק שירותי רווחה לאנשים עם מוגבלות, התש"ף-2020</t>
  </si>
  <si>
    <t xml:space="preserve"> (פ/650/23)</t>
  </si>
  <si>
    <t xml:space="preserve"> (פ/649/23)</t>
  </si>
  <si>
    <t xml:space="preserve">הצעת חוק תגמולים לחיילים ולבני משפחותיהם (חבלה שלא בעת מילוי תפקיד) (תיקון - חבלה או מחלה של לוחם), התש"ף-2020</t>
  </si>
  <si>
    <t xml:space="preserve"> (פ/648/23)</t>
  </si>
  <si>
    <t xml:space="preserve">הצעת חוק איסור טיפול המרה לקטין, התש"ף-2020</t>
  </si>
  <si>
    <t xml:space="preserve"> (פ/646/23)</t>
  </si>
  <si>
    <t xml:space="preserve">הצעת חוק שיעור ריבית פיגורים מקסימלי (תיקוני חקיקה), התש"ף-2020</t>
  </si>
  <si>
    <t xml:space="preserve"> (פ/645/23)</t>
  </si>
  <si>
    <t xml:space="preserve">הצעת חוק המאבק בטרור (תיקון - גילוי הזדהות עם ארגון טרור ברשת חברתית), התש"ף-2020</t>
  </si>
  <si>
    <t xml:space="preserve"> (פ/644/23)</t>
  </si>
  <si>
    <t xml:space="preserve">הצעת חוק גירוש משפחות מחבלים, התש"ף-2020</t>
  </si>
  <si>
    <t xml:space="preserve"> (פ/643/23)</t>
  </si>
  <si>
    <t xml:space="preserve">הצעת חוק התכנון והבנייה (תיקון - חובת התקנת מערכות סולריות בבניינים המיועדים לשימוש במגזר התעשייתי, המסחרי והציבורי), התש"ף-2020</t>
  </si>
  <si>
    <t xml:space="preserve"> (פ/642/23)</t>
  </si>
  <si>
    <t xml:space="preserve">הצעת חוק פיקוח על מחירי מצרכים ושירותים (תיקון - הגבלת מרווחי שיווק על ירקות), התש"ף-2020</t>
  </si>
  <si>
    <t xml:space="preserve"> (פ/641/23)</t>
  </si>
  <si>
    <t xml:space="preserve">הצעת חוק התקשורת (בזק ושידורים) (תיקון - חובת סינון אתרים פוגעניים), התש"ף-2020</t>
  </si>
  <si>
    <t xml:space="preserve"> (פ/640/23)</t>
  </si>
  <si>
    <t xml:space="preserve">הצעת חוק הגנת הצרכן (תיקון - סימון שינוי בכמות המצרך), התש"ף-2020</t>
  </si>
  <si>
    <t xml:space="preserve"> (פ/639/23)</t>
  </si>
  <si>
    <t xml:space="preserve">הצעת חוק סינון אתרים פוגעניים במקומות ציבוריים, התש"ף-2020</t>
  </si>
  <si>
    <t xml:space="preserve"> (פ/638/23)</t>
  </si>
  <si>
    <t xml:space="preserve">הצעת חוק לתיקון פקודת התעבורה (איסור שימוש בטלפון נייד או באוזניות במעבר חציה), התש"ף-2020</t>
  </si>
  <si>
    <t xml:space="preserve"> (פ/637/23)</t>
  </si>
  <si>
    <t xml:space="preserve">הצעת חוק לתיקון פקודת התעבורה (מאסר מינימום למי שהפקיר אדם שנפגע בתאונה), התש"ף-2020</t>
  </si>
  <si>
    <t xml:space="preserve"> (פ/636/23)</t>
  </si>
  <si>
    <t xml:space="preserve">הצעת חוק זכויות הדייר בדיור הציבורי (תיקון - עיגון זכויות דייר ממשיך בדיור הציבורי), התש"ף-2020</t>
  </si>
  <si>
    <t xml:space="preserve"> (פ/635/23)</t>
  </si>
  <si>
    <t xml:space="preserve"> (פ/634/23)</t>
  </si>
  <si>
    <t xml:space="preserve">הצעת חוק הדיור הציבורי (הגדלת המלאי), התש"ף-2020</t>
  </si>
  <si>
    <t xml:space="preserve"> (פ/633/23)</t>
  </si>
  <si>
    <t xml:space="preserve">הצעת חוק התקשורת (בזק ושידורים) (תיקון - צבירת יחידות של שירותי גלישה באינטרנט באמצעות רט"ן), התש"ף-2020</t>
  </si>
  <si>
    <t xml:space="preserve"> (פ/632/23)</t>
  </si>
  <si>
    <t xml:space="preserve"> (פ/631/23)</t>
  </si>
  <si>
    <t xml:space="preserve"> (פ/630/23)</t>
  </si>
  <si>
    <t xml:space="preserve">הצעת חוק המקרקעין (תיקון - התקנת מעלית מטעמים מיוחדים), התש"ף-2020</t>
  </si>
  <si>
    <t xml:space="preserve"> (פ/629/23)</t>
  </si>
  <si>
    <t xml:space="preserve">הצעת חוק ידועים בציבור, התש"ף-2020</t>
  </si>
  <si>
    <t xml:space="preserve"> (פ/628/23)</t>
  </si>
  <si>
    <t xml:space="preserve"> (פ/627/23)</t>
  </si>
  <si>
    <t xml:space="preserve"> (פ/626/23)</t>
  </si>
  <si>
    <t xml:space="preserve"> (פ/625/23)</t>
  </si>
  <si>
    <t xml:space="preserve">הצעת חוק הכשרות המשפטית והאפוטרופסות (תיקון - הכרעה דחופה בנוגע לילד להורים בהליכי גירושין), התש"ף-2020 </t>
  </si>
  <si>
    <t xml:space="preserve"> (פ/624/23)</t>
  </si>
  <si>
    <t xml:space="preserve">הצעת חוק ההתיישנות (תיקון - הארכת התיישנות של תובענה בגין עבירת מין), התש"ף-2020</t>
  </si>
  <si>
    <t xml:space="preserve"> (פ/622/23)</t>
  </si>
  <si>
    <t xml:space="preserve">הצעת חוק מס הכנסה (פטור ממס על הכנסה מהשכרת דירת מגורים) (תיקון - פטור למוסד חינוך), התש"ף-2020</t>
  </si>
  <si>
    <t xml:space="preserve"> (פ/621/23)</t>
  </si>
  <si>
    <t xml:space="preserve">הצעת חוק לתיקון פקודת מס הכנסה (פטור ממס על משיכה הונית מקופת גמל), התש"ף- 2020</t>
  </si>
  <si>
    <t xml:space="preserve"> (פ/619/23)</t>
  </si>
  <si>
    <t xml:space="preserve"> (פ/618/23)</t>
  </si>
  <si>
    <t xml:space="preserve">הצעת חוק לתיקון פקודת המשטרה (הרכב המחלקה לחקירת שוטרים) , התש"ף-2020</t>
  </si>
  <si>
    <t xml:space="preserve"> (פ/617/23)</t>
  </si>
  <si>
    <t xml:space="preserve">הצעת חוק כביש אגרה (כביש ארצי לישראל) (תיקון - פטור מאגרה לחיילי מילואים בדרכם לשירות), התש"ף-2020</t>
  </si>
  <si>
    <t xml:space="preserve"> (פ/616/23)</t>
  </si>
  <si>
    <t xml:space="preserve">הצעת חוק לתיקון פקודת המשטרה (הוספת השפה הערבית לתג זיהוי), התש"ף-2020</t>
  </si>
  <si>
    <t xml:space="preserve"> (פ/615/23)</t>
  </si>
  <si>
    <t xml:space="preserve">הצעת חוק החלת ריבונות על בקעת הירדן, גוש עציון, גבעת זאב, מעלה אדומים, ביתר עילית ועפרה, התש"ף-2020</t>
  </si>
  <si>
    <t xml:space="preserve"> (פ/614/23)</t>
  </si>
  <si>
    <t xml:space="preserve">הצעת חוק החלת הריבונות הישראלית על בקעת הירדן, התש"ף-2020</t>
  </si>
  <si>
    <t xml:space="preserve"> (פ/613/23)</t>
  </si>
  <si>
    <t xml:space="preserve">הצעת חוק הפיקוח על יצוא ביטחוני (תיקון - הוספת שיקול בדבר הפרות חמורות של זכויות אדם במסגרת מתן רישיון), התש"ף-2020</t>
  </si>
  <si>
    <t xml:space="preserve"> (פ/612/23)</t>
  </si>
  <si>
    <t xml:space="preserve">הצעת חוק מערך החוץ וההסברה, התש"ף-2020</t>
  </si>
  <si>
    <t xml:space="preserve"> (פ/611/23)</t>
  </si>
  <si>
    <t xml:space="preserve">הצעת חוק נציבות תלונות אסירים, התש"ף-2020</t>
  </si>
  <si>
    <t xml:space="preserve"> (פ/610/23)</t>
  </si>
  <si>
    <t xml:space="preserve">הצעת חוק שירות אזרחי (תיקון - צמצום יכולת ההשפעה של חשודים על התנהלות גוף מוכר), התש"ף-2020</t>
  </si>
  <si>
    <t xml:space="preserve"> (פ/609/23)</t>
  </si>
  <si>
    <t xml:space="preserve">הצעת חוק החלת ריבונות ישראל בשטח בקעת הירדן, התש"ף-2020</t>
  </si>
  <si>
    <t xml:space="preserve"> (פ/608/23)</t>
  </si>
  <si>
    <t xml:space="preserve">הצעת חוק שירות ביטחון (שוויון בנטל), התש"ף-2020</t>
  </si>
  <si>
    <t xml:space="preserve"> (פ/607/23)</t>
  </si>
  <si>
    <t xml:space="preserve">הצעת חוק המאבק בשחיתות הציבורית - הרשעה בעבירה שיש עמה קלון (תיקוני חקיקה), התש"ף-2020</t>
  </si>
  <si>
    <t xml:space="preserve"> (פ/606/23)</t>
  </si>
  <si>
    <t xml:space="preserve">הצעת חוק גנים לאומיים, שמורות טבע, אתרים לאומיים ואתרי הנצחה (תיקון - הסדרת תחבורה ציבורית), התש"ף-2020</t>
  </si>
  <si>
    <t xml:space="preserve"> (פ/605/23)</t>
  </si>
  <si>
    <t xml:space="preserve">הצעת חוק מיסוי מקרקעין (שבח ורכישה) (תיקון - שיעור מס הרכישה והוראת שעה), התש"ף-2020</t>
  </si>
  <si>
    <t xml:space="preserve"> (פ/604/23)</t>
  </si>
  <si>
    <t xml:space="preserve">הצעת חוק ערבות למשכנתאות (תיקון - ערבות מדינה לדירה יחידה), התש"ף-2020</t>
  </si>
  <si>
    <t xml:space="preserve"> (פ/603/23)</t>
  </si>
  <si>
    <t xml:space="preserve">הצעת חוק המכר (דירות) (הבטחת השקעות של רוכשי דירות) (תיקון - התחדשות עירונית), התש"ף - 2020</t>
  </si>
  <si>
    <t xml:space="preserve"> (פ/602/23)</t>
  </si>
  <si>
    <t xml:space="preserve">הצעת חוק התכנון והבנייה (תיקון - הקמת ועדה מיוחדת לקידום והסדרת התכנון ביישובים הדרוזים) (הוראת שעה), התש"ף-2020</t>
  </si>
  <si>
    <t xml:space="preserve"> (פ/600/23)</t>
  </si>
  <si>
    <t xml:space="preserve">הצעת חוק המרכז להנצחת מורשתו של הנשיא יצחק נבון, התש"ף-2020</t>
  </si>
  <si>
    <t xml:space="preserve"> (פ/599/23)</t>
  </si>
  <si>
    <t xml:space="preserve">הצעת חוק הקמת יישוב עירוני חדש לאוכלוסייה הדרוזית, התש"ף-2020</t>
  </si>
  <si>
    <t xml:space="preserve"> (פ/598/23)</t>
  </si>
  <si>
    <t xml:space="preserve"> (פ/597/23)</t>
  </si>
  <si>
    <t xml:space="preserve">הצעת חוק המים (תיקון - איסור הפקעת מבנה המשמש מוסד ללא כוונת רווח), התש"ף-2020</t>
  </si>
  <si>
    <t xml:space="preserve"> (פ/596/23)</t>
  </si>
  <si>
    <t xml:space="preserve">הצעת חוק לתיקון פקודת התעבורה (סימון המדרכה לפני מעבר חציה), התש"ף-2020</t>
  </si>
  <si>
    <t xml:space="preserve"> (פ/595/23)</t>
  </si>
  <si>
    <t xml:space="preserve">הצעת חוק לתיקון פקודת התעבורה (חובת בדיקת תקינות כריות האוויר ברכב בעת מתן רישיון רכב, חידושו או העברתו), התש"ף-2020</t>
  </si>
  <si>
    <t xml:space="preserve"> (פ/594/23)</t>
  </si>
  <si>
    <t xml:space="preserve">הצעת חוק לתיקון פקודת התעבורה (חובת התקנת מערכות לגילוי וכיבוי אש באוטובוסים), התש"ף-2020</t>
  </si>
  <si>
    <t xml:space="preserve"> (פ/593/23)</t>
  </si>
  <si>
    <t xml:space="preserve">הצעת חוק התכנון והבנייה (תיקון - חיבור לחשמל) (הוראת שעה), התש"ף-2020</t>
  </si>
  <si>
    <t xml:space="preserve"> (פ/591/23)</t>
  </si>
  <si>
    <t xml:space="preserve">הצעת חוק הגנת הצרכן (תיקון - איסור התניית עסקה באופן תשלום), התש"ף-2020</t>
  </si>
  <si>
    <t xml:space="preserve"> (פ/590/23)</t>
  </si>
  <si>
    <t xml:space="preserve">הצעת חוק הגנת הצרכן (תיקון - חובת פרסום שם יצרן ודגם מוצר), התש"ף-2020</t>
  </si>
  <si>
    <t xml:space="preserve"> (פ/589/23)</t>
  </si>
  <si>
    <t xml:space="preserve">הצעת חוק הגנת הצרכן (תיקון - הנגשת שירותים ממשלתיים לאזרח), התש"ף-2020</t>
  </si>
  <si>
    <t xml:space="preserve"> (פ/588/23)</t>
  </si>
  <si>
    <t xml:space="preserve">הצעת חוק הבנקאות (שירות ללקוח) (תיקון - ריבית על יתרת זכות), התש"ף-2020</t>
  </si>
  <si>
    <t xml:space="preserve"> (פ/587/23)</t>
  </si>
  <si>
    <t xml:space="preserve">הצעת חוק להגנת חיית הבר (תיקון - איסור מכירת פרוות), התש"ף-2020</t>
  </si>
  <si>
    <t xml:space="preserve"> (פ/586/23)</t>
  </si>
  <si>
    <t xml:space="preserve"> (פ/585/23)</t>
  </si>
  <si>
    <t xml:space="preserve"> (פ/584/23)</t>
  </si>
  <si>
    <t xml:space="preserve">הצעת חוק איסור הפליה במוצרים, בשירותים ובכניסה למקומות בידור ולמקומות ציבוריים (תיקון - איסור בקשה לשינוי בהסדר במתן השירות), התש"ף-2020</t>
  </si>
  <si>
    <t xml:space="preserve"> (פ/583/23)</t>
  </si>
  <si>
    <t xml:space="preserve"> (פ/582/23)</t>
  </si>
  <si>
    <t xml:space="preserve">הצעת חוק יום חינוך ארוך ולימודי העשרה (תיקון - תחולת החוק), התש"ף-2020</t>
  </si>
  <si>
    <t xml:space="preserve"> (פ/581/23)</t>
  </si>
  <si>
    <t xml:space="preserve"> (פ/580/23)</t>
  </si>
  <si>
    <t xml:space="preserve">הצעת חוק ארוחה יומית לתלמיד (תיקון - הכללת תוכנית ציל"ה בחוק), התש"ף-2020</t>
  </si>
  <si>
    <t xml:space="preserve"> (פ/579/23)</t>
  </si>
  <si>
    <t xml:space="preserve">הצעת חוק ארוחה יומית לתלמיד (תיקון - ביטול השתתפות עצמית של ההורים), התש"ף-2020</t>
  </si>
  <si>
    <t xml:space="preserve"> (פ/578/23)</t>
  </si>
  <si>
    <t xml:space="preserve">הצעת חוק אחריות לעבודות שיפוצים, התש"ף-2020</t>
  </si>
  <si>
    <t xml:space="preserve"> (פ/577/23)</t>
  </si>
  <si>
    <t xml:space="preserve">הצעת חוק רשות מקרקעי ישראל (תיקון - החכר מימוני לדירות), התש"ף-2020</t>
  </si>
  <si>
    <t xml:space="preserve"> (פ/576/23)</t>
  </si>
  <si>
    <t xml:space="preserve">הצעת חוק רשות מקרקעי ישראל (תיקון - העדפת בני המקום בשיווק קרקעות), התש"ף-2020</t>
  </si>
  <si>
    <t xml:space="preserve"> (פ/575/23)</t>
  </si>
  <si>
    <t xml:space="preserve">הצעת חוק רשות מקרקעי ישראל (תיקון - העדפת בני המקום בשיווק קרקעות בפריפריה), התש"ף-2020</t>
  </si>
  <si>
    <t xml:space="preserve"> (פ/574/23)</t>
  </si>
  <si>
    <t xml:space="preserve"> (פ/573/23)</t>
  </si>
  <si>
    <t xml:space="preserve"> (פ/572/23)</t>
  </si>
  <si>
    <t xml:space="preserve">הצעת חוק לתיקון פקודת התעבורה (חובת התקנת מערכת למניעת השארת ילדים ברכב סגור), התש"ף-2020</t>
  </si>
  <si>
    <t xml:space="preserve"> (פ/571/23)</t>
  </si>
  <si>
    <t xml:space="preserve">הצעת חוק המכר (דירות) (תיקון - חובת מסירת תכניות הדירה לקונה), התש"ף-2020</t>
  </si>
  <si>
    <t xml:space="preserve"> (פ/570/23)</t>
  </si>
  <si>
    <t xml:space="preserve"> (פ/569/23)</t>
  </si>
  <si>
    <t xml:space="preserve"> (פ/568/23)</t>
  </si>
  <si>
    <t xml:space="preserve"> (פ/566/23)</t>
  </si>
  <si>
    <t xml:space="preserve">הצעת חוק חינוך ממלכתי (תיקון - הקניית ידע פיננסי וכישורי חיים), התש"ף-2020</t>
  </si>
  <si>
    <t xml:space="preserve"> (פ/565/23)</t>
  </si>
  <si>
    <t xml:space="preserve">הצעת חוק הבנקאות (שירות ללקוח) (תיקון - פרסום מדד עמלות למשקי בית), התש"ף-2020</t>
  </si>
  <si>
    <t xml:space="preserve"> (פ/564/23)</t>
  </si>
  <si>
    <t xml:space="preserve">הצעת חוק הרשויות המקומיות (יועצת לענייני מעמד האשה) (תיקון - תקציב ייעודי וייחוד הכהונה), התש"ף-2020</t>
  </si>
  <si>
    <t xml:space="preserve"> (פ/563/23)</t>
  </si>
  <si>
    <t xml:space="preserve">הצעת חוק להנצחת זכרה של גולדה מאיר, התש"ף-2020</t>
  </si>
  <si>
    <t xml:space="preserve"> (פ/562/23)</t>
  </si>
  <si>
    <t xml:space="preserve"> (פ/561/23)</t>
  </si>
  <si>
    <t xml:space="preserve">הצעת חוק הגבלת פרסומות ושיווק של הלוואות (תיקוני חקיקה), התש"ף-2020</t>
  </si>
  <si>
    <t xml:space="preserve"> (פ/560/23)</t>
  </si>
  <si>
    <t xml:space="preserve">הצעת חוק לתיקון פקודת התעבורה (הצגת משך הזמן שנותר לאותות ברמזורים), התש"ף-2020</t>
  </si>
  <si>
    <t xml:space="preserve"> (פ/559/23)</t>
  </si>
  <si>
    <t xml:space="preserve">הצעת חוק לימודי יסוד במערכת החינוך, התש"ף-2020</t>
  </si>
  <si>
    <t xml:space="preserve"> (פ/558/23)</t>
  </si>
  <si>
    <t xml:space="preserve">הצעת חוק לתיקון פקודת התעבורה (התניית מתן רישיון רכב או חידושו בהתקנת מערכת המונעת השארת ילדים ברכב), התש"ף-2020</t>
  </si>
  <si>
    <t xml:space="preserve"> (פ/556/23)</t>
  </si>
  <si>
    <t xml:space="preserve">הצעת חוק לימוד חובה (תיקון - חובת לימודי ליבה), התש"ף-2020</t>
  </si>
  <si>
    <t xml:space="preserve"> (פ/555/23)</t>
  </si>
  <si>
    <t xml:space="preserve"> (פ/554/23)</t>
  </si>
  <si>
    <t xml:space="preserve">הצעת חוק לתיקון פקודת התעבורה (הגבלת דמי חניה בחניוני בתי החולים), התש"ף-2020</t>
  </si>
  <si>
    <t xml:space="preserve"> (פ/553/23)</t>
  </si>
  <si>
    <t xml:space="preserve">הצעת חוק המועצה להשכלה גבוהה (תיקון - איסור הגבלת גיל במוסד להשכלה גבוהה), התש"ף-2020</t>
  </si>
  <si>
    <t xml:space="preserve"> (פ/552/23)</t>
  </si>
  <si>
    <t xml:space="preserve">הצעת חוק הרשויות המקומיות (בחירת ראש הרשות וסגניו וכהונתם) (תיקון - הליך ההשעיה בגין הגשת כתב אישום), התש"ף-2020 </t>
  </si>
  <si>
    <t xml:space="preserve"> (פ/551/23)</t>
  </si>
  <si>
    <t xml:space="preserve">הצעת חוק הספורט (תיקון - ייצוג הולם לאוכלוסייה הערבית), התש"ף-2020</t>
  </si>
  <si>
    <t xml:space="preserve"> (פ/550/23)</t>
  </si>
  <si>
    <t xml:space="preserve">הצעת חוק הבטחת פיצויים לתושבי מתחם כפר שלם, התש"ף-2020</t>
  </si>
  <si>
    <t xml:space="preserve"> (פ/549/23)</t>
  </si>
  <si>
    <t xml:space="preserve">הצעת חוק הפעלת תחבורה ציבורית בשבת, התש"ף-2020</t>
  </si>
  <si>
    <t xml:space="preserve"> (פ/548/23)</t>
  </si>
  <si>
    <t xml:space="preserve">הצעת חוק מרשם האוכלוסין (תיקון - הגדרת יהודי), התש"ף-2020</t>
  </si>
  <si>
    <t xml:space="preserve"> (פ/547/23)</t>
  </si>
  <si>
    <t xml:space="preserve">הצעת חוק פנימיות הנוער, התש"ף-2020</t>
  </si>
  <si>
    <t xml:space="preserve"> (פ/546/23)</t>
  </si>
  <si>
    <t xml:space="preserve">חוק-יסוד: הממשלה (תיקון מס' 8 והוראת שעה) </t>
  </si>
  <si>
    <t xml:space="preserve"> (פ/280/23)</t>
  </si>
  <si>
    <t xml:space="preserve"> (כ/840)</t>
  </si>
  <si>
    <t xml:space="preserve">הוועדה המיוחדת לדיון בהצעת חוק יסוד: הממשלה (תיקון - ממשלת חילופים) (פ/280/23)</t>
  </si>
  <si>
    <t xml:space="preserve">07.05.2020</t>
  </si>
  <si>
    <t xml:space="preserve">החוק ביקש לערוך שורה של שינויים בחוק-יסוד: הממשלה שנועדו לעגן את ההסדרים הכרוכים בהקמתה של ממשלת רוטציה ("ממשלת חילופים"). בין ההסדרים, שחלקם נעשו בהוראת שעה שתוקפה קצוב – הסדרת החילופים בין ראש הממשלה וראש הממשלה החלופי במצבים שונים; קביעת אופן פעולה של ממשלת חילופים ובכלל זה שוויון בכח ההצבעה בין הגושים השונים וקביעת הסדר של זיקה בין ראש הממשלה וראש הממשלה החלופי לשרים ולסגני השרים, המקנה ל"ראש" כל גוש את הסמכות לפטר השרים שבאחריותו; הסדרת מעמדו של ראש הממשלה החלופי, עיגון תפקידו כממלא מקום ראש הממשלה וקביעה כי ראש הממשלה אינו רשאי להעבירו מתפקידו; קביעת הסדרים לעניין סמכות ראש הממשלה לפזר את הכנסת והאפשרות "להפיל" את ממשלת החילופים בהצעת אי-אמון, שנועדו ליצור "תמריצים" לשותפים בממשלה לפעול להמשך כהונה; ביטול המגבלה על מספר השרים וסגני השרים ויצירת אפשרות לכהונת שני שרים במשרד אחד; ותיקון לחוק-יסוד: הכנסת בו קוצרה כהונת הכנסת לשלוש שנים.</t>
  </si>
  <si>
    <t xml:space="preserve">חוק ממשלת חילופים (תיקון חקיקה והוראת שעה), התש"ף-2020 </t>
  </si>
  <si>
    <t xml:space="preserve">05.05.2020</t>
  </si>
  <si>
    <t xml:space="preserve">החוק ביקש לערוך שורה של שינויים בחוק הממשלה, התשס"א–2001, חוק מימון מפלגות, התשל"ג–1973 וחוק שירות הביטחון הכללי, התשס"ב–2002 המשלימים את ההסדרים שהתקבלו בחוק-יסוד: הממשלה (תיקון מס' 8 והוראת שעה) – שעיגן את הקמתה של ממשלת רוטציה ("ממשלת חילופים").   בתיקון לחוק הממשלה, הוחלו ההוראות לעניין כתב אישום תלוי ועומד כנגד ראש הממשלה, על ראש הממשלה החלופי, עוגנה חובת הממשלה להודיע לכנסת על מילוי מקומו של שר ועל הפסקת כהונה של שר או סגן שר בממשלת חילופים וחובה לפרסם ברשומות פרטים הנוגעים לממשלת החילופים, למינוי שר או סגן שר וזיקותיהם ועוד; בתיקון לחוק מימון מפלגות, שנקבע כהוראת שעה, הוסדרה הזכאות למימון הוצאות שוטפות של חלק שהתפלג מסיעה שקמה עקב התפלגות; ובתיקון לחוק שירות הביטחון הכללי הוגדל מספר החברים בוועדת השרים לענייני השירות בתקופת ממשלת חילופים. </t>
  </si>
  <si>
    <t xml:space="preserve">הצעת חוק הארכת תקופות ודחיית מועדים (כהונות, הסמכות, אישורים רגולטוריים ועיצומים כספיים) (הוראת שעה - נגיף הקורונה החדש), התש"ף-2020</t>
  </si>
  <si>
    <t xml:space="preserve"> (מ/1304)</t>
  </si>
  <si>
    <t xml:space="preserve">הצעת חוק הביטוח הלאומי (תיקון - הכרה בלקות שמיעה באחת האוזניים), התש"ף-2020</t>
  </si>
  <si>
    <t xml:space="preserve"> (פ/544/23)</t>
  </si>
  <si>
    <t xml:space="preserve">04.05.2020</t>
  </si>
  <si>
    <t xml:space="preserve"> (פ/543/23)</t>
  </si>
  <si>
    <t xml:space="preserve">הצעות חוק תובענות ייצוגיות (תיקון - הוספת גביית קנס שלא כדין לעילות התביעה), התש"ף-2020</t>
  </si>
  <si>
    <t xml:space="preserve"> (פ/541/23)</t>
  </si>
  <si>
    <t xml:space="preserve">הצעת חוק בתי המשפט (תיקון - שופט משנה), התש"ף-2020</t>
  </si>
  <si>
    <t xml:space="preserve"> (פ/540/23)</t>
  </si>
  <si>
    <t xml:space="preserve">הצעת חוק לתיקון פקודת העיריות (תשלום עבור המצאת מסמכי מכרז), התש"ף-2020</t>
  </si>
  <si>
    <t xml:space="preserve"> (פ/539/23)</t>
  </si>
  <si>
    <t xml:space="preserve"> (פ/538/23)</t>
  </si>
  <si>
    <t xml:space="preserve"> (פ/537/23)</t>
  </si>
  <si>
    <t xml:space="preserve">הצעת חוק צער בעלי חיים (הגנה על בעלי חיים) (תיקון - איסור מכירת פרוות), התש"ף-2020</t>
  </si>
  <si>
    <t xml:space="preserve"> (פ/536/23)</t>
  </si>
  <si>
    <t xml:space="preserve"> (פ/534/23)</t>
  </si>
  <si>
    <t xml:space="preserve"> (פ/533/23)</t>
  </si>
  <si>
    <t xml:space="preserve"> (פ/532/23)</t>
  </si>
  <si>
    <t xml:space="preserve">הצעת חוק-יסוד : ההתגברות (תיקוני חקיקה)</t>
  </si>
  <si>
    <t xml:space="preserve"> (פ/531/23)</t>
  </si>
  <si>
    <t xml:space="preserve">הצעת חוק-יסוד: פסקת ההתגברות (תיקוני חקיקה) </t>
  </si>
  <si>
    <t xml:space="preserve"> (פ/530/23)</t>
  </si>
  <si>
    <t xml:space="preserve">הצעת חוק לעידוד השקעות הון (תיקון - הטבות מס למפעלים תעשיתיים חדשים), התש"ף-2020</t>
  </si>
  <si>
    <t xml:space="preserve"> (פ/529/23)</t>
  </si>
  <si>
    <t xml:space="preserve"> (פ/528/23)</t>
  </si>
  <si>
    <t xml:space="preserve">הצעת חוק לתיקון פקודת בריאות העם (סמכות לקביעת כללים למתן רישיון למכשירים רפואיים מיוחדים) (הוראת שעה), התש"ף-2020</t>
  </si>
  <si>
    <t xml:space="preserve"> (פ/527/23)</t>
  </si>
  <si>
    <t xml:space="preserve">הצעת חוק טיפול בחולי נפש (תיקון - הגבלת השימוש באמצעי כפיה), התש"ף-2020</t>
  </si>
  <si>
    <t xml:space="preserve"> (פ/526/23)</t>
  </si>
  <si>
    <t xml:space="preserve">הצעת חוק לתיקון פקודת הבנקאות (בדיקה ודיווח לבקשת ועדת הכספים של הכנסת), התש"ף-2020</t>
  </si>
  <si>
    <t xml:space="preserve"> (פ/525/23)</t>
  </si>
  <si>
    <t xml:space="preserve">הצעת חוק לתיקון פקודת העיריות (מענק הבירה), התש"ף-2020</t>
  </si>
  <si>
    <t xml:space="preserve"> (פ/524/23)</t>
  </si>
  <si>
    <t xml:space="preserve"> (פ/523/23)</t>
  </si>
  <si>
    <t xml:space="preserve">הצעת חוק הפיקוח על המעונות (תיקון - פיקוח של מנהל מעון), התש"ף-2020</t>
  </si>
  <si>
    <t xml:space="preserve"> (פ/522/23)</t>
  </si>
  <si>
    <t xml:space="preserve">הצעת חוק מיסוי מקרקעין (שבח ורכישה) (תיקון - ביטול הפטור ממס שבח לתושב חוץ), התש"ף-2020</t>
  </si>
  <si>
    <t xml:space="preserve"> (פ/521/23)</t>
  </si>
  <si>
    <t xml:space="preserve">הצעת חוק ההוצאה לפועל (תיקון - החרגת עיקול ביטוח רפואי בידי צד שלישי), התש"ף-2020</t>
  </si>
  <si>
    <t xml:space="preserve"> (פ/519/23)</t>
  </si>
  <si>
    <t xml:space="preserve"> (פ/518/23)</t>
  </si>
  <si>
    <t xml:space="preserve"> (פ/517/23)</t>
  </si>
  <si>
    <t xml:space="preserve">הצעת חוק להגדלת שיעור ההשתתפות בכוח העבודה ולצמצום פערים חברתיים (מענק עבודה) (תיקון - זכות במקרקעין בקבוצת רכישה), התש"ף-2020</t>
  </si>
  <si>
    <t xml:space="preserve"> (פ/516/23)</t>
  </si>
  <si>
    <t xml:space="preserve">הצעת חוק האזרחים הוותיקים (תיקון - הנחה בארנונה), התש"ף-2020</t>
  </si>
  <si>
    <t xml:space="preserve"> (פ/515/23)</t>
  </si>
  <si>
    <t xml:space="preserve">הצעת חוק שירותי הדת היהודיים (תיקון - ביטול אגרות רישום לנישואין), התש"ף-2020</t>
  </si>
  <si>
    <t xml:space="preserve"> (פ/514/23)</t>
  </si>
  <si>
    <t xml:space="preserve">הצעת חוק נכי רדיפות הנאצים (תיקון - ביטול התלות בין בעיה רפואית להכרה במחלה בגין המלחמה), התש"ף-2020</t>
  </si>
  <si>
    <t xml:space="preserve"> (פ/513/23)</t>
  </si>
  <si>
    <t xml:space="preserve">הצעת חוק התכנון והבנייה (תיקון - שומה מתוקנת מוסכמת), התש"ף-2020</t>
  </si>
  <si>
    <t xml:space="preserve"> (פ/512/23)</t>
  </si>
  <si>
    <t xml:space="preserve">הצעת חוק אימוץ ילדים (תיקון - איסור הפרדה בין אחים בהליך אימוץ), התש"ף-2020</t>
  </si>
  <si>
    <t xml:space="preserve"> (פ/511/23)</t>
  </si>
  <si>
    <t xml:space="preserve">הצעת חוק לצמצום רגולציה ושעורי אגרות לעסקים קטנים, התש"ף-2020</t>
  </si>
  <si>
    <t xml:space="preserve"> (פ/510/23)</t>
  </si>
  <si>
    <t xml:space="preserve"> (פ/509/23)</t>
  </si>
  <si>
    <t xml:space="preserve">הצעת חוק לתיקון פקודת מסי העיריה ומסי הממשלה (פיטורין) (פטור מארנונה למעון), התש"ף-2020</t>
  </si>
  <si>
    <t xml:space="preserve"> (פ/508/23)</t>
  </si>
  <si>
    <t xml:space="preserve">הצעת חוק שירותי הדת היהודיים (תיקון - בחירת רבני עיר), התש"ף-2020</t>
  </si>
  <si>
    <t xml:space="preserve"> (פ/507/23)</t>
  </si>
  <si>
    <t xml:space="preserve">הצעת חוק לתיקון פקודת מס הכנסה (ניכוי ריבית על משכנתא וסיוע ברכישת דירה), התש"ף-2020</t>
  </si>
  <si>
    <t xml:space="preserve"> (פ/506/23)</t>
  </si>
  <si>
    <t xml:space="preserve"> (פ/504/23)</t>
  </si>
  <si>
    <t xml:space="preserve">הצעת חוק להסדר התדיינויות בסכסוכי משפחה (הוראת שעה) (תיקון - הוספת גירושין בשיתוף פעולה), התש"ף-2020</t>
  </si>
  <si>
    <t xml:space="preserve"> (פ/503/23)</t>
  </si>
  <si>
    <t xml:space="preserve">הצעת חוק הביטוח הלאומי (תיקון - הכרה בפגיעה מינית בעבודה כפגיעה בעבודה), התש"ף-2020</t>
  </si>
  <si>
    <t xml:space="preserve"> (פ/502/23)</t>
  </si>
  <si>
    <t xml:space="preserve">הצעת חוק הקרן הקיימת לישראל (תחולת דיני המס), התש"ף-2020</t>
  </si>
  <si>
    <t xml:space="preserve"> (פ/501/23)</t>
  </si>
  <si>
    <t xml:space="preserve">הצעת חוק מיסוי מקרקעין (שבח ורכישה) (תיקון - ייצוג נישום על ידי רואה חשבון), התש"ף-2020</t>
  </si>
  <si>
    <t xml:space="preserve"> (פ/500/23)</t>
  </si>
  <si>
    <t xml:space="preserve">הצעת חוק שירותי הדת היהודיים (תיקון - בחירת רב יישוב ורב אזורי וכהונתם), התש"ף-2020</t>
  </si>
  <si>
    <t xml:space="preserve"> (פ/499/23)</t>
  </si>
  <si>
    <t xml:space="preserve"> (פ/498/23)</t>
  </si>
  <si>
    <t xml:space="preserve">הצעת חוק לתיקון פקודת מס הכנסה (נקודות זיכוי בעד ילדים), התש"ף-2020</t>
  </si>
  <si>
    <t xml:space="preserve"> (פ/497/23)</t>
  </si>
  <si>
    <t xml:space="preserve">הצעת חוק המוסד העליון ללשון העברית (תיקון - הנגשת מאגרים), התש"ף-2020</t>
  </si>
  <si>
    <t xml:space="preserve"> (פ/496/23)</t>
  </si>
  <si>
    <t xml:space="preserve">הצעת חוק יחסי ממון בין בני זוג (תיקון - הפקעת זכות האיזון מבן זוג שהורשע ברצח בן הזוג השני), התש"ף-2020</t>
  </si>
  <si>
    <t xml:space="preserve"> (פ/495/23)</t>
  </si>
  <si>
    <t xml:space="preserve"> (פ/494/23)</t>
  </si>
  <si>
    <t xml:space="preserve"> (פ/493/23)</t>
  </si>
  <si>
    <t xml:space="preserve"> (פ/492/23)</t>
  </si>
  <si>
    <t xml:space="preserve">הצעת חוק הפיקוח על שירותים פיננסיים (ביטוח) (תיקון - היתר לשיווק ומכירה של ביטוח נסיעות לחו"ל), התש"ף-2020</t>
  </si>
  <si>
    <t xml:space="preserve"> (פ/491/23)</t>
  </si>
  <si>
    <t xml:space="preserve">הצעת חוק המים (תיקון - איסוף מי גשמים), התש"ף-2020</t>
  </si>
  <si>
    <t xml:space="preserve"> (פ/490/23)</t>
  </si>
  <si>
    <t xml:space="preserve"> (פ/489/23)</t>
  </si>
  <si>
    <t xml:space="preserve"> (פ/488/23)</t>
  </si>
  <si>
    <t xml:space="preserve">הצעת חוק לתיקון פקודת התעבורה (ביטול קנס בשל רכישת מערכות בטיחות מתקדמות), התש"ף-2020</t>
  </si>
  <si>
    <t xml:space="preserve"> (פ/487/23)</t>
  </si>
  <si>
    <t xml:space="preserve">הצעת חוק סיוע למשפחות שבראשן הורה עצמאי (תיקון – הגנה מפני עיקול של כספי סיוע), התש"ף–2020</t>
  </si>
  <si>
    <t xml:space="preserve"> (פ/486/23)</t>
  </si>
  <si>
    <t xml:space="preserve">הצעת חוק אוויר נקי (תיקון - איסור הפעלת מפוחים), התש"ף-2020</t>
  </si>
  <si>
    <t xml:space="preserve"> (פ/485/23)</t>
  </si>
  <si>
    <t xml:space="preserve">הצעת חוק התכנון והבנייה (תיקון - הוראות שונות לעניין היטל השבחה), התש"ף-2020</t>
  </si>
  <si>
    <t xml:space="preserve"> (פ/484/23)</t>
  </si>
  <si>
    <t xml:space="preserve">הצעת חוק שיפוט בתי דין רבניים (נישואין וגירושין) (תיקון - קציבת זמן לכריכת ענייני ממון ומשמורת), התש"ף-2020</t>
  </si>
  <si>
    <t xml:space="preserve"> (פ/483/23)</t>
  </si>
  <si>
    <t xml:space="preserve">הצעת חוק צער בעלי חיים (הגנה על בעלי חיים) (תיקון - רישיון לזיווג או למכירה של כלבים וחתולים), התש"ף-2020</t>
  </si>
  <si>
    <t xml:space="preserve"> (פ/482/23)</t>
  </si>
  <si>
    <t xml:space="preserve">הצעת חוק שירותי הדת היהודיים (תיקון - משך כהונת רב עיר), התש"ף-2020</t>
  </si>
  <si>
    <t xml:space="preserve"> (פ/481/23)</t>
  </si>
  <si>
    <t xml:space="preserve">הצעת חוק זכאות לאבחון לקויות למידה לילדים ממשפחות מעוטות יכולת, התש"ף-2020</t>
  </si>
  <si>
    <t xml:space="preserve"> (פ/480/23)</t>
  </si>
  <si>
    <t xml:space="preserve">הצעת חוק הביטוח הלאומי (תיקון - שמירה חקלאית כעבודה מועדפת), התש"ף-2020</t>
  </si>
  <si>
    <t xml:space="preserve"> (פ/479/23)</t>
  </si>
  <si>
    <t xml:space="preserve">הצעת חוק המועצות האזוריות (בחירת ראש המועצה) (תיקון - הגשת רשימה על ידי סיעה או מפלגה), התש"ף-2020</t>
  </si>
  <si>
    <t xml:space="preserve"> (פ/478/23)</t>
  </si>
  <si>
    <t xml:space="preserve">הצעת חוק השמירה על המקומות הקדושים (תיקון - הבטחת פלורליזם דתי), התש"ף-2020</t>
  </si>
  <si>
    <t xml:space="preserve"> (פ/477/23)</t>
  </si>
  <si>
    <t xml:space="preserve"> (פ/476/23)</t>
  </si>
  <si>
    <t xml:space="preserve">הצעת חוק זכויות נפגעי עבירה (תיקון - חובת מסירת הודעה בדבר כניסה, יציאה ושחרור של נידון ממעון נעול), התש"ף-2020</t>
  </si>
  <si>
    <t xml:space="preserve"> (פ/475/23)</t>
  </si>
  <si>
    <t xml:space="preserve"> (פ/474/23)</t>
  </si>
  <si>
    <t xml:space="preserve"> (פ/473/23)</t>
  </si>
  <si>
    <t xml:space="preserve">הצעת חוק החלת תקצוב מגדרי על תקציבים ציבוריים בישראל, התש"ף-2020</t>
  </si>
  <si>
    <t xml:space="preserve"> (פ/471/23)</t>
  </si>
  <si>
    <t xml:space="preserve"> (פ/470/23)</t>
  </si>
  <si>
    <t xml:space="preserve">הצעת חוק מס ערך מוסף (תיקון - מועד הוצאת חשבונית מס), התש"ף-2020</t>
  </si>
  <si>
    <t xml:space="preserve"> (פ/468/23)</t>
  </si>
  <si>
    <t xml:space="preserve"> (פ/467/23)</t>
  </si>
  <si>
    <t xml:space="preserve">הצעת חוק לתיקון פקודת היערות (הגברת ההגנה על עצים בוגרים), התש"ף-2020</t>
  </si>
  <si>
    <t xml:space="preserve"> (פ/466/23)</t>
  </si>
  <si>
    <t xml:space="preserve">הצעת חוק שיקים ללא כיסוי (תיקון - חשבון פרטי וחשבון עסקי), התש"ף-2020</t>
  </si>
  <si>
    <t xml:space="preserve"> (פ/465/23)</t>
  </si>
  <si>
    <t xml:space="preserve"> (פ/464/23)</t>
  </si>
  <si>
    <t xml:space="preserve">הצעת חוק שינוי תקופת הצינון לבכירי מערכת הביטחון (תיקוני חקיקה), התש"ף-2020</t>
  </si>
  <si>
    <t xml:space="preserve"> (פ/463/23)</t>
  </si>
  <si>
    <t xml:space="preserve">הצעת חוק הבטחת הכנסה (תיקון - הצמדת הגמלה בגיל פרישה לשכר הממוצע במשק), התש"ף-2020</t>
  </si>
  <si>
    <t xml:space="preserve"> (פ/462/23)</t>
  </si>
  <si>
    <t xml:space="preserve">הצעת חוק לימוד חובה (תיקון - יועץ חינוכי בכל מוסד חינוך), התש"ף-2020</t>
  </si>
  <si>
    <t xml:space="preserve"> (פ/461/23)</t>
  </si>
  <si>
    <t xml:space="preserve">הצעת חוק שירותי הדת היהודיים (תיקון - ביטול המועצות הדתיות), התש"ף-2020</t>
  </si>
  <si>
    <t xml:space="preserve"> (פ/460/23)</t>
  </si>
  <si>
    <t xml:space="preserve">הצעת חוק לתיקון פקודת התעבורה (תשלום קנס בתשלומים), התש"ף-2020</t>
  </si>
  <si>
    <t xml:space="preserve"> (פ/459/23)</t>
  </si>
  <si>
    <t xml:space="preserve">הצעת חוק הבנקאות (שירות ללקוח) (תיקון - חובת הצבת מכשיר אוטומטי למשיכת והפקדת מזומנים ושיקים), התש"ף-2020</t>
  </si>
  <si>
    <t xml:space="preserve"> (פ/458/23)</t>
  </si>
  <si>
    <t xml:space="preserve">הצעת חוק חניה לנכים (תיקון - החלטה בבקשה לתג נכה), התש"ף-2020</t>
  </si>
  <si>
    <t xml:space="preserve"> (פ/457/23)</t>
  </si>
  <si>
    <t xml:space="preserve">הצעת חוק שכר ותנאי עבודה לנהגי תחבורה ציבורית, התש"ף-2020</t>
  </si>
  <si>
    <t xml:space="preserve"> (פ/456/23)</t>
  </si>
  <si>
    <t xml:space="preserve"> (פ/455/23)</t>
  </si>
  <si>
    <t xml:space="preserve">הצעת חוק הגנת הצרכן (תיקון - איסור גביית עמלה בעסקה שבוצעה באמצעות האינטרנט), התש"ף-2020</t>
  </si>
  <si>
    <t xml:space="preserve"> (פ/454/23)</t>
  </si>
  <si>
    <t xml:space="preserve">הצעת חוק ברל כצנלסון (ציון זכרו ופועלו), התש"ף-2020</t>
  </si>
  <si>
    <t xml:space="preserve"> (פ/453/23)</t>
  </si>
  <si>
    <t xml:space="preserve">הצעת חוק לתיקון פקודת התעבורה (שירותי תחבורה ציבורית ללא תשלום), התש"ף-2020</t>
  </si>
  <si>
    <t xml:space="preserve"> (פ/452/23)</t>
  </si>
  <si>
    <t xml:space="preserve"> (פ/451/23)</t>
  </si>
  <si>
    <t xml:space="preserve">הצעת חוק למניעת התעמרות בעבודה, התש"ף-2020</t>
  </si>
  <si>
    <t xml:space="preserve"> (פ/450/23)</t>
  </si>
  <si>
    <t xml:space="preserve">הצעת חוק קרן קיימת לישראל (תיקון - החברה החדשה - גוף מבוקר), התש"ף-2020</t>
  </si>
  <si>
    <t xml:space="preserve"> (פ/449/23)</t>
  </si>
  <si>
    <t xml:space="preserve">הצעת חוק עבודת נשים (תיקון - תקופת לידה והורות מדורגת), התש"ף-2020</t>
  </si>
  <si>
    <t xml:space="preserve"> (פ/446/23)</t>
  </si>
  <si>
    <t xml:space="preserve">הצעת חוק הרשויות המקומיות (בחירת ראש הרשות וסגניו וכהונתם) (תיקון - מילוי מקום ראש רשות שהושעה מכהונה בשל הגשת כתב אישום ושב ונבחר), התש"ף-2020</t>
  </si>
  <si>
    <t xml:space="preserve"> (פ/445/23)</t>
  </si>
  <si>
    <t xml:space="preserve">הצעת חוק מתן פטור מתשלום חשבונות עבור שירותים חיוניים לחיילים בודדים, התש"ף-2020</t>
  </si>
  <si>
    <t xml:space="preserve"> (פ/444/23)</t>
  </si>
  <si>
    <t xml:space="preserve">הצעת חוק האזרחים הוותיקים (תיקון - הנחה בארנונה לאזרח ותיק המתגורר בדירה שאינה בחזקתו), התש"ף-2020</t>
  </si>
  <si>
    <t xml:space="preserve"> (פ/443/23)</t>
  </si>
  <si>
    <t xml:space="preserve">הצעת חוק משפחות חיילים שנספו במערכה (תגמולים ושיקום) (תיקון - הגדרת אלמן ושכול), התש"ף-2020</t>
  </si>
  <si>
    <t xml:space="preserve"> (פ/442/23)</t>
  </si>
  <si>
    <t xml:space="preserve">הצעת חוק הבנקאות (רישוי) (תיקון - אישור ועדת הכספים של הכנסת לרכישת תאגיד בנקאי על ידי תאגיד בנקאי אחר), התש"ף-2020</t>
  </si>
  <si>
    <t xml:space="preserve"> (פ/441/23)</t>
  </si>
  <si>
    <t xml:space="preserve">הצעת חוק לתיקון פקודת תעריף המכס והפטורים (העלאת רף הפטור ממכס על חפצים ל-400 דולר), התש"ף-2020 </t>
  </si>
  <si>
    <t xml:space="preserve"> (פ/440/23)</t>
  </si>
  <si>
    <t xml:space="preserve">הצעת חוק אמנת הפליט להסדרת מעמד מבקשי מקלט ופליטים בישראל, התש"ף-2020</t>
  </si>
  <si>
    <t xml:space="preserve"> (פ/439/23)</t>
  </si>
  <si>
    <t xml:space="preserve">הצעת חוק לתיקון פקודת העיריות (חובת הקלטת דיונים, ניהול פרוטוקול ופרסומם), התש"ף-2020</t>
  </si>
  <si>
    <t xml:space="preserve"> (פ/438/23)</t>
  </si>
  <si>
    <t xml:space="preserve">הצעת חוק העונשין (תיקון - החרגת טורניר מהגדרת משחק אסור), התש"ף-2020</t>
  </si>
  <si>
    <t xml:space="preserve"> (פ/437/23)</t>
  </si>
  <si>
    <t xml:space="preserve"> (פ/436/23)</t>
  </si>
  <si>
    <t xml:space="preserve">הצעת חוק הסדרים במשק המדינה (תיקוני חקיקה להשגת יעדי התקציב) (תיקון - ארנונה על מבנה מגורים שאינו בשימוש), התש"ף-2020</t>
  </si>
  <si>
    <t xml:space="preserve"> (פ/435/23)</t>
  </si>
  <si>
    <t xml:space="preserve">הצעת חוק לתיקון פקודת התעבורה (המבקש להישפט על עבירות קנס), התש"ף-2020</t>
  </si>
  <si>
    <t xml:space="preserve"> (פ/434/23)</t>
  </si>
  <si>
    <t xml:space="preserve">הצעת חוק שיווי זכויות האישה (תיקון - ייצוג לנשים בוועדות איתור), התש"ף-2020</t>
  </si>
  <si>
    <t xml:space="preserve"> (פ/433/23)</t>
  </si>
  <si>
    <t xml:space="preserve">הצעת חוק שוויון זכויות האישה (תיקון - ייצוג לנשים בוועדות איתור), התש"ף-2020</t>
  </si>
  <si>
    <t xml:space="preserve"> (פ/432/23)</t>
  </si>
  <si>
    <t xml:space="preserve">הצעת חוק יישוב סכסוכי עבודה (תיקון - סכסוך עבודה פוליטי), התש"ף-2020</t>
  </si>
  <si>
    <t xml:space="preserve"> (פ/431/23)</t>
  </si>
  <si>
    <t xml:space="preserve">הצעת חוק לתיקון פקודת התעבורה (החרגת בעלי רישיון שימוש בקנבוס רפואי), התש"ף-2020</t>
  </si>
  <si>
    <t xml:space="preserve"> (פ/430/23)</t>
  </si>
  <si>
    <t xml:space="preserve">הצעת חוק מתן סמכויות פיקוח והסמכת מפקחים ופקחים (תיקוני חקיקה), התש"ף-2020</t>
  </si>
  <si>
    <t xml:space="preserve"> (פ/429/23)</t>
  </si>
  <si>
    <t xml:space="preserve">הצעת חוק יום אבל במות קרוב מדרגה שנייה, התש"ף-2020</t>
  </si>
  <si>
    <t xml:space="preserve"> (פ/427/23)</t>
  </si>
  <si>
    <t xml:space="preserve">הצעת חוק למניעת הטרדה מינית (תיקון - הרחבת תחולה על עובד של קבלן שירות המועסק אצל מזמין השירות), התש"ף-2020</t>
  </si>
  <si>
    <t xml:space="preserve"> (פ/426/23)</t>
  </si>
  <si>
    <t xml:space="preserve"> (פ/425/23)</t>
  </si>
  <si>
    <t xml:space="preserve">הצעת חוק עקרונות לפדיון שבויים ונעדרים, התש"ף-2020</t>
  </si>
  <si>
    <t xml:space="preserve"> (פ/424/23)</t>
  </si>
  <si>
    <t xml:space="preserve">הצעת חוק ההתגוננות האזרחית (תיקון - הקמת תשתית חיבור לרשת אינטרנט אלחוטית במקלטים שביישובי קו העימות), התש"ף-2020</t>
  </si>
  <si>
    <t xml:space="preserve"> (פ/423/23)</t>
  </si>
  <si>
    <t xml:space="preserve">הצעת חוק הפרטת גלי צה"ל, התש"ף-2020</t>
  </si>
  <si>
    <t xml:space="preserve"> (פ/422/23)</t>
  </si>
  <si>
    <t xml:space="preserve"> (פ/421/23)</t>
  </si>
  <si>
    <t xml:space="preserve">הצעת חוק-יסוד: הכנסת (תיקון - סייג להגשת עתירה בידי חבר הכנסת בעניין שהוחלט בכנסת)</t>
  </si>
  <si>
    <t xml:space="preserve"> (פ/420/23)</t>
  </si>
  <si>
    <t xml:space="preserve">הצעת חוק הגנת הצרכן (תיקון - סימון מוצרים מהאיחוד האירופי), התש"ף-2020</t>
  </si>
  <si>
    <t xml:space="preserve"> (פ/419/23)</t>
  </si>
  <si>
    <t xml:space="preserve">הצעת חוק לתיקון פקודת מס הכנסה (מיסוי הכנסה לגורמים זרים), התש"ף-2020</t>
  </si>
  <si>
    <t xml:space="preserve"> (פ/418/23)</t>
  </si>
  <si>
    <t xml:space="preserve">הצעת חוק הקמת חדרי מיון קדמיים, התש"ף-2020</t>
  </si>
  <si>
    <t xml:space="preserve"> (פ/417/23)</t>
  </si>
  <si>
    <t xml:space="preserve">הצעת חוק זכויות הסטודנט (תיקון - ביטול ארגון סטודנטים יציג), התש"ף-2020</t>
  </si>
  <si>
    <t xml:space="preserve"> (פ/416/23)</t>
  </si>
  <si>
    <t xml:space="preserve"> (פ/415/23)</t>
  </si>
  <si>
    <t xml:space="preserve">הצעת חוק הביטוח לאומי (תיקון - ביטוח זכויות עצמאי שעיקר הכנסתו מעסק המצוי בפשיטת רגל או בפירוק), התש"ף-2020</t>
  </si>
  <si>
    <t xml:space="preserve"> (פ/414/23)</t>
  </si>
  <si>
    <t xml:space="preserve">הצעת חוק כביש אגרה (כביש ארצי לישראל) (תיקון - הפחתת ריבית פיגורים על חוב חלוט), התש"ף-2020</t>
  </si>
  <si>
    <t xml:space="preserve"> (פ/413/23)</t>
  </si>
  <si>
    <t xml:space="preserve">הצעת חוק פיצוי לנפגעי פוליו (תיקון - הכרה באחוזי נכות של נפגע פוליו לצורך דינים אחרים), התש"ף-2020</t>
  </si>
  <si>
    <t xml:space="preserve"> (פ/412/23)</t>
  </si>
  <si>
    <t xml:space="preserve">הצעת חוק שמירת הקדושה של הכותל המערבי ורחבתו, התש"ף-2020</t>
  </si>
  <si>
    <t xml:space="preserve"> (פ/411/23)</t>
  </si>
  <si>
    <t xml:space="preserve"> (פ/409/23)</t>
  </si>
  <si>
    <t xml:space="preserve">הצעת חוק הביטוח הלאומי (תיקון - הארכת המועד להגשת תביעה לגמלה והתקופה שבעדה תשולם), תש"ף-2020</t>
  </si>
  <si>
    <t xml:space="preserve"> (פ/408/23)</t>
  </si>
  <si>
    <t xml:space="preserve">הצעת חוק מס ערך מוסף (תיקון - עידוד פתיחת עסקים חדשים), התש"ף-2020</t>
  </si>
  <si>
    <t xml:space="preserve"> (פ/407/23)</t>
  </si>
  <si>
    <t xml:space="preserve">הצעת חוק הביטוח הלאומי (תיקון - פטור מתשלום דמי ביטוח לסטודנטים בשל הכנסות הוריהם), התש"ף-2020</t>
  </si>
  <si>
    <t xml:space="preserve"> (פ/405/23)</t>
  </si>
  <si>
    <t xml:space="preserve">הצעת חוק מיסוי מקרקעין (שבח ורכישה) (תיקון - תשלום המס בתשלומים), התש"ף-2020</t>
  </si>
  <si>
    <t xml:space="preserve"> (פ/404/23)</t>
  </si>
  <si>
    <t xml:space="preserve">הצעת חוק מיסוי מקרקעין (שבח ורכישה) (תיקון - רכישת דירה על ידי ילד יתום), התש"ף-2020</t>
  </si>
  <si>
    <t xml:space="preserve"> (פ/403/23)</t>
  </si>
  <si>
    <t xml:space="preserve">הצעת חוק מיסוי מקרקעין (שבח ורכישה) (תיקון - חזקת דירה יחידה), התש"ף-2020</t>
  </si>
  <si>
    <t xml:space="preserve"> (פ/402/23)</t>
  </si>
  <si>
    <t xml:space="preserve">הצעת חוק שוויון זכויות לאנשים עם מוגבלות (תיקון - חובת נגישות באוטובוסים בין-עירוניים), התש"ף-2020</t>
  </si>
  <si>
    <t xml:space="preserve"> (פ/401/23)</t>
  </si>
  <si>
    <t xml:space="preserve">הצעת חוק בתי המשפט (תיקון - פרסום פסיקה בענייני משפחה), התש"ף-2020</t>
  </si>
  <si>
    <t xml:space="preserve"> (פ/400/23)</t>
  </si>
  <si>
    <t xml:space="preserve">הצעת חוק שוויון זכויות לאנשים עם מוגבלות (תיקון - הכשרה מתאימה לממונה תעסוקה), התש"ף-2020</t>
  </si>
  <si>
    <t xml:space="preserve"> (פ/398/23)</t>
  </si>
  <si>
    <t xml:space="preserve">הצעת חוק התכנון והבנייה (תיקון - תסקירי השפעה על הסביבה ועל הבריאות), התש"ף-2020</t>
  </si>
  <si>
    <t xml:space="preserve"> (פ/397/23)</t>
  </si>
  <si>
    <t xml:space="preserve">הצעת חוק הודעה לעובד ולמועמד לעבודה (תנאי עבודה והליכי מיון וקבלה לעבודה) (תיקון - הגברת השקיפות בעניין הפרשות לפנסיה), התש"ף-2020</t>
  </si>
  <si>
    <t xml:space="preserve"> (פ/396/23)</t>
  </si>
  <si>
    <t xml:space="preserve"> (פ/395/23)</t>
  </si>
  <si>
    <t xml:space="preserve">הצעת חוק הרשויות המקומיות (אכיפה סביבתית - סמכויות פקחים) (תיקון - הסמכת פקחים באיגוד ערים לווטרינריה), התש"ף-2020</t>
  </si>
  <si>
    <t xml:space="preserve"> (פ/394/23)</t>
  </si>
  <si>
    <t xml:space="preserve">הצעת חוק זכויות הדייר בדיור הציבורי (תיקון - סיוע ריאלי בשכר דירה), התש"ף-2020</t>
  </si>
  <si>
    <t xml:space="preserve"> (פ/393/23)</t>
  </si>
  <si>
    <t xml:space="preserve">הצעת חוק צער בעלי חיים (הגנה על בעלי חיים) (תיקון - ביטול כלובים בתעשיית הביצים), התש"ף-2020 </t>
  </si>
  <si>
    <t xml:space="preserve"> (פ/392/23)</t>
  </si>
  <si>
    <t xml:space="preserve"> (פ/391/23)</t>
  </si>
  <si>
    <t xml:space="preserve"> (פ/390/23)</t>
  </si>
  <si>
    <t xml:space="preserve">הצעת חוק הרשות לטיפול בנפגעי הלם קרב, התש"ף-2020</t>
  </si>
  <si>
    <t xml:space="preserve"> (פ/389/23)</t>
  </si>
  <si>
    <t xml:space="preserve">הצעת חוק לתיקון פקודת מס הכנסה (החזר הוצאות על מסגרות לילדים בשעות הצהרים), התש"ף-2020</t>
  </si>
  <si>
    <t xml:space="preserve"> (פ/388/23)</t>
  </si>
  <si>
    <t xml:space="preserve">הצעת חוק להגנת חיית הבר (תיקון - איסור שימוש ברעל ובחומרי הדברה), התש"ף-2020 </t>
  </si>
  <si>
    <t xml:space="preserve"> (פ/387/23)</t>
  </si>
  <si>
    <t xml:space="preserve">הצעת חוק הגנת השכר (תיקון - הגבלת ניכוי דמי חבר ודמי טיפול מקצועי ארגוני), התש"ף-2020</t>
  </si>
  <si>
    <t xml:space="preserve"> (פ/386/23)</t>
  </si>
  <si>
    <t xml:space="preserve">הצעת חוק להסדרת רעיית דבורים וייצור דבש, התש"ף-2020</t>
  </si>
  <si>
    <t xml:space="preserve"> (פ/385/23)</t>
  </si>
  <si>
    <t xml:space="preserve">הצעת חוק החלת החוק הישראלי בשטח בקעת הירדן (הליך קבלת אזרחות), התש"ף-2020</t>
  </si>
  <si>
    <t xml:space="preserve"> (פ/384/23)</t>
  </si>
  <si>
    <t xml:space="preserve">הצעת חוק בית המשפט לענייני משפחה (תיקון - פטור מתשלום אגרה למקבלי הבטחת הכנסה), התש"ף-2020 </t>
  </si>
  <si>
    <t xml:space="preserve"> (פ/383/23)</t>
  </si>
  <si>
    <t xml:space="preserve">הצעת חוק מכסת מפוקחים בפיקוח אלקטרוני (הוראת שעה - נגיף הקורונה החדש), התש"ף-2020</t>
  </si>
  <si>
    <t xml:space="preserve"> (מ/1301)</t>
  </si>
  <si>
    <t xml:space="preserve">הצעת חוק דחיית מועדים לתשלום קנסות (נגיף הקורונה החדש), התש"ף-2020</t>
  </si>
  <si>
    <t xml:space="preserve"> (מ/1302)</t>
  </si>
  <si>
    <t xml:space="preserve">הצעת חוק החלת החוק הישראלי בשטחי בקעת הירדן צפון ים המלח והישובים היהודיים ביהודה והשומרון, התש"ף-2020</t>
  </si>
  <si>
    <t xml:space="preserve"> (פ/382/23)</t>
  </si>
  <si>
    <t xml:space="preserve">26.04.2020</t>
  </si>
  <si>
    <t xml:space="preserve"> (פ/381/23)</t>
  </si>
  <si>
    <t xml:space="preserve"> (פ/380/23)</t>
  </si>
  <si>
    <t xml:space="preserve">הצעת חוק סיוע לקטינים נפגעי עבירות מין או אלימות (תיקון - טיפול נפשי לילדים נפגעי אלימות במשפחה או חשופים לאלימות במשפחה), התש"ף-2020</t>
  </si>
  <si>
    <t xml:space="preserve"> (פ/379/23)</t>
  </si>
  <si>
    <t xml:space="preserve">הצעת חוק אימוץ ילדים (תיקון - אימוץ על ידי בני הזוג), התש"ף-2020</t>
  </si>
  <si>
    <t xml:space="preserve"> (פ/378/23)</t>
  </si>
  <si>
    <t xml:space="preserve"> (פ/377/23)</t>
  </si>
  <si>
    <t xml:space="preserve">הצעת חוק הקצאת דירות שנבנו במסגרת תכנית מחיר למשתכן למחוסרי דיור או לדיור הציבורי, התש"ף-2020</t>
  </si>
  <si>
    <t xml:space="preserve"> (פ/376/23)</t>
  </si>
  <si>
    <t xml:space="preserve">הצעת חוק חג המימונה, התש"ף-2020</t>
  </si>
  <si>
    <t xml:space="preserve"> (פ/375/23)</t>
  </si>
  <si>
    <t xml:space="preserve">הצעת חוק לתיקון פקודת התעבורה (הגבלת מתן רישיון נהיגה לטרקטורון), התש"ף-2020 </t>
  </si>
  <si>
    <t xml:space="preserve"> (פ/374/23)</t>
  </si>
  <si>
    <t xml:space="preserve">הצעת חוק זכויות הדייר בדיור הציבורי (תיקון - הארכת תוקף זכאות לדירה ציבורית), התש"ף-2020</t>
  </si>
  <si>
    <t xml:space="preserve"> (פ/373/23)</t>
  </si>
  <si>
    <t xml:space="preserve">הצעת חוק חופשה שנתית (תיקון - היעדרות בשל פטירת סב), התש"ף-2020</t>
  </si>
  <si>
    <t xml:space="preserve"> (פ/372/23)</t>
  </si>
  <si>
    <t xml:space="preserve">הצעת חוק המכר (דירות) (תיקון - הסדרת בנייה במסגרת קבוצות רכישה), התש"ף-2020</t>
  </si>
  <si>
    <t xml:space="preserve"> (פ/371/23)</t>
  </si>
  <si>
    <t xml:space="preserve">הצעת חוק העסקת עובדים על ידי קבלני כוח אדם (תיקון - מגבלות ברישוי קבלני כוח אדם), התש"ף-2020</t>
  </si>
  <si>
    <t xml:space="preserve"> (פ/370/23)</t>
  </si>
  <si>
    <t xml:space="preserve">הצעת חוק מתן סיוע ריאלי בשכר דירה לזכאים, התש"ף-2020</t>
  </si>
  <si>
    <t xml:space="preserve"> (פ/369/23)</t>
  </si>
  <si>
    <t xml:space="preserve"> (פ/368/23)</t>
  </si>
  <si>
    <t xml:space="preserve">הצעת חוק מגן דוד אדום (תיקון - פריסת ניידות טיפול נמרץ ברחבי המדינה), התש"ף-2020</t>
  </si>
  <si>
    <t xml:space="preserve"> (פ/367/23)</t>
  </si>
  <si>
    <t xml:space="preserve">הצעת חוק הרבנות הראשית לישראל (תיקון - רב ראשי אחד), התש"ף-2020</t>
  </si>
  <si>
    <t xml:space="preserve"> (פ/366/23)</t>
  </si>
  <si>
    <t xml:space="preserve"> (פ/365/23)</t>
  </si>
  <si>
    <t xml:space="preserve">הצעת חוק הרבנות הראשית לישראל (תיקון - ביטול החוק), התש"ף-2020</t>
  </si>
  <si>
    <t xml:space="preserve"> (פ/363/23)</t>
  </si>
  <si>
    <t xml:space="preserve">הצעת חוק הגנת הצרכן (תיקון - פרסומת ודרכי שיווק אסורים במוסד חינוך), התש"ף-2020</t>
  </si>
  <si>
    <t xml:space="preserve"> (פ/362/23)</t>
  </si>
  <si>
    <t xml:space="preserve">הצעת חוק חינוך ממלכתי (תיקון - ביטול השתתפות רשות מקומית בתקציבי מוסדות חינוך מוכרים לא רשמיים), התש"ף-2020</t>
  </si>
  <si>
    <t xml:space="preserve"> (פ/361/23)</t>
  </si>
  <si>
    <t xml:space="preserve">הצעת חוק הביטוח הלאומי (תיקון - דמי ביטוח מופחתים למעסיק קולט עלייה), התש"ף-2020</t>
  </si>
  <si>
    <t xml:space="preserve"> (פ/359/23)</t>
  </si>
  <si>
    <t xml:space="preserve">הצעת חוק עבודת נשים (תיקון - הגנה לעובדת העוברת טיפולי פוריות), התש"ף-2020</t>
  </si>
  <si>
    <t xml:space="preserve"> (פ/358/23)</t>
  </si>
  <si>
    <t xml:space="preserve">הצעת חוק התגמולים לנפגעי פעולות איבה (תיקון - פשעי שנאה), התש"ף-2020</t>
  </si>
  <si>
    <t xml:space="preserve"> (פ/357/23)</t>
  </si>
  <si>
    <t xml:space="preserve">הצעת חוק המוזיאונים (תיקון - מוזיאונים להנצחה ולהנחלה של זכר השואה והגבורה), התש"ף-2020</t>
  </si>
  <si>
    <t xml:space="preserve"> (פ/356/23)</t>
  </si>
  <si>
    <t xml:space="preserve">הצעת חוק זכויות, שירותים והתאמות בחינוך לילדים עם צרכים מיוחדים, התש"ף-2020</t>
  </si>
  <si>
    <t xml:space="preserve"> (פ/355/23)</t>
  </si>
  <si>
    <t xml:space="preserve">הצעת חוק איסור הפליה במוצרים, בשירותים ובכניסה למקומות בידור ולמקומות ציבוריים (תיקון - הגדלת סכום הפיצוי בלא הוכחת נזק), התש"ף-2020</t>
  </si>
  <si>
    <t xml:space="preserve"> (פ/354/23)</t>
  </si>
  <si>
    <t xml:space="preserve"> (פ/352/23)</t>
  </si>
  <si>
    <t xml:space="preserve">הצעת חוק הענקת אזרחות כבוד לחללי מלחמת הקוממיות (תיקון - הענקת אזרחות ישראלית), התש"ף-2020</t>
  </si>
  <si>
    <t xml:space="preserve"> (פ/351/23)</t>
  </si>
  <si>
    <t xml:space="preserve">הצעת חוק הרשות לטקסים ולסמלים ממלכתיים, התש"ף-2020</t>
  </si>
  <si>
    <t xml:space="preserve"> (פ/350/23)</t>
  </si>
  <si>
    <t xml:space="preserve"> (פ/349/23)</t>
  </si>
  <si>
    <t xml:space="preserve"> (פ/347/23)</t>
  </si>
  <si>
    <t xml:space="preserve">הצעת חוק לתיקון פקודת העיריות (ערר על החלטת שר הפנים לעניין חוקי עזר), התש"ף-2020</t>
  </si>
  <si>
    <t xml:space="preserve"> (פ/346/23)</t>
  </si>
  <si>
    <t xml:space="preserve">הצעת חוק נתוני אשראי (תיקון - קיצור תקופת שמירת הנתונים במאגר נתוני אשראי), התש"ף-2020</t>
  </si>
  <si>
    <t xml:space="preserve"> (פ/345/23)</t>
  </si>
  <si>
    <t xml:space="preserve">הצעת חוק המכינות הקדם-צבאיות (תיקון - ביטול הכרה במכינות הפועלות נגד צבא הגנה לישראל), התש"ף-2020</t>
  </si>
  <si>
    <t xml:space="preserve"> (פ/344/23)</t>
  </si>
  <si>
    <t xml:space="preserve">הצעת חוק תגמולים לאסירי ציון ולבני משפחותיהם (תיקון - שינוי מועד יום ציון פועלם של אסירי ציון וקביעת פעולות לציונו), התש"ף-2020</t>
  </si>
  <si>
    <t xml:space="preserve"> (פ/343/23)</t>
  </si>
  <si>
    <t xml:space="preserve">הצעת חוק הגנת הפרטיות (תיקון - פרטיות קטינים), התש"ף-2020</t>
  </si>
  <si>
    <t xml:space="preserve"> (פ/342/23)</t>
  </si>
  <si>
    <t xml:space="preserve"> (פ/341/23)</t>
  </si>
  <si>
    <t xml:space="preserve">הצעת חוק הקמת שדה תעופה בנבטים, התש"ף-2020</t>
  </si>
  <si>
    <t xml:space="preserve"> (פ/339/23)</t>
  </si>
  <si>
    <t xml:space="preserve">הצעת חוק לתיקון פקודת העיריות (חיזוק שלטון החוק וטוהר המידות בשלטון המקומי), התש"ף-2020</t>
  </si>
  <si>
    <t xml:space="preserve"> (פ/338/23)</t>
  </si>
  <si>
    <t xml:space="preserve">הצעת חוק החובה למתן חינוך בלתי פורמאלי לילדים ולנוער, התש"ף-2020</t>
  </si>
  <si>
    <t xml:space="preserve"> (פ/337/23)</t>
  </si>
  <si>
    <t xml:space="preserve">הצעת חוק הדיור המוגן (תיקון - קבלת דייר הזקוק לסיוע), התש"ף-2020</t>
  </si>
  <si>
    <t xml:space="preserve"> (פ/336/23)</t>
  </si>
  <si>
    <t xml:space="preserve">הצעת חוק פינוי ההתנחלות יצהר ותשעת המאחזים הסמוכים אליה, התש"ף-2020 </t>
  </si>
  <si>
    <t xml:space="preserve"> (פ/335/23)</t>
  </si>
  <si>
    <t xml:space="preserve"> (פ/334/23)</t>
  </si>
  <si>
    <t xml:space="preserve"> (פ/333/23)</t>
  </si>
  <si>
    <t xml:space="preserve">הצעת חוק חינוך ממלכתי (תיקון - חינוך לשוויון מגדרי חובה), התש"ף-2020</t>
  </si>
  <si>
    <t xml:space="preserve"> (פ/331/23)</t>
  </si>
  <si>
    <t xml:space="preserve">הצעת חוק להסדרת זכויות המגורים והרכישה של תושבי עמק התימנים בשכונת עין כרם בירושלים, התש"ף-2020</t>
  </si>
  <si>
    <t xml:space="preserve"> (פ/330/23)</t>
  </si>
  <si>
    <t xml:space="preserve"> (פ/329/23)</t>
  </si>
  <si>
    <t xml:space="preserve">הצעת חוק לחינוך נגד גזענות, התש"ף-2020</t>
  </si>
  <si>
    <t xml:space="preserve"> (פ/328/23)</t>
  </si>
  <si>
    <t xml:space="preserve"> (פ/327/23)</t>
  </si>
  <si>
    <t xml:space="preserve"> (פ/326/23)</t>
  </si>
  <si>
    <t xml:space="preserve">הצעת חוק לתיקון פקודת התעבורה (פטור מתשלום דמי חניה לרכב של כונן רפואת חירום עם ציוד), התש"ף-2020</t>
  </si>
  <si>
    <t xml:space="preserve"> (פ/325/23)</t>
  </si>
  <si>
    <t xml:space="preserve"> (פ/323/23)</t>
  </si>
  <si>
    <t xml:space="preserve">הצעת חוק הכשרות לאנשי מקצוע בנושא זיהוי ודיווח על התעללות בילדים, התש"ף-2020</t>
  </si>
  <si>
    <t xml:space="preserve"> (פ/321/23)</t>
  </si>
  <si>
    <t xml:space="preserve">הצעת חוק סיוע למשפחות שבראשן הורה עצמאי (תיקון - הרחבת התחולה), התש"ף-2020</t>
  </si>
  <si>
    <t xml:space="preserve"> (פ/320/23)</t>
  </si>
  <si>
    <t xml:space="preserve">הצעת חוק הדגל, הסמל והמנון המדינה (תיקון - שלילת תמיכה), התש"ף-2020</t>
  </si>
  <si>
    <t xml:space="preserve"> (פ/319/23)</t>
  </si>
  <si>
    <t xml:space="preserve"> (פ/318/23)</t>
  </si>
  <si>
    <t xml:space="preserve">הצעת חוק הרשויות המקומיות (בחירת ראש הרשות וסגניו וכהונתם) (תיקון - השעיית ראש רשות או סגנו שהוגש נגדו כתב אישום), התש"ף-2020 </t>
  </si>
  <si>
    <t xml:space="preserve"> (פ/317/23)</t>
  </si>
  <si>
    <t xml:space="preserve">הצעת חוק הבנקאות (שירות ללקוח) (תיקון - הגבלת עמלת ביטול עסקה בעד שירותי סליקה שמשלם עסק זעיר, קטן או בינוני), התש"ף-2020</t>
  </si>
  <si>
    <t xml:space="preserve"> (פ/316/23)</t>
  </si>
  <si>
    <t xml:space="preserve">הצעת חוק החברה למתנ"סים, התש"ף-2020</t>
  </si>
  <si>
    <t xml:space="preserve"> (פ/315/23)</t>
  </si>
  <si>
    <t xml:space="preserve">הצעת חוק זכויות התלמיד (תיקון - פיצוי בשל הפליית תלמידים), התש"ף-2020</t>
  </si>
  <si>
    <t xml:space="preserve"> (פ/314/23)</t>
  </si>
  <si>
    <t xml:space="preserve">הצעת חוק בתי המשפט (תיקון - שימוע ובחירות חשאיות לשופטי בית המשפט העליון), התש"ף-2020</t>
  </si>
  <si>
    <t xml:space="preserve"> (פ/313/23)</t>
  </si>
  <si>
    <t xml:space="preserve">הצעת חוק מיסוי מקרקעין (שבח ורכישה) (תיקון - מס רכישה מופחת לעולה חדש), התש"ף-2020</t>
  </si>
  <si>
    <t xml:space="preserve"> (פ/312/23)</t>
  </si>
  <si>
    <t xml:space="preserve">הצעת חוק הפעלת תחבורה ציבורית מצומצמת ביום המנוחה השבועי, התש"ף-2020</t>
  </si>
  <si>
    <t xml:space="preserve"> (פ/310/23)</t>
  </si>
  <si>
    <t xml:space="preserve"> (פ/309/23)</t>
  </si>
  <si>
    <t xml:space="preserve"> (פ/307/23)</t>
  </si>
  <si>
    <t xml:space="preserve">הצעת חוק שלילת תקצוב מוסדות חינוך המפלים תלמידים ברישום אליהם (תיקוני חקיקה), התש"ף-2020</t>
  </si>
  <si>
    <t xml:space="preserve"> (פ/306/23)</t>
  </si>
  <si>
    <t xml:space="preserve">הצעת חוק יסודות התקציב (תיקון - הקצאת תקציבים ליישובים הדרוזים והצ'רקסים) (הוראת שעה), התש"ף-2020</t>
  </si>
  <si>
    <t xml:space="preserve"> (פ/305/23)</t>
  </si>
  <si>
    <t xml:space="preserve">הצעת חוק בית הדין לעבודה (תיקון - ערעור לפני בית המשפט העליון), התש"ף-2020</t>
  </si>
  <si>
    <t xml:space="preserve"> (פ/304/23)</t>
  </si>
  <si>
    <t xml:space="preserve">הצעת חוק לתיקון פקודת התעבורה (סמכות שוטר בעבירות הנוגעות לשימוש בטלפון נייד), התש"ף-2020</t>
  </si>
  <si>
    <t xml:space="preserve"> (פ/303/23)</t>
  </si>
  <si>
    <t xml:space="preserve">הצעת חוק לתיקון פקודת מס הכנסה (הטבות מס לעולים חדשים), התש"ף-2020</t>
  </si>
  <si>
    <t xml:space="preserve"> (פ/302/23)</t>
  </si>
  <si>
    <t xml:space="preserve">הצעת חוק קליטת חיילים משוחררים (תיקון - הקרן להעצמת המשרתים בשירות צבאי), התש"ף-2020</t>
  </si>
  <si>
    <t xml:space="preserve"> (פ/301/23)</t>
  </si>
  <si>
    <t xml:space="preserve"> (פ/300/23)</t>
  </si>
  <si>
    <t xml:space="preserve">הצעת חוק ביטוח בריאות ממלכתי (תיקון - יצירת מדד לאומי לשוויון בשירותי בריאות), התש"ף-2020</t>
  </si>
  <si>
    <t xml:space="preserve"> (פ/299/23)</t>
  </si>
  <si>
    <t xml:space="preserve">הצעת חוק לימוד חובה (תיקון - תקופת שנת הלימודים וחופשות), התש"ף-2020</t>
  </si>
  <si>
    <t xml:space="preserve"> (פ/297/23)</t>
  </si>
  <si>
    <t xml:space="preserve">הצעת חוק עבודת נשים (תיקון - תקופת לידה והורות לגבר), התש"ף-2020</t>
  </si>
  <si>
    <t xml:space="preserve"> (פ/296/23)</t>
  </si>
  <si>
    <t xml:space="preserve">הצעת חוק הגנה על עובדים בעת אירוע חירום אזרחי, התש"ף-2020</t>
  </si>
  <si>
    <t xml:space="preserve"> (פ/295/23)</t>
  </si>
  <si>
    <t xml:space="preserve">הצעת חוק עבודת נשים (תיקון - תקופת לידה והורות לבנות זוג מאותו המין), התש"ף-2020</t>
  </si>
  <si>
    <t xml:space="preserve"> (פ/294/23)</t>
  </si>
  <si>
    <t xml:space="preserve">הצעת חוק עבודת נשים (תיקון - הוספת חלקו של חודש במניין), התש"ף-2020</t>
  </si>
  <si>
    <t xml:space="preserve"> (פ/293/23)</t>
  </si>
  <si>
    <t xml:space="preserve">הצעת חוק בית המשפט לענייני משפחה (תיקון - בני הזוג מאותו המין), התש"ף-2020</t>
  </si>
  <si>
    <t xml:space="preserve"> (פ/292/23)</t>
  </si>
  <si>
    <t xml:space="preserve"> (פ/291/23)</t>
  </si>
  <si>
    <t xml:space="preserve"> (פ/290/23)</t>
  </si>
  <si>
    <t xml:space="preserve">הצעת חוק איסור הונאה בכשרות (תיקון - קיצור משך זמן ההחלטה בערעור), התש"ף-2020</t>
  </si>
  <si>
    <t xml:space="preserve"> (פ/289/23)</t>
  </si>
  <si>
    <t xml:space="preserve">הצעת חוק הפסקת תשלום קצבה מאוצר המדינה לחבר כנסת (תיקוני חקיקה), התש"ף-2020</t>
  </si>
  <si>
    <t xml:space="preserve"> (פ/287/23)</t>
  </si>
  <si>
    <t xml:space="preserve"> (פ/286/23)</t>
  </si>
  <si>
    <t xml:space="preserve"> (פ/285/23)</t>
  </si>
  <si>
    <t xml:space="preserve">הצעת חוק בית המשפט לענייני משפחה (תיקון – מימון ניהול ההליך המשפטי), התש"ף–2020</t>
  </si>
  <si>
    <t xml:space="preserve"> (פ/284/23)</t>
  </si>
  <si>
    <t xml:space="preserve">הצעת חוק שירות המילואים (תיקון - משרת מילואים פעיל), התש"ף-2020</t>
  </si>
  <si>
    <t xml:space="preserve"> (פ/283/23)</t>
  </si>
  <si>
    <t xml:space="preserve"> (פ/282/23)</t>
  </si>
  <si>
    <t xml:space="preserve">הצעת חוק לתיקון פקודת התעבורה (חובת נשיאת לוחית זיהוי באופניים ממונעים ובקורקינט ממונע), התש"ף-2020</t>
  </si>
  <si>
    <t xml:space="preserve"> (פ/281/23)</t>
  </si>
  <si>
    <t xml:space="preserve">חוק סדר הדין הפלילי (סמכויות אכיפה – מעצרים) (הוראת שעה – נגיף הקורונה החדש) (מעצר חשוד בעת מניעה לקדם חקירה), התש"ף-2020 </t>
  </si>
  <si>
    <t xml:space="preserve"> (מ/1297)</t>
  </si>
  <si>
    <t xml:space="preserve">הוועדה המיוחדת בעניין ההתמודדות עם נגיף הקורונה - זמנית</t>
  </si>
  <si>
    <t xml:space="preserve">23.04.2020</t>
  </si>
  <si>
    <t xml:space="preserve">תיקון זה לחוק סדר הדין הפלילי ולחוק השיפוט הצבאי קבע, כהוראת שעה לתקופה של 45 ימים, שבבואו לצוות על מעצר ימים על השופט לשקול, בין היתר, את חיוניות המעצר בהתחשב בפגיעה הנובעת מקיומו של הדיון שלא בנוכחות העצור אלא בהיוועדות חזותית והסיכון להידבקותו בנגיף הקורונה במקום המעצר. בנוסף, התיקון העניק לשופט הסמכות לצוות, אם מתקיימת אחת מעילות המעצר, על מעצר אף בעת התקיימותה של מניעה לקידום החקירה בשל הסיכון הבריאותי הכרוך בחקירת אדם החולה בנגיף או הנמצא בבידוד והתווה את השיקולים שעל השופט לשקול בבואו להפעיל סמכות זו. כמו כן, התיקון ערך תיקונים מקבילים בחוק השיפוט הצבאי.</t>
  </si>
  <si>
    <t xml:space="preserve">הצעת חוק ביטוח פיקדונות בתאגיד בנקאי, התש"ף-2020</t>
  </si>
  <si>
    <t xml:space="preserve"> (פ/279/23)</t>
  </si>
  <si>
    <t xml:space="preserve">הצעת חוק לתיקון פקודת הסמים המסוכנים (הוספת חומר קנבוס כחומר בעל תועלת רפואית), התש"ף-2020</t>
  </si>
  <si>
    <t xml:space="preserve"> (פ/278/23)</t>
  </si>
  <si>
    <t xml:space="preserve">הצעת חוק לתיקון פקודת הסמים המסוכנים (זנים תעשייתיים של קנבוס), התש"ף-2020</t>
  </si>
  <si>
    <t xml:space="preserve"> (פ/277/23)</t>
  </si>
  <si>
    <t xml:space="preserve">הצעת חוק הביטוח הלאומי (תיקון - ניכוי הכנסה חודשית שלא מעבודה או ממשלח יד), התש"ף-2020 </t>
  </si>
  <si>
    <t xml:space="preserve"> (פ/276/23)</t>
  </si>
  <si>
    <t xml:space="preserve">הצעת חוק החזר דמי נסיעה במונית לבית החולים (תיקוני חקיקה), התש"ף-2020</t>
  </si>
  <si>
    <t xml:space="preserve"> (פ/274/23)</t>
  </si>
  <si>
    <t xml:space="preserve">הצעת חוק למניעת העישון במקומות ציבוריים והחשיפה לעישון (תיקון - הוספת מקומות ציבוריים שהעישון בהם אסור), התש"ף-2020</t>
  </si>
  <si>
    <t xml:space="preserve"> (פ/273/23)</t>
  </si>
  <si>
    <t xml:space="preserve">הצעת חוק הביטוח הלאומי (תיקון - הרחבת הזכאות למענק פטירה), התש"ף-2020</t>
  </si>
  <si>
    <t xml:space="preserve"> (פ/272/23)</t>
  </si>
  <si>
    <t xml:space="preserve">הצעת חוק התכנון והבנייה (תיקון - תוקף היתר הבנייה), התש"ף-2020</t>
  </si>
  <si>
    <t xml:space="preserve"> (פ/271/23)</t>
  </si>
  <si>
    <t xml:space="preserve">הצעת חוק פסילת חבר מועצה מועמד למלא מקום ראש רשות מקומית שהושעה בשל הגשת כתב אישום (תיקוני חקיקה), התש"ף-2020</t>
  </si>
  <si>
    <t xml:space="preserve"> (פ/270/23)</t>
  </si>
  <si>
    <t xml:space="preserve"> (פ/269/23)</t>
  </si>
  <si>
    <t xml:space="preserve">הצעת חוק שירות המילואים (תיקון - מטרת שירות המילואים), התש"ף-2020</t>
  </si>
  <si>
    <t xml:space="preserve"> (פ/268/23)</t>
  </si>
  <si>
    <t xml:space="preserve">הצעת חוק השוואת תשלומים לחיילים בודדים ילידי ישראל וחיילים בודדים שנולדו מחוץ לישראל, התש"ף-2020</t>
  </si>
  <si>
    <t xml:space="preserve"> (פ/267/23)</t>
  </si>
  <si>
    <t xml:space="preserve"> (פ/266/23)</t>
  </si>
  <si>
    <t xml:space="preserve">הצעת חוק שירות ביטחון (תיקון - עיון חוזר בפטור מטעמי הכרה דתית שהושג במרמה), התש"ף-2020</t>
  </si>
  <si>
    <t xml:space="preserve"> (פ/265/23)</t>
  </si>
  <si>
    <t xml:space="preserve">הצעת חוק הפיקוח על יצוא ביטחוני (תיקון - הגבלות על יצוא ביטחוני לכוחות ביטחון שביצעו הפרות חמורות של זכויות אדם), התש"ף-2020</t>
  </si>
  <si>
    <t xml:space="preserve"> (פ/264/23)</t>
  </si>
  <si>
    <t xml:space="preserve"> (פ/263/23)</t>
  </si>
  <si>
    <t xml:space="preserve">הצעת חוק החלת ריבונות ישראל בשטח בקעת הירדן וצפון ים המלח, התש"ף-2020</t>
  </si>
  <si>
    <t xml:space="preserve"> (פ/262/23)</t>
  </si>
  <si>
    <t xml:space="preserve">הצעת חוק הנחה לחיילי צה"ל בשירות סדיר בדמי נסיעה בתחבורה ציבורית, התש"ף-2020</t>
  </si>
  <si>
    <t xml:space="preserve"> (פ/261/23)</t>
  </si>
  <si>
    <t xml:space="preserve"> (פ/260/23)</t>
  </si>
  <si>
    <t xml:space="preserve">הצעת חוק הממשלה (תיקון - ועדת שרים לענייני ביטחון לאומי), התש"ף-2020</t>
  </si>
  <si>
    <t xml:space="preserve"> (פ/259/23)</t>
  </si>
  <si>
    <t xml:space="preserve">הצעת חוק בתי קברות צבאיים (תיקון - כיתוב על מצבה צבאית), התש"ף-2020</t>
  </si>
  <si>
    <t xml:space="preserve"> (פ/258/23)</t>
  </si>
  <si>
    <t xml:space="preserve"> (פ/257/23)</t>
  </si>
  <si>
    <t xml:space="preserve"> (פ/256/23)</t>
  </si>
  <si>
    <t xml:space="preserve">הצעת חוק זכויות נפגעי מערכות ישראל ופעולות איבה בהליכי חקירה, התש"ף-2020</t>
  </si>
  <si>
    <t xml:space="preserve"> (פ/255/23)</t>
  </si>
  <si>
    <t xml:space="preserve">הצעת חוק הביטוח הלאומי (תיקון - תשלום גמלה בעד תקופה שקדמה להגשת התביעה), </t>
  </si>
  <si>
    <t xml:space="preserve"> (פ/253/23)</t>
  </si>
  <si>
    <t xml:space="preserve">הצעת חוק ביטוח בריאות ממלכתי (תיקון - זמן סביר לעניין שירות רפואי), התש"ף-2020</t>
  </si>
  <si>
    <t xml:space="preserve"> (פ/252/23)</t>
  </si>
  <si>
    <t xml:space="preserve">הצעת חוק הביטוח הלאומי (תיקון - תנאי זכאות לדמי לידה), התש"ף-2020</t>
  </si>
  <si>
    <t xml:space="preserve"> (פ/251/23)</t>
  </si>
  <si>
    <t xml:space="preserve">הצעת חוק זכויות החולה (תיקון - זכות מטופל לקבל רשומות רפואיות), התש"ף-2020</t>
  </si>
  <si>
    <t xml:space="preserve"> (פ/250/23)</t>
  </si>
  <si>
    <t xml:space="preserve"> (פ/249/23)</t>
  </si>
  <si>
    <t xml:space="preserve">הצעת חוק הביטוח הלאומי (תיקון - זכות המוסד לתביעה), התש"ף-2020</t>
  </si>
  <si>
    <t xml:space="preserve"> (פ/247/23)</t>
  </si>
  <si>
    <t xml:space="preserve"> (פ/246/23)</t>
  </si>
  <si>
    <t xml:space="preserve">הצעת חוק הפנסיה (מועד תחילת הביטוח הפנסיוני), התש"ף-2020</t>
  </si>
  <si>
    <t xml:space="preserve"> (פ/245/23)</t>
  </si>
  <si>
    <t xml:space="preserve">הצעת חוק הצבת מכשירי החייאה במקומות ציבוריים (תיקון - בדיקות תקינות שנתיות ותיעודן), התש"ף-2020</t>
  </si>
  <si>
    <t xml:space="preserve"> (פ/244/23)</t>
  </si>
  <si>
    <t xml:space="preserve">הצעת חוק השוואת תנאי שכר לקבוצות שאסור להפלותן (תיקוני חקיקה), התש"ף-2020</t>
  </si>
  <si>
    <t xml:space="preserve"> (פ/243/23)</t>
  </si>
  <si>
    <t xml:space="preserve"> (פ/242/23)</t>
  </si>
  <si>
    <t xml:space="preserve">הצעת חוק הביטוח הלאומי (תיקון - התפטרות הורה על מנת לטפל בילדו), התש"ף-2020</t>
  </si>
  <si>
    <t xml:space="preserve"> (פ/241/23)</t>
  </si>
  <si>
    <t xml:space="preserve"> (פ/240/23)</t>
  </si>
  <si>
    <t xml:space="preserve">הצעת חוק שכר מינימום (תיקון - עוולה נזיקית וקובלנה), התש"ף-2020</t>
  </si>
  <si>
    <t xml:space="preserve"> (פ/239/23)</t>
  </si>
  <si>
    <t xml:space="preserve">הצעת חוק הרחבת ההגדרה "חבלת שירות" לעניין תגמולים ושיקום (תיקוני חקיקה), התש"ף-2020</t>
  </si>
  <si>
    <t xml:space="preserve"> (פ/238/23)</t>
  </si>
  <si>
    <t xml:space="preserve"> (פ/237/23)</t>
  </si>
  <si>
    <t xml:space="preserve">הצעת חוק הביטוח הלאומי (תיקון - ביטול מבחן ההכנסה לצורך קבלת גמלת סיעוד), התש"ף-2020</t>
  </si>
  <si>
    <t xml:space="preserve"> (פ/236/23)</t>
  </si>
  <si>
    <t xml:space="preserve">הצעת חוק ביטוח בריאות ממלכתי (תיקון - ביטול הגבלת זכותו של תושב גלמוד ששהה מחוץ לישראל), התש"ף-2020</t>
  </si>
  <si>
    <t xml:space="preserve"> (פ/235/23)</t>
  </si>
  <si>
    <t xml:space="preserve">הצעת חוק הביטוח הלאומי (תיקון - מענק לידה אחיד מילד שני ואילך), התש"ף-2020</t>
  </si>
  <si>
    <t xml:space="preserve"> (פ/234/23)</t>
  </si>
  <si>
    <t xml:space="preserve">הצעת חוק החלת הריבונות של מדינת ישראל בחבלי יהודה ושומרון, התש"ף-2020</t>
  </si>
  <si>
    <t xml:space="preserve"> (פ/233/23)</t>
  </si>
  <si>
    <t xml:space="preserve">הצעת חוק הביטוח הלאומי (תיקון - דמי אבטלה למתמחים), התש"ף-2020</t>
  </si>
  <si>
    <t xml:space="preserve"> (פ/232/23)</t>
  </si>
  <si>
    <t xml:space="preserve">הצעת חוק דמי מחלה (תיקון - הצהרת מחלה), התש"ף-2020</t>
  </si>
  <si>
    <t xml:space="preserve"> (פ/231/23)</t>
  </si>
  <si>
    <t xml:space="preserve"> (פ/230/23)</t>
  </si>
  <si>
    <t xml:space="preserve">הצעת חוק האזרחים הוותיקים (תיקון - חניה חינם לאזרח ותיק שמלאו לו 70 שנים), התש"ף-2020</t>
  </si>
  <si>
    <t xml:space="preserve"> (פ/229/23)</t>
  </si>
  <si>
    <t xml:space="preserve">הצעת חוק החלת הריבונות של מדינת ישראל על אזור יהודה והשומרון ובקעת הירדן, התש"ף-2020</t>
  </si>
  <si>
    <t xml:space="preserve"> (פ/228/23)</t>
  </si>
  <si>
    <t xml:space="preserve">הצעת חוק לתיקון פקודת בריאות העם (ביטול - העדפות מתן רשיון למכשור רפואי בפריפריה), התש"ף-2020</t>
  </si>
  <si>
    <t xml:space="preserve"> (פ/227/23)</t>
  </si>
  <si>
    <t xml:space="preserve"> (פ/226/23)</t>
  </si>
  <si>
    <t xml:space="preserve"> (פ/225/23)</t>
  </si>
  <si>
    <t xml:space="preserve">הצעת חוק הביטוח הלאומי (תיקון - ביטול מבחן הכנסה לצורך קביעת זכאות ניצול שואה לגמלת סיעוד), התש"ף-2020</t>
  </si>
  <si>
    <t xml:space="preserve"> (פ/224/23)</t>
  </si>
  <si>
    <t xml:space="preserve"> (פ/223/23)</t>
  </si>
  <si>
    <t xml:space="preserve"> (פ/222/23)</t>
  </si>
  <si>
    <t xml:space="preserve">הצעת חוק לתיקון פקודת התעבורה (הפעלה של רמזור), התש"ף-2020</t>
  </si>
  <si>
    <t xml:space="preserve"> (פ/220/23)</t>
  </si>
  <si>
    <t xml:space="preserve">הצעת חוק להגברת השקיפות בפעילותם של גופים פיננסיים (תיקוני חקיקה), התש"ף-2020</t>
  </si>
  <si>
    <t xml:space="preserve"> (פ/219/23)</t>
  </si>
  <si>
    <t xml:space="preserve"> (פ/218/23)</t>
  </si>
  <si>
    <t xml:space="preserve"> (פ/217/23)</t>
  </si>
  <si>
    <t xml:space="preserve">הצעת חוק השכירות והשאילה (תיקון - הגבלה על העלאת דמי השכירות), התש"ף-2020</t>
  </si>
  <si>
    <t xml:space="preserve"> (פ/216/23)</t>
  </si>
  <si>
    <t xml:space="preserve"> (פ/215/23)</t>
  </si>
  <si>
    <t xml:space="preserve">הצעת חוק לתיקון פקודת העדה הדתית (המרה) (גיור על ידי רב מקומי וראש ישיבה), התש"ף-2020</t>
  </si>
  <si>
    <t xml:space="preserve"> (פ/214/23)</t>
  </si>
  <si>
    <t xml:space="preserve">הצעת חוק שיקום שכונות דרום תל-אביב ותמריצים לפיזור גאוגרפי של מסתננים (הוראת שעה), התש"ף-2020</t>
  </si>
  <si>
    <t xml:space="preserve"> (פ/213/23)</t>
  </si>
  <si>
    <t xml:space="preserve">הצעת חוק לתיקון פקודת המועצות המקומיות (חובת קריאת שמות רחובות), התש"ף-2020</t>
  </si>
  <si>
    <t xml:space="preserve"> (פ/212/23)</t>
  </si>
  <si>
    <t xml:space="preserve"> (פ/210/23)</t>
  </si>
  <si>
    <t xml:space="preserve">הצעת חוק יסודות התקציב (תיקון - אישור הוועדה המשותפת לתקציב הביטחון להחלטות הממשלה להצטיידות או התעצמות), התש"ף-2020</t>
  </si>
  <si>
    <t xml:space="preserve"> (פ/209/23)</t>
  </si>
  <si>
    <t xml:space="preserve">הצעת חוק להגדלת שיעור ההשתתפות בכוח העבודה ולצמצום פערים חברתיים (מענק עבודה) (תיקון - גיל העובד), התש"ף-2020</t>
  </si>
  <si>
    <t xml:space="preserve"> (פ/208/23)</t>
  </si>
  <si>
    <t xml:space="preserve"> (פ/207/23)</t>
  </si>
  <si>
    <t xml:space="preserve">הצעת חוק איסור הפליה במוצרים, בשירותים ובכניסה למקומות בידור ולמקומות ציבוריים (תיקון - קיום אירועי תרבות בהפרדה מגדרית בשל טעמי דת), התש"ף-2020</t>
  </si>
  <si>
    <t xml:space="preserve"> (פ/206/23)</t>
  </si>
  <si>
    <t xml:space="preserve">הצעת חוק הגנת הצרכן (תיקון - הגנה על צרכנים שאינם דוברי עברית), התש"ף-2020</t>
  </si>
  <si>
    <t xml:space="preserve"> (פ/205/23)</t>
  </si>
  <si>
    <t xml:space="preserve"> (פ/204/23)</t>
  </si>
  <si>
    <t xml:space="preserve">הצעת חוק הגנת הצרכן (תיקון - סימון תאריך ייצור ומועד תפוגה עברי), התש"ף-2020</t>
  </si>
  <si>
    <t xml:space="preserve"> (פ/203/23)</t>
  </si>
  <si>
    <t xml:space="preserve">הצעת חוק הגנת הצרכן (תיקון - השוואת תנאי צרכן ונותן שירות בעניין החזרת טובין), התש"ף-2020</t>
  </si>
  <si>
    <t xml:space="preserve"> (פ/202/23)</t>
  </si>
  <si>
    <t xml:space="preserve">הצעת חוק הגנת הצרכן (תיקון - הארכת תקופת האחריות), התש"ף-2020</t>
  </si>
  <si>
    <t xml:space="preserve"> (פ/201/23)</t>
  </si>
  <si>
    <t xml:space="preserve">הצעת חוק הבנקאות (שירות ללקוח) (תיקון - שירות מקוון ללקוח), התש"ף-2020</t>
  </si>
  <si>
    <t xml:space="preserve"> (פ/200/23)</t>
  </si>
  <si>
    <t xml:space="preserve">הצעת חוק הבנקאות (שירות ללקוח) (תיקון - מועדי החזר של הלוואה לדיור), התש"ף-2020</t>
  </si>
  <si>
    <t xml:space="preserve"> (פ/199/23)</t>
  </si>
  <si>
    <t xml:space="preserve">הצעת חוק לתיקון פקודת הבנקאות (הגבלת עמלת פירעון מוקדם של הלוואה לדיור), התש"ף-2020</t>
  </si>
  <si>
    <t xml:space="preserve"> (פ/198/23)</t>
  </si>
  <si>
    <t xml:space="preserve">הצעת חוק הגנת הצרכן (תיקון - ביטול עסקת מכר מרחוק למתן שירותי תיירות), התש"ף-2020</t>
  </si>
  <si>
    <t xml:space="preserve"> (פ/197/23)</t>
  </si>
  <si>
    <t xml:space="preserve">הצעת חוק משק החשמל (תיקון - גביית תשלומים), התש"ף-2020</t>
  </si>
  <si>
    <t xml:space="preserve"> (פ/195/23)</t>
  </si>
  <si>
    <t xml:space="preserve">הצעת חוק דמי נסיעה לסטודנטים בתחבורה ציבורית (תיקוני חקיקה), התש"ף-2020</t>
  </si>
  <si>
    <t xml:space="preserve"> (פ/194/23)</t>
  </si>
  <si>
    <t xml:space="preserve">הצעת חוק לתיקון פקודת התעבורה (הקמת מערך מידע וניתוח נתונים לשיפור התחבורה הציבורית), התש"ף-2020</t>
  </si>
  <si>
    <t xml:space="preserve"> (פ/193/23)</t>
  </si>
  <si>
    <t xml:space="preserve">הצעת חוק לתיקון פקודת התעבורה (מאגר מידע של ניקוד מסוכנות לעניין נהגים מקצועיים), התש"ף-2020</t>
  </si>
  <si>
    <t xml:space="preserve"> (פ/192/23)</t>
  </si>
  <si>
    <t xml:space="preserve">הצעת חוק חניה לנכים (תיקון - תג נכה אישי), התש"ף-2020</t>
  </si>
  <si>
    <t xml:space="preserve"> (פ/191/23)</t>
  </si>
  <si>
    <t xml:space="preserve">הצעת חוק החזר גביית יתר (תיקוני חקיקה), התש"ף-2020</t>
  </si>
  <si>
    <t xml:space="preserve"> (פ/190/23)</t>
  </si>
  <si>
    <t xml:space="preserve">הצעת חוק פיקוח על מחירי מצרכים ושירותים (תיקון - פיקוח על מוצרי מזון לתינוקות), התש"ף-2020</t>
  </si>
  <si>
    <t xml:space="preserve"> (פ/189/23)</t>
  </si>
  <si>
    <t xml:space="preserve"> (פ/188/23)</t>
  </si>
  <si>
    <t xml:space="preserve"> (פ/187/23)</t>
  </si>
  <si>
    <t xml:space="preserve">הצעת חוק חובת תשלום בשוברים, התש"ף-2020</t>
  </si>
  <si>
    <t xml:space="preserve"> (פ/186/23)</t>
  </si>
  <si>
    <t xml:space="preserve"> (פ/185/23)</t>
  </si>
  <si>
    <t xml:space="preserve">הצעת חוק סדנאות הכשרה לשוויון מגדרי בגיל הרך, התש"ף-2020</t>
  </si>
  <si>
    <t xml:space="preserve"> (פ/184/23)</t>
  </si>
  <si>
    <t xml:space="preserve">הצעת חוק הרשויות המקומיות (מנהל מחלקת תרבות), התש"ף-2020</t>
  </si>
  <si>
    <t xml:space="preserve"> (פ/183/23)</t>
  </si>
  <si>
    <t xml:space="preserve">הצעת חוק יום ציון לאומי לתרומתה ולפועלה של העדה הדרוזית (תיקון - חובת לימוד במוסדות חינוך), התש"ף-2020</t>
  </si>
  <si>
    <t xml:space="preserve"> (פ/182/23)</t>
  </si>
  <si>
    <t xml:space="preserve">הצעת חוק להנצחת הרב עובדיה יוסף (ציון זכרו ופועלו), התש"ף-2020</t>
  </si>
  <si>
    <t xml:space="preserve"> (פ/181/23)</t>
  </si>
  <si>
    <t xml:space="preserve">הצעת חוק צער בעלי חיים (הגנה על בעלי חיים) (תיקון - איסור על זיווג ומכירה של כלבים וחתולים), התש"ף-2020</t>
  </si>
  <si>
    <t xml:space="preserve"> (פ/179/23)</t>
  </si>
  <si>
    <t xml:space="preserve">הצעת חוק מענק הסתגלות מיוחד לבני 67 ומעלה (הוראת שעה - נגיף הקורונה), התש"ף-2020</t>
  </si>
  <si>
    <t xml:space="preserve"> (פ/178/23)</t>
  </si>
  <si>
    <t xml:space="preserve">הצעת חוק כהונתם של ראשי גופים ביטחוניים, התש"ף-2020</t>
  </si>
  <si>
    <t xml:space="preserve"> (פ/177/23)</t>
  </si>
  <si>
    <t xml:space="preserve"> (פ/176/23)</t>
  </si>
  <si>
    <t xml:space="preserve">הצעת חוק השוואת תשלומים לחיילים בודדים ילידי ישראל וחיילים בודדים שנולדו מחוץ לישראל, התש"ף-2020 </t>
  </si>
  <si>
    <t xml:space="preserve"> (פ/175/23)</t>
  </si>
  <si>
    <t xml:space="preserve">הצעת חוק סדר הדין הפלילי (סמכויות אכיפה – נתוני תקשורת) (הוראת שעה – נגיף הקורונה החדש) (קבלת נתוני מיקום לצורך פיקוח על קיום הוראות הבידוד), התש"ף-2020 </t>
  </si>
  <si>
    <t xml:space="preserve"> (מ/1296)</t>
  </si>
  <si>
    <t xml:space="preserve">22.04.2020</t>
  </si>
  <si>
    <t xml:space="preserve">חוק שמירת הניקיון (הוראת שעה - נגיף הקורונה החדש) (מענק לרשויות מקומיות), התש"ף-2020</t>
  </si>
  <si>
    <t xml:space="preserve"> (מ/1298)</t>
  </si>
  <si>
    <t xml:space="preserve">החוק קובע הוראת שעה לתקופה של שלושה חודשים שתחילתם ביום פרסומן של תקנות ההנחה, שבה יקראו את סעיף 11ג לחוק שמירת הניקיון, התשמ"ד-1984, באופן שיסמיך את הקרן לתת מענקים לכ-200 רשויות מקומיות המנויות בתוספת השנייה. המענק יחולק לשניים, כך שסכום של כ-150 מיליון ₪ יחולק לכל הרשויות המקומיות המקבלות מענקי איזון לשנת 2020, וכן לעיריית ירושלים המקבלת מענק הבירה, כהשתתפות של הקרן בשיעור אחיד של 20% מסך ההפחתה בהכנסות הרשות המקומית מארנונה לעסקים, וסכום של כ-48 מיליון ₪ כמענק לרשויות מקומיות בדירוג 1 עד 6 בהתאם לסיווג החברתי-כלכלי כאמור, בשל הגידול בהוצאותיהן הנובע מהעלייה בכמות הפסולת הביתית בה עליהן לטפל בתקופה זו. בנוסף, נקבע כי רשות מקומית מסוימת אשר טיפלה בפסולת בתקופת הוראת השעה באופן הגורם למפגעים סביבתיים, כגון באמצעות שריפה של הפסולת או השלכתה ברשות הרבים, תהיה הנהלת הקרן רשאית לדרוש את החזר סכום המענק מאותה רשות מקומית.</t>
  </si>
  <si>
    <t xml:space="preserve"> (פ/171/23)</t>
  </si>
  <si>
    <t xml:space="preserve">20.04.2020</t>
  </si>
  <si>
    <t xml:space="preserve"> (פ/169/23)</t>
  </si>
  <si>
    <t xml:space="preserve"> (פ/168/23)</t>
  </si>
  <si>
    <t xml:space="preserve">הצעת חוק דחיית תשלומי הלוואה (נגיף קורונה החדש) (הוראת שעה), התש"ף-2020</t>
  </si>
  <si>
    <t xml:space="preserve"> (פ/166/23)</t>
  </si>
  <si>
    <t xml:space="preserve"> (פ/165/23)</t>
  </si>
  <si>
    <t xml:space="preserve"> (פ/163/23)</t>
  </si>
  <si>
    <t xml:space="preserve">הצעת חוק לפיצוי לנפגעי נגיף הקורונה, התש"ף-2020 </t>
  </si>
  <si>
    <t xml:space="preserve"> (פ/162/23)</t>
  </si>
  <si>
    <t xml:space="preserve">הצעת חוק יסודות התקציב (תיקון - תקציב המוקצה למאבק בנגיף הקורונה) (הוראת שעה), התש"ף-2020</t>
  </si>
  <si>
    <t xml:space="preserve"> (פ/161/23)</t>
  </si>
  <si>
    <t xml:space="preserve">הצעת חוק הביטוח הלאומי (תיקון - ביטול מענק עבודה מועדפת), התש"ף-2020</t>
  </si>
  <si>
    <t xml:space="preserve"> (פ/160/23)</t>
  </si>
  <si>
    <t xml:space="preserve">הצעת חוק שוויון זכויות לאנשים עם מוגבלות (תיקון - פטור מהמתנה בתור לנכי גפיים), התש"ף-2020</t>
  </si>
  <si>
    <t xml:space="preserve"> (פ/159/23)</t>
  </si>
  <si>
    <t xml:space="preserve"> (פ/158/23)</t>
  </si>
  <si>
    <t xml:space="preserve"> (פ/156/23)</t>
  </si>
  <si>
    <t xml:space="preserve">הצעת חוק ההתייעלות הכלכלית (תיקוני חקיקה ליישום התכנית הכלכלית לשנים 2009 ו-2010) (תיקון - סיוע לעסקים קטנים ובינוניים בהתמודדות עם נגיף הקורונה) (הוראת שעה), התש"ף-2020</t>
  </si>
  <si>
    <t xml:space="preserve"> (פ/155/23)</t>
  </si>
  <si>
    <t xml:space="preserve">הצעת חוק הסעה בטיחותית לילדים ולפעוטות עם מוגבלות (תיקון - הרחבת ההגדרה מוסד חינוך), התש"ף-2020</t>
  </si>
  <si>
    <t xml:space="preserve"> (פ/153/23)</t>
  </si>
  <si>
    <t xml:space="preserve">הצעת חוק חינוך מיוחד (תיקון - הרחבה לגבי מוסדות שאינם מוכרים), התש"ף-2020</t>
  </si>
  <si>
    <t xml:space="preserve"> (פ/152/23)</t>
  </si>
  <si>
    <t xml:space="preserve">הצעת חוק זיכרון השואה (תמיכה במוסדות הנצחה), התש"ף-2020</t>
  </si>
  <si>
    <t xml:space="preserve"> (פ/151/23)</t>
  </si>
  <si>
    <t xml:space="preserve">הצעת חוק לימוד חובה (תיקון - איסור על גביית תשלומי הורים), התש"ף-2020</t>
  </si>
  <si>
    <t xml:space="preserve"> (פ/150/23)</t>
  </si>
  <si>
    <t xml:space="preserve">הצעת חוק איסור אלימות בספורט (תיקון - איסור התבטאות גזענית מטעמים של זהות מגדרית או נטייה מינית), התש"ף-2020</t>
  </si>
  <si>
    <t xml:space="preserve"> (פ/149/23)</t>
  </si>
  <si>
    <t xml:space="preserve">הצעת חוק הפיקוח על שירותים פיננסיים (עיסוק בייעוץ מימון דיור), התש"ף-2020</t>
  </si>
  <si>
    <t xml:space="preserve"> (פ/148/23)</t>
  </si>
  <si>
    <t xml:space="preserve"> (פ/147/23)</t>
  </si>
  <si>
    <t xml:space="preserve">הצעת חוק לתיקון פקודת מס הכנסה (פטור ממס על מלגה לחוקר), התש"ף-2020</t>
  </si>
  <si>
    <t xml:space="preserve"> (פ/146/23)</t>
  </si>
  <si>
    <t xml:space="preserve">הצעת חוק הפיקוח על שירותים פיננסיים (קופות גמל) (תיקון - הגבלת דמי ניהול לעמית שסיים את עבודתו), התש"ף-2020</t>
  </si>
  <si>
    <t xml:space="preserve"> (פ/145/23)</t>
  </si>
  <si>
    <t xml:space="preserve">הצעת חוק לתיקון פקודת מס הכנסה (זיכוי וניכוי בגין הוצאות טיפול בילדים), התש"ף-2020</t>
  </si>
  <si>
    <t xml:space="preserve"> (פ/144/23)</t>
  </si>
  <si>
    <t xml:space="preserve">הצעת חוק הכנסת (תיקון - הוראות מיוחדות לעניין ראש אופוזיציה מסיעה קטנה), התש"ף-2020</t>
  </si>
  <si>
    <t xml:space="preserve"> (פ/143/23)</t>
  </si>
  <si>
    <t xml:space="preserve">הצעת חוק קרן לאזרחי ישראל (תיקון - צמצום אי השוויון החברתי-כלכלי בישראל), התש"ף-2020</t>
  </si>
  <si>
    <t xml:space="preserve"> (פ/142/23)</t>
  </si>
  <si>
    <t xml:space="preserve">הצעת חוק חסינות חברי הכנסת, זכויותיהם וחובותיהם (תיקון - הצהרה על חשבונות בנק בחוץ לארץ), התש"ף-2020</t>
  </si>
  <si>
    <t xml:space="preserve"> (פ/141/23)</t>
  </si>
  <si>
    <t xml:space="preserve">הצעת חוק מניעת בריונות ברשת, התש"ף-2020</t>
  </si>
  <si>
    <t xml:space="preserve"> (פ/140/23)</t>
  </si>
  <si>
    <t xml:space="preserve">הצעת חוק איסור הונאה בכשרות (תיקון - מתן תעודת הכשר על ידי רב מקומי), התש"ף-2020</t>
  </si>
  <si>
    <t xml:space="preserve"> (פ/139/23)</t>
  </si>
  <si>
    <t xml:space="preserve"> (פ/138/23)</t>
  </si>
  <si>
    <t xml:space="preserve"> (פ/137/23)</t>
  </si>
  <si>
    <t xml:space="preserve">הצעת חוק התכנון והבנייה (תיקון - שימוש חורג בקרקע חקלאית), התש"ף-2020</t>
  </si>
  <si>
    <t xml:space="preserve"> (פ/136/23)</t>
  </si>
  <si>
    <t xml:space="preserve"> (פ/135/23)</t>
  </si>
  <si>
    <t xml:space="preserve"> (פ/134/23)</t>
  </si>
  <si>
    <t xml:space="preserve"> (פ/132/23)</t>
  </si>
  <si>
    <t xml:space="preserve">הצעת חוק העמותות (תיקון - חובת גילוי תרומה אנונימית), התש"ף-2020</t>
  </si>
  <si>
    <t xml:space="preserve"> (פ/131/23)</t>
  </si>
  <si>
    <t xml:space="preserve"> (פ/130/23)</t>
  </si>
  <si>
    <t xml:space="preserve">הצעת חוק חופש המידע (תיקון - מידע על נגישות), התש"ף-2020</t>
  </si>
  <si>
    <t xml:space="preserve"> (פ/129/23)</t>
  </si>
  <si>
    <t xml:space="preserve"> (פ/128/23)</t>
  </si>
  <si>
    <t xml:space="preserve">הצעת חוק לתיקון פקודת המסים (גבייה) (פיצוי עקב טעות), התש"ף-2020</t>
  </si>
  <si>
    <t xml:space="preserve"> (פ/127/23)</t>
  </si>
  <si>
    <t xml:space="preserve">הצעת חוק לתיקון פקודת מס הכנסה (הוצאות אש"ל לעצמאיים), התש"ף-2020</t>
  </si>
  <si>
    <t xml:space="preserve"> (פ/126/23)</t>
  </si>
  <si>
    <t xml:space="preserve">הצעת חוק לתיקון פקודת הבנקאות (תקופת צינון למפקח על הבנקים), התש"ף-2020</t>
  </si>
  <si>
    <t xml:space="preserve"> (פ/125/23)</t>
  </si>
  <si>
    <t xml:space="preserve">הצעת חוק לתיקון פקודת מס הכנסה (פטור ממס על משיכה הונית מקופת גמל), התש"ף-2020</t>
  </si>
  <si>
    <t xml:space="preserve"> (פ/124/23)</t>
  </si>
  <si>
    <t xml:space="preserve">הצעת חוק העונשין (תיקון - גזר דין עונש מוות למורשע ברצח בנסיבות טרור), התש"ף-2020</t>
  </si>
  <si>
    <t xml:space="preserve"> (פ/123/23)</t>
  </si>
  <si>
    <t xml:space="preserve"> (פ/122/23)</t>
  </si>
  <si>
    <t xml:space="preserve">הצעת חוק המועצה להשכלה גבוהה (תיקון - ביטול דרישת מבחני כניסה וציון פסיכומטרי), התש"ף-2020</t>
  </si>
  <si>
    <t xml:space="preserve"> (פ/121/23)</t>
  </si>
  <si>
    <t xml:space="preserve">הצעת חוק שיקום, פיצוי וסיוע משפטי לנפגעי עבירות מין, התש"ף-2020</t>
  </si>
  <si>
    <t xml:space="preserve"> (פ/120/23)</t>
  </si>
  <si>
    <t xml:space="preserve"> (פ/119/23)</t>
  </si>
  <si>
    <t xml:space="preserve"> (פ/118/23)</t>
  </si>
  <si>
    <t xml:space="preserve">הצעת חוק חובת הודעה להורים על אי-הגעת ילד למוסד חינוך או למעון יום (תיקוני חקיקה), התש"ף-2020</t>
  </si>
  <si>
    <t xml:space="preserve"> (פ/117/23)</t>
  </si>
  <si>
    <t xml:space="preserve"> (פ/115/23)</t>
  </si>
  <si>
    <t xml:space="preserve"> (פ/114/23)</t>
  </si>
  <si>
    <t xml:space="preserve"> (פ/113/23)</t>
  </si>
  <si>
    <t xml:space="preserve">הצעת חוק הקמת מערכת סולארית בבית משותף שהוקם במסגרת עסקת פינוי ובינוי, התש"ף-2020</t>
  </si>
  <si>
    <t xml:space="preserve"> (פ/112/23)</t>
  </si>
  <si>
    <t xml:space="preserve"> (פ/111/23)</t>
  </si>
  <si>
    <t xml:space="preserve">הצעת חוק הסכמים לנשיאת עוברים (אישור הסכם ומעמד היילוד) (תיקון - הרחבת הגדרת הורים מיועדים), התש"ף-2020</t>
  </si>
  <si>
    <t xml:space="preserve"> (פ/110/23)</t>
  </si>
  <si>
    <t xml:space="preserve">הצעת חוק ביטוח בריאות ממלכתי (תיקון - החזר אגרת נסיעה באמבולנס), התש"ף-2020</t>
  </si>
  <si>
    <t xml:space="preserve"> (פ/109/23)</t>
  </si>
  <si>
    <t xml:space="preserve"> (פ/108/23)</t>
  </si>
  <si>
    <t xml:space="preserve"> (פ/107/23)</t>
  </si>
  <si>
    <t xml:space="preserve">הצעת חוק איסור הונאה בכשרות (תיקון - כשרות לבית אוכל שאינו מחלל שבת), התש"ף-2020</t>
  </si>
  <si>
    <t xml:space="preserve"> (פ/106/23)</t>
  </si>
  <si>
    <t xml:space="preserve">הצעת חוק חובת דיווח שנתי על מצב הטבע והמגוון הביולוגי בישראל, התש"ף-2020 </t>
  </si>
  <si>
    <t xml:space="preserve"> (פ/105/23)</t>
  </si>
  <si>
    <t xml:space="preserve"> (פ/104/23)</t>
  </si>
  <si>
    <t xml:space="preserve">הצעת חוק מכר סיטונאי חקלאי, התש"ף-2020</t>
  </si>
  <si>
    <t xml:space="preserve"> (פ/103/23)</t>
  </si>
  <si>
    <t xml:space="preserve">הצעת חוק הבנקאות (שירות ללקוח) (תיקון - הפחתת יוקר תשלומי הלוואה לדיור), התש"ף-2020</t>
  </si>
  <si>
    <t xml:space="preserve"> (פ/102/23)</t>
  </si>
  <si>
    <t xml:space="preserve">הצעת חוק לתיקון פקודת ביטוח רכב מנועי (פוליסה לשני כלי רכב של נהג יחיד), התש"ף-2020</t>
  </si>
  <si>
    <t xml:space="preserve"> (פ/101/23)</t>
  </si>
  <si>
    <t xml:space="preserve"> (פ/100/23)</t>
  </si>
  <si>
    <t xml:space="preserve"> (פ/99/23)</t>
  </si>
  <si>
    <t xml:space="preserve"> (פ/97/23)</t>
  </si>
  <si>
    <t xml:space="preserve"> (פ/96/23)</t>
  </si>
  <si>
    <t xml:space="preserve"> (פ/95/23)</t>
  </si>
  <si>
    <t xml:space="preserve"> (פ/94/23)</t>
  </si>
  <si>
    <t xml:space="preserve">הצעת חוק איסור פרסום והפצת שמות נפגעים, התש"ף-2020 </t>
  </si>
  <si>
    <t xml:space="preserve"> (פ/93/23)</t>
  </si>
  <si>
    <t xml:space="preserve">הצעת חוק התכנון והבנייה (תיקון מס' 116) (תיקון - ביטול החוק), התש"ף-2020</t>
  </si>
  <si>
    <t xml:space="preserve"> (פ/92/23)</t>
  </si>
  <si>
    <t xml:space="preserve"> (פ/91/23)</t>
  </si>
  <si>
    <t xml:space="preserve">הצעת חוק בתי המשפט (תיקון - קביעת מועד למתן פסק דין בערעור בתביעת קשיש), התש"ף-2020</t>
  </si>
  <si>
    <t xml:space="preserve"> (פ/90/23)</t>
  </si>
  <si>
    <t xml:space="preserve"> (פ/88/23)</t>
  </si>
  <si>
    <t xml:space="preserve">הצעת חוק שירות המדינה (מינויים) (תיקון - ייצוג הולם ללוחמים), התש"ף-2020</t>
  </si>
  <si>
    <t xml:space="preserve"> (פ/87/23)</t>
  </si>
  <si>
    <t xml:space="preserve">הצעת חוק הביטוח הלאומי (תיקון - קביעת אחוזי נכות ללקויי שמיעה - דו-צידי וחד-צידי), התש"ף-2020</t>
  </si>
  <si>
    <t xml:space="preserve"> (פ/83/23)</t>
  </si>
  <si>
    <t xml:space="preserve">הצעת חוק ירושלים ובנותיה, התש"ף-2020</t>
  </si>
  <si>
    <t xml:space="preserve"> (פ/82/23)</t>
  </si>
  <si>
    <t xml:space="preserve"> (פ/81/23)</t>
  </si>
  <si>
    <t xml:space="preserve"> (פ/79/23)</t>
  </si>
  <si>
    <t xml:space="preserve"> (פ/78/23)</t>
  </si>
  <si>
    <t xml:space="preserve">הצעת חוק חובת הדיווח של מוסדות פיננסים על כספים ללא דורש, התש"ף-2020</t>
  </si>
  <si>
    <t xml:space="preserve"> (פ/77/23)</t>
  </si>
  <si>
    <t xml:space="preserve"> (פ/76/23)</t>
  </si>
  <si>
    <t xml:space="preserve"> (פ/75/23)</t>
  </si>
  <si>
    <t xml:space="preserve"> (פ/73/23)</t>
  </si>
  <si>
    <t xml:space="preserve">הצעת חוק הרשויות המקומיות (פטור חיילים, נפגעי מלחמה ושוטרים מארנונה) (תיקון - החרגת ההגבלה סייג לדירות גדולות לחיילים בודדים), התש"ף-2020</t>
  </si>
  <si>
    <t xml:space="preserve"> (פ/72/23)</t>
  </si>
  <si>
    <t xml:space="preserve">הצעת חוק מס ערך מוסף (תיקון - פטור ממס על תשר), התש"ף-2020</t>
  </si>
  <si>
    <t xml:space="preserve"> (פ/70/23)</t>
  </si>
  <si>
    <t xml:space="preserve">הצעת חוק לתיקון פקודת הראיות (פסילת ראיה), התש"ף-2020</t>
  </si>
  <si>
    <t xml:space="preserve"> (פ/69/23)</t>
  </si>
  <si>
    <t xml:space="preserve"> (פ/68/23)</t>
  </si>
  <si>
    <t xml:space="preserve">הצעת חוק הכנסת (תיקון - ועדה לפיקוח על רשויות פיקוח פיננסיות), התש"ף-2020</t>
  </si>
  <si>
    <t xml:space="preserve"> (פ/67/23)</t>
  </si>
  <si>
    <t xml:space="preserve">הצעת חוק אימוץ ילדים (תיקון – כשירות המאמץ), התשפ"א–2021</t>
  </si>
  <si>
    <t xml:space="preserve"> (פ/66/23)</t>
  </si>
  <si>
    <t xml:space="preserve"> (פ/65/23)</t>
  </si>
  <si>
    <t xml:space="preserve">הצעת חוק פרסום אסמכתאות בדבר השכלה ותעסוקה של נבחרי ציבור (תיקוני חקיקה), התש"ף-2020</t>
  </si>
  <si>
    <t xml:space="preserve"> (פ/64/23)</t>
  </si>
  <si>
    <t xml:space="preserve">הצעת חוק לתיקון פקודת מס הכנסה (פטור ממס לדמי הבראה), התש"ף-2020</t>
  </si>
  <si>
    <t xml:space="preserve"> (פ/62/23)</t>
  </si>
  <si>
    <t xml:space="preserve">הצעת חוק ההתייעלות הכלכלית (תיקוני חקיקה להשגת יעדי התקציב לשנות התקציב 2017 ו-2018) (תיקון - מעמד ערי עולים), התש"ף-2020</t>
  </si>
  <si>
    <t xml:space="preserve"> (פ/61/23)</t>
  </si>
  <si>
    <t xml:space="preserve">הצעת חוק חסינות חברי הכנסת, זכויותיהם וחובותיהם (תיקון - ועדה ציבורית לבחינת הצהרות ההון של חברי הכנסת), התש"ף-2020</t>
  </si>
  <si>
    <t xml:space="preserve"> (פ/59/23)</t>
  </si>
  <si>
    <t xml:space="preserve">הצעת חוק הסדרת שוק הכשרות בישראל, התש"ף-2020</t>
  </si>
  <si>
    <t xml:space="preserve"> (פ/58/23)</t>
  </si>
  <si>
    <t xml:space="preserve"> (פ/56/23)</t>
  </si>
  <si>
    <t xml:space="preserve"> (פ/55/23)</t>
  </si>
  <si>
    <t xml:space="preserve">הצעת חוק הגנת הפרטיות (תיקון - הזכות להישכח), התש"ף-2020</t>
  </si>
  <si>
    <t xml:space="preserve"> (פ/54/23)</t>
  </si>
  <si>
    <t xml:space="preserve">הצעת חוק חוזה הביטוח (תיקון - בחינת סבירות פעולות מבטח, העברת נטל ועיצום כספי), התש"ף-2020</t>
  </si>
  <si>
    <t xml:space="preserve"> (פ/53/23)</t>
  </si>
  <si>
    <t xml:space="preserve">הצעת חוק לתיקון פקודת מסי העירייה ומסי הממשלה (פטורין) (פטור מארנונה לבתי חיילים), התש"ף-2020</t>
  </si>
  <si>
    <t xml:space="preserve"> (פ/52/23)</t>
  </si>
  <si>
    <t xml:space="preserve">הצעת חוק-יסוד: הכנסת (תיקון - השתתפות בדיון ובהצבעה מרחוק במצב חירום) (הוראת שעה)</t>
  </si>
  <si>
    <t xml:space="preserve"> (פ/51/23)</t>
  </si>
  <si>
    <t xml:space="preserve"> (פ/50/23)</t>
  </si>
  <si>
    <t xml:space="preserve">הצעת חוק העונשין (תיקון - ביטול העבירה על העלבת עובד ציבור), התש"ף-2020</t>
  </si>
  <si>
    <t xml:space="preserve"> (פ/49/23)</t>
  </si>
  <si>
    <t xml:space="preserve"> (פ/48/23)</t>
  </si>
  <si>
    <t xml:space="preserve"> (פ/47/23)</t>
  </si>
  <si>
    <t xml:space="preserve">הצעת חוק שוויון זכויות לאנשים עם מוגבלות (תיקון - הוראות לעניין מוסד על-תיכוני להשכלה תורנית או דתית), התש"ף-2020</t>
  </si>
  <si>
    <t xml:space="preserve"> (פ/46/23)</t>
  </si>
  <si>
    <t xml:space="preserve">הצעת חוק התגמולים לנפגעי פעולות איבה (תיקון - פגיעה מנפל), התש"ף-2020</t>
  </si>
  <si>
    <t xml:space="preserve"> (פ/44/23)</t>
  </si>
  <si>
    <t xml:space="preserve">הצעת חוק שוויון זכויות לאנשים עם מוגבלות (תיקון - מסירת תעודות לבעלי מוגבלות), התש"ף-2020</t>
  </si>
  <si>
    <t xml:space="preserve"> (פ/43/23)</t>
  </si>
  <si>
    <t xml:space="preserve">הצעת חוק הסדרת העיסוק של מעצבי השיער, התש"ף-2020</t>
  </si>
  <si>
    <t xml:space="preserve"> (פ/42/23)</t>
  </si>
  <si>
    <t xml:space="preserve"> (פ/41/23)</t>
  </si>
  <si>
    <t xml:space="preserve">הצעת חוק הגנת הצרכן (תיקון - אחריות מנהל כללי ונושא משרה בשל הפרת הוראות החוק), התש"ף-2020 </t>
  </si>
  <si>
    <t xml:space="preserve"> (פ/40/23)</t>
  </si>
  <si>
    <t xml:space="preserve">הצעת חוק הכרה ברצח העם הארמני וציון יום זיכרון, התש"ף-2020</t>
  </si>
  <si>
    <t xml:space="preserve"> (פ/39/23)</t>
  </si>
  <si>
    <t xml:space="preserve">הצעת חוק איסור הונאה בכשרות (תיקון - כשרות בלבד ובית אוכל הפתוח בשבת), התש"ף-2020</t>
  </si>
  <si>
    <t xml:space="preserve"> (פ/38/23)</t>
  </si>
  <si>
    <t xml:space="preserve">הצעת חוק איסור ייבוא ומכירת כבד של בעלי חיים שעברו התעללות, התש"ף-2020</t>
  </si>
  <si>
    <t xml:space="preserve"> (פ/36/23)</t>
  </si>
  <si>
    <t xml:space="preserve">הצעת חוק לשכת עורכי הדין (תיקון - ייצוג בפני בוררות המתנהלת על פי דין דתי), התש"ף-2020</t>
  </si>
  <si>
    <t xml:space="preserve"> (פ/35/23)</t>
  </si>
  <si>
    <t xml:space="preserve">הצעת חוק זכות יוצרים (תיקון - התרת ביצוע פומבי של יצירה מוסיקלית בעסק קטן), התש"ף-2020</t>
  </si>
  <si>
    <t xml:space="preserve"> (פ/34/23)</t>
  </si>
  <si>
    <t xml:space="preserve"> (פ/33/23)</t>
  </si>
  <si>
    <t xml:space="preserve">הצעת חוק העונשין (תיקון - פרסום מודעות שעולה מהן הפליה), התש"ף-2020</t>
  </si>
  <si>
    <t xml:space="preserve"> (פ/31/23)</t>
  </si>
  <si>
    <t xml:space="preserve">הצעת חוק הבחירות לכנסת (תיקון - הצבעת אזרחים מחוץ לישראל), התש"ף-2020</t>
  </si>
  <si>
    <t xml:space="preserve"> (פ/30/23)</t>
  </si>
  <si>
    <t xml:space="preserve"> (פ/27/23)</t>
  </si>
  <si>
    <t xml:space="preserve"> (פ/23/23)</t>
  </si>
  <si>
    <t xml:space="preserve">הצעת חוק דמי מחלה (היעדרות בשל מחלת ילד) (תיקון - מחלת תינוק), התש"ף-2020</t>
  </si>
  <si>
    <t xml:space="preserve"> (פ/22/23)</t>
  </si>
  <si>
    <t xml:space="preserve">הצעת חוק משפחות חיילים שנספו במערכה (תגמולים ושיקום) (תיקון - גמול לאח הנספה), התש"ף-2020</t>
  </si>
  <si>
    <t xml:space="preserve"> (פ/21/23)</t>
  </si>
  <si>
    <t xml:space="preserve">הצעת חוק ביטוח בריאות ממלכתי (תיקון - הרחבת הסדרי הבחירה), התש"ף-2020</t>
  </si>
  <si>
    <t xml:space="preserve"> (פ/19/23)</t>
  </si>
  <si>
    <t xml:space="preserve">הצעת חוק חינוך ממלכתי (תיקון - מימון מוסדות חינוך מוכרים לא רשמיים), התש"ף-2020</t>
  </si>
  <si>
    <t xml:space="preserve"> (פ/18/23)</t>
  </si>
  <si>
    <t xml:space="preserve">הצעת חוק חג המצות (איסורי חמץ) (תיקון - ביטול החוק), התש"ף-2019</t>
  </si>
  <si>
    <t xml:space="preserve"> (פ/17/23)</t>
  </si>
  <si>
    <t xml:space="preserve"> (פ/16/23)</t>
  </si>
  <si>
    <t xml:space="preserve"> (פ/15/23)</t>
  </si>
  <si>
    <t xml:space="preserve"> (פ/14/23)</t>
  </si>
  <si>
    <t xml:space="preserve"> (פ/13/23)</t>
  </si>
  <si>
    <t xml:space="preserve">הצעת חוק הביטוח הלאומי (תיקון - תגמול למשרתים במילואים), התש"ף-2020</t>
  </si>
  <si>
    <t xml:space="preserve"> (פ/10/23)</t>
  </si>
  <si>
    <t xml:space="preserve">הצעת חוק העונשין (תיקון - איסור תיעוד של חיילי צבא ההגנה לישראל), התש"ף-2020</t>
  </si>
  <si>
    <t xml:space="preserve"> (פ/9/23)</t>
  </si>
  <si>
    <t xml:space="preserve">הצעת חוק הלוואות לדיור (תיקון - הלוואה כהון עצמי) (הוראת שעה), התש"ף-2020</t>
  </si>
  <si>
    <t xml:space="preserve"> (פ/8/23)</t>
  </si>
  <si>
    <t xml:space="preserve"> (פ/7/23)</t>
  </si>
  <si>
    <t xml:space="preserve">הצעת חוק הביטוח הלאומי (תיקון - נכה שהגיע לגיל פרישה), התש"ף-2020</t>
  </si>
  <si>
    <t xml:space="preserve"> (פ/6/23)</t>
  </si>
  <si>
    <t xml:space="preserve"> (פ/5/23)</t>
  </si>
  <si>
    <t xml:space="preserve">הצעת חוק-יסוד: הממשלה (תיקון - הפסקת כהונה של ראש ממשלה בממשלת מעבר שהוגש נגדו כתב אישום)</t>
  </si>
  <si>
    <t xml:space="preserve"> (פ/4/23)</t>
  </si>
  <si>
    <t xml:space="preserve">הצעת חוק לקביעת שעות ההצבעה בקלפיות ולקביעת היקף יום השבתון בבחירות לכנסת ולרשויות המקומיות (תיקוני חקיקה), התש"ף-2020</t>
  </si>
  <si>
    <t xml:space="preserve"> (פ/3/23)</t>
  </si>
  <si>
    <t xml:space="preserve"> (פ/1/23)</t>
  </si>
  <si>
    <t xml:space="preserve">חוק הביטוח הלאומי (תיקון מס' 213 והוראת שעה - נגיף הקורונה החדש) (קביעת ועדה), התש"ף-2020</t>
  </si>
  <si>
    <t xml:space="preserve"> (מ/1295)</t>
  </si>
  <si>
    <t xml:space="preserve">07.04.2020</t>
  </si>
  <si>
    <t xml:space="preserve">לאור המשבר הכלכלי שנוצר בעקבות התפרצות הקורונה וצמצום מקומות העבודה במשק עובדים מצאו עצמם מפוטרים, הוצאו לחל"ת ועצמאים נאלצו לסגור את עסקיהם. ולאור המצב הפוליטי–מדיני בעקבותיו טרם הוקמה ממשלה וטרם הוקמו הוועדות הקבועות של הכנסת לפי סעיף 100 לתקנון הכנסת, והוקמו רק ועדות זמניות לכנסת העשרים. חוק הביטוח הלאומי [נוסח משולב], התשנ"ה-1995 (להלן – חוק הביטוח הלאומי) מסדיר את פעולתו של המוסד לביטוח לאומי וקובע הוראות עיקריות הנוגעות לזכאות לקצבאות הניתנות על ידי המוסד לביטוח לאומי ולהענקתן בנוגע לדמי ביטוח לאומי.   נקבע בחוק הביטוח הלאומי בתקופה שבה טרם הוקמה ועדת העבודה, הרווחה והבריאות של הכנסת העשרים ושלוש כדלקמן: תוקן סעיף 6(א) הקובע כי לשר העבודה והרווחה סמכות לסווג מבטוחים באישור וועדת העבודה, הרווחה והבריאות, כך שכל עוד לא הוקמה הועדה האמורה, אישור הועדה לפי סעיף קטן זה הוא בידי ועדת הכספים של הכנסת במקום הועדה האמורה.  תוקן סעיף 9(א) שקובע כי המוסד רשאי לתת בשם הממשלה הטבות סוציאליות על פי הסכם לאחר התייעצות עם ועדת העבודה, הרווחה והבריאות של הכנסת ועם המועצה, ההתייעצות לפי סעיף קטן זה יהיה בידי ועדת הכספים של הכנסת במקום הועדה האמורה, כל עוד לא הוקמה.  תוקן כי בכל סעיף אחר בחוק הביטוח הלאומי במקום אישור או התייעצות עם ועדת העבודה, הרווחה והבריאות של הכנסת יבואו אישור או התייעצות עם ועדת הכספים של הכנסת או עם ועדה לעניין מסוים שקבעה הכנסת, הכל כפי שתחליט ועדת הכנסת, וכל לא הוקמה הוועדה האמורה.  תוקן כי בכל סעיף בחוק הביטוח הלאומי, במקום בו יש צורך באישור או בהתייעצות עם ועדת העבודה, הרווחה והבריאות של הכנסת, הוסף כי הדבר נדרש אישור או התייעצות עם ועדת הכספים של הכנסת או עם ועדה לעניין מסוים שקבעה הכנסת, הכל כפי שתחליט ועדת הכנסת, וכל עוד הוועדה האמורה לא הוקמה. בנוסף, תוקן סעיף 406 לחוק הביטוח בו מענקים שישולמו לפי ההסכם בדבר תשלום מענק חד-פעמי בעד חודש אפריל 2020 למי שמשתלמים לו קצבה, גמלה או תגבול המנויים באותו הסכם, לא ייחשבו הכנסה לעניין כל דין. </t>
  </si>
  <si>
    <t xml:space="preserve">חוק-יסוד: משק המדינה (תיקון מס' 10 והוראת שעה לשנת 2020)</t>
  </si>
  <si>
    <t xml:space="preserve"> (מ/1294)</t>
  </si>
  <si>
    <t xml:space="preserve">סעיף 3ב' לחוק-יסוד: משק המדינה (להלן - חוק היסוד), קובע שכאשר שנת כספים החלה ללא תקציב מאושר רשאית הממשלה להוציא כל חודש סכום השווה ל- 1/12 מהתקציב השנתי הקודם בתוספת הצמדה.  לאור משבר הקורונה שהוביל את הממשלה לקבוע תקנות שעת חירום ובהן הוראות לצמצום הפעולות במשק, הוצאו עובדים רבים לחל"ת, עובדים אחרים פוטרו ועסקים עצמאיים נאלצו לסגור את עסקיהם. לשם כך, נדרשה הממשלה ליתן פתרונות המצריכים הוצאה תקציבית שאינה מתאפשרת לפי הוראות סעיף 3ב' האמור כיום.  החוק קובע בהוראת שעה שתחול עד סוף שנת 2020 או עד אישור התקציב לשנת 2020, לפי המוקדם, כי סכום ההוצאה הממשלתית לשנת 2019 ממנה ייגזר סכום ההוצאה החודשית בתקציב המשכי יהיה סכום ההוצאה הממשלתית נטו, לרבות מתן אשראי ולמעט החזר חובות קרן, בלבד שאינו החזר חובות כאמור לביטוח הלאומי בצירוף הממד. בנוסף, נקבע כי סכום שייועדו אך ורק לצורך משבר הקורונה. סכום זה ייפרס כאחוז מסכום ההוצאה הממשלתית לשנת 2019 ויפחת עם חלוף הזמן. עוד נקבע כי החזר החובות למוסד לביטוח לאומי בשל ההוצאות הדרושות להתמודדות עם התפרצות נגיף הקורונה יוקצה סכום שלא יעלה על 16.1 מיליארד שקלים.  בנוסף, נקבע כי יש להתיר לממשלה להעביר סכומים שלא נוצלו בחודש מסוים לאחד מהחודשים הבאים בהתאם לסיווג של אותו סכום עודף (אם כתקציב המשכי ואם כסכום שהוקצה להתמודדות עם משבר נגיף הקורונה).  וכן, נקבע ששר האוצר יביא לאישור הממשלה עד ליום 1/5/2020 תכנית מפורטת ביחס לשימושים המתוכננים בסכום שמוקצה להתמודדות עם נגיף הקורונה. הממשלה תניח על שולחן הכנסת את התכנית המפורטת שתכלול את הסעיפים והסכומים שמוצעים בהצעת החוק.  עוד נקבע כי ככל שיהיה צורך לעשות שינויים העולים על 15% מאחד ממרכיבי התוכנית המפורטת יהיה לשם כך את אישור ועדת הכספים של הכנסת.  לבסוף, נקבע תיקון לסעיף 3ב לחוק-יסוד שאיננו בהוראת שעה כי כל פירוט הוצאות הממשלה הצפויות ומתוכננות לפי הסעיף האמור יפורסם באתר משרד האוצר, בנוסף פירוט ההוצאות לעניין משרד הביטחון והגופיים הביטחוניים יונחו על שולחן הכנסת של הוועדה המשותפת של ועדת הכספים וועדת החוץ והביטחון של הכנסת, מכוח סעיף 18 לחוק יסודות התקציב, התשמ"ה-1985. כמו כן, שר האוצר ידווח לוועדת הכספים של הכנסת, אחת לחודש, על הוצאות הממשלה כאמור.  </t>
  </si>
  <si>
    <t xml:space="preserve">חוק שירותי תשלום (תיקון), התש"ף-2020</t>
  </si>
  <si>
    <t xml:space="preserve"> (מ/1291)</t>
  </si>
  <si>
    <t xml:space="preserve">17.02.2020</t>
  </si>
  <si>
    <t xml:space="preserve">מטרתו של חוק שירותי תשלום, התשע"ט–2019 (להלן – החוק), היא להסדיר את תחום שירותי התשלום הטכנולוגיים בישראל, הכולל בין היתר, תשלום באמצעות כרטיס אשראי, כרטיס נטען, יישומון תשלום (אפליקציית תשלום) וארנק דיגיטלי. הצורך בחוק האמור נבע מההתפתחות הטכנולוגית שהובילה להגברת התחרות בתחום שירותי התשלום, הוזלת העמלות וזמינות התשלום, אך לצד אלה דרשה התייחסות לסיכונים הכרוכים בשימוש באמצעי תשלום דיגיטליים, דוגמת פרצות אבטחה, הונאות ושימוש לרעה במידע. בנוסף, לאור ההסדרים העדכניים שנקבעו כאמור בחוק, החל מיום כניסתו לתוקף של החוק בוטל חוק כרטיסי חיוב, התשמ"ו–1986 שעד לחקיקת החוק הסדיר את תחום פעילות כרטיסי אשראי בישראל. לקראת כניסתו של החוק לתוקף נדרשה היערכותם של נותני שירותי תשלום, ובכללם בנקים, חברות כרטיסי אשראי, מפעילי יישומוני התשלום ועוד, לפיכך מועד התחילה נקבע ליום י"ב בטבת התש"ף (9 בינואר 2020). אולם, לאור העובדה שטרם הושלמה היערכות זו, תוקן מועד התחילה בחוק שירותי תשלום (תיקון), התש"ף–2020 ונקבע כי מועד כניסתו לתוקף של החוק יהיה ביום כ"ו בתשרי התשפ"א (14 באוקטובר 2020). כמו כן, נקבע כי מועד התחילה של התיקון ייקבע רטרואקטיבית ליום י"ב בטבת התש"ף (9 בינואר 2020). </t>
  </si>
  <si>
    <t xml:space="preserve">חוק רישוי שירותים ומקצועות בענף הרכב (תיקון מס' 6), התש"ף-2020</t>
  </si>
  <si>
    <t xml:space="preserve"> (מ/1292)</t>
  </si>
  <si>
    <t xml:space="preserve">חוק רישוי שירותים ומקצועות בענף הרכב (תיקון מס' 6), התש"ף–2020 (להלן – התיקון לחוק), מתקן את חוק רישוי שירותים ומקצועות בענף הרכב, התשע"ו–2016 (להלן – החוק). החוק מסדיר באופן מקיף תחומים שונים בענף הרכב, ובהם ייבוא רכב, מוסכים ושמאות רכב, ובמסגרתו נקבעו הסדרים עדכניים שנועדו להחליף צווים מכוח חוק הפיקוח על מצרכים ושירותים, התשי"ח–1957 (להלן – צווי הפיקוח), שהם חקיקה לשעת חירום ובהם הוסדרו תחומים אלה עד לחקיקת החוק. נושאים מסוימים מוסדרים בהוראות נוהל שנקבעו לפי צווי הפיקוח. לשם יישומו המלא של החוק יש צורך בהתקנת מספר רב של תקנות, חלקן באישור ועדת הכלכלה של הכנסת. כדי לאפשר לשר התחבורה והבטיחות בדרכים להשלים את התקנתן של כל התקנות הנדרשות, נקבע בחוק כי צווי הפיקוח והוראות הנוהל מכוחם ימשיכו לעמוד בתוקף עד שיותקנו אותן תקנות, ובכל מקרה לא יאוחר מ-31 בדצמבר 2019. מאחר שטרם הותקנו כל התקנות הנדרשות, בין היתר בשל הנסיבות הפוליטיות ואי הקמתן של רוב הוועדות הקבועות בכנסת ובהן ועדת הכלכלה, נקבע בתיקון לחוק כי צווי הפיקוח והוראות הנוהל מכוחם יוסיפו לעמוד בתוקף לשנה נוספת, דהיינו לכל המאוחר עד ל-31 בדצמבר 2020.  מועד תחילתו של התיקון לחוק יהיה ב-31 בדצמבר 2019, שהוא המועד שבו פקעו למעשה צווי הפיקוח, וזאת כדי להימנע ממצב של לאקונה משפטית בהסדרת תחומים מסוימים בענף הרכב. </t>
  </si>
  <si>
    <t xml:space="preserve">חוק לתיקון פקודת התעבורה (מס' 120) (תיקון), התש"ף-2020</t>
  </si>
  <si>
    <t xml:space="preserve"> (מ/1293)</t>
  </si>
  <si>
    <t xml:space="preserve">התיקון לחוק נועד להאריך את תקופת המעבר שנקבעה בחוק לתיקון פקודת התעבורה (מס' 120), התשע"ח–2018, שעניינו ברפורמה בענף מוניות השירות. מטרת הרפורמה הייתה לפתוח לתחרות את ענף מוניות השירות, כך שהרישיונות לקווי שירות למוניות יינתנו בהליך תחרותי, שוויוני ופומבי, כלומר במכרז. כדי לאפשר את הפעלתן הרציפה של מוניות השירות עד לסיום ההליכים התחרותיים כאמור, נקבעה במסגרת הרפורמה הוראת מעבר, שלפיה הוסמך המפקח על התעבורה לחדש את רישיונותיהם של בעלי הרישיונות הוותיקים, כלומר אלה שהפעילו את מוניות השירות לפני תחילתה של הרפורמה, וזאת עד ל-31 בדצמבר 2019 לכל המאוחר. לפי הוראת המעבר, המפקח על התעבורה יאריך את רישיונותיהם של בעלי הרישיונות הוותיקים בהתחשב בין היתר בהתקדמות ההליכים התחרותיים לבחירת בעלי הרישיונות החדשים.  מאחר שטרם הושלמו ההליכים התחרותיים לבחירת כל בעלי הרישיונות החדשים, נקבע בתיקון לחוק כי תקופת המעבר תוארך בשנה נוספת, כלומר המפקח על התעבורה יוסמך לחדש את רישיונותיהם של בעלי הרישיונות הוותיקים לכל המאוחר עד ל-31 בדצמבר 2020.  מועד התחילה של התיקון לחוק הוא ב-31 בדצמבר 2019, כדי למנוע מצב שבו בעלי הרישיונות הוותיקים יפעלו ללא רישיון בתקופה שחלפה מאז פקיעת הוראת המעבר ועד למועד פרסומו של התיקון לחוק.</t>
  </si>
  <si>
    <t xml:space="preserve">חוק הבחירות לכנסת העשרים ושלוש (הוראות מיוחדות), התש"ף–2019</t>
  </si>
  <si>
    <t xml:space="preserve"> (פ/1420/22)</t>
  </si>
  <si>
    <t xml:space="preserve"> (כ/839)</t>
  </si>
  <si>
    <t xml:space="preserve">הוועדה המיוחדת לדיון בהצעת חוק התפזרות הכנסת העשרים ושתיים</t>
  </si>
  <si>
    <t xml:space="preserve">11.12.2019</t>
  </si>
  <si>
    <t xml:space="preserve">חוק התפזרות הכנסת העשרים ושתיים והקדמת הבחירות, התש"ף–2019</t>
  </si>
  <si>
    <t xml:space="preserve"> (פ/1419/22)</t>
  </si>
  <si>
    <t xml:space="preserve">חוק יסודות התקציב (תיקון מס' 52 - הוראת שעה), התש"ף-2019</t>
  </si>
  <si>
    <t xml:space="preserve"> (פ/361/22)</t>
  </si>
  <si>
    <t xml:space="preserve"> (כ/838)</t>
  </si>
  <si>
    <t xml:space="preserve">09.12.2019</t>
  </si>
  <si>
    <t xml:space="preserve">בתיקון זה נקבע כי עד להקמת ועדות קבועות בכנסת ה-22, תקציב הכנסת שבד"כ נדון בוועדה משותפת לוועדות הכנסת והכספים, ידון בוועדה משותפת לוועדה המסדרת ולוועדה הזמנית לענייני כספים.</t>
  </si>
  <si>
    <t xml:space="preserve">הצעת חוק לחילופי מידע בין גופי הביטחון, המודיעין והאכיפה ובין נפגעי טרור, התש"ף-2019</t>
  </si>
  <si>
    <t xml:space="preserve"> (פ/1418/22)</t>
  </si>
  <si>
    <t xml:space="preserve">הצעת חוק הבטחת הכנסה (תיקון - גמלאות להורה יחיד), התש"ף-2019</t>
  </si>
  <si>
    <t xml:space="preserve"> (פ/1417/22)</t>
  </si>
  <si>
    <t xml:space="preserve">הצעת חוק שעות עבודה ומנוחה (תיקון - קיצור שבוע העבודה), התש"ף-2019</t>
  </si>
  <si>
    <t xml:space="preserve"> (פ/1416/22)</t>
  </si>
  <si>
    <t xml:space="preserve">הצעת חוק קביעת אופן ההעסקה של מטפלות במשפחתונים המפוקחים על ידי האגף למעונות יום ומשפחתונים במשרד העבודה, הרווחה והשירותים החברתיים, התש"ף-2019</t>
  </si>
  <si>
    <t xml:space="preserve"> (פ/1415/22)</t>
  </si>
  <si>
    <t xml:space="preserve">הצעת חוק העונשין (תיקון - איסור תיעוד של חיילי צבא הגנה לישראל), התש"ף-2019</t>
  </si>
  <si>
    <t xml:space="preserve"> (פ/1414/22)</t>
  </si>
  <si>
    <t xml:space="preserve">הצעת חוק המקרקעין (חיזוק בתים משותפים מפני רעידות אדמה) (תיקון - סידור חלוף ארעי), התש"ף-2019</t>
  </si>
  <si>
    <t xml:space="preserve"> (פ/1413/22)</t>
  </si>
  <si>
    <t xml:space="preserve">הצעת חוק התכנון והבנייה (תיקון - הגבלת תקופת ההפקעה לייעוד ציבורי), התש"ף-2019</t>
  </si>
  <si>
    <t xml:space="preserve"> (פ/1412/22)</t>
  </si>
  <si>
    <t xml:space="preserve">הצעת חוק השמירה על המקומות הקדושים (תיקון - הבטחת פלורליזם דתי), התש"ף-2019</t>
  </si>
  <si>
    <t xml:space="preserve"> (פ/1411/22)</t>
  </si>
  <si>
    <t xml:space="preserve">הצעת חוק התכנון והבנייה (תיקון - ייצוג הולם לאוכלוסייה הערבית במוסדות התכנון), התש"ף-2019</t>
  </si>
  <si>
    <t xml:space="preserve"> (פ/1410/22)</t>
  </si>
  <si>
    <t xml:space="preserve">הצעת חוק התכנון והבנייה (תיקון - חיבור לחשמל) (הוראת שעה), התש"ף-2019</t>
  </si>
  <si>
    <t xml:space="preserve"> (פ/1409/22)</t>
  </si>
  <si>
    <t xml:space="preserve">הצעת חוק התכנון והבנייה (תיקון - הקמת ועדה מיוחדת לקידום והסדרת התכנון ביישובים הדרוזיים) (הוראת שעה), התש"ף-2019</t>
  </si>
  <si>
    <t xml:space="preserve"> (פ/1408/22)</t>
  </si>
  <si>
    <t xml:space="preserve">הצעת חוק הגנת הצרכן (תיקון - חובת הקלטה של עסקה טלפונית), התש"ף-2019</t>
  </si>
  <si>
    <t xml:space="preserve"> (פ/1407/22)</t>
  </si>
  <si>
    <t xml:space="preserve">הצעת חוק הקמת יישוב עירוני חדש לאוכלוסייה הדרוזית, התש"ף-2019</t>
  </si>
  <si>
    <t xml:space="preserve"> (פ/1406/22)</t>
  </si>
  <si>
    <t xml:space="preserve">הצעת חוק איסור הפליה במוצרים, בשירותים ובכניסה למקומות בידור ולמקומות ציבוריים (תיקון - הגדלת סכום הפיצוי בלא הוכחת נזק), התש"ף-2019</t>
  </si>
  <si>
    <t xml:space="preserve"> (פ/1405/22)</t>
  </si>
  <si>
    <t xml:space="preserve">הצעת חוק לתיקון פקודת התעבורה (מאסר מינימום למי שהפקיר אדם שנפגע בתאונה), התש"ף-2019</t>
  </si>
  <si>
    <t xml:space="preserve"> (פ/1404/22)</t>
  </si>
  <si>
    <t xml:space="preserve">הצעת חוק העונשין (תיקון - גזר דין עונש מוות למורשע ברצח בנסיבות טרור), התש"ף-2019</t>
  </si>
  <si>
    <t xml:space="preserve"> (פ/1403/22)</t>
  </si>
  <si>
    <t xml:space="preserve">הצעת חוק הביטוח הלאומי (תיקון - הארכת המועד להגשת תביעה לגמלה והתקופה שבעדה תשולם), התש"ף-2019 </t>
  </si>
  <si>
    <t xml:space="preserve"> (פ/1402/22)</t>
  </si>
  <si>
    <t xml:space="preserve">הצעת חוק זכויות, שירותים והתאמות בחינוך לילדים עם צרכים מיוחדים, התש"ף-2019</t>
  </si>
  <si>
    <t xml:space="preserve"> (פ/1401/22)</t>
  </si>
  <si>
    <t xml:space="preserve">הצעת חוק מס ערך מוסף (תיקון - שיעור מס מופחת על מוצרי מזון בסיסיים), התש"ף-2019</t>
  </si>
  <si>
    <t xml:space="preserve"> (פ/1400/22)</t>
  </si>
  <si>
    <t xml:space="preserve">הצעת חוק האפוטרופוס הכללי (תיקון - הקמת מאגר מידע לעניין כספים ללא דורש), התש"ף-2019</t>
  </si>
  <si>
    <t xml:space="preserve"> (פ/1399/22)</t>
  </si>
  <si>
    <t xml:space="preserve">הצעת חוק החלת ריבונות על בקעת הירדן, גוש עציון, גבעת זאב, מעלה אדומים, ביתר עילית ועפרה, התש"ף-2019</t>
  </si>
  <si>
    <t xml:space="preserve"> (פ/1398/22)</t>
  </si>
  <si>
    <t xml:space="preserve">הצעת חוק הרבנות הראשית לישראל (תיקון - ביטול החוק), התש"ף-2019</t>
  </si>
  <si>
    <t xml:space="preserve"> (פ/1397/22)</t>
  </si>
  <si>
    <t xml:space="preserve"> (פ/1396/22)</t>
  </si>
  <si>
    <t xml:space="preserve">הצעת חוק-יסוד: הכנסת (תיקון - שלילת סמכותו של בית המשפט העליון מלהתערב בהחלטת ועדת הבחירות המרכזית לעניין אישור או פסילת מועמד או רשימה מלהשתתף בבחירות)</t>
  </si>
  <si>
    <t xml:space="preserve"> (פ/1395/22)</t>
  </si>
  <si>
    <t xml:space="preserve">הצעת חוק החברות (תיקון - איסור חברות בדירקטוריון של בנק ושל חברה ציבורית נוספת), התש"ף-2019</t>
  </si>
  <si>
    <t xml:space="preserve"> (פ/1394/22)</t>
  </si>
  <si>
    <t xml:space="preserve">הצעת חוק החברות הממשלתיות (תיקון - ייצוג הולם לאוכלוסייה הערבית), התש"ף-2019</t>
  </si>
  <si>
    <t xml:space="preserve"> (פ/1393/22)</t>
  </si>
  <si>
    <t xml:space="preserve">הצעת חוק ההוצאה לפועל (תיקון - הגבלת עיקול מיטלטליו של קשיש), התש"ף-2019</t>
  </si>
  <si>
    <t xml:space="preserve"> (פ/1392/22)</t>
  </si>
  <si>
    <t xml:space="preserve">הצעת חוק עיקול ותפיסה מידתיים של נכסים המוחזקים בידי צד שלישי (תיקוני חקיקה), התש"ף-2019</t>
  </si>
  <si>
    <t xml:space="preserve"> (פ/1391/22)</t>
  </si>
  <si>
    <t xml:space="preserve">הצעת חוק איסור פרסום הפליה (תיקוני חקיקה), התש"ף-2019</t>
  </si>
  <si>
    <t xml:space="preserve"> (פ/1390/22)</t>
  </si>
  <si>
    <t xml:space="preserve">הצעת חוק להסדרת מינויים בשירות החוץ, התש"ף-2019</t>
  </si>
  <si>
    <t xml:space="preserve"> (פ/1389/22)</t>
  </si>
  <si>
    <t xml:space="preserve">הצעת חוק בית הדין לעבודה (תיקון - ערעור לפני בית המשפט העליון), התש"ף-2019</t>
  </si>
  <si>
    <t xml:space="preserve"> (פ/1388/22)</t>
  </si>
  <si>
    <t xml:space="preserve">הצעת חוק לימודי יסוד במערכת החינוך, התש"ף-2019</t>
  </si>
  <si>
    <t xml:space="preserve"> (פ/1387/22)</t>
  </si>
  <si>
    <t xml:space="preserve">הצעת חוק התכנון והבנייה (תיקון מס' 116) (תיקון - ביטול החוק), התש"ף-2019</t>
  </si>
  <si>
    <t xml:space="preserve"> (פ/1386/22)</t>
  </si>
  <si>
    <t xml:space="preserve">הצעת חוק איסור שימוש בחקירה של מי שנפגע מינית, בממצאי טיפול נפשי וביומנים אישיים (תיקוני חקיקה), התש"ף-2019</t>
  </si>
  <si>
    <t xml:space="preserve"> (פ/1385/22)</t>
  </si>
  <si>
    <t xml:space="preserve">הצעת חוק לקביעת שעות ההצבעה בקלפיות ולקביעת היקף יום השבתון בבחירות לכנסת ולרשויות המקומיות (תיקוני חקיקה), התש"ף-2019</t>
  </si>
  <si>
    <t xml:space="preserve"> (פ/1384/22)</t>
  </si>
  <si>
    <t xml:space="preserve"> (פ/1383/22)</t>
  </si>
  <si>
    <t xml:space="preserve">הצעת חוק סיוע לקטינים נפגעי עבירות מין או אלימות (תיקון - טיפול נפשי לילדים נפגעי אלימות במשפחה לרבות חשיפה לאלימות במשפחה), התש"ף-2019</t>
  </si>
  <si>
    <t xml:space="preserve"> (פ/1382/22)</t>
  </si>
  <si>
    <t xml:space="preserve">הצעת חוק פיצויים בעד נזק עקב אסון טבע, התש"ף-2019</t>
  </si>
  <si>
    <t xml:space="preserve"> (פ/1381/22)</t>
  </si>
  <si>
    <t xml:space="preserve">הצעת חוק לקידום התחרות ולצמצום הריכוזיות (תיקון - קביעת תאגיד שאינו מדווח או שותפות כחברת שכבה), התש"ף-2019</t>
  </si>
  <si>
    <t xml:space="preserve"> (פ/1380/22)</t>
  </si>
  <si>
    <t xml:space="preserve">הצעת חוק להגדלת שיעור ההשתתפות בכוח העבודה ולצמצום פערים חברתיים (מענק עבודה) (תיקון - זכות במקרקעין בקבוצת רכישה), התש"ף-2019</t>
  </si>
  <si>
    <t xml:space="preserve"> (פ/1379/22)</t>
  </si>
  <si>
    <t xml:space="preserve">הצעת חוק הביטוח הלאומי (תיקון - מינוי ועדות רפואיות), התש"ף-2019</t>
  </si>
  <si>
    <t xml:space="preserve"> (פ/1378/22)</t>
  </si>
  <si>
    <t xml:space="preserve">הצעת חוק לתיקון פקודת מס הכנסה (משיכה מקרן השתלמות לרכישת דירה ראשונה), התש"ף-2019</t>
  </si>
  <si>
    <t xml:space="preserve"> (פ/1377/22)</t>
  </si>
  <si>
    <t xml:space="preserve">הצעת חוק חסינות חברי הכנסת, זכויותיהם וחובותיהם (תיקון - הצהרה על חשבונות בנק בחוץ לארץ), התש"ף-2019</t>
  </si>
  <si>
    <t xml:space="preserve"> (פ/1376/22)</t>
  </si>
  <si>
    <t xml:space="preserve">הצעת חוק הפקדות וזכויות סוציאליות לעצמאים (תיקוני חקיקה), התש"ף-2019</t>
  </si>
  <si>
    <t xml:space="preserve"> (פ/1375/22)</t>
  </si>
  <si>
    <t xml:space="preserve">הצעת חוק לתיקון פקודת מס הכנסה (הוצאות אש"ל לעצמאיים), התש"ף-2019</t>
  </si>
  <si>
    <t xml:space="preserve"> (פ/1374/22)</t>
  </si>
  <si>
    <t xml:space="preserve">הצעת חוק רמת הגולן (תיקון - ביטול החוק), התש"ף-2019</t>
  </si>
  <si>
    <t xml:space="preserve"> (פ/1373/22)</t>
  </si>
  <si>
    <t xml:space="preserve">הצעת חוק נציבות תלונות אסירים, התש"ף-2019</t>
  </si>
  <si>
    <t xml:space="preserve"> (פ/1372/22)</t>
  </si>
  <si>
    <t xml:space="preserve">הצעת חוק אימוץ ילדים (תיקון - אימוץ על ידי הורה יחיד), התש"ף-2019</t>
  </si>
  <si>
    <t xml:space="preserve"> (פ/1371/22)</t>
  </si>
  <si>
    <t xml:space="preserve"> (פ/1370/22)</t>
  </si>
  <si>
    <t xml:space="preserve">הצעת חוק למניעת אלימות כלכלית בין בני זוג ובני משפחה, התש"ף-2019</t>
  </si>
  <si>
    <t xml:space="preserve"> (פ/1369/22)</t>
  </si>
  <si>
    <t xml:space="preserve"> (פ/1368/22)</t>
  </si>
  <si>
    <t xml:space="preserve">הצעת חוק לתיקון פקודת המשטרה (העברת המחלקה לחקירת שוטרים למשרד מבקר המדינה וקביעת תקופת צינון), התש"ף-2019</t>
  </si>
  <si>
    <t xml:space="preserve"> (פ/1367/22)</t>
  </si>
  <si>
    <t xml:space="preserve">הצעת חוק משק החשמל (תיקון - גביית תשלומים), התש"ף-2019</t>
  </si>
  <si>
    <t xml:space="preserve"> (פ/1366/22)</t>
  </si>
  <si>
    <t xml:space="preserve">הצעת חוק צער בעלי חיים (הגנה על בעלי חיים) (תיקון - איסור מכירת פרוות), התש"ף-2019</t>
  </si>
  <si>
    <t xml:space="preserve"> (פ/1365/22)</t>
  </si>
  <si>
    <t xml:space="preserve">הצעת חוק לימוד חובה (תיקון - חינוך חינם לפעוטות ולילדים), התש"ף-2019</t>
  </si>
  <si>
    <t xml:space="preserve"> (פ/1364/22)</t>
  </si>
  <si>
    <t xml:space="preserve">הצעת חוק זכויות הדייר בדיור הציבורי (תיקון - זכאות לאימהות יחידניות המקבלות מזונות ילדים), התש"ף-2019</t>
  </si>
  <si>
    <t xml:space="preserve"> (פ/1363/22)</t>
  </si>
  <si>
    <t xml:space="preserve">הצעת חוק המכר (דירות) (תיקון - זכות להחלפת חברת ניהול), התש"ף-2019</t>
  </si>
  <si>
    <t xml:space="preserve"> (פ/1362/22)</t>
  </si>
  <si>
    <t xml:space="preserve"> (פ/1361/22)</t>
  </si>
  <si>
    <t xml:space="preserve">הצעת חוק הקמת שדה תעופה בנבטים, התש"ף-2019</t>
  </si>
  <si>
    <t xml:space="preserve"> (פ/1360/22)</t>
  </si>
  <si>
    <t xml:space="preserve">הצעת חוק ביטוח בריאות ממלכתי (תיקון - החזר דמי נסיעה באמבולנס למבוטח שהגיע לגיל פרישה), התש"ף-2019</t>
  </si>
  <si>
    <t xml:space="preserve"> (פ/1359/22)</t>
  </si>
  <si>
    <t xml:space="preserve">הצעת חוק העסקת עובדים על ידי קבלני כוח אדם (תיקון - מגבלות ברישוי קבלני כוח אדם), התש"ף-2019</t>
  </si>
  <si>
    <t xml:space="preserve"> (פ/1358/22)</t>
  </si>
  <si>
    <t xml:space="preserve">הצעת חוק החזרת תושבי בירעם ואיקרית לבתיהם, התש"ף-2019</t>
  </si>
  <si>
    <t xml:space="preserve"> (פ/1357/22)</t>
  </si>
  <si>
    <t xml:space="preserve">הצעת חוק מערך החוץ וההסברה, התש"ף-2019</t>
  </si>
  <si>
    <t xml:space="preserve"> (פ/1356/22)</t>
  </si>
  <si>
    <t xml:space="preserve">הצעת חוק מוסר תשלומים לספקים (תיקון - מועדי תשלום שיחולו על מזמינים שונים והחלה על מוסדות בריאות), התש"ף-2019</t>
  </si>
  <si>
    <t xml:space="preserve"> (פ/1355/22)</t>
  </si>
  <si>
    <t xml:space="preserve">הצעת חוק התגמולים לנפגעי פעולות איבה (תיקון - פשעי שנאה), התש"ף-2019</t>
  </si>
  <si>
    <t xml:space="preserve"> (פ/1354/22)</t>
  </si>
  <si>
    <t xml:space="preserve">הצעת חוק שירותי בריאות נפש ממלכתיים, התש"ף-2019</t>
  </si>
  <si>
    <t xml:space="preserve"> (פ/1353/22)</t>
  </si>
  <si>
    <t xml:space="preserve">הצעת חוק למניעת התעמרות בעבודה, התש"ף-2019</t>
  </si>
  <si>
    <t xml:space="preserve"> (פ/1352/22)</t>
  </si>
  <si>
    <t xml:space="preserve">הצעת חוק יסודות התקציב (תיקון - אישור הוועדה המשותפת לתקציב הביטחון להחלטות הממשלה להצטיידות או התעצמות), התש"ף-2019</t>
  </si>
  <si>
    <t xml:space="preserve"> (פ/1351/22)</t>
  </si>
  <si>
    <t xml:space="preserve">הצעת חוק מס ערך מוסף (תיקון - מס בשיעור אפס על ספרי לימוד), התש"ף-2019</t>
  </si>
  <si>
    <t xml:space="preserve"> (פ/1350/22)</t>
  </si>
  <si>
    <t xml:space="preserve">הצעת חוק עבודת נשים (תיקון - הגנה לעובדת העוברת טיפולי פוריות), התש"ף-2019</t>
  </si>
  <si>
    <t xml:space="preserve"> (פ/1349/22)</t>
  </si>
  <si>
    <t xml:space="preserve">הצעת חוק מס ערך מוסף (תיקון - פטור ממס במכירת תרופות מצילות חיים שאינן כלולות בסל הבריאות) התש"ף-2019</t>
  </si>
  <si>
    <t xml:space="preserve"> (פ/1348/22)</t>
  </si>
  <si>
    <t xml:space="preserve">הצעת חוק עבודת נשים (תיקון- תקופת לידה והורות מדורגת), התש"ף-2019</t>
  </si>
  <si>
    <t xml:space="preserve"> (פ/1347/22)</t>
  </si>
  <si>
    <t xml:space="preserve">הצעת חוק לתיקון פקודת התעבורה (רישיון נהיגה לאופניים עם מנוע עזר), התש"ף-2019</t>
  </si>
  <si>
    <t xml:space="preserve"> (פ/1346/22)</t>
  </si>
  <si>
    <t xml:space="preserve">הצעת חוק הגישור, התש"ף-2019</t>
  </si>
  <si>
    <t xml:space="preserve"> (פ/1345/22)</t>
  </si>
  <si>
    <t xml:space="preserve">הצעת חוק משפחות חיילים שנספו במערכה (תגמולים ושיקום) (תיקון - הגדרת אלמן ושכול), התש"ף-2019</t>
  </si>
  <si>
    <t xml:space="preserve"> (פ/1344/22)</t>
  </si>
  <si>
    <t xml:space="preserve">הצעת חוק לתיקון פקודת בתי הסוהר (מס' 48) (ביטול החוק), התש"ף-2019</t>
  </si>
  <si>
    <t xml:space="preserve"> (פ/1343/22)</t>
  </si>
  <si>
    <t xml:space="preserve">הצעת חוק אימוץ ילדים (תיקון - הוספת סמכות בנושא דתו של המאומץ), התש"ף-2019</t>
  </si>
  <si>
    <t xml:space="preserve"> (פ/1342/22)</t>
  </si>
  <si>
    <t xml:space="preserve">הצעת חוק ההוצאה לפועל (תיקון - מסלול מקוצר חובה), התש"ף-2019</t>
  </si>
  <si>
    <t xml:space="preserve"> (פ/1341/22)</t>
  </si>
  <si>
    <t xml:space="preserve">הצעת חוק הגנה על הציבור מפני ביצוע עבירות מין (תיקון - מתן טיפול שיקום מונע ללא הרשעה), התש"ף-2019</t>
  </si>
  <si>
    <t xml:space="preserve"> (פ/1340/22)</t>
  </si>
  <si>
    <t xml:space="preserve">הצעת חוק המשטרה (תיקון - התיישנות עבירות) התש"ף-2019</t>
  </si>
  <si>
    <t xml:space="preserve"> (פ/1339/22)</t>
  </si>
  <si>
    <t xml:space="preserve">הצעת חוק הפיקוח על שירותים פיננסיים (קופות גמל) (תיקון - הגבלת דמי ניהול לעמית שסיים את עבודתו), התש"ף-2019</t>
  </si>
  <si>
    <t xml:space="preserve"> (פ/1338/22)</t>
  </si>
  <si>
    <t xml:space="preserve">הצעת חוק לתיקון פקודת מס הכנסה (פטור ממס על מלגה לחוקר), התש"ף-2019</t>
  </si>
  <si>
    <t xml:space="preserve"> (פ/1337/22)</t>
  </si>
  <si>
    <t xml:space="preserve">הצעת חוק המועצה להשכלה גבוהה (תיקון - הקמת מוסדות להשכלה גבוהה), התש"ף-2019</t>
  </si>
  <si>
    <t xml:space="preserve"> (פ/1336/22)</t>
  </si>
  <si>
    <t xml:space="preserve"> (פ/1335/22)</t>
  </si>
  <si>
    <t xml:space="preserve">הצעת חוק איסור הפליה בשל מין, נטייה מינית או זהות מגדרית (תיקוני חקיקה), התש"ף-2019</t>
  </si>
  <si>
    <t xml:space="preserve"> (פ/1334/22)</t>
  </si>
  <si>
    <t xml:space="preserve">הצעת חוק רישוי עסקים (תיקון - הארכת תוקף רישיון), התש"ף-2019</t>
  </si>
  <si>
    <t xml:space="preserve"> (פ/1333/22)</t>
  </si>
  <si>
    <t xml:space="preserve">הצעת חוק טיפול בחולי נפש (תיקון - החלת הוראות על בגיר שסובל מאנורקסיה נרבוזה), התש"ף-2019</t>
  </si>
  <si>
    <t xml:space="preserve"> (פ/1332/22)</t>
  </si>
  <si>
    <t xml:space="preserve">הצעת חוק-יסוד: הכנסת (תיקון - ביטול יום השבתון ביום הבחירות)</t>
  </si>
  <si>
    <t xml:space="preserve"> (פ/1331/22)</t>
  </si>
  <si>
    <t xml:space="preserve">הצעת חוק העסקת עובדי הוראה, התש"ף-2019</t>
  </si>
  <si>
    <t xml:space="preserve"> (פ/1330/22)</t>
  </si>
  <si>
    <t xml:space="preserve">הצעת חוק הבטחת הכנסה (תיקון - ניכוי שכר דירה לעולים חדשים לצורך מבחן הכנסות), התש"ף-2019 </t>
  </si>
  <si>
    <t xml:space="preserve"> (פ/1329/22)</t>
  </si>
  <si>
    <t xml:space="preserve">הצעת חוק חזקת הסכמה לתרומת אברים (תיקוני חקיקה), התש"ף-2019</t>
  </si>
  <si>
    <t xml:space="preserve"> (פ/1328/22)</t>
  </si>
  <si>
    <t xml:space="preserve">הצעת חוק מס ערך מוסף (תיקון - פטור ממס על מתן שירותי בנייה לצורך הוספת מרחב מוגן ומרחב מוגן דירתי ביישובים סמוכי גבול), התש"ף-2019 </t>
  </si>
  <si>
    <t xml:space="preserve"> (פ/1327/22)</t>
  </si>
  <si>
    <t xml:space="preserve">הצעת חוק חינוך ממלכתי (תיקון - ביטול השתתפות רשות מקומית בתקציבי מוסדות חינוך מוכרים לא רשמיים), התש"ף-2019</t>
  </si>
  <si>
    <t xml:space="preserve"> (פ/1326/22)</t>
  </si>
  <si>
    <t xml:space="preserve">הצעת חוק שירות ביטחון (תיקון - פטור מטעמי מצפון), התש"ף-2019</t>
  </si>
  <si>
    <t xml:space="preserve"> (פ/1325/22)</t>
  </si>
  <si>
    <t xml:space="preserve">הצעת חוק העבירות המינהליות (תיקון - מועד להחלטה מנומקת), התש"ף-2019</t>
  </si>
  <si>
    <t xml:space="preserve"> (פ/1324/22)</t>
  </si>
  <si>
    <t xml:space="preserve">הצעת חוק לתיקון פקודת המסים (גבייה) (ביטול החוק), התש"ף-2019</t>
  </si>
  <si>
    <t xml:space="preserve"> (פ/1323/22)</t>
  </si>
  <si>
    <t xml:space="preserve">הצעת חוק הפיקוח על המעונות (תיקון - פיקוח של מנהל מעון), התש"ף-2019</t>
  </si>
  <si>
    <t xml:space="preserve"> (פ/1322/22)</t>
  </si>
  <si>
    <t xml:space="preserve">הצעת חוק הביטוח הלאומי (תיקון - גמלה בשל דיכאון לאחר לידה), התש"ף-2019</t>
  </si>
  <si>
    <t xml:space="preserve"> (פ/1321/22)</t>
  </si>
  <si>
    <t xml:space="preserve">הצעת חוק הפיקוח על מעונות (תיקון - חובת פיקוח של מנהל מעון), התש"ף-2019</t>
  </si>
  <si>
    <t xml:space="preserve"> (פ/1320/22)</t>
  </si>
  <si>
    <t xml:space="preserve">הצעת חוק זכויות הסטודנט (תיקון - פעילות ציבורית), התש"ף-2019</t>
  </si>
  <si>
    <t xml:space="preserve"> (פ/1319/22)</t>
  </si>
  <si>
    <t xml:space="preserve">הצעת חוק מיסוי מקרקעין (שבח ורכישה) (תיקון - מס רכישה מופחת לעולה חדש), התש"ף-2019</t>
  </si>
  <si>
    <t xml:space="preserve"> (פ/1318/22)</t>
  </si>
  <si>
    <t xml:space="preserve">הצעת חוק הפסקת היריון, התש"ף-2019</t>
  </si>
  <si>
    <t xml:space="preserve"> (פ/1317/22)</t>
  </si>
  <si>
    <t xml:space="preserve">הצעת חוק הרשויות המקומיות (בחירות) (תיקון - התניית יום שבתון באישור הצבעה), התש"ף-2019</t>
  </si>
  <si>
    <t xml:space="preserve"> (פ/1316/22)</t>
  </si>
  <si>
    <t xml:space="preserve">הצעת חוק הביטוח הלאומי (תיקון - הצמדת קצבת אזרח ותיק לשכר המינימום), התש"ף-2019</t>
  </si>
  <si>
    <t xml:space="preserve"> (פ/1315/22)</t>
  </si>
  <si>
    <t xml:space="preserve">הצעת חוק פיקוח על מחירי מצרכים ושירותים (תיקון - הגבלת מרווחי שיווק על ירקות), התש"ף-2019</t>
  </si>
  <si>
    <t xml:space="preserve"> (פ/1314/22)</t>
  </si>
  <si>
    <t xml:space="preserve">הצעת חוק עידוד שירות צבאי, אזרחי או לאומי, התש"ף-2019</t>
  </si>
  <si>
    <t xml:space="preserve"> (פ/1313/22)</t>
  </si>
  <si>
    <t xml:space="preserve">הצעת חוק ערבות למשכנתאות (תיקון - ערבות מדינה לדירה יחידה), התש"ף-2019</t>
  </si>
  <si>
    <t xml:space="preserve"> (פ/1312/22)</t>
  </si>
  <si>
    <t xml:space="preserve">הצעת חוק צער בעלי חיים (הגנה על בעלי חיים) (תיקון - איסור משלוחים חיים לשחיטה), התש"ף-2019 </t>
  </si>
  <si>
    <t xml:space="preserve"> (פ/1311/22)</t>
  </si>
  <si>
    <t xml:space="preserve">הצעת חוק הכרה ברישיונות מקצועיים על בסיס הנחיות האיחוד האירופי (תיקוני חקיקה), התש"ף-2019</t>
  </si>
  <si>
    <t xml:space="preserve"> (פ/1310/22)</t>
  </si>
  <si>
    <t xml:space="preserve">הצעת חוק הלוואות לדיור (תיקון - הלוואה כהון עצמי) (הוראת שעה), התש"ף-2019</t>
  </si>
  <si>
    <t xml:space="preserve"> (פ/1309/22)</t>
  </si>
  <si>
    <t xml:space="preserve">הצעת חוק התרבות והאמנות (תיקון - הקצאת תקציב שנתי לתרבות והאמנות), התש"ף-2019</t>
  </si>
  <si>
    <t xml:space="preserve"> (פ/1308/22)</t>
  </si>
  <si>
    <t xml:space="preserve">הצעת חוק הטבות מענק מקום לרכישת דירה בפריפריה, לזכאים לרכישת דירה בתכנית מחיר למשתכן שאין התכנית פועלת בעירם, התש"ף-2019</t>
  </si>
  <si>
    <t xml:space="preserve"> (פ/1307/22)</t>
  </si>
  <si>
    <t xml:space="preserve">הצעת חוק האזרחים הוותיקים (תיקון - הנחה בארנונה לאזרח ותיק המתגורר בדירה שאינה בחזקתו), התש"ף-2019</t>
  </si>
  <si>
    <t xml:space="preserve"> (פ/1306/22)</t>
  </si>
  <si>
    <t xml:space="preserve">הצעת חוק לתיקון פקודת מסי העירייה ומסי הממשלה (פטורין) (פטור מארנונה לבתי חיילים), התש"ף-2019</t>
  </si>
  <si>
    <t xml:space="preserve"> (פ/1305/22)</t>
  </si>
  <si>
    <t xml:space="preserve">הצעת חוק הסדרת העיסוק במקצועות הבריאות (תיקון - הכרה בפודיאטרים-פודולוגים וסמכויות לפודיאטרים ופודיאטרים מנתחים), התש"ף-2019</t>
  </si>
  <si>
    <t xml:space="preserve"> (פ/1304/22)</t>
  </si>
  <si>
    <t xml:space="preserve">הצעת חוק הביטוח הלאומי (תיקון - השוואת קצבת נכות לשכר המינימום), התש"ף-2019</t>
  </si>
  <si>
    <t xml:space="preserve"> (פ/1303/22)</t>
  </si>
  <si>
    <t xml:space="preserve">הצעת חוק חובת הדיווח של מוסדות פיננסיים על כספים ללא דורש, התש"ף-2019</t>
  </si>
  <si>
    <t xml:space="preserve"> (פ/1302/22)</t>
  </si>
  <si>
    <t xml:space="preserve">הצעת חוק-יסוד: הכנסת (תיקון - תמיכה במאבק מזוין נגד מדינת ישראל) </t>
  </si>
  <si>
    <t xml:space="preserve"> (פ/1301/22)</t>
  </si>
  <si>
    <t xml:space="preserve">הצעת חוק לתיקון פקודת מס הכנסה (פטור ממס לדמי הבראה), התש"ף-2019</t>
  </si>
  <si>
    <t xml:space="preserve"> (פ/1300/22)</t>
  </si>
  <si>
    <t xml:space="preserve">הצעת חוק הביטוח הלאומי (תיקון - קצבת ילדים כפולה בלידת תאומים או יותר), התש"ף-2019</t>
  </si>
  <si>
    <t xml:space="preserve"> (פ/1299/22)</t>
  </si>
  <si>
    <t xml:space="preserve"> (פ/1298/22)</t>
  </si>
  <si>
    <t xml:space="preserve">הצעת חוק מניעת בריונות ברשת, התש"ף-2019</t>
  </si>
  <si>
    <t xml:space="preserve"> (פ/1297/22)</t>
  </si>
  <si>
    <t xml:space="preserve">הצעת חוק הביטוח הלאומי (תיקון - קצבת אזרח ותיק ראויה), התש"ף-2019</t>
  </si>
  <si>
    <t xml:space="preserve"> (פ/1296/22)</t>
  </si>
  <si>
    <t xml:space="preserve">הצעת חוק הממשלה (תיקון - ועדת שרים לענייני חקיקה), התש"ף-2019</t>
  </si>
  <si>
    <t xml:space="preserve"> (פ/1295/22)</t>
  </si>
  <si>
    <t xml:space="preserve">הצעת חוק האזרחות והכניסה לישראל (הוראת שעה) (תיקון - איסור הארכת החוק באמצעות צו ושינוי קריטריונים), התש"ף-2019</t>
  </si>
  <si>
    <t xml:space="preserve"> (פ/1294/22)</t>
  </si>
  <si>
    <t xml:space="preserve">הצעת חוק אימוץ ילדים (תיקון - איסור הפרדה בין אחים בהליך אימוץ), התש"ף-2019</t>
  </si>
  <si>
    <t xml:space="preserve"> (פ/1293/22)</t>
  </si>
  <si>
    <t xml:space="preserve">הצעת חוק פיקוח על רווחי שיווק בתוצרת חקלאית, התש"ף-2019</t>
  </si>
  <si>
    <t xml:space="preserve"> (פ/1292/22)</t>
  </si>
  <si>
    <t xml:space="preserve">הצעת חוק הביטוח הלאומי (תיקון - איסור קיזוז קצבת ילדים כנגד חוב לביטוח לאומי), התש"ף-2019</t>
  </si>
  <si>
    <t xml:space="preserve"> (פ/1291/22)</t>
  </si>
  <si>
    <t xml:space="preserve">הצעת חוק הממשלה (תיקון - דיווח על נסיעות שרים לחוץ לארץ), התש"ף-2019</t>
  </si>
  <si>
    <t xml:space="preserve"> (פ/1290/22)</t>
  </si>
  <si>
    <t xml:space="preserve">הצעת חוק המזונות (הבטחת תשלום) (תיקון - סכום שלא יובא בחשבון במבחן ההכנסה), התש"ף-2019</t>
  </si>
  <si>
    <t xml:space="preserve"> (פ/1289/22)</t>
  </si>
  <si>
    <t xml:space="preserve">הצעת חוק להגברת השקיפות בפעילותם של גופים פיננסיים (תיקוני חקיקה), התש"ף-2019</t>
  </si>
  <si>
    <t xml:space="preserve"> (פ/1288/22)</t>
  </si>
  <si>
    <t xml:space="preserve">הצעת חוק לתיקון דיני הראיות (הגנת ילדים) (דבר מה נוסף), התש"ף-2019</t>
  </si>
  <si>
    <t xml:space="preserve"> (פ/1287/22)</t>
  </si>
  <si>
    <t xml:space="preserve"> (פ/1286/22)</t>
  </si>
  <si>
    <t xml:space="preserve">הצעת חוק לקידום דיור בר השגה, התש"ף-2019</t>
  </si>
  <si>
    <t xml:space="preserve"> (פ/1285/22)</t>
  </si>
  <si>
    <t xml:space="preserve">הצעת חוק המכר (דירות) (תיקון - הסדרת בנייה במסגרת קבוצות רכישה), התש"ף-2019</t>
  </si>
  <si>
    <t xml:space="preserve"> (פ/1284/22)</t>
  </si>
  <si>
    <t xml:space="preserve">הצעת חוק מרשם האוכלוסין (תיקון - רישום כזרע ישראל), התש"ף-2019</t>
  </si>
  <si>
    <t xml:space="preserve"> (פ/1283/22)</t>
  </si>
  <si>
    <t xml:space="preserve">הצעת חוק איסור הונאה בכשרות (תיקון - פיקוח על מחירי תעודת הכשר), התש"ף-2019</t>
  </si>
  <si>
    <t xml:space="preserve"> (פ/1282/22)</t>
  </si>
  <si>
    <t xml:space="preserve">הצעת חוק הכשרות המשפטית והאפוטרופסות (תיקון - הכרעה דחופה בנוגע לילד להורים בהליכי גירושין), התש"ף-2019 </t>
  </si>
  <si>
    <t xml:space="preserve"> (פ/1281/22)</t>
  </si>
  <si>
    <t xml:space="preserve">הצעת חוק בית המשפט לענייני משפחה (תיקון - בני זוג מאותו המין), התש"ף-2019</t>
  </si>
  <si>
    <t xml:space="preserve"> (פ/1280/22)</t>
  </si>
  <si>
    <t xml:space="preserve">הצעת חוק שוויון זכויות לאנשים עם מוגבלות (תיקון - מסירת תעודות לבעלי מוגבלות), התש"ף-2019</t>
  </si>
  <si>
    <t xml:space="preserve"> (פ/1279/22)</t>
  </si>
  <si>
    <t xml:space="preserve"> (פ/1278/22)</t>
  </si>
  <si>
    <t xml:space="preserve">הצעת חוק הכשרות המשפטית והאפוטרופסות (תיקון - תשלום שכר והוצאות של אפוטרופוס מאוצר המדינה), התש"ף-2019</t>
  </si>
  <si>
    <t xml:space="preserve"> (פ/1277/22)</t>
  </si>
  <si>
    <t xml:space="preserve">הצעת חוק לטיפול בכתות פוגעניות, התש"ף-2019</t>
  </si>
  <si>
    <t xml:space="preserve"> (פ/1276/22)</t>
  </si>
  <si>
    <t xml:space="preserve">הצעת חוק חובת המכרזים (תיקון - שילוב עסקים קטנים ובינוניים), התש"ף-2019</t>
  </si>
  <si>
    <t xml:space="preserve"> (פ/1275/22)</t>
  </si>
  <si>
    <t xml:space="preserve">הצעת חוק למניעת פגיעה במדינת ישראל באמצעות חרם (תיקון - הפסקת מימון מוסדות להשכלה גבוהה), התש"ף-2019</t>
  </si>
  <si>
    <t xml:space="preserve"> (פ/1274/22)</t>
  </si>
  <si>
    <t xml:space="preserve">הצעת חוק לתיקון פקודת הנזיקין (פיצויים לדוגמה בשל מעשה טרור או פגיעת איבה), התש"ף-2019</t>
  </si>
  <si>
    <t xml:space="preserve"> (פ/1273/22)</t>
  </si>
  <si>
    <t xml:space="preserve">הצעת חוק העונשין (תיקון - החמרת העונש לנבחרי ציבור בעבירות ביטחון המדינה, יחסי חוץ וסודות רשמיים), התש"ף-2019</t>
  </si>
  <si>
    <t xml:space="preserve"> (פ/1272/22)</t>
  </si>
  <si>
    <t xml:space="preserve">הצעת חוק עידוד שירות צבאי, לאומי או לאומי-אזרחי, התש"ף-2019</t>
  </si>
  <si>
    <t xml:space="preserve"> (פ/1271/22)</t>
  </si>
  <si>
    <t xml:space="preserve">הצעת חוק איסור הכחשת השואה (תיקון - איסור הבעת אהדה לשלטון הנאצי או הזדהות עמו ואיסור שימוש בסמלים נאציים), התש"ף-2019</t>
  </si>
  <si>
    <t xml:space="preserve"> (פ/1270/22)</t>
  </si>
  <si>
    <t xml:space="preserve">הצעת חוק פיצויים לבעלי עסקים נפגעי עבודות תשתית מתמשכות, התש"ף-2019</t>
  </si>
  <si>
    <t xml:space="preserve"> (פ/1269/22)</t>
  </si>
  <si>
    <t xml:space="preserve">הצעת חוק זכויות הדייר בדיור הציבורי (תיקון - זכות לדיור ציבורי ומתן קדימות בשל נכות רפואית בשיעור של 75 אחוזים ומעלה), התש"ף-2019</t>
  </si>
  <si>
    <t xml:space="preserve"> (פ/1268/22)</t>
  </si>
  <si>
    <t xml:space="preserve">הצעת חוק הרשויות המקומיות (בחירות) (תיקון - בחירה של בעל עסק בתחום רשות מקומית שעסקו רשום בה), התש"ף-2019</t>
  </si>
  <si>
    <t xml:space="preserve"> (פ/1267/22)</t>
  </si>
  <si>
    <t xml:space="preserve">הצעת חוק הדגל, הסמל והמנון המדינה (תיקון - איסור מניעת כניסה לאסיפה עם דגל המדינה), התש"ף-2019</t>
  </si>
  <si>
    <t xml:space="preserve"> (פ/1266/22)</t>
  </si>
  <si>
    <t xml:space="preserve">הצעת חוק איסור הונאה בכשרות (תיקון - פתיחת אזורי הכשרות), התש"ף-2019</t>
  </si>
  <si>
    <t xml:space="preserve"> (פ/1265/22)</t>
  </si>
  <si>
    <t xml:space="preserve">הצעת חוק שירותי הדת היהודיים (תיקון - העברת סמכויות מועצה דתית לרשות מקומית), התש"ף-2019 </t>
  </si>
  <si>
    <t xml:space="preserve"> (פ/1264/22)</t>
  </si>
  <si>
    <t xml:space="preserve">הצעת חוק לתיקון פקודת מסי העירייה ומסי הממשלה (פטורין) (פטור מארנונה למבנה ברחוב שמתבצעות בו עבודות פיתוח או תשתית), התש"ף-2019</t>
  </si>
  <si>
    <t xml:space="preserve"> (פ/1263/22)</t>
  </si>
  <si>
    <t xml:space="preserve">הצעת חוק לתיקון פקודת מס הכנסה (פטור ממס למענק כספי בשל הישג בתחרות ספורט), התש"ף-2019</t>
  </si>
  <si>
    <t xml:space="preserve"> (פ/1262/22)</t>
  </si>
  <si>
    <t xml:space="preserve">הצעת חוק מס ערך מוסף (תיקון - עידוד התיירות באזורי רמת הגולן והגליל) (הוראת שעה), התש"ף-2019</t>
  </si>
  <si>
    <t xml:space="preserve"> (פ/1261/22)</t>
  </si>
  <si>
    <t xml:space="preserve">הצעת חוק פיצוי עסקים קטנים בשל אירועי איבה מתמשכים, התש"ף-2019</t>
  </si>
  <si>
    <t xml:space="preserve"> (פ/1260/22)</t>
  </si>
  <si>
    <t xml:space="preserve">הצעת חוק האזרחות והכניסה לישראל (הוראת שעה) (תיקון - מניעת ריבוי נישואין), התש"ף-2019</t>
  </si>
  <si>
    <t xml:space="preserve"> (פ/1259/22)</t>
  </si>
  <si>
    <t xml:space="preserve">הצעת חוק לתיקון פקודת העיריות (פרסום מכרז באתר האינטרנט), התש"ף-2019</t>
  </si>
  <si>
    <t xml:space="preserve"> (פ/1258/22)</t>
  </si>
  <si>
    <t xml:space="preserve">הצעת חוק ברל כצנלסון (ציון זכרו ופועלו), התש"ף-2019</t>
  </si>
  <si>
    <t xml:space="preserve"> (פ/1257/22)</t>
  </si>
  <si>
    <t xml:space="preserve">הצעת חוק מעונות יום שיקומיים (תיקון - פעוטות עם צרכים רפואיים וחלופה ביתית), התש"ף-2019</t>
  </si>
  <si>
    <t xml:space="preserve"> (פ/1256/22)</t>
  </si>
  <si>
    <t xml:space="preserve">הצעת חוק הרשות הלאומית לתרבות הג'והורי, התש"ף-2019</t>
  </si>
  <si>
    <t xml:space="preserve"> (פ/1255/22)</t>
  </si>
  <si>
    <t xml:space="preserve">הצעת חוק הרשויות המקומיות (ייעוד כספי הקצבות למטרות שירותי סידור חוץ-ביתי הולם לילדים), התש"ף-2019</t>
  </si>
  <si>
    <t xml:space="preserve"> (פ/1254/22)</t>
  </si>
  <si>
    <t xml:space="preserve">הצעת חוק חינוך ממלכתי (תיקון - שלילת השתתפות בתקציב עקב הפליה), התש"ף-2019</t>
  </si>
  <si>
    <t xml:space="preserve"> (פ/1253/22)</t>
  </si>
  <si>
    <t xml:space="preserve">הצעת חוק הגנת הצרכן (תיקון - סימון שינוי בכמות המצרך), התש"ף-2019</t>
  </si>
  <si>
    <t xml:space="preserve"> (פ/1252/22)</t>
  </si>
  <si>
    <t xml:space="preserve">הצעת חוק לשיפור השירות במגזר הציבורי ולמניעת התעמרות של עובדי הציבור בתושבי המדינה ובמגזר העסקי, התש"ף-2019</t>
  </si>
  <si>
    <t xml:space="preserve"> (פ/1251/22)</t>
  </si>
  <si>
    <t xml:space="preserve">הצעת חוק לשכת עורכי הדין (תיקון - בחינות מסכמות כתנאי להתמחות), התש"ף-2019</t>
  </si>
  <si>
    <t xml:space="preserve"> (פ/1250/22)</t>
  </si>
  <si>
    <t xml:space="preserve">הצעת חוק אוויר נקי (תיקון - איסור הפעלת מפוחים), התש"ף-2019</t>
  </si>
  <si>
    <t xml:space="preserve"> (פ/1249/22)</t>
  </si>
  <si>
    <t xml:space="preserve">הצעת חוק הביטוח הלאומי (תיקון - קצבת ילד נכה לילד עם תסמונת דאון), התש"ף-2019</t>
  </si>
  <si>
    <t xml:space="preserve"> (פ/1248/22)</t>
  </si>
  <si>
    <t xml:space="preserve">הצעת חוק הביטוח הלאומי (תיקון - הצמדת קצבת אזרח ותיק לשכר הממוצע במשק), התש"ף-2019</t>
  </si>
  <si>
    <t xml:space="preserve"> (פ/1247/22)</t>
  </si>
  <si>
    <t xml:space="preserve">הצעת חוק שירותי הדת היהודיים (תיקון - משך כהונת רב עיר), התש"ף-2019</t>
  </si>
  <si>
    <t xml:space="preserve"> (פ/1246/22)</t>
  </si>
  <si>
    <t xml:space="preserve">הצעת חוק הבחירות לכנסת (תיקון - הצבעה בקלפיות של בעלי מוגבלויות), התש"ף-2019</t>
  </si>
  <si>
    <t xml:space="preserve"> (פ/1245/22)</t>
  </si>
  <si>
    <t xml:space="preserve">הצעת חוק הגנה על עובדים בשעת חירום (תיקון - תשלום שכר עבודה לעובד שנעדר עקב סגירת מוסד הלימוד של ילדו), התש"ף-2019</t>
  </si>
  <si>
    <t xml:space="preserve"> (פ/1244/22)</t>
  </si>
  <si>
    <t xml:space="preserve">הצעת חוק הפחתת מחירים במתן שירותים ומכירת מוצרים על ידי גופים ציבוריים, התש"ף-2019</t>
  </si>
  <si>
    <t xml:space="preserve"> (פ/1243/22)</t>
  </si>
  <si>
    <t xml:space="preserve">הצעת חוק עבודת נשים (תיקון - הארכת תקופת לידה והורות להורי פג), התש"ף-2019</t>
  </si>
  <si>
    <t xml:space="preserve"> (פ/1242/22)</t>
  </si>
  <si>
    <t xml:space="preserve">הצעת חוק הרבנות הראשית לישראל (תיקון - סמכות בענייני גיור), התש"ף-2019</t>
  </si>
  <si>
    <t xml:space="preserve"> (פ/1241/22)</t>
  </si>
  <si>
    <t xml:space="preserve"> (פ/1240/22)</t>
  </si>
  <si>
    <t xml:space="preserve">הצעת חוק הגנת הצרכן (תיקון - מענה אנושי בשירות טלפוני לאזרח ותיק), התש"ף-2019</t>
  </si>
  <si>
    <t xml:space="preserve"> (פ/1239/22)</t>
  </si>
  <si>
    <t xml:space="preserve">הצעת חוק זכויות התלמיד (תיקון - איסור התניית זכות הלימוד בתשלום), התש"ף-2019</t>
  </si>
  <si>
    <t xml:space="preserve"> (פ/1238/22)</t>
  </si>
  <si>
    <t xml:space="preserve">הצעת חוק ביטוח בריאות ממלכתי (תיקון - מימון שירותי בריאות נוספים לאוכלוסיות מסוימות), התש"ף-2019</t>
  </si>
  <si>
    <t xml:space="preserve"> (פ/1237/22)</t>
  </si>
  <si>
    <t xml:space="preserve">הצעת חוק שירותי הדת היהודיים (תיקון - הנחה ברכישת קבר זוגי), התש"ף-2019</t>
  </si>
  <si>
    <t xml:space="preserve"> (פ/1236/22)</t>
  </si>
  <si>
    <t xml:space="preserve">הצעת חוק זכויות התלמיד (תיקון - הנחה בתחבורה ציבורית), התש"ף-2019</t>
  </si>
  <si>
    <t xml:space="preserve"> (פ/1235/22)</t>
  </si>
  <si>
    <t xml:space="preserve">הצעת חוק להסדרת הפיקוח על כלבים (תיקון - מרכז רישום ארצי), התש"ף-2019</t>
  </si>
  <si>
    <t xml:space="preserve"> (פ/1234/22)</t>
  </si>
  <si>
    <t xml:space="preserve">הצעת חוק ביטוח בריאות ממלכתי (תיקון - חיוב קופות החולים לשלב את רופאי השיניים בין נותני השירותים לקופות), התש"ף-2019</t>
  </si>
  <si>
    <t xml:space="preserve"> (פ/1233/22)</t>
  </si>
  <si>
    <t xml:space="preserve">הצעת חוק יישוב סכסוכי עבודה (תיקון - שביתה בבתי ספר יסודיים וגני ילדים ללא אישור בית הדין לעבודה), התש"ף-2019</t>
  </si>
  <si>
    <t xml:space="preserve"> (פ/1232/22)</t>
  </si>
  <si>
    <t xml:space="preserve">הצעת חוק חובת הודעה להורים על אי הגעת ילד למוסד חינוך או למעון יום (תיקוני חקיקה), התש"ף-2019</t>
  </si>
  <si>
    <t xml:space="preserve"> (פ/1231/22)</t>
  </si>
  <si>
    <t xml:space="preserve">הצעת חוק הגנת הצרכן (תיקון - הקלטת שיחות, שמירתן ומסירתן לצרכן), התש"ף-2019</t>
  </si>
  <si>
    <t xml:space="preserve"> (פ/1230/22)</t>
  </si>
  <si>
    <t xml:space="preserve">הצעת חוק שימוש חוזר במים אפורים, התש"ף-2019</t>
  </si>
  <si>
    <t xml:space="preserve"> (פ/1229/22)</t>
  </si>
  <si>
    <t xml:space="preserve"> (פ/1228/22)</t>
  </si>
  <si>
    <t xml:space="preserve">הצעת חוק הגנת הצרכן (תיקון - איסור התניית עסקה באופן תשלום), התש"ף-2019</t>
  </si>
  <si>
    <t xml:space="preserve"> (פ/1227/22)</t>
  </si>
  <si>
    <t xml:space="preserve">הצעת חוק יסודות התקציב (תיקון - הקצאת תקציבים ליישובים הדרוזים והצ'רקסים) (הוראת שעה), התש"ף-2019</t>
  </si>
  <si>
    <t xml:space="preserve"> (פ/1226/22)</t>
  </si>
  <si>
    <t xml:space="preserve">הצעת חוק להגדלת היצע הדירות לדיור בר השגה ולדיור ציבורי (עסקת קומבינציה), התש"ף-2019</t>
  </si>
  <si>
    <t xml:space="preserve"> (פ/1225/22)</t>
  </si>
  <si>
    <t xml:space="preserve">הצעת חוק הביטוח הלאומי (תיקון - תגמולים למתנדב בצוות חירום יישובי או שכונתי), התש"ף-2019</t>
  </si>
  <si>
    <t xml:space="preserve"> (פ/1224/22)</t>
  </si>
  <si>
    <t xml:space="preserve">הצעת חוק שירות הציבור (הגבלות לאחר פרישה) (תיקון - תקופת צינון לנושאי משרה בכירה בשירות הציבור), התש"ף-2019</t>
  </si>
  <si>
    <t xml:space="preserve"> (פ/1223/22)</t>
  </si>
  <si>
    <t xml:space="preserve">הצעת חוק הפסיכולוגים (תיקון - איסור טיפולי המרה), התש"ף-2019</t>
  </si>
  <si>
    <t xml:space="preserve"> (פ/1222/22)</t>
  </si>
  <si>
    <t xml:space="preserve"> (פ/1221/22)</t>
  </si>
  <si>
    <t xml:space="preserve">הצעת חוק ההוצאה לפועל (תיקון - הודעה לחייב בטרם הגשת בקשה לביצוע משכנתה), התש"ף-2019</t>
  </si>
  <si>
    <t xml:space="preserve"> (פ/1220/22)</t>
  </si>
  <si>
    <t xml:space="preserve">הצעת חוק הקמת מערכת סולארית בבית משותף שהוקם במסגרת עסקת פינוי ובינוי, התש"ף-2019</t>
  </si>
  <si>
    <t xml:space="preserve"> (פ/1219/22)</t>
  </si>
  <si>
    <t xml:space="preserve">הצעת חוק פיקוח על מחירי מצרכים ושירותים (תיקון - קביעת ההפרש בין מחיר מצרך לצרכן ומחיר מצרך לקמעונאי כרווח מרבי), התש"ף-2019</t>
  </si>
  <si>
    <t xml:space="preserve"> (פ/1218/22)</t>
  </si>
  <si>
    <t xml:space="preserve">הצעת חוק הבטחת הכנסה (תיקון - החרגת תוספת ותק מהכנסה), התש"ף-2019</t>
  </si>
  <si>
    <t xml:space="preserve"> (פ/1217/22)</t>
  </si>
  <si>
    <t xml:space="preserve">הצעת חוק סביבה בטוחה ונקייה מאלרגנים במוסדות חינוך (תיקוני חקיקה), התש"ף-2019</t>
  </si>
  <si>
    <t xml:space="preserve"> (פ/1216/22)</t>
  </si>
  <si>
    <t xml:space="preserve">הצעת חוק הבנקאות (שירות ללקוח) (תיקון - ריבית על יתרת זכות), התש"ף-2019</t>
  </si>
  <si>
    <t xml:space="preserve"> (פ/1215/22)</t>
  </si>
  <si>
    <t xml:space="preserve">הצעת חוק הנגשת מוקדי פניות חירום באמצעות שיחוח ומסרון, התש"ף-2019</t>
  </si>
  <si>
    <t xml:space="preserve"> (פ/1214/22)</t>
  </si>
  <si>
    <t xml:space="preserve">הצעת חוק החברות (תיקון - עסק חברתי), התש"ף-2019</t>
  </si>
  <si>
    <t xml:space="preserve"> (פ/1213/22)</t>
  </si>
  <si>
    <t xml:space="preserve"> (פ/1212/22)</t>
  </si>
  <si>
    <t xml:space="preserve">הצעת חוק לתיקון פקודת בריאות העם (סמכות לקביעת כללים למתן רישיון למכשירים רפואיים מיוחדים) (הוראת שעה), התש"ף-2019</t>
  </si>
  <si>
    <t xml:space="preserve"> (פ/1211/22)</t>
  </si>
  <si>
    <t xml:space="preserve">הצעת חוק הדיור הציבורי (פתרונות דיור עבור ממתינים לדיור ציבורי), התש"ף-2019</t>
  </si>
  <si>
    <t xml:space="preserve"> (פ/1210/22)</t>
  </si>
  <si>
    <t xml:space="preserve">הצעת חוק כרטיסי חיוב (תיקון - ביטול חיוב באשראי בשל עסקה עם ספק מפר), התש"ף-2019</t>
  </si>
  <si>
    <t xml:space="preserve"> (פ/1209/22)</t>
  </si>
  <si>
    <t xml:space="preserve">הצעת חוק שעות עבודה ומנוחה (תיקון - עסקים בתחום ההסעדה והבילוי), התש"ף-2019</t>
  </si>
  <si>
    <t xml:space="preserve"> (פ/1208/22)</t>
  </si>
  <si>
    <t xml:space="preserve"> (פ/1207/22)</t>
  </si>
  <si>
    <t xml:space="preserve">הצעת חוק מדד לזכות לקיום אנושי בכבוד, התש"ף-2019</t>
  </si>
  <si>
    <t xml:space="preserve"> (פ/1206/22)</t>
  </si>
  <si>
    <t xml:space="preserve">הצעת חוק-יסוד: הכנסת (תיקון - ביטול ההגבלה על חבר כנסת בעל אזרחות כפולה)</t>
  </si>
  <si>
    <t xml:space="preserve"> (פ/1205/22)</t>
  </si>
  <si>
    <t xml:space="preserve">הצעת חוק הביטוח הלאומי (תיקון - הגדלת קצבת הנכות), התש"ף-2019</t>
  </si>
  <si>
    <t xml:space="preserve"> (פ/1204/22)</t>
  </si>
  <si>
    <t xml:space="preserve"> (פ/1203/22)</t>
  </si>
  <si>
    <t xml:space="preserve">02.12.2019</t>
  </si>
  <si>
    <t xml:space="preserve"> (פ/1202/22)</t>
  </si>
  <si>
    <t xml:space="preserve">הצעת חוק צער בעלי חיים (ניסויים בבעלי חיים) (תיקון - הגברת הפיקוח על ניסויים), התש"ף-2019</t>
  </si>
  <si>
    <t xml:space="preserve"> (פ/1201/22)</t>
  </si>
  <si>
    <t xml:space="preserve">הצעת חוק הסכמי קדם נישואים, התש"ף-2019</t>
  </si>
  <si>
    <t xml:space="preserve"> (פ/1200/22)</t>
  </si>
  <si>
    <t xml:space="preserve">הצעת חוק לתיקון פקודת מס הכנסה (ניכוי הוצאות החזקת רכב), התש"ף-2019</t>
  </si>
  <si>
    <t xml:space="preserve"> (פ/1199/22)</t>
  </si>
  <si>
    <t xml:space="preserve">הצעת חוק החלת תקצוב מגדרי על תקציבים ציבוריים בישראל, התש"ף-2019</t>
  </si>
  <si>
    <t xml:space="preserve"> (פ/1198/22)</t>
  </si>
  <si>
    <t xml:space="preserve">הצעת חוק לתיקון פקודת מס הכנסה (ביטול מס בגין זקיפה סלולרית), התש"ף-2019</t>
  </si>
  <si>
    <t xml:space="preserve"> (פ/1197/22)</t>
  </si>
  <si>
    <t xml:space="preserve">הצעת חוק לימוד חובה (תיקון - יועץ חינוכי בכל מוסד חינוך), התש"ף-2019</t>
  </si>
  <si>
    <t xml:space="preserve"> (פ/1196/22)</t>
  </si>
  <si>
    <t xml:space="preserve">הצעת חוק לתיקון פקודת מסי העירייה ומסי הממשלה (פטורין) (פטור מארנונה למעונות סטודנטים), התש"ף-2019</t>
  </si>
  <si>
    <t xml:space="preserve"> (פ/1195/22)</t>
  </si>
  <si>
    <t xml:space="preserve">הצעת חוק קרן לאזרחי ישראל (תיקון - צמצום אי השוויון החברתי-כלכלי בישראל), התש"ף-2019</t>
  </si>
  <si>
    <t xml:space="preserve"> (פ/1194/22)</t>
  </si>
  <si>
    <t xml:space="preserve">הצעת חוק העונשין (תיקון - פיצויים לזכאי במשפט חוזר ובערעור בבית המשפט העליון), התש"ף-2019</t>
  </si>
  <si>
    <t xml:space="preserve"> (פ/1193/22)</t>
  </si>
  <si>
    <t xml:space="preserve">הצעת חוק הביטוח הלאומי (תיקון - חובת נוכחות מתורגמן בדיוני ועדה רפואית), התש"ף-2019</t>
  </si>
  <si>
    <t xml:space="preserve"> (פ/1192/22)</t>
  </si>
  <si>
    <t xml:space="preserve"> (פ/1191/22)</t>
  </si>
  <si>
    <t xml:space="preserve">הצעת חוק הקצאת דירות שנבנו במסגרת תכנית מחיר למשתכן למחוסרי דיור או לדיור הציבורי, התש"ף-2019</t>
  </si>
  <si>
    <t xml:space="preserve"> (פ/1190/22)</t>
  </si>
  <si>
    <t xml:space="preserve">הצעת חוק להנצחת זכרה של גולדה מאיר, התש"ף-2019</t>
  </si>
  <si>
    <t xml:space="preserve"> (פ/1189/22)</t>
  </si>
  <si>
    <t xml:space="preserve">הצעת חוק חוזה הביטוח (תיקון - ביטוח סיעודי לפעוטות), התש"ף-2019</t>
  </si>
  <si>
    <t xml:space="preserve"> (פ/1188/22)</t>
  </si>
  <si>
    <t xml:space="preserve">הצעת חוק המרכז להנצחת מורשתו של הנשיא יצחק נבון, התש"ף-2019</t>
  </si>
  <si>
    <t xml:space="preserve"> (פ/1187/22)</t>
  </si>
  <si>
    <t xml:space="preserve">הצעת חוק בנק הזרע (הזרעות והפריות חוץ בבני זוג פרודים), התש"ף-2019</t>
  </si>
  <si>
    <t xml:space="preserve"> (פ/1186/22)</t>
  </si>
  <si>
    <t xml:space="preserve">הצעת חוק הנוער (שפיטה, ענישה ודרכי טיפול) (תיקון מס' 22 - הוראת שעה) (תיקון - ענישת קטין שהורשע בנסיבות טרור כהוראת קבע), התש"ף-2019</t>
  </si>
  <si>
    <t xml:space="preserve"> (פ/1185/22)</t>
  </si>
  <si>
    <t xml:space="preserve">הצעת חוק חדלות פירעון ושיקום כלכלי (תיקון - מתן זכות קדימה לנפגע תקיפה מינית), התש"ף-2019</t>
  </si>
  <si>
    <t xml:space="preserve"> (פ/1184/22)</t>
  </si>
  <si>
    <t xml:space="preserve">הצעת חוק שיווי זכויות האישה (תיקון - ייצוג הולם לנשים במקום העבודה), התש"ף-2019</t>
  </si>
  <si>
    <t xml:space="preserve"> (פ/1183/22)</t>
  </si>
  <si>
    <t xml:space="preserve">הצעת חוק חובת המכרזים (תיקון - העדפת רכב ידידותי לסביבה), התש"ף-2019</t>
  </si>
  <si>
    <t xml:space="preserve"> (פ/1182/22)</t>
  </si>
  <si>
    <t xml:space="preserve">הצעת חוק תהליך קבלת החלטות בעניין הסכמי סחר בין-לאומיים, התש"ף-2019</t>
  </si>
  <si>
    <t xml:space="preserve"> (פ/1181/22)</t>
  </si>
  <si>
    <t xml:space="preserve">הצעת חוק ביטוח בריאות ממלכתי (תיקון - תוספת שנתית לסל שירותי הבריאות), התש"ף-2019</t>
  </si>
  <si>
    <t xml:space="preserve"> (פ/1180/22)</t>
  </si>
  <si>
    <t xml:space="preserve">הצעת חוק ביטוח בריאות ממלכתי (תיקון - שירותי בריאות נוספים לשוהים במוסדות לילדים ונוער בסיכון), התש"ף-2019</t>
  </si>
  <si>
    <t xml:space="preserve"> (פ/1179/22)</t>
  </si>
  <si>
    <t xml:space="preserve">הצעת חוק הגבלת אשראי למקבלי שירות מאמנים, עיתונאים ומרצים, התש"ף-2019</t>
  </si>
  <si>
    <t xml:space="preserve"> (פ/1178/22)</t>
  </si>
  <si>
    <t xml:space="preserve">הצעת חוק חופשה שנתית (תיקון - חופשת הורה בגיוס ילדו), התש"ף-2019</t>
  </si>
  <si>
    <t xml:space="preserve"> (פ/1177/22)</t>
  </si>
  <si>
    <t xml:space="preserve">הצעת חוק ביטוח בריאות ממלכתי (תיקון - זכויות לשירותי בריאות לכל ילד הנמצא בישראל), התש"ף-2019</t>
  </si>
  <si>
    <t xml:space="preserve"> (פ/1176/22)</t>
  </si>
  <si>
    <t xml:space="preserve">הצעת חוק הפיקוח על שירותים פיננסיים (קופות גמל) (תיקון - השקעה של גוף מוסדי בתעשייה עתירת ידע בישראל), התש"ף-2019</t>
  </si>
  <si>
    <t xml:space="preserve"> (פ/1175/22)</t>
  </si>
  <si>
    <t xml:space="preserve"> (פ/1174/22)</t>
  </si>
  <si>
    <t xml:space="preserve">הצעת חוק ביטוח בריאות ממלכתי (תיקון - חיזוק הרפואה הציבורית), התש"ף-2019</t>
  </si>
  <si>
    <t xml:space="preserve"> (פ/1173/22)</t>
  </si>
  <si>
    <t xml:space="preserve">הצעת חוק ההוצאה לפועל (תיקון - הגבלת רישיון נהיגה), התש"ף-2019</t>
  </si>
  <si>
    <t xml:space="preserve"> (פ/1172/22)</t>
  </si>
  <si>
    <t xml:space="preserve">הצעת חוק שוויון ההזדמנויות בעבודה (תיקון - עצמאות נציבות שוויון ההזדמנויות בעבודה), התש"ף-2019</t>
  </si>
  <si>
    <t xml:space="preserve"> (פ/1171/22)</t>
  </si>
  <si>
    <t xml:space="preserve">הצעת חוק הסדרים במשק המדינה (תיקוני חקיקה להשגת יעדי התקציב) (תיקון - הנחה מארנונה לעסק חדש בשנת פעילותו הראשונה), התש"ף-2019</t>
  </si>
  <si>
    <t xml:space="preserve"> (פ/1170/22)</t>
  </si>
  <si>
    <t xml:space="preserve">הצעת חוק רשות מקרקעי ישראל (תיקון - החכר מימוני לדירות), התש"ף-2019</t>
  </si>
  <si>
    <t xml:space="preserve"> (פ/1169/22)</t>
  </si>
  <si>
    <t xml:space="preserve">הצעת חוק לעידוד השקעות הון (תיקון - הקלה בתנאי סף למפעל קטן) (הוראת שעה), התש"ף-2019</t>
  </si>
  <si>
    <t xml:space="preserve"> (פ/1168/22)</t>
  </si>
  <si>
    <t xml:space="preserve">הצעת חוק שכר מינימום (תיקון - תוספת שלא תובא בחשבון בשכר המינימום), התש"ף-2019</t>
  </si>
  <si>
    <t xml:space="preserve"> (פ/1167/22)</t>
  </si>
  <si>
    <t xml:space="preserve">הצעת חוק שיווי זכויות האישה (תיקון - ייצוג הולם לנשים בוועדות ובדירקטוריונים בשלטון המקומי), התש"ף-2019</t>
  </si>
  <si>
    <t xml:space="preserve"> (פ/1166/22)</t>
  </si>
  <si>
    <t xml:space="preserve">הצעת חוק הגנת הצרכן (תיקון - איסור גביית עמלה בהרשאה לחיוב חשבון בהוראת קבע), התש"ף-2019</t>
  </si>
  <si>
    <t xml:space="preserve"> (פ/1165/22)</t>
  </si>
  <si>
    <t xml:space="preserve">הצעת חוק הנצחת זכרם של קורבנות הטבח בכפר קאסם, התש"ף-2019</t>
  </si>
  <si>
    <t xml:space="preserve"> (פ/1164/22)</t>
  </si>
  <si>
    <t xml:space="preserve">הצעת חוק-יסוד: כבוד האדם וחירותו (תיקון - הוספת עקרון השוויון)</t>
  </si>
  <si>
    <t xml:space="preserve"> (פ/1163/22)</t>
  </si>
  <si>
    <t xml:space="preserve">הצעת חוק שיווי זכויות האישה (תיקון - ייצוג הולם לנשים בוועדות ציבוריות ברשויות המקומיות), התש"ף-2019</t>
  </si>
  <si>
    <t xml:space="preserve"> (פ/1162/22)</t>
  </si>
  <si>
    <t xml:space="preserve">הצעת חוק הגנת הצרכן (תיקון - מגבלות על חיוב חשבון של צרכן בתשלומים), התש"ף-2019</t>
  </si>
  <si>
    <t xml:space="preserve"> (פ/1161/22)</t>
  </si>
  <si>
    <t xml:space="preserve">הצעת חוק הגנת הצרכן (תיקון - סימון תאריך ייצור ומועד תפוגה עברי), התש"ף-2019</t>
  </si>
  <si>
    <t xml:space="preserve"> (פ/1160/22)</t>
  </si>
  <si>
    <t xml:space="preserve">הצעת חוק הגנת הפרטיות (תיקון - מינוי נציג רשמי), התש"ף-2019</t>
  </si>
  <si>
    <t xml:space="preserve"> (פ/1159/22)</t>
  </si>
  <si>
    <t xml:space="preserve">הצעת חוק לתיקון פקודת התעבורה (פיצוי למתלונן), התש"ף-2019</t>
  </si>
  <si>
    <t xml:space="preserve"> (פ/1158/22)</t>
  </si>
  <si>
    <t xml:space="preserve">הצעת חוק הגנת הצרכן (תיקון - הארכת תקופת האחריות), התש"ף-2019</t>
  </si>
  <si>
    <t xml:space="preserve"> (פ/1157/22)</t>
  </si>
  <si>
    <t xml:space="preserve">הצעת חוק לתיקון פקודת הסמים המסוכנים (שידול לייבוא או ייצוא חומר הנחשב לסם בחו"ל), התש"ף-2019</t>
  </si>
  <si>
    <t xml:space="preserve"> (פ/1156/22)</t>
  </si>
  <si>
    <t xml:space="preserve">הצעת חוק איסור פרסום והפצת שמות נפגעים, התש"ף-2019</t>
  </si>
  <si>
    <t xml:space="preserve"> (פ/1155/22)</t>
  </si>
  <si>
    <t xml:space="preserve">הצעת חוק לתיקון פקודת הראיות (דרישת הסיוע להרשעה על פי הודיה), התש"ף-2019</t>
  </si>
  <si>
    <t xml:space="preserve"> (פ/1154/22)</t>
  </si>
  <si>
    <t xml:space="preserve">הצעת חוק חוזה הביטוח (תיקון - הארכת תקופת התיישנות), התש"ף-2019</t>
  </si>
  <si>
    <t xml:space="preserve"> (פ/1153/22)</t>
  </si>
  <si>
    <t xml:space="preserve">הצעת חוק ההוצאה לפועל (תיקון - ביטול הגבלת רישיון נהיגה), התש"ף-2019</t>
  </si>
  <si>
    <t xml:space="preserve"> (פ/1152/22)</t>
  </si>
  <si>
    <t xml:space="preserve">הצעת חוק הביטוח הלאומי (תיקון - הצמדת קצבת אזרח ותיק לשכר הממוצע לפחות), התש"ף-2019</t>
  </si>
  <si>
    <t xml:space="preserve"> (פ/1151/22)</t>
  </si>
  <si>
    <t xml:space="preserve">הצעת חוק זכות ייצוג לקטין המתנגד לאשפוז פסיכיאטרי (תיקוני חקיקה), התש"ף-2019</t>
  </si>
  <si>
    <t xml:space="preserve"> (פ/1150/22)</t>
  </si>
  <si>
    <t xml:space="preserve"> (פ/1149/22)</t>
  </si>
  <si>
    <t xml:space="preserve">הצעת חוק ההוצאה לפועל (תיקון - מגבלת רישיון נהיגה), התש"ף-2019</t>
  </si>
  <si>
    <t xml:space="preserve"> (פ/1148/22)</t>
  </si>
  <si>
    <t xml:space="preserve">הצעת חוק ארוחה יומית לתלמיד (תיקון - הרחבת תחולת החוק), התש"ף-2019</t>
  </si>
  <si>
    <t xml:space="preserve"> (פ/1147/22)</t>
  </si>
  <si>
    <t xml:space="preserve"> (פ/1146/22)</t>
  </si>
  <si>
    <t xml:space="preserve">הצעת חוק מרשם האוכלוסין (תיקון - רישום חסר דת), התש"ף-2019</t>
  </si>
  <si>
    <t xml:space="preserve"> (פ/1145/22)</t>
  </si>
  <si>
    <t xml:space="preserve">הצעת חוק התכנון והבנייה (תיקון - שיעור היטל השבחה), התש"ף-2019.</t>
  </si>
  <si>
    <t xml:space="preserve"> (פ/1144/22)</t>
  </si>
  <si>
    <t xml:space="preserve">הצעת חוק התכנון והבנייה (תיקון - חיבור חשמל מטעמים הומניטריים), התש"ף-2019</t>
  </si>
  <si>
    <t xml:space="preserve"> (פ/1143/22)</t>
  </si>
  <si>
    <t xml:space="preserve">הצעת חוק לתיקון פקודת המועצות המקומיות (חובת קריאת שמות רחובות), התש"ף-2019</t>
  </si>
  <si>
    <t xml:space="preserve"> (פ/1142/22)</t>
  </si>
  <si>
    <t xml:space="preserve">הצעת חוק התפזרות הכנסת העשרים ושתיים, התש"ף-2019</t>
  </si>
  <si>
    <t xml:space="preserve"> (פ/1141/22)</t>
  </si>
  <si>
    <t xml:space="preserve">הצעת חוק יחסי ממון בין בני זוג (תיקון - הפקעת זכות האיזון מבן זוג שהורשע ברצח בן הזוג השני), התש"ף-2019</t>
  </si>
  <si>
    <t xml:space="preserve"> (פ/1140/22)</t>
  </si>
  <si>
    <t xml:space="preserve">הצעת חוק בתי המשפט (תיקון - שימוע ובחירות חשאיות לשופטי בית המשפט העליון), התש"ף-2019</t>
  </si>
  <si>
    <t xml:space="preserve"> (פ/1139/22)</t>
  </si>
  <si>
    <t xml:space="preserve">הצעת חוק החזר גביית יתר (תיקוני חקיקה), התש"ף-2019</t>
  </si>
  <si>
    <t xml:space="preserve"> (פ/1138/22)</t>
  </si>
  <si>
    <t xml:space="preserve">הצעת חוק לתיקון פקודת התעבורה (שירותי תחבורה ציבורית ללא תשלום), התש"ף-2019</t>
  </si>
  <si>
    <t xml:space="preserve"> (פ/1137/22)</t>
  </si>
  <si>
    <t xml:space="preserve">הצעת חוק החינוך המוסיקלי בישראל, התש"ף-2019</t>
  </si>
  <si>
    <t xml:space="preserve"> (פ/1136/22)</t>
  </si>
  <si>
    <t xml:space="preserve"> (פ/1135/22)</t>
  </si>
  <si>
    <t xml:space="preserve">הצעת חוק לתיקון פקודת התעבורה (הגבלת מתן רישיון נהיגה לטרקטורון), התש"ף-2019 </t>
  </si>
  <si>
    <t xml:space="preserve"> (פ/1134/22)</t>
  </si>
  <si>
    <t xml:space="preserve">הצעת חוק הגנה על עובדים (חשיפת עבירות ופגיעה בטוהר המידות או במינהל התקין) (תיקון - הגדלת סכום הפיצוי שאינו תלוי בנזק ושינוי נטל ההוכחה), התש"ף-2019</t>
  </si>
  <si>
    <t xml:space="preserve"> (פ/1133/22)</t>
  </si>
  <si>
    <t xml:space="preserve">הצעת חוק השיפוט הצבאי (תיקון - סייג לגרימת מוות בפעילות מבצעית), התש"ף-2019</t>
  </si>
  <si>
    <t xml:space="preserve"> (פ/1132/22)</t>
  </si>
  <si>
    <t xml:space="preserve">הצעת חוק חניה לנכים (תיקון - תג נכה אישי), התש"ף-2019</t>
  </si>
  <si>
    <t xml:space="preserve"> (פ/1131/22)</t>
  </si>
  <si>
    <t xml:space="preserve">הצעת חוק לתיקון פקודת מס הכנסה (פטור ממס בגין משיכה הונית מקופת גמל), התש"ף-2019</t>
  </si>
  <si>
    <t xml:space="preserve"> (פ/1130/22)</t>
  </si>
  <si>
    <t xml:space="preserve">הצעת חוק הביטוח הלאומי (תיקון - דמי לידה לעצמאיות - מתן זכות לעבודה חלקית), התש"ף-2019</t>
  </si>
  <si>
    <t xml:space="preserve"> (פ/1129/22)</t>
  </si>
  <si>
    <t xml:space="preserve">הצעת חוק לתיקון פקודת מס הכנסה (ניכוי תשלומים לעצמאים), התש"ף-2019</t>
  </si>
  <si>
    <t xml:space="preserve"> (פ/1128/22)</t>
  </si>
  <si>
    <t xml:space="preserve">הצעת חוק חינוך פיננסי, התש"ף-2019</t>
  </si>
  <si>
    <t xml:space="preserve"> (פ/1127/22)</t>
  </si>
  <si>
    <t xml:space="preserve">הצעת חוק שירותי הדת היהודיים (תיקון - דין משמעתי לרבני ערים), התש"ף-2019</t>
  </si>
  <si>
    <t xml:space="preserve"> (פ/1126/22)</t>
  </si>
  <si>
    <t xml:space="preserve">הצעת חוק המועצה הישראלית לצרכנות (תיקון - ודאות תקציבית), התש"ף-2019</t>
  </si>
  <si>
    <t xml:space="preserve"> (פ/1125/22)</t>
  </si>
  <si>
    <t xml:space="preserve">הצעת חוק איסור פרסומת והגבלת השיווק של מוצרי טבק ועישון (תיקון - פרסומות מנע של חברות הטבק), התש"ף-2019</t>
  </si>
  <si>
    <t xml:space="preserve"> (פ/1124/22)</t>
  </si>
  <si>
    <t xml:space="preserve">הצעת חוק הפיקוח על מעונות יום לפעוטות (תיקון - חובת החזקת ערכת עזרה ראשונה), התש"ף-2019</t>
  </si>
  <si>
    <t xml:space="preserve"> (פ/1123/22)</t>
  </si>
  <si>
    <t xml:space="preserve">הצעת חוק הבטחת הכנסה (תיקון - הגדלת הסכום שלא יובא בחשבון), התש"ף-2019</t>
  </si>
  <si>
    <t xml:space="preserve"> (פ/1122/22)</t>
  </si>
  <si>
    <t xml:space="preserve">הצעת חוק סייעות במוסדות חינוך, התש"ף-2019</t>
  </si>
  <si>
    <t xml:space="preserve"> (פ/1121/22)</t>
  </si>
  <si>
    <t xml:space="preserve">הצעת חוק סבסוד קייטנות להורים עובדים בפריפריה, התש"ף-2019</t>
  </si>
  <si>
    <t xml:space="preserve"> (פ/1120/22)</t>
  </si>
  <si>
    <t xml:space="preserve">הצעת חוק לתיקון פקודת מס הכנסה (ניכוי סכומים שהוצאו לצורך טיפול בילד), התש"ף-2019</t>
  </si>
  <si>
    <t xml:space="preserve"> (פ/1119/22)</t>
  </si>
  <si>
    <t xml:space="preserve">הצעת חוק הביטוח הלאומי (תיקון - החרגת כספי פנסיה ממדינת חוץ בחישוב הכנסה), התש"ף-2019</t>
  </si>
  <si>
    <t xml:space="preserve"> (פ/1118/22)</t>
  </si>
  <si>
    <t xml:space="preserve">הצעת חוק הביטוח הלאומי (תיקון - דמי פגיעה לעצמאי), התש"ף-2019</t>
  </si>
  <si>
    <t xml:space="preserve"> (פ/1117/22)</t>
  </si>
  <si>
    <t xml:space="preserve">הצעת חוק הביטוח הלאומי (תיקון - קצבת תלויים וקצבת אזרח ותיק), התש"ף-2019</t>
  </si>
  <si>
    <t xml:space="preserve"> (פ/1116/22)</t>
  </si>
  <si>
    <t xml:space="preserve">הצעת חוק שירותי תעופה (פיצוי וסיוע בשל ביטול טיסה או שינוי בתנאיה) (תיקון - שינוי זמני העיכוב המזכים בהחזר כספי או בכרטיס טיסה חלופי), התש"ף-2019</t>
  </si>
  <si>
    <t xml:space="preserve"> (פ/1115/22)</t>
  </si>
  <si>
    <t xml:space="preserve">הצעת חוק ביטוח בריאות ממלכתי (תיקון - רפואת שיניים לאנשים שמלאו להם 60 שנים), התש"ף-2019</t>
  </si>
  <si>
    <t xml:space="preserve"> (פ/1114/22)</t>
  </si>
  <si>
    <t xml:space="preserve">הצעת חוק שירות הציבור (הגבלות לאחר פרישה) (תיקון - תקופת צינון של עובדי אגף התקציבים במשרד האוצר במעבר למגזר הפרטי), התש"ף-2019</t>
  </si>
  <si>
    <t xml:space="preserve"> (פ/1113/22)</t>
  </si>
  <si>
    <t xml:space="preserve">הצעת חוק האזרחים הוותיקים (תיקון - פטור מתשלום עבור שמירת מקום ישיבה בתחבורה ציבורית), התש"ף-2019</t>
  </si>
  <si>
    <t xml:space="preserve"> (פ/1112/22)</t>
  </si>
  <si>
    <t xml:space="preserve">הצעת חוק הביטוח הלאומי (תיקון - זכאות לקבלת קצבת אזרח ותיק מלאה), התש"ף-2019</t>
  </si>
  <si>
    <t xml:space="preserve"> (פ/1111/22)</t>
  </si>
  <si>
    <t xml:space="preserve">הצעת חוק הבטחת הכנסה (תיקון - גמלה לאם חד-הורית), התש"ף-2019</t>
  </si>
  <si>
    <t xml:space="preserve"> (פ/1110/22)</t>
  </si>
  <si>
    <t xml:space="preserve">הצעת חוק שירותי תעופה (פיצוי וסיוע בשל ביטול טיסה או שינוי בתנאיה) (תיקון - פיצוי במקרה של איחור בטיסה), התש"ף-2019</t>
  </si>
  <si>
    <t xml:space="preserve"> (פ/1109/22)</t>
  </si>
  <si>
    <t xml:space="preserve">הצעת חוק בתי דין רבניים (קיום פסקי דין של גירושין) (תיקון - חובת דיון בהטלת מאסר על סרבן גט), התש"ף-2019</t>
  </si>
  <si>
    <t xml:space="preserve"> (פ/1108/22)</t>
  </si>
  <si>
    <t xml:space="preserve">הצעת חוק צער בעלי חיים (הגנה על בעלי חיים) (תיקון - איסור ניצול בעלי חיים למטרות הימורים), התש"ף-2019</t>
  </si>
  <si>
    <t xml:space="preserve"> (פ/1107/22)</t>
  </si>
  <si>
    <t xml:space="preserve">הצעת חוק להסדרה ועידוד של מקצוע ההוראה, התש"ף-2019</t>
  </si>
  <si>
    <t xml:space="preserve"> (פ/1106/22)</t>
  </si>
  <si>
    <t xml:space="preserve"> (פ/1105/22)</t>
  </si>
  <si>
    <t xml:space="preserve">הצעת חוק טיפול בחולי נפש (תיקון - בחירת מקום אשפוז), התש"ף-2019</t>
  </si>
  <si>
    <t xml:space="preserve"> (פ/1104/22)</t>
  </si>
  <si>
    <t xml:space="preserve">הצעת חוק הביטוח הלאומי (תיקון - גמלה לשמירת הריון לאם שילדה פג), התש"ף-2019</t>
  </si>
  <si>
    <t xml:space="preserve"> (פ/1103/22)</t>
  </si>
  <si>
    <t xml:space="preserve">הצעת חוק הבטחת הכנסה (תיקון - מסגרת שיקומית מזנות), התש"ף-2019</t>
  </si>
  <si>
    <t xml:space="preserve"> (פ/1102/22)</t>
  </si>
  <si>
    <t xml:space="preserve">הצעת חוק למתן פטור מבחינות לרופאים ולעוסקים במקצועות הבריאות ממדינות מסוימות בחוץ לארץ בעלי ניסיון של חמש שנים (תיקוני חקיקה), התש"ף-2019</t>
  </si>
  <si>
    <t xml:space="preserve"> (פ/1101/22)</t>
  </si>
  <si>
    <t xml:space="preserve">הצעת חוק למניעת אלימות במשפחה (תיקון - תכניות ומרכזי טיפול באלימות במשפחה), התש"ף-2019</t>
  </si>
  <si>
    <t xml:space="preserve"> (פ/1100/22)</t>
  </si>
  <si>
    <t xml:space="preserve">הצעת חוק המועצה הלאומית לחינוך, התש"ף-2019 </t>
  </si>
  <si>
    <t xml:space="preserve"> (פ/1099/22)</t>
  </si>
  <si>
    <t xml:space="preserve">הצעת חוק לתיקון פקודת התעבורה (שירות טלפוני לדיווח ולקבלת תלונות על עבירות תעבורה או נהיגה מסוכנת של נהג אוטובוס), התש"ף-2019</t>
  </si>
  <si>
    <t xml:space="preserve"> (פ/1098/22)</t>
  </si>
  <si>
    <t xml:space="preserve">הצעת חוק הלוואות לדיור (תיקון - שוויון בזכאות לבני זוג מאותו המין), התש"ף-2019</t>
  </si>
  <si>
    <t xml:space="preserve"> (פ/1097/22)</t>
  </si>
  <si>
    <t xml:space="preserve">הצעת חוק לתיקון פקודת בריאות העם (מדיניות חיסונים לאומית ותמריצים להתחסנות), התש"ף-2019</t>
  </si>
  <si>
    <t xml:space="preserve"> (פ/1096/22)</t>
  </si>
  <si>
    <t xml:space="preserve">הצעת חוק הגנת השכר (תיקון - התיישנות), התש"ף-2019</t>
  </si>
  <si>
    <t xml:space="preserve"> (פ/1095/22)</t>
  </si>
  <si>
    <t xml:space="preserve">הצעת חוק קליטת חיילים משוחררים (תיקון - מימון שכר לימוד לחיילים), התש"ף-2019</t>
  </si>
  <si>
    <t xml:space="preserve"> (פ/1094/22)</t>
  </si>
  <si>
    <t xml:space="preserve">הצעת חוק קליטת חיילים משוחררים (תיקון - עידוד לימודי נהיגה), התש"ף-2019</t>
  </si>
  <si>
    <t xml:space="preserve"> (פ/1093/22)</t>
  </si>
  <si>
    <t xml:space="preserve">הצעת חוק הביטוח הלאומי (תיקון - הוספת ענפי ההסעדה והאבטחה ביישובי הגליל והנגב לרשימת העבודות המועדפות), התש"ף-2019</t>
  </si>
  <si>
    <t xml:space="preserve"> (פ/1092/22)</t>
  </si>
  <si>
    <t xml:space="preserve">הצעת חוק הביטוח הלאומי (תיקון - קצבת שאירים למי שמנהל משק בית משותף), התש"ף-2019</t>
  </si>
  <si>
    <t xml:space="preserve"> (פ/1091/22)</t>
  </si>
  <si>
    <t xml:space="preserve">הצעת חוק שיקים ללא כיסוי (תיקון - מניעת הגבלת חשבון בעת שירות מילואים), התש"ף-2019</t>
  </si>
  <si>
    <t xml:space="preserve"> (פ/1090/22)</t>
  </si>
  <si>
    <t xml:space="preserve">הצעת חוק הדיור הציבורי (הגדלת המלאי), התש"ף-2019</t>
  </si>
  <si>
    <t xml:space="preserve"> (פ/1089/22)</t>
  </si>
  <si>
    <t xml:space="preserve">הצעת חוק שירותי הדת היהודיים (מועצות דתיות - בחירות), התש"ף-2019</t>
  </si>
  <si>
    <t xml:space="preserve"> (פ/1088/22)</t>
  </si>
  <si>
    <t xml:space="preserve">הצעת חוק הספורט (תיקון - זכויות ספורטאי בוגר), התש"ף-2019</t>
  </si>
  <si>
    <t xml:space="preserve"> (פ/1087/22)</t>
  </si>
  <si>
    <t xml:space="preserve">הצעת חוק עבודת נשים (תיקון - אובדן הריון), התש"ף-2019</t>
  </si>
  <si>
    <t xml:space="preserve"> (פ/1086/22)</t>
  </si>
  <si>
    <t xml:space="preserve">הצעת חוק המועצה להשכלה גבוהה (תיקון - איסור הגבלת גיל במוסד להשכלה גבוהה), התש"ף-2019</t>
  </si>
  <si>
    <t xml:space="preserve"> (פ/1085/22)</t>
  </si>
  <si>
    <t xml:space="preserve">הצעת חוק תקצוב מיוחד לרשויות חינוך מקומיות מרוחקות, התש"ף-2019</t>
  </si>
  <si>
    <t xml:space="preserve"> (פ/1084/22)</t>
  </si>
  <si>
    <t xml:space="preserve">הצעת חוק רשות מקרקעי ישראל (תיקון - העדפת בני מקום בשיווק קרקעות בפריפריה), התש"ף-2019</t>
  </si>
  <si>
    <t xml:space="preserve"> (פ/1083/22)</t>
  </si>
  <si>
    <t xml:space="preserve">הצעת חוק זכויות הסטודנט (תיקון - מסלולי לימוד נפרדים), התש"ף-2019</t>
  </si>
  <si>
    <t xml:space="preserve"> (פ/1082/22)</t>
  </si>
  <si>
    <t xml:space="preserve">הצעת חוק לתיקון פקודת התעבורה (פטור מתשלום דמי חניה לרכב של כונן רפואת חירום עם ציוד), התש"ף-2019</t>
  </si>
  <si>
    <t xml:space="preserve"> (פ/1081/22)</t>
  </si>
  <si>
    <t xml:space="preserve">הצעת חוק לתיקון פקודת מס הכנסה (הפקדות לקרן השתלמות לעצמאי), התש"ף-2019</t>
  </si>
  <si>
    <t xml:space="preserve"> (פ/1080/22)</t>
  </si>
  <si>
    <t xml:space="preserve">הצעת חוק פיצוי נפגעי פוליו (תיקון - נפגעים שנולדו מחוץ לישראל), התש"ף-2019</t>
  </si>
  <si>
    <t xml:space="preserve"> (פ/1079/22)</t>
  </si>
  <si>
    <t xml:space="preserve">הצעת חוק נכי המלחמה בנאצים (תיקון - חישוב הכנסה לנכה נצרך ונכה נזקק), התש"ף-2019</t>
  </si>
  <si>
    <t xml:space="preserve"> (פ/1078/22)</t>
  </si>
  <si>
    <t xml:space="preserve">הצעת חוק זכרון השואה והגבורה - יד ושם (תיקון - הגבלות ביקורים של נציגים זרים המעורבים או תומכים בפשעים נגד האנושות, פשעי מלחמה והפרות חמורות של זכויות אדם), התש"ף-2019</t>
  </si>
  <si>
    <t xml:space="preserve"> (פ/1077/22)</t>
  </si>
  <si>
    <t xml:space="preserve">הצעת חוק קליטת חיילים משוחררים (תיקון - ביטול הפיקדון והגדלת המענק), התש"ף-2019</t>
  </si>
  <si>
    <t xml:space="preserve"> (פ/1076/22)</t>
  </si>
  <si>
    <t xml:space="preserve">הצעת חוק ביטוח בריאות ממלכתי (תיקון - מחלה נדירה), התש"ף-2019</t>
  </si>
  <si>
    <t xml:space="preserve"> (פ/1075/22)</t>
  </si>
  <si>
    <t xml:space="preserve">הצעת חוק שיקום שכונות דרום תל-אביב ותמריצים לפיזור גאוגרפי של מסתננים (הוראת שעה), התש"ף-2019</t>
  </si>
  <si>
    <t xml:space="preserve"> (פ/1074/22)</t>
  </si>
  <si>
    <t xml:space="preserve">הצעת חוק הבחירות לכנסת (תיקון - עדכון כתובת לצורכי בחירות), התש"ף-2019</t>
  </si>
  <si>
    <t xml:space="preserve"> (פ/1073/22)</t>
  </si>
  <si>
    <t xml:space="preserve">הצעת חוק הבנקאות (שירות ללקוח) (תיקון - איסור גביית עמלה בעד טיפול בירושות ובעזבונות), התש"ף-2019</t>
  </si>
  <si>
    <t xml:space="preserve"> (פ/1072/22)</t>
  </si>
  <si>
    <t xml:space="preserve">הצעת חוק מעונות יום שיקומיים (תיקון - הפחתת מספר הפעוטות המינימלי במעון יום), התש"ף-2019</t>
  </si>
  <si>
    <t xml:space="preserve"> (פ/1071/22)</t>
  </si>
  <si>
    <t xml:space="preserve">הצעת חוק העונשין (תיקון - הוספת עילות לעבירות הסתה ופשע שנאה), התש"ף-2019</t>
  </si>
  <si>
    <t xml:space="preserve"> (פ/1070/22)</t>
  </si>
  <si>
    <t xml:space="preserve">הצעת חוק הבנקאות (שירות ללקוח) (תיקון - מועדי החזר של הלוואה לדיור), התש"ף-2019</t>
  </si>
  <si>
    <t xml:space="preserve"> (פ/1069/22)</t>
  </si>
  <si>
    <t xml:space="preserve">הצעת חוק לתיקון דיני הראיות (הגנת ילדים) (תיקון - חקירה תוך 48 שעות), התש"ף-2019</t>
  </si>
  <si>
    <t xml:space="preserve"> (פ/1068/22)</t>
  </si>
  <si>
    <t xml:space="preserve">הצעת חוק ההתגוננות האזרחית (פיקוח על מקלטים משותפים), התש"ף-2019</t>
  </si>
  <si>
    <t xml:space="preserve"> (פ/1067/22)</t>
  </si>
  <si>
    <t xml:space="preserve">הצעת חוק הפרשנות (תיקון - הגדרת הפליה על רקע נטייה מינית או זהות מגדר), התש"ף-2019</t>
  </si>
  <si>
    <t xml:space="preserve"> (פ/1066/22)</t>
  </si>
  <si>
    <t xml:space="preserve">הצעת חוק איסור הפליה במוצרים, בשירותים ובכניסה למקומות בידור ולמקומות ציבוריים (תיקון - קיום אירועי תרבות בהפרדה מגדרית בשל טעמי דת), התש"ף-2019</t>
  </si>
  <si>
    <t xml:space="preserve"> (פ/1065/22)</t>
  </si>
  <si>
    <t xml:space="preserve">הצעת חוק המועצה להשכלה גבוהה (תיקון - עידוד הנגשה להשכלה גבוהה), התש"ף-2019</t>
  </si>
  <si>
    <t xml:space="preserve"> (פ/1064/22)</t>
  </si>
  <si>
    <t xml:space="preserve">הצעת חוק איסור ניגוד עניינים בגביית חובות (תיקוני חקיקה), התש"ף-2019</t>
  </si>
  <si>
    <t xml:space="preserve"> (פ/1063/22)</t>
  </si>
  <si>
    <t xml:space="preserve">הצעת חוק פיצויים לנפגעי תאונות דרכים (תיקון - חובת ביטוח אופניים עם מנוע עזר), התש"ף-2019</t>
  </si>
  <si>
    <t xml:space="preserve"> (פ/1062/22)</t>
  </si>
  <si>
    <t xml:space="preserve">הצעת חוק זכאות למענק להוספת מרחב מוגן דירתי ומרחב מוגן קומתי ביישובים סמוכים לגבול (הוראת שעה), התש"ף-2019</t>
  </si>
  <si>
    <t xml:space="preserve"> (פ/1061/22)</t>
  </si>
  <si>
    <t xml:space="preserve">הצעת חוק העונשין (תיקון - תקיפת איש כוחות הביטחון וההצלה), התש"ף-2019</t>
  </si>
  <si>
    <t xml:space="preserve"> (פ/1060/22)</t>
  </si>
  <si>
    <t xml:space="preserve">הצעת חוק עסקאות גופים ציבוריים (תיקון - איסור על התקשרות קבלנית להעסקת עובדים), התש"ף-2019</t>
  </si>
  <si>
    <t xml:space="preserve"> (פ/1059/22)</t>
  </si>
  <si>
    <t xml:space="preserve">הצעת חוק הארכת מועדים (תיקון - שירות לפי סעיף 8 או 9 לחוק שירות המילואים), התש"ף-2019</t>
  </si>
  <si>
    <t xml:space="preserve"> (פ/1058/22)</t>
  </si>
  <si>
    <t xml:space="preserve">הצעת חוק חניה לנכים (תיקון - החלטה בבקשה לתג נכה), התש"ף-2019</t>
  </si>
  <si>
    <t xml:space="preserve"> (פ/1057/22)</t>
  </si>
  <si>
    <t xml:space="preserve">הצעת חוק אימוץ ילדים (תיקון - אימוץ על ידי בני הזוג), התש"ף-2019</t>
  </si>
  <si>
    <t xml:space="preserve"> (פ/1056/22)</t>
  </si>
  <si>
    <t xml:space="preserve">הצעת חוק הביטוח הלאומי (תיקון - זכאות לכפל גמלאות), התש"ף-2019</t>
  </si>
  <si>
    <t xml:space="preserve"> (פ/1055/22)</t>
  </si>
  <si>
    <t xml:space="preserve">הצעת חוק משפחות חיילים שנספו במערכה (תגמולים ושיקום) (תיקון - העלאת גיל הזכאות של היתומים לסיוע בשכר לימוד), התש"ף-2019</t>
  </si>
  <si>
    <t xml:space="preserve"> (פ/1054/22)</t>
  </si>
  <si>
    <t xml:space="preserve">הצעת חוק הביטוח הלאומי (תיקון - מענק פטירה להורה של נכה), התש"ף-2019</t>
  </si>
  <si>
    <t xml:space="preserve"> (פ/1053/22)</t>
  </si>
  <si>
    <t xml:space="preserve">הצעת חוק משפחות חיילים שנספו במערכה (תגמולים ושיקום)(תיקון - תשלום לבן זוגו של שכול שנפטר), התש"ף-2019</t>
  </si>
  <si>
    <t xml:space="preserve"> (פ/1052/22)</t>
  </si>
  <si>
    <t xml:space="preserve">הצעת חוק שירות ביטחון (תיקון - שירות בני ישיבות הסדר), התש"ף-2019</t>
  </si>
  <si>
    <t xml:space="preserve"> (פ/1051/22)</t>
  </si>
  <si>
    <t xml:space="preserve">הצעת חוק קליטת חיילים משוחררים (תיקון - התקשרות להענקת זכויות במקרקעין ביישוב מיעוטים עם מי שנבצר ממנו להשלים את שירותו הצבאי), התש"ף-2019</t>
  </si>
  <si>
    <t xml:space="preserve"> (פ/1050/22)</t>
  </si>
  <si>
    <t xml:space="preserve">הצעת חוק פיקוח על עסקאות רכש מערכת הביטחון, התש"ף-2019</t>
  </si>
  <si>
    <t xml:space="preserve"> (פ/1049/22)</t>
  </si>
  <si>
    <t xml:space="preserve">הצעת חוק נכי רדיפות הנאצים (תיקון - הגדרות זכאות), התש"ף-2019</t>
  </si>
  <si>
    <t xml:space="preserve"> (פ/1048/22)</t>
  </si>
  <si>
    <t xml:space="preserve">הצעת חוק התכנון והבנייה (תיקון - שימוש חורג בקרקע חקלאית), התש"ף-2019</t>
  </si>
  <si>
    <t xml:space="preserve"> (פ/1047/22)</t>
  </si>
  <si>
    <t xml:space="preserve"> (פ/1046/22)</t>
  </si>
  <si>
    <t xml:space="preserve">הצעת חוק לתיקון פקודת העיריות (עידוד נשים בעסקים), התש"ף-2019</t>
  </si>
  <si>
    <t xml:space="preserve"> (פ/1045/22)</t>
  </si>
  <si>
    <t xml:space="preserve">הצעת חוק הדרוזים והצ'רקסים (הבטחת שוויון זכויות), התש"ף-2019</t>
  </si>
  <si>
    <t xml:space="preserve"> (פ/1044/22)</t>
  </si>
  <si>
    <t xml:space="preserve">הצעת חוק הביטוח הלאומי (תיקון- הקלות לחולים במחלה ממארת), התש"ף-2019</t>
  </si>
  <si>
    <t xml:space="preserve"> (פ/1043/22)</t>
  </si>
  <si>
    <t xml:space="preserve">הצעת חוק שירותי הסעד (תיקון- גיוון שפתי בקרב עובדים סוציאליים במחלקות לשירותים חברתיים), התש"ף-2019</t>
  </si>
  <si>
    <t xml:space="preserve"> (פ/1042/22)</t>
  </si>
  <si>
    <t xml:space="preserve">הצעת חוק לתיקון פקודת מס הכנסה (פטור ממס על חיסכון ליחיד מעל גיל 60), התש"ף-2019</t>
  </si>
  <si>
    <t xml:space="preserve"> (פ/1041/22)</t>
  </si>
  <si>
    <t xml:space="preserve">הצעת חוק הגנת הפרטיות (תיקון - תקופת ההתיישנות), התש"ף-2019</t>
  </si>
  <si>
    <t xml:space="preserve"> (פ/1040/22)</t>
  </si>
  <si>
    <t xml:space="preserve">הצעת חוק מס ערך מוסף (תיקון - פטור ממס במכירת תרופות מצילות חיים שאינן כלולות בסל הבריאות), התש"ף-2019</t>
  </si>
  <si>
    <t xml:space="preserve"> (פ/1039/22)</t>
  </si>
  <si>
    <t xml:space="preserve">הצעת חוק ההוצאה לפועל (תיקון - איסור עיקול מיטלטלין המשמשים קטינים), התש"ף-2019</t>
  </si>
  <si>
    <t xml:space="preserve"> (פ/1038/22)</t>
  </si>
  <si>
    <t xml:space="preserve"> (פ/1037/22)</t>
  </si>
  <si>
    <t xml:space="preserve">הצעת חוק תכנון משק החלב (תיקון - הארכת תוקף הוראת המעבר לעניין מחירי חלב בקר במכסה), התש''ף-2019</t>
  </si>
  <si>
    <t xml:space="preserve"> (פ/1036/22)</t>
  </si>
  <si>
    <t xml:space="preserve">הצעת חוק שיווי זכויות האישה (תיקון - ייצוג לנשים בוועדות איתור), התש"ף-2019</t>
  </si>
  <si>
    <t xml:space="preserve"> (פ/1035/22)</t>
  </si>
  <si>
    <t xml:space="preserve">הצעת חוק התכנון והבנייה (תיקון - תוקף היתר הבנייה), התש"ף-2019</t>
  </si>
  <si>
    <t xml:space="preserve"> (פ/1034/22)</t>
  </si>
  <si>
    <t xml:space="preserve">הצעת חוק החלת ריבונות ישראל בשטח בקעת הירדן וצפון ים המלח, התש"ף-2019</t>
  </si>
  <si>
    <t xml:space="preserve"> (פ/1033/22)</t>
  </si>
  <si>
    <t xml:space="preserve">הצעת חוק גדר הביטחון, התש"ף-2019</t>
  </si>
  <si>
    <t xml:space="preserve"> (פ/1032/22)</t>
  </si>
  <si>
    <t xml:space="preserve">הצעת חוק הבחירות לכנסת (הצבעת אנשי צוות אוויר), התש"ף-2019</t>
  </si>
  <si>
    <t xml:space="preserve"> (פ/1031/22)</t>
  </si>
  <si>
    <t xml:space="preserve"> (פ/1030/22)</t>
  </si>
  <si>
    <t xml:space="preserve">הצעת חוק הביטוח הלאומי (תיקון - הכרה בפגיעה מינית בעבודה כפגיעה בעבודה), התש"ף-2019</t>
  </si>
  <si>
    <t xml:space="preserve"> (פ/1029/22)</t>
  </si>
  <si>
    <t xml:space="preserve">הצעת חוק הרשויות המקומיות (פטור חיילים, נפגעי מלחמה ושוטרים מארנונה) (תיקון - החרגת ההגבלה סייג לדירות גדולות לחיילים בודדים), התש"ף-2019 </t>
  </si>
  <si>
    <t xml:space="preserve"> (פ/1028/22)</t>
  </si>
  <si>
    <t xml:space="preserve">הצעת חוק העסקת עובדים על ידי קבלני כוח אדם (תיקון - ביטול החוק), התש"ף-2019</t>
  </si>
  <si>
    <t xml:space="preserve"> (פ/1027/22)</t>
  </si>
  <si>
    <t xml:space="preserve">הצעת חוק הביטוח הלאומי (תיקון - הפחתת קצבת ילדים בשל אי חיסון), התש"ף-2019</t>
  </si>
  <si>
    <t xml:space="preserve"> (פ/1026/22)</t>
  </si>
  <si>
    <t xml:space="preserve">הצעת חוק הדחת נציג ציבור התומך במאבק מזוין נגד מדינת ישראל (תיקוני חקיקה), התש"ף-2019</t>
  </si>
  <si>
    <t xml:space="preserve"> (פ/1025/22)</t>
  </si>
  <si>
    <t xml:space="preserve">הצעת חוק מידע גנטי (תיקון - איסור שימוש בתוצאות בדיקה גנטית לקביעת השתייכות לעדה דתית), התש"ף-2019</t>
  </si>
  <si>
    <t xml:space="preserve"> (פ/1024/22)</t>
  </si>
  <si>
    <t xml:space="preserve">הצעת חוק השחתת מודעות על רקע מגדר, התש"ף-2019</t>
  </si>
  <si>
    <t xml:space="preserve"> (פ/1023/22)</t>
  </si>
  <si>
    <t xml:space="preserve">הצעת חוק שיפוט בתי דין רבניים (נישואין וגירושין) (תיקון - דרישת הסכמה בכתב), התש"ף-2019</t>
  </si>
  <si>
    <t xml:space="preserve"> (פ/1022/22)</t>
  </si>
  <si>
    <t xml:space="preserve">הצעת חוק אמנות ג'נבה, התש"ף-2019</t>
  </si>
  <si>
    <t xml:space="preserve"> (פ/1021/22)</t>
  </si>
  <si>
    <t xml:space="preserve">הצעת חוק שכר נושאי משרה ברשויות השלטון, התש"ף-2019</t>
  </si>
  <si>
    <t xml:space="preserve"> (פ/1020/22)</t>
  </si>
  <si>
    <t xml:space="preserve"> (פ/1019/22)</t>
  </si>
  <si>
    <t xml:space="preserve">הצעת חוק מימון מפלגות (תיקון - שלילת מימון ממפלגה שקוראת להטלת חרם על מדינת ישראל), התש"ף-2019</t>
  </si>
  <si>
    <t xml:space="preserve"> (פ/1018/22)</t>
  </si>
  <si>
    <t xml:space="preserve">הצעת חוק הבטחת הכנסה (תיקון - הגדלת השלמת ההכנסה), התש"ף-2019</t>
  </si>
  <si>
    <t xml:space="preserve"> (פ/1017/22)</t>
  </si>
  <si>
    <t xml:space="preserve">הצעת חוק שבת יום המנוחה, התש"ף-2019</t>
  </si>
  <si>
    <t xml:space="preserve"> (פ/1016/22)</t>
  </si>
  <si>
    <t xml:space="preserve">הצעת חוק ביטוח בריאות ממלכתי (תיקון - צמצום הפערים בין הפריפריה למרכז), התש"ף-2019</t>
  </si>
  <si>
    <t xml:space="preserve"> (פ/1015/22)</t>
  </si>
  <si>
    <t xml:space="preserve">הצעת חוק ביטוח בריאות ממלכתי (תיקון - צמצום פערים בין הפריפריה למרכז), התש"ף-2019</t>
  </si>
  <si>
    <t xml:space="preserve"> (פ/1014/22)</t>
  </si>
  <si>
    <t xml:space="preserve">הצעת חוק תגמולים לאסירי ציון ולבני משפחותיהם (תיקון - שינוי מועד יום ציון פועלם של אסירי ציון וקביעת פעולות לציונו), התש"ף-2019</t>
  </si>
  <si>
    <t xml:space="preserve"> (פ/1013/22)</t>
  </si>
  <si>
    <t xml:space="preserve">הצעת חוק הפיקוח על יצוא ביטחוני (תיקון - הגבלות על יצוא ביטחוני לכוחות ביטחון שביצעו הפרות חמורות של זכויות אדם), התש"ף-2019</t>
  </si>
  <si>
    <t xml:space="preserve"> (פ/1012/22)</t>
  </si>
  <si>
    <t xml:space="preserve">הצעת חוק הביטוח הלאומי (תיקון - פטור לסטודנטים מתשלום דמי ביטוח לאומי), התש"ף-2019</t>
  </si>
  <si>
    <t xml:space="preserve"> (פ/1011/22)</t>
  </si>
  <si>
    <t xml:space="preserve">הצעת חוק הביטוח הלאומי (תיקון - דמי ביטוח מופחתים למעסיק קולט עלייה), התש"ף-2019</t>
  </si>
  <si>
    <t xml:space="preserve"> (פ/1010/22)</t>
  </si>
  <si>
    <t xml:space="preserve">הצעת חוק בתי קברות צבאיים (תיקון - חיילים זכאי חוק השבות), התש"ף-2019</t>
  </si>
  <si>
    <t xml:space="preserve"> (פ/1009/22)</t>
  </si>
  <si>
    <t xml:space="preserve"> (פ/1008/22)</t>
  </si>
  <si>
    <t xml:space="preserve">הצעת חוק הביטוח הלאומי (תיקון - זכאות לדמי לידה לחיילות בשירות קבע), התש"ף-2019</t>
  </si>
  <si>
    <t xml:space="preserve"> (פ/1007/22)</t>
  </si>
  <si>
    <t xml:space="preserve">הצעת חוק ראש המטה הכללי של צבא הגנה לישראל (תקופת כהונה), התש"ף-2019</t>
  </si>
  <si>
    <t xml:space="preserve"> (פ/1006/22)</t>
  </si>
  <si>
    <t xml:space="preserve">הצעת חוק הגנת השכר (תיקון - צירוף פירוט שעות חודשי לתלוש השכר), התש"ף-2019</t>
  </si>
  <si>
    <t xml:space="preserve"> (פ/1005/22)</t>
  </si>
  <si>
    <t xml:space="preserve">הצעת חוק שירות ביטחון (תיקון - חובת תשלום מס למי שאינו משרת שירות צבאי או שירות אזרחי), התש"ף-2019</t>
  </si>
  <si>
    <t xml:space="preserve"> (פ/1004/22)</t>
  </si>
  <si>
    <t xml:space="preserve">הצעת חוק הביטוח הלאומי (תיקון - תוספת קצבה לנכים מונשמים), התש"ף-2019</t>
  </si>
  <si>
    <t xml:space="preserve"> (פ/1003/22)</t>
  </si>
  <si>
    <t xml:space="preserve">הצעת חוק פינוי יישובים במסגרת הסדר מדיני, התש"ף-2019</t>
  </si>
  <si>
    <t xml:space="preserve"> (פ/1002/22)</t>
  </si>
  <si>
    <t xml:space="preserve">הצעת חוק הבחירות לכנסת (תיקון - ביטול עקרון הריתוק לקלפי), התש"ף-2019</t>
  </si>
  <si>
    <t xml:space="preserve"> (פ/1001/22)</t>
  </si>
  <si>
    <t xml:space="preserve">הצעת חוק השקעות זרות, התש"ף-2019</t>
  </si>
  <si>
    <t xml:space="preserve"> (פ/1000/22)</t>
  </si>
  <si>
    <t xml:space="preserve"> (פ/999/22)</t>
  </si>
  <si>
    <t xml:space="preserve">הצעת חוק הביטוח הלאומי (תיקון - פירוט החוב במכתב דרישה), התש"ף-2019</t>
  </si>
  <si>
    <t xml:space="preserve"> (פ/998/22)</t>
  </si>
  <si>
    <t xml:space="preserve">הצעת חוק טיפול בחולי נפש (תיקון - הגבלת השימוש באמצעי כפיה), התש"ף-2019</t>
  </si>
  <si>
    <t xml:space="preserve"> (פ/997/22)</t>
  </si>
  <si>
    <t xml:space="preserve">הצעת חוק הביטוח הלאומי (תיקון - עקר בית), התש"ף-2019</t>
  </si>
  <si>
    <t xml:space="preserve"> (פ/996/22)</t>
  </si>
  <si>
    <t xml:space="preserve">הצעת חוק מס ערך מוסף (תיקון - חוברת זכויות), התש"ף-2019</t>
  </si>
  <si>
    <t xml:space="preserve"> (פ/995/22)</t>
  </si>
  <si>
    <t xml:space="preserve">הצעת חוק הדיור הציבורי (זכויות רכישה) (תיקון - תנאי זכאות מיוחדים לנכים ולעיוורים), התש"ף-2019</t>
  </si>
  <si>
    <t xml:space="preserve"> (פ/994/22)</t>
  </si>
  <si>
    <t xml:space="preserve">הצעת חוק הקמת בנק חלב אם, התש"ף-2019</t>
  </si>
  <si>
    <t xml:space="preserve"> (פ/993/22)</t>
  </si>
  <si>
    <t xml:space="preserve">הצעת חוק זכויות החולה (תיקון - איסור פעילות מסחרית בבית חולים), התש"ף-2019</t>
  </si>
  <si>
    <t xml:space="preserve"> (פ/992/22)</t>
  </si>
  <si>
    <t xml:space="preserve">הצעת חוק שירות הקבע בצבא הגנה לישראל (גמלאות) (תיקון - גמלה לאלמנה שנישאה מחדש), התש"ף-2019</t>
  </si>
  <si>
    <t xml:space="preserve"> (פ/991/22)</t>
  </si>
  <si>
    <t xml:space="preserve">הצעת חוק שירות ביטחון (תיקון - פטור מטעמי הכרה דתית), התש"ף-2019</t>
  </si>
  <si>
    <t xml:space="preserve"> (פ/990/22)</t>
  </si>
  <si>
    <t xml:space="preserve">הצעת חוק משפחות חיילים שנספו במערכה (תגמולים ושיקום) (תיקון - שימוש בזרע חייל שנספה), התש"ף-2019</t>
  </si>
  <si>
    <t xml:space="preserve"> (פ/989/22)</t>
  </si>
  <si>
    <t xml:space="preserve">הצעת חוק פיצויי פיטורים (תיקון - מניעת פיטורים מחזוריים), התש"ף-2019</t>
  </si>
  <si>
    <t xml:space="preserve"> (פ/988/22)</t>
  </si>
  <si>
    <t xml:space="preserve">הצעת חוק הסדרת העיסוק במקצועות הבריאות (תיקון - טיפול באמצעות בעלי חיים), התש"ף-2019</t>
  </si>
  <si>
    <t xml:space="preserve"> (פ/987/22)</t>
  </si>
  <si>
    <t xml:space="preserve">הצעת חוק פינוי ההתנחלות יצהר ותשעת המאחזים הסמוכים אליה, התש"ף-2019</t>
  </si>
  <si>
    <t xml:space="preserve"> (פ/986/22)</t>
  </si>
  <si>
    <t xml:space="preserve">הצעת חוק סבסוד מוצרים ללא גלוטן, התש"ף-2019</t>
  </si>
  <si>
    <t xml:space="preserve"> (פ/985/22)</t>
  </si>
  <si>
    <t xml:space="preserve">הצעת חוק הביטוח לאומי (תיקון - ביטוח זכויות עצמאי שעיקר הכנסתו מעסק שמצוי בפשיטת רגל או בפירוק), התש"ף-2019</t>
  </si>
  <si>
    <t xml:space="preserve"> (פ/984/22)</t>
  </si>
  <si>
    <t xml:space="preserve">הצעת חוק זכויות החולה (תיקון - שיכוך כאב בעת מתן טיפול רפואי לקטין), התש"ף-2019</t>
  </si>
  <si>
    <t xml:space="preserve"> (פ/983/22)</t>
  </si>
  <si>
    <t xml:space="preserve"> (פ/982/22)</t>
  </si>
  <si>
    <t xml:space="preserve">הצעת חוק הגנה על עובדים בשעת חירום (תיקון - אובדן ימי עבודה בשל מצב מיוחד בעורף), התש"ף-2019</t>
  </si>
  <si>
    <t xml:space="preserve"> (פ/981/22)</t>
  </si>
  <si>
    <t xml:space="preserve">הצעת חוק שיפוט בתי דין רבניים (נישואין וגירושין) (תיקון - איסור ביטול גיור), התש"ף-2019</t>
  </si>
  <si>
    <t xml:space="preserve"> (פ/980/22)</t>
  </si>
  <si>
    <t xml:space="preserve">הצעת חוק שיעור ריבית פיגורים מקסימלי (תיקוני חקיקה), התש"ף-2019</t>
  </si>
  <si>
    <t xml:space="preserve"> (פ/979/22)</t>
  </si>
  <si>
    <t xml:space="preserve"> (פ/978/22)</t>
  </si>
  <si>
    <t xml:space="preserve">הצעת חוק לתיקון פקודת הרופאים (הרחבת הזכאות להיתר מוגבל), התש"ף-2019</t>
  </si>
  <si>
    <t xml:space="preserve"> (פ/977/22)</t>
  </si>
  <si>
    <t xml:space="preserve">הצעת חוק היערכות אזרחית למצבי חירום, התש"ף-2019</t>
  </si>
  <si>
    <t xml:space="preserve"> (פ/976/22)</t>
  </si>
  <si>
    <t xml:space="preserve">הצעת חוק זכויות ושירותים לילדים ובני נוער עם קשיים נפשיים, התש"ף-2019</t>
  </si>
  <si>
    <t xml:space="preserve"> (פ/975/22)</t>
  </si>
  <si>
    <t xml:space="preserve">הצעת חוק הביטוח הלאומי (תיקון - תוספת לקצבה של מי שמעסיק עובד בענף הסיעוד), התש"ף-2019</t>
  </si>
  <si>
    <t xml:space="preserve"> (פ/974/22)</t>
  </si>
  <si>
    <t xml:space="preserve">הצעת חוק לתיקון פקודת בתי הסוהר (שלילת זכויות יתר מאסיר ביטחוני המשתייך לארגון טרור), התש"ף-2019</t>
  </si>
  <si>
    <t xml:space="preserve"> (פ/973/22)</t>
  </si>
  <si>
    <t xml:space="preserve">הצעת חוק הרשויות המקומיות (אכיפה סביבתית - סמכויות פקחים) (תיקון - הסמכת פקחים באיגוד ערים לווטרינריה), התש"ף-2019</t>
  </si>
  <si>
    <t xml:space="preserve"> (פ/972/22)</t>
  </si>
  <si>
    <t xml:space="preserve">הצעת חוק הביטוח הלאומי (תיקון - משלוח הודעה בדבר זכאות המבוטח), התש"ף-2019</t>
  </si>
  <si>
    <t xml:space="preserve"> (פ/971/22)</t>
  </si>
  <si>
    <t xml:space="preserve">הצעת חוק הגבלת פעולות אנשי דת בלתי מורשים בצבא הגנה לישראל ובמשטרת ישראל, התש"ף-2019</t>
  </si>
  <si>
    <t xml:space="preserve"> (פ/970/22)</t>
  </si>
  <si>
    <t xml:space="preserve">הצעת חוק לתיקון פקודת מס הכנסה (עידוד צמיחה לעסקים עצמאיים קטנים ובינוניים), התש"ף-2019</t>
  </si>
  <si>
    <t xml:space="preserve"> (פ/969/22)</t>
  </si>
  <si>
    <t xml:space="preserve">הצעת חוק הביטוח הלאומי (תיקון - דמי מחלה לעובד עצמאי), התש"ף-2019</t>
  </si>
  <si>
    <t xml:space="preserve"> (פ/968/22)</t>
  </si>
  <si>
    <t xml:space="preserve">הצעת חוק שירות המילואים, התש"ף-2019</t>
  </si>
  <si>
    <t xml:space="preserve"> (פ/967/22)</t>
  </si>
  <si>
    <t xml:space="preserve">הצעת חוק שיפוט בתי דין רבניים (נישואין וגירושין) (תיקון - ביטול כריכה), התש"ף-2019</t>
  </si>
  <si>
    <t xml:space="preserve"> (פ/966/22)</t>
  </si>
  <si>
    <t xml:space="preserve">הצעת חוק נכי המלחמה בנאצים (תיקון - כפל קצבה), התש"ף-2019</t>
  </si>
  <si>
    <t xml:space="preserve"> (פ/965/22)</t>
  </si>
  <si>
    <t xml:space="preserve">הצעת חוק החלת הריבונות הישראלית על בקעת הירדן, התש"ף-2019</t>
  </si>
  <si>
    <t xml:space="preserve"> (פ/964/22)</t>
  </si>
  <si>
    <t xml:space="preserve">הצעת חוק ההגנה על חוסים (תיקון - מחיקת זיקנה מההגדרה), התש"ף-2019</t>
  </si>
  <si>
    <t xml:space="preserve"> (פ/963/22)</t>
  </si>
  <si>
    <t xml:space="preserve">הצעת חוק לתיקון פקודת המשטרה (כשירות המפקח הכללי של משטרת ישראל למינוי, תקופת כהונה ומילוי מקום), התש"ף-2019</t>
  </si>
  <si>
    <t xml:space="preserve"> (פ/962/22)</t>
  </si>
  <si>
    <t xml:space="preserve">הצעת חוק חסינות חברי הכנסת, זכויותיהם וחובותיהם (תיקון - סייג לחסינות בפני מעצר במקרה של פגיעה בביטחון המדינה), התש"ף-2019</t>
  </si>
  <si>
    <t xml:space="preserve"> (פ/961/22)</t>
  </si>
  <si>
    <t xml:space="preserve">הצעת חוק הביטוח הלאומי (תיקון - הוראות לעניין עקרת בית), התש"ף-2019</t>
  </si>
  <si>
    <t xml:space="preserve"> (פ/960/22)</t>
  </si>
  <si>
    <t xml:space="preserve">הצעת חוק לתיקון פקודת מס הכנסה (פטור ממס לגמלאים על תשלומי פנסיה), התש"ף-2019</t>
  </si>
  <si>
    <t xml:space="preserve"> (פ/959/22)</t>
  </si>
  <si>
    <t xml:space="preserve">הצעת חוק הספורט (תיקון - ביטוח קטינים), התש"ף-2019</t>
  </si>
  <si>
    <t xml:space="preserve"> (פ/958/22)</t>
  </si>
  <si>
    <t xml:space="preserve">הצעת חוק לתיקון פקודת התעבורה (הגבלת תשלום בעד חניה במוסד רפואי), התש"ף-2019</t>
  </si>
  <si>
    <t xml:space="preserve"> (פ/957/22)</t>
  </si>
  <si>
    <t xml:space="preserve">הצעת חוק אזור סחר חופשי באילת (פטורים והנחות ממסים) (תיקון - פיתוח אילת), התש"ף-2019</t>
  </si>
  <si>
    <t xml:space="preserve"> (פ/956/22)</t>
  </si>
  <si>
    <t xml:space="preserve">הצעת חוק האזרחים הוותיקים (תיקון - הקמת קרן למימון תרופות לאזרחים ותיקים מעוטי יכולת), התש"ף-2019</t>
  </si>
  <si>
    <t xml:space="preserve"> (פ/955/22)</t>
  </si>
  <si>
    <t xml:space="preserve">הצעת חוק הגנה על זכויות אמנים במוסיקה (תיקון - הגנה על זכויות אמנים), התש"ף-2019</t>
  </si>
  <si>
    <t xml:space="preserve"> (פ/954/22)</t>
  </si>
  <si>
    <t xml:space="preserve">הצעת חוק עבודת נשים (תיקון - איסור פיטורים בעת טיפולי פוריות), התש"ף-2019</t>
  </si>
  <si>
    <t xml:space="preserve"> (פ/953/22)</t>
  </si>
  <si>
    <t xml:space="preserve">הצעת חוק הביטוח הלאומי (תיקון - ייעוד מענק אשפוז בשל לידת פג למחלקת פגים בלבד), התש"ף-2019</t>
  </si>
  <si>
    <t xml:space="preserve"> (פ/952/22)</t>
  </si>
  <si>
    <t xml:space="preserve">הצעת חוק שירות אזרחי (תיקון - שירות אזרחי במוסד רפואי ציבורי), התש"ף-2019</t>
  </si>
  <si>
    <t xml:space="preserve"> (פ/951/22)</t>
  </si>
  <si>
    <t xml:space="preserve">הצעת חוק זכאות לאבחון לקויות למידה לילדים ממשפחות מעוטות יכולת, התש"ף-2019</t>
  </si>
  <si>
    <t xml:space="preserve"> (פ/950/22)</t>
  </si>
  <si>
    <t xml:space="preserve">הצעת חוק זכויות הדייר בדיור הציבורי (תיקון - עיגון זכויות דייר ממשיך בדיור הציבורי), התש"ף-2019</t>
  </si>
  <si>
    <t xml:space="preserve"> (פ/949/22)</t>
  </si>
  <si>
    <t xml:space="preserve">הצעת חוק לתיקון פקודת מס הכנסה (נקודות זיכוי בעד ילדים), התש"ף-2019</t>
  </si>
  <si>
    <t xml:space="preserve"> (פ/948/22)</t>
  </si>
  <si>
    <t xml:space="preserve">הצעת חוק מעונות יום שיקומיים (תיקון - מעון יום שיקומי ייעודי לילדים עם אוטיזם), התש"ף-2019</t>
  </si>
  <si>
    <t xml:space="preserve"> (פ/947/22)</t>
  </si>
  <si>
    <t xml:space="preserve">הצעת חוק הפרטת תאגיד השידור הציבורי הישראלי והסדרת שידורי הרדיו הציבורי (תיקוני חקיקה), התש"ף-2019</t>
  </si>
  <si>
    <t xml:space="preserve"> (פ/946/22)</t>
  </si>
  <si>
    <t xml:space="preserve">הצעת חוק העונשין (תיקון - עבירות מין במשפחה), התש"ף-2019</t>
  </si>
  <si>
    <t xml:space="preserve"> (פ/945/22)</t>
  </si>
  <si>
    <t xml:space="preserve">הצעת חוק שיקום, קידום ושילוב אנשים עם אוטיזם בקהילה, התש"ף-2019</t>
  </si>
  <si>
    <t xml:space="preserve"> (פ/944/22)</t>
  </si>
  <si>
    <t xml:space="preserve">הצעת חוק קביעת יום לציון הטבעת הספינה אלטלנה, התש"ף-2019</t>
  </si>
  <si>
    <t xml:space="preserve"> (פ/943/22)</t>
  </si>
  <si>
    <t xml:space="preserve">25.11.2019</t>
  </si>
  <si>
    <t xml:space="preserve">הצעת חוק מיסוי מקרקעין (שבח ורכישה) (תיקון - אי תחולת פטור ממס שבח על מי שהשכיר דירת מגורים לשוהה שלא כדין), התש"ף-2019</t>
  </si>
  <si>
    <t xml:space="preserve"> (פ/942/22)</t>
  </si>
  <si>
    <t xml:space="preserve">הצעת חוק לימוד חובה (תיקון - תקופת שנת הלימודים וחופשות), התש"ף-2019</t>
  </si>
  <si>
    <t xml:space="preserve"> (פ/941/22)</t>
  </si>
  <si>
    <t xml:space="preserve">הצעת חוק המועצה להשכלה גבוהה (תיקון - איסור פעילות פוגענית), התש"ף-2019</t>
  </si>
  <si>
    <t xml:space="preserve"> (פ/940/22)</t>
  </si>
  <si>
    <t xml:space="preserve">הצעת חוק לתיקון פקודת מס הכנסה (הכרה בניכוי הפקדות לביטוח סיעודי), התש"ף-2019</t>
  </si>
  <si>
    <t xml:space="preserve"> (פ/939/22)</t>
  </si>
  <si>
    <t xml:space="preserve">הצעת חוק תגמול מדליסטים אולימפיים, התש"ף-2019</t>
  </si>
  <si>
    <t xml:space="preserve"> (פ/938/22)</t>
  </si>
  <si>
    <t xml:space="preserve">הצעת חוק מס ערך מוסף (תיקון - העברת מס בין עוסקים מורשים), התש"ף-2019</t>
  </si>
  <si>
    <t xml:space="preserve"> (פ/937/22)</t>
  </si>
  <si>
    <t xml:space="preserve">הצעת חוק חובת התקנה של מערכת ממוחשבת לשליחת הודעה במקרה של אי הגעת ילד למוסד חינוך או למעון יום (תיקוני חקיקה), התש"ף-2019</t>
  </si>
  <si>
    <t xml:space="preserve"> (פ/936/22)</t>
  </si>
  <si>
    <t xml:space="preserve">הצעת חוק לעידוד השקעות הון (תיקון - תחולה על מפעל תעשייתי ביישובים הסמוכים לגבול עימות בצפון, שדרות ויישובי עוטף עזה), התש"ף-2019</t>
  </si>
  <si>
    <t xml:space="preserve"> (פ/935/22)</t>
  </si>
  <si>
    <t xml:space="preserve">הצעת חוק הבטחת הכנסה (תיקון - הגדלת שווי רכב המאפשר זכאות לגמלה), התש"ף-2019</t>
  </si>
  <si>
    <t xml:space="preserve"> (פ/934/22)</t>
  </si>
  <si>
    <t xml:space="preserve">הצעת חוק התאמת לוח חופשות הלימודים לשעות העבודה והמנוחה במשק (תיקוני חקיקה), התש"ף-2019</t>
  </si>
  <si>
    <t xml:space="preserve"> (פ/933/22)</t>
  </si>
  <si>
    <t xml:space="preserve">הצעת חוק הבטחת הכנסה (תיקון - גמלת הבטחת הכנסה לקשיש), התש"ף-2019</t>
  </si>
  <si>
    <t xml:space="preserve"> (פ/932/22)</t>
  </si>
  <si>
    <t xml:space="preserve">הצעת חוק ביטוח בריאות ממלכתי (תיקון - ביטול איסור הכללת תרופות מצילות חיים בשב"ן), התש"ף-2019</t>
  </si>
  <si>
    <t xml:space="preserve"> (פ/931/22)</t>
  </si>
  <si>
    <t xml:space="preserve">הצעת חוק הבחירות לכנסת (תיקון - הגבלת שכר עבור יום שבתון), התש"ף-2019</t>
  </si>
  <si>
    <t xml:space="preserve"> (פ/930/22)</t>
  </si>
  <si>
    <t xml:space="preserve">הצעת חוק התניית יום שבתון בהצבעה בבחירות (תיקוני חקיקה), התש"ף-2019</t>
  </si>
  <si>
    <t xml:space="preserve"> (פ/929/22)</t>
  </si>
  <si>
    <t xml:space="preserve"> (פ/928/22)</t>
  </si>
  <si>
    <t xml:space="preserve">הצעת חוק תקופת לידה והורות להורים (תיקוני חקיקה), התש"ף-2019</t>
  </si>
  <si>
    <t xml:space="preserve"> (פ/927/22)</t>
  </si>
  <si>
    <t xml:space="preserve">הצעת חוק החלת הריבונות של מדינת ישראל בחבלי יהודה והשומרון, התש"ף-2019</t>
  </si>
  <si>
    <t xml:space="preserve"> (פ/926/22)</t>
  </si>
  <si>
    <t xml:space="preserve">הצעת חוק דמי מחלה (היעדרות בשל מחלת ילד) (תיקון - בן זוג לומד), התש"ף-2019</t>
  </si>
  <si>
    <t xml:space="preserve"> (פ/925/22)</t>
  </si>
  <si>
    <t xml:space="preserve"> (פ/924/22)</t>
  </si>
  <si>
    <t xml:space="preserve">הצעת חוק לתיקון פקודת המסים (גבייה) (פיצוי עקב טעות), התש"ף-2019</t>
  </si>
  <si>
    <t xml:space="preserve"> (פ/923/22)</t>
  </si>
  <si>
    <t xml:space="preserve">הצעת חוק המאבק בטרור (תיקון - איסור החזרת גופות מחבלים), התש"ף-2019</t>
  </si>
  <si>
    <t xml:space="preserve"> (פ/922/22)</t>
  </si>
  <si>
    <t xml:space="preserve">הצעת חוק הביטוח הלאומי (תיקון - גמלה לשמירת היריון לאם שילדה פג), התש"ף-2019</t>
  </si>
  <si>
    <t xml:space="preserve"> (פ/921/22)</t>
  </si>
  <si>
    <t xml:space="preserve">הצעת חוק שירות ביטחון (תיקון - השוואת תהליכי המיון, השיבוץ, התקינה וההכשרה, המסלולים המקצועיים ואופקי הקידום לנשים וגברים), התש"ף-2019</t>
  </si>
  <si>
    <t xml:space="preserve"> (פ/920/22)</t>
  </si>
  <si>
    <t xml:space="preserve">הצעת חוק שיקים ללא כיסוי (תיקון - חובת הודעה ללקוח טרם סירוב שיק), התש"ף-2019</t>
  </si>
  <si>
    <t xml:space="preserve"> (פ/919/22)</t>
  </si>
  <si>
    <t xml:space="preserve">הצעת חוק הכנסת (תיקון - ועדה לפיקוח על רשויות פיקוח פיננסיות), התש"ף-2019</t>
  </si>
  <si>
    <t xml:space="preserve"> (פ/918/22)</t>
  </si>
  <si>
    <t xml:space="preserve">הצעת חוק הביטוח הלאומי (תיקון - ניכוי הכנסה חודשית שלא מעבודה או ממשלח יד), התש"ף-2019 </t>
  </si>
  <si>
    <t xml:space="preserve"> (פ/917/22)</t>
  </si>
  <si>
    <t xml:space="preserve"> (פ/916/22)</t>
  </si>
  <si>
    <t xml:space="preserve"> (פ/915/22)</t>
  </si>
  <si>
    <t xml:space="preserve">הצעת חוק חוזה הביטוח (תיקון - מניעת כפל ביטוחים), התש"ף-2019</t>
  </si>
  <si>
    <t xml:space="preserve"> (פ/914/22)</t>
  </si>
  <si>
    <t xml:space="preserve"> (פ/913/22)</t>
  </si>
  <si>
    <t xml:space="preserve">הצעת חוק תובענות ייצוגיות (תיקון - פניה מוקדמת), התש"ף-2019</t>
  </si>
  <si>
    <t xml:space="preserve"> (פ/912/22)</t>
  </si>
  <si>
    <t xml:space="preserve"> (פ/911/22)</t>
  </si>
  <si>
    <t xml:space="preserve">הצעת חוק לתיקון פקודת העיריות (הרשאת שימוש במקרקעין למוסד ציבורי), התש"ף-2019</t>
  </si>
  <si>
    <t xml:space="preserve"> (פ/910/22)</t>
  </si>
  <si>
    <t xml:space="preserve">הצעת חוק הרשויות המקומיות (בחירת ראש הרשות וסגניו וכהונתם) (תיקון - השעיית ראש רשות או סגנו שהוגש נגדו כתב אישום), התש"ף-2019 </t>
  </si>
  <si>
    <t xml:space="preserve"> (פ/909/22)</t>
  </si>
  <si>
    <t xml:space="preserve">הצעת חוק רישוי עסקים (תיקון - מכירת יין בחנות גדולה), התש"ף-2019</t>
  </si>
  <si>
    <t xml:space="preserve"> (פ/908/22)</t>
  </si>
  <si>
    <t xml:space="preserve">הצעת חוק לתיקון דיני הרשויות המקומיות (ביטול סמכות שר הפנים לעניין חוקי עזר בדבר פתיחתם וסגירתם של עסקים בימי מנוחה), התש"ף-2019</t>
  </si>
  <si>
    <t xml:space="preserve"> (פ/907/22)</t>
  </si>
  <si>
    <t xml:space="preserve">הצעת חוק התכנון והבנייה (תיקון - החלטה מקדמית לפי תכנית החיזוק), התש"ף-2019</t>
  </si>
  <si>
    <t xml:space="preserve"> (פ/906/22)</t>
  </si>
  <si>
    <t xml:space="preserve">הצעת חוק הממשלה (תיקון - פרסום פרוטוקול ועדת השרים לענייני חקיקה), התש"ף-2019</t>
  </si>
  <si>
    <t xml:space="preserve"> (פ/905/22)</t>
  </si>
  <si>
    <t xml:space="preserve">הצעת חוק איסור כספים קואליציוניים, התש"ף-2019</t>
  </si>
  <si>
    <t xml:space="preserve"> (פ/904/22)</t>
  </si>
  <si>
    <t xml:space="preserve">הצעת חוק הנציבות לצמצום הרגולציה והבירוקרטיה הממשלתית, התש"ף-2019</t>
  </si>
  <si>
    <t xml:space="preserve"> (פ/903/22)</t>
  </si>
  <si>
    <t xml:space="preserve">הצעת חוק זכויות התלמיד (תיקון - שוויון בין תלמידים בציוני מגן), התש"ף-2019</t>
  </si>
  <si>
    <t xml:space="preserve"> (פ/902/22)</t>
  </si>
  <si>
    <t xml:space="preserve">הצעת חוק לביטול ההתיישנות בעבירות מין במשפחה (תיקוני חקיקה), התש"ף-2019</t>
  </si>
  <si>
    <t xml:space="preserve"> (פ/901/22)</t>
  </si>
  <si>
    <t xml:space="preserve">הצעת חוק לתיקון פקודת העיריות (צדק חלוקתי בכל הרשויות המקומיות המתוקצבות בתקציב המדינה), התש"ף-2019</t>
  </si>
  <si>
    <t xml:space="preserve"> (פ/900/22)</t>
  </si>
  <si>
    <t xml:space="preserve">הצעת חוק העונשין (תיקון - פרסום מודעות שעולה מהן הפליה), התש"ף-2019</t>
  </si>
  <si>
    <t xml:space="preserve"> (פ/899/22)</t>
  </si>
  <si>
    <t xml:space="preserve">הצעת חוק פיקוח על בתי ספר (תיקון - חובת הכנת תסקיר בטיחות), התש"ף-2019</t>
  </si>
  <si>
    <t xml:space="preserve"> (פ/898/22)</t>
  </si>
  <si>
    <t xml:space="preserve">הצעת חוק חוזה הביטוח (תיקון - הסדר ביטוח לבעלי אדמה חקלאית), התש"ף-2019</t>
  </si>
  <si>
    <t xml:space="preserve"> (פ/897/22)</t>
  </si>
  <si>
    <t xml:space="preserve"> (פ/896/22)</t>
  </si>
  <si>
    <t xml:space="preserve">הצעת חוק לתיקון פקודת התעבורה (סמכות לאכיפת עבירות חניה בידי רשויות מקומיות באמצעות מצלמות וסימון אזורי האכיפה בתמרור), התש"ף-2019</t>
  </si>
  <si>
    <t xml:space="preserve"> (פ/895/22)</t>
  </si>
  <si>
    <t xml:space="preserve">הצעת חוק סינון אתרים פוגעניים במקומות ציבוריים, התש"ף-2019</t>
  </si>
  <si>
    <t xml:space="preserve"> (פ/894/22)</t>
  </si>
  <si>
    <t xml:space="preserve">הצעת חוק לתיקון פקודת התעבורה (סדרי דין מיוחדים לעניין שירות לתועלת הציבור בעבירות תעבורה), התש"ף-2019</t>
  </si>
  <si>
    <t xml:space="preserve"> (פ/893/22)</t>
  </si>
  <si>
    <t xml:space="preserve">הצעת חוק המים (תיקון - הנחות לאוכלוסיות זכאיות), התש"ף-2019</t>
  </si>
  <si>
    <t xml:space="preserve"> (פ/892/22)</t>
  </si>
  <si>
    <t xml:space="preserve">הצעת חוק הבנקאות (שירות ללקוח) (תיקון - דיווח על ניצול קשיש או חסר ישע), התש"ף-2019</t>
  </si>
  <si>
    <t xml:space="preserve"> (פ/891/22)</t>
  </si>
  <si>
    <t xml:space="preserve">הצעת חוק לתיקון פקודת התעבורה (סימון שונה במקומות שבהם היתר החניה תלוי בשעות), התש"ף-2019</t>
  </si>
  <si>
    <t xml:space="preserve"> (פ/890/22)</t>
  </si>
  <si>
    <t xml:space="preserve">הצעת חוק הבטחת הכנסה (תיקון - הצמדת הגמלה בגיל פרישה לשכר הממוצע במשק), התש"ף-2019</t>
  </si>
  <si>
    <t xml:space="preserve"> (פ/889/22)</t>
  </si>
  <si>
    <t xml:space="preserve">הצעת חוק ביטוח בריאות ממלכתי (תיקון - השתתפות בטיפולי שיניים, פה ולסת לנפגעי שיתוק מוחין), התש"ף-2019</t>
  </si>
  <si>
    <t xml:space="preserve"> (פ/888/22)</t>
  </si>
  <si>
    <t xml:space="preserve">הצעת חוק חינוך ממלכתי (תיקון - איסור פעילות שיש בה שנאה בשל נטייה מינית, גזענות והדרת נשים במוסדות חינוך רשמיים), התש"ף-2019</t>
  </si>
  <si>
    <t xml:space="preserve"> (פ/887/22)</t>
  </si>
  <si>
    <t xml:space="preserve">הצעת חוק לתיקון פקודת העיריות (ערר על החלטת שר הפנים לעניין חוקי עזר), התש"ף-2019</t>
  </si>
  <si>
    <t xml:space="preserve"> (פ/886/22)</t>
  </si>
  <si>
    <t xml:space="preserve">הצעת חוק זכויות הסטודנט (תיקון - התאמות לסטודנטית לאחר לידה), התש"ף-2019</t>
  </si>
  <si>
    <t xml:space="preserve"> (פ/885/22)</t>
  </si>
  <si>
    <t xml:space="preserve">הצעת חוק צער בעלי חיים (הגנה על בעלי חיים) (תיקון - חינוך למניעת צער בעלי חיים), התש"ף-2019</t>
  </si>
  <si>
    <t xml:space="preserve"> (פ/884/22)</t>
  </si>
  <si>
    <t xml:space="preserve"> (פ/883/22)</t>
  </si>
  <si>
    <t xml:space="preserve">הצעת חוק ההוצאה לפועל (תיקון - הוצאה לפועל במסלול מזונות), התש"ף-2019</t>
  </si>
  <si>
    <t xml:space="preserve"> (פ/882/22)</t>
  </si>
  <si>
    <t xml:space="preserve">הצעת חוק צער בעלי חיים (הגנה על בעלי חיים) (תיקון - חובת עיקור או סירוס של כלבים וחתולים), התש"ף-2019</t>
  </si>
  <si>
    <t xml:space="preserve"> (פ/881/22)</t>
  </si>
  <si>
    <t xml:space="preserve">הצעת חוק פיקוח על בתי ספר (תיקון - הרחבת תחולה), התש"ף-2019</t>
  </si>
  <si>
    <t xml:space="preserve"> (פ/880/22)</t>
  </si>
  <si>
    <t xml:space="preserve">הצעת חוק ארוחה יומית לתלמיד (תיקון - ביטול השתתפות עצמית של ההורים), התש"ף-2019</t>
  </si>
  <si>
    <t xml:space="preserve"> (פ/879/22)</t>
  </si>
  <si>
    <t xml:space="preserve">הצעת חוק לתיקון פקודת העיריות (חובת הקלטת דיונים, ניהול פרוטוקול ופרסומם), התש"ף-2019</t>
  </si>
  <si>
    <t xml:space="preserve"> (פ/878/22)</t>
  </si>
  <si>
    <t xml:space="preserve">הצעת חוק ארוחה יומית לתלמיד (תיקון - הכללת תכנית ציל"ה בחוק), התש"ף-2019</t>
  </si>
  <si>
    <t xml:space="preserve"> (פ/877/22)</t>
  </si>
  <si>
    <t xml:space="preserve">הצעת חוק לימוד חובה (תיקון - מימון טיולים שנתיים לתלמידים שהוריהם אינם יכולים לשלם), התש"ף-2019</t>
  </si>
  <si>
    <t xml:space="preserve"> (פ/876/22)</t>
  </si>
  <si>
    <t xml:space="preserve">הצעת חוק הביטוח הלאומי (תיקון - תקופת אכשרה לעובדים בעבודה מחזורית), התש"ף-2019</t>
  </si>
  <si>
    <t xml:space="preserve"> (פ/875/22)</t>
  </si>
  <si>
    <t xml:space="preserve">הצעת חוק הרשויות המקומיות (בחירת ראש הרשות וסגניו וכהונתם) (תיקון - מילוי מקום ראש רשות שהושעה מכהונה בשל הגשת כתב אישום ושב ונבחר), התש"ף-2019</t>
  </si>
  <si>
    <t xml:space="preserve"> (פ/874/22)</t>
  </si>
  <si>
    <t xml:space="preserve">הצעת חוק חוזה הביטוח (תיקון - הארכת תקופת ההתיישנות), התש"ף-2019</t>
  </si>
  <si>
    <t xml:space="preserve"> (פ/873/22)</t>
  </si>
  <si>
    <t xml:space="preserve">הצעת חוק יישוב סכסוכי עבודה (תיקון - איסור שביתה ללא הודעה מראש), התש"ף-2019</t>
  </si>
  <si>
    <t xml:space="preserve"> (פ/872/22)</t>
  </si>
  <si>
    <t xml:space="preserve">הצעת חוק הגנה מפני הכחשת השואה (תיקוני חקיקה), התש"ף-2019</t>
  </si>
  <si>
    <t xml:space="preserve"> (פ/871/22)</t>
  </si>
  <si>
    <t xml:space="preserve">הצעת חוק התכנון והבנייה (תיקון - חילוט כלי עבודה על ידי רשות מקומית), התש"ף-2019</t>
  </si>
  <si>
    <t xml:space="preserve"> (פ/870/22)</t>
  </si>
  <si>
    <t xml:space="preserve">הצעת חוק ההוצאה לפועל (תיקון - ביטול האפשרות לצוות על עיכוב יציאה מהארץ בגין חוב כספי נמוך), התש"ף-2019</t>
  </si>
  <si>
    <t xml:space="preserve"> (פ/869/22)</t>
  </si>
  <si>
    <t xml:space="preserve">הצעת חוק למדיניות לאומית לשמירה על שטחים פתוחים, התש"ף-2019</t>
  </si>
  <si>
    <t xml:space="preserve"> (פ/868/22)</t>
  </si>
  <si>
    <t xml:space="preserve">הצעת חוק חובת המכרזים (תיקון - חובת שיקולי הגנת צרכן במכרזים), התש"ף-2019</t>
  </si>
  <si>
    <t xml:space="preserve"> (פ/867/22)</t>
  </si>
  <si>
    <t xml:space="preserve">הצעת חוק שיקים ללא כיסוי (תיקון - קביעת סכום מינימום להגבלת חשבון בנק והגבלת לקוח), התש"ף-2019</t>
  </si>
  <si>
    <t xml:space="preserve"> (פ/866/22)</t>
  </si>
  <si>
    <t xml:space="preserve">הצעת חוק הביטוח הלאומי (תיקון - דמי אבטלה לעצמאיים), התש"ף-2019</t>
  </si>
  <si>
    <t xml:space="preserve"> (פ/865/22)</t>
  </si>
  <si>
    <t xml:space="preserve">הצעת חוק לתיקון פקודת העיריות (חיזוק שלטון החוק וטוהר המידות בשלטון המקומי), התש"ף-2019</t>
  </si>
  <si>
    <t xml:space="preserve"> (פ/864/22)</t>
  </si>
  <si>
    <t xml:space="preserve">הצעת חוק פיצויי פיטורים (תיקון - מתן פיצויי פיטורים עקב העתקת מקום מגורים לבני זוג ידועים בציבור), התש"ף-2019</t>
  </si>
  <si>
    <t xml:space="preserve"> (פ/863/22)</t>
  </si>
  <si>
    <t xml:space="preserve">הצעת חוק התכנון והבנייה (תיקון - פרסום הודעת הפקדה בשפה שאינה עברית), התש"ף-2019 </t>
  </si>
  <si>
    <t xml:space="preserve"> (פ/862/22)</t>
  </si>
  <si>
    <t xml:space="preserve">הצעת חוק הביטוח הלאומי (תיקון - קביעת דרגת נכות לנפגעי עבודה), התש"ף-2019</t>
  </si>
  <si>
    <t xml:space="preserve"> (פ/861/22)</t>
  </si>
  <si>
    <t xml:space="preserve">הצעת חוק הסדרת התפילה בכותל המערבי, התש"ף-2019</t>
  </si>
  <si>
    <t xml:space="preserve"> (פ/860/22)</t>
  </si>
  <si>
    <t xml:space="preserve">הצעת חוק יישוב סכסוכי עבודה (תיקון - ריכוז מידע על שביתות והשבתות), התש"ף-2019</t>
  </si>
  <si>
    <t xml:space="preserve"> (פ/859/22)</t>
  </si>
  <si>
    <t xml:space="preserve">הצעת חוק ארוחת בוקר במוסדות חינוך, התש"ף-2019</t>
  </si>
  <si>
    <t xml:space="preserve"> (פ/858/22)</t>
  </si>
  <si>
    <t xml:space="preserve">הצעת חוק התכנון והבנייה (תיקון - הוראות שונות לעניין היטל השבחה), התש"ף-2019</t>
  </si>
  <si>
    <t xml:space="preserve"> (פ/857/22)</t>
  </si>
  <si>
    <t xml:space="preserve">הצעת חוק פיקוח על בתי ספר (תיקון - הרחבת תקפו של רישיון), התש"ף-2019</t>
  </si>
  <si>
    <t xml:space="preserve"> (פ/856/22)</t>
  </si>
  <si>
    <t xml:space="preserve">הצעת חוק קרן קיימת לישראל (תיקון - החברה החדשה - גוף מבוקר), התש"ף-2019</t>
  </si>
  <si>
    <t xml:space="preserve"> (פ/855/22)</t>
  </si>
  <si>
    <t xml:space="preserve">הצעת חוק חוזה הביטוח (תיקון - חובת מסירת הקלטת שיחת טלפון למבוטח), התש"ף-2019</t>
  </si>
  <si>
    <t xml:space="preserve"> (פ/854/22)</t>
  </si>
  <si>
    <t xml:space="preserve">הצעת חוק חינוך חינם לילדים חולים (תיקון - הקמת מסגרות ייעודיות לילדים המטופלים בטיפול ממושך), התש"ף-2019</t>
  </si>
  <si>
    <t xml:space="preserve"> (פ/853/22)</t>
  </si>
  <si>
    <t xml:space="preserve">הצעת חוק חוזה הביטוח (תיקון - בדיקת תלות בידי רופא מומחה למבוטח מגיל 75), התש"ף-2019</t>
  </si>
  <si>
    <t xml:space="preserve"> (פ/852/22)</t>
  </si>
  <si>
    <t xml:space="preserve">הצעת חוק מס רכוש וקרן פיצויים (תיקון - תשלום מקדמות בעת מצב מיוחד בעורף), התש"ף-2019</t>
  </si>
  <si>
    <t xml:space="preserve"> (פ/851/22)</t>
  </si>
  <si>
    <t xml:space="preserve">הצעת חוק גיל פרישה (תיקון - העלאת גיל הפרישה לנשים וקביעת צעדים תומכים לנשים בגילאי העבודה), התש"ף-2019</t>
  </si>
  <si>
    <t xml:space="preserve"> (פ/850/22)</t>
  </si>
  <si>
    <t xml:space="preserve">הצעת חוק חוזה הביטוח (תיקון - סדרי דין מזורזים בתביעות ביטוח), התש"ף-2019</t>
  </si>
  <si>
    <t xml:space="preserve"> (פ/849/22)</t>
  </si>
  <si>
    <t xml:space="preserve">הצעת חוק עבודת נשים (תיקון - זכאות להשתתפות בעלות מעון יום בתקופת הלידה וההורות), התש"ף-2019</t>
  </si>
  <si>
    <t xml:space="preserve"> (פ/848/22)</t>
  </si>
  <si>
    <t xml:space="preserve">הצעת חוק החברות הממשלתיות (תיקון - נבחרת הדירקטורים), התש"ף-2019</t>
  </si>
  <si>
    <t xml:space="preserve"> (פ/847/22)</t>
  </si>
  <si>
    <t xml:space="preserve">הצעת חוק המכר (דירות) (הבטחת השקעות של רוכשי דירות) (תיקון - התחדשות עירונית), התש"ף-2019</t>
  </si>
  <si>
    <t xml:space="preserve"> (פ/846/22)</t>
  </si>
  <si>
    <t xml:space="preserve">הצעת חוק שירות המדינה (מינויים) (תיקון - ייצוג הולם ללוחמים), התש"ף-2019</t>
  </si>
  <si>
    <t xml:space="preserve"> (פ/845/22)</t>
  </si>
  <si>
    <t xml:space="preserve"> (פ/844/22)</t>
  </si>
  <si>
    <t xml:space="preserve">הצעת חוק צער בעלי חיים (הגנה על בעלי חיים) (תיקון - רישיון לזיווג או למכירה של כלבים וחתולים), התש"ף-2019</t>
  </si>
  <si>
    <t xml:space="preserve"> (פ/843/22)</t>
  </si>
  <si>
    <t xml:space="preserve">הצעת חוק סיוע לחולי דגנת, התש"ף-2019</t>
  </si>
  <si>
    <t xml:space="preserve"> (פ/842/22)</t>
  </si>
  <si>
    <t xml:space="preserve">הצעת חוק להנצחת זכרו של הרב עובדיה יוסף, התש"ף-2019</t>
  </si>
  <si>
    <t xml:space="preserve"> (פ/841/22)</t>
  </si>
  <si>
    <t xml:space="preserve">הצעת חוק הביטוח הלאומי (תיקון - רכז תנועות נוער כעבודה מועדפת), התש"ף-2019</t>
  </si>
  <si>
    <t xml:space="preserve"> (פ/840/22)</t>
  </si>
  <si>
    <t xml:space="preserve">הצעת חוק קליטת חיילים משוחררים (תיקון - תקצוב על פי מספר חיילים משוחררים הנרשמים ללימודים), התש"ף-2019</t>
  </si>
  <si>
    <t xml:space="preserve"> (פ/839/22)</t>
  </si>
  <si>
    <t xml:space="preserve">הצעת חוק הביטוח הלאומי (תיקון - תשלום גמלת שמירת היריון עבור כל תקופת שמירת ההיריון), התש"ף-2019</t>
  </si>
  <si>
    <t xml:space="preserve"> (פ/838/22)</t>
  </si>
  <si>
    <t xml:space="preserve">הצעת חוק דמי מחלה (היעדרות בשל מחלת נכד), התש"ף-2019</t>
  </si>
  <si>
    <t xml:space="preserve"> (פ/837/22)</t>
  </si>
  <si>
    <t xml:space="preserve">הצעת חוק הביטוח הלאומי (תיקון - הכנסה של עובד סיעוד שלא תובא בחשבון לעניין הזכאות לקצבת אזרח ותיק), התש"ף-2019</t>
  </si>
  <si>
    <t xml:space="preserve"> (פ/836/22)</t>
  </si>
  <si>
    <t xml:space="preserve"> (פ/835/22)</t>
  </si>
  <si>
    <t xml:space="preserve">הצעת חוק הבטחת הכנסה (תיקון - הבטחת זכויות ילדים נטושים), התש"ף-2019</t>
  </si>
  <si>
    <t xml:space="preserve"> (פ/834/22)</t>
  </si>
  <si>
    <t xml:space="preserve">הצעת חוק החמרים המסוכנים (תיקון - פרטי התקשרות למרכז רעלים), התש"ף-2019</t>
  </si>
  <si>
    <t xml:space="preserve"> (פ/833/22)</t>
  </si>
  <si>
    <t xml:space="preserve">הצעת חוק הביטוח הלאומי (תיקון - הכרה בדלקת הענבית אצל ילדים), התש"ף-2019</t>
  </si>
  <si>
    <t xml:space="preserve"> (פ/832/22)</t>
  </si>
  <si>
    <t xml:space="preserve">הצעת חוק האזרחות (תיקון - אזרחות לצאצא אזרח ישראלי המתגורר מחוץ לישראל), התש"ף-2019</t>
  </si>
  <si>
    <t xml:space="preserve"> (פ/831/22)</t>
  </si>
  <si>
    <t xml:space="preserve">הצעת חוק לתיקון פקודת בריאות העם (הוספת מגנזיום למי השתייה), התש"ף-2019</t>
  </si>
  <si>
    <t xml:space="preserve"> (פ/830/22)</t>
  </si>
  <si>
    <t xml:space="preserve">הצעת חוק ירושלים ובנותיה, התש"ף-2019</t>
  </si>
  <si>
    <t xml:space="preserve"> (פ/829/22)</t>
  </si>
  <si>
    <t xml:space="preserve">הצעת חוק התכנון והבנייה (תיקון - איסור התניית היתר בהתקנת מקומות חניה ובניצול חלק קיים משטח דירה), התש"ף-2019</t>
  </si>
  <si>
    <t xml:space="preserve"> (פ/828/22)</t>
  </si>
  <si>
    <t xml:space="preserve">הצעת חוק ביטוח בריאות ממלכתי (תיקון - רפואת שיניים לאנשים שמלאו להם 65 שנים), התש"ף-2019</t>
  </si>
  <si>
    <t xml:space="preserve"> (פ/827/22)</t>
  </si>
  <si>
    <t xml:space="preserve">הצעת חוק לתיקון פקודת התעבורה (הפחתת גובה קנס בשל תשלום מיידי), התש"ף-2019</t>
  </si>
  <si>
    <t xml:space="preserve"> (פ/826/22)</t>
  </si>
  <si>
    <t xml:space="preserve"> (פ/825/22)</t>
  </si>
  <si>
    <t xml:space="preserve">הצעת חוק לתיקון פקודת התעבורה (הסדר ארצי אחיד לעניין גרירת רכב), התש"ף-2019</t>
  </si>
  <si>
    <t xml:space="preserve"> (פ/824/22)</t>
  </si>
  <si>
    <t xml:space="preserve">הצעת חוק התכנון והבנייה (תיקון - גני ילדים ומעונות יום), התש"ף-2019</t>
  </si>
  <si>
    <t xml:space="preserve"> (פ/823/22)</t>
  </si>
  <si>
    <t xml:space="preserve">הצעת חוק סדר הדין הפלילי (תיקון - ביטול פסק דין שניתן בהיעדרו של הנאשם), התש"ף-2019</t>
  </si>
  <si>
    <t xml:space="preserve"> (פ/822/22)</t>
  </si>
  <si>
    <t xml:space="preserve">הצעת חוק חוזה הביטוח (תיקון - איסור התניית תגמולי ביטוח בחובת סודיות), התש"ף-2019</t>
  </si>
  <si>
    <t xml:space="preserve"> (פ/821/22)</t>
  </si>
  <si>
    <t xml:space="preserve">הצעת חוק אי-נקיטת הליכים לפני מועדי ישראל (תיקוני חקיקה), התש"ף-2019</t>
  </si>
  <si>
    <t xml:space="preserve"> (פ/820/22)</t>
  </si>
  <si>
    <t xml:space="preserve">הצעת חוק מעונות יום שיקומיים (תיקון - מעונות יום עם הגנה חיסונית), התש"ף-2019</t>
  </si>
  <si>
    <t xml:space="preserve"> (פ/819/22)</t>
  </si>
  <si>
    <t xml:space="preserve">הצעת חוק-יסוד: ירושלים בירת ישראל (תיקון - משאל עם) </t>
  </si>
  <si>
    <t xml:space="preserve"> (פ/818/22)</t>
  </si>
  <si>
    <t xml:space="preserve">הצעת חוק חוזה הביטוח (תיקון - סדרי דין תביעת תגמולי ביטוח סיעוד), התש"ף-2019</t>
  </si>
  <si>
    <t xml:space="preserve"> (פ/817/22)</t>
  </si>
  <si>
    <t xml:space="preserve">הצעת חוק הבטחת הכנסה (תיקון - קצבה מגרמניה שלא תובא בחשבון במבחן ההכנסה), התש"ף-2019 </t>
  </si>
  <si>
    <t xml:space="preserve"> (פ/816/22)</t>
  </si>
  <si>
    <t xml:space="preserve">הצעת חוק המועצה להשכלה גבוהה (תיקון - קביעת תנאי קבלה בידי מוסד), התש"ף-2019</t>
  </si>
  <si>
    <t xml:space="preserve"> (פ/815/22)</t>
  </si>
  <si>
    <t xml:space="preserve">הצעת חוק לעידוד בנייה בת קיימא (תיקוני חקיקה), התש"ף-2019</t>
  </si>
  <si>
    <t xml:space="preserve"> (פ/814/22)</t>
  </si>
  <si>
    <t xml:space="preserve">הצעת חוק אמנת הפליט להסדרת מעמד מבקשי מקלט ופליטים בישראל, התש"ף-2019</t>
  </si>
  <si>
    <t xml:space="preserve"> (פ/813/22)</t>
  </si>
  <si>
    <t xml:space="preserve">הצעת חוק הרשויות המקומיות (פטור חיילים, נפגעי מלחמה ושוטרים מארנונה) (תיקון - פטור לחייל בודד בדירת שותפים), התש"ף-2019</t>
  </si>
  <si>
    <t xml:space="preserve"> (פ/812/22)</t>
  </si>
  <si>
    <t xml:space="preserve">הצעת חוק הגנת הסביבה (יחידה סביבתית ברשויות ציבוריות), התש"ף-2019</t>
  </si>
  <si>
    <t xml:space="preserve"> (פ/811/22)</t>
  </si>
  <si>
    <t xml:space="preserve"> (פ/810/22)</t>
  </si>
  <si>
    <t xml:space="preserve">הצעת חוק הגנה על הציבור מפני ביצוע עבירות מין (תיקון - הוצאת צו פיקוח חדש לאחר תום התקופה המרבית), התש"ף-2019</t>
  </si>
  <si>
    <t xml:space="preserve"> (פ/809/22)</t>
  </si>
  <si>
    <t xml:space="preserve">הצעת חוק איסור הפליה במוצרים, בשירותים ובכניסה למקומות בידור ולמקומות ציבוריים (תיקון - איסור הפליה בשל הובלת עגלת ילדים), התש"ף-2019</t>
  </si>
  <si>
    <t xml:space="preserve"> (פ/808/22)</t>
  </si>
  <si>
    <t xml:space="preserve">הצעת חוק המתווכים במקרקעין (תיקון - אחריות לתשלום דמי תיווך), התש"ף-2019</t>
  </si>
  <si>
    <t xml:space="preserve"> (פ/807/22)</t>
  </si>
  <si>
    <t xml:space="preserve">הצעת חוק הגנת הצרכן (תיקון - איסור גביית עמלה בעסקה שבוצעה באמצעות האינטרנט), התש"ף-2019</t>
  </si>
  <si>
    <t xml:space="preserve"> (פ/806/22)</t>
  </si>
  <si>
    <t xml:space="preserve">הצעת חוק לתיקון פקודת העיריות (תשלום עבור המצאת מסמכי מכרז), התש"ף-2019</t>
  </si>
  <si>
    <t xml:space="preserve"> (פ/805/22)</t>
  </si>
  <si>
    <t xml:space="preserve">הצעת חוק דמי מחלה (תיקון - איסור פיטורים בעת היעדרות בשל מחלת ילד), התש"ף-2019</t>
  </si>
  <si>
    <t xml:space="preserve"> (פ/804/22)</t>
  </si>
  <si>
    <t xml:space="preserve">הצעת חוק דמי מחלה (היעדרות בשל מחלת הורה) (תיקון - התאמות נדרשות לעניין הגדרת מחלה), התש"ף-2019</t>
  </si>
  <si>
    <t xml:space="preserve"> (פ/803/22)</t>
  </si>
  <si>
    <t xml:space="preserve">הצעת חוק ההתייעלות הכלכלית (תיקוני חקיקה להשגת יעדי התקציב לשנות התקציב 2017 ו-2018) (תיקון - מעמד ערי עולים), התש"ף-2019 </t>
  </si>
  <si>
    <t xml:space="preserve"> (פ/802/22)</t>
  </si>
  <si>
    <t xml:space="preserve">הצעת חוק הביטוח הלאומי (תיקון - דמי אבטלה לעובד שפוטר לאחר שהגיע לגיל פרישה), התש"ף-2019</t>
  </si>
  <si>
    <t xml:space="preserve"> (פ/801/22)</t>
  </si>
  <si>
    <t xml:space="preserve"> (פ/800/22)</t>
  </si>
  <si>
    <t xml:space="preserve">הצעת חוק דמי מחלה עבור מלווה לבדיקה רפואית (תיקוני חקיקה), התש"ף-2019 </t>
  </si>
  <si>
    <t xml:space="preserve"> (פ/799/22)</t>
  </si>
  <si>
    <t xml:space="preserve">הצעת חוק הבנקאות (רישוי) (תיקון - אישור ועדת הכספים של הכנסת לרכישת תאגיד בנקאי על ידי תאגיד בנקאי אחר), התש"ף-2019</t>
  </si>
  <si>
    <t xml:space="preserve"> (פ/798/22)</t>
  </si>
  <si>
    <t xml:space="preserve">הצעת חוק הגנה על בריאות הציבור (מזון) (תיקון - דיווח לציבור בעת חשש להרעלה או לזיהום), התש"ף-2019</t>
  </si>
  <si>
    <t xml:space="preserve"> (פ/797/22)</t>
  </si>
  <si>
    <t xml:space="preserve">הצעת חוק יסודות התקציב (תיקון - פיקוח אחיד על שימוש בתמיכה), התש"ף-2019</t>
  </si>
  <si>
    <t xml:space="preserve"> (פ/796/22)</t>
  </si>
  <si>
    <t xml:space="preserve">הצעת חוק עידוד השקעות הון (דיור בר השגה - תעודות מס), התש"ף-2019 </t>
  </si>
  <si>
    <t xml:space="preserve"> (פ/795/22)</t>
  </si>
  <si>
    <t xml:space="preserve">הצעת חוק לתיקון פקודת הבנקאות (בדיקה ודיווח לבקשת ועדת הכספים של הכנסת), התש"ף-2019</t>
  </si>
  <si>
    <t xml:space="preserve"> (פ/794/22)</t>
  </si>
  <si>
    <t xml:space="preserve">הצעת חוק יסודות התקציב (תיקון - שלילת תקצוב ממוסד שהעומד בראשו מסית נגד שירות ביטחון או שירות לאומי-אזרחי או בעד סירוב פקודה), התש"ף-2019</t>
  </si>
  <si>
    <t xml:space="preserve"> (פ/793/22)</t>
  </si>
  <si>
    <t xml:space="preserve">הצעת חוק האזרחים הוותיקים (תיקון - שירות ציבורי שאינו טיפול רפואי), התש"ף-2019</t>
  </si>
  <si>
    <t xml:space="preserve"> (פ/792/22)</t>
  </si>
  <si>
    <t xml:space="preserve">הצעת חוק האזרחים הוותיקים (תיקון - לחצן מצוקה לקשיש), התש"ף-2019</t>
  </si>
  <si>
    <t xml:space="preserve"> (פ/791/22)</t>
  </si>
  <si>
    <t xml:space="preserve">הצעת חוק לתיקון פקודת הרוקחים (הבטחת מלאי תרופתי), התש"ף-2019</t>
  </si>
  <si>
    <t xml:space="preserve"> (פ/790/22)</t>
  </si>
  <si>
    <t xml:space="preserve">הצעת חוק דמי מחלה (היעדרות בשל מחלת הורה) (תיקון - הרחבת הזכאות), התש"ף-2019</t>
  </si>
  <si>
    <t xml:space="preserve"> (פ/789/22)</t>
  </si>
  <si>
    <t xml:space="preserve">הצעת חוק מעונות יום שיקומיים (תיקון - הקדמת גיל הזכאות), התש"ף-2019</t>
  </si>
  <si>
    <t xml:space="preserve"> (פ/788/22)</t>
  </si>
  <si>
    <t xml:space="preserve">הצעת חוק לתיקון פקודת התעבורה (חובת התקנת מערכת למניעת השארת ילדים ברכב סגור), התש"ף-2019</t>
  </si>
  <si>
    <t xml:space="preserve"> (פ/787/22)</t>
  </si>
  <si>
    <t xml:space="preserve">הצעת חוק לתיקון פקודת התעבורה (התניית מתן רישיון רכב או חידושו בהתקנת מערכת המונעת השארת ילדים ברכב), התש"ף-2019</t>
  </si>
  <si>
    <t xml:space="preserve"> (פ/786/22)</t>
  </si>
  <si>
    <t xml:space="preserve">הצעת חוק זכויות תלמידים מחוננים ומצטיינים, התש"ף-2019</t>
  </si>
  <si>
    <t xml:space="preserve"> (פ/785/22)</t>
  </si>
  <si>
    <t xml:space="preserve">הצעת חוק בנק ישראל (תיקון - אישור פרטי שטרי כסף ומעות), התש"ף-2019</t>
  </si>
  <si>
    <t xml:space="preserve"> (פ/784/22)</t>
  </si>
  <si>
    <t xml:space="preserve">הצעת חוק זכויות הסטודנט (תיקון - תמיכה בסטודנטים שהם הורים), התש"ף-2019</t>
  </si>
  <si>
    <t xml:space="preserve"> (פ/783/22)</t>
  </si>
  <si>
    <t xml:space="preserve">הצעת חוק שירותי הסעד (תיקון - איסור התניית מימון שירותי רווחה ברשויות מוחלשות), התש"ף-2019</t>
  </si>
  <si>
    <t xml:space="preserve"> (פ/782/22)</t>
  </si>
  <si>
    <t xml:space="preserve"> (פ/781/22)</t>
  </si>
  <si>
    <t xml:space="preserve">הצעת חוק הבנקאות (שירות ללקוח) (תיקון - ביטול עמלה בעד שינוי מועד פירעון חודשי של הלוואה לדיור והגבלת גובה עמלות), התש"ף-2019</t>
  </si>
  <si>
    <t xml:space="preserve"> (פ/780/22)</t>
  </si>
  <si>
    <t xml:space="preserve">הצעת חוק הגנת הצרכן (תיקון - חובת סימון נפח האריזה וקביעת הנפח בשימוש), התש"ף-2019</t>
  </si>
  <si>
    <t xml:space="preserve"> (פ/779/22)</t>
  </si>
  <si>
    <t xml:space="preserve">הצעת חוק כרטיסי חיוב (תיקון - חובת פרסום פרטי ספק), התש"ף-2019</t>
  </si>
  <si>
    <t xml:space="preserve"> (פ/778/22)</t>
  </si>
  <si>
    <t xml:space="preserve">הצעת חוק הגנת הצרכן (תיקון - חובת פרסום שם יצרן ודגם מוצר), התש"ף-2019</t>
  </si>
  <si>
    <t xml:space="preserve"> (פ/777/22)</t>
  </si>
  <si>
    <t xml:space="preserve">הצעת חוק לתיקון פקודת הראיות (התייחסות איש צוות רפואי שלא תשמש ראיה), התש"ף-2019</t>
  </si>
  <si>
    <t xml:space="preserve"> (פ/776/22)</t>
  </si>
  <si>
    <t xml:space="preserve">הצעת חוק-יסוד: הכנסת (תיקון - הגבלת זכות השתיקה)</t>
  </si>
  <si>
    <t xml:space="preserve"> (פ/775/22)</t>
  </si>
  <si>
    <t xml:space="preserve">הצעת חוק קליטת חיילים משוחררים (תיקון - לימודים אקדמיים לחיילים משוחררים ששירתו כלוחמים במימון המדינה), התש"ף-2019</t>
  </si>
  <si>
    <t xml:space="preserve"> (פ/774/22)</t>
  </si>
  <si>
    <t xml:space="preserve">הצעת חוק הביטוח הלאומי (תיקון - שירותים מיוחדים לילד נכה), התש"ף-2019</t>
  </si>
  <si>
    <t xml:space="preserve"> (פ/773/22)</t>
  </si>
  <si>
    <t xml:space="preserve"> (פ/772/22)</t>
  </si>
  <si>
    <t xml:space="preserve">הצעת חוק זכויות החולה (תיקון - מתן הסכמה לטיפול רפואי), התש"ף-2019</t>
  </si>
  <si>
    <t xml:space="preserve"> (פ/771/22)</t>
  </si>
  <si>
    <t xml:space="preserve">הצעת חוק הגנת הפרטיות (תיקון - דיווח על פריצה למאגר מידע), התש"ף-2019</t>
  </si>
  <si>
    <t xml:space="preserve"> (פ/770/22)</t>
  </si>
  <si>
    <t xml:space="preserve">הצעת חוק המקרקעין (תיקון - סילוק פולשים), התש"ף-2019</t>
  </si>
  <si>
    <t xml:space="preserve"> (פ/769/22)</t>
  </si>
  <si>
    <t xml:space="preserve">הצעת חוק שירות המדינה (מינויים) (תיקון - ועדת איתור למינוי נציב שירות המדינה), התש"ף-2019</t>
  </si>
  <si>
    <t xml:space="preserve"> (פ/768/22)</t>
  </si>
  <si>
    <t xml:space="preserve">הצעת חוק חובת המכרזים (תיקון - עידוד העסקת עובדים מאוכלוסיות ייחודיות), התש"ף-2019</t>
  </si>
  <si>
    <t xml:space="preserve"> (פ/767/22)</t>
  </si>
  <si>
    <t xml:space="preserve"> (פ/766/22)</t>
  </si>
  <si>
    <t xml:space="preserve">הצעת חוק לתיקון פקודת התעבורה (מתקן שמטרתו למנוע שכחת ילד ברכב), התש"ף-2019</t>
  </si>
  <si>
    <t xml:space="preserve"> (פ/765/22)</t>
  </si>
  <si>
    <t xml:space="preserve">הצעת חוק צער בעלי חיים (הגנה על בעלי חיים) (תיקון - החמרת ענישה בגין התעללות בבעלי חיים), התש"ף-2019</t>
  </si>
  <si>
    <t xml:space="preserve"> (פ/764/22)</t>
  </si>
  <si>
    <t xml:space="preserve">הצעת חוק הכנסת (תיקון - הוראות מיוחדות לעניין ראש אופוזיציה מסיעה קטנה), התש"ף-2019</t>
  </si>
  <si>
    <t xml:space="preserve"> (פ/763/22)</t>
  </si>
  <si>
    <t xml:space="preserve">הצעת חוק לעידוד מחקר, פיתוח וחדשנות טכנולוגית בתעשייה (תיקון - תקציב הרשות הלאומית לחדשנות טכנולוגית), התש"ף-2019</t>
  </si>
  <si>
    <t xml:space="preserve"> (פ/762/22)</t>
  </si>
  <si>
    <t xml:space="preserve">הצעת חוק הגנת הצרכן (תיקון - שינוי פרטים בכרטיס טיסה או בכרטיס לשיט), התש"ף-2019</t>
  </si>
  <si>
    <t xml:space="preserve"> (פ/761/22)</t>
  </si>
  <si>
    <t xml:space="preserve">הצעת חוק ההנדסאים והטכנאים המוסמכים (תיקון - השכלה טכנולוגית), התש"ף-2019</t>
  </si>
  <si>
    <t xml:space="preserve"> (פ/760/22)</t>
  </si>
  <si>
    <t xml:space="preserve">הצעת חוק הקמת האקדמיה הלאומית לשפת הסימנים, התש"ף-2019</t>
  </si>
  <si>
    <t xml:space="preserve"> (פ/759/22)</t>
  </si>
  <si>
    <t xml:space="preserve">הצעת חוק סיוע לבני משפחה של נפטר ממחלה סופנית, התש"ף-2019</t>
  </si>
  <si>
    <t xml:space="preserve"> (פ/758/22)</t>
  </si>
  <si>
    <t xml:space="preserve">הצעת חוק המטה להיערכות הלאומית להזדקנות האוכלוסייה, התש"ף-2019</t>
  </si>
  <si>
    <t xml:space="preserve"> (פ/757/22)</t>
  </si>
  <si>
    <t xml:space="preserve">הצעת חוק הביטוח הלאומי (תיקון - שמירה חקלאית כעבודה מועדפת), התש"ף-2019</t>
  </si>
  <si>
    <t xml:space="preserve"> (פ/756/22)</t>
  </si>
  <si>
    <t xml:space="preserve">הצעת חוק עבודת נשים (תיקון - חישוב ימי מחלה בתקופת היריון), התש"ף-2019</t>
  </si>
  <si>
    <t xml:space="preserve"> (פ/755/22)</t>
  </si>
  <si>
    <t xml:space="preserve">הצעת חוק הביטוח הלאומי (תיקון - הכנסה מביטוח אובדן כושר עבודה), התש"ף-2019</t>
  </si>
  <si>
    <t xml:space="preserve"> (פ/754/22)</t>
  </si>
  <si>
    <t xml:space="preserve">הצעת חוק הביטוח הלאומי (תיקון - עבודות טבחות, תחזוקה וניקיון במסעדות ובתי אוכל כעבודה מועדפת), התש"ף-2019</t>
  </si>
  <si>
    <t xml:space="preserve"> (פ/753/22)</t>
  </si>
  <si>
    <t xml:space="preserve">הצעת חוק הביטוח הלאומי (תיקון - עדכון קצבת אזרח ותיק בהתאם לשכר המינימום), התש"ף-2019 </t>
  </si>
  <si>
    <t xml:space="preserve"> (פ/752/22)</t>
  </si>
  <si>
    <t xml:space="preserve">הצעת חוק שכר מינימום (תיקון - שכר מינימום לעובד שטרם מלאו לו 18 שנים), התש"ף-2019</t>
  </si>
  <si>
    <t xml:space="preserve"> (פ/751/22)</t>
  </si>
  <si>
    <t xml:space="preserve">הצעת חוק עובדים זרים (תיקון - ביטול הצורך בהיתר להעסקת עובד זר מומחה לתקופה קצרה), התש"ף-2019</t>
  </si>
  <si>
    <t xml:space="preserve"> (פ/750/22)</t>
  </si>
  <si>
    <t xml:space="preserve">הצעת חוק ביטוח בריאות ממלכתי (תיקון - קבלת שירותים רפואיים סמוך למקום המגורים), התש"ף-2019</t>
  </si>
  <si>
    <t xml:space="preserve"> (פ/749/22)</t>
  </si>
  <si>
    <t xml:space="preserve">הצעת חוק ביטוח בריאות ממלכתי (תיקון - מתן שירותים במרפאה ביישוב קטן לחברי קופה אחרת), התש"ף-2019</t>
  </si>
  <si>
    <t xml:space="preserve"> (פ/748/22)</t>
  </si>
  <si>
    <t xml:space="preserve"> (פ/747/22)</t>
  </si>
  <si>
    <t xml:space="preserve">הצעת חוק חופשה שנתית (תיקון - קביעת יום פתיחת שנת הלימודים כיום בחירה), התש"ף-2019</t>
  </si>
  <si>
    <t xml:space="preserve"> (פ/746/22)</t>
  </si>
  <si>
    <t xml:space="preserve">הצעת חוק האזרחים הוותיקים (תיקון - הטבות למקבלי פנסיה מזערית), התש"ף-2019</t>
  </si>
  <si>
    <t xml:space="preserve"> (פ/745/22)</t>
  </si>
  <si>
    <t xml:space="preserve">הצעת חוק שירות אזרחי (תיקון - צמצום יכולת ההשפעה של חשודים על התנהלות גוף מוכר), התש"ף-2019</t>
  </si>
  <si>
    <t xml:space="preserve"> (פ/744/22)</t>
  </si>
  <si>
    <t xml:space="preserve">הצעת חוק הביטוח הלאומי (תיקון - פטור מתשלומים של דמי ביטוח בעד ימי מילואים), התש"ף-2019</t>
  </si>
  <si>
    <t xml:space="preserve"> (פ/743/22)</t>
  </si>
  <si>
    <t xml:space="preserve">הצעת חוק שירות אזרחי (תיקון - הפסקת פעילותו של גוף מוכר שדיווח דיווחים כוזבים), התש"ף-2019</t>
  </si>
  <si>
    <t xml:space="preserve"> (פ/742/22)</t>
  </si>
  <si>
    <t xml:space="preserve">הצעת חוק הביטוח הלאומי (תיקון - ילד הזקוק לטיפול רפואי מיוחד וקבוע), התש"ף-2019</t>
  </si>
  <si>
    <t xml:space="preserve"> (פ/741/22)</t>
  </si>
  <si>
    <t xml:space="preserve">הצעת חוק שלילת תקצוב מוסדות חינוך המחנכים להסתה ולשלילת קיומה של מדינת ישראל ומוסדותיה (תיקוני חקיקה), התש"ף-2019 </t>
  </si>
  <si>
    <t xml:space="preserve"> (פ/740/22)</t>
  </si>
  <si>
    <t xml:space="preserve">הצעת חוק הגנת הצרכן (תיקון - איסור על שיווק טלפוני למספר הרשום במאגר "אל תתקשרו אלי"), התש"ף-2019</t>
  </si>
  <si>
    <t xml:space="preserve"> (פ/739/22)</t>
  </si>
  <si>
    <t xml:space="preserve">הצעת חוק ביטוח בריאות ממלכתי (תיקון - הקצאת תוספת שנתית ייעודית לתרופות למחלות יתומות בסל שירותי הבריאות), התש"ף-2019</t>
  </si>
  <si>
    <t xml:space="preserve"> (פ/738/22)</t>
  </si>
  <si>
    <t xml:space="preserve"> (פ/737/22)</t>
  </si>
  <si>
    <t xml:space="preserve">הצעת חוק חינוך ממלכתי (תיקון - הקניית ידע פיננסי וכישורי חיים), התש"ף-2019</t>
  </si>
  <si>
    <t xml:space="preserve"> (פ/736/22)</t>
  </si>
  <si>
    <t xml:space="preserve">הצעת חוק זכויות הסטודנט (תיקון - חובת דיווח שנתית בדבר תלונות סטודנטים לוועדת החינוך התרבות והספורט של הכנסת), התש"ף-2019</t>
  </si>
  <si>
    <t xml:space="preserve"> (פ/735/22)</t>
  </si>
  <si>
    <t xml:space="preserve">הצעת חוק קליטת חיילים משוחררים (תיקון - הקרן להעצמת המשרתים בשירות צבאי), התש"ף-2019</t>
  </si>
  <si>
    <t xml:space="preserve"> (פ/734/22)</t>
  </si>
  <si>
    <t xml:space="preserve">הצעת חוק עבודת נשים (תיקון - תקופת לידה והורות לגבר), התש"ף-2019</t>
  </si>
  <si>
    <t xml:space="preserve"> (פ/733/22)</t>
  </si>
  <si>
    <t xml:space="preserve"> (פ/732/22)</t>
  </si>
  <si>
    <t xml:space="preserve"> (פ/731/22)</t>
  </si>
  <si>
    <t xml:space="preserve">הצעת חוק לעידוד השקעות הון (תיקון - הוספת מפעלי תעשייה חקלאית), התש"ף-2019</t>
  </si>
  <si>
    <t xml:space="preserve"> (פ/730/22)</t>
  </si>
  <si>
    <t xml:space="preserve">הצעת חוק שירות לאומי-אזרחי (תיקון - משרת בודד), התש"ף-2019</t>
  </si>
  <si>
    <t xml:space="preserve"> (פ/729/22)</t>
  </si>
  <si>
    <t xml:space="preserve">הצעת חוק לתיקון פקודת מס הכנסה (זיכוי למעסיק שעובדיו משרתים במילואים), התש"ף-2019</t>
  </si>
  <si>
    <t xml:space="preserve"> (פ/728/22)</t>
  </si>
  <si>
    <t xml:space="preserve"> (פ/727/22)</t>
  </si>
  <si>
    <t xml:space="preserve">הצעת חוק דמי קיום לחיילים בשירות סדיר, התש"ף-2019</t>
  </si>
  <si>
    <t xml:space="preserve"> (פ/726/22)</t>
  </si>
  <si>
    <t xml:space="preserve">הצעת חוק הסדרים במשק המדינה (תיקוני חקיקה להשגת יעדי התקציב) (תיקון – ארנונה על מבנה מגורים שאינו בשימוש), התש"ף–2019</t>
  </si>
  <si>
    <t xml:space="preserve"> (פ/725/22)</t>
  </si>
  <si>
    <t xml:space="preserve">הצעת חוק שירות ביטחון (תיקון - ביטול גיוס חובה), התש"ף-2019</t>
  </si>
  <si>
    <t xml:space="preserve"> (פ/724/22)</t>
  </si>
  <si>
    <t xml:space="preserve">הצעת חוק הפיקוח על שירותים פיננסיים (עיסוק בייעוץ מימון דיור), התש"ף-2019</t>
  </si>
  <si>
    <t xml:space="preserve"> (פ/723/22)</t>
  </si>
  <si>
    <t xml:space="preserve">הצעת חוק הקרן הקיימת לישראל (תחולת דיני המס), התש"ף-2019</t>
  </si>
  <si>
    <t xml:space="preserve"> (פ/722/22)</t>
  </si>
  <si>
    <t xml:space="preserve">הצעת חוק הצמדת תשלומים לחיילים בודדים למדד המחירים לצרכן, התש"ף-2019</t>
  </si>
  <si>
    <t xml:space="preserve"> (פ/721/22)</t>
  </si>
  <si>
    <t xml:space="preserve">הצעת חוק מס ערך מוסף (תיקון - מועד הוצאת חשבונית מס), התש"ף-2019</t>
  </si>
  <si>
    <t xml:space="preserve"> (פ/720/22)</t>
  </si>
  <si>
    <t xml:space="preserve">הצעת חוק הגנת הצרכן (תיקון - חובת גילוי הוזלה במחיר בעסקה מתמשכת), התש"ף-2019</t>
  </si>
  <si>
    <t xml:space="preserve"> (פ/719/22)</t>
  </si>
  <si>
    <t xml:space="preserve">הצעת חוק התכנון והבנייה (תיקון - תסקיר גישה ובטיחות בנתיבי תנועה ציבוריים), התש"ף-2019</t>
  </si>
  <si>
    <t xml:space="preserve"> (פ/718/22)</t>
  </si>
  <si>
    <t xml:space="preserve">הצעת חוק חובת המכרזים (תיקון - מתן עדיפות לשירותים מתוצרת הארץ), התש"ף-2019</t>
  </si>
  <si>
    <t xml:space="preserve"> (פ/717/22)</t>
  </si>
  <si>
    <t xml:space="preserve">הצעת חוק התכנון והבנייה (תיקון - ייצוג הוועדה המקומית), התש"ף-2019</t>
  </si>
  <si>
    <t xml:space="preserve"> (פ/716/22)</t>
  </si>
  <si>
    <t xml:space="preserve">הצעת חוק הביקורת הפנימית (תיקון - אחריות ועצמאות המבקר), התש"ף-2019</t>
  </si>
  <si>
    <t xml:space="preserve"> (פ/715/22)</t>
  </si>
  <si>
    <t xml:space="preserve">הצעת חוק להגנה על האגן הצפוני של ים המלח, התש"ף-2019</t>
  </si>
  <si>
    <t xml:space="preserve"> (פ/714/22)</t>
  </si>
  <si>
    <t xml:space="preserve">הצעת חוק לתיקון פקודת העיריות (מענק הבירה), תש"ף-2019</t>
  </si>
  <si>
    <t xml:space="preserve"> (פ/713/22)</t>
  </si>
  <si>
    <t xml:space="preserve">הצעת חוק הביטוח הלאומי (תיקון - זכאות לדמי אבטלה לעובד שהתפטר לשם טיפול בילדו), התש"ף-2019</t>
  </si>
  <si>
    <t xml:space="preserve"> (פ/712/22)</t>
  </si>
  <si>
    <t xml:space="preserve"> (פ/711/22)</t>
  </si>
  <si>
    <t xml:space="preserve">הצעת חוק הביטוח הלאומי (תיקון - התפטרות הורה על מנת לטפל בילדו), התש"ף-2019</t>
  </si>
  <si>
    <t xml:space="preserve"> (פ/710/22)</t>
  </si>
  <si>
    <t xml:space="preserve">הצעת חוק שמירת הסביבה החופית (תיקון - התאמת תכניות ישנות), התש"ף-2019</t>
  </si>
  <si>
    <t xml:space="preserve"> (פ/709/22)</t>
  </si>
  <si>
    <t xml:space="preserve"> (פ/708/22)</t>
  </si>
  <si>
    <t xml:space="preserve">הצעת חוק הגנת הצרכן (תיקון - חובת הצגת מחיר מוצר בעת עריכת החשבון בקופה), התש"ף-2019</t>
  </si>
  <si>
    <t xml:space="preserve"> (פ/707/22)</t>
  </si>
  <si>
    <t xml:space="preserve">הצעת חוק הבטחת הכנסה (תיקון - תשלום רטרואקטיבי של גמלת הבטחת הכנסה למקבלי קצבת אזרח ותיק), התש"ף-2019</t>
  </si>
  <si>
    <t xml:space="preserve"> (פ/706/22)</t>
  </si>
  <si>
    <t xml:space="preserve">הצעת חוק לתיקון פקודת התעבורה (חובת התקנת חיישן בטיחות), התש"ף-2019</t>
  </si>
  <si>
    <t xml:space="preserve"> (פ/705/22)</t>
  </si>
  <si>
    <t xml:space="preserve">הצעת חוק הגנת הצרכן (תיקון - ביטול אפשרות להארכה אוטומטית של עסקה לתקופה קצובה), התש"ף-2019</t>
  </si>
  <si>
    <t xml:space="preserve"> (פ/704/22)</t>
  </si>
  <si>
    <t xml:space="preserve">הצעת חוק אבטחה במוסדות חינוך, התש"ף-2019</t>
  </si>
  <si>
    <t xml:space="preserve"> (פ/703/22)</t>
  </si>
  <si>
    <t xml:space="preserve">הצעת חוק משק החשמל (תיקון - תשלומי חשמל מופחתים לקשישים נכים), התש"ף-2019</t>
  </si>
  <si>
    <t xml:space="preserve"> (פ/702/22)</t>
  </si>
  <si>
    <t xml:space="preserve">הצעת חוק שירות אזרחי (תיקון - עידוד הצטרפות לשירות אזרחי רק למי שפטור משירות סדיר או לא נקרא לו), התש"ף-2019</t>
  </si>
  <si>
    <t xml:space="preserve"> (פ/701/22)</t>
  </si>
  <si>
    <t xml:space="preserve">הצעת חוק משק החשמל (תיקון - פיקוח על תעריפי החשמל), התש"ף-2019</t>
  </si>
  <si>
    <t xml:space="preserve"> (פ/700/22)</t>
  </si>
  <si>
    <t xml:space="preserve">הצעת חוק להסדרת הפיקוח על כלבים (תיקון - דיווח על המתת כלבים), התש"ף-2019</t>
  </si>
  <si>
    <t xml:space="preserve"> (פ/699/22)</t>
  </si>
  <si>
    <t xml:space="preserve">הצעת חוק המכר (דירות) (תיקון - חובת מסירת תכניות הדירה לקונה), התש"ף-2019</t>
  </si>
  <si>
    <t xml:space="preserve"> (פ/698/22)</t>
  </si>
  <si>
    <t xml:space="preserve">הצעת חוק הביטוח הלאומי (תיקון - זכות טיעון לפני שלילת גמלה), התש"ף-2019</t>
  </si>
  <si>
    <t xml:space="preserve"> (פ/697/22)</t>
  </si>
  <si>
    <t xml:space="preserve">הצעת חוק המתווכים במקרקעין (תיקון - הגבלת תקופת הבלעדיות לשלושה חודשים), התש"ף-2019 </t>
  </si>
  <si>
    <t xml:space="preserve"> (פ/696/22)</t>
  </si>
  <si>
    <t xml:space="preserve">הצעת חוק זכויות הדייר בדיור הציבורי (תיקון - זכויות דייר ממשיך), התש"ף-2019</t>
  </si>
  <si>
    <t xml:space="preserve"> (פ/695/22)</t>
  </si>
  <si>
    <t xml:space="preserve">הצעת חוק התכנון והבנייה (תיקון - פרסום בדבר קבלת היתר בנייה ותחילת עבודה), התש"ף-2019</t>
  </si>
  <si>
    <t xml:space="preserve"> (פ/694/22)</t>
  </si>
  <si>
    <t xml:space="preserve">הצעת חוק זכויות הדייר בדיור הציבורי (תיקון - הארכת תוקף זכאות לדירה ציבורית), התש"ף-2019</t>
  </si>
  <si>
    <t xml:space="preserve"> (פ/693/22)</t>
  </si>
  <si>
    <t xml:space="preserve">הצעת חוק-יסוד: הממשלה (תיקון - נבחר ציבור שהורשע בעבירה שיש עמה קלון)</t>
  </si>
  <si>
    <t xml:space="preserve"> (פ/692/22)</t>
  </si>
  <si>
    <t xml:space="preserve">הצעת חוק הביטוח הלאומי (תיקון - ערעור על החלטת ועדה לעררים), התש"ף-2019</t>
  </si>
  <si>
    <t xml:space="preserve"> (פ/691/22)</t>
  </si>
  <si>
    <t xml:space="preserve">הצעת חוק התקשורת (בזק ושידורים) (תיקון - חובת מסירת פרטים של שולח פרסומת בניגוד לחוק), התש"ף-2019</t>
  </si>
  <si>
    <t xml:space="preserve"> (פ/690/22)</t>
  </si>
  <si>
    <t xml:space="preserve"> (פ/689/22)</t>
  </si>
  <si>
    <t xml:space="preserve"> (פ/688/22)</t>
  </si>
  <si>
    <t xml:space="preserve">הצעת חוק פיקוח על מחירי מצרכים ושירותים (תיקון - פיקוח על מחיר גז טבעי), התש"ף-2019</t>
  </si>
  <si>
    <t xml:space="preserve"> (פ/687/22)</t>
  </si>
  <si>
    <t xml:space="preserve"> (פ/686/22)</t>
  </si>
  <si>
    <t xml:space="preserve">הצעת חוק שירותי רווחה לאנשים עם מוגבלות, התש"ף-2019 </t>
  </si>
  <si>
    <t xml:space="preserve"> (פ/685/22)</t>
  </si>
  <si>
    <t xml:space="preserve">הצעת חוק הגנת הצרכן (תיקון - פנייה מקדימה בעסקת מכר מרחוק), התש"ף-2019</t>
  </si>
  <si>
    <t xml:space="preserve"> (פ/684/22)</t>
  </si>
  <si>
    <t xml:space="preserve">הצעת חוק לתיקון פקודת הכלבת (בידוד בעלי חיים), התש"ף-2019</t>
  </si>
  <si>
    <t xml:space="preserve"> (פ/683/22)</t>
  </si>
  <si>
    <t xml:space="preserve">הצעת חוק לתיקון פקודת התעבורה (ביטול קנס בשל רכישת מערכות בטיחות מתקדמות), התש"ף-2019</t>
  </si>
  <si>
    <t xml:space="preserve"> (פ/682/22)</t>
  </si>
  <si>
    <t xml:space="preserve">הצעת חוק הפרשנות (תיקון - הגדרת הפליה על רקע נטייה מינית או זהות מגדרית), התש"ף-2019</t>
  </si>
  <si>
    <t xml:space="preserve"> (פ/681/22)</t>
  </si>
  <si>
    <t xml:space="preserve">הצעת חוק העונשין (תיקון - החמרת ענישה להריגה בתאונת דרכים בנהיגה תחת השפעת אלכוהול וסמים), התש"ף-2019</t>
  </si>
  <si>
    <t xml:space="preserve"> (פ/680/22)</t>
  </si>
  <si>
    <t xml:space="preserve"> (פ/679/22)</t>
  </si>
  <si>
    <t xml:space="preserve">הצעת חוק איסור קבלת תגמול מגופים העוסקים בתחום הבריאות, התש"ף-2019</t>
  </si>
  <si>
    <t xml:space="preserve"> (פ/678/22)</t>
  </si>
  <si>
    <t xml:space="preserve">הצעת חוק חובת המכרזים (תיקון - הרחבת חובת העדפה של תוצרת הארץ), התש"ף-2019</t>
  </si>
  <si>
    <t xml:space="preserve"> (פ/677/22)</t>
  </si>
  <si>
    <t xml:space="preserve">הצעת חוק לתיקון פקודת התעבורה (הגבלת דמי חניה בחניוני בתי חולים), התש"ף-2019</t>
  </si>
  <si>
    <t xml:space="preserve"> (פ/676/22)</t>
  </si>
  <si>
    <t xml:space="preserve">הצעת חוק ההוצאה לפועל (תיקון - הוראות להגבלת רישיון נהיגה), התש"ף-2019</t>
  </si>
  <si>
    <t xml:space="preserve"> (פ/675/22)</t>
  </si>
  <si>
    <t xml:space="preserve">הצעת חוק הגנת הצרכן (תיקון - השוואת תנאי צרכן ונותן שירות בעניין החזרת טובין), התש"ף-2019</t>
  </si>
  <si>
    <t xml:space="preserve"> (פ/674/22)</t>
  </si>
  <si>
    <t xml:space="preserve"> (פ/673/22)</t>
  </si>
  <si>
    <t xml:space="preserve">הצעת חוק לתיקון פקודת מס הכנסה (קיזוז הפסדים), התש"ף-2019</t>
  </si>
  <si>
    <t xml:space="preserve"> (פ/672/22)</t>
  </si>
  <si>
    <t xml:space="preserve">הצעת חוק שיקום, פיצוי וסיוע משפטי לנפגעי עבירות מין, התש"ף-2019</t>
  </si>
  <si>
    <t xml:space="preserve"> (פ/671/22)</t>
  </si>
  <si>
    <t xml:space="preserve">הצעת חוק לתיקון פקודת מס הכנסה (אישור זיכוי מס), התש"ף-2019</t>
  </si>
  <si>
    <t xml:space="preserve"> (פ/670/22)</t>
  </si>
  <si>
    <t xml:space="preserve">הצעת חוק הפיקוח על שירותים פיננסיים (ביטוח) (תיקון - מאגר בודקים), התש"ף-2019</t>
  </si>
  <si>
    <t xml:space="preserve"> (פ/669/22)</t>
  </si>
  <si>
    <t xml:space="preserve">הצעת חוק לתיקון פקודת התעבורה (תשלום קנס בתשלומים), התש"ף-2019</t>
  </si>
  <si>
    <t xml:space="preserve"> (פ/668/22)</t>
  </si>
  <si>
    <t xml:space="preserve">הצעת חוק לתיקון פקודת מס הכנסה (חשבון השקעה), התש"ף-2019</t>
  </si>
  <si>
    <t xml:space="preserve"> (פ/667/22)</t>
  </si>
  <si>
    <t xml:space="preserve"> (פ/666/22)</t>
  </si>
  <si>
    <t xml:space="preserve">הצעת חוק הפיקוח על שירותים פיננסיים (ביטוח) (תיקון - היתר לשיווק ומכירה של ביטוח נסיעות לחו"ל), התש"ף-2019</t>
  </si>
  <si>
    <t xml:space="preserve"> (פ/665/22)</t>
  </si>
  <si>
    <t xml:space="preserve">הצעת חוק הדיור הציבורי (זכות לדירה ציבורית), התש"ף-2019</t>
  </si>
  <si>
    <t xml:space="preserve"> (פ/664/22)</t>
  </si>
  <si>
    <t xml:space="preserve">הצעת חוק לתיקון פקודת מס הכנסה (זיכוי בעד הוצאות החזקת קרוב במוסד וזיכוי בעד נטול יכולת), התש"ף-2019</t>
  </si>
  <si>
    <t xml:space="preserve"> (פ/663/22)</t>
  </si>
  <si>
    <t xml:space="preserve">הצעת חוק הרשויות המקומיות (דירות מקלט), התש"ף-2019</t>
  </si>
  <si>
    <t xml:space="preserve"> (פ/662/22)</t>
  </si>
  <si>
    <t xml:space="preserve">הצעת חוק הסדרים במשק המדינה (תיקוני חקיקה להשגת יעדי התקציב) (תיקון - פטור מארנונה לנשים ששהו במקלט לנשים מוכות), התש"ף-2019</t>
  </si>
  <si>
    <t xml:space="preserve"> (פ/661/22)</t>
  </si>
  <si>
    <t xml:space="preserve">18.11.2019</t>
  </si>
  <si>
    <t xml:space="preserve">הצעת חוק חובת המכרזים (תיקון - העדפת טובין ממוחזרים), התש"ף-2019</t>
  </si>
  <si>
    <t xml:space="preserve"> (פ/660/22)</t>
  </si>
  <si>
    <t xml:space="preserve">הצעת חוק המכינות הקדם-צבאיות (תיקון - שלילת הכרה ממכינות המעודדות סירוב פקודה והסתה), התש"ף-2019</t>
  </si>
  <si>
    <t xml:space="preserve"> (פ/659/22)</t>
  </si>
  <si>
    <t xml:space="preserve">הצעת חוק זכויות הדייר בדיור הציבורי (תיקון - סיוע ריאלי בשכר דירה), התש"ף-2019</t>
  </si>
  <si>
    <t xml:space="preserve"> (פ/658/22)</t>
  </si>
  <si>
    <t xml:space="preserve"> (פ/657/22)</t>
  </si>
  <si>
    <t xml:space="preserve">הצעת חוק האגודות העותומניות (רישום ופיקוח), התש"ף-2019</t>
  </si>
  <si>
    <t xml:space="preserve"> (פ/656/22)</t>
  </si>
  <si>
    <t xml:space="preserve">הצעת חוק הביטוח הלאומי (תיקון - איסור קיזוז קצבת ילדים כנגד חוב לביטוח הלאומי), התש"ף-2019</t>
  </si>
  <si>
    <t xml:space="preserve"> (פ/655/22)</t>
  </si>
  <si>
    <t xml:space="preserve">הצעת חוק הסדרת העיסוק במקצועות הבריאות (תיקון - הסדרת מקצוע הרנטגנאות והדימות), התש"ף-2019 </t>
  </si>
  <si>
    <t xml:space="preserve"> (פ/654/22)</t>
  </si>
  <si>
    <t xml:space="preserve">הצעת חוק ביטוח בריאות ממלכתי (תיקון - החזר דמי נסיעה באמבולנס), התש"ף-2019</t>
  </si>
  <si>
    <t xml:space="preserve"> (פ/653/22)</t>
  </si>
  <si>
    <t xml:space="preserve">הצעת חוק התפלגות סיעה (תיקוני חקיקה), התש"ף-2019</t>
  </si>
  <si>
    <t xml:space="preserve"> (פ/652/22)</t>
  </si>
  <si>
    <t xml:space="preserve">הצעת חוק הביטוח הלאומי (תיקון - זכאות לתלוש מזון בעד ילד ממשפחה מעוטת יכולת), התש"ף-2019</t>
  </si>
  <si>
    <t xml:space="preserve"> (פ/651/22)</t>
  </si>
  <si>
    <t xml:space="preserve">הצעת חוק בנק ישראל (תיקון - אחריות בנק ישראל על תחרות בין הבנקים), התש"ף-2019</t>
  </si>
  <si>
    <t xml:space="preserve"> (פ/650/22)</t>
  </si>
  <si>
    <t xml:space="preserve">הצעת חוק סדר הדין הפלילי (סמכויות אכיפה - מעצרים) (תיקון - עבירת אלימות במשפחה), התש"ף-2019</t>
  </si>
  <si>
    <t xml:space="preserve"> (פ/649/22)</t>
  </si>
  <si>
    <t xml:space="preserve"> (פ/648/22)</t>
  </si>
  <si>
    <t xml:space="preserve">הצעת חוק בית המשפט לענייני משפחה (תיקון - פטור מתשלום אגרה למקבלי הבטחת הכנסה), התש"ף-2019 </t>
  </si>
  <si>
    <t xml:space="preserve"> (פ/647/22)</t>
  </si>
  <si>
    <t xml:space="preserve">הצעת חוק הגנה כלכלית על חסרי ישע (איסור על העברת רכוש, הון ונכסים ממטופל למטפל) (תיקוני חקיקה), התש"ף-2019</t>
  </si>
  <si>
    <t xml:space="preserve"> (פ/646/22)</t>
  </si>
  <si>
    <t xml:space="preserve">הצעת חוק חובת המכרזים (תיקון - העדפת טובין בעלי תו תקן ירוק), התש"ף-2019</t>
  </si>
  <si>
    <t xml:space="preserve"> (פ/645/22)</t>
  </si>
  <si>
    <t xml:space="preserve">הצעת חוק הביטוח הלאומי (תיקון - שכר הוגן לחיילי מילואים שעובדים במשרה חלקית), התש"ף-2019 </t>
  </si>
  <si>
    <t xml:space="preserve"> (פ/644/22)</t>
  </si>
  <si>
    <t xml:space="preserve">הצעת חוק ביטוח בריאות ממלכתי (תיקון - יצירת מדד לאומי לשוויון בשירותי בריאות), התש"ף-2019</t>
  </si>
  <si>
    <t xml:space="preserve"> (פ/643/22)</t>
  </si>
  <si>
    <t xml:space="preserve">הצעת חוק חובת תשלום בשוברים, התש"ף-2019</t>
  </si>
  <si>
    <t xml:space="preserve"> (פ/642/22)</t>
  </si>
  <si>
    <t xml:space="preserve">הצעת חוק הבטחת הכנסה (תיקון - החרגת הכנסתו של עובד בענף הסיעוד), התש"ף-2019</t>
  </si>
  <si>
    <t xml:space="preserve"> (פ/641/22)</t>
  </si>
  <si>
    <t xml:space="preserve">הצעת חוק מס ערך מוסף (תיקון - פטור בעת קניית דירה ראשונה לזוגות צעירים), התש"ף-2019</t>
  </si>
  <si>
    <t xml:space="preserve"> (פ/640/22)</t>
  </si>
  <si>
    <t xml:space="preserve">הצעת חוק לתיקון פקודת מס הכנסה (ניכוי תשלומים לביטוח בריאות לעצמאים), התש"ף-2019</t>
  </si>
  <si>
    <t xml:space="preserve"> (פ/639/22)</t>
  </si>
  <si>
    <t xml:space="preserve">הצעת חוק הביטוח הלאומי (תיקון - בדיקה מחדש של מידת התלות בזולת), התש"ף-2019</t>
  </si>
  <si>
    <t xml:space="preserve"> (פ/638/22)</t>
  </si>
  <si>
    <t xml:space="preserve">הצעת חוק הביטוח הלאומי (תיקון - אי שלילת זכאות לגמלת סיעוד מקשיש לאחר פטירת בן הזוג), התש"ף-2019</t>
  </si>
  <si>
    <t xml:space="preserve"> (פ/637/22)</t>
  </si>
  <si>
    <t xml:space="preserve">הצעת חוק-יסוד: זכויות חברתיות </t>
  </si>
  <si>
    <t xml:space="preserve"> (פ/636/22)</t>
  </si>
  <si>
    <t xml:space="preserve">הצעת חוק חינוך ממלכתי (תיקון - חינוך לשוויון מגדרי חובה), התש"ף-2019</t>
  </si>
  <si>
    <t xml:space="preserve"> (פ/635/22)</t>
  </si>
  <si>
    <t xml:space="preserve">הצעת חוק שכר מינימום לחיילים בשירות סדיר, התש"ף-2019</t>
  </si>
  <si>
    <t xml:space="preserve"> (פ/634/22)</t>
  </si>
  <si>
    <t xml:space="preserve"> (פ/633/22)</t>
  </si>
  <si>
    <t xml:space="preserve">הצעת חוק-יסוד: השירות הציבורי</t>
  </si>
  <si>
    <t xml:space="preserve"> (פ/632/22)</t>
  </si>
  <si>
    <t xml:space="preserve">הצעת חוק הפיקוח על מצרכים ושירותים (תיקון - סייגים לעסקאות בציוד צבאי), התש"ף-2019</t>
  </si>
  <si>
    <t xml:space="preserve"> (פ/631/22)</t>
  </si>
  <si>
    <t xml:space="preserve">הצעת חוק השלכות חלוקתיות בחקיקה, התש"ף-2019</t>
  </si>
  <si>
    <t xml:space="preserve"> (פ/630/22)</t>
  </si>
  <si>
    <t xml:space="preserve">הצעת חוק הבחירות לכנסת (תיקון - אי זכאות ליום שבתון לעובדים זרים), התש"ף-2019</t>
  </si>
  <si>
    <t xml:space="preserve"> (פ/629/22)</t>
  </si>
  <si>
    <t xml:space="preserve">הצעת חוק רציפות הדיון בהצעות חוק (הוראת שעה - כנסת יוצאת וכנסת נכנסת שאינן ברציפות), התש"ף-2019</t>
  </si>
  <si>
    <t xml:space="preserve"> (פ/628/22)</t>
  </si>
  <si>
    <t xml:space="preserve">הצעת חוק שליחת יד בכספי לקוח (תיקוני חקיקה), התש"ף-2019</t>
  </si>
  <si>
    <t xml:space="preserve"> (פ/627/22)</t>
  </si>
  <si>
    <t xml:space="preserve">הצעת חוק חופש המידע (תיקון - פרסום מידע אודות מכרזים), התש"ף-2019</t>
  </si>
  <si>
    <t xml:space="preserve"> (פ/626/22)</t>
  </si>
  <si>
    <t xml:space="preserve">הצעת חוק כביש אגרה (כביש ארצי לישראל) (תיקון - הפחתת ריבית פיגורים על חוב חלוט), התש"ף-2019</t>
  </si>
  <si>
    <t xml:space="preserve"> (פ/625/22)</t>
  </si>
  <si>
    <t xml:space="preserve">הצעת חוק הקרן לעידוד הכשרה והעסקה של עובדים מהפריפריה בתעשיית ההיי-טק, התש"ף-2019</t>
  </si>
  <si>
    <t xml:space="preserve"> (פ/624/22)</t>
  </si>
  <si>
    <t xml:space="preserve">הצעת חוק לתיקון פקודת המכס (ביטול חיוב בעד בדיקת טובין), התש"ף-2019</t>
  </si>
  <si>
    <t xml:space="preserve"> (פ/623/22)</t>
  </si>
  <si>
    <t xml:space="preserve">הצעת חוק לתיקון פקודת מס הכנסה (ניכוי בגין הוצאות טיפול בילדים), התש"ף-2019</t>
  </si>
  <si>
    <t xml:space="preserve"> (פ/622/22)</t>
  </si>
  <si>
    <t xml:space="preserve">הצעת חוק יסודות התקציב (תיקון - ועדת ערר לתמיכה במוסד ציבור), התש"ף-2019</t>
  </si>
  <si>
    <t xml:space="preserve"> (פ/621/22)</t>
  </si>
  <si>
    <t xml:space="preserve">הצעת חוק הביטוח הלאומי (תיקון - בדיקה בשפה המובנת למבוטח), התש"ף-2019</t>
  </si>
  <si>
    <t xml:space="preserve"> (פ/620/22)</t>
  </si>
  <si>
    <t xml:space="preserve">הצעת חוק לצמצום רגולציה ושעורי אגרות לעסקים קטנים, התש"ף-2019</t>
  </si>
  <si>
    <t xml:space="preserve"> (פ/619/22)</t>
  </si>
  <si>
    <t xml:space="preserve">הצעת חוק לתיקון פקודת מסי העירייה ומסי הממשלה (פטורין) (פטור מארנונה למעון), התש"ף-2019</t>
  </si>
  <si>
    <t xml:space="preserve"> (פ/618/22)</t>
  </si>
  <si>
    <t xml:space="preserve">הצעת חוק מיסוי מקרקעין (שבח ורכישה) (תיקון - ביטול הפטור ממס שבח לתושב חוץ), התש"ף-2019 </t>
  </si>
  <si>
    <t xml:space="preserve"> (פ/617/22)</t>
  </si>
  <si>
    <t xml:space="preserve"> (פ/616/22)</t>
  </si>
  <si>
    <t xml:space="preserve">הצעת חוק לתיקון פקודת מס הכנסה (פטור ממס להכנסות קשיש וניכוי הוצאות שכר דירה), התש"ף-2019</t>
  </si>
  <si>
    <t xml:space="preserve"> (פ/615/22)</t>
  </si>
  <si>
    <t xml:space="preserve">הצעת חוק שירות המדינה (גמלאות) (תיקון - ביטול שלילת גמלאות מאלמנים שנישאו), התש"ף-2019</t>
  </si>
  <si>
    <t xml:space="preserve"> (פ/614/22)</t>
  </si>
  <si>
    <t xml:space="preserve">הצעת חוק לימוד חובה (תיקון - חינוך חינם לפעוטות), התש"ף-2019</t>
  </si>
  <si>
    <t xml:space="preserve"> (פ/613/22)</t>
  </si>
  <si>
    <t xml:space="preserve">הצעת חוק חובת שימוש חוזר במי מזגנים, התש"ף-2019</t>
  </si>
  <si>
    <t xml:space="preserve"> (פ/612/22)</t>
  </si>
  <si>
    <t xml:space="preserve">הצעת חוק הטבות לניצולי שואה (תיקון - הסעות לניצולי שואה בודדים), התש"ף-2019</t>
  </si>
  <si>
    <t xml:space="preserve"> (פ/611/22)</t>
  </si>
  <si>
    <t xml:space="preserve">הצעת חוק מידע גנטי (תיקון - עריכת בדיקה גנטית לאיתור בן משפחה שעלתה בין השנים 1948 ו-1959), התש"ף-2019</t>
  </si>
  <si>
    <t xml:space="preserve"> (פ/610/22)</t>
  </si>
  <si>
    <t xml:space="preserve">הצעת חוק הביטוח הלאומי (תיקון - הארכת המועד לתביעת גמלת כסף), התש"ף-2019</t>
  </si>
  <si>
    <t xml:space="preserve"> (פ/609/22)</t>
  </si>
  <si>
    <t xml:space="preserve">הצעת חוק הביטוח הלאומי (תיקון - דמי אבטלה למתמחים), התש"ף-2019</t>
  </si>
  <si>
    <t xml:space="preserve"> (פ/608/22)</t>
  </si>
  <si>
    <t xml:space="preserve">הצעת חוק איסוף ופינוי פסולת למיחזור (תיקון - חובת מיחזור בבית עסק גדול), התש"ף-2019</t>
  </si>
  <si>
    <t xml:space="preserve"> (פ/607/22)</t>
  </si>
  <si>
    <t xml:space="preserve">הצעת חוק זכויות החולה (תיקון - הסדר חניה למאושפזים בבית חולים ולמבקריהם), התש"ף-2019</t>
  </si>
  <si>
    <t xml:space="preserve"> (פ/606/22)</t>
  </si>
  <si>
    <t xml:space="preserve">הצעת חוק הביטוח הלאומי (תיקון - תשלום קצבת שאירים בעד תקופה שקדמה להגשת התביעה), התש"ף-2019</t>
  </si>
  <si>
    <t xml:space="preserve"> (פ/605/22)</t>
  </si>
  <si>
    <t xml:space="preserve"> (פ/604/22)</t>
  </si>
  <si>
    <t xml:space="preserve">הצעת חוק הביטוח הלאומי (תיקון - סיעוד על ידי בן משפחה), התש"ף-2019</t>
  </si>
  <si>
    <t xml:space="preserve"> (פ/603/22)</t>
  </si>
  <si>
    <t xml:space="preserve">הצעת חוק התכנון והבנייה (תיקון - היתר הניתן לפי תכניות ישנות), התש"ף-2019</t>
  </si>
  <si>
    <t xml:space="preserve"> (פ/602/22)</t>
  </si>
  <si>
    <t xml:space="preserve">הצעת חוק הביטוח הלאומי (תיקון - מימון סייעת לילדים שאינם יכולים לשהות במעון), התש"ף-2019</t>
  </si>
  <si>
    <t xml:space="preserve"> (פ/601/22)</t>
  </si>
  <si>
    <t xml:space="preserve">הצעת חוק אחריות לעבודות שיפוצים, התש"ף-2019</t>
  </si>
  <si>
    <t xml:space="preserve"> (פ/600/22)</t>
  </si>
  <si>
    <t xml:space="preserve">הצעת חוק הביטוח הלאומי (תיקון - מענק לידה אחיד מילד שני ואילך), התש"ף-2019</t>
  </si>
  <si>
    <t xml:space="preserve"> (פ/599/22)</t>
  </si>
  <si>
    <t xml:space="preserve"> (פ/598/22)</t>
  </si>
  <si>
    <t xml:space="preserve">הצעת חוק שירות הקבע בצבא הגנה לישראל (הליכים לעניין החלטות הנוגעות לחיילים בשירות קבע) (תיקון - סמכות נגררת ומקום מושב), התש"ף-2019</t>
  </si>
  <si>
    <t xml:space="preserve"> (פ/597/22)</t>
  </si>
  <si>
    <t xml:space="preserve"> (פ/596/22)</t>
  </si>
  <si>
    <t xml:space="preserve">הצעת חוק הסדרת מקומות רחצה (תיקון - איסור גביית דמי כניסה), התש"ף-2019</t>
  </si>
  <si>
    <t xml:space="preserve"> (פ/595/22)</t>
  </si>
  <si>
    <t xml:space="preserve">הצעת חוק חינוך ממלכתי (תיקון - שלילת תקצוב וקביעת אזורי רישום), התש"ף-2019</t>
  </si>
  <si>
    <t xml:space="preserve"> (פ/594/22)</t>
  </si>
  <si>
    <t xml:space="preserve">הצעת חוק לימוד חובה (תיקון - איסור על גביית תשלומי הורים), התש"ף-2019</t>
  </si>
  <si>
    <t xml:space="preserve"> (פ/593/22)</t>
  </si>
  <si>
    <t xml:space="preserve"> (פ/592/22)</t>
  </si>
  <si>
    <t xml:space="preserve">הצעת חוק שיקים ללא כיסוי (תיקון - חשבון פרטי וחשבון עסקי), התש"ף-2019</t>
  </si>
  <si>
    <t xml:space="preserve"> (פ/591/22)</t>
  </si>
  <si>
    <t xml:space="preserve">הצעת חוק התכנון והבנייה (תיקון - הטמנת תשתיות בחוף הים), התש"ף-2019</t>
  </si>
  <si>
    <t xml:space="preserve"> (פ/590/22)</t>
  </si>
  <si>
    <t xml:space="preserve">הצעת חוק העונשין (תיקון - הגדרת אדם סיעודי כחסר ישע), התש"ף-2019 </t>
  </si>
  <si>
    <t xml:space="preserve"> (פ/589/22)</t>
  </si>
  <si>
    <t xml:space="preserve">הצעת חוק לתיקון פקודת העיריות (שידור ישיבות מועצה), התש"ף-2019</t>
  </si>
  <si>
    <t xml:space="preserve"> (פ/588/22)</t>
  </si>
  <si>
    <t xml:space="preserve"> (פ/587/22)</t>
  </si>
  <si>
    <t xml:space="preserve">הצעת חוק התכנון והבנייה (תיקון - גודל האותיות בהודעות בענייני תכנון ובנייה), התש"ף-2019</t>
  </si>
  <si>
    <t xml:space="preserve"> (פ/586/22)</t>
  </si>
  <si>
    <t xml:space="preserve">הצעת חוק לתיקון פקודת מס הכנסה (קרן חברתית להשקעות במקרקעין), התש"ף-2019</t>
  </si>
  <si>
    <t xml:space="preserve"> (פ/585/22)</t>
  </si>
  <si>
    <t xml:space="preserve">הצעת חוק הביטוח הלאומי (תיקון - מימון הסעת יולדת באמבולנס), התש"ף-2019</t>
  </si>
  <si>
    <t xml:space="preserve"> (פ/584/22)</t>
  </si>
  <si>
    <t xml:space="preserve"> (פ/583/22)</t>
  </si>
  <si>
    <t xml:space="preserve">הצעת חוק לתיקון פקודת ביטוח רכב מנועי (פוליסה לשני כלי רכב של נהג יחיד), התש"ף-2019</t>
  </si>
  <si>
    <t xml:space="preserve"> (פ/582/22)</t>
  </si>
  <si>
    <t xml:space="preserve">הצעת חוק לתיקון פקודת הדיג (איכון ספינות דיג), התש"ף-2019</t>
  </si>
  <si>
    <t xml:space="preserve"> (פ/581/22)</t>
  </si>
  <si>
    <t xml:space="preserve">הצעת חוק תשלום שכר היועץ המשפטי ומבקר העירייה (תיקוני חקיקה), התש"ף-2019</t>
  </si>
  <si>
    <t xml:space="preserve"> (פ/580/22)</t>
  </si>
  <si>
    <t xml:space="preserve">הצעת חוק החזר דמי נסיעה במונית לבית החולים (תיקוני חקיקה), התש"ף-2019</t>
  </si>
  <si>
    <t xml:space="preserve"> (פ/579/22)</t>
  </si>
  <si>
    <t xml:space="preserve">הצעת חוק לתיקון פקודת העיריות (גמול השתתפות בישיבות והחזר הוצאות לחברי מועצה), התש"ף-2019</t>
  </si>
  <si>
    <t xml:space="preserve"> (פ/578/22)</t>
  </si>
  <si>
    <t xml:space="preserve">הצעת חוק הבנקאות (שירות ללקוח) (תיקון - שירות מקוון ללקוח), התש"ף-2019</t>
  </si>
  <si>
    <t xml:space="preserve"> (פ/577/22)</t>
  </si>
  <si>
    <t xml:space="preserve">הצעת חוק זכויות דיירים בקרקעות מוחכרות שנמכרו, התש"ף-2019</t>
  </si>
  <si>
    <t xml:space="preserve"> (פ/576/22)</t>
  </si>
  <si>
    <t xml:space="preserve">הצעת חוק הרשויות המקומיות (זכויות וחובות של חברי מועצה), התש"ף-2019</t>
  </si>
  <si>
    <t xml:space="preserve"> (פ/575/22)</t>
  </si>
  <si>
    <t xml:space="preserve">הצעת חוק החלת ריבונות ישראל בשטח בקעת הירדן, התש"ף-2019</t>
  </si>
  <si>
    <t xml:space="preserve"> (פ/574/22)</t>
  </si>
  <si>
    <t xml:space="preserve"> (פ/573/22)</t>
  </si>
  <si>
    <t xml:space="preserve">הצעת חוק סיוע בקידום תעסוקתי למשפחות של עובדים מעוטי הכנסה, התש"ף-2019</t>
  </si>
  <si>
    <t xml:space="preserve"> (פ/572/22)</t>
  </si>
  <si>
    <t xml:space="preserve">הצעת חוק הכנסת (תיקון - איסור ייצוג גוף ממשלתי בידי שדלן בכנסת), התש"ף-2019</t>
  </si>
  <si>
    <t xml:space="preserve"> (פ/571/22)</t>
  </si>
  <si>
    <t xml:space="preserve">הצעת חוק הרשויות המקומיות (בחירת ראש הרשות וסגניו וכהונתם) (תיקון - בחירת חבר מועצה למילוי מקום ראש רשות וסגניו), התש"ף-2019</t>
  </si>
  <si>
    <t xml:space="preserve"> (פ/570/22)</t>
  </si>
  <si>
    <t xml:space="preserve">הצעת חוק החזר הוצאות כספיות בגין עריכת נישואין אזרחיים בחוץ לארץ למי שאינם רשאים או שאינם מעוניינים להינשא על פי הדין הדתי, התש"ף-2019</t>
  </si>
  <si>
    <t xml:space="preserve"> (פ/569/22)</t>
  </si>
  <si>
    <t xml:space="preserve">הצעת חוק מיסוי מקרקעין (שבח ורכישה) (תיקון - ייצוג נישום על ידי רואה חשבון), התש"ף-2019</t>
  </si>
  <si>
    <t xml:space="preserve"> (פ/568/22)</t>
  </si>
  <si>
    <t xml:space="preserve">הצעת חוק לקידום הבנייה במתחמים מועדפים לדיור (הוראת שעה) (תיקון - ביטול החוק), התש"ף-2019</t>
  </si>
  <si>
    <t xml:space="preserve"> (פ/567/22)</t>
  </si>
  <si>
    <t xml:space="preserve">הצעת חוק לתיקון פקודת התעבורה (מאגר מידע של ניקוד מסוכנות לעניין נהגים מקצועיים), התש"ף-2019</t>
  </si>
  <si>
    <t xml:space="preserve"> (פ/566/22)</t>
  </si>
  <si>
    <t xml:space="preserve">הצעות חוק תובענות ייצוגיות (תיקון - הוספת גביית קנס שלא כדין לעילות להגשת תובענה ייצוגית), התש"ף-2019</t>
  </si>
  <si>
    <t xml:space="preserve"> (פ/565/22)</t>
  </si>
  <si>
    <t xml:space="preserve">הצעת חוק כביש אגרה (כביש ארצי לישראל) (תיקון - פטור מאגרה בשל האטה ממהירות הנסיעה המותרת), התש"ף-2019</t>
  </si>
  <si>
    <t xml:space="preserve"> (פ/564/22)</t>
  </si>
  <si>
    <t xml:space="preserve">הצעת חוק להגדלת שיעור ההשתתפות בכוח העבודה ולצמצום פערים חברתיים (מענק עבודה) (תיקון - גיל עובד), התש"ף-2019 </t>
  </si>
  <si>
    <t xml:space="preserve"> (פ/563/22)</t>
  </si>
  <si>
    <t xml:space="preserve">הצעת חוק העונשין (תיקון - עבירה כלפי קשיש או חסר ישע), התש"ף-2019</t>
  </si>
  <si>
    <t xml:space="preserve"> (פ/562/22)</t>
  </si>
  <si>
    <t xml:space="preserve">הצעת חוק בתי המשפט (תיקון - שופט משנה), התש"ף-2019</t>
  </si>
  <si>
    <t xml:space="preserve"> (פ/561/22)</t>
  </si>
  <si>
    <t xml:space="preserve">הצעת חוק הבחירות לכנסת (תיקון - התניית יום שבתון באזרחות ישראלית), התש"ף-2019</t>
  </si>
  <si>
    <t xml:space="preserve"> (פ/560/22)</t>
  </si>
  <si>
    <t xml:space="preserve">הצעת חוק למניעת הטרדה מינית (תיקון - הטלת חובות לשם מניעת הטרדה מינית במוסד חינוך), התש"ף-2019</t>
  </si>
  <si>
    <t xml:space="preserve"> (פ/559/22)</t>
  </si>
  <si>
    <t xml:space="preserve">הצעת חוק לשכת עורכי הדין (תיקון - ייצוג בפני בוררות המתנהלת על פי דין דתי), התש"ף-2019</t>
  </si>
  <si>
    <t xml:space="preserve"> (פ/558/22)</t>
  </si>
  <si>
    <t xml:space="preserve">הצעת חוק ההוצאה לפועל (תיקון - החרגת עיקול ביטוח רפואי בידי צד שלישי), התש"ף-2019</t>
  </si>
  <si>
    <t xml:space="preserve"> (פ/557/22)</t>
  </si>
  <si>
    <t xml:space="preserve">הצעת חוק לתיקון פקודת מסי העיריה ומסי הממשלה (פיטורין) (פטור מארנונה למעון), התש"ף-2019</t>
  </si>
  <si>
    <t xml:space="preserve"> (פ/556/22)</t>
  </si>
  <si>
    <t xml:space="preserve">הצעת חוק העונשין (תיקון - ביטול העבירה על העלבת עובד ציבור), התש"ף-2019</t>
  </si>
  <si>
    <t xml:space="preserve"> (פ/555/22)</t>
  </si>
  <si>
    <t xml:space="preserve">הצעת חוק ביטול עונש המוות (תיקוני חקיקה), התש"ף-2019</t>
  </si>
  <si>
    <t xml:space="preserve"> (פ/554/22)</t>
  </si>
  <si>
    <t xml:space="preserve">הצעת חוק כביש אגרה (כביש ארצי לישראל) (תיקון - פטור מאגרה לתחבורה ציבורית), התש"ף-2019</t>
  </si>
  <si>
    <t xml:space="preserve"> (פ/553/22)</t>
  </si>
  <si>
    <t xml:space="preserve"> (פ/552/22)</t>
  </si>
  <si>
    <t xml:space="preserve">הצעת חוק העונשין (תיקון - שימוש במידע בידי עובד הציבור), התש"ף-2019</t>
  </si>
  <si>
    <t xml:space="preserve"> (פ/551/22)</t>
  </si>
  <si>
    <t xml:space="preserve">הצעת חוק העונשין (תיקון - הרחבת הגדרת הגזענות), התש"ף-2019</t>
  </si>
  <si>
    <t xml:space="preserve"> (פ/550/22)</t>
  </si>
  <si>
    <t xml:space="preserve">הצעת חוק למניעת שימוש לרעה בהליך משפטי, התש"ף-2019</t>
  </si>
  <si>
    <t xml:space="preserve"> (פ/549/22)</t>
  </si>
  <si>
    <t xml:space="preserve">הצעת חוק חוזה הביטוח (תיקון - דרך תשלום תגמולי ביטוח), התש"ף-2019</t>
  </si>
  <si>
    <t xml:space="preserve"> (פ/548/22)</t>
  </si>
  <si>
    <t xml:space="preserve">הצעת חוק הביטוח הלאומי (תיקון - קצבת נכות לעקרת בית), התש"ף-2019</t>
  </si>
  <si>
    <t xml:space="preserve"> (פ/547/22)</t>
  </si>
  <si>
    <t xml:space="preserve">הצעת חוק ההתיישנות (תיקון - הרחבת הגדרת בן משפחה לעניין תקופת ההתיישנות של תביעה בשל תקיפה מינית או התעללות), התש"ף-2019</t>
  </si>
  <si>
    <t xml:space="preserve"> (פ/546/22)</t>
  </si>
  <si>
    <t xml:space="preserve">הצעת חוק ההתיישנות (תיקון - תביעה בגין אחריות לפגיעה מינית בקטין), התש"ף-2019</t>
  </si>
  <si>
    <t xml:space="preserve"> (פ/545/22)</t>
  </si>
  <si>
    <t xml:space="preserve">הצעת חוק לתיקון פקודת הנזיקין (חסינות חברי מועצה), התש"ף-2019</t>
  </si>
  <si>
    <t xml:space="preserve"> (פ/544/22)</t>
  </si>
  <si>
    <t xml:space="preserve">הצעת חוק להגברת האכיפה של דיני העבודה (תיקון - עיצום כספי בשל אי תשלום שכר שווה לעובדת ולעובד), התש"ף-2019 </t>
  </si>
  <si>
    <t xml:space="preserve"> (פ/543/22)</t>
  </si>
  <si>
    <t xml:space="preserve">הצעת חוק מס הכנסה (פטור ממס על הכנסה מהשכרת דירת מגורים) (תיקון - פטור למוסד חינוך), התש"ף-2019</t>
  </si>
  <si>
    <t xml:space="preserve"> (פ/542/22)</t>
  </si>
  <si>
    <t xml:space="preserve">הצעת חוק היטל על דירת מגורים ריקה באזור היצע דירות מגורים נמוך, התש"ף-2019</t>
  </si>
  <si>
    <t xml:space="preserve"> (פ/541/22)</t>
  </si>
  <si>
    <t xml:space="preserve">הצעת חוק הסניגוריה הציבורית (תיקון - ליווי משפטי בשפת חשוד שהוא קטין), התש"ף-2019</t>
  </si>
  <si>
    <t xml:space="preserve"> (פ/540/22)</t>
  </si>
  <si>
    <t xml:space="preserve">הצעת חוק לתיקון פקודת הרוקחים (חובת איסוף סמי מרפא), התש"ף-2019</t>
  </si>
  <si>
    <t xml:space="preserve"> (פ/539/22)</t>
  </si>
  <si>
    <t xml:space="preserve">הצעת חוק לתיקון פקודת התעבורה (הוראות לעניין סככות המתנה בתחנות אוטובוס), התש"ף-2019</t>
  </si>
  <si>
    <t xml:space="preserve"> (פ/538/22)</t>
  </si>
  <si>
    <t xml:space="preserve">הצעת חוק לתיקון פקודת התעבורה (שמירת מרחק בעת עקיפת רוכבי אופניים), התש"ף-2019</t>
  </si>
  <si>
    <t xml:space="preserve"> (פ/537/22)</t>
  </si>
  <si>
    <t xml:space="preserve">הצעת חוק בתי המשפט (תיקון - מחלקות לעבירות מין), התש"ף-2019</t>
  </si>
  <si>
    <t xml:space="preserve"> (פ/536/22)</t>
  </si>
  <si>
    <t xml:space="preserve">הצעת חוק לתיקון פקודת מס הכנסה (פטור ממס על משיכה הונית מקופת גמל), התש"ף-2019</t>
  </si>
  <si>
    <t xml:space="preserve"> (פ/535/22)</t>
  </si>
  <si>
    <t xml:space="preserve">הצעת חוק פינוי ההתנחלות בחברון, התש"ף-2019</t>
  </si>
  <si>
    <t xml:space="preserve"> (פ/534/22)</t>
  </si>
  <si>
    <t xml:space="preserve">הצעת חוק העונשין (תיקון - חובת דיווח של איש דת או טוען רבני), התש"ף-2019</t>
  </si>
  <si>
    <t xml:space="preserve"> (פ/533/22)</t>
  </si>
  <si>
    <t xml:space="preserve">הצעת חוק למניעת העישון במקומות ציבוריים והחשיפה לעישון (תיקון - ייעול האכיפה וביטול חדרי העישון), התש"ף-2019</t>
  </si>
  <si>
    <t xml:space="preserve"> (פ/532/22)</t>
  </si>
  <si>
    <t xml:space="preserve">הצעת חוק לתיקון פקודת בריאות העם (טיפול בפסולת רפואית), התש"ף-2019</t>
  </si>
  <si>
    <t xml:space="preserve"> (פ/531/22)</t>
  </si>
  <si>
    <t xml:space="preserve">הצעת חוק למניעת הטרדה מינית (תיקון - נקיטת אמצעים למניעת הטרדה מינית במקומות בילוי), התש"ף-2019</t>
  </si>
  <si>
    <t xml:space="preserve"> (פ/530/22)</t>
  </si>
  <si>
    <t xml:space="preserve">הצעת חוק הביטוח הלאומי (תיקון - פטור מתשלום דמי ביטוח לתלמיד על יסודי), התש"ף-2019</t>
  </si>
  <si>
    <t xml:space="preserve"> (פ/529/22)</t>
  </si>
  <si>
    <t xml:space="preserve">הצעת חוק העונשין (תיקון - חובת פיצוי נפגע עבירה וחובת הנמקה), התש"ף-2019</t>
  </si>
  <si>
    <t xml:space="preserve"> (פ/528/22)</t>
  </si>
  <si>
    <t xml:space="preserve">הצעת חוק המקרקעין (תיקון - התקנת מעלית מטעמים מיוחדים), התש"ף-2019</t>
  </si>
  <si>
    <t xml:space="preserve"> (פ/527/22)</t>
  </si>
  <si>
    <t xml:space="preserve">הצעת חוק ביטוח בריאות ממלכתי (תיקון - תנאים להחלפת תרופה, טיפול, מטפל, נותן שירותים או מוסד רפואי), התש"ף-2019</t>
  </si>
  <si>
    <t xml:space="preserve"> (פ/526/22)</t>
  </si>
  <si>
    <t xml:space="preserve">הצעת חוק הביטוח הלאומי (תיקון - הכרה בפגיעה מינית בעבודה כתאונת עבודה), התש"ף-2019</t>
  </si>
  <si>
    <t xml:space="preserve"> (פ/525/22)</t>
  </si>
  <si>
    <t xml:space="preserve">הצעת חוק פיצוי לנפגעי פוליו (תיקון - הכרה באחוזי נכות של נפגע פוליו לצורך דינים אחרים), התש"ף-2019</t>
  </si>
  <si>
    <t xml:space="preserve"> (פ/524/22)</t>
  </si>
  <si>
    <t xml:space="preserve"> (פ/523/22)</t>
  </si>
  <si>
    <t xml:space="preserve"> (פ/522/22)</t>
  </si>
  <si>
    <t xml:space="preserve">הצעת חוק פדיון הטבת חניה לעובד לשם צמצום שימוש ברכב פרטי, התש"ף-2019</t>
  </si>
  <si>
    <t xml:space="preserve"> (פ/521/22)</t>
  </si>
  <si>
    <t xml:space="preserve">הצעת חוק דמי מחלה (היעדרות בשל מחלת ילד) (תיקון - היעדרות בשל אשפוז ממושך של ילד), התש"ף-2019</t>
  </si>
  <si>
    <t xml:space="preserve"> (פ/520/22)</t>
  </si>
  <si>
    <t xml:space="preserve">הצעת חוק למניעת התנכלות תעסוקתית, התש"ף-2019</t>
  </si>
  <si>
    <t xml:space="preserve"> (פ/519/22)</t>
  </si>
  <si>
    <t xml:space="preserve">הצעת חוק העונשין (תיקון - חילוט רווחי סרסרות), התש"ף-2019</t>
  </si>
  <si>
    <t xml:space="preserve"> (פ/518/22)</t>
  </si>
  <si>
    <t xml:space="preserve"> (פ/517/22)</t>
  </si>
  <si>
    <t xml:space="preserve">הצעת חוק סדר הדין הפלילי (תיקון - ביטול האיסור המוטל על המשטרה למסור לפרקליטות עמדה בכתב לעניין מכלול התשתית הראייתית), התש"ף-2019</t>
  </si>
  <si>
    <t xml:space="preserve"> (פ/516/22)</t>
  </si>
  <si>
    <t xml:space="preserve">הצעת חוק פנייה לגופים ציבוריים באמצעי קשר דיגיטליים (תיקון - פנייה באמצעי קשר לא דיגיטליים), התש"ף-2019</t>
  </si>
  <si>
    <t xml:space="preserve"> (פ/515/22)</t>
  </si>
  <si>
    <t xml:space="preserve"> (פ/514/22)</t>
  </si>
  <si>
    <t xml:space="preserve">הצעת חוק סדר הדין הפלילי (תיקון - ביטול האיסור המוטל על המשטרה למסור לפרקליטות עמדה בכתב לעניין מכלול התשתית הראייתית לביסוס אשמה נגד חשודים בחקירה), התש"ף-2019 </t>
  </si>
  <si>
    <t xml:space="preserve"> (פ/513/22)</t>
  </si>
  <si>
    <t xml:space="preserve">הצעת חוק הביטוח הלאומי (תיקון - ביטול מבחן הכנסה לצורך קביעת זכאות ניצול שואה לגמלת סיעוד), התש"ף-2019</t>
  </si>
  <si>
    <t xml:space="preserve"> (פ/512/22)</t>
  </si>
  <si>
    <t xml:space="preserve">הצעת חוק ציון יום לאומי לתרומתה ולפועלה של העדה הדרוזית (תיקון - עיגון מעמדה של העדה הדרוזית כשוות זכויות במדינת ישראל), התש"ף-2019</t>
  </si>
  <si>
    <t xml:space="preserve"> (פ/511/22)</t>
  </si>
  <si>
    <t xml:space="preserve">הצעת חוק איסור פרסום גזעני, הסתה לגזענות ורישום גזעני במסמכי תאגיד, התש"ף-2019</t>
  </si>
  <si>
    <t xml:space="preserve"> (פ/510/22)</t>
  </si>
  <si>
    <t xml:space="preserve"> (פ/509/22)</t>
  </si>
  <si>
    <t xml:space="preserve">הצעת חוק להנצחת זכרו של רחבעם זאבי (תיקון - ביטול החוק), התש"ף-2019</t>
  </si>
  <si>
    <t xml:space="preserve"> (פ/508/22)</t>
  </si>
  <si>
    <t xml:space="preserve">הצעת חוק למניעת העישון במקומות ציבוריים והחשיפה לעישון (תיקון - הוספת מקומות ציבוריים שהעישון בהם אסור), התש"ף-2019</t>
  </si>
  <si>
    <t xml:space="preserve"> (פ/507/22)</t>
  </si>
  <si>
    <t xml:space="preserve">הצעת חוק החברה למתנ"סים, התש"ף-2019</t>
  </si>
  <si>
    <t xml:space="preserve"> (פ/506/22)</t>
  </si>
  <si>
    <t xml:space="preserve">הצעת חוק החובה למתן חינוך בלתי פורמאלי לילדים ולנוער, התש"ף-2019</t>
  </si>
  <si>
    <t xml:space="preserve"> (פ/505/22)</t>
  </si>
  <si>
    <t xml:space="preserve">הצעת חוק איסור פרסומת והגבלת השיווק של מוצרי טבק ועישון (תיקון - סימון רכיבי מוצר טבק על גבי חפיסות או אריזות), התש"ף-2019</t>
  </si>
  <si>
    <t xml:space="preserve"> (פ/504/22)</t>
  </si>
  <si>
    <t xml:space="preserve">הצעת חוק צער בעלי חיים (הגנה על בעלי חיים) (תיקון - איחוד סמכויות), התש"ף-2019 </t>
  </si>
  <si>
    <t xml:space="preserve"> (פ/503/22)</t>
  </si>
  <si>
    <t xml:space="preserve"> (פ/502/22)</t>
  </si>
  <si>
    <t xml:space="preserve"> (פ/501/22)</t>
  </si>
  <si>
    <t xml:space="preserve">הצעת חוק חינוך מיוחד (תיקון - הרחבה לגבי מוסדות שאינם מוכרים), התש"ף-2019</t>
  </si>
  <si>
    <t xml:space="preserve"> (פ/500/22)</t>
  </si>
  <si>
    <t xml:space="preserve">הצעת חוק פיקוח על מחירי מצרכים ושירותים (תיקון - פיקוח על מוצרי מזון לתינוקות), התש"ף-2019</t>
  </si>
  <si>
    <t xml:space="preserve"> (פ/499/22)</t>
  </si>
  <si>
    <t xml:space="preserve">הצעת חוק לתיקון פקודת התעבורה (הקמת מערך מידע וניתוח נתונים לשיפור התחבורה הציבורית), התש"ף-2019</t>
  </si>
  <si>
    <t xml:space="preserve"> (פ/498/22)</t>
  </si>
  <si>
    <t xml:space="preserve">הצעת חוק דמי נסיעה לסטודנטים בתחבורה ציבורית (תיקוני חקיקה), התש"ף-2019</t>
  </si>
  <si>
    <t xml:space="preserve"> (פ/497/22)</t>
  </si>
  <si>
    <t xml:space="preserve">הצעת חוק לתיקון פקודת הבנקאות (עמלת פירעון מוקדם), התש"ף-2019</t>
  </si>
  <si>
    <t xml:space="preserve"> (פ/496/22)</t>
  </si>
  <si>
    <t xml:space="preserve">הצעת חוק לתיקון פקודת התעבורה (חובת נשיאת לוחית זיהוי באופניים ממונעים ובקורקינט ממונע), התש"ף-2019</t>
  </si>
  <si>
    <t xml:space="preserve"> (פ/495/22)</t>
  </si>
  <si>
    <t xml:space="preserve">הצעת חוק בינוי ופינוי של אזורי שיקום (כפר שלם), התש"ף-2019</t>
  </si>
  <si>
    <t xml:space="preserve"> (פ/494/22)</t>
  </si>
  <si>
    <t xml:space="preserve"> (פ/493/22)</t>
  </si>
  <si>
    <t xml:space="preserve"> (פ/492/22)</t>
  </si>
  <si>
    <t xml:space="preserve">הצעת חוק לעידוד הקמת מרחבים מוגנים דירתיים, התש"ף-2019</t>
  </si>
  <si>
    <t xml:space="preserve"> (פ/491/22)</t>
  </si>
  <si>
    <t xml:space="preserve">הצעת חוק מס ערך מוסף (תיקון - עידוד פתיחת עסקים חדשים), התש"ף-2019</t>
  </si>
  <si>
    <t xml:space="preserve"> (פ/490/22)</t>
  </si>
  <si>
    <t xml:space="preserve">הצעת חוק להגדלת שיעור ההשתתפות בכוח העבודה ולצמצום פערים חברתיים (מענק עבודה) (תיקון - גיל העובד), התש"ף-2019</t>
  </si>
  <si>
    <t xml:space="preserve"> (פ/489/22)</t>
  </si>
  <si>
    <t xml:space="preserve">הצעת חוק מיסוי מקרקעין (שבח ורכישה) (תיקון - רכישת דירה על ידי ילד יתום), התש"ף-2019</t>
  </si>
  <si>
    <t xml:space="preserve"> (פ/488/22)</t>
  </si>
  <si>
    <t xml:space="preserve">הצעת חוק לתיקון פקודת מס הכנסה (חישוב שווי שימוש ברכב לשומרי שבת וחג), התש"ף-2019</t>
  </si>
  <si>
    <t xml:space="preserve"> (פ/487/22)</t>
  </si>
  <si>
    <t xml:space="preserve">הצעת חוק מיסוי מקרקעין (שבח ורכישה) (תיקון - חזקת דירה יחידה), התש"ף-2019</t>
  </si>
  <si>
    <t xml:space="preserve"> (פ/486/22)</t>
  </si>
  <si>
    <t xml:space="preserve">הצעת חוק מיסוי מקרקעין (שבח ורכישה) (תיקון - תשלום המס בתשלומים), התש"ף-2019</t>
  </si>
  <si>
    <t xml:space="preserve"> (פ/485/22)</t>
  </si>
  <si>
    <t xml:space="preserve">הצעת חוק הבטחת הכנסה (תיקון - הגדלת הסכום להשתכרות בנוסף לקיצבה), התש"ף-2019</t>
  </si>
  <si>
    <t xml:space="preserve"> (פ/484/22)</t>
  </si>
  <si>
    <t xml:space="preserve">הצעת חוק הבטחת הכנסה (תיקון - מענק קירור), התש"ף-2019</t>
  </si>
  <si>
    <t xml:space="preserve"> (פ/483/22)</t>
  </si>
  <si>
    <t xml:space="preserve">הצעת חוק לתיקון פקודת הבנקאות (תקופת צינון למפקח על הבנקים), התש"ף-2019</t>
  </si>
  <si>
    <t xml:space="preserve"> (פ/482/22)</t>
  </si>
  <si>
    <t xml:space="preserve">הצעת חוק לתיקון פקודת מס הכנסה (מס חברות דיפרנציאלי), התש"ף-2019</t>
  </si>
  <si>
    <t xml:space="preserve"> (פ/481/22)</t>
  </si>
  <si>
    <t xml:space="preserve">הצעת חוק לתיקון פקודת מס הכנסה (קביעת מדרגות מס נוספות), התש"ף-2019</t>
  </si>
  <si>
    <t xml:space="preserve"> (פ/480/22)</t>
  </si>
  <si>
    <t xml:space="preserve">הצעת חוק הביטוח הלאומי (תיקון - הגדלת קצבת הילדים), התש"ף-2019</t>
  </si>
  <si>
    <t xml:space="preserve"> (פ/479/22)</t>
  </si>
  <si>
    <t xml:space="preserve">הצעת חוק ביטוח בריאות ממלכתי (תיקון - החזר אגרת נסיעה באמבולנס), התש"ף-2019</t>
  </si>
  <si>
    <t xml:space="preserve"> (פ/478/22)</t>
  </si>
  <si>
    <t xml:space="preserve"> (פ/477/22)</t>
  </si>
  <si>
    <t xml:space="preserve"> (פ/476/22)</t>
  </si>
  <si>
    <t xml:space="preserve">הצעת חוק הביטוח הלאומי (תיקון - שינוי המונח נכה), התש"ף-2019</t>
  </si>
  <si>
    <t xml:space="preserve"> (פ/475/22)</t>
  </si>
  <si>
    <t xml:space="preserve">הצעת חוק שירות המילואים (תיקון - תוספת גמול לימי מילואים נוספים), התש"ף-2019</t>
  </si>
  <si>
    <t xml:space="preserve"> (פ/474/22)</t>
  </si>
  <si>
    <t xml:space="preserve">הצעת חוק שיפוט בתי דין רבניים (נישואין וגירושין) (תיקון - נישואין אזרחיים בשטח שגרירות בישראל), התש"ף-2019</t>
  </si>
  <si>
    <t xml:space="preserve"> (פ/473/22)</t>
  </si>
  <si>
    <t xml:space="preserve">הצעת חוק הביטוח הלאומי (תיקון - זכות המוסד לתביעה), התש"ף-2019</t>
  </si>
  <si>
    <t xml:space="preserve"> (פ/472/22)</t>
  </si>
  <si>
    <t xml:space="preserve"> (פ/471/22)</t>
  </si>
  <si>
    <t xml:space="preserve"> (פ/470/22)</t>
  </si>
  <si>
    <t xml:space="preserve">הצעת חוק לתיקון פקודת המשטרה (אלימות שוטרים ושינויים ארגוניים), התש"ף-2019</t>
  </si>
  <si>
    <t xml:space="preserve"> (פ/469/22)</t>
  </si>
  <si>
    <t xml:space="preserve">הצעת חוק הביטוח הלאומי (תיקון - עדכון קצבת אזרח ותיק בהתאם לשכר המינימום), התש"ף-2019</t>
  </si>
  <si>
    <t xml:space="preserve"> (פ/468/22)</t>
  </si>
  <si>
    <t xml:space="preserve">הצעת חוק הביטוח הלאומי (תיקון - זכאות לגמלת ניידות לאחר גיל הפרישה), התש"ף-2019</t>
  </si>
  <si>
    <t xml:space="preserve"> (פ/467/22)</t>
  </si>
  <si>
    <t xml:space="preserve">הצעת חוק החברות הממשלתיות (תיקון - הבטחת זכויות הפנסיה של עובדים וגמלאים בהפרטה), התש"ף-2019</t>
  </si>
  <si>
    <t xml:space="preserve"> (פ/466/22)</t>
  </si>
  <si>
    <t xml:space="preserve">הצעת חוק עסקאות גופים ציבוריים (תיקון - מניעת העסקה במיקור חוץ בשירות הציבורי), התש"ף-2019</t>
  </si>
  <si>
    <t xml:space="preserve"> (פ/465/22)</t>
  </si>
  <si>
    <t xml:space="preserve">הצעת חוק ביטוח בריאות ממלכתי (תיקון - שירותי רפואת שיניים), התש"ף-2019</t>
  </si>
  <si>
    <t xml:space="preserve"> (פ/464/22)</t>
  </si>
  <si>
    <t xml:space="preserve">הצעת חוק ביטוח בריאות ממלכתי (תיקון - זכות למכשיר ניידות קלנועית), התש״ף-2019</t>
  </si>
  <si>
    <t xml:space="preserve"> (פ/463/22)</t>
  </si>
  <si>
    <t xml:space="preserve">הצעת חוק לתיקון סדרי המינהל (החלטות והנמקות) (תיקון - חובת מתן תשובה במועד), התש"ף-2019</t>
  </si>
  <si>
    <t xml:space="preserve"> (פ/462/22)</t>
  </si>
  <si>
    <t xml:space="preserve">הצעת חוק עבודת נשים (תיקון - תקופת לידה והורות להורה יחיד), התש"ף-2019</t>
  </si>
  <si>
    <t xml:space="preserve"> (פ/461/22)</t>
  </si>
  <si>
    <t xml:space="preserve">הצעת חוק הביטוח הלאומי (תיקון - תשלום גמלה לשמירת היריון עבור כל התקופה), התש"ף-2019</t>
  </si>
  <si>
    <t xml:space="preserve"> (פ/460/22)</t>
  </si>
  <si>
    <t xml:space="preserve">הצעת חוק חובת הצגת תג זיהוי והזדהות של עובד ציבור, התש"ף-2019</t>
  </si>
  <si>
    <t xml:space="preserve"> (פ/459/22)</t>
  </si>
  <si>
    <t xml:space="preserve">הצעת חוק שוויון זכויות לאנשים עם מוגבלות (תיקון - דיור בקהילה וסיוע אישי), התש"ף-2019</t>
  </si>
  <si>
    <t xml:space="preserve"> (פ/458/22)</t>
  </si>
  <si>
    <t xml:space="preserve">הצעת חוק העסקה ישירה של עובדי הוראה, התש"ף-2019</t>
  </si>
  <si>
    <t xml:space="preserve"> (פ/457/22)</t>
  </si>
  <si>
    <t xml:space="preserve">הצעת חוק הרשויות המקומיות (התאמת תקציב הרווחה), התש"ף-2019</t>
  </si>
  <si>
    <t xml:space="preserve"> (פ/456/22)</t>
  </si>
  <si>
    <t xml:space="preserve">הצעת חוק לתיקון פקודת התעבורה (המבקש להישפט על עבירות קנס), התש"ף-2019</t>
  </si>
  <si>
    <t xml:space="preserve"> (פ/455/22)</t>
  </si>
  <si>
    <t xml:space="preserve">הצעת חוק להגברת האכיפה של דיני העבודה (תיקון - הפרת הוראות צווי הרחבה לעניין החזר הוצאות נסיעה), התש"ף-2019</t>
  </si>
  <si>
    <t xml:space="preserve"> (פ/454/22)</t>
  </si>
  <si>
    <t xml:space="preserve">הצעת חוק הקמת חדרי מיון קדמיים, התש"ף-2019</t>
  </si>
  <si>
    <t xml:space="preserve"> (פ/453/22)</t>
  </si>
  <si>
    <t xml:space="preserve"> (פ/452/22)</t>
  </si>
  <si>
    <t xml:space="preserve"> (פ/451/22)</t>
  </si>
  <si>
    <t xml:space="preserve">הצעת חוק הגנה על עובדים בשעת חירום (תיקון - תשלום שכר בעד היעדרות בשל ביטול יום לימודים במוסד חינוך), התש"ף-2019</t>
  </si>
  <si>
    <t xml:space="preserve"> (פ/450/22)</t>
  </si>
  <si>
    <t xml:space="preserve">הצעת חוק ארגון הפיקוח על העבודה (תיקון - הודעה על נוכחות חומרים מזיקים במקום העבודה), התש"ף-2019</t>
  </si>
  <si>
    <t xml:space="preserve"> (פ/449/22)</t>
  </si>
  <si>
    <t xml:space="preserve">הצעת חוק לתיקון פקודת התעבורה (שילוט אלקטרוני ומערכת כריזה באוטובוס בשפה הערבית), התש"ף-2019</t>
  </si>
  <si>
    <t xml:space="preserve"> (פ/448/22)</t>
  </si>
  <si>
    <t xml:space="preserve">הצעת חוק להסדר התדיינויות בסכסוכי משפחה (הוראת שעה) (תיקון - הוספת גירושין בשיתוף פעולה), התש"ף-2019</t>
  </si>
  <si>
    <t xml:space="preserve"> (פ/447/22)</t>
  </si>
  <si>
    <t xml:space="preserve">הצעת חוק דמי ביטוח לאומי ודמי ביטוח בריאות מופחתים למי שיצא לפרישה מוקדמת (תיקוני חקיקה), התש"ף-2019</t>
  </si>
  <si>
    <t xml:space="preserve"> (פ/446/22)</t>
  </si>
  <si>
    <t xml:space="preserve">הצעת חוק ביטוח בריאות ממלכתי (תיקון - קביעת זמני המתנה ומרחקי נסיעה מרביים לקבלת טיפול רפואי), התש"ף-2019 </t>
  </si>
  <si>
    <t xml:space="preserve"> (פ/445/22)</t>
  </si>
  <si>
    <t xml:space="preserve">הצעת חוק הגנת הצרכן (תיקון - פרסומת ודרכי שיווק אסורות במוסד חינוך), התש"ף-2019</t>
  </si>
  <si>
    <t xml:space="preserve"> (פ/444/22)</t>
  </si>
  <si>
    <t xml:space="preserve">הצעת חוק הליך טיפול מזורז על ידי גוף ציבורי בחולה הנוטה למות, התש"ף-2019</t>
  </si>
  <si>
    <t xml:space="preserve"> (פ/443/22)</t>
  </si>
  <si>
    <t xml:space="preserve">הצעת חוק הביטוח הלאומי (תיקון - נכה שהגיע לגיל פרישה), התש"ף-2019</t>
  </si>
  <si>
    <t xml:space="preserve"> (פ/442/22)</t>
  </si>
  <si>
    <t xml:space="preserve">הצעת חוק בית המשפט לענייני משפחה (תיקון - רשימת כונסי נכסים), התש"ף-2019</t>
  </si>
  <si>
    <t xml:space="preserve"> (פ/441/22)</t>
  </si>
  <si>
    <t xml:space="preserve">הצעת חוק הכניסה לישראל (תיקון - הסמכת מבקרים רשמיים לביקור במקום משמורת), התש"ף-2019</t>
  </si>
  <si>
    <t xml:space="preserve"> (פ/440/22)</t>
  </si>
  <si>
    <t xml:space="preserve">הצעת חוק הביטוח הלאומי (תיקון - תשלום רטרואקטיבי של גמלאות), התש"ף-2019</t>
  </si>
  <si>
    <t xml:space="preserve"> (פ/439/22)</t>
  </si>
  <si>
    <t xml:space="preserve">הצעת חוק הצבת מכשירי החייאה במקומות ציבוריים (תיקון - בדיקות תקינות שנתיות ותיעודן), התש"ף-2019</t>
  </si>
  <si>
    <t xml:space="preserve"> (פ/438/22)</t>
  </si>
  <si>
    <t xml:space="preserve">הצעת חוק מועצת הצמחים (ייצור ושיווק) (תיקון - ביטול מועצת הצמחים), התש"ף-2019</t>
  </si>
  <si>
    <t xml:space="preserve"> (פ/437/22)</t>
  </si>
  <si>
    <t xml:space="preserve"> (פ/436/22)</t>
  </si>
  <si>
    <t xml:space="preserve">הצעת חוק מתן פטור מתשלום חשבונות עבור שירותים חיוניים לחיילים בודדים, התש"ף-2019</t>
  </si>
  <si>
    <t xml:space="preserve"> (פ/435/22)</t>
  </si>
  <si>
    <t xml:space="preserve">הצעת חוק האזרחים הוותיקים (תיקון - פטור מתשלום בתחבורה ציבורית), התש"ף-2019</t>
  </si>
  <si>
    <t xml:space="preserve"> (פ/434/22)</t>
  </si>
  <si>
    <t xml:space="preserve"> (פ/433/22)</t>
  </si>
  <si>
    <t xml:space="preserve">הצעת חוק שוויון זכויות לאנשים עם מוגבלות (תיקון - בירור תלונות ופיקוח על שמירת זכויות של אנשים עם מוגבלות במסגרות מגורים), התש"ף-2019</t>
  </si>
  <si>
    <t xml:space="preserve"> (פ/432/22)</t>
  </si>
  <si>
    <t xml:space="preserve">הצעת חוק הביטוח הלאומי (תיקון - אי שלילת זכאות לקצבת שאירים בשל הכנסה מפנסיה), התש"ף-2019</t>
  </si>
  <si>
    <t xml:space="preserve"> (פ/431/22)</t>
  </si>
  <si>
    <t xml:space="preserve">הצעת חוק ביטוח בריאות ממלכתי (תיקון - זמן סביר לעניין שירות רפואי), התש"ף-2019</t>
  </si>
  <si>
    <t xml:space="preserve"> (פ/430/22)</t>
  </si>
  <si>
    <t xml:space="preserve"> (פ/429/22)</t>
  </si>
  <si>
    <t xml:space="preserve">הצעת חוק לתיקון פקודת הבנקאות (הגבלת עמלת פירעון מוקדם של הלוואה לדיור), התש"ף-2019</t>
  </si>
  <si>
    <t xml:space="preserve"> (פ/428/22)</t>
  </si>
  <si>
    <t xml:space="preserve"> (פ/427/22)</t>
  </si>
  <si>
    <t xml:space="preserve">הצעת חוק הבנקאות (שירות ללקוח) (תיקון - הפחתת יוקר תשלומי הלוואה לדיור), התש"ף-2019</t>
  </si>
  <si>
    <t xml:space="preserve"> (פ/426/22)</t>
  </si>
  <si>
    <t xml:space="preserve">הצעת חוק איסור הפליה של תלמידים במערכת החינוך (תיקוני חקיקה), התש"ף-2019</t>
  </si>
  <si>
    <t xml:space="preserve"> (פ/425/22)</t>
  </si>
  <si>
    <t xml:space="preserve"> (פ/424/22)</t>
  </si>
  <si>
    <t xml:space="preserve">הצעת חוק הביטוח הלאומי (תיקון - הודעה לפני גביית חוב), התש"ף-2019</t>
  </si>
  <si>
    <t xml:space="preserve"> (פ/423/22)</t>
  </si>
  <si>
    <t xml:space="preserve">הצעת חוק זכויות הדייר בדיור הציבורי (תיקון - זכות למגורים בדירה ציבורית לנשים ששהו במקלט לנשים מוכות), התש"ף-2019</t>
  </si>
  <si>
    <t xml:space="preserve"> (פ/422/22)</t>
  </si>
  <si>
    <t xml:space="preserve"> (פ/421/22)</t>
  </si>
  <si>
    <t xml:space="preserve">הצעת חוק סיוע לקטינים נפגעי עבירות מין או אלימות (תיקון - טיפול נפשי לילדים נפגעי אלימות במשפחה), התש"ף-2019</t>
  </si>
  <si>
    <t xml:space="preserve"> (פ/420/22)</t>
  </si>
  <si>
    <t xml:space="preserve">הצעת חוק לתיקון פקודת מס הכנסה (ביטול הפטור על רווח הון ממכירת איגרת חוב או מילווה של מדינת ישראל לתושב חוץ), התש"ף-2019</t>
  </si>
  <si>
    <t xml:space="preserve"> (פ/419/22)</t>
  </si>
  <si>
    <t xml:space="preserve">הצעת חוק הבחירות לכנסת (תיקון - הצבעת אזרחים מחוץ לישראל), התש"ף-2019</t>
  </si>
  <si>
    <t xml:space="preserve"> (פ/418/22)</t>
  </si>
  <si>
    <t xml:space="preserve">הצעת חוק הנחה לחיילי צה"ל בשירות סדיר בדמי נסיעה בתחבורה ציבורית, התש"ף-2019</t>
  </si>
  <si>
    <t xml:space="preserve"> (פ/417/22)</t>
  </si>
  <si>
    <t xml:space="preserve">הצעת חוק איסור ייבוא ומכירת כבד של בעלי חיים שעברו התעללות, התש"ף-2019</t>
  </si>
  <si>
    <t xml:space="preserve"> (פ/416/22)</t>
  </si>
  <si>
    <t xml:space="preserve">הצעת חוק נציבות הדורות הבאים, התש"ף-2019</t>
  </si>
  <si>
    <t xml:space="preserve"> (פ/415/22)</t>
  </si>
  <si>
    <t xml:space="preserve">הצעת חוק המשתתף החופשי, התש"ף-2019</t>
  </si>
  <si>
    <t xml:space="preserve"> (פ/414/22)</t>
  </si>
  <si>
    <t xml:space="preserve">הצעת חוק שכר מינימום (תיקון - עוולה נזיקית וקובלנה), התש"ף-2019</t>
  </si>
  <si>
    <t xml:space="preserve"> (פ/413/22)</t>
  </si>
  <si>
    <t xml:space="preserve">הצעת חוק הפנסיה (מועד תחילת הביטוח הפנסיוני), התש"ף-2019</t>
  </si>
  <si>
    <t xml:space="preserve"> (פ/412/22)</t>
  </si>
  <si>
    <t xml:space="preserve">הצעת חוק פיצויי פיטורים (תיקון - הזכות לפיצויי פיטורים בעת סיום יחסי עבודה), התש"ף-2019</t>
  </si>
  <si>
    <t xml:space="preserve"> (פ/411/22)</t>
  </si>
  <si>
    <t xml:space="preserve">הצעת חוק השוואת תנאי שכר לקבוצות שאסור להפלותן (תיקוני חקיקה), התש"ף-2019</t>
  </si>
  <si>
    <t xml:space="preserve"> (פ/410/22)</t>
  </si>
  <si>
    <t xml:space="preserve"> (פ/409/22)</t>
  </si>
  <si>
    <t xml:space="preserve">הצעת חוק הרישום למוסדות להשכלה גבוהה, התש"ף-2019</t>
  </si>
  <si>
    <t xml:space="preserve"> (פ/408/22)</t>
  </si>
  <si>
    <t xml:space="preserve">הצעת חוק הסעה בטיחותית לילדים ולפעוטות עם מוגבלות (תיקון - הרחבת ההגדרה מוסד חינוך), התש"ף-2019</t>
  </si>
  <si>
    <t xml:space="preserve"> (פ/407/22)</t>
  </si>
  <si>
    <t xml:space="preserve">הצעת חוק להגנת חיית הבר (תיקון - איסור מכירת פרוות), התש"ף-2019 </t>
  </si>
  <si>
    <t xml:space="preserve"> (פ/406/22)</t>
  </si>
  <si>
    <t xml:space="preserve">הצעת חוק חובת דיווח שנתי על מצב הטבע והמגוון הביולוגי בישראל, התש"ף-2019 </t>
  </si>
  <si>
    <t xml:space="preserve"> (פ/405/22)</t>
  </si>
  <si>
    <t xml:space="preserve">הצעת חוק להגנת חיית הבר (תיקון - איסור שימוש ברעל ובחומרי הדברה), התש"ף-2019 </t>
  </si>
  <si>
    <t xml:space="preserve"> (פ/404/22)</t>
  </si>
  <si>
    <t xml:space="preserve">הצעת חוק צער בעלי חיים (הגנה על בעלי חיים) (תיקון - ביטול כלובים בתעשיית הביצים), התש"ף-2019 </t>
  </si>
  <si>
    <t xml:space="preserve"> (פ/403/22)</t>
  </si>
  <si>
    <t xml:space="preserve">הצעת חוק שכר ותנאי עבודה לנהגי תחבורה ציבורית, התש"ף-2019</t>
  </si>
  <si>
    <t xml:space="preserve"> (פ/402/22)</t>
  </si>
  <si>
    <t xml:space="preserve">הצעת חוק מס רכוש וקרן פיצויים (תיקון - פיצוי לענף המסעדות ואולמות האירועים בתחום ישוב ספר והוראת שעה), התש"ף-2019</t>
  </si>
  <si>
    <t xml:space="preserve"> (פ/401/22)</t>
  </si>
  <si>
    <t xml:space="preserve">11.11.2019</t>
  </si>
  <si>
    <t xml:space="preserve">הצעת חוק למניעת הטרדה מינית (תיקון - חיוב מוסדות חינוך להעביר לימודי מוגנות ומניעת הטרדה מינית), התש"ף-2019</t>
  </si>
  <si>
    <t xml:space="preserve"> (פ/400/22)</t>
  </si>
  <si>
    <t xml:space="preserve">הצעת חוק לתיקון פקודת הראיות (פסילת ראיה), התש"ף-2019</t>
  </si>
  <si>
    <t xml:space="preserve"> (פ/399/22)</t>
  </si>
  <si>
    <t xml:space="preserve">הצעת חוק זכויות החולה (תיקון - זכות מטופל לקבל רשומות רפואיות), התש"ף-2019</t>
  </si>
  <si>
    <t xml:space="preserve"> (פ/398/22)</t>
  </si>
  <si>
    <t xml:space="preserve">הצעת חוק ביטול איסור התארגנות במשטרה ובשירות בתי הסוהר (תיקוני חקיקה), התש"ף-2019</t>
  </si>
  <si>
    <t xml:space="preserve"> (פ/397/22)</t>
  </si>
  <si>
    <t xml:space="preserve">הצעת חוק האזרחים הוותיקים (תיקון - הנחה בארנונה לאזרח ותיק המתגורר בדירה שאינה בהחזקתו), התש"ף-2019</t>
  </si>
  <si>
    <t xml:space="preserve"> (פ/396/22)</t>
  </si>
  <si>
    <t xml:space="preserve">הצעת חוק שוויון זכויות לאנשים עם מוגבלות (תיקון - חובת נגישות באוטובוסים בין-עירוניים), התש"ף-2019</t>
  </si>
  <si>
    <t xml:space="preserve"> (פ/395/22)</t>
  </si>
  <si>
    <t xml:space="preserve">הצעת חוק הביטוח הלאומי (תיקון - דמי אבטלה למי שנמצא בהכשרה מקצועית), התש"ף-2019</t>
  </si>
  <si>
    <t xml:space="preserve"> (פ/394/22)</t>
  </si>
  <si>
    <t xml:space="preserve">הצעת חוק לתיקון פקודת מס הכנסה (זיכוי וניכוי בגין הוצאות טיפול בילדים), התש"ף-2019</t>
  </si>
  <si>
    <t xml:space="preserve"> (פ/393/22)</t>
  </si>
  <si>
    <t xml:space="preserve">הצעת חוק הבחירות לכנסת (תיקון - שלילת הזכות לשכר ביום הבחירות ממי שאינו מצביע), התש"ף-2019</t>
  </si>
  <si>
    <t xml:space="preserve"> (פ/392/22)</t>
  </si>
  <si>
    <t xml:space="preserve">הצעת חוק האזרחים הוותיקים (תיקון - סבסוד מלא של נסיעות בתחבורה ציבורית לניצולי שואה ולאסירי ציון), התש"ף-2019</t>
  </si>
  <si>
    <t xml:space="preserve"> (פ/391/22)</t>
  </si>
  <si>
    <t xml:space="preserve">הצעת חוק חופש המידע (תיקון - מידע על נגישות), התש"ף-2019</t>
  </si>
  <si>
    <t xml:space="preserve"> (פ/390/22)</t>
  </si>
  <si>
    <t xml:space="preserve"> (פ/389/22)</t>
  </si>
  <si>
    <t xml:space="preserve"> (פ/388/22)</t>
  </si>
  <si>
    <t xml:space="preserve">הצעת חוק הקלות במס על רכישת מכשיר ניידות מסוג קלנועית (תיקוני חקיקה), התש"ף-2019</t>
  </si>
  <si>
    <t xml:space="preserve"> (פ/387/22)</t>
  </si>
  <si>
    <t xml:space="preserve">הצעת חוק-יסוד: מגילת העצמאות </t>
  </si>
  <si>
    <t xml:space="preserve"> (פ/386/22)</t>
  </si>
  <si>
    <t xml:space="preserve">הצעת חוק ביטוח בריאות ממלכתי (תיקון - שירותי רפואה מונעת ושירותי בריאות לתלמיד), התש"ף-2019</t>
  </si>
  <si>
    <t xml:space="preserve"> (פ/385/22)</t>
  </si>
  <si>
    <t xml:space="preserve"> (פ/384/22)</t>
  </si>
  <si>
    <t xml:space="preserve">הצעת חוק זכויות נפגעי עבירה (תיקון - חובת מסירת הודעה בדבר כניסה, יציאה ושחרור של נידון ממעון נעול), התש"ף-2019 </t>
  </si>
  <si>
    <t xml:space="preserve"> (פ/383/22)</t>
  </si>
  <si>
    <t xml:space="preserve">הצעת חוק ההוצאה לפועל (תיקון - סיוע לחסרי דירה), התש"ף-2019</t>
  </si>
  <si>
    <t xml:space="preserve"> (פ/382/22)</t>
  </si>
  <si>
    <t xml:space="preserve"> (פ/381/22)</t>
  </si>
  <si>
    <t xml:space="preserve"> (פ/380/22)</t>
  </si>
  <si>
    <t xml:space="preserve">הצעת חוק בית המשפט לענייני משפחה (תיקון - מימון ניהול ההליך המשפטי), התש"ף-2019</t>
  </si>
  <si>
    <t xml:space="preserve"> (פ/379/22)</t>
  </si>
  <si>
    <t xml:space="preserve">הצעת חוק הביטוח הלאומי (תיקון - הצמדת קצבאות הביטוח הלאומי לשכר הממוצע במשק), התש"ף-2019</t>
  </si>
  <si>
    <t xml:space="preserve"> (פ/378/22)</t>
  </si>
  <si>
    <t xml:space="preserve"> (פ/377/22)</t>
  </si>
  <si>
    <t xml:space="preserve"> (פ/376/22)</t>
  </si>
  <si>
    <t xml:space="preserve"> (פ/375/22)</t>
  </si>
  <si>
    <t xml:space="preserve"> (פ/374/22)</t>
  </si>
  <si>
    <t xml:space="preserve">הצעת חוק הביטוח הלאומי (תיקון - עבודה בחינוך וסיוע להוראה או בטיפול בילדים כעבודה מועדפת), התש"ף-2019</t>
  </si>
  <si>
    <t xml:space="preserve"> (פ/373/22)</t>
  </si>
  <si>
    <t xml:space="preserve">הצעת חוק הביטוח הלאומי (תיקון - השלמת סכום קצבת אזרח ותיק לנכה), התש"ף-2019</t>
  </si>
  <si>
    <t xml:space="preserve"> (פ/372/22)</t>
  </si>
  <si>
    <t xml:space="preserve">הצעת חוק למניעת הטרדה מינית (תיקון - הטרדת קטין), התש"ף-2019</t>
  </si>
  <si>
    <t xml:space="preserve"> (פ/371/22)</t>
  </si>
  <si>
    <t xml:space="preserve">הצעת חוק שימור השליטה הישראלית בתאגידים מרכזיים במשק, התש"ף-2019</t>
  </si>
  <si>
    <t xml:space="preserve"> (פ/370/22)</t>
  </si>
  <si>
    <t xml:space="preserve"> (פ/369/22)</t>
  </si>
  <si>
    <t xml:space="preserve">הצעת חוק הגנה על עובדים (חשיפת עבירות ופגיעה בטוהר המידות או במינהל התקין) (תיקון - הארכת תקופת ההתיישנות בתביעה של חושף שחיתות נגד מעסיקו), התש"ף-2019</t>
  </si>
  <si>
    <t xml:space="preserve"> (פ/368/22)</t>
  </si>
  <si>
    <t xml:space="preserve">הצעת חוק שוויון זכויות לאנשים עם מוגבלות (תיקון - נגישות להורה ולתלמיד במוסד חינוך), התש"ף-2019</t>
  </si>
  <si>
    <t xml:space="preserve"> (פ/367/22)</t>
  </si>
  <si>
    <t xml:space="preserve">הצעת חוק הפרשנות (תיקון - הגדרת הפליה על רקע זהות מגדרית או נטייה מינית), התש"ף-2019</t>
  </si>
  <si>
    <t xml:space="preserve"> (פ/366/22)</t>
  </si>
  <si>
    <t xml:space="preserve">הצעת חוק הביטוח הלאומי (תיקון - הדרכה בתנועת נוער וארגון נוער כעבודה מועדפת), התש"ף-2019</t>
  </si>
  <si>
    <t xml:space="preserve"> (פ/365/22)</t>
  </si>
  <si>
    <t xml:space="preserve">הצעת חוק הביטוח הלאומי (תיקון - שינוי תקופת אכשרה לקבלת דמי לידה לסטודנטיות), התש"ף-2019</t>
  </si>
  <si>
    <t xml:space="preserve"> (פ/364/22)</t>
  </si>
  <si>
    <t xml:space="preserve">הצעת חוק הפעלת תחבורה ציבורית בשבת, התש"ף-2019</t>
  </si>
  <si>
    <t xml:space="preserve"> (פ/363/22)</t>
  </si>
  <si>
    <t xml:space="preserve"> (פ/362/22)</t>
  </si>
  <si>
    <t xml:space="preserve"> (פ/360/22)</t>
  </si>
  <si>
    <t xml:space="preserve">הצעת חוק ההוצאה לפועל (תיקון - חייבים מוגנים), התש"ף-2019</t>
  </si>
  <si>
    <t xml:space="preserve"> (פ/359/22)</t>
  </si>
  <si>
    <t xml:space="preserve">הצעת חוק התרת נישואין אזרחיים (תיקוני חקיקה), התש"ף-2019</t>
  </si>
  <si>
    <t xml:space="preserve"> (פ/358/22)</t>
  </si>
  <si>
    <t xml:space="preserve"> (פ/357/22)</t>
  </si>
  <si>
    <t xml:space="preserve">הצעת חוק שמירת הסביבה החופית (בחינה ועדכון של תכניות), התש"ף-2019</t>
  </si>
  <si>
    <t xml:space="preserve"> (פ/356/22)</t>
  </si>
  <si>
    <t xml:space="preserve">הצעת חוק החולה הנוטה למות (תיקון - מוות במרשם רופא), התש"ף-2019</t>
  </si>
  <si>
    <t xml:space="preserve"> (פ/355/22)</t>
  </si>
  <si>
    <t xml:space="preserve">הצעת חוק הכשרות לאנשי מקצוע בנושא זיהוי ודיווח על התעללות בילדים, התש"ף-2019</t>
  </si>
  <si>
    <t xml:space="preserve"> (פ/354/22)</t>
  </si>
  <si>
    <t xml:space="preserve"> (פ/353/22)</t>
  </si>
  <si>
    <t xml:space="preserve">הצעת חוק ביטוח בריאות ממלכתי (תיקון - שירותי בריאות לתלמיד), התש"ף-2019</t>
  </si>
  <si>
    <t xml:space="preserve"> (פ/352/22)</t>
  </si>
  <si>
    <t xml:space="preserve">הצעת חוק הכנסת (תיקון - שמירת מעמדה של הכנסת כמפקחת על עבודת הממשלה והבטחת מסירת מידע לכנסת על ידי הממשלה), התש"ף-2019</t>
  </si>
  <si>
    <t xml:space="preserve"> (פ/351/22)</t>
  </si>
  <si>
    <t xml:space="preserve"> (פ/350/22)</t>
  </si>
  <si>
    <t xml:space="preserve">הצעת חוק ביטוח בריאות ממלכתי (תיקון - ביטול תשלומי השתתפות), התש"ף-2019</t>
  </si>
  <si>
    <t xml:space="preserve"> (פ/349/22)</t>
  </si>
  <si>
    <t xml:space="preserve">הצעת חוק ציון שם ההורה בטופס, התש"ף-2019</t>
  </si>
  <si>
    <t xml:space="preserve"> (פ/348/22)</t>
  </si>
  <si>
    <t xml:space="preserve"> (פ/347/22)</t>
  </si>
  <si>
    <t xml:space="preserve">הצעת חוק דמי מחלה (תיקון - סייג לחריג לאיסור פיטורים), התש"ף-2019</t>
  </si>
  <si>
    <t xml:space="preserve"> (פ/346/22)</t>
  </si>
  <si>
    <t xml:space="preserve">הצעת חוק הביטוח הלאומי (תיקון - הרחבת הגדרת קרוב משפחה לעניין ההסכם בדבר גמלת ניידות), התש"ף-2019</t>
  </si>
  <si>
    <t xml:space="preserve"> (פ/345/22)</t>
  </si>
  <si>
    <t xml:space="preserve">הצעת חוק לתיקון פקודת העיריות (שקיפות פיננסית), התש"ף-2019</t>
  </si>
  <si>
    <t xml:space="preserve"> (פ/344/22)</t>
  </si>
  <si>
    <t xml:space="preserve">הצעת חוק המועצה להשכלה גבוהה (תיקון - איסור דרישת בחינות כניסה וציון פסיכומטרי), התש"ף-2019</t>
  </si>
  <si>
    <t xml:space="preserve"> (פ/343/22)</t>
  </si>
  <si>
    <t xml:space="preserve">הצעת חוק רישוי עסקים (תיקון - ביטול האיסור על מכירת אלכוהול בשעות הלילה), התש"ף-2019</t>
  </si>
  <si>
    <t xml:space="preserve"> (פ/342/22)</t>
  </si>
  <si>
    <t xml:space="preserve">הצעת חוק לשינוי סדרי עדיפויות לאומיים (תיקוני חקיקה להשגת יעדי התקציב לשנים 2013 ו-2014) (תיקון - ביטול פרק הרשויות המקומיות), התש"ף-2019</t>
  </si>
  <si>
    <t xml:space="preserve"> (פ/341/22)</t>
  </si>
  <si>
    <t xml:space="preserve">הצעת חוק הגנה כלכלית על חסרי ישע (תעודת יושר) (תיקוני חקיקה), התש"ף-2019</t>
  </si>
  <si>
    <t xml:space="preserve"> (פ/340/22)</t>
  </si>
  <si>
    <t xml:space="preserve">הצעת חוק הסכמים לנשיאת עוברים (אישור הסכם ומעמד היילוד) (תיקון - הרחבת הגדרת הורים מיועדים), התש"ף-2019</t>
  </si>
  <si>
    <t xml:space="preserve"> (פ/339/22)</t>
  </si>
  <si>
    <t xml:space="preserve">הצעת חוק השתלת אברים (תיקון - שינוי ברירת המחדל), התש"ף-2019</t>
  </si>
  <si>
    <t xml:space="preserve"> (פ/338/22)</t>
  </si>
  <si>
    <t xml:space="preserve">הצעת חוק הגנה על עובדים בשעת חירום (תיקון - הגנת שכר בעת מצב מיוחד בעורף), התש"ף-2019</t>
  </si>
  <si>
    <t xml:space="preserve"> (פ/337/22)</t>
  </si>
  <si>
    <t xml:space="preserve">הצעת חוק מס ערך מוסף (תיקון - מס בשיעור אפס על תרופות), התש"ף-2019</t>
  </si>
  <si>
    <t xml:space="preserve"> (פ/336/22)</t>
  </si>
  <si>
    <t xml:space="preserve">הצעת חוק הביטוח הלאומי (תיקון - קצבת שאירים למי שמנהל משק בית משותף), התש"ף-2019 </t>
  </si>
  <si>
    <t xml:space="preserve"> (פ/335/22)</t>
  </si>
  <si>
    <t xml:space="preserve">הצעת חוק בתי המשפט (תיקון - פרסום פסיקה בענייני משפחה), התש"ף-2019</t>
  </si>
  <si>
    <t xml:space="preserve"> (פ/334/22)</t>
  </si>
  <si>
    <t xml:space="preserve">הצעת חוק זכויות החולה (תיקון - טיפול בזמן סביר), התש"ף-2019</t>
  </si>
  <si>
    <t xml:space="preserve"> (פ/333/22)</t>
  </si>
  <si>
    <t xml:space="preserve">הצעת חוק הביטוח הלאומי (תיקון - הכרה בלקות שמיעה באחת האוזניים), התש"ף-2019</t>
  </si>
  <si>
    <t xml:space="preserve"> (פ/332/22)</t>
  </si>
  <si>
    <t xml:space="preserve">הצעת חוק הפחתת הגירעון והגבלת ההוצאה התקציבית (תיקון - ביטול הגבלת ההוצאה התקציבית), התש"ף-2019</t>
  </si>
  <si>
    <t xml:space="preserve"> (פ/331/22)</t>
  </si>
  <si>
    <t xml:space="preserve">הצעת חוק הביטוח הלאומי (תיקון - הכרה במחלת כולסטאטומה אצל ילדים), התש"ף-2019</t>
  </si>
  <si>
    <t xml:space="preserve"> (פ/330/22)</t>
  </si>
  <si>
    <t xml:space="preserve">הצעת חוק הביטוח הלאומי (תיקון - תשלום ריבית על גמלאות המשולמות באיחור), התש"ף-2019</t>
  </si>
  <si>
    <t xml:space="preserve"> (פ/329/22)</t>
  </si>
  <si>
    <t xml:space="preserve">הצעת חוק הרחבת טווח חובת מיגון ביישובי קו עימות בעוטף עזה, התש"ף-2019</t>
  </si>
  <si>
    <t xml:space="preserve"> (פ/328/22)</t>
  </si>
  <si>
    <t xml:space="preserve"> (פ/327/22)</t>
  </si>
  <si>
    <t xml:space="preserve">הצעת חוק העונשין (תיקון - החמרת הענישה בשל תקיפת עובדים סוציאליים), התש"ף-2019</t>
  </si>
  <si>
    <t xml:space="preserve"> (פ/326/22)</t>
  </si>
  <si>
    <t xml:space="preserve"> (פ/325/22)</t>
  </si>
  <si>
    <t xml:space="preserve"> (פ/324/22)</t>
  </si>
  <si>
    <t xml:space="preserve">הצעת חוק הממשלה (תיקון - ועדת שרים לענייני ביטחון לאומי), התש"ף-2019</t>
  </si>
  <si>
    <t xml:space="preserve"> (פ/323/22)</t>
  </si>
  <si>
    <t xml:space="preserve">הצעת חוק הביטוח הלאומי (תיקון - ערעור על החלטת הוועדה הרפואית לעררים), התש"ף-2019</t>
  </si>
  <si>
    <t xml:space="preserve"> (פ/322/22)</t>
  </si>
  <si>
    <t xml:space="preserve">הצעת חוק תגמולים לחיילים ולבני משפחותיהם (חבלה שלא בעת מילוי תפקיד) (תיקון - חבלה או מחלה של לוחם), התש"ף-2019</t>
  </si>
  <si>
    <t xml:space="preserve"> (פ/321/22)</t>
  </si>
  <si>
    <t xml:space="preserve">הצעת חוק איסור הפליה בדיור, התש"ף-2019</t>
  </si>
  <si>
    <t xml:space="preserve"> (פ/320/22)</t>
  </si>
  <si>
    <t xml:space="preserve">הצעת חוק הגנת השכר (תיקון - הגבלת ניכוי דמי חבר ודמי טיפול מקצועי ארגוני), התש"ף-2019</t>
  </si>
  <si>
    <t xml:space="preserve"> (פ/319/22)</t>
  </si>
  <si>
    <t xml:space="preserve">הצעת חוק לתיקון פקודת הרוקחים (איסור תגמול בגין מכירת תרופות), התש"ף-2019</t>
  </si>
  <si>
    <t xml:space="preserve"> (פ/318/22)</t>
  </si>
  <si>
    <t xml:space="preserve">הצעת חוק הכללת אמצעי זיהוי ביומטריים ונתוני זיהוי ביומטריים במסמכי זיהוי ובמאגר מידע (תיקון - ביטול המאגר הביומטרי), התש"ף-2019</t>
  </si>
  <si>
    <t xml:space="preserve"> (פ/317/22)</t>
  </si>
  <si>
    <t xml:space="preserve">הצעת חוק מס ערך מוסף (תיקון - מס בשיעור אפס על מוצרי מזון בסיסיים), התש"ף-2019</t>
  </si>
  <si>
    <t xml:space="preserve"> (פ/316/22)</t>
  </si>
  <si>
    <t xml:space="preserve">הצעת חוק הסכמים לנשיאת עוברים (אישור הסכם ומעמד היילוד) (תיקון - הרחבת הזכאות להליכי נשיאת עוברים והרחבת ההגנה על האם הנושאת), התש"ף-2019</t>
  </si>
  <si>
    <t xml:space="preserve"> (פ/315/22)</t>
  </si>
  <si>
    <t xml:space="preserve">הצעת חוק למניעת אלימות במשפחה (תיקון - פיקוח אלקטרוני על אדם שהוצא כנגדו צו הגנה), התש"ף-2019</t>
  </si>
  <si>
    <t xml:space="preserve"> (פ/314/22)</t>
  </si>
  <si>
    <t xml:space="preserve">הצעת חוק הביטוח הלאומי (תיקון - הגדלת קצבת אזרח ותיק), התש"ף-2019</t>
  </si>
  <si>
    <t xml:space="preserve"> (פ/313/22)</t>
  </si>
  <si>
    <t xml:space="preserve">הצעת חוק זכויות הסטודנט (תיקון - איסור הפליית מועמדים או סטודנטים), התש"ף-2019</t>
  </si>
  <si>
    <t xml:space="preserve"> (פ/312/22)</t>
  </si>
  <si>
    <t xml:space="preserve">הצעת חוק איסור אלימות בספורט (תיקון - איסור התבטאות גזענית מטעמים של זהות מגדרית או נטייה מינית), התש"ף-2019</t>
  </si>
  <si>
    <t xml:space="preserve"> (פ/311/22)</t>
  </si>
  <si>
    <t xml:space="preserve"> (פ/310/22)</t>
  </si>
  <si>
    <t xml:space="preserve"> (פ/309/22)</t>
  </si>
  <si>
    <t xml:space="preserve">הצעת חוק חינוך ממלכתי (תיקון - חובת לימוד עברית וערבית במוסדות חינוך תיכוניים), התש"ף-2019</t>
  </si>
  <si>
    <t xml:space="preserve"> (פ/308/22)</t>
  </si>
  <si>
    <t xml:space="preserve"> (פ/307/22)</t>
  </si>
  <si>
    <t xml:space="preserve">הצעת חוק חינוך ממלכתי (תיקון - חובת לימוד עברית וערבית), התש"ף-2019</t>
  </si>
  <si>
    <t xml:space="preserve"> (פ/306/22)</t>
  </si>
  <si>
    <t xml:space="preserve">הצעת חוק ביטוח בריאות ממלכתי (תיקון - החזר דמי נסיעות והסעות לטיפולי אונקולוגיה ודיאליזה), התש"ף-2019</t>
  </si>
  <si>
    <t xml:space="preserve"> (פ/305/22)</t>
  </si>
  <si>
    <t xml:space="preserve">הצעת חוק הביטוח הלאומי (תיקון - הגדרת ילד נכה), התש"ף-2019</t>
  </si>
  <si>
    <t xml:space="preserve"> (פ/304/22)</t>
  </si>
  <si>
    <t xml:space="preserve"> (פ/303/22)</t>
  </si>
  <si>
    <t xml:space="preserve">הצעת חוק חובת שקיפות להסדר ניגוד עניינים של שר או ראש הממשלה, התש"ף-2019</t>
  </si>
  <si>
    <t xml:space="preserve"> (פ/302/22)</t>
  </si>
  <si>
    <t xml:space="preserve">הצעת חוק לתיקון פקודת הסמים המסוכנים (הגדרת צמח הקנבוס, מדרוג עבירות ועונשים בסם קנבוס), התש"ף-2019</t>
  </si>
  <si>
    <t xml:space="preserve"> (פ/301/22)</t>
  </si>
  <si>
    <t xml:space="preserve">הצעת חוק הבטחת הכנסה (תיקון - זכאות להטבות הניתנות לזכאים לגמלת הבטחת הכנסה), התש"ף-2019</t>
  </si>
  <si>
    <t xml:space="preserve"> (פ/300/22)</t>
  </si>
  <si>
    <t xml:space="preserve">הצעת חוק זכויות הדייר בדיור הציבורי (תיקון - התקנת דוד שמש), התש"ף-2019</t>
  </si>
  <si>
    <t xml:space="preserve"> (פ/299/22)</t>
  </si>
  <si>
    <t xml:space="preserve">הצעת חוק נכי רדיפות הנאצים (תיקון - ביטול התלות בין בעיה רפואית להכרה במחלה בגין המלחמה), התש"ף-2019</t>
  </si>
  <si>
    <t xml:space="preserve"> (פ/298/22)</t>
  </si>
  <si>
    <t xml:space="preserve">הצעת חוק הביטוח הלאומי (תיקון - הארכת המועד לתביעת גמלת כסף והתקופה שבעדה תשולם), התש"ף-2019</t>
  </si>
  <si>
    <t xml:space="preserve"> (פ/297/22)</t>
  </si>
  <si>
    <t xml:space="preserve">הצעת חוק לחינוך נגד גזענות, התש"ף-2019</t>
  </si>
  <si>
    <t xml:space="preserve"> (פ/296/22)</t>
  </si>
  <si>
    <t xml:space="preserve"> (פ/295/22)</t>
  </si>
  <si>
    <t xml:space="preserve">הצעת חוק חובת מכרזים (תיקון - עידוד העסקת עובדים מאוכלוסיות ייחודיות), התש"ף-2019</t>
  </si>
  <si>
    <t xml:space="preserve"> (פ/294/22)</t>
  </si>
  <si>
    <t xml:space="preserve">הצעת חוק איסור פרסומת והגבלת השיווק של מוצרי טבק ועישון (תיקון - הגבלת כמויות חומרים רעילים בסיגריות), התש"ף-2019</t>
  </si>
  <si>
    <t xml:space="preserve"> (פ/293/22)</t>
  </si>
  <si>
    <t xml:space="preserve">הצעת חוק זכויות הסטודנט (תיקון - ביטול ארגון סטודנטים יציג), התש"ף-2019</t>
  </si>
  <si>
    <t xml:space="preserve"> (פ/292/22)</t>
  </si>
  <si>
    <t xml:space="preserve">הצעת חוק איסור הפליה במוצרים, בשירותים ובכניסה למקומות בידור ולמקומות ציבוריים (תיקון - איסור הפרעה להנקה בציבור), התש"ף-2019</t>
  </si>
  <si>
    <t xml:space="preserve"> (פ/291/22)</t>
  </si>
  <si>
    <t xml:space="preserve"> (פ/290/22)</t>
  </si>
  <si>
    <t xml:space="preserve">הצעת חוק הגנת הצרכן (תיקון - מאגר צרכנים להגבלת שיחות שיווק מרחוק), התש"ף-2019</t>
  </si>
  <si>
    <t xml:space="preserve"> (פ/289/22)</t>
  </si>
  <si>
    <t xml:space="preserve">הצעת חוק איסור פרסומת והגבלת השיווק של מוצרי טבק ועישון (תיקון - ביטול החרגת העיתונות המודפסת), התש"ף-2019 </t>
  </si>
  <si>
    <t xml:space="preserve"> (פ/288/22)</t>
  </si>
  <si>
    <t xml:space="preserve">הצעת חוק תכנית למוגנות ולמניעת הטרדות מיניות (תיקוני חקיקה), התש"ף-2019</t>
  </si>
  <si>
    <t xml:space="preserve"> (פ/287/22)</t>
  </si>
  <si>
    <t xml:space="preserve">הצעת חוק לביטול ולהארכת ההתיישנות בעבירות מין והטרדה מינית (תיקוני חקיקה), התש"ף-2019</t>
  </si>
  <si>
    <t xml:space="preserve"> (פ/286/22)</t>
  </si>
  <si>
    <t xml:space="preserve">הצעת חוק חופשה שנתית (תיקון - היעדרות בשל פטירת סב), התש"ף-2019</t>
  </si>
  <si>
    <t xml:space="preserve"> (פ/285/22)</t>
  </si>
  <si>
    <t xml:space="preserve">הצעת חוק יום אבל במות קרוב מדרגה שנייה, התש"ף-2019</t>
  </si>
  <si>
    <t xml:space="preserve"> (פ/284/22)</t>
  </si>
  <si>
    <t xml:space="preserve">הצעת חוק איסור פרסומת והגבלת השיווק של מוצרי טבק ועישון (תיקון - דור ללא עישון), התש"ף-2019</t>
  </si>
  <si>
    <t xml:space="preserve"> (פ/283/22)</t>
  </si>
  <si>
    <t xml:space="preserve">הצעת חוק העונשין (תיקון - איסור על עבירות נלוות לחשפנות לצורך גירוי מיני), התש"ף-2019</t>
  </si>
  <si>
    <t xml:space="preserve"> (פ/282/22)</t>
  </si>
  <si>
    <t xml:space="preserve">הצעת חוק קליטת חיילים משוחררים (תיקון - מימון שכר לימוד), התש"ף-2019</t>
  </si>
  <si>
    <t xml:space="preserve"> (פ/281/22)</t>
  </si>
  <si>
    <t xml:space="preserve"> (פ/280/22)</t>
  </si>
  <si>
    <t xml:space="preserve"> (פ/279/22)</t>
  </si>
  <si>
    <t xml:space="preserve">הצעת חוק זכויות החולה (תיקון - איסור הפליה על בסיס מצב כלכלי), התש"ף-2019</t>
  </si>
  <si>
    <t xml:space="preserve"> (פ/278/22)</t>
  </si>
  <si>
    <t xml:space="preserve">הצעת חוק העמותות (תיקון - שקיפות במימון ממשלתי או עירוני), התש"ף-2019</t>
  </si>
  <si>
    <t xml:space="preserve"> (פ/277/22)</t>
  </si>
  <si>
    <t xml:space="preserve">הצעת חוק סדנאות הכשרה לשוויון מגדרי בגיל הרך, התש"ף-2019</t>
  </si>
  <si>
    <t xml:space="preserve"> (פ/276/22)</t>
  </si>
  <si>
    <t xml:space="preserve"> (פ/275/22)</t>
  </si>
  <si>
    <t xml:space="preserve">הצעת חוק זכויות הסטודנט (תיקון - חופש הביטוי וההתארגנות של סטודנטים), התש"ף-2019</t>
  </si>
  <si>
    <t xml:space="preserve"> (פ/274/22)</t>
  </si>
  <si>
    <t xml:space="preserve">הצעת חוק המוזיאונים (תיקון - מוזיאונים להנצחה והנחלה של זכר השואה והגבורה), התש"ף-2019 </t>
  </si>
  <si>
    <t xml:space="preserve"> (פ/273/22)</t>
  </si>
  <si>
    <t xml:space="preserve"> (פ/272/22)</t>
  </si>
  <si>
    <t xml:space="preserve">הצעת חוק שינוי תקופת הצינון לבכירי מערכת הביטחון (תיקוני חקיקה), התש"ף-2019</t>
  </si>
  <si>
    <t xml:space="preserve"> (פ/271/22)</t>
  </si>
  <si>
    <t xml:space="preserve"> (פ/270/22)</t>
  </si>
  <si>
    <t xml:space="preserve">הצעת חוק המועצה להשכלה גבוהה (תיקון - ביטול דרישת מבחני כניסה וציון פסיכומטרי), התש"ף-2019</t>
  </si>
  <si>
    <t xml:space="preserve"> (פ/269/22)</t>
  </si>
  <si>
    <t xml:space="preserve">הצעת חוק מתן סמכויות פיקוח והסמכת מפקחים ופקחים (תיקוני חקיקה), התש"ף-2019</t>
  </si>
  <si>
    <t xml:space="preserve"> (פ/268/22)</t>
  </si>
  <si>
    <t xml:space="preserve"> (פ/267/22)</t>
  </si>
  <si>
    <t xml:space="preserve">הצעת חוק המכינות הקדם-צבאיות (תיקון - ביטול הכרה במכינות הפועלות נגד צבא הגנה לישראל), התש"ף-2019</t>
  </si>
  <si>
    <t xml:space="preserve"> (פ/266/22)</t>
  </si>
  <si>
    <t xml:space="preserve">הצעת חוק להנצחת הרב עובדיה יוסף (ציון זכרו ופועלו), התש"ף-2019</t>
  </si>
  <si>
    <t xml:space="preserve"> (פ/265/22)</t>
  </si>
  <si>
    <t xml:space="preserve"> (פ/264/22)</t>
  </si>
  <si>
    <t xml:space="preserve"> (פ/263/22)</t>
  </si>
  <si>
    <t xml:space="preserve">הצעת חוק זיכרון השואה (תמיכה במוסדות הנצחה), התש"ף-2019</t>
  </si>
  <si>
    <t xml:space="preserve"> (פ/262/22)</t>
  </si>
  <si>
    <t xml:space="preserve">הצעת חוק המוסד העליון ללשון העברית (תיקון - הנגשת מאגרים), התש"ף-2019</t>
  </si>
  <si>
    <t xml:space="preserve"> (פ/261/22)</t>
  </si>
  <si>
    <t xml:space="preserve">הצעת חוק ביטוח בריאות ממלכתי (תיקון - ביטול הגבלת זכותו של תושב גלמוד ששהה מחוץ לישראל), התש"ף-2019</t>
  </si>
  <si>
    <t xml:space="preserve"> (פ/260/22)</t>
  </si>
  <si>
    <t xml:space="preserve">הצעת חוק הביטוח הלאומי (תיקון - פטור מתשלום דמי ביטוח לסטודנטים בשל הכנסות הוריהם), התש"ף-2019</t>
  </si>
  <si>
    <t xml:space="preserve"> (פ/259/22)</t>
  </si>
  <si>
    <t xml:space="preserve">הצעת חוק הרשות לטקסים וסמלים ממלכתיים, התש"ף-2019</t>
  </si>
  <si>
    <t xml:space="preserve"> (פ/258/22)</t>
  </si>
  <si>
    <t xml:space="preserve"> (פ/257/22)</t>
  </si>
  <si>
    <t xml:space="preserve"> (פ/256/22)</t>
  </si>
  <si>
    <t xml:space="preserve">הצעת חוק המועצה להשכלה גבוהה (תיקון - איסור הגבלת גיל בהרשמה למוסד להשכלה גבוהה), התש"ף-2019</t>
  </si>
  <si>
    <t xml:space="preserve"> (פ/255/22)</t>
  </si>
  <si>
    <t xml:space="preserve">הצעת חוק איסור הפליה במוצרים, בשרותים ובכניסה למקומות בידור ולמקומות ציבוריים (תיקון - איסור הפליה במוסדות חינוך, החלת אחריות אישית על מנהלי בתי ספר והגדלת סכום הפיצוי ללא הוכחת נזק), התש"ף-2019</t>
  </si>
  <si>
    <t xml:space="preserve"> (פ/254/22)</t>
  </si>
  <si>
    <t xml:space="preserve">הצעת חוק איסור הפליה במוצרים, בשירותים ובכניסה למקומות בידור ולמקומות ציבוריים (תיקון - איסור הפרדה), התש"ף-2019</t>
  </si>
  <si>
    <t xml:space="preserve"> (פ/253/22)</t>
  </si>
  <si>
    <t xml:space="preserve">הצעת חוק איסור הפליה במוצרים, בשירותים ובכניסה למקומות בידור ולמקומות ציבוריים (תיקון - הפליה מחמת מראה והתניית רישיון עסק באיסור הפליה), התש"ף-2019</t>
  </si>
  <si>
    <t xml:space="preserve"> (פ/252/22)</t>
  </si>
  <si>
    <t xml:space="preserve">הצעת חוק איסור הפליה במוצרים, בשירותים ובכניסה למקומות בידור ולמקומות ציבוריים (תיקון - איסור הפליה בשל אי מסירת מידע אישי), התש"ף-2019</t>
  </si>
  <si>
    <t xml:space="preserve"> (פ/251/22)</t>
  </si>
  <si>
    <t xml:space="preserve"> (פ/250/22)</t>
  </si>
  <si>
    <t xml:space="preserve">הצעת חוק העונשין (תיקון - איסור שידול קטינים לחזרה בתשובה), התש"ף-2019</t>
  </si>
  <si>
    <t xml:space="preserve"> (פ/249/22)</t>
  </si>
  <si>
    <t xml:space="preserve">הצעת חוק הרבנות הראשית לישראל (תיקון - הסרת הרב הצבאי הראשי וסגנו מהאסיפה הבוחרת), התש"ף-2019</t>
  </si>
  <si>
    <t xml:space="preserve"> (פ/248/22)</t>
  </si>
  <si>
    <t xml:space="preserve">הצעת חוק הביטוח הלאומי (תיקון - תשלום גמלה בעד תקופה שקדמה להגשת התביעה), התש"ף-2019</t>
  </si>
  <si>
    <t xml:space="preserve"> (פ/247/22)</t>
  </si>
  <si>
    <t xml:space="preserve">הצעת חוק שוויון ההזדמנויות בעבודה (תיקון - איסור דרישת מידע ביומטרי מעובד או מדורש עבודה), התש"ף-2019</t>
  </si>
  <si>
    <t xml:space="preserve"> (פ/246/22)</t>
  </si>
  <si>
    <t xml:space="preserve">הצעת חוק עבודת נשים (תיקון - חלוקת תקופת הלידה וההורות בין סטודנטית לבן זוגה), התש"ף-2019</t>
  </si>
  <si>
    <t xml:space="preserve"> (פ/245/22)</t>
  </si>
  <si>
    <t xml:space="preserve">הצעת חוק ביטוח בריאות ממלכתי (תיקון - הרחבת הסדרי הבחירה), התש"ף-2019</t>
  </si>
  <si>
    <t xml:space="preserve"> (פ/244/22)</t>
  </si>
  <si>
    <t xml:space="preserve">הצעת חוק למניעת העישון במקומות ציבוריים והחשיפה לעישון (תיקון - ביטול חדרי העישון ואזורי העישון), התש"ף-2019</t>
  </si>
  <si>
    <t xml:space="preserve"> (פ/243/22)</t>
  </si>
  <si>
    <t xml:space="preserve">הצעת חוק לתיקון פקודת הסמים המסוכנים (זנים תעשייתיים של קנבוס), התש"ף-2019</t>
  </si>
  <si>
    <t xml:space="preserve"> (פ/242/22)</t>
  </si>
  <si>
    <t xml:space="preserve"> (פ/241/22)</t>
  </si>
  <si>
    <t xml:space="preserve">הצעת חוק שיווי זכויות האישה (תיקון - פנייה שוויונית בשילוט במקום ציבורי), התש"ף-2019</t>
  </si>
  <si>
    <t xml:space="preserve"> (פ/240/22)</t>
  </si>
  <si>
    <t xml:space="preserve">הצעת חוק הגנה על עובדים בעת אירוע חירום אזרחי, התש"ף-2019</t>
  </si>
  <si>
    <t xml:space="preserve"> (פ/239/22)</t>
  </si>
  <si>
    <t xml:space="preserve"> (פ/238/22)</t>
  </si>
  <si>
    <t xml:space="preserve">הצעת חוק עבודת נשים (תיקון - הוספת חלקו של חודש במניין), התש"ף-2019</t>
  </si>
  <si>
    <t xml:space="preserve"> (פ/237/22)</t>
  </si>
  <si>
    <t xml:space="preserve">הצעת חוק האזרחים הוותיקים (תיקון - חניה חינם לאזרח ותיק שמלאו לו 70 שנים), התש"ף-2019</t>
  </si>
  <si>
    <t xml:space="preserve"> (פ/236/22)</t>
  </si>
  <si>
    <t xml:space="preserve">הצעת חוק עבודת נשים (תיקון - חזרה לעבודה מתקופת לידה והורות), התש"ף-2019</t>
  </si>
  <si>
    <t xml:space="preserve"> (פ/235/22)</t>
  </si>
  <si>
    <t xml:space="preserve">הצעת חוק עבודת נשים (תיקון - איסור פגיעה בתנאי עבודה של עובד שחלה הגבלה על פיטוריו), התש"ף-2019</t>
  </si>
  <si>
    <t xml:space="preserve"> (פ/234/22)</t>
  </si>
  <si>
    <t xml:space="preserve">הצעת חוק עבודת נשים (תיקון - הגבלת פיטורים של אישה השוהה במקלט לנשים מוכות), התש"ף-2019</t>
  </si>
  <si>
    <t xml:space="preserve"> (פ/233/22)</t>
  </si>
  <si>
    <t xml:space="preserve">הצעת חוק שירות הציבור (הגבלות לאחר פרישה) (תיקון - איסור על מתן היתרים או פטורים למשרתים בכוחות הביטחון ובמשרד הביטחון), התש"ף-2019</t>
  </si>
  <si>
    <t xml:space="preserve"> (פ/232/22)</t>
  </si>
  <si>
    <t xml:space="preserve"> (פ/231/22)</t>
  </si>
  <si>
    <t xml:space="preserve">הצעת חוק הביטוח הלאומי (תיקון - תנאי זכאות לדמי לידה), התש"ף-2019</t>
  </si>
  <si>
    <t xml:space="preserve"> (פ/230/22)</t>
  </si>
  <si>
    <t xml:space="preserve"> (פ/229/22)</t>
  </si>
  <si>
    <t xml:space="preserve"> (פ/228/22)</t>
  </si>
  <si>
    <t xml:space="preserve"> (פ/227/22)</t>
  </si>
  <si>
    <t xml:space="preserve"> (פ/226/22)</t>
  </si>
  <si>
    <t xml:space="preserve">הצעת חוק לתיקון פקודת התעבורה (החרגת בעלי רישיון שימוש בקנבוס רפואי), התש"ף-2019</t>
  </si>
  <si>
    <t xml:space="preserve"> (פ/225/22)</t>
  </si>
  <si>
    <t xml:space="preserve"> (פ/224/22)</t>
  </si>
  <si>
    <t xml:space="preserve">הצעת חוק שיפוט בתי דין רבניים (נישואין וגירושין) (תיקון - קציבת זמן לכריכת ענייני ממון ומשמורת), התש"ף-2019</t>
  </si>
  <si>
    <t xml:space="preserve"> (פ/223/22)</t>
  </si>
  <si>
    <t xml:space="preserve">הצעת חוק להסדרת רעיית דבורים וייצור דבש, התש"ף-2019</t>
  </si>
  <si>
    <t xml:space="preserve"> (פ/222/22)</t>
  </si>
  <si>
    <t xml:space="preserve">הצעת חוק למניעת העסקה של עברייני מין במוסדות מסוימים (תיקון - קביעת חובה לחדש אישור המשטרה), התש"ף-2019</t>
  </si>
  <si>
    <t xml:space="preserve"> (פ/221/22)</t>
  </si>
  <si>
    <t xml:space="preserve">הצעת חוק לתיקון פקודת הסמים המסוכנים (הוספת חומר קנבוס כחומר בעל תועלת רפואית), התש"ף-2019</t>
  </si>
  <si>
    <t xml:space="preserve"> (פ/220/22)</t>
  </si>
  <si>
    <t xml:space="preserve">הצעת חוק הגנת הפרטיות (תיקון - הזכות להישכח), התש"ף-2019</t>
  </si>
  <si>
    <t xml:space="preserve"> (פ/219/22)</t>
  </si>
  <si>
    <t xml:space="preserve">הצעת חוק העונשין (תיקון - איסור מתן טיפול המרה לקטין), התש"ף-2019</t>
  </si>
  <si>
    <t xml:space="preserve"> (פ/218/22)</t>
  </si>
  <si>
    <t xml:space="preserve">הצעת חוק איסור טיפול המרה לקטין, התש"ף-2019</t>
  </si>
  <si>
    <t xml:space="preserve"> (פ/217/22)</t>
  </si>
  <si>
    <t xml:space="preserve"> (פ/216/22)</t>
  </si>
  <si>
    <t xml:space="preserve">הצעת חוק חובת המכרזים (תיקון - עידוד עסקים קטנים ובינוניים באזור פריפריה במכרז), התש"ף-2019</t>
  </si>
  <si>
    <t xml:space="preserve"> (פ/215/22)</t>
  </si>
  <si>
    <t xml:space="preserve"> (פ/214/22)</t>
  </si>
  <si>
    <t xml:space="preserve">הצעת חוק למניעת העישון במקומות ציבוריים והחשיפה לעישון (תיקון - הקמת מערך נאמני מניעת עישון), התש"ף-2019</t>
  </si>
  <si>
    <t xml:space="preserve"> (פ/213/22)</t>
  </si>
  <si>
    <t xml:space="preserve">הצעת חוק לקידום שירותי הרפואה בעיר אילת (תיקוני חקיקה), התש"ף-2019</t>
  </si>
  <si>
    <t xml:space="preserve"> (פ/212/22)</t>
  </si>
  <si>
    <t xml:space="preserve">הצעת חוק יסודות התקציב (תיקון - שימוש בעודפי תקציב הכנסת) (הוראת שעה), התש"ף-2019</t>
  </si>
  <si>
    <t xml:space="preserve"> (פ/211/22)</t>
  </si>
  <si>
    <t xml:space="preserve">04.11.2019</t>
  </si>
  <si>
    <t xml:space="preserve">הצעת חוק הביטוח הלאומי (תיקון - עבודה מועדפת בתחום החינוך), התש"ף-2019</t>
  </si>
  <si>
    <t xml:space="preserve"> (פ/210/22)</t>
  </si>
  <si>
    <t xml:space="preserve">הצעת חוק-יסוד: הממשלה (תיקון - הפסקת כהונת ראש הממשלה או שר עקב הגשת כתב אישום)</t>
  </si>
  <si>
    <t xml:space="preserve"> (פ/209/22)</t>
  </si>
  <si>
    <t xml:space="preserve">הצעת חוק דמי מחלה (היעדרות בשל מחלת ילד) (תיקון - היעדרות בשל מחלת ילדו של בן זוג), התש"ף-2019</t>
  </si>
  <si>
    <t xml:space="preserve"> (פ/208/22)</t>
  </si>
  <si>
    <t xml:space="preserve"> (פ/207/22)</t>
  </si>
  <si>
    <t xml:space="preserve">הצעת חוק שירותי הדת היהודיים (תיקון – דין משמעתי לרבני ערים), התש"ף–2019</t>
  </si>
  <si>
    <t xml:space="preserve"> (פ/206/22)</t>
  </si>
  <si>
    <t xml:space="preserve">הצעת חוק הודעה לעובד ולמועמד לעבודה (תנאי עבודה והליכי מיון וקבלה לעבודה) (תיקון - הגברת השקיפות בעניין הפרשות לפנסיה), התש"ף-2019</t>
  </si>
  <si>
    <t xml:space="preserve"> (פ/205/22)</t>
  </si>
  <si>
    <t xml:space="preserve"> (פ/204/22)</t>
  </si>
  <si>
    <t xml:space="preserve">הצעת חוק כהונתם של ראשי גופים ביטחוניים, התש"ף-2019</t>
  </si>
  <si>
    <t xml:space="preserve"> (פ/203/22)</t>
  </si>
  <si>
    <t xml:space="preserve"> (פ/202/22)</t>
  </si>
  <si>
    <t xml:space="preserve">הצעת חוק רישוי עסקים (תיקון - עסק של אבזרי מין), התש"ף-2019</t>
  </si>
  <si>
    <t xml:space="preserve"> (פ/201/22)</t>
  </si>
  <si>
    <t xml:space="preserve">הצעת חוק העונשין (תיקון - הגנה עצמית בנסיבות של אלימות במשפחה), התש"ף-2019</t>
  </si>
  <si>
    <t xml:space="preserve"> (פ/200/22)</t>
  </si>
  <si>
    <t xml:space="preserve">הצעת חוק משק החשמל (תיקון - מניעה של הפסקת אספקת חשמל לצרכן נזקק), התש"ף-2019</t>
  </si>
  <si>
    <t xml:space="preserve"> (פ/199/22)</t>
  </si>
  <si>
    <t xml:space="preserve">הצעת חוק איסור הונאה בכשרות (תיקון - קיצור משך זמן ההחלטה בערעור), התש"ף-2019</t>
  </si>
  <si>
    <t xml:space="preserve"> (פ/198/22)</t>
  </si>
  <si>
    <t xml:space="preserve">הצעת חוק השוואת תשלומים לחיילים בודדים ילידי ישראל וחיילים בודדים שנולדו מחוץ לישראל, התש"ף-2019</t>
  </si>
  <si>
    <t xml:space="preserve"> (פ/197/22)</t>
  </si>
  <si>
    <t xml:space="preserve">הצעת חוק הרבנות הראשית לישראל (תיקון - כשירות רב ראשי והרכב האסיפה הבוחרת), התש"ף-2019</t>
  </si>
  <si>
    <t xml:space="preserve"> (פ/196/22)</t>
  </si>
  <si>
    <t xml:space="preserve">הצעת חוק מרשם האוכלוסין (תיקון - ביטול סעיף המין בתעודת הזהות), התש"ף-2019</t>
  </si>
  <si>
    <t xml:space="preserve"> (פ/195/22)</t>
  </si>
  <si>
    <t xml:space="preserve"> (פ/194/22)</t>
  </si>
  <si>
    <t xml:space="preserve">הצעת חוק הכשרות המשפטית והאפוטרופסות (תיקון - זכות קטין לקשר עם הורי הוריו), התש"ף-2019</t>
  </si>
  <si>
    <t xml:space="preserve"> (פ/193/22)</t>
  </si>
  <si>
    <t xml:space="preserve">הצעת חוק בתי המשפט (תיקון - קביעת מועד למתן פסק דין בערעור בתביעת קשיש), התש"ף-2019</t>
  </si>
  <si>
    <t xml:space="preserve"> (פ/192/22)</t>
  </si>
  <si>
    <t xml:space="preserve">הצעת חוק איסור הונאה בכשרות (תיקון - כשרות בלבד ובית אוכל הפתוח בשבת), התש"ף-2019</t>
  </si>
  <si>
    <t xml:space="preserve"> (פ/191/22)</t>
  </si>
  <si>
    <t xml:space="preserve">הצעת חוק קביעת הזמן (תיקון - ביטול שעון חורף), התש"ף-2019</t>
  </si>
  <si>
    <t xml:space="preserve"> (פ/190/22)</t>
  </si>
  <si>
    <t xml:space="preserve">הצעת חוק הטבות לניצולי שואה (תיקון - הגדלת מענק שנתי), התש"ף-2019</t>
  </si>
  <si>
    <t xml:space="preserve"> (פ/189/22)</t>
  </si>
  <si>
    <t xml:space="preserve">הצעת חוק סדרי השלטון והמשפט (ביטול החלת המשפט, השיפוט והמינהל) (תיקון - יום משאל עם - יום שבתון), התש"ף-2019</t>
  </si>
  <si>
    <t xml:space="preserve"> (פ/188/22)</t>
  </si>
  <si>
    <t xml:space="preserve">הצעת חוק שירותי הדת היהודיים (תיקון - ביטול אגרות רישום לנישואין), התש"ף-2019</t>
  </si>
  <si>
    <t xml:space="preserve"> (פ/187/22)</t>
  </si>
  <si>
    <t xml:space="preserve">הצעת חוק תרומת ביציות (תיקון - תרומת ביציות בין בנות זוג), התש"ף-2019</t>
  </si>
  <si>
    <t xml:space="preserve"> (פ/186/22)</t>
  </si>
  <si>
    <t xml:space="preserve">הצעת חוק המאבק בשחיתות הציבורית (הרשעה בעבירה שיש עמה קלון) (תיקוני חקיקה), התש"ף-2019</t>
  </si>
  <si>
    <t xml:space="preserve"> (פ/185/22)</t>
  </si>
  <si>
    <t xml:space="preserve">הצעת חוק שירותי הדת היהודיים (תיקון - בחירת רבני עיר), התש"ף-2019 </t>
  </si>
  <si>
    <t xml:space="preserve"> (פ/184/22)</t>
  </si>
  <si>
    <t xml:space="preserve">הצעת חוק לתיקון פקודת העדה הדתית (המרה) (גיור על ידי רב מקומי), התש"ף-2019</t>
  </si>
  <si>
    <t xml:space="preserve"> (פ/183/22)</t>
  </si>
  <si>
    <t xml:space="preserve">הצעת חוק מרשם האוכלוסין (תיקון - אי חובת ציון שם הורה בתעודת זהות), התש"ף-2019</t>
  </si>
  <si>
    <t xml:space="preserve"> (פ/182/22)</t>
  </si>
  <si>
    <t xml:space="preserve">הצעת חוק העונשין (תיקון - אחראי על קטין או חסר ישע לעניין חובת הדיווח), התש"ף-2019</t>
  </si>
  <si>
    <t xml:space="preserve"> (פ/181/22)</t>
  </si>
  <si>
    <t xml:space="preserve">הצעת חוק צער בעלי חיים (הגנה על בעלי חיים) (תיקון - איסור משלוחים חיים לשחיטה), התש"ף-2019</t>
  </si>
  <si>
    <t xml:space="preserve"> (פ/180/22)</t>
  </si>
  <si>
    <t xml:space="preserve"> (פ/179/22)</t>
  </si>
  <si>
    <t xml:space="preserve">הצעת חוק הטבות לניצולי שואה (תיקון - הטבות לניצולים שעלו לאחר שנת 1953), התש"ף-2019</t>
  </si>
  <si>
    <t xml:space="preserve"> (פ/178/22)</t>
  </si>
  <si>
    <t xml:space="preserve"> (פ/177/22)</t>
  </si>
  <si>
    <t xml:space="preserve"> (פ/176/22)</t>
  </si>
  <si>
    <t xml:space="preserve"> (פ/175/22)</t>
  </si>
  <si>
    <t xml:space="preserve"> (פ/174/22)</t>
  </si>
  <si>
    <t xml:space="preserve">הצעת חוק להסדרת הפיקוח על כלבים (תיקון - איסור המתת כלבים בריאים), התש"ף-2019</t>
  </si>
  <si>
    <t xml:space="preserve"> (פ/173/22)</t>
  </si>
  <si>
    <t xml:space="preserve"> (פ/172/22)</t>
  </si>
  <si>
    <t xml:space="preserve">הצעת חוק המוזיאונים (תיקון - מוזיאונים להנצחה והנחלה של זכר השואה והגבורה), התש"ף-2019</t>
  </si>
  <si>
    <t xml:space="preserve"> (פ/171/22)</t>
  </si>
  <si>
    <t xml:space="preserve"> (פ/170/22)</t>
  </si>
  <si>
    <t xml:space="preserve"> (פ/169/22)</t>
  </si>
  <si>
    <t xml:space="preserve">הצעת חוק איסור רוכלות רוחנית במוסדות חינוך ובקרבתם, התש"ף-2019</t>
  </si>
  <si>
    <t xml:space="preserve"> (פ/168/22)</t>
  </si>
  <si>
    <t xml:space="preserve">הצעת חוק התכנון והבנייה (תיקון - חדרי הנקה בבניינים ציבוריים), התש"ף-2019</t>
  </si>
  <si>
    <t xml:space="preserve"> (פ/167/22)</t>
  </si>
  <si>
    <t xml:space="preserve">הצעת חוק יום לציון רצח העם הארמני, התש"ף-2019</t>
  </si>
  <si>
    <t xml:space="preserve"> (פ/166/22)</t>
  </si>
  <si>
    <t xml:space="preserve"> (פ/165/22)</t>
  </si>
  <si>
    <t xml:space="preserve">הצעת חוק יישוב סכסוכי עבודה (תיקון - בוררות חובה בשירותים חיוניים), התש"ף-2019</t>
  </si>
  <si>
    <t xml:space="preserve"> (פ/164/22)</t>
  </si>
  <si>
    <t xml:space="preserve">הצעת חוק איסור הפליה מחמת משקל (תיקוני חקיקה), התש"ף-2019</t>
  </si>
  <si>
    <t xml:space="preserve"> (פ/163/22)</t>
  </si>
  <si>
    <t xml:space="preserve">הצעת חוק למניעת העישון במקומות ציבוריים והחשיפה לעישון (תיקון - ייעול האכיפה), התש"ף-2019</t>
  </si>
  <si>
    <t xml:space="preserve"> (פ/162/22)</t>
  </si>
  <si>
    <t xml:space="preserve"> (פ/161/22)</t>
  </si>
  <si>
    <t xml:space="preserve">הצעת חוק הכרה ברצח העם הארמני וציון יום זיכרון, התש"ף-2019</t>
  </si>
  <si>
    <t xml:space="preserve"> (פ/160/22)</t>
  </si>
  <si>
    <t xml:space="preserve"> (פ/159/22)</t>
  </si>
  <si>
    <t xml:space="preserve"> (פ/158/22)</t>
  </si>
  <si>
    <t xml:space="preserve">הצעת חוק לקביעת מעמדם של בני זוג שבאו בהסכם הזוגיות, התש"ף-2019</t>
  </si>
  <si>
    <t xml:space="preserve"> (פ/157/22)</t>
  </si>
  <si>
    <t xml:space="preserve">הצעת חוק ברית הזוגיות האזרחית, התש"ף-2019</t>
  </si>
  <si>
    <t xml:space="preserve"> (פ/156/22)</t>
  </si>
  <si>
    <t xml:space="preserve"> (פ/155/22)</t>
  </si>
  <si>
    <t xml:space="preserve">הצעת חוק-יסוד: הממשלה (תיקון - הגבלת כהונת ראש הממשלה לשתי תקופות כהונה רצופות) </t>
  </si>
  <si>
    <t xml:space="preserve"> (פ/154/22)</t>
  </si>
  <si>
    <t xml:space="preserve"> (פ/153/22)</t>
  </si>
  <si>
    <t xml:space="preserve">הצעת חוק רשות מקרקעי ישראל (תיקון - העדפת בני המקום בשיווק קרקעות), התש"ף-2019</t>
  </si>
  <si>
    <t xml:space="preserve"> (פ/152/22)</t>
  </si>
  <si>
    <t xml:space="preserve">הצעת חוק הדיור המוגן (תיקון - קבלת דייר הזקוק לסיוע), התש"ף-2019</t>
  </si>
  <si>
    <t xml:space="preserve"> (פ/151/22)</t>
  </si>
  <si>
    <t xml:space="preserve">הצעת חוק חסינות חברי הכנסת, זכויותיהם וחובותיהם (תיקון - חובת גילוי של מסחר בניירות ערך לחבר בוועדת הכספים או הכלכלה של הכנסת), התש"ף-2019</t>
  </si>
  <si>
    <t xml:space="preserve"> (פ/150/22)</t>
  </si>
  <si>
    <t xml:space="preserve">הצעת חוק לתיקון פקודת מסי העיריה ומסי הממשלה (פטורין) (החלת חובת תשלום ארנונה על נכסי ממשלה המצויים באזור), התש"ף-2019</t>
  </si>
  <si>
    <t xml:space="preserve"> (פ/149/22)</t>
  </si>
  <si>
    <t xml:space="preserve">הצעת חוק למניעת העישון במקומות ציבוריים והחשיפה לעישון (תיקון - איסור עישון במקומות ציבוריים פתוחים), התש"ף-2019</t>
  </si>
  <si>
    <t xml:space="preserve"> (פ/148/22)</t>
  </si>
  <si>
    <t xml:space="preserve">הצעת חוק מס ערך מוסף (תיקון - פטור ממס על תשר), התש"ף-2019</t>
  </si>
  <si>
    <t xml:space="preserve"> (פ/147/22)</t>
  </si>
  <si>
    <t xml:space="preserve">הצעת חוק משק החשמל (תיקון - איסור ניתוק חשמל), התש"ף-2019</t>
  </si>
  <si>
    <t xml:space="preserve"> (פ/146/22)</t>
  </si>
  <si>
    <t xml:space="preserve"> (פ/145/22)</t>
  </si>
  <si>
    <t xml:space="preserve">הצעת חוק עקרונות לפדיון שבויים ונעדרים, התש"ף-2019</t>
  </si>
  <si>
    <t xml:space="preserve"> (פ/144/22)</t>
  </si>
  <si>
    <t xml:space="preserve">הצעת חוק לתיקון פקודת תעריף המכס והפטורים (העלאת רף הפטור ממכס על חפצים ל-400 דולר), התש"ף-2019 </t>
  </si>
  <si>
    <t xml:space="preserve"> (פ/143/22)</t>
  </si>
  <si>
    <t xml:space="preserve">הצעת חוק הדיינים (תיקון - כשירות דיינים), התש"ף-2019</t>
  </si>
  <si>
    <t xml:space="preserve"> (פ/142/22)</t>
  </si>
  <si>
    <t xml:space="preserve">הצעת חוק הגנת השכר (תיקון - פיצויי פיטורים בזמן אמת), התש"ף-2019</t>
  </si>
  <si>
    <t xml:space="preserve"> (פ/141/22)</t>
  </si>
  <si>
    <t xml:space="preserve">הצעת חוק מכר סיטונאי חקלאי, התש"ף-2019</t>
  </si>
  <si>
    <t xml:space="preserve"> (פ/140/22)</t>
  </si>
  <si>
    <t xml:space="preserve">הצעת חוק ביטוח בריאות ממלכתי (תיקון-שירותי בריאות נוספים לשוהים במוסדות לילדים ונוער בסיכון), התש"ף-2019</t>
  </si>
  <si>
    <t xml:space="preserve"> (פ/139/22)</t>
  </si>
  <si>
    <t xml:space="preserve">הצעת חוק מרשם האוכלוסין (תיקון - רישום הורה נוסף), התש"ף-2019</t>
  </si>
  <si>
    <t xml:space="preserve"> (פ/138/22)</t>
  </si>
  <si>
    <t xml:space="preserve">הצעת חוק לתיקון פקודת מס הכנסה (השוואת תנאים בין שכיר לעצמאי בחיסכון ארוך טווח), התש"ף-2019</t>
  </si>
  <si>
    <t xml:space="preserve"> (פ/137/22)</t>
  </si>
  <si>
    <t xml:space="preserve">הצעת חוק יישוב סכסוכי עבודה (תיקון - סכסוך עבודה פוליטי), התש"ף-2019</t>
  </si>
  <si>
    <t xml:space="preserve"> (פ/136/22)</t>
  </si>
  <si>
    <t xml:space="preserve">הצעת חוק דמי מחלה (היעדרות בשל מחלת ילד) (תיקון - היעדרות בשל אשפוז ילד), התש"ף-2019</t>
  </si>
  <si>
    <t xml:space="preserve"> (פ/135/22)</t>
  </si>
  <si>
    <t xml:space="preserve"> (פ/134/22)</t>
  </si>
  <si>
    <t xml:space="preserve">הצעת חוק-יסוד: הכנסת (תיקון - קבלת סעיף בחוק-יסוד שדרוש לביטולו או לשינויו רוב מיוחס) </t>
  </si>
  <si>
    <t xml:space="preserve"> (פ/133/22)</t>
  </si>
  <si>
    <t xml:space="preserve">הצעת חוק חסינות חברי הכנסת, זכויותיהם וחובותיהם (תיקון - ועדה ציבורית לבחינת הצהרות ההון של חברי הכנסת), התש"ף-2019</t>
  </si>
  <si>
    <t xml:space="preserve"> (פ/132/22)</t>
  </si>
  <si>
    <t xml:space="preserve">הצעת חוק לתיקון פקודת הסמים המסוכנים (החזקה או שימוש לצריכה עצמית של סם מסוג קנבוס או שרף של קנבוס), התש"ף-2019</t>
  </si>
  <si>
    <t xml:space="preserve"> (פ/131/22)</t>
  </si>
  <si>
    <t xml:space="preserve">הצעת חוק דמי מחלה (תיקון - הצהרת מחלה), התש"ף-2019</t>
  </si>
  <si>
    <t xml:space="preserve"> (פ/130/22)</t>
  </si>
  <si>
    <t xml:space="preserve">הצעת חוק לתיקון פקודת העיריות (השבת הסמכות למועצת העיריה לעניין חוקי עזר בדבר פתיחתם וסגירתם של עסקים בימי מנוחה), התש"ף-2019</t>
  </si>
  <si>
    <t xml:space="preserve"> (פ/129/22)</t>
  </si>
  <si>
    <t xml:space="preserve">הצעת חוק הגנת הצרכן (תיקון - אחריות מנהל כללי ונושא משרה בשל הפרת הוראות החוק), התש"ף-2019 </t>
  </si>
  <si>
    <t xml:space="preserve"> (פ/128/22)</t>
  </si>
  <si>
    <t xml:space="preserve">הצעת חוק הביטוח הלאומי (תיקון - גמלת אבל), התש"ף-2019</t>
  </si>
  <si>
    <t xml:space="preserve"> (פ/127/22)</t>
  </si>
  <si>
    <t xml:space="preserve"> (פ/126/22)</t>
  </si>
  <si>
    <t xml:space="preserve">הצעת חוק להסדרת הפיקוח על כלבים (תיקון - קנס מוגדל בשל כלב משוטט שאינו מסורס או מעוקר), התש"ף-2019</t>
  </si>
  <si>
    <t xml:space="preserve"> (פ/125/22)</t>
  </si>
  <si>
    <t xml:space="preserve">הצעת חוק הענקת אזרחות כבוד לחללי מלחמת הקוממיות (תיקון - הענקת אזרחות ישראלית), התש"ף-2019</t>
  </si>
  <si>
    <t xml:space="preserve"> (פ/124/22)</t>
  </si>
  <si>
    <t xml:space="preserve">הצעת חוק השמות (תיקון - בחירה או שינוי שם), התש"ף-2019</t>
  </si>
  <si>
    <t xml:space="preserve"> (פ/123/22)</t>
  </si>
  <si>
    <t xml:space="preserve">הצעת חוק הטבות לניצולי שואה (תיקון - מענק שנתי למקבלי קצבאות מחוץ לארץ), התש"ף-2019</t>
  </si>
  <si>
    <t xml:space="preserve"> (פ/122/22)</t>
  </si>
  <si>
    <t xml:space="preserve">הצעת חוק הכניסה לישראל (תיקון - ביטול האיסור על מתן אשרה ורישיון ישיבה לקורא לחרם על ישראל), התש"ף-2019</t>
  </si>
  <si>
    <t xml:space="preserve"> (פ/121/22)</t>
  </si>
  <si>
    <t xml:space="preserve">הצעת חוק ביטוח בריאות ממלכתי (תיקון - רפואת ילדים דחופה בפרירפיה בשעות הלילה), התש"ף-2019</t>
  </si>
  <si>
    <t xml:space="preserve"> (פ/120/22)</t>
  </si>
  <si>
    <t xml:space="preserve"> (פ/119/22)</t>
  </si>
  <si>
    <t xml:space="preserve">הצעת חוק להגבלת שכר טרחת כונסי נכסים (תיקוני חקיקה), התש"ף-2019</t>
  </si>
  <si>
    <t xml:space="preserve"> (פ/118/22)</t>
  </si>
  <si>
    <t xml:space="preserve"> (פ/117/22)</t>
  </si>
  <si>
    <t xml:space="preserve"> (פ/116/22)</t>
  </si>
  <si>
    <t xml:space="preserve">הצעת חוק הפעלת תחבורה ציבורית ביום המנוחה השבועי, התש"ף-2019</t>
  </si>
  <si>
    <t xml:space="preserve"> (פ/115/22)</t>
  </si>
  <si>
    <t xml:space="preserve">הצעת חוק זכויות לעובד עצמאי, התש"ף-2019</t>
  </si>
  <si>
    <t xml:space="preserve"> (פ/114/22)</t>
  </si>
  <si>
    <t xml:space="preserve"> (פ/113/22)</t>
  </si>
  <si>
    <t xml:space="preserve">הצעת חוק ביטוח בריאות ממלכתי (תיקון - תוספת קבועה לסל שירותי הבריאות לעדכון טכנולוגיות רפואיות חדשות, תרופות, מכשור ושיטות טיפול), התש"ף-2019</t>
  </si>
  <si>
    <t xml:space="preserve"> (פ/112/22)</t>
  </si>
  <si>
    <t xml:space="preserve"> (פ/111/22)</t>
  </si>
  <si>
    <t xml:space="preserve">הצעת חוק להטבת נזקים והשבת עלויות טיפול רפואי בשל שימוש בטבק, התש"ף-2019</t>
  </si>
  <si>
    <t xml:space="preserve"> (פ/110/22)</t>
  </si>
  <si>
    <t xml:space="preserve">הצעת חוק המועצה לענף הלול (ייצור ושיווק) (תיקון - סימון ביצים), התש"ף-2019</t>
  </si>
  <si>
    <t xml:space="preserve"> (פ/109/22)</t>
  </si>
  <si>
    <t xml:space="preserve">הצעת חוק חופש הבחירה במזון מן הצומח, התש"ף-2019</t>
  </si>
  <si>
    <t xml:space="preserve"> (פ/108/22)</t>
  </si>
  <si>
    <t xml:space="preserve">הצעת חוק הביטוח הלאומי (תיקון - הרחבת הזכאות למענק פטירה), התש"ף-2019</t>
  </si>
  <si>
    <t xml:space="preserve"> (פ/107/22)</t>
  </si>
  <si>
    <t xml:space="preserve">הצעת חוק העונשין (תיקון - החרגת טורניר מהגדרת משחק אסור), התש"ף-2019</t>
  </si>
  <si>
    <t xml:space="preserve"> (פ/106/22)</t>
  </si>
  <si>
    <t xml:space="preserve">הצעת חוק הפעלת תחבורה ציבורית מצומצמת ביום המנוחה השבועי, התש"ף-2019</t>
  </si>
  <si>
    <t xml:space="preserve"> (פ/105/22)</t>
  </si>
  <si>
    <t xml:space="preserve"> (פ/104/22)</t>
  </si>
  <si>
    <t xml:space="preserve">הצעת חוק הביטוח הלאומי (תיקון - השוואת קצבת הנכות לשכר מינימום), התש"ף-2019</t>
  </si>
  <si>
    <t xml:space="preserve"> (פ/103/22)</t>
  </si>
  <si>
    <t xml:space="preserve">הצעת חוק אימוץ ילדים (תיקון - כשירות המאמץ), התש"ף-2019</t>
  </si>
  <si>
    <t xml:space="preserve"> (פ/102/22)</t>
  </si>
  <si>
    <t xml:space="preserve">הצעת חוק חסינות חברי הכנסת, זכויותיהם וחובותיהם (תיקון - הרוב הדרוש לנטילת חסינות או זכות), התש"ף-2019</t>
  </si>
  <si>
    <t xml:space="preserve"> (פ/101/22)</t>
  </si>
  <si>
    <t xml:space="preserve"> (פ/100/22)</t>
  </si>
  <si>
    <t xml:space="preserve"> (פ/99/22)</t>
  </si>
  <si>
    <t xml:space="preserve">הצעת חוק חוזה הביטוח (תיקון - בחינת סבירות פעולות מבטח, העברת נטל ועיצום כספי), התש"ף-2019</t>
  </si>
  <si>
    <t xml:space="preserve"> (פ/98/22)</t>
  </si>
  <si>
    <t xml:space="preserve">הצעת חוק להגברת האכיפה של דיני העבודה (תיקון - הפרות בטיחות בעבודה בתחום הבנייה), התש"ף-2019</t>
  </si>
  <si>
    <t xml:space="preserve"> (פ/97/22)</t>
  </si>
  <si>
    <t xml:space="preserve">הצעת חוק שוויון זכויות לאנשים עם מוגבלות (תיקון - הכשרה מתאימה לממונה תעסוקה), התש"ף-2019</t>
  </si>
  <si>
    <t xml:space="preserve"> (פ/96/22)</t>
  </si>
  <si>
    <t xml:space="preserve">הצעת חוק הרשות לטיפול בנפגעי הלם קרב, התש"ף-2019</t>
  </si>
  <si>
    <t xml:space="preserve"> (פ/95/22)</t>
  </si>
  <si>
    <t xml:space="preserve">הצעת חוק ביטוח בריאות ממלכתי (תיקון - מחלה יתומה), התש"ף-2019</t>
  </si>
  <si>
    <t xml:space="preserve"> (פ/94/22)</t>
  </si>
  <si>
    <t xml:space="preserve">הצעת חוק עבודת נשים (תיקון - שעות היעדרות מעבודה לאישה בהיריון בר-סיכון), התש"ף-2019</t>
  </si>
  <si>
    <t xml:space="preserve"> (פ/93/22)</t>
  </si>
  <si>
    <t xml:space="preserve">הצעת חוק העונשין (תיקון - החמרת הענישה בפשיעה החקלאית), התש"ף-2019</t>
  </si>
  <si>
    <t xml:space="preserve"> (פ/92/22)</t>
  </si>
  <si>
    <t xml:space="preserve"> (פ/91/22)</t>
  </si>
  <si>
    <t xml:space="preserve"> (פ/90/22)</t>
  </si>
  <si>
    <t xml:space="preserve">הצעת חוק רציפות הדיון בהצעות חוק (תיקון - כנסת שלא כוננה בה ממשלה), התש"ף-2019</t>
  </si>
  <si>
    <t xml:space="preserve"> (פ/89/22)</t>
  </si>
  <si>
    <t xml:space="preserve">הצעת חוק העמותות (תיקון - חובת גילוי תרומה אנונימית), התש"ף-2019</t>
  </si>
  <si>
    <t xml:space="preserve"> (פ/88/22)</t>
  </si>
  <si>
    <t xml:space="preserve">הצעת חוק ההוצאה לפועל (תיקון - ביטול שלילת רישיונות נהיגה לחייבים), התש"ף-2019</t>
  </si>
  <si>
    <t xml:space="preserve"> (פ/87/22)</t>
  </si>
  <si>
    <t xml:space="preserve">הצעת חוק שוויון זכויות לאנשים עם מוגבלות (תיקון - פטור מהמתנה בתור לנכי גפיים), התש"ף-2019</t>
  </si>
  <si>
    <t xml:space="preserve"> (פ/86/22)</t>
  </si>
  <si>
    <t xml:space="preserve"> (פ/85/22)</t>
  </si>
  <si>
    <t xml:space="preserve"> (פ/84/22)</t>
  </si>
  <si>
    <t xml:space="preserve">הצעת חוק לימוד חובה (תיקון - חובת לימודי ליבה), התש"ף-2019</t>
  </si>
  <si>
    <t xml:space="preserve"> (פ/83/22)</t>
  </si>
  <si>
    <t xml:space="preserve">הצעת חוק איסור הונאה בכשרות (תיקון - מתן תעודת הכשר על ידי רב מקומי), התש"ף-2019</t>
  </si>
  <si>
    <t xml:space="preserve"> (פ/82/22)</t>
  </si>
  <si>
    <t xml:space="preserve">הצעת חוק המועצות האזוריות (בחירת ראש המועצה) (תיקון - הגשת רשימה על ידי סיעה או מפלגה), התש"ף-2019</t>
  </si>
  <si>
    <t xml:space="preserve"> (פ/81/22)</t>
  </si>
  <si>
    <t xml:space="preserve"> (פ/80/22)</t>
  </si>
  <si>
    <t xml:space="preserve">הצעת חוק הפיקדון על מכלי משקה (תיקון - החלת החוק על מכלי משקה גדולים), התש"ף-2019</t>
  </si>
  <si>
    <t xml:space="preserve"> (פ/79/22)</t>
  </si>
  <si>
    <t xml:space="preserve"> (פ/78/22)</t>
  </si>
  <si>
    <t xml:space="preserve"> (פ/77/22)</t>
  </si>
  <si>
    <t xml:space="preserve"> (פ/76/22)</t>
  </si>
  <si>
    <t xml:space="preserve">הצעת חוק להגדלת שיעור ההשתתפות בכוח העבודה ולצמצום פערים חברתיים (מענק עבודה) (תיקון - זכאות להטבות נלוות), התש"ף-2019</t>
  </si>
  <si>
    <t xml:space="preserve"> (פ/75/22)</t>
  </si>
  <si>
    <t xml:space="preserve">הצעת חוק זכויות החולה (תיקון - איסור הפליה), התש"ף-2019</t>
  </si>
  <si>
    <t xml:space="preserve"> (פ/74/22)</t>
  </si>
  <si>
    <t xml:space="preserve"> (פ/73/22)</t>
  </si>
  <si>
    <t xml:space="preserve"> (פ/72/22)</t>
  </si>
  <si>
    <t xml:space="preserve">הצעת חוק לתיקון פקודת העדה הדתית (המרה) (גיור על ידי רב עיר ומועצה מקומית), התש"ף-2019</t>
  </si>
  <si>
    <t xml:space="preserve"> (פ/71/22)</t>
  </si>
  <si>
    <t xml:space="preserve">הצעת חוק איסור לשון הרע (תיקון - ביזוי אדם מחמת משקל), התש"ף-2019</t>
  </si>
  <si>
    <t xml:space="preserve"> (פ/70/22)</t>
  </si>
  <si>
    <t xml:space="preserve">הצעת חוק איסור הונאה בכשרות (תיקון - כשרות לבית אוכל שאינו מחלל שבת), התש"ף-2019</t>
  </si>
  <si>
    <t xml:space="preserve"> (פ/69/22)</t>
  </si>
  <si>
    <t xml:space="preserve"> (פ/68/22)</t>
  </si>
  <si>
    <t xml:space="preserve">הצעת חוק הביטוח הלאומי (תיקון - הארכת המועד להגשת תביעות ליקוי שמיעה), התש"ף-2019 </t>
  </si>
  <si>
    <t xml:space="preserve"> (פ/67/22)</t>
  </si>
  <si>
    <t xml:space="preserve"> (פ/66/22)</t>
  </si>
  <si>
    <t xml:space="preserve">הצעת חוק הביטוח הלאומי (תיקון - ביטול מבחן ההכנסה לצורך קבלת גמלת סיעוד), התש"ף-2019</t>
  </si>
  <si>
    <t xml:space="preserve"> (פ/65/22)</t>
  </si>
  <si>
    <t xml:space="preserve">הצעת חוק החלת החוק הישראלי בשטח בקעת הירדן (הליך קבלת אזרחות), התש"ף-2019</t>
  </si>
  <si>
    <t xml:space="preserve"> (פ/64/22)</t>
  </si>
  <si>
    <t xml:space="preserve">הצעת חוק איסור שימוש ברכב ממשלתי לשר וסגן שר ביום המנוחה השבועי ובחג, התש"ף-2019</t>
  </si>
  <si>
    <t xml:space="preserve"> (פ/63/22)</t>
  </si>
  <si>
    <t xml:space="preserve"> (פ/62/22)</t>
  </si>
  <si>
    <t xml:space="preserve"> (פ/61/22)</t>
  </si>
  <si>
    <t xml:space="preserve">הצעת חוק הכנסת (תיקון - קביעת קוד התנהגות לייצוג לקוחות בעלי אינטרסים מנוגדים על ידי שדלן), התש"ף-2019</t>
  </si>
  <si>
    <t xml:space="preserve"> (פ/60/22)</t>
  </si>
  <si>
    <t xml:space="preserve">הצעת חוק העונשין (תיקון - גזענות נגד קבוצה דתית), התש"ף-2019</t>
  </si>
  <si>
    <t xml:space="preserve"> (פ/59/22)</t>
  </si>
  <si>
    <t xml:space="preserve"> (פ/58/22)</t>
  </si>
  <si>
    <t xml:space="preserve">הצעת חוק בתי קברות צבאיים (תיקון - כיתוב על מצבה צבאית), התש"ף-2019</t>
  </si>
  <si>
    <t xml:space="preserve"> (פ/57/22)</t>
  </si>
  <si>
    <t xml:space="preserve"> (פ/56/22)</t>
  </si>
  <si>
    <t xml:space="preserve"> (פ/55/22)</t>
  </si>
  <si>
    <t xml:space="preserve">הצעת חוק הלוואות לדיור (תיקון - הצמדת סכום ההלוואה למדד), התש"ף-2019</t>
  </si>
  <si>
    <t xml:space="preserve"> (פ/54/22)</t>
  </si>
  <si>
    <t xml:space="preserve">הצעת חוק זכויות נפגעי מערכות ישראל ופעולות איבה בהליכי חקירה, התש"ף-2019</t>
  </si>
  <si>
    <t xml:space="preserve"> (פ/53/22)</t>
  </si>
  <si>
    <t xml:space="preserve">הצעת חוק לתיקון פקודת מס הכנסה (זיכוי במס לגרושים ידועים בציבור), התש"ף-2019</t>
  </si>
  <si>
    <t xml:space="preserve"> (פ/52/22)</t>
  </si>
  <si>
    <t xml:space="preserve">הצעת חוק התרבות והאמנות (תיקון - תקציב התרבות), התש"ף-2019</t>
  </si>
  <si>
    <t xml:space="preserve"> (פ/51/22)</t>
  </si>
  <si>
    <t xml:space="preserve">הצעת חוק סל הקליטה (תיקון - זכאות יוצאים לשאלה), התש"ף-2019</t>
  </si>
  <si>
    <t xml:space="preserve"> (פ/50/22)</t>
  </si>
  <si>
    <t xml:space="preserve">הצעת חוק פנייה לגופים ציבוריים באמצעי קשר דיגיטליים (תיקון - קביעת תור באמצעות האינטרנט), התש"ף-2019</t>
  </si>
  <si>
    <t xml:space="preserve"> (פ/49/22)</t>
  </si>
  <si>
    <t xml:space="preserve">הצעת חוק להקפאת כספים ששילמה הרשות הפלסטינית בזיקה לטרור מהכספים המועברים אליה מממשלת ישראל (תיקון - הקפאת כספי תגמולים לתושבי האזור מכוח חוק התגמולים לנפגעי פעולות איבה), התש"ף-2019</t>
  </si>
  <si>
    <t xml:space="preserve"> (פ/48/22)</t>
  </si>
  <si>
    <t xml:space="preserve">הצעת חוק שירות ביטחון (תיקון - עיון חוזר בפטור מטעמי הכרה דתית שהושג במרמה), התש"ף-2019</t>
  </si>
  <si>
    <t xml:space="preserve"> (פ/47/22)</t>
  </si>
  <si>
    <t xml:space="preserve">הצעת חוק שירות ביטחון (תיקוני חקיקה), התש"ף-2019</t>
  </si>
  <si>
    <t xml:space="preserve"> (פ/46/22)</t>
  </si>
  <si>
    <t xml:space="preserve">הצעת חוק הרשויות המקומיות (מנהל מחלקת תרבות), התש"ף-2019</t>
  </si>
  <si>
    <t xml:space="preserve"> (פ/45/22)</t>
  </si>
  <si>
    <t xml:space="preserve">הצעת חוק חובת הדיווח של מוסדות פיננסים על כספים ללא דורש, התש"ף-2019</t>
  </si>
  <si>
    <t xml:space="preserve"> (פ/44/22)</t>
  </si>
  <si>
    <t xml:space="preserve">הצעת חוק זכויות נפגעי עבירה (תיקון - זכות עיון בתסקיר), התש"ף-2019</t>
  </si>
  <si>
    <t xml:space="preserve"> (פ/43/22)</t>
  </si>
  <si>
    <t xml:space="preserve"> (פ/42/22)</t>
  </si>
  <si>
    <t xml:space="preserve"> (פ/41/22)</t>
  </si>
  <si>
    <t xml:space="preserve">הצעת חוק לתיקון פקודת היערות (הגברת ההגנה על עצים בוגרים), התש"ף-2019</t>
  </si>
  <si>
    <t xml:space="preserve"> (פ/40/22)</t>
  </si>
  <si>
    <t xml:space="preserve">הצעת חוק התכנון והבנייה (תיקון - ניגוד עניינים של חוקר), התש"ף-2019</t>
  </si>
  <si>
    <t xml:space="preserve"> (פ/39/22)</t>
  </si>
  <si>
    <t xml:space="preserve">הצעת חוק הגנת הפרטיות (תיקון - פרטיות קטינים), התש"ף-2019</t>
  </si>
  <si>
    <t xml:space="preserve"> (פ/38/22)</t>
  </si>
  <si>
    <t xml:space="preserve">הצעת חוק ביטוח בריאות ממלכתי (תיקון - ייצוג גוף העוסק בתחום הבריאות על ידי שדלן), התש"ף-2019 </t>
  </si>
  <si>
    <t xml:space="preserve"> (פ/37/22)</t>
  </si>
  <si>
    <t xml:space="preserve"> (פ/36/22)</t>
  </si>
  <si>
    <t xml:space="preserve"> (פ/35/22)</t>
  </si>
  <si>
    <t xml:space="preserve">הצעת חוק להסדרת שירותי ההשגחה על הכשרות, התש"ף-2019</t>
  </si>
  <si>
    <t xml:space="preserve"> (פ/34/22)</t>
  </si>
  <si>
    <t xml:space="preserve">הצעת חוק ביטוח בריאות ממלכתי (תיקון - זכאות למימון טיפול על ידי רופא שאינו כלול בהסדר הבחירה של קופת החולים), התש"ף-2019</t>
  </si>
  <si>
    <t xml:space="preserve"> (פ/33/22)</t>
  </si>
  <si>
    <t xml:space="preserve">הצעת חוק לתיקון פקודת העיריות (החזר הוצאות והשתלמויות לחברי מועצה), התש"ף-2019</t>
  </si>
  <si>
    <t xml:space="preserve"> (פ/32/22)</t>
  </si>
  <si>
    <t xml:space="preserve">הצעת חוק בתי המשפט (תיקון - איסור פרסום לשם הגנה על ביטחון תעסוקתי), התש"ף-2019</t>
  </si>
  <si>
    <t xml:space="preserve"> (פ/31/22)</t>
  </si>
  <si>
    <t xml:space="preserve">הצעת חוק התכנון והבנייה (תיקון - שילוב נציגי משרד הבריאות וחובת תסקיר השפעה על הבריאות), התש"ף-2019</t>
  </si>
  <si>
    <t xml:space="preserve"> (פ/30/22)</t>
  </si>
  <si>
    <t xml:space="preserve">הצעת חוק הסדרת שוק הקנאביס, התש"ף-2019</t>
  </si>
  <si>
    <t xml:space="preserve"> (פ/29/22)</t>
  </si>
  <si>
    <t xml:space="preserve"> (פ/28/22)</t>
  </si>
  <si>
    <t xml:space="preserve"> (פ/27/22)</t>
  </si>
  <si>
    <t xml:space="preserve"> (פ/26/22)</t>
  </si>
  <si>
    <t xml:space="preserve">הצעת חוק התכנון והבנייה (תיקון - שטח ציבורי פתוח בתכנית למגורים), התש"ף-2019</t>
  </si>
  <si>
    <t xml:space="preserve"> (פ/25/22)</t>
  </si>
  <si>
    <t xml:space="preserve">הצעת חוק שינויים בהסדר תקופת הלידה וההורות (תיקוני חקיקה), התש"ף-2019</t>
  </si>
  <si>
    <t xml:space="preserve"> (פ/24/22)</t>
  </si>
  <si>
    <t xml:space="preserve">הצעת חוק משפחות חיילים שנספו במערכה (תגמולים ושיקום) (תיקון - גמול לאח הנספה), התש"ף-2019</t>
  </si>
  <si>
    <t xml:space="preserve"> (פ/23/22)</t>
  </si>
  <si>
    <t xml:space="preserve">הצעת חוק העונשין (תיקון - ענישה על עבירה חוזרת כנגד קטין וחסר ישע), התש"ף-2019</t>
  </si>
  <si>
    <t xml:space="preserve"> (פ/22/22)</t>
  </si>
  <si>
    <t xml:space="preserve">הצעת חוק הרחבת ההגדרה "חבלת שירות" לעניין תגמולים ושיקום (תיקוני חקיקה), התש"ף-2019</t>
  </si>
  <si>
    <t xml:space="preserve"> (פ/21/22)</t>
  </si>
  <si>
    <t xml:space="preserve">הצעת חוק הפקדות וזכויות סוציאליות לעצמאיים (תיקוני חקיקה), התש"ף-2019</t>
  </si>
  <si>
    <t xml:space="preserve"> (פ/20/22)</t>
  </si>
  <si>
    <t xml:space="preserve">הצעת חוק הסדרים במשק המדינה (תיקוני חקיקה להשגת יעדי התקציב) (תיקון - חישוב עליית מחירי הארנונה), התש"ף-2019</t>
  </si>
  <si>
    <t xml:space="preserve"> (פ/19/22)</t>
  </si>
  <si>
    <t xml:space="preserve">הצעת חוק הביטוח הלאומי (תיקון - תגמול למשרתים במילואים), התש"ף-2019</t>
  </si>
  <si>
    <t xml:space="preserve"> (פ/18/22)</t>
  </si>
  <si>
    <t xml:space="preserve">הצעת חוק שוויון זכויות לאנשים עם מוגבלות (תיקון - מניעת הפליה במחיר של שירות ציבורי או מוצר שהם נגישים), התש"ף-2019</t>
  </si>
  <si>
    <t xml:space="preserve"> (פ/17/22)</t>
  </si>
  <si>
    <t xml:space="preserve">הצעת חוק החלת הריבונות של מדינת ישראל על אזור יהודה והשומרון, התש"ף-2019</t>
  </si>
  <si>
    <t xml:space="preserve"> (פ/16/22)</t>
  </si>
  <si>
    <t xml:space="preserve">הצעת חוק הבנקאות (שירות ללקוח) (תיקון - פרסום מדד עמלות למשקי בית), התש"ף-2019</t>
  </si>
  <si>
    <t xml:space="preserve"> (פ/15/22)</t>
  </si>
  <si>
    <t xml:space="preserve">הצעת חוק שירות המילואים (תיקון - מטרת שירות המילואים), התש"ף-2019</t>
  </si>
  <si>
    <t xml:space="preserve"> (פ/14/22)</t>
  </si>
  <si>
    <t xml:space="preserve"> (פ/13/22)</t>
  </si>
  <si>
    <t xml:space="preserve">הצעת חוק זכויות נפגעי עבירה (תיקון - שמירת דגימה פורנזית של נפגעי עבירת מין לצורך הפקת דנ"א ללא הגבלת זמן), התש"ף-2019</t>
  </si>
  <si>
    <t xml:space="preserve"> (פ/12/22)</t>
  </si>
  <si>
    <t xml:space="preserve">הצעת חוק זכויות התלמיד (תיקון - פיצוי בשל הפליית תלמידים), התש"ף-2019</t>
  </si>
  <si>
    <t xml:space="preserve"> (פ/11/22)</t>
  </si>
  <si>
    <t xml:space="preserve">הצעת חוק שירות המילואים (תיקון - משרת מילואים פעיל), התש"ף-2019</t>
  </si>
  <si>
    <t xml:space="preserve"> (פ/10/22)</t>
  </si>
  <si>
    <t xml:space="preserve"> (פ/9/22)</t>
  </si>
  <si>
    <t xml:space="preserve"> (פ/8/22)</t>
  </si>
  <si>
    <t xml:space="preserve">הצעת חוק שלילת תקצוב מוסדות חינוך המפלים תלמידים ברישום אליהם (תיקוני חקיקה), התש"ף-2019 </t>
  </si>
  <si>
    <t xml:space="preserve"> (פ/7/22)</t>
  </si>
  <si>
    <t xml:space="preserve">הצעת חוק סיוע לצעירים חסרי עורף משפחתי, התש"ף-2019</t>
  </si>
  <si>
    <t xml:space="preserve"> (פ/6/22)</t>
  </si>
  <si>
    <t xml:space="preserve">הצעת חוק הכנסת (תיקון - קביעת שכר חברי הכנסת בידי ועדה ציבורית), התש"ף-2019</t>
  </si>
  <si>
    <t xml:space="preserve"> (פ/5/22)</t>
  </si>
  <si>
    <t xml:space="preserve">הצעת חוק הסדרים במשק המדינה (תיקוני חקיקה להשגת יעדי התקציב) (תיקון - הנחה בארנונה לרופאים מתמחים בפריפריה), התש"ף-2019</t>
  </si>
  <si>
    <t xml:space="preserve"> (פ/4/22)</t>
  </si>
  <si>
    <t xml:space="preserve">הצעת חוק הרשות הלאומית למאבק בעוני, התש"ף-2019</t>
  </si>
  <si>
    <t xml:space="preserve"> (פ/3/22)</t>
  </si>
  <si>
    <t xml:space="preserve"> (פ/2/22)</t>
  </si>
  <si>
    <t xml:space="preserve">הצעת חוק הסכמים לנשיאת עוברים (אישור הסכם ומעמד היילוד) (תיקון - הרחבת הזכאות להליכי נשיאת עוברים), התש"ף-2019</t>
  </si>
  <si>
    <t xml:space="preserve"> (פ/1/22)</t>
  </si>
  <si>
    <t xml:space="preserve">הצעת חוק הבחירות לכנסת (תיקון מס' 73) (תיעוד חזותי או קולי בקלפיות), התשע"ט-2019</t>
  </si>
  <si>
    <t xml:space="preserve"> (מ/1290)</t>
  </si>
  <si>
    <t xml:space="preserve">11.09.2019</t>
  </si>
  <si>
    <t xml:space="preserve">חוק חדלות פירעון ושיקום כלכלי (תיקון מס' 2), התשע"ט-2019</t>
  </si>
  <si>
    <t xml:space="preserve"> (מ/1289)</t>
  </si>
  <si>
    <t xml:space="preserve">הוועדה המיוחדת לדיון בהצעת חוק חדלות פירעון ושיקום כלכלי (תיקון מס' 2) (הוראת שעה לעניין מינוי נאמן), התשע"ט-2019</t>
  </si>
  <si>
    <t xml:space="preserve">15.07.2019</t>
  </si>
  <si>
    <t xml:space="preserve">חוק הבחירות לכנסת העשרים ושתיים (הוראות מיוחדות לעניין ועדת הבחירות), התשע"ט-2019</t>
  </si>
  <si>
    <t xml:space="preserve"> (פ/554/21)</t>
  </si>
  <si>
    <t xml:space="preserve"> (כ/837)</t>
  </si>
  <si>
    <t xml:space="preserve">הוועדה המיוחדת לדיון בהצעת חוק הבחירות לכנסת העשרים ושתיים (הוראות מיוחדות לעניין ועדת הבחירות)</t>
  </si>
  <si>
    <t xml:space="preserve">05.06.2019</t>
  </si>
  <si>
    <t xml:space="preserve">חוק התפזרות הכנסת העשרים ואחת, התשע"ט-2019</t>
  </si>
  <si>
    <t xml:space="preserve"> (פ/553/21)</t>
  </si>
  <si>
    <t xml:space="preserve"> (כ/836)</t>
  </si>
  <si>
    <t xml:space="preserve">הוועדה המיוחדת לדיון בהצעת חוק התפזרות הכנסת העשרים ואחת</t>
  </si>
  <si>
    <t xml:space="preserve">29.05.2019</t>
  </si>
  <si>
    <t xml:space="preserve">הצעת חוק התפזרות הכנסת העשרים ואחת, התשע"ט-2019</t>
  </si>
  <si>
    <t xml:space="preserve"> (פ/552/21)</t>
  </si>
  <si>
    <t xml:space="preserve">27.05.2019</t>
  </si>
  <si>
    <t xml:space="preserve"> (פ/551/21)</t>
  </si>
  <si>
    <t xml:space="preserve"> (פ/550/21)</t>
  </si>
  <si>
    <t xml:space="preserve"> (פ/549/21)</t>
  </si>
  <si>
    <t xml:space="preserve"> (פ/548/21)</t>
  </si>
  <si>
    <t xml:space="preserve"> (פ/547/21)</t>
  </si>
  <si>
    <t xml:space="preserve">הצעת חוק הפיקוח על מעונות (תיקון - חובת פיקוח של מנהל מעון), התשע"ט-2019</t>
  </si>
  <si>
    <t xml:space="preserve"> (פ/546/21)</t>
  </si>
  <si>
    <t xml:space="preserve">הצעת חוק אימוץ ילדים (תיקון - איסור הפרדה בין אחים בהליך אימוץ), התשע"ט-2019 </t>
  </si>
  <si>
    <t xml:space="preserve"> (פ/545/21)</t>
  </si>
  <si>
    <t xml:space="preserve">הצעת חוק הביטוח הלאומי (תיקון - קצבת אזרח ותיק ראויה), התשע"ט-2019</t>
  </si>
  <si>
    <t xml:space="preserve"> (פ/544/21)</t>
  </si>
  <si>
    <t xml:space="preserve">הצעת חוק מרשם האוכלוסין (תיקון - רישום הורה נוסף), התשע"ט-2019</t>
  </si>
  <si>
    <t xml:space="preserve"> (פ/543/21)</t>
  </si>
  <si>
    <t xml:space="preserve">הצעת חוק מידע גנטי (תיקון - איסור שימוש בתוצאות בדיקה גנטית לקביעת השתייכות לעדה דתית), התשע"ט-2019</t>
  </si>
  <si>
    <t xml:space="preserve"> (פ/542/21)</t>
  </si>
  <si>
    <t xml:space="preserve">הצעת חוק הביטוח הלאומי (תיקון - הכרה בפגיעה מינית בעבודה כפגיעה בעבודה), התשע"ט-2019</t>
  </si>
  <si>
    <t xml:space="preserve"> (פ/541/21)</t>
  </si>
  <si>
    <t xml:space="preserve">הצעת חוק הביטוח הלאומי (תיקון - זכאות לקבלת קצבת אזרח ותיק מלאה), התשע"ט-2019</t>
  </si>
  <si>
    <t xml:space="preserve"> (פ/540/21)</t>
  </si>
  <si>
    <t xml:space="preserve">הצעת חוק ביטוח בריאות ממלכתי (תיקון - פטור מתשלום דמי ביטוח לעקר בית), התשע"ט-2019</t>
  </si>
  <si>
    <t xml:space="preserve"> (פ/539/21)</t>
  </si>
  <si>
    <t xml:space="preserve">הצעת חוק לעידוד מחקר, פיתוח וחדשנות טכנולוגית בתעשייה (תיקון - תקציב הרשות הלאומית לחדשנות טכנולוגית), התשע"ט-2019</t>
  </si>
  <si>
    <t xml:space="preserve"> (פ/538/21)</t>
  </si>
  <si>
    <t xml:space="preserve">הצעת חוק לתיקון פקודת הרוקחים (כתב ברייל), התשע"ט-2019</t>
  </si>
  <si>
    <t xml:space="preserve"> (פ/537/21)</t>
  </si>
  <si>
    <t xml:space="preserve">הצעת חוק איסור קיום מתקני חקירה סודיים, התשע"ט-2019</t>
  </si>
  <si>
    <t xml:space="preserve"> (פ/536/21)</t>
  </si>
  <si>
    <t xml:space="preserve">הצעת חוק שירות הביטחון (תיקון - חובת תשלום מס למי שאינו משרת שירות צבאי או שירות אזרחי), התשע"ט-2019</t>
  </si>
  <si>
    <t xml:space="preserve"> (פ/535/21)</t>
  </si>
  <si>
    <t xml:space="preserve">הצעת חוק לתיקון פקודת הבנקאות (בדיקה ודיווח לבקשת ועדת הכספים של הכנסת), התשע"ט-2019</t>
  </si>
  <si>
    <t xml:space="preserve"> (פ/534/21)</t>
  </si>
  <si>
    <t xml:space="preserve">הצעת חוק האזרחות והכניסה לישראל (הוראת שעה) (תיקון - מניעת ריבוי נישואין), התשע"ט-2019</t>
  </si>
  <si>
    <t xml:space="preserve"> (פ/533/21)</t>
  </si>
  <si>
    <t xml:space="preserve">הצעת חוק ציון יום הזיכרון לחללי מערכות ישראל ויום הזיכרון לשואה ולגבורה במוסדות חינוך (תיקוני חקיקה), התשע"ט-2019</t>
  </si>
  <si>
    <t xml:space="preserve"> (פ/532/21)</t>
  </si>
  <si>
    <t xml:space="preserve">הצעת חוק שירותי הדת היהודיים (תיקון - העברת סמכויות מועצה דתית לרשות מקומית), התשע"ט-2019</t>
  </si>
  <si>
    <t xml:space="preserve"> (פ/531/21)</t>
  </si>
  <si>
    <t xml:space="preserve"> (פ/530/21)</t>
  </si>
  <si>
    <t xml:space="preserve">הצעת חוק איסור הונאה בכשרות (תיקון - פתיחת אזורי הכשרות), התשע"ט-2019</t>
  </si>
  <si>
    <t xml:space="preserve"> (פ/529/21)</t>
  </si>
  <si>
    <t xml:space="preserve">הצעת חוק הגנת הצרכן (תיקון - סימון תאריך ייצור ומועד תפוגה עברי), התשע"ט-2019</t>
  </si>
  <si>
    <t xml:space="preserve"> (פ/528/21)</t>
  </si>
  <si>
    <t xml:space="preserve">הצעת חוק איסור פרסום והפצת שמות נפגעים, התשע"ט-2019</t>
  </si>
  <si>
    <t xml:space="preserve"> (פ/527/21)</t>
  </si>
  <si>
    <t xml:space="preserve">הצעת חוק הכרה, שיקום וטיפול בפדויי שבי, התשע"ט-2019</t>
  </si>
  <si>
    <t xml:space="preserve"> (פ/526/21)</t>
  </si>
  <si>
    <t xml:space="preserve">הצעת חוק לעידוד השקעה באנרגיות מתחדשות (הטבות מס בשל הפקת חשמל מאנרגיה מתחדשת) (תיקון - פרסום לעידוד ההשקעה באנרגיות מתחדשות על ידי צרכנים ביתיים) (הוראת שעה), התשע"ט-2019</t>
  </si>
  <si>
    <t xml:space="preserve"> (פ/525/21)</t>
  </si>
  <si>
    <t xml:space="preserve">הצעת חוק יחסי ממון בין בני זוג (תיקון - הפקעת זכות האיזון מבן זוג שהורשע ברצח בן הזוג השני), התשע"ט-2019</t>
  </si>
  <si>
    <t xml:space="preserve"> (פ/524/21)</t>
  </si>
  <si>
    <t xml:space="preserve">הצעת חוק הטבות לניצולי שואה (תיקון - מענק שנתי למקבלי קצבאות מחוץ לארץ), התשע"ט-2019</t>
  </si>
  <si>
    <t xml:space="preserve"> (פ/523/21)</t>
  </si>
  <si>
    <t xml:space="preserve">הצעת חוק לתיקון פקודת תעריף המכס והפטורים (העלאת רף הפטור ממכס על חפצים ל-400 דולר), התשע"ט-2019</t>
  </si>
  <si>
    <t xml:space="preserve"> (פ/522/21)</t>
  </si>
  <si>
    <t xml:space="preserve">הצעת חוק קליטת חיילים משוחררים (תיקון - תקצוב על פי מספר חיילים משוחררים הנרשמים ללימודים), התשע"ט-2019</t>
  </si>
  <si>
    <t xml:space="preserve"> (פ/521/21)</t>
  </si>
  <si>
    <t xml:space="preserve">הצעת חוק לתיקון פקודת רופאי השיניים (איסור גביית תשלום בעד תקופת התמחות), התשע"ט-2019 </t>
  </si>
  <si>
    <t xml:space="preserve"> (פ/520/21)</t>
  </si>
  <si>
    <t xml:space="preserve">הצעת חוק החלת תקצוב מגדרי על תקציבים ציבוריים בישראל, התשע"ט-2019 </t>
  </si>
  <si>
    <t xml:space="preserve"> (פ/519/21)</t>
  </si>
  <si>
    <t xml:space="preserve">הצעת חוק תקצוב מיוחד לרשויות חינוך מקומיות מרוחקות, התשע"ט-2019</t>
  </si>
  <si>
    <t xml:space="preserve"> (פ/518/21)</t>
  </si>
  <si>
    <t xml:space="preserve">הצעת חוק לתיקון פקודת מס הכנסה (צמצום הטבות מס לתושב חוזר ותיק), התשע"ט-2019</t>
  </si>
  <si>
    <t xml:space="preserve"> (פ/517/21)</t>
  </si>
  <si>
    <t xml:space="preserve">הצעת חוק לתיקון פקודת המכס (ביטול חיוב בעד בדיקת טובין), התשע"ט-2019</t>
  </si>
  <si>
    <t xml:space="preserve"> (פ/516/21)</t>
  </si>
  <si>
    <t xml:space="preserve">הצעת חוק המרכז למורשת הערבית, התשע"ט-2019</t>
  </si>
  <si>
    <t xml:space="preserve"> (פ/515/21)</t>
  </si>
  <si>
    <t xml:space="preserve">הצעת חוק הקמת האקדמיה הלאומית לשפת הסימנים, התשע"ט-2019</t>
  </si>
  <si>
    <t xml:space="preserve"> (פ/514/21)</t>
  </si>
  <si>
    <t xml:space="preserve">הצעת חוק חינוך ממלכתי (תיקון - ביטול השתתפות רשות מקומית בתקציבי מוסדות חינוך מוכרים לא רשמיים), התשע"ט-2019</t>
  </si>
  <si>
    <t xml:space="preserve"> (פ/513/21)</t>
  </si>
  <si>
    <t xml:space="preserve">הצעת חוק חינוך ממלכתי (תיקון - שלילת תקצוב וקביעת אזורי רישום), התשע"ט-2019</t>
  </si>
  <si>
    <t xml:space="preserve"> (פ/512/21)</t>
  </si>
  <si>
    <t xml:space="preserve">הצעת חוק הפיקוח על מצרכים ושירותים (תיקון - סייגים לעסקאות בציוד צבאי), התשע"ט-2019</t>
  </si>
  <si>
    <t xml:space="preserve"> (פ/511/21)</t>
  </si>
  <si>
    <t xml:space="preserve">הצעת חוק המרכז למורשת הערבים, התשע"ט-2019</t>
  </si>
  <si>
    <t xml:space="preserve"> (פ/510/21)</t>
  </si>
  <si>
    <t xml:space="preserve">הצעת חוק יסודות התקציב (תיקון - שימוש בעודפי תקציב לתוכניות בהן נכללו במקור), התשע"ט-2019</t>
  </si>
  <si>
    <t xml:space="preserve"> (פ/509/21)</t>
  </si>
  <si>
    <t xml:space="preserve">הצעת חוק מעלה אדומים, התשע"ט-2019</t>
  </si>
  <si>
    <t xml:space="preserve"> (פ/508/21)</t>
  </si>
  <si>
    <t xml:space="preserve">הצעת חוק הביטוח הלאומי (תיקון - תגמולים למתנדב בצוות חירום יישובי או שכונתי), התשע"ט-2019</t>
  </si>
  <si>
    <t xml:space="preserve"> (פ/507/21)</t>
  </si>
  <si>
    <t xml:space="preserve">הצעת חוק קליטת חיילים משוחררים (תיקון - הקרן להעצמת המשרתים בשירות צבאי), התשע"ט-2019</t>
  </si>
  <si>
    <t xml:space="preserve"> (פ/506/21)</t>
  </si>
  <si>
    <t xml:space="preserve">הצעת חוק הביטוח הלאומי (תיקון - קצבת ילדים בעד ילד הנמצא בחוץ לארץ), התשע"ט-2019</t>
  </si>
  <si>
    <t xml:space="preserve"> (פ/505/21)</t>
  </si>
  <si>
    <t xml:space="preserve">הצעת חוק אמנות ג'נבה, התשע"ט-2019</t>
  </si>
  <si>
    <t xml:space="preserve"> (פ/504/21)</t>
  </si>
  <si>
    <t xml:space="preserve">הצעת חוק החלת הריבונות של מדינת ישראל בחבלי יהודה והשומרון, התשע"ט-2019</t>
  </si>
  <si>
    <t xml:space="preserve"> (פ/503/21)</t>
  </si>
  <si>
    <t xml:space="preserve">הצעת חוק ביטוח בריאות ממלכתי (תיקון - החזר אגרת נסיעה באמבולנס), התשע"ט-2019</t>
  </si>
  <si>
    <t xml:space="preserve"> (פ/502/21)</t>
  </si>
  <si>
    <t xml:space="preserve">הצעת חוק גוש עציון, התשע"ט-2019</t>
  </si>
  <si>
    <t xml:space="preserve"> (פ/501/21)</t>
  </si>
  <si>
    <t xml:space="preserve">הצעת חוק למניעת העסקה של עברייני מין במוסדות מסוימים (תיקון - הגדרת עבירת מין), התשע"ט-2019</t>
  </si>
  <si>
    <t xml:space="preserve"> (פ/500/21)</t>
  </si>
  <si>
    <t xml:space="preserve">הצעת חוק גוש אריאל, התשע"ט-2019</t>
  </si>
  <si>
    <t xml:space="preserve"> (פ/499/21)</t>
  </si>
  <si>
    <t xml:space="preserve">הצעות חוק תובענות ייצוגיות (תיקון - הוספת גביית קנס שלא כדין לעילות התביעה), התשע"ט-2019</t>
  </si>
  <si>
    <t xml:space="preserve"> (פ/498/21)</t>
  </si>
  <si>
    <t xml:space="preserve">הצעת חוק לתיקון פקודת העיריות (מענק הבירה), התשע"ט-2019</t>
  </si>
  <si>
    <t xml:space="preserve"> (פ/497/21)</t>
  </si>
  <si>
    <t xml:space="preserve">הצעת חוק עובדים זרים (תיקון - ביטול הצורך בהיתר להעסקת עובד זר מומחה לתקופה קצרה), התשע"ט-2019</t>
  </si>
  <si>
    <t xml:space="preserve"> (פ/496/21)</t>
  </si>
  <si>
    <t xml:space="preserve">הצעת חוק זכויות החולה (תיקון - קביעת זכות לטיפול מקל והסמכת בא כוחו של מטופל לסרב לטיפול רפואי), התשע"ט-2019</t>
  </si>
  <si>
    <t xml:space="preserve"> (פ/495/21)</t>
  </si>
  <si>
    <t xml:space="preserve">הצעת חוק בקעת הירדן, התשע"ט-2019</t>
  </si>
  <si>
    <t xml:space="preserve"> (פ/494/21)</t>
  </si>
  <si>
    <t xml:space="preserve">הצעת חוק המזונות (הבטחת תשלום) (תיקון - סכום שלא יובא בחשבון במבחן ההכנסה), התשע"ט-2019</t>
  </si>
  <si>
    <t xml:space="preserve"> (פ/493/21)</t>
  </si>
  <si>
    <t xml:space="preserve">הצעת חוק קליטת חיילים משוחררים (תיקון - לימודים אקדמיים לחיילים משוחררים ששירתו כלוחמים במימון המדינה), התשע"ט-2019</t>
  </si>
  <si>
    <t xml:space="preserve"> (פ/492/21)</t>
  </si>
  <si>
    <t xml:space="preserve">הצעת חוק הביטוח הלאומי (תיקון - החרגת כספי פנסיה ממדינת חוץ בחישוב הכנסה), התשע"ט-2019</t>
  </si>
  <si>
    <t xml:space="preserve"> (פ/491/21)</t>
  </si>
  <si>
    <t xml:space="preserve">הצעת חוק הביטוח הלאומי (תיקון - דמי אבטלה למי שנמצא בהכשרה מקצועית), התשע"ט-2019</t>
  </si>
  <si>
    <t xml:space="preserve"> (פ/490/21)</t>
  </si>
  <si>
    <t xml:space="preserve">הצעת חוק המועצה להשכלה גבוהה (תיקון - עידוד הנגשה להשכלה גבוהה), התשע"ט-2019</t>
  </si>
  <si>
    <t xml:space="preserve"> (פ/489/21)</t>
  </si>
  <si>
    <t xml:space="preserve">הצעת חוק אימוץ ילדים (תיקון - אימוץ על ידי הורה יחיד), התשע"ט-2019</t>
  </si>
  <si>
    <t xml:space="preserve"> (פ/488/21)</t>
  </si>
  <si>
    <t xml:space="preserve">הצעת חוק עבודת נשים (תיקון - חופשת לידה לבנות זוג מאותו המין), התשע"ט-2019</t>
  </si>
  <si>
    <t xml:space="preserve"> (פ/487/21)</t>
  </si>
  <si>
    <t xml:space="preserve"> (פ/486/21)</t>
  </si>
  <si>
    <t xml:space="preserve">הצעת חוק הביטוח הלאומי (תיקון - דמי אבטלה למתמחים), התשע"ט-2019</t>
  </si>
  <si>
    <t xml:space="preserve"> (פ/485/21)</t>
  </si>
  <si>
    <t xml:space="preserve">הצעת חוק פיצוי לנפגעי פוליו (תיקון - הכרה באחוזי נכות של נפגע פוליו לצורך דינים אחרים), התשע"ט-2019</t>
  </si>
  <si>
    <t xml:space="preserve"> (פ/484/21)</t>
  </si>
  <si>
    <t xml:space="preserve">הצעת חוק זכות ייצוג לקטין המתנגד לאשפוז פסיכיאטרי (תיקוני חקיקה), התשע"ט-2019</t>
  </si>
  <si>
    <t xml:space="preserve"> (פ/483/21)</t>
  </si>
  <si>
    <t xml:space="preserve">הצעת חוק מגן דוד אדום (תיקון - אגרה בעד פינוי חירום שהסתיים בטיפול בשירותי רפואה מרחוק), התשע"ט-2019</t>
  </si>
  <si>
    <t xml:space="preserve"> (פ/482/21)</t>
  </si>
  <si>
    <t xml:space="preserve">הצעת חוק למניעת הטרדה מינית (תיקון - הטלת חובות לשם מניעת הטרדה מינית במוסד חינוך), התשע"ט-2019</t>
  </si>
  <si>
    <t xml:space="preserve"> (פ/481/21)</t>
  </si>
  <si>
    <t xml:space="preserve">הצעת חוק המועצות האזוריות (בחירת ראש המועצה) (תיקון - הגשת רשימה על ידי סיעה או מפלגה), התשע"ט-2019</t>
  </si>
  <si>
    <t xml:space="preserve"> (פ/480/21)</t>
  </si>
  <si>
    <t xml:space="preserve">הצעת חוק הביטוח הלאומי (תיקון - מענק לידה אחיד בעד ילד שני ואילך), התשע"ט-2019</t>
  </si>
  <si>
    <t xml:space="preserve"> (פ/479/21)</t>
  </si>
  <si>
    <t xml:space="preserve">הצעת חוק לתיקון פקודת העיריות (הוספת ועדה לקידום מעמד האישה), התשע"ט-2019</t>
  </si>
  <si>
    <t xml:space="preserve"> (פ/478/21)</t>
  </si>
  <si>
    <t xml:space="preserve"> (פ/477/21)</t>
  </si>
  <si>
    <t xml:space="preserve">הצעת חוק עסקאות גופים ציבוריים (תיקון - איסור על התקשרות קבלנית להעסקת עובדים), התשע"ט-2019</t>
  </si>
  <si>
    <t xml:space="preserve"> (פ/476/21)</t>
  </si>
  <si>
    <t xml:space="preserve">הצעת חוק שירות ביטחון (תיקון - עיון חוזר בפטור מטעמי הכרה דתית שהושג במרמה), התשע"ט-2019</t>
  </si>
  <si>
    <t xml:space="preserve"> (פ/475/21)</t>
  </si>
  <si>
    <t xml:space="preserve">הצעת חוק שוויון ההזדמנויות בעבודה (תיקון - איסור הפליה על רקע זהות מגדרית), התשע"ט-2019</t>
  </si>
  <si>
    <t xml:space="preserve"> (פ/474/21)</t>
  </si>
  <si>
    <t xml:space="preserve">הצעת חוק שירות ביטחון (תיקון - מקדמת גיוס לחיילים בשירות חובה), התשע"ט-2019</t>
  </si>
  <si>
    <t xml:space="preserve"> (פ/473/21)</t>
  </si>
  <si>
    <t xml:space="preserve">הצעת חוק שירות ביטחון (תיקון - ביטול הצבת חיילים בשירות חובה ביחידות אחרות של משטרת ישראל ובשירות בתי הסוהר), התשע"ט-2019</t>
  </si>
  <si>
    <t xml:space="preserve"> (פ/472/21)</t>
  </si>
  <si>
    <t xml:space="preserve">הצעת חוק שירות אזרחי-ביטחוני (תיקוני חקיקה), התשע"ט-2019</t>
  </si>
  <si>
    <t xml:space="preserve"> (פ/471/21)</t>
  </si>
  <si>
    <t xml:space="preserve">הצעת חוק הביטוח הלאומי (תיקון - פטור מתשלום דמי ביטוח לתלמיד על יסודי), התשע"ט-2019</t>
  </si>
  <si>
    <t xml:space="preserve"> (פ/470/21)</t>
  </si>
  <si>
    <t xml:space="preserve">הצעת חוק לתיקון פקודת המשטרה (התאגדות שוטרים), התשע"ט-2019</t>
  </si>
  <si>
    <t xml:space="preserve"> (פ/469/21)</t>
  </si>
  <si>
    <t xml:space="preserve">הצעת חוק הרשויות המקומיות (משמעת) (תיקון - תחולה על עובדי תאגיד עירוני), התשע"ט-2019</t>
  </si>
  <si>
    <t xml:space="preserve"> (פ/468/21)</t>
  </si>
  <si>
    <t xml:space="preserve">הצעת חוק הוועדה להשקעות זרות, התשע"ט-2019</t>
  </si>
  <si>
    <t xml:space="preserve"> (פ/467/21)</t>
  </si>
  <si>
    <t xml:space="preserve">הצעת חוק הסכמים לנשיאת עוברים (אישור הסכם ומעמד היילוד) (תיקון - הרחבת הזכאות להליכי נשיאת עוברים), התשע"ט-2019</t>
  </si>
  <si>
    <t xml:space="preserve"> (פ/466/21)</t>
  </si>
  <si>
    <t xml:space="preserve">הצעת חוק הרשויות המקומיות (בחירות) (תיקון - הגבלת הזכות להיבחר בשל כתב אישום), התשע"ט-2019</t>
  </si>
  <si>
    <t xml:space="preserve"> (פ/465/21)</t>
  </si>
  <si>
    <t xml:space="preserve">הצעת חוק הביטוח הלאומי (תיקון - זכאות לדמי אבטלה לעובד שהתפטר לשם טיפול בילדו), התשע"ט-2019</t>
  </si>
  <si>
    <t xml:space="preserve"> (פ/464/21)</t>
  </si>
  <si>
    <t xml:space="preserve">הצעת חוק שוויון ההזדמנויות בעבודה (תיקון - נקיטת אמצעים בידי מעסיק), התשע"ט-2019</t>
  </si>
  <si>
    <t xml:space="preserve"> (פ/463/21)</t>
  </si>
  <si>
    <t xml:space="preserve">הצעת חוק העסקת עובדים על ידי קבלני כוח אדם (תיקון - ביטול החוק), התשע"ט-2019</t>
  </si>
  <si>
    <t xml:space="preserve"> (פ/462/21)</t>
  </si>
  <si>
    <t xml:space="preserve">הצעת חוק הבטחת הכנסה (תיקון - מסגרת שיקומית מזנות), התשע"ט-2019</t>
  </si>
  <si>
    <t xml:space="preserve"> (פ/461/21)</t>
  </si>
  <si>
    <t xml:space="preserve">הצעת חוק עבודת נשים (תיקון - תקופת לידה והורות מדורגת), התשע"ט-2019</t>
  </si>
  <si>
    <t xml:space="preserve"> (פ/460/21)</t>
  </si>
  <si>
    <t xml:space="preserve">הצעת חוק השתלת אברים (תיקון - שינוי ברירת המחדל), התשע"ט-2019</t>
  </si>
  <si>
    <t xml:space="preserve"> (פ/459/21)</t>
  </si>
  <si>
    <t xml:space="preserve">הצעת חוק האגודות העותומניות (רישום ופיקוח), התשע"ט-2019</t>
  </si>
  <si>
    <t xml:space="preserve"> (פ/458/21)</t>
  </si>
  <si>
    <t xml:space="preserve">הצעת חוק הפסיכולוגים (תיקון - איסור טיפולי המרה), התשע"ט-2019</t>
  </si>
  <si>
    <t xml:space="preserve"> (פ/457/21)</t>
  </si>
  <si>
    <t xml:space="preserve">הצעת חוק עבודת נשים (תיקון - הארכת הגנה מפני פיטורים לעובדות לאחר לידה), התשע"ט-2019</t>
  </si>
  <si>
    <t xml:space="preserve"> (פ/456/21)</t>
  </si>
  <si>
    <t xml:space="preserve">הצעת חוק שכר מינימום (תיקון - שכר מינימום לשעה), התשע"ט-2019</t>
  </si>
  <si>
    <t xml:space="preserve"> (פ/455/21)</t>
  </si>
  <si>
    <t xml:space="preserve"> (פ/454/21)</t>
  </si>
  <si>
    <t xml:space="preserve">הצעת חוק זכויות הסטודנט (תיקון - התאמות לסטודנטית לאחר לידה), התשע"ט-2019</t>
  </si>
  <si>
    <t xml:space="preserve"> (פ/453/21)</t>
  </si>
  <si>
    <t xml:space="preserve"> (פ/452/21)</t>
  </si>
  <si>
    <t xml:space="preserve"> (פ/451/21)</t>
  </si>
  <si>
    <t xml:space="preserve">הצעת חוק לתיקון פקודת הכלבת (בידוד בעלי חיים), התשע"ט-2019</t>
  </si>
  <si>
    <t xml:space="preserve"> (פ/450/21)</t>
  </si>
  <si>
    <t xml:space="preserve">הצעת חוק הפיקוח על שירותים פיננסיים (ביטוח) (תיקון - התאמת כיסוי הגרעון לגיל הפרישה לאישה), התשע"ט-2019</t>
  </si>
  <si>
    <t xml:space="preserve"> (פ/449/21)</t>
  </si>
  <si>
    <t xml:space="preserve">הצעת חוק לתיקון פקודת מס הכנסה (הפקדות לקרן השתלמות לעצמאי), התשע"ט-2019</t>
  </si>
  <si>
    <t xml:space="preserve"> (פ/448/21)</t>
  </si>
  <si>
    <t xml:space="preserve">הצעת חוק חלוקת עודפי מזון הראוי למאכל אדם שלא נמכר, התשע"ט-2019</t>
  </si>
  <si>
    <t xml:space="preserve"> (פ/447/21)</t>
  </si>
  <si>
    <t xml:space="preserve">הצעת חוק הכשרות לאנשי מקצוע בנושא זיהוי ודיווח על התעללות בילדים, התשע"ט-2019</t>
  </si>
  <si>
    <t xml:space="preserve"> (פ/446/21)</t>
  </si>
  <si>
    <t xml:space="preserve">הצעת חוק עובדים זרים (תיקון - מגורים הולמים), התשע"ט-2019</t>
  </si>
  <si>
    <t xml:space="preserve"> (פ/445/21)</t>
  </si>
  <si>
    <t xml:space="preserve">הצעת חוק לתיקון פקודת ביטוח רכב מנועי (פוליסה לשני כלי רכב של נהג יחיד), התשע"ט-2019</t>
  </si>
  <si>
    <t xml:space="preserve"> (פ/444/21)</t>
  </si>
  <si>
    <t xml:space="preserve">הצעת חוק ביטוח בריאות ממלכתי (תיקון - מתן שירותי הבריאות לתלמיד בידי משרד הבריאות בלבד), התשע"ט-2019</t>
  </si>
  <si>
    <t xml:space="preserve"> (פ/443/21)</t>
  </si>
  <si>
    <t xml:space="preserve">הצעת חוק זכויות הסטודנט (תיקון - ביטול ארגון סטודנטים יציג), התשע"ט-2019</t>
  </si>
  <si>
    <t xml:space="preserve"> (פ/442/21)</t>
  </si>
  <si>
    <t xml:space="preserve">הצעת חוק הגנת השכר (תיקון - תשלום שכר עבודה בעת הליכי מיון והשמה), התשע"ט-2019</t>
  </si>
  <si>
    <t xml:space="preserve"> (פ/441/21)</t>
  </si>
  <si>
    <t xml:space="preserve">הצעת חוק למניעת הטרדה מינית (תיקון - נקיטת אמצעים למניעת הטרדה מינית במקומות ציבוריים), התשע"ט-2019</t>
  </si>
  <si>
    <t xml:space="preserve"> (פ/440/21)</t>
  </si>
  <si>
    <t xml:space="preserve">הצעת חוק תרומת ביציות (תיקון - תרומת ביציות בין בנות זוג), התשע"ט-2019</t>
  </si>
  <si>
    <t xml:space="preserve"> (פ/439/21)</t>
  </si>
  <si>
    <t xml:space="preserve">הצעת חוק שיווי זכויות האישה (תיקון - ייצוג הולם לנשים בכנסים במימון ציבורי), התשע"ט-2019</t>
  </si>
  <si>
    <t xml:space="preserve"> (פ/438/21)</t>
  </si>
  <si>
    <t xml:space="preserve">הצעת חוק למניעת הטרדה מינית (תיקון - הטרדת קטין), התשע"ט-2019</t>
  </si>
  <si>
    <t xml:space="preserve"> (פ/437/21)</t>
  </si>
  <si>
    <t xml:space="preserve">הצעת חוק קליטת חיילים משוחררים (תיקון - ביטול הפיקדון והגדלת המענק), התשע"ט-2019</t>
  </si>
  <si>
    <t xml:space="preserve"> (פ/436/21)</t>
  </si>
  <si>
    <t xml:space="preserve">הצעת חוק ביטוח בריאות ממלכתי (תיקון - ביטול איסור הכללת תרופות מצילות חיים בשב"ן), התשע"ט-2019</t>
  </si>
  <si>
    <t xml:space="preserve"> (פ/435/21)</t>
  </si>
  <si>
    <t xml:space="preserve">הצעת חוק הביטוח הלאומי (תיקון - זכות המוסד לתביעה), התשע"ט-2019</t>
  </si>
  <si>
    <t xml:space="preserve"> (פ/434/21)</t>
  </si>
  <si>
    <t xml:space="preserve">הצעת חוק הממשלה (תיקון - ועדת שרים לענייני חקיקה), התשע"ט-2019</t>
  </si>
  <si>
    <t xml:space="preserve"> (פ/433/21)</t>
  </si>
  <si>
    <t xml:space="preserve">הצעת חוק ביטוח בריאות ממלכתי (תיקון - השתתפות עצמית ברכישת תכשיר מרשם מבית מרקחת שאינו בהסדר עם קופת החולים), התשע"ט-2019</t>
  </si>
  <si>
    <t xml:space="preserve"> (פ/432/21)</t>
  </si>
  <si>
    <t xml:space="preserve"> (פ/431/21)</t>
  </si>
  <si>
    <t xml:space="preserve">הצעת חוק העונשין (תיקון - החרגת טורניר מהגדרת משחק אסור), התשע"ט-2019</t>
  </si>
  <si>
    <t xml:space="preserve"> (פ/430/21)</t>
  </si>
  <si>
    <t xml:space="preserve">הצעת חוק עבודת נשים (תיקון - תקופת לידה והורות להורה יחיד), התשע"ט-2019</t>
  </si>
  <si>
    <t xml:space="preserve"> (פ/429/21)</t>
  </si>
  <si>
    <t xml:space="preserve">הצעת חוק המקרקעין (תיקון - התקנת מעלית מטעמים מיוחדים), התשע"ט-2019</t>
  </si>
  <si>
    <t xml:space="preserve"> (פ/428/21)</t>
  </si>
  <si>
    <t xml:space="preserve">הצעת חוק הבטחת הכנסה (תיקון - הגדלת הסכום להשתכרות בנוסף לקיצבה), התשע"ט-2019</t>
  </si>
  <si>
    <t xml:space="preserve"> (פ/427/21)</t>
  </si>
  <si>
    <t xml:space="preserve"> (פ/426/21)</t>
  </si>
  <si>
    <t xml:space="preserve">הצעת חוק לתיקון פקודת הנמלים (פרק הזמן המרבי למתן שירות מקדים לפריקת אוניות), התשע"ט-2019</t>
  </si>
  <si>
    <t xml:space="preserve"> (פ/425/21)</t>
  </si>
  <si>
    <t xml:space="preserve"> (פ/424/21)</t>
  </si>
  <si>
    <t xml:space="preserve">הצעת חוק הגבלת כהונה (תיקוני חקיקה), התשע"ט-2019</t>
  </si>
  <si>
    <t xml:space="preserve"> (פ/423/21)</t>
  </si>
  <si>
    <t xml:space="preserve">הצעת חוק העונשין (תיקון - תקיפת עובדי מערכת הבריאות), התשע"ט-2019</t>
  </si>
  <si>
    <t xml:space="preserve"> (פ/422/21)</t>
  </si>
  <si>
    <t xml:space="preserve">הצעת חוק הביטוח הלאומי (תיקון - דמי מחלה לעובד עצמאי), התשע"ט-2019</t>
  </si>
  <si>
    <t xml:space="preserve"> (פ/421/21)</t>
  </si>
  <si>
    <t xml:space="preserve"> (פ/420/21)</t>
  </si>
  <si>
    <t xml:space="preserve">הצעת חוק הביטוח הלאומי (תיקון - התפטרות הורה על מנת לטפל בילדו), התשע"ט-2019</t>
  </si>
  <si>
    <t xml:space="preserve"> (פ/419/21)</t>
  </si>
  <si>
    <t xml:space="preserve">הצעת חוק הטבות לניצולי שואה (תיקון - הגדלת מענק שנתי), התשע"ט-2019</t>
  </si>
  <si>
    <t xml:space="preserve"> (פ/418/21)</t>
  </si>
  <si>
    <t xml:space="preserve">הצעת חוק הסדרים במשק המדינה (תיקוני חקיקה להשגת יעדי התקציב) (תיקון - שינוי חישוב הנחה בארנונה לסטודנט), התשע"ט-2019</t>
  </si>
  <si>
    <t xml:space="preserve"> (פ/417/21)</t>
  </si>
  <si>
    <t xml:space="preserve">הצעת חוק הביטוח הלאומי (תיקון - ביטול מענק עבודה מועדפת), התשע"ט-2019</t>
  </si>
  <si>
    <t xml:space="preserve"> (פ/416/21)</t>
  </si>
  <si>
    <t xml:space="preserve">הצעת חוק מתן סמכויות פיקוח והסמכת מפקחים ופקחים (תיקוני חקיקה), התשע"ט-2019</t>
  </si>
  <si>
    <t xml:space="preserve"> (פ/415/21)</t>
  </si>
  <si>
    <t xml:space="preserve">הצעת חוק שירות אזרחי (תיקון - שירות אזרחי במוסד רפואי ציבורי), התשע"ט-2019</t>
  </si>
  <si>
    <t xml:space="preserve"> (פ/414/21)</t>
  </si>
  <si>
    <t xml:space="preserve">הצעת חוק הטבות ברכישת דירה יד שנייה לזכאים לרכישת דירה בתכנית מחיר למשתכן שלא זכו בהגרלה, התשע"ט-2019</t>
  </si>
  <si>
    <t xml:space="preserve"> (פ/413/21)</t>
  </si>
  <si>
    <t xml:space="preserve">הצעת חוק שירות ביטחון (תיקון - השוואת תהליכי המיון, השיבוץ, התקינה וההכשרה, המסלולים המקצועיים ואופקי הקידום לנשים וגברים), התשע"ט-2019</t>
  </si>
  <si>
    <t xml:space="preserve"> (פ/412/21)</t>
  </si>
  <si>
    <t xml:space="preserve"> (פ/411/21)</t>
  </si>
  <si>
    <t xml:space="preserve">הצעת חוק מיסוי מקרקעין (שבח ורכישה) (תיקון - ביטול הפטור ממס שבח לתושב חוץ), התשע"ט-2019</t>
  </si>
  <si>
    <t xml:space="preserve"> (פ/410/21)</t>
  </si>
  <si>
    <t xml:space="preserve">הצעת חוק שירות אזרחי (תיקון - צמצום יכולת ההשפעה של חשודים על התנהלות גוף מוכר), התשע"ט-2019</t>
  </si>
  <si>
    <t xml:space="preserve"> (פ/409/21)</t>
  </si>
  <si>
    <t xml:space="preserve">הצעת חוק הרשות לטיפול בנפגעי הלם קרב, התשע"ט-2019</t>
  </si>
  <si>
    <t xml:space="preserve"> (פ/408/21)</t>
  </si>
  <si>
    <t xml:space="preserve">הצעת חוק לעידוד השקעות הון (תיקון - תחולה על מפעל תעשייתי ביישובים הסמוכים לגבול עימות בצפון, שדרות ויישובי עוטף עזה), התשע"ט-2019</t>
  </si>
  <si>
    <t xml:space="preserve"> (פ/407/21)</t>
  </si>
  <si>
    <t xml:space="preserve">הצעת חוק לתיקון פקודת מס הכנסה (אישור זיכוי מס), התשע"ט-2019</t>
  </si>
  <si>
    <t xml:space="preserve"> (פ/406/21)</t>
  </si>
  <si>
    <t xml:space="preserve">הצעת חוק לתיקון פקודת בתי הסוהר (שלילת זכויות יתר מאסיר ביטחוני המשתייך לארגון טרור), התשע"ט-2019</t>
  </si>
  <si>
    <t xml:space="preserve"> (פ/405/21)</t>
  </si>
  <si>
    <t xml:space="preserve">הצעת חוק לתיקון פקודת מס הכנסה (פטור ממס למענק כספי בשל הישג בתחרות ספורט), התשע"ט-2019</t>
  </si>
  <si>
    <t xml:space="preserve"> (פ/404/21)</t>
  </si>
  <si>
    <t xml:space="preserve">הצעת חוק שירות אזרחי (תיקון - הפסקת פעילותו של גוף מוכר שדיווח דיווחים כוזבים), התשע"ט-2019</t>
  </si>
  <si>
    <t xml:space="preserve"> (פ/403/21)</t>
  </si>
  <si>
    <t xml:space="preserve">הצעת חוק הפיקוח על שירותים פיננסיים (עיסוק בייעוץ מימון דיור), התשע"ט-2019</t>
  </si>
  <si>
    <t xml:space="preserve"> (פ/402/21)</t>
  </si>
  <si>
    <t xml:space="preserve">הצעת חוק המוסד העליון ללשון העברית (תיקון - הנגשת מאגרים), התשע"ט-2019</t>
  </si>
  <si>
    <t xml:space="preserve"> (פ/401/21)</t>
  </si>
  <si>
    <t xml:space="preserve">הצעת חוק למניעת התנכלות תעסוקתית, התשע"ט-2019</t>
  </si>
  <si>
    <t xml:space="preserve"> (פ/400/21)</t>
  </si>
  <si>
    <t xml:space="preserve">הצעת חוק מיסוי מקרקעין (שבח ורכישה) (תיקון - אי תחולת פטור ממס שבח על מי שהשכיר דירת מגורים לשוהה שלא כדין), התשע"ט-2019</t>
  </si>
  <si>
    <t xml:space="preserve"> (פ/399/21)</t>
  </si>
  <si>
    <t xml:space="preserve">הצעת חוק צער בעלי חיים (הגנה על בעלי חיים) (תיקון - איסור משלוחים חיים לשחיטה), התשע"ט-2019</t>
  </si>
  <si>
    <t xml:space="preserve"> (פ/398/21)</t>
  </si>
  <si>
    <t xml:space="preserve">הצעת חוק הביטוח הלאומי (תיקון - שמירה חקלאית כעבודה מועדפת), התשע"ט-2019</t>
  </si>
  <si>
    <t xml:space="preserve"> (פ/397/21)</t>
  </si>
  <si>
    <t xml:space="preserve">הצעת חוק הביטוח הלאומי (תיקון - עבודות טבחות, תחזוקה וניקיון במסעדות ובתי אוכל כעבודה מועדפת), התשע"ט-2019</t>
  </si>
  <si>
    <t xml:space="preserve"> (פ/396/21)</t>
  </si>
  <si>
    <t xml:space="preserve"> (פ/395/21)</t>
  </si>
  <si>
    <t xml:space="preserve">הצעת חוק מס הכנסה (פטור ממס על הכנסה מהשכרת דירת מגורים) (תיקון - אי תחולת הפטור ממס על מי שהשכיר דירת מגורים לשוהים שלא כדין), התשע"ט-2019</t>
  </si>
  <si>
    <t xml:space="preserve"> (פ/394/21)</t>
  </si>
  <si>
    <t xml:space="preserve"> (פ/393/21)</t>
  </si>
  <si>
    <t xml:space="preserve"> (פ/392/21)</t>
  </si>
  <si>
    <t xml:space="preserve">הצעת חוק מיסוי מקרקעין (שבח ורכישה) (תיקון - חזקת דירה יחידה), התשע"ט-2019</t>
  </si>
  <si>
    <t xml:space="preserve"> (פ/391/21)</t>
  </si>
  <si>
    <t xml:space="preserve">הצעת חוק שכר מינימום (תיקון - שכר אחיד לעובד צעיר), התשע"ט-2019</t>
  </si>
  <si>
    <t xml:space="preserve"> (פ/390/21)</t>
  </si>
  <si>
    <t xml:space="preserve"> (פ/389/21)</t>
  </si>
  <si>
    <t xml:space="preserve">הצעת חוק לתיקון פקודת מס הכנסה (חישוב שווי שימוש ברכב לשומרי שבת וחג), התשע"ט-2019</t>
  </si>
  <si>
    <t xml:space="preserve"> (פ/388/21)</t>
  </si>
  <si>
    <t xml:space="preserve">הצעת חוק החלת הריבונות של מדינת ישראל על אזור יהודה והשומרון, התשע"ט-2019</t>
  </si>
  <si>
    <t xml:space="preserve"> (פ/387/21)</t>
  </si>
  <si>
    <t xml:space="preserve">הצעת חוק לתיקון פקודת מס הכנסה (ניכוי תשלומים לביטוח בריאות לעצמאים), התשע"ט-2019</t>
  </si>
  <si>
    <t xml:space="preserve"> (פ/386/21)</t>
  </si>
  <si>
    <t xml:space="preserve">הצעת חוק פיצויי פיטורים (תיקון - התפטרות בשל לימודים במכינה קדם-צבאית), התשע"ט-2019</t>
  </si>
  <si>
    <t xml:space="preserve"> (פ/385/21)</t>
  </si>
  <si>
    <t xml:space="preserve">הצעת חוק לימוד חובה (תיקון - תקופת שנת הלימודים וחופשות), התשע"ט-2019</t>
  </si>
  <si>
    <t xml:space="preserve"> (פ/384/21)</t>
  </si>
  <si>
    <t xml:space="preserve">הצעת חוק הביטוח הלאומי (תיקון - הוספת ענפי ההסעדה והאבטחה ביישובי הגליל והנגב לרשימת העבודות המועדפות), התשע"ט-2019</t>
  </si>
  <si>
    <t xml:space="preserve"> (פ/383/21)</t>
  </si>
  <si>
    <t xml:space="preserve">הצעת חוק לתיקון פקודת מס הכנסה (קיזוז הפסדים), התשע"ט-2019</t>
  </si>
  <si>
    <t xml:space="preserve"> (פ/382/21)</t>
  </si>
  <si>
    <t xml:space="preserve">הצעת חוק לתיקון פקודת מס הכנסה (ניכוי תשלומים לעצמאים), התשע"ט-2019</t>
  </si>
  <si>
    <t xml:space="preserve"> (פ/381/21)</t>
  </si>
  <si>
    <t xml:space="preserve">הצעת חוק המשתתף החופשי, התשע"ט-2019</t>
  </si>
  <si>
    <t xml:space="preserve"> (פ/380/21)</t>
  </si>
  <si>
    <t xml:space="preserve">הצעת חוק עבודת נשים (תיקון - הארכת תקופת לידה והורות בתשלום), התשע"ט-2019</t>
  </si>
  <si>
    <t xml:space="preserve"> (פ/379/21)</t>
  </si>
  <si>
    <t xml:space="preserve">הצעת חוק להנצחת זכרו של רחבעם זאבי (תיקון - ביטול החוק), התשע"ט-2019</t>
  </si>
  <si>
    <t xml:space="preserve"> (פ/378/21)</t>
  </si>
  <si>
    <t xml:space="preserve">הצעת חוק יישוב סכסוכי עבודה (תיקון - סכסוך עבודה פוליטי), התשע"ט-2019</t>
  </si>
  <si>
    <t xml:space="preserve"> (פ/377/21)</t>
  </si>
  <si>
    <t xml:space="preserve">הצעת חוק הבטחת הכנסה (תיקון - מענק קירור), התשע"ט-2019</t>
  </si>
  <si>
    <t xml:space="preserve"> (פ/376/21)</t>
  </si>
  <si>
    <t xml:space="preserve"> (פ/375/21)</t>
  </si>
  <si>
    <t xml:space="preserve">הצעת חוק הבטחת הכנסה (תיקון - תשלום רטרואקטיבי של גמלת הבטחת הכנסה למקבלי קצבת אזרח ותיק), התשע"ט-2019</t>
  </si>
  <si>
    <t xml:space="preserve"> (פ/374/21)</t>
  </si>
  <si>
    <t xml:space="preserve">הצעת חוק הספורט (תיקון - מועדונים שומרי שבת), התשע"ט-2019</t>
  </si>
  <si>
    <t xml:space="preserve"> (פ/373/21)</t>
  </si>
  <si>
    <t xml:space="preserve">הצעת חוק הביטוח הלאומי (תיקון - גמלת אבל), התשע"ט-2019</t>
  </si>
  <si>
    <t xml:space="preserve"> (פ/372/21)</t>
  </si>
  <si>
    <t xml:space="preserve">הצעת חוק יסודות התקציב (תיקון - חובת דיווח של גופים בשירות הציבורי על העסקת עובדי קבלן שירות), התשע"ט-2019</t>
  </si>
  <si>
    <t xml:space="preserve"> (פ/371/21)</t>
  </si>
  <si>
    <t xml:space="preserve"> (פ/370/21)</t>
  </si>
  <si>
    <t xml:space="preserve">הצעת חוק הביטוח הלאומי (תיקון - דמי פגיעה לעצמאי), התשע"ט-2019</t>
  </si>
  <si>
    <t xml:space="preserve"> (פ/369/21)</t>
  </si>
  <si>
    <t xml:space="preserve">הצעת חוק הרישום למוסדות להשכלה גבוהה, התשע"ט-2019</t>
  </si>
  <si>
    <t xml:space="preserve"> (פ/368/21)</t>
  </si>
  <si>
    <t xml:space="preserve">הצעת חוק המועצה להשכלה גבוהה (תיקון - איסור דרישת בחינות כניסה וציון פסיכומטרי), התשע"ט-2019</t>
  </si>
  <si>
    <t xml:space="preserve"> (פ/367/21)</t>
  </si>
  <si>
    <t xml:space="preserve">הצעת חוק המועצה להשכלה גבוהה (תיקון - ביטול חובת דרישה למבחני כניסה), התשע"ט-2019</t>
  </si>
  <si>
    <t xml:space="preserve"> (פ/366/21)</t>
  </si>
  <si>
    <t xml:space="preserve">הצעת חוק עסקאות גופים ציבוריים (תיקון - אכיפת חוקי עבודה), התשע"ט-2019</t>
  </si>
  <si>
    <t xml:space="preserve"> (פ/365/21)</t>
  </si>
  <si>
    <t xml:space="preserve">הצעת חוק דמי מחלה (תיקון - סייג לחריג לאיסור פיטורים), התשע"ט-2019</t>
  </si>
  <si>
    <t xml:space="preserve"> (פ/364/21)</t>
  </si>
  <si>
    <t xml:space="preserve">הצעת חוק עבודת נשים (תיקון - תקופת לידה והורות לבן זוג של סטודנטית), התשע"ט-2019</t>
  </si>
  <si>
    <t xml:space="preserve"> (פ/363/21)</t>
  </si>
  <si>
    <t xml:space="preserve">הצעת חוק חינוך ממלכתי (תיקון - איסור פעילות שיש בה שנאה בשל נטייה מינית, גזענות והדרת נשים במוסדות חינוך רשמיים), התשע"ט-2019</t>
  </si>
  <si>
    <t xml:space="preserve"> (פ/362/21)</t>
  </si>
  <si>
    <t xml:space="preserve">הצעת חוק עבודת נשים (תיקון - תקופת לידה והורות לגבר), התשע"ט-2019</t>
  </si>
  <si>
    <t xml:space="preserve"> (פ/361/21)</t>
  </si>
  <si>
    <t xml:space="preserve">הצעת חוק בדיקות התאמה לעבודה, התשע"ט-2019</t>
  </si>
  <si>
    <t xml:space="preserve"> (פ/360/21)</t>
  </si>
  <si>
    <t xml:space="preserve">הצעת חוק הביטוח הלאומי (תיקון - שמירת היריון חלקית), התשע"ט-2019</t>
  </si>
  <si>
    <t xml:space="preserve"> (פ/359/21)</t>
  </si>
  <si>
    <t xml:space="preserve">הצעת חוק הבנקאות (רישוי) (תיקון - אישור ועדת הכספים של הכנסת לרכישת תאגיד בנקאי על ידי תאגיד בנקאי אחר), התשע"ט-2019</t>
  </si>
  <si>
    <t xml:space="preserve"> (פ/358/21)</t>
  </si>
  <si>
    <t xml:space="preserve">הצעת חוק לתיקון פקודת מס הכנסה (פטור ממס בגין משיכה הונית מקופת גמל), התשע"ט-2019</t>
  </si>
  <si>
    <t xml:space="preserve"> (פ/357/21)</t>
  </si>
  <si>
    <t xml:space="preserve">הצעת חוק המוזיאונים (תיקון - מוזיאונים להנצחה והנחלה של זכר השואה והגבורה), התשע"ט-2019</t>
  </si>
  <si>
    <t xml:space="preserve"> (פ/356/21)</t>
  </si>
  <si>
    <t xml:space="preserve">הצעת חוק משק החשמל (תיקון - איסור ניתוק חשמל), התשע"ט-2019</t>
  </si>
  <si>
    <t xml:space="preserve"> (פ/355/21)</t>
  </si>
  <si>
    <t xml:space="preserve">הצעת חוק הפיקוח על שירותים פיננסיים (ייעוץ, שיווק ומערכת סליקה פנסיוניים) (תיקון - ביטול הפרדת שירותי תפעול משירותי הייעוץ), התשע"ט-2019 </t>
  </si>
  <si>
    <t xml:space="preserve"> (פ/354/21)</t>
  </si>
  <si>
    <t xml:space="preserve">הצעת חוק לתיקון פקודת מס הכנסה (ניכוי הוצאות החזקת רכב), התשע"ט-2019</t>
  </si>
  <si>
    <t xml:space="preserve"> (פ/353/21)</t>
  </si>
  <si>
    <t xml:space="preserve">הצעת חוק האזרחים הוותיקים (תיקון - הנחה בארנונה לאזרח ותיק המתגורר בדירה שאינה בהחזקתו), התשע"ט-2019</t>
  </si>
  <si>
    <t xml:space="preserve"> (פ/352/21)</t>
  </si>
  <si>
    <t xml:space="preserve"> (פ/351/21)</t>
  </si>
  <si>
    <t xml:space="preserve">הצעת חוק הפיקוח על שירותים פיננסיים (ייעוץ, שיווק ומערכת סליקה פנסיוניים) (תיקון - עיסוק במתן שירותי תפעול), התשע"ט-2019</t>
  </si>
  <si>
    <t xml:space="preserve"> (פ/350/21)</t>
  </si>
  <si>
    <t xml:space="preserve">הצעת חוק משק החשמל (תיקון - גביית תשלומים), התשע"ט-2019</t>
  </si>
  <si>
    <t xml:space="preserve"> (פ/349/21)</t>
  </si>
  <si>
    <t xml:space="preserve">הצעת חוק האזרחים הוותיקים (תיקון - הקצאת מקומות חניה במקום ציבורי לאזרח ותיק שגילו עולה על 75), התשע"ט-2019</t>
  </si>
  <si>
    <t xml:space="preserve"> (פ/348/21)</t>
  </si>
  <si>
    <t xml:space="preserve">הצעת חוק משק החשמל (תיקון - מניעה של הפסקת אספקת חשמל לצרכן נזקק), התשע"ט-2019</t>
  </si>
  <si>
    <t xml:space="preserve"> (פ/347/21)</t>
  </si>
  <si>
    <t xml:space="preserve">הצעת חוק לקידום התחרות ולצמצום הריכוזיות (תיקון - קביעת תאגיד שאינו מדווח או שותפות כחברת שכבה), התשע"ט-2019</t>
  </si>
  <si>
    <t xml:space="preserve"> (פ/346/21)</t>
  </si>
  <si>
    <t xml:space="preserve">הצעת חוק פינוי ההתנחלות בחברון, התשע"ט-2019</t>
  </si>
  <si>
    <t xml:space="preserve"> (פ/345/21)</t>
  </si>
  <si>
    <t xml:space="preserve">הצעת חוק האזרחים הוותיקים (תיקון - סבסוד מלא של נסיעות בתחבורה ציבורית לניצולי שואה ולאסירי ציון), התשע"ט-2019</t>
  </si>
  <si>
    <t xml:space="preserve"> (פ/344/21)</t>
  </si>
  <si>
    <t xml:space="preserve"> (פ/343/21)</t>
  </si>
  <si>
    <t xml:space="preserve">הצעת חוק מיסוי מקרקעין (שבח ורכישה) (תיקון - תשלום המס בתשלומים), התשע"ט-2019</t>
  </si>
  <si>
    <t xml:space="preserve"> (פ/342/21)</t>
  </si>
  <si>
    <t xml:space="preserve">הצעת חוק לתיקון פקודת מס הכנסה (עידוד הגירה ליישובי הפריפריה), התשע"ט-2019</t>
  </si>
  <si>
    <t xml:space="preserve"> (פ/341/21)</t>
  </si>
  <si>
    <t xml:space="preserve">הצעת חוק הסכמים לנשיאת עוברים (אישור הסכם ומעמד היילוד) (תיקון - הרחבת הגדרת הורים מיועדים), התשע"ט-2019</t>
  </si>
  <si>
    <t xml:space="preserve"> (פ/340/21)</t>
  </si>
  <si>
    <t xml:space="preserve">הצעת חוק הבטחת הכנסה (תיקון - החרגת תוספת ותק מהכנסה), התשע"ט-2019</t>
  </si>
  <si>
    <t xml:space="preserve"> (פ/339/21)</t>
  </si>
  <si>
    <t xml:space="preserve">הצעת חוק מעמד ותיקי מלחמת העולם השנייה (תיקון - מענק הטבות לוותיק מלחמה), התשע"ט-2019</t>
  </si>
  <si>
    <t xml:space="preserve"> (פ/338/21)</t>
  </si>
  <si>
    <t xml:space="preserve"> (פ/337/21)</t>
  </si>
  <si>
    <t xml:space="preserve">הצעת חוק הכשרות לאנשי מקצוע בתחום החינוך בנושא מגדר ונטייה מינית, התשע"ט-2019</t>
  </si>
  <si>
    <t xml:space="preserve"> (פ/336/21)</t>
  </si>
  <si>
    <t xml:space="preserve">הצעת חוק הרב מנחם מענדל שניאורסון - הרבי מליובאוויטש (ציון זכרו ופועלו), התשע"ט-2019</t>
  </si>
  <si>
    <t xml:space="preserve"> (פ/335/21)</t>
  </si>
  <si>
    <t xml:space="preserve">הצעת חוק הפיקוח על שירותים פיננסיים (ביטוח) (תיקון - היתר לשיווק ומכירה של ביטוח נסיעות לחו"ל), התשע"ט-2019</t>
  </si>
  <si>
    <t xml:space="preserve"> (פ/334/21)</t>
  </si>
  <si>
    <t xml:space="preserve">הצעת חוק הנצחת זכרם של קורבנות הטבח בכפר קאסם, התשע"ט-2019</t>
  </si>
  <si>
    <t xml:space="preserve"> (פ/333/21)</t>
  </si>
  <si>
    <t xml:space="preserve"> (פ/332/21)</t>
  </si>
  <si>
    <t xml:space="preserve">הצעת חוק הרשויות המקומיות (בחירת ראש הרשות וסגניו וכהונתם) (תיקון - הגבלת כהונה בשלטון המקומי), התשע"ט-2019</t>
  </si>
  <si>
    <t xml:space="preserve"> (פ/331/21)</t>
  </si>
  <si>
    <t xml:space="preserve">הצעת חוק ביטוח בריאות ממלכתי (תיקון - תוספת שנתית לסל שירותי הבריאות), התשע"ט-2019</t>
  </si>
  <si>
    <t xml:space="preserve"> (פ/330/21)</t>
  </si>
  <si>
    <t xml:space="preserve">הצעת חוק זכויות הדייר בדיור הציבורי (תיקון - שיפור מערכת החשמל הדירתית), התשע"ט-2019</t>
  </si>
  <si>
    <t xml:space="preserve"> (פ/329/21)</t>
  </si>
  <si>
    <t xml:space="preserve">הצעת חוק הספורט (תיקון - מחיר נקוב לכרטיס לפעילות ספורט מאורגנת), התשע"ט-2019</t>
  </si>
  <si>
    <t xml:space="preserve"> (פ/328/21)</t>
  </si>
  <si>
    <t xml:space="preserve">הצעת חוק המרכז למורשת הערבים בישראל, התשע"ט-2019</t>
  </si>
  <si>
    <t xml:space="preserve"> (פ/327/21)</t>
  </si>
  <si>
    <t xml:space="preserve">הצעת חוק מעונות סטודנטים, התשע"ט-2019</t>
  </si>
  <si>
    <t xml:space="preserve"> (פ/326/21)</t>
  </si>
  <si>
    <t xml:space="preserve">הצעת חוק מס ערך מוסף (תיקון - מועד הוצאת חשבונית מס), התשע''ט-2019</t>
  </si>
  <si>
    <t xml:space="preserve"> (פ/325/21)</t>
  </si>
  <si>
    <t xml:space="preserve">הצעת חוק הביטוח הלאומי (תיקון - עבודה בחינוך וסיוע להוראה או בטיפול בילדים כעבודה מועדפת), התשע"ט-2019</t>
  </si>
  <si>
    <t xml:space="preserve"> (פ/324/21)</t>
  </si>
  <si>
    <t xml:space="preserve">הצעת חוק מס הכנסה (פטור ממס על הכנסה מהשכרת דירת מגורים) (תיקון - העלאת תקרת הפטור למשכיר ששוכר), התשע"ט-2019</t>
  </si>
  <si>
    <t xml:space="preserve"> (פ/323/21)</t>
  </si>
  <si>
    <t xml:space="preserve">הצעת חוק החינוך המוסיקלי בישראל, התשע"ט-2019</t>
  </si>
  <si>
    <t xml:space="preserve"> (פ/322/21)</t>
  </si>
  <si>
    <t xml:space="preserve">הצעת חוק קביעת יום לציון הטבעת הספינה אלטלנה, התשע"ט-2019</t>
  </si>
  <si>
    <t xml:space="preserve"> (פ/321/21)</t>
  </si>
  <si>
    <t xml:space="preserve">הצעת חוק התכנון והבנייה (תיקון - חובת שידור והקלטת ישיבות, ניהול פרוטוקול ופרסומו), התשע"ט-2019</t>
  </si>
  <si>
    <t xml:space="preserve"> (פ/320/21)</t>
  </si>
  <si>
    <t xml:space="preserve">הצעת חוק הסדרת מעמדם של פליטים ומבקשי מקלט, התשע"ט-2019</t>
  </si>
  <si>
    <t xml:space="preserve"> (פ/319/21)</t>
  </si>
  <si>
    <t xml:space="preserve">הצעת חוק ביטוח בריאות ממלכתי (תיקון - תוספת קבועה לסל שירותי הבריאות לעדכון טכנולוגיות רפואיות חדשות, תרופות, מכשור ושיטות טיפול), התשע"ט-2019</t>
  </si>
  <si>
    <t xml:space="preserve"> (פ/318/21)</t>
  </si>
  <si>
    <t xml:space="preserve">הצעת חוק התרבות והאמנות (תיקון - תקציב התרבות), התשע"ט-2019</t>
  </si>
  <si>
    <t xml:space="preserve"> (פ/317/21)</t>
  </si>
  <si>
    <t xml:space="preserve">הצעת חוק הרשויות המקומיות (ייעוד כספי הקצבות למטרות רווחה), התשע"ט-2019</t>
  </si>
  <si>
    <t xml:space="preserve"> (פ/316/21)</t>
  </si>
  <si>
    <t xml:space="preserve">הצעת חוק לתיקון פקודת מס הכנסה (חשבון השקעה), התשע"ט-2019</t>
  </si>
  <si>
    <t xml:space="preserve"> (פ/315/21)</t>
  </si>
  <si>
    <t xml:space="preserve">הצעת חוק למניעת העישון במקומות ציבוריים והחשיפה לעישון (תיקון - ייעול האכיפה), התשע"ט-2019</t>
  </si>
  <si>
    <t xml:space="preserve"> (פ/314/21)</t>
  </si>
  <si>
    <t xml:space="preserve">הצעת חוק הודעה מוקדמת לפיטורים ולהתפטרות (תיקון - השוואה בין עובד בשכר חודשי לעובד בשכר לפי שעה), התשע"ט-2019</t>
  </si>
  <si>
    <t xml:space="preserve"> (פ/313/21)</t>
  </si>
  <si>
    <t xml:space="preserve">הצעת חוק עבודת נשים (תיקון - הארכת תקופת לידה והורות), התשע"ט-2019</t>
  </si>
  <si>
    <t xml:space="preserve"> (פ/312/21)</t>
  </si>
  <si>
    <t xml:space="preserve">הצעת חוק ביטול איסור התארגנות במשטרה ובשירות בתי הסוהר (תיקוני חקיקה), התשע"ט-2019</t>
  </si>
  <si>
    <t xml:space="preserve"> (פ/311/21)</t>
  </si>
  <si>
    <t xml:space="preserve"> (פ/310/21)</t>
  </si>
  <si>
    <t xml:space="preserve">הצעת חוק הביטוח הלאומי (תיקון - פטור לסטודנטים מתשלום דמי ביטוח לאומי), התשע"ט-2019</t>
  </si>
  <si>
    <t xml:space="preserve"> (פ/309/21)</t>
  </si>
  <si>
    <t xml:space="preserve">הצעת חוק צער בעלי חיים (הגנה על בעלי חיים) (תיקון - איסור שחיטת בעלי חיים זה לעיני זה או בחיפזון), התשע"ט-2019</t>
  </si>
  <si>
    <t xml:space="preserve"> (פ/308/21)</t>
  </si>
  <si>
    <t xml:space="preserve">הצעת חוק שירותי הדת היהודיים (תיקון - ייעוד תשלומים לרכישת חלקת קבר), התשע"ט-2019</t>
  </si>
  <si>
    <t xml:space="preserve"> (פ/307/21)</t>
  </si>
  <si>
    <t xml:space="preserve">הצעת חוק שכר ותנאי עבודה לנהגי תחבורה ציבורית, התשע"ט-2019</t>
  </si>
  <si>
    <t xml:space="preserve"> (פ/306/21)</t>
  </si>
  <si>
    <t xml:space="preserve">הצעת חוק למניעת העישון במקומות ציבוריים והחשיפה לעישון (תיקון - ביטול חדרי העישון), התשע"ט-2019</t>
  </si>
  <si>
    <t xml:space="preserve"> (פ/305/21)</t>
  </si>
  <si>
    <t xml:space="preserve">הצעת חוק לתיקון פקודת היערות (הגברת ההגנה על עצים בוגרים), התשע"ט-2019</t>
  </si>
  <si>
    <t xml:space="preserve"> (פ/304/21)</t>
  </si>
  <si>
    <t xml:space="preserve">הצעת חוק מס ערך מוסף (תיקון - מס בשיעור אפס על מוצרי מזון בסיסיים), התשע"ט-2019</t>
  </si>
  <si>
    <t xml:space="preserve"> (פ/303/21)</t>
  </si>
  <si>
    <t xml:space="preserve">הצעת חוק השאלת כלי נגינה, התשע"ט-2019</t>
  </si>
  <si>
    <t xml:space="preserve"> (פ/302/21)</t>
  </si>
  <si>
    <t xml:space="preserve">הצעת חוק הגנה על עובדים בשעת חירום (תיקון - הגנת שכר בעת מצב מיוחד בעורף), התשע"ט-2019</t>
  </si>
  <si>
    <t xml:space="preserve"> (פ/301/21)</t>
  </si>
  <si>
    <t xml:space="preserve">הצעת חוק הביטוח הלאומי (תיקון - הצמדת קצבת אזרח ותיק לשכר הממוצע לפחות), התשע"ט-2019</t>
  </si>
  <si>
    <t xml:space="preserve"> (פ/300/21)</t>
  </si>
  <si>
    <t xml:space="preserve">הצעת חוק לימוד חובה (תיקון - חינוך חינם לפעוטות ולילדים), התשע"ט-2019</t>
  </si>
  <si>
    <t xml:space="preserve"> (פ/299/21)</t>
  </si>
  <si>
    <t xml:space="preserve">הצעת חוק המועצה הארצית לביטחון תזונתי (תיקון - קרן לשמירה על ביטחון תזונתי), התשע"ט-2019</t>
  </si>
  <si>
    <t xml:space="preserve"> (פ/298/21)</t>
  </si>
  <si>
    <t xml:space="preserve">הצעת חוק לתיקון פקודת הבנקאות (הגשת דוחות לוועדת הכלכלה של הכנסת בקביעת הוראות בנושאים צרכניים), התשע"ט-2019</t>
  </si>
  <si>
    <t xml:space="preserve"> (פ/297/21)</t>
  </si>
  <si>
    <t xml:space="preserve">הצעת חוק החזר גביית יתר (תיקוני חקיקה), התשע"ט-2019</t>
  </si>
  <si>
    <t xml:space="preserve"> (פ/296/21)</t>
  </si>
  <si>
    <t xml:space="preserve">הצעת חוק מס ערך מוסף (תיקון - מס בשיעור אפס על תרופות), התשע"ט-2019</t>
  </si>
  <si>
    <t xml:space="preserve"> (פ/295/21)</t>
  </si>
  <si>
    <t xml:space="preserve">הצעת חוק לימוד חובה (תיקון - חינוך חינם לפעוטות), התשע"ט-2019</t>
  </si>
  <si>
    <t xml:space="preserve"> (פ/294/21)</t>
  </si>
  <si>
    <t xml:space="preserve">הצעת חוק הגנת הצרכן (תיקון - שינוי פרטים בכרטיס טיסה או בכרטיס לשיט), התשע"ט-2019</t>
  </si>
  <si>
    <t xml:space="preserve"> (פ/293/21)</t>
  </si>
  <si>
    <t xml:space="preserve"> (פ/292/21)</t>
  </si>
  <si>
    <t xml:space="preserve">הצעת חוק הפיקוח על שירותים פיננסיים (קופות גמל) (תיקון - חישוב מקדם המרה לקצבה), התשע"ט-2019</t>
  </si>
  <si>
    <t xml:space="preserve"> (פ/291/21)</t>
  </si>
  <si>
    <t xml:space="preserve">הצעת חוק עסקאות גופים ציבוריים (תיקון - מניעת העסקה במיקור חוץ בשירות הציבורי), התשע"ט-2019</t>
  </si>
  <si>
    <t xml:space="preserve"> (פ/290/21)</t>
  </si>
  <si>
    <t xml:space="preserve">הצעת חוק דמי מחלה (היעדרות בשל מחלת ילד) (תיקון - התליית מספר ימי היעדרות במספר ילדי העובד), התשע"ט-2019</t>
  </si>
  <si>
    <t xml:space="preserve"> (פ/289/21)</t>
  </si>
  <si>
    <t xml:space="preserve">הצעת חוק הכרה ברצח העם הארמני וציון יום זיכרון, התשע"ט-2019</t>
  </si>
  <si>
    <t xml:space="preserve"> (פ/288/21)</t>
  </si>
  <si>
    <t xml:space="preserve">הצעת חוק הביטוח הלאומי (תיקון - זכאות לגמלת סיעוד להורה של מי שעלה לפי חוק השבות), התשע"ט-2019</t>
  </si>
  <si>
    <t xml:space="preserve"> (פ/287/21)</t>
  </si>
  <si>
    <t xml:space="preserve">הצעת חוק הסעה בטיחותית לילדים ולפעוטות עם מוגבלות (תיקון - הרחבת ההגדרה מוסד חינוך), התשע"ט-2019</t>
  </si>
  <si>
    <t xml:space="preserve"> (פ/286/21)</t>
  </si>
  <si>
    <t xml:space="preserve"> (פ/285/21)</t>
  </si>
  <si>
    <t xml:space="preserve">הצעת חוק ביטוח בריאות ממלכתי (תיקון - ביטול תשלומי השתתפות), התשע"ט-2019</t>
  </si>
  <si>
    <t xml:space="preserve"> (פ/284/21)</t>
  </si>
  <si>
    <t xml:space="preserve">הצעת חוק שירות המילואים (תיקון - תוספת גמול לימי מילואים נוספים), התשע"ט-2019</t>
  </si>
  <si>
    <t xml:space="preserve"> (פ/283/21)</t>
  </si>
  <si>
    <t xml:space="preserve">הצעת חוק החולה הנוטה למות (תיקון - מוות במרשם רופא), התשע"ט-2019</t>
  </si>
  <si>
    <t xml:space="preserve"> (פ/282/21)</t>
  </si>
  <si>
    <t xml:space="preserve">הצעת חוק זכויות הדייר בדיור הציבורי (תיקון - הארכת תוקף זכאות לדירה ציבורית), התשע"ט-2019</t>
  </si>
  <si>
    <t xml:space="preserve"> (פ/281/21)</t>
  </si>
  <si>
    <t xml:space="preserve">הצעת חוק זכויות לעובד עצמאי, התשע"ט-2019</t>
  </si>
  <si>
    <t xml:space="preserve"> (פ/280/21)</t>
  </si>
  <si>
    <t xml:space="preserve"> (פ/279/21)</t>
  </si>
  <si>
    <t xml:space="preserve">הצעת חוק אזכור וציון מותם של הרוגים בענף הבנייה באתר התאונה, התשע"ט-2019</t>
  </si>
  <si>
    <t xml:space="preserve"> (פ/278/21)</t>
  </si>
  <si>
    <t xml:space="preserve"> (פ/277/21)</t>
  </si>
  <si>
    <t xml:space="preserve">הצעת חוק הפחתת הגירעון והגבלת ההוצאה התקציבית (תיקון - ביטול הגבלת ההוצאה התקציבית), התשע"ט-2019</t>
  </si>
  <si>
    <t xml:space="preserve"> (פ/276/21)</t>
  </si>
  <si>
    <t xml:space="preserve">הצעת חוק ערבות למשכנתאות (תיקון - ערבות מדינה לדירה יחידה), התשע"ט-2019</t>
  </si>
  <si>
    <t xml:space="preserve"> (פ/275/21)</t>
  </si>
  <si>
    <t xml:space="preserve"> (פ/274/21)</t>
  </si>
  <si>
    <t xml:space="preserve">הצעת חוק כהונתם של ראשי גופים ביטחוניים, התשע"ט-2019</t>
  </si>
  <si>
    <t xml:space="preserve"> (פ/273/21)</t>
  </si>
  <si>
    <t xml:space="preserve">הצעת חוק עבודת נשים (תיקון - שעות היעדרות מעבודה לאישה בהיריון בר-סיכון), התשע"ט-2019</t>
  </si>
  <si>
    <t xml:space="preserve"> (פ/272/21)</t>
  </si>
  <si>
    <t xml:space="preserve">הצעת חוק אמנת הפליט להסדרת מעמד מבקשי מקלט ופליטים בישראל, התשע"ט-2019</t>
  </si>
  <si>
    <t xml:space="preserve"> (פ/271/21)</t>
  </si>
  <si>
    <t xml:space="preserve">הצעת חוק הפקדות וזכויות סוציאליות לעצמאים (תיקוני חקיקה), התשע"ט-2019</t>
  </si>
  <si>
    <t xml:space="preserve"> (פ/270/21)</t>
  </si>
  <si>
    <t xml:space="preserve">הצעת חוק הביטוח הלאומי (תיקון - פטור מתשלומים של דמי ביטוח בעד ימי מילואים), התשע"ט-2019</t>
  </si>
  <si>
    <t xml:space="preserve"> (פ/269/21)</t>
  </si>
  <si>
    <t xml:space="preserve">הצעת חוק הביטוח הלאומי (תיקון - הארכת המועד לתביעת גמלת כסף והתקופה שבעדה תשולם), התשע"ט-2019</t>
  </si>
  <si>
    <t xml:space="preserve"> (פ/268/21)</t>
  </si>
  <si>
    <t xml:space="preserve">הצעת חוק למניעת העישון במקומות ציבוריים והחשיפה לעישון (תיקון - ייעול האכיפה וביטול חדרי העישון), התשע"ט-2019</t>
  </si>
  <si>
    <t xml:space="preserve"> (פ/267/21)</t>
  </si>
  <si>
    <t xml:space="preserve">הצעת חוק עבודת נשים (תיקון - הוספת חלקו של חודש במניין), התשע''ט-2019</t>
  </si>
  <si>
    <t xml:space="preserve"> (פ/266/21)</t>
  </si>
  <si>
    <t xml:space="preserve">הצעת חוק לימודי יסוד במערכת החינוך, התשע"ט-2019</t>
  </si>
  <si>
    <t xml:space="preserve"> (פ/265/21)</t>
  </si>
  <si>
    <t xml:space="preserve">הצעת חוק הביטוח הלאומי (תיקון - הארכת מועד להגשת תביעה לניידות עד חצי שנה לאחר גיל הפרישה), התשע"ט-2019</t>
  </si>
  <si>
    <t xml:space="preserve"> (פ/264/21)</t>
  </si>
  <si>
    <t xml:space="preserve">הצעת חוק טיפול בחולי נפש (תיקון - הגבלת השימוש באמצעי כפיה), התשע"ט-2019</t>
  </si>
  <si>
    <t xml:space="preserve"> (פ/263/21)</t>
  </si>
  <si>
    <t xml:space="preserve">הצעת חוק המועצה להשכלה גבוהה (תיקון - איסור פעילות פוגענית), התשע"ט-2019</t>
  </si>
  <si>
    <t xml:space="preserve"> (פ/262/21)</t>
  </si>
  <si>
    <t xml:space="preserve">הצעת חוק מס ערך מוסף (תיקון - מס בשיעור אפס על מוצרי היגיינה נשית), התשע"ט-2019</t>
  </si>
  <si>
    <t xml:space="preserve"> (פ/261/21)</t>
  </si>
  <si>
    <t xml:space="preserve"> (פ/260/21)</t>
  </si>
  <si>
    <t xml:space="preserve">הצעת חוק המועצה להשכלה גבוהה (תיקון - קביעת שכר לימוד במוסדות מוכרים שהמדינה אינה משתתפת בתקציביהם), התשע"ט-2019</t>
  </si>
  <si>
    <t xml:space="preserve"> (פ/259/21)</t>
  </si>
  <si>
    <t xml:space="preserve">הצעת חוק לתיקון פקודת מס הכנסה (קביעת מדרגות מס נוספות), התשע"ט-2019</t>
  </si>
  <si>
    <t xml:space="preserve"> (פ/258/21)</t>
  </si>
  <si>
    <t xml:space="preserve">הצעת חוק מס ערך מוסף (תיקון - עידוד פתיחת עסקים חדשים), התשע"ט-2019</t>
  </si>
  <si>
    <t xml:space="preserve"> (פ/257/21)</t>
  </si>
  <si>
    <t xml:space="preserve">הצעת חוק לתיקון פקודת העיריות (הסדרת מבנים לתנועות נוער), התשע"ט-2019</t>
  </si>
  <si>
    <t xml:space="preserve"> (פ/256/21)</t>
  </si>
  <si>
    <t xml:space="preserve">הצעת חוק ביטוח בריאות ממלכתי (תיקון - שירותי רפואה מונעת ושירותי בריאות לתלמיד), התשע"ט-2019</t>
  </si>
  <si>
    <t xml:space="preserve"> (פ/255/21)</t>
  </si>
  <si>
    <t xml:space="preserve">הצעת חוק הביטוח הלאומי (תיקון - הגדרת ילד נכה), התשע"ט-2019</t>
  </si>
  <si>
    <t xml:space="preserve"> (פ/254/21)</t>
  </si>
  <si>
    <t xml:space="preserve">הצעת חוק גיל פרישה (תיקון - ביטול גיל פרישת חובה), התשע"ט-2019</t>
  </si>
  <si>
    <t xml:space="preserve"> (פ/253/21)</t>
  </si>
  <si>
    <t xml:space="preserve">הצעת חוק לתיקון פקודת מס הכנסה (מס חברות דיפרנציאלי), התשע"ט-2019</t>
  </si>
  <si>
    <t xml:space="preserve"> (פ/252/21)</t>
  </si>
  <si>
    <t xml:space="preserve">הצעת חוק חופשה שנתית (תיקון - קביעת יום פתיחת שנת הלימודים כיום בחירה), התשע"ט-2019</t>
  </si>
  <si>
    <t xml:space="preserve"> (פ/251/21)</t>
  </si>
  <si>
    <t xml:space="preserve">הצעת חוק תשלום תמלוגים לגורם גבייה יחיד (תיקוני חקיקה), התשע"ט-2019</t>
  </si>
  <si>
    <t xml:space="preserve"> (פ/250/21)</t>
  </si>
  <si>
    <t xml:space="preserve">הצעת חוק הביטוח הלאומי (תיקון - קצבת שאירים למי שמנהל משק בית משותף), התשע"ט-2019 </t>
  </si>
  <si>
    <t xml:space="preserve"> (פ/249/21)</t>
  </si>
  <si>
    <t xml:space="preserve">הצעת חוק הגנת השכר (תיקון - הגבלת ניכוי דמי חבר ודמי טיפול מקצועי ארגוני), התשע"ט-2019</t>
  </si>
  <si>
    <t xml:space="preserve"> (פ/248/21)</t>
  </si>
  <si>
    <t xml:space="preserve">הצעת חוק הרחבת ההגדרה "חבלת שירות" לעניין תגמולים ושיקום (תיקוני חקיקה), התשע"ט-2019</t>
  </si>
  <si>
    <t xml:space="preserve"> (פ/247/21)</t>
  </si>
  <si>
    <t xml:space="preserve">הצעת חוק דמי מחלה (תיקון - תשלום דמי מחלה החל מהיום הראשון להיעדרות), התשע"ט-2019</t>
  </si>
  <si>
    <t xml:space="preserve"> (פ/246/21)</t>
  </si>
  <si>
    <t xml:space="preserve">הצעת חוק ביטוח בריאות ממלכתי (תיקון - צמצום הפערים בין הפריפריה למרכז), התשע"ט-2019</t>
  </si>
  <si>
    <t xml:space="preserve"> (פ/245/21)</t>
  </si>
  <si>
    <t xml:space="preserve">הצעת חוק ביטוח בריאות ממלכתי (תיקון - שירותי רפואת שיניים), התשע"ט-2019</t>
  </si>
  <si>
    <t xml:space="preserve"> (פ/244/21)</t>
  </si>
  <si>
    <t xml:space="preserve">הצעת חוק התכנון והבנייה (תיקון - שטח ציבורי פתוח בתכנית למגורים), התשע"ט-2019</t>
  </si>
  <si>
    <t xml:space="preserve"> (פ/243/21)</t>
  </si>
  <si>
    <t xml:space="preserve">הצעת חוק יישוב סכסוכי עבודה (תיקון - בוררות חובה בשירותים חיוניים), התשע"ט-2019</t>
  </si>
  <si>
    <t xml:space="preserve"> (פ/242/21)</t>
  </si>
  <si>
    <t xml:space="preserve">הצעת חוק הביטוח הלאומי (תיקון - נכה שהגיע לגיל פרישה), התשע"ט-2019</t>
  </si>
  <si>
    <t xml:space="preserve"> (פ/241/21)</t>
  </si>
  <si>
    <t xml:space="preserve">הצעת חוק הבנקאות (שירות ללקוח) (תיקון - שירות מקוון ללקוח), התשע"ט-2019</t>
  </si>
  <si>
    <t xml:space="preserve"> (פ/240/21)</t>
  </si>
  <si>
    <t xml:space="preserve">הצעת חוק לתיקון פקודת העיריות (חובת הקלטת דיונים, ניהול פרוטוקול ופרסומם), התשע"ט-2019</t>
  </si>
  <si>
    <t xml:space="preserve"> (פ/239/21)</t>
  </si>
  <si>
    <t xml:space="preserve">הצעת חוק לשינוי סדרי עדיפויות לאומיים (תיקוני חקיקה להשגת יעדי התקציב לשנים 2013 ו-2014) (תיקון - ביטול פרק הרשויות המקומיות), התשע"ט-2019</t>
  </si>
  <si>
    <t xml:space="preserve"> (פ/238/21)</t>
  </si>
  <si>
    <t xml:space="preserve">הצעת חוק ביטוח בריאות ממלכתי (תיקון - אישור הסדרי הבחירה), התשע"ט-2019</t>
  </si>
  <si>
    <t xml:space="preserve"> (פ/237/21)</t>
  </si>
  <si>
    <t xml:space="preserve">הצעת חוק זכויות, שירותים והתאמות בחינוך לילדים עם צרכים מיוחדים, התשע"ט-2019</t>
  </si>
  <si>
    <t xml:space="preserve"> (פ/236/21)</t>
  </si>
  <si>
    <t xml:space="preserve">הצעת חוק שעות עבודה ומנוחה (תיקון - הפסקה בין יום עבודה למשנהו שלא עולה על 8 שעות), התשע''ט-2019 </t>
  </si>
  <si>
    <t xml:space="preserve"> (פ/235/21)</t>
  </si>
  <si>
    <t xml:space="preserve">הצעת חוק לצמצום רגולציה ושעורי אגרות לעסקים קטנים, התשע"ט-2019</t>
  </si>
  <si>
    <t xml:space="preserve"> (פ/234/21)</t>
  </si>
  <si>
    <t xml:space="preserve">הצעת חוק ביטוח בריאות ממלכתי (תיקון - ייצוג גוף העוסק בתחום הבריאות על ידי שדלן), התשע"ט-2019 </t>
  </si>
  <si>
    <t xml:space="preserve"> (פ/233/21)</t>
  </si>
  <si>
    <t xml:space="preserve">הצעת חוק לתיקון פקודת הסמים המסוכנים (זנים תעשייתיים של קנבוס), התשע"ט-2019</t>
  </si>
  <si>
    <t xml:space="preserve"> (פ/232/21)</t>
  </si>
  <si>
    <t xml:space="preserve">הצעת חוק יישוב סכסוכי עבודה (תיקון - שביתה בבתי ספר יסודיים וגני ילדים ללא אישור בית הדין לעבודה), התשע"ט-2019</t>
  </si>
  <si>
    <t xml:space="preserve"> (פ/231/21)</t>
  </si>
  <si>
    <t xml:space="preserve">הצעת חוק לתיקון פקודת העיריות (חיזוק שלטון החוק וטוהר המידות בשלטון המקומי), התשע"ט-2019</t>
  </si>
  <si>
    <t xml:space="preserve"> (פ/230/21)</t>
  </si>
  <si>
    <t xml:space="preserve">הצעת חוק בתי קברות צבאיים (תיקון - כיתוב על מצבה צבאית), התשע"ט-2019</t>
  </si>
  <si>
    <t xml:space="preserve"> (פ/229/21)</t>
  </si>
  <si>
    <t xml:space="preserve">הצעת חוק חניה לנכים (תיקון - תג נכה אישי), התשע"ט-2019</t>
  </si>
  <si>
    <t xml:space="preserve"> (פ/228/21)</t>
  </si>
  <si>
    <t xml:space="preserve">הצעת חוק דמי מחלה (היעדרות בשל מחלת ילד) (תיקון - היעדרות בשל מחלת ילדו של בן זוג), התשע"ט-2019</t>
  </si>
  <si>
    <t xml:space="preserve"> (פ/227/21)</t>
  </si>
  <si>
    <t xml:space="preserve">הצעת חוק החזרתם של תושבי איקרית ובירעם לכפריהם, התשע"ט-2019</t>
  </si>
  <si>
    <t xml:space="preserve"> (פ/226/21)</t>
  </si>
  <si>
    <t xml:space="preserve">הצעת חוק הצבת מכשירי החייאה במקומות ציבוריים (תיקון - בדיקות תקינות שנתיות ותיעודן), התשע"ט-2019</t>
  </si>
  <si>
    <t xml:space="preserve"> (פ/225/21)</t>
  </si>
  <si>
    <t xml:space="preserve">הצעת חוק מוסר תשלומים לספקים (תיקון - מועדי תשלום שיחולו על מזמינים שונים והחלה על מוסדות בריאות), התשע"ט-2019</t>
  </si>
  <si>
    <t xml:space="preserve"> (פ/224/21)</t>
  </si>
  <si>
    <t xml:space="preserve">הצעת חוק הסדרים במשק המדינה (תיקוני חקיקה להשגת יעדי התקציב) (תיקון - פטור מארנונה לנשים ששהו במקלט לנשים מוכות), התשע"ט-2019</t>
  </si>
  <si>
    <t xml:space="preserve"> (פ/223/21)</t>
  </si>
  <si>
    <t xml:space="preserve">הצעת חוק התכנון והבנייה (תיקון - שילוב נציגי משרד הבריאות וחובת תסקיר השפעה על הבריאות), התשע"ט-2019</t>
  </si>
  <si>
    <t xml:space="preserve"> (פ/222/21)</t>
  </si>
  <si>
    <t xml:space="preserve">הצעת חוק שוויון זכויות לאנשים עם מוגבלות (תיקון - מניעת הפליה במחיר של שירות ציבורי או מוצר שהם נגישים), התשע"ט-2019</t>
  </si>
  <si>
    <t xml:space="preserve"> (פ/221/21)</t>
  </si>
  <si>
    <t xml:space="preserve">הצעת חוק למניעת העישון במקומות ציבוריים והחשיפה לעישון (תיקון - הקמת מערך נאמני עישון), התשע"ט-2019</t>
  </si>
  <si>
    <t xml:space="preserve"> (פ/220/21)</t>
  </si>
  <si>
    <t xml:space="preserve">הצעת חוק הפיקוח על שירותים פיננסיים (קופות גמל) (תיקון - הגבלה על השקעות בחברה שערכה הסדר חוב), התשע"ט-2019</t>
  </si>
  <si>
    <t xml:space="preserve"> (פ/219/21)</t>
  </si>
  <si>
    <t xml:space="preserve"> (פ/218/21)</t>
  </si>
  <si>
    <t xml:space="preserve">הצעת חוק הרשויות המקומיות (פטור חיילים, נפגעי מלחמה ושוטרים מארנונה) (תיקון - פטור לחייל בודד בדירת שותפים), התשע"ט-2019</t>
  </si>
  <si>
    <t xml:space="preserve"> (פ/217/21)</t>
  </si>
  <si>
    <t xml:space="preserve">הצעת חוק הקלות במס על רכישת מכשיר ניידות מסוג קלנועית (תיקוני חקיקה), התשע"ט-2019</t>
  </si>
  <si>
    <t xml:space="preserve"> (פ/216/21)</t>
  </si>
  <si>
    <t xml:space="preserve">הצעת חוק המטה להיערכות הלאומית להזדקנות האוכלוסייה, התשע"ט-2019</t>
  </si>
  <si>
    <t xml:space="preserve"> (פ/215/21)</t>
  </si>
  <si>
    <t xml:space="preserve">הצעת חוק המהנדסים והאדריכלים (תיקון - ביטול תעודה ומחיקת רישום בשל הרשעה חלוטה בעבירה שגרמה למותו של אדם), התשע"ט-2019</t>
  </si>
  <si>
    <t xml:space="preserve"> (פ/214/21)</t>
  </si>
  <si>
    <t xml:space="preserve">הצעת חוק המכינות הקדם-צבאיות (תיקון - שלילת הכרה ממכינות המעודדות סירוב פקודה והסתה), התשע"ט-2019</t>
  </si>
  <si>
    <t xml:space="preserve"> (פ/213/21)</t>
  </si>
  <si>
    <t xml:space="preserve">הצעת חוק ארוחה יומית לתלמיד (תיקון - הרחבת תחולת החוק), התשע"ט-2019 </t>
  </si>
  <si>
    <t xml:space="preserve"> (פ/212/21)</t>
  </si>
  <si>
    <t xml:space="preserve">הצעת חוק חג המצות (איסורי חמץ) (תיקון - ביטול החוק), התשע"ט-2019</t>
  </si>
  <si>
    <t xml:space="preserve"> (פ/211/21)</t>
  </si>
  <si>
    <t xml:space="preserve">הצעת חוק לעידוד השקעות הון (תיקון - הקלה בתנאי סף למפעל קטן) (הוראת שעה), התשע"ט-2019</t>
  </si>
  <si>
    <t xml:space="preserve"> (פ/210/21)</t>
  </si>
  <si>
    <t xml:space="preserve">הצעת חוק האזרחים הוותיקים (תיקון - הטבות למקבלי פנסיה מזערית), התשע"ט-2019</t>
  </si>
  <si>
    <t xml:space="preserve"> (פ/209/21)</t>
  </si>
  <si>
    <t xml:space="preserve">הצעת חוק עבודת נשים (תיקון - חלוקת תקופת הלידה וההורות בין סטודנטית לבן זוגה), התשע"ט-2019</t>
  </si>
  <si>
    <t xml:space="preserve"> (פ/208/21)</t>
  </si>
  <si>
    <t xml:space="preserve">הצעת חוק לתיקון פקודת מס הכנסה (ניכוי סכומים שהוצאו לצורך טיפול בילד), התשע"ט-2019</t>
  </si>
  <si>
    <t xml:space="preserve"> (פ/207/21)</t>
  </si>
  <si>
    <t xml:space="preserve">הצעת חוק הקרן לסיוע למפעלים במצוקה (הטלת אחריות כלכלית על בעלים ומנהלים והעברה לשליטת העובדים), התשע"ט-2019</t>
  </si>
  <si>
    <t xml:space="preserve"> (פ/206/21)</t>
  </si>
  <si>
    <t xml:space="preserve">הצעת חוק-יסוד: משק המדינה (תיקון - שקיפות תקציב הביטחון) </t>
  </si>
  <si>
    <t xml:space="preserve"> (פ/205/21)</t>
  </si>
  <si>
    <t xml:space="preserve">הצעת חוק גיל פרישה (תיקון - העלאת גיל הפרישה לנשים וקביעת צעדים תומכים לנשים בגילאי העבודה), התשע"ט-2019</t>
  </si>
  <si>
    <t xml:space="preserve"> (פ/204/21)</t>
  </si>
  <si>
    <t xml:space="preserve">הצעת חוק הגנת הצרכן (תיקון - פרסומת ודרכי שיווק אסורים במוסד חינוך), התשע"ט-2019</t>
  </si>
  <si>
    <t xml:space="preserve"> (פ/203/21)</t>
  </si>
  <si>
    <t xml:space="preserve">הצעת חוק פיקוח על מחירי מצרכים ושירותים (תיקון - פיקוח על מוצרי מזון לתינוקות), התשע"ט-2019</t>
  </si>
  <si>
    <t xml:space="preserve"> (פ/202/21)</t>
  </si>
  <si>
    <t xml:space="preserve">הצעת חוק-יסוד: הממשלה (תיקון מס' 8) (ביטול המגבלה על מספרם המרבי של השרים וסגני השרים) </t>
  </si>
  <si>
    <t xml:space="preserve"> (מ/1288)</t>
  </si>
  <si>
    <t xml:space="preserve">הוועדה המיוחדת לדיון בהצעת חוק-יסוד: הממשלה (תיקון מס' 8) (ביטול המגבלה על מספרם המרבי של השרים וסגני השרים</t>
  </si>
  <si>
    <t xml:space="preserve">22.05.2019</t>
  </si>
  <si>
    <t xml:space="preserve">הצעת חוק חסינות חברי הכנסת, זכויותיהם וחובותיהם (תיקון - חסינות בפני דין פלילי), התשע"ט-2019</t>
  </si>
  <si>
    <t xml:space="preserve"> (פ/201/21)</t>
  </si>
  <si>
    <t xml:space="preserve">20.05.2019</t>
  </si>
  <si>
    <t xml:space="preserve">הצעת חוק לתיקון פקודת מס הכנסה (מיסוי ההכנסה מהשכרת יחידות דיור לטווח קצר), התשע"ט-2019</t>
  </si>
  <si>
    <t xml:space="preserve"> (פ/200/21)</t>
  </si>
  <si>
    <t xml:space="preserve">הצעת חוק מיסוי מקרקעין (שבח ורכישה) (תיקון - רכישת דירה על ידי ילד יתום), התשע"ט-2019</t>
  </si>
  <si>
    <t xml:space="preserve"> (פ/199/21)</t>
  </si>
  <si>
    <t xml:space="preserve">הצעת חוק ביטוח בריאות ממלכתי (תיקון - זכות למכשיר ניידות קלנועית), התשע״ט-2019</t>
  </si>
  <si>
    <t xml:space="preserve"> (פ/198/21)</t>
  </si>
  <si>
    <t xml:space="preserve"> (פ/197/21)</t>
  </si>
  <si>
    <t xml:space="preserve">הצעת חוק הביטוח הלאומי (תיקון - פטור מתשלום דמי ביטוח לסטודנטים על בסיס הכנסות ההורים), התשע"ט-2019</t>
  </si>
  <si>
    <t xml:space="preserve"> (פ/196/21)</t>
  </si>
  <si>
    <t xml:space="preserve">הצעת חוק הביטוח הלאומי (תיקון - אי שלילת זכאות לקצבת שאירים בשל הכנסה מפנסיה), התשע"ט-2019</t>
  </si>
  <si>
    <t xml:space="preserve"> (פ/195/21)</t>
  </si>
  <si>
    <t xml:space="preserve">הצעת חוק לתיקון פקודת מס הכנסה (תרומה למוסד ציבורי באזורי עדיפות לאומית), התשע"ט-2019</t>
  </si>
  <si>
    <t xml:space="preserve"> (פ/194/21)</t>
  </si>
  <si>
    <t xml:space="preserve">הצעת חוק הביטוח הלאומי (תיקון - עבודות מלצרות, טבחות, תחזוקה וניקיון במסעדות ובתי אוכל כעבודה מועדפת), התשע"ט-2019</t>
  </si>
  <si>
    <t xml:space="preserve"> (פ/193/21)</t>
  </si>
  <si>
    <t xml:space="preserve">הצעת חוק לעידוד השקעות הון (תיקון - הוספת מפעלי תעשייה חקלאית), התשע"ט-2019</t>
  </si>
  <si>
    <t xml:space="preserve"> (פ/192/21)</t>
  </si>
  <si>
    <t xml:space="preserve">הצעת חוק הקרן הקיימת לישראל (תחולת דיני המס), התשע"ט-2019</t>
  </si>
  <si>
    <t xml:space="preserve"> (פ/191/21)</t>
  </si>
  <si>
    <t xml:space="preserve">הצעת חוק הביטוח הלאומי (תיקון - הרחבת הגדרת קרוב משפחה לעניין ההסכם בדבר גמלת ניידות), התשע"ט-2019</t>
  </si>
  <si>
    <t xml:space="preserve"> (פ/190/21)</t>
  </si>
  <si>
    <t xml:space="preserve">הצעת חוק דמי מחלה (היעדרות בשל מחלת ילד) (תיקון - איסור פיטורים), התשע"ט-2019</t>
  </si>
  <si>
    <t xml:space="preserve"> (פ/189/21)</t>
  </si>
  <si>
    <t xml:space="preserve">הצעת חוק ביטוח בריאות ממלכתי (תיקון - חיוב קופות החולים לשלב את רופאי השיניים בין נותני השירותים לקופות), התשע"ט-2019</t>
  </si>
  <si>
    <t xml:space="preserve"> (פ/188/21)</t>
  </si>
  <si>
    <t xml:space="preserve">הצעת חוק הביטוח הלאומי (תיקון - קצבת נכות לעקרת בית), התשע"ט-2019</t>
  </si>
  <si>
    <t xml:space="preserve"> (פ/187/21)</t>
  </si>
  <si>
    <t xml:space="preserve">הצעת חוק לתיקון פקודת הסמים המסוכנים (הוספת חומר קנבוס כחומר בעל תועלת רפואית), התשע"ט-2019</t>
  </si>
  <si>
    <t xml:space="preserve"> (פ/186/21)</t>
  </si>
  <si>
    <t xml:space="preserve">הצעת חוק דמי הבראה, התשע"ט-2019</t>
  </si>
  <si>
    <t xml:space="preserve"> (פ/185/21)</t>
  </si>
  <si>
    <t xml:space="preserve">הצעת חוק הגנה על עובדים בשעת חירום (תיקון - תשלום שכר עבודה לעובד שנעדר עקב סגירת מוסד הלימוד של ילדו), התשע"ט-2019</t>
  </si>
  <si>
    <t xml:space="preserve"> (פ/184/21)</t>
  </si>
  <si>
    <t xml:space="preserve">הצעת חוק הפיקוח על שירותים פיננסיים (קופות גמל) (תיקון - השקעה של גוף מוסדי בתעשייה עתירת ידע בישראל), התשע"ט-2019</t>
  </si>
  <si>
    <t xml:space="preserve"> (פ/183/21)</t>
  </si>
  <si>
    <t xml:space="preserve">הצעת חוק זכויות החולה (תיקון - איסור הפליה על רקע מעמד חברתי-כלכלי), התשע"ט-2019</t>
  </si>
  <si>
    <t xml:space="preserve"> (פ/182/21)</t>
  </si>
  <si>
    <t xml:space="preserve">הצעת חוק קליטת חיילים משוחררים (תיקון - מימון שכר לימוד), התשע"ט-2019</t>
  </si>
  <si>
    <t xml:space="preserve"> (פ/181/21)</t>
  </si>
  <si>
    <t xml:space="preserve">הצעת חוק הביטוח הלאומי (תיקון - עדכון קצבת אזרח ותיק בהתאם לשכר המינימום), התשע"ט-2019</t>
  </si>
  <si>
    <t xml:space="preserve"> (פ/180/21)</t>
  </si>
  <si>
    <t xml:space="preserve">הצעת חוק קרן קיימת לישראל (תיקון - החברה החדשה - גוף מבוקר), התשע"ט-2019</t>
  </si>
  <si>
    <t xml:space="preserve"> (פ/179/21)</t>
  </si>
  <si>
    <t xml:space="preserve">הצעת חוק העסקת עובדים על ידי קבלני כוח אדם (תיקון - תחולת החוק על עובדי מחשוב), התשע"ט-2019</t>
  </si>
  <si>
    <t xml:space="preserve"> (פ/178/21)</t>
  </si>
  <si>
    <t xml:space="preserve">הצעת חוק לתיקון פקודת מס הכנסה (עידוד צמיחה לעסקים עצמאיים קטנים ובינוניים), התשע"ט-2019</t>
  </si>
  <si>
    <t xml:space="preserve"> (פ/177/21)</t>
  </si>
  <si>
    <t xml:space="preserve">הצעת חוק להגברת האכיפה של דיני העבודה (תיקון - עיצום כספי בשל אי תשלום שכר שווה לעובדת ולעובד), התשע"ט-2019 </t>
  </si>
  <si>
    <t xml:space="preserve"> (פ/176/21)</t>
  </si>
  <si>
    <t xml:space="preserve">הצעת חוק התגמולים לנפגעי פעולות איבה (תיקון - פשעי שנאה), התשע"ט-2019</t>
  </si>
  <si>
    <t xml:space="preserve"> (פ/175/21)</t>
  </si>
  <si>
    <t xml:space="preserve">הצעת חוק לתיקון פקודת מס הכנסה (פעילות תאגידים זרים בישראל באמצעות האינטרנט), התשע"ט-2019</t>
  </si>
  <si>
    <t xml:space="preserve"> (פ/174/21)</t>
  </si>
  <si>
    <t xml:space="preserve">הצעת חוק יסודות התקציב (תיקון - הגבלה לסך השינויים התקציביים בשנת כספים), התשע"ט-2019</t>
  </si>
  <si>
    <t xml:space="preserve"> (פ/173/21)</t>
  </si>
  <si>
    <t xml:space="preserve">הצעת חוק האזרחים הוותיקים (תיקון - חניה חינם לאזרח ותיק שמלאו לו 70 שנים), התשע"ט-2019</t>
  </si>
  <si>
    <t xml:space="preserve"> (פ/172/21)</t>
  </si>
  <si>
    <t xml:space="preserve"> (פ/171/21)</t>
  </si>
  <si>
    <t xml:space="preserve">הצעת חוק הרשויות המקומיות (ניהול סיכונים תאגידי), התשע"ט-2019 </t>
  </si>
  <si>
    <t xml:space="preserve"> (פ/170/21)</t>
  </si>
  <si>
    <t xml:space="preserve">הצעת חוק פנייה לגופים ציבוריים באמצעי קשר דיגיטליים (תיקון - קביעת תור באמצעות האינטרנט), התשע"ט-2019</t>
  </si>
  <si>
    <t xml:space="preserve"> (פ/169/21)</t>
  </si>
  <si>
    <t xml:space="preserve">הצעת חוק שוויון זכויות לאנשים עם מוגבלות (תיקון - חובת נגישות באוטובוסים בין עירוניים), התשע"ט-2019</t>
  </si>
  <si>
    <t xml:space="preserve"> (פ/168/21)</t>
  </si>
  <si>
    <t xml:space="preserve">הצעת חוק עידוד השקעות הון (דיור בר השגה - תעודות מס), התשע"ט-2019 </t>
  </si>
  <si>
    <t xml:space="preserve"> (פ/167/21)</t>
  </si>
  <si>
    <t xml:space="preserve">הצעת חוק לתיקון פקודת העיריות (כהונת חבר מועצה), התשע"ט-2019</t>
  </si>
  <si>
    <t xml:space="preserve"> (פ/166/21)</t>
  </si>
  <si>
    <t xml:space="preserve">הצעת חוק המועצה הארצית לביטחון תזונתי (תיקון - תקציב), התשע"ט-2019</t>
  </si>
  <si>
    <t xml:space="preserve"> (פ/165/21)</t>
  </si>
  <si>
    <t xml:space="preserve">הצעת חוק השיפוט הצבאי (תיקון - סייג לגרימת מוות בפעילות מבצעית), התשע"ט-2019</t>
  </si>
  <si>
    <t xml:space="preserve"> (פ/164/21)</t>
  </si>
  <si>
    <t xml:space="preserve">הצעת חוק זכויות החולה (תיקון - זכות מטופל לקבל רשומות רפואיות), התשע"ט-2019</t>
  </si>
  <si>
    <t xml:space="preserve"> (פ/163/21)</t>
  </si>
  <si>
    <t xml:space="preserve">הצעת חוק קרן פיצויים לנזקי הפשיעה החקלאית, התשע"ט-2019 </t>
  </si>
  <si>
    <t xml:space="preserve"> (פ/162/21)</t>
  </si>
  <si>
    <t xml:space="preserve">הצעת חוק הביטוח הלאומי (תיקון - קצבת ילד נכה לילד החולה במחלה או בתסמונת נדירה), התשע"ט-2019</t>
  </si>
  <si>
    <t xml:space="preserve"> (פ/161/21)</t>
  </si>
  <si>
    <t xml:space="preserve">הצעת חוק הרשות לוועדות ערר רפואיות, התשע"ט-2019</t>
  </si>
  <si>
    <t xml:space="preserve"> (פ/160/21)</t>
  </si>
  <si>
    <t xml:space="preserve">הצעת חוק לתיקון פקודת בריאות הציבור (מזון) (הגבלת השימוש בחומצות שומן טראנס), התשע"ט-2019 </t>
  </si>
  <si>
    <t xml:space="preserve"> (פ/159/21)</t>
  </si>
  <si>
    <t xml:space="preserve">הצעת חוק ביטוח בריאות ממלכתי (תיקון - קציבת מועדים לקבלת טיפול רפואי או פארא-רפואי), התשע"ט-2019</t>
  </si>
  <si>
    <t xml:space="preserve"> (פ/158/21)</t>
  </si>
  <si>
    <t xml:space="preserve">הצעת חוק הביטוח הלאומי (תיקון - קצבת נכות וקצבת שאירים), התשע"ט-2019</t>
  </si>
  <si>
    <t xml:space="preserve"> (פ/157/21)</t>
  </si>
  <si>
    <t xml:space="preserve"> (פ/156/21)</t>
  </si>
  <si>
    <t xml:space="preserve">הצעת חוק הביטוח הלאומי (תיקון - השוואת קצבת נכות לשכר המינימום), התשע"ט-2019</t>
  </si>
  <si>
    <t xml:space="preserve"> (פ/155/21)</t>
  </si>
  <si>
    <t xml:space="preserve">הצעת חוק לעידוד השקעות הון (תיקון - תנאים לזכאות להטבות במס לחברה מועדפת), התשע"ט-2019</t>
  </si>
  <si>
    <t xml:space="preserve"> (פ/154/21)</t>
  </si>
  <si>
    <t xml:space="preserve"> (פ/153/21)</t>
  </si>
  <si>
    <t xml:space="preserve">הצעת חוק מס עיזבון, התשע"ט-2019</t>
  </si>
  <si>
    <t xml:space="preserve"> (פ/152/21)</t>
  </si>
  <si>
    <t xml:space="preserve">הצעת חוק הרשויות המקומיות (התאמת תקציב החינוך), התשע"ט-2019</t>
  </si>
  <si>
    <t xml:space="preserve"> (פ/151/21)</t>
  </si>
  <si>
    <t xml:space="preserve"> (פ/150/21)</t>
  </si>
  <si>
    <t xml:space="preserve">הצעת חוק הגנה על עובדים בשעת חירום (תיקון - צוותי חירום וחוסן יישוביים), התשע"ט-2019</t>
  </si>
  <si>
    <t xml:space="preserve"> (פ/149/21)</t>
  </si>
  <si>
    <t xml:space="preserve">הצעת חוק הרשויות המקומיות (התאמת תקציב הרווחה), התשע"ט-2019</t>
  </si>
  <si>
    <t xml:space="preserve"> (פ/148/21)</t>
  </si>
  <si>
    <t xml:space="preserve">הצעת חוק הגנת הצרכן (תיקון - פרסום פרטי עוסק באינטרנט), התשע"ט-2019</t>
  </si>
  <si>
    <t xml:space="preserve"> (פ/147/21)</t>
  </si>
  <si>
    <t xml:space="preserve">הצעת חוק בתי משפט לעניינים מינהליים (תיקון - החזרת סמכות השיפוט לבית המשפט הגבוה לצדק בהחלטות מינהליות), התשע"ט-2019</t>
  </si>
  <si>
    <t xml:space="preserve"> (פ/146/21)</t>
  </si>
  <si>
    <t xml:space="preserve">הצעת חוק זכויות למשפחות של אנשים עם מוגבלות, התשע"ט-2019</t>
  </si>
  <si>
    <t xml:space="preserve"> (פ/145/21)</t>
  </si>
  <si>
    <t xml:space="preserve">הצעת חוק שירותי הדת היהודיים (תיקון - פרסום מחירון לרכישת קבר), התשע"ט-2019</t>
  </si>
  <si>
    <t xml:space="preserve"> (פ/144/21)</t>
  </si>
  <si>
    <t xml:space="preserve"> (פ/143/21)</t>
  </si>
  <si>
    <t xml:space="preserve">הצעת חוק שוויון זכויות לאנשים עם מוגבלות (תיקון - בירור תלונות ופיקוח על שמירת זכויות של אנשים עם מוגבלות במסגרות מגורים), התשע"ט-2019</t>
  </si>
  <si>
    <t xml:space="preserve"> (פ/142/21)</t>
  </si>
  <si>
    <t xml:space="preserve">הצעת חוק-יסוד: משק המדינה (תיקון - סעיף נוקשות) </t>
  </si>
  <si>
    <t xml:space="preserve"> (פ/141/21)</t>
  </si>
  <si>
    <t xml:space="preserve">הצעת חוק הבנקאות (שירות ללקוח) (תיקון - פרסום מדד עמלות למשקי בית), התשע"ט-2019</t>
  </si>
  <si>
    <t xml:space="preserve"> (פ/140/21)</t>
  </si>
  <si>
    <t xml:space="preserve">הצעת חוק לתיקון פקודת התעבורה (פסילת רישיון לנהיגה ברכב מקצועי), התשע"ט-2019</t>
  </si>
  <si>
    <t xml:space="preserve"> (פ/139/21)</t>
  </si>
  <si>
    <t xml:space="preserve">הצעת חוק הביקורת הפנימית (תיקון - ישום המלצות הוועדה הציבורית לבחינת חוק הביקורת הפנימית), התשע"ט-2019</t>
  </si>
  <si>
    <t xml:space="preserve"> (פ/138/21)</t>
  </si>
  <si>
    <t xml:space="preserve">הצעת חוק הביטוח הלאומי (תיקון - אי-הפליה בשל שירות צבאי או שירות לאומי), התשע"ט-2019</t>
  </si>
  <si>
    <t xml:space="preserve"> (פ/137/21)</t>
  </si>
  <si>
    <t xml:space="preserve">הצעת חוק הבנקאות (שירות ללקוח) (תיקון - פיקוח על סוגי עמלות ושיעוריהן), התשע"ט-2019</t>
  </si>
  <si>
    <t xml:space="preserve"> (פ/136/21)</t>
  </si>
  <si>
    <t xml:space="preserve">הצעת חוק שוויון זכויות לאנשים עם מוגבלות (תיקון - דיור בקהילה וסיוע אישי), התשע"ט-2019</t>
  </si>
  <si>
    <t xml:space="preserve"> (פ/135/21)</t>
  </si>
  <si>
    <t xml:space="preserve">הצעת חוק זכויות התלמיד (תיקון - פיצוי בשל הפליית תלמידים), התשע"ט-2019</t>
  </si>
  <si>
    <t xml:space="preserve"> (פ/134/21)</t>
  </si>
  <si>
    <t xml:space="preserve">הצעת חוק לתיקון פקודת התעבורה (חובת נשיאת לוחית זיהוי באופניים ממונעים ובקורקינט ממונע), התשע"ט-2019</t>
  </si>
  <si>
    <t xml:space="preserve"> (פ/133/21)</t>
  </si>
  <si>
    <t xml:space="preserve">הצעת חוק עבודת נשים (תיקון - הגבלת פיטורים של אישה השוהה במקלט לנשים מוכות), התשע"ט-2019</t>
  </si>
  <si>
    <t xml:space="preserve"> (פ/132/21)</t>
  </si>
  <si>
    <t xml:space="preserve">הצעת חוק סיוע לצעירים חסרי עורף משפחתי, התשע"ט-2019</t>
  </si>
  <si>
    <t xml:space="preserve"> (פ/131/21)</t>
  </si>
  <si>
    <t xml:space="preserve">הצעת חוק לתיקון פקודת מס הכנסה (הכרה בניכוי הפקדות לביטוח סיעודי), התשע"ט-2019</t>
  </si>
  <si>
    <t xml:space="preserve"> (פ/130/21)</t>
  </si>
  <si>
    <t xml:space="preserve">הצעת חוק מערך החוץ וההסברה, התשע"ט-2019</t>
  </si>
  <si>
    <t xml:space="preserve"> (פ/129/21)</t>
  </si>
  <si>
    <t xml:space="preserve">הצעת חוק הביטוח הלאומי (תיקון - ניכוי הכנסה חודשית שלא מעבודה או ממשלח יד), התשע"ט-2019</t>
  </si>
  <si>
    <t xml:space="preserve"> (פ/128/21)</t>
  </si>
  <si>
    <t xml:space="preserve">הצעת חוק להגדלת שיעור ההשתתפות בכוח העבודה ולצמצום פערים חברתיים (מענק עבודה) (תיקון - גיל העובד), התשע"ט-2019</t>
  </si>
  <si>
    <t xml:space="preserve"> (פ/127/21)</t>
  </si>
  <si>
    <t xml:space="preserve">הצעת חוק הגנה על כספי ציבור (איסור מימון ומתן שירותים למאחזים בלתי מורשים), התשע"ט-2019</t>
  </si>
  <si>
    <t xml:space="preserve"> (פ/126/21)</t>
  </si>
  <si>
    <t xml:space="preserve"> (פ/125/21)</t>
  </si>
  <si>
    <t xml:space="preserve">הצעת חוק הודעה מוקדמת לפני סגירת עסק באזורים מוכי אבטלה, התשע"ט-2019</t>
  </si>
  <si>
    <t xml:space="preserve"> (פ/124/21)</t>
  </si>
  <si>
    <t xml:space="preserve">הצעת חוק שירות המילואים (תיקון - מטרת שירות המילואים), התשע"ט-2019</t>
  </si>
  <si>
    <t xml:space="preserve"> (פ/123/21)</t>
  </si>
  <si>
    <t xml:space="preserve">הצעת חוק לתיקון פקודת העיריות (קבלת חוות דעת היועץ המשפטי לממשלה לעניין טוהר המידות ברשות מקומית טרם הכרזתה כרשות איתנה), התשע"ט-2019</t>
  </si>
  <si>
    <t xml:space="preserve"> (פ/122/21)</t>
  </si>
  <si>
    <t xml:space="preserve">הצעת חוק לימוד חובה (תיקון - סיוע לתלמידים במימון טיולים שנתיים), התשע"ט-2019</t>
  </si>
  <si>
    <t xml:space="preserve"> (פ/121/21)</t>
  </si>
  <si>
    <t xml:space="preserve">הצעת חוק ביטוח בריאות ממלכתי (תיקון - ביטוח עבור קטינים חסרי מעמד), התשע"ט-2019</t>
  </si>
  <si>
    <t xml:space="preserve"> (פ/120/21)</t>
  </si>
  <si>
    <t xml:space="preserve">הצעת חוק החזר דמי נסיעה במונית לבית החולים (תיקוני חקיקה), התשע"ט-2019</t>
  </si>
  <si>
    <t xml:space="preserve"> (פ/119/21)</t>
  </si>
  <si>
    <t xml:space="preserve">הצעת חוק שוויון זכויות לאנשים עם מוגבלות (תיקון - נגישות להורה ולתלמיד במוסד חינוך), התשע"ט-2019</t>
  </si>
  <si>
    <t xml:space="preserve"> (פ/118/21)</t>
  </si>
  <si>
    <t xml:space="preserve">הצעת חוק התכנון והבנייה (תיקון - חילוט כלי עבודה על ידי רשות מקומית), התשע"ט-2019</t>
  </si>
  <si>
    <t xml:space="preserve"> (פ/117/21)</t>
  </si>
  <si>
    <t xml:space="preserve">הצעת חוק הצמדת תשלומים לחיילים בודדים למדד המחירים לצרכן, התשע"ט-2019</t>
  </si>
  <si>
    <t xml:space="preserve"> (פ/116/21)</t>
  </si>
  <si>
    <t xml:space="preserve">הצעת חוק כביש אגרה (כביש ארצי לישראל) (תיקון - מידע על עומס תנועה), התשע"ט-2019</t>
  </si>
  <si>
    <t xml:space="preserve"> (פ/115/21)</t>
  </si>
  <si>
    <t xml:space="preserve">הצעת חוק זכויות הסטודנט (תיקון - הגבלת דמי רישום), התשע"ט-2019</t>
  </si>
  <si>
    <t xml:space="preserve"> (פ/114/21)</t>
  </si>
  <si>
    <t xml:space="preserve">הצעת חוק התכנון והבנייה (תיקון - הסמכת אדריכלים רשויים לשמש כמורשים להיתר), התשע"ט-2019</t>
  </si>
  <si>
    <t xml:space="preserve"> (פ/113/21)</t>
  </si>
  <si>
    <t xml:space="preserve">הצעת חוק תגמול לנושאי משרה בתאגידים פיננסיים (אישור מיוחד ואי-התרת הוצאה לצורכי מס בשל תגמול חריג) (תיקון - הרחבת התחולה על חברות ציבוריות), התשע"ט-2019</t>
  </si>
  <si>
    <t xml:space="preserve"> (פ/112/21)</t>
  </si>
  <si>
    <t xml:space="preserve"> (פ/111/21)</t>
  </si>
  <si>
    <t xml:space="preserve"> (פ/110/21)</t>
  </si>
  <si>
    <t xml:space="preserve">הצעת חוק זכויות הדייר בדיור הציבורי (תיקון - זכאות לדיור ציבורי להורה עצמאי המקבל מהמוסד לביטוח לאומי תשלום מזונות ואינו זכאי להבטחת הכנסה או השלמת הכנסה), התשע"ט-2019</t>
  </si>
  <si>
    <t xml:space="preserve"> (פ/109/21)</t>
  </si>
  <si>
    <t xml:space="preserve">הצעת חוק הביטוח הלאומי (תיקון - הכפלת קצבת נכות בהגעה לגיל הזכאות לקצבת זקנה), התשע"ט-2019</t>
  </si>
  <si>
    <t xml:space="preserve"> (פ/108/21)</t>
  </si>
  <si>
    <t xml:space="preserve">הצעת חוק הביטוח הלאומי (תיקון - הצמדת קצבאות הביטוח הלאומי לשכר הממוצע במשק), התשע"ט-2019</t>
  </si>
  <si>
    <t xml:space="preserve"> (פ/107/21)</t>
  </si>
  <si>
    <t xml:space="preserve">הצעת חוק לתיקון פקודת הבנקאות (עמלת פירעון מוקדם), התשע"ט-2019</t>
  </si>
  <si>
    <t xml:space="preserve"> (פ/106/21)</t>
  </si>
  <si>
    <t xml:space="preserve">הצעת חוק הפנסיה (מועד תחילת הביטוח הפנסיוני), התשע"ט-2019</t>
  </si>
  <si>
    <t xml:space="preserve"> (פ/105/21)</t>
  </si>
  <si>
    <t xml:space="preserve">הצעת חוק השוואת תשלומים לחיילים בודדים ילידי ישראל וחיילים בודדים שנולדו מחוץ לישראל, התשע"ט-2019</t>
  </si>
  <si>
    <t xml:space="preserve"> (פ/104/21)</t>
  </si>
  <si>
    <t xml:space="preserve">הצעת חוק לתיקון פקודת הבנקאות (תקופת צינון למפקח על הבנקים), התשע"ט-2019</t>
  </si>
  <si>
    <t xml:space="preserve"> (פ/103/21)</t>
  </si>
  <si>
    <t xml:space="preserve">הצעת חוק הביטוח הלאומי (תיקון - חובת יידוע מבוטחים), התשע"ט-2019</t>
  </si>
  <si>
    <t xml:space="preserve"> (פ/102/21)</t>
  </si>
  <si>
    <t xml:space="preserve">הצעת חוק הסדרים במשק המדינה (תיקוני חקיקה להשגת יעדי התקציב) (תיקון - ארנונה על מבנה מגורים שאינו בשימוש) (הוראת שעה), התשע"ט-2019</t>
  </si>
  <si>
    <t xml:space="preserve"> (פ/101/21)</t>
  </si>
  <si>
    <t xml:space="preserve">הצעת חוק חובת הדיווח של מוסדות פיננסים על כספים ללא דורש, התשע"ט-2019</t>
  </si>
  <si>
    <t xml:space="preserve"> (פ/100/21)</t>
  </si>
  <si>
    <t xml:space="preserve">הצעת חוק דמי נסיעה לסטודנטים בתחבורה ציבורית (תיקוני חקיקה), התשע"ט-2019</t>
  </si>
  <si>
    <t xml:space="preserve"> (פ/99/21)</t>
  </si>
  <si>
    <t xml:space="preserve">הצעת חוק הביטוח הלאומי (תיקון - שינוי המונח נכה), התשע"ט-2019</t>
  </si>
  <si>
    <t xml:space="preserve"> (פ/98/21)</t>
  </si>
  <si>
    <t xml:space="preserve">הצעת חוק הסדרים במשק המדינה (תיקוני חקיקה להשגת יעדי התקציב) (תיקון - הנחה מארנונה לעסק חדש בשנת פעילותו הראשונה), התשע"ט-2019</t>
  </si>
  <si>
    <t xml:space="preserve"> (פ/97/21)</t>
  </si>
  <si>
    <t xml:space="preserve">הצעת חוק ביטוח בריאות ממלכתי (תיקון - העברת תיק רפואי במעבר בין קופות חולים), התשע"ט-2019</t>
  </si>
  <si>
    <t xml:space="preserve"> (פ/96/21)</t>
  </si>
  <si>
    <t xml:space="preserve">הצעת חוק מעונות יום שיקומיים (תיקון - פעוטות עם צרכים רפואיים וחלופה ביתית), התשע"ט-2019</t>
  </si>
  <si>
    <t xml:space="preserve"> (פ/95/21)</t>
  </si>
  <si>
    <t xml:space="preserve">הצעת חוק הביטוח הלאומי (תיקון - ביטול תקופת אכשרה), התשע"ט-2019</t>
  </si>
  <si>
    <t xml:space="preserve"> (פ/94/21)</t>
  </si>
  <si>
    <t xml:space="preserve">הצעת חוק הרשויות המקומיות (בחירת ראש הרשות וסגניו וכהונתם) (תיקון - מילוי מקום ראש רשות שהושעה מכהונה בשל הגשת כתב אישום ושב ונבחר), התשע"ט-2019</t>
  </si>
  <si>
    <t xml:space="preserve"> (פ/93/21)</t>
  </si>
  <si>
    <t xml:space="preserve">הצעת חוק שעות עבודה ומנוחה (תיקון - עסקים בתחום ההסעדה והבילוי), התשע"ט-2019</t>
  </si>
  <si>
    <t xml:space="preserve"> (פ/92/21)</t>
  </si>
  <si>
    <t xml:space="preserve">הצעת חוק הביטוח הלאומי (תיקון - זכאות לקצבת נכות למי שמשתלמת לו קצבת אזרח ותיק), התשע"ט-2019</t>
  </si>
  <si>
    <t xml:space="preserve"> (פ/91/21)</t>
  </si>
  <si>
    <t xml:space="preserve">הצעת חוק מס ערך מוסף (תיקון - פטור ממס במכירת תרופות מאריכות חיים שאינן כלולות בסל הבריאות), התשע"ט-2019</t>
  </si>
  <si>
    <t xml:space="preserve"> (פ/90/21)</t>
  </si>
  <si>
    <t xml:space="preserve">הצעת חוק זכויות ושירותים לילדים ובני נוער עם קשיים נפשיים, התשע"ט-2019</t>
  </si>
  <si>
    <t xml:space="preserve"> (פ/89/21)</t>
  </si>
  <si>
    <t xml:space="preserve">הצעת חוק הגנת הצרכן (תיקון - מתן שירות טלפוני חינם על ידי מבטח), התשע"ט-2019</t>
  </si>
  <si>
    <t xml:space="preserve"> (פ/88/21)</t>
  </si>
  <si>
    <t xml:space="preserve"> (פ/87/21)</t>
  </si>
  <si>
    <t xml:space="preserve">הצעת חוק האזרחות והכניסה לישראל (הוראת שעה) (תיקון - ביטול החוק), התשע"ט-2019</t>
  </si>
  <si>
    <t xml:space="preserve"> (פ/86/21)</t>
  </si>
  <si>
    <t xml:space="preserve">הצעת חוק ביטוח בריאות ממלכתי (תיקון - זכאות למימון טיפול על ידי רופא שאינו כלול בהסדר הבחירה של קופת החולים), התשע"ט-2019</t>
  </si>
  <si>
    <t xml:space="preserve"> (פ/85/21)</t>
  </si>
  <si>
    <t xml:space="preserve">הצעת חוק שכר מינימום (תיקון - עוולה נזיקית וקובלנה), התשע"ט-2019</t>
  </si>
  <si>
    <t xml:space="preserve"> (פ/84/21)</t>
  </si>
  <si>
    <t xml:space="preserve">הצעת חוק הביטוח הלאומי (תיקון - עדכון הסכום הבסיסי לפי שכר המינימום לעניין קצבת שירותים מיוחדים), התשע"ט-2019</t>
  </si>
  <si>
    <t xml:space="preserve"> (פ/83/21)</t>
  </si>
  <si>
    <t xml:space="preserve">הצעת חוק הודעה לעובד ולמועמד לעבודה (תנאי עבודה והליכי מיון וקבלה לעבודה) (תיקון - הגברת השקיפות בעניין הפרשות לפנסיה), התשע"ט-2019</t>
  </si>
  <si>
    <t xml:space="preserve"> (פ/82/21)</t>
  </si>
  <si>
    <t xml:space="preserve">הצעת חוק המטה לביטחון לאומי (תיקון - פיקוח הכנסת על מינוי ראש המטה לביטחון לאומי), התשע"ט-2019</t>
  </si>
  <si>
    <t xml:space="preserve"> (פ/81/21)</t>
  </si>
  <si>
    <t xml:space="preserve"> (פ/80/21)</t>
  </si>
  <si>
    <t xml:space="preserve">הצעת חוק הבטחת הכנסה (תיקון - זכאות לגמלה למי שמצוי בהכשרה מקצועית), התשע"ט-2019</t>
  </si>
  <si>
    <t xml:space="preserve"> (פ/79/21)</t>
  </si>
  <si>
    <t xml:space="preserve">הצעת חוק הגנה על בריאות הציבור (מזון) (תיקון - סמכות שר הכלכלה והתעשייה לעניין משקאות משכרים), התשע"ט-2019</t>
  </si>
  <si>
    <t xml:space="preserve"> (פ/78/21)</t>
  </si>
  <si>
    <t xml:space="preserve">הצעת חוק זכאות לאבחון לקויות למידה לילדים ממשפחות מעוטות יכולת, התשע"ט-2019</t>
  </si>
  <si>
    <t xml:space="preserve"> (פ/77/21)</t>
  </si>
  <si>
    <t xml:space="preserve">הצעת חוק להנצחת מורשת המחתרות, התשע"ט-2019</t>
  </si>
  <si>
    <t xml:space="preserve"> (פ/76/21)</t>
  </si>
  <si>
    <t xml:space="preserve">הצעת חוק הבנקאות (רישוי) (תיקון - עידוד תחרות בשוק האשראי), התשע"ט-2019</t>
  </si>
  <si>
    <t xml:space="preserve"> (פ/75/21)</t>
  </si>
  <si>
    <t xml:space="preserve">הצעת חוק לתיקון פקודת מס הכנסה (פטור ממס על משיכה הונית מקופת גמל), התשע"ט-2019</t>
  </si>
  <si>
    <t xml:space="preserve"> (פ/74/21)</t>
  </si>
  <si>
    <t xml:space="preserve">הצעת חוק החברות (תיקון - ייצוג הולם לבני שני המינים בדירקטוריונים של חברות ציבוריות), התשע"ט-2019</t>
  </si>
  <si>
    <t xml:space="preserve"> (פ/73/21)</t>
  </si>
  <si>
    <t xml:space="preserve">הצעת חוק הבנקאות (רישוי) (תיקון - הנפקת אגרות חוב על ידי מי שאינו תאגיד בנקאי), התשע"ט-2019</t>
  </si>
  <si>
    <t xml:space="preserve"> (פ/72/21)</t>
  </si>
  <si>
    <t xml:space="preserve">הצעת חוק השירותים החשאיים, התשע"ט-2019</t>
  </si>
  <si>
    <t xml:space="preserve"> (פ/71/21)</t>
  </si>
  <si>
    <t xml:space="preserve">הצעת חוק הבנקאות (שירות ללקוח) (תיקון - איסור גביית עמלה בעד טיפול בירושות ובעזבונות), התשע"ט-2019</t>
  </si>
  <si>
    <t xml:space="preserve"> (פ/70/21)</t>
  </si>
  <si>
    <t xml:space="preserve">הצעת חוק הביטוח לאומי (תיקון - ביטוח זכויות עצמאי שעיקר הכנסתו מעסק שמצוי בפשיטת רגל או בפירוק), התשע"ט-2019</t>
  </si>
  <si>
    <t xml:space="preserve"> (פ/69/21)</t>
  </si>
  <si>
    <t xml:space="preserve">הצעת חוק הביטוח הלאומי (תיקון - שכר הוגן לחיילי מילואים שעובדים במשרה חלקית), התשע"ט-2019 </t>
  </si>
  <si>
    <t xml:space="preserve"> (פ/68/21)</t>
  </si>
  <si>
    <t xml:space="preserve">הצעת חוק הקמת חדרי מיון בקרית שמונה ושדרות, התשע"ט-2019</t>
  </si>
  <si>
    <t xml:space="preserve"> (פ/67/21)</t>
  </si>
  <si>
    <t xml:space="preserve">הצעת חוק הפעלת תחבורה ציבורית ביום המנוחה השבועי, התשע"ט-2019</t>
  </si>
  <si>
    <t xml:space="preserve"> (פ/66/21)</t>
  </si>
  <si>
    <t xml:space="preserve">הצעת חוק המועצה הלאומית לחינוך, התשע"ט-2019 </t>
  </si>
  <si>
    <t xml:space="preserve"> (פ/65/21)</t>
  </si>
  <si>
    <t xml:space="preserve">הצעת חוק הסדרים במשק המדינה (תיקוני חקיקה להשגת יעדי התקציב) (תיקון - הנחה בארנונה לרופאים מתמחים בפריפריה), התשע"ט-2019</t>
  </si>
  <si>
    <t xml:space="preserve"> (פ/64/21)</t>
  </si>
  <si>
    <t xml:space="preserve">הצעת חוק הגנת הצרכן (תיקון - ביטול החרגת תאגידים בנקאיים וביטוחיים), התשע"ט-2019</t>
  </si>
  <si>
    <t xml:space="preserve"> (פ/63/21)</t>
  </si>
  <si>
    <t xml:space="preserve">הצעת חוק הביטוח הלאומי (תיקון - הארכת זכאות רטרואקטיבית לקצבת שאירים), התשע"ט-2019</t>
  </si>
  <si>
    <t xml:space="preserve"> (פ/62/21)</t>
  </si>
  <si>
    <t xml:space="preserve">הצעת חוק הפיקוח על יצוא ביטחוני (תיקון - הגבלות על יצוא ביטחוני לכוחות ביטחון שביצעו הפרות חמורות של זכויות אדם), התשע"ט-2019</t>
  </si>
  <si>
    <t xml:space="preserve"> (פ/61/21)</t>
  </si>
  <si>
    <t xml:space="preserve">הצעת חוק אדמות נסיגת ים המלח, התשע"ט-2019</t>
  </si>
  <si>
    <t xml:space="preserve"> (פ/60/21)</t>
  </si>
  <si>
    <t xml:space="preserve">הצעת חוק הממשלה (תיקון - ועדת שרים לענייני ביטחון לאומי), התשע"ט-2019</t>
  </si>
  <si>
    <t xml:space="preserve"> (פ/59/21)</t>
  </si>
  <si>
    <t xml:space="preserve">הצעת חוק ביטוח בריאות ממלכתי (תיקון - הרחבת הסדרי הבחירה), התשע"ט-2019</t>
  </si>
  <si>
    <t xml:space="preserve"> (פ/58/21)</t>
  </si>
  <si>
    <t xml:space="preserve">הצעת חוק זכויות החולה (תיקון - טיפול בזמן סביר), התשע"ט-2019</t>
  </si>
  <si>
    <t xml:space="preserve"> (פ/57/21)</t>
  </si>
  <si>
    <t xml:space="preserve">הצעת חוק מס רכוש וקרן פיצויים (תיקון - תשלום פיצויים בעד תשלום שכר עבודה), התשע"ט-2019</t>
  </si>
  <si>
    <t xml:space="preserve"> (פ/56/21)</t>
  </si>
  <si>
    <t xml:space="preserve">הצעת חוק הגנת הצרכן (תיקון - חובת הקלטה של עסקה טלפונית), התשע"ט-2019</t>
  </si>
  <si>
    <t xml:space="preserve"> (פ/55/21)</t>
  </si>
  <si>
    <t xml:space="preserve">הצעת חוק הגנת הצרכן (תיקון - הנגשת שירותים ממשלתיים לאזרח), התשע"ט-2019</t>
  </si>
  <si>
    <t xml:space="preserve"> (פ/54/21)</t>
  </si>
  <si>
    <t xml:space="preserve">הצעת חוק ביטול עונש המוות (תיקוני חקיקה), התשע"ט-2019</t>
  </si>
  <si>
    <t xml:space="preserve"> (פ/53/21)</t>
  </si>
  <si>
    <t xml:space="preserve">הצעת חוק הביטוח הלאומי (תיקון - הטבות למי שמקבל גמלה לפי חוק הביטוח הלאומי וקיבל גמלת הבטחת הכנסה), התשע"ט-2019 </t>
  </si>
  <si>
    <t xml:space="preserve"> (פ/52/21)</t>
  </si>
  <si>
    <t xml:space="preserve">הצעת חוק הגנת הצרכן (תיקון - מתן שירות טלפוני חינם למשתמשי רשת חברתית מקוונת), התשע"ט-2019</t>
  </si>
  <si>
    <t xml:space="preserve"> (פ/51/21)</t>
  </si>
  <si>
    <t xml:space="preserve">הצעת חוק זכויות הדייר בדיור הציבורי (תיקון - סיוע ריאלי בשכר דירה), התשע"ט-2019</t>
  </si>
  <si>
    <t xml:space="preserve"> (פ/50/21)</t>
  </si>
  <si>
    <t xml:space="preserve">הצעת חוק דמי מחלה (תיקון - הצהרת מחלה), התשע"ט-2019</t>
  </si>
  <si>
    <t xml:space="preserve"> (פ/49/21)</t>
  </si>
  <si>
    <t xml:space="preserve">הצעת חוק המזונות (הבטחת תשלום) (תיקון - החרגת הכנסה מעבודה או ממשלח יד ממבחן ההכנסה), התשע"ט-2019</t>
  </si>
  <si>
    <t xml:space="preserve"> (פ/48/21)</t>
  </si>
  <si>
    <t xml:space="preserve">הצעת חוק העונשין (תיקון - הוספת עילות לעבירות הסתה ופשע שנאה), התשע"ט-2019</t>
  </si>
  <si>
    <t xml:space="preserve"> (פ/47/21)</t>
  </si>
  <si>
    <t xml:space="preserve">הצעת חוק פיצויי פיטורים (תיקון - הזכות לפיצויי פיטורים בעת סיום יחסי עבודה), התשע"ט-2019</t>
  </si>
  <si>
    <t xml:space="preserve"> (פ/46/21)</t>
  </si>
  <si>
    <t xml:space="preserve">הצעת חוק מס ערך מוסף (תיקון - חוברת זכויות), התשע"ט-2019</t>
  </si>
  <si>
    <t xml:space="preserve"> (פ/45/21)</t>
  </si>
  <si>
    <t xml:space="preserve">הצעת חוק איסור הפליה במוצרים, בשירותים ובכניסה למקומות בידור ולמקומות ציבוריים (תיקון - איסור הפרדה), התשע"ט-2019</t>
  </si>
  <si>
    <t xml:space="preserve"> (פ/44/21)</t>
  </si>
  <si>
    <t xml:space="preserve">הצעת חוק זכויות נפגעי מערכות ישראל ופעולות איבה בהליכי חקירה, התשע"ט-2019</t>
  </si>
  <si>
    <t xml:space="preserve"> (פ/43/21)</t>
  </si>
  <si>
    <t xml:space="preserve">הצעת חוק הבטחת הכנסה (תיקון - זכאות להטבות הניתנות לזכאים לגמלת הבטחת הכנסה), התשע"ט-2019</t>
  </si>
  <si>
    <t xml:space="preserve"> (פ/42/21)</t>
  </si>
  <si>
    <t xml:space="preserve">הצעת חוק השוואת תנאי שכר לקבוצות שאסור להפלותן (תיקוני חקיקה), התשע"ט-2019</t>
  </si>
  <si>
    <t xml:space="preserve"> (פ/41/21)</t>
  </si>
  <si>
    <t xml:space="preserve">הצעת חוק הביטוח הלאומי (תיקון - הארכת המועד לתביעת גמלת כסף), התשע"ט-2019</t>
  </si>
  <si>
    <t xml:space="preserve"> (פ/40/21)</t>
  </si>
  <si>
    <t xml:space="preserve">הצעת חוק ביטוח בריאות ממלכתי (תיקון - החזר דמי נסיעה באמבולנס לקשישים), התשע"ט-2019</t>
  </si>
  <si>
    <t xml:space="preserve"> (פ/39/21)</t>
  </si>
  <si>
    <t xml:space="preserve">הצעת חוק לתיקון פקודת התעבורה (מאגר מידע של ניקוד מסוכנות לעניין נהגים מקצועיים), התשע"ט-2019</t>
  </si>
  <si>
    <t xml:space="preserve"> (פ/38/21)</t>
  </si>
  <si>
    <t xml:space="preserve">הצעת חוק זכויות מבצעים ומשדרים (תיקון - הגנה על זכויות מבצעים בשל יצירותיהם מקום המדינה), התשע"ט-2019</t>
  </si>
  <si>
    <t xml:space="preserve"> (פ/37/21)</t>
  </si>
  <si>
    <t xml:space="preserve">הצעת חוק הזכות לקבורה אזרחית חלופית (תיקון - קבורה דתית חלופית), התשע"ט-2019</t>
  </si>
  <si>
    <t xml:space="preserve"> (פ/36/21)</t>
  </si>
  <si>
    <t xml:space="preserve">הצעת חוק הגבלת פרסומות ושיווק של הלוואות (תיקוני חקיקה), התשע"ט-2019</t>
  </si>
  <si>
    <t xml:space="preserve"> (פ/35/21)</t>
  </si>
  <si>
    <t xml:space="preserve">הצעת חוק המים (תיקון - הנחות לאוכלוסיות זכאיות), התשע"ט-2019</t>
  </si>
  <si>
    <t xml:space="preserve"> (פ/34/21)</t>
  </si>
  <si>
    <t xml:space="preserve">הצעת חוק המועצה לענף הלול (ייצור ושיווק) (תיקון - סימון ביצים), התשע"ט-2019</t>
  </si>
  <si>
    <t xml:space="preserve"> (פ/33/21)</t>
  </si>
  <si>
    <t xml:space="preserve">הצעת חוק שירותי הסעד (תיקון - הגבלת מספר התיקים בטיפול עובד סוציאלי המטפל במשפחות), התשע"ט-2019</t>
  </si>
  <si>
    <t xml:space="preserve"> (פ/32/21)</t>
  </si>
  <si>
    <t xml:space="preserve">הצעת חוק הביטוח הלאומי (תיקון - תשלום קצבת ילדים לאחר גיל 18 בעד ילד המשרת בשירות צבאי, לאומי או אזרחי), התשע"ט-2019</t>
  </si>
  <si>
    <t xml:space="preserve"> (פ/31/21)</t>
  </si>
  <si>
    <t xml:space="preserve">הצעת חוק הגנה על עובדים (חשיפת עבירות ופגיעה בטוהר המידות או במינהל התקין) (תיקון - הארכת תקופת ההתיישנות), התשע"ט-2019</t>
  </si>
  <si>
    <t xml:space="preserve"> (פ/30/21)</t>
  </si>
  <si>
    <t xml:space="preserve">הצעת חוק אחריות לעבודות שיפוצים, התשע"ט-2019</t>
  </si>
  <si>
    <t xml:space="preserve"> (פ/29/21)</t>
  </si>
  <si>
    <t xml:space="preserve">הצעת חוק לתיקון פקודת התעבורה (הגבלת תשלום בעד חניה במוסד רפואי), התשע"ט-2019</t>
  </si>
  <si>
    <t xml:space="preserve"> (פ/28/21)</t>
  </si>
  <si>
    <t xml:space="preserve">הצעת חוק לתיקון פקודת התעבורה (הוראות לעניין סככות המתנה בתחנות אוטובוס), התשע"ט-2019</t>
  </si>
  <si>
    <t xml:space="preserve"> (פ/27/21)</t>
  </si>
  <si>
    <t xml:space="preserve">הצעת חוק הביטוח הלאומי (תיקון - דמי אבטלה לעצמאים), התשע"ט-2019</t>
  </si>
  <si>
    <t xml:space="preserve"> (פ/26/21)</t>
  </si>
  <si>
    <t xml:space="preserve">הצעת חוק הביטוח הלאומי (תיקון - תגמול למשרתים במילואים), התשע"ט-2019</t>
  </si>
  <si>
    <t xml:space="preserve"> (פ/25/21)</t>
  </si>
  <si>
    <t xml:space="preserve">הצעת חוק זכויות הדייר בדיור הציבורי (תיקון - זכאות לאימהות יחידניות המקבלות מזונות ילדים), התשע"ט-2019</t>
  </si>
  <si>
    <t xml:space="preserve"> (פ/24/21)</t>
  </si>
  <si>
    <t xml:space="preserve"> (פ/23/21)</t>
  </si>
  <si>
    <t xml:space="preserve">הצעת חוק הביטוח הלאומי (תיקון - תשלום ריבית על גמלאות המשולמות באיחור), התשע"ט-2019</t>
  </si>
  <si>
    <t xml:space="preserve"> (פ/22/21)</t>
  </si>
  <si>
    <t xml:space="preserve">הצעת חוק הגנת הצרכן (תיקון - ביטול עסקה מתמשכת), התשע"ט-2019</t>
  </si>
  <si>
    <t xml:space="preserve"> (פ/21/21)</t>
  </si>
  <si>
    <t xml:space="preserve"> (פ/20/21)</t>
  </si>
  <si>
    <t xml:space="preserve"> (פ/19/21)</t>
  </si>
  <si>
    <t xml:space="preserve">הצעת חוק הסדרים במשק המדינה (תיקוני חקיקה להשגת יעדי התקציב) (תיקון - חישוב עליית מחירי הארנונה), התשע"ט-2019</t>
  </si>
  <si>
    <t xml:space="preserve"> (פ/18/21)</t>
  </si>
  <si>
    <t xml:space="preserve">הצעת חוק מיסוי מקרקעין (שבח ורכישה) (תיקון - ייצוג נישום על ידי רואה חשבון), התשע"ט-2019</t>
  </si>
  <si>
    <t xml:space="preserve"> (פ/17/21)</t>
  </si>
  <si>
    <t xml:space="preserve">הצעת חוק הביטוח הלאומי (תיקון - ביטוח שאירים לאלמן), התשע"ט-2019</t>
  </si>
  <si>
    <t xml:space="preserve"> (פ/16/21)</t>
  </si>
  <si>
    <t xml:space="preserve">הצעת חוק לתיקון פקודת התעבורה (הקמת מערך מידע וניתוח נתונים לשיפור התחבורה הציבורית), התשע"ט-2019</t>
  </si>
  <si>
    <t xml:space="preserve"> (פ/15/21)</t>
  </si>
  <si>
    <t xml:space="preserve">הצעת חוק הכניסה לישראל (תיקון - הסמכת מבקרים רשמיים לביקור במקום משמורת), התשע"ט-2019</t>
  </si>
  <si>
    <t xml:space="preserve"> (פ/14/21)</t>
  </si>
  <si>
    <t xml:space="preserve">הצעת חוק ביטוח בריאות ממלכתי (תיקון - שירותי בריאות לתלמיד), התשע"ט-2019</t>
  </si>
  <si>
    <t xml:space="preserve"> (פ/13/21)</t>
  </si>
  <si>
    <t xml:space="preserve">הצעת חוק עבודת נשים (תיקון - איסור פיטורים של עובד שהוא מפרנס יחיד ואשתו בהיריון), התשע"ט-2019</t>
  </si>
  <si>
    <t xml:space="preserve"> (פ/12/21)</t>
  </si>
  <si>
    <t xml:space="preserve">הצעת חוק הגבלת פעולות אנשי דת בלתי מורשים בצבא הגנה לישראל ובמשטרת ישראל, התשע"ט-2019</t>
  </si>
  <si>
    <t xml:space="preserve"> (פ/11/21)</t>
  </si>
  <si>
    <t xml:space="preserve">הצעת חוק הפעלת תחבורה ציבורית מצומצמת ביום המנוחה השבועי, התשע"ט-2019</t>
  </si>
  <si>
    <t xml:space="preserve"> (פ/10/21)</t>
  </si>
  <si>
    <t xml:space="preserve">הצעת חוק שלילת תקצוב מוסדות חינוך המפלים תלמידים ברישום אליהם (תיקוני חקיקה), התשע"ט-2019 </t>
  </si>
  <si>
    <t xml:space="preserve"> (פ/9/21)</t>
  </si>
  <si>
    <t xml:space="preserve">הצעת חוק לקידום שירותי הרפואה בעיר אילת (תיקוני חקיקה), התשע"ט-2019</t>
  </si>
  <si>
    <t xml:space="preserve"> (פ/8/21)</t>
  </si>
  <si>
    <t xml:space="preserve">הצעת חוק חובת תשלום בשוברים, התשע"ט-2019</t>
  </si>
  <si>
    <t xml:space="preserve"> (פ/7/21)</t>
  </si>
  <si>
    <t xml:space="preserve"> (פ/6/21)</t>
  </si>
  <si>
    <t xml:space="preserve">הצעת חוק זכויות החולה (תיקון - איסור הפליה בשל מקום מגורים), התשע"ט-2019</t>
  </si>
  <si>
    <t xml:space="preserve"> (פ/5/21)</t>
  </si>
  <si>
    <t xml:space="preserve">הצעת חוק רכש מערכת הביטחון ורכש גומלין ביטחוני, התשע"ט-2019</t>
  </si>
  <si>
    <t xml:space="preserve"> (פ/4/21)</t>
  </si>
  <si>
    <t xml:space="preserve">הצעת חוק הביטוח הלאומי (תיקון - הצמדת קצבת אזרח ותיק לשכר הממוצע במשק), התשע"ט-2019</t>
  </si>
  <si>
    <t xml:space="preserve"> (פ/3/21)</t>
  </si>
  <si>
    <t xml:space="preserve">הצעת חוק ביטוח בריאות ממלכתי (תיקון - שירותי בריאות נוספים לשוהים במוסדות לילדים ונוער בסיכון), התשע"ט-2019</t>
  </si>
  <si>
    <t xml:space="preserve"> (פ/2/21)</t>
  </si>
  <si>
    <t xml:space="preserve"> (פ/1/21)</t>
  </si>
  <si>
    <t xml:space="preserve">הצעת חוק זכויות הסטודנט (תיקון - הרחקת סטודנטים תומכי טרור ממוסד לימוד ופירוק תאים תומכי טרור), התשפ"ג-2023 - החלק שנותר</t>
  </si>
  <si>
    <t xml:space="preserve">החלק שפוצל- הצעת חוק הרשויות המקומיות (בחירות) (תיקון - הגבלת הזכות להיבחר), התשפ"ג-2022</t>
  </si>
  <si>
    <t xml:space="preserve">הצעת חוק שימוש בזרע של נפטר לשם הולדה, התשפ"ג-2022 - החלק שנותר</t>
  </si>
  <si>
    <t xml:space="preserve">הצעת חוק ביטוח בריאות ממלכתי (תיקון מס' ...) (הגדרת אמבולנס לעניין החזר דמי נסיעה), התשפ"ב–2023</t>
  </si>
  <si>
    <t xml:space="preserve">העדפה במתן שירותים ציבוריים מתוך הצעת חוק למתן הטבות למשרתים במילואים, התשפ"ה-2024</t>
  </si>
  <si>
    <t xml:space="preserve">קדימות בתור לחיילים ומשפחותיהם מתוך הצעת חוק למתן הטבות למשרתים במילואים, התשפ"ה-2024</t>
  </si>
  <si>
    <t xml:space="preserve">סבסוד מוסדות לימוד על-תיכוניים מתוך הצעת חוק למתן הטבות למשרתים במילואים, התשפ"ה-2024</t>
  </si>
  <si>
    <t xml:space="preserve">הקפאת תשלום משכנתה מתוך הצעת חוק למתן הטבות למשרתים במילואים, התשפ"ה-2024</t>
  </si>
  <si>
    <t xml:space="preserve">הגדרת זכאות והנפקת תעודת משרת מתוך הצעת חוק למתן הטבות למשרתים במילואים, התשפ"ה-2024</t>
  </si>
  <si>
    <t xml:space="preserve">משכורת ראשונה מוגדלת מתוך הצעת חוק למתן הטבות למשרתים במילואים, התשפ"ה-2024</t>
  </si>
  <si>
    <t xml:space="preserve">תשלום בעד ילד מתוך הצעת חוק למתן הטבות למשרתים במילואים, התשפ"ה-2024</t>
  </si>
  <si>
    <t xml:space="preserve">פרק כ"ג (השכרה ארוכת טווח) מתוך הצעת חוק התכנית הכלכלית (תיקוני חקיקה ליישום המדיניות הכלכלית לשנות התקציב 2023 ו-2024), התשפ"ג-2023</t>
  </si>
  <si>
    <t xml:space="preserve">פרק כ"ד (קידום תשתיות לאומיות), רק סעיפים 62(2), (5), (6), (8), (15) ו-(20) שבתוך סעיף 94, מתוך הצעת חוק התכנית הכלכלית (תיקוני חקיקה ליישום המדיניות הכלכלית לשנות התקציב 2023 ו-2024), התשפ"ג-2023 [פוצלה לפי סעיף 84(ב) לתקנון הכנסת]</t>
  </si>
  <si>
    <t xml:space="preserve">פרק כ"ד (קידום תשתיות לאומיות), רק סעיף 62(21) שבתוך סעיף 94, מתוך הצעת חוק התכנית הכלכלית לשנות התקציב 2023 ו-2024 [פוצלה לפי סעיף 84(ב) לתקנון הכנסת]</t>
  </si>
  <si>
    <t xml:space="preserve">פרק י"ט (בריאות), רק סעיף 76(3) (בעניין גודל חדר תרופות) מתוך הצעת חוק התכנית הכלכלית (תיקוני חקיקה ליישום המדיניות הכלכלית לשנות התקציב 2023 ו-2024), התשפ"ג-2023</t>
  </si>
  <si>
    <t xml:space="preserve">פרק ה' (ביטוח לאומי), סעיף 17 (בעניין מס הכנסה שלילי להורה עצמאי) מתוך הצעת חוק ההתייעלות הכלכלית (תיקוני חקיקה להשגת יעדי התקציב לשנות התקציב 2023 ו-2024), התשפ"ג-2023</t>
  </si>
  <si>
    <t xml:space="preserve">פרק כ' (רשויות מקומיות), סעיף 80 (שינוי שיטת המדידה) מתוך הצעת חוק התכנית הכלכלית (תיקוני חקיקה ליישום המדיניות הכלכלית לשנות התקציב 2023 ו-2024), התשפ"ג-2023</t>
  </si>
  <si>
    <t xml:space="preserve">פרק כ' (רשויות מקומיות), סעיפים 81-84 (נכס הרוס) מתוך הצעת חוק התכנית הכלכלית (תיקוני חקיקה ליישום המדיניות הכלכלית לשנות התקציב 2023 ו-2024), התשפ"ג-2023</t>
  </si>
  <si>
    <t xml:space="preserve">פרק ד' (מיסוי בשוק הדיור), סעיפים 11(3), 12(ב), 12(ג) ו-13 (התחדשות עירונית) מתוך הצעת חוק ההתייעלות הכלכלית (תיקוני חקיקה להשגת יעדי התקציב לשנות התקציב 2023 ו-2024), התשפ"ג-2023</t>
  </si>
  <si>
    <t xml:space="preserve">פרק י"ז (שמירה על מקרקעי ישראל), למעט סעיפים 66(1), 66(2) ו-67(ב) (בעניין שמירה על מקרקעי ישראל) וסעיף 69 (בעניין טיפול בפלישה למקרקעי ישראל) מתוך הצעת חוק התכנית הכלכלית (תיקוני חקיקה ליישום המדיניות הכלכלית לשנות התקציב 2023 ו-2024), התשפ"ג-2023</t>
  </si>
  <si>
    <t xml:space="preserve">סעיף 2(1) (סמכות לדון בשינוי ייעוד) מתוך הצעת חוק התוכנית הכלכלית (תיקוני חקיקה ליישום המדיניות הכלכלית לשנת התקציב 2026), התשפ"ו-2026 [פוצלה לפי סעיף 84(ב) לתקנון]</t>
  </si>
  <si>
    <t xml:space="preserve">פרק י"ט (בריאות), סעיף 77 (חוק ביטוח בריאות ממלכתי) מתוך הצעת חוק התכנית הכלכלית (תיקוני חקיקה ליישום המדיניות הכלכלית לשנות התקציב 2023 ו-2024), התשפ"ג-2023 [פוצלה לפי סעיף 84(ב) לתקנון]</t>
  </si>
  <si>
    <t xml:space="preserve">פרק ט' (מסים), רק סעיפים 41-40 מתוך הצעת חוק ההתייעלות הכלכלית (תיקוני חקיקה להשגת יעדי התקציב לשנות התקציב 2023 ו-2024), התשפ"ג-2023 [פוצלה לפי סעיף 84(ב) לתקנון]</t>
  </si>
  <si>
    <t xml:space="preserve">פרק כ"א (חקלאות), רק סעיף 85 (חוק מועצת הצמחים) מתוך הצעת חוק התכנית הכלכלית (תיקוני חקיקה ליישום המדיניות הכלכלית לשנות התקציב 2023 ו-2024), התשפ"ג-2023 [פוצלה לפי סעיף 84(ב) לתקנון]</t>
  </si>
  <si>
    <t xml:space="preserve">פרק י' (תדרי רדיו) מתוך הצעת חוק התכנית הכלכלית (תיקוני חקיקה ליישום המדיניות הכלכלית לשנות התקציב 2023 ו-2024), התשפ"ג-2023 [פוצלה לפי סעיף 84(ב) לתקנון]</t>
  </si>
  <si>
    <t xml:space="preserve">פרק י"ב (אנרגיה), רק סעיף 51 (חוק אוויר נקי) מתוך הצעת חוק התכנית הכלכלית (תיקוני חקיקה ליישום המדיניות הכלכלית לשנות התקציב 2023 ו-2024), התשפ"ג-2023 [פוצלה לפי סעיף 84(ב) לתקנון]</t>
  </si>
  <si>
    <t xml:space="preserve">פרק ב' (מקרקעי הקרן הקיימת לישראל – היטל מימון פיתוח) מתוך הצעת חוק ההתייעלות הכלכלית (תיקוני חקיקה להשגת יעדי התקציב לשנות התקציב 2023 ו-2024), התשפ"ג-2023</t>
  </si>
  <si>
    <t xml:space="preserve">הצעת חוק המאבק בטרור (תיקון מס' 9 והוראת שעה) (צריכת פרסומי טרור), התשפ"ד-2023 (פיצול תיקים בין פרקליטות לתביעה משטרתית)</t>
  </si>
  <si>
    <t xml:space="preserve">סעיפים 9(12), 10, 12 (ארנונה לנכס הרוס) מתוך הצעת חוק התוכנית הכלכלית (תיקוני חקיקה ליישום המדיניות הכלכלית לשנת התקציב 2025), התשפ"ה-2024 [פוצל לפי סעיף 84(ב) לתקנון] </t>
  </si>
  <si>
    <t xml:space="preserve">סעיף 15 (שינוי שיטת המדידה בארנונה) מתוך הצעת חוק התוכנית הכלכלית (תיקוני חקיקה ליישום המדיניות הכלכלית לשנת התקציב 2025), התשפ"ה-2024 [פוצל לפי סעיף 84(ב) לתקנון] </t>
  </si>
  <si>
    <t xml:space="preserve">הצעת חוק חדלות פירעון ושיקום כלכלי (תיקון מס' 4 – הוראת שעה) (נגיף הקורונה החדש) (עיכוב הליכים לשם גיבוש ואישור הסדר חוב), התשפ"א-2021 - החלק הנותר</t>
  </si>
  <si>
    <t xml:space="preserve">סעיף 20 - סעיף 15 המוצע בו (אגרת מיון פסיכיאטרי) מתוך הצעת חוק ההתייעלות הכלכלית (תיקוני חקיקה להשגת יעדי התקציב לשנת התקציב 2025), התשפ"ה-2024 [פוצל לפי סעיף 84(ב) לתקנון] </t>
  </si>
  <si>
    <t xml:space="preserve">פרק א' (מטרת החוק) מתוך הצעת חוק ההתייעלות הכלכלית (תיקוני חקיקה להשגת יעדי התקציב לשנת התקציב 2025), התשפ"ה-2024 </t>
  </si>
  <si>
    <t xml:space="preserve">פרק ט' (תחילה) מתוך הצעת חוק ההתייעלות הכלכלית (תיקוני חקיקה להשגת יעדי התקציב לשנת התקציב 2025), התשפ"ה-2024 </t>
  </si>
  <si>
    <t xml:space="preserve">סעיף 15 (ביטול איחוד עוסקים) מתוך הצעת חוק ההתייעלות הכלכלית (תיקוני חקיקה להשגת יעדי התקציב לשנת התקציב 2025), התשפ"ה-2024 [פוצל לפי סעיף 84(ב) לתקנון]</t>
  </si>
  <si>
    <t xml:space="preserve">הצעת חוק שיפוט בתי דין רבניים (נישואין וגירושין) (תיקון מס' 6) (סמכות כריכת מזונות ילדים), התשפ"ה-2025 (החלק שנותר מהפיצול)</t>
  </si>
  <si>
    <t xml:space="preserve">הצעת חוק שיקום נזקי מלחמה בדרך של התחדשות עירונית, התשפ"ו-2025 - החלק שנותר מהפיצול</t>
  </si>
  <si>
    <t xml:space="preserve">הצעת חוק לתיקון ולהארכת תוקפן של תקנות שעת חירום (חרבות ברזל) (הארכת מעצר לחשוד בעבירת ביטחון), התשפ"ד-2024 - החלק הנותר</t>
  </si>
  <si>
    <t xml:space="preserve">החלק שפוצל - הצעת חוק הגנת הסביבה (ייעול הליכי רישוי סביבתי) (תיקוני חקיקה), התשפ"ד-2024</t>
  </si>
  <si>
    <t xml:space="preserve">סעיף 17(1) (סמכות רישוי תשתיות לאומיות) מתוך הצעת חוק התוכנית הכלכלית (תיקוני חקיקה ליישום המדיניות הכלכלית לשנת התקציב 2026), התשפ"ו-2026 [פוצלה לפי סעיף 84(ב) לתקנון]</t>
  </si>
  <si>
    <t xml:space="preserve">סעיפים 18, 19, 20 (אזור חלוקת ארנונה כללית – תשתיות לאומיות מיוחדות) מתוך הצעת חוק התוכנית הכלכלית (תיקוני חקיקה ליישום המדיניות הכלכלית לשנת התקציב 2026), התשפ"ו-2026 [פוצלה לפי סעיף 84(ב) לתקנון]</t>
  </si>
  <si>
    <t xml:space="preserve">סעיף 21 (חוק לקידום תשתיות לאומיות) מתוך הצעת חוק התוכנית הכלכלית (תיקוני חקיקה ליישום המדיניות הכלכלית לשנת התקציב 2026), התשפ"ו-2026 [פוצלה לפי סעיף 84(ב) לתקנון]</t>
  </si>
  <si>
    <t xml:space="preserve">סעיף 2(2) (מותב ועדת ערר לפיצויים) מתוך הצעת חוק התוכנית הכלכלית (תיקוני חקיקה ליישום המדיניות הכלכלית לשנת התקציב 2026), התשפ"ו-2026 [פוצלה לפי סעיף 84(ב) לתקנון]</t>
  </si>
  <si>
    <t xml:space="preserve">סעיף 2(3), (4), (5) (הסמכת המועצה הארצית להגביל היתרים) מתוך הצעת חוק התוכנית הכלכלית (תיקוני חקיקה ליישום המדיניות הכלכלית לשנת התקציב 2026), התשפ"ו-2026 [פוצלה לפי סעיף 84(ב) לתקנון] </t>
  </si>
  <si>
    <t xml:space="preserve">סעיפים 2(6), (7), (8), (9), 3 (איחוד וחלוקה בהסכמה בסמכות רשות הרישוי) מתוך הצעת חוק התוכנית הכלכלית (תיקוני חקיקה ליישום המדיניות הכלכלית לשנת התקציב 2026), התשפ"ו-2026 [פוצלה לפי סעיף 84(ב) לתקנון]</t>
  </si>
  <si>
    <t xml:space="preserve">סעיף 2(10) (הרחבת מסלול רישוי מהיר) מתוך הצעת חוק התוכנית הכלכלית (תיקוני חקיקה ליישום המדיניות הכלכלית לשנת התקציב 2026), התשפ"ו-2026 [פוצלה לפי סעיף 84(ב) לתקנון]</t>
  </si>
  <si>
    <t xml:space="preserve">סעיף 2(14) (הרחבת הפרטת הליך הרישוי) מתוך הצעת חוק התוכנית הכלכלית (תיקוני חקיקה ליישום המדיניות הכלכלית לשנת התקציב 2026), התשפ"ו-2026 [פוצלה לפי סעיף 84(ב) לתקנון]</t>
  </si>
  <si>
    <t xml:space="preserve">סעיף 2(16)(ב) (סעיף 13 לתוספת השנייה לחוק התכנון והבנייה) מתוך הצעת חוק התוכנית הכלכלית (תיקוני חקיקה ליישום המדיניות הכלכלית לשנת התקציב 2026), התשפ"ו-2026 [פוצלה לפי סעיף 84(ב) לתקנון]</t>
  </si>
  <si>
    <t xml:space="preserve">סעיף 4 (חוק לקידום הבנייה במתחמים מועדפים) מתוך הצעת חוק התוכנית הכלכלית (תיקוני חקיקה ליישום המדיניות הכלכלית לשנת התקציב 2026), התשפ"ו-2026 [פוצלה לפי סעיף 84(ב) לתקנון]</t>
  </si>
  <si>
    <t xml:space="preserve">סעיפים 12, 13(1) (חוק גנים לאומיים) מתוך הצעת חוק התוכנית הכלכלית (תיקוני חקיקה ליישום המדיניות הכלכלית לשנת התקציב 2026), התשפ"ו-2026 [פוצלה לפי סעיף 84(ב) לתקנון]</t>
  </si>
  <si>
    <t xml:space="preserve">סעיפים 14, 17(4), (5) (חוק אויר נקי) מתוך הצעת חוק התוכנית הכלכלית (תיקוני חקיקה ליישום המדיניות הכלכלית לשנת התקציב 2026), התשפ"ו-2026 [פוצלה לפי סעיף 84(ב) לתקנון]</t>
  </si>
  <si>
    <t xml:space="preserve">פרק ד' (מסים) (מע"מ בשירות דיגיטלי) מתוך הצעת חוק ההתייעלות הכלכלית (תיקוני חקיקה להשגת יעדי התקציב לשנות התקציב 2021 ו-2022), התשפ"א-2021 [פוצלה לפי סעיף 84(ב) לתקנון הכנסת]</t>
  </si>
  <si>
    <t xml:space="preserve">פרק ח' (מיסוי שותפויות וקרנות השקעה) מתוך הצעת חוק ההתייעלות הכלכלית (תיקוני חקיקה להשגת יעדי התקציב לשנות התקציב 2021 ו-2022), התשפ"א-2021 [פוצלה לפי סעיף 84(ב) לתקנון הכנסת]</t>
  </si>
  <si>
    <t xml:space="preserve">הצעת חוק לתיקון פקודת בריאות העם (נגיף הקורונה החדש - הוראות שונות) (הוראת שעה), התש"ף-2020 - החלק שנותר</t>
  </si>
  <si>
    <t xml:space="preserve">הצעת חוק משכן הכנסת, רחבתו ומשמר הכנסת (תיקון - סמכות קצין הכנסת לאבטח משלחת זרה), התשפ"ד-2024</t>
  </si>
  <si>
    <t xml:space="preserve">סעיפים 5-4 (קרנות השקעה) מתוך הצעת חוק ההתייעלות הכלכלית (תיקוני חקיקה להשגת יעדי התקציב לשנת התקציב 2025), התשפ"ה-2024 [פוצל לפי סעיף 84(ב) לתקנון]</t>
  </si>
  <si>
    <t xml:space="preserve">פרק ו' (שירות התעסוקה) מתוך הצעת חוק התוכנית הכלכלית (תיקוני חקיקה ליישום המדיניות הכלכלית לשנת התקציב 2025), התשפ"ה-2024 [פוצל לפי סעיף 84(ב) לתקנון]</t>
  </si>
  <si>
    <t xml:space="preserve">פרק א' (מטרת החוק) מתוך הצעת חוק התוכנית הכלכלית (תיקוני חקיקה ליישום המדיניות הכלכלית לשנת התקציב 2025), התשפ"ה-2024 </t>
  </si>
  <si>
    <t xml:space="preserve">פרק י' (תחילה) מתוך הצעת חוק התוכנית הכלכלית (תיקוני חקיקה ליישום המדיניות הכלכלית לשנת התקציב 2025), התשפ"ה-2024 </t>
  </si>
  <si>
    <t xml:space="preserve">סעיף 3 (חוק חתימה אלקטרונית) מתוך הצעת חוק התוכנית הכלכלית (תיקוני חקיקה ליישום המדיניות הכלכלית לשנת התקציב 2025), התשפ"ה-2024 [פוצל לפי סעיף 84(ב) לתקנון]</t>
  </si>
  <si>
    <t xml:space="preserve">פרק ז' (תחילה) מתוך הצעת חוק התוכנית המאזנת (תיקוני חקיקה להשגת יעדי התקציב לשנת התקציב 2024), התשפ"ד-2024 [פוצלה לפי סעיף 84(ב) לתקנון]</t>
  </si>
  <si>
    <t xml:space="preserve">הצעת חוק לתיקון פקודת בתי הסוהר (מס' 55 והוראות שעה), התשפ"א-2021</t>
  </si>
  <si>
    <t xml:space="preserve">פרק י"ט (אסדרה) סעיפים 21, 28 ו-30 המוצעים בסעיף 92 להצעת החוק, מתוך הצעת חוק התכנית הכלכלית (תיקוני חקיקה ליישום המדיניות הכלכלית לשנות התקציב 2021 ו-2022), התשפ"א-2021 [פוצלה לפי סעיף 84(ב) לתקנון הכנסת]</t>
  </si>
  <si>
    <t xml:space="preserve">הצעת חוק חסינות חברי הכנסת, זכויותיהם וחובותיהם (אבטחת חברי הכנסת), התשפ"ד-2023</t>
  </si>
  <si>
    <t xml:space="preserve">סעיף 6(2) (ועדת תמרור למיזמי תשתית) מתוך הצעת חוק התוכנית הכלכלית (תיקוני חקיקה ליישום המדיניות הכלכלית לשנת התקציב 2026), התשפ"ו-2026[פוצלה לפי סעיף 84(ב) לתקנון]</t>
  </si>
  <si>
    <t xml:space="preserve">סעיף 8 (שימוש ארעי במגרשים ריקים) מתוך הצעת חוק התוכנית הכלכלית (תיקוני חקיקה ליישום המדיניות הכלכלית לשנת התקציב 2026), התשפ"ו-2026 [פוצלה לפי סעיף 84(ב) לתקנון]</t>
  </si>
  <si>
    <t xml:space="preserve">פרק י"ט (שונות), סעיף 100 (חוק משק החשמל) מתוך הצעת חוק התוכנית הכלכלית (תיקוני חקיקה ליישום המדיניות הכלכלית לשנת התקציב 2026), התשפ"ו-2026[פוצלה לפי סעיף 84(ב) לתקנון]</t>
  </si>
  <si>
    <t xml:space="preserve">פרק ט"ו (שיפור השירות לאזרח באמצעים דיגיטליים), סימן א' (תקשורת דיגיטלית עם גופים ציבוריים) מתוך הצעת חוק התוכנית הכלכלית (תיקוני חקיקה ליישום המדיניות הכלכלית לשנת התקציב 2026), התשפ"ו-2026 [פוצלה לפי סעיף 84(ב) לתקנון]</t>
  </si>
  <si>
    <t xml:space="preserve">פרק ט"ו (שיפור השירות לאזרח באמצעים דיגיטליים),סימן ב' (דרכים חלופיות לנטילת אמצעי זיהוי ביומטריים והפקת נתוני זיהוי ביומטריים) מתוך הצ"ח התוכנית הכלכלית (תיקוני חקיקה ליישום המדיניות הכלכלית לשנת התקציב 2026),התשפ"ו-2026[פוצלה לפי סעיף 84(ב) לתקנון]</t>
  </si>
  <si>
    <t xml:space="preserve">פרק ג' (צמצום ההון השחור), סימן א' (חובת דיווח של זירות מקוונות) מתוך הצעת חוק ההתייעלות הכלכלית (תיקוני חקיקה להשגת יעדי התקציב לשנת התקציב 2026), התשפ"ו-2026 [פוצלה לפי סעיף 84(ב) לתקנון]</t>
  </si>
  <si>
    <t xml:space="preserve">הצעת חוק התקשורת (שידורים), התשפ"ו-2025 - החלק שנותר</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</si>
</sst>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3" x14ac:knownFonts="1">
    <font>
      <sz val="11"/>
      <color theme="1"/>
      <name val="Calibri"/>
      <family val="2"/>
      <scheme val="minor"/>
    </font>
    <font>
      <sz val="11"/>
      <color rgb="FFFFFFFF"/>
      <name val="Calibri"/>
      <family val="2"/>
      <scheme val="minor"/>
    </font>
    <font>
      <u/>
      <sz val="11"/>
      <color rgb="FF0000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fontId="2" applyFon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N16414"/>
  <sheetViews>
    <sheetView rightToLeft="1" tabSelected="1" workbookViewId="0">
      <pane state="frozen" ySplit="1" topLeftCell="A2"/>
    </sheetView>
  </sheetViews>
  <sheetFormatPr x14ac:dyDescent="0.25" customHeight="1" defaultRowHeight="15"/>
  <cols>
    <col min="1" max="1" customWidth="1" width="9.9296875"/>
    <col min="2" max="2" customWidth="1" width="21.358258928571427"/>
    <col min="3" max="3" customWidth="1" width="17.072544642857142"/>
    <col min="4" max="4" customWidth="1" width="64.21540178571429"/>
    <col min="5" max="5" customWidth="1" width="64.21540178571429"/>
    <col min="6" max="6" customWidth="1" width="21.358258928571427"/>
    <col min="7" max="7" customWidth="1" width="21.358258928571427"/>
    <col min="8" max="8" customWidth="1" width="21.358258928571427"/>
    <col min="9" max="9" customWidth="1" width="35.643973214285715"/>
    <col min="10" max="10" customWidth="1" width="28.501116071428573"/>
    <col min="11" max="11" customWidth="1" width="21.358258928571427"/>
    <col min="12" max="12" customWidth="1" width="21.358258928571427"/>
    <col min="13" max="13" customWidth="1" width="14.215401785714286"/>
    <col min="14" max="14" customWidth="1" width="142.78683035714286"/>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x14ac:dyDescent="0.25">
      <c r="A2" t="n">
        <v>25</v>
      </c>
      <c r="B2" t="s">
        <v>14</v>
      </c>
      <c r="C2" t="s">
        <v>15</v>
      </c>
      <c r="D2" s="2" t="s">
        <f>=HYPERLINK("https://main.knesset.gov.il/APPS/legislation/main/bills/1046300", "הצעת חוק התקנים (תיקון מס' 21) (אימוץ הוראות מחייבות החלות בארצות הברית), התשפ""ו-2026")</f>
        <v>16</v>
      </c>
      <c r="E2" t="s">
        <v>16</v>
      </c>
      <c r="F2" t="s">
        <v>14</v>
      </c>
      <c r="G2" t="s">
        <v>17</v>
      </c>
      <c r="H2">
             </c>
      <c r="I2" t="s">
        <v>14</v>
      </c>
      <c r="J2" t="s">
        <v>18</v>
      </c>
      <c r="K2" t="s">
        <v>19</v>
      </c>
      <c r="L2" t="s">
        <v>20</v>
      </c>
      <c r="M2" t="s">
        <v>21</v>
      </c>
      <c r="N2" t="s">
        <v>14</v>
      </c>
    </row>
    <row r="3" x14ac:dyDescent="0.25">
      <c r="A3" t="n">
        <v>25</v>
      </c>
      <c r="B3" t="s">
        <v>14</v>
      </c>
      <c r="C3" t="s">
        <v>22</v>
      </c>
      <c r="D3" s="2" t="s">
        <f>=HYPERLINK("https://main.knesset.gov.il/APPS/legislation/main/bills/2197909", "הצעת חוק היועץ המשפטי לממשלה והתובע הכללי (מינוי, כהונה, תפקידים וסמכויות), התשפ""ו–2026")</f>
        <v>23</v>
      </c>
      <c r="E3" t="s">
        <v>23</v>
      </c>
      <c r="F3" t="s">
        <v>24</v>
      </c>
      <c r="G3" t="s">
        <v>25</v>
      </c>
      <c r="H3">
             </c>
      <c r="I3" t="s">
        <v>26</v>
      </c>
      <c r="J3" t="s">
        <v>18</v>
      </c>
      <c r="K3" t="s">
        <v>27</v>
      </c>
      <c r="L3" t="s">
        <v>20</v>
      </c>
      <c r="M3" t="s">
        <v>21</v>
      </c>
      <c r="N3" t="s">
        <v>14</v>
      </c>
    </row>
    <row r="4" x14ac:dyDescent="0.25">
      <c r="A4" t="n">
        <v>25</v>
      </c>
      <c r="B4" t="s">
        <v>14</v>
      </c>
      <c r="C4" t="s">
        <v>20</v>
      </c>
      <c r="D4" s="2" t="s">
        <f>=HYPERLINK("https://main.knesset.gov.il/APPS/legislation/main/bills/2243217", "הצעת חוק-יסוד: סמכות חקירה והעמדה לדין (תיקוני חקיקה)")</f>
        <v>28</v>
      </c>
      <c r="E4" t="s">
        <v>28</v>
      </c>
      <c r="F4" t="s">
        <v>14</v>
      </c>
      <c r="G4" t="s">
        <v>25</v>
      </c>
      <c r="H4">
             </c>
      <c r="I4" t="s">
        <v>14</v>
      </c>
      <c r="J4" t="s">
        <v>18</v>
      </c>
      <c r="K4" t="s">
        <v>27</v>
      </c>
      <c r="L4" t="s">
        <v>20</v>
      </c>
      <c r="M4" t="s">
        <v>21</v>
      </c>
      <c r="N4" t="s">
        <v>14</v>
      </c>
    </row>
    <row r="5" x14ac:dyDescent="0.25">
      <c r="A5" t="n">
        <v>25</v>
      </c>
      <c r="B5" t="s">
        <v>14</v>
      </c>
      <c r="C5" t="s">
        <v>22</v>
      </c>
      <c r="D5" s="2" t="s">
        <f>=HYPERLINK("https://main.knesset.gov.il/APPS/legislation/main/bills/2233112", "הצעת חוק זכויות נפגעי עבירה (תיקון - העברת ערכות דגימה), התשפ""ה-2025")</f>
        <v>29</v>
      </c>
      <c r="E5" t="s">
        <v>29</v>
      </c>
      <c r="F5" t="s">
        <v>30</v>
      </c>
      <c r="G5" t="s">
        <v>14</v>
      </c>
      <c r="H5">
             </c>
      <c r="I5" t="s">
        <v>14</v>
      </c>
      <c r="J5" t="s">
        <v>31</v>
      </c>
      <c r="K5" t="s">
        <v>27</v>
      </c>
      <c r="L5" t="s">
        <v>20</v>
      </c>
      <c r="M5" t="s">
        <v>21</v>
      </c>
      <c r="N5" t="s">
        <v>14</v>
      </c>
    </row>
    <row r="6" x14ac:dyDescent="0.25">
      <c r="A6" t="n">
        <v>25</v>
      </c>
      <c r="B6" t="s">
        <v>14</v>
      </c>
      <c r="C6" t="s">
        <v>15</v>
      </c>
      <c r="D6" s="2" t="s">
        <f>=HYPERLINK("https://main.knesset.gov.il/APPS/legislation/main/bills/1046320", "הצעת חוק הנצחה לאירועי השבעה באוקטובר - שמיני עצרת, התשפ""ו-2025")</f>
        <v>32</v>
      </c>
      <c r="E6" t="s">
        <v>32</v>
      </c>
      <c r="F6" t="s">
        <v>14</v>
      </c>
      <c r="G6" t="s">
        <v>33</v>
      </c>
      <c r="H6">
             </c>
      <c r="I6" t="s">
        <v>26</v>
      </c>
      <c r="J6" t="s">
        <v>18</v>
      </c>
      <c r="K6" t="s">
        <v>34</v>
      </c>
      <c r="L6" t="s">
        <v>20</v>
      </c>
      <c r="M6" t="s">
        <v>21</v>
      </c>
      <c r="N6" t="s">
        <v>14</v>
      </c>
    </row>
    <row r="7" x14ac:dyDescent="0.25">
      <c r="A7" t="n">
        <v>25</v>
      </c>
      <c r="B7" t="s">
        <v>14</v>
      </c>
      <c r="C7" t="s">
        <v>15</v>
      </c>
      <c r="D7" s="2" t="s">
        <f>=HYPERLINK("https://main.knesset.gov.il/APPS/legislation/main/bills/1042100", "הצעת חוק התקשורת (שידורים), התשפ""ו-2025")</f>
        <v>35</v>
      </c>
      <c r="E7" t="s">
        <v>35</v>
      </c>
      <c r="F7" t="s">
        <v>14</v>
      </c>
      <c r="G7" t="s">
        <v>36</v>
      </c>
      <c r="H7">
             </c>
      <c r="I7" t="s">
        <v>14</v>
      </c>
      <c r="J7" t="s">
        <v>18</v>
      </c>
      <c r="K7" t="s">
        <v>37</v>
      </c>
      <c r="L7" t="s">
        <v>20</v>
      </c>
      <c r="M7" t="s">
        <v>21</v>
      </c>
      <c r="N7" t="s">
        <v>14</v>
      </c>
    </row>
    <row r="8" x14ac:dyDescent="0.25">
      <c r="A8" t="n">
        <v>25</v>
      </c>
      <c r="B8" t="s">
        <v>14</v>
      </c>
      <c r="C8" t="s">
        <v>22</v>
      </c>
      <c r="D8" s="2" t="s">
        <f>=HYPERLINK("https://main.knesset.gov.il/APPS/legislation/main/bills/2237751", "הצעת חוק יום לציון מורשת יהדות מרוקו, לעליית יהודי מרוקו לישראל ולהנצחת זכרם של הנספים בדרך לישראל, התשפ""ו–2026")</f>
        <v>38</v>
      </c>
      <c r="E8" t="s">
        <v>38</v>
      </c>
      <c r="F8" t="s">
        <v>39</v>
      </c>
      <c r="G8" t="s">
        <v>40</v>
      </c>
      <c r="H8">
             </c>
      <c r="I8" t="s">
        <v>26</v>
      </c>
      <c r="J8" t="s">
        <v>41</v>
      </c>
      <c r="K8" t="s">
        <v>34</v>
      </c>
      <c r="L8" t="s">
        <v>20</v>
      </c>
      <c r="M8" t="s">
        <v>21</v>
      </c>
      <c r="N8" t="s">
        <v>14</v>
      </c>
    </row>
    <row r="9" x14ac:dyDescent="0.25">
      <c r="A9" t="n">
        <v>25</v>
      </c>
      <c r="B9" t="s">
        <v>14</v>
      </c>
      <c r="C9" t="s">
        <v>15</v>
      </c>
      <c r="D9" s="2" t="s">
        <f>=HYPERLINK("https://main.knesset.gov.il/APPS/legislation/main/bills/2227218", "פרק ח' (רשויות תחבורה ציבורית (רשויות מטרופוליניות ורשות ארצית)) מתוך הצעת חוק התוכנית הכלכלית (תיקוני חקיקה ליישום המדיניות הכלכלית לשנת התקציב 2025), התשפ""ה-2024 [פוצל לפי סעיף 84(ב) לתקנון] ")</f>
        <v>42</v>
      </c>
      <c r="E9" t="s">
        <v>42</v>
      </c>
      <c r="F9" t="s">
        <v>14</v>
      </c>
      <c r="G9" t="s">
        <v>43</v>
      </c>
      <c r="H9">
             </c>
      <c r="I9" t="s">
        <v>14</v>
      </c>
      <c r="J9" t="s">
        <v>18</v>
      </c>
      <c r="K9" t="s">
        <v>19</v>
      </c>
      <c r="L9" t="s">
        <v>20</v>
      </c>
      <c r="M9" t="s">
        <v>21</v>
      </c>
      <c r="N9" t="s">
        <v>14</v>
      </c>
    </row>
    <row r="10" x14ac:dyDescent="0.25">
      <c r="A10" t="n">
        <v>25</v>
      </c>
      <c r="B10" t="s">
        <v>14</v>
      </c>
      <c r="C10" t="s">
        <v>22</v>
      </c>
      <c r="D10" s="2" t="s">
        <f>=HYPERLINK("https://main.knesset.gov.il/APPS/legislation/main/bills/2202921", "הצעת חוק בינוי ופינוי של אזורי שיקום (כפר שלם), התשפ""ג-2023")</f>
        <v>44</v>
      </c>
      <c r="E10" t="s">
        <v>44</v>
      </c>
      <c r="F10" t="s">
        <v>45</v>
      </c>
      <c r="G10" t="s">
        <v>14</v>
      </c>
      <c r="H10">
             </c>
      <c r="I10" t="s">
        <v>14</v>
      </c>
      <c r="J10" t="s">
        <v>31</v>
      </c>
      <c r="K10" t="s">
        <v>46</v>
      </c>
      <c r="L10" t="s">
        <v>20</v>
      </c>
      <c r="M10" t="s">
        <v>47</v>
      </c>
      <c r="N10" t="s">
        <v>14</v>
      </c>
    </row>
    <row r="11" x14ac:dyDescent="0.25">
      <c r="A11" t="n">
        <v>25</v>
      </c>
      <c r="B11" t="s">
        <v>14</v>
      </c>
      <c r="C11" t="s">
        <v>15</v>
      </c>
      <c r="D11" s="2" t="s">
        <f>=HYPERLINK("https://main.knesset.gov.il/APPS/legislation/main/bills/2240506", "פרק י""ג (ייעול וקידום התחרות במשק הדלק) מתוך הצעת חוק התוכנית הכלכלית (תיקוני חקיקה ליישום המדיניות הכלכלית לשנת התקציב 2026), התשפ""ו-2026 [פוצלה לפי סעיף 84(ב) לתקנון]")</f>
        <v>48</v>
      </c>
      <c r="E11" t="s">
        <v>48</v>
      </c>
      <c r="F11" t="s">
        <v>14</v>
      </c>
      <c r="G11" t="s">
        <v>49</v>
      </c>
      <c r="H11">
             </c>
      <c r="I11" t="s">
        <v>14</v>
      </c>
      <c r="J11" t="s">
        <v>50</v>
      </c>
      <c r="K11" t="s">
        <v>19</v>
      </c>
      <c r="L11" t="s">
        <v>20</v>
      </c>
      <c r="M11" t="s">
        <v>47</v>
      </c>
      <c r="N11" t="s">
        <v>14</v>
      </c>
    </row>
    <row r="12" x14ac:dyDescent="0.25">
      <c r="A12" t="n">
        <v>25</v>
      </c>
      <c r="B12" t="s">
        <v>14</v>
      </c>
      <c r="C12" t="s">
        <v>22</v>
      </c>
      <c r="D12" s="2" t="s">
        <f>=HYPERLINK("https://main.knesset.gov.il/APPS/legislation/main/bills/2242922", "הצעת חוק בתי המשפט (תיקון - חוות דעת פסיכיאטר לעניין איסור פרסומים), התשפ""ו-2026")</f>
        <v>51</v>
      </c>
      <c r="E12" t="s">
        <v>51</v>
      </c>
      <c r="F12" t="s">
        <v>52</v>
      </c>
      <c r="G12" t="s">
        <v>14</v>
      </c>
      <c r="H12">
             </c>
      <c r="I12" t="s">
        <v>14</v>
      </c>
      <c r="J12" t="s">
        <v>31</v>
      </c>
      <c r="K12" t="s">
        <v>27</v>
      </c>
      <c r="L12" t="s">
        <v>20</v>
      </c>
      <c r="M12" t="s">
        <v>47</v>
      </c>
      <c r="N12" t="s">
        <v>14</v>
      </c>
    </row>
    <row r="13" x14ac:dyDescent="0.25">
      <c r="A13" t="n">
        <v>25</v>
      </c>
      <c r="B13" t="s">
        <v>14</v>
      </c>
      <c r="C13" t="s">
        <v>22</v>
      </c>
      <c r="D13" s="2" t="s">
        <f>=HYPERLINK("https://main.knesset.gov.il/APPS/legislation/main/bills/2240689", "הצעת חוק לימוד חובה (תיקון - חובת דיווח על אירועי אלימות על רקע גזעני), התשפ""ו-2026")</f>
        <v>53</v>
      </c>
      <c r="E13" t="s">
        <v>53</v>
      </c>
      <c r="F13" t="s">
        <v>54</v>
      </c>
      <c r="G13" t="s">
        <v>14</v>
      </c>
      <c r="H13">
             </c>
      <c r="I13" t="s">
        <v>14</v>
      </c>
      <c r="J13" t="s">
        <v>55</v>
      </c>
      <c r="K13" t="s">
        <v>14</v>
      </c>
      <c r="L13" t="s">
        <v>20</v>
      </c>
      <c r="M13" t="s">
        <v>47</v>
      </c>
      <c r="N13" t="s">
        <v>14</v>
      </c>
    </row>
    <row r="14" x14ac:dyDescent="0.25">
      <c r="A14" t="n">
        <v>25</v>
      </c>
      <c r="B14" t="s">
        <v>14</v>
      </c>
      <c r="C14" t="s">
        <v>22</v>
      </c>
      <c r="D14" s="2" t="s">
        <f>=HYPERLINK("https://main.knesset.gov.il/APPS/legislation/main/bills/2239526", "הצעת חוק שירות המדינה (מינויים) (תיקון - מינויים בכירים בשירות המדינה), התשפ""ו-2026")</f>
        <v>56</v>
      </c>
      <c r="E14" t="s">
        <v>56</v>
      </c>
      <c r="F14" t="s">
        <v>57</v>
      </c>
      <c r="G14" t="s">
        <v>14</v>
      </c>
      <c r="H14">
             </c>
      <c r="I14" t="s">
        <v>14</v>
      </c>
      <c r="J14" t="s">
        <v>31</v>
      </c>
      <c r="K14" t="s">
        <v>27</v>
      </c>
      <c r="L14" t="s">
        <v>20</v>
      </c>
      <c r="M14" t="s">
        <v>47</v>
      </c>
      <c r="N14" t="s">
        <v>14</v>
      </c>
    </row>
    <row r="15" x14ac:dyDescent="0.25">
      <c r="A15" t="n">
        <v>25</v>
      </c>
      <c r="B15" t="s">
        <v>14</v>
      </c>
      <c r="C15" t="s">
        <v>22</v>
      </c>
      <c r="D15" s="2" t="s">
        <f>=HYPERLINK("https://main.knesset.gov.il/APPS/legislation/main/bills/2239531", "הצעת חוק-יסוד: הממשלה (תיקון - מינויים בכירים בשירות המדינה)")</f>
        <v>58</v>
      </c>
      <c r="E15" t="s">
        <v>58</v>
      </c>
      <c r="F15" t="s">
        <v>59</v>
      </c>
      <c r="G15" t="s">
        <v>14</v>
      </c>
      <c r="H15">
             </c>
      <c r="I15" t="s">
        <v>14</v>
      </c>
      <c r="J15" t="s">
        <v>60</v>
      </c>
      <c r="K15" t="s">
        <v>14</v>
      </c>
      <c r="L15" t="s">
        <v>20</v>
      </c>
      <c r="M15" t="s">
        <v>47</v>
      </c>
      <c r="N15" t="s">
        <v>14</v>
      </c>
    </row>
    <row r="16" x14ac:dyDescent="0.25">
      <c r="A16" t="n">
        <v>25</v>
      </c>
      <c r="B16" t="s">
        <v>14</v>
      </c>
      <c r="C16" t="s">
        <v>22</v>
      </c>
      <c r="D16" s="2" t="s">
        <f>=HYPERLINK("https://main.knesset.gov.il/APPS/legislation/main/bills/2238166", "הצעת חוק העונשין (תיקון - החמרת ענישה על פגיעה בקטין או בחסר ישע), התשפ""ו-2026")</f>
        <v>61</v>
      </c>
      <c r="E16" t="s">
        <v>61</v>
      </c>
      <c r="F16" t="s">
        <v>62</v>
      </c>
      <c r="G16" t="s">
        <v>14</v>
      </c>
      <c r="H16">
             </c>
      <c r="I16" t="s">
        <v>14</v>
      </c>
      <c r="J16" t="s">
        <v>55</v>
      </c>
      <c r="K16" t="s">
        <v>14</v>
      </c>
      <c r="L16" t="s">
        <v>20</v>
      </c>
      <c r="M16" t="s">
        <v>47</v>
      </c>
      <c r="N16" t="s">
        <v>14</v>
      </c>
    </row>
    <row r="17" x14ac:dyDescent="0.25">
      <c r="A17" t="n">
        <v>25</v>
      </c>
      <c r="B17" t="s">
        <v>14</v>
      </c>
      <c r="C17" t="s">
        <v>22</v>
      </c>
      <c r="D17" s="2" t="s">
        <f>=HYPERLINK("https://main.knesset.gov.il/APPS/legislation/main/bills/2237182", "הצעת חוק מס ערך מוסף (תיקון - מס בשיעור אפס על ספרי לימוד וחומרי לימוד), התשפ""ו-2025")</f>
        <v>63</v>
      </c>
      <c r="E17" t="s">
        <v>63</v>
      </c>
      <c r="F17" t="s">
        <v>64</v>
      </c>
      <c r="G17" t="s">
        <v>14</v>
      </c>
      <c r="H17">
             </c>
      <c r="I17" t="s">
        <v>14</v>
      </c>
      <c r="J17" t="s">
        <v>65</v>
      </c>
      <c r="K17" t="s">
        <v>14</v>
      </c>
      <c r="L17" t="s">
        <v>20</v>
      </c>
      <c r="M17" t="s">
        <v>47</v>
      </c>
      <c r="N17" t="s">
        <v>14</v>
      </c>
    </row>
    <row r="18" x14ac:dyDescent="0.25">
      <c r="A18" t="n">
        <v>25</v>
      </c>
      <c r="B18" t="s">
        <v>14</v>
      </c>
      <c r="C18" t="s">
        <v>22</v>
      </c>
      <c r="D18" s="2" t="s">
        <f>=HYPERLINK("https://main.knesset.gov.il/APPS/legislation/main/bills/2237628", "הצעת חוק ועדת חקירה ממלכתית-לאומית לאירועי טבח שמיני עצרת התשפ״ד (טבח 7 באוקטובר 2023), התשפ""ו-2026")</f>
        <v>66</v>
      </c>
      <c r="E18" t="s">
        <v>66</v>
      </c>
      <c r="F18" t="s">
        <v>67</v>
      </c>
      <c r="G18" t="s">
        <v>68</v>
      </c>
      <c r="H18">
             </c>
      <c r="I18" t="s">
        <v>14</v>
      </c>
      <c r="J18" t="s">
        <v>69</v>
      </c>
      <c r="K18" t="s">
        <v>27</v>
      </c>
      <c r="L18" t="s">
        <v>20</v>
      </c>
      <c r="M18" t="s">
        <v>47</v>
      </c>
      <c r="N18" t="s">
        <v>14</v>
      </c>
    </row>
    <row r="19" x14ac:dyDescent="0.25">
      <c r="A19" t="n">
        <v>25</v>
      </c>
      <c r="B19" t="s">
        <v>14</v>
      </c>
      <c r="C19" t="s">
        <v>22</v>
      </c>
      <c r="D19" s="2" t="s">
        <f>=HYPERLINK("https://main.knesset.gov.il/APPS/legislation/main/bills/2235558", "הצעת חוק זכויות הסטודנט (תיקון מס' 11), התשפ""ו–2026")</f>
        <v>70</v>
      </c>
      <c r="E19" t="s">
        <v>70</v>
      </c>
      <c r="F19" t="s">
        <v>71</v>
      </c>
      <c r="G19" t="s">
        <v>72</v>
      </c>
      <c r="H19">
             </c>
      <c r="I19" t="s">
        <v>14</v>
      </c>
      <c r="J19" t="s">
        <v>73</v>
      </c>
      <c r="K19" t="s">
        <v>34</v>
      </c>
      <c r="L19" t="s">
        <v>20</v>
      </c>
      <c r="M19" t="s">
        <v>47</v>
      </c>
      <c r="N19" t="s">
        <v>14</v>
      </c>
    </row>
    <row r="20" x14ac:dyDescent="0.25">
      <c r="A20" t="n">
        <v>25</v>
      </c>
      <c r="B20" t="s">
        <v>14</v>
      </c>
      <c r="C20" t="s">
        <v>22</v>
      </c>
      <c r="D20" s="2" t="s">
        <f>=HYPERLINK("https://main.knesset.gov.il/APPS/legislation/main/bills/2230805", "הצעת חוק שירות המדינה (תיקון - דרך המינוי), התשפ""ה-2025")</f>
        <v>74</v>
      </c>
      <c r="E20" t="s">
        <v>74</v>
      </c>
      <c r="F20" t="s">
        <v>75</v>
      </c>
      <c r="G20" t="s">
        <v>14</v>
      </c>
      <c r="H20">
             </c>
      <c r="I20" t="s">
        <v>14</v>
      </c>
      <c r="J20" t="s">
        <v>31</v>
      </c>
      <c r="K20" t="s">
        <v>27</v>
      </c>
      <c r="L20" t="s">
        <v>20</v>
      </c>
      <c r="M20" t="s">
        <v>47</v>
      </c>
      <c r="N20" t="s">
        <v>14</v>
      </c>
    </row>
    <row r="21" x14ac:dyDescent="0.25">
      <c r="A21" t="n">
        <v>25</v>
      </c>
      <c r="B21" t="s">
        <v>14</v>
      </c>
      <c r="C21" t="s">
        <v>22</v>
      </c>
      <c r="D21" s="2" t="s">
        <f>=HYPERLINK("https://main.knesset.gov.il/APPS/legislation/main/bills/2229752", "הצעת חוק הפסקת כהונה של נושאי משרה בכירים בתקופת הכהונה הראשונית של ממשלה חדשה, התשפ""ה-2025")</f>
        <v>76</v>
      </c>
      <c r="E21" t="s">
        <v>76</v>
      </c>
      <c r="F21" t="s">
        <v>77</v>
      </c>
      <c r="G21" t="s">
        <v>14</v>
      </c>
      <c r="H21">
             </c>
      <c r="I21" t="s">
        <v>14</v>
      </c>
      <c r="J21" t="s">
        <v>31</v>
      </c>
      <c r="K21" t="s">
        <v>27</v>
      </c>
      <c r="L21" t="s">
        <v>20</v>
      </c>
      <c r="M21" t="s">
        <v>47</v>
      </c>
      <c r="N21" t="s">
        <v>14</v>
      </c>
    </row>
    <row r="22" x14ac:dyDescent="0.25">
      <c r="A22" t="n">
        <v>25</v>
      </c>
      <c r="B22" t="s">
        <v>14</v>
      </c>
      <c r="C22" t="s">
        <v>22</v>
      </c>
      <c r="D22" s="2" t="s">
        <f>=HYPERLINK("https://main.knesset.gov.il/APPS/legislation/main/bills/2225422", "הצעת חוק לתיקון פקודת מס הכנסה (תרומה למוסד ציבורי באזורי עדיפות לאומית), התשפ""ה-2025")</f>
        <v>78</v>
      </c>
      <c r="E22" t="s">
        <v>78</v>
      </c>
      <c r="F22" t="s">
        <v>79</v>
      </c>
      <c r="G22" t="s">
        <v>14</v>
      </c>
      <c r="H22">
             </c>
      <c r="I22" t="s">
        <v>14</v>
      </c>
      <c r="J22" t="s">
        <v>55</v>
      </c>
      <c r="K22" t="s">
        <v>14</v>
      </c>
      <c r="L22" t="s">
        <v>20</v>
      </c>
      <c r="M22" t="s">
        <v>47</v>
      </c>
      <c r="N22" t="s">
        <v>14</v>
      </c>
    </row>
    <row r="23" x14ac:dyDescent="0.25">
      <c r="A23" t="n">
        <v>25</v>
      </c>
      <c r="B23" t="s">
        <v>14</v>
      </c>
      <c r="C23" t="s">
        <v>22</v>
      </c>
      <c r="D23" s="2" t="s">
        <f>=HYPERLINK("https://main.knesset.gov.il/APPS/legislation/main/bills/2225065", "הצעת חוק לעידוד השקעות הון (תיקון - תחולה על מפעל תעשייתי ביישובים הסמוכים לגבול העימות בצפון, בשדרות וביישובי עוטף עזה), התשפ""ה-2024")</f>
        <v>80</v>
      </c>
      <c r="E23" t="s">
        <v>80</v>
      </c>
      <c r="F23" t="s">
        <v>81</v>
      </c>
      <c r="G23" t="s">
        <v>14</v>
      </c>
      <c r="H23">
             </c>
      <c r="I23" t="s">
        <v>14</v>
      </c>
      <c r="J23" t="s">
        <v>55</v>
      </c>
      <c r="K23" t="s">
        <v>14</v>
      </c>
      <c r="L23" t="s">
        <v>20</v>
      </c>
      <c r="M23" t="s">
        <v>47</v>
      </c>
      <c r="N23" t="s">
        <v>14</v>
      </c>
    </row>
    <row r="24" x14ac:dyDescent="0.25">
      <c r="A24" t="n">
        <v>25</v>
      </c>
      <c r="B24" t="s">
        <v>14</v>
      </c>
      <c r="C24" t="s">
        <v>22</v>
      </c>
      <c r="D24" s="2" t="s">
        <f>=HYPERLINK("https://main.knesset.gov.il/APPS/legislation/main/bills/2220799", "ההצעת חוק קבלת ילד למעון יום והשתתפות המדינה בעלות שכר הלימוד בו, התשפ""ו–2026")</f>
        <v>82</v>
      </c>
      <c r="E24" t="s">
        <v>82</v>
      </c>
      <c r="F24" t="s">
        <v>83</v>
      </c>
      <c r="G24" t="s">
        <v>84</v>
      </c>
      <c r="H24">
             </c>
      <c r="I24" t="s">
        <v>14</v>
      </c>
      <c r="J24" t="s">
        <v>69</v>
      </c>
      <c r="K24" t="s">
        <v>85</v>
      </c>
      <c r="L24" t="s">
        <v>20</v>
      </c>
      <c r="M24" t="s">
        <v>47</v>
      </c>
      <c r="N24" t="s">
        <v>14</v>
      </c>
    </row>
    <row r="25" x14ac:dyDescent="0.25">
      <c r="A25" t="n">
        <v>25</v>
      </c>
      <c r="B25" t="s">
        <v>14</v>
      </c>
      <c r="C25" t="s">
        <v>22</v>
      </c>
      <c r="D25" s="2" t="s">
        <f>=HYPERLINK("https://main.knesset.gov.il/APPS/legislation/main/bills/2198907", "הצעת חוק-יסוד: לימוד תורה")</f>
        <v>86</v>
      </c>
      <c r="E25" t="s">
        <v>86</v>
      </c>
      <c r="F25" t="s">
        <v>87</v>
      </c>
      <c r="G25" t="s">
        <v>14</v>
      </c>
      <c r="H25">
             </c>
      <c r="I25" t="s">
        <v>14</v>
      </c>
      <c r="J25" t="s">
        <v>60</v>
      </c>
      <c r="K25" t="s">
        <v>14</v>
      </c>
      <c r="L25" t="s">
        <v>20</v>
      </c>
      <c r="M25" t="s">
        <v>47</v>
      </c>
      <c r="N25" t="s">
        <v>14</v>
      </c>
    </row>
    <row r="26" x14ac:dyDescent="0.25">
      <c r="A26" t="n">
        <v>25</v>
      </c>
      <c r="B26" t="s">
        <v>14</v>
      </c>
      <c r="C26" t="s">
        <v>22</v>
      </c>
      <c r="D26" s="2" t="s">
        <f>=HYPERLINK("https://main.knesset.gov.il/APPS/legislation/main/bills/2197937", "הצעת חוק לתיקון פקודת המשטרה (מס' 45), התשפ""ו–2026")</f>
        <v>88</v>
      </c>
      <c r="E26" t="s">
        <v>88</v>
      </c>
      <c r="F26" t="s">
        <v>89</v>
      </c>
      <c r="G26" t="s">
        <v>90</v>
      </c>
      <c r="H26">
             </c>
      <c r="I26" t="s">
        <v>14</v>
      </c>
      <c r="J26" t="s">
        <v>91</v>
      </c>
      <c r="K26" t="s">
        <v>14</v>
      </c>
      <c r="L26" t="s">
        <v>20</v>
      </c>
      <c r="M26" t="s">
        <v>47</v>
      </c>
      <c r="N26" t="s">
        <v>14</v>
      </c>
    </row>
    <row r="27" x14ac:dyDescent="0.25">
      <c r="A27" t="n">
        <v>25</v>
      </c>
      <c r="B27" t="s">
        <v>14</v>
      </c>
      <c r="C27" t="s">
        <v>15</v>
      </c>
      <c r="D27" s="2" t="s">
        <f>=HYPERLINK("https://main.knesset.gov.il/APPS/legislation/main/bills/2219672", "הצעת חוק לעידוד פעילות בשוק ההון (תיקוני חקיקה), התשפ""ד-2024")</f>
        <v>92</v>
      </c>
      <c r="E27" t="s">
        <v>92</v>
      </c>
      <c r="F27" t="s">
        <v>14</v>
      </c>
      <c r="G27" t="s">
        <v>93</v>
      </c>
      <c r="H27">
             </c>
      <c r="I27" t="s">
        <v>14</v>
      </c>
      <c r="J27" t="s">
        <v>50</v>
      </c>
      <c r="K27" t="s">
        <v>85</v>
      </c>
      <c r="L27" t="s">
        <v>20</v>
      </c>
      <c r="M27" t="s">
        <v>94</v>
      </c>
      <c r="N27" t="s">
        <v>14</v>
      </c>
    </row>
    <row r="28" x14ac:dyDescent="0.25">
      <c r="A28" t="n">
        <v>25</v>
      </c>
      <c r="B28" t="s">
        <v>14</v>
      </c>
      <c r="C28" t="s">
        <v>22</v>
      </c>
      <c r="D28" s="2" t="s">
        <f>=HYPERLINK("https://main.knesset.gov.il/APPS/legislation/main/bills/2229701", "הצעת חוק הגשמת הזהות היהודית במרחב הציבורי, התשפ""ה-2025")</f>
        <v>95</v>
      </c>
      <c r="E28" t="s">
        <v>95</v>
      </c>
      <c r="F28" t="s">
        <v>96</v>
      </c>
      <c r="G28" t="s">
        <v>14</v>
      </c>
      <c r="H28">
             </c>
      <c r="I28" t="s">
        <v>14</v>
      </c>
      <c r="J28" t="s">
        <v>31</v>
      </c>
      <c r="K28" t="s">
        <v>27</v>
      </c>
      <c r="L28" t="s">
        <v>20</v>
      </c>
      <c r="M28" t="s">
        <v>94</v>
      </c>
      <c r="N28" t="s">
        <v>14</v>
      </c>
    </row>
    <row r="29" x14ac:dyDescent="0.25">
      <c r="A29" t="n">
        <v>25</v>
      </c>
      <c r="B29" t="s">
        <v>14</v>
      </c>
      <c r="C29" t="s">
        <v>22</v>
      </c>
      <c r="D29" s="2" t="s">
        <f>=HYPERLINK("https://main.knesset.gov.il/APPS/legislation/main/bills/2202076", "הצעת חוק ההתיישנות (תיקון - הרחבת הגדרת בן משפחה לעניין תקופת ההתיישנות של תביעה בשל תקיפה מינית או התעללות), התשפ""ג-2023")</f>
        <v>97</v>
      </c>
      <c r="E29" t="s">
        <v>97</v>
      </c>
      <c r="F29" t="s">
        <v>98</v>
      </c>
      <c r="G29" t="s">
        <v>14</v>
      </c>
      <c r="H29">
             </c>
      <c r="I29" t="s">
        <v>14</v>
      </c>
      <c r="J29" t="s">
        <v>99</v>
      </c>
      <c r="K29" t="s">
        <v>27</v>
      </c>
      <c r="L29" t="s">
        <v>20</v>
      </c>
      <c r="M29" t="s">
        <v>94</v>
      </c>
      <c r="N29" t="s">
        <v>14</v>
      </c>
    </row>
    <row r="30" x14ac:dyDescent="0.25">
      <c r="A30" t="n">
        <v>25</v>
      </c>
      <c r="B30" t="s">
        <v>14</v>
      </c>
      <c r="C30" t="s">
        <v>22</v>
      </c>
      <c r="D30" s="2" t="s">
        <f>=HYPERLINK("https://main.knesset.gov.il/APPS/legislation/main/bills/2202055", "הצעת חוק ההתיישנות (תיקון מס' 10) (הרחבת ההגדרה ""בן משפחה"" לעניין תביעה בשל תקיפה מינית או התעללות), התשפ""ו–2026")</f>
        <v>100</v>
      </c>
      <c r="E30" t="s">
        <v>100</v>
      </c>
      <c r="F30" t="s">
        <v>101</v>
      </c>
      <c r="G30" t="s">
        <v>14</v>
      </c>
      <c r="H30">
             </c>
      <c r="I30" t="s">
        <v>26</v>
      </c>
      <c r="J30" t="s">
        <v>102</v>
      </c>
      <c r="K30" t="s">
        <v>27</v>
      </c>
      <c r="L30" t="s">
        <v>20</v>
      </c>
      <c r="M30" t="s">
        <v>94</v>
      </c>
      <c r="N30" t="s">
        <v>14</v>
      </c>
    </row>
    <row r="31" x14ac:dyDescent="0.25">
      <c r="A31" t="n">
        <v>25</v>
      </c>
      <c r="B31" t="s">
        <v>14</v>
      </c>
      <c r="C31" t="s">
        <v>22</v>
      </c>
      <c r="D31" s="2" t="s">
        <f>=HYPERLINK("https://main.knesset.gov.il/APPS/legislation/main/bills/2211922", "הצעת חוק לתיקון פקודת בתי הסוהר (מס' 73) (מניעת כניסתם של נציגי ארגון הצלב האדום והעברת מידע לארגון), התשפ""ו–2026")</f>
        <v>103</v>
      </c>
      <c r="E31" t="s">
        <v>103</v>
      </c>
      <c r="F31" t="s">
        <v>104</v>
      </c>
      <c r="G31" t="s">
        <v>14</v>
      </c>
      <c r="H31">
             </c>
      <c r="I31" t="s">
        <v>14</v>
      </c>
      <c r="J31" t="s">
        <v>102</v>
      </c>
      <c r="K31" t="s">
        <v>105</v>
      </c>
      <c r="L31" t="s">
        <v>20</v>
      </c>
      <c r="M31" t="s">
        <v>94</v>
      </c>
      <c r="N31" t="s">
        <v>14</v>
      </c>
    </row>
    <row r="32" x14ac:dyDescent="0.25">
      <c r="A32" t="n">
        <v>25</v>
      </c>
      <c r="B32" t="s">
        <v>14</v>
      </c>
      <c r="C32" t="s">
        <v>15</v>
      </c>
      <c r="D32" s="2" t="s">
        <f>=HYPERLINK("https://main.knesset.gov.il/APPS/legislation/main/bills/1046237", "הצעת חוק איסור הונאה בכשרות (תיקון מס' 5), התשפ""ו - 2026")</f>
        <v>106</v>
      </c>
      <c r="E32" t="s">
        <v>106</v>
      </c>
      <c r="F32" t="s">
        <v>14</v>
      </c>
      <c r="G32" t="s">
        <v>107</v>
      </c>
      <c r="H32">
             </c>
      <c r="I32" t="s">
        <v>14</v>
      </c>
      <c r="J32" t="s">
        <v>18</v>
      </c>
      <c r="K32" t="s">
        <v>108</v>
      </c>
      <c r="L32" t="s">
        <v>20</v>
      </c>
      <c r="M32" t="s">
        <v>94</v>
      </c>
      <c r="N32" t="s">
        <v>14</v>
      </c>
    </row>
    <row r="33" x14ac:dyDescent="0.25">
      <c r="A33" t="n">
        <v>25</v>
      </c>
      <c r="B33" t="s">
        <v>14</v>
      </c>
      <c r="C33" t="s">
        <v>15</v>
      </c>
      <c r="D33" s="2" t="s">
        <f>=HYPERLINK("https://main.knesset.gov.il/APPS/legislation/main/bills/2204244", "פרק ו' (פסולת בניין) מתוך הצעת חוק התכנית הכלכלית (תיקוני חקיקה ליישום המדיניות הכלכלית לשנות התקציב 2023 ו-2024), התשפ""ג-2023 [פוצלה לפי סעיף 84(ב) לתקנון]")</f>
        <v>109</v>
      </c>
      <c r="E33" t="s">
        <v>109</v>
      </c>
      <c r="F33" t="s">
        <v>14</v>
      </c>
      <c r="G33" t="s">
        <v>110</v>
      </c>
      <c r="H33">
             </c>
      <c r="I33" t="s">
        <v>26</v>
      </c>
      <c r="J33" t="s">
        <v>18</v>
      </c>
      <c r="K33" t="s">
        <v>46</v>
      </c>
      <c r="L33" t="s">
        <v>20</v>
      </c>
      <c r="M33" t="s">
        <v>94</v>
      </c>
      <c r="N33" t="s">
        <v>14</v>
      </c>
    </row>
    <row r="34" x14ac:dyDescent="0.25">
      <c r="A34" t="n">
        <v>25</v>
      </c>
      <c r="B34" t="s">
        <v>14</v>
      </c>
      <c r="C34" t="s">
        <v>22</v>
      </c>
      <c r="D34" s="2" t="s">
        <f>=HYPERLINK("https://main.knesset.gov.il/APPS/legislation/main/bills/2217042", "חוק הכרה בתרומתם של כלבים ששירתו בגופים ביטחוניים, התשפ""ו–2026")</f>
        <v>111</v>
      </c>
      <c r="E34" t="s">
        <v>111</v>
      </c>
      <c r="F34" t="s">
        <v>112</v>
      </c>
      <c r="G34" t="s">
        <v>113</v>
      </c>
      <c r="H34" t="n">
        <v>3536</v>
      </c>
      <c r="I34" t="s">
        <v>14</v>
      </c>
      <c r="J34" t="s">
        <v>91</v>
      </c>
      <c r="K34" t="s">
        <v>114</v>
      </c>
      <c r="L34" t="s">
        <v>20</v>
      </c>
      <c r="M34" t="s">
        <v>94</v>
      </c>
      <c r="N34" t="s">
        <v>14</v>
      </c>
    </row>
    <row r="35" x14ac:dyDescent="0.25">
      <c r="A35" t="n">
        <v>25</v>
      </c>
      <c r="B35" t="s">
        <v>14</v>
      </c>
      <c r="C35" t="s">
        <v>22</v>
      </c>
      <c r="D35" s="2" t="s">
        <f>=HYPERLINK("https://main.knesset.gov.il/APPS/legislation/main/bills/2197107", "חוק בתי המשפט (תיקון מס' 107), התשפ""ו–2026")</f>
        <v>115</v>
      </c>
      <c r="E35" t="s">
        <v>115</v>
      </c>
      <c r="F35" t="s">
        <v>116</v>
      </c>
      <c r="G35" t="s">
        <v>117</v>
      </c>
      <c r="H35" t="n">
        <v>3535</v>
      </c>
      <c r="I35" t="s">
        <v>14</v>
      </c>
      <c r="J35" t="s">
        <v>91</v>
      </c>
      <c r="K35" t="s">
        <v>27</v>
      </c>
      <c r="L35" t="s">
        <v>20</v>
      </c>
      <c r="M35" t="s">
        <v>94</v>
      </c>
      <c r="N35" t="s">
        <v>14</v>
      </c>
    </row>
    <row r="36" x14ac:dyDescent="0.25">
      <c r="A36" t="n">
        <v>25</v>
      </c>
      <c r="B36" t="s">
        <v>14</v>
      </c>
      <c r="C36" t="s">
        <v>22</v>
      </c>
      <c r="D36" s="2" t="s">
        <f>=HYPERLINK("https://main.knesset.gov.il/APPS/legislation/main/bills/2228758", "הצעת חוק שכר נושאי משרה ברשויות השלטון, התשפ""ו–2026")</f>
        <v>118</v>
      </c>
      <c r="E36" t="s">
        <v>118</v>
      </c>
      <c r="F36" t="s">
        <v>119</v>
      </c>
      <c r="G36" t="s">
        <v>120</v>
      </c>
      <c r="H36">
             </c>
      <c r="I36" t="s">
        <v>14</v>
      </c>
      <c r="J36" t="s">
        <v>69</v>
      </c>
      <c r="K36" t="s">
        <v>121</v>
      </c>
      <c r="L36" t="s">
        <v>20</v>
      </c>
      <c r="M36" t="s">
        <v>94</v>
      </c>
      <c r="N36" t="s">
        <v>14</v>
      </c>
    </row>
    <row r="37" x14ac:dyDescent="0.25">
      <c r="A37" t="n">
        <v>25</v>
      </c>
      <c r="B37" t="s">
        <v>14</v>
      </c>
      <c r="C37" t="s">
        <v>22</v>
      </c>
      <c r="D37" s="2" t="s">
        <f>=HYPERLINK("https://main.knesset.gov.il/APPS/legislation/main/bills/2225649", "הצעת חוק רשות מקרקעי ישראל (תיקון מס' 16) (הקצאת קרקע לרשות מקומית למיתקן לייצור חשמל מאנרגיה מתחדשת), התשפ""ו–2026")</f>
        <v>122</v>
      </c>
      <c r="E37" t="s">
        <v>122</v>
      </c>
      <c r="F37" t="s">
        <v>123</v>
      </c>
      <c r="G37" t="s">
        <v>124</v>
      </c>
      <c r="H37">
             </c>
      <c r="I37" t="s">
        <v>14</v>
      </c>
      <c r="J37" t="s">
        <v>18</v>
      </c>
      <c r="K37" t="s">
        <v>46</v>
      </c>
      <c r="L37" t="s">
        <v>20</v>
      </c>
      <c r="M37" t="s">
        <v>94</v>
      </c>
      <c r="N37" t="s">
        <v>14</v>
      </c>
    </row>
    <row r="38" x14ac:dyDescent="0.25">
      <c r="A38" t="n">
        <v>25</v>
      </c>
      <c r="B38" t="s">
        <v>14</v>
      </c>
      <c r="C38" t="s">
        <v>15</v>
      </c>
      <c r="D38" s="2" t="s">
        <f>=HYPERLINK("https://main.knesset.gov.il/APPS/legislation/main/bills/2217079", "הצעת חוק הגבלת שכר טרחה (נכי צבא הגנה לישראל וכוחות הביטחון ונפגעי פעולות איבה), התשפ""ו-2026")</f>
        <v>125</v>
      </c>
      <c r="E38" t="s">
        <v>125</v>
      </c>
      <c r="F38" t="s">
        <v>14</v>
      </c>
      <c r="G38" t="s">
        <v>126</v>
      </c>
      <c r="H38">
             </c>
      <c r="I38" t="s">
        <v>14</v>
      </c>
      <c r="J38" t="s">
        <v>91</v>
      </c>
      <c r="K38" t="s">
        <v>127</v>
      </c>
      <c r="L38" t="s">
        <v>20</v>
      </c>
      <c r="M38" t="s">
        <v>94</v>
      </c>
      <c r="N38" t="s">
        <v>128</v>
      </c>
    </row>
    <row r="39" x14ac:dyDescent="0.25">
      <c r="A39" t="n">
        <v>25</v>
      </c>
      <c r="B39" t="s">
        <v>14</v>
      </c>
      <c r="C39" t="s">
        <v>22</v>
      </c>
      <c r="D39" s="2" t="s">
        <f>=HYPERLINK("https://main.knesset.gov.il/APPS/legislation/main/bills/2220111", "חוק להקפאת כספים ששילמה הרשות הפלסטינית בזיקה לטרור מהכספים המועברים אליה מממשלת ישראל (תיקון), התשפ""ו–2026")</f>
        <v>129</v>
      </c>
      <c r="E39" t="s">
        <v>129</v>
      </c>
      <c r="F39" t="s">
        <v>130</v>
      </c>
      <c r="G39" t="s">
        <v>131</v>
      </c>
      <c r="H39" t="n">
        <v>3534</v>
      </c>
      <c r="I39" t="s">
        <v>14</v>
      </c>
      <c r="J39" t="s">
        <v>91</v>
      </c>
      <c r="K39" t="s">
        <v>114</v>
      </c>
      <c r="L39" t="s">
        <v>20</v>
      </c>
      <c r="M39" t="s">
        <v>132</v>
      </c>
      <c r="N39" t="s">
        <v>14</v>
      </c>
    </row>
    <row r="40" x14ac:dyDescent="0.25">
      <c r="A40" t="n">
        <v>25</v>
      </c>
      <c r="B40" t="s">
        <v>14</v>
      </c>
      <c r="C40" t="s">
        <v>22</v>
      </c>
      <c r="D40" s="2" t="s">
        <f>=HYPERLINK("https://main.knesset.gov.il/APPS/legislation/main/bills/2229413", "חוק הכרה בשפת הסימנים הישראלית, התשפ""ו-2026")</f>
        <v>133</v>
      </c>
      <c r="E40" t="s">
        <v>133</v>
      </c>
      <c r="F40" t="s">
        <v>134</v>
      </c>
      <c r="G40" t="s">
        <v>135</v>
      </c>
      <c r="H40" t="n">
        <v>3533</v>
      </c>
      <c r="I40" t="s">
        <v>14</v>
      </c>
      <c r="J40" t="s">
        <v>91</v>
      </c>
      <c r="K40" t="s">
        <v>34</v>
      </c>
      <c r="L40" t="s">
        <v>20</v>
      </c>
      <c r="M40" t="s">
        <v>132</v>
      </c>
      <c r="N40" t="s">
        <v>136</v>
      </c>
    </row>
    <row r="41" x14ac:dyDescent="0.25">
      <c r="A41" t="n">
        <v>25</v>
      </c>
      <c r="B41" t="s">
        <v>14</v>
      </c>
      <c r="C41" t="s">
        <v>15</v>
      </c>
      <c r="D41" s="2" t="s">
        <f>=HYPERLINK("https://main.knesset.gov.il/APPS/legislation/main/bills/1046296", "חוק העונשין (תיקון מס' 154), התשפ""ו-2026")</f>
        <v>137</v>
      </c>
      <c r="E41" t="s">
        <v>137</v>
      </c>
      <c r="F41" t="s">
        <v>14</v>
      </c>
      <c r="G41" t="s">
        <v>138</v>
      </c>
      <c r="H41" t="n">
        <v>3532</v>
      </c>
      <c r="I41" t="s">
        <v>14</v>
      </c>
      <c r="J41" t="s">
        <v>91</v>
      </c>
      <c r="K41" t="s">
        <v>114</v>
      </c>
      <c r="L41" t="s">
        <v>20</v>
      </c>
      <c r="M41" t="s">
        <v>132</v>
      </c>
      <c r="N41" t="s">
        <v>14</v>
      </c>
    </row>
    <row r="42" x14ac:dyDescent="0.25">
      <c r="A42" t="n">
        <v>25</v>
      </c>
      <c r="B42" t="s">
        <v>14</v>
      </c>
      <c r="C42" t="s">
        <v>22</v>
      </c>
      <c r="D42" s="2" t="s">
        <f>=HYPERLINK("https://main.knesset.gov.il/APPS/legislation/main/bills/2243137", "הצעת חוק העונשין (תיקון - איסור פרסום הסתה לעוינות כלפי ציבור), התשפ""ו-2026")</f>
        <v>139</v>
      </c>
      <c r="E42" t="s">
        <v>139</v>
      </c>
      <c r="F42" t="s">
        <v>140</v>
      </c>
      <c r="G42" t="s">
        <v>14</v>
      </c>
      <c r="H42">
             </c>
      <c r="I42" t="s">
        <v>14</v>
      </c>
      <c r="J42" t="s">
        <v>141</v>
      </c>
      <c r="K42" t="s">
        <v>14</v>
      </c>
      <c r="L42" t="s">
        <v>20</v>
      </c>
      <c r="M42" t="s">
        <v>132</v>
      </c>
      <c r="N42" t="s">
        <v>14</v>
      </c>
    </row>
    <row r="43" x14ac:dyDescent="0.25">
      <c r="A43" t="n">
        <v>25</v>
      </c>
      <c r="B43" t="s">
        <v>14</v>
      </c>
      <c r="C43" t="s">
        <v>22</v>
      </c>
      <c r="D43" s="2" t="s">
        <f>=HYPERLINK("https://main.knesset.gov.il/APPS/legislation/main/bills/2243096", "הצעת חוק המאבק בנטילת דמי חסות (תיקוני חקיקה), התשפ""ו-2026")</f>
        <v>142</v>
      </c>
      <c r="E43" t="s">
        <v>142</v>
      </c>
      <c r="F43" t="s">
        <v>143</v>
      </c>
      <c r="G43" t="s">
        <v>14</v>
      </c>
      <c r="H43">
             </c>
      <c r="I43" t="s">
        <v>14</v>
      </c>
      <c r="J43" t="s">
        <v>141</v>
      </c>
      <c r="K43" t="s">
        <v>14</v>
      </c>
      <c r="L43" t="s">
        <v>20</v>
      </c>
      <c r="M43" t="s">
        <v>132</v>
      </c>
      <c r="N43" t="s">
        <v>14</v>
      </c>
    </row>
    <row r="44" x14ac:dyDescent="0.25">
      <c r="A44" t="n">
        <v>25</v>
      </c>
      <c r="B44" t="s">
        <v>14</v>
      </c>
      <c r="C44" t="s">
        <v>22</v>
      </c>
      <c r="D44" s="2" t="s">
        <f>=HYPERLINK("https://main.knesset.gov.il/APPS/legislation/main/bills/2243163", "הצעת חוק המפלגות (תיקון - איסור תרומה על ידי שדלן), התשפ""ו-2026")</f>
        <v>144</v>
      </c>
      <c r="E44" t="s">
        <v>144</v>
      </c>
      <c r="F44" t="s">
        <v>145</v>
      </c>
      <c r="G44" t="s">
        <v>14</v>
      </c>
      <c r="H44">
             </c>
      <c r="I44" t="s">
        <v>14</v>
      </c>
      <c r="J44" t="s">
        <v>141</v>
      </c>
      <c r="K44" t="s">
        <v>14</v>
      </c>
      <c r="L44" t="s">
        <v>20</v>
      </c>
      <c r="M44" t="s">
        <v>132</v>
      </c>
      <c r="N44" t="s">
        <v>14</v>
      </c>
    </row>
    <row r="45" x14ac:dyDescent="0.25">
      <c r="A45" t="n">
        <v>25</v>
      </c>
      <c r="B45" t="s">
        <v>14</v>
      </c>
      <c r="C45" t="s">
        <v>22</v>
      </c>
      <c r="D45" s="2" t="s">
        <f>=HYPERLINK("https://main.knesset.gov.il/APPS/legislation/main/bills/2242178", "הצעת חוק סדר הדין הפלילי (תיקון - המצאה מלאה), התשפ""ו-2026")</f>
        <v>146</v>
      </c>
      <c r="E45" t="s">
        <v>146</v>
      </c>
      <c r="F45" t="s">
        <v>147</v>
      </c>
      <c r="G45" t="s">
        <v>14</v>
      </c>
      <c r="H45">
             </c>
      <c r="I45" t="s">
        <v>14</v>
      </c>
      <c r="J45" t="s">
        <v>141</v>
      </c>
      <c r="K45" t="s">
        <v>14</v>
      </c>
      <c r="L45" t="s">
        <v>20</v>
      </c>
      <c r="M45" t="s">
        <v>132</v>
      </c>
      <c r="N45" t="s">
        <v>14</v>
      </c>
    </row>
    <row r="46" x14ac:dyDescent="0.25">
      <c r="A46" t="n">
        <v>25</v>
      </c>
      <c r="B46" t="s">
        <v>14</v>
      </c>
      <c r="C46" t="s">
        <v>22</v>
      </c>
      <c r="D46" s="2" t="s">
        <f>=HYPERLINK("https://main.knesset.gov.il/APPS/legislation/main/bills/2236329", "הצעת חוק הקמת מאגר מידע גנטי לכלבים (תיקון - הסמכת מפקחים, אכיפה ועונשין), התשפ""ו-2026")</f>
        <v>148</v>
      </c>
      <c r="E46" t="s">
        <v>148</v>
      </c>
      <c r="F46" t="s">
        <v>149</v>
      </c>
      <c r="G46" t="s">
        <v>14</v>
      </c>
      <c r="H46">
             </c>
      <c r="I46" t="s">
        <v>14</v>
      </c>
      <c r="J46" t="s">
        <v>141</v>
      </c>
      <c r="K46" t="s">
        <v>14</v>
      </c>
      <c r="L46" t="s">
        <v>20</v>
      </c>
      <c r="M46" t="s">
        <v>132</v>
      </c>
      <c r="N46" t="s">
        <v>14</v>
      </c>
    </row>
    <row r="47" x14ac:dyDescent="0.25">
      <c r="A47" t="n">
        <v>25</v>
      </c>
      <c r="B47" t="s">
        <v>14</v>
      </c>
      <c r="C47" t="s">
        <v>22</v>
      </c>
      <c r="D47" s="2" t="s">
        <f>=HYPERLINK("https://main.knesset.gov.il/APPS/legislation/main/bills/2243257", "הצעת חוק הדרכונים (תיקון - מתן דרכון לעולה), התשפ״ו-2026")</f>
        <v>150</v>
      </c>
      <c r="E47" t="s">
        <v>150</v>
      </c>
      <c r="F47" t="s">
        <v>151</v>
      </c>
      <c r="G47" t="s">
        <v>14</v>
      </c>
      <c r="H47">
             </c>
      <c r="I47" t="s">
        <v>14</v>
      </c>
      <c r="J47" t="s">
        <v>141</v>
      </c>
      <c r="K47" t="s">
        <v>14</v>
      </c>
      <c r="L47" t="s">
        <v>20</v>
      </c>
      <c r="M47" t="s">
        <v>132</v>
      </c>
      <c r="N47" t="s">
        <v>14</v>
      </c>
    </row>
    <row r="48" x14ac:dyDescent="0.25">
      <c r="A48" t="n">
        <v>25</v>
      </c>
      <c r="B48" t="s">
        <v>14</v>
      </c>
      <c r="C48" t="s">
        <v>22</v>
      </c>
      <c r="D48" s="2" t="s">
        <f>=HYPERLINK("https://main.knesset.gov.il/APPS/legislation/main/bills/2243800", "הצעת חוק-יסוד: לימוד תורה")</f>
        <v>86</v>
      </c>
      <c r="E48" t="s">
        <v>86</v>
      </c>
      <c r="F48" t="s">
        <v>152</v>
      </c>
      <c r="G48" t="s">
        <v>14</v>
      </c>
      <c r="H48">
             </c>
      <c r="I48" t="s">
        <v>14</v>
      </c>
      <c r="J48" t="s">
        <v>141</v>
      </c>
      <c r="K48" t="s">
        <v>14</v>
      </c>
      <c r="L48" t="s">
        <v>20</v>
      </c>
      <c r="M48" t="s">
        <v>132</v>
      </c>
      <c r="N48" t="s">
        <v>14</v>
      </c>
    </row>
    <row r="49" x14ac:dyDescent="0.25">
      <c r="A49" t="n">
        <v>25</v>
      </c>
      <c r="B49" t="s">
        <v>14</v>
      </c>
      <c r="C49" t="s">
        <v>22</v>
      </c>
      <c r="D49" s="2" t="s">
        <f>=HYPERLINK("https://main.knesset.gov.il/APPS/legislation/main/bills/2243238", "הצעת חוק הרשויות המקומיות (בחירות) (תיקון - הארכת תקופת הכהונה), התשפ""ו-2026")</f>
        <v>153</v>
      </c>
      <c r="E49" t="s">
        <v>153</v>
      </c>
      <c r="F49" t="s">
        <v>154</v>
      </c>
      <c r="G49" t="s">
        <v>14</v>
      </c>
      <c r="H49">
             </c>
      <c r="I49" t="s">
        <v>14</v>
      </c>
      <c r="J49" t="s">
        <v>141</v>
      </c>
      <c r="K49" t="s">
        <v>14</v>
      </c>
      <c r="L49" t="s">
        <v>20</v>
      </c>
      <c r="M49" t="s">
        <v>132</v>
      </c>
      <c r="N49" t="s">
        <v>14</v>
      </c>
    </row>
    <row r="50" x14ac:dyDescent="0.25">
      <c r="A50" t="n">
        <v>25</v>
      </c>
      <c r="B50" t="s">
        <v>14</v>
      </c>
      <c r="C50" t="s">
        <v>22</v>
      </c>
      <c r="D50" s="2" t="s">
        <f>=HYPERLINK("https://main.knesset.gov.il/APPS/legislation/main/bills/2243493", "הצעת חוק משפחות חיילים שנספו במערכה (תגמולים ושיקום) (תיקון - הכרה במי ששלח יד בנפשו כחייל שנספה במערכה) (הוראת שעה - חרבות ברזל), התשפ""ו-2026")</f>
        <v>155</v>
      </c>
      <c r="E50" t="s">
        <v>155</v>
      </c>
      <c r="F50" t="s">
        <v>156</v>
      </c>
      <c r="G50" t="s">
        <v>14</v>
      </c>
      <c r="H50">
             </c>
      <c r="I50" t="s">
        <v>14</v>
      </c>
      <c r="J50" t="s">
        <v>141</v>
      </c>
      <c r="K50" t="s">
        <v>14</v>
      </c>
      <c r="L50" t="s">
        <v>20</v>
      </c>
      <c r="M50" t="s">
        <v>132</v>
      </c>
      <c r="N50" t="s">
        <v>14</v>
      </c>
    </row>
    <row r="51" x14ac:dyDescent="0.25">
      <c r="A51" t="n">
        <v>25</v>
      </c>
      <c r="B51" t="s">
        <v>14</v>
      </c>
      <c r="C51" t="s">
        <v>22</v>
      </c>
      <c r="D51" s="2" t="s">
        <f>=HYPERLINK("https://main.knesset.gov.il/APPS/legislation/main/bills/2243169", "הצעת חוק הרשות השנייה לטלוויזיה ורדיו (תיקון - תקופת זיכיון), התשפ""ו-2026")</f>
        <v>157</v>
      </c>
      <c r="E51" t="s">
        <v>157</v>
      </c>
      <c r="F51" t="s">
        <v>158</v>
      </c>
      <c r="G51" t="s">
        <v>14</v>
      </c>
      <c r="H51">
             </c>
      <c r="I51" t="s">
        <v>14</v>
      </c>
      <c r="J51" t="s">
        <v>141</v>
      </c>
      <c r="K51" t="s">
        <v>14</v>
      </c>
      <c r="L51" t="s">
        <v>20</v>
      </c>
      <c r="M51" t="s">
        <v>132</v>
      </c>
      <c r="N51" t="s">
        <v>14</v>
      </c>
    </row>
    <row r="52" x14ac:dyDescent="0.25">
      <c r="A52" t="n">
        <v>25</v>
      </c>
      <c r="B52" t="s">
        <v>14</v>
      </c>
      <c r="C52" t="s">
        <v>22</v>
      </c>
      <c r="D52" s="2" t="s">
        <f>=HYPERLINK("https://main.knesset.gov.il/APPS/legislation/main/bills/2243540", "הצעת חוק משפחות חיילים שנספו במערכה (תגמולים ושיקום) (תיקון - זכאות להיתר העסקת עובד זר למשפחות שכולות), התשפ""ו-2026")</f>
        <v>159</v>
      </c>
      <c r="E52" t="s">
        <v>159</v>
      </c>
      <c r="F52" t="s">
        <v>160</v>
      </c>
      <c r="G52" t="s">
        <v>14</v>
      </c>
      <c r="H52">
             </c>
      <c r="I52" t="s">
        <v>14</v>
      </c>
      <c r="J52" t="s">
        <v>141</v>
      </c>
      <c r="K52" t="s">
        <v>14</v>
      </c>
      <c r="L52" t="s">
        <v>20</v>
      </c>
      <c r="M52" t="s">
        <v>132</v>
      </c>
      <c r="N52" t="s">
        <v>14</v>
      </c>
    </row>
    <row r="53" x14ac:dyDescent="0.25">
      <c r="A53" t="n">
        <v>25</v>
      </c>
      <c r="B53" t="s">
        <v>14</v>
      </c>
      <c r="C53" t="s">
        <v>22</v>
      </c>
      <c r="D53" s="2" t="s">
        <f>=HYPERLINK("https://main.knesset.gov.il/APPS/legislation/main/bills/2243158", "הצעת חוק הרשויות המקומיות (בחירות) (תיקון - הגבלת הזכות להיבחר בשל כתב אישום),  התשפ""ו-2026")</f>
        <v>161</v>
      </c>
      <c r="E53" t="s">
        <v>161</v>
      </c>
      <c r="F53" t="s">
        <v>162</v>
      </c>
      <c r="G53" t="s">
        <v>14</v>
      </c>
      <c r="H53">
             </c>
      <c r="I53" t="s">
        <v>14</v>
      </c>
      <c r="J53" t="s">
        <v>141</v>
      </c>
      <c r="K53" t="s">
        <v>14</v>
      </c>
      <c r="L53" t="s">
        <v>20</v>
      </c>
      <c r="M53" t="s">
        <v>132</v>
      </c>
      <c r="N53" t="s">
        <v>14</v>
      </c>
    </row>
    <row r="54" x14ac:dyDescent="0.25">
      <c r="A54" t="n">
        <v>25</v>
      </c>
      <c r="B54" t="s">
        <v>14</v>
      </c>
      <c r="C54" t="s">
        <v>22</v>
      </c>
      <c r="D54" s="2" t="s">
        <f>=HYPERLINK("https://main.knesset.gov.il/APPS/legislation/main/bills/2243802", "הצעת חוק משפחות חיילים שנספו במערכה (תגמולים ושיקום) (תיקון - השוואת זכויות של יתום עצמאי ליתום משני הורים), התשפ""ו-2026")</f>
        <v>163</v>
      </c>
      <c r="E54" t="s">
        <v>163</v>
      </c>
      <c r="F54" t="s">
        <v>164</v>
      </c>
      <c r="G54" t="s">
        <v>14</v>
      </c>
      <c r="H54">
             </c>
      <c r="I54" t="s">
        <v>14</v>
      </c>
      <c r="J54" t="s">
        <v>141</v>
      </c>
      <c r="K54" t="s">
        <v>14</v>
      </c>
      <c r="L54" t="s">
        <v>20</v>
      </c>
      <c r="M54" t="s">
        <v>132</v>
      </c>
      <c r="N54" t="s">
        <v>14</v>
      </c>
    </row>
    <row r="55" x14ac:dyDescent="0.25">
      <c r="A55" t="n">
        <v>25</v>
      </c>
      <c r="B55" t="s">
        <v>14</v>
      </c>
      <c r="C55" t="s">
        <v>22</v>
      </c>
      <c r="D55" s="2" t="s">
        <f>=HYPERLINK("https://main.knesset.gov.il/APPS/legislation/main/bills/2236922", "הצעת חוק שיקום נרחב לחבל התקומה כאזור מיקוד לאומי וסיוע ליישובים הסמוכים אליו (תיקון מס' 2), התשפ""ו–2026")</f>
        <v>165</v>
      </c>
      <c r="E55" t="s">
        <v>165</v>
      </c>
      <c r="F55" t="s">
        <v>166</v>
      </c>
      <c r="G55" t="s">
        <v>167</v>
      </c>
      <c r="H55">
             </c>
      <c r="I55" t="s">
        <v>14</v>
      </c>
      <c r="J55" t="s">
        <v>73</v>
      </c>
      <c r="K55" t="s">
        <v>19</v>
      </c>
      <c r="L55" t="s">
        <v>20</v>
      </c>
      <c r="M55" t="s">
        <v>132</v>
      </c>
      <c r="N55" t="s">
        <v>14</v>
      </c>
    </row>
    <row r="56" x14ac:dyDescent="0.25">
      <c r="A56" t="n">
        <v>25</v>
      </c>
      <c r="B56" t="s">
        <v>14</v>
      </c>
      <c r="C56" t="s">
        <v>22</v>
      </c>
      <c r="D56" s="2" t="s">
        <f>=HYPERLINK("https://main.knesset.gov.il/APPS/legislation/main/bills/2220194", "הצעת חוק הסדרת העיסוק בייעוץ משכנתאות, התשפ""ו–2026")</f>
        <v>168</v>
      </c>
      <c r="E56" t="s">
        <v>168</v>
      </c>
      <c r="F56" t="s">
        <v>169</v>
      </c>
      <c r="G56" t="s">
        <v>170</v>
      </c>
      <c r="H56">
             </c>
      <c r="I56" t="s">
        <v>14</v>
      </c>
      <c r="J56" t="s">
        <v>69</v>
      </c>
      <c r="K56" t="s">
        <v>19</v>
      </c>
      <c r="L56" t="s">
        <v>20</v>
      </c>
      <c r="M56" t="s">
        <v>132</v>
      </c>
      <c r="N56" t="s">
        <v>14</v>
      </c>
    </row>
    <row r="57" x14ac:dyDescent="0.25">
      <c r="A57" t="n">
        <v>25</v>
      </c>
      <c r="B57" t="s">
        <v>14</v>
      </c>
      <c r="C57" t="s">
        <v>15</v>
      </c>
      <c r="D57" s="2" t="s">
        <f>=HYPERLINK("https://main.knesset.gov.il/APPS/legislation/main/bills/1046714", "הצעת חוק הגנת הסייבר הלאומית, התשפ""ו-2026")</f>
        <v>171</v>
      </c>
      <c r="E57" t="s">
        <v>171</v>
      </c>
      <c r="F57" t="s">
        <v>14</v>
      </c>
      <c r="G57" t="s">
        <v>172</v>
      </c>
      <c r="H57">
             </c>
      <c r="I57" t="s">
        <v>14</v>
      </c>
      <c r="J57" t="s">
        <v>18</v>
      </c>
      <c r="K57" t="s">
        <v>114</v>
      </c>
      <c r="L57" t="s">
        <v>20</v>
      </c>
      <c r="M57" t="s">
        <v>132</v>
      </c>
      <c r="N57" t="s">
        <v>14</v>
      </c>
    </row>
    <row r="58" x14ac:dyDescent="0.25">
      <c r="A58" t="n">
        <v>25</v>
      </c>
      <c r="B58" t="s">
        <v>14</v>
      </c>
      <c r="C58" t="s">
        <v>15</v>
      </c>
      <c r="D58" s="2" t="s">
        <f>=HYPERLINK("https://main.knesset.gov.il/APPS/legislation/main/bills/2240507", "פרק י""ד (שדות תעופה בשיתוף המגזר הפרטי) מתוך הצעת חוק התוכנית הכלכלית (תיקוני חקיקה ליישום המדיניות הכלכלית לשנת התקציב 2026), התשפ""ו-2026 [פוצלה לפי סעיף 84(ב) לתקנון]")</f>
        <v>173</v>
      </c>
      <c r="E58" t="s">
        <v>173</v>
      </c>
      <c r="F58" t="s">
        <v>14</v>
      </c>
      <c r="G58" t="s">
        <v>49</v>
      </c>
      <c r="H58">
             </c>
      <c r="I58" t="s">
        <v>14</v>
      </c>
      <c r="J58" t="s">
        <v>18</v>
      </c>
      <c r="K58" t="s">
        <v>19</v>
      </c>
      <c r="L58" t="s">
        <v>20</v>
      </c>
      <c r="M58" t="s">
        <v>174</v>
      </c>
      <c r="N58" t="s">
        <v>14</v>
      </c>
    </row>
    <row r="59" x14ac:dyDescent="0.25">
      <c r="A59" t="n">
        <v>25</v>
      </c>
      <c r="B59" t="s">
        <v>14</v>
      </c>
      <c r="C59" t="s">
        <v>22</v>
      </c>
      <c r="D59" s="2" t="s">
        <f>=HYPERLINK("https://main.knesset.gov.il/APPS/legislation/main/bills/2232339", "חוק הטבות מס ליישוב אזור קו עימות מזרחי (הוראת שעה), התשפ""ו–2026")</f>
        <v>175</v>
      </c>
      <c r="E59" t="s">
        <v>175</v>
      </c>
      <c r="F59" t="s">
        <v>176</v>
      </c>
      <c r="G59" t="s">
        <v>177</v>
      </c>
      <c r="H59" t="n">
        <v>3531</v>
      </c>
      <c r="I59" t="s">
        <v>14</v>
      </c>
      <c r="J59" t="s">
        <v>91</v>
      </c>
      <c r="K59" t="s">
        <v>85</v>
      </c>
      <c r="L59" t="s">
        <v>20</v>
      </c>
      <c r="M59" t="s">
        <v>178</v>
      </c>
      <c r="N59" t="s">
        <v>14</v>
      </c>
    </row>
    <row r="60" x14ac:dyDescent="0.25">
      <c r="A60" t="n">
        <v>25</v>
      </c>
      <c r="B60" t="s">
        <v>14</v>
      </c>
      <c r="C60" t="s">
        <v>22</v>
      </c>
      <c r="D60" s="2" t="s">
        <f>=HYPERLINK("https://main.knesset.gov.il/APPS/legislation/main/bills/2242906", "הצעת חוק לתיקון פקודת התעבורה (אכיפת עבירות תעבורה על ידי רשויות מקומיות),  התשפ""ו-2026")</f>
        <v>179</v>
      </c>
      <c r="E60" t="s">
        <v>179</v>
      </c>
      <c r="F60" t="s">
        <v>180</v>
      </c>
      <c r="G60" t="s">
        <v>14</v>
      </c>
      <c r="H60">
             </c>
      <c r="I60" t="s">
        <v>14</v>
      </c>
      <c r="J60" t="s">
        <v>60</v>
      </c>
      <c r="K60" t="s">
        <v>14</v>
      </c>
      <c r="L60" t="s">
        <v>20</v>
      </c>
      <c r="M60" t="s">
        <v>178</v>
      </c>
      <c r="N60" t="s">
        <v>14</v>
      </c>
    </row>
    <row r="61" x14ac:dyDescent="0.25">
      <c r="A61" t="n">
        <v>25</v>
      </c>
      <c r="B61" t="s">
        <v>14</v>
      </c>
      <c r="C61" t="s">
        <v>22</v>
      </c>
      <c r="D61" s="2" t="s">
        <f>=HYPERLINK("https://main.knesset.gov.il/APPS/legislation/main/bills/2239466", "הצעת חוק כלי הירייה (תיקון - הודעה על מסוכנות על ידי משרד הרווחה והביטחון החברתי), התשפ""ו-2026 ")</f>
        <v>181</v>
      </c>
      <c r="E61" t="s">
        <v>181</v>
      </c>
      <c r="F61" t="s">
        <v>182</v>
      </c>
      <c r="G61" t="s">
        <v>14</v>
      </c>
      <c r="H61">
             </c>
      <c r="I61" t="s">
        <v>14</v>
      </c>
      <c r="J61" t="s">
        <v>55</v>
      </c>
      <c r="K61" t="s">
        <v>14</v>
      </c>
      <c r="L61" t="s">
        <v>20</v>
      </c>
      <c r="M61" t="s">
        <v>178</v>
      </c>
      <c r="N61" t="s">
        <v>14</v>
      </c>
    </row>
    <row r="62" x14ac:dyDescent="0.25">
      <c r="A62" t="n">
        <v>25</v>
      </c>
      <c r="B62" t="s">
        <v>14</v>
      </c>
      <c r="C62" t="s">
        <v>22</v>
      </c>
      <c r="D62" s="2" t="s">
        <f>=HYPERLINK("https://main.knesset.gov.il/APPS/legislation/main/bills/2240133", "הצעת חוק האזרחים הוותיקים (תיקון - תגמול מחיה לאזרחים ותיקים), התשפ""ו-2026")</f>
        <v>183</v>
      </c>
      <c r="E62" t="s">
        <v>183</v>
      </c>
      <c r="F62" t="s">
        <v>184</v>
      </c>
      <c r="G62" t="s">
        <v>14</v>
      </c>
      <c r="H62">
             </c>
      <c r="I62" t="s">
        <v>14</v>
      </c>
      <c r="J62" t="s">
        <v>55</v>
      </c>
      <c r="K62" t="s">
        <v>14</v>
      </c>
      <c r="L62" t="s">
        <v>20</v>
      </c>
      <c r="M62" t="s">
        <v>178</v>
      </c>
      <c r="N62" t="s">
        <v>14</v>
      </c>
    </row>
    <row r="63" x14ac:dyDescent="0.25">
      <c r="A63" t="n">
        <v>25</v>
      </c>
      <c r="B63" t="s">
        <v>14</v>
      </c>
      <c r="C63" t="s">
        <v>22</v>
      </c>
      <c r="D63" s="2" t="s">
        <f>=HYPERLINK("https://main.knesset.gov.il/APPS/legislation/main/bills/2240080", "הצעת חוק זכויות נפגעי עבירה (תיקון - התרת פרסום שמו של פוגע), התשפ""ו-2026")</f>
        <v>185</v>
      </c>
      <c r="E63" t="s">
        <v>185</v>
      </c>
      <c r="F63" t="s">
        <v>186</v>
      </c>
      <c r="G63" t="s">
        <v>14</v>
      </c>
      <c r="H63">
             </c>
      <c r="I63" t="s">
        <v>14</v>
      </c>
      <c r="J63" t="s">
        <v>31</v>
      </c>
      <c r="K63" t="s">
        <v>27</v>
      </c>
      <c r="L63" t="s">
        <v>20</v>
      </c>
      <c r="M63" t="s">
        <v>178</v>
      </c>
      <c r="N63" t="s">
        <v>14</v>
      </c>
    </row>
    <row r="64" x14ac:dyDescent="0.25">
      <c r="A64" t="n">
        <v>25</v>
      </c>
      <c r="B64" t="s">
        <v>14</v>
      </c>
      <c r="C64" t="s">
        <v>22</v>
      </c>
      <c r="D64" s="2" t="s">
        <f>=HYPERLINK("https://main.knesset.gov.il/APPS/legislation/main/bills/2240625", "הצעת חוק חסינות חברי הכנסת, זכויותיהם וחובותיהם (תיקון - סייג לחסינות בפני מעצר בשל אי-התייצבות לחקירה), התשפ""ו-2026")</f>
        <v>187</v>
      </c>
      <c r="E64" t="s">
        <v>187</v>
      </c>
      <c r="F64" t="s">
        <v>188</v>
      </c>
      <c r="G64" t="s">
        <v>14</v>
      </c>
      <c r="H64">
             </c>
      <c r="I64" t="s">
        <v>14</v>
      </c>
      <c r="J64" t="s">
        <v>55</v>
      </c>
      <c r="K64" t="s">
        <v>14</v>
      </c>
      <c r="L64" t="s">
        <v>20</v>
      </c>
      <c r="M64" t="s">
        <v>178</v>
      </c>
      <c r="N64" t="s">
        <v>14</v>
      </c>
    </row>
    <row r="65" x14ac:dyDescent="0.25">
      <c r="A65" t="n">
        <v>25</v>
      </c>
      <c r="B65" t="s">
        <v>14</v>
      </c>
      <c r="C65" t="s">
        <v>22</v>
      </c>
      <c r="D65" s="2" t="s">
        <f>=HYPERLINK("https://main.knesset.gov.il/APPS/legislation/main/bills/2237848", "הצעת חוק הרשתות החברתיות והגנה על קטינים, התשפ""ו-2026")</f>
        <v>189</v>
      </c>
      <c r="E65" t="s">
        <v>189</v>
      </c>
      <c r="F65" t="s">
        <v>190</v>
      </c>
      <c r="G65" t="s">
        <v>14</v>
      </c>
      <c r="H65">
             </c>
      <c r="I65" t="s">
        <v>14</v>
      </c>
      <c r="J65" t="s">
        <v>55</v>
      </c>
      <c r="K65" t="s">
        <v>14</v>
      </c>
      <c r="L65" t="s">
        <v>20</v>
      </c>
      <c r="M65" t="s">
        <v>178</v>
      </c>
      <c r="N65" t="s">
        <v>14</v>
      </c>
    </row>
    <row r="66" x14ac:dyDescent="0.25">
      <c r="A66" t="n">
        <v>25</v>
      </c>
      <c r="B66" t="s">
        <v>14</v>
      </c>
      <c r="C66" t="s">
        <v>22</v>
      </c>
      <c r="D66" s="2" t="s">
        <f>=HYPERLINK("https://main.knesset.gov.il/APPS/legislation/main/bills/2238892", "הצעת חוק לעידוד השימוש בתחבורה ציבורית על ידי עובדים (תיקוני חקיקה), התשפ""ו-2026")</f>
        <v>191</v>
      </c>
      <c r="E66" t="s">
        <v>191</v>
      </c>
      <c r="F66" t="s">
        <v>192</v>
      </c>
      <c r="G66" t="s">
        <v>14</v>
      </c>
      <c r="H66">
             </c>
      <c r="I66" t="s">
        <v>14</v>
      </c>
      <c r="J66" t="s">
        <v>55</v>
      </c>
      <c r="K66" t="s">
        <v>14</v>
      </c>
      <c r="L66" t="s">
        <v>20</v>
      </c>
      <c r="M66" t="s">
        <v>178</v>
      </c>
      <c r="N66" t="s">
        <v>14</v>
      </c>
    </row>
    <row r="67" x14ac:dyDescent="0.25">
      <c r="A67" t="n">
        <v>25</v>
      </c>
      <c r="B67" t="s">
        <v>14</v>
      </c>
      <c r="C67" t="s">
        <v>22</v>
      </c>
      <c r="D67" s="2" t="s">
        <f>=HYPERLINK("https://main.knesset.gov.il/APPS/legislation/main/bills/2233581", "הצעת חוק העונשין (תיקון - ביטול עבירת המטרד על ידי עיסוק בזנות), התשפ""ה-2025")</f>
        <v>193</v>
      </c>
      <c r="E67" t="s">
        <v>193</v>
      </c>
      <c r="F67" t="s">
        <v>194</v>
      </c>
      <c r="G67" t="s">
        <v>14</v>
      </c>
      <c r="H67">
             </c>
      <c r="I67" t="s">
        <v>14</v>
      </c>
      <c r="J67" t="s">
        <v>31</v>
      </c>
      <c r="K67" t="s">
        <v>27</v>
      </c>
      <c r="L67" t="s">
        <v>20</v>
      </c>
      <c r="M67" t="s">
        <v>178</v>
      </c>
      <c r="N67" t="s">
        <v>14</v>
      </c>
    </row>
    <row r="68" x14ac:dyDescent="0.25">
      <c r="A68" t="n">
        <v>25</v>
      </c>
      <c r="B68" t="s">
        <v>14</v>
      </c>
      <c r="C68" t="s">
        <v>22</v>
      </c>
      <c r="D68" s="2" t="s">
        <f>=HYPERLINK("https://main.knesset.gov.il/APPS/legislation/main/bills/2233474", "הצעת חוק העונשין (תיקון - ביטול עבירת המטרד על ידי עיסוק בזנות), התשפ""ה-2025")</f>
        <v>193</v>
      </c>
      <c r="E68" t="s">
        <v>193</v>
      </c>
      <c r="F68" t="s">
        <v>195</v>
      </c>
      <c r="G68" t="s">
        <v>14</v>
      </c>
      <c r="H68">
             </c>
      <c r="I68" t="s">
        <v>14</v>
      </c>
      <c r="J68" t="s">
        <v>31</v>
      </c>
      <c r="K68" t="s">
        <v>27</v>
      </c>
      <c r="L68" t="s">
        <v>20</v>
      </c>
      <c r="M68" t="s">
        <v>178</v>
      </c>
      <c r="N68" t="s">
        <v>14</v>
      </c>
    </row>
    <row r="69" x14ac:dyDescent="0.25">
      <c r="A69" t="n">
        <v>25</v>
      </c>
      <c r="B69" t="s">
        <v>14</v>
      </c>
      <c r="C69" t="s">
        <v>22</v>
      </c>
      <c r="D69" s="2" t="s">
        <f>=HYPERLINK("https://main.knesset.gov.il/APPS/legislation/main/bills/2233407", "הצעת חוק העונשין (תיקון - ביטול עבירת המטרד על ידי עיסוק בזנות), התשפ""ה-2025")</f>
        <v>193</v>
      </c>
      <c r="E69" t="s">
        <v>193</v>
      </c>
      <c r="F69" t="s">
        <v>196</v>
      </c>
      <c r="G69" t="s">
        <v>14</v>
      </c>
      <c r="H69">
             </c>
      <c r="I69" t="s">
        <v>14</v>
      </c>
      <c r="J69" t="s">
        <v>60</v>
      </c>
      <c r="K69" t="s">
        <v>14</v>
      </c>
      <c r="L69" t="s">
        <v>20</v>
      </c>
      <c r="M69" t="s">
        <v>178</v>
      </c>
      <c r="N69" t="s">
        <v>14</v>
      </c>
    </row>
    <row r="70" x14ac:dyDescent="0.25">
      <c r="A70" t="n">
        <v>25</v>
      </c>
      <c r="B70" t="s">
        <v>14</v>
      </c>
      <c r="C70" t="s">
        <v>22</v>
      </c>
      <c r="D70" s="2" t="s">
        <f>=HYPERLINK("https://main.knesset.gov.il/APPS/legislation/main/bills/2226389", "הצעת חוק קרן לאזרחי ישראל (תיקון - הבטחת תקצוב הנגב), התשפ""ה-2025")</f>
        <v>197</v>
      </c>
      <c r="E70" t="s">
        <v>197</v>
      </c>
      <c r="F70" t="s">
        <v>198</v>
      </c>
      <c r="G70" t="s">
        <v>14</v>
      </c>
      <c r="H70">
             </c>
      <c r="I70" t="s">
        <v>14</v>
      </c>
      <c r="J70" t="s">
        <v>55</v>
      </c>
      <c r="K70" t="s">
        <v>14</v>
      </c>
      <c r="L70" t="s">
        <v>20</v>
      </c>
      <c r="M70" t="s">
        <v>178</v>
      </c>
      <c r="N70" t="s">
        <v>14</v>
      </c>
    </row>
    <row r="71" x14ac:dyDescent="0.25">
      <c r="A71" t="n">
        <v>25</v>
      </c>
      <c r="B71" t="s">
        <v>14</v>
      </c>
      <c r="C71" t="s">
        <v>22</v>
      </c>
      <c r="D71" s="2" t="s">
        <f>=HYPERLINK("https://main.knesset.gov.il/APPS/legislation/main/bills/2206757", "הצעת חוק הרשות לפיתוח הנגב (תיקון מס' 4) (תיקון מס' 2) (הארכת התקופה להסדרה תכנונית של מיזם חקלאי–תיירותי משולב), התשפ""ו–2025")</f>
        <v>199</v>
      </c>
      <c r="E71" t="s">
        <v>199</v>
      </c>
      <c r="F71" t="s">
        <v>200</v>
      </c>
      <c r="G71" t="s">
        <v>201</v>
      </c>
      <c r="H71">
             </c>
      <c r="I71" t="s">
        <v>14</v>
      </c>
      <c r="J71" t="s">
        <v>18</v>
      </c>
      <c r="K71" t="s">
        <v>19</v>
      </c>
      <c r="L71" t="s">
        <v>20</v>
      </c>
      <c r="M71" t="s">
        <v>178</v>
      </c>
      <c r="N71" t="s">
        <v>14</v>
      </c>
    </row>
    <row r="72" x14ac:dyDescent="0.25">
      <c r="A72" t="n">
        <v>25</v>
      </c>
      <c r="B72" t="s">
        <v>14</v>
      </c>
      <c r="C72" t="s">
        <v>22</v>
      </c>
      <c r="D72" s="2" t="s">
        <f>=HYPERLINK("https://main.knesset.gov.il/APPS/legislation/main/bills/2200223", "הצעת חוק החקלאות, התשפ""ג-2023")</f>
        <v>202</v>
      </c>
      <c r="E72" t="s">
        <v>202</v>
      </c>
      <c r="F72" t="s">
        <v>203</v>
      </c>
      <c r="G72" t="s">
        <v>14</v>
      </c>
      <c r="H72">
             </c>
      <c r="I72" t="s">
        <v>14</v>
      </c>
      <c r="J72" t="s">
        <v>55</v>
      </c>
      <c r="K72" t="s">
        <v>14</v>
      </c>
      <c r="L72" t="s">
        <v>20</v>
      </c>
      <c r="M72" t="s">
        <v>178</v>
      </c>
      <c r="N72" t="s">
        <v>14</v>
      </c>
    </row>
    <row r="73" x14ac:dyDescent="0.25">
      <c r="A73" t="n">
        <v>25</v>
      </c>
      <c r="B73" t="s">
        <v>14</v>
      </c>
      <c r="C73" t="s">
        <v>22</v>
      </c>
      <c r="D73" s="2" t="s">
        <f>=HYPERLINK("https://main.knesset.gov.il/APPS/legislation/main/bills/2199810", "הצעת חוק צער בעלי חיים (הגנה על בעלי חיים) (תיקון - קביעת עונש מינימום בגין התעללות בבעלי חיים), התשפ""ג-2023")</f>
        <v>204</v>
      </c>
      <c r="E73" t="s">
        <v>204</v>
      </c>
      <c r="F73" t="s">
        <v>205</v>
      </c>
      <c r="G73" t="s">
        <v>14</v>
      </c>
      <c r="H73">
             </c>
      <c r="I73" t="s">
        <v>14</v>
      </c>
      <c r="J73" t="s">
        <v>55</v>
      </c>
      <c r="K73" t="s">
        <v>14</v>
      </c>
      <c r="L73" t="s">
        <v>20</v>
      </c>
      <c r="M73" t="s">
        <v>178</v>
      </c>
      <c r="N73" t="s">
        <v>14</v>
      </c>
    </row>
    <row r="74" x14ac:dyDescent="0.25">
      <c r="A74" t="n">
        <v>25</v>
      </c>
      <c r="B74" t="s">
        <v>14</v>
      </c>
      <c r="C74" t="s">
        <v>22</v>
      </c>
      <c r="D74" s="2" t="s">
        <f>=HYPERLINK("https://main.knesset.gov.il/APPS/legislation/main/bills/2197076", "הצעת חוק העונשין (תיקון - ביטול עבירת המטרד על ידי עיסוק בזנות), התשפ""ג-2023")</f>
        <v>206</v>
      </c>
      <c r="E74" t="s">
        <v>206</v>
      </c>
      <c r="F74" t="s">
        <v>207</v>
      </c>
      <c r="G74" t="s">
        <v>14</v>
      </c>
      <c r="H74">
             </c>
      <c r="I74" t="s">
        <v>14</v>
      </c>
      <c r="J74" t="s">
        <v>31</v>
      </c>
      <c r="K74" t="s">
        <v>27</v>
      </c>
      <c r="L74" t="s">
        <v>20</v>
      </c>
      <c r="M74" t="s">
        <v>178</v>
      </c>
      <c r="N74" t="s">
        <v>14</v>
      </c>
    </row>
    <row r="75" x14ac:dyDescent="0.25">
      <c r="A75" t="n">
        <v>25</v>
      </c>
      <c r="B75" t="s">
        <v>14</v>
      </c>
      <c r="C75" t="s">
        <v>22</v>
      </c>
      <c r="D75" s="2" t="s">
        <f>=HYPERLINK("https://main.knesset.gov.il/APPS/legislation/main/bills/2197936", "הצעת חוק העונשין (תיקון מס' 157) (הארכת תקופת ההתיישנות בעבירות מין בקטינים), התשפ""ה–2025")</f>
        <v>208</v>
      </c>
      <c r="E75" t="s">
        <v>208</v>
      </c>
      <c r="F75" t="s">
        <v>209</v>
      </c>
      <c r="G75" t="s">
        <v>210</v>
      </c>
      <c r="H75">
             </c>
      <c r="I75" t="s">
        <v>26</v>
      </c>
      <c r="J75" t="s">
        <v>18</v>
      </c>
      <c r="K75" t="s">
        <v>14</v>
      </c>
      <c r="L75" t="s">
        <v>20</v>
      </c>
      <c r="M75" t="s">
        <v>178</v>
      </c>
      <c r="N75" t="s">
        <v>14</v>
      </c>
    </row>
    <row r="76" x14ac:dyDescent="0.25">
      <c r="A76" t="n">
        <v>25</v>
      </c>
      <c r="B76" t="s">
        <v>14</v>
      </c>
      <c r="C76" t="s">
        <v>22</v>
      </c>
      <c r="D76" s="2" t="s">
        <f>=HYPERLINK("https://main.knesset.gov.il/APPS/legislation/main/bills/2198403", "הצעת חוק בתי המשפט (תיקון - קביעת הרכבים בבית המשפט העליון וקביעת דיון נוסף), התשפ""ה-2025")</f>
        <v>211</v>
      </c>
      <c r="E76" t="s">
        <v>211</v>
      </c>
      <c r="F76" t="s">
        <v>212</v>
      </c>
      <c r="G76" t="s">
        <v>14</v>
      </c>
      <c r="H76">
             </c>
      <c r="I76" t="s">
        <v>14</v>
      </c>
      <c r="J76" t="s">
        <v>31</v>
      </c>
      <c r="K76" t="s">
        <v>27</v>
      </c>
      <c r="L76" t="s">
        <v>20</v>
      </c>
      <c r="M76" t="s">
        <v>213</v>
      </c>
      <c r="N76" t="s">
        <v>14</v>
      </c>
    </row>
    <row r="77" x14ac:dyDescent="0.25">
      <c r="A77" t="n">
        <v>25</v>
      </c>
      <c r="B77" t="s">
        <v>14</v>
      </c>
      <c r="C77" t="s">
        <v>15</v>
      </c>
      <c r="D77" s="2" t="s">
        <f>=HYPERLINK("https://main.knesset.gov.il/APPS/legislation/main/bills/2240508", "הצעת חוק נתוני אשראי (תיקון מס' 6), התשפ""ו–2026")</f>
        <v>214</v>
      </c>
      <c r="E77" t="s">
        <v>214</v>
      </c>
      <c r="F77" t="s">
        <v>14</v>
      </c>
      <c r="G77" t="s">
        <v>49</v>
      </c>
      <c r="H77">
             </c>
      <c r="I77" t="s">
        <v>14</v>
      </c>
      <c r="J77" t="s">
        <v>73</v>
      </c>
      <c r="K77" t="s">
        <v>19</v>
      </c>
      <c r="L77" t="s">
        <v>20</v>
      </c>
      <c r="M77" t="s">
        <v>213</v>
      </c>
      <c r="N77" t="s">
        <v>14</v>
      </c>
    </row>
    <row r="78" x14ac:dyDescent="0.25">
      <c r="A78" t="n">
        <v>25</v>
      </c>
      <c r="B78" t="s">
        <v>14</v>
      </c>
      <c r="C78" t="s">
        <v>22</v>
      </c>
      <c r="D78" s="2" t="s">
        <f>=HYPERLINK("https://main.knesset.gov.il/APPS/legislation/main/bills/2200570", "הצעת חוק רשות המורשת ביהודה והשומרון, התשפ""ו–2026")</f>
        <v>215</v>
      </c>
      <c r="E78" t="s">
        <v>215</v>
      </c>
      <c r="F78" t="s">
        <v>216</v>
      </c>
      <c r="G78" t="s">
        <v>217</v>
      </c>
      <c r="H78">
             </c>
      <c r="I78" t="s">
        <v>14</v>
      </c>
      <c r="J78" t="s">
        <v>18</v>
      </c>
      <c r="K78" t="s">
        <v>34</v>
      </c>
      <c r="L78" t="s">
        <v>20</v>
      </c>
      <c r="M78" t="s">
        <v>218</v>
      </c>
      <c r="N78" t="s">
        <v>14</v>
      </c>
    </row>
    <row r="79" x14ac:dyDescent="0.25">
      <c r="A79" t="n">
        <v>25</v>
      </c>
      <c r="B79" t="s">
        <v>14</v>
      </c>
      <c r="C79" t="s">
        <v>22</v>
      </c>
      <c r="D79" s="2" t="s">
        <f>=HYPERLINK("https://main.knesset.gov.il/APPS/legislation/main/bills/2229315", "הצעת חוק לתיקון פקודת מס הכנסה (הטבות במס ליישוב מאוים ביהודה והשומרון), התשפ""ה-2025")</f>
        <v>219</v>
      </c>
      <c r="E79" t="s">
        <v>219</v>
      </c>
      <c r="F79" t="s">
        <v>220</v>
      </c>
      <c r="G79" t="s">
        <v>14</v>
      </c>
      <c r="H79">
             </c>
      <c r="I79" t="s">
        <v>14</v>
      </c>
      <c r="J79" t="s">
        <v>99</v>
      </c>
      <c r="K79" t="s">
        <v>85</v>
      </c>
      <c r="L79" t="s">
        <v>20</v>
      </c>
      <c r="M79" t="s">
        <v>218</v>
      </c>
      <c r="N79" t="s">
        <v>14</v>
      </c>
    </row>
    <row r="80" x14ac:dyDescent="0.25">
      <c r="A80" t="n">
        <v>25</v>
      </c>
      <c r="B80" t="s">
        <v>14</v>
      </c>
      <c r="C80" t="s">
        <v>22</v>
      </c>
      <c r="D80" s="2" t="s">
        <f>=HYPERLINK("https://main.knesset.gov.il/APPS/legislation/main/bills/2240684", "הצעת חוק התפזרות הכנסת העשרים וחמש, התשפ""ו-2026")</f>
        <v>221</v>
      </c>
      <c r="E80" t="s">
        <v>221</v>
      </c>
      <c r="F80" t="s">
        <v>222</v>
      </c>
      <c r="G80" t="s">
        <v>14</v>
      </c>
      <c r="H80">
             </c>
      <c r="I80" t="s">
        <v>14</v>
      </c>
      <c r="J80" t="s">
        <v>31</v>
      </c>
      <c r="K80" t="s">
        <v>121</v>
      </c>
      <c r="L80" t="s">
        <v>20</v>
      </c>
      <c r="M80" t="s">
        <v>218</v>
      </c>
      <c r="N80" t="s">
        <v>14</v>
      </c>
    </row>
    <row r="81" x14ac:dyDescent="0.25">
      <c r="A81" t="n">
        <v>25</v>
      </c>
      <c r="B81" t="s">
        <v>14</v>
      </c>
      <c r="C81" t="s">
        <v>22</v>
      </c>
      <c r="D81" s="2" t="s">
        <f>=HYPERLINK("https://main.knesset.gov.il/APPS/legislation/main/bills/2243179", "הצעת חוק התפזרות הכנסת העשרים וחמש, התשפ""ו-2026")</f>
        <v>221</v>
      </c>
      <c r="E81" t="s">
        <v>221</v>
      </c>
      <c r="F81" t="s">
        <v>223</v>
      </c>
      <c r="G81" t="s">
        <v>224</v>
      </c>
      <c r="H81">
             </c>
      <c r="I81" t="s">
        <v>14</v>
      </c>
      <c r="J81" t="s">
        <v>18</v>
      </c>
      <c r="K81" t="s">
        <v>121</v>
      </c>
      <c r="L81" t="s">
        <v>20</v>
      </c>
      <c r="M81" t="s">
        <v>218</v>
      </c>
      <c r="N81" t="s">
        <v>14</v>
      </c>
    </row>
    <row r="82" x14ac:dyDescent="0.25">
      <c r="A82" t="n">
        <v>25</v>
      </c>
      <c r="B82" t="s">
        <v>14</v>
      </c>
      <c r="C82" t="s">
        <v>22</v>
      </c>
      <c r="D82" s="2" t="s">
        <f>=HYPERLINK("https://main.knesset.gov.il/APPS/legislation/main/bills/2233960", "הצעת חוק התפזרות הכנסת העשרים וחמש, התשפ""ה-2025")</f>
        <v>225</v>
      </c>
      <c r="E82" t="s">
        <v>225</v>
      </c>
      <c r="F82" t="s">
        <v>226</v>
      </c>
      <c r="G82" t="s">
        <v>14</v>
      </c>
      <c r="H82">
             </c>
      <c r="I82" t="s">
        <v>14</v>
      </c>
      <c r="J82" t="s">
        <v>31</v>
      </c>
      <c r="K82" t="s">
        <v>121</v>
      </c>
      <c r="L82" t="s">
        <v>20</v>
      </c>
      <c r="M82" t="s">
        <v>218</v>
      </c>
      <c r="N82" t="s">
        <v>14</v>
      </c>
    </row>
    <row r="83" x14ac:dyDescent="0.25">
      <c r="A83" t="n">
        <v>25</v>
      </c>
      <c r="B83" t="s">
        <v>14</v>
      </c>
      <c r="C83" t="s">
        <v>22</v>
      </c>
      <c r="D83" s="2" t="s">
        <f>=HYPERLINK("https://main.knesset.gov.il/APPS/legislation/main/bills/2219404", "הצעת חוק הבחירות לכנסת (תיקון - ייצוג נשים ברשימות מועמדים), התשפ״ו-2026")</f>
        <v>227</v>
      </c>
      <c r="E83" t="s">
        <v>227</v>
      </c>
      <c r="F83" t="s">
        <v>228</v>
      </c>
      <c r="G83" t="s">
        <v>14</v>
      </c>
      <c r="H83">
             </c>
      <c r="I83" t="s">
        <v>14</v>
      </c>
      <c r="J83" t="s">
        <v>141</v>
      </c>
      <c r="K83" t="s">
        <v>14</v>
      </c>
      <c r="L83" t="s">
        <v>20</v>
      </c>
      <c r="M83" t="s">
        <v>218</v>
      </c>
      <c r="N83" t="s">
        <v>14</v>
      </c>
    </row>
    <row r="84" x14ac:dyDescent="0.25">
      <c r="A84" t="n">
        <v>25</v>
      </c>
      <c r="B84" t="s">
        <v>14</v>
      </c>
      <c r="C84" t="s">
        <v>22</v>
      </c>
      <c r="D84" s="2" t="s">
        <f>=HYPERLINK("https://main.knesset.gov.il/APPS/legislation/main/bills/2243278", "הצעת חוק העונשין (תיקון - השחתת מודעות על רקע מגדר), התשפ""ו-2026")</f>
        <v>229</v>
      </c>
      <c r="E84" t="s">
        <v>229</v>
      </c>
      <c r="F84" t="s">
        <v>230</v>
      </c>
      <c r="G84" t="s">
        <v>14</v>
      </c>
      <c r="H84">
             </c>
      <c r="I84" t="s">
        <v>14</v>
      </c>
      <c r="J84" t="s">
        <v>141</v>
      </c>
      <c r="K84" t="s">
        <v>14</v>
      </c>
      <c r="L84" t="s">
        <v>20</v>
      </c>
      <c r="M84" t="s">
        <v>218</v>
      </c>
      <c r="N84" t="s">
        <v>14</v>
      </c>
    </row>
    <row r="85" x14ac:dyDescent="0.25">
      <c r="A85" t="n">
        <v>25</v>
      </c>
      <c r="B85" t="s">
        <v>14</v>
      </c>
      <c r="C85" t="s">
        <v>22</v>
      </c>
      <c r="D85" s="2" t="s">
        <f>=HYPERLINK("https://main.knesset.gov.il/APPS/legislation/main/bills/2242372", "הצעת חוק החמרת ענישה למורשעים במגע עם סוכן חוץ מטעם מדינת איראן, התשפ""ו-2026")</f>
        <v>231</v>
      </c>
      <c r="E85" t="s">
        <v>231</v>
      </c>
      <c r="F85" t="s">
        <v>232</v>
      </c>
      <c r="G85" t="s">
        <v>14</v>
      </c>
      <c r="H85">
             </c>
      <c r="I85" t="s">
        <v>14</v>
      </c>
      <c r="J85" t="s">
        <v>141</v>
      </c>
      <c r="K85" t="s">
        <v>14</v>
      </c>
      <c r="L85" t="s">
        <v>20</v>
      </c>
      <c r="M85" t="s">
        <v>218</v>
      </c>
      <c r="N85" t="s">
        <v>14</v>
      </c>
    </row>
    <row r="86" x14ac:dyDescent="0.25">
      <c r="A86" t="n">
        <v>25</v>
      </c>
      <c r="B86" t="s">
        <v>14</v>
      </c>
      <c r="C86" t="s">
        <v>22</v>
      </c>
      <c r="D86" s="2" t="s">
        <f>=HYPERLINK("https://main.knesset.gov.il/APPS/legislation/main/bills/2242747", "הצעת חוק העונשין (תיקון - ביטול סעיף העלבת עובד ציבור), התשפ""ו-2026")</f>
        <v>233</v>
      </c>
      <c r="E86" t="s">
        <v>233</v>
      </c>
      <c r="F86" t="s">
        <v>234</v>
      </c>
      <c r="G86" t="s">
        <v>14</v>
      </c>
      <c r="H86">
             </c>
      <c r="I86" t="s">
        <v>14</v>
      </c>
      <c r="J86" t="s">
        <v>141</v>
      </c>
      <c r="K86" t="s">
        <v>14</v>
      </c>
      <c r="L86" t="s">
        <v>20</v>
      </c>
      <c r="M86" t="s">
        <v>218</v>
      </c>
      <c r="N86" t="s">
        <v>14</v>
      </c>
    </row>
    <row r="87" x14ac:dyDescent="0.25">
      <c r="A87" t="n">
        <v>25</v>
      </c>
      <c r="B87" t="s">
        <v>14</v>
      </c>
      <c r="C87" t="s">
        <v>22</v>
      </c>
      <c r="D87" s="2" t="s">
        <f>=HYPERLINK("https://main.knesset.gov.il/APPS/legislation/main/bills/2242718", "הצעת חוק העונשין (תיקון - הפקרה אחרי אירוע אלים), התשפ״ו-2026")</f>
        <v>235</v>
      </c>
      <c r="E87" t="s">
        <v>235</v>
      </c>
      <c r="F87" t="s">
        <v>236</v>
      </c>
      <c r="G87" t="s">
        <v>14</v>
      </c>
      <c r="H87">
             </c>
      <c r="I87" t="s">
        <v>14</v>
      </c>
      <c r="J87" t="s">
        <v>141</v>
      </c>
      <c r="K87" t="s">
        <v>14</v>
      </c>
      <c r="L87" t="s">
        <v>20</v>
      </c>
      <c r="M87" t="s">
        <v>218</v>
      </c>
      <c r="N87" t="s">
        <v>14</v>
      </c>
    </row>
    <row r="88" x14ac:dyDescent="0.25">
      <c r="A88" t="n">
        <v>25</v>
      </c>
      <c r="B88" t="s">
        <v>14</v>
      </c>
      <c r="C88" t="s">
        <v>22</v>
      </c>
      <c r="D88" s="2" t="s">
        <f>=HYPERLINK("https://main.knesset.gov.il/APPS/legislation/main/bills/2242743", "הצעת חוק מרשם האוכלוסין (תיקון - רישום בן זוג שנפטר בספח תעודת הזהות), התשפ""ו-2026")</f>
        <v>237</v>
      </c>
      <c r="E88" t="s">
        <v>237</v>
      </c>
      <c r="F88" t="s">
        <v>238</v>
      </c>
      <c r="G88" t="s">
        <v>14</v>
      </c>
      <c r="H88">
             </c>
      <c r="I88" t="s">
        <v>14</v>
      </c>
      <c r="J88" t="s">
        <v>141</v>
      </c>
      <c r="K88" t="s">
        <v>14</v>
      </c>
      <c r="L88" t="s">
        <v>20</v>
      </c>
      <c r="M88" t="s">
        <v>218</v>
      </c>
      <c r="N88" t="s">
        <v>14</v>
      </c>
    </row>
    <row r="89" x14ac:dyDescent="0.25">
      <c r="A89" t="n">
        <v>25</v>
      </c>
      <c r="B89" t="s">
        <v>14</v>
      </c>
      <c r="C89" t="s">
        <v>22</v>
      </c>
      <c r="D89" s="2" t="s">
        <f>=HYPERLINK("https://main.knesset.gov.il/APPS/legislation/main/bills/2242621", "הצעת חוק-יסוד: הכנסת (תיקון - תמיכה במדינת אויב בעת מאבק מזוין) ")</f>
        <v>239</v>
      </c>
      <c r="E89" t="s">
        <v>239</v>
      </c>
      <c r="F89" t="s">
        <v>240</v>
      </c>
      <c r="G89" t="s">
        <v>14</v>
      </c>
      <c r="H89">
             </c>
      <c r="I89" t="s">
        <v>14</v>
      </c>
      <c r="J89" t="s">
        <v>141</v>
      </c>
      <c r="K89" t="s">
        <v>14</v>
      </c>
      <c r="L89" t="s">
        <v>20</v>
      </c>
      <c r="M89" t="s">
        <v>218</v>
      </c>
      <c r="N89" t="s">
        <v>14</v>
      </c>
    </row>
    <row r="90" x14ac:dyDescent="0.25">
      <c r="A90" t="n">
        <v>25</v>
      </c>
      <c r="B90" t="s">
        <v>14</v>
      </c>
      <c r="C90" t="s">
        <v>22</v>
      </c>
      <c r="D90" s="2" t="s">
        <f>=HYPERLINK("https://main.knesset.gov.il/APPS/legislation/main/bills/2243011", "הצעת חוק-יסוד: הממשלה (תיקון - קביעת ממלא מקום ראש הממשלה)")</f>
        <v>241</v>
      </c>
      <c r="E90" t="s">
        <v>241</v>
      </c>
      <c r="F90" t="s">
        <v>242</v>
      </c>
      <c r="G90" t="s">
        <v>14</v>
      </c>
      <c r="H90">
             </c>
      <c r="I90" t="s">
        <v>14</v>
      </c>
      <c r="J90" t="s">
        <v>141</v>
      </c>
      <c r="K90" t="s">
        <v>14</v>
      </c>
      <c r="L90" t="s">
        <v>20</v>
      </c>
      <c r="M90" t="s">
        <v>218</v>
      </c>
      <c r="N90" t="s">
        <v>14</v>
      </c>
    </row>
    <row r="91" x14ac:dyDescent="0.25">
      <c r="A91" t="n">
        <v>25</v>
      </c>
      <c r="B91" t="s">
        <v>14</v>
      </c>
      <c r="C91" t="s">
        <v>22</v>
      </c>
      <c r="D91" s="2" t="s">
        <f>=HYPERLINK("https://main.knesset.gov.il/APPS/legislation/main/bills/2243353", "הצעת חוק הבטחת קשר בין ילדים והוריהם, התשפ""ו-2026")</f>
        <v>243</v>
      </c>
      <c r="E91" t="s">
        <v>243</v>
      </c>
      <c r="F91" t="s">
        <v>244</v>
      </c>
      <c r="G91" t="s">
        <v>14</v>
      </c>
      <c r="H91">
             </c>
      <c r="I91" t="s">
        <v>14</v>
      </c>
      <c r="J91" t="s">
        <v>141</v>
      </c>
      <c r="K91" t="s">
        <v>14</v>
      </c>
      <c r="L91" t="s">
        <v>20</v>
      </c>
      <c r="M91" t="s">
        <v>218</v>
      </c>
      <c r="N91" t="s">
        <v>14</v>
      </c>
    </row>
    <row r="92" x14ac:dyDescent="0.25">
      <c r="A92" t="n">
        <v>25</v>
      </c>
      <c r="B92" t="s">
        <v>14</v>
      </c>
      <c r="C92" t="s">
        <v>22</v>
      </c>
      <c r="D92" s="2" t="s">
        <f>=HYPERLINK("https://main.knesset.gov.il/APPS/legislation/main/bills/2243087", "הצעת חוק העונשין (תיקון - אלימות קבוצתית כנסיבה מחמירה של רצח והחמרת ענישה על המתה בקלות דעת), התשפ""ו-2026")</f>
        <v>245</v>
      </c>
      <c r="E92" t="s">
        <v>245</v>
      </c>
      <c r="F92" t="s">
        <v>246</v>
      </c>
      <c r="G92" t="s">
        <v>14</v>
      </c>
      <c r="H92">
             </c>
      <c r="I92" t="s">
        <v>14</v>
      </c>
      <c r="J92" t="s">
        <v>141</v>
      </c>
      <c r="K92" t="s">
        <v>14</v>
      </c>
      <c r="L92" t="s">
        <v>20</v>
      </c>
      <c r="M92" t="s">
        <v>218</v>
      </c>
      <c r="N92" t="s">
        <v>14</v>
      </c>
    </row>
    <row r="93" x14ac:dyDescent="0.25">
      <c r="A93" t="n">
        <v>25</v>
      </c>
      <c r="B93" t="s">
        <v>14</v>
      </c>
      <c r="C93" t="s">
        <v>22</v>
      </c>
      <c r="D93" s="2" t="s">
        <f>=HYPERLINK("https://main.knesset.gov.il/APPS/legislation/main/bills/2243236", "הצעת חוק-יסוד: חובת שירות לכל")</f>
        <v>247</v>
      </c>
      <c r="E93" t="s">
        <v>247</v>
      </c>
      <c r="F93" t="s">
        <v>248</v>
      </c>
      <c r="G93" t="s">
        <v>14</v>
      </c>
      <c r="H93">
             </c>
      <c r="I93" t="s">
        <v>14</v>
      </c>
      <c r="J93" t="s">
        <v>141</v>
      </c>
      <c r="K93" t="s">
        <v>14</v>
      </c>
      <c r="L93" t="s">
        <v>20</v>
      </c>
      <c r="M93" t="s">
        <v>218</v>
      </c>
      <c r="N93" t="s">
        <v>14</v>
      </c>
    </row>
    <row r="94" x14ac:dyDescent="0.25">
      <c r="A94" t="n">
        <v>25</v>
      </c>
      <c r="B94" t="s">
        <v>14</v>
      </c>
      <c r="C94" t="s">
        <v>22</v>
      </c>
      <c r="D94" s="2" t="s">
        <f>=HYPERLINK("https://main.knesset.gov.il/APPS/legislation/main/bills/2242927", "הצעת חוק העונשין (תיקון - ביטול עבירת המטרד על ידי עיסוק בזנות), התשפ""ו-2026")</f>
        <v>249</v>
      </c>
      <c r="E94" t="s">
        <v>249</v>
      </c>
      <c r="F94" t="s">
        <v>250</v>
      </c>
      <c r="G94" t="s">
        <v>14</v>
      </c>
      <c r="H94">
             </c>
      <c r="I94" t="s">
        <v>14</v>
      </c>
      <c r="J94" t="s">
        <v>141</v>
      </c>
      <c r="K94" t="s">
        <v>14</v>
      </c>
      <c r="L94" t="s">
        <v>20</v>
      </c>
      <c r="M94" t="s">
        <v>218</v>
      </c>
      <c r="N94" t="s">
        <v>14</v>
      </c>
    </row>
    <row r="95" x14ac:dyDescent="0.25">
      <c r="A95" t="n">
        <v>25</v>
      </c>
      <c r="B95" t="s">
        <v>14</v>
      </c>
      <c r="C95" t="s">
        <v>22</v>
      </c>
      <c r="D95" s="2" t="s">
        <f>=HYPERLINK("https://main.knesset.gov.il/APPS/legislation/main/bills/2243214", "הצעת חוק זכויות נפגעי עבירה (תיקון - התרת פרסום שמו של פוגע), התשפ""ו-2026")</f>
        <v>185</v>
      </c>
      <c r="E95" t="s">
        <v>185</v>
      </c>
      <c r="F95" t="s">
        <v>251</v>
      </c>
      <c r="G95" t="s">
        <v>14</v>
      </c>
      <c r="H95">
             </c>
      <c r="I95" t="s">
        <v>14</v>
      </c>
      <c r="J95" t="s">
        <v>141</v>
      </c>
      <c r="K95" t="s">
        <v>14</v>
      </c>
      <c r="L95" t="s">
        <v>20</v>
      </c>
      <c r="M95" t="s">
        <v>218</v>
      </c>
      <c r="N95" t="s">
        <v>14</v>
      </c>
    </row>
    <row r="96" x14ac:dyDescent="0.25">
      <c r="A96" t="n">
        <v>25</v>
      </c>
      <c r="B96" t="s">
        <v>14</v>
      </c>
      <c r="C96" t="s">
        <v>22</v>
      </c>
      <c r="D96" s="2" t="s">
        <f>=HYPERLINK("https://main.knesset.gov.il/APPS/legislation/main/bills/2238516", "הצעת חוק שיקום נרחב לחבל תנופה כאזור מיקוד לאומי, התשפ""ו-2026")</f>
        <v>252</v>
      </c>
      <c r="E96" t="s">
        <v>252</v>
      </c>
      <c r="F96" t="s">
        <v>253</v>
      </c>
      <c r="G96" t="s">
        <v>14</v>
      </c>
      <c r="H96">
             </c>
      <c r="I96" t="s">
        <v>14</v>
      </c>
      <c r="J96" t="s">
        <v>141</v>
      </c>
      <c r="K96" t="s">
        <v>14</v>
      </c>
      <c r="L96" t="s">
        <v>20</v>
      </c>
      <c r="M96" t="s">
        <v>218</v>
      </c>
      <c r="N96" t="s">
        <v>14</v>
      </c>
    </row>
    <row r="97" x14ac:dyDescent="0.25">
      <c r="A97" t="n">
        <v>25</v>
      </c>
      <c r="B97" t="s">
        <v>14</v>
      </c>
      <c r="C97" t="s">
        <v>22</v>
      </c>
      <c r="D97" s="2" t="s">
        <f>=HYPERLINK("https://main.knesset.gov.il/APPS/legislation/main/bills/2243325", "הצעת חוק הפיקוח על שירותים פיננסיים (ביטוח) (תיקון - כתב שירות ללא מעורבות מבטח) (הוראת שעה), התשפ""ו-2026")</f>
        <v>254</v>
      </c>
      <c r="E97" t="s">
        <v>254</v>
      </c>
      <c r="F97" t="s">
        <v>255</v>
      </c>
      <c r="G97" t="s">
        <v>14</v>
      </c>
      <c r="H97">
             </c>
      <c r="I97" t="s">
        <v>14</v>
      </c>
      <c r="J97" t="s">
        <v>141</v>
      </c>
      <c r="K97" t="s">
        <v>14</v>
      </c>
      <c r="L97" t="s">
        <v>20</v>
      </c>
      <c r="M97" t="s">
        <v>218</v>
      </c>
      <c r="N97" t="s">
        <v>14</v>
      </c>
    </row>
    <row r="98" x14ac:dyDescent="0.25">
      <c r="A98" t="n">
        <v>25</v>
      </c>
      <c r="B98" t="s">
        <v>14</v>
      </c>
      <c r="C98" t="s">
        <v>22</v>
      </c>
      <c r="D98" s="2" t="s">
        <f>=HYPERLINK("https://main.knesset.gov.il/APPS/legislation/main/bills/2243387", "הצעת חוק התפזרות הכנסת העשרים וחמש, התשפ""ו-2026")</f>
        <v>221</v>
      </c>
      <c r="E98" t="s">
        <v>221</v>
      </c>
      <c r="F98" t="s">
        <v>256</v>
      </c>
      <c r="G98" t="s">
        <v>14</v>
      </c>
      <c r="H98">
             </c>
      <c r="I98" t="s">
        <v>14</v>
      </c>
      <c r="J98" t="s">
        <v>141</v>
      </c>
      <c r="K98" t="s">
        <v>14</v>
      </c>
      <c r="L98" t="s">
        <v>20</v>
      </c>
      <c r="M98" t="s">
        <v>218</v>
      </c>
      <c r="N98" t="s">
        <v>14</v>
      </c>
    </row>
    <row r="99" x14ac:dyDescent="0.25">
      <c r="A99" t="n">
        <v>25</v>
      </c>
      <c r="B99" t="s">
        <v>14</v>
      </c>
      <c r="C99" t="s">
        <v>22</v>
      </c>
      <c r="D99" s="2" t="s">
        <f>=HYPERLINK("https://main.knesset.gov.il/APPS/legislation/main/bills/2243017", "הצעת חוק הפעלת תחבורה ציבורית בשבת, התשפ""ו-2026")</f>
        <v>257</v>
      </c>
      <c r="E99" t="s">
        <v>257</v>
      </c>
      <c r="F99" t="s">
        <v>258</v>
      </c>
      <c r="G99" t="s">
        <v>14</v>
      </c>
      <c r="H99">
             </c>
      <c r="I99" t="s">
        <v>14</v>
      </c>
      <c r="J99" t="s">
        <v>141</v>
      </c>
      <c r="K99" t="s">
        <v>14</v>
      </c>
      <c r="L99" t="s">
        <v>20</v>
      </c>
      <c r="M99" t="s">
        <v>218</v>
      </c>
      <c r="N99" t="s">
        <v>14</v>
      </c>
    </row>
    <row r="100" x14ac:dyDescent="0.25">
      <c r="A100" t="n">
        <v>25</v>
      </c>
      <c r="B100" t="s">
        <v>14</v>
      </c>
      <c r="C100" t="s">
        <v>22</v>
      </c>
      <c r="D100" s="2" t="s">
        <f>=HYPERLINK("https://main.knesset.gov.il/APPS/legislation/main/bills/2243083", "הצעת חוק אמצעי מצוקה לאנשים עם מוגבלות ואזרחים ותיקים (תיקוני חקיקה), התשפ""ו-2026")</f>
        <v>259</v>
      </c>
      <c r="E100" t="s">
        <v>259</v>
      </c>
      <c r="F100" t="s">
        <v>260</v>
      </c>
      <c r="G100" t="s">
        <v>14</v>
      </c>
      <c r="H100">
             </c>
      <c r="I100" t="s">
        <v>14</v>
      </c>
      <c r="J100" t="s">
        <v>141</v>
      </c>
      <c r="K100" t="s">
        <v>14</v>
      </c>
      <c r="L100" t="s">
        <v>20</v>
      </c>
      <c r="M100" t="s">
        <v>218</v>
      </c>
      <c r="N100" t="s">
        <v>14</v>
      </c>
    </row>
    <row r="101" x14ac:dyDescent="0.25">
      <c r="A101" t="n">
        <v>25</v>
      </c>
      <c r="B101" t="s">
        <v>14</v>
      </c>
      <c r="C101" t="s">
        <v>22</v>
      </c>
      <c r="D101" s="2" t="s">
        <f>=HYPERLINK("https://main.knesset.gov.il/APPS/legislation/main/bills/2243116", "הצעת חוק קרן לאזרחי ישראל (תיקון - הבטחת תקצוב הנגב), התשפ""ו-2026")</f>
        <v>261</v>
      </c>
      <c r="E101" t="s">
        <v>261</v>
      </c>
      <c r="F101" t="s">
        <v>262</v>
      </c>
      <c r="G101" t="s">
        <v>14</v>
      </c>
      <c r="H101">
             </c>
      <c r="I101" t="s">
        <v>14</v>
      </c>
      <c r="J101" t="s">
        <v>141</v>
      </c>
      <c r="K101" t="s">
        <v>14</v>
      </c>
      <c r="L101" t="s">
        <v>20</v>
      </c>
      <c r="M101" t="s">
        <v>218</v>
      </c>
      <c r="N101" t="s">
        <v>14</v>
      </c>
    </row>
    <row r="102" x14ac:dyDescent="0.25">
      <c r="A102" t="n">
        <v>25</v>
      </c>
      <c r="B102" t="s">
        <v>14</v>
      </c>
      <c r="C102" t="s">
        <v>22</v>
      </c>
      <c r="D102" s="2" t="s">
        <f>=HYPERLINK("https://main.knesset.gov.il/APPS/legislation/main/bills/2242907", "הצעת חוק ההתנתקות והפיצויים לנפגעיה (תיקון - נוכחות וחופש תנועה לישראלים בחבל עזה), התשפ""ו-2026 ")</f>
        <v>263</v>
      </c>
      <c r="E102" t="s">
        <v>263</v>
      </c>
      <c r="F102" t="s">
        <v>264</v>
      </c>
      <c r="G102" t="s">
        <v>14</v>
      </c>
      <c r="H102">
             </c>
      <c r="I102" t="s">
        <v>14</v>
      </c>
      <c r="J102" t="s">
        <v>141</v>
      </c>
      <c r="K102" t="s">
        <v>14</v>
      </c>
      <c r="L102" t="s">
        <v>20</v>
      </c>
      <c r="M102" t="s">
        <v>218</v>
      </c>
      <c r="N102" t="s">
        <v>14</v>
      </c>
    </row>
    <row r="103" x14ac:dyDescent="0.25">
      <c r="A103" t="n">
        <v>25</v>
      </c>
      <c r="B103" t="s">
        <v>14</v>
      </c>
      <c r="C103" t="s">
        <v>22</v>
      </c>
      <c r="D103" s="2" t="s">
        <f>=HYPERLINK("https://main.knesset.gov.il/APPS/legislation/main/bills/2242337", " הצעת חוק ההתגוננות האזרחית (תיקון - פיקוח על מחירי הבנייה של מרחבים מוגנים דירתיים), התשפ""ו-2026")</f>
        <v>265</v>
      </c>
      <c r="E103" t="s">
        <v>265</v>
      </c>
      <c r="F103" t="s">
        <v>266</v>
      </c>
      <c r="G103" t="s">
        <v>14</v>
      </c>
      <c r="H103">
             </c>
      <c r="I103" t="s">
        <v>14</v>
      </c>
      <c r="J103" t="s">
        <v>141</v>
      </c>
      <c r="K103" t="s">
        <v>14</v>
      </c>
      <c r="L103" t="s">
        <v>20</v>
      </c>
      <c r="M103" t="s">
        <v>218</v>
      </c>
      <c r="N103" t="s">
        <v>14</v>
      </c>
    </row>
    <row r="104" x14ac:dyDescent="0.25">
      <c r="A104" t="n">
        <v>25</v>
      </c>
      <c r="B104" t="s">
        <v>14</v>
      </c>
      <c r="C104" t="s">
        <v>22</v>
      </c>
      <c r="D104" s="2" t="s">
        <f>=HYPERLINK("https://main.knesset.gov.il/APPS/legislation/main/bills/2243028", "הצעת חוק לטיפול בכתות פוגעניות, התשפ""ו-2026")</f>
        <v>267</v>
      </c>
      <c r="E104" t="s">
        <v>267</v>
      </c>
      <c r="F104" t="s">
        <v>268</v>
      </c>
      <c r="G104" t="s">
        <v>14</v>
      </c>
      <c r="H104">
             </c>
      <c r="I104" t="s">
        <v>14</v>
      </c>
      <c r="J104" t="s">
        <v>141</v>
      </c>
      <c r="K104" t="s">
        <v>14</v>
      </c>
      <c r="L104" t="s">
        <v>20</v>
      </c>
      <c r="M104" t="s">
        <v>218</v>
      </c>
      <c r="N104" t="s">
        <v>14</v>
      </c>
    </row>
    <row r="105" x14ac:dyDescent="0.25">
      <c r="A105" t="n">
        <v>25</v>
      </c>
      <c r="B105" t="s">
        <v>14</v>
      </c>
      <c r="C105" t="s">
        <v>22</v>
      </c>
      <c r="D105" s="2" t="s">
        <f>=HYPERLINK("https://main.knesset.gov.il/APPS/legislation/main/bills/2221686", "הצעת חוק רשויות מרחביות לתחבורה, התשפ""ו-2026")</f>
        <v>269</v>
      </c>
      <c r="E105" t="s">
        <v>269</v>
      </c>
      <c r="F105" t="s">
        <v>270</v>
      </c>
      <c r="G105" t="s">
        <v>14</v>
      </c>
      <c r="H105">
             </c>
      <c r="I105" t="s">
        <v>14</v>
      </c>
      <c r="J105" t="s">
        <v>141</v>
      </c>
      <c r="K105" t="s">
        <v>14</v>
      </c>
      <c r="L105" t="s">
        <v>20</v>
      </c>
      <c r="M105" t="s">
        <v>218</v>
      </c>
      <c r="N105" t="s">
        <v>14</v>
      </c>
    </row>
    <row r="106" x14ac:dyDescent="0.25">
      <c r="A106" t="n">
        <v>25</v>
      </c>
      <c r="B106" t="s">
        <v>14</v>
      </c>
      <c r="C106" t="s">
        <v>22</v>
      </c>
      <c r="D106" s="2" t="s">
        <f>=HYPERLINK("https://main.knesset.gov.il/APPS/legislation/main/bills/2243012", "הצעת חוק ההוצאה לפועל (תיקון - השהיית הליך ואי-נקיטתו כלפי אסירים משוחררים), התשפ""ו-2026")</f>
        <v>271</v>
      </c>
      <c r="E106" t="s">
        <v>271</v>
      </c>
      <c r="F106" t="s">
        <v>272</v>
      </c>
      <c r="G106" t="s">
        <v>14</v>
      </c>
      <c r="H106">
             </c>
      <c r="I106" t="s">
        <v>14</v>
      </c>
      <c r="J106" t="s">
        <v>141</v>
      </c>
      <c r="K106" t="s">
        <v>14</v>
      </c>
      <c r="L106" t="s">
        <v>20</v>
      </c>
      <c r="M106" t="s">
        <v>218</v>
      </c>
      <c r="N106" t="s">
        <v>14</v>
      </c>
    </row>
    <row r="107" x14ac:dyDescent="0.25">
      <c r="A107" t="n">
        <v>25</v>
      </c>
      <c r="B107" t="s">
        <v>14</v>
      </c>
      <c r="C107" t="s">
        <v>22</v>
      </c>
      <c r="D107" s="2" t="s">
        <f>=HYPERLINK("https://main.knesset.gov.il/APPS/legislation/main/bills/2243030", "הצעת חוק ארגון הפיקוח על העבודה (תיקון - הארכת הוראת שעה), התשפ""ו-2026")</f>
        <v>273</v>
      </c>
      <c r="E107" t="s">
        <v>273</v>
      </c>
      <c r="F107" t="s">
        <v>274</v>
      </c>
      <c r="G107" t="s">
        <v>14</v>
      </c>
      <c r="H107">
             </c>
      <c r="I107" t="s">
        <v>14</v>
      </c>
      <c r="J107" t="s">
        <v>141</v>
      </c>
      <c r="K107" t="s">
        <v>14</v>
      </c>
      <c r="L107" t="s">
        <v>20</v>
      </c>
      <c r="M107" t="s">
        <v>218</v>
      </c>
      <c r="N107" t="s">
        <v>14</v>
      </c>
    </row>
    <row r="108" x14ac:dyDescent="0.25">
      <c r="A108" t="n">
        <v>25</v>
      </c>
      <c r="B108" t="s">
        <v>14</v>
      </c>
      <c r="C108" t="s">
        <v>22</v>
      </c>
      <c r="D108" s="2" t="s">
        <f>=HYPERLINK("https://main.knesset.gov.il/APPS/legislation/main/bills/2243271", "הצעת חוק לתיקון פקודת המשטרה (חיזוק עצמאות המשטרה והגבלת המעורבות הפוליטית בעבודתה), התשפ״ו-2026")</f>
        <v>275</v>
      </c>
      <c r="E108" t="s">
        <v>275</v>
      </c>
      <c r="F108" t="s">
        <v>276</v>
      </c>
      <c r="G108" t="s">
        <v>14</v>
      </c>
      <c r="H108">
             </c>
      <c r="I108" t="s">
        <v>14</v>
      </c>
      <c r="J108" t="s">
        <v>141</v>
      </c>
      <c r="K108" t="s">
        <v>14</v>
      </c>
      <c r="L108" t="s">
        <v>20</v>
      </c>
      <c r="M108" t="s">
        <v>218</v>
      </c>
      <c r="N108" t="s">
        <v>14</v>
      </c>
    </row>
    <row r="109" x14ac:dyDescent="0.25">
      <c r="A109" t="n">
        <v>25</v>
      </c>
      <c r="B109" t="s">
        <v>14</v>
      </c>
      <c r="C109" t="s">
        <v>22</v>
      </c>
      <c r="D109" s="2" t="s">
        <f>=HYPERLINK("https://main.knesset.gov.il/APPS/legislation/main/bills/2243018", "הצעת חוק הממשלה (תיקון - קיום מסיבת עיתונאים עיתית לגופי התקשורת בישראל), התשפ""ו-2026")</f>
        <v>277</v>
      </c>
      <c r="E109" t="s">
        <v>277</v>
      </c>
      <c r="F109" t="s">
        <v>278</v>
      </c>
      <c r="G109" t="s">
        <v>14</v>
      </c>
      <c r="H109">
             </c>
      <c r="I109" t="s">
        <v>14</v>
      </c>
      <c r="J109" t="s">
        <v>141</v>
      </c>
      <c r="K109" t="s">
        <v>14</v>
      </c>
      <c r="L109" t="s">
        <v>20</v>
      </c>
      <c r="M109" t="s">
        <v>218</v>
      </c>
      <c r="N109" t="s">
        <v>14</v>
      </c>
    </row>
    <row r="110" x14ac:dyDescent="0.25">
      <c r="A110" t="n">
        <v>25</v>
      </c>
      <c r="B110" t="s">
        <v>14</v>
      </c>
      <c r="C110" t="s">
        <v>22</v>
      </c>
      <c r="D110" s="2" t="s">
        <f>=HYPERLINK("https://main.knesset.gov.il/APPS/legislation/main/bills/2243008", "הצעת חוק קידום החקלאות, התשפ""ו-2026")</f>
        <v>279</v>
      </c>
      <c r="E110" t="s">
        <v>279</v>
      </c>
      <c r="F110" t="s">
        <v>280</v>
      </c>
      <c r="G110" t="s">
        <v>14</v>
      </c>
      <c r="H110">
             </c>
      <c r="I110" t="s">
        <v>14</v>
      </c>
      <c r="J110" t="s">
        <v>141</v>
      </c>
      <c r="K110" t="s">
        <v>14</v>
      </c>
      <c r="L110" t="s">
        <v>20</v>
      </c>
      <c r="M110" t="s">
        <v>218</v>
      </c>
      <c r="N110" t="s">
        <v>14</v>
      </c>
    </row>
    <row r="111" x14ac:dyDescent="0.25">
      <c r="A111" t="n">
        <v>25</v>
      </c>
      <c r="B111" t="s">
        <v>14</v>
      </c>
      <c r="C111" t="s">
        <v>22</v>
      </c>
      <c r="D111" s="2" t="s">
        <f>=HYPERLINK("https://main.knesset.gov.il/APPS/legislation/main/bills/2243016", "הצעת חוק העונשין (תיקון - תקיפת עיתונאים), התשפ""ו-2026")</f>
        <v>281</v>
      </c>
      <c r="E111" t="s">
        <v>281</v>
      </c>
      <c r="F111" t="s">
        <v>282</v>
      </c>
      <c r="G111" t="s">
        <v>14</v>
      </c>
      <c r="H111">
             </c>
      <c r="I111" t="s">
        <v>14</v>
      </c>
      <c r="J111" t="s">
        <v>141</v>
      </c>
      <c r="K111" t="s">
        <v>14</v>
      </c>
      <c r="L111" t="s">
        <v>20</v>
      </c>
      <c r="M111" t="s">
        <v>218</v>
      </c>
      <c r="N111" t="s">
        <v>14</v>
      </c>
    </row>
    <row r="112" x14ac:dyDescent="0.25">
      <c r="A112" t="n">
        <v>25</v>
      </c>
      <c r="B112" t="s">
        <v>14</v>
      </c>
      <c r="C112" t="s">
        <v>22</v>
      </c>
      <c r="D112" s="2" t="s">
        <f>=HYPERLINK("https://main.knesset.gov.il/APPS/legislation/main/bills/2243358", "הצעת חוק למניעת חרם חברתי בבתי ספר, התשפ""ו-2026")</f>
        <v>283</v>
      </c>
      <c r="E112" t="s">
        <v>283</v>
      </c>
      <c r="F112" t="s">
        <v>284</v>
      </c>
      <c r="G112" t="s">
        <v>14</v>
      </c>
      <c r="H112">
             </c>
      <c r="I112" t="s">
        <v>14</v>
      </c>
      <c r="J112" t="s">
        <v>141</v>
      </c>
      <c r="K112" t="s">
        <v>14</v>
      </c>
      <c r="L112" t="s">
        <v>20</v>
      </c>
      <c r="M112" t="s">
        <v>218</v>
      </c>
      <c r="N112" t="s">
        <v>14</v>
      </c>
    </row>
    <row r="113" x14ac:dyDescent="0.25">
      <c r="A113" t="n">
        <v>25</v>
      </c>
      <c r="B113" t="s">
        <v>14</v>
      </c>
      <c r="C113" t="s">
        <v>22</v>
      </c>
      <c r="D113" s="2" t="s">
        <f>=HYPERLINK("https://main.knesset.gov.il/APPS/legislation/main/bills/2243484", "הצעת חוק משפחות חיילים שנספו במערכה (תגמולים ושיקום) (תיקון - השוואת זכויות של יתום עצמאי ליתום משני הורים), התשפ""ו-2026")</f>
        <v>163</v>
      </c>
      <c r="E113" t="s">
        <v>163</v>
      </c>
      <c r="F113" t="s">
        <v>285</v>
      </c>
      <c r="G113" t="s">
        <v>14</v>
      </c>
      <c r="H113">
             </c>
      <c r="I113" t="s">
        <v>14</v>
      </c>
      <c r="J113" t="s">
        <v>141</v>
      </c>
      <c r="K113" t="s">
        <v>14</v>
      </c>
      <c r="L113" t="s">
        <v>20</v>
      </c>
      <c r="M113" t="s">
        <v>218</v>
      </c>
      <c r="N113" t="s">
        <v>14</v>
      </c>
    </row>
    <row r="114" x14ac:dyDescent="0.25">
      <c r="A114" t="n">
        <v>25</v>
      </c>
      <c r="B114" t="s">
        <v>14</v>
      </c>
      <c r="C114" t="s">
        <v>22</v>
      </c>
      <c r="D114" s="2" t="s">
        <f>=HYPERLINK("https://main.knesset.gov.il/APPS/legislation/main/bills/2197130", "הצעת חוק הבנקאות (שירות ללקוח) (תיקון מס' 41), התשפ""ו–2026")</f>
        <v>286</v>
      </c>
      <c r="E114" t="s">
        <v>286</v>
      </c>
      <c r="F114" t="s">
        <v>287</v>
      </c>
      <c r="G114" t="s">
        <v>288</v>
      </c>
      <c r="H114">
             </c>
      <c r="I114" t="s">
        <v>26</v>
      </c>
      <c r="J114" t="s">
        <v>289</v>
      </c>
      <c r="K114" t="s">
        <v>19</v>
      </c>
      <c r="L114" t="s">
        <v>20</v>
      </c>
      <c r="M114" t="s">
        <v>218</v>
      </c>
      <c r="N114" t="s">
        <v>14</v>
      </c>
    </row>
    <row r="115" x14ac:dyDescent="0.25">
      <c r="A115" t="n">
        <v>25</v>
      </c>
      <c r="B115" t="s">
        <v>14</v>
      </c>
      <c r="C115" t="s">
        <v>15</v>
      </c>
      <c r="D115" s="2" t="s">
        <f>=HYPERLINK("https://main.knesset.gov.il/APPS/legislation/main/bills/1057055", "הצעת חוק התכנון והבניה (תיקון מס' 168), התשפ""ו-2026")</f>
        <v>290</v>
      </c>
      <c r="E115" t="s">
        <v>290</v>
      </c>
      <c r="F115" t="s">
        <v>14</v>
      </c>
      <c r="G115" t="s">
        <v>291</v>
      </c>
      <c r="H115">
             </c>
      <c r="I115" t="s">
        <v>14</v>
      </c>
      <c r="J115" t="s">
        <v>18</v>
      </c>
      <c r="K115" t="s">
        <v>46</v>
      </c>
      <c r="L115" t="s">
        <v>20</v>
      </c>
      <c r="M115" t="s">
        <v>218</v>
      </c>
      <c r="N115" t="s">
        <v>14</v>
      </c>
    </row>
    <row r="116" x14ac:dyDescent="0.25">
      <c r="A116" t="n">
        <v>25</v>
      </c>
      <c r="B116" t="s">
        <v>14</v>
      </c>
      <c r="C116" t="s">
        <v>15</v>
      </c>
      <c r="D116" s="2" t="s">
        <f>=HYPERLINK("https://main.knesset.gov.il/APPS/legislation/main/bills/1057200", "הצעת חוק לתיקון פקודת סדר הדין הפלילי (מעצר וחיפוש) (מס' 19) (חיפוש שלא לפי צו חיפוש), התשפ""ו-2026")</f>
        <v>292</v>
      </c>
      <c r="E116" t="s">
        <v>292</v>
      </c>
      <c r="F116" t="s">
        <v>14</v>
      </c>
      <c r="G116" t="s">
        <v>293</v>
      </c>
      <c r="H116">
             </c>
      <c r="I116" t="s">
        <v>14</v>
      </c>
      <c r="J116" t="s">
        <v>69</v>
      </c>
      <c r="K116" t="s">
        <v>14</v>
      </c>
      <c r="L116" t="s">
        <v>20</v>
      </c>
      <c r="M116" t="s">
        <v>218</v>
      </c>
      <c r="N116" t="s">
        <v>14</v>
      </c>
    </row>
    <row r="117" x14ac:dyDescent="0.25">
      <c r="A117" t="n">
        <v>25</v>
      </c>
      <c r="B117" t="s">
        <v>14</v>
      </c>
      <c r="C117" t="s">
        <v>22</v>
      </c>
      <c r="D117" s="2" t="s">
        <f>=HYPERLINK("https://main.knesset.gov.il/APPS/legislation/main/bills/2210354", "הצעת חוק המרכז להנצחת מורשת הלוחם היהודי במלחמת העולם השנייה, התשפ""ו-2026")</f>
        <v>294</v>
      </c>
      <c r="E117" t="s">
        <v>294</v>
      </c>
      <c r="F117" t="s">
        <v>295</v>
      </c>
      <c r="G117" t="s">
        <v>296</v>
      </c>
      <c r="H117">
             </c>
      <c r="I117" t="s">
        <v>14</v>
      </c>
      <c r="J117" t="s">
        <v>18</v>
      </c>
      <c r="K117" t="s">
        <v>34</v>
      </c>
      <c r="L117" t="s">
        <v>20</v>
      </c>
      <c r="M117" t="s">
        <v>297</v>
      </c>
      <c r="N117" t="s">
        <v>14</v>
      </c>
    </row>
    <row r="118" x14ac:dyDescent="0.25">
      <c r="A118" t="n">
        <v>25</v>
      </c>
      <c r="B118" t="s">
        <v>14</v>
      </c>
      <c r="C118" t="s">
        <v>22</v>
      </c>
      <c r="D118" s="2" t="s">
        <f>=HYPERLINK("https://main.knesset.gov.il/APPS/legislation/main/bills/2230560", "הצעת חוק שלילת הטבות מבכירים במערכת הביטחון, התשפ""ה-2025")</f>
        <v>298</v>
      </c>
      <c r="E118" t="s">
        <v>298</v>
      </c>
      <c r="F118" t="s">
        <v>299</v>
      </c>
      <c r="G118" t="s">
        <v>14</v>
      </c>
      <c r="H118">
             </c>
      <c r="I118" t="s">
        <v>14</v>
      </c>
      <c r="J118" t="s">
        <v>31</v>
      </c>
      <c r="K118" t="s">
        <v>114</v>
      </c>
      <c r="L118" t="s">
        <v>20</v>
      </c>
      <c r="M118" t="s">
        <v>300</v>
      </c>
      <c r="N118" t="s">
        <v>14</v>
      </c>
    </row>
    <row r="119" x14ac:dyDescent="0.25">
      <c r="A119" t="n">
        <v>25</v>
      </c>
      <c r="B119" t="s">
        <v>14</v>
      </c>
      <c r="C119" t="s">
        <v>22</v>
      </c>
      <c r="D119" s="2" t="s">
        <f>=HYPERLINK("https://main.knesset.gov.il/APPS/legislation/main/bills/2227066", "הצעת חוק שלילת הטבות מבכירים במערכת הביטחון, התשפ""ה-2025 ")</f>
        <v>301</v>
      </c>
      <c r="E119" t="s">
        <v>301</v>
      </c>
      <c r="F119" t="s">
        <v>302</v>
      </c>
      <c r="G119" t="s">
        <v>14</v>
      </c>
      <c r="H119">
             </c>
      <c r="I119" t="s">
        <v>14</v>
      </c>
      <c r="J119" t="s">
        <v>31</v>
      </c>
      <c r="K119" t="s">
        <v>114</v>
      </c>
      <c r="L119" t="s">
        <v>20</v>
      </c>
      <c r="M119" t="s">
        <v>300</v>
      </c>
      <c r="N119" t="s">
        <v>14</v>
      </c>
    </row>
    <row r="120" x14ac:dyDescent="0.25">
      <c r="A120" t="n">
        <v>25</v>
      </c>
      <c r="B120" t="s">
        <v>14</v>
      </c>
      <c r="C120" t="s">
        <v>15</v>
      </c>
      <c r="D120" s="2" t="s">
        <f>=HYPERLINK("https://main.knesset.gov.il/APPS/legislation/main/bills/2234108", "הצעת חוק עסקאות גופים ציבוריים (תיקון מס' 12) (איסור התקשרות עם ספק בשל מעורבות בפשיעה חמורה), התשפ""ה-2025 ")</f>
        <v>303</v>
      </c>
      <c r="E120" t="s">
        <v>303</v>
      </c>
      <c r="F120" t="s">
        <v>14</v>
      </c>
      <c r="G120" t="s">
        <v>304</v>
      </c>
      <c r="H120">
             </c>
      <c r="I120" t="s">
        <v>14</v>
      </c>
      <c r="J120" t="s">
        <v>18</v>
      </c>
      <c r="K120" t="s">
        <v>27</v>
      </c>
      <c r="L120" t="s">
        <v>20</v>
      </c>
      <c r="M120" t="s">
        <v>300</v>
      </c>
      <c r="N120" t="s">
        <v>14</v>
      </c>
    </row>
    <row r="121" x14ac:dyDescent="0.25">
      <c r="A121" t="n">
        <v>25</v>
      </c>
      <c r="B121" t="s">
        <v>14</v>
      </c>
      <c r="C121" t="s">
        <v>22</v>
      </c>
      <c r="D121" s="2" t="s">
        <f>=HYPERLINK("https://main.knesset.gov.il/APPS/legislation/main/bills/2221116", "הצעת חוק זכויות הסטודנט (תיקון מס' 10) (מסלולי לימוד נפרדים בתארים מתקדמים), התשפ""ה–2025")</f>
        <v>305</v>
      </c>
      <c r="E121" t="s">
        <v>305</v>
      </c>
      <c r="F121" t="s">
        <v>306</v>
      </c>
      <c r="G121" t="s">
        <v>307</v>
      </c>
      <c r="H121">
             </c>
      <c r="I121" t="s">
        <v>14</v>
      </c>
      <c r="J121" t="s">
        <v>18</v>
      </c>
      <c r="K121" t="s">
        <v>34</v>
      </c>
      <c r="L121" t="s">
        <v>20</v>
      </c>
      <c r="M121" t="s">
        <v>300</v>
      </c>
      <c r="N121" t="s">
        <v>14</v>
      </c>
    </row>
    <row r="122" x14ac:dyDescent="0.25">
      <c r="A122" t="n">
        <v>25</v>
      </c>
      <c r="B122" t="s">
        <v>14</v>
      </c>
      <c r="C122" t="s">
        <v>22</v>
      </c>
      <c r="D122" s="2" t="s">
        <f>=HYPERLINK("https://main.knesset.gov.il/APPS/legislation/main/bills/2197590", "הצעת חוק הדיור הציבורי (זכויות רכישה), התשפ""ו–2025")</f>
        <v>308</v>
      </c>
      <c r="E122" t="s">
        <v>308</v>
      </c>
      <c r="F122" t="s">
        <v>309</v>
      </c>
      <c r="G122" t="s">
        <v>310</v>
      </c>
      <c r="H122">
             </c>
      <c r="I122" t="s">
        <v>26</v>
      </c>
      <c r="J122" t="s">
        <v>18</v>
      </c>
      <c r="K122" t="s">
        <v>46</v>
      </c>
      <c r="L122" t="s">
        <v>20</v>
      </c>
      <c r="M122" t="s">
        <v>300</v>
      </c>
      <c r="N122" t="s">
        <v>14</v>
      </c>
    </row>
    <row r="123" x14ac:dyDescent="0.25">
      <c r="A123" t="n">
        <v>25</v>
      </c>
      <c r="B123" t="s">
        <v>14</v>
      </c>
      <c r="C123" t="s">
        <v>22</v>
      </c>
      <c r="D123" s="2" t="s">
        <f>=HYPERLINK("https://main.knesset.gov.il/APPS/legislation/main/bills/2240442", "הצעת חוק חוסן לישראל - הרשות הלאומית לחוסן נפשי ולטראומה, התשפ""ו-2026")</f>
        <v>311</v>
      </c>
      <c r="E123" t="s">
        <v>311</v>
      </c>
      <c r="F123" t="s">
        <v>312</v>
      </c>
      <c r="G123" t="s">
        <v>14</v>
      </c>
      <c r="H123">
             </c>
      <c r="I123" t="s">
        <v>14</v>
      </c>
      <c r="J123" t="s">
        <v>55</v>
      </c>
      <c r="K123" t="s">
        <v>14</v>
      </c>
      <c r="L123" t="s">
        <v>20</v>
      </c>
      <c r="M123" t="s">
        <v>300</v>
      </c>
      <c r="N123" t="s">
        <v>14</v>
      </c>
    </row>
    <row r="124" x14ac:dyDescent="0.25">
      <c r="A124" t="n">
        <v>25</v>
      </c>
      <c r="B124" t="s">
        <v>14</v>
      </c>
      <c r="C124" t="s">
        <v>22</v>
      </c>
      <c r="D124" s="2" t="s">
        <f>=HYPERLINK("https://main.knesset.gov.il/APPS/legislation/main/bills/2239563", "הצעת חוק מחיקת חובות שמקורם בתגמולי מילואים במלחמת חרבות ברזל (תיקוני חקיקה), התשפ""ו-2026")</f>
        <v>313</v>
      </c>
      <c r="E124" t="s">
        <v>313</v>
      </c>
      <c r="F124" t="s">
        <v>314</v>
      </c>
      <c r="G124" t="s">
        <v>14</v>
      </c>
      <c r="H124">
             </c>
      <c r="I124" t="s">
        <v>14</v>
      </c>
      <c r="J124" t="s">
        <v>55</v>
      </c>
      <c r="K124" t="s">
        <v>14</v>
      </c>
      <c r="L124" t="s">
        <v>20</v>
      </c>
      <c r="M124" t="s">
        <v>300</v>
      </c>
      <c r="N124" t="s">
        <v>14</v>
      </c>
    </row>
    <row r="125" x14ac:dyDescent="0.25">
      <c r="A125" t="n">
        <v>25</v>
      </c>
      <c r="B125" t="s">
        <v>14</v>
      </c>
      <c r="C125" t="s">
        <v>22</v>
      </c>
      <c r="D125" s="2" t="s">
        <f>=HYPERLINK("https://main.knesset.gov.il/APPS/legislation/main/bills/2220379", "הצעת חוק השידור הציבורי הישראלי (תיקון מס' 11) (תקציב תאגיד השידור הישראלי),  התשפ""ו–2026")</f>
        <v>315</v>
      </c>
      <c r="E125" t="s">
        <v>315</v>
      </c>
      <c r="F125" t="s">
        <v>316</v>
      </c>
      <c r="G125" t="s">
        <v>317</v>
      </c>
      <c r="H125">
             </c>
      <c r="I125" t="s">
        <v>14</v>
      </c>
      <c r="J125" t="s">
        <v>69</v>
      </c>
      <c r="K125" t="s">
        <v>85</v>
      </c>
      <c r="L125" t="s">
        <v>20</v>
      </c>
      <c r="M125" t="s">
        <v>300</v>
      </c>
      <c r="N125" t="s">
        <v>14</v>
      </c>
    </row>
    <row r="126" x14ac:dyDescent="0.25">
      <c r="A126" t="n">
        <v>25</v>
      </c>
      <c r="B126" t="s">
        <v>14</v>
      </c>
      <c r="C126" t="s">
        <v>22</v>
      </c>
      <c r="D126" s="2" t="s">
        <f>=HYPERLINK("https://main.knesset.gov.il/APPS/legislation/main/bills/2220905", "הצעת חוק העונשין (תיקון - איסור הנפת דגל של מדינת אויב או של הרשות הפלסטינית בגופים המתוקצבים או הנתמכים על ידי המדינה), התשפ""ד-2024")</f>
        <v>318</v>
      </c>
      <c r="E126" t="s">
        <v>318</v>
      </c>
      <c r="F126" t="s">
        <v>319</v>
      </c>
      <c r="G126" t="s">
        <v>14</v>
      </c>
      <c r="H126">
             </c>
      <c r="I126" t="s">
        <v>14</v>
      </c>
      <c r="J126" t="s">
        <v>31</v>
      </c>
      <c r="K126" t="s">
        <v>27</v>
      </c>
      <c r="L126" t="s">
        <v>20</v>
      </c>
      <c r="M126" t="s">
        <v>320</v>
      </c>
      <c r="N126" t="s">
        <v>14</v>
      </c>
    </row>
    <row r="127" x14ac:dyDescent="0.25">
      <c r="A127" t="n">
        <v>25</v>
      </c>
      <c r="B127" t="s">
        <v>14</v>
      </c>
      <c r="C127" t="s">
        <v>22</v>
      </c>
      <c r="D127" s="2" t="s">
        <f>=HYPERLINK("https://main.knesset.gov.il/APPS/legislation/main/bills/2206642", "הצעת חוק חופשה שנתית (תיקון מס' 17), התשפ""ו–2026")</f>
        <v>321</v>
      </c>
      <c r="E127" t="s">
        <v>321</v>
      </c>
      <c r="F127" t="s">
        <v>322</v>
      </c>
      <c r="G127" t="s">
        <v>323</v>
      </c>
      <c r="H127">
             </c>
      <c r="I127" t="s">
        <v>14</v>
      </c>
      <c r="J127" t="s">
        <v>73</v>
      </c>
      <c r="K127" t="s">
        <v>127</v>
      </c>
      <c r="L127" t="s">
        <v>20</v>
      </c>
      <c r="M127" t="s">
        <v>324</v>
      </c>
      <c r="N127" t="s">
        <v>14</v>
      </c>
    </row>
    <row r="128" x14ac:dyDescent="0.25">
      <c r="A128" t="n">
        <v>25</v>
      </c>
      <c r="B128" t="s">
        <v>14</v>
      </c>
      <c r="C128" t="s">
        <v>15</v>
      </c>
      <c r="D128" s="2" t="s">
        <f>=HYPERLINK("https://main.knesset.gov.il/APPS/legislation/main/bills/1044596", "הצעת חוק לתיקון פקודת המועצות המקומיות (מס'  82),  התשפ""ו-2026")</f>
        <v>325</v>
      </c>
      <c r="E128" t="s">
        <v>325</v>
      </c>
      <c r="F128" t="s">
        <v>14</v>
      </c>
      <c r="G128" t="s">
        <v>326</v>
      </c>
      <c r="H128">
             </c>
      <c r="I128" t="s">
        <v>14</v>
      </c>
      <c r="J128" t="s">
        <v>73</v>
      </c>
      <c r="K128" t="s">
        <v>46</v>
      </c>
      <c r="L128" t="s">
        <v>20</v>
      </c>
      <c r="M128" t="s">
        <v>324</v>
      </c>
      <c r="N128" t="s">
        <v>14</v>
      </c>
    </row>
    <row r="129" x14ac:dyDescent="0.25">
      <c r="A129" t="n">
        <v>25</v>
      </c>
      <c r="B129" t="s">
        <v>14</v>
      </c>
      <c r="C129" t="s">
        <v>22</v>
      </c>
      <c r="D129" s="2" t="s">
        <f>=HYPERLINK("https://main.knesset.gov.il/APPS/legislation/main/bills/2202585", "הצעת חוק השמירה על המקומות הקדושים (תיקון - ייעוץ הרבנות הראשית), התשפ""ג-2023")</f>
        <v>327</v>
      </c>
      <c r="E129" t="s">
        <v>327</v>
      </c>
      <c r="F129" t="s">
        <v>328</v>
      </c>
      <c r="G129" t="s">
        <v>14</v>
      </c>
      <c r="H129">
             </c>
      <c r="I129" t="s">
        <v>14</v>
      </c>
      <c r="J129" t="s">
        <v>31</v>
      </c>
      <c r="K129" t="s">
        <v>27</v>
      </c>
      <c r="L129" t="s">
        <v>20</v>
      </c>
      <c r="M129" t="s">
        <v>324</v>
      </c>
      <c r="N129" t="s">
        <v>14</v>
      </c>
    </row>
    <row r="130" x14ac:dyDescent="0.25">
      <c r="A130" t="n">
        <v>25</v>
      </c>
      <c r="B130" t="s">
        <v>14</v>
      </c>
      <c r="C130" t="s">
        <v>22</v>
      </c>
      <c r="D130" s="2" t="s">
        <f>=HYPERLINK("https://main.knesset.gov.il/APPS/legislation/main/bills/2225412", "חוק הכניסה לישראל (תיקון מס' 41), התשפ""ה–2025")</f>
        <v>329</v>
      </c>
      <c r="E130" t="s">
        <v>329</v>
      </c>
      <c r="F130" t="s">
        <v>330</v>
      </c>
      <c r="G130" t="s">
        <v>331</v>
      </c>
      <c r="H130" t="n">
        <v>3425</v>
      </c>
      <c r="I130" t="s">
        <v>14</v>
      </c>
      <c r="J130" t="s">
        <v>91</v>
      </c>
      <c r="K130" t="s">
        <v>46</v>
      </c>
      <c r="L130" t="s">
        <v>20</v>
      </c>
      <c r="M130" t="s">
        <v>324</v>
      </c>
      <c r="N130" t="s">
        <v>332</v>
      </c>
    </row>
    <row r="131" x14ac:dyDescent="0.25">
      <c r="A131" t="n">
        <v>25</v>
      </c>
      <c r="B131" t="s">
        <v>14</v>
      </c>
      <c r="C131" t="s">
        <v>22</v>
      </c>
      <c r="D131" s="2" t="s">
        <f>=HYPERLINK("https://main.knesset.gov.il/APPS/legislation/main/bills/2217182", "חוק התכנון והבנייה (תיקון מס' 162 - הוראת שעה), התשפ""ה-2025")</f>
        <v>333</v>
      </c>
      <c r="E131" t="s">
        <v>333</v>
      </c>
      <c r="F131" t="s">
        <v>334</v>
      </c>
      <c r="G131" t="s">
        <v>335</v>
      </c>
      <c r="H131" t="n">
        <v>3440</v>
      </c>
      <c r="I131" t="s">
        <v>14</v>
      </c>
      <c r="J131" t="s">
        <v>91</v>
      </c>
      <c r="K131" t="s">
        <v>46</v>
      </c>
      <c r="L131" t="s">
        <v>20</v>
      </c>
      <c r="M131" t="s">
        <v>324</v>
      </c>
      <c r="N131" t="s">
        <v>336</v>
      </c>
    </row>
    <row r="132" x14ac:dyDescent="0.25">
      <c r="A132" t="n">
        <v>25</v>
      </c>
      <c r="B132" t="s">
        <v>14</v>
      </c>
      <c r="C132" t="s">
        <v>22</v>
      </c>
      <c r="D132" s="2" t="s">
        <f>=HYPERLINK("https://main.knesset.gov.il/APPS/legislation/main/bills/2216066", "הצעת חוק הרשות השנייה לטלוויזיה ורדיו (תיקון - הרחבת המגוון בשידורי הרדיו), התשפ""ד-2024")</f>
        <v>337</v>
      </c>
      <c r="E132" t="s">
        <v>337</v>
      </c>
      <c r="F132" t="s">
        <v>338</v>
      </c>
      <c r="G132" t="s">
        <v>14</v>
      </c>
      <c r="H132">
             </c>
      <c r="I132" t="s">
        <v>14</v>
      </c>
      <c r="J132" t="s">
        <v>31</v>
      </c>
      <c r="K132" t="s">
        <v>19</v>
      </c>
      <c r="L132" t="s">
        <v>20</v>
      </c>
      <c r="M132" t="s">
        <v>324</v>
      </c>
      <c r="N132" t="s">
        <v>14</v>
      </c>
    </row>
    <row r="133" x14ac:dyDescent="0.25">
      <c r="A133" t="n">
        <v>25</v>
      </c>
      <c r="B133" t="s">
        <v>14</v>
      </c>
      <c r="C133" t="s">
        <v>22</v>
      </c>
      <c r="D133" s="2" t="s">
        <f>=HYPERLINK("https://main.knesset.gov.il/APPS/legislation/main/bills/2215396", "הצעת חוק הרשות השנייה לטלוויזיה ורדיו (תיקון - הנגשת רדיו בשפה הערבית בכל הארץ), התשפ""ד-2024")</f>
        <v>339</v>
      </c>
      <c r="E133" t="s">
        <v>339</v>
      </c>
      <c r="F133" t="s">
        <v>340</v>
      </c>
      <c r="G133" t="s">
        <v>14</v>
      </c>
      <c r="H133">
             </c>
      <c r="I133" t="s">
        <v>14</v>
      </c>
      <c r="J133" t="s">
        <v>31</v>
      </c>
      <c r="K133" t="s">
        <v>19</v>
      </c>
      <c r="L133" t="s">
        <v>20</v>
      </c>
      <c r="M133" t="s">
        <v>324</v>
      </c>
      <c r="N133" t="s">
        <v>14</v>
      </c>
    </row>
    <row r="134" x14ac:dyDescent="0.25">
      <c r="A134" t="n">
        <v>25</v>
      </c>
      <c r="B134" t="s">
        <v>14</v>
      </c>
      <c r="C134" t="s">
        <v>22</v>
      </c>
      <c r="D134" s="2" t="s">
        <f>=HYPERLINK("https://main.knesset.gov.il/APPS/legislation/main/bills/2242893", "הצעת חוק פינוי ובינוי של אזורי שיקום (הוראת שעה - כפר שלם), התשפ""ו-2026 ")</f>
        <v>341</v>
      </c>
      <c r="E134" t="s">
        <v>341</v>
      </c>
      <c r="F134" t="s">
        <v>342</v>
      </c>
      <c r="G134" t="s">
        <v>14</v>
      </c>
      <c r="H134">
             </c>
      <c r="I134" t="s">
        <v>14</v>
      </c>
      <c r="J134" t="s">
        <v>343</v>
      </c>
      <c r="K134" t="s">
        <v>14</v>
      </c>
      <c r="L134" t="s">
        <v>20</v>
      </c>
      <c r="M134" t="s">
        <v>324</v>
      </c>
      <c r="N134" t="s">
        <v>14</v>
      </c>
    </row>
    <row r="135" x14ac:dyDescent="0.25">
      <c r="A135" t="n">
        <v>25</v>
      </c>
      <c r="B135" t="s">
        <v>14</v>
      </c>
      <c r="C135" t="s">
        <v>22</v>
      </c>
      <c r="D135" s="2" t="s">
        <f>=HYPERLINK("https://main.knesset.gov.il/APPS/legislation/main/bills/2243285", "הצעת חוק עובדים זרים (תיקון - זכאות להיתר להעסקת עובד זר בסיעוד ליחיד שמלאו לו 85 שנים),  התשפ""ו-2026")</f>
        <v>344</v>
      </c>
      <c r="E135" t="s">
        <v>344</v>
      </c>
      <c r="F135" t="s">
        <v>345</v>
      </c>
      <c r="G135" t="s">
        <v>14</v>
      </c>
      <c r="H135">
             </c>
      <c r="I135" t="s">
        <v>14</v>
      </c>
      <c r="J135" t="s">
        <v>141</v>
      </c>
      <c r="K135" t="s">
        <v>14</v>
      </c>
      <c r="L135" t="s">
        <v>20</v>
      </c>
      <c r="M135" t="s">
        <v>324</v>
      </c>
      <c r="N135" t="s">
        <v>14</v>
      </c>
    </row>
    <row r="136" x14ac:dyDescent="0.25">
      <c r="A136" t="n">
        <v>25</v>
      </c>
      <c r="B136" t="s">
        <v>14</v>
      </c>
      <c r="C136" t="s">
        <v>22</v>
      </c>
      <c r="D136" s="2" t="s">
        <f>=HYPERLINK("https://main.knesset.gov.il/APPS/legislation/main/bills/2243015", "הצעת חוק מלחמת שמחת תורה, התשפ""ו-2026")</f>
        <v>346</v>
      </c>
      <c r="E136" t="s">
        <v>346</v>
      </c>
      <c r="F136" t="s">
        <v>347</v>
      </c>
      <c r="G136" t="s">
        <v>14</v>
      </c>
      <c r="H136">
             </c>
      <c r="I136" t="s">
        <v>14</v>
      </c>
      <c r="J136" t="s">
        <v>141</v>
      </c>
      <c r="K136" t="s">
        <v>14</v>
      </c>
      <c r="L136" t="s">
        <v>20</v>
      </c>
      <c r="M136" t="s">
        <v>324</v>
      </c>
      <c r="N136" t="s">
        <v>14</v>
      </c>
    </row>
    <row r="137" x14ac:dyDescent="0.25">
      <c r="A137" t="n">
        <v>25</v>
      </c>
      <c r="B137" t="s">
        <v>14</v>
      </c>
      <c r="C137" t="s">
        <v>22</v>
      </c>
      <c r="D137" s="2" t="s">
        <f>=HYPERLINK("https://main.knesset.gov.il/APPS/legislation/main/bills/2235117", "הצעת חוק לתיקון פקודת האגודות השיתופיות (זכויות חבר שאינו מתגורר בתחום האגודה), התשפ""ו-2026")</f>
        <v>348</v>
      </c>
      <c r="E137" t="s">
        <v>348</v>
      </c>
      <c r="F137" t="s">
        <v>349</v>
      </c>
      <c r="G137" t="s">
        <v>14</v>
      </c>
      <c r="H137">
             </c>
      <c r="I137" t="s">
        <v>14</v>
      </c>
      <c r="J137" t="s">
        <v>141</v>
      </c>
      <c r="K137" t="s">
        <v>14</v>
      </c>
      <c r="L137" t="s">
        <v>20</v>
      </c>
      <c r="M137" t="s">
        <v>324</v>
      </c>
      <c r="N137" t="s">
        <v>14</v>
      </c>
    </row>
    <row r="138" x14ac:dyDescent="0.25">
      <c r="A138" t="n">
        <v>25</v>
      </c>
      <c r="B138" t="s">
        <v>14</v>
      </c>
      <c r="C138" t="s">
        <v>22</v>
      </c>
      <c r="D138" s="2" t="s">
        <f>=HYPERLINK("https://main.knesset.gov.il/APPS/legislation/main/bills/2243164", "הצעת חוק לתיקון פקודת המשטרה (חובת לבישת מדים בהפגנות), התשפ""ו-2026")</f>
        <v>350</v>
      </c>
      <c r="E138" t="s">
        <v>350</v>
      </c>
      <c r="F138" t="s">
        <v>351</v>
      </c>
      <c r="G138" t="s">
        <v>14</v>
      </c>
      <c r="H138">
             </c>
      <c r="I138" t="s">
        <v>14</v>
      </c>
      <c r="J138" t="s">
        <v>141</v>
      </c>
      <c r="K138" t="s">
        <v>14</v>
      </c>
      <c r="L138" t="s">
        <v>20</v>
      </c>
      <c r="M138" t="s">
        <v>324</v>
      </c>
      <c r="N138" t="s">
        <v>14</v>
      </c>
    </row>
    <row r="139" x14ac:dyDescent="0.25">
      <c r="A139" t="n">
        <v>25</v>
      </c>
      <c r="B139" t="s">
        <v>14</v>
      </c>
      <c r="C139" t="s">
        <v>22</v>
      </c>
      <c r="D139" s="2" t="s">
        <f>=HYPERLINK("https://main.knesset.gov.il/APPS/legislation/main/bills/2242921", "הצעת חוק השבות (תיקון - הוספת המילה כהלכה), התשפ""ו-2026")</f>
        <v>352</v>
      </c>
      <c r="E139" t="s">
        <v>352</v>
      </c>
      <c r="F139" t="s">
        <v>353</v>
      </c>
      <c r="G139" t="s">
        <v>14</v>
      </c>
      <c r="H139">
             </c>
      <c r="I139" t="s">
        <v>14</v>
      </c>
      <c r="J139" t="s">
        <v>141</v>
      </c>
      <c r="K139" t="s">
        <v>14</v>
      </c>
      <c r="L139" t="s">
        <v>20</v>
      </c>
      <c r="M139" t="s">
        <v>324</v>
      </c>
      <c r="N139" t="s">
        <v>14</v>
      </c>
    </row>
    <row r="140" x14ac:dyDescent="0.25">
      <c r="A140" t="n">
        <v>25</v>
      </c>
      <c r="B140" t="s">
        <v>14</v>
      </c>
      <c r="C140" t="s">
        <v>22</v>
      </c>
      <c r="D140" s="2" t="s">
        <f>=HYPERLINK("https://main.knesset.gov.il/APPS/legislation/main/bills/2241082", "הצעת חוק השיפוט הצבאי (תיקון - הארכת תחולת החוק על עבירות מין), התשפ""ו-2026")</f>
        <v>354</v>
      </c>
      <c r="E140" t="s">
        <v>354</v>
      </c>
      <c r="F140" t="s">
        <v>355</v>
      </c>
      <c r="G140" t="s">
        <v>14</v>
      </c>
      <c r="H140">
             </c>
      <c r="I140" t="s">
        <v>14</v>
      </c>
      <c r="J140" t="s">
        <v>141</v>
      </c>
      <c r="K140" t="s">
        <v>14</v>
      </c>
      <c r="L140" t="s">
        <v>20</v>
      </c>
      <c r="M140" t="s">
        <v>324</v>
      </c>
      <c r="N140" t="s">
        <v>14</v>
      </c>
    </row>
    <row r="141" x14ac:dyDescent="0.25">
      <c r="A141" t="n">
        <v>25</v>
      </c>
      <c r="B141" t="s">
        <v>14</v>
      </c>
      <c r="C141" t="s">
        <v>22</v>
      </c>
      <c r="D141" s="2" t="s">
        <f>=HYPERLINK("https://main.knesset.gov.il/APPS/legislation/main/bills/2243014", "הצעת חוק לתיקון פקודת המשטרה (מינוי קצינים), התשפ""ו-2026")</f>
        <v>356</v>
      </c>
      <c r="E141" t="s">
        <v>356</v>
      </c>
      <c r="F141" t="s">
        <v>357</v>
      </c>
      <c r="G141" t="s">
        <v>14</v>
      </c>
      <c r="H141">
             </c>
      <c r="I141" t="s">
        <v>14</v>
      </c>
      <c r="J141" t="s">
        <v>141</v>
      </c>
      <c r="K141" t="s">
        <v>14</v>
      </c>
      <c r="L141" t="s">
        <v>20</v>
      </c>
      <c r="M141" t="s">
        <v>324</v>
      </c>
      <c r="N141" t="s">
        <v>14</v>
      </c>
    </row>
    <row r="142" x14ac:dyDescent="0.25">
      <c r="A142" t="n">
        <v>25</v>
      </c>
      <c r="B142" t="s">
        <v>14</v>
      </c>
      <c r="C142" t="s">
        <v>22</v>
      </c>
      <c r="D142" s="2" t="s">
        <f>=HYPERLINK("https://main.knesset.gov.il/APPS/legislation/main/bills/2243165", "הצעת חוק שקיפות אינטרסים כספיים וגילוי עניינים של חברי הכנסת והשרים, התשפ""ו-2026")</f>
        <v>358</v>
      </c>
      <c r="E142" t="s">
        <v>358</v>
      </c>
      <c r="F142" t="s">
        <v>359</v>
      </c>
      <c r="G142" t="s">
        <v>14</v>
      </c>
      <c r="H142">
             </c>
      <c r="I142" t="s">
        <v>14</v>
      </c>
      <c r="J142" t="s">
        <v>141</v>
      </c>
      <c r="K142" t="s">
        <v>14</v>
      </c>
      <c r="L142" t="s">
        <v>20</v>
      </c>
      <c r="M142" t="s">
        <v>324</v>
      </c>
      <c r="N142" t="s">
        <v>14</v>
      </c>
    </row>
    <row r="143" x14ac:dyDescent="0.25">
      <c r="A143" t="n">
        <v>25</v>
      </c>
      <c r="B143" t="s">
        <v>14</v>
      </c>
      <c r="C143" t="s">
        <v>22</v>
      </c>
      <c r="D143" s="2" t="s">
        <f>=HYPERLINK("https://main.knesset.gov.il/APPS/legislation/main/bills/2242438", "הצעת חוק שיקום נזקי מלחמה בדרך של התחדשות עירונית (תיקון - מימון בניית מרחב מוגן והוראות נוספות), התשפ""ו-2026")</f>
        <v>360</v>
      </c>
      <c r="E143" t="s">
        <v>360</v>
      </c>
      <c r="F143" t="s">
        <v>361</v>
      </c>
      <c r="G143" t="s">
        <v>14</v>
      </c>
      <c r="H143">
             </c>
      <c r="I143" t="s">
        <v>14</v>
      </c>
      <c r="J143" t="s">
        <v>141</v>
      </c>
      <c r="K143" t="s">
        <v>14</v>
      </c>
      <c r="L143" t="s">
        <v>20</v>
      </c>
      <c r="M143" t="s">
        <v>324</v>
      </c>
      <c r="N143" t="s">
        <v>14</v>
      </c>
    </row>
    <row r="144" x14ac:dyDescent="0.25">
      <c r="A144" t="n">
        <v>25</v>
      </c>
      <c r="B144" t="s">
        <v>14</v>
      </c>
      <c r="C144" t="s">
        <v>22</v>
      </c>
      <c r="D144" s="2" t="s">
        <f>=HYPERLINK("https://main.knesset.gov.il/APPS/legislation/main/bills/2242114", "הצעת חוק השיפוט הצבאי (תיקון - הבטחת תנאי דת לעצורים ולכלואים), התשפ""ו-2026")</f>
        <v>362</v>
      </c>
      <c r="E144" t="s">
        <v>362</v>
      </c>
      <c r="F144" t="s">
        <v>363</v>
      </c>
      <c r="G144" t="s">
        <v>14</v>
      </c>
      <c r="H144">
             </c>
      <c r="I144" t="s">
        <v>14</v>
      </c>
      <c r="J144" t="s">
        <v>141</v>
      </c>
      <c r="K144" t="s">
        <v>14</v>
      </c>
      <c r="L144" t="s">
        <v>20</v>
      </c>
      <c r="M144" t="s">
        <v>324</v>
      </c>
      <c r="N144" t="s">
        <v>14</v>
      </c>
    </row>
    <row r="145" x14ac:dyDescent="0.25">
      <c r="A145" t="n">
        <v>25</v>
      </c>
      <c r="B145" t="s">
        <v>14</v>
      </c>
      <c r="C145" t="s">
        <v>22</v>
      </c>
      <c r="D145" s="2" t="s">
        <f>=HYPERLINK("https://main.knesset.gov.il/APPS/legislation/main/bills/2243009", "הצעת חוק מימון הוצאות למשפחות שבויים, חטופים ונעדרים (תיקון - מענקי סיוע לטובת שיקום), התשפ""ו-2026")</f>
        <v>364</v>
      </c>
      <c r="E145" t="s">
        <v>364</v>
      </c>
      <c r="F145" t="s">
        <v>365</v>
      </c>
      <c r="G145" t="s">
        <v>14</v>
      </c>
      <c r="H145">
             </c>
      <c r="I145" t="s">
        <v>14</v>
      </c>
      <c r="J145" t="s">
        <v>141</v>
      </c>
      <c r="K145" t="s">
        <v>14</v>
      </c>
      <c r="L145" t="s">
        <v>20</v>
      </c>
      <c r="M145" t="s">
        <v>324</v>
      </c>
      <c r="N145" t="s">
        <v>14</v>
      </c>
    </row>
    <row r="146" x14ac:dyDescent="0.25">
      <c r="A146" t="n">
        <v>25</v>
      </c>
      <c r="B146" t="s">
        <v>14</v>
      </c>
      <c r="C146" t="s">
        <v>22</v>
      </c>
      <c r="D146" s="2" t="s">
        <f>=HYPERLINK("https://main.knesset.gov.il/APPS/legislation/main/bills/2242925", "הצעת חוק מעונות יום שיקומיים (תיקון - הוספת טיפול רגשי לפעוטות עם מוגבלות), התשפ""ו-2026")</f>
        <v>366</v>
      </c>
      <c r="E146" t="s">
        <v>366</v>
      </c>
      <c r="F146" t="s">
        <v>367</v>
      </c>
      <c r="G146" t="s">
        <v>14</v>
      </c>
      <c r="H146">
             </c>
      <c r="I146" t="s">
        <v>14</v>
      </c>
      <c r="J146" t="s">
        <v>141</v>
      </c>
      <c r="K146" t="s">
        <v>14</v>
      </c>
      <c r="L146" t="s">
        <v>20</v>
      </c>
      <c r="M146" t="s">
        <v>324</v>
      </c>
      <c r="N146" t="s">
        <v>14</v>
      </c>
    </row>
    <row r="147" x14ac:dyDescent="0.25">
      <c r="A147" t="n">
        <v>25</v>
      </c>
      <c r="B147" t="s">
        <v>14</v>
      </c>
      <c r="C147" t="s">
        <v>15</v>
      </c>
      <c r="D147" s="2" t="s">
        <f>=HYPERLINK("https://main.knesset.gov.il/APPS/legislation/main/bills/1046345", "הצעת חוק לתיקון פקודת הרופאים (תיקון מס' 19), התשפ""ו-2026")</f>
        <v>368</v>
      </c>
      <c r="E147" t="s">
        <v>368</v>
      </c>
      <c r="F147" t="s">
        <v>14</v>
      </c>
      <c r="G147" t="s">
        <v>369</v>
      </c>
      <c r="H147">
             </c>
      <c r="I147" t="s">
        <v>14</v>
      </c>
      <c r="J147" t="s">
        <v>69</v>
      </c>
      <c r="K147" t="s">
        <v>14</v>
      </c>
      <c r="L147" t="s">
        <v>20</v>
      </c>
      <c r="M147" t="s">
        <v>324</v>
      </c>
      <c r="N147" t="s">
        <v>14</v>
      </c>
    </row>
    <row r="148" x14ac:dyDescent="0.25">
      <c r="A148" t="n">
        <v>25</v>
      </c>
      <c r="B148" t="s">
        <v>14</v>
      </c>
      <c r="C148" t="s">
        <v>15</v>
      </c>
      <c r="D148" s="2" t="s">
        <f>=HYPERLINK("https://main.knesset.gov.il/APPS/legislation/main/bills/1046282", "הצעת חוק הכשרות המשפטית והאפוטרופסות (תיקון מס' 25), התשפ""ו-2026")</f>
        <v>370</v>
      </c>
      <c r="E148" t="s">
        <v>370</v>
      </c>
      <c r="F148" t="s">
        <v>14</v>
      </c>
      <c r="G148" t="s">
        <v>371</v>
      </c>
      <c r="H148">
             </c>
      <c r="I148" t="s">
        <v>14</v>
      </c>
      <c r="J148" t="s">
        <v>69</v>
      </c>
      <c r="K148" t="s">
        <v>14</v>
      </c>
      <c r="L148" t="s">
        <v>20</v>
      </c>
      <c r="M148" t="s">
        <v>324</v>
      </c>
      <c r="N148" t="s">
        <v>14</v>
      </c>
    </row>
    <row r="149" x14ac:dyDescent="0.25">
      <c r="A149" t="n">
        <v>25</v>
      </c>
      <c r="B149" t="s">
        <v>14</v>
      </c>
      <c r="C149" t="s">
        <v>15</v>
      </c>
      <c r="D149" s="2" t="s">
        <f>=HYPERLINK("https://main.knesset.gov.il/APPS/legislation/main/bills/1046535", "הצעת חוק לתיקון פקודת הסמים המסוכנים (מס' 23)(חילוט סם מסוכן והשמדתו), התשפ""ו–2026")</f>
        <v>372</v>
      </c>
      <c r="E149" t="s">
        <v>372</v>
      </c>
      <c r="F149" t="s">
        <v>14</v>
      </c>
      <c r="G149" t="s">
        <v>373</v>
      </c>
      <c r="H149">
             </c>
      <c r="I149" t="s">
        <v>14</v>
      </c>
      <c r="J149" t="s">
        <v>69</v>
      </c>
      <c r="K149" t="s">
        <v>14</v>
      </c>
      <c r="L149" t="s">
        <v>20</v>
      </c>
      <c r="M149" t="s">
        <v>324</v>
      </c>
      <c r="N149" t="s">
        <v>14</v>
      </c>
    </row>
    <row r="150" x14ac:dyDescent="0.25">
      <c r="A150" t="n">
        <v>25</v>
      </c>
      <c r="B150" t="s">
        <v>14</v>
      </c>
      <c r="C150" t="s">
        <v>22</v>
      </c>
      <c r="D150" s="2" t="s">
        <f>=HYPERLINK("https://main.knesset.gov.il/APPS/legislation/main/bills/2237901", "הצעת חוק יום לציון עליית יהודי מרוקו לישראל ולהנצחת זכרם של הנספים בדרך לישראל, התשפ""ו-2025")</f>
        <v>374</v>
      </c>
      <c r="E150" t="s">
        <v>374</v>
      </c>
      <c r="F150" t="s">
        <v>375</v>
      </c>
      <c r="G150" t="s">
        <v>14</v>
      </c>
      <c r="H150">
             </c>
      <c r="I150" t="s">
        <v>14</v>
      </c>
      <c r="J150" t="s">
        <v>99</v>
      </c>
      <c r="K150" t="s">
        <v>34</v>
      </c>
      <c r="L150" t="s">
        <v>20</v>
      </c>
      <c r="M150" t="s">
        <v>376</v>
      </c>
      <c r="N150" t="s">
        <v>14</v>
      </c>
    </row>
    <row r="151" x14ac:dyDescent="0.25">
      <c r="A151" t="n">
        <v>25</v>
      </c>
      <c r="B151" t="s">
        <v>14</v>
      </c>
      <c r="C151" t="s">
        <v>15</v>
      </c>
      <c r="D151" s="2" t="s">
        <f>=HYPERLINK("https://main.knesset.gov.il/APPS/legislation/main/bills/2168881", "הצעת חוק שירות ביטחון (תיקון מס' 26) (שילוב תלמידי ישיבות), התשפ""ב-2022 ")</f>
        <v>377</v>
      </c>
      <c r="E151" t="s">
        <v>377</v>
      </c>
      <c r="F151" t="s">
        <v>14</v>
      </c>
      <c r="G151" t="s">
        <v>378</v>
      </c>
      <c r="H151">
             </c>
      <c r="I151" t="s">
        <v>379</v>
      </c>
      <c r="J151" t="s">
        <v>18</v>
      </c>
      <c r="K151" t="s">
        <v>114</v>
      </c>
      <c r="L151" t="s">
        <v>20</v>
      </c>
      <c r="M151" t="s">
        <v>380</v>
      </c>
      <c r="N151" t="s">
        <v>14</v>
      </c>
    </row>
    <row r="152" x14ac:dyDescent="0.25">
      <c r="A152" t="n">
        <v>25</v>
      </c>
      <c r="B152" t="s">
        <v>14</v>
      </c>
      <c r="C152" t="s">
        <v>15</v>
      </c>
      <c r="D152" s="2" t="s">
        <f>=HYPERLINK("https://main.knesset.gov.il/APPS/legislation/main/bills/2220910", "הצעת חוק שירות ביטחון (תיקון מס' 28 והוראת שעה), התשפ""ד-2024")</f>
        <v>381</v>
      </c>
      <c r="E152" t="s">
        <v>381</v>
      </c>
      <c r="F152" t="s">
        <v>14</v>
      </c>
      <c r="G152" t="s">
        <v>382</v>
      </c>
      <c r="H152">
             </c>
      <c r="I152" t="s">
        <v>14</v>
      </c>
      <c r="J152" t="s">
        <v>18</v>
      </c>
      <c r="K152" t="s">
        <v>114</v>
      </c>
      <c r="L152" t="s">
        <v>20</v>
      </c>
      <c r="M152" t="s">
        <v>380</v>
      </c>
      <c r="N152" t="s">
        <v>14</v>
      </c>
    </row>
    <row r="153" x14ac:dyDescent="0.25">
      <c r="A153" t="n">
        <v>25</v>
      </c>
      <c r="B153" t="s">
        <v>14</v>
      </c>
      <c r="C153" t="s">
        <v>22</v>
      </c>
      <c r="D153" s="2" t="s">
        <f>=HYPERLINK("https://main.knesset.gov.il/APPS/legislation/main/bills/2220981", "הצעת חוק רשות העתיקות (תיקון - סמכות רשות העתיקות ביהודה והשומרון), התשפ""ד-2024")</f>
        <v>383</v>
      </c>
      <c r="E153" t="s">
        <v>383</v>
      </c>
      <c r="F153" t="s">
        <v>384</v>
      </c>
      <c r="G153" t="s">
        <v>14</v>
      </c>
      <c r="H153">
             </c>
      <c r="I153" t="s">
        <v>14</v>
      </c>
      <c r="J153" t="s">
        <v>31</v>
      </c>
      <c r="K153" t="s">
        <v>34</v>
      </c>
      <c r="L153" t="s">
        <v>20</v>
      </c>
      <c r="M153" t="s">
        <v>380</v>
      </c>
      <c r="N153" t="s">
        <v>14</v>
      </c>
    </row>
    <row r="154" x14ac:dyDescent="0.25">
      <c r="A154" t="n">
        <v>25</v>
      </c>
      <c r="B154" t="s">
        <v>14</v>
      </c>
      <c r="C154" t="s">
        <v>22</v>
      </c>
      <c r="D154" s="2" t="s">
        <f>=HYPERLINK("https://main.knesset.gov.il/APPS/legislation/main/bills/2220439", "חוק סיוע לבני משפחה של נעדרים, התשפ""ו–2026")</f>
        <v>385</v>
      </c>
      <c r="E154" t="s">
        <v>385</v>
      </c>
      <c r="F154" t="s">
        <v>386</v>
      </c>
      <c r="G154" t="s">
        <v>387</v>
      </c>
      <c r="H154" t="n">
        <v>3530</v>
      </c>
      <c r="I154" t="s">
        <v>14</v>
      </c>
      <c r="J154" t="s">
        <v>91</v>
      </c>
      <c r="K154" t="s">
        <v>105</v>
      </c>
      <c r="L154" t="s">
        <v>20</v>
      </c>
      <c r="M154" t="s">
        <v>380</v>
      </c>
      <c r="N154" t="s">
        <v>14</v>
      </c>
    </row>
    <row r="155" x14ac:dyDescent="0.25">
      <c r="A155" t="n">
        <v>25</v>
      </c>
      <c r="B155" t="s">
        <v>14</v>
      </c>
      <c r="C155" t="s">
        <v>22</v>
      </c>
      <c r="D155" s="2" t="s">
        <f>=HYPERLINK("https://main.knesset.gov.il/APPS/legislation/main/bills/2240123", "הצעת חוק קידום הליכי הקמת יישוב חדש, התשפ""ו-2026")</f>
        <v>388</v>
      </c>
      <c r="E155" t="s">
        <v>388</v>
      </c>
      <c r="F155" t="s">
        <v>389</v>
      </c>
      <c r="G155" t="s">
        <v>14</v>
      </c>
      <c r="H155">
             </c>
      <c r="I155" t="s">
        <v>14</v>
      </c>
      <c r="J155" t="s">
        <v>343</v>
      </c>
      <c r="K155" t="s">
        <v>14</v>
      </c>
      <c r="L155" t="s">
        <v>20</v>
      </c>
      <c r="M155" t="s">
        <v>380</v>
      </c>
      <c r="N155" t="s">
        <v>14</v>
      </c>
    </row>
    <row r="156" x14ac:dyDescent="0.25">
      <c r="A156" t="n">
        <v>25</v>
      </c>
      <c r="B156" t="s">
        <v>14</v>
      </c>
      <c r="C156" t="s">
        <v>22</v>
      </c>
      <c r="D156" s="2" t="s">
        <f>=HYPERLINK("https://main.knesset.gov.il/APPS/legislation/main/bills/2240429", "הצעת חוק התפזרות הכנסת העשרים וחמש, התשפ""ו-2026")</f>
        <v>221</v>
      </c>
      <c r="E156" t="s">
        <v>221</v>
      </c>
      <c r="F156" t="s">
        <v>390</v>
      </c>
      <c r="G156" t="s">
        <v>14</v>
      </c>
      <c r="H156">
             </c>
      <c r="I156" t="s">
        <v>14</v>
      </c>
      <c r="J156" t="s">
        <v>55</v>
      </c>
      <c r="K156" t="s">
        <v>14</v>
      </c>
      <c r="L156" t="s">
        <v>20</v>
      </c>
      <c r="M156" t="s">
        <v>380</v>
      </c>
      <c r="N156" t="s">
        <v>14</v>
      </c>
    </row>
    <row r="157" x14ac:dyDescent="0.25">
      <c r="A157" t="n">
        <v>25</v>
      </c>
      <c r="B157" t="s">
        <v>14</v>
      </c>
      <c r="C157" t="s">
        <v>22</v>
      </c>
      <c r="D157" s="2" t="s">
        <f>=HYPERLINK("https://main.knesset.gov.il/APPS/legislation/main/bills/2238654", "הצעת חוק הפיקוח על שירותים פיננסיים (שירותים פיננסיים מוסדרים) (תיקון - מתן רישיון לנותן שירות זר),  התשפ""ו-2026")</f>
        <v>391</v>
      </c>
      <c r="E157" t="s">
        <v>391</v>
      </c>
      <c r="F157" t="s">
        <v>392</v>
      </c>
      <c r="G157" t="s">
        <v>14</v>
      </c>
      <c r="H157">
             </c>
      <c r="I157" t="s">
        <v>14</v>
      </c>
      <c r="J157" t="s">
        <v>55</v>
      </c>
      <c r="K157" t="s">
        <v>14</v>
      </c>
      <c r="L157" t="s">
        <v>20</v>
      </c>
      <c r="M157" t="s">
        <v>380</v>
      </c>
      <c r="N157" t="s">
        <v>14</v>
      </c>
    </row>
    <row r="158" x14ac:dyDescent="0.25">
      <c r="A158" t="n">
        <v>25</v>
      </c>
      <c r="B158" t="s">
        <v>14</v>
      </c>
      <c r="C158" t="s">
        <v>22</v>
      </c>
      <c r="D158" s="2" t="s">
        <f>=HYPERLINK("https://main.knesset.gov.il/APPS/legislation/main/bills/2233741", "הצעת חוק הליכים מזורזים להקמת יישובים חדשים (תיקוני חקיקה), התשפ""ה-2025")</f>
        <v>393</v>
      </c>
      <c r="E158" t="s">
        <v>393</v>
      </c>
      <c r="F158" t="s">
        <v>394</v>
      </c>
      <c r="G158" t="s">
        <v>14</v>
      </c>
      <c r="H158">
             </c>
      <c r="I158" t="s">
        <v>14</v>
      </c>
      <c r="J158" t="s">
        <v>343</v>
      </c>
      <c r="K158" t="s">
        <v>14</v>
      </c>
      <c r="L158" t="s">
        <v>20</v>
      </c>
      <c r="M158" t="s">
        <v>380</v>
      </c>
      <c r="N158" t="s">
        <v>14</v>
      </c>
    </row>
    <row r="159" x14ac:dyDescent="0.25">
      <c r="A159" t="n">
        <v>25</v>
      </c>
      <c r="B159" t="s">
        <v>14</v>
      </c>
      <c r="C159" t="s">
        <v>22</v>
      </c>
      <c r="D159" s="2" t="s">
        <f>=HYPERLINK("https://main.knesset.gov.il/APPS/legislation/main/bills/2233782", "הצעת חוק התפזרות הכנסת העשרים וחמש, התשפ""ה-2025")</f>
        <v>225</v>
      </c>
      <c r="E159" t="s">
        <v>225</v>
      </c>
      <c r="F159" t="s">
        <v>395</v>
      </c>
      <c r="G159" t="s">
        <v>14</v>
      </c>
      <c r="H159">
             </c>
      <c r="I159" t="s">
        <v>14</v>
      </c>
      <c r="J159" t="s">
        <v>55</v>
      </c>
      <c r="K159" t="s">
        <v>14</v>
      </c>
      <c r="L159" t="s">
        <v>20</v>
      </c>
      <c r="M159" t="s">
        <v>380</v>
      </c>
      <c r="N159" t="s">
        <v>14</v>
      </c>
    </row>
    <row r="160" x14ac:dyDescent="0.25">
      <c r="A160" t="n">
        <v>25</v>
      </c>
      <c r="B160" t="s">
        <v>14</v>
      </c>
      <c r="C160" t="s">
        <v>22</v>
      </c>
      <c r="D160" s="2" t="s">
        <f>=HYPERLINK("https://main.knesset.gov.il/APPS/legislation/main/bills/2232923", "הצעת חוק התפזרות הכנסת העשרים וחמש, התשפ""ה-2025")</f>
        <v>225</v>
      </c>
      <c r="E160" t="s">
        <v>225</v>
      </c>
      <c r="F160" t="s">
        <v>396</v>
      </c>
      <c r="G160" t="s">
        <v>14</v>
      </c>
      <c r="H160">
             </c>
      <c r="I160" t="s">
        <v>14</v>
      </c>
      <c r="J160" t="s">
        <v>55</v>
      </c>
      <c r="K160" t="s">
        <v>14</v>
      </c>
      <c r="L160" t="s">
        <v>20</v>
      </c>
      <c r="M160" t="s">
        <v>380</v>
      </c>
      <c r="N160" t="s">
        <v>14</v>
      </c>
    </row>
    <row r="161" x14ac:dyDescent="0.25">
      <c r="A161" t="n">
        <v>25</v>
      </c>
      <c r="B161" t="s">
        <v>14</v>
      </c>
      <c r="C161" t="s">
        <v>22</v>
      </c>
      <c r="D161" s="2" t="s">
        <f>=HYPERLINK("https://main.knesset.gov.il/APPS/legislation/main/bills/2233051", "הצעת חוק התפזרות הכנסת העשרים וחמש, התשפ""ה-2025")</f>
        <v>225</v>
      </c>
      <c r="E161" t="s">
        <v>225</v>
      </c>
      <c r="F161" t="s">
        <v>397</v>
      </c>
      <c r="G161" t="s">
        <v>14</v>
      </c>
      <c r="H161">
             </c>
      <c r="I161" t="s">
        <v>14</v>
      </c>
      <c r="J161" t="s">
        <v>55</v>
      </c>
      <c r="K161" t="s">
        <v>14</v>
      </c>
      <c r="L161" t="s">
        <v>20</v>
      </c>
      <c r="M161" t="s">
        <v>380</v>
      </c>
      <c r="N161" t="s">
        <v>14</v>
      </c>
    </row>
    <row r="162" x14ac:dyDescent="0.25">
      <c r="A162" t="n">
        <v>25</v>
      </c>
      <c r="B162" t="s">
        <v>14</v>
      </c>
      <c r="C162" t="s">
        <v>22</v>
      </c>
      <c r="D162" s="2" t="s">
        <f>=HYPERLINK("https://main.knesset.gov.il/APPS/legislation/main/bills/2233048", "הצעת חוק התפזרות הכנסת העשרים וחמש, התשפ""ה-2025")</f>
        <v>225</v>
      </c>
      <c r="E162" t="s">
        <v>225</v>
      </c>
      <c r="F162" t="s">
        <v>398</v>
      </c>
      <c r="G162" t="s">
        <v>14</v>
      </c>
      <c r="H162">
             </c>
      <c r="I162" t="s">
        <v>14</v>
      </c>
      <c r="J162" t="s">
        <v>55</v>
      </c>
      <c r="K162" t="s">
        <v>14</v>
      </c>
      <c r="L162" t="s">
        <v>20</v>
      </c>
      <c r="M162" t="s">
        <v>380</v>
      </c>
      <c r="N162" t="s">
        <v>14</v>
      </c>
    </row>
    <row r="163" x14ac:dyDescent="0.25">
      <c r="A163" t="n">
        <v>25</v>
      </c>
      <c r="B163" t="s">
        <v>14</v>
      </c>
      <c r="C163" t="s">
        <v>22</v>
      </c>
      <c r="D163" s="2" t="s">
        <f>=HYPERLINK("https://main.knesset.gov.il/APPS/legislation/main/bills/2211834", "הצעת חוק התפזרות הכנסת העשרים וחמש, התשפ""ד-2023")</f>
        <v>399</v>
      </c>
      <c r="E163" t="s">
        <v>399</v>
      </c>
      <c r="F163" t="s">
        <v>400</v>
      </c>
      <c r="G163" t="s">
        <v>14</v>
      </c>
      <c r="H163">
             </c>
      <c r="I163" t="s">
        <v>14</v>
      </c>
      <c r="J163" t="s">
        <v>55</v>
      </c>
      <c r="K163" t="s">
        <v>14</v>
      </c>
      <c r="L163" t="s">
        <v>20</v>
      </c>
      <c r="M163" t="s">
        <v>380</v>
      </c>
      <c r="N163" t="s">
        <v>14</v>
      </c>
    </row>
    <row r="164" x14ac:dyDescent="0.25">
      <c r="A164" t="n">
        <v>25</v>
      </c>
      <c r="B164" t="s">
        <v>14</v>
      </c>
      <c r="C164" t="s">
        <v>22</v>
      </c>
      <c r="D164" s="2" t="s">
        <f>=HYPERLINK("https://main.knesset.gov.il/APPS/legislation/main/bills/2211431", "הצעת חוק התפזרות הכנסת העשרים וחמש, התשפ""ד-2023")</f>
        <v>399</v>
      </c>
      <c r="E164" t="s">
        <v>399</v>
      </c>
      <c r="F164" t="s">
        <v>401</v>
      </c>
      <c r="G164" t="s">
        <v>14</v>
      </c>
      <c r="H164">
             </c>
      <c r="I164" t="s">
        <v>14</v>
      </c>
      <c r="J164" t="s">
        <v>55</v>
      </c>
      <c r="K164" t="s">
        <v>14</v>
      </c>
      <c r="L164" t="s">
        <v>20</v>
      </c>
      <c r="M164" t="s">
        <v>380</v>
      </c>
      <c r="N164" t="s">
        <v>14</v>
      </c>
    </row>
    <row r="165" x14ac:dyDescent="0.25">
      <c r="A165" t="n">
        <v>25</v>
      </c>
      <c r="B165" t="s">
        <v>14</v>
      </c>
      <c r="C165" t="s">
        <v>22</v>
      </c>
      <c r="D165" s="2" t="s">
        <f>=HYPERLINK("https://main.knesset.gov.il/APPS/legislation/main/bills/2201198", "הצעת חוק התפזרות הכנסת העשרים וחמש, התשפ""ג-2023")</f>
        <v>402</v>
      </c>
      <c r="E165" t="s">
        <v>402</v>
      </c>
      <c r="F165" t="s">
        <v>403</v>
      </c>
      <c r="G165" t="s">
        <v>14</v>
      </c>
      <c r="H165">
             </c>
      <c r="I165" t="s">
        <v>14</v>
      </c>
      <c r="J165" t="s">
        <v>55</v>
      </c>
      <c r="K165" t="s">
        <v>14</v>
      </c>
      <c r="L165" t="s">
        <v>20</v>
      </c>
      <c r="M165" t="s">
        <v>380</v>
      </c>
      <c r="N165" t="s">
        <v>14</v>
      </c>
    </row>
    <row r="166" x14ac:dyDescent="0.25">
      <c r="A166" t="n">
        <v>25</v>
      </c>
      <c r="B166" t="s">
        <v>14</v>
      </c>
      <c r="C166" t="s">
        <v>22</v>
      </c>
      <c r="D166" s="2" t="s">
        <f>=HYPERLINK("https://main.knesset.gov.il/APPS/legislation/main/bills/2197638", "הצעת חוק התפזרות הכנסת העשרים וחמש, התשפ""ג-2022")</f>
        <v>404</v>
      </c>
      <c r="E166" t="s">
        <v>404</v>
      </c>
      <c r="F166" t="s">
        <v>405</v>
      </c>
      <c r="G166" t="s">
        <v>14</v>
      </c>
      <c r="H166">
             </c>
      <c r="I166" t="s">
        <v>14</v>
      </c>
      <c r="J166" t="s">
        <v>55</v>
      </c>
      <c r="K166" t="s">
        <v>14</v>
      </c>
      <c r="L166" t="s">
        <v>20</v>
      </c>
      <c r="M166" t="s">
        <v>380</v>
      </c>
      <c r="N166" t="s">
        <v>14</v>
      </c>
    </row>
    <row r="167" x14ac:dyDescent="0.25">
      <c r="A167" t="n">
        <v>25</v>
      </c>
      <c r="B167" t="s">
        <v>14</v>
      </c>
      <c r="C167" t="s">
        <v>15</v>
      </c>
      <c r="D167" s="2" t="s">
        <f>=HYPERLINK("https://main.knesset.gov.il/APPS/legislation/main/bills/1042203", "הצעת חוק שירות הקבע בצבא הגנה לישראל (גימלאות)(תיקון מס' 39), התשפ""ו-2026")</f>
        <v>406</v>
      </c>
      <c r="E167" t="s">
        <v>406</v>
      </c>
      <c r="F167" t="s">
        <v>14</v>
      </c>
      <c r="G167" t="s">
        <v>407</v>
      </c>
      <c r="H167">
             </c>
      <c r="I167" t="s">
        <v>14</v>
      </c>
      <c r="J167" t="s">
        <v>69</v>
      </c>
      <c r="K167" t="s">
        <v>14</v>
      </c>
      <c r="L167" t="s">
        <v>20</v>
      </c>
      <c r="M167" t="s">
        <v>380</v>
      </c>
      <c r="N167" t="s">
        <v>14</v>
      </c>
    </row>
    <row r="168" x14ac:dyDescent="0.25">
      <c r="A168" t="n">
        <v>25</v>
      </c>
      <c r="B168" t="s">
        <v>14</v>
      </c>
      <c r="C168" t="s">
        <v>22</v>
      </c>
      <c r="D168" s="2" t="s">
        <f>=HYPERLINK("https://main.knesset.gov.il/APPS/legislation/main/bills/2200908", "הצעת חוק להנצחת זכרה של גולדה מאיר, התשפ""ו–2026")</f>
        <v>408</v>
      </c>
      <c r="E168" t="s">
        <v>408</v>
      </c>
      <c r="F168" t="s">
        <v>409</v>
      </c>
      <c r="G168" t="s">
        <v>410</v>
      </c>
      <c r="H168">
             </c>
      <c r="I168" t="s">
        <v>26</v>
      </c>
      <c r="J168" t="s">
        <v>18</v>
      </c>
      <c r="K168" t="s">
        <v>34</v>
      </c>
      <c r="L168" t="s">
        <v>20</v>
      </c>
      <c r="M168" t="s">
        <v>411</v>
      </c>
      <c r="N168" t="s">
        <v>14</v>
      </c>
    </row>
    <row r="169" x14ac:dyDescent="0.25">
      <c r="A169" t="n">
        <v>25</v>
      </c>
      <c r="B169" t="s">
        <v>14</v>
      </c>
      <c r="C169" t="s">
        <v>22</v>
      </c>
      <c r="D169" s="2" t="s">
        <f>=HYPERLINK("https://main.knesset.gov.il/APPS/legislation/main/bills/2226845", "הצעת חוק פיצול תפקיד היועץ המשפטי לממשלה, התשפ""ה-2025")</f>
        <v>412</v>
      </c>
      <c r="E169" t="s">
        <v>412</v>
      </c>
      <c r="F169" t="s">
        <v>413</v>
      </c>
      <c r="G169" t="s">
        <v>14</v>
      </c>
      <c r="H169">
             </c>
      <c r="I169" t="s">
        <v>14</v>
      </c>
      <c r="J169" t="s">
        <v>99</v>
      </c>
      <c r="K169" t="s">
        <v>27</v>
      </c>
      <c r="L169" t="s">
        <v>20</v>
      </c>
      <c r="M169" t="s">
        <v>411</v>
      </c>
      <c r="N169" t="s">
        <v>14</v>
      </c>
    </row>
    <row r="170" x14ac:dyDescent="0.25">
      <c r="A170" t="n">
        <v>25</v>
      </c>
      <c r="B170" t="s">
        <v>14</v>
      </c>
      <c r="C170" t="s">
        <v>22</v>
      </c>
      <c r="D170" s="2" t="s">
        <f>=HYPERLINK("https://main.knesset.gov.il/APPS/legislation/main/bills/2229802", "הצעת חוק עצמאות היועץ המשפטי של משרד ממשלתי, מעמדו וסמכויותיו, התשפ""ה-2025")</f>
        <v>414</v>
      </c>
      <c r="E170" t="s">
        <v>414</v>
      </c>
      <c r="F170" t="s">
        <v>415</v>
      </c>
      <c r="G170" t="s">
        <v>14</v>
      </c>
      <c r="H170">
             </c>
      <c r="I170" t="s">
        <v>14</v>
      </c>
      <c r="J170" t="s">
        <v>99</v>
      </c>
      <c r="K170" t="s">
        <v>27</v>
      </c>
      <c r="L170" t="s">
        <v>20</v>
      </c>
      <c r="M170" t="s">
        <v>416</v>
      </c>
      <c r="N170" t="s">
        <v>14</v>
      </c>
    </row>
    <row r="171" x14ac:dyDescent="0.25">
      <c r="A171" t="n">
        <v>25</v>
      </c>
      <c r="B171" t="s">
        <v>14</v>
      </c>
      <c r="C171" t="s">
        <v>22</v>
      </c>
      <c r="D171" s="2" t="s">
        <f>=HYPERLINK("https://main.knesset.gov.il/APPS/legislation/main/bills/2226047", "הצעת חוק פיצול תפקיד היועץ המשפטי לממשלה, התשפ""ה-2024")</f>
        <v>417</v>
      </c>
      <c r="E171" t="s">
        <v>417</v>
      </c>
      <c r="F171" t="s">
        <v>418</v>
      </c>
      <c r="G171" t="s">
        <v>14</v>
      </c>
      <c r="H171">
             </c>
      <c r="I171" t="s">
        <v>14</v>
      </c>
      <c r="J171" t="s">
        <v>99</v>
      </c>
      <c r="K171" t="s">
        <v>27</v>
      </c>
      <c r="L171" t="s">
        <v>20</v>
      </c>
      <c r="M171" t="s">
        <v>416</v>
      </c>
      <c r="N171" t="s">
        <v>14</v>
      </c>
    </row>
    <row r="172" x14ac:dyDescent="0.25">
      <c r="A172" t="n">
        <v>25</v>
      </c>
      <c r="B172" t="s">
        <v>14</v>
      </c>
      <c r="C172" t="s">
        <v>22</v>
      </c>
      <c r="D172" s="2" t="s">
        <f>=HYPERLINK("https://main.knesset.gov.il/APPS/legislation/main/bills/2225635", "הצעת חוק פיצול תפקיד היועץ המשפטי לממשלה, התשפ""ה-2024")</f>
        <v>417</v>
      </c>
      <c r="E172" t="s">
        <v>417</v>
      </c>
      <c r="F172" t="s">
        <v>419</v>
      </c>
      <c r="G172" t="s">
        <v>14</v>
      </c>
      <c r="H172">
             </c>
      <c r="I172" t="s">
        <v>14</v>
      </c>
      <c r="J172" t="s">
        <v>99</v>
      </c>
      <c r="K172" t="s">
        <v>27</v>
      </c>
      <c r="L172" t="s">
        <v>20</v>
      </c>
      <c r="M172" t="s">
        <v>416</v>
      </c>
      <c r="N172" t="s">
        <v>14</v>
      </c>
    </row>
    <row r="173" x14ac:dyDescent="0.25">
      <c r="A173" t="n">
        <v>25</v>
      </c>
      <c r="B173" t="s">
        <v>14</v>
      </c>
      <c r="C173" t="s">
        <v>22</v>
      </c>
      <c r="D173" s="2" t="s">
        <f>=HYPERLINK("https://main.knesset.gov.il/APPS/legislation/main/bills/2225483", "הצעת חוק פיצול תפקיד היועץ המשפטי לממשלה, התשפ""ה-2024")</f>
        <v>417</v>
      </c>
      <c r="E173" t="s">
        <v>417</v>
      </c>
      <c r="F173" t="s">
        <v>420</v>
      </c>
      <c r="G173" t="s">
        <v>14</v>
      </c>
      <c r="H173">
             </c>
      <c r="I173" t="s">
        <v>14</v>
      </c>
      <c r="J173" t="s">
        <v>99</v>
      </c>
      <c r="K173" t="s">
        <v>27</v>
      </c>
      <c r="L173" t="s">
        <v>20</v>
      </c>
      <c r="M173" t="s">
        <v>416</v>
      </c>
      <c r="N173" t="s">
        <v>14</v>
      </c>
    </row>
    <row r="174" x14ac:dyDescent="0.25">
      <c r="A174" t="n">
        <v>25</v>
      </c>
      <c r="B174" t="s">
        <v>14</v>
      </c>
      <c r="C174" t="s">
        <v>22</v>
      </c>
      <c r="D174" s="2" t="s">
        <f>=HYPERLINK("https://main.knesset.gov.il/APPS/legislation/main/bills/2218869", "הצעת חוק פיצול תפקיד היועץ המשפטי לממשלה, התשפ""ד-2024")</f>
        <v>421</v>
      </c>
      <c r="E174" t="s">
        <v>421</v>
      </c>
      <c r="F174" t="s">
        <v>422</v>
      </c>
      <c r="G174" t="s">
        <v>14</v>
      </c>
      <c r="H174">
             </c>
      <c r="I174" t="s">
        <v>14</v>
      </c>
      <c r="J174" t="s">
        <v>99</v>
      </c>
      <c r="K174" t="s">
        <v>27</v>
      </c>
      <c r="L174" t="s">
        <v>20</v>
      </c>
      <c r="M174" t="s">
        <v>416</v>
      </c>
      <c r="N174" t="s">
        <v>14</v>
      </c>
    </row>
    <row r="175" x14ac:dyDescent="0.25">
      <c r="A175" t="n">
        <v>25</v>
      </c>
      <c r="B175" t="s">
        <v>14</v>
      </c>
      <c r="C175" t="s">
        <v>22</v>
      </c>
      <c r="D175" s="2" t="s">
        <f>=HYPERLINK("https://main.knesset.gov.il/APPS/legislation/main/bills/2208895", "הצעת חוק פיצול תפקיד היועץ המשפטי לממשלה, התשפ""ג-2023")</f>
        <v>423</v>
      </c>
      <c r="E175" t="s">
        <v>423</v>
      </c>
      <c r="F175" t="s">
        <v>424</v>
      </c>
      <c r="G175" t="s">
        <v>14</v>
      </c>
      <c r="H175">
             </c>
      <c r="I175" t="s">
        <v>14</v>
      </c>
      <c r="J175" t="s">
        <v>99</v>
      </c>
      <c r="K175" t="s">
        <v>27</v>
      </c>
      <c r="L175" t="s">
        <v>20</v>
      </c>
      <c r="M175" t="s">
        <v>416</v>
      </c>
      <c r="N175" t="s">
        <v>14</v>
      </c>
    </row>
    <row r="176" x14ac:dyDescent="0.25">
      <c r="A176" t="n">
        <v>25</v>
      </c>
      <c r="B176" t="s">
        <v>14</v>
      </c>
      <c r="C176" t="s">
        <v>22</v>
      </c>
      <c r="D176" s="2" t="s">
        <f>=HYPERLINK("https://main.knesset.gov.il/APPS/legislation/main/bills/2204025", "הצעת חוק התובע הכללי, התשפ""ג-2023")</f>
        <v>425</v>
      </c>
      <c r="E176" t="s">
        <v>425</v>
      </c>
      <c r="F176" t="s">
        <v>426</v>
      </c>
      <c r="G176" t="s">
        <v>14</v>
      </c>
      <c r="H176">
             </c>
      <c r="I176" t="s">
        <v>14</v>
      </c>
      <c r="J176" t="s">
        <v>99</v>
      </c>
      <c r="K176" t="s">
        <v>27</v>
      </c>
      <c r="L176" t="s">
        <v>20</v>
      </c>
      <c r="M176" t="s">
        <v>416</v>
      </c>
      <c r="N176" t="s">
        <v>14</v>
      </c>
    </row>
    <row r="177" x14ac:dyDescent="0.25">
      <c r="A177" t="n">
        <v>25</v>
      </c>
      <c r="B177" t="s">
        <v>14</v>
      </c>
      <c r="C177" t="s">
        <v>22</v>
      </c>
      <c r="D177" s="2" t="s">
        <f>=HYPERLINK("https://main.knesset.gov.il/APPS/legislation/main/bills/2202706", "הצעת חוק התובע הכללי, התשפ""ג-2023")</f>
        <v>425</v>
      </c>
      <c r="E177" t="s">
        <v>425</v>
      </c>
      <c r="F177" t="s">
        <v>427</v>
      </c>
      <c r="G177" t="s">
        <v>14</v>
      </c>
      <c r="H177">
             </c>
      <c r="I177" t="s">
        <v>14</v>
      </c>
      <c r="J177" t="s">
        <v>99</v>
      </c>
      <c r="K177" t="s">
        <v>27</v>
      </c>
      <c r="L177" t="s">
        <v>20</v>
      </c>
      <c r="M177" t="s">
        <v>416</v>
      </c>
      <c r="N177" t="s">
        <v>14</v>
      </c>
    </row>
    <row r="178" x14ac:dyDescent="0.25">
      <c r="A178" t="n">
        <v>25</v>
      </c>
      <c r="B178" t="s">
        <v>14</v>
      </c>
      <c r="C178" t="s">
        <v>22</v>
      </c>
      <c r="D178" s="2" t="s">
        <f>=HYPERLINK("https://main.knesset.gov.il/APPS/legislation/main/bills/2238901", "הצעת חוק שירותי הדת היהודיים (תיקון - התקנת תקנות באישור ועדה), התשפ""ו-2026")</f>
        <v>428</v>
      </c>
      <c r="E178" t="s">
        <v>428</v>
      </c>
      <c r="F178" t="s">
        <v>429</v>
      </c>
      <c r="G178" t="s">
        <v>14</v>
      </c>
      <c r="H178">
             </c>
      <c r="I178" t="s">
        <v>14</v>
      </c>
      <c r="J178" t="s">
        <v>141</v>
      </c>
      <c r="K178" t="s">
        <v>14</v>
      </c>
      <c r="L178" t="s">
        <v>20</v>
      </c>
      <c r="M178" t="s">
        <v>416</v>
      </c>
      <c r="N178" t="s">
        <v>14</v>
      </c>
    </row>
    <row r="179" x14ac:dyDescent="0.25">
      <c r="A179" t="n">
        <v>25</v>
      </c>
      <c r="B179" t="s">
        <v>14</v>
      </c>
      <c r="C179" t="s">
        <v>22</v>
      </c>
      <c r="D179" s="2" t="s">
        <f>=HYPERLINK("https://main.knesset.gov.il/APPS/legislation/main/bills/2242994", "הצעת חוק הרבנות הראשית לישראל (תיקון - סמכות לעריכת בחינות), התשפ""ו-2026")</f>
        <v>430</v>
      </c>
      <c r="E179" t="s">
        <v>430</v>
      </c>
      <c r="F179" t="s">
        <v>431</v>
      </c>
      <c r="G179" t="s">
        <v>14</v>
      </c>
      <c r="H179">
             </c>
      <c r="I179" t="s">
        <v>14</v>
      </c>
      <c r="J179" t="s">
        <v>141</v>
      </c>
      <c r="K179" t="s">
        <v>14</v>
      </c>
      <c r="L179" t="s">
        <v>20</v>
      </c>
      <c r="M179" t="s">
        <v>416</v>
      </c>
      <c r="N179" t="s">
        <v>14</v>
      </c>
    </row>
    <row r="180" x14ac:dyDescent="0.25">
      <c r="A180" t="n">
        <v>25</v>
      </c>
      <c r="B180" t="s">
        <v>14</v>
      </c>
      <c r="C180" t="s">
        <v>22</v>
      </c>
      <c r="D180" s="2" t="s">
        <f>=HYPERLINK("https://main.knesset.gov.il/APPS/legislation/main/bills/2242995", "הצעת חוק הביטוח הלאומי (תיקון - הבטחת רצף זכאות לקצבת שאירים ליתומים צעירים), התשפ""ו-2026")</f>
        <v>432</v>
      </c>
      <c r="E180" t="s">
        <v>432</v>
      </c>
      <c r="F180" t="s">
        <v>433</v>
      </c>
      <c r="G180" t="s">
        <v>14</v>
      </c>
      <c r="H180">
             </c>
      <c r="I180" t="s">
        <v>14</v>
      </c>
      <c r="J180" t="s">
        <v>141</v>
      </c>
      <c r="K180" t="s">
        <v>14</v>
      </c>
      <c r="L180" t="s">
        <v>20</v>
      </c>
      <c r="M180" t="s">
        <v>416</v>
      </c>
      <c r="N180" t="s">
        <v>14</v>
      </c>
    </row>
    <row r="181" x14ac:dyDescent="0.25">
      <c r="A181" t="n">
        <v>25</v>
      </c>
      <c r="B181" t="s">
        <v>14</v>
      </c>
      <c r="C181" t="s">
        <v>22</v>
      </c>
      <c r="D181" s="2" t="s">
        <f>=HYPERLINK("https://main.knesset.gov.il/APPS/legislation/main/bills/2232958", "הצעת חוק ייצוג ארגונים וגופים ציבוריים, התשפ""ו-2026")</f>
        <v>434</v>
      </c>
      <c r="E181" t="s">
        <v>434</v>
      </c>
      <c r="F181" t="s">
        <v>435</v>
      </c>
      <c r="G181" t="s">
        <v>14</v>
      </c>
      <c r="H181">
             </c>
      <c r="I181" t="s">
        <v>14</v>
      </c>
      <c r="J181" t="s">
        <v>141</v>
      </c>
      <c r="K181" t="s">
        <v>14</v>
      </c>
      <c r="L181" t="s">
        <v>20</v>
      </c>
      <c r="M181" t="s">
        <v>416</v>
      </c>
      <c r="N181" t="s">
        <v>14</v>
      </c>
    </row>
    <row r="182" x14ac:dyDescent="0.25">
      <c r="A182" t="n">
        <v>25</v>
      </c>
      <c r="B182" t="s">
        <v>14</v>
      </c>
      <c r="C182" t="s">
        <v>22</v>
      </c>
      <c r="D182" s="2" t="s">
        <f>=HYPERLINK("https://main.knesset.gov.il/APPS/legislation/main/bills/2241882", "הצעת חוק הפסיכולוגים (תיקון - הכרה בפסיכולוגים מחוץ לישראל על בסיס ניסיון מקצועי), התשפ״ו-2026")</f>
        <v>436</v>
      </c>
      <c r="E182" t="s">
        <v>436</v>
      </c>
      <c r="F182" t="s">
        <v>437</v>
      </c>
      <c r="G182" t="s">
        <v>14</v>
      </c>
      <c r="H182">
             </c>
      <c r="I182" t="s">
        <v>14</v>
      </c>
      <c r="J182" t="s">
        <v>141</v>
      </c>
      <c r="K182" t="s">
        <v>14</v>
      </c>
      <c r="L182" t="s">
        <v>20</v>
      </c>
      <c r="M182" t="s">
        <v>416</v>
      </c>
      <c r="N182" t="s">
        <v>14</v>
      </c>
    </row>
    <row r="183" x14ac:dyDescent="0.25">
      <c r="A183" t="n">
        <v>25</v>
      </c>
      <c r="B183" t="s">
        <v>14</v>
      </c>
      <c r="C183" t="s">
        <v>22</v>
      </c>
      <c r="D183" s="2" t="s">
        <f>=HYPERLINK("https://main.knesset.gov.il/APPS/legislation/main/bills/2243025", "הצעת חוק משפחות חיילים שנספו במערכה (תגמולים ושיקום) (תיקון - הטבות לאח הנספה), התשפ""ו-2026")</f>
        <v>438</v>
      </c>
      <c r="E183" t="s">
        <v>438</v>
      </c>
      <c r="F183" t="s">
        <v>439</v>
      </c>
      <c r="G183" t="s">
        <v>14</v>
      </c>
      <c r="H183">
             </c>
      <c r="I183" t="s">
        <v>14</v>
      </c>
      <c r="J183" t="s">
        <v>141</v>
      </c>
      <c r="K183" t="s">
        <v>14</v>
      </c>
      <c r="L183" t="s">
        <v>20</v>
      </c>
      <c r="M183" t="s">
        <v>416</v>
      </c>
      <c r="N183" t="s">
        <v>14</v>
      </c>
    </row>
    <row r="184" x14ac:dyDescent="0.25">
      <c r="A184" t="n">
        <v>25</v>
      </c>
      <c r="B184" t="s">
        <v>14</v>
      </c>
      <c r="C184" t="s">
        <v>22</v>
      </c>
      <c r="D184" s="2" t="s">
        <f>=HYPERLINK("https://main.knesset.gov.il/APPS/legislation/main/bills/2242559", "הצעת חוק איסור טיפול המרה לקטין, התשפ""ו-2026")</f>
        <v>440</v>
      </c>
      <c r="E184" t="s">
        <v>440</v>
      </c>
      <c r="F184" t="s">
        <v>441</v>
      </c>
      <c r="G184" t="s">
        <v>14</v>
      </c>
      <c r="H184">
             </c>
      <c r="I184" t="s">
        <v>14</v>
      </c>
      <c r="J184" t="s">
        <v>141</v>
      </c>
      <c r="K184" t="s">
        <v>14</v>
      </c>
      <c r="L184" t="s">
        <v>20</v>
      </c>
      <c r="M184" t="s">
        <v>416</v>
      </c>
      <c r="N184" t="s">
        <v>14</v>
      </c>
    </row>
    <row r="185" x14ac:dyDescent="0.25">
      <c r="A185" t="n">
        <v>25</v>
      </c>
      <c r="B185" t="s">
        <v>14</v>
      </c>
      <c r="C185" t="s">
        <v>22</v>
      </c>
      <c r="D185" s="2" t="s">
        <f>=HYPERLINK("https://main.knesset.gov.il/APPS/legislation/main/bills/2240517", "הצעת חוק תאגידי מים וביוב (תיקון - הנחה בתשלום דמי הקמה לתאגיד שהוא מוסד ללא כוונת רווח), התשפ""ו-2026")</f>
        <v>442</v>
      </c>
      <c r="E185" t="s">
        <v>442</v>
      </c>
      <c r="F185" t="s">
        <v>443</v>
      </c>
      <c r="G185" t="s">
        <v>14</v>
      </c>
      <c r="H185">
             </c>
      <c r="I185" t="s">
        <v>14</v>
      </c>
      <c r="J185" t="s">
        <v>141</v>
      </c>
      <c r="K185" t="s">
        <v>14</v>
      </c>
      <c r="L185" t="s">
        <v>20</v>
      </c>
      <c r="M185" t="s">
        <v>416</v>
      </c>
      <c r="N185" t="s">
        <v>14</v>
      </c>
    </row>
    <row r="186" x14ac:dyDescent="0.25">
      <c r="A186" t="n">
        <v>25</v>
      </c>
      <c r="B186" t="s">
        <v>14</v>
      </c>
      <c r="C186" t="s">
        <v>22</v>
      </c>
      <c r="D186" s="2" t="s">
        <f>=HYPERLINK("https://main.knesset.gov.il/APPS/legislation/main/bills/2241579", "הצעת חוק הגנת הצרכן (תיקון - הגנה על אזרחי ישראל מפני טובין מהרשות הפלסטינית), התשפ״ו-2026")</f>
        <v>444</v>
      </c>
      <c r="E186" t="s">
        <v>444</v>
      </c>
      <c r="F186" t="s">
        <v>445</v>
      </c>
      <c r="G186" t="s">
        <v>14</v>
      </c>
      <c r="H186">
             </c>
      <c r="I186" t="s">
        <v>14</v>
      </c>
      <c r="J186" t="s">
        <v>141</v>
      </c>
      <c r="K186" t="s">
        <v>14</v>
      </c>
      <c r="L186" t="s">
        <v>20</v>
      </c>
      <c r="M186" t="s">
        <v>416</v>
      </c>
      <c r="N186" t="s">
        <v>14</v>
      </c>
    </row>
    <row r="187" x14ac:dyDescent="0.25">
      <c r="A187" t="n">
        <v>25</v>
      </c>
      <c r="B187" t="s">
        <v>14</v>
      </c>
      <c r="C187" t="s">
        <v>22</v>
      </c>
      <c r="D187" s="2" t="s">
        <f>=HYPERLINK("https://main.knesset.gov.il/APPS/legislation/main/bills/2241236", "הצעת חוק מס ערך מוסף (תיקון - הפחתת שיעור המס), התשפ""ו-2026")</f>
        <v>446</v>
      </c>
      <c r="E187" t="s">
        <v>446</v>
      </c>
      <c r="F187" t="s">
        <v>447</v>
      </c>
      <c r="G187" t="s">
        <v>14</v>
      </c>
      <c r="H187">
             </c>
      <c r="I187" t="s">
        <v>14</v>
      </c>
      <c r="J187" t="s">
        <v>141</v>
      </c>
      <c r="K187" t="s">
        <v>14</v>
      </c>
      <c r="L187" t="s">
        <v>20</v>
      </c>
      <c r="M187" t="s">
        <v>416</v>
      </c>
      <c r="N187" t="s">
        <v>14</v>
      </c>
    </row>
    <row r="188" x14ac:dyDescent="0.25">
      <c r="A188" t="n">
        <v>25</v>
      </c>
      <c r="B188" t="s">
        <v>14</v>
      </c>
      <c r="C188" t="s">
        <v>22</v>
      </c>
      <c r="D188" s="2" t="s">
        <f>=HYPERLINK("https://main.knesset.gov.il/APPS/legislation/main/bills/2242529", "הצעת חוק הפיקוח על שירותים פיננסיים (קופות גמל) (תיקון - מסלול הלכה), התשפ""ו-2026")</f>
        <v>448</v>
      </c>
      <c r="E188" t="s">
        <v>448</v>
      </c>
      <c r="F188" t="s">
        <v>449</v>
      </c>
      <c r="G188" t="s">
        <v>14</v>
      </c>
      <c r="H188">
             </c>
      <c r="I188" t="s">
        <v>14</v>
      </c>
      <c r="J188" t="s">
        <v>141</v>
      </c>
      <c r="K188" t="s">
        <v>14</v>
      </c>
      <c r="L188" t="s">
        <v>20</v>
      </c>
      <c r="M188" t="s">
        <v>416</v>
      </c>
      <c r="N188" t="s">
        <v>14</v>
      </c>
    </row>
    <row r="189" x14ac:dyDescent="0.25">
      <c r="A189" t="n">
        <v>25</v>
      </c>
      <c r="B189" t="s">
        <v>14</v>
      </c>
      <c r="C189" t="s">
        <v>22</v>
      </c>
      <c r="D189" s="2" t="s">
        <f>=HYPERLINK("https://main.knesset.gov.il/APPS/legislation/main/bills/2236918", "הצעת חוק זכות יוצרים (תיקון - שימוש אדם בתצלום בו הוא מופיע ופסיקת פיצויים על הפרת זכות יוצרים), התשפ״ו-2026")</f>
        <v>450</v>
      </c>
      <c r="E189" t="s">
        <v>450</v>
      </c>
      <c r="F189" t="s">
        <v>451</v>
      </c>
      <c r="G189" t="s">
        <v>14</v>
      </c>
      <c r="H189">
             </c>
      <c r="I189" t="s">
        <v>14</v>
      </c>
      <c r="J189" t="s">
        <v>141</v>
      </c>
      <c r="K189" t="s">
        <v>14</v>
      </c>
      <c r="L189" t="s">
        <v>20</v>
      </c>
      <c r="M189" t="s">
        <v>416</v>
      </c>
      <c r="N189" t="s">
        <v>14</v>
      </c>
    </row>
    <row r="190" x14ac:dyDescent="0.25">
      <c r="A190" t="n">
        <v>25</v>
      </c>
      <c r="B190" t="s">
        <v>14</v>
      </c>
      <c r="C190" t="s">
        <v>22</v>
      </c>
      <c r="D190" s="2" t="s">
        <f>=HYPERLINK("https://main.knesset.gov.il/APPS/legislation/main/bills/2242211", "הצעת חוק רשות מקרקעי ישראל (תיקון - הרחבת ייעודי הקרן לשמירה על שטחים פתוחים), התשפ""ו-2026")</f>
        <v>452</v>
      </c>
      <c r="E190" t="s">
        <v>452</v>
      </c>
      <c r="F190" t="s">
        <v>453</v>
      </c>
      <c r="G190" t="s">
        <v>14</v>
      </c>
      <c r="H190">
             </c>
      <c r="I190" t="s">
        <v>14</v>
      </c>
      <c r="J190" t="s">
        <v>141</v>
      </c>
      <c r="K190" t="s">
        <v>14</v>
      </c>
      <c r="L190" t="s">
        <v>20</v>
      </c>
      <c r="M190" t="s">
        <v>416</v>
      </c>
      <c r="N190" t="s">
        <v>14</v>
      </c>
    </row>
    <row r="191" x14ac:dyDescent="0.25">
      <c r="A191" t="n">
        <v>25</v>
      </c>
      <c r="B191" t="s">
        <v>14</v>
      </c>
      <c r="C191" t="s">
        <v>22</v>
      </c>
      <c r="D191" s="2" t="s">
        <f>=HYPERLINK("https://main.knesset.gov.il/APPS/legislation/main/bills/2238844", "הצעת חוק לתיקון פקודת מס הכנסה (פטור ממס על מלגות קיום לספורטאי הישג פאראלימפיים), התשפ""ו-2026")</f>
        <v>454</v>
      </c>
      <c r="E191" t="s">
        <v>454</v>
      </c>
      <c r="F191" t="s">
        <v>455</v>
      </c>
      <c r="G191" t="s">
        <v>14</v>
      </c>
      <c r="H191">
             </c>
      <c r="I191" t="s">
        <v>14</v>
      </c>
      <c r="J191" t="s">
        <v>141</v>
      </c>
      <c r="K191" t="s">
        <v>14</v>
      </c>
      <c r="L191" t="s">
        <v>20</v>
      </c>
      <c r="M191" t="s">
        <v>416</v>
      </c>
      <c r="N191" t="s">
        <v>14</v>
      </c>
    </row>
    <row r="192" x14ac:dyDescent="0.25">
      <c r="A192" t="n">
        <v>25</v>
      </c>
      <c r="B192" t="s">
        <v>14</v>
      </c>
      <c r="C192" t="s">
        <v>22</v>
      </c>
      <c r="D192" s="2" t="s">
        <f>=HYPERLINK("https://main.knesset.gov.il/APPS/legislation/main/bills/2242923", "הצעת חוק חינוך ממלכתי (תיקון - מועצה לחינוך ממלכתי כללי), התשפ""ו-2026")</f>
        <v>456</v>
      </c>
      <c r="E192" t="s">
        <v>456</v>
      </c>
      <c r="F192" t="s">
        <v>457</v>
      </c>
      <c r="G192" t="s">
        <v>14</v>
      </c>
      <c r="H192">
             </c>
      <c r="I192" t="s">
        <v>14</v>
      </c>
      <c r="J192" t="s">
        <v>141</v>
      </c>
      <c r="K192" t="s">
        <v>14</v>
      </c>
      <c r="L192" t="s">
        <v>20</v>
      </c>
      <c r="M192" t="s">
        <v>416</v>
      </c>
      <c r="N192" t="s">
        <v>14</v>
      </c>
    </row>
    <row r="193" x14ac:dyDescent="0.25">
      <c r="A193" t="n">
        <v>25</v>
      </c>
      <c r="B193" t="s">
        <v>14</v>
      </c>
      <c r="C193" t="s">
        <v>22</v>
      </c>
      <c r="D193" s="2" t="s">
        <f>=HYPERLINK("https://main.knesset.gov.il/APPS/legislation/main/bills/2242757", "הצעת חוק הביטוח הלאומי (תיקון - גמלת ניידות לילד מונשם מגיל שלושה חודשים), התשפ""ו-2026")</f>
        <v>458</v>
      </c>
      <c r="E193" t="s">
        <v>458</v>
      </c>
      <c r="F193" t="s">
        <v>459</v>
      </c>
      <c r="G193" t="s">
        <v>14</v>
      </c>
      <c r="H193">
             </c>
      <c r="I193" t="s">
        <v>14</v>
      </c>
      <c r="J193" t="s">
        <v>141</v>
      </c>
      <c r="K193" t="s">
        <v>14</v>
      </c>
      <c r="L193" t="s">
        <v>20</v>
      </c>
      <c r="M193" t="s">
        <v>416</v>
      </c>
      <c r="N193" t="s">
        <v>14</v>
      </c>
    </row>
    <row r="194" x14ac:dyDescent="0.25">
      <c r="A194" t="n">
        <v>25</v>
      </c>
      <c r="B194" t="s">
        <v>14</v>
      </c>
      <c r="C194" t="s">
        <v>22</v>
      </c>
      <c r="D194" s="2" t="s">
        <f>=HYPERLINK("https://main.knesset.gov.il/APPS/legislation/main/bills/2239228", "הצעת חוק העסקת עובדים על ידי קבלני כוח אדם (תיקון - תגמול מבוסס איכות בענף ההעסקה הקבלנית), התשפ״ו-2026")</f>
        <v>460</v>
      </c>
      <c r="E194" t="s">
        <v>460</v>
      </c>
      <c r="F194" t="s">
        <v>461</v>
      </c>
      <c r="G194" t="s">
        <v>14</v>
      </c>
      <c r="H194">
             </c>
      <c r="I194" t="s">
        <v>14</v>
      </c>
      <c r="J194" t="s">
        <v>141</v>
      </c>
      <c r="K194" t="s">
        <v>14</v>
      </c>
      <c r="L194" t="s">
        <v>20</v>
      </c>
      <c r="M194" t="s">
        <v>416</v>
      </c>
      <c r="N194" t="s">
        <v>14</v>
      </c>
    </row>
    <row r="195" x14ac:dyDescent="0.25">
      <c r="A195" t="n">
        <v>25</v>
      </c>
      <c r="B195" t="s">
        <v>14</v>
      </c>
      <c r="C195" t="s">
        <v>22</v>
      </c>
      <c r="D195" s="2" t="s">
        <f>=HYPERLINK("https://main.knesset.gov.il/APPS/legislation/main/bills/2242066", "הצעת חוק לימוד חובה (תיקון - מספר תלמידים מרבי בכיתה בבית ספר יסודי), התשפ""ו-2026")</f>
        <v>462</v>
      </c>
      <c r="E195" t="s">
        <v>462</v>
      </c>
      <c r="F195" t="s">
        <v>463</v>
      </c>
      <c r="G195" t="s">
        <v>14</v>
      </c>
      <c r="H195">
             </c>
      <c r="I195" t="s">
        <v>14</v>
      </c>
      <c r="J195" t="s">
        <v>141</v>
      </c>
      <c r="K195" t="s">
        <v>14</v>
      </c>
      <c r="L195" t="s">
        <v>20</v>
      </c>
      <c r="M195" t="s">
        <v>416</v>
      </c>
      <c r="N195" t="s">
        <v>14</v>
      </c>
    </row>
    <row r="196" x14ac:dyDescent="0.25">
      <c r="A196" t="n">
        <v>25</v>
      </c>
      <c r="B196" t="s">
        <v>14</v>
      </c>
      <c r="C196" t="s">
        <v>22</v>
      </c>
      <c r="D196" s="2" t="s">
        <f>=HYPERLINK("https://main.knesset.gov.il/APPS/legislation/main/bills/2242654", "הצעת חוק רשות העתיקות (תיקון - סמכות רשות העתיקות ביהודה והשומרון), התשפ""ו-2026")</f>
        <v>464</v>
      </c>
      <c r="E196" t="s">
        <v>464</v>
      </c>
      <c r="F196" t="s">
        <v>465</v>
      </c>
      <c r="G196" t="s">
        <v>14</v>
      </c>
      <c r="H196">
             </c>
      <c r="I196" t="s">
        <v>14</v>
      </c>
      <c r="J196" t="s">
        <v>141</v>
      </c>
      <c r="K196" t="s">
        <v>14</v>
      </c>
      <c r="L196" t="s">
        <v>20</v>
      </c>
      <c r="M196" t="s">
        <v>416</v>
      </c>
      <c r="N196" t="s">
        <v>14</v>
      </c>
    </row>
    <row r="197" x14ac:dyDescent="0.25">
      <c r="A197" t="n">
        <v>25</v>
      </c>
      <c r="B197" t="s">
        <v>14</v>
      </c>
      <c r="C197" t="s">
        <v>22</v>
      </c>
      <c r="D197" s="2" t="s">
        <f>=HYPERLINK("https://main.knesset.gov.il/APPS/legislation/main/bills/2233987", "הצעת חוק סמכויות מיוחדות למאבק בארגוני פשיעה (הוראות שעה), התשפ""ו–2026")</f>
        <v>466</v>
      </c>
      <c r="E197" t="s">
        <v>466</v>
      </c>
      <c r="F197" t="s">
        <v>467</v>
      </c>
      <c r="G197" t="s">
        <v>468</v>
      </c>
      <c r="H197">
             </c>
      <c r="I197" t="s">
        <v>14</v>
      </c>
      <c r="J197" t="s">
        <v>69</v>
      </c>
      <c r="K197" t="s">
        <v>105</v>
      </c>
      <c r="L197" t="s">
        <v>20</v>
      </c>
      <c r="M197" t="s">
        <v>416</v>
      </c>
      <c r="N197" t="s">
        <v>14</v>
      </c>
    </row>
    <row r="198" x14ac:dyDescent="0.25">
      <c r="A198" t="n">
        <v>25</v>
      </c>
      <c r="B198" t="s">
        <v>14</v>
      </c>
      <c r="C198" t="s">
        <v>15</v>
      </c>
      <c r="D198" s="2" t="s">
        <f>=HYPERLINK("https://main.knesset.gov.il/APPS/legislation/main/bills/2240475", "הצעת חוק לתיקון פקודת העיריות (מס' 162), התשפ""ו–2026")</f>
        <v>469</v>
      </c>
      <c r="E198" t="s">
        <v>469</v>
      </c>
      <c r="F198" t="s">
        <v>14</v>
      </c>
      <c r="G198" t="s">
        <v>49</v>
      </c>
      <c r="H198">
             </c>
      <c r="I198" t="s">
        <v>14</v>
      </c>
      <c r="J198" t="s">
        <v>73</v>
      </c>
      <c r="K198" t="s">
        <v>46</v>
      </c>
      <c r="L198" t="s">
        <v>20</v>
      </c>
      <c r="M198" t="s">
        <v>416</v>
      </c>
      <c r="N198" t="s">
        <v>14</v>
      </c>
    </row>
    <row r="199" x14ac:dyDescent="0.25">
      <c r="A199" t="n">
        <v>25</v>
      </c>
      <c r="B199" t="s">
        <v>14</v>
      </c>
      <c r="C199" t="s">
        <v>22</v>
      </c>
      <c r="D199" s="2" t="s">
        <f>=HYPERLINK("https://main.knesset.gov.il/APPS/legislation/main/bills/2230569", "הצעת חוק שמירה על גבולות המדינה (תיקוני חקיקה), התשפ""ה-2025")</f>
        <v>470</v>
      </c>
      <c r="E199" t="s">
        <v>470</v>
      </c>
      <c r="F199" t="s">
        <v>471</v>
      </c>
      <c r="G199" t="s">
        <v>14</v>
      </c>
      <c r="H199">
             </c>
      <c r="I199" t="s">
        <v>14</v>
      </c>
      <c r="J199" t="s">
        <v>99</v>
      </c>
      <c r="K199" t="s">
        <v>114</v>
      </c>
      <c r="L199" t="s">
        <v>20</v>
      </c>
      <c r="M199" t="s">
        <v>472</v>
      </c>
      <c r="N199" t="s">
        <v>14</v>
      </c>
    </row>
    <row r="200" x14ac:dyDescent="0.25">
      <c r="A200" t="n">
        <v>25</v>
      </c>
      <c r="B200" t="s">
        <v>14</v>
      </c>
      <c r="C200" t="s">
        <v>22</v>
      </c>
      <c r="D200" s="2" t="s">
        <f>=HYPERLINK("https://main.knesset.gov.il/APPS/legislation/main/bills/2203845", "חוק זכויות מבצעים ומשדרים (תיקון מס' 10), התשפ""ו–2026")</f>
        <v>473</v>
      </c>
      <c r="E200" t="s">
        <v>473</v>
      </c>
      <c r="F200" t="s">
        <v>474</v>
      </c>
      <c r="G200" t="s">
        <v>475</v>
      </c>
      <c r="H200" t="n">
        <v>3529</v>
      </c>
      <c r="I200" t="s">
        <v>14</v>
      </c>
      <c r="J200" t="s">
        <v>91</v>
      </c>
      <c r="K200" t="s">
        <v>19</v>
      </c>
      <c r="L200" t="s">
        <v>20</v>
      </c>
      <c r="M200" t="s">
        <v>476</v>
      </c>
      <c r="N200" t="s">
        <v>14</v>
      </c>
    </row>
    <row r="201" x14ac:dyDescent="0.25">
      <c r="A201" t="n">
        <v>25</v>
      </c>
      <c r="B201" t="s">
        <v>14</v>
      </c>
      <c r="C201" t="s">
        <v>22</v>
      </c>
      <c r="D201" s="2" t="s">
        <f>=HYPERLINK("https://main.knesset.gov.il/APPS/legislation/main/bills/2195995", "חוק ביטוח בריאות ממלכתי (תיקון מס' 75), התשפ""ו–2026")</f>
        <v>477</v>
      </c>
      <c r="E201" t="s">
        <v>477</v>
      </c>
      <c r="F201" t="s">
        <v>478</v>
      </c>
      <c r="G201" t="s">
        <v>479</v>
      </c>
      <c r="H201" t="n">
        <v>3528</v>
      </c>
      <c r="I201" t="s">
        <v>14</v>
      </c>
      <c r="J201" t="s">
        <v>91</v>
      </c>
      <c r="K201" t="s">
        <v>480</v>
      </c>
      <c r="L201" t="s">
        <v>20</v>
      </c>
      <c r="M201" t="s">
        <v>476</v>
      </c>
      <c r="N201" t="s">
        <v>14</v>
      </c>
    </row>
    <row r="202" x14ac:dyDescent="0.25">
      <c r="A202" t="n">
        <v>25</v>
      </c>
      <c r="B202" t="s">
        <v>14</v>
      </c>
      <c r="C202" t="s">
        <v>22</v>
      </c>
      <c r="D202" s="2" t="s">
        <f>=HYPERLINK("https://main.knesset.gov.il/APPS/legislation/main/bills/2232225", "הצעת חוק דחיית מועדים (תשלומים של בעל עסק המשרת בשירות מילואים פעיל), התשפ""ה-2025")</f>
        <v>481</v>
      </c>
      <c r="E202" t="s">
        <v>481</v>
      </c>
      <c r="F202" t="s">
        <v>482</v>
      </c>
      <c r="G202" t="s">
        <v>14</v>
      </c>
      <c r="H202">
             </c>
      <c r="I202" t="s">
        <v>14</v>
      </c>
      <c r="J202" t="s">
        <v>55</v>
      </c>
      <c r="K202" t="s">
        <v>14</v>
      </c>
      <c r="L202" t="s">
        <v>20</v>
      </c>
      <c r="M202" t="s">
        <v>476</v>
      </c>
      <c r="N202" t="s">
        <v>14</v>
      </c>
    </row>
    <row r="203" x14ac:dyDescent="0.25">
      <c r="A203" t="n">
        <v>25</v>
      </c>
      <c r="B203" t="s">
        <v>14</v>
      </c>
      <c r="C203" t="s">
        <v>22</v>
      </c>
      <c r="D203" s="2" t="s">
        <f>=HYPERLINK("https://main.knesset.gov.il/APPS/legislation/main/bills/2225466", "הצעת חוק לתיקון פקודת מס הכנסה (נקודות זיכוי להורי חיילים), התשפ""ה-2024")</f>
        <v>483</v>
      </c>
      <c r="E203" t="s">
        <v>483</v>
      </c>
      <c r="F203" t="s">
        <v>484</v>
      </c>
      <c r="G203" t="s">
        <v>14</v>
      </c>
      <c r="H203">
             </c>
      <c r="I203" t="s">
        <v>14</v>
      </c>
      <c r="J203" t="s">
        <v>55</v>
      </c>
      <c r="K203" t="s">
        <v>14</v>
      </c>
      <c r="L203" t="s">
        <v>20</v>
      </c>
      <c r="M203" t="s">
        <v>476</v>
      </c>
      <c r="N203" t="s">
        <v>14</v>
      </c>
    </row>
    <row r="204" x14ac:dyDescent="0.25">
      <c r="A204" t="n">
        <v>25</v>
      </c>
      <c r="B204" t="s">
        <v>14</v>
      </c>
      <c r="C204" t="s">
        <v>22</v>
      </c>
      <c r="D204" s="2" t="s">
        <f>=HYPERLINK("https://main.knesset.gov.il/APPS/legislation/main/bills/2220804", "חוק כלי הירייה (תיקון מס' 25), התשפ""ה–2025")</f>
        <v>485</v>
      </c>
      <c r="E204" t="s">
        <v>485</v>
      </c>
      <c r="F204" t="s">
        <v>486</v>
      </c>
      <c r="G204" t="s">
        <v>487</v>
      </c>
      <c r="H204" t="n">
        <v>3379</v>
      </c>
      <c r="I204" t="s">
        <v>14</v>
      </c>
      <c r="J204" t="s">
        <v>91</v>
      </c>
      <c r="K204" t="s">
        <v>105</v>
      </c>
      <c r="L204" t="s">
        <v>20</v>
      </c>
      <c r="M204" t="s">
        <v>488</v>
      </c>
      <c r="N204" t="s">
        <v>489</v>
      </c>
    </row>
    <row r="205" x14ac:dyDescent="0.25">
      <c r="A205" t="n">
        <v>25</v>
      </c>
      <c r="B205" t="s">
        <v>14</v>
      </c>
      <c r="C205" t="s">
        <v>22</v>
      </c>
      <c r="D205" s="2" t="s">
        <f>=HYPERLINK("https://main.knesset.gov.il/APPS/legislation/main/bills/2196997", "חוק דיווח לכנסת על הטרדות מיניות בכוחות הביטחון והטיפול בהן (תיקוני חקיקה), התשפ""ו-2025")</f>
        <v>490</v>
      </c>
      <c r="E205" t="s">
        <v>490</v>
      </c>
      <c r="F205" t="s">
        <v>491</v>
      </c>
      <c r="G205" t="s">
        <v>492</v>
      </c>
      <c r="H205" t="n">
        <v>3468</v>
      </c>
      <c r="I205" t="s">
        <v>14</v>
      </c>
      <c r="J205" t="s">
        <v>91</v>
      </c>
      <c r="K205" t="s">
        <v>105</v>
      </c>
      <c r="L205" t="s">
        <v>20</v>
      </c>
      <c r="M205" t="s">
        <v>488</v>
      </c>
      <c r="N205" t="s">
        <v>493</v>
      </c>
    </row>
    <row r="206" x14ac:dyDescent="0.25">
      <c r="A206" t="n">
        <v>25</v>
      </c>
      <c r="B206" t="s">
        <v>14</v>
      </c>
      <c r="C206" t="s">
        <v>15</v>
      </c>
      <c r="D206" s="2" t="s">
        <f>=HYPERLINK("https://main.knesset.gov.il/APPS/legislation/main/bills/2240463", "פרק י""ב (פיקוח על מוצרי עישון לצורכי מס) מתוך הצעת חוק התוכנית הכלכלית (תיקוני חקיקה ליישום המדיניות הכלכלית לשנת התקציב 2026), התשפ""ו-2026")</f>
        <v>494</v>
      </c>
      <c r="E206" t="s">
        <v>494</v>
      </c>
      <c r="F206" t="s">
        <v>14</v>
      </c>
      <c r="G206" t="s">
        <v>49</v>
      </c>
      <c r="H206">
             </c>
      <c r="I206" t="s">
        <v>14</v>
      </c>
      <c r="J206" t="s">
        <v>18</v>
      </c>
      <c r="K206" t="s">
        <v>85</v>
      </c>
      <c r="L206" t="s">
        <v>20</v>
      </c>
      <c r="M206" t="s">
        <v>495</v>
      </c>
      <c r="N206" t="s">
        <v>14</v>
      </c>
    </row>
    <row r="207" x14ac:dyDescent="0.25">
      <c r="A207" t="n">
        <v>25</v>
      </c>
      <c r="B207" t="s">
        <v>14</v>
      </c>
      <c r="C207" t="s">
        <v>22</v>
      </c>
      <c r="D207" s="2" t="s">
        <f>=HYPERLINK("https://main.knesset.gov.il/APPS/legislation/main/bills/2222852", "חוק העמדה לדין בשל אירועי טבח 7 באוקטובר 2023 (טבח שמיני עצרת), התשפ""ו–2026")</f>
        <v>496</v>
      </c>
      <c r="E207" t="s">
        <v>496</v>
      </c>
      <c r="F207" t="s">
        <v>497</v>
      </c>
      <c r="G207" t="s">
        <v>498</v>
      </c>
      <c r="H207" t="n">
        <v>3527</v>
      </c>
      <c r="I207" t="s">
        <v>14</v>
      </c>
      <c r="J207" t="s">
        <v>91</v>
      </c>
      <c r="K207" t="s">
        <v>27</v>
      </c>
      <c r="L207" t="s">
        <v>20</v>
      </c>
      <c r="M207" t="s">
        <v>495</v>
      </c>
      <c r="N207" t="s">
        <v>14</v>
      </c>
    </row>
    <row r="208" x14ac:dyDescent="0.25">
      <c r="A208" t="n">
        <v>25</v>
      </c>
      <c r="B208" t="s">
        <v>14</v>
      </c>
      <c r="C208" t="s">
        <v>22</v>
      </c>
      <c r="D208" s="2" t="s">
        <f>=HYPERLINK("https://main.knesset.gov.il/APPS/legislation/main/bills/2219199", "חוק לתיקון פקודת המשטרה (מס' 44), התשפ""ו-2026")</f>
        <v>499</v>
      </c>
      <c r="E208" t="s">
        <v>499</v>
      </c>
      <c r="F208" t="s">
        <v>500</v>
      </c>
      <c r="G208" t="s">
        <v>501</v>
      </c>
      <c r="H208" t="n">
        <v>3526</v>
      </c>
      <c r="I208" t="s">
        <v>14</v>
      </c>
      <c r="J208" t="s">
        <v>91</v>
      </c>
      <c r="K208" t="s">
        <v>105</v>
      </c>
      <c r="L208" t="s">
        <v>20</v>
      </c>
      <c r="M208" t="s">
        <v>495</v>
      </c>
      <c r="N208" t="s">
        <v>14</v>
      </c>
    </row>
    <row r="209" x14ac:dyDescent="0.25">
      <c r="A209" t="n">
        <v>25</v>
      </c>
      <c r="B209" t="s">
        <v>14</v>
      </c>
      <c r="C209" t="s">
        <v>22</v>
      </c>
      <c r="D209" s="2" t="s">
        <f>=HYPERLINK("https://main.knesset.gov.il/APPS/legislation/main/bills/2238362", "הצעת חוק חובת גילוי בדבר עוצמת הקרינה מכלי רכב בפרסומות ובעסקים, התשפ""ו-2026")</f>
        <v>502</v>
      </c>
      <c r="E209" t="s">
        <v>502</v>
      </c>
      <c r="F209" t="s">
        <v>503</v>
      </c>
      <c r="G209" t="s">
        <v>14</v>
      </c>
      <c r="H209">
             </c>
      <c r="I209" t="s">
        <v>14</v>
      </c>
      <c r="J209" t="s">
        <v>141</v>
      </c>
      <c r="K209" t="s">
        <v>14</v>
      </c>
      <c r="L209" t="s">
        <v>20</v>
      </c>
      <c r="M209" t="s">
        <v>495</v>
      </c>
      <c r="N209" t="s">
        <v>14</v>
      </c>
    </row>
    <row r="210" x14ac:dyDescent="0.25">
      <c r="A210" t="n">
        <v>25</v>
      </c>
      <c r="B210" t="s">
        <v>14</v>
      </c>
      <c r="C210" t="s">
        <v>22</v>
      </c>
      <c r="D210" s="2" t="s">
        <f>=HYPERLINK("https://main.knesset.gov.il/APPS/legislation/main/bills/2242444", "הצעת חוק עבודת נשים (תיקון - הרחבת הזכות להיעדר מעבודה במקרים של הורות משותפת עם משרת מילואים), התשפ""ו-2026")</f>
        <v>504</v>
      </c>
      <c r="E210" t="s">
        <v>504</v>
      </c>
      <c r="F210" t="s">
        <v>505</v>
      </c>
      <c r="G210" t="s">
        <v>14</v>
      </c>
      <c r="H210">
             </c>
      <c r="I210" t="s">
        <v>14</v>
      </c>
      <c r="J210" t="s">
        <v>141</v>
      </c>
      <c r="K210" t="s">
        <v>14</v>
      </c>
      <c r="L210" t="s">
        <v>20</v>
      </c>
      <c r="M210" t="s">
        <v>495</v>
      </c>
      <c r="N210" t="s">
        <v>14</v>
      </c>
    </row>
    <row r="211" x14ac:dyDescent="0.25">
      <c r="A211" t="n">
        <v>25</v>
      </c>
      <c r="B211" t="s">
        <v>14</v>
      </c>
      <c r="C211" t="s">
        <v>22</v>
      </c>
      <c r="D211" s="2" t="s">
        <f>=HYPERLINK("https://main.knesset.gov.il/APPS/legislation/main/bills/2242619", "הצעת חוק סיוע למשפחות אזרחים נעדרים, התשפ""ו-2026")</f>
        <v>506</v>
      </c>
      <c r="E211" t="s">
        <v>506</v>
      </c>
      <c r="F211" t="s">
        <v>507</v>
      </c>
      <c r="G211" t="s">
        <v>14</v>
      </c>
      <c r="H211">
             </c>
      <c r="I211" t="s">
        <v>14</v>
      </c>
      <c r="J211" t="s">
        <v>141</v>
      </c>
      <c r="K211" t="s">
        <v>14</v>
      </c>
      <c r="L211" t="s">
        <v>20</v>
      </c>
      <c r="M211" t="s">
        <v>495</v>
      </c>
      <c r="N211" t="s">
        <v>14</v>
      </c>
    </row>
    <row r="212" x14ac:dyDescent="0.25">
      <c r="A212" t="n">
        <v>25</v>
      </c>
      <c r="B212" t="s">
        <v>14</v>
      </c>
      <c r="C212" t="s">
        <v>22</v>
      </c>
      <c r="D212" s="2" t="s">
        <f>=HYPERLINK("https://main.knesset.gov.il/APPS/legislation/main/bills/2242493", "הצעת חוק שלילת הטבות מאדם שלא מילא חובת שירות, התשפ""ו-2026")</f>
        <v>508</v>
      </c>
      <c r="E212" t="s">
        <v>508</v>
      </c>
      <c r="F212" t="s">
        <v>509</v>
      </c>
      <c r="G212" t="s">
        <v>14</v>
      </c>
      <c r="H212">
             </c>
      <c r="I212" t="s">
        <v>14</v>
      </c>
      <c r="J212" t="s">
        <v>141</v>
      </c>
      <c r="K212" t="s">
        <v>14</v>
      </c>
      <c r="L212" t="s">
        <v>20</v>
      </c>
      <c r="M212" t="s">
        <v>495</v>
      </c>
      <c r="N212" t="s">
        <v>14</v>
      </c>
    </row>
    <row r="213" x14ac:dyDescent="0.25">
      <c r="A213" t="n">
        <v>25</v>
      </c>
      <c r="B213" t="s">
        <v>14</v>
      </c>
      <c r="C213" t="s">
        <v>22</v>
      </c>
      <c r="D213" s="2" t="s">
        <f>=HYPERLINK("https://main.knesset.gov.il/APPS/legislation/main/bills/2242129", "הצעת חוק הכרזה על תנועת האחים המוסלמים ועל הפלג הדרומי בתנועה האסלאמית כארגוני טרור ומחיקת מפלגות התומכות בטרור מפנקס המפלגות, התשפ""ו-2026")</f>
        <v>510</v>
      </c>
      <c r="E213" t="s">
        <v>510</v>
      </c>
      <c r="F213" t="s">
        <v>511</v>
      </c>
      <c r="G213" t="s">
        <v>14</v>
      </c>
      <c r="H213">
             </c>
      <c r="I213" t="s">
        <v>14</v>
      </c>
      <c r="J213" t="s">
        <v>141</v>
      </c>
      <c r="K213" t="s">
        <v>14</v>
      </c>
      <c r="L213" t="s">
        <v>20</v>
      </c>
      <c r="M213" t="s">
        <v>495</v>
      </c>
      <c r="N213" t="s">
        <v>14</v>
      </c>
    </row>
    <row r="214" x14ac:dyDescent="0.25">
      <c r="A214" t="n">
        <v>25</v>
      </c>
      <c r="B214" t="s">
        <v>14</v>
      </c>
      <c r="C214" t="s">
        <v>22</v>
      </c>
      <c r="D214" s="2" t="s">
        <f>=HYPERLINK("https://main.knesset.gov.il/APPS/legislation/main/bills/2240736", "הצעת חוק קידום החקלאות, התשפ""ו-2026")</f>
        <v>279</v>
      </c>
      <c r="E214" t="s">
        <v>279</v>
      </c>
      <c r="F214" t="s">
        <v>512</v>
      </c>
      <c r="G214" t="s">
        <v>14</v>
      </c>
      <c r="H214">
             </c>
      <c r="I214" t="s">
        <v>14</v>
      </c>
      <c r="J214" t="s">
        <v>141</v>
      </c>
      <c r="K214" t="s">
        <v>14</v>
      </c>
      <c r="L214" t="s">
        <v>20</v>
      </c>
      <c r="M214" t="s">
        <v>495</v>
      </c>
      <c r="N214" t="s">
        <v>14</v>
      </c>
    </row>
    <row r="215" x14ac:dyDescent="0.25">
      <c r="A215" t="n">
        <v>25</v>
      </c>
      <c r="B215" t="s">
        <v>14</v>
      </c>
      <c r="C215" t="s">
        <v>22</v>
      </c>
      <c r="D215" s="2" t="s">
        <f>=HYPERLINK("https://main.knesset.gov.il/APPS/legislation/main/bills/2242406", "הצעת חוק עיטור הפציעה הקרבית, התשפ""ו-2026")</f>
        <v>513</v>
      </c>
      <c r="E215" t="s">
        <v>513</v>
      </c>
      <c r="F215" t="s">
        <v>514</v>
      </c>
      <c r="G215" t="s">
        <v>14</v>
      </c>
      <c r="H215">
             </c>
      <c r="I215" t="s">
        <v>14</v>
      </c>
      <c r="J215" t="s">
        <v>141</v>
      </c>
      <c r="K215" t="s">
        <v>14</v>
      </c>
      <c r="L215" t="s">
        <v>20</v>
      </c>
      <c r="M215" t="s">
        <v>495</v>
      </c>
      <c r="N215" t="s">
        <v>14</v>
      </c>
    </row>
    <row r="216" x14ac:dyDescent="0.25">
      <c r="A216" t="n">
        <v>25</v>
      </c>
      <c r="B216" t="s">
        <v>14</v>
      </c>
      <c r="C216" t="s">
        <v>22</v>
      </c>
      <c r="D216" s="2" t="s">
        <f>=HYPERLINK("https://main.knesset.gov.il/APPS/legislation/main/bills/2242653", "הצעת חוק ההתנתקות והפיצויים לנפגעיה (תיקון - נוכחות וחופש תנועה לישראלים בחבל עזה), התשפ""ו-2026 ")</f>
        <v>263</v>
      </c>
      <c r="E216" t="s">
        <v>263</v>
      </c>
      <c r="F216" t="s">
        <v>515</v>
      </c>
      <c r="G216" t="s">
        <v>14</v>
      </c>
      <c r="H216">
             </c>
      <c r="I216" t="s">
        <v>14</v>
      </c>
      <c r="J216" t="s">
        <v>141</v>
      </c>
      <c r="K216" t="s">
        <v>14</v>
      </c>
      <c r="L216" t="s">
        <v>20</v>
      </c>
      <c r="M216" t="s">
        <v>495</v>
      </c>
      <c r="N216" t="s">
        <v>14</v>
      </c>
    </row>
    <row r="217" x14ac:dyDescent="0.25">
      <c r="A217" t="n">
        <v>25</v>
      </c>
      <c r="B217" t="s">
        <v>14</v>
      </c>
      <c r="C217" t="s">
        <v>22</v>
      </c>
      <c r="D217" s="2" t="s">
        <f>=HYPERLINK("https://main.knesset.gov.il/APPS/legislation/main/bills/2241472", "הצעת חוק חישוב התשלום בעד נסיעה בתחבורה ציבורית (תיקוני חקיקה), התשפ""ו-2026")</f>
        <v>516</v>
      </c>
      <c r="E217" t="s">
        <v>516</v>
      </c>
      <c r="F217" t="s">
        <v>517</v>
      </c>
      <c r="G217" t="s">
        <v>14</v>
      </c>
      <c r="H217">
             </c>
      <c r="I217" t="s">
        <v>14</v>
      </c>
      <c r="J217" t="s">
        <v>141</v>
      </c>
      <c r="K217" t="s">
        <v>14</v>
      </c>
      <c r="L217" t="s">
        <v>20</v>
      </c>
      <c r="M217" t="s">
        <v>495</v>
      </c>
      <c r="N217" t="s">
        <v>14</v>
      </c>
    </row>
    <row r="218" x14ac:dyDescent="0.25">
      <c r="A218" t="n">
        <v>25</v>
      </c>
      <c r="B218" t="s">
        <v>14</v>
      </c>
      <c r="C218" t="s">
        <v>22</v>
      </c>
      <c r="D218" s="2" t="s">
        <f>=HYPERLINK("https://main.knesset.gov.il/APPS/legislation/main/bills/2233346", "הצעת חוק קידום החקלאות, התשפ""ו-2026")</f>
        <v>279</v>
      </c>
      <c r="E218" t="s">
        <v>279</v>
      </c>
      <c r="F218" t="s">
        <v>518</v>
      </c>
      <c r="G218" t="s">
        <v>14</v>
      </c>
      <c r="H218">
             </c>
      <c r="I218" t="s">
        <v>14</v>
      </c>
      <c r="J218" t="s">
        <v>141</v>
      </c>
      <c r="K218" t="s">
        <v>14</v>
      </c>
      <c r="L218" t="s">
        <v>20</v>
      </c>
      <c r="M218" t="s">
        <v>495</v>
      </c>
      <c r="N218" t="s">
        <v>14</v>
      </c>
    </row>
    <row r="219" x14ac:dyDescent="0.25">
      <c r="A219" t="n">
        <v>25</v>
      </c>
      <c r="B219" t="s">
        <v>14</v>
      </c>
      <c r="C219" t="s">
        <v>22</v>
      </c>
      <c r="D219" s="2" t="s">
        <f>=HYPERLINK("https://main.knesset.gov.il/APPS/legislation/main/bills/2241277", "הצעת חוק למאבק באלימות במוסד חינוכי (תיקוני חקיקה), התשפ""ו-2026")</f>
        <v>519</v>
      </c>
      <c r="E219" t="s">
        <v>519</v>
      </c>
      <c r="F219" t="s">
        <v>520</v>
      </c>
      <c r="G219" t="s">
        <v>14</v>
      </c>
      <c r="H219">
             </c>
      <c r="I219" t="s">
        <v>14</v>
      </c>
      <c r="J219" t="s">
        <v>141</v>
      </c>
      <c r="K219" t="s">
        <v>14</v>
      </c>
      <c r="L219" t="s">
        <v>20</v>
      </c>
      <c r="M219" t="s">
        <v>495</v>
      </c>
      <c r="N219" t="s">
        <v>14</v>
      </c>
    </row>
    <row r="220" x14ac:dyDescent="0.25">
      <c r="A220" t="n">
        <v>25</v>
      </c>
      <c r="B220" t="s">
        <v>14</v>
      </c>
      <c r="C220" t="s">
        <v>22</v>
      </c>
      <c r="D220" s="2" t="s">
        <f>=HYPERLINK("https://main.knesset.gov.il/APPS/legislation/main/bills/2242177", "הצעת חוק המכינות הקדם-צבאיות (תיקון - תקציב ייעודי להנגשה ולשילוב חניכים עם מוגבלות), התשפ״ו-2026")</f>
        <v>521</v>
      </c>
      <c r="E220" t="s">
        <v>521</v>
      </c>
      <c r="F220" t="s">
        <v>522</v>
      </c>
      <c r="G220" t="s">
        <v>14</v>
      </c>
      <c r="H220">
             </c>
      <c r="I220" t="s">
        <v>14</v>
      </c>
      <c r="J220" t="s">
        <v>141</v>
      </c>
      <c r="K220" t="s">
        <v>14</v>
      </c>
      <c r="L220" t="s">
        <v>20</v>
      </c>
      <c r="M220" t="s">
        <v>495</v>
      </c>
      <c r="N220" t="s">
        <v>14</v>
      </c>
    </row>
    <row r="221" x14ac:dyDescent="0.25">
      <c r="A221" t="n">
        <v>25</v>
      </c>
      <c r="B221" t="s">
        <v>14</v>
      </c>
      <c r="C221" t="s">
        <v>22</v>
      </c>
      <c r="D221" s="2" t="s">
        <f>=HYPERLINK("https://main.knesset.gov.il/APPS/legislation/main/bills/2239797", "הצעת חוק עיגון החלטות ממשלה ארוכות טווח, התשפ״ו-2026 ")</f>
        <v>523</v>
      </c>
      <c r="E221" t="s">
        <v>523</v>
      </c>
      <c r="F221" t="s">
        <v>524</v>
      </c>
      <c r="G221" t="s">
        <v>14</v>
      </c>
      <c r="H221">
             </c>
      <c r="I221" t="s">
        <v>14</v>
      </c>
      <c r="J221" t="s">
        <v>141</v>
      </c>
      <c r="K221" t="s">
        <v>14</v>
      </c>
      <c r="L221" t="s">
        <v>20</v>
      </c>
      <c r="M221" t="s">
        <v>495</v>
      </c>
      <c r="N221" t="s">
        <v>14</v>
      </c>
    </row>
    <row r="222" x14ac:dyDescent="0.25">
      <c r="A222" t="n">
        <v>25</v>
      </c>
      <c r="B222" t="s">
        <v>14</v>
      </c>
      <c r="C222" t="s">
        <v>22</v>
      </c>
      <c r="D222" s="2" t="s">
        <f>=HYPERLINK("https://main.knesset.gov.il/APPS/legislation/main/bills/2239981", "הצעת חוק ההוצאה לפועל (תיקון - מתן הפטר לחייב מוגבל באמצעים) (הוראת שעה), התשפ""ו-2026")</f>
        <v>525</v>
      </c>
      <c r="E222" t="s">
        <v>525</v>
      </c>
      <c r="F222" t="s">
        <v>526</v>
      </c>
      <c r="G222" t="s">
        <v>14</v>
      </c>
      <c r="H222">
             </c>
      <c r="I222" t="s">
        <v>14</v>
      </c>
      <c r="J222" t="s">
        <v>141</v>
      </c>
      <c r="K222" t="s">
        <v>14</v>
      </c>
      <c r="L222" t="s">
        <v>20</v>
      </c>
      <c r="M222" t="s">
        <v>495</v>
      </c>
      <c r="N222" t="s">
        <v>14</v>
      </c>
    </row>
    <row r="223" x14ac:dyDescent="0.25">
      <c r="A223" t="n">
        <v>25</v>
      </c>
      <c r="B223" t="s">
        <v>14</v>
      </c>
      <c r="C223" t="s">
        <v>22</v>
      </c>
      <c r="D223" s="2" t="s">
        <f>=HYPERLINK("https://main.knesset.gov.il/APPS/legislation/main/bills/2240673", "הצעת חוק העונשין (תיקון - פיצויים בגין הרשעה בעבירות מין ואלימות חמורה), התשפ""ו-2026")</f>
        <v>527</v>
      </c>
      <c r="E223" t="s">
        <v>527</v>
      </c>
      <c r="F223" t="s">
        <v>528</v>
      </c>
      <c r="G223" t="s">
        <v>14</v>
      </c>
      <c r="H223">
             </c>
      <c r="I223" t="s">
        <v>14</v>
      </c>
      <c r="J223" t="s">
        <v>141</v>
      </c>
      <c r="K223" t="s">
        <v>14</v>
      </c>
      <c r="L223" t="s">
        <v>20</v>
      </c>
      <c r="M223" t="s">
        <v>495</v>
      </c>
      <c r="N223" t="s">
        <v>14</v>
      </c>
    </row>
    <row r="224" x14ac:dyDescent="0.25">
      <c r="A224" t="n">
        <v>25</v>
      </c>
      <c r="B224" t="s">
        <v>14</v>
      </c>
      <c r="C224" t="s">
        <v>22</v>
      </c>
      <c r="D224" s="2" t="s">
        <f>=HYPERLINK("https://main.knesset.gov.il/APPS/legislation/main/bills/2242558", "הצעת חוק האקלים, התשפ""ו-2026")</f>
        <v>529</v>
      </c>
      <c r="E224" t="s">
        <v>529</v>
      </c>
      <c r="F224" t="s">
        <v>530</v>
      </c>
      <c r="G224" t="s">
        <v>14</v>
      </c>
      <c r="H224">
             </c>
      <c r="I224" t="s">
        <v>14</v>
      </c>
      <c r="J224" t="s">
        <v>141</v>
      </c>
      <c r="K224" t="s">
        <v>14</v>
      </c>
      <c r="L224" t="s">
        <v>20</v>
      </c>
      <c r="M224" t="s">
        <v>495</v>
      </c>
      <c r="N224" t="s">
        <v>14</v>
      </c>
    </row>
    <row r="225" x14ac:dyDescent="0.25">
      <c r="A225" t="n">
        <v>25</v>
      </c>
      <c r="B225" t="s">
        <v>14</v>
      </c>
      <c r="C225" t="s">
        <v>22</v>
      </c>
      <c r="D225" s="2" t="s">
        <f>=HYPERLINK("https://main.knesset.gov.il/APPS/legislation/main/bills/2242567", "הצעת חוק משפחות חיילים שנספו במערכה (תגמולים ושיקום) (תיקון - השוואת זכויות של יתום עצמאי ליתום משני הורים), התשפ""ו-2026")</f>
        <v>163</v>
      </c>
      <c r="E225" t="s">
        <v>163</v>
      </c>
      <c r="F225" t="s">
        <v>531</v>
      </c>
      <c r="G225" t="s">
        <v>14</v>
      </c>
      <c r="H225">
             </c>
      <c r="I225" t="s">
        <v>14</v>
      </c>
      <c r="J225" t="s">
        <v>141</v>
      </c>
      <c r="K225" t="s">
        <v>14</v>
      </c>
      <c r="L225" t="s">
        <v>20</v>
      </c>
      <c r="M225" t="s">
        <v>495</v>
      </c>
      <c r="N225" t="s">
        <v>14</v>
      </c>
    </row>
    <row r="226" x14ac:dyDescent="0.25">
      <c r="A226" t="n">
        <v>25</v>
      </c>
      <c r="B226" t="s">
        <v>14</v>
      </c>
      <c r="C226" t="s">
        <v>22</v>
      </c>
      <c r="D226" s="2" t="s">
        <f>=HYPERLINK("https://main.knesset.gov.il/APPS/legislation/main/bills/2242131", "הצעת חוק מניעת רעש בלתי סביר של המואזין, התשפ״ו-2026")</f>
        <v>532</v>
      </c>
      <c r="E226" t="s">
        <v>532</v>
      </c>
      <c r="F226" t="s">
        <v>533</v>
      </c>
      <c r="G226" t="s">
        <v>14</v>
      </c>
      <c r="H226">
             </c>
      <c r="I226" t="s">
        <v>14</v>
      </c>
      <c r="J226" t="s">
        <v>141</v>
      </c>
      <c r="K226" t="s">
        <v>14</v>
      </c>
      <c r="L226" t="s">
        <v>20</v>
      </c>
      <c r="M226" t="s">
        <v>495</v>
      </c>
      <c r="N226" t="s">
        <v>14</v>
      </c>
    </row>
    <row r="227" x14ac:dyDescent="0.25">
      <c r="A227" t="n">
        <v>25</v>
      </c>
      <c r="B227" t="s">
        <v>14</v>
      </c>
      <c r="C227" t="s">
        <v>22</v>
      </c>
      <c r="D227" s="2" t="s">
        <f>=HYPERLINK("https://main.knesset.gov.il/APPS/legislation/main/bills/2242610", "הצעת חוק מניעת סבל מחסרי חוליות מסוימים  (תיקוני חקיקה), התשפ""ו-2026")</f>
        <v>534</v>
      </c>
      <c r="E227" t="s">
        <v>534</v>
      </c>
      <c r="F227" t="s">
        <v>535</v>
      </c>
      <c r="G227" t="s">
        <v>14</v>
      </c>
      <c r="H227">
             </c>
      <c r="I227" t="s">
        <v>14</v>
      </c>
      <c r="J227" t="s">
        <v>141</v>
      </c>
      <c r="K227" t="s">
        <v>14</v>
      </c>
      <c r="L227" t="s">
        <v>20</v>
      </c>
      <c r="M227" t="s">
        <v>495</v>
      </c>
      <c r="N227" t="s">
        <v>14</v>
      </c>
    </row>
    <row r="228" x14ac:dyDescent="0.25">
      <c r="A228" t="n">
        <v>25</v>
      </c>
      <c r="B228" t="s">
        <v>14</v>
      </c>
      <c r="C228" t="s">
        <v>22</v>
      </c>
      <c r="D228" s="2" t="s">
        <f>=HYPERLINK("https://main.knesset.gov.il/APPS/legislation/main/bills/2242180", "הצעת חוק לתיקון פקודת התעבורה (הסדר חניה לאופנוע - איסור העמדה במקביל למדרכה), התשפ""ו-2026")</f>
        <v>536</v>
      </c>
      <c r="E228" t="s">
        <v>536</v>
      </c>
      <c r="F228" t="s">
        <v>537</v>
      </c>
      <c r="G228" t="s">
        <v>14</v>
      </c>
      <c r="H228">
             </c>
      <c r="I228" t="s">
        <v>14</v>
      </c>
      <c r="J228" t="s">
        <v>141</v>
      </c>
      <c r="K228" t="s">
        <v>14</v>
      </c>
      <c r="L228" t="s">
        <v>20</v>
      </c>
      <c r="M228" t="s">
        <v>495</v>
      </c>
      <c r="N228" t="s">
        <v>14</v>
      </c>
    </row>
    <row r="229" x14ac:dyDescent="0.25">
      <c r="A229" t="n">
        <v>25</v>
      </c>
      <c r="B229" t="s">
        <v>14</v>
      </c>
      <c r="C229" t="s">
        <v>22</v>
      </c>
      <c r="D229" s="2" t="s">
        <f>=HYPERLINK("https://main.knesset.gov.il/APPS/legislation/main/bills/2239460", "הצעת חוק להגברת האכיפה של דיני העבודה (תיקון - אחריות מזמיני שירות וקבלנים בשרשורי העסקה), התשפ""ו-2026")</f>
        <v>538</v>
      </c>
      <c r="E229" t="s">
        <v>538</v>
      </c>
      <c r="F229" t="s">
        <v>539</v>
      </c>
      <c r="G229" t="s">
        <v>14</v>
      </c>
      <c r="H229">
             </c>
      <c r="I229" t="s">
        <v>14</v>
      </c>
      <c r="J229" t="s">
        <v>141</v>
      </c>
      <c r="K229" t="s">
        <v>14</v>
      </c>
      <c r="L229" t="s">
        <v>20</v>
      </c>
      <c r="M229" t="s">
        <v>495</v>
      </c>
      <c r="N229" t="s">
        <v>14</v>
      </c>
    </row>
    <row r="230" x14ac:dyDescent="0.25">
      <c r="A230" t="n">
        <v>25</v>
      </c>
      <c r="B230" t="s">
        <v>14</v>
      </c>
      <c r="C230" t="s">
        <v>22</v>
      </c>
      <c r="D230" s="2" t="s">
        <f>=HYPERLINK("https://main.knesset.gov.il/APPS/legislation/main/bills/2240977", "הצעת חוק עידוד הקמת יקבים בקרקעות חקלאיות, התשפ""ו-2026")</f>
        <v>540</v>
      </c>
      <c r="E230" t="s">
        <v>540</v>
      </c>
      <c r="F230" t="s">
        <v>541</v>
      </c>
      <c r="G230" t="s">
        <v>14</v>
      </c>
      <c r="H230">
             </c>
      <c r="I230" t="s">
        <v>14</v>
      </c>
      <c r="J230" t="s">
        <v>141</v>
      </c>
      <c r="K230" t="s">
        <v>14</v>
      </c>
      <c r="L230" t="s">
        <v>20</v>
      </c>
      <c r="M230" t="s">
        <v>495</v>
      </c>
      <c r="N230" t="s">
        <v>14</v>
      </c>
    </row>
    <row r="231" x14ac:dyDescent="0.25">
      <c r="A231" t="n">
        <v>25</v>
      </c>
      <c r="B231" t="s">
        <v>14</v>
      </c>
      <c r="C231" t="s">
        <v>22</v>
      </c>
      <c r="D231" s="2" t="s">
        <f>=HYPERLINK("https://main.knesset.gov.il/APPS/legislation/main/bills/2240408", "הצעת חוק העובדים הסוציאליים (תיקון - איסור העסקת בוגרי הרשות הפלסטינית), התשפ""ו-2026")</f>
        <v>542</v>
      </c>
      <c r="E231" t="s">
        <v>542</v>
      </c>
      <c r="F231" t="s">
        <v>543</v>
      </c>
      <c r="G231" t="s">
        <v>14</v>
      </c>
      <c r="H231">
             </c>
      <c r="I231" t="s">
        <v>14</v>
      </c>
      <c r="J231" t="s">
        <v>141</v>
      </c>
      <c r="K231" t="s">
        <v>14</v>
      </c>
      <c r="L231" t="s">
        <v>20</v>
      </c>
      <c r="M231" t="s">
        <v>495</v>
      </c>
      <c r="N231" t="s">
        <v>14</v>
      </c>
    </row>
    <row r="232" x14ac:dyDescent="0.25">
      <c r="A232" t="n">
        <v>25</v>
      </c>
      <c r="B232" t="s">
        <v>14</v>
      </c>
      <c r="C232" t="s">
        <v>22</v>
      </c>
      <c r="D232" s="2" t="s">
        <f>=HYPERLINK("https://main.knesset.gov.il/APPS/legislation/main/bills/2241297", "הצעת חוק להסדרת הפיקוח על כלבים (תיקון - הסדרת עיסוק באילוף כלבים), התשפ""ו-2026")</f>
        <v>544</v>
      </c>
      <c r="E232" t="s">
        <v>544</v>
      </c>
      <c r="F232" t="s">
        <v>545</v>
      </c>
      <c r="G232" t="s">
        <v>14</v>
      </c>
      <c r="H232">
             </c>
      <c r="I232" t="s">
        <v>14</v>
      </c>
      <c r="J232" t="s">
        <v>141</v>
      </c>
      <c r="K232" t="s">
        <v>14</v>
      </c>
      <c r="L232" t="s">
        <v>20</v>
      </c>
      <c r="M232" t="s">
        <v>495</v>
      </c>
      <c r="N232" t="s">
        <v>14</v>
      </c>
    </row>
    <row r="233" x14ac:dyDescent="0.25">
      <c r="A233" t="n">
        <v>25</v>
      </c>
      <c r="B233" t="s">
        <v>14</v>
      </c>
      <c r="C233" t="s">
        <v>22</v>
      </c>
      <c r="D233" s="2" t="s">
        <f>=HYPERLINK("https://main.knesset.gov.il/APPS/legislation/main/bills/2239845", "הצעת חוק לתיקון פקודת התעבורה (מתן עדיפות תכנונית לקווי אוטובוס שבהם שיעור הנוסעים גבוה), התשפ""ו-2026")</f>
        <v>546</v>
      </c>
      <c r="E233" t="s">
        <v>546</v>
      </c>
      <c r="F233" t="s">
        <v>547</v>
      </c>
      <c r="G233" t="s">
        <v>14</v>
      </c>
      <c r="H233">
             </c>
      <c r="I233" t="s">
        <v>14</v>
      </c>
      <c r="J233" t="s">
        <v>141</v>
      </c>
      <c r="K233" t="s">
        <v>14</v>
      </c>
      <c r="L233" t="s">
        <v>20</v>
      </c>
      <c r="M233" t="s">
        <v>495</v>
      </c>
      <c r="N233" t="s">
        <v>14</v>
      </c>
    </row>
    <row r="234" x14ac:dyDescent="0.25">
      <c r="A234" t="n">
        <v>25</v>
      </c>
      <c r="B234" t="s">
        <v>14</v>
      </c>
      <c r="C234" t="s">
        <v>22</v>
      </c>
      <c r="D234" s="2" t="s">
        <f>=HYPERLINK("https://main.knesset.gov.il/APPS/legislation/main/bills/2240546", "הצעת חוק מדד לזכות לקיום אנושי בכבוד, התשפ""ו-2026")</f>
        <v>548</v>
      </c>
      <c r="E234" t="s">
        <v>548</v>
      </c>
      <c r="F234" t="s">
        <v>549</v>
      </c>
      <c r="G234" t="s">
        <v>14</v>
      </c>
      <c r="H234">
             </c>
      <c r="I234" t="s">
        <v>14</v>
      </c>
      <c r="J234" t="s">
        <v>141</v>
      </c>
      <c r="K234" t="s">
        <v>14</v>
      </c>
      <c r="L234" t="s">
        <v>20</v>
      </c>
      <c r="M234" t="s">
        <v>495</v>
      </c>
      <c r="N234" t="s">
        <v>14</v>
      </c>
    </row>
    <row r="235" x14ac:dyDescent="0.25">
      <c r="A235" t="n">
        <v>25</v>
      </c>
      <c r="B235" t="s">
        <v>14</v>
      </c>
      <c r="C235" t="s">
        <v>22</v>
      </c>
      <c r="D235" s="2" t="s">
        <f>=HYPERLINK("https://main.knesset.gov.il/APPS/legislation/main/bills/2242059", "הצעת חוק לתיקון פקודת בריאות העם (חובת אחזקת מכשיר איתור ורידים), התשפ""ו-2026")</f>
        <v>550</v>
      </c>
      <c r="E235" t="s">
        <v>550</v>
      </c>
      <c r="F235" t="s">
        <v>551</v>
      </c>
      <c r="G235" t="s">
        <v>14</v>
      </c>
      <c r="H235">
             </c>
      <c r="I235" t="s">
        <v>14</v>
      </c>
      <c r="J235" t="s">
        <v>141</v>
      </c>
      <c r="K235" t="s">
        <v>14</v>
      </c>
      <c r="L235" t="s">
        <v>20</v>
      </c>
      <c r="M235" t="s">
        <v>495</v>
      </c>
      <c r="N235" t="s">
        <v>14</v>
      </c>
    </row>
    <row r="236" x14ac:dyDescent="0.25">
      <c r="A236" t="n">
        <v>25</v>
      </c>
      <c r="B236" t="s">
        <v>14</v>
      </c>
      <c r="C236" t="s">
        <v>22</v>
      </c>
      <c r="D236" s="2" t="s">
        <f>=HYPERLINK("https://main.knesset.gov.il/APPS/legislation/main/bills/2218926", "הצעת חוק משפחות חיילים שנספו במערכה (תגמולים ושיקום) (תיקון - הטבות לאח הנספה), התשפ""ו-2026")</f>
        <v>438</v>
      </c>
      <c r="E236" t="s">
        <v>438</v>
      </c>
      <c r="F236" t="s">
        <v>552</v>
      </c>
      <c r="G236" t="s">
        <v>14</v>
      </c>
      <c r="H236">
             </c>
      <c r="I236" t="s">
        <v>14</v>
      </c>
      <c r="J236" t="s">
        <v>141</v>
      </c>
      <c r="K236" t="s">
        <v>14</v>
      </c>
      <c r="L236" t="s">
        <v>20</v>
      </c>
      <c r="M236" t="s">
        <v>495</v>
      </c>
      <c r="N236" t="s">
        <v>14</v>
      </c>
    </row>
    <row r="237" x14ac:dyDescent="0.25">
      <c r="A237" t="n">
        <v>25</v>
      </c>
      <c r="B237" t="s">
        <v>14</v>
      </c>
      <c r="C237" t="s">
        <v>22</v>
      </c>
      <c r="D237" s="2" t="s">
        <f>=HYPERLINK("https://main.knesset.gov.il/APPS/legislation/main/bills/2240970", "הצעת חוק לתיקון פקודת התעבורה (יידוע הציבור על צילום לצורכי אכיפה), התשפ""ו-2026")</f>
        <v>553</v>
      </c>
      <c r="E237" t="s">
        <v>553</v>
      </c>
      <c r="F237" t="s">
        <v>554</v>
      </c>
      <c r="G237" t="s">
        <v>14</v>
      </c>
      <c r="H237">
             </c>
      <c r="I237" t="s">
        <v>14</v>
      </c>
      <c r="J237" t="s">
        <v>141</v>
      </c>
      <c r="K237" t="s">
        <v>14</v>
      </c>
      <c r="L237" t="s">
        <v>20</v>
      </c>
      <c r="M237" t="s">
        <v>495</v>
      </c>
      <c r="N237" t="s">
        <v>14</v>
      </c>
    </row>
    <row r="238" x14ac:dyDescent="0.25">
      <c r="A238" t="n">
        <v>25</v>
      </c>
      <c r="B238" t="s">
        <v>14</v>
      </c>
      <c r="C238" t="s">
        <v>22</v>
      </c>
      <c r="D238" s="2" t="s">
        <f>=HYPERLINK("https://main.knesset.gov.il/APPS/legislation/main/bills/2236439", "הצעת חוק בתי קברות צבאיים (תיקון - חיילים זכאי חוק השבות), התשפ""ו-2026")</f>
        <v>555</v>
      </c>
      <c r="E238" t="s">
        <v>555</v>
      </c>
      <c r="F238" t="s">
        <v>556</v>
      </c>
      <c r="G238" t="s">
        <v>14</v>
      </c>
      <c r="H238">
             </c>
      <c r="I238" t="s">
        <v>14</v>
      </c>
      <c r="J238" t="s">
        <v>141</v>
      </c>
      <c r="K238" t="s">
        <v>14</v>
      </c>
      <c r="L238" t="s">
        <v>20</v>
      </c>
      <c r="M238" t="s">
        <v>495</v>
      </c>
      <c r="N238" t="s">
        <v>14</v>
      </c>
    </row>
    <row r="239" x14ac:dyDescent="0.25">
      <c r="A239" t="n">
        <v>25</v>
      </c>
      <c r="B239" t="s">
        <v>14</v>
      </c>
      <c r="C239" t="s">
        <v>22</v>
      </c>
      <c r="D239" s="2" t="s">
        <f>=HYPERLINK("https://main.knesset.gov.il/APPS/legislation/main/bills/2242135", "הצעת חוק ההתגוננות האזרחית (תיקון - איסור הצבת צופר על גג מוסד חינוכי לצרכים מיוחדים), התשפ""ו-2026")</f>
        <v>557</v>
      </c>
      <c r="E239" t="s">
        <v>557</v>
      </c>
      <c r="F239" t="s">
        <v>558</v>
      </c>
      <c r="G239" t="s">
        <v>14</v>
      </c>
      <c r="H239">
             </c>
      <c r="I239" t="s">
        <v>14</v>
      </c>
      <c r="J239" t="s">
        <v>141</v>
      </c>
      <c r="K239" t="s">
        <v>14</v>
      </c>
      <c r="L239" t="s">
        <v>20</v>
      </c>
      <c r="M239" t="s">
        <v>495</v>
      </c>
      <c r="N239" t="s">
        <v>14</v>
      </c>
    </row>
    <row r="240" x14ac:dyDescent="0.25">
      <c r="A240" t="n">
        <v>25</v>
      </c>
      <c r="B240" t="s">
        <v>14</v>
      </c>
      <c r="C240" t="s">
        <v>22</v>
      </c>
      <c r="D240" s="2" t="s">
        <f>=HYPERLINK("https://main.knesset.gov.il/APPS/legislation/main/bills/2240911", "הצעת חוק אחריות במרחב הרשת, התשפ""ו-2026")</f>
        <v>559</v>
      </c>
      <c r="E240" t="s">
        <v>559</v>
      </c>
      <c r="F240" t="s">
        <v>560</v>
      </c>
      <c r="G240" t="s">
        <v>14</v>
      </c>
      <c r="H240">
             </c>
      <c r="I240" t="s">
        <v>14</v>
      </c>
      <c r="J240" t="s">
        <v>141</v>
      </c>
      <c r="K240" t="s">
        <v>14</v>
      </c>
      <c r="L240" t="s">
        <v>20</v>
      </c>
      <c r="M240" t="s">
        <v>495</v>
      </c>
      <c r="N240" t="s">
        <v>14</v>
      </c>
    </row>
    <row r="241" x14ac:dyDescent="0.25">
      <c r="A241" t="n">
        <v>25</v>
      </c>
      <c r="B241" t="s">
        <v>14</v>
      </c>
      <c r="C241" t="s">
        <v>22</v>
      </c>
      <c r="D241" s="2" t="s">
        <f>=HYPERLINK("https://main.knesset.gov.il/APPS/legislation/main/bills/2240648", "הצעת חוק הרשות השנייה לטלוויזיה ורדיו (תיקון - הארכת תקופת המעבר), התשפ""ו-2026")</f>
        <v>561</v>
      </c>
      <c r="E241" t="s">
        <v>561</v>
      </c>
      <c r="F241" t="s">
        <v>562</v>
      </c>
      <c r="G241" t="s">
        <v>14</v>
      </c>
      <c r="H241">
             </c>
      <c r="I241" t="s">
        <v>14</v>
      </c>
      <c r="J241" t="s">
        <v>141</v>
      </c>
      <c r="K241" t="s">
        <v>14</v>
      </c>
      <c r="L241" t="s">
        <v>20</v>
      </c>
      <c r="M241" t="s">
        <v>495</v>
      </c>
      <c r="N241" t="s">
        <v>14</v>
      </c>
    </row>
    <row r="242" x14ac:dyDescent="0.25">
      <c r="A242" t="n">
        <v>25</v>
      </c>
      <c r="B242" t="s">
        <v>14</v>
      </c>
      <c r="C242" t="s">
        <v>22</v>
      </c>
      <c r="D242" s="2" t="s">
        <f>=HYPERLINK("https://main.knesset.gov.il/APPS/legislation/main/bills/2238944", "הצעת חוק לתיקון פקודת התעבורה (נסיעת רכב שבו שני נוסעים לפחות בנתיב תחבורה ציבורית), התשפ""ו-2026")</f>
        <v>563</v>
      </c>
      <c r="E242" t="s">
        <v>563</v>
      </c>
      <c r="F242" t="s">
        <v>564</v>
      </c>
      <c r="G242" t="s">
        <v>14</v>
      </c>
      <c r="H242">
             </c>
      <c r="I242" t="s">
        <v>14</v>
      </c>
      <c r="J242" t="s">
        <v>141</v>
      </c>
      <c r="K242" t="s">
        <v>14</v>
      </c>
      <c r="L242" t="s">
        <v>20</v>
      </c>
      <c r="M242" t="s">
        <v>495</v>
      </c>
      <c r="N242" t="s">
        <v>14</v>
      </c>
    </row>
    <row r="243" x14ac:dyDescent="0.25">
      <c r="A243" t="n">
        <v>25</v>
      </c>
      <c r="B243" t="s">
        <v>14</v>
      </c>
      <c r="C243" t="s">
        <v>22</v>
      </c>
      <c r="D243" s="2" t="s">
        <f>=HYPERLINK("https://main.knesset.gov.il/APPS/legislation/main/bills/2236916", "הצעת חוק לתיקון פקודת הרוקחים (מתן מרשם על ידי פודיאטר ופודיאטר מנתח), התשפ""ו-2026")</f>
        <v>565</v>
      </c>
      <c r="E243" t="s">
        <v>565</v>
      </c>
      <c r="F243" t="s">
        <v>566</v>
      </c>
      <c r="G243" t="s">
        <v>14</v>
      </c>
      <c r="H243">
             </c>
      <c r="I243" t="s">
        <v>14</v>
      </c>
      <c r="J243" t="s">
        <v>141</v>
      </c>
      <c r="K243" t="s">
        <v>14</v>
      </c>
      <c r="L243" t="s">
        <v>20</v>
      </c>
      <c r="M243" t="s">
        <v>495</v>
      </c>
      <c r="N243" t="s">
        <v>14</v>
      </c>
    </row>
    <row r="244" x14ac:dyDescent="0.25">
      <c r="A244" t="n">
        <v>25</v>
      </c>
      <c r="B244" t="s">
        <v>14</v>
      </c>
      <c r="C244" t="s">
        <v>22</v>
      </c>
      <c r="D244" s="2" t="s">
        <f>=HYPERLINK("https://main.knesset.gov.il/APPS/legislation/main/bills/2242174", "הצעת חוק הבנקאות (שירות ללקוח) (תיקון - קורס חינוך פיננסי ללקוח בחריגה ממסגרת האשראי או בחריגה תזרימית), התשפ""ו-2026")</f>
        <v>567</v>
      </c>
      <c r="E244" t="s">
        <v>567</v>
      </c>
      <c r="F244" t="s">
        <v>568</v>
      </c>
      <c r="G244" t="s">
        <v>14</v>
      </c>
      <c r="H244">
             </c>
      <c r="I244" t="s">
        <v>14</v>
      </c>
      <c r="J244" t="s">
        <v>141</v>
      </c>
      <c r="K244" t="s">
        <v>14</v>
      </c>
      <c r="L244" t="s">
        <v>20</v>
      </c>
      <c r="M244" t="s">
        <v>495</v>
      </c>
      <c r="N244" t="s">
        <v>14</v>
      </c>
    </row>
    <row r="245" x14ac:dyDescent="0.25">
      <c r="A245" t="n">
        <v>25</v>
      </c>
      <c r="B245" t="s">
        <v>14</v>
      </c>
      <c r="C245" t="s">
        <v>22</v>
      </c>
      <c r="D245" s="2" t="s">
        <f>=HYPERLINK("https://main.knesset.gov.il/APPS/legislation/main/bills/2240459", "הצעת חוק הבחירות (דרכי תעמולה) (תיקון - תעמולה דיגיטלית, תעמולה מבוססת בינה מלאכותית והחמרת ענישה), התשפ""ו-2026")</f>
        <v>569</v>
      </c>
      <c r="E245" t="s">
        <v>569</v>
      </c>
      <c r="F245" t="s">
        <v>570</v>
      </c>
      <c r="G245" t="s">
        <v>14</v>
      </c>
      <c r="H245">
             </c>
      <c r="I245" t="s">
        <v>14</v>
      </c>
      <c r="J245" t="s">
        <v>141</v>
      </c>
      <c r="K245" t="s">
        <v>14</v>
      </c>
      <c r="L245" t="s">
        <v>20</v>
      </c>
      <c r="M245" t="s">
        <v>495</v>
      </c>
      <c r="N245" t="s">
        <v>14</v>
      </c>
    </row>
    <row r="246" x14ac:dyDescent="0.25">
      <c r="A246" t="n">
        <v>25</v>
      </c>
      <c r="B246" t="s">
        <v>14</v>
      </c>
      <c r="C246" t="s">
        <v>22</v>
      </c>
      <c r="D246" s="2" t="s">
        <f>=HYPERLINK("https://main.knesset.gov.il/APPS/legislation/main/bills/2242145", "הצעת חוק בתי קברות צבאיים (תיקון מס' 5) (תיקון - תחולה למפרע), התשפ""ו-2026")</f>
        <v>571</v>
      </c>
      <c r="E246" t="s">
        <v>571</v>
      </c>
      <c r="F246" t="s">
        <v>572</v>
      </c>
      <c r="G246" t="s">
        <v>14</v>
      </c>
      <c r="H246">
             </c>
      <c r="I246" t="s">
        <v>14</v>
      </c>
      <c r="J246" t="s">
        <v>141</v>
      </c>
      <c r="K246" t="s">
        <v>14</v>
      </c>
      <c r="L246" t="s">
        <v>20</v>
      </c>
      <c r="M246" t="s">
        <v>495</v>
      </c>
      <c r="N246" t="s">
        <v>14</v>
      </c>
    </row>
    <row r="247" x14ac:dyDescent="0.25">
      <c r="A247" t="n">
        <v>25</v>
      </c>
      <c r="B247" t="s">
        <v>14</v>
      </c>
      <c r="C247" t="s">
        <v>22</v>
      </c>
      <c r="D247" s="2" t="s">
        <f>=HYPERLINK("https://main.knesset.gov.il/APPS/legislation/main/bills/2241107", "הצעת חוק השמירה על המקומות הקדושים (תיקון - סמכות הרבנות הראשית לישראל), התשפ""ו-2026")</f>
        <v>573</v>
      </c>
      <c r="E247" t="s">
        <v>573</v>
      </c>
      <c r="F247" t="s">
        <v>574</v>
      </c>
      <c r="G247" t="s">
        <v>14</v>
      </c>
      <c r="H247">
             </c>
      <c r="I247" t="s">
        <v>14</v>
      </c>
      <c r="J247" t="s">
        <v>141</v>
      </c>
      <c r="K247" t="s">
        <v>14</v>
      </c>
      <c r="L247" t="s">
        <v>20</v>
      </c>
      <c r="M247" t="s">
        <v>495</v>
      </c>
      <c r="N247" t="s">
        <v>14</v>
      </c>
    </row>
    <row r="248" x14ac:dyDescent="0.25">
      <c r="A248" t="n">
        <v>25</v>
      </c>
      <c r="B248" t="s">
        <v>14</v>
      </c>
      <c r="C248" t="s">
        <v>22</v>
      </c>
      <c r="D248" s="2" t="s">
        <f>=HYPERLINK("https://main.knesset.gov.il/APPS/legislation/main/bills/2242055", "הצעת חוק רישוי עסקים (תיקון - התקנת מכשיר לבדיקת רמת אלכוהול), התשפ""ו-2026")</f>
        <v>575</v>
      </c>
      <c r="E248" t="s">
        <v>575</v>
      </c>
      <c r="F248" t="s">
        <v>576</v>
      </c>
      <c r="G248" t="s">
        <v>14</v>
      </c>
      <c r="H248">
             </c>
      <c r="I248" t="s">
        <v>14</v>
      </c>
      <c r="J248" t="s">
        <v>141</v>
      </c>
      <c r="K248" t="s">
        <v>14</v>
      </c>
      <c r="L248" t="s">
        <v>20</v>
      </c>
      <c r="M248" t="s">
        <v>495</v>
      </c>
      <c r="N248" t="s">
        <v>14</v>
      </c>
    </row>
    <row r="249" x14ac:dyDescent="0.25">
      <c r="A249" t="n">
        <v>25</v>
      </c>
      <c r="B249" t="s">
        <v>14</v>
      </c>
      <c r="C249" t="s">
        <v>22</v>
      </c>
      <c r="D249" s="2" t="s">
        <f>=HYPERLINK("https://main.knesset.gov.il/APPS/legislation/main/bills/2242101", "הצעת חוק זכויות הסטודנט (תיקון - איסור הפליה מחמת נטייה מינית או זהות מגדרית), התשפ""ו-2026")</f>
        <v>577</v>
      </c>
      <c r="E249" t="s">
        <v>577</v>
      </c>
      <c r="F249" t="s">
        <v>578</v>
      </c>
      <c r="G249" t="s">
        <v>14</v>
      </c>
      <c r="H249">
             </c>
      <c r="I249" t="s">
        <v>14</v>
      </c>
      <c r="J249" t="s">
        <v>141</v>
      </c>
      <c r="K249" t="s">
        <v>14</v>
      </c>
      <c r="L249" t="s">
        <v>20</v>
      </c>
      <c r="M249" t="s">
        <v>495</v>
      </c>
      <c r="N249" t="s">
        <v>14</v>
      </c>
    </row>
    <row r="250" x14ac:dyDescent="0.25">
      <c r="A250" t="n">
        <v>25</v>
      </c>
      <c r="B250" t="s">
        <v>14</v>
      </c>
      <c r="C250" t="s">
        <v>22</v>
      </c>
      <c r="D250" s="2" t="s">
        <f>=HYPERLINK("https://main.knesset.gov.il/APPS/legislation/main/bills/2236966", "הצעת חוק שירותי הדת היהודיים (תיקון - הכרזה על בית עלמין סגור), התשפ""ו-2026")</f>
        <v>579</v>
      </c>
      <c r="E250" t="s">
        <v>579</v>
      </c>
      <c r="F250" t="s">
        <v>580</v>
      </c>
      <c r="G250" t="s">
        <v>14</v>
      </c>
      <c r="H250">
             </c>
      <c r="I250" t="s">
        <v>14</v>
      </c>
      <c r="J250" t="s">
        <v>141</v>
      </c>
      <c r="K250" t="s">
        <v>14</v>
      </c>
      <c r="L250" t="s">
        <v>20</v>
      </c>
      <c r="M250" t="s">
        <v>495</v>
      </c>
      <c r="N250" t="s">
        <v>14</v>
      </c>
    </row>
    <row r="251" x14ac:dyDescent="0.25">
      <c r="A251" t="n">
        <v>25</v>
      </c>
      <c r="B251" t="s">
        <v>14</v>
      </c>
      <c r="C251" t="s">
        <v>22</v>
      </c>
      <c r="D251" s="2" t="s">
        <f>=HYPERLINK("https://main.knesset.gov.il/APPS/legislation/main/bills/2242141", "הצעת חוק לימוד חובה (תיקון - מנהל מוסד חינוך), התשפ""ו-2026")</f>
        <v>581</v>
      </c>
      <c r="E251" t="s">
        <v>581</v>
      </c>
      <c r="F251" t="s">
        <v>582</v>
      </c>
      <c r="G251" t="s">
        <v>14</v>
      </c>
      <c r="H251">
             </c>
      <c r="I251" t="s">
        <v>14</v>
      </c>
      <c r="J251" t="s">
        <v>141</v>
      </c>
      <c r="K251" t="s">
        <v>14</v>
      </c>
      <c r="L251" t="s">
        <v>20</v>
      </c>
      <c r="M251" t="s">
        <v>495</v>
      </c>
      <c r="N251" t="s">
        <v>14</v>
      </c>
    </row>
    <row r="252" x14ac:dyDescent="0.25">
      <c r="A252" t="n">
        <v>25</v>
      </c>
      <c r="B252" t="s">
        <v>14</v>
      </c>
      <c r="C252" t="s">
        <v>22</v>
      </c>
      <c r="D252" s="2" t="s">
        <f>=HYPERLINK("https://main.knesset.gov.il/APPS/legislation/main/bills/2242416", "הצעת חוק לתיקון פקודת מס הכנסה (שינוי הקריטריונים ליישוב מוטב), התשפ""ו-2026")</f>
        <v>583</v>
      </c>
      <c r="E252" t="s">
        <v>583</v>
      </c>
      <c r="F252" t="s">
        <v>584</v>
      </c>
      <c r="G252" t="s">
        <v>14</v>
      </c>
      <c r="H252">
             </c>
      <c r="I252" t="s">
        <v>14</v>
      </c>
      <c r="J252" t="s">
        <v>141</v>
      </c>
      <c r="K252" t="s">
        <v>14</v>
      </c>
      <c r="L252" t="s">
        <v>20</v>
      </c>
      <c r="M252" t="s">
        <v>495</v>
      </c>
      <c r="N252" t="s">
        <v>14</v>
      </c>
    </row>
    <row r="253" x14ac:dyDescent="0.25">
      <c r="A253" t="n">
        <v>25</v>
      </c>
      <c r="B253" t="s">
        <v>14</v>
      </c>
      <c r="C253" t="s">
        <v>22</v>
      </c>
      <c r="D253" s="2" t="s">
        <f>=HYPERLINK("https://main.knesset.gov.il/APPS/legislation/main/bills/2242179", "הצעת חוק ביטוח בריאות ממלכתי (תיקון - הרחבת חופש הבחירה ושוויון בנגישות בפריפריה), התשפ""ו-2026")</f>
        <v>585</v>
      </c>
      <c r="E253" t="s">
        <v>585</v>
      </c>
      <c r="F253" t="s">
        <v>586</v>
      </c>
      <c r="G253" t="s">
        <v>14</v>
      </c>
      <c r="H253">
             </c>
      <c r="I253" t="s">
        <v>14</v>
      </c>
      <c r="J253" t="s">
        <v>141</v>
      </c>
      <c r="K253" t="s">
        <v>14</v>
      </c>
      <c r="L253" t="s">
        <v>20</v>
      </c>
      <c r="M253" t="s">
        <v>495</v>
      </c>
      <c r="N253" t="s">
        <v>14</v>
      </c>
    </row>
    <row r="254" x14ac:dyDescent="0.25">
      <c r="A254" t="n">
        <v>25</v>
      </c>
      <c r="B254" t="s">
        <v>14</v>
      </c>
      <c r="C254" t="s">
        <v>22</v>
      </c>
      <c r="D254" s="2" t="s">
        <f>=HYPERLINK("https://main.knesset.gov.il/APPS/legislation/main/bills/2241731", "הצעת חוק הבטחת חיים בכבוד לאזרחים ותיקים (תיקוני חקיקה), התשפ""ו-2026")</f>
        <v>587</v>
      </c>
      <c r="E254" t="s">
        <v>587</v>
      </c>
      <c r="F254" t="s">
        <v>588</v>
      </c>
      <c r="G254" t="s">
        <v>14</v>
      </c>
      <c r="H254">
             </c>
      <c r="I254" t="s">
        <v>14</v>
      </c>
      <c r="J254" t="s">
        <v>141</v>
      </c>
      <c r="K254" t="s">
        <v>14</v>
      </c>
      <c r="L254" t="s">
        <v>20</v>
      </c>
      <c r="M254" t="s">
        <v>495</v>
      </c>
      <c r="N254" t="s">
        <v>14</v>
      </c>
    </row>
    <row r="255" x14ac:dyDescent="0.25">
      <c r="A255" t="n">
        <v>25</v>
      </c>
      <c r="B255" t="s">
        <v>14</v>
      </c>
      <c r="C255" t="s">
        <v>22</v>
      </c>
      <c r="D255" s="2" t="s">
        <f>=HYPERLINK("https://main.knesset.gov.il/APPS/legislation/main/bills/2241864", "הצעת חוק המועצה להשכלה גבוהה (תיקון - מימון לימודים לתואר ראשון לסטודנט תושב קריית שמונה) (הוראת שעה), התשפ״ו-2026")</f>
        <v>589</v>
      </c>
      <c r="E255" t="s">
        <v>589</v>
      </c>
      <c r="F255" t="s">
        <v>590</v>
      </c>
      <c r="G255" t="s">
        <v>14</v>
      </c>
      <c r="H255">
             </c>
      <c r="I255" t="s">
        <v>14</v>
      </c>
      <c r="J255" t="s">
        <v>141</v>
      </c>
      <c r="K255" t="s">
        <v>14</v>
      </c>
      <c r="L255" t="s">
        <v>20</v>
      </c>
      <c r="M255" t="s">
        <v>495</v>
      </c>
      <c r="N255" t="s">
        <v>14</v>
      </c>
    </row>
    <row r="256" x14ac:dyDescent="0.25">
      <c r="A256" t="n">
        <v>25</v>
      </c>
      <c r="B256" t="s">
        <v>14</v>
      </c>
      <c r="C256" t="s">
        <v>15</v>
      </c>
      <c r="D256" s="2" t="s">
        <f>=HYPERLINK("https://main.knesset.gov.il/APPS/legislation/main/bills/1042178", "הצעת חוק הפיקוח על שירותים פיננסיים (שירותים פיננסיים מוסדרים) (תיקון מס' 18), התשפ""ו-2026")</f>
        <v>591</v>
      </c>
      <c r="E256" t="s">
        <v>591</v>
      </c>
      <c r="F256" t="s">
        <v>14</v>
      </c>
      <c r="G256" t="s">
        <v>592</v>
      </c>
      <c r="H256">
             </c>
      <c r="I256" t="s">
        <v>14</v>
      </c>
      <c r="J256" t="s">
        <v>69</v>
      </c>
      <c r="K256" t="s">
        <v>14</v>
      </c>
      <c r="L256" t="s">
        <v>20</v>
      </c>
      <c r="M256" t="s">
        <v>495</v>
      </c>
      <c r="N256" t="s">
        <v>14</v>
      </c>
    </row>
    <row r="257" x14ac:dyDescent="0.25">
      <c r="A257" t="n">
        <v>25</v>
      </c>
      <c r="B257" t="s">
        <v>14</v>
      </c>
      <c r="C257" t="s">
        <v>15</v>
      </c>
      <c r="D257" s="2" t="s">
        <f>=HYPERLINK("https://main.knesset.gov.il/APPS/legislation/main/bills/1046169", "הצעת חוק הכניסה לישראל (תיקון מס' 45) (סמכויות פיקוח כלפי מגישי בקשה להסדרת מעמד בן זוג), התשפ""ו-2026")</f>
        <v>593</v>
      </c>
      <c r="E257" t="s">
        <v>593</v>
      </c>
      <c r="F257" t="s">
        <v>14</v>
      </c>
      <c r="G257" t="s">
        <v>594</v>
      </c>
      <c r="H257">
             </c>
      <c r="I257" t="s">
        <v>14</v>
      </c>
      <c r="J257" t="s">
        <v>69</v>
      </c>
      <c r="K257" t="s">
        <v>14</v>
      </c>
      <c r="L257" t="s">
        <v>20</v>
      </c>
      <c r="M257" t="s">
        <v>495</v>
      </c>
      <c r="N257" t="s">
        <v>14</v>
      </c>
    </row>
    <row r="258" x14ac:dyDescent="0.25">
      <c r="A258" t="n">
        <v>25</v>
      </c>
      <c r="B258" t="s">
        <v>14</v>
      </c>
      <c r="C258" t="s">
        <v>22</v>
      </c>
      <c r="D258" s="2" t="s">
        <f>=HYPERLINK("https://main.knesset.gov.il/APPS/legislation/main/bills/2224718", "הצעת חוק הוועדה לטיפול במשפחות נעדרים וחטופים, התשפ""ה-2024")</f>
        <v>595</v>
      </c>
      <c r="E258" t="s">
        <v>595</v>
      </c>
      <c r="F258" t="s">
        <v>596</v>
      </c>
      <c r="G258" t="s">
        <v>14</v>
      </c>
      <c r="H258">
             </c>
      <c r="I258" t="s">
        <v>14</v>
      </c>
      <c r="J258" t="s">
        <v>99</v>
      </c>
      <c r="K258" t="s">
        <v>105</v>
      </c>
      <c r="L258" t="s">
        <v>20</v>
      </c>
      <c r="M258" t="s">
        <v>597</v>
      </c>
      <c r="N258" t="s">
        <v>14</v>
      </c>
    </row>
    <row r="259" x14ac:dyDescent="0.25">
      <c r="A259" t="n">
        <v>25</v>
      </c>
      <c r="B259" t="s">
        <v>14</v>
      </c>
      <c r="C259" t="s">
        <v>22</v>
      </c>
      <c r="D259" s="2" t="s">
        <f>=HYPERLINK("https://main.knesset.gov.il/APPS/legislation/main/bills/2222851", "הצעת חוק הוועדה לטיפול במשפחות נעדרים אזרחיים, התשפ""ה-2024")</f>
        <v>598</v>
      </c>
      <c r="E259" t="s">
        <v>598</v>
      </c>
      <c r="F259" t="s">
        <v>599</v>
      </c>
      <c r="G259" t="s">
        <v>14</v>
      </c>
      <c r="H259">
             </c>
      <c r="I259" t="s">
        <v>14</v>
      </c>
      <c r="J259" t="s">
        <v>99</v>
      </c>
      <c r="K259" t="s">
        <v>105</v>
      </c>
      <c r="L259" t="s">
        <v>20</v>
      </c>
      <c r="M259" t="s">
        <v>597</v>
      </c>
      <c r="N259" t="s">
        <v>14</v>
      </c>
    </row>
    <row r="260" x14ac:dyDescent="0.25">
      <c r="A260" t="n">
        <v>25</v>
      </c>
      <c r="B260" t="s">
        <v>14</v>
      </c>
      <c r="C260" t="s">
        <v>22</v>
      </c>
      <c r="D260" s="2" t="s">
        <f>=HYPERLINK("https://main.knesset.gov.il/APPS/legislation/main/bills/2217024", "הצעת חוק הוועדה לטיפול במשפחות נעדרים אזרחיים, התשפ""ד-2024")</f>
        <v>600</v>
      </c>
      <c r="E260" t="s">
        <v>600</v>
      </c>
      <c r="F260" t="s">
        <v>601</v>
      </c>
      <c r="G260" t="s">
        <v>14</v>
      </c>
      <c r="H260">
             </c>
      <c r="I260" t="s">
        <v>14</v>
      </c>
      <c r="J260" t="s">
        <v>99</v>
      </c>
      <c r="K260" t="s">
        <v>105</v>
      </c>
      <c r="L260" t="s">
        <v>20</v>
      </c>
      <c r="M260" t="s">
        <v>597</v>
      </c>
      <c r="N260" t="s">
        <v>14</v>
      </c>
    </row>
    <row r="261" x14ac:dyDescent="0.25">
      <c r="A261" t="n">
        <v>25</v>
      </c>
      <c r="B261" t="s">
        <v>14</v>
      </c>
      <c r="C261" t="s">
        <v>22</v>
      </c>
      <c r="D261" s="2" t="s">
        <f>=HYPERLINK("https://main.knesset.gov.il/APPS/legislation/main/bills/2210782", "הצעת חוק הוועדה לטיפול במשפחות נעדרים אזרחיים, התשפ""ד-2023")</f>
        <v>602</v>
      </c>
      <c r="E261" t="s">
        <v>602</v>
      </c>
      <c r="F261" t="s">
        <v>603</v>
      </c>
      <c r="G261" t="s">
        <v>14</v>
      </c>
      <c r="H261">
             </c>
      <c r="I261" t="s">
        <v>14</v>
      </c>
      <c r="J261" t="s">
        <v>99</v>
      </c>
      <c r="K261" t="s">
        <v>105</v>
      </c>
      <c r="L261" t="s">
        <v>20</v>
      </c>
      <c r="M261" t="s">
        <v>597</v>
      </c>
      <c r="N261" t="s">
        <v>14</v>
      </c>
    </row>
    <row r="262" x14ac:dyDescent="0.25">
      <c r="A262" t="n">
        <v>25</v>
      </c>
      <c r="B262" t="s">
        <v>14</v>
      </c>
      <c r="C262" t="s">
        <v>22</v>
      </c>
      <c r="D262" s="2" t="s">
        <f>=HYPERLINK("https://main.knesset.gov.il/APPS/legislation/main/bills/2203603", "הצעת חוק הוועדה לטיפול במשפחות נעדרים אזרחיים, התשפ""ג-2023")</f>
        <v>604</v>
      </c>
      <c r="E262" t="s">
        <v>604</v>
      </c>
      <c r="F262" t="s">
        <v>605</v>
      </c>
      <c r="G262" t="s">
        <v>14</v>
      </c>
      <c r="H262">
             </c>
      <c r="I262" t="s">
        <v>14</v>
      </c>
      <c r="J262" t="s">
        <v>99</v>
      </c>
      <c r="K262" t="s">
        <v>105</v>
      </c>
      <c r="L262" t="s">
        <v>20</v>
      </c>
      <c r="M262" t="s">
        <v>597</v>
      </c>
      <c r="N262" t="s">
        <v>14</v>
      </c>
    </row>
    <row r="263" x14ac:dyDescent="0.25">
      <c r="A263" t="n">
        <v>25</v>
      </c>
      <c r="B263" t="s">
        <v>14</v>
      </c>
      <c r="C263" t="s">
        <v>22</v>
      </c>
      <c r="D263" s="2" t="s">
        <f>=HYPERLINK("https://main.knesset.gov.il/APPS/legislation/main/bills/2196992", "הצעת חוק הוועדה לטיפול במשפחות נעדרים אזרחיים, התשפ""ג-2022")</f>
        <v>606</v>
      </c>
      <c r="E263" t="s">
        <v>606</v>
      </c>
      <c r="F263" t="s">
        <v>607</v>
      </c>
      <c r="G263" t="s">
        <v>14</v>
      </c>
      <c r="H263">
             </c>
      <c r="I263" t="s">
        <v>14</v>
      </c>
      <c r="J263" t="s">
        <v>99</v>
      </c>
      <c r="K263" t="s">
        <v>105</v>
      </c>
      <c r="L263" t="s">
        <v>20</v>
      </c>
      <c r="M263" t="s">
        <v>597</v>
      </c>
      <c r="N263" t="s">
        <v>14</v>
      </c>
    </row>
    <row r="264" x14ac:dyDescent="0.25">
      <c r="A264" t="n">
        <v>25</v>
      </c>
      <c r="B264" t="s">
        <v>14</v>
      </c>
      <c r="C264" t="s">
        <v>22</v>
      </c>
      <c r="D264" s="2" t="s">
        <f>=HYPERLINK("https://main.knesset.gov.il/APPS/legislation/main/bills/2203907", "חוק הכניסה לישראל (תיקון מס' 38), התשפ""ד–2024")</f>
        <v>608</v>
      </c>
      <c r="E264" t="s">
        <v>608</v>
      </c>
      <c r="F264" t="s">
        <v>609</v>
      </c>
      <c r="G264" t="s">
        <v>610</v>
      </c>
      <c r="H264" t="n">
        <v>3207</v>
      </c>
      <c r="I264" t="s">
        <v>14</v>
      </c>
      <c r="J264" t="s">
        <v>91</v>
      </c>
      <c r="K264" t="s">
        <v>105</v>
      </c>
      <c r="L264" t="s">
        <v>20</v>
      </c>
      <c r="M264" t="s">
        <v>611</v>
      </c>
      <c r="N264" t="s">
        <v>612</v>
      </c>
    </row>
    <row r="265" x14ac:dyDescent="0.25">
      <c r="A265" t="n">
        <v>25</v>
      </c>
      <c r="B265" t="s">
        <v>14</v>
      </c>
      <c r="C265" t="s">
        <v>15</v>
      </c>
      <c r="D265" s="2" t="s">
        <f>=HYPERLINK("https://main.knesset.gov.il/APPS/legislation/main/bills/1056982", "חוק התוכנית לסיוע כלכלי (הוראת שעה) (סיוע לעסקים ולמוסדות ציבור), התשפ""ו-2026")</f>
        <v>613</v>
      </c>
      <c r="E265" t="s">
        <v>613</v>
      </c>
      <c r="F265" t="s">
        <v>14</v>
      </c>
      <c r="G265" t="s">
        <v>614</v>
      </c>
      <c r="H265" t="n">
        <v>3525</v>
      </c>
      <c r="I265" t="s">
        <v>14</v>
      </c>
      <c r="J265" t="s">
        <v>91</v>
      </c>
      <c r="K265" t="s">
        <v>85</v>
      </c>
      <c r="L265" t="s">
        <v>20</v>
      </c>
      <c r="M265" t="s">
        <v>615</v>
      </c>
      <c r="N265" t="s">
        <v>14</v>
      </c>
    </row>
    <row r="266" x14ac:dyDescent="0.25">
      <c r="A266" t="n">
        <v>25</v>
      </c>
      <c r="B266" t="s">
        <v>14</v>
      </c>
      <c r="C266" t="s">
        <v>15</v>
      </c>
      <c r="D266" s="2" t="s">
        <f>=HYPERLINK("https://main.knesset.gov.il/APPS/legislation/main/bills/1046547", "חוק השמות (תיקון מס' 9), התשפ""ו-2026")</f>
        <v>616</v>
      </c>
      <c r="E266" t="s">
        <v>616</v>
      </c>
      <c r="F266" t="s">
        <v>14</v>
      </c>
      <c r="G266" t="s">
        <v>617</v>
      </c>
      <c r="H266" t="n">
        <v>3524</v>
      </c>
      <c r="I266" t="s">
        <v>14</v>
      </c>
      <c r="J266" t="s">
        <v>91</v>
      </c>
      <c r="K266" t="s">
        <v>46</v>
      </c>
      <c r="L266" t="s">
        <v>20</v>
      </c>
      <c r="M266" t="s">
        <v>618</v>
      </c>
      <c r="N266" t="s">
        <v>619</v>
      </c>
    </row>
    <row r="267" x14ac:dyDescent="0.25">
      <c r="A267" t="n">
        <v>25</v>
      </c>
      <c r="B267" t="s">
        <v>14</v>
      </c>
      <c r="C267" t="s">
        <v>15</v>
      </c>
      <c r="D267" s="2" t="s">
        <f>=HYPERLINK("https://main.knesset.gov.il/APPS/legislation/main/bills/1046710", "חוק הביטוח הלאומי (תיקון מס' 265), התשפ""ו-2026")</f>
        <v>620</v>
      </c>
      <c r="E267" t="s">
        <v>620</v>
      </c>
      <c r="F267" t="s">
        <v>14</v>
      </c>
      <c r="G267" t="s">
        <v>621</v>
      </c>
      <c r="H267" t="n">
        <v>3523</v>
      </c>
      <c r="I267" t="s">
        <v>14</v>
      </c>
      <c r="J267" t="s">
        <v>91</v>
      </c>
      <c r="K267" t="s">
        <v>127</v>
      </c>
      <c r="L267" t="s">
        <v>20</v>
      </c>
      <c r="M267" t="s">
        <v>618</v>
      </c>
      <c r="N267" t="s">
        <v>14</v>
      </c>
    </row>
    <row r="268" x14ac:dyDescent="0.25">
      <c r="A268" t="n">
        <v>25</v>
      </c>
      <c r="B268" t="s">
        <v>14</v>
      </c>
      <c r="C268" t="s">
        <v>15</v>
      </c>
      <c r="D268" s="2" t="s">
        <f>=HYPERLINK("https://main.knesset.gov.il/APPS/legislation/main/bills/1043724", "חוק חובת דיווח על מלאי מזון לבעלי חיים ומלאי חיטה לשם היערכות למחסור משמעותי, התשפ""ו-2026")</f>
        <v>622</v>
      </c>
      <c r="E268" t="s">
        <v>622</v>
      </c>
      <c r="F268" t="s">
        <v>14</v>
      </c>
      <c r="G268" t="s">
        <v>623</v>
      </c>
      <c r="H268" t="n">
        <v>3522</v>
      </c>
      <c r="I268" t="s">
        <v>14</v>
      </c>
      <c r="J268" t="s">
        <v>91</v>
      </c>
      <c r="K268" t="s">
        <v>19</v>
      </c>
      <c r="L268" t="s">
        <v>20</v>
      </c>
      <c r="M268" t="s">
        <v>618</v>
      </c>
      <c r="N268" t="s">
        <v>14</v>
      </c>
    </row>
    <row r="269" x14ac:dyDescent="0.25">
      <c r="A269" t="n">
        <v>25</v>
      </c>
      <c r="B269" t="s">
        <v>14</v>
      </c>
      <c r="C269" t="s">
        <v>15</v>
      </c>
      <c r="D269" s="2" t="s">
        <f>=HYPERLINK("https://main.knesset.gov.il/APPS/legislation/main/bills/1046091", "חוק שיקום נזקי מלחמה בדרך של התחדשות עירונית, התשפ""ו-2026")</f>
        <v>624</v>
      </c>
      <c r="E269" t="s">
        <v>624</v>
      </c>
      <c r="F269" t="s">
        <v>14</v>
      </c>
      <c r="G269" t="s">
        <v>625</v>
      </c>
      <c r="H269" t="n">
        <v>3521</v>
      </c>
      <c r="I269" t="s">
        <v>14</v>
      </c>
      <c r="J269" t="s">
        <v>91</v>
      </c>
      <c r="K269" t="s">
        <v>46</v>
      </c>
      <c r="L269" t="s">
        <v>20</v>
      </c>
      <c r="M269" t="s">
        <v>618</v>
      </c>
      <c r="N269" t="s">
        <v>626</v>
      </c>
    </row>
    <row r="270" x14ac:dyDescent="0.25">
      <c r="A270" t="n">
        <v>25</v>
      </c>
      <c r="B270" t="s">
        <v>14</v>
      </c>
      <c r="C270" t="s">
        <v>22</v>
      </c>
      <c r="D270" s="2" t="s">
        <f>=HYPERLINK("https://main.knesset.gov.il/APPS/legislation/main/bills/2199298", "חוק עונש מוות למחבלים, התשפ""ו-2026")</f>
        <v>627</v>
      </c>
      <c r="E270" t="s">
        <v>627</v>
      </c>
      <c r="F270" t="s">
        <v>628</v>
      </c>
      <c r="G270" t="s">
        <v>629</v>
      </c>
      <c r="H270" t="n">
        <v>3520</v>
      </c>
      <c r="I270" t="s">
        <v>14</v>
      </c>
      <c r="J270" t="s">
        <v>91</v>
      </c>
      <c r="K270" t="s">
        <v>105</v>
      </c>
      <c r="L270" t="s">
        <v>20</v>
      </c>
      <c r="M270" t="s">
        <v>630</v>
      </c>
      <c r="N270" t="s">
        <v>631</v>
      </c>
    </row>
    <row r="271" x14ac:dyDescent="0.25">
      <c r="A271" t="n">
        <v>25</v>
      </c>
      <c r="B271" t="s">
        <v>14</v>
      </c>
      <c r="C271" t="s">
        <v>15</v>
      </c>
      <c r="D271" s="2" t="s">
        <f>=HYPERLINK("https://main.knesset.gov.il/APPS/legislation/main/bills/1045979", "חוק הפצת שידורים באמצעות תחנות שידור ספרתיות (תיקון מס' 8 – הוראת שעה), התשפ""ו–2026")</f>
        <v>632</v>
      </c>
      <c r="E271" t="s">
        <v>632</v>
      </c>
      <c r="F271" t="s">
        <v>14</v>
      </c>
      <c r="G271" t="s">
        <v>633</v>
      </c>
      <c r="H271" t="n">
        <v>3519</v>
      </c>
      <c r="I271" t="s">
        <v>14</v>
      </c>
      <c r="J271" t="s">
        <v>91</v>
      </c>
      <c r="K271" t="s">
        <v>19</v>
      </c>
      <c r="L271" t="s">
        <v>20</v>
      </c>
      <c r="M271" t="s">
        <v>630</v>
      </c>
      <c r="N271" t="s">
        <v>634</v>
      </c>
    </row>
    <row r="272" x14ac:dyDescent="0.25">
      <c r="A272" t="n">
        <v>25</v>
      </c>
      <c r="B272" t="s">
        <v>14</v>
      </c>
      <c r="C272" t="s">
        <v>22</v>
      </c>
      <c r="D272" s="2" t="s">
        <f>=HYPERLINK("https://main.knesset.gov.il/APPS/legislation/main/bills/2231301", "חוק ביטוח בריאות ממלכתי (תיקון מס' 74), התשפ""ו–2026")</f>
        <v>635</v>
      </c>
      <c r="E272" t="s">
        <v>635</v>
      </c>
      <c r="F272" t="s">
        <v>636</v>
      </c>
      <c r="G272" t="s">
        <v>637</v>
      </c>
      <c r="H272" t="n">
        <v>3518</v>
      </c>
      <c r="I272" t="s">
        <v>14</v>
      </c>
      <c r="J272" t="s">
        <v>91</v>
      </c>
      <c r="K272" t="s">
        <v>480</v>
      </c>
      <c r="L272" t="s">
        <v>20</v>
      </c>
      <c r="M272" t="s">
        <v>630</v>
      </c>
      <c r="N272" t="s">
        <v>638</v>
      </c>
    </row>
    <row r="273" x14ac:dyDescent="0.25">
      <c r="A273" t="n">
        <v>25</v>
      </c>
      <c r="B273" t="s">
        <v>14</v>
      </c>
      <c r="C273" t="s">
        <v>15</v>
      </c>
      <c r="D273" s="2" t="s">
        <f>=HYPERLINK("https://main.knesset.gov.il/APPS/legislation/main/bills/1046571", "חוק להסדרת אירוע הילולת רבי שמעון בר יוחאי בהר מירון (הוראת שעה), התשפ""ו–2026")</f>
        <v>639</v>
      </c>
      <c r="E273" t="s">
        <v>639</v>
      </c>
      <c r="F273" t="s">
        <v>14</v>
      </c>
      <c r="G273" t="s">
        <v>640</v>
      </c>
      <c r="H273" t="n">
        <v>3517</v>
      </c>
      <c r="I273" t="s">
        <v>14</v>
      </c>
      <c r="J273" t="s">
        <v>91</v>
      </c>
      <c r="K273" t="s">
        <v>105</v>
      </c>
      <c r="L273" t="s">
        <v>20</v>
      </c>
      <c r="M273" t="s">
        <v>630</v>
      </c>
      <c r="N273" t="s">
        <v>641</v>
      </c>
    </row>
    <row r="274" x14ac:dyDescent="0.25">
      <c r="A274" t="n">
        <v>25</v>
      </c>
      <c r="B274" t="s">
        <v>14</v>
      </c>
      <c r="C274" t="s">
        <v>15</v>
      </c>
      <c r="D274" s="2" t="s">
        <f>=HYPERLINK("https://main.knesset.gov.il/APPS/legislation/main/bills/1046468", "חוק שירות לאומי-אזרחי (תיקון מס' 9), התשפ""ו-2026")</f>
        <v>642</v>
      </c>
      <c r="E274" t="s">
        <v>642</v>
      </c>
      <c r="F274" t="s">
        <v>14</v>
      </c>
      <c r="G274" t="s">
        <v>643</v>
      </c>
      <c r="H274" t="n">
        <v>3516</v>
      </c>
      <c r="I274" t="s">
        <v>14</v>
      </c>
      <c r="J274" t="s">
        <v>91</v>
      </c>
      <c r="K274" t="s">
        <v>114</v>
      </c>
      <c r="L274" t="s">
        <v>20</v>
      </c>
      <c r="M274" t="s">
        <v>630</v>
      </c>
      <c r="N274" t="s">
        <v>644</v>
      </c>
    </row>
    <row r="275" x14ac:dyDescent="0.25">
      <c r="A275" t="n">
        <v>25</v>
      </c>
      <c r="B275" t="s">
        <v>14</v>
      </c>
      <c r="C275" t="s">
        <v>22</v>
      </c>
      <c r="D275" s="2" t="s">
        <f>=HYPERLINK("https://main.knesset.gov.il/APPS/legislation/main/bills/2233804", "חוק עידוד יישוב עירוני מעורב (הוראת שעה), התשפ""ו–2026")</f>
        <v>645</v>
      </c>
      <c r="E275" t="s">
        <v>645</v>
      </c>
      <c r="F275" t="s">
        <v>646</v>
      </c>
      <c r="G275" t="s">
        <v>647</v>
      </c>
      <c r="H275" t="n">
        <v>3515</v>
      </c>
      <c r="I275" t="s">
        <v>14</v>
      </c>
      <c r="J275" t="s">
        <v>91</v>
      </c>
      <c r="K275" t="s">
        <v>85</v>
      </c>
      <c r="L275" t="s">
        <v>20</v>
      </c>
      <c r="M275" t="s">
        <v>630</v>
      </c>
      <c r="N275" t="s">
        <v>14</v>
      </c>
    </row>
    <row r="276" x14ac:dyDescent="0.25">
      <c r="A276" t="n">
        <v>25</v>
      </c>
      <c r="B276" t="s">
        <v>14</v>
      </c>
      <c r="C276" t="s">
        <v>15</v>
      </c>
      <c r="D276" s="2" t="s">
        <f>=HYPERLINK("https://main.knesset.gov.il/APPS/legislation/main/bills/1045865", "חוק הטבות מס ליישובים (תיקוני חקיקה), התשפ""ו-2026")</f>
        <v>648</v>
      </c>
      <c r="E276" t="s">
        <v>648</v>
      </c>
      <c r="F276" t="s">
        <v>14</v>
      </c>
      <c r="G276" t="s">
        <v>649</v>
      </c>
      <c r="H276" t="n">
        <v>3514</v>
      </c>
      <c r="I276" t="s">
        <v>14</v>
      </c>
      <c r="J276" t="s">
        <v>91</v>
      </c>
      <c r="K276" t="s">
        <v>85</v>
      </c>
      <c r="L276" t="s">
        <v>20</v>
      </c>
      <c r="M276" t="s">
        <v>630</v>
      </c>
      <c r="N276" t="s">
        <v>14</v>
      </c>
    </row>
    <row r="277" x14ac:dyDescent="0.25">
      <c r="A277" t="n">
        <v>25</v>
      </c>
      <c r="B277" t="s">
        <v>14</v>
      </c>
      <c r="C277" t="s">
        <v>15</v>
      </c>
      <c r="D277" s="2" t="s">
        <f>=HYPERLINK("https://main.knesset.gov.il/APPS/legislation/main/bills/1056979", "חוק התוכנית לסיוע כלכלי (הוראת שעה) (תעסוקה), התשפ""ו-2026")</f>
        <v>650</v>
      </c>
      <c r="E277" t="s">
        <v>650</v>
      </c>
      <c r="F277" t="s">
        <v>14</v>
      </c>
      <c r="G277" t="s">
        <v>651</v>
      </c>
      <c r="H277" t="n">
        <v>3513</v>
      </c>
      <c r="I277" t="s">
        <v>14</v>
      </c>
      <c r="J277" t="s">
        <v>91</v>
      </c>
      <c r="K277" t="s">
        <v>127</v>
      </c>
      <c r="L277" t="s">
        <v>20</v>
      </c>
      <c r="M277" t="s">
        <v>630</v>
      </c>
      <c r="N277" t="s">
        <v>652</v>
      </c>
    </row>
    <row r="278" x14ac:dyDescent="0.25">
      <c r="A278" t="n">
        <v>25</v>
      </c>
      <c r="B278" t="s">
        <v>14</v>
      </c>
      <c r="C278" t="s">
        <v>22</v>
      </c>
      <c r="D278" s="2" t="s">
        <f>=HYPERLINK("https://main.knesset.gov.il/APPS/legislation/main/bills/2234071", "הצעת חוק תאגידי מים וביוב (תיקון מס' 21) (הפעלת שירותי מים וביוב על ידי רשות מקומית), התשפ""ו–2026")</f>
        <v>653</v>
      </c>
      <c r="E278" t="s">
        <v>653</v>
      </c>
      <c r="F278" t="s">
        <v>654</v>
      </c>
      <c r="G278" t="s">
        <v>655</v>
      </c>
      <c r="H278">
             </c>
      <c r="I278" t="s">
        <v>14</v>
      </c>
      <c r="J278" t="s">
        <v>18</v>
      </c>
      <c r="K278" t="s">
        <v>19</v>
      </c>
      <c r="L278" t="s">
        <v>20</v>
      </c>
      <c r="M278" t="s">
        <v>630</v>
      </c>
      <c r="N278" t="s">
        <v>14</v>
      </c>
    </row>
    <row r="279" x14ac:dyDescent="0.25">
      <c r="A279" t="n">
        <v>25</v>
      </c>
      <c r="B279" t="s">
        <v>14</v>
      </c>
      <c r="C279" t="s">
        <v>22</v>
      </c>
      <c r="D279" s="2" t="s">
        <f>=HYPERLINK("https://main.knesset.gov.il/APPS/legislation/main/bills/2225118", "הצעת חוק העונשין (תיקון מס' 162) (תקיפת חייל), התשפ""ו–2026")</f>
        <v>656</v>
      </c>
      <c r="E279" t="s">
        <v>656</v>
      </c>
      <c r="F279" t="s">
        <v>657</v>
      </c>
      <c r="G279" t="s">
        <v>658</v>
      </c>
      <c r="H279">
             </c>
      <c r="I279" t="s">
        <v>14</v>
      </c>
      <c r="J279" t="s">
        <v>18</v>
      </c>
      <c r="K279" t="s">
        <v>27</v>
      </c>
      <c r="L279" t="s">
        <v>20</v>
      </c>
      <c r="M279" t="s">
        <v>630</v>
      </c>
      <c r="N279" t="s">
        <v>14</v>
      </c>
    </row>
    <row r="280" x14ac:dyDescent="0.25">
      <c r="A280" t="n">
        <v>25</v>
      </c>
      <c r="B280" t="s">
        <v>14</v>
      </c>
      <c r="C280" t="s">
        <v>22</v>
      </c>
      <c r="D280" s="2" t="s">
        <f>=HYPERLINK("https://main.knesset.gov.il/APPS/legislation/main/bills/2197981", "הצעת חוק תאגידי מים וביוב (תיקון מס' 20) (הפעלת שירותי מים וביוב על ידי רשות מקומית), התשפ""ו–2026")</f>
        <v>659</v>
      </c>
      <c r="E280" t="s">
        <v>659</v>
      </c>
      <c r="F280" t="s">
        <v>660</v>
      </c>
      <c r="G280" t="s">
        <v>655</v>
      </c>
      <c r="H280">
             </c>
      <c r="I280" t="s">
        <v>14</v>
      </c>
      <c r="J280" t="s">
        <v>18</v>
      </c>
      <c r="K280" t="s">
        <v>19</v>
      </c>
      <c r="L280" t="s">
        <v>20</v>
      </c>
      <c r="M280" t="s">
        <v>630</v>
      </c>
      <c r="N280" t="s">
        <v>14</v>
      </c>
    </row>
    <row r="281" x14ac:dyDescent="0.25">
      <c r="A281" t="n">
        <v>25</v>
      </c>
      <c r="B281" t="s">
        <v>14</v>
      </c>
      <c r="C281" t="s">
        <v>15</v>
      </c>
      <c r="D281" s="2" t="s">
        <f>=HYPERLINK("https://main.knesset.gov.il/APPS/legislation/main/bills/1056942", "חוק מסגרות תקציב המדינה (הוראות מיוחדות לשנת 2026) (תיקוני חקיקה), התשפ""ו-2026")</f>
        <v>661</v>
      </c>
      <c r="E281" t="s">
        <v>661</v>
      </c>
      <c r="F281" t="s">
        <v>14</v>
      </c>
      <c r="G281" t="s">
        <v>662</v>
      </c>
      <c r="H281" t="n">
        <v>3512</v>
      </c>
      <c r="I281" t="s">
        <v>14</v>
      </c>
      <c r="J281" t="s">
        <v>91</v>
      </c>
      <c r="K281" t="s">
        <v>85</v>
      </c>
      <c r="L281" t="s">
        <v>20</v>
      </c>
      <c r="M281" t="s">
        <v>663</v>
      </c>
      <c r="N281" t="s">
        <v>14</v>
      </c>
    </row>
    <row r="282" x14ac:dyDescent="0.25">
      <c r="A282" t="n">
        <v>25</v>
      </c>
      <c r="B282" t="s">
        <v>14</v>
      </c>
      <c r="C282" t="s">
        <v>15</v>
      </c>
      <c r="D282" s="2" t="s">
        <f>=HYPERLINK("https://main.knesset.gov.il/APPS/legislation/main/bills/1046681", "חוק ההתייעלות הכלכלית (תיקוני חקיקה להשגת יעדי התקציב לשנת התקציב 2026), התשפ""ו-2026")</f>
        <v>664</v>
      </c>
      <c r="E282" t="s">
        <v>664</v>
      </c>
      <c r="F282" t="s">
        <v>14</v>
      </c>
      <c r="G282" t="s">
        <v>49</v>
      </c>
      <c r="H282" t="n">
        <v>3511</v>
      </c>
      <c r="I282" t="s">
        <v>14</v>
      </c>
      <c r="J282" t="s">
        <v>91</v>
      </c>
      <c r="K282" t="s">
        <v>121</v>
      </c>
      <c r="L282" t="s">
        <v>20</v>
      </c>
      <c r="M282" t="s">
        <v>663</v>
      </c>
      <c r="N282" t="s">
        <v>14</v>
      </c>
    </row>
    <row r="283" x14ac:dyDescent="0.25">
      <c r="A283" t="n">
        <v>25</v>
      </c>
      <c r="B283" t="s">
        <v>14</v>
      </c>
      <c r="C283" t="s">
        <v>15</v>
      </c>
      <c r="D283" s="2" t="s">
        <f>=HYPERLINK("https://main.knesset.gov.il/APPS/legislation/main/bills/1046680", "חוק התוכנית הכלכלית (תיקוני חקיקה ליישום המדיניות הכלכלית לשנת התקציב 2026), התשפ""ו-2026")</f>
        <v>665</v>
      </c>
      <c r="E283" t="s">
        <v>665</v>
      </c>
      <c r="F283" t="s">
        <v>14</v>
      </c>
      <c r="G283" t="s">
        <v>49</v>
      </c>
      <c r="H283" t="n">
        <v>3510</v>
      </c>
      <c r="I283" t="s">
        <v>14</v>
      </c>
      <c r="J283" t="s">
        <v>91</v>
      </c>
      <c r="K283" t="s">
        <v>121</v>
      </c>
      <c r="L283" t="s">
        <v>20</v>
      </c>
      <c r="M283" t="s">
        <v>663</v>
      </c>
      <c r="N283" t="s">
        <v>14</v>
      </c>
    </row>
    <row r="284" x14ac:dyDescent="0.25">
      <c r="A284" t="n">
        <v>25</v>
      </c>
      <c r="B284" t="s">
        <v>14</v>
      </c>
      <c r="C284" t="s">
        <v>15</v>
      </c>
      <c r="D284" s="2" t="s">
        <f>=HYPERLINK("https://main.knesset.gov.il/APPS/legislation/main/bills/1056856", "חוק לתיקון פקודת מס הכנסה (מס' 285), התשפ""ו-2026")</f>
        <v>666</v>
      </c>
      <c r="E284" t="s">
        <v>666</v>
      </c>
      <c r="F284" t="s">
        <v>14</v>
      </c>
      <c r="G284" t="s">
        <v>667</v>
      </c>
      <c r="H284" t="n">
        <v>3509</v>
      </c>
      <c r="I284" t="s">
        <v>14</v>
      </c>
      <c r="J284" t="s">
        <v>91</v>
      </c>
      <c r="K284" t="s">
        <v>85</v>
      </c>
      <c r="L284" t="s">
        <v>20</v>
      </c>
      <c r="M284" t="s">
        <v>663</v>
      </c>
      <c r="N284" t="s">
        <v>14</v>
      </c>
    </row>
    <row r="285" x14ac:dyDescent="0.25">
      <c r="A285" t="n">
        <v>25</v>
      </c>
      <c r="B285" t="s">
        <v>14</v>
      </c>
      <c r="C285" t="s">
        <v>15</v>
      </c>
      <c r="D285" s="2" t="s">
        <f>=HYPERLINK("https://main.knesset.gov.il/APPS/legislation/main/bills/1046679", "הצעת חוק התקציב לשנת הכספים 2026, התשפ""ו-2026")</f>
        <v>668</v>
      </c>
      <c r="E285" t="s">
        <v>668</v>
      </c>
      <c r="F285" t="s">
        <v>14</v>
      </c>
      <c r="G285" t="s">
        <v>669</v>
      </c>
      <c r="H285">
             </c>
      <c r="I285" t="s">
        <v>14</v>
      </c>
      <c r="J285" t="s">
        <v>91</v>
      </c>
      <c r="K285" t="s">
        <v>85</v>
      </c>
      <c r="L285" t="s">
        <v>20</v>
      </c>
      <c r="M285" t="s">
        <v>663</v>
      </c>
      <c r="N285" t="s">
        <v>14</v>
      </c>
    </row>
    <row r="286" x14ac:dyDescent="0.25">
      <c r="A286" t="n">
        <v>25</v>
      </c>
      <c r="B286" t="s">
        <v>14</v>
      </c>
      <c r="C286" t="s">
        <v>15</v>
      </c>
      <c r="D286" s="2" t="s">
        <f>=HYPERLINK("https://main.knesset.gov.il/APPS/legislation/main/bills/1056881", "חוק כליאתם של לוחמים בלתי חוקיים (תיקון מס' 4 והוראת שעה - חרבות ברזל) (תיקון מס' 7), התשפ""ו-2026")</f>
        <v>670</v>
      </c>
      <c r="E286" t="s">
        <v>670</v>
      </c>
      <c r="F286" t="s">
        <v>14</v>
      </c>
      <c r="G286" t="s">
        <v>671</v>
      </c>
      <c r="H286" t="n">
        <v>3505</v>
      </c>
      <c r="I286" t="s">
        <v>14</v>
      </c>
      <c r="J286" t="s">
        <v>91</v>
      </c>
      <c r="K286" t="s">
        <v>114</v>
      </c>
      <c r="L286" t="s">
        <v>20</v>
      </c>
      <c r="M286" t="s">
        <v>672</v>
      </c>
      <c r="N286" t="s">
        <v>673</v>
      </c>
    </row>
    <row r="287" x14ac:dyDescent="0.25">
      <c r="A287" t="n">
        <v>25</v>
      </c>
      <c r="B287" t="s">
        <v>14</v>
      </c>
      <c r="C287" t="s">
        <v>15</v>
      </c>
      <c r="D287" s="2" t="s">
        <f>=HYPERLINK("https://main.knesset.gov.il/APPS/legislation/main/bills/1046683", "חוק זכויות הסטודנט (תיקון מס' 10), התשפ""ו–2026")</f>
        <v>674</v>
      </c>
      <c r="E287" t="s">
        <v>674</v>
      </c>
      <c r="F287" t="s">
        <v>14</v>
      </c>
      <c r="G287" t="s">
        <v>675</v>
      </c>
      <c r="H287" t="n">
        <v>3508</v>
      </c>
      <c r="I287" t="s">
        <v>14</v>
      </c>
      <c r="J287" t="s">
        <v>91</v>
      </c>
      <c r="K287" t="s">
        <v>34</v>
      </c>
      <c r="L287" t="s">
        <v>20</v>
      </c>
      <c r="M287" t="s">
        <v>672</v>
      </c>
      <c r="N287" t="s">
        <v>676</v>
      </c>
    </row>
    <row r="288" x14ac:dyDescent="0.25">
      <c r="A288" t="n">
        <v>25</v>
      </c>
      <c r="B288" t="s">
        <v>14</v>
      </c>
      <c r="C288" t="s">
        <v>15</v>
      </c>
      <c r="D288" s="2" t="s">
        <f>=HYPERLINK("https://main.knesset.gov.il/APPS/legislation/main/bills/1056937", "חוק הארכת תקופות ודחיית מועדים (הוראת שעה - חרבות ברזל) (אישורים רגולטוריים, עיצומים כספיים ובדיקות מיתקני גז) (תיקון), התשפ""ו-2026")</f>
        <v>677</v>
      </c>
      <c r="E288" t="s">
        <v>677</v>
      </c>
      <c r="F288" t="s">
        <v>14</v>
      </c>
      <c r="G288" t="s">
        <v>678</v>
      </c>
      <c r="H288" t="n">
        <v>3507</v>
      </c>
      <c r="I288" t="s">
        <v>14</v>
      </c>
      <c r="J288" t="s">
        <v>91</v>
      </c>
      <c r="K288" t="s">
        <v>27</v>
      </c>
      <c r="L288" t="s">
        <v>20</v>
      </c>
      <c r="M288" t="s">
        <v>672</v>
      </c>
      <c r="N288" t="s">
        <v>14</v>
      </c>
    </row>
    <row r="289" x14ac:dyDescent="0.25">
      <c r="A289" t="n">
        <v>25</v>
      </c>
      <c r="B289" t="s">
        <v>14</v>
      </c>
      <c r="C289" t="s">
        <v>15</v>
      </c>
      <c r="D289" s="2" t="s">
        <f>=HYPERLINK("https://main.knesset.gov.il/APPS/legislation/main/bills/1056892", "חוק הכניסה לישראל (תיקון מס' 44 - הוראת שעה), התשפ""ו-2026")</f>
        <v>679</v>
      </c>
      <c r="E289" t="s">
        <v>679</v>
      </c>
      <c r="F289" t="s">
        <v>14</v>
      </c>
      <c r="G289" t="s">
        <v>680</v>
      </c>
      <c r="H289" t="n">
        <v>3506</v>
      </c>
      <c r="I289" t="s">
        <v>14</v>
      </c>
      <c r="J289" t="s">
        <v>91</v>
      </c>
      <c r="K289" t="s">
        <v>46</v>
      </c>
      <c r="L289" t="s">
        <v>20</v>
      </c>
      <c r="M289" t="s">
        <v>672</v>
      </c>
      <c r="N289" t="s">
        <v>681</v>
      </c>
    </row>
    <row r="290" x14ac:dyDescent="0.25">
      <c r="A290" t="n">
        <v>25</v>
      </c>
      <c r="B290" t="s">
        <v>14</v>
      </c>
      <c r="C290" t="s">
        <v>22</v>
      </c>
      <c r="D290" s="2" t="s">
        <f>=HYPERLINK("https://main.knesset.gov.il/APPS/legislation/main/bills/2239066", "הצעת חוק שיקום, חיזוק ופיתוח העיר קריית שמונה, התשפ""ו-2026")</f>
        <v>682</v>
      </c>
      <c r="E290" t="s">
        <v>682</v>
      </c>
      <c r="F290" t="s">
        <v>683</v>
      </c>
      <c r="G290" t="s">
        <v>14</v>
      </c>
      <c r="H290">
             </c>
      <c r="I290" t="s">
        <v>14</v>
      </c>
      <c r="J290" t="s">
        <v>55</v>
      </c>
      <c r="K290" t="s">
        <v>14</v>
      </c>
      <c r="L290" t="s">
        <v>20</v>
      </c>
      <c r="M290" t="s">
        <v>672</v>
      </c>
      <c r="N290" t="s">
        <v>14</v>
      </c>
    </row>
    <row r="291" x14ac:dyDescent="0.25">
      <c r="A291" t="n">
        <v>25</v>
      </c>
      <c r="B291" t="s">
        <v>14</v>
      </c>
      <c r="C291" t="s">
        <v>22</v>
      </c>
      <c r="D291" s="2" t="s">
        <f>=HYPERLINK("https://main.knesset.gov.il/APPS/legislation/main/bills/2239060", "הצעת חוק הכרזה על קטאר כמדינת אויב, התשפ""ו-2026")</f>
        <v>684</v>
      </c>
      <c r="E291" t="s">
        <v>684</v>
      </c>
      <c r="F291" t="s">
        <v>685</v>
      </c>
      <c r="G291" t="s">
        <v>14</v>
      </c>
      <c r="H291">
             </c>
      <c r="I291" t="s">
        <v>14</v>
      </c>
      <c r="J291" t="s">
        <v>55</v>
      </c>
      <c r="K291" t="s">
        <v>14</v>
      </c>
      <c r="L291" t="s">
        <v>20</v>
      </c>
      <c r="M291" t="s">
        <v>672</v>
      </c>
      <c r="N291" t="s">
        <v>14</v>
      </c>
    </row>
    <row r="292" x14ac:dyDescent="0.25">
      <c r="A292" t="n">
        <v>25</v>
      </c>
      <c r="B292" t="s">
        <v>14</v>
      </c>
      <c r="C292" t="s">
        <v>22</v>
      </c>
      <c r="D292" s="2" t="s">
        <f>=HYPERLINK("https://main.knesset.gov.il/APPS/legislation/main/bills/2238135", "הצעת חוק לפיתוח העיר קריית שמונה ומתן עדיפות למשרתי מילואים ונכי צה""ל בדיור, התשפ״ו-2026")</f>
        <v>686</v>
      </c>
      <c r="E292" t="s">
        <v>686</v>
      </c>
      <c r="F292" t="s">
        <v>687</v>
      </c>
      <c r="G292" t="s">
        <v>14</v>
      </c>
      <c r="H292">
             </c>
      <c r="I292" t="s">
        <v>14</v>
      </c>
      <c r="J292" t="s">
        <v>55</v>
      </c>
      <c r="K292" t="s">
        <v>14</v>
      </c>
      <c r="L292" t="s">
        <v>20</v>
      </c>
      <c r="M292" t="s">
        <v>672</v>
      </c>
      <c r="N292" t="s">
        <v>14</v>
      </c>
    </row>
    <row r="293" x14ac:dyDescent="0.25">
      <c r="A293" t="n">
        <v>25</v>
      </c>
      <c r="B293" t="s">
        <v>14</v>
      </c>
      <c r="C293" t="s">
        <v>22</v>
      </c>
      <c r="D293" s="2" t="s">
        <f>=HYPERLINK("https://main.knesset.gov.il/APPS/legislation/main/bills/2237294", "הצעת חוק הביטוח הלאומי (תיקון - עבודה מועדפת ביישובי קו העימות בצפון ובדרום), התשפ""ו-2025")</f>
        <v>688</v>
      </c>
      <c r="E293" t="s">
        <v>688</v>
      </c>
      <c r="F293" t="s">
        <v>689</v>
      </c>
      <c r="G293" t="s">
        <v>14</v>
      </c>
      <c r="H293">
             </c>
      <c r="I293" t="s">
        <v>14</v>
      </c>
      <c r="J293" t="s">
        <v>55</v>
      </c>
      <c r="K293" t="s">
        <v>14</v>
      </c>
      <c r="L293" t="s">
        <v>20</v>
      </c>
      <c r="M293" t="s">
        <v>672</v>
      </c>
      <c r="N293" t="s">
        <v>14</v>
      </c>
    </row>
    <row r="294" x14ac:dyDescent="0.25">
      <c r="A294" t="n">
        <v>25</v>
      </c>
      <c r="B294" t="s">
        <v>14</v>
      </c>
      <c r="C294" t="s">
        <v>22</v>
      </c>
      <c r="D294" s="2" t="s">
        <f>=HYPERLINK("https://main.knesset.gov.il/APPS/legislation/main/bills/2232439", "הצעת חוק לימוד חובה (תיקון - מנהל מוסד חינוך), התשפ""ה-2025")</f>
        <v>690</v>
      </c>
      <c r="E294" t="s">
        <v>690</v>
      </c>
      <c r="F294" t="s">
        <v>691</v>
      </c>
      <c r="G294" t="s">
        <v>14</v>
      </c>
      <c r="H294">
             </c>
      <c r="I294" t="s">
        <v>14</v>
      </c>
      <c r="J294" t="s">
        <v>343</v>
      </c>
      <c r="K294" t="s">
        <v>14</v>
      </c>
      <c r="L294" t="s">
        <v>20</v>
      </c>
      <c r="M294" t="s">
        <v>672</v>
      </c>
      <c r="N294" t="s">
        <v>14</v>
      </c>
    </row>
    <row r="295" x14ac:dyDescent="0.25">
      <c r="A295" t="n">
        <v>25</v>
      </c>
      <c r="B295" t="s">
        <v>14</v>
      </c>
      <c r="C295" t="s">
        <v>22</v>
      </c>
      <c r="D295" s="2" t="s">
        <f>=HYPERLINK("https://main.knesset.gov.il/APPS/legislation/main/bills/2231897", "הצעת חוק דיווח לכנסת על העברת סיוע הומניטרי מכספי המדינה, התשפ""ה-2025")</f>
        <v>692</v>
      </c>
      <c r="E295" t="s">
        <v>692</v>
      </c>
      <c r="F295" t="s">
        <v>693</v>
      </c>
      <c r="G295" t="s">
        <v>14</v>
      </c>
      <c r="H295">
             </c>
      <c r="I295" t="s">
        <v>14</v>
      </c>
      <c r="J295" t="s">
        <v>55</v>
      </c>
      <c r="K295" t="s">
        <v>14</v>
      </c>
      <c r="L295" t="s">
        <v>20</v>
      </c>
      <c r="M295" t="s">
        <v>672</v>
      </c>
      <c r="N295" t="s">
        <v>14</v>
      </c>
    </row>
    <row r="296" x14ac:dyDescent="0.25">
      <c r="A296" t="n">
        <v>25</v>
      </c>
      <c r="B296" t="s">
        <v>14</v>
      </c>
      <c r="C296" t="s">
        <v>22</v>
      </c>
      <c r="D296" s="2" t="s">
        <f>=HYPERLINK("https://main.knesset.gov.il/APPS/legislation/main/bills/2221709", "הצעת חוק משפחות חיילים שנספו במערכה (תגמולים ושיקום) (תיקון - זכויות ילדים במשפחות אומנה), התשפ""ה-2024")</f>
        <v>694</v>
      </c>
      <c r="E296" t="s">
        <v>694</v>
      </c>
      <c r="F296" t="s">
        <v>695</v>
      </c>
      <c r="G296" t="s">
        <v>14</v>
      </c>
      <c r="H296">
             </c>
      <c r="I296" t="s">
        <v>14</v>
      </c>
      <c r="J296" t="s">
        <v>55</v>
      </c>
      <c r="K296" t="s">
        <v>14</v>
      </c>
      <c r="L296" t="s">
        <v>20</v>
      </c>
      <c r="M296" t="s">
        <v>672</v>
      </c>
      <c r="N296" t="s">
        <v>14</v>
      </c>
    </row>
    <row r="297" x14ac:dyDescent="0.25">
      <c r="A297" t="n">
        <v>25</v>
      </c>
      <c r="B297" t="s">
        <v>14</v>
      </c>
      <c r="C297" t="s">
        <v>22</v>
      </c>
      <c r="D297" s="2" t="s">
        <f>=HYPERLINK("https://main.knesset.gov.il/APPS/legislation/main/bills/2199078", "הצעת חוק ביטוח בריאות ממלכתי (תיקון - צמצום פערים בין הפריפריה למרכז), התשפ""ג-2023")</f>
        <v>696</v>
      </c>
      <c r="E297" t="s">
        <v>696</v>
      </c>
      <c r="F297" t="s">
        <v>697</v>
      </c>
      <c r="G297" t="s">
        <v>14</v>
      </c>
      <c r="H297">
             </c>
      <c r="I297" t="s">
        <v>14</v>
      </c>
      <c r="J297" t="s">
        <v>55</v>
      </c>
      <c r="K297" t="s">
        <v>14</v>
      </c>
      <c r="L297" t="s">
        <v>20</v>
      </c>
      <c r="M297" t="s">
        <v>672</v>
      </c>
      <c r="N297" t="s">
        <v>14</v>
      </c>
    </row>
    <row r="298" x14ac:dyDescent="0.25">
      <c r="A298" t="n">
        <v>25</v>
      </c>
      <c r="B298" t="s">
        <v>14</v>
      </c>
      <c r="C298" t="s">
        <v>22</v>
      </c>
      <c r="D298" s="2" t="s">
        <f>=HYPERLINK("https://main.knesset.gov.il/APPS/legislation/main/bills/2200663", "הצעת חוק העונשין (תיקון מס' 160) (עונש מוות למחבלים), התשפ""ו-2025")</f>
        <v>698</v>
      </c>
      <c r="E298" t="s">
        <v>698</v>
      </c>
      <c r="F298" t="s">
        <v>699</v>
      </c>
      <c r="G298" t="s">
        <v>629</v>
      </c>
      <c r="H298">
             </c>
      <c r="I298" t="s">
        <v>14</v>
      </c>
      <c r="J298" t="s">
        <v>18</v>
      </c>
      <c r="K298" t="s">
        <v>105</v>
      </c>
      <c r="L298" t="s">
        <v>20</v>
      </c>
      <c r="M298" t="s">
        <v>700</v>
      </c>
      <c r="N298" t="s">
        <v>14</v>
      </c>
    </row>
    <row r="299" x14ac:dyDescent="0.25">
      <c r="A299" t="n">
        <v>25</v>
      </c>
      <c r="B299" t="s">
        <v>14</v>
      </c>
      <c r="C299" t="s">
        <v>22</v>
      </c>
      <c r="D299" s="2" t="s">
        <f>=HYPERLINK("https://main.knesset.gov.il/APPS/legislation/main/bills/2221325", "הצעת חוק להנצחת זכרה של גולדה מאיר, התשפ""ה-2024")</f>
        <v>701</v>
      </c>
      <c r="E299" t="s">
        <v>701</v>
      </c>
      <c r="F299" t="s">
        <v>702</v>
      </c>
      <c r="G299" t="s">
        <v>14</v>
      </c>
      <c r="H299">
             </c>
      <c r="I299" t="s">
        <v>14</v>
      </c>
      <c r="J299" t="s">
        <v>99</v>
      </c>
      <c r="K299" t="s">
        <v>34</v>
      </c>
      <c r="L299" t="s">
        <v>20</v>
      </c>
      <c r="M299" t="s">
        <v>700</v>
      </c>
      <c r="N299" t="s">
        <v>14</v>
      </c>
    </row>
    <row r="300" x14ac:dyDescent="0.25">
      <c r="A300" t="n">
        <v>25</v>
      </c>
      <c r="B300" t="s">
        <v>14</v>
      </c>
      <c r="C300" t="s">
        <v>15</v>
      </c>
      <c r="D300" s="2" t="s">
        <f>=HYPERLINK("https://main.knesset.gov.il/APPS/legislation/main/bills/1056886", "חוק הגנה על עובדים בשעת חירום (תיקון מס' 6 והוראת שעה), התשפ""ו-2026")</f>
        <v>703</v>
      </c>
      <c r="E300" t="s">
        <v>703</v>
      </c>
      <c r="F300" t="s">
        <v>14</v>
      </c>
      <c r="G300" t="s">
        <v>704</v>
      </c>
      <c r="H300" t="n">
        <v>3504</v>
      </c>
      <c r="I300" t="s">
        <v>14</v>
      </c>
      <c r="J300" t="s">
        <v>91</v>
      </c>
      <c r="K300" t="s">
        <v>127</v>
      </c>
      <c r="L300" t="s">
        <v>20</v>
      </c>
      <c r="M300" t="s">
        <v>700</v>
      </c>
      <c r="N300" t="s">
        <v>705</v>
      </c>
    </row>
    <row r="301" x14ac:dyDescent="0.25">
      <c r="A301" t="n">
        <v>25</v>
      </c>
      <c r="B301" t="s">
        <v>14</v>
      </c>
      <c r="C301" t="s">
        <v>22</v>
      </c>
      <c r="D301" s="2" t="s">
        <f>=HYPERLINK("https://main.knesset.gov.il/APPS/legislation/main/bills/2235850", "הצעת חוק לתיקון פקודת התעבורה (קידום התחרות באמצעות תחבורה שיתופית מקוונת), התשפ""ו-2025")</f>
        <v>706</v>
      </c>
      <c r="E301" t="s">
        <v>706</v>
      </c>
      <c r="F301" t="s">
        <v>707</v>
      </c>
      <c r="G301" t="s">
        <v>14</v>
      </c>
      <c r="H301">
             </c>
      <c r="I301" t="s">
        <v>14</v>
      </c>
      <c r="J301" t="s">
        <v>31</v>
      </c>
      <c r="K301" t="s">
        <v>19</v>
      </c>
      <c r="L301" t="s">
        <v>20</v>
      </c>
      <c r="M301" t="s">
        <v>700</v>
      </c>
      <c r="N301" t="s">
        <v>14</v>
      </c>
    </row>
    <row r="302" x14ac:dyDescent="0.25">
      <c r="A302" t="n">
        <v>25</v>
      </c>
      <c r="B302" t="s">
        <v>14</v>
      </c>
      <c r="C302" t="s">
        <v>22</v>
      </c>
      <c r="D302" s="2" t="s">
        <f>=HYPERLINK("https://main.knesset.gov.il/APPS/legislation/main/bills/2234065", "הצעת חוק לתיקון פקודת התעבורה (מס' 143) (קידום התחרות באמצעות תחבורה שיתופית מקוונת), התשפ""ו–2026 ")</f>
        <v>708</v>
      </c>
      <c r="E302" t="s">
        <v>708</v>
      </c>
      <c r="F302" t="s">
        <v>709</v>
      </c>
      <c r="G302" t="s">
        <v>710</v>
      </c>
      <c r="H302">
             </c>
      <c r="I302" t="s">
        <v>14</v>
      </c>
      <c r="J302" t="s">
        <v>18</v>
      </c>
      <c r="K302" t="s">
        <v>19</v>
      </c>
      <c r="L302" t="s">
        <v>20</v>
      </c>
      <c r="M302" t="s">
        <v>700</v>
      </c>
      <c r="N302" t="s">
        <v>14</v>
      </c>
    </row>
    <row r="303" x14ac:dyDescent="0.25">
      <c r="A303" t="n">
        <v>25</v>
      </c>
      <c r="B303" t="s">
        <v>14</v>
      </c>
      <c r="C303" t="s">
        <v>22</v>
      </c>
      <c r="D303" s="2" t="s">
        <f>=HYPERLINK("https://main.knesset.gov.il/APPS/legislation/main/bills/2229858", "הצעת חוק לתיקון פקודת התעבורה (מס' 142) (קידום התחרות באמצעות תחבורה שיתופית מקוונת), התשפ""ו–2026")</f>
        <v>711</v>
      </c>
      <c r="E303" t="s">
        <v>711</v>
      </c>
      <c r="F303" t="s">
        <v>712</v>
      </c>
      <c r="G303" t="s">
        <v>710</v>
      </c>
      <c r="H303">
             </c>
      <c r="I303" t="s">
        <v>26</v>
      </c>
      <c r="J303" t="s">
        <v>18</v>
      </c>
      <c r="K303" t="s">
        <v>19</v>
      </c>
      <c r="L303" t="s">
        <v>20</v>
      </c>
      <c r="M303" t="s">
        <v>700</v>
      </c>
      <c r="N303" t="s">
        <v>14</v>
      </c>
    </row>
    <row r="304" x14ac:dyDescent="0.25">
      <c r="A304" t="n">
        <v>25</v>
      </c>
      <c r="B304" t="s">
        <v>14</v>
      </c>
      <c r="C304" t="s">
        <v>15</v>
      </c>
      <c r="D304" s="2" t="s">
        <f>=HYPERLINK("https://main.knesset.gov.il/APPS/legislation/main/bills/1056885", "חוק הסכמים קיבוציים (תיקון מס' 12 - הוראת שעה) (הוראות מיוחדות לעניין הרחבת הסכם קיבוצי כללי שנעשה בשל המצב המיוחד בעורף), התשפ""ו-2026")</f>
        <v>713</v>
      </c>
      <c r="E304" t="s">
        <v>713</v>
      </c>
      <c r="F304" t="s">
        <v>14</v>
      </c>
      <c r="G304" t="s">
        <v>714</v>
      </c>
      <c r="H304" t="n">
        <v>3502</v>
      </c>
      <c r="I304" t="s">
        <v>14</v>
      </c>
      <c r="J304" t="s">
        <v>91</v>
      </c>
      <c r="K304" t="s">
        <v>127</v>
      </c>
      <c r="L304" t="s">
        <v>20</v>
      </c>
      <c r="M304" t="s">
        <v>715</v>
      </c>
      <c r="N304" t="s">
        <v>716</v>
      </c>
    </row>
    <row r="305" x14ac:dyDescent="0.25">
      <c r="A305" t="n">
        <v>25</v>
      </c>
      <c r="B305" t="s">
        <v>14</v>
      </c>
      <c r="C305" t="s">
        <v>22</v>
      </c>
      <c r="D305" s="2" t="s">
        <f>=HYPERLINK("https://main.knesset.gov.il/APPS/legislation/main/bills/2196672", "הצעת חוק הסדרת העיסוק במקצועות הטיפול הרפואי, התשפ""ג-2023")</f>
        <v>717</v>
      </c>
      <c r="E305" t="s">
        <v>717</v>
      </c>
      <c r="F305" t="s">
        <v>718</v>
      </c>
      <c r="G305" t="s">
        <v>719</v>
      </c>
      <c r="H305">
             </c>
      <c r="I305" t="s">
        <v>26</v>
      </c>
      <c r="J305" t="s">
        <v>18</v>
      </c>
      <c r="K305" t="s">
        <v>480</v>
      </c>
      <c r="L305" t="s">
        <v>20</v>
      </c>
      <c r="M305" t="s">
        <v>715</v>
      </c>
      <c r="N305" t="s">
        <v>14</v>
      </c>
    </row>
    <row r="306" x14ac:dyDescent="0.25">
      <c r="A306" t="n">
        <v>25</v>
      </c>
      <c r="B306" t="s">
        <v>14</v>
      </c>
      <c r="C306" t="s">
        <v>22</v>
      </c>
      <c r="D306" s="2" t="s">
        <f>=HYPERLINK("https://main.knesset.gov.il/APPS/legislation/main/bills/2197901", "חוק שיפוט בתי דין דתיים (בוררות), התשפ""ו–2026")</f>
        <v>720</v>
      </c>
      <c r="E306" t="s">
        <v>720</v>
      </c>
      <c r="F306" t="s">
        <v>721</v>
      </c>
      <c r="G306" t="s">
        <v>722</v>
      </c>
      <c r="H306" t="n">
        <v>3503</v>
      </c>
      <c r="I306" t="s">
        <v>14</v>
      </c>
      <c r="J306" t="s">
        <v>91</v>
      </c>
      <c r="K306" t="s">
        <v>27</v>
      </c>
      <c r="L306" t="s">
        <v>20</v>
      </c>
      <c r="M306" t="s">
        <v>715</v>
      </c>
      <c r="N306" t="s">
        <v>14</v>
      </c>
    </row>
    <row r="307" x14ac:dyDescent="0.25">
      <c r="A307" t="n">
        <v>25</v>
      </c>
      <c r="B307" t="s">
        <v>14</v>
      </c>
      <c r="C307" t="s">
        <v>22</v>
      </c>
      <c r="D307" s="2" t="s">
        <f>=HYPERLINK("https://main.knesset.gov.il/APPS/legislation/main/bills/2238318", "הצעת חוק סיוע לנוטלי הלוואות לדיור עקב עליית הריבית (הוראת שעה), התשפ""ו-2026")</f>
        <v>723</v>
      </c>
      <c r="E307" t="s">
        <v>723</v>
      </c>
      <c r="F307" t="s">
        <v>724</v>
      </c>
      <c r="G307" t="s">
        <v>14</v>
      </c>
      <c r="H307">
             </c>
      <c r="I307" t="s">
        <v>14</v>
      </c>
      <c r="J307" t="s">
        <v>141</v>
      </c>
      <c r="K307" t="s">
        <v>14</v>
      </c>
      <c r="L307" t="s">
        <v>20</v>
      </c>
      <c r="M307" t="s">
        <v>715</v>
      </c>
      <c r="N307" t="s">
        <v>14</v>
      </c>
    </row>
    <row r="308" x14ac:dyDescent="0.25">
      <c r="A308" t="n">
        <v>25</v>
      </c>
      <c r="B308" t="s">
        <v>14</v>
      </c>
      <c r="C308" t="s">
        <v>22</v>
      </c>
      <c r="D308" s="2" t="s">
        <f>=HYPERLINK("https://main.knesset.gov.il/APPS/legislation/main/bills/2241438", "הצעת חוק החלת ריבונות על ערי יהודה והשומרון, התשפ""ו-2026")</f>
        <v>725</v>
      </c>
      <c r="E308" t="s">
        <v>725</v>
      </c>
      <c r="F308" t="s">
        <v>726</v>
      </c>
      <c r="G308" t="s">
        <v>14</v>
      </c>
      <c r="H308">
             </c>
      <c r="I308" t="s">
        <v>14</v>
      </c>
      <c r="J308" t="s">
        <v>141</v>
      </c>
      <c r="K308" t="s">
        <v>14</v>
      </c>
      <c r="L308" t="s">
        <v>20</v>
      </c>
      <c r="M308" t="s">
        <v>715</v>
      </c>
      <c r="N308" t="s">
        <v>14</v>
      </c>
    </row>
    <row r="309" x14ac:dyDescent="0.25">
      <c r="A309" t="n">
        <v>25</v>
      </c>
      <c r="B309" t="s">
        <v>14</v>
      </c>
      <c r="C309" t="s">
        <v>22</v>
      </c>
      <c r="D309" s="2" t="s">
        <f>=HYPERLINK("https://main.knesset.gov.il/APPS/legislation/main/bills/2241744", "הצעת חוק-יסוד: הכנסת (תיקון - הצהרת האמונים של חברי הכנסת)")</f>
        <v>727</v>
      </c>
      <c r="E309" t="s">
        <v>727</v>
      </c>
      <c r="F309" t="s">
        <v>728</v>
      </c>
      <c r="G309" t="s">
        <v>14</v>
      </c>
      <c r="H309">
             </c>
      <c r="I309" t="s">
        <v>14</v>
      </c>
      <c r="J309" t="s">
        <v>343</v>
      </c>
      <c r="K309" t="s">
        <v>14</v>
      </c>
      <c r="L309" t="s">
        <v>20</v>
      </c>
      <c r="M309" t="s">
        <v>715</v>
      </c>
      <c r="N309" t="s">
        <v>14</v>
      </c>
    </row>
    <row r="310" x14ac:dyDescent="0.25">
      <c r="A310" t="n">
        <v>25</v>
      </c>
      <c r="B310" t="s">
        <v>14</v>
      </c>
      <c r="C310" t="s">
        <v>22</v>
      </c>
      <c r="D310" s="2" t="s">
        <f>=HYPERLINK("https://main.knesset.gov.il/APPS/legislation/main/bills/2241476", "הצעת חוק חומרי נפץ (תיקון - אסדרת חומרים הודפים), התשפ""ו-2026")</f>
        <v>729</v>
      </c>
      <c r="E310" t="s">
        <v>729</v>
      </c>
      <c r="F310" t="s">
        <v>730</v>
      </c>
      <c r="G310" t="s">
        <v>14</v>
      </c>
      <c r="H310">
             </c>
      <c r="I310" t="s">
        <v>14</v>
      </c>
      <c r="J310" t="s">
        <v>141</v>
      </c>
      <c r="K310" t="s">
        <v>14</v>
      </c>
      <c r="L310" t="s">
        <v>20</v>
      </c>
      <c r="M310" t="s">
        <v>715</v>
      </c>
      <c r="N310" t="s">
        <v>14</v>
      </c>
    </row>
    <row r="311" x14ac:dyDescent="0.25">
      <c r="A311" t="n">
        <v>25</v>
      </c>
      <c r="B311" t="s">
        <v>14</v>
      </c>
      <c r="C311" t="s">
        <v>22</v>
      </c>
      <c r="D311" s="2" t="s">
        <f>=HYPERLINK("https://main.knesset.gov.il/APPS/legislation/main/bills/2240956", "הצעת חוק לתיקון פקודת מס הכנסה (נקודות זיכוי למשפחות אומנה), התשפ""ו-2026")</f>
        <v>731</v>
      </c>
      <c r="E311" t="s">
        <v>731</v>
      </c>
      <c r="F311" t="s">
        <v>732</v>
      </c>
      <c r="G311" t="s">
        <v>14</v>
      </c>
      <c r="H311">
             </c>
      <c r="I311" t="s">
        <v>14</v>
      </c>
      <c r="J311" t="s">
        <v>141</v>
      </c>
      <c r="K311" t="s">
        <v>14</v>
      </c>
      <c r="L311" t="s">
        <v>20</v>
      </c>
      <c r="M311" t="s">
        <v>715</v>
      </c>
      <c r="N311" t="s">
        <v>14</v>
      </c>
    </row>
    <row r="312" x14ac:dyDescent="0.25">
      <c r="A312" t="n">
        <v>25</v>
      </c>
      <c r="B312" t="s">
        <v>14</v>
      </c>
      <c r="C312" t="s">
        <v>22</v>
      </c>
      <c r="D312" s="2" t="s">
        <f>=HYPERLINK("https://main.knesset.gov.il/APPS/legislation/main/bills/2239766", "הצעת חוק הטיס (תיקון - פיקוח על מכירה ורכישה של רחפנים בעלי יכולת נשיאה), התשפ""ו-2026")</f>
        <v>733</v>
      </c>
      <c r="E312" t="s">
        <v>733</v>
      </c>
      <c r="F312" t="s">
        <v>734</v>
      </c>
      <c r="G312" t="s">
        <v>14</v>
      </c>
      <c r="H312">
             </c>
      <c r="I312" t="s">
        <v>14</v>
      </c>
      <c r="J312" t="s">
        <v>343</v>
      </c>
      <c r="K312" t="s">
        <v>14</v>
      </c>
      <c r="L312" t="s">
        <v>20</v>
      </c>
      <c r="M312" t="s">
        <v>715</v>
      </c>
      <c r="N312" t="s">
        <v>14</v>
      </c>
    </row>
    <row r="313" x14ac:dyDescent="0.25">
      <c r="A313" t="n">
        <v>25</v>
      </c>
      <c r="B313" t="s">
        <v>14</v>
      </c>
      <c r="C313" t="s">
        <v>22</v>
      </c>
      <c r="D313" s="2" t="s">
        <f>=HYPERLINK("https://main.knesset.gov.il/APPS/legislation/main/bills/2241572", "הצעת חוק לימוד חובה (תיקון - אחריות המדינה לחינוך בשעת חירום), התשפ""ו-2026")</f>
        <v>735</v>
      </c>
      <c r="E313" t="s">
        <v>735</v>
      </c>
      <c r="F313" t="s">
        <v>736</v>
      </c>
      <c r="G313" t="s">
        <v>14</v>
      </c>
      <c r="H313">
             </c>
      <c r="I313" t="s">
        <v>14</v>
      </c>
      <c r="J313" t="s">
        <v>141</v>
      </c>
      <c r="K313" t="s">
        <v>14</v>
      </c>
      <c r="L313" t="s">
        <v>20</v>
      </c>
      <c r="M313" t="s">
        <v>715</v>
      </c>
      <c r="N313" t="s">
        <v>14</v>
      </c>
    </row>
    <row r="314" x14ac:dyDescent="0.25">
      <c r="A314" t="n">
        <v>25</v>
      </c>
      <c r="B314" t="s">
        <v>14</v>
      </c>
      <c r="C314" t="s">
        <v>22</v>
      </c>
      <c r="D314" s="2" t="s">
        <f>=HYPERLINK("https://main.knesset.gov.il/APPS/legislation/main/bills/2241208", "הצעת חוק הביטוח הלאומי (תיקון - פיקוח פרלמנטרי על שינויים בהסכם הניידות), התשפ""ו-2026")</f>
        <v>737</v>
      </c>
      <c r="E314" t="s">
        <v>737</v>
      </c>
      <c r="F314" t="s">
        <v>738</v>
      </c>
      <c r="G314" t="s">
        <v>14</v>
      </c>
      <c r="H314">
             </c>
      <c r="I314" t="s">
        <v>14</v>
      </c>
      <c r="J314" t="s">
        <v>141</v>
      </c>
      <c r="K314" t="s">
        <v>14</v>
      </c>
      <c r="L314" t="s">
        <v>20</v>
      </c>
      <c r="M314" t="s">
        <v>715</v>
      </c>
      <c r="N314" t="s">
        <v>14</v>
      </c>
    </row>
    <row r="315" x14ac:dyDescent="0.25">
      <c r="A315" t="n">
        <v>25</v>
      </c>
      <c r="B315" t="s">
        <v>14</v>
      </c>
      <c r="C315" t="s">
        <v>22</v>
      </c>
      <c r="D315" s="2" t="s">
        <f>=HYPERLINK("https://main.knesset.gov.il/APPS/legislation/main/bills/2241023", "הצעת חוק למניעת אלימות במשפחה (תיקון - תנאים למתן צו הגנה בפיקוח טכנולוגי), התשפ""ו-2026")</f>
        <v>739</v>
      </c>
      <c r="E315" t="s">
        <v>739</v>
      </c>
      <c r="F315" t="s">
        <v>740</v>
      </c>
      <c r="G315" t="s">
        <v>14</v>
      </c>
      <c r="H315">
             </c>
      <c r="I315" t="s">
        <v>14</v>
      </c>
      <c r="J315" t="s">
        <v>141</v>
      </c>
      <c r="K315" t="s">
        <v>14</v>
      </c>
      <c r="L315" t="s">
        <v>20</v>
      </c>
      <c r="M315" t="s">
        <v>715</v>
      </c>
      <c r="N315" t="s">
        <v>14</v>
      </c>
    </row>
    <row r="316" x14ac:dyDescent="0.25">
      <c r="A316" t="n">
        <v>25</v>
      </c>
      <c r="B316" t="s">
        <v>14</v>
      </c>
      <c r="C316" t="s">
        <v>22</v>
      </c>
      <c r="D316" s="2" t="s">
        <f>=HYPERLINK("https://main.knesset.gov.il/APPS/legislation/main/bills/2241481", "הצעת חוק ביטוח בריאות ממלכתי (תיקון - הפחתה בדמי ביטוח בריאות לתושבי הפריפריה), התשפ""ו-2026")</f>
        <v>741</v>
      </c>
      <c r="E316" t="s">
        <v>741</v>
      </c>
      <c r="F316" t="s">
        <v>742</v>
      </c>
      <c r="G316" t="s">
        <v>14</v>
      </c>
      <c r="H316">
             </c>
      <c r="I316" t="s">
        <v>14</v>
      </c>
      <c r="J316" t="s">
        <v>141</v>
      </c>
      <c r="K316" t="s">
        <v>14</v>
      </c>
      <c r="L316" t="s">
        <v>20</v>
      </c>
      <c r="M316" t="s">
        <v>715</v>
      </c>
      <c r="N316" t="s">
        <v>14</v>
      </c>
    </row>
    <row r="317" x14ac:dyDescent="0.25">
      <c r="A317" t="n">
        <v>25</v>
      </c>
      <c r="B317" t="s">
        <v>14</v>
      </c>
      <c r="C317" t="s">
        <v>22</v>
      </c>
      <c r="D317" s="2" t="s">
        <f>=HYPERLINK("https://main.knesset.gov.il/APPS/legislation/main/bills/2241743", "הצעת חוק לתיקון פקודת מס הכנסה (יישוב מוטב), התשפ""ו-2026")</f>
        <v>743</v>
      </c>
      <c r="E317" t="s">
        <v>743</v>
      </c>
      <c r="F317" t="s">
        <v>744</v>
      </c>
      <c r="G317" t="s">
        <v>14</v>
      </c>
      <c r="H317">
             </c>
      <c r="I317" t="s">
        <v>14</v>
      </c>
      <c r="J317" t="s">
        <v>141</v>
      </c>
      <c r="K317" t="s">
        <v>14</v>
      </c>
      <c r="L317" t="s">
        <v>20</v>
      </c>
      <c r="M317" t="s">
        <v>715</v>
      </c>
      <c r="N317" t="s">
        <v>14</v>
      </c>
    </row>
    <row r="318" x14ac:dyDescent="0.25">
      <c r="A318" t="n">
        <v>25</v>
      </c>
      <c r="B318" t="s">
        <v>14</v>
      </c>
      <c r="C318" t="s">
        <v>15</v>
      </c>
      <c r="D318" s="2" t="s">
        <f>=HYPERLINK("https://main.knesset.gov.il/APPS/legislation/main/bills/2240522", "פרק ז' (מס מיוחד על רווחי בנקים) מתוך הצעת חוק ההתייעלות הכלכלית (תיקוני חקיקה להשגת יעדי התקציב לשנת התקציב 2026), התשפ""ו-2026")</f>
        <v>745</v>
      </c>
      <c r="E318" t="s">
        <v>745</v>
      </c>
      <c r="F318" t="s">
        <v>14</v>
      </c>
      <c r="G318" t="s">
        <v>49</v>
      </c>
      <c r="H318">
             </c>
      <c r="I318" t="s">
        <v>14</v>
      </c>
      <c r="J318" t="s">
        <v>99</v>
      </c>
      <c r="K318" t="s">
        <v>121</v>
      </c>
      <c r="L318" t="s">
        <v>20</v>
      </c>
      <c r="M318" t="s">
        <v>746</v>
      </c>
      <c r="N318" t="s">
        <v>14</v>
      </c>
    </row>
    <row r="319" x14ac:dyDescent="0.25">
      <c r="A319" t="n">
        <v>25</v>
      </c>
      <c r="B319" t="s">
        <v>14</v>
      </c>
      <c r="C319" t="s">
        <v>15</v>
      </c>
      <c r="D319" s="2" t="s">
        <f>=HYPERLINK("https://main.knesset.gov.il/APPS/legislation/main/bills/2229019", "הצעת חוק נוכחות עורך דין בחקירת קטינים ואנשים עם מוגבלות (תיקוני חקיקה והוראת שעה), התשפ""ו-2026")</f>
        <v>747</v>
      </c>
      <c r="E319" t="s">
        <v>747</v>
      </c>
      <c r="F319" t="s">
        <v>14</v>
      </c>
      <c r="G319" t="s">
        <v>748</v>
      </c>
      <c r="H319">
             </c>
      <c r="I319" t="s">
        <v>26</v>
      </c>
      <c r="J319" t="s">
        <v>73</v>
      </c>
      <c r="K319" t="s">
        <v>27</v>
      </c>
      <c r="L319" t="s">
        <v>20</v>
      </c>
      <c r="M319" t="s">
        <v>746</v>
      </c>
      <c r="N319" t="s">
        <v>14</v>
      </c>
    </row>
    <row r="320" x14ac:dyDescent="0.25">
      <c r="A320" t="n">
        <v>25</v>
      </c>
      <c r="B320" t="s">
        <v>14</v>
      </c>
      <c r="C320" t="s">
        <v>15</v>
      </c>
      <c r="D320" s="2" t="s">
        <f>=HYPERLINK("https://main.knesset.gov.il/APPS/legislation/main/bills/2240483", "סעיפים 52 עד 60, 63 (הגברת התחרות בשירותי תאגידים בנקאיים) מתוך הצעת חוק התוכנית הכלכלית (תיקוני חקיקה ליישום המדיניות הכלכלית לשנת התקציב 2026), התשפ""ו-2026 [מתוך פרק ט' קידום התחרות בשוק הבנקאות]")</f>
        <v>749</v>
      </c>
      <c r="E320" t="s">
        <v>749</v>
      </c>
      <c r="F320" t="s">
        <v>14</v>
      </c>
      <c r="G320" t="s">
        <v>49</v>
      </c>
      <c r="H320">
             </c>
      <c r="I320" t="s">
        <v>14</v>
      </c>
      <c r="J320" t="s">
        <v>99</v>
      </c>
      <c r="K320" t="s">
        <v>121</v>
      </c>
      <c r="L320" t="s">
        <v>20</v>
      </c>
      <c r="M320" t="s">
        <v>750</v>
      </c>
      <c r="N320" t="s">
        <v>14</v>
      </c>
    </row>
    <row r="321" x14ac:dyDescent="0.25">
      <c r="A321" t="n">
        <v>25</v>
      </c>
      <c r="B321" t="s">
        <v>14</v>
      </c>
      <c r="C321" t="s">
        <v>15</v>
      </c>
      <c r="D321" s="2" t="s">
        <f>=HYPERLINK("https://main.knesset.gov.il/APPS/legislation/main/bills/2240484", "סעיפים 61, 62 (חוק מע""מ) מתוך הצעת חוק התוכנית הכלכלית (תיקוני חקיקה ליישום המדיניות הכלכלית לשנת התקציב 2026), התשפ""ו-2026")</f>
        <v>751</v>
      </c>
      <c r="E321" t="s">
        <v>751</v>
      </c>
      <c r="F321" t="s">
        <v>14</v>
      </c>
      <c r="G321" t="s">
        <v>49</v>
      </c>
      <c r="H321">
             </c>
      <c r="I321" t="s">
        <v>14</v>
      </c>
      <c r="J321" t="s">
        <v>99</v>
      </c>
      <c r="K321" t="s">
        <v>121</v>
      </c>
      <c r="L321" t="s">
        <v>20</v>
      </c>
      <c r="M321" t="s">
        <v>750</v>
      </c>
      <c r="N321" t="s">
        <v>14</v>
      </c>
    </row>
    <row r="322" x14ac:dyDescent="0.25">
      <c r="A322" t="n">
        <v>25</v>
      </c>
      <c r="B322" t="s">
        <v>14</v>
      </c>
      <c r="C322" t="s">
        <v>15</v>
      </c>
      <c r="D322" s="2" t="s">
        <f>=HYPERLINK("https://main.knesset.gov.il/APPS/legislation/main/bills/2240536", "פרק ד' (התחשבנות בין בתי חולים לקופות חולים לשנים 2026 עד 2030) (למעט סעיף 16) מתוך הצעת חוק ההתייעלות הכלכלית (תיקוני חקיקה להשגת יעדי התקציב לשנת התקציב 2026) התשפ""ו-2026 [פוצלה לפי סעיף 84(ב) לתקנון]")</f>
        <v>752</v>
      </c>
      <c r="E322" t="s">
        <v>752</v>
      </c>
      <c r="F322" t="s">
        <v>14</v>
      </c>
      <c r="G322" t="s">
        <v>49</v>
      </c>
      <c r="H322">
             </c>
      <c r="I322" t="s">
        <v>14</v>
      </c>
      <c r="J322" t="s">
        <v>99</v>
      </c>
      <c r="K322" t="s">
        <v>121</v>
      </c>
      <c r="L322" t="s">
        <v>20</v>
      </c>
      <c r="M322" t="s">
        <v>753</v>
      </c>
      <c r="N322" t="s">
        <v>14</v>
      </c>
    </row>
    <row r="323" x14ac:dyDescent="0.25">
      <c r="A323" t="n">
        <v>25</v>
      </c>
      <c r="B323" t="s">
        <v>14</v>
      </c>
      <c r="C323" t="s">
        <v>15</v>
      </c>
      <c r="D323" s="2" t="s">
        <f>=HYPERLINK("https://main.knesset.gov.il/APPS/legislation/main/bills/2240514", "פרק י""ט (שונות), סעיפים 97 עד 98 (חוק הביטוח הלאומי) מתוך הצעת חוק התוכנית הכלכלית (תיקוני חקיקה ליישום המדיניות הכלכלית לשנת התקציב 2026), התשפ""ו-2026 [פוצלה לפי סעיף 84(ב) לתקנון]")</f>
        <v>754</v>
      </c>
      <c r="E323" t="s">
        <v>754</v>
      </c>
      <c r="F323" t="s">
        <v>14</v>
      </c>
      <c r="G323" t="s">
        <v>49</v>
      </c>
      <c r="H323">
             </c>
      <c r="I323" t="s">
        <v>14</v>
      </c>
      <c r="J323" t="s">
        <v>99</v>
      </c>
      <c r="K323" t="s">
        <v>121</v>
      </c>
      <c r="L323" t="s">
        <v>20</v>
      </c>
      <c r="M323" t="s">
        <v>753</v>
      </c>
      <c r="N323" t="s">
        <v>14</v>
      </c>
    </row>
    <row r="324" x14ac:dyDescent="0.25">
      <c r="A324" t="n">
        <v>25</v>
      </c>
      <c r="B324" t="s">
        <v>14</v>
      </c>
      <c r="C324" t="s">
        <v>15</v>
      </c>
      <c r="D324" s="2" t="s">
        <f>=HYPERLINK("https://main.knesset.gov.il/APPS/legislation/main/bills/2240537", "פרק ד' (התחשבנות בין בתי חולים לקופות חולים לשנים 2026 עד 2030) (רק סעיף 16) מתוך הצעת חוק ההתייעלות הכלכלית (תיקוני חקיקה להשגת יעדי התקציב לשנת התקציב 2026) התשפ""ו-2026 [פוצלה לפי סעיף 84(ב) לתקנון] ")</f>
        <v>755</v>
      </c>
      <c r="E324" t="s">
        <v>755</v>
      </c>
      <c r="F324" t="s">
        <v>14</v>
      </c>
      <c r="G324" t="s">
        <v>49</v>
      </c>
      <c r="H324">
             </c>
      <c r="I324" t="s">
        <v>14</v>
      </c>
      <c r="J324" t="s">
        <v>99</v>
      </c>
      <c r="K324" t="s">
        <v>480</v>
      </c>
      <c r="L324" t="s">
        <v>20</v>
      </c>
      <c r="M324" t="s">
        <v>753</v>
      </c>
      <c r="N324" t="s">
        <v>14</v>
      </c>
    </row>
    <row r="325" x14ac:dyDescent="0.25">
      <c r="A325" t="n">
        <v>25</v>
      </c>
      <c r="B325" t="s">
        <v>14</v>
      </c>
      <c r="C325" t="s">
        <v>22</v>
      </c>
      <c r="D325" s="2" t="s">
        <f>=HYPERLINK("https://main.knesset.gov.il/APPS/legislation/main/bills/2238133", "הצעת חוק המועצה להשכלה גבוהה (תיקון - מימון לימודים לתואר ראשון לסטודנט תושב קריית שמונה - הוראת שעה), התשפ״ו-2026")</f>
        <v>756</v>
      </c>
      <c r="E325" t="s">
        <v>756</v>
      </c>
      <c r="F325" t="s">
        <v>757</v>
      </c>
      <c r="G325" t="s">
        <v>14</v>
      </c>
      <c r="H325">
             </c>
      <c r="I325" t="s">
        <v>14</v>
      </c>
      <c r="J325" t="s">
        <v>55</v>
      </c>
      <c r="K325" t="s">
        <v>14</v>
      </c>
      <c r="L325" t="s">
        <v>20</v>
      </c>
      <c r="M325" t="s">
        <v>753</v>
      </c>
      <c r="N325" t="s">
        <v>14</v>
      </c>
    </row>
    <row r="326" x14ac:dyDescent="0.25">
      <c r="A326" t="n">
        <v>25</v>
      </c>
      <c r="B326" t="s">
        <v>14</v>
      </c>
      <c r="C326" t="s">
        <v>22</v>
      </c>
      <c r="D326" s="2" t="s">
        <f>=HYPERLINK("https://main.knesset.gov.il/APPS/legislation/main/bills/2230841", "הצעת חוק משפחות חיילים שנספו במערכה (תגמולים ושיקום) (תיקון - חובת העסקה של יתומים אחרי גיל הפרישה), התשפ""ה-2025")</f>
        <v>758</v>
      </c>
      <c r="E326" t="s">
        <v>758</v>
      </c>
      <c r="F326" t="s">
        <v>759</v>
      </c>
      <c r="G326" t="s">
        <v>14</v>
      </c>
      <c r="H326">
             </c>
      <c r="I326" t="s">
        <v>14</v>
      </c>
      <c r="J326" t="s">
        <v>55</v>
      </c>
      <c r="K326" t="s">
        <v>14</v>
      </c>
      <c r="L326" t="s">
        <v>20</v>
      </c>
      <c r="M326" t="s">
        <v>753</v>
      </c>
      <c r="N326" t="s">
        <v>14</v>
      </c>
    </row>
    <row r="327" x14ac:dyDescent="0.25">
      <c r="A327" t="n">
        <v>25</v>
      </c>
      <c r="B327" t="s">
        <v>14</v>
      </c>
      <c r="C327" t="s">
        <v>22</v>
      </c>
      <c r="D327" s="2" t="s">
        <f>=HYPERLINK("https://main.knesset.gov.il/APPS/legislation/main/bills/2226212", "הצעת חוק ההתגוננות האזרחית (תיקון - פיקוח על מקלטים משותפים), התשפ""ה-2025")</f>
        <v>760</v>
      </c>
      <c r="E327" t="s">
        <v>760</v>
      </c>
      <c r="F327" t="s">
        <v>761</v>
      </c>
      <c r="G327" t="s">
        <v>14</v>
      </c>
      <c r="H327">
             </c>
      <c r="I327" t="s">
        <v>14</v>
      </c>
      <c r="J327" t="s">
        <v>55</v>
      </c>
      <c r="K327" t="s">
        <v>14</v>
      </c>
      <c r="L327" t="s">
        <v>20</v>
      </c>
      <c r="M327" t="s">
        <v>753</v>
      </c>
      <c r="N327" t="s">
        <v>14</v>
      </c>
    </row>
    <row r="328" x14ac:dyDescent="0.25">
      <c r="A328" t="n">
        <v>25</v>
      </c>
      <c r="B328" t="s">
        <v>14</v>
      </c>
      <c r="C328" t="s">
        <v>22</v>
      </c>
      <c r="D328" s="2" t="s">
        <f>=HYPERLINK("https://main.knesset.gov.il/APPS/legislation/main/bills/2224160", "הצעת חוק עבודת הנשים (תיקון - תגמול לעובדת עצמאית שבן זוגה משרת במילואים), התשפ""ה-2024")</f>
        <v>762</v>
      </c>
      <c r="E328" t="s">
        <v>762</v>
      </c>
      <c r="F328" t="s">
        <v>763</v>
      </c>
      <c r="G328" t="s">
        <v>14</v>
      </c>
      <c r="H328">
             </c>
      <c r="I328" t="s">
        <v>14</v>
      </c>
      <c r="J328" t="s">
        <v>55</v>
      </c>
      <c r="K328" t="s">
        <v>14</v>
      </c>
      <c r="L328" t="s">
        <v>20</v>
      </c>
      <c r="M328" t="s">
        <v>753</v>
      </c>
      <c r="N328" t="s">
        <v>14</v>
      </c>
    </row>
    <row r="329" x14ac:dyDescent="0.25">
      <c r="A329" t="n">
        <v>25</v>
      </c>
      <c r="B329" t="s">
        <v>14</v>
      </c>
      <c r="C329" t="s">
        <v>22</v>
      </c>
      <c r="D329" s="2" t="s">
        <f>=HYPERLINK("https://main.knesset.gov.il/APPS/legislation/main/bills/2220457", "הצעת חוק שירות אזרחי (תיקון - שירות מילואים אזרחי לבוגרי שירות לאומי ושירות אזרחי בעיתות חירום), התשפ""ד-2024")</f>
        <v>764</v>
      </c>
      <c r="E329" t="s">
        <v>764</v>
      </c>
      <c r="F329" t="s">
        <v>765</v>
      </c>
      <c r="G329" t="s">
        <v>14</v>
      </c>
      <c r="H329">
             </c>
      <c r="I329" t="s">
        <v>14</v>
      </c>
      <c r="J329" t="s">
        <v>343</v>
      </c>
      <c r="K329" t="s">
        <v>14</v>
      </c>
      <c r="L329" t="s">
        <v>20</v>
      </c>
      <c r="M329" t="s">
        <v>753</v>
      </c>
      <c r="N329" t="s">
        <v>14</v>
      </c>
    </row>
    <row r="330" x14ac:dyDescent="0.25">
      <c r="A330" t="n">
        <v>25</v>
      </c>
      <c r="B330" t="s">
        <v>14</v>
      </c>
      <c r="C330" t="s">
        <v>22</v>
      </c>
      <c r="D330" s="2" t="s">
        <f>=HYPERLINK("https://main.knesset.gov.il/APPS/legislation/main/bills/2198128", "הצעת חוק הביטוח הלאומי (תיקון - הצמדת הסכום הבסיסי לשכר הממוצע במשק), התשפ""ג-2023")</f>
        <v>766</v>
      </c>
      <c r="E330" t="s">
        <v>766</v>
      </c>
      <c r="F330" t="s">
        <v>767</v>
      </c>
      <c r="G330" t="s">
        <v>14</v>
      </c>
      <c r="H330">
             </c>
      <c r="I330" t="s">
        <v>14</v>
      </c>
      <c r="J330" t="s">
        <v>343</v>
      </c>
      <c r="K330" t="s">
        <v>14</v>
      </c>
      <c r="L330" t="s">
        <v>20</v>
      </c>
      <c r="M330" t="s">
        <v>753</v>
      </c>
      <c r="N330" t="s">
        <v>14</v>
      </c>
    </row>
    <row r="331" x14ac:dyDescent="0.25">
      <c r="A331" t="n">
        <v>25</v>
      </c>
      <c r="B331" t="s">
        <v>14</v>
      </c>
      <c r="C331" t="s">
        <v>22</v>
      </c>
      <c r="D331" s="2" t="s">
        <f>=HYPERLINK("https://main.knesset.gov.il/APPS/legislation/main/bills/2201610", "הצעת חוק הסדרת העיסוק במקצועות הטיפול הרפואי, התשפ""ג-2023")</f>
        <v>717</v>
      </c>
      <c r="E331" t="s">
        <v>717</v>
      </c>
      <c r="F331" t="s">
        <v>768</v>
      </c>
      <c r="G331" t="s">
        <v>14</v>
      </c>
      <c r="H331">
             </c>
      <c r="I331" t="s">
        <v>14</v>
      </c>
      <c r="J331" t="s">
        <v>99</v>
      </c>
      <c r="K331" t="s">
        <v>480</v>
      </c>
      <c r="L331" t="s">
        <v>20</v>
      </c>
      <c r="M331" t="s">
        <v>769</v>
      </c>
      <c r="N331" t="s">
        <v>14</v>
      </c>
    </row>
    <row r="332" x14ac:dyDescent="0.25">
      <c r="A332" t="n">
        <v>25</v>
      </c>
      <c r="B332" t="s">
        <v>14</v>
      </c>
      <c r="C332" t="s">
        <v>15</v>
      </c>
      <c r="D332" s="2" t="s">
        <f>=HYPERLINK("https://main.knesset.gov.il/APPS/legislation/main/bills/2240521", "פרק ו' (עידוד עלייה לישראל וחזרה אליה) מתוך הצעת חוק ההתייעלות הכלכלית (תיקוני חקיקה להשגת יעדי התקציב לשנת התקציב 2026), התשפ""ו-2026")</f>
        <v>770</v>
      </c>
      <c r="E332" t="s">
        <v>770</v>
      </c>
      <c r="F332" t="s">
        <v>14</v>
      </c>
      <c r="G332" t="s">
        <v>49</v>
      </c>
      <c r="H332">
             </c>
      <c r="I332" t="s">
        <v>14</v>
      </c>
      <c r="J332" t="s">
        <v>99</v>
      </c>
      <c r="K332" t="s">
        <v>121</v>
      </c>
      <c r="L332" t="s">
        <v>20</v>
      </c>
      <c r="M332" t="s">
        <v>769</v>
      </c>
      <c r="N332" t="s">
        <v>14</v>
      </c>
    </row>
    <row r="333" x14ac:dyDescent="0.25">
      <c r="A333" t="n">
        <v>25</v>
      </c>
      <c r="B333" t="s">
        <v>14</v>
      </c>
      <c r="C333" t="s">
        <v>15</v>
      </c>
      <c r="D333" s="2" t="s">
        <f>=HYPERLINK("https://main.knesset.gov.il/APPS/legislation/main/bills/2240464", "פרק ב' ייעול הליכי התכנון והבנייה (חוק התכנון והבנייה) סעיף 2(11) (הכשרת בקרים) מתוך הצעת חוק התוכנית הכלכלית (תיקוני חקיקה ליישום המדיניות הכלכלית לשנת התקציב 2026), התשפ""ו-2026")</f>
        <v>771</v>
      </c>
      <c r="E333" t="s">
        <v>771</v>
      </c>
      <c r="F333" t="s">
        <v>14</v>
      </c>
      <c r="G333" t="s">
        <v>49</v>
      </c>
      <c r="H333">
             </c>
      <c r="I333" t="s">
        <v>14</v>
      </c>
      <c r="J333" t="s">
        <v>99</v>
      </c>
      <c r="K333" t="s">
        <v>121</v>
      </c>
      <c r="L333" t="s">
        <v>20</v>
      </c>
      <c r="M333" t="s">
        <v>769</v>
      </c>
      <c r="N333" t="s">
        <v>14</v>
      </c>
    </row>
    <row r="334" x14ac:dyDescent="0.25">
      <c r="A334" t="n">
        <v>25</v>
      </c>
      <c r="B334" t="s">
        <v>14</v>
      </c>
      <c r="C334" t="s">
        <v>15</v>
      </c>
      <c r="D334" s="2" t="s">
        <f>=HYPERLINK("https://main.knesset.gov.il/APPS/legislation/main/bills/2240467", "פרק ב' ייעול הליכי התכנון והבנייה (חוק התכנון והבנייה) סעיפים 2(12), (13), 5 (בקר מורשה הגנת הסביבה במכון בקרה) מתוך הצעת חוק התוכנית הכלכלית (תיקוני חקיקה ליישום המדיניות הכלכלית לשנת התקציב 2026), התשפ""ו-2026")</f>
        <v>772</v>
      </c>
      <c r="E334" t="s">
        <v>772</v>
      </c>
      <c r="F334" t="s">
        <v>14</v>
      </c>
      <c r="G334" t="s">
        <v>49</v>
      </c>
      <c r="H334">
             </c>
      <c r="I334" t="s">
        <v>14</v>
      </c>
      <c r="J334" t="s">
        <v>99</v>
      </c>
      <c r="K334" t="s">
        <v>121</v>
      </c>
      <c r="L334" t="s">
        <v>20</v>
      </c>
      <c r="M334" t="s">
        <v>769</v>
      </c>
      <c r="N334" t="s">
        <v>14</v>
      </c>
    </row>
    <row r="335" x14ac:dyDescent="0.25">
      <c r="A335" t="n">
        <v>25</v>
      </c>
      <c r="B335" t="s">
        <v>14</v>
      </c>
      <c r="C335" t="s">
        <v>15</v>
      </c>
      <c r="D335" s="2" t="s">
        <f>=HYPERLINK("https://main.knesset.gov.il/APPS/legislation/main/bills/2240505", "פרק י""א (טיוב האסדרה בתחום בטיחות אש) מתוך הצעת חוק התוכנית הכלכלית (תיקוני חקיקה ליישום המדיניות הכלכלית לשנת התקציב 2026), התשפ""ו-2026 [פוצלה לפי סעיף 84(ב) לתקנון]")</f>
        <v>773</v>
      </c>
      <c r="E335" t="s">
        <v>773</v>
      </c>
      <c r="F335" t="s">
        <v>14</v>
      </c>
      <c r="G335" t="s">
        <v>49</v>
      </c>
      <c r="H335">
             </c>
      <c r="I335" t="s">
        <v>14</v>
      </c>
      <c r="J335" t="s">
        <v>99</v>
      </c>
      <c r="K335" t="s">
        <v>121</v>
      </c>
      <c r="L335" t="s">
        <v>20</v>
      </c>
      <c r="M335" t="s">
        <v>774</v>
      </c>
      <c r="N335" t="s">
        <v>14</v>
      </c>
    </row>
    <row r="336" x14ac:dyDescent="0.25">
      <c r="A336" t="n">
        <v>25</v>
      </c>
      <c r="B336" t="s">
        <v>14</v>
      </c>
      <c r="C336" t="s">
        <v>22</v>
      </c>
      <c r="D336" s="2" t="s">
        <f>=HYPERLINK("https://main.knesset.gov.il/APPS/legislation/main/bills/2241276", "הצעת חוק היעדרות קרוב משפחה מעבודה ביום האזכרה הפרטית (תיקוני חקיקה), התשפ""ו-2026")</f>
        <v>775</v>
      </c>
      <c r="E336" t="s">
        <v>775</v>
      </c>
      <c r="F336" t="s">
        <v>776</v>
      </c>
      <c r="G336" t="s">
        <v>14</v>
      </c>
      <c r="H336">
             </c>
      <c r="I336" t="s">
        <v>14</v>
      </c>
      <c r="J336" t="s">
        <v>343</v>
      </c>
      <c r="K336" t="s">
        <v>14</v>
      </c>
      <c r="L336" t="s">
        <v>20</v>
      </c>
      <c r="M336" t="s">
        <v>774</v>
      </c>
      <c r="N336" t="s">
        <v>14</v>
      </c>
    </row>
    <row r="337" x14ac:dyDescent="0.25">
      <c r="A337" t="n">
        <v>25</v>
      </c>
      <c r="B337" t="s">
        <v>14</v>
      </c>
      <c r="C337" t="s">
        <v>22</v>
      </c>
      <c r="D337" s="2" t="s">
        <f>=HYPERLINK("https://main.knesset.gov.il/APPS/legislation/main/bills/2240045", "הצעת חוק לתיקון פקודת מס הכנסה (יישוב עירוני בעל השפעה מטרופולינית) (הוראת שעה), התשפ""ו-2026")</f>
        <v>777</v>
      </c>
      <c r="E337" t="s">
        <v>777</v>
      </c>
      <c r="F337" t="s">
        <v>778</v>
      </c>
      <c r="G337" t="s">
        <v>14</v>
      </c>
      <c r="H337">
             </c>
      <c r="I337" t="s">
        <v>14</v>
      </c>
      <c r="J337" t="s">
        <v>141</v>
      </c>
      <c r="K337" t="s">
        <v>14</v>
      </c>
      <c r="L337" t="s">
        <v>20</v>
      </c>
      <c r="M337" t="s">
        <v>774</v>
      </c>
      <c r="N337" t="s">
        <v>14</v>
      </c>
    </row>
    <row r="338" x14ac:dyDescent="0.25">
      <c r="A338" t="n">
        <v>25</v>
      </c>
      <c r="B338" t="s">
        <v>14</v>
      </c>
      <c r="C338" t="s">
        <v>22</v>
      </c>
      <c r="D338" s="2" t="s">
        <f>=HYPERLINK("https://main.knesset.gov.il/APPS/legislation/main/bills/2240008", "הצעת חוק מניעת שידורים של גוף זר הפוגע בביטחון המדינה, התשפ""ו-2026")</f>
        <v>779</v>
      </c>
      <c r="E338" t="s">
        <v>779</v>
      </c>
      <c r="F338" t="s">
        <v>780</v>
      </c>
      <c r="G338" t="s">
        <v>14</v>
      </c>
      <c r="H338">
             </c>
      <c r="I338" t="s">
        <v>14</v>
      </c>
      <c r="J338" t="s">
        <v>141</v>
      </c>
      <c r="K338" t="s">
        <v>14</v>
      </c>
      <c r="L338" t="s">
        <v>20</v>
      </c>
      <c r="M338" t="s">
        <v>774</v>
      </c>
      <c r="N338" t="s">
        <v>14</v>
      </c>
    </row>
    <row r="339" x14ac:dyDescent="0.25">
      <c r="A339" t="n">
        <v>25</v>
      </c>
      <c r="B339" t="s">
        <v>14</v>
      </c>
      <c r="C339" t="s">
        <v>22</v>
      </c>
      <c r="D339" s="2" t="s">
        <f>=HYPERLINK("https://main.knesset.gov.il/APPS/legislation/main/bills/2241157", "הצעת חוק-יסוד: הממשלה (תיקון - כשירות שר וסגן שר)")</f>
        <v>781</v>
      </c>
      <c r="E339" t="s">
        <v>781</v>
      </c>
      <c r="F339" t="s">
        <v>782</v>
      </c>
      <c r="G339" t="s">
        <v>14</v>
      </c>
      <c r="H339">
             </c>
      <c r="I339" t="s">
        <v>14</v>
      </c>
      <c r="J339" t="s">
        <v>141</v>
      </c>
      <c r="K339" t="s">
        <v>14</v>
      </c>
      <c r="L339" t="s">
        <v>20</v>
      </c>
      <c r="M339" t="s">
        <v>774</v>
      </c>
      <c r="N339" t="s">
        <v>14</v>
      </c>
    </row>
    <row r="340" x14ac:dyDescent="0.25">
      <c r="A340" t="n">
        <v>25</v>
      </c>
      <c r="B340" t="s">
        <v>14</v>
      </c>
      <c r="C340" t="s">
        <v>22</v>
      </c>
      <c r="D340" s="2" t="s">
        <f>=HYPERLINK("https://main.knesset.gov.il/APPS/legislation/main/bills/2240778", "הצעת חוק כלי הירייה (תיקון - הליך הוגן במתן רישיון נשק אישי), התשפ""ו-2026")</f>
        <v>783</v>
      </c>
      <c r="E340" t="s">
        <v>783</v>
      </c>
      <c r="F340" t="s">
        <v>784</v>
      </c>
      <c r="G340" t="s">
        <v>14</v>
      </c>
      <c r="H340">
             </c>
      <c r="I340" t="s">
        <v>14</v>
      </c>
      <c r="J340" t="s">
        <v>141</v>
      </c>
      <c r="K340" t="s">
        <v>14</v>
      </c>
      <c r="L340" t="s">
        <v>20</v>
      </c>
      <c r="M340" t="s">
        <v>774</v>
      </c>
      <c r="N340" t="s">
        <v>14</v>
      </c>
    </row>
    <row r="341" x14ac:dyDescent="0.25">
      <c r="A341" t="n">
        <v>25</v>
      </c>
      <c r="B341" t="s">
        <v>14</v>
      </c>
      <c r="C341" t="s">
        <v>22</v>
      </c>
      <c r="D341" s="2" t="s">
        <f>=HYPERLINK("https://main.knesset.gov.il/APPS/legislation/main/bills/2240796", "הצעת חוק העונשין (תיקון - מעמד אנשי כוחות הביטחון), התשפ״ו-2026")</f>
        <v>785</v>
      </c>
      <c r="E341" t="s">
        <v>785</v>
      </c>
      <c r="F341" t="s">
        <v>786</v>
      </c>
      <c r="G341" t="s">
        <v>14</v>
      </c>
      <c r="H341">
             </c>
      <c r="I341" t="s">
        <v>14</v>
      </c>
      <c r="J341" t="s">
        <v>141</v>
      </c>
      <c r="K341" t="s">
        <v>14</v>
      </c>
      <c r="L341" t="s">
        <v>20</v>
      </c>
      <c r="M341" t="s">
        <v>774</v>
      </c>
      <c r="N341" t="s">
        <v>14</v>
      </c>
    </row>
    <row r="342" x14ac:dyDescent="0.25">
      <c r="A342" t="n">
        <v>25</v>
      </c>
      <c r="B342" t="s">
        <v>14</v>
      </c>
      <c r="C342" t="s">
        <v>22</v>
      </c>
      <c r="D342" s="2" t="s">
        <f>=HYPERLINK("https://main.knesset.gov.il/APPS/legislation/main/bills/2240893", "הצעת חוק איסור צריכת זנות (הוראת שעה ותיקון חקיקה) (תיקון - איסור צריכת תוכן מיני מקוון מותאם אישית), התשפ""ו-2026")</f>
        <v>787</v>
      </c>
      <c r="E342" t="s">
        <v>787</v>
      </c>
      <c r="F342" t="s">
        <v>788</v>
      </c>
      <c r="G342" t="s">
        <v>14</v>
      </c>
      <c r="H342">
             </c>
      <c r="I342" t="s">
        <v>14</v>
      </c>
      <c r="J342" t="s">
        <v>343</v>
      </c>
      <c r="K342" t="s">
        <v>14</v>
      </c>
      <c r="L342" t="s">
        <v>20</v>
      </c>
      <c r="M342" t="s">
        <v>774</v>
      </c>
      <c r="N342" t="s">
        <v>14</v>
      </c>
    </row>
    <row r="343" x14ac:dyDescent="0.25">
      <c r="A343" t="n">
        <v>25</v>
      </c>
      <c r="B343" t="s">
        <v>14</v>
      </c>
      <c r="C343" t="s">
        <v>22</v>
      </c>
      <c r="D343" s="2" t="s">
        <f>=HYPERLINK("https://main.knesset.gov.il/APPS/legislation/main/bills/2241473", "הצעת חוק לימוד חובה (תיקון - מנהל מוסד חינוך), התשפ""ו-2026")</f>
        <v>581</v>
      </c>
      <c r="E343" t="s">
        <v>581</v>
      </c>
      <c r="F343" t="s">
        <v>789</v>
      </c>
      <c r="G343" t="s">
        <v>14</v>
      </c>
      <c r="H343">
             </c>
      <c r="I343" t="s">
        <v>14</v>
      </c>
      <c r="J343" t="s">
        <v>343</v>
      </c>
      <c r="K343" t="s">
        <v>14</v>
      </c>
      <c r="L343" t="s">
        <v>20</v>
      </c>
      <c r="M343" t="s">
        <v>774</v>
      </c>
      <c r="N343" t="s">
        <v>14</v>
      </c>
    </row>
    <row r="344" x14ac:dyDescent="0.25">
      <c r="A344" t="n">
        <v>25</v>
      </c>
      <c r="B344" t="s">
        <v>14</v>
      </c>
      <c r="C344" t="s">
        <v>22</v>
      </c>
      <c r="D344" s="2" t="s">
        <f>=HYPERLINK("https://main.knesset.gov.il/APPS/legislation/main/bills/2240734", "הצעת חוק מימון והקלות בלימודי רפואה ללוחמים ולתומכי לחימה (תיקוני חקיקה), התשפ""ו-2026")</f>
        <v>790</v>
      </c>
      <c r="E344" t="s">
        <v>790</v>
      </c>
      <c r="F344" t="s">
        <v>791</v>
      </c>
      <c r="G344" t="s">
        <v>14</v>
      </c>
      <c r="H344">
             </c>
      <c r="I344" t="s">
        <v>14</v>
      </c>
      <c r="J344" t="s">
        <v>141</v>
      </c>
      <c r="K344" t="s">
        <v>14</v>
      </c>
      <c r="L344" t="s">
        <v>20</v>
      </c>
      <c r="M344" t="s">
        <v>774</v>
      </c>
      <c r="N344" t="s">
        <v>14</v>
      </c>
    </row>
    <row r="345" x14ac:dyDescent="0.25">
      <c r="A345" t="n">
        <v>25</v>
      </c>
      <c r="B345" t="s">
        <v>14</v>
      </c>
      <c r="C345" t="s">
        <v>22</v>
      </c>
      <c r="D345" s="2" t="s">
        <f>=HYPERLINK("https://main.knesset.gov.il/APPS/legislation/main/bills/2241234", "הצעת חוק התכנון והבנייה (תיקון - ביטול התניית חיבור לחשמל, מים וטלפון באישור תאגיד המים), התשפ""ו-2016")</f>
        <v>792</v>
      </c>
      <c r="E345" t="s">
        <v>792</v>
      </c>
      <c r="F345" t="s">
        <v>793</v>
      </c>
      <c r="G345" t="s">
        <v>14</v>
      </c>
      <c r="H345">
             </c>
      <c r="I345" t="s">
        <v>14</v>
      </c>
      <c r="J345" t="s">
        <v>141</v>
      </c>
      <c r="K345" t="s">
        <v>14</v>
      </c>
      <c r="L345" t="s">
        <v>20</v>
      </c>
      <c r="M345" t="s">
        <v>774</v>
      </c>
      <c r="N345" t="s">
        <v>14</v>
      </c>
    </row>
    <row r="346" x14ac:dyDescent="0.25">
      <c r="A346" t="n">
        <v>25</v>
      </c>
      <c r="B346" t="s">
        <v>14</v>
      </c>
      <c r="C346" t="s">
        <v>22</v>
      </c>
      <c r="D346" s="2" t="s">
        <f>=HYPERLINK("https://main.knesset.gov.il/APPS/legislation/main/bills/2241390", "הצעת חוק חינוך ממלכתי (תיקון - שלילת השתתפות בתקציב עקב הפליה), התשפ""ו-2026")</f>
        <v>794</v>
      </c>
      <c r="E346" t="s">
        <v>794</v>
      </c>
      <c r="F346" t="s">
        <v>795</v>
      </c>
      <c r="G346" t="s">
        <v>14</v>
      </c>
      <c r="H346">
             </c>
      <c r="I346" t="s">
        <v>14</v>
      </c>
      <c r="J346" t="s">
        <v>141</v>
      </c>
      <c r="K346" t="s">
        <v>14</v>
      </c>
      <c r="L346" t="s">
        <v>20</v>
      </c>
      <c r="M346" t="s">
        <v>774</v>
      </c>
      <c r="N346" t="s">
        <v>14</v>
      </c>
    </row>
    <row r="347" x14ac:dyDescent="0.25">
      <c r="A347" t="n">
        <v>25</v>
      </c>
      <c r="B347" t="s">
        <v>14</v>
      </c>
      <c r="C347" t="s">
        <v>15</v>
      </c>
      <c r="D347" s="2" t="s">
        <f>=HYPERLINK("https://main.knesset.gov.il/APPS/legislation/main/bills/2240520", "פרק ה' (ריווח מדרגות מס הכנסה) מתוך הצעת חוק ההתייעלות הכלכלית (תיקוני חקיקה להשגת יעדי התקציב לשנת התקציב 2026), התשפ""ו-2026")</f>
        <v>796</v>
      </c>
      <c r="E347" t="s">
        <v>796</v>
      </c>
      <c r="F347" t="s">
        <v>14</v>
      </c>
      <c r="G347" t="s">
        <v>49</v>
      </c>
      <c r="H347">
             </c>
      <c r="I347" t="s">
        <v>14</v>
      </c>
      <c r="J347" t="s">
        <v>99</v>
      </c>
      <c r="K347" t="s">
        <v>121</v>
      </c>
      <c r="L347" t="s">
        <v>20</v>
      </c>
      <c r="M347" t="s">
        <v>797</v>
      </c>
      <c r="N347" t="s">
        <v>14</v>
      </c>
    </row>
    <row r="348" x14ac:dyDescent="0.25">
      <c r="A348" t="n">
        <v>25</v>
      </c>
      <c r="B348" t="s">
        <v>14</v>
      </c>
      <c r="C348" t="s">
        <v>15</v>
      </c>
      <c r="D348" s="2" t="s">
        <f>=HYPERLINK("https://main.knesset.gov.il/APPS/legislation/main/bills/2240466", "פרק ב' (מיסוי של קופות גמל) מתוך הצעת חוק ההתייעלות הכלכלית (תיקוני חקיקה להשגת יעדי התקציב לשנת התקציב 2026), התשפ""ו-2026")</f>
        <v>798</v>
      </c>
      <c r="E348" t="s">
        <v>798</v>
      </c>
      <c r="F348" t="s">
        <v>14</v>
      </c>
      <c r="G348" t="s">
        <v>49</v>
      </c>
      <c r="H348">
             </c>
      <c r="I348" t="s">
        <v>14</v>
      </c>
      <c r="J348" t="s">
        <v>99</v>
      </c>
      <c r="K348" t="s">
        <v>121</v>
      </c>
      <c r="L348" t="s">
        <v>20</v>
      </c>
      <c r="M348" t="s">
        <v>797</v>
      </c>
      <c r="N348" t="s">
        <v>14</v>
      </c>
    </row>
    <row r="349" x14ac:dyDescent="0.25">
      <c r="A349" t="n">
        <v>25</v>
      </c>
      <c r="B349" t="s">
        <v>14</v>
      </c>
      <c r="C349" t="s">
        <v>15</v>
      </c>
      <c r="D349" s="2" t="s">
        <f>=HYPERLINK("https://main.knesset.gov.il/APPS/legislation/main/bills/2240462", "פרק י' (עידוד ותמרוץ של מחקר ופיתוח) מתוך הצעת חוק התוכנית הכלכלית (תיקוני חקיקה ליישום המדיניות הכלכלית לשנת התקציב 2026), התשפ""ו-2026")</f>
        <v>799</v>
      </c>
      <c r="E349" t="s">
        <v>799</v>
      </c>
      <c r="F349" t="s">
        <v>14</v>
      </c>
      <c r="G349" t="s">
        <v>49</v>
      </c>
      <c r="H349">
             </c>
      <c r="I349" t="s">
        <v>14</v>
      </c>
      <c r="J349" t="s">
        <v>99</v>
      </c>
      <c r="K349" t="s">
        <v>121</v>
      </c>
      <c r="L349" t="s">
        <v>20</v>
      </c>
      <c r="M349" t="s">
        <v>797</v>
      </c>
      <c r="N349" t="s">
        <v>14</v>
      </c>
    </row>
    <row r="350" x14ac:dyDescent="0.25">
      <c r="A350" t="n">
        <v>25</v>
      </c>
      <c r="B350" t="s">
        <v>14</v>
      </c>
      <c r="C350" t="s">
        <v>15</v>
      </c>
      <c r="D350" s="2" t="s">
        <f>=HYPERLINK("https://main.knesset.gov.il/APPS/legislation/main/bills/2240485", "סעיפים 85, 87, 89 עד 91 (חוק תכנון משק החלב) מתוך הצעת חוק התוכנית הכלכלית (תיקוני חקיקה ליישום המדיניות הכלכלית לשנת התקציב 2026), התשפ""ו-2026")</f>
        <v>800</v>
      </c>
      <c r="E350" t="s">
        <v>800</v>
      </c>
      <c r="F350" t="s">
        <v>14</v>
      </c>
      <c r="G350" t="s">
        <v>49</v>
      </c>
      <c r="H350">
             </c>
      <c r="I350" t="s">
        <v>14</v>
      </c>
      <c r="J350" t="s">
        <v>50</v>
      </c>
      <c r="K350" t="s">
        <v>108</v>
      </c>
      <c r="L350" t="s">
        <v>20</v>
      </c>
      <c r="M350" t="s">
        <v>801</v>
      </c>
      <c r="N350" t="s">
        <v>14</v>
      </c>
    </row>
    <row r="351" x14ac:dyDescent="0.25">
      <c r="A351" t="n">
        <v>25</v>
      </c>
      <c r="B351" t="s">
        <v>14</v>
      </c>
      <c r="C351" t="s">
        <v>15</v>
      </c>
      <c r="D351" s="2" t="s">
        <f>=HYPERLINK("https://main.knesset.gov.il/APPS/legislation/main/bills/2240486", "סעיפים 86, 88 (חוק התחרות הכלכלית) מתוך הצעת חוק התוכנית הכלכלית (תיקוני חקיקה ליישום המדיניות הכלכלית לשנת התקציב 2026), התשפ""ו-2026")</f>
        <v>802</v>
      </c>
      <c r="E351" t="s">
        <v>802</v>
      </c>
      <c r="F351" t="s">
        <v>14</v>
      </c>
      <c r="G351" t="s">
        <v>49</v>
      </c>
      <c r="H351">
             </c>
      <c r="I351" t="s">
        <v>14</v>
      </c>
      <c r="J351" t="s">
        <v>50</v>
      </c>
      <c r="K351" t="s">
        <v>108</v>
      </c>
      <c r="L351" t="s">
        <v>20</v>
      </c>
      <c r="M351" t="s">
        <v>801</v>
      </c>
      <c r="N351" t="s">
        <v>14</v>
      </c>
    </row>
    <row r="352" x14ac:dyDescent="0.25">
      <c r="A352" t="n">
        <v>25</v>
      </c>
      <c r="B352" t="s">
        <v>14</v>
      </c>
      <c r="C352" t="s">
        <v>15</v>
      </c>
      <c r="D352" s="2" t="s">
        <f>=HYPERLINK("https://main.knesset.gov.il/APPS/legislation/main/bills/2240523", "פרק ח' (מס רכוש) מתוך הצעת חוק ההתייעלות הכלכלית (תיקוני חקיקה להשגת יעדי התקציב לשנת התקציב 2026), התשפ""ו-2026")</f>
        <v>803</v>
      </c>
      <c r="E352" t="s">
        <v>803</v>
      </c>
      <c r="F352" t="s">
        <v>14</v>
      </c>
      <c r="G352" t="s">
        <v>49</v>
      </c>
      <c r="H352">
             </c>
      <c r="I352" t="s">
        <v>14</v>
      </c>
      <c r="J352" t="s">
        <v>18</v>
      </c>
      <c r="K352" t="s">
        <v>85</v>
      </c>
      <c r="L352" t="s">
        <v>20</v>
      </c>
      <c r="M352" t="s">
        <v>801</v>
      </c>
      <c r="N352" t="s">
        <v>14</v>
      </c>
    </row>
    <row r="353" x14ac:dyDescent="0.25">
      <c r="A353" t="n">
        <v>25</v>
      </c>
      <c r="B353" t="s">
        <v>14</v>
      </c>
      <c r="C353" t="s">
        <v>15</v>
      </c>
      <c r="D353" s="2" t="s">
        <f>=HYPERLINK("https://main.knesset.gov.il/APPS/legislation/main/bills/2240527", "פרק ג' (צמצום ההון השחור), סימן ב' (הגבלה על החלפת שטר במזומן) מתוך הצעת חוק ההתייעלות הכלכלית (תיקוני חקיקה להשגת יעדי התקציב לשנת התקציב 2026), התשפ""ו-2026")</f>
        <v>804</v>
      </c>
      <c r="E353" t="s">
        <v>804</v>
      </c>
      <c r="F353" t="s">
        <v>14</v>
      </c>
      <c r="G353" t="s">
        <v>49</v>
      </c>
      <c r="H353">
             </c>
      <c r="I353" t="s">
        <v>14</v>
      </c>
      <c r="J353" t="s">
        <v>99</v>
      </c>
      <c r="K353" t="s">
        <v>121</v>
      </c>
      <c r="L353" t="s">
        <v>20</v>
      </c>
      <c r="M353" t="s">
        <v>801</v>
      </c>
      <c r="N353" t="s">
        <v>14</v>
      </c>
    </row>
    <row r="354" x14ac:dyDescent="0.25">
      <c r="A354" t="n">
        <v>25</v>
      </c>
      <c r="B354" t="s">
        <v>14</v>
      </c>
      <c r="C354" t="s">
        <v>15</v>
      </c>
      <c r="D354" s="2" t="s">
        <f>=HYPERLINK("https://main.knesset.gov.il/APPS/legislation/main/bills/2240529", "פרק ג' (צמצום ההון השחור), סימן ג' (חובת הצהרה של נותני שירותים פיננסיים) מתוך הצעת חוק ההתייעלות הכלכלית (תיקוני חקיקה להשגת יעדי התקציב לשנת התקציב 2026), התשפ""ו-2026 [פוצלה לפי סעיף 84(ב) לתקנון]")</f>
        <v>805</v>
      </c>
      <c r="E354" t="s">
        <v>805</v>
      </c>
      <c r="F354" t="s">
        <v>14</v>
      </c>
      <c r="G354" t="s">
        <v>49</v>
      </c>
      <c r="H354">
             </c>
      <c r="I354" t="s">
        <v>14</v>
      </c>
      <c r="J354" t="s">
        <v>18</v>
      </c>
      <c r="K354" t="s">
        <v>27</v>
      </c>
      <c r="L354" t="s">
        <v>20</v>
      </c>
      <c r="M354" t="s">
        <v>801</v>
      </c>
      <c r="N354" t="s">
        <v>14</v>
      </c>
    </row>
    <row r="355" x14ac:dyDescent="0.25">
      <c r="A355" t="n">
        <v>25</v>
      </c>
      <c r="B355" t="s">
        <v>14</v>
      </c>
      <c r="C355" t="s">
        <v>22</v>
      </c>
      <c r="D355" s="2" t="s">
        <f>=HYPERLINK("https://main.knesset.gov.il/APPS/legislation/main/bills/2237204", "הצעת חוק-יסוד: הממשלה (תיקון - הגבלות על כהונת שר ביותר ממשרד אחד)")</f>
        <v>806</v>
      </c>
      <c r="E355" t="s">
        <v>806</v>
      </c>
      <c r="F355" t="s">
        <v>807</v>
      </c>
      <c r="G355" t="s">
        <v>14</v>
      </c>
      <c r="H355">
             </c>
      <c r="I355" t="s">
        <v>14</v>
      </c>
      <c r="J355" t="s">
        <v>55</v>
      </c>
      <c r="K355" t="s">
        <v>14</v>
      </c>
      <c r="L355" t="s">
        <v>20</v>
      </c>
      <c r="M355" t="s">
        <v>801</v>
      </c>
      <c r="N355" t="s">
        <v>14</v>
      </c>
    </row>
    <row r="356" x14ac:dyDescent="0.25">
      <c r="A356" t="n">
        <v>25</v>
      </c>
      <c r="B356" t="s">
        <v>14</v>
      </c>
      <c r="C356" t="s">
        <v>22</v>
      </c>
      <c r="D356" s="2" t="s">
        <f>=HYPERLINK("https://main.knesset.gov.il/APPS/legislation/main/bills/2236170", "הצעת חוק הרשות לטיפול בנפגעי הלם קרב, התשפ""ו-2025")</f>
        <v>808</v>
      </c>
      <c r="E356" t="s">
        <v>808</v>
      </c>
      <c r="F356" t="s">
        <v>809</v>
      </c>
      <c r="G356" t="s">
        <v>14</v>
      </c>
      <c r="H356">
             </c>
      <c r="I356" t="s">
        <v>14</v>
      </c>
      <c r="J356" t="s">
        <v>55</v>
      </c>
      <c r="K356" t="s">
        <v>14</v>
      </c>
      <c r="L356" t="s">
        <v>20</v>
      </c>
      <c r="M356" t="s">
        <v>801</v>
      </c>
      <c r="N356" t="s">
        <v>14</v>
      </c>
    </row>
    <row r="357" x14ac:dyDescent="0.25">
      <c r="A357" t="n">
        <v>25</v>
      </c>
      <c r="B357" t="s">
        <v>14</v>
      </c>
      <c r="C357" t="s">
        <v>22</v>
      </c>
      <c r="D357" s="2" t="s">
        <f>=HYPERLINK("https://main.knesset.gov.il/APPS/legislation/main/bills/2218847", "הצעת חוק רשות מקרקעי ישראל (תיקון - העדפת רכישת קרקע בפריפריה לחיילי מילואים), התשפ""ד-2024")</f>
        <v>810</v>
      </c>
      <c r="E357" t="s">
        <v>810</v>
      </c>
      <c r="F357" t="s">
        <v>811</v>
      </c>
      <c r="G357" t="s">
        <v>14</v>
      </c>
      <c r="H357">
             </c>
      <c r="I357" t="s">
        <v>14</v>
      </c>
      <c r="J357" t="s">
        <v>55</v>
      </c>
      <c r="K357" t="s">
        <v>14</v>
      </c>
      <c r="L357" t="s">
        <v>20</v>
      </c>
      <c r="M357" t="s">
        <v>801</v>
      </c>
      <c r="N357" t="s">
        <v>14</v>
      </c>
    </row>
    <row r="358" x14ac:dyDescent="0.25">
      <c r="A358" t="n">
        <v>25</v>
      </c>
      <c r="B358" t="s">
        <v>14</v>
      </c>
      <c r="C358" t="s">
        <v>15</v>
      </c>
      <c r="D358" s="2" t="s">
        <f>=HYPERLINK("https://main.knesset.gov.il/APPS/legislation/main/bills/2240468", "פרק ב ייעול הליכי התכנון והבנייה (חוק התכנון והבנייה) סעיף 2(15) (הרחבת סמכות למתן היתר לרשות רישוי ארצית) מתוך הצעת חוק התוכנית הכלכלית (תיקוני חקיקה ליישום המדיניות הכלכלית לשנת התקציב 2026), התשפ""ו-2026")</f>
        <v>812</v>
      </c>
      <c r="E358" t="s">
        <v>812</v>
      </c>
      <c r="F358" t="s">
        <v>14</v>
      </c>
      <c r="G358" t="s">
        <v>49</v>
      </c>
      <c r="H358">
             </c>
      <c r="I358" t="s">
        <v>14</v>
      </c>
      <c r="J358" t="s">
        <v>99</v>
      </c>
      <c r="K358" t="s">
        <v>121</v>
      </c>
      <c r="L358" t="s">
        <v>20</v>
      </c>
      <c r="M358" t="s">
        <v>813</v>
      </c>
      <c r="N358" t="s">
        <v>14</v>
      </c>
    </row>
    <row r="359" x14ac:dyDescent="0.25">
      <c r="A359" t="n">
        <v>25</v>
      </c>
      <c r="B359" t="s">
        <v>14</v>
      </c>
      <c r="C359" t="s">
        <v>15</v>
      </c>
      <c r="D359" s="2" t="s">
        <f>=HYPERLINK("https://main.knesset.gov.il/APPS/legislation/main/bills/2240477", "סעיף 10 (משק הגז הטבעי) מתוך הצעת חוק התוכנית הכלכלית (תיקוני חקיקה ליישום המדיניות הכלכלית לשנת התקציב 2026), התשפ""ו-2026")</f>
        <v>814</v>
      </c>
      <c r="E359" t="s">
        <v>814</v>
      </c>
      <c r="F359" t="s">
        <v>14</v>
      </c>
      <c r="G359" t="s">
        <v>49</v>
      </c>
      <c r="H359">
             </c>
      <c r="I359" t="s">
        <v>14</v>
      </c>
      <c r="J359" t="s">
        <v>99</v>
      </c>
      <c r="K359" t="s">
        <v>121</v>
      </c>
      <c r="L359" t="s">
        <v>20</v>
      </c>
      <c r="M359" t="s">
        <v>815</v>
      </c>
      <c r="N359" t="s">
        <v>14</v>
      </c>
    </row>
    <row r="360" x14ac:dyDescent="0.25">
      <c r="A360" t="n">
        <v>25</v>
      </c>
      <c r="B360" t="s">
        <v>14</v>
      </c>
      <c r="C360" t="s">
        <v>15</v>
      </c>
      <c r="D360" s="2" t="s">
        <f>=HYPERLINK("https://main.knesset.gov.il/APPS/legislation/main/bills/2240478", "פרק ז' (קידום התחרות בשוק מתן הערבויות) מתוך הצעת חוק התוכנית הכלכלית (תיקוני חקיקה ליישום המדיניות הכלכלית לשנת התקציב 2026), התשפ""ו-2026")</f>
        <v>816</v>
      </c>
      <c r="E360" t="s">
        <v>816</v>
      </c>
      <c r="F360" t="s">
        <v>14</v>
      </c>
      <c r="G360" t="s">
        <v>49</v>
      </c>
      <c r="H360">
             </c>
      <c r="I360" t="s">
        <v>14</v>
      </c>
      <c r="J360" t="s">
        <v>99</v>
      </c>
      <c r="K360" t="s">
        <v>121</v>
      </c>
      <c r="L360" t="s">
        <v>20</v>
      </c>
      <c r="M360" t="s">
        <v>815</v>
      </c>
      <c r="N360" t="s">
        <v>14</v>
      </c>
    </row>
    <row r="361" x14ac:dyDescent="0.25">
      <c r="A361" t="n">
        <v>25</v>
      </c>
      <c r="B361" t="s">
        <v>14</v>
      </c>
      <c r="C361" t="s">
        <v>22</v>
      </c>
      <c r="D361" s="2" t="s">
        <f>=HYPERLINK("https://main.knesset.gov.il/APPS/legislation/main/bills/2240121", "הצעת חוק הבנקאות (שירות ללקוח) (תיקון - קיצור משך זמן לביטול שעבוד), התשפ""ו-2026")</f>
        <v>817</v>
      </c>
      <c r="E361" t="s">
        <v>817</v>
      </c>
      <c r="F361" t="s">
        <v>818</v>
      </c>
      <c r="G361" t="s">
        <v>14</v>
      </c>
      <c r="H361">
             </c>
      <c r="I361" t="s">
        <v>14</v>
      </c>
      <c r="J361" t="s">
        <v>141</v>
      </c>
      <c r="K361" t="s">
        <v>14</v>
      </c>
      <c r="L361" t="s">
        <v>20</v>
      </c>
      <c r="M361" t="s">
        <v>815</v>
      </c>
      <c r="N361" t="s">
        <v>14</v>
      </c>
    </row>
    <row r="362" x14ac:dyDescent="0.25">
      <c r="A362" t="n">
        <v>25</v>
      </c>
      <c r="B362" t="s">
        <v>14</v>
      </c>
      <c r="C362" t="s">
        <v>22</v>
      </c>
      <c r="D362" s="2" t="s">
        <f>=HYPERLINK("https://main.knesset.gov.il/APPS/legislation/main/bills/2238835", "הצעת חוק התכנון והבנייה (תיקון - ועדת משנה להתחדשות עירונית), התשפ""ו-2026")</f>
        <v>819</v>
      </c>
      <c r="E362" t="s">
        <v>819</v>
      </c>
      <c r="F362" t="s">
        <v>820</v>
      </c>
      <c r="G362" t="s">
        <v>14</v>
      </c>
      <c r="H362">
             </c>
      <c r="I362" t="s">
        <v>14</v>
      </c>
      <c r="J362" t="s">
        <v>141</v>
      </c>
      <c r="K362" t="s">
        <v>14</v>
      </c>
      <c r="L362" t="s">
        <v>20</v>
      </c>
      <c r="M362" t="s">
        <v>815</v>
      </c>
      <c r="N362" t="s">
        <v>14</v>
      </c>
    </row>
    <row r="363" x14ac:dyDescent="0.25">
      <c r="A363" t="n">
        <v>25</v>
      </c>
      <c r="B363" t="s">
        <v>14</v>
      </c>
      <c r="C363" t="s">
        <v>22</v>
      </c>
      <c r="D363" s="2" t="s">
        <f>=HYPERLINK("https://main.knesset.gov.il/APPS/legislation/main/bills/2241081", "הצעת חוק שמירת הקדושה של הכותל המערבי ורחבתו, התשפ""ו-2026")</f>
        <v>821</v>
      </c>
      <c r="E363" t="s">
        <v>821</v>
      </c>
      <c r="F363" t="s">
        <v>822</v>
      </c>
      <c r="G363" t="s">
        <v>14</v>
      </c>
      <c r="H363">
             </c>
      <c r="I363" t="s">
        <v>14</v>
      </c>
      <c r="J363" t="s">
        <v>141</v>
      </c>
      <c r="K363" t="s">
        <v>14</v>
      </c>
      <c r="L363" t="s">
        <v>20</v>
      </c>
      <c r="M363" t="s">
        <v>815</v>
      </c>
      <c r="N363" t="s">
        <v>14</v>
      </c>
    </row>
    <row r="364" x14ac:dyDescent="0.25">
      <c r="A364" t="n">
        <v>25</v>
      </c>
      <c r="B364" t="s">
        <v>14</v>
      </c>
      <c r="C364" t="s">
        <v>22</v>
      </c>
      <c r="D364" s="2" t="s">
        <f>=HYPERLINK("https://main.knesset.gov.il/APPS/legislation/main/bills/2240712", "הצעת חוק חדלות פירעון ושיקום כלכלי (תיקון - נסיבות המצדיקות מתן הפטר על חוב מזונות), התשפ""ו-2026")</f>
        <v>823</v>
      </c>
      <c r="E364" t="s">
        <v>823</v>
      </c>
      <c r="F364" t="s">
        <v>824</v>
      </c>
      <c r="G364" t="s">
        <v>14</v>
      </c>
      <c r="H364">
             </c>
      <c r="I364" t="s">
        <v>14</v>
      </c>
      <c r="J364" t="s">
        <v>141</v>
      </c>
      <c r="K364" t="s">
        <v>14</v>
      </c>
      <c r="L364" t="s">
        <v>20</v>
      </c>
      <c r="M364" t="s">
        <v>815</v>
      </c>
      <c r="N364" t="s">
        <v>14</v>
      </c>
    </row>
    <row r="365" x14ac:dyDescent="0.25">
      <c r="A365" t="n">
        <v>25</v>
      </c>
      <c r="B365" t="s">
        <v>14</v>
      </c>
      <c r="C365" t="s">
        <v>22</v>
      </c>
      <c r="D365" s="2" t="s">
        <f>=HYPERLINK("https://main.knesset.gov.il/APPS/legislation/main/bills/2239975", "הצעת חוק המועצה להשכלה גבוהה (תיקון - מניעת השבתה פוליטית במוסדות מתוקצבים), התשפ""ו-2026")</f>
        <v>825</v>
      </c>
      <c r="E365" t="s">
        <v>825</v>
      </c>
      <c r="F365" t="s">
        <v>826</v>
      </c>
      <c r="G365" t="s">
        <v>14</v>
      </c>
      <c r="H365">
             </c>
      <c r="I365" t="s">
        <v>14</v>
      </c>
      <c r="J365" t="s">
        <v>343</v>
      </c>
      <c r="K365" t="s">
        <v>14</v>
      </c>
      <c r="L365" t="s">
        <v>20</v>
      </c>
      <c r="M365" t="s">
        <v>815</v>
      </c>
      <c r="N365" t="s">
        <v>14</v>
      </c>
    </row>
    <row r="366" x14ac:dyDescent="0.25">
      <c r="A366" t="n">
        <v>25</v>
      </c>
      <c r="B366" t="s">
        <v>14</v>
      </c>
      <c r="C366" t="s">
        <v>22</v>
      </c>
      <c r="D366" s="2" t="s">
        <f>=HYPERLINK("https://main.knesset.gov.il/APPS/legislation/main/bills/2240448", "הצעת חוק לתיקון פקודת התעבורה (שינוי שיטת החישוב של דמי חניה בחניון), התשפ""ו-2026")</f>
        <v>827</v>
      </c>
      <c r="E366" t="s">
        <v>827</v>
      </c>
      <c r="F366" t="s">
        <v>828</v>
      </c>
      <c r="G366" t="s">
        <v>14</v>
      </c>
      <c r="H366">
             </c>
      <c r="I366" t="s">
        <v>14</v>
      </c>
      <c r="J366" t="s">
        <v>141</v>
      </c>
      <c r="K366" t="s">
        <v>14</v>
      </c>
      <c r="L366" t="s">
        <v>20</v>
      </c>
      <c r="M366" t="s">
        <v>815</v>
      </c>
      <c r="N366" t="s">
        <v>14</v>
      </c>
    </row>
    <row r="367" x14ac:dyDescent="0.25">
      <c r="A367" t="n">
        <v>25</v>
      </c>
      <c r="B367" t="s">
        <v>14</v>
      </c>
      <c r="C367" t="s">
        <v>22</v>
      </c>
      <c r="D367" s="2" t="s">
        <f>=HYPERLINK("https://main.knesset.gov.il/APPS/legislation/main/bills/2240737", "הצעת חוק המרכז לגביית קנסות, אגרות והוצאות (תיקון - חובת איתור חייבים ומועד מינימום לתשלום), התשפ""ו-2026")</f>
        <v>829</v>
      </c>
      <c r="E367" t="s">
        <v>829</v>
      </c>
      <c r="F367" t="s">
        <v>830</v>
      </c>
      <c r="G367" t="s">
        <v>14</v>
      </c>
      <c r="H367">
             </c>
      <c r="I367" t="s">
        <v>14</v>
      </c>
      <c r="J367" t="s">
        <v>141</v>
      </c>
      <c r="K367" t="s">
        <v>14</v>
      </c>
      <c r="L367" t="s">
        <v>20</v>
      </c>
      <c r="M367" t="s">
        <v>815</v>
      </c>
      <c r="N367" t="s">
        <v>14</v>
      </c>
    </row>
    <row r="368" x14ac:dyDescent="0.25">
      <c r="A368" t="n">
        <v>25</v>
      </c>
      <c r="B368" t="s">
        <v>14</v>
      </c>
      <c r="C368" t="s">
        <v>22</v>
      </c>
      <c r="D368" s="2" t="s">
        <f>=HYPERLINK("https://main.knesset.gov.il/APPS/legislation/main/bills/2240692", "הצעת חוק-יסוד: העדה הדרוזית ")</f>
        <v>831</v>
      </c>
      <c r="E368" t="s">
        <v>831</v>
      </c>
      <c r="F368" t="s">
        <v>832</v>
      </c>
      <c r="G368" t="s">
        <v>14</v>
      </c>
      <c r="H368">
             </c>
      <c r="I368" t="s">
        <v>14</v>
      </c>
      <c r="J368" t="s">
        <v>343</v>
      </c>
      <c r="K368" t="s">
        <v>14</v>
      </c>
      <c r="L368" t="s">
        <v>20</v>
      </c>
      <c r="M368" t="s">
        <v>815</v>
      </c>
      <c r="N368" t="s">
        <v>14</v>
      </c>
    </row>
    <row r="369" x14ac:dyDescent="0.25">
      <c r="A369" t="n">
        <v>25</v>
      </c>
      <c r="B369" t="s">
        <v>14</v>
      </c>
      <c r="C369" t="s">
        <v>22</v>
      </c>
      <c r="D369" s="2" t="s">
        <f>=HYPERLINK("https://main.knesset.gov.il/APPS/legislation/main/bills/2239799", "הצעת חוק לתיקון פקודת התעבורה (השגה וערר על דרישה לתשלום תעריף מוגדל), התשפ""ו-2026")</f>
        <v>833</v>
      </c>
      <c r="E369" t="s">
        <v>833</v>
      </c>
      <c r="F369" t="s">
        <v>834</v>
      </c>
      <c r="G369" t="s">
        <v>14</v>
      </c>
      <c r="H369">
             </c>
      <c r="I369" t="s">
        <v>14</v>
      </c>
      <c r="J369" t="s">
        <v>343</v>
      </c>
      <c r="K369" t="s">
        <v>14</v>
      </c>
      <c r="L369" t="s">
        <v>20</v>
      </c>
      <c r="M369" t="s">
        <v>815</v>
      </c>
      <c r="N369" t="s">
        <v>14</v>
      </c>
    </row>
    <row r="370" x14ac:dyDescent="0.25">
      <c r="A370" t="n">
        <v>25</v>
      </c>
      <c r="B370" t="s">
        <v>14</v>
      </c>
      <c r="C370" t="s">
        <v>22</v>
      </c>
      <c r="D370" s="2" t="s">
        <f>=HYPERLINK("https://main.knesset.gov.il/APPS/legislation/main/bills/2239980", "הצעת חוק התקשורת (בזק ושידורים) (תיקון - תיעוד מכירת כרטיסי SIM אנונימיים), התשפ""ו-2026")</f>
        <v>835</v>
      </c>
      <c r="E370" t="s">
        <v>835</v>
      </c>
      <c r="F370" t="s">
        <v>836</v>
      </c>
      <c r="G370" t="s">
        <v>14</v>
      </c>
      <c r="H370">
             </c>
      <c r="I370" t="s">
        <v>14</v>
      </c>
      <c r="J370" t="s">
        <v>141</v>
      </c>
      <c r="K370" t="s">
        <v>14</v>
      </c>
      <c r="L370" t="s">
        <v>20</v>
      </c>
      <c r="M370" t="s">
        <v>815</v>
      </c>
      <c r="N370" t="s">
        <v>14</v>
      </c>
    </row>
    <row r="371" x14ac:dyDescent="0.25">
      <c r="A371" t="n">
        <v>25</v>
      </c>
      <c r="B371" t="s">
        <v>14</v>
      </c>
      <c r="C371" t="s">
        <v>22</v>
      </c>
      <c r="D371" s="2" t="s">
        <f>=HYPERLINK("https://main.knesset.gov.il/APPS/legislation/main/bills/2240450", "הצעת חוק שמירת הסביבה החופית (תיקון - איסור הכנסת מוצרים חד-פעמיים לתחום הסביבה החופית), התשפ""ו-2026")</f>
        <v>837</v>
      </c>
      <c r="E371" t="s">
        <v>837</v>
      </c>
      <c r="F371" t="s">
        <v>838</v>
      </c>
      <c r="G371" t="s">
        <v>14</v>
      </c>
      <c r="H371">
             </c>
      <c r="I371" t="s">
        <v>14</v>
      </c>
      <c r="J371" t="s">
        <v>141</v>
      </c>
      <c r="K371" t="s">
        <v>14</v>
      </c>
      <c r="L371" t="s">
        <v>20</v>
      </c>
      <c r="M371" t="s">
        <v>815</v>
      </c>
      <c r="N371" t="s">
        <v>14</v>
      </c>
    </row>
    <row r="372" x14ac:dyDescent="0.25">
      <c r="A372" t="n">
        <v>25</v>
      </c>
      <c r="B372" t="s">
        <v>14</v>
      </c>
      <c r="C372" t="s">
        <v>22</v>
      </c>
      <c r="D372" s="2" t="s">
        <f>=HYPERLINK("https://main.knesset.gov.il/APPS/legislation/main/bills/2241047", "הצעת חוק השבות (תיקון - הוספת המילה כהלכה), התשפ""ו-2026")</f>
        <v>352</v>
      </c>
      <c r="E372" t="s">
        <v>352</v>
      </c>
      <c r="F372" t="s">
        <v>839</v>
      </c>
      <c r="G372" t="s">
        <v>14</v>
      </c>
      <c r="H372">
             </c>
      <c r="I372" t="s">
        <v>14</v>
      </c>
      <c r="J372" t="s">
        <v>141</v>
      </c>
      <c r="K372" t="s">
        <v>14</v>
      </c>
      <c r="L372" t="s">
        <v>20</v>
      </c>
      <c r="M372" t="s">
        <v>815</v>
      </c>
      <c r="N372" t="s">
        <v>14</v>
      </c>
    </row>
    <row r="373" x14ac:dyDescent="0.25">
      <c r="A373" t="n">
        <v>25</v>
      </c>
      <c r="B373" t="s">
        <v>14</v>
      </c>
      <c r="C373" t="s">
        <v>22</v>
      </c>
      <c r="D373" s="2" t="s">
        <f>=HYPERLINK("https://main.knesset.gov.il/APPS/legislation/main/bills/2240826", "הצעת חוק להגדרת רצועת עזה כאזור עוין ואיסור יחסי מסחר, התשפ""ו-2026")</f>
        <v>840</v>
      </c>
      <c r="E373" t="s">
        <v>840</v>
      </c>
      <c r="F373" t="s">
        <v>841</v>
      </c>
      <c r="G373" t="s">
        <v>14</v>
      </c>
      <c r="H373">
             </c>
      <c r="I373" t="s">
        <v>14</v>
      </c>
      <c r="J373" t="s">
        <v>141</v>
      </c>
      <c r="K373" t="s">
        <v>14</v>
      </c>
      <c r="L373" t="s">
        <v>20</v>
      </c>
      <c r="M373" t="s">
        <v>815</v>
      </c>
      <c r="N373" t="s">
        <v>14</v>
      </c>
    </row>
    <row r="374" x14ac:dyDescent="0.25">
      <c r="A374" t="n">
        <v>25</v>
      </c>
      <c r="B374" t="s">
        <v>14</v>
      </c>
      <c r="C374" t="s">
        <v>22</v>
      </c>
      <c r="D374" s="2" t="s">
        <f>=HYPERLINK("https://main.knesset.gov.il/APPS/legislation/main/bills/2240742", "הצעת חוק לפיתוח העיר קריית שמונה ומתן עדיפות לבני מקום בדיור, התשפ""ו-2026")</f>
        <v>842</v>
      </c>
      <c r="E374" t="s">
        <v>842</v>
      </c>
      <c r="F374" t="s">
        <v>843</v>
      </c>
      <c r="G374" t="s">
        <v>14</v>
      </c>
      <c r="H374">
             </c>
      <c r="I374" t="s">
        <v>14</v>
      </c>
      <c r="J374" t="s">
        <v>141</v>
      </c>
      <c r="K374" t="s">
        <v>14</v>
      </c>
      <c r="L374" t="s">
        <v>20</v>
      </c>
      <c r="M374" t="s">
        <v>815</v>
      </c>
      <c r="N374" t="s">
        <v>14</v>
      </c>
    </row>
    <row r="375" x14ac:dyDescent="0.25">
      <c r="A375" t="n">
        <v>25</v>
      </c>
      <c r="B375" t="s">
        <v>14</v>
      </c>
      <c r="C375" t="s">
        <v>22</v>
      </c>
      <c r="D375" s="2" t="s">
        <f>=HYPERLINK("https://main.knesset.gov.il/APPS/legislation/main/bills/2241014", "הצעת חוק העונשין (תיקון - השחתת מודעות על רקע מגדר), התשפ""ו-2026")</f>
        <v>229</v>
      </c>
      <c r="E375" t="s">
        <v>229</v>
      </c>
      <c r="F375" t="s">
        <v>844</v>
      </c>
      <c r="G375" t="s">
        <v>14</v>
      </c>
      <c r="H375">
             </c>
      <c r="I375" t="s">
        <v>14</v>
      </c>
      <c r="J375" t="s">
        <v>141</v>
      </c>
      <c r="K375" t="s">
        <v>14</v>
      </c>
      <c r="L375" t="s">
        <v>20</v>
      </c>
      <c r="M375" t="s">
        <v>815</v>
      </c>
      <c r="N375" t="s">
        <v>14</v>
      </c>
    </row>
    <row r="376" x14ac:dyDescent="0.25">
      <c r="A376" t="n">
        <v>25</v>
      </c>
      <c r="B376" t="s">
        <v>14</v>
      </c>
      <c r="C376" t="s">
        <v>22</v>
      </c>
      <c r="D376" s="2" t="s">
        <f>=HYPERLINK("https://main.knesset.gov.il/APPS/legislation/main/bills/2241153", "הצעת חוק ביטוח בריאות ממלכתי (תיקון - הפחתה בדמי ביטוח בריאות לתושבי הפריפריה), התשפ""ו-2026")</f>
        <v>741</v>
      </c>
      <c r="E376" t="s">
        <v>741</v>
      </c>
      <c r="F376" t="s">
        <v>845</v>
      </c>
      <c r="G376" t="s">
        <v>14</v>
      </c>
      <c r="H376">
             </c>
      <c r="I376" t="s">
        <v>14</v>
      </c>
      <c r="J376" t="s">
        <v>141</v>
      </c>
      <c r="K376" t="s">
        <v>14</v>
      </c>
      <c r="L376" t="s">
        <v>20</v>
      </c>
      <c r="M376" t="s">
        <v>815</v>
      </c>
      <c r="N376" t="s">
        <v>14</v>
      </c>
    </row>
    <row r="377" x14ac:dyDescent="0.25">
      <c r="A377" t="n">
        <v>25</v>
      </c>
      <c r="B377" t="s">
        <v>14</v>
      </c>
      <c r="C377" t="s">
        <v>22</v>
      </c>
      <c r="D377" s="2" t="s">
        <f>=HYPERLINK("https://main.knesset.gov.il/APPS/legislation/main/bills/2239877", "הצעת חוק איחוד המועצות האזוריות מגידו ועמק יזרעאל, התשפ״ו-2026")</f>
        <v>846</v>
      </c>
      <c r="E377" t="s">
        <v>846</v>
      </c>
      <c r="F377" t="s">
        <v>847</v>
      </c>
      <c r="G377" t="s">
        <v>14</v>
      </c>
      <c r="H377">
             </c>
      <c r="I377" t="s">
        <v>14</v>
      </c>
      <c r="J377" t="s">
        <v>141</v>
      </c>
      <c r="K377" t="s">
        <v>14</v>
      </c>
      <c r="L377" t="s">
        <v>20</v>
      </c>
      <c r="M377" t="s">
        <v>815</v>
      </c>
      <c r="N377" t="s">
        <v>14</v>
      </c>
    </row>
    <row r="378" x14ac:dyDescent="0.25">
      <c r="A378" t="n">
        <v>25</v>
      </c>
      <c r="B378" t="s">
        <v>14</v>
      </c>
      <c r="C378" t="s">
        <v>22</v>
      </c>
      <c r="D378" s="2" t="s">
        <f>=HYPERLINK("https://main.knesset.gov.il/APPS/legislation/main/bills/2236875", " הצעת חוק הבנקאות (שירות ללקוח) (תיקון - מנגנונים פיננסיים להגנה על עולים חדשים מבוגרים) (הוראת שעה), התשפ""ו-2026")</f>
        <v>848</v>
      </c>
      <c r="E378" t="s">
        <v>848</v>
      </c>
      <c r="F378" t="s">
        <v>849</v>
      </c>
      <c r="G378" t="s">
        <v>14</v>
      </c>
      <c r="H378">
             </c>
      <c r="I378" t="s">
        <v>14</v>
      </c>
      <c r="J378" t="s">
        <v>141</v>
      </c>
      <c r="K378" t="s">
        <v>14</v>
      </c>
      <c r="L378" t="s">
        <v>20</v>
      </c>
      <c r="M378" t="s">
        <v>815</v>
      </c>
      <c r="N378" t="s">
        <v>14</v>
      </c>
    </row>
    <row r="379" x14ac:dyDescent="0.25">
      <c r="A379" t="n">
        <v>25</v>
      </c>
      <c r="B379" t="s">
        <v>14</v>
      </c>
      <c r="C379" t="s">
        <v>15</v>
      </c>
      <c r="D379" s="2" t="s">
        <f>=HYPERLINK("https://main.knesset.gov.il/APPS/legislation/main/bills/1038990", "הצעת חוק הירושה (תיקון מס' 23), התשפ""ו-2026 ")</f>
        <v>850</v>
      </c>
      <c r="E379" t="s">
        <v>850</v>
      </c>
      <c r="F379" t="s">
        <v>14</v>
      </c>
      <c r="G379" t="s">
        <v>851</v>
      </c>
      <c r="H379">
             </c>
      <c r="I379" t="s">
        <v>14</v>
      </c>
      <c r="J379" t="s">
        <v>69</v>
      </c>
      <c r="K379" t="s">
        <v>14</v>
      </c>
      <c r="L379" t="s">
        <v>20</v>
      </c>
      <c r="M379" t="s">
        <v>815</v>
      </c>
      <c r="N379" t="s">
        <v>14</v>
      </c>
    </row>
    <row r="380" x14ac:dyDescent="0.25">
      <c r="A380" t="n">
        <v>25</v>
      </c>
      <c r="B380" t="s">
        <v>14</v>
      </c>
      <c r="C380" t="s">
        <v>15</v>
      </c>
      <c r="D380" s="2" t="s">
        <f>=HYPERLINK("https://main.knesset.gov.il/APPS/legislation/main/bills/1046333", "הצעת חוק הקאדים (תיקון מס' 20) (ייצוג הולם לנשים בוועדה לבחירת קאדים), התשפ""ו-2026 ")</f>
        <v>852</v>
      </c>
      <c r="E380" t="s">
        <v>852</v>
      </c>
      <c r="F380" t="s">
        <v>14</v>
      </c>
      <c r="G380" t="s">
        <v>853</v>
      </c>
      <c r="H380">
             </c>
      <c r="I380" t="s">
        <v>14</v>
      </c>
      <c r="J380" t="s">
        <v>69</v>
      </c>
      <c r="K380" t="s">
        <v>14</v>
      </c>
      <c r="L380" t="s">
        <v>20</v>
      </c>
      <c r="M380" t="s">
        <v>815</v>
      </c>
      <c r="N380" t="s">
        <v>14</v>
      </c>
    </row>
    <row r="381" x14ac:dyDescent="0.25">
      <c r="A381" t="n">
        <v>25</v>
      </c>
      <c r="B381" t="s">
        <v>14</v>
      </c>
      <c r="C381" t="s">
        <v>15</v>
      </c>
      <c r="D381" s="2" t="s">
        <f>=HYPERLINK("https://main.knesset.gov.il/APPS/legislation/main/bills/1046477", "הצעת חוק הפחתת הגירעון והגבלת ההוצאה התקציבית (תיקון מס' 30), התשפ""ו-2026")</f>
        <v>854</v>
      </c>
      <c r="E381" t="s">
        <v>854</v>
      </c>
      <c r="F381" t="s">
        <v>14</v>
      </c>
      <c r="G381" t="s">
        <v>49</v>
      </c>
      <c r="H381">
             </c>
      <c r="I381" t="s">
        <v>14</v>
      </c>
      <c r="J381" t="s">
        <v>18</v>
      </c>
      <c r="K381" t="s">
        <v>85</v>
      </c>
      <c r="L381" t="s">
        <v>20</v>
      </c>
      <c r="M381" t="s">
        <v>855</v>
      </c>
      <c r="N381" t="s">
        <v>14</v>
      </c>
    </row>
    <row r="382" x14ac:dyDescent="0.25">
      <c r="A382" t="n">
        <v>25</v>
      </c>
      <c r="B382" t="s">
        <v>14</v>
      </c>
      <c r="C382" t="s">
        <v>15</v>
      </c>
      <c r="D382" s="2" t="s">
        <f>=HYPERLINK("https://main.knesset.gov.il/APPS/legislation/main/bills/2240498", "סעיפים 15, 16 (פקודת היערות) מתוך הצעת חוק התוכנית הכלכלית (תיקוני חקיקה ליישום המדיניות הכלכלית לשנת התקציב 2026), התשפ""ו-2026 [פוצלה לפי סעיף 84(ב) לתקנון]")</f>
        <v>856</v>
      </c>
      <c r="E382" t="s">
        <v>856</v>
      </c>
      <c r="F382" t="s">
        <v>14</v>
      </c>
      <c r="G382" t="s">
        <v>49</v>
      </c>
      <c r="H382">
             </c>
      <c r="I382" t="s">
        <v>14</v>
      </c>
      <c r="J382" t="s">
        <v>18</v>
      </c>
      <c r="K382" t="s">
        <v>46</v>
      </c>
      <c r="L382" t="s">
        <v>20</v>
      </c>
      <c r="M382" t="s">
        <v>857</v>
      </c>
      <c r="N382" t="s">
        <v>14</v>
      </c>
    </row>
    <row r="383" x14ac:dyDescent="0.25">
      <c r="A383" t="n">
        <v>25</v>
      </c>
      <c r="B383" t="s">
        <v>14</v>
      </c>
      <c r="C383" t="s">
        <v>22</v>
      </c>
      <c r="D383" s="2" t="s">
        <f>=HYPERLINK("https://main.knesset.gov.il/APPS/legislation/main/bills/2234330", "חוק קיום דיונים בהיוועדות חזותית בעת הכרזה על הגבלה (עצורים, אסירים וכלואים) (הוראת שעה), התשפ""ו-2026")</f>
        <v>858</v>
      </c>
      <c r="E383" t="s">
        <v>858</v>
      </c>
      <c r="F383" t="s">
        <v>859</v>
      </c>
      <c r="G383" t="s">
        <v>860</v>
      </c>
      <c r="H383" t="n">
        <v>3500</v>
      </c>
      <c r="I383" t="s">
        <v>14</v>
      </c>
      <c r="J383" t="s">
        <v>91</v>
      </c>
      <c r="K383" t="s">
        <v>27</v>
      </c>
      <c r="L383" t="s">
        <v>20</v>
      </c>
      <c r="M383" t="s">
        <v>861</v>
      </c>
      <c r="N383" t="s">
        <v>14</v>
      </c>
    </row>
    <row r="384" x14ac:dyDescent="0.25">
      <c r="A384" t="n">
        <v>25</v>
      </c>
      <c r="B384" t="s">
        <v>14</v>
      </c>
      <c r="C384" t="s">
        <v>15</v>
      </c>
      <c r="D384" s="2" t="s">
        <f>=HYPERLINK("https://main.knesset.gov.il/APPS/legislation/main/bills/2240480", "פרק ה' (גיוון שיטות העסקה במשטרת ישראל), סעיף 22 (תיקון פקודת המשטרה) מתוך הצעת חוק התוכנית הכלכלית (תיקוני חקיקה ליישום המדיניות הכלכלית לשנת התקציב 2026), התשפ""ו-2026")</f>
        <v>862</v>
      </c>
      <c r="E384" t="s">
        <v>862</v>
      </c>
      <c r="F384" t="s">
        <v>14</v>
      </c>
      <c r="G384" t="s">
        <v>49</v>
      </c>
      <c r="H384">
             </c>
      <c r="I384" t="s">
        <v>14</v>
      </c>
      <c r="J384" t="s">
        <v>99</v>
      </c>
      <c r="K384" t="s">
        <v>121</v>
      </c>
      <c r="L384" t="s">
        <v>20</v>
      </c>
      <c r="M384" t="s">
        <v>861</v>
      </c>
      <c r="N384" t="s">
        <v>14</v>
      </c>
    </row>
    <row r="385" x14ac:dyDescent="0.25">
      <c r="A385" t="n">
        <v>25</v>
      </c>
      <c r="B385" t="s">
        <v>14</v>
      </c>
      <c r="C385" t="s">
        <v>22</v>
      </c>
      <c r="D385" s="2" t="s">
        <f>=HYPERLINK("https://main.knesset.gov.il/APPS/legislation/main/bills/2200701", "הצעת חוק-יסוד: הממשלה (תיקון מס' 13)")</f>
        <v>863</v>
      </c>
      <c r="E385" t="s">
        <v>863</v>
      </c>
      <c r="F385" t="s">
        <v>864</v>
      </c>
      <c r="G385" t="s">
        <v>865</v>
      </c>
      <c r="H385">
             </c>
      <c r="I385" t="s">
        <v>14</v>
      </c>
      <c r="J385" t="s">
        <v>18</v>
      </c>
      <c r="K385" t="s">
        <v>866</v>
      </c>
      <c r="L385" t="s">
        <v>20</v>
      </c>
      <c r="M385" t="s">
        <v>861</v>
      </c>
      <c r="N385" t="s">
        <v>14</v>
      </c>
    </row>
    <row r="386" x14ac:dyDescent="0.25">
      <c r="A386" t="n">
        <v>25</v>
      </c>
      <c r="B386" t="s">
        <v>14</v>
      </c>
      <c r="C386" t="s">
        <v>22</v>
      </c>
      <c r="D386" s="2" t="s">
        <f>=HYPERLINK("https://main.knesset.gov.il/APPS/legislation/main/bills/2196772", "חוק הביטוח הלאומי (תיקון מס' 262  – הוראת שעה), התשפ""ו–2026")</f>
        <v>867</v>
      </c>
      <c r="E386" t="s">
        <v>867</v>
      </c>
      <c r="F386" t="s">
        <v>868</v>
      </c>
      <c r="G386" t="s">
        <v>869</v>
      </c>
      <c r="H386" t="n">
        <v>3501</v>
      </c>
      <c r="I386" t="s">
        <v>14</v>
      </c>
      <c r="J386" t="s">
        <v>91</v>
      </c>
      <c r="K386" t="s">
        <v>127</v>
      </c>
      <c r="L386" t="s">
        <v>20</v>
      </c>
      <c r="M386" t="s">
        <v>861</v>
      </c>
      <c r="N386" t="s">
        <v>870</v>
      </c>
    </row>
    <row r="387" x14ac:dyDescent="0.25">
      <c r="A387" t="n">
        <v>25</v>
      </c>
      <c r="B387" t="s">
        <v>14</v>
      </c>
      <c r="C387" t="s">
        <v>22</v>
      </c>
      <c r="D387" s="2" t="s">
        <f>=HYPERLINK("https://main.knesset.gov.il/APPS/legislation/main/bills/2238167", "הצעת חוק הכנסת (תיקון - בחירת יושב ראש ועדה), התשפ""ו-2026")</f>
        <v>871</v>
      </c>
      <c r="E387" t="s">
        <v>871</v>
      </c>
      <c r="F387" t="s">
        <v>872</v>
      </c>
      <c r="G387" t="s">
        <v>14</v>
      </c>
      <c r="H387">
             </c>
      <c r="I387" t="s">
        <v>14</v>
      </c>
      <c r="J387" t="s">
        <v>55</v>
      </c>
      <c r="K387" t="s">
        <v>14</v>
      </c>
      <c r="L387" t="s">
        <v>20</v>
      </c>
      <c r="M387" t="s">
        <v>861</v>
      </c>
      <c r="N387" t="s">
        <v>14</v>
      </c>
    </row>
    <row r="388" x14ac:dyDescent="0.25">
      <c r="A388" t="n">
        <v>25</v>
      </c>
      <c r="B388" t="s">
        <v>14</v>
      </c>
      <c r="C388" t="s">
        <v>22</v>
      </c>
      <c r="D388" s="2" t="s">
        <f>=HYPERLINK("https://main.knesset.gov.il/APPS/legislation/main/bills/2235555", "הצעת חוק הביטוח הלאומי (תיקון - עבודה מועדפת ביישובי קו העימות בצפון ובדרום), התשפ""ו-2025")</f>
        <v>688</v>
      </c>
      <c r="E388" t="s">
        <v>688</v>
      </c>
      <c r="F388" t="s">
        <v>873</v>
      </c>
      <c r="G388" t="s">
        <v>14</v>
      </c>
      <c r="H388">
             </c>
      <c r="I388" t="s">
        <v>14</v>
      </c>
      <c r="J388" t="s">
        <v>55</v>
      </c>
      <c r="K388" t="s">
        <v>14</v>
      </c>
      <c r="L388" t="s">
        <v>20</v>
      </c>
      <c r="M388" t="s">
        <v>861</v>
      </c>
      <c r="N388" t="s">
        <v>14</v>
      </c>
    </row>
    <row r="389" x14ac:dyDescent="0.25">
      <c r="A389" t="n">
        <v>25</v>
      </c>
      <c r="B389" t="s">
        <v>14</v>
      </c>
      <c r="C389" t="s">
        <v>22</v>
      </c>
      <c r="D389" s="2" t="s">
        <f>=HYPERLINK("https://main.knesset.gov.il/APPS/legislation/main/bills/2198937", "הצעת חוק קביעת יום לציון הטבעת הספינה אלטלנה, התשפ""ג-2023")</f>
        <v>874</v>
      </c>
      <c r="E389" t="s">
        <v>874</v>
      </c>
      <c r="F389" t="s">
        <v>875</v>
      </c>
      <c r="G389" t="s">
        <v>14</v>
      </c>
      <c r="H389">
             </c>
      <c r="I389" t="s">
        <v>14</v>
      </c>
      <c r="J389" t="s">
        <v>343</v>
      </c>
      <c r="K389" t="s">
        <v>14</v>
      </c>
      <c r="L389" t="s">
        <v>20</v>
      </c>
      <c r="M389" t="s">
        <v>861</v>
      </c>
      <c r="N389" t="s">
        <v>14</v>
      </c>
    </row>
    <row r="390" x14ac:dyDescent="0.25">
      <c r="A390" t="n">
        <v>25</v>
      </c>
      <c r="B390" t="s">
        <v>14</v>
      </c>
      <c r="C390" t="s">
        <v>22</v>
      </c>
      <c r="D390" s="2" t="s">
        <f>=HYPERLINK("https://main.knesset.gov.il/APPS/legislation/main/bills/2197535", "הצעת חוק חינוך ממלכתי (תיקון - שלילת השתתפות בתקציב עקב הפליה), התשפ""ג-2022")</f>
        <v>876</v>
      </c>
      <c r="E390" t="s">
        <v>876</v>
      </c>
      <c r="F390" t="s">
        <v>877</v>
      </c>
      <c r="G390" t="s">
        <v>14</v>
      </c>
      <c r="H390">
             </c>
      <c r="I390" t="s">
        <v>14</v>
      </c>
      <c r="J390" t="s">
        <v>55</v>
      </c>
      <c r="K390" t="s">
        <v>14</v>
      </c>
      <c r="L390" t="s">
        <v>20</v>
      </c>
      <c r="M390" t="s">
        <v>861</v>
      </c>
      <c r="N390" t="s">
        <v>14</v>
      </c>
    </row>
    <row r="391" x14ac:dyDescent="0.25">
      <c r="A391" t="n">
        <v>25</v>
      </c>
      <c r="B391" t="s">
        <v>14</v>
      </c>
      <c r="C391" t="s">
        <v>22</v>
      </c>
      <c r="D391" s="2" t="s">
        <f>=HYPERLINK("https://main.knesset.gov.il/APPS/legislation/main/bills/2197069", "הצעת חוק צער בעלי חיים (הגנה על בעלי חיים) (תיקון - איסור ביצוע פעולות השחתה וריסון בבהמות), התשפ""ג-2022")</f>
        <v>878</v>
      </c>
      <c r="E391" t="s">
        <v>878</v>
      </c>
      <c r="F391" t="s">
        <v>879</v>
      </c>
      <c r="G391" t="s">
        <v>14</v>
      </c>
      <c r="H391">
             </c>
      <c r="I391" t="s">
        <v>14</v>
      </c>
      <c r="J391" t="s">
        <v>55</v>
      </c>
      <c r="K391" t="s">
        <v>14</v>
      </c>
      <c r="L391" t="s">
        <v>20</v>
      </c>
      <c r="M391" t="s">
        <v>861</v>
      </c>
      <c r="N391" t="s">
        <v>14</v>
      </c>
    </row>
    <row r="392" x14ac:dyDescent="0.25">
      <c r="A392" t="n">
        <v>25</v>
      </c>
      <c r="B392" t="s">
        <v>14</v>
      </c>
      <c r="C392" t="s">
        <v>15</v>
      </c>
      <c r="D392" s="2" t="s">
        <f>=HYPERLINK("https://main.knesset.gov.il/APPS/legislation/main/bills/2240470", "פרק ג האצת מיזמי תשתית לאומיים (חוק לקידום תשתיות לאומיות) סעיפים 6(1), 7 (מגבלת גובה למרכז למיפוי) מתוך הצעת חוק התוכנית הכלכלית (תיקוני חקיקה ליישום המדיניות הכלכלית לשנת התקציב 2026), התשפ""ו-2026")</f>
        <v>880</v>
      </c>
      <c r="E392" t="s">
        <v>880</v>
      </c>
      <c r="F392" t="s">
        <v>14</v>
      </c>
      <c r="G392" t="s">
        <v>49</v>
      </c>
      <c r="H392">
             </c>
      <c r="I392" t="s">
        <v>14</v>
      </c>
      <c r="J392" t="s">
        <v>99</v>
      </c>
      <c r="K392" t="s">
        <v>121</v>
      </c>
      <c r="L392" t="s">
        <v>20</v>
      </c>
      <c r="M392" t="s">
        <v>881</v>
      </c>
      <c r="N392" t="s">
        <v>14</v>
      </c>
    </row>
    <row r="393" x14ac:dyDescent="0.25">
      <c r="A393" t="n">
        <v>25</v>
      </c>
      <c r="B393" t="s">
        <v>14</v>
      </c>
      <c r="C393" t="s">
        <v>15</v>
      </c>
      <c r="D393" s="2" t="s">
        <f>=HYPERLINK("https://main.knesset.gov.il/APPS/legislation/main/bills/2240504", "פרק ה' (גיוון שיטות העסקה במשטרת ישראל), סעיפים 23, 24 (חוק שירות המדינה (גמלאות)) מתוך הצעת חוק התוכנית הכלכלית (תיקוני חקיקה ליישום המדיניות הכלכלית לשנת התקציב 2026), התשפ""ו-2026 [פוצלה לפי סעיף 84(ב) לתקנון]")</f>
        <v>882</v>
      </c>
      <c r="E393" t="s">
        <v>882</v>
      </c>
      <c r="F393" t="s">
        <v>14</v>
      </c>
      <c r="G393" t="s">
        <v>49</v>
      </c>
      <c r="H393">
             </c>
      <c r="I393" t="s">
        <v>14</v>
      </c>
      <c r="J393" t="s">
        <v>99</v>
      </c>
      <c r="K393" t="s">
        <v>105</v>
      </c>
      <c r="L393" t="s">
        <v>20</v>
      </c>
      <c r="M393" t="s">
        <v>881</v>
      </c>
      <c r="N393" t="s">
        <v>14</v>
      </c>
    </row>
    <row r="394" x14ac:dyDescent="0.25">
      <c r="A394" t="n">
        <v>25</v>
      </c>
      <c r="B394" t="s">
        <v>14</v>
      </c>
      <c r="C394" t="s">
        <v>22</v>
      </c>
      <c r="D394" s="2" t="s">
        <f>=HYPERLINK("https://main.knesset.gov.il/APPS/legislation/main/bills/2239258", "הצעת חוק תגמול למשרתים בשירות צבאי או אזרחי באקדמיה, התשפ""ה-2024")</f>
        <v>883</v>
      </c>
      <c r="E394" t="s">
        <v>883</v>
      </c>
      <c r="F394" t="s">
        <v>884</v>
      </c>
      <c r="G394" t="s">
        <v>14</v>
      </c>
      <c r="H394">
             </c>
      <c r="I394" t="s">
        <v>14</v>
      </c>
      <c r="J394" t="s">
        <v>31</v>
      </c>
      <c r="K394" t="s">
        <v>34</v>
      </c>
      <c r="L394" t="s">
        <v>20</v>
      </c>
      <c r="M394" t="s">
        <v>881</v>
      </c>
      <c r="N394" t="s">
        <v>14</v>
      </c>
    </row>
    <row r="395" x14ac:dyDescent="0.25">
      <c r="A395" t="n">
        <v>25</v>
      </c>
      <c r="B395" t="s">
        <v>14</v>
      </c>
      <c r="C395" t="s">
        <v>22</v>
      </c>
      <c r="D395" s="2" t="s">
        <f>=HYPERLINK("https://main.knesset.gov.il/APPS/legislation/main/bills/2223637", "הצעת חוק עידוד שירות צבאי, לאומי או לאומי-אזרחי במוסדות להשכלה גבוהה, התשפ""ה-2024")</f>
        <v>885</v>
      </c>
      <c r="E395" t="s">
        <v>885</v>
      </c>
      <c r="F395" t="s">
        <v>886</v>
      </c>
      <c r="G395" t="s">
        <v>14</v>
      </c>
      <c r="H395">
             </c>
      <c r="I395" t="s">
        <v>14</v>
      </c>
      <c r="J395" t="s">
        <v>99</v>
      </c>
      <c r="K395" t="s">
        <v>34</v>
      </c>
      <c r="L395" t="s">
        <v>20</v>
      </c>
      <c r="M395" t="s">
        <v>881</v>
      </c>
      <c r="N395" t="s">
        <v>14</v>
      </c>
    </row>
    <row r="396" x14ac:dyDescent="0.25">
      <c r="A396" t="n">
        <v>25</v>
      </c>
      <c r="B396" t="s">
        <v>14</v>
      </c>
      <c r="C396" t="s">
        <v>22</v>
      </c>
      <c r="D396" s="2" t="s">
        <f>=HYPERLINK("https://main.knesset.gov.il/APPS/legislation/main/bills/2197160", "הצעת חוק זכויות הסטודנט (תיקון - העדפה מתקנת ללוחמים), התשפ""ג-2022")</f>
        <v>887</v>
      </c>
      <c r="E396" t="s">
        <v>887</v>
      </c>
      <c r="F396" t="s">
        <v>888</v>
      </c>
      <c r="G396" t="s">
        <v>14</v>
      </c>
      <c r="H396">
             </c>
      <c r="I396" t="s">
        <v>14</v>
      </c>
      <c r="J396" t="s">
        <v>99</v>
      </c>
      <c r="K396" t="s">
        <v>34</v>
      </c>
      <c r="L396" t="s">
        <v>20</v>
      </c>
      <c r="M396" t="s">
        <v>881</v>
      </c>
      <c r="N396" t="s">
        <v>14</v>
      </c>
    </row>
    <row r="397" x14ac:dyDescent="0.25">
      <c r="A397" t="n">
        <v>25</v>
      </c>
      <c r="B397" t="s">
        <v>14</v>
      </c>
      <c r="C397" t="s">
        <v>15</v>
      </c>
      <c r="D397" s="2" t="s">
        <f>=HYPERLINK("https://main.knesset.gov.il/APPS/legislation/main/bills/2240469", "פרק ב' ייעול הליכי התכנון והבנייה (חוק התכנון והבנייה) סעיף 2(16)(א) (תכנית טעונה אישור ולחו""ף) מתוך הצעת חוק התוכנית הכלכלית (תיקוני חקיקה ליישום המדיניות הכלכלית לשנת התקציב 2026), התשפ""ו-2026")</f>
        <v>889</v>
      </c>
      <c r="E397" t="s">
        <v>889</v>
      </c>
      <c r="F397" t="s">
        <v>14</v>
      </c>
      <c r="G397" t="s">
        <v>49</v>
      </c>
      <c r="H397">
             </c>
      <c r="I397" t="s">
        <v>14</v>
      </c>
      <c r="J397" t="s">
        <v>99</v>
      </c>
      <c r="K397" t="s">
        <v>121</v>
      </c>
      <c r="L397" t="s">
        <v>20</v>
      </c>
      <c r="M397" t="s">
        <v>881</v>
      </c>
      <c r="N397" t="s">
        <v>14</v>
      </c>
    </row>
    <row r="398" x14ac:dyDescent="0.25">
      <c r="A398" t="n">
        <v>25</v>
      </c>
      <c r="B398" t="s">
        <v>14</v>
      </c>
      <c r="C398" t="s">
        <v>22</v>
      </c>
      <c r="D398" s="2" t="s">
        <f>=HYPERLINK("https://main.knesset.gov.il/APPS/legislation/main/bills/2231205", "הצעת חוק לתיקון פקודת התעבורה (שירותי תחבורה שיתופית מקוונת), התשפ""ה-2025")</f>
        <v>890</v>
      </c>
      <c r="E398" t="s">
        <v>890</v>
      </c>
      <c r="F398" t="s">
        <v>891</v>
      </c>
      <c r="G398" t="s">
        <v>14</v>
      </c>
      <c r="H398">
             </c>
      <c r="I398" t="s">
        <v>14</v>
      </c>
      <c r="J398" t="s">
        <v>99</v>
      </c>
      <c r="K398" t="s">
        <v>19</v>
      </c>
      <c r="L398" t="s">
        <v>20</v>
      </c>
      <c r="M398" t="s">
        <v>881</v>
      </c>
      <c r="N398" t="s">
        <v>14</v>
      </c>
    </row>
    <row r="399" x14ac:dyDescent="0.25">
      <c r="A399" t="n">
        <v>25</v>
      </c>
      <c r="B399" t="s">
        <v>14</v>
      </c>
      <c r="C399" t="s">
        <v>15</v>
      </c>
      <c r="D399" s="2" t="s">
        <f>=HYPERLINK("https://main.knesset.gov.il/APPS/legislation/main/bills/2240473", "פרק ג' האצת מיזמי תשתית לאומיים (חוק התכנון והבנייה) סעיף 17(2), (3) (תכנית השינוי) מתוך הצעת חוק התוכנית הכלכלית (תיקוני חקיקה ליישום המדיניות הכלכלית לשנת התקציב 2026), התשפ""ו-2026")</f>
        <v>892</v>
      </c>
      <c r="E399" t="s">
        <v>892</v>
      </c>
      <c r="F399" t="s">
        <v>14</v>
      </c>
      <c r="G399" t="s">
        <v>49</v>
      </c>
      <c r="H399">
             </c>
      <c r="I399" t="s">
        <v>14</v>
      </c>
      <c r="J399" t="s">
        <v>99</v>
      </c>
      <c r="K399" t="s">
        <v>121</v>
      </c>
      <c r="L399" t="s">
        <v>20</v>
      </c>
      <c r="M399" t="s">
        <v>881</v>
      </c>
      <c r="N399" t="s">
        <v>14</v>
      </c>
    </row>
    <row r="400" x14ac:dyDescent="0.25">
      <c r="A400" t="n">
        <v>25</v>
      </c>
      <c r="B400" t="s">
        <v>14</v>
      </c>
      <c r="C400" t="s">
        <v>15</v>
      </c>
      <c r="D400" s="2" t="s">
        <f>=HYPERLINK("https://main.knesset.gov.il/APPS/legislation/main/bills/2240474", "פרק ג' האצת מיזמי תשתית לאומיים (חוק התכנון והבנייה) סעיף 17(6) (הקלה למבנה דרך) מתוך הצעת חוק התוכנית הכלכלית (תיקוני חקיקה ליישום המדיניות הכלכלית לשנת התקציב 2026), התשפ""ו-2026")</f>
        <v>893</v>
      </c>
      <c r="E400" t="s">
        <v>893</v>
      </c>
      <c r="F400" t="s">
        <v>14</v>
      </c>
      <c r="G400" t="s">
        <v>49</v>
      </c>
      <c r="H400">
             </c>
      <c r="I400" t="s">
        <v>14</v>
      </c>
      <c r="J400" t="s">
        <v>99</v>
      </c>
      <c r="K400" t="s">
        <v>121</v>
      </c>
      <c r="L400" t="s">
        <v>20</v>
      </c>
      <c r="M400" t="s">
        <v>881</v>
      </c>
      <c r="N400" t="s">
        <v>14</v>
      </c>
    </row>
    <row r="401" x14ac:dyDescent="0.25">
      <c r="A401" t="n">
        <v>25</v>
      </c>
      <c r="B401" t="s">
        <v>14</v>
      </c>
      <c r="C401" t="s">
        <v>22</v>
      </c>
      <c r="D401" s="2" t="s">
        <f>=HYPERLINK("https://main.knesset.gov.il/APPS/legislation/main/bills/2228513", "הצעת חוק אומנה לילדים (תיקון מס' 8) (הסרת מגבלת הגיל המרבי לאומן), התשפ""ו–2026")</f>
        <v>894</v>
      </c>
      <c r="E401" t="s">
        <v>894</v>
      </c>
      <c r="F401" t="s">
        <v>895</v>
      </c>
      <c r="G401" t="s">
        <v>896</v>
      </c>
      <c r="H401">
             </c>
      <c r="I401" t="s">
        <v>26</v>
      </c>
      <c r="J401" t="s">
        <v>18</v>
      </c>
      <c r="K401" t="s">
        <v>127</v>
      </c>
      <c r="L401" t="s">
        <v>20</v>
      </c>
      <c r="M401" t="s">
        <v>881</v>
      </c>
      <c r="N401" t="s">
        <v>14</v>
      </c>
    </row>
    <row r="402" x14ac:dyDescent="0.25">
      <c r="A402" t="n">
        <v>25</v>
      </c>
      <c r="B402" t="s">
        <v>14</v>
      </c>
      <c r="C402" t="s">
        <v>15</v>
      </c>
      <c r="D402" s="2" t="s">
        <f>=HYPERLINK("https://main.knesset.gov.il/APPS/legislation/main/bills/2240472", "פרק ג' האצת מיזמי תשתית לאומיים  סעיפים 11, 13(2) מתוך הצעת חוק התוכנית הכלכלית (תיקוני חקיקה ליישום המדיניות הכלכלית לשנת התקציב 2026), התשפ""ו-2026 (חוק רכבת תחתית (מטרו), חוק בתי משפט מינהליים)")</f>
        <v>897</v>
      </c>
      <c r="E402" t="s">
        <v>897</v>
      </c>
      <c r="F402" t="s">
        <v>14</v>
      </c>
      <c r="G402" t="s">
        <v>49</v>
      </c>
      <c r="H402">
             </c>
      <c r="I402" t="s">
        <v>14</v>
      </c>
      <c r="J402" t="s">
        <v>99</v>
      </c>
      <c r="K402" t="s">
        <v>121</v>
      </c>
      <c r="L402" t="s">
        <v>20</v>
      </c>
      <c r="M402" t="s">
        <v>898</v>
      </c>
      <c r="N402" t="s">
        <v>14</v>
      </c>
    </row>
    <row r="403" x14ac:dyDescent="0.25">
      <c r="A403" t="n">
        <v>25</v>
      </c>
      <c r="B403" t="s">
        <v>14</v>
      </c>
      <c r="C403" t="s">
        <v>15</v>
      </c>
      <c r="D403" s="2" t="s">
        <f>=HYPERLINK("https://main.knesset.gov.il/APPS/legislation/main/bills/2240471", "פרק ג' האצת מיזמי תשתיות לאומיים (חוק לקידום תשתיות לאומיות) סעיף 6(3) (הטמנת פסולת) מתוך הצעת חוק התוכנית הכלכלית (תיקוני חקיקה ליישום המדיניות הכלכלית לשנת התקציב 2026), התשפ""ו-2026")</f>
        <v>899</v>
      </c>
      <c r="E403" t="s">
        <v>899</v>
      </c>
      <c r="F403" t="s">
        <v>14</v>
      </c>
      <c r="G403" t="s">
        <v>49</v>
      </c>
      <c r="H403">
             </c>
      <c r="I403" t="s">
        <v>14</v>
      </c>
      <c r="J403" t="s">
        <v>99</v>
      </c>
      <c r="K403" t="s">
        <v>121</v>
      </c>
      <c r="L403" t="s">
        <v>20</v>
      </c>
      <c r="M403" t="s">
        <v>898</v>
      </c>
      <c r="N403" t="s">
        <v>14</v>
      </c>
    </row>
    <row r="404" x14ac:dyDescent="0.25">
      <c r="A404" t="n">
        <v>25</v>
      </c>
      <c r="B404" t="s">
        <v>14</v>
      </c>
      <c r="C404" t="s">
        <v>15</v>
      </c>
      <c r="D404" s="2" t="s">
        <f>=HYPERLINK("https://main.knesset.gov.il/APPS/legislation/main/bills/2240479", "פרק י""ט (שונות), סעיף 99 (חוק המים) מתוך הצעת חוק התוכנית הכלכלית (תיקוני חקיקה ליישום המדיניות הכלכלית לשנת התקציב 2026), התשפ""ו-2026")</f>
        <v>900</v>
      </c>
      <c r="E404" t="s">
        <v>900</v>
      </c>
      <c r="F404" t="s">
        <v>14</v>
      </c>
      <c r="G404" t="s">
        <v>49</v>
      </c>
      <c r="H404">
             </c>
      <c r="I404" t="s">
        <v>14</v>
      </c>
      <c r="J404" t="s">
        <v>99</v>
      </c>
      <c r="K404" t="s">
        <v>121</v>
      </c>
      <c r="L404" t="s">
        <v>20</v>
      </c>
      <c r="M404" t="s">
        <v>898</v>
      </c>
      <c r="N404" t="s">
        <v>14</v>
      </c>
    </row>
    <row r="405" x14ac:dyDescent="0.25">
      <c r="A405" t="n">
        <v>25</v>
      </c>
      <c r="B405" t="s">
        <v>14</v>
      </c>
      <c r="C405" t="s">
        <v>15</v>
      </c>
      <c r="D405" s="2" t="s">
        <f>=HYPERLINK("https://main.knesset.gov.il/APPS/legislation/main/bills/2240476", "סעיף 9 (פקודת מסילות הברזל) מתוך הצעת חוק התוכנית הכלכלית (תיקוני חקיקה ליישום המדיניות הכלכלית לשנת התקציב 2026), התשפ""ו-2026")</f>
        <v>901</v>
      </c>
      <c r="E405" t="s">
        <v>901</v>
      </c>
      <c r="F405" t="s">
        <v>14</v>
      </c>
      <c r="G405" t="s">
        <v>49</v>
      </c>
      <c r="H405">
             </c>
      <c r="I405" t="s">
        <v>14</v>
      </c>
      <c r="J405" t="s">
        <v>99</v>
      </c>
      <c r="K405" t="s">
        <v>121</v>
      </c>
      <c r="L405" t="s">
        <v>20</v>
      </c>
      <c r="M405" t="s">
        <v>898</v>
      </c>
      <c r="N405" t="s">
        <v>14</v>
      </c>
    </row>
    <row r="406" x14ac:dyDescent="0.25">
      <c r="A406" t="n">
        <v>25</v>
      </c>
      <c r="B406" t="s">
        <v>14</v>
      </c>
      <c r="C406" t="s">
        <v>22</v>
      </c>
      <c r="D406" s="2" t="s">
        <f>=HYPERLINK("https://main.knesset.gov.il/APPS/legislation/main/bills/2206819", "חוק המידע הפלילי ותקנת השבים (תיקון מס' 10), התשפ""ו–2026")</f>
        <v>902</v>
      </c>
      <c r="E406" t="s">
        <v>902</v>
      </c>
      <c r="F406" t="s">
        <v>903</v>
      </c>
      <c r="G406" t="s">
        <v>904</v>
      </c>
      <c r="H406" t="n">
        <v>3499</v>
      </c>
      <c r="I406" t="s">
        <v>14</v>
      </c>
      <c r="J406" t="s">
        <v>91</v>
      </c>
      <c r="K406" t="s">
        <v>27</v>
      </c>
      <c r="L406" t="s">
        <v>20</v>
      </c>
      <c r="M406" t="s">
        <v>898</v>
      </c>
      <c r="N406" t="s">
        <v>14</v>
      </c>
    </row>
    <row r="407" x14ac:dyDescent="0.25">
      <c r="A407" t="n">
        <v>25</v>
      </c>
      <c r="B407" t="s">
        <v>14</v>
      </c>
      <c r="C407" t="s">
        <v>22</v>
      </c>
      <c r="D407" s="2" t="s">
        <f>=HYPERLINK("https://main.knesset.gov.il/APPS/legislation/main/bills/2203206", "הצעת חוק לתיקון פקודת בריאות העם (הוספת מכשור רפואי לפריפריה), התשפ""ו-2026")</f>
        <v>905</v>
      </c>
      <c r="E407" t="s">
        <v>905</v>
      </c>
      <c r="F407" t="s">
        <v>906</v>
      </c>
      <c r="G407" t="s">
        <v>14</v>
      </c>
      <c r="H407">
             </c>
      <c r="I407" t="s">
        <v>14</v>
      </c>
      <c r="J407" t="s">
        <v>141</v>
      </c>
      <c r="K407" t="s">
        <v>14</v>
      </c>
      <c r="L407" t="s">
        <v>20</v>
      </c>
      <c r="M407" t="s">
        <v>898</v>
      </c>
      <c r="N407" t="s">
        <v>14</v>
      </c>
    </row>
    <row r="408" x14ac:dyDescent="0.25">
      <c r="A408" t="n">
        <v>25</v>
      </c>
      <c r="B408" t="s">
        <v>14</v>
      </c>
      <c r="C408" t="s">
        <v>22</v>
      </c>
      <c r="D408" s="2" t="s">
        <f>=HYPERLINK("https://main.knesset.gov.il/APPS/legislation/main/bills/2236954", "הצעת חוק למניעת הפצת תוכן פוגעני ברשת החברתית, התשפ״ו-2026")</f>
        <v>907</v>
      </c>
      <c r="E408" t="s">
        <v>907</v>
      </c>
      <c r="F408" t="s">
        <v>908</v>
      </c>
      <c r="G408" t="s">
        <v>14</v>
      </c>
      <c r="H408">
             </c>
      <c r="I408" t="s">
        <v>14</v>
      </c>
      <c r="J408" t="s">
        <v>141</v>
      </c>
      <c r="K408" t="s">
        <v>14</v>
      </c>
      <c r="L408" t="s">
        <v>20</v>
      </c>
      <c r="M408" t="s">
        <v>898</v>
      </c>
      <c r="N408" t="s">
        <v>14</v>
      </c>
    </row>
    <row r="409" x14ac:dyDescent="0.25">
      <c r="A409" t="n">
        <v>25</v>
      </c>
      <c r="B409" t="s">
        <v>14</v>
      </c>
      <c r="C409" t="s">
        <v>22</v>
      </c>
      <c r="D409" s="2" t="s">
        <f>=HYPERLINK("https://main.knesset.gov.il/APPS/legislation/main/bills/2240180", "הצעת חוק-יסוד: השפיטה (תיקון - מניעת התערבות בית המשפט בסמכות החקיקה של הכנסת)")</f>
        <v>909</v>
      </c>
      <c r="E409" t="s">
        <v>909</v>
      </c>
      <c r="F409" t="s">
        <v>910</v>
      </c>
      <c r="G409" t="s">
        <v>14</v>
      </c>
      <c r="H409">
             </c>
      <c r="I409" t="s">
        <v>14</v>
      </c>
      <c r="J409" t="s">
        <v>141</v>
      </c>
      <c r="K409" t="s">
        <v>14</v>
      </c>
      <c r="L409" t="s">
        <v>20</v>
      </c>
      <c r="M409" t="s">
        <v>898</v>
      </c>
      <c r="N409" t="s">
        <v>14</v>
      </c>
    </row>
    <row r="410" x14ac:dyDescent="0.25">
      <c r="A410" t="n">
        <v>25</v>
      </c>
      <c r="B410" t="s">
        <v>14</v>
      </c>
      <c r="C410" t="s">
        <v>22</v>
      </c>
      <c r="D410" s="2" t="s">
        <f>=HYPERLINK("https://main.knesset.gov.il/APPS/legislation/main/bills/2240254", "הצעת חוק ביטוח בריאות ממלכתי (תיקון - הגדרת שנת היעדרות לגבי לימודים אקדמיים בחו""ל), התשפ""ו-2026")</f>
        <v>911</v>
      </c>
      <c r="E410" t="s">
        <v>911</v>
      </c>
      <c r="F410" t="s">
        <v>912</v>
      </c>
      <c r="G410" t="s">
        <v>14</v>
      </c>
      <c r="H410">
             </c>
      <c r="I410" t="s">
        <v>14</v>
      </c>
      <c r="J410" t="s">
        <v>343</v>
      </c>
      <c r="K410" t="s">
        <v>14</v>
      </c>
      <c r="L410" t="s">
        <v>20</v>
      </c>
      <c r="M410" t="s">
        <v>898</v>
      </c>
      <c r="N410" t="s">
        <v>14</v>
      </c>
    </row>
    <row r="411" x14ac:dyDescent="0.25">
      <c r="A411" t="n">
        <v>25</v>
      </c>
      <c r="B411" t="s">
        <v>14</v>
      </c>
      <c r="C411" t="s">
        <v>22</v>
      </c>
      <c r="D411" s="2" t="s">
        <f>=HYPERLINK("https://main.knesset.gov.il/APPS/legislation/main/bills/2240659", "הצעת חוק-יסוד: הכנסת (תיקון - הצהרת אמונים בפני מליאת הכנסת ועיצומים נגד מי שלא הצהיר)")</f>
        <v>913</v>
      </c>
      <c r="E411" t="s">
        <v>913</v>
      </c>
      <c r="F411" t="s">
        <v>914</v>
      </c>
      <c r="G411" t="s">
        <v>14</v>
      </c>
      <c r="H411">
             </c>
      <c r="I411" t="s">
        <v>14</v>
      </c>
      <c r="J411" t="s">
        <v>141</v>
      </c>
      <c r="K411" t="s">
        <v>14</v>
      </c>
      <c r="L411" t="s">
        <v>20</v>
      </c>
      <c r="M411" t="s">
        <v>898</v>
      </c>
      <c r="N411" t="s">
        <v>14</v>
      </c>
    </row>
    <row r="412" x14ac:dyDescent="0.25">
      <c r="A412" t="n">
        <v>25</v>
      </c>
      <c r="B412" t="s">
        <v>14</v>
      </c>
      <c r="C412" t="s">
        <v>22</v>
      </c>
      <c r="D412" s="2" t="s">
        <f>=HYPERLINK("https://main.knesset.gov.il/APPS/legislation/main/bills/2240242", "הצעת חוק שירות המדינה (מינויים) (תיקון - ייצוג הולם למשרתים בשירות צבאי), התשפ""ו-2026")</f>
        <v>915</v>
      </c>
      <c r="E412" t="s">
        <v>915</v>
      </c>
      <c r="F412" t="s">
        <v>916</v>
      </c>
      <c r="G412" t="s">
        <v>14</v>
      </c>
      <c r="H412">
             </c>
      <c r="I412" t="s">
        <v>14</v>
      </c>
      <c r="J412" t="s">
        <v>141</v>
      </c>
      <c r="K412" t="s">
        <v>14</v>
      </c>
      <c r="L412" t="s">
        <v>20</v>
      </c>
      <c r="M412" t="s">
        <v>898</v>
      </c>
      <c r="N412" t="s">
        <v>14</v>
      </c>
    </row>
    <row r="413" x14ac:dyDescent="0.25">
      <c r="A413" t="n">
        <v>25</v>
      </c>
      <c r="B413" t="s">
        <v>14</v>
      </c>
      <c r="C413" t="s">
        <v>22</v>
      </c>
      <c r="D413" s="2" t="s">
        <f>=HYPERLINK("https://main.knesset.gov.il/APPS/legislation/main/bills/2237897", "הצעת חוק אסדרת משק הפסולת בישראל והקמת הרשות הארצית לטיפול בפסולת, התשפ""ו-2025")</f>
        <v>917</v>
      </c>
      <c r="E413" t="s">
        <v>917</v>
      </c>
      <c r="F413" t="s">
        <v>918</v>
      </c>
      <c r="G413" t="s">
        <v>14</v>
      </c>
      <c r="H413">
             </c>
      <c r="I413" t="s">
        <v>14</v>
      </c>
      <c r="J413" t="s">
        <v>141</v>
      </c>
      <c r="K413" t="s">
        <v>14</v>
      </c>
      <c r="L413" t="s">
        <v>20</v>
      </c>
      <c r="M413" t="s">
        <v>898</v>
      </c>
      <c r="N413" t="s">
        <v>14</v>
      </c>
    </row>
    <row r="414" x14ac:dyDescent="0.25">
      <c r="A414" t="n">
        <v>25</v>
      </c>
      <c r="B414" t="s">
        <v>14</v>
      </c>
      <c r="C414" t="s">
        <v>22</v>
      </c>
      <c r="D414" s="2" t="s">
        <f>=HYPERLINK("https://main.knesset.gov.il/APPS/legislation/main/bills/2239201", "הצעת חוק לתיקון פקודת בריאות העם (עדכון על זכאות אפשרית לגמלה), התשפ""ו-2026")</f>
        <v>919</v>
      </c>
      <c r="E414" t="s">
        <v>919</v>
      </c>
      <c r="F414" t="s">
        <v>920</v>
      </c>
      <c r="G414" t="s">
        <v>14</v>
      </c>
      <c r="H414">
             </c>
      <c r="I414" t="s">
        <v>14</v>
      </c>
      <c r="J414" t="s">
        <v>141</v>
      </c>
      <c r="K414" t="s">
        <v>14</v>
      </c>
      <c r="L414" t="s">
        <v>20</v>
      </c>
      <c r="M414" t="s">
        <v>898</v>
      </c>
      <c r="N414" t="s">
        <v>14</v>
      </c>
    </row>
    <row r="415" x14ac:dyDescent="0.25">
      <c r="A415" t="n">
        <v>25</v>
      </c>
      <c r="B415" t="s">
        <v>14</v>
      </c>
      <c r="C415" t="s">
        <v>22</v>
      </c>
      <c r="D415" s="2" t="s">
        <f>=HYPERLINK("https://main.knesset.gov.il/APPS/legislation/main/bills/2240954", "הצעת חוק אומנה לילדים (תיקון - מתן הסכמה לטיפול פסיכיאטרי), התשפ""ו-2026")</f>
        <v>921</v>
      </c>
      <c r="E415" t="s">
        <v>921</v>
      </c>
      <c r="F415" t="s">
        <v>922</v>
      </c>
      <c r="G415" t="s">
        <v>14</v>
      </c>
      <c r="H415">
             </c>
      <c r="I415" t="s">
        <v>14</v>
      </c>
      <c r="J415" t="s">
        <v>141</v>
      </c>
      <c r="K415" t="s">
        <v>14</v>
      </c>
      <c r="L415" t="s">
        <v>20</v>
      </c>
      <c r="M415" t="s">
        <v>898</v>
      </c>
      <c r="N415" t="s">
        <v>14</v>
      </c>
    </row>
    <row r="416" x14ac:dyDescent="0.25">
      <c r="A416" t="n">
        <v>25</v>
      </c>
      <c r="B416" t="s">
        <v>14</v>
      </c>
      <c r="C416" t="s">
        <v>22</v>
      </c>
      <c r="D416" s="2" t="s">
        <f>=HYPERLINK("https://main.knesset.gov.il/APPS/legislation/main/bills/2240063", "הצעת חוק הפסקת היריון, התשפ""ו-2026")</f>
        <v>923</v>
      </c>
      <c r="E416" t="s">
        <v>923</v>
      </c>
      <c r="F416" t="s">
        <v>924</v>
      </c>
      <c r="G416" t="s">
        <v>14</v>
      </c>
      <c r="H416">
             </c>
      <c r="I416" t="s">
        <v>14</v>
      </c>
      <c r="J416" t="s">
        <v>141</v>
      </c>
      <c r="K416" t="s">
        <v>14</v>
      </c>
      <c r="L416" t="s">
        <v>20</v>
      </c>
      <c r="M416" t="s">
        <v>898</v>
      </c>
      <c r="N416" t="s">
        <v>14</v>
      </c>
    </row>
    <row r="417" x14ac:dyDescent="0.25">
      <c r="A417" t="n">
        <v>25</v>
      </c>
      <c r="B417" t="s">
        <v>14</v>
      </c>
      <c r="C417" t="s">
        <v>22</v>
      </c>
      <c r="D417" s="2" t="s">
        <f>=HYPERLINK("https://main.knesset.gov.il/APPS/legislation/main/bills/2240890", "הצעת חוק לטיפול סביבתי בציוד חשמלי ואלקטרוני ובסוללות (תיקון - חובת מיחזור פסולת רכב חשמלי ורכב היברידי), התשפ""ו-2026")</f>
        <v>925</v>
      </c>
      <c r="E417" t="s">
        <v>925</v>
      </c>
      <c r="F417" t="s">
        <v>926</v>
      </c>
      <c r="G417" t="s">
        <v>14</v>
      </c>
      <c r="H417">
             </c>
      <c r="I417" t="s">
        <v>14</v>
      </c>
      <c r="J417" t="s">
        <v>141</v>
      </c>
      <c r="K417" t="s">
        <v>14</v>
      </c>
      <c r="L417" t="s">
        <v>20</v>
      </c>
      <c r="M417" t="s">
        <v>898</v>
      </c>
      <c r="N417" t="s">
        <v>14</v>
      </c>
    </row>
    <row r="418" x14ac:dyDescent="0.25">
      <c r="A418" t="n">
        <v>25</v>
      </c>
      <c r="B418" t="s">
        <v>14</v>
      </c>
      <c r="C418" t="s">
        <v>22</v>
      </c>
      <c r="D418" s="2" t="s">
        <f>=HYPERLINK("https://main.knesset.gov.il/APPS/legislation/main/bills/2240916", "הצעת חוק הפסקת כהונה של נושאי משרה בכירים בתקופת הכהונה הראשונית של ממשלה חדשה, התשפ""ו-2026")</f>
        <v>927</v>
      </c>
      <c r="E418" t="s">
        <v>927</v>
      </c>
      <c r="F418" t="s">
        <v>928</v>
      </c>
      <c r="G418" t="s">
        <v>14</v>
      </c>
      <c r="H418">
             </c>
      <c r="I418" t="s">
        <v>14</v>
      </c>
      <c r="J418" t="s">
        <v>141</v>
      </c>
      <c r="K418" t="s">
        <v>14</v>
      </c>
      <c r="L418" t="s">
        <v>20</v>
      </c>
      <c r="M418" t="s">
        <v>898</v>
      </c>
      <c r="N418" t="s">
        <v>14</v>
      </c>
    </row>
    <row r="419" x14ac:dyDescent="0.25">
      <c r="A419" t="n">
        <v>25</v>
      </c>
      <c r="B419" t="s">
        <v>14</v>
      </c>
      <c r="C419" t="s">
        <v>22</v>
      </c>
      <c r="D419" s="2" t="s">
        <f>=HYPERLINK("https://main.knesset.gov.il/APPS/legislation/main/bills/2240953", "הצעת חוק זכויות נפגעי עבירה (תיקון - הוספת סרסור והבאת אדם לידי זנות להגדרת עבירת מין או אלימות), התשפ""ו-2026")</f>
        <v>929</v>
      </c>
      <c r="E419" t="s">
        <v>929</v>
      </c>
      <c r="F419" t="s">
        <v>930</v>
      </c>
      <c r="G419" t="s">
        <v>14</v>
      </c>
      <c r="H419">
             </c>
      <c r="I419" t="s">
        <v>14</v>
      </c>
      <c r="J419" t="s">
        <v>141</v>
      </c>
      <c r="K419" t="s">
        <v>14</v>
      </c>
      <c r="L419" t="s">
        <v>20</v>
      </c>
      <c r="M419" t="s">
        <v>898</v>
      </c>
      <c r="N419" t="s">
        <v>14</v>
      </c>
    </row>
    <row r="420" x14ac:dyDescent="0.25">
      <c r="A420" t="n">
        <v>25</v>
      </c>
      <c r="B420" t="s">
        <v>14</v>
      </c>
      <c r="C420" t="s">
        <v>22</v>
      </c>
      <c r="D420" s="2" t="s">
        <f>=HYPERLINK("https://main.knesset.gov.il/APPS/legislation/main/bills/2238645", "הצעת חוק הביטוח הלאומי (תיקון - מענק מוגדל לעבודה מועדפת בחקלאות ובתיירות בקו העימות הצפוני) (הוראת שעה), התשפ""ו-2026")</f>
        <v>931</v>
      </c>
      <c r="E420" t="s">
        <v>931</v>
      </c>
      <c r="F420" t="s">
        <v>932</v>
      </c>
      <c r="G420" t="s">
        <v>14</v>
      </c>
      <c r="H420">
             </c>
      <c r="I420" t="s">
        <v>14</v>
      </c>
      <c r="J420" t="s">
        <v>141</v>
      </c>
      <c r="K420" t="s">
        <v>14</v>
      </c>
      <c r="L420" t="s">
        <v>20</v>
      </c>
      <c r="M420" t="s">
        <v>898</v>
      </c>
      <c r="N420" t="s">
        <v>14</v>
      </c>
    </row>
    <row r="421" x14ac:dyDescent="0.25">
      <c r="A421" t="n">
        <v>25</v>
      </c>
      <c r="B421" t="s">
        <v>14</v>
      </c>
      <c r="C421" t="s">
        <v>22</v>
      </c>
      <c r="D421" s="2" t="s">
        <f>=HYPERLINK("https://main.knesset.gov.il/APPS/legislation/main/bills/2230568", "הצעת חוק להנצחת זכרו של רבי נחמן מברסלב, התשפ""ו-2026")</f>
        <v>933</v>
      </c>
      <c r="E421" t="s">
        <v>933</v>
      </c>
      <c r="F421" t="s">
        <v>934</v>
      </c>
      <c r="G421" t="s">
        <v>14</v>
      </c>
      <c r="H421">
             </c>
      <c r="I421" t="s">
        <v>14</v>
      </c>
      <c r="J421" t="s">
        <v>343</v>
      </c>
      <c r="K421" t="s">
        <v>14</v>
      </c>
      <c r="L421" t="s">
        <v>20</v>
      </c>
      <c r="M421" t="s">
        <v>898</v>
      </c>
      <c r="N421" t="s">
        <v>14</v>
      </c>
    </row>
    <row r="422" x14ac:dyDescent="0.25">
      <c r="A422" t="n">
        <v>25</v>
      </c>
      <c r="B422" t="s">
        <v>14</v>
      </c>
      <c r="C422" t="s">
        <v>22</v>
      </c>
      <c r="D422" s="2" t="s">
        <f>=HYPERLINK("https://main.knesset.gov.il/APPS/legislation/main/bills/2239791", "הצעת חוק לתיקון פקודת המשטרה (מערכת דיווח מאובטחת לקבלת מידע על מחזיקי אמצעי לחימה בלתי חוקיים), התשפ""ו-2026")</f>
        <v>935</v>
      </c>
      <c r="E422" t="s">
        <v>935</v>
      </c>
      <c r="F422" t="s">
        <v>936</v>
      </c>
      <c r="G422" t="s">
        <v>14</v>
      </c>
      <c r="H422">
             </c>
      <c r="I422" t="s">
        <v>14</v>
      </c>
      <c r="J422" t="s">
        <v>141</v>
      </c>
      <c r="K422" t="s">
        <v>14</v>
      </c>
      <c r="L422" t="s">
        <v>20</v>
      </c>
      <c r="M422" t="s">
        <v>898</v>
      </c>
      <c r="N422" t="s">
        <v>14</v>
      </c>
    </row>
    <row r="423" x14ac:dyDescent="0.25">
      <c r="A423" t="n">
        <v>25</v>
      </c>
      <c r="B423" t="s">
        <v>14</v>
      </c>
      <c r="C423" t="s">
        <v>22</v>
      </c>
      <c r="D423" s="2" t="s">
        <f>=HYPERLINK("https://main.knesset.gov.il/APPS/legislation/main/bills/2239497", "הצעת חוק לקידום ולפיתוח העדה הדרוזית בישראל (תיקוני חקיקה), התשפ""ו-2026")</f>
        <v>937</v>
      </c>
      <c r="E423" t="s">
        <v>937</v>
      </c>
      <c r="F423" t="s">
        <v>938</v>
      </c>
      <c r="G423" t="s">
        <v>14</v>
      </c>
      <c r="H423">
             </c>
      <c r="I423" t="s">
        <v>14</v>
      </c>
      <c r="J423" t="s">
        <v>343</v>
      </c>
      <c r="K423" t="s">
        <v>14</v>
      </c>
      <c r="L423" t="s">
        <v>20</v>
      </c>
      <c r="M423" t="s">
        <v>898</v>
      </c>
      <c r="N423" t="s">
        <v>14</v>
      </c>
    </row>
    <row r="424" x14ac:dyDescent="0.25">
      <c r="A424" t="n">
        <v>25</v>
      </c>
      <c r="B424" t="s">
        <v>14</v>
      </c>
      <c r="C424" t="s">
        <v>15</v>
      </c>
      <c r="D424" s="2" t="s">
        <f>=HYPERLINK("https://main.knesset.gov.il/APPS/legislation/main/bills/1056832", "הצעת חוק סדר הדין הפלילי (חילוט תקבולי עבירה), התשפ""ו-2026")</f>
        <v>939</v>
      </c>
      <c r="E424" t="s">
        <v>939</v>
      </c>
      <c r="F424" t="s">
        <v>14</v>
      </c>
      <c r="G424" t="s">
        <v>940</v>
      </c>
      <c r="H424">
             </c>
      <c r="I424" t="s">
        <v>14</v>
      </c>
      <c r="J424" t="s">
        <v>69</v>
      </c>
      <c r="K424" t="s">
        <v>14</v>
      </c>
      <c r="L424" t="s">
        <v>20</v>
      </c>
      <c r="M424" t="s">
        <v>898</v>
      </c>
      <c r="N424" t="s">
        <v>14</v>
      </c>
    </row>
    <row r="425" x14ac:dyDescent="0.25">
      <c r="A425" t="n">
        <v>25</v>
      </c>
      <c r="B425" t="s">
        <v>14</v>
      </c>
      <c r="C425" t="s">
        <v>15</v>
      </c>
      <c r="D425" s="2" t="s">
        <f>=HYPERLINK("https://main.knesset.gov.il/APPS/legislation/main/bills/2204248", "הצעת חוק מקרקעי ציבור (פינוי קרקע) (תיקון מס' 5), התשפ""ו-2026")</f>
        <v>941</v>
      </c>
      <c r="E425" t="s">
        <v>941</v>
      </c>
      <c r="F425" t="s">
        <v>14</v>
      </c>
      <c r="G425" t="s">
        <v>110</v>
      </c>
      <c r="H425">
             </c>
      <c r="I425" t="s">
        <v>14</v>
      </c>
      <c r="J425" t="s">
        <v>73</v>
      </c>
      <c r="K425" t="s">
        <v>46</v>
      </c>
      <c r="L425" t="s">
        <v>20</v>
      </c>
      <c r="M425" t="s">
        <v>898</v>
      </c>
      <c r="N425" t="s">
        <v>14</v>
      </c>
    </row>
    <row r="426" x14ac:dyDescent="0.25">
      <c r="A426" t="n">
        <v>25</v>
      </c>
      <c r="B426" t="s">
        <v>14</v>
      </c>
      <c r="C426" t="s">
        <v>15</v>
      </c>
      <c r="D426" s="2" t="s">
        <f>=HYPERLINK("https://main.knesset.gov.il/APPS/legislation/main/bills/2240481", "פרק ו' (ייעול וקיצור הליכי הניהול של נכסים עזובים והעברתם לקניין המדינה) מתוך הצעת חוק התוכנית הכלכלית (תיקוני חקיקה ליישום המדיניות הכלכלית לשנת התקציב 2026), התשפ""ו-2026")</f>
        <v>942</v>
      </c>
      <c r="E426" t="s">
        <v>942</v>
      </c>
      <c r="F426" t="s">
        <v>14</v>
      </c>
      <c r="G426" t="s">
        <v>49</v>
      </c>
      <c r="H426">
             </c>
      <c r="I426" t="s">
        <v>14</v>
      </c>
      <c r="J426" t="s">
        <v>99</v>
      </c>
      <c r="K426" t="s">
        <v>121</v>
      </c>
      <c r="L426" t="s">
        <v>20</v>
      </c>
      <c r="M426" t="s">
        <v>943</v>
      </c>
      <c r="N426" t="s">
        <v>14</v>
      </c>
    </row>
    <row r="427" x14ac:dyDescent="0.25">
      <c r="A427" t="n">
        <v>25</v>
      </c>
      <c r="B427" t="s">
        <v>14</v>
      </c>
      <c r="C427" t="s">
        <v>15</v>
      </c>
      <c r="D427" s="2" t="s">
        <f>=HYPERLINK("https://main.knesset.gov.il/APPS/legislation/main/bills/2240482", "פרק ח' (חברות ממשלתיות ביטחוניות-תחרותיות) מתוך הצעת חוק התוכנית הכלכלית (תיקוני חקיקה ליישום המדיניות הכלכלית לשנת התקציב 2026), התשפ""ו-2026")</f>
        <v>944</v>
      </c>
      <c r="E427" t="s">
        <v>944</v>
      </c>
      <c r="F427" t="s">
        <v>14</v>
      </c>
      <c r="G427" t="s">
        <v>49</v>
      </c>
      <c r="H427">
             </c>
      <c r="I427" t="s">
        <v>14</v>
      </c>
      <c r="J427" t="s">
        <v>99</v>
      </c>
      <c r="K427" t="s">
        <v>121</v>
      </c>
      <c r="L427" t="s">
        <v>20</v>
      </c>
      <c r="M427" t="s">
        <v>943</v>
      </c>
      <c r="N427" t="s">
        <v>14</v>
      </c>
    </row>
    <row r="428" x14ac:dyDescent="0.25">
      <c r="A428" t="n">
        <v>25</v>
      </c>
      <c r="B428" t="s">
        <v>14</v>
      </c>
      <c r="C428" t="s">
        <v>22</v>
      </c>
      <c r="D428" s="2" t="s">
        <f>=HYPERLINK("https://main.knesset.gov.il/APPS/legislation/main/bills/2232351", "הצעת חוק התקשורת (בזק ושידורים) (תיקון - תיעוד מכירת כרטיסי  SIM אנונימיים), התשפ""ו-2026")</f>
        <v>945</v>
      </c>
      <c r="E428" t="s">
        <v>945</v>
      </c>
      <c r="F428" t="s">
        <v>946</v>
      </c>
      <c r="G428" t="s">
        <v>14</v>
      </c>
      <c r="H428">
             </c>
      <c r="I428" t="s">
        <v>14</v>
      </c>
      <c r="J428" t="s">
        <v>55</v>
      </c>
      <c r="K428" t="s">
        <v>14</v>
      </c>
      <c r="L428" t="s">
        <v>20</v>
      </c>
      <c r="M428" t="s">
        <v>947</v>
      </c>
      <c r="N428" t="s">
        <v>14</v>
      </c>
    </row>
    <row r="429" x14ac:dyDescent="0.25">
      <c r="A429" t="n">
        <v>25</v>
      </c>
      <c r="B429" t="s">
        <v>14</v>
      </c>
      <c r="C429" t="s">
        <v>22</v>
      </c>
      <c r="D429" s="2" t="s">
        <f>=HYPERLINK("https://main.knesset.gov.il/APPS/legislation/main/bills/2237706", "הצעת חוק-יסוד: הממשלה (תיקון - תקופה מרבית לכהונה בתפקיד כראש הממשלה)")</f>
        <v>948</v>
      </c>
      <c r="E429" t="s">
        <v>948</v>
      </c>
      <c r="F429" t="s">
        <v>949</v>
      </c>
      <c r="G429" t="s">
        <v>14</v>
      </c>
      <c r="H429">
             </c>
      <c r="I429" t="s">
        <v>14</v>
      </c>
      <c r="J429" t="s">
        <v>55</v>
      </c>
      <c r="K429" t="s">
        <v>14</v>
      </c>
      <c r="L429" t="s">
        <v>20</v>
      </c>
      <c r="M429" t="s">
        <v>947</v>
      </c>
      <c r="N429" t="s">
        <v>14</v>
      </c>
    </row>
    <row r="430" x14ac:dyDescent="0.25">
      <c r="A430" t="n">
        <v>25</v>
      </c>
      <c r="B430" t="s">
        <v>14</v>
      </c>
      <c r="C430" t="s">
        <v>22</v>
      </c>
      <c r="D430" s="2" t="s">
        <f>=HYPERLINK("https://main.knesset.gov.il/APPS/legislation/main/bills/2226483", "הצעת חוק העונשין (תיקון - השחתת מודעות על רקע מגדר), התשפ""ה-2025")</f>
        <v>950</v>
      </c>
      <c r="E430" t="s">
        <v>950</v>
      </c>
      <c r="F430" t="s">
        <v>951</v>
      </c>
      <c r="G430" t="s">
        <v>14</v>
      </c>
      <c r="H430">
             </c>
      <c r="I430" t="s">
        <v>14</v>
      </c>
      <c r="J430" t="s">
        <v>55</v>
      </c>
      <c r="K430" t="s">
        <v>14</v>
      </c>
      <c r="L430" t="s">
        <v>20</v>
      </c>
      <c r="M430" t="s">
        <v>947</v>
      </c>
      <c r="N430" t="s">
        <v>14</v>
      </c>
    </row>
    <row r="431" x14ac:dyDescent="0.25">
      <c r="A431" t="n">
        <v>25</v>
      </c>
      <c r="B431" t="s">
        <v>14</v>
      </c>
      <c r="C431" t="s">
        <v>22</v>
      </c>
      <c r="D431" s="2" t="s">
        <f>=HYPERLINK("https://main.knesset.gov.il/APPS/legislation/main/bills/2225126", "הצעת חוק הממשלה (תיקון - קיום מסיבת עיתונאים עיתית לגופי התקשורת בישראל), התשפ""ה-2024")</f>
        <v>952</v>
      </c>
      <c r="E431" t="s">
        <v>952</v>
      </c>
      <c r="F431" t="s">
        <v>953</v>
      </c>
      <c r="G431" t="s">
        <v>14</v>
      </c>
      <c r="H431">
             </c>
      <c r="I431" t="s">
        <v>14</v>
      </c>
      <c r="J431" t="s">
        <v>55</v>
      </c>
      <c r="K431" t="s">
        <v>14</v>
      </c>
      <c r="L431" t="s">
        <v>20</v>
      </c>
      <c r="M431" t="s">
        <v>947</v>
      </c>
      <c r="N431" t="s">
        <v>14</v>
      </c>
    </row>
    <row r="432" x14ac:dyDescent="0.25">
      <c r="A432" t="n">
        <v>25</v>
      </c>
      <c r="B432" t="s">
        <v>14</v>
      </c>
      <c r="C432" t="s">
        <v>22</v>
      </c>
      <c r="D432" s="2" t="s">
        <f>=HYPERLINK("https://main.knesset.gov.il/APPS/legislation/main/bills/2220952", "הצעת חוק העונשין (תיקון - השחתת מודעות על רקע מגדר), התשפ""ד-2024")</f>
        <v>954</v>
      </c>
      <c r="E432" t="s">
        <v>954</v>
      </c>
      <c r="F432" t="s">
        <v>955</v>
      </c>
      <c r="G432" t="s">
        <v>14</v>
      </c>
      <c r="H432">
             </c>
      <c r="I432" t="s">
        <v>14</v>
      </c>
      <c r="J432" t="s">
        <v>55</v>
      </c>
      <c r="K432" t="s">
        <v>14</v>
      </c>
      <c r="L432" t="s">
        <v>20</v>
      </c>
      <c r="M432" t="s">
        <v>947</v>
      </c>
      <c r="N432" t="s">
        <v>14</v>
      </c>
    </row>
    <row r="433" x14ac:dyDescent="0.25">
      <c r="A433" t="n">
        <v>25</v>
      </c>
      <c r="B433" t="s">
        <v>14</v>
      </c>
      <c r="C433" t="s">
        <v>22</v>
      </c>
      <c r="D433" s="2" t="s">
        <f>=HYPERLINK("https://main.knesset.gov.il/APPS/legislation/main/bills/2210062", "הצעת חוק העונשין (תיקון - השחתת מודעות על רקע מגדר), התשפ""ד-2023")</f>
        <v>956</v>
      </c>
      <c r="E433" t="s">
        <v>956</v>
      </c>
      <c r="F433" t="s">
        <v>957</v>
      </c>
      <c r="G433" t="s">
        <v>14</v>
      </c>
      <c r="H433">
             </c>
      <c r="I433" t="s">
        <v>14</v>
      </c>
      <c r="J433" t="s">
        <v>55</v>
      </c>
      <c r="K433" t="s">
        <v>14</v>
      </c>
      <c r="L433" t="s">
        <v>20</v>
      </c>
      <c r="M433" t="s">
        <v>947</v>
      </c>
      <c r="N433" t="s">
        <v>14</v>
      </c>
    </row>
    <row r="434" x14ac:dyDescent="0.25">
      <c r="A434" t="n">
        <v>25</v>
      </c>
      <c r="B434" t="s">
        <v>14</v>
      </c>
      <c r="C434" t="s">
        <v>22</v>
      </c>
      <c r="D434" s="2" t="s">
        <f>=HYPERLINK("https://main.knesset.gov.il/APPS/legislation/main/bills/2201711", "הצעת חוק לתיקון פקודת בריאות העם (הוספת מכשור רפואי לפריפריה), התשפ""ג-2023")</f>
        <v>958</v>
      </c>
      <c r="E434" t="s">
        <v>958</v>
      </c>
      <c r="F434" t="s">
        <v>959</v>
      </c>
      <c r="G434" t="s">
        <v>14</v>
      </c>
      <c r="H434">
             </c>
      <c r="I434" t="s">
        <v>14</v>
      </c>
      <c r="J434" t="s">
        <v>55</v>
      </c>
      <c r="K434" t="s">
        <v>14</v>
      </c>
      <c r="L434" t="s">
        <v>20</v>
      </c>
      <c r="M434" t="s">
        <v>947</v>
      </c>
      <c r="N434" t="s">
        <v>14</v>
      </c>
    </row>
    <row r="435" x14ac:dyDescent="0.25">
      <c r="A435" t="n">
        <v>25</v>
      </c>
      <c r="B435" t="s">
        <v>14</v>
      </c>
      <c r="C435" t="s">
        <v>22</v>
      </c>
      <c r="D435" s="2" t="s">
        <f>=HYPERLINK("https://main.knesset.gov.il/APPS/legislation/main/bills/2234203", "הצעת חוק קליטת חיילים משוחררים (תיקון מס' 26) (הארכת תקופת זכאות להשתתפות במימון שכר לימוד בשל מלחמה), התשפ""ו–2026")</f>
        <v>960</v>
      </c>
      <c r="E435" t="s">
        <v>960</v>
      </c>
      <c r="F435" t="s">
        <v>961</v>
      </c>
      <c r="G435" t="s">
        <v>14</v>
      </c>
      <c r="H435">
             </c>
      <c r="I435" t="s">
        <v>14</v>
      </c>
      <c r="J435" t="s">
        <v>31</v>
      </c>
      <c r="K435" t="s">
        <v>34</v>
      </c>
      <c r="L435" t="s">
        <v>20</v>
      </c>
      <c r="M435" t="s">
        <v>962</v>
      </c>
      <c r="N435" t="s">
        <v>14</v>
      </c>
    </row>
    <row r="436" x14ac:dyDescent="0.25">
      <c r="A436" t="n">
        <v>25</v>
      </c>
      <c r="B436" t="s">
        <v>14</v>
      </c>
      <c r="C436" t="s">
        <v>22</v>
      </c>
      <c r="D436" s="2" t="s">
        <f>=HYPERLINK("https://main.knesset.gov.il/APPS/legislation/main/bills/2219618", "הצעת חוק הרשות לגיל הרך, התשפ""ד-2024")</f>
        <v>963</v>
      </c>
      <c r="E436" t="s">
        <v>963</v>
      </c>
      <c r="F436" t="s">
        <v>964</v>
      </c>
      <c r="G436" t="s">
        <v>14</v>
      </c>
      <c r="H436">
             </c>
      <c r="I436" t="s">
        <v>14</v>
      </c>
      <c r="J436" t="s">
        <v>31</v>
      </c>
      <c r="K436" t="s">
        <v>34</v>
      </c>
      <c r="L436" t="s">
        <v>20</v>
      </c>
      <c r="M436" t="s">
        <v>965</v>
      </c>
      <c r="N436" t="s">
        <v>14</v>
      </c>
    </row>
    <row r="437" x14ac:dyDescent="0.25">
      <c r="A437" t="n">
        <v>25</v>
      </c>
      <c r="B437" t="s">
        <v>14</v>
      </c>
      <c r="C437" t="s">
        <v>15</v>
      </c>
      <c r="D437" s="2" t="s">
        <f>=HYPERLINK("https://main.knesset.gov.il/APPS/legislation/main/bills/2240513", "פרק ט""ז (שמירה על זכויות מבוטחים בסיעוד) מתוך הצעת חוק התוכנית הכלכלית (תיקוני חקיקה ליישום המדיניות הכלכלית לשנת התקציב 2026), התשפ""ו-2026 [פוצלה לפי סעיף 84(ב) לתקנון]")</f>
        <v>966</v>
      </c>
      <c r="E437" t="s">
        <v>966</v>
      </c>
      <c r="F437" t="s">
        <v>14</v>
      </c>
      <c r="G437" t="s">
        <v>49</v>
      </c>
      <c r="H437">
             </c>
      <c r="I437" t="s">
        <v>14</v>
      </c>
      <c r="J437" t="s">
        <v>18</v>
      </c>
      <c r="K437" t="s">
        <v>127</v>
      </c>
      <c r="L437" t="s">
        <v>20</v>
      </c>
      <c r="M437" t="s">
        <v>965</v>
      </c>
      <c r="N437" t="s">
        <v>14</v>
      </c>
    </row>
    <row r="438" x14ac:dyDescent="0.25">
      <c r="A438" t="n">
        <v>25</v>
      </c>
      <c r="B438" t="s">
        <v>14</v>
      </c>
      <c r="C438" t="s">
        <v>22</v>
      </c>
      <c r="D438" s="2" t="s">
        <f>=HYPERLINK("https://main.knesset.gov.il/APPS/legislation/main/bills/2237511", "הצעת חוק אחריות במרחב הרשת, התשפ""ו-2026")</f>
        <v>559</v>
      </c>
      <c r="E438" t="s">
        <v>559</v>
      </c>
      <c r="F438" t="s">
        <v>967</v>
      </c>
      <c r="G438" t="s">
        <v>14</v>
      </c>
      <c r="H438">
             </c>
      <c r="I438" t="s">
        <v>14</v>
      </c>
      <c r="J438" t="s">
        <v>141</v>
      </c>
      <c r="K438" t="s">
        <v>14</v>
      </c>
      <c r="L438" t="s">
        <v>20</v>
      </c>
      <c r="M438" t="s">
        <v>965</v>
      </c>
      <c r="N438" t="s">
        <v>14</v>
      </c>
    </row>
    <row r="439" x14ac:dyDescent="0.25">
      <c r="A439" t="n">
        <v>25</v>
      </c>
      <c r="B439" t="s">
        <v>14</v>
      </c>
      <c r="C439" t="s">
        <v>22</v>
      </c>
      <c r="D439" s="2" t="s">
        <f>=HYPERLINK("https://main.knesset.gov.il/APPS/legislation/main/bills/2239172", "הצעת חוק המאבק בטרור (תיקון - חילוט רכוש פעילי טרור ובעלי זיקה לפעולת טרור), התשפ״ו-2026")</f>
        <v>968</v>
      </c>
      <c r="E439" t="s">
        <v>968</v>
      </c>
      <c r="F439" t="s">
        <v>969</v>
      </c>
      <c r="G439" t="s">
        <v>14</v>
      </c>
      <c r="H439">
             </c>
      <c r="I439" t="s">
        <v>14</v>
      </c>
      <c r="J439" t="s">
        <v>141</v>
      </c>
      <c r="K439" t="s">
        <v>14</v>
      </c>
      <c r="L439" t="s">
        <v>20</v>
      </c>
      <c r="M439" t="s">
        <v>965</v>
      </c>
      <c r="N439" t="s">
        <v>14</v>
      </c>
    </row>
    <row r="440" x14ac:dyDescent="0.25">
      <c r="A440" t="n">
        <v>25</v>
      </c>
      <c r="B440" t="s">
        <v>14</v>
      </c>
      <c r="C440" t="s">
        <v>22</v>
      </c>
      <c r="D440" s="2" t="s">
        <f>=HYPERLINK("https://main.knesset.gov.il/APPS/legislation/main/bills/2239821", "הצעת חוק הקמת שדה תעופה בצקלג (הוראות מיוחדות), התשפ""ו-2026")</f>
        <v>970</v>
      </c>
      <c r="E440" t="s">
        <v>970</v>
      </c>
      <c r="F440" t="s">
        <v>971</v>
      </c>
      <c r="G440" t="s">
        <v>14</v>
      </c>
      <c r="H440">
             </c>
      <c r="I440" t="s">
        <v>14</v>
      </c>
      <c r="J440" t="s">
        <v>141</v>
      </c>
      <c r="K440" t="s">
        <v>14</v>
      </c>
      <c r="L440" t="s">
        <v>20</v>
      </c>
      <c r="M440" t="s">
        <v>965</v>
      </c>
      <c r="N440" t="s">
        <v>14</v>
      </c>
    </row>
    <row r="441" x14ac:dyDescent="0.25">
      <c r="A441" t="n">
        <v>25</v>
      </c>
      <c r="B441" t="s">
        <v>14</v>
      </c>
      <c r="C441" t="s">
        <v>22</v>
      </c>
      <c r="D441" s="2" t="s">
        <f>=HYPERLINK("https://main.knesset.gov.il/APPS/legislation/main/bills/2239958", "הצעת חוק זכויות נפגעי עבירה (תיקון - הוספת סרסור והבאת אדם לידי זנות להגדרת עבירת מין או אלימות), התשפ""ו-2026")</f>
        <v>929</v>
      </c>
      <c r="E441" t="s">
        <v>929</v>
      </c>
      <c r="F441" t="s">
        <v>972</v>
      </c>
      <c r="G441" t="s">
        <v>14</v>
      </c>
      <c r="H441">
             </c>
      <c r="I441" t="s">
        <v>14</v>
      </c>
      <c r="J441" t="s">
        <v>141</v>
      </c>
      <c r="K441" t="s">
        <v>14</v>
      </c>
      <c r="L441" t="s">
        <v>20</v>
      </c>
      <c r="M441" t="s">
        <v>965</v>
      </c>
      <c r="N441" t="s">
        <v>14</v>
      </c>
    </row>
    <row r="442" x14ac:dyDescent="0.25">
      <c r="A442" t="n">
        <v>25</v>
      </c>
      <c r="B442" t="s">
        <v>14</v>
      </c>
      <c r="C442" t="s">
        <v>22</v>
      </c>
      <c r="D442" s="2" t="s">
        <f>=HYPERLINK("https://main.knesset.gov.il/APPS/legislation/main/bills/2240258", "הצעת חוק העונשין (תיקון - איסור על עינויים ועל יחס אכזרי, בלתי אנושי ומשפיל),  התשפ""ו-2026")</f>
        <v>973</v>
      </c>
      <c r="E442" t="s">
        <v>973</v>
      </c>
      <c r="F442" t="s">
        <v>974</v>
      </c>
      <c r="G442" t="s">
        <v>14</v>
      </c>
      <c r="H442">
             </c>
      <c r="I442" t="s">
        <v>14</v>
      </c>
      <c r="J442" t="s">
        <v>141</v>
      </c>
      <c r="K442" t="s">
        <v>14</v>
      </c>
      <c r="L442" t="s">
        <v>20</v>
      </c>
      <c r="M442" t="s">
        <v>965</v>
      </c>
      <c r="N442" t="s">
        <v>14</v>
      </c>
    </row>
    <row r="443" x14ac:dyDescent="0.25">
      <c r="A443" t="n">
        <v>25</v>
      </c>
      <c r="B443" t="s">
        <v>14</v>
      </c>
      <c r="C443" t="s">
        <v>22</v>
      </c>
      <c r="D443" s="2" t="s">
        <f>=HYPERLINK("https://main.knesset.gov.il/APPS/legislation/main/bills/2239481", "הצעת חוק העונשין (תיקון - התחזות לעובד ציבור בכוונה לבצע פשע), התשפ״ו-2026")</f>
        <v>975</v>
      </c>
      <c r="E443" t="s">
        <v>975</v>
      </c>
      <c r="F443" t="s">
        <v>976</v>
      </c>
      <c r="G443" t="s">
        <v>14</v>
      </c>
      <c r="H443">
             </c>
      <c r="I443" t="s">
        <v>14</v>
      </c>
      <c r="J443" t="s">
        <v>141</v>
      </c>
      <c r="K443" t="s">
        <v>14</v>
      </c>
      <c r="L443" t="s">
        <v>20</v>
      </c>
      <c r="M443" t="s">
        <v>965</v>
      </c>
      <c r="N443" t="s">
        <v>14</v>
      </c>
    </row>
    <row r="444" x14ac:dyDescent="0.25">
      <c r="A444" t="n">
        <v>25</v>
      </c>
      <c r="B444" t="s">
        <v>14</v>
      </c>
      <c r="C444" t="s">
        <v>22</v>
      </c>
      <c r="D444" s="2" t="s">
        <f>=HYPERLINK("https://main.knesset.gov.il/APPS/legislation/main/bills/2240320", "הצעת חוק הפרשנות (תיקון - הגדרת הפליה על רקע נטייה מינית או זהות מגדרית),  התשפ""ו-2026")</f>
        <v>977</v>
      </c>
      <c r="E444" t="s">
        <v>977</v>
      </c>
      <c r="F444" t="s">
        <v>978</v>
      </c>
      <c r="G444" t="s">
        <v>14</v>
      </c>
      <c r="H444">
             </c>
      <c r="I444" t="s">
        <v>14</v>
      </c>
      <c r="J444" t="s">
        <v>141</v>
      </c>
      <c r="K444" t="s">
        <v>14</v>
      </c>
      <c r="L444" t="s">
        <v>20</v>
      </c>
      <c r="M444" t="s">
        <v>965</v>
      </c>
      <c r="N444" t="s">
        <v>14</v>
      </c>
    </row>
    <row r="445" x14ac:dyDescent="0.25">
      <c r="A445" t="n">
        <v>25</v>
      </c>
      <c r="B445" t="s">
        <v>14</v>
      </c>
      <c r="C445" t="s">
        <v>22</v>
      </c>
      <c r="D445" s="2" t="s">
        <f>=HYPERLINK("https://main.knesset.gov.il/APPS/legislation/main/bills/2226701", "הצעת חוק הרשות הלאומית לתכנון אוכלוסין ומניעת ירידה מהארץ, התשפ""ו-2026")</f>
        <v>979</v>
      </c>
      <c r="E445" t="s">
        <v>979</v>
      </c>
      <c r="F445" t="s">
        <v>980</v>
      </c>
      <c r="G445" t="s">
        <v>14</v>
      </c>
      <c r="H445">
             </c>
      <c r="I445" t="s">
        <v>14</v>
      </c>
      <c r="J445" t="s">
        <v>141</v>
      </c>
      <c r="K445" t="s">
        <v>14</v>
      </c>
      <c r="L445" t="s">
        <v>20</v>
      </c>
      <c r="M445" t="s">
        <v>965</v>
      </c>
      <c r="N445" t="s">
        <v>14</v>
      </c>
    </row>
    <row r="446" x14ac:dyDescent="0.25">
      <c r="A446" t="n">
        <v>25</v>
      </c>
      <c r="B446" t="s">
        <v>14</v>
      </c>
      <c r="C446" t="s">
        <v>22</v>
      </c>
      <c r="D446" s="2" t="s">
        <f>=HYPERLINK("https://main.knesset.gov.il/APPS/legislation/main/bills/2239100", "הצעת חוק סדר הדין הפלילי (סמכויות אכיפה - חיפוש בגוף ונטילת אמצעי זיהוי) (תיקון - הגדרת חיפוש בעירום מלא כחיפוש פנימי), התשפ""ו-2026")</f>
        <v>981</v>
      </c>
      <c r="E446" t="s">
        <v>981</v>
      </c>
      <c r="F446" t="s">
        <v>982</v>
      </c>
      <c r="G446" t="s">
        <v>14</v>
      </c>
      <c r="H446">
             </c>
      <c r="I446" t="s">
        <v>14</v>
      </c>
      <c r="J446" t="s">
        <v>141</v>
      </c>
      <c r="K446" t="s">
        <v>14</v>
      </c>
      <c r="L446" t="s">
        <v>20</v>
      </c>
      <c r="M446" t="s">
        <v>965</v>
      </c>
      <c r="N446" t="s">
        <v>14</v>
      </c>
    </row>
    <row r="447" x14ac:dyDescent="0.25">
      <c r="A447" t="n">
        <v>25</v>
      </c>
      <c r="B447" t="s">
        <v>14</v>
      </c>
      <c r="C447" t="s">
        <v>22</v>
      </c>
      <c r="D447" s="2" t="s">
        <f>=HYPERLINK("https://main.knesset.gov.il/APPS/legislation/main/bills/2237777", "הצעת חוק התקשורת (בזק ושידורים) (תיקון - גיל משתמשים ברשתות חברתיות), התשפ""ו-2026")</f>
        <v>983</v>
      </c>
      <c r="E447" t="s">
        <v>983</v>
      </c>
      <c r="F447" t="s">
        <v>984</v>
      </c>
      <c r="G447" t="s">
        <v>14</v>
      </c>
      <c r="H447">
             </c>
      <c r="I447" t="s">
        <v>14</v>
      </c>
      <c r="J447" t="s">
        <v>141</v>
      </c>
      <c r="K447" t="s">
        <v>14</v>
      </c>
      <c r="L447" t="s">
        <v>20</v>
      </c>
      <c r="M447" t="s">
        <v>965</v>
      </c>
      <c r="N447" t="s">
        <v>14</v>
      </c>
    </row>
    <row r="448" x14ac:dyDescent="0.25">
      <c r="A448" t="n">
        <v>25</v>
      </c>
      <c r="B448" t="s">
        <v>14</v>
      </c>
      <c r="C448" t="s">
        <v>22</v>
      </c>
      <c r="D448" s="2" t="s">
        <f>=HYPERLINK("https://main.knesset.gov.il/APPS/legislation/main/bills/2240556", "הצעת חוק אומנה לילדים (תיקון - מתן הסכמה לטיפול פסיכיאטרי), התשפ""ו-2026")</f>
        <v>921</v>
      </c>
      <c r="E448" t="s">
        <v>921</v>
      </c>
      <c r="F448" t="s">
        <v>985</v>
      </c>
      <c r="G448" t="s">
        <v>14</v>
      </c>
      <c r="H448">
             </c>
      <c r="I448" t="s">
        <v>14</v>
      </c>
      <c r="J448" t="s">
        <v>141</v>
      </c>
      <c r="K448" t="s">
        <v>14</v>
      </c>
      <c r="L448" t="s">
        <v>20</v>
      </c>
      <c r="M448" t="s">
        <v>965</v>
      </c>
      <c r="N448" t="s">
        <v>14</v>
      </c>
    </row>
    <row r="449" x14ac:dyDescent="0.25">
      <c r="A449" t="n">
        <v>25</v>
      </c>
      <c r="B449" t="s">
        <v>14</v>
      </c>
      <c r="C449" t="s">
        <v>22</v>
      </c>
      <c r="D449" s="2" t="s">
        <f>=HYPERLINK("https://main.knesset.gov.il/APPS/legislation/main/bills/2240319", "הצעת חוק התגמולים לנפגעי פעולות איבה (תיקון - פשעי שנאה), התשפ""ו-2026")</f>
        <v>986</v>
      </c>
      <c r="E449" t="s">
        <v>986</v>
      </c>
      <c r="F449" t="s">
        <v>987</v>
      </c>
      <c r="G449" t="s">
        <v>14</v>
      </c>
      <c r="H449">
             </c>
      <c r="I449" t="s">
        <v>14</v>
      </c>
      <c r="J449" t="s">
        <v>141</v>
      </c>
      <c r="K449" t="s">
        <v>14</v>
      </c>
      <c r="L449" t="s">
        <v>20</v>
      </c>
      <c r="M449" t="s">
        <v>965</v>
      </c>
      <c r="N449" t="s">
        <v>14</v>
      </c>
    </row>
    <row r="450" x14ac:dyDescent="0.25">
      <c r="A450" t="n">
        <v>25</v>
      </c>
      <c r="B450" t="s">
        <v>14</v>
      </c>
      <c r="C450" t="s">
        <v>22</v>
      </c>
      <c r="D450" s="2" t="s">
        <f>=HYPERLINK("https://main.knesset.gov.il/APPS/legislation/main/bills/2240428", "הצעת חוק הביטוח הלאומי (תיקון - הארכת המועד להגשת תביעות ליקוי שמיעה), התשפ""ו-2026")</f>
        <v>988</v>
      </c>
      <c r="E450" t="s">
        <v>988</v>
      </c>
      <c r="F450" t="s">
        <v>989</v>
      </c>
      <c r="G450" t="s">
        <v>14</v>
      </c>
      <c r="H450">
             </c>
      <c r="I450" t="s">
        <v>14</v>
      </c>
      <c r="J450" t="s">
        <v>141</v>
      </c>
      <c r="K450" t="s">
        <v>14</v>
      </c>
      <c r="L450" t="s">
        <v>20</v>
      </c>
      <c r="M450" t="s">
        <v>965</v>
      </c>
      <c r="N450" t="s">
        <v>14</v>
      </c>
    </row>
    <row r="451" x14ac:dyDescent="0.25">
      <c r="A451" t="n">
        <v>25</v>
      </c>
      <c r="B451" t="s">
        <v>14</v>
      </c>
      <c r="C451" t="s">
        <v>22</v>
      </c>
      <c r="D451" s="2" t="s">
        <f>=HYPERLINK("https://main.knesset.gov.il/APPS/legislation/main/bills/2240324", "הצעת חוק העונשין (תיקון - מרמה והפרת אמונים), התשפ""ו-2026")</f>
        <v>990</v>
      </c>
      <c r="E451" t="s">
        <v>990</v>
      </c>
      <c r="F451" t="s">
        <v>991</v>
      </c>
      <c r="G451" t="s">
        <v>14</v>
      </c>
      <c r="H451">
             </c>
      <c r="I451" t="s">
        <v>14</v>
      </c>
      <c r="J451" t="s">
        <v>141</v>
      </c>
      <c r="K451" t="s">
        <v>14</v>
      </c>
      <c r="L451" t="s">
        <v>20</v>
      </c>
      <c r="M451" t="s">
        <v>965</v>
      </c>
      <c r="N451" t="s">
        <v>14</v>
      </c>
    </row>
    <row r="452" x14ac:dyDescent="0.25">
      <c r="A452" t="n">
        <v>25</v>
      </c>
      <c r="B452" t="s">
        <v>14</v>
      </c>
      <c r="C452" t="s">
        <v>22</v>
      </c>
      <c r="D452" s="2" t="s">
        <f>=HYPERLINK("https://main.knesset.gov.il/APPS/legislation/main/bills/2240445", "הצעת חוק הממשלה (תיקון - ועדת שרים לענייני ביטחון לאומי), התשפ״ו-2026")</f>
        <v>992</v>
      </c>
      <c r="E452" t="s">
        <v>992</v>
      </c>
      <c r="F452" t="s">
        <v>993</v>
      </c>
      <c r="G452" t="s">
        <v>14</v>
      </c>
      <c r="H452">
             </c>
      <c r="I452" t="s">
        <v>14</v>
      </c>
      <c r="J452" t="s">
        <v>141</v>
      </c>
      <c r="K452" t="s">
        <v>14</v>
      </c>
      <c r="L452" t="s">
        <v>20</v>
      </c>
      <c r="M452" t="s">
        <v>965</v>
      </c>
      <c r="N452" t="s">
        <v>14</v>
      </c>
    </row>
    <row r="453" x14ac:dyDescent="0.25">
      <c r="A453" t="n">
        <v>25</v>
      </c>
      <c r="B453" t="s">
        <v>14</v>
      </c>
      <c r="C453" t="s">
        <v>22</v>
      </c>
      <c r="D453" s="2" t="s">
        <f>=HYPERLINK("https://main.knesset.gov.il/APPS/legislation/main/bills/2240227", "הצעת חוק קופת חולים (עידוד תרומת תרופות), התשפ""ו-2026")</f>
        <v>994</v>
      </c>
      <c r="E453" t="s">
        <v>994</v>
      </c>
      <c r="F453" t="s">
        <v>995</v>
      </c>
      <c r="G453" t="s">
        <v>14</v>
      </c>
      <c r="H453">
             </c>
      <c r="I453" t="s">
        <v>14</v>
      </c>
      <c r="J453" t="s">
        <v>141</v>
      </c>
      <c r="K453" t="s">
        <v>14</v>
      </c>
      <c r="L453" t="s">
        <v>20</v>
      </c>
      <c r="M453" t="s">
        <v>965</v>
      </c>
      <c r="N453" t="s">
        <v>14</v>
      </c>
    </row>
    <row r="454" x14ac:dyDescent="0.25">
      <c r="A454" t="n">
        <v>25</v>
      </c>
      <c r="B454" t="s">
        <v>14</v>
      </c>
      <c r="C454" t="s">
        <v>22</v>
      </c>
      <c r="D454" s="2" t="s">
        <f>=HYPERLINK("https://main.knesset.gov.il/APPS/legislation/main/bills/2240148", "הצעת חוק הרשויות המקומיות (פטור חיילים, נפגעי מלחמה ושוטרים מארנונה) (תיקון - הנחה בארנונה למשרת בשירות מילואים פעיל) (הוראת שעה),התשפ''ו-2026")</f>
        <v>996</v>
      </c>
      <c r="E454" t="s">
        <v>996</v>
      </c>
      <c r="F454" t="s">
        <v>997</v>
      </c>
      <c r="G454" t="s">
        <v>14</v>
      </c>
      <c r="H454">
             </c>
      <c r="I454" t="s">
        <v>14</v>
      </c>
      <c r="J454" t="s">
        <v>141</v>
      </c>
      <c r="K454" t="s">
        <v>14</v>
      </c>
      <c r="L454" t="s">
        <v>20</v>
      </c>
      <c r="M454" t="s">
        <v>965</v>
      </c>
      <c r="N454" t="s">
        <v>14</v>
      </c>
    </row>
    <row r="455" x14ac:dyDescent="0.25">
      <c r="A455" t="n">
        <v>25</v>
      </c>
      <c r="B455" t="s">
        <v>14</v>
      </c>
      <c r="C455" t="s">
        <v>22</v>
      </c>
      <c r="D455" s="2" t="s">
        <f>=HYPERLINK("https://main.knesset.gov.il/APPS/legislation/main/bills/2240152", "הצעת חוק לתיקון פקודת מס הכנסה (נקודות זיכוי למשפחות אומנה), התשפ""ו-2026")</f>
        <v>731</v>
      </c>
      <c r="E455" t="s">
        <v>731</v>
      </c>
      <c r="F455" t="s">
        <v>998</v>
      </c>
      <c r="G455" t="s">
        <v>14</v>
      </c>
      <c r="H455">
             </c>
      <c r="I455" t="s">
        <v>14</v>
      </c>
      <c r="J455" t="s">
        <v>141</v>
      </c>
      <c r="K455" t="s">
        <v>14</v>
      </c>
      <c r="L455" t="s">
        <v>20</v>
      </c>
      <c r="M455" t="s">
        <v>965</v>
      </c>
      <c r="N455" t="s">
        <v>14</v>
      </c>
    </row>
    <row r="456" x14ac:dyDescent="0.25">
      <c r="A456" t="n">
        <v>25</v>
      </c>
      <c r="B456" t="s">
        <v>14</v>
      </c>
      <c r="C456" t="s">
        <v>22</v>
      </c>
      <c r="D456" s="2" t="s">
        <f>=HYPERLINK("https://main.knesset.gov.il/APPS/legislation/main/bills/2239944", "הצעת חוק יום לציון מורשת יהדות הודו, התשפ""ו-2026")</f>
        <v>999</v>
      </c>
      <c r="E456" t="s">
        <v>999</v>
      </c>
      <c r="F456" t="s">
        <v>1000</v>
      </c>
      <c r="G456" t="s">
        <v>14</v>
      </c>
      <c r="H456">
             </c>
      <c r="I456" t="s">
        <v>14</v>
      </c>
      <c r="J456" t="s">
        <v>141</v>
      </c>
      <c r="K456" t="s">
        <v>14</v>
      </c>
      <c r="L456" t="s">
        <v>20</v>
      </c>
      <c r="M456" t="s">
        <v>965</v>
      </c>
      <c r="N456" t="s">
        <v>14</v>
      </c>
    </row>
    <row r="457" x14ac:dyDescent="0.25">
      <c r="A457" t="n">
        <v>25</v>
      </c>
      <c r="B457" t="s">
        <v>14</v>
      </c>
      <c r="C457" t="s">
        <v>22</v>
      </c>
      <c r="D457" s="2" t="s">
        <f>=HYPERLINK("https://main.knesset.gov.il/APPS/legislation/main/bills/2233343", "הצעת חוק הרשות הלאומית לתרבות ולשפה המרוקאית יהודית, התשפ""ו-2026")</f>
        <v>1001</v>
      </c>
      <c r="E457" t="s">
        <v>1001</v>
      </c>
      <c r="F457" t="s">
        <v>1002</v>
      </c>
      <c r="G457" t="s">
        <v>14</v>
      </c>
      <c r="H457">
             </c>
      <c r="I457" t="s">
        <v>14</v>
      </c>
      <c r="J457" t="s">
        <v>141</v>
      </c>
      <c r="K457" t="s">
        <v>14</v>
      </c>
      <c r="L457" t="s">
        <v>20</v>
      </c>
      <c r="M457" t="s">
        <v>965</v>
      </c>
      <c r="N457" t="s">
        <v>14</v>
      </c>
    </row>
    <row r="458" x14ac:dyDescent="0.25">
      <c r="A458" t="n">
        <v>25</v>
      </c>
      <c r="B458" t="s">
        <v>14</v>
      </c>
      <c r="C458" t="s">
        <v>22</v>
      </c>
      <c r="D458" s="2" t="s">
        <f>=HYPERLINK("https://main.knesset.gov.il/APPS/legislation/main/bills/2196527", "הצעת חוק נציב תלונות הציבור על שופטים (תיקון - נציבות תלונות הציבור על דיינים וקאדים), התשפ""ו-2026")</f>
        <v>1003</v>
      </c>
      <c r="E458" t="s">
        <v>1003</v>
      </c>
      <c r="F458" t="s">
        <v>1004</v>
      </c>
      <c r="G458" t="s">
        <v>14</v>
      </c>
      <c r="H458">
             </c>
      <c r="I458" t="s">
        <v>14</v>
      </c>
      <c r="J458" t="s">
        <v>141</v>
      </c>
      <c r="K458" t="s">
        <v>14</v>
      </c>
      <c r="L458" t="s">
        <v>20</v>
      </c>
      <c r="M458" t="s">
        <v>965</v>
      </c>
      <c r="N458" t="s">
        <v>14</v>
      </c>
    </row>
    <row r="459" x14ac:dyDescent="0.25">
      <c r="A459" t="n">
        <v>25</v>
      </c>
      <c r="B459" t="s">
        <v>14</v>
      </c>
      <c r="C459" t="s">
        <v>22</v>
      </c>
      <c r="D459" s="2" t="s">
        <f>=HYPERLINK("https://main.knesset.gov.il/APPS/legislation/main/bills/2240115", "הצעת חוק לתיקון פקודת בתי הסוהר (איסור טיפול רפואי באסירים ביטחוניים בבתי חולים ציבוריים), התשפ""ו-2026")</f>
        <v>1005</v>
      </c>
      <c r="E459" t="s">
        <v>1005</v>
      </c>
      <c r="F459" t="s">
        <v>1006</v>
      </c>
      <c r="G459" t="s">
        <v>14</v>
      </c>
      <c r="H459">
             </c>
      <c r="I459" t="s">
        <v>14</v>
      </c>
      <c r="J459" t="s">
        <v>141</v>
      </c>
      <c r="K459" t="s">
        <v>14</v>
      </c>
      <c r="L459" t="s">
        <v>20</v>
      </c>
      <c r="M459" t="s">
        <v>965</v>
      </c>
      <c r="N459" t="s">
        <v>14</v>
      </c>
    </row>
    <row r="460" x14ac:dyDescent="0.25">
      <c r="A460" t="n">
        <v>25</v>
      </c>
      <c r="B460" t="s">
        <v>14</v>
      </c>
      <c r="C460" t="s">
        <v>22</v>
      </c>
      <c r="D460" s="2" t="s">
        <f>=HYPERLINK("https://main.knesset.gov.il/APPS/legislation/main/bills/2232068", "הצעת חוק שירות התעסוקה (תיקון - הסבה מקצועית לעובדי עבודת כפיים), התשפ""ו-2026")</f>
        <v>1007</v>
      </c>
      <c r="E460" t="s">
        <v>1007</v>
      </c>
      <c r="F460" t="s">
        <v>1008</v>
      </c>
      <c r="G460" t="s">
        <v>14</v>
      </c>
      <c r="H460">
             </c>
      <c r="I460" t="s">
        <v>14</v>
      </c>
      <c r="J460" t="s">
        <v>141</v>
      </c>
      <c r="K460" t="s">
        <v>14</v>
      </c>
      <c r="L460" t="s">
        <v>20</v>
      </c>
      <c r="M460" t="s">
        <v>965</v>
      </c>
      <c r="N460" t="s">
        <v>14</v>
      </c>
    </row>
    <row r="461" x14ac:dyDescent="0.25">
      <c r="A461" t="n">
        <v>25</v>
      </c>
      <c r="B461" t="s">
        <v>14</v>
      </c>
      <c r="C461" t="s">
        <v>15</v>
      </c>
      <c r="D461" s="2" t="s">
        <f>=HYPERLINK("https://main.knesset.gov.il/APPS/legislation/main/bills/1046601", "הצעת חוק לתיקון פקודת המכס (מס' 31) (עבירות ההברחה), התשפ""ו-2026")</f>
        <v>1009</v>
      </c>
      <c r="E461" t="s">
        <v>1009</v>
      </c>
      <c r="F461" t="s">
        <v>14</v>
      </c>
      <c r="G461" t="s">
        <v>1010</v>
      </c>
      <c r="H461">
             </c>
      <c r="I461" t="s">
        <v>14</v>
      </c>
      <c r="J461" t="s">
        <v>69</v>
      </c>
      <c r="K461" t="s">
        <v>14</v>
      </c>
      <c r="L461" t="s">
        <v>20</v>
      </c>
      <c r="M461" t="s">
        <v>965</v>
      </c>
      <c r="N461" t="s">
        <v>14</v>
      </c>
    </row>
    <row r="462" x14ac:dyDescent="0.25">
      <c r="A462" t="n">
        <v>25</v>
      </c>
      <c r="B462" t="s">
        <v>14</v>
      </c>
      <c r="C462" t="s">
        <v>22</v>
      </c>
      <c r="D462" s="2" t="s">
        <f>=HYPERLINK("https://main.knesset.gov.il/APPS/legislation/main/bills/2222112", "הצעת חוק זיכרון אירועי הטרור של כ""ב בתשרי (7 באוקטובר) ומלחמת חרבות ברזל, התשפ""ה-2024")</f>
        <v>1011</v>
      </c>
      <c r="E462" t="s">
        <v>1011</v>
      </c>
      <c r="F462" t="s">
        <v>1012</v>
      </c>
      <c r="G462" t="s">
        <v>14</v>
      </c>
      <c r="H462">
             </c>
      <c r="I462" t="s">
        <v>14</v>
      </c>
      <c r="J462" t="s">
        <v>99</v>
      </c>
      <c r="K462" t="s">
        <v>34</v>
      </c>
      <c r="L462" t="s">
        <v>20</v>
      </c>
      <c r="M462" t="s">
        <v>1013</v>
      </c>
      <c r="N462" t="s">
        <v>14</v>
      </c>
    </row>
    <row r="463" x14ac:dyDescent="0.25">
      <c r="A463" t="n">
        <v>25</v>
      </c>
      <c r="B463" t="s">
        <v>14</v>
      </c>
      <c r="C463" t="s">
        <v>22</v>
      </c>
      <c r="D463" s="2" t="s">
        <f>=HYPERLINK("https://main.knesset.gov.il/APPS/legislation/main/bills/2210721", "הצעת חוק זיכרון הטבח והנצחת הגבורה ביום כ""ב בתשרי (שמחת תורה) – 7 באוקטובר, התשפ""ה–2025")</f>
        <v>1014</v>
      </c>
      <c r="E463" t="s">
        <v>1014</v>
      </c>
      <c r="F463" t="s">
        <v>1015</v>
      </c>
      <c r="G463" t="s">
        <v>1016</v>
      </c>
      <c r="H463">
             </c>
      <c r="I463" t="s">
        <v>14</v>
      </c>
      <c r="J463" t="s">
        <v>99</v>
      </c>
      <c r="K463" t="s">
        <v>34</v>
      </c>
      <c r="L463" t="s">
        <v>20</v>
      </c>
      <c r="M463" t="s">
        <v>1013</v>
      </c>
      <c r="N463" t="s">
        <v>14</v>
      </c>
    </row>
    <row r="464" x14ac:dyDescent="0.25">
      <c r="A464" t="n">
        <v>25</v>
      </c>
      <c r="B464" t="s">
        <v>14</v>
      </c>
      <c r="C464" t="s">
        <v>22</v>
      </c>
      <c r="D464" s="2" t="s">
        <f>=HYPERLINK("https://main.knesset.gov.il/APPS/legislation/main/bills/2235727", "הצעת חוק יסודות התקציב (תיקון - תמיכה בתאגידי חינוך חרדיים), התשפ""ו-2025")</f>
        <v>1017</v>
      </c>
      <c r="E464" t="s">
        <v>1017</v>
      </c>
      <c r="F464" t="s">
        <v>1018</v>
      </c>
      <c r="G464" t="s">
        <v>14</v>
      </c>
      <c r="H464">
             </c>
      <c r="I464" t="s">
        <v>14</v>
      </c>
      <c r="J464" t="s">
        <v>55</v>
      </c>
      <c r="K464" t="s">
        <v>14</v>
      </c>
      <c r="L464" t="s">
        <v>20</v>
      </c>
      <c r="M464" t="s">
        <v>1013</v>
      </c>
      <c r="N464" t="s">
        <v>14</v>
      </c>
    </row>
    <row r="465" x14ac:dyDescent="0.25">
      <c r="A465" t="n">
        <v>25</v>
      </c>
      <c r="B465" t="s">
        <v>14</v>
      </c>
      <c r="C465" t="s">
        <v>22</v>
      </c>
      <c r="D465" s="2" t="s">
        <f>=HYPERLINK("https://main.knesset.gov.il/APPS/legislation/main/bills/2233991", "הצעת חוק להגדרת רצועת עזה כאזור עוין ואיסור יחסי מסחר, התשפ""ה-2025")</f>
        <v>1019</v>
      </c>
      <c r="E465" t="s">
        <v>1019</v>
      </c>
      <c r="F465" t="s">
        <v>1020</v>
      </c>
      <c r="G465" t="s">
        <v>14</v>
      </c>
      <c r="H465">
             </c>
      <c r="I465" t="s">
        <v>14</v>
      </c>
      <c r="J465" t="s">
        <v>55</v>
      </c>
      <c r="K465" t="s">
        <v>14</v>
      </c>
      <c r="L465" t="s">
        <v>20</v>
      </c>
      <c r="M465" t="s">
        <v>1013</v>
      </c>
      <c r="N465" t="s">
        <v>14</v>
      </c>
    </row>
    <row r="466" x14ac:dyDescent="0.25">
      <c r="A466" t="n">
        <v>25</v>
      </c>
      <c r="B466" t="s">
        <v>14</v>
      </c>
      <c r="C466" t="s">
        <v>22</v>
      </c>
      <c r="D466" s="2" t="s">
        <f>=HYPERLINK("https://main.knesset.gov.il/APPS/legislation/main/bills/2232219", "הצעת חוק העונשין (תיקון - הגדרת סוכן חוץ), התשפ""ה-2025")</f>
        <v>1021</v>
      </c>
      <c r="E466" t="s">
        <v>1021</v>
      </c>
      <c r="F466" t="s">
        <v>1022</v>
      </c>
      <c r="G466" t="s">
        <v>14</v>
      </c>
      <c r="H466">
             </c>
      <c r="I466" t="s">
        <v>14</v>
      </c>
      <c r="J466" t="s">
        <v>55</v>
      </c>
      <c r="K466" t="s">
        <v>14</v>
      </c>
      <c r="L466" t="s">
        <v>20</v>
      </c>
      <c r="M466" t="s">
        <v>1013</v>
      </c>
      <c r="N466" t="s">
        <v>14</v>
      </c>
    </row>
    <row r="467" x14ac:dyDescent="0.25">
      <c r="A467" t="n">
        <v>25</v>
      </c>
      <c r="B467" t="s">
        <v>14</v>
      </c>
      <c r="C467" t="s">
        <v>15</v>
      </c>
      <c r="D467" s="2" t="s">
        <f>=HYPERLINK("https://main.knesset.gov.il/APPS/legislation/main/bills/1046353", "חוק תאגידי מים וביוב (תיקון מס' 19), התשפ""ו-2026")</f>
        <v>1023</v>
      </c>
      <c r="E467" t="s">
        <v>1023</v>
      </c>
      <c r="F467" t="s">
        <v>14</v>
      </c>
      <c r="G467" t="s">
        <v>1024</v>
      </c>
      <c r="H467" t="n">
        <v>3498</v>
      </c>
      <c r="I467" t="s">
        <v>14</v>
      </c>
      <c r="J467" t="s">
        <v>91</v>
      </c>
      <c r="K467" t="s">
        <v>19</v>
      </c>
      <c r="L467" t="s">
        <v>20</v>
      </c>
      <c r="M467" t="s">
        <v>1025</v>
      </c>
      <c r="N467" t="s">
        <v>1026</v>
      </c>
    </row>
    <row r="468" x14ac:dyDescent="0.25">
      <c r="A468" t="n">
        <v>25</v>
      </c>
      <c r="B468" t="s">
        <v>14</v>
      </c>
      <c r="C468" t="s">
        <v>22</v>
      </c>
      <c r="D468" s="2" t="s">
        <f>=HYPERLINK("https://main.knesset.gov.il/APPS/legislation/main/bills/2240257", "הצעת חוק שיקום מתמודדי נפש בקהילה (תיקון - תוכנית השיקום ומימושה), התשפ""ו-2026")</f>
        <v>1027</v>
      </c>
      <c r="E468" t="s">
        <v>1027</v>
      </c>
      <c r="F468" t="s">
        <v>1028</v>
      </c>
      <c r="G468" t="s">
        <v>14</v>
      </c>
      <c r="H468">
             </c>
      <c r="I468" t="s">
        <v>14</v>
      </c>
      <c r="J468" t="s">
        <v>141</v>
      </c>
      <c r="K468" t="s">
        <v>14</v>
      </c>
      <c r="L468" t="s">
        <v>20</v>
      </c>
      <c r="M468" t="s">
        <v>1025</v>
      </c>
      <c r="N468" t="s">
        <v>14</v>
      </c>
    </row>
    <row r="469" x14ac:dyDescent="0.25">
      <c r="A469" t="n">
        <v>25</v>
      </c>
      <c r="B469" t="s">
        <v>14</v>
      </c>
      <c r="C469" t="s">
        <v>22</v>
      </c>
      <c r="D469" s="2" t="s">
        <f>=HYPERLINK("https://main.knesset.gov.il/APPS/legislation/main/bills/2238836", "הצעת חוק נישואים אזרחיים, התשפ""ו-2026")</f>
        <v>1029</v>
      </c>
      <c r="E469" t="s">
        <v>1029</v>
      </c>
      <c r="F469" t="s">
        <v>1030</v>
      </c>
      <c r="G469" t="s">
        <v>14</v>
      </c>
      <c r="H469">
             </c>
      <c r="I469" t="s">
        <v>14</v>
      </c>
      <c r="J469" t="s">
        <v>141</v>
      </c>
      <c r="K469" t="s">
        <v>14</v>
      </c>
      <c r="L469" t="s">
        <v>20</v>
      </c>
      <c r="M469" t="s">
        <v>1025</v>
      </c>
      <c r="N469" t="s">
        <v>14</v>
      </c>
    </row>
    <row r="470" x14ac:dyDescent="0.25">
      <c r="A470" t="n">
        <v>25</v>
      </c>
      <c r="B470" t="s">
        <v>14</v>
      </c>
      <c r="C470" t="s">
        <v>22</v>
      </c>
      <c r="D470" s="2" t="s">
        <f>=HYPERLINK("https://main.knesset.gov.il/APPS/legislation/main/bills/2239219", "הצעת חוק שקיפות בשימוש באמצעים אוטומטיים בפעילות פוליטית מקוונת (הוראת שעה), התשפ״ו-2026")</f>
        <v>1031</v>
      </c>
      <c r="E470" t="s">
        <v>1031</v>
      </c>
      <c r="F470" t="s">
        <v>1032</v>
      </c>
      <c r="G470" t="s">
        <v>14</v>
      </c>
      <c r="H470">
             </c>
      <c r="I470" t="s">
        <v>14</v>
      </c>
      <c r="J470" t="s">
        <v>141</v>
      </c>
      <c r="K470" t="s">
        <v>14</v>
      </c>
      <c r="L470" t="s">
        <v>20</v>
      </c>
      <c r="M470" t="s">
        <v>1025</v>
      </c>
      <c r="N470" t="s">
        <v>14</v>
      </c>
    </row>
    <row r="471" x14ac:dyDescent="0.25">
      <c r="A471" t="n">
        <v>25</v>
      </c>
      <c r="B471" t="s">
        <v>14</v>
      </c>
      <c r="C471" t="s">
        <v>22</v>
      </c>
      <c r="D471" s="2" t="s">
        <f>=HYPERLINK("https://main.knesset.gov.il/APPS/legislation/main/bills/2239034", "הצעת חוק לתיקון פקודת העיריות (תקופת כהונה של יועץ משפטי), התשפ״ו-2026")</f>
        <v>1033</v>
      </c>
      <c r="E471" t="s">
        <v>1033</v>
      </c>
      <c r="F471" t="s">
        <v>1034</v>
      </c>
      <c r="G471" t="s">
        <v>14</v>
      </c>
      <c r="H471">
             </c>
      <c r="I471" t="s">
        <v>14</v>
      </c>
      <c r="J471" t="s">
        <v>141</v>
      </c>
      <c r="K471" t="s">
        <v>14</v>
      </c>
      <c r="L471" t="s">
        <v>20</v>
      </c>
      <c r="M471" t="s">
        <v>1025</v>
      </c>
      <c r="N471" t="s">
        <v>14</v>
      </c>
    </row>
    <row r="472" x14ac:dyDescent="0.25">
      <c r="A472" t="n">
        <v>25</v>
      </c>
      <c r="B472" t="s">
        <v>14</v>
      </c>
      <c r="C472" t="s">
        <v>22</v>
      </c>
      <c r="D472" s="2" t="s">
        <f>=HYPERLINK("https://main.knesset.gov.il/APPS/legislation/main/bills/2240150", "הצעת חוק הביטוח הלאומי (תיקון - גמלת שאירים לאלמנה שנישאה מחדש), התשפ""ו-2026")</f>
        <v>1035</v>
      </c>
      <c r="E472" t="s">
        <v>1035</v>
      </c>
      <c r="F472" t="s">
        <v>1036</v>
      </c>
      <c r="G472" t="s">
        <v>14</v>
      </c>
      <c r="H472">
             </c>
      <c r="I472" t="s">
        <v>14</v>
      </c>
      <c r="J472" t="s">
        <v>141</v>
      </c>
      <c r="K472" t="s">
        <v>14</v>
      </c>
      <c r="L472" t="s">
        <v>20</v>
      </c>
      <c r="M472" t="s">
        <v>1025</v>
      </c>
      <c r="N472" t="s">
        <v>14</v>
      </c>
    </row>
    <row r="473" x14ac:dyDescent="0.25">
      <c r="A473" t="n">
        <v>25</v>
      </c>
      <c r="B473" t="s">
        <v>14</v>
      </c>
      <c r="C473" t="s">
        <v>22</v>
      </c>
      <c r="D473" s="2" t="s">
        <f>=HYPERLINK("https://main.knesset.gov.il/APPS/legislation/main/bills/2239657", "הצעת חוק המוסד העליון ללשון העברית (תיקון - מעמד החלטות המוסד וועדת השמות הממשלתית), התשפ""ו-2026")</f>
        <v>1037</v>
      </c>
      <c r="E473" t="s">
        <v>1037</v>
      </c>
      <c r="F473" t="s">
        <v>1038</v>
      </c>
      <c r="G473" t="s">
        <v>14</v>
      </c>
      <c r="H473">
             </c>
      <c r="I473" t="s">
        <v>14</v>
      </c>
      <c r="J473" t="s">
        <v>141</v>
      </c>
      <c r="K473" t="s">
        <v>14</v>
      </c>
      <c r="L473" t="s">
        <v>20</v>
      </c>
      <c r="M473" t="s">
        <v>1025</v>
      </c>
      <c r="N473" t="s">
        <v>14</v>
      </c>
    </row>
    <row r="474" x14ac:dyDescent="0.25">
      <c r="A474" t="n">
        <v>25</v>
      </c>
      <c r="B474" t="s">
        <v>14</v>
      </c>
      <c r="C474" t="s">
        <v>22</v>
      </c>
      <c r="D474" s="2" t="s">
        <f>=HYPERLINK("https://main.knesset.gov.il/APPS/legislation/main/bills/2240082", "הצעת חוק איסור טיפול המרה לקטין, התשפ""ו-2026 ‏  ")</f>
        <v>1039</v>
      </c>
      <c r="E474" t="s">
        <v>1039</v>
      </c>
      <c r="F474" t="s">
        <v>1040</v>
      </c>
      <c r="G474" t="s">
        <v>14</v>
      </c>
      <c r="H474">
             </c>
      <c r="I474" t="s">
        <v>14</v>
      </c>
      <c r="J474" t="s">
        <v>141</v>
      </c>
      <c r="K474" t="s">
        <v>14</v>
      </c>
      <c r="L474" t="s">
        <v>20</v>
      </c>
      <c r="M474" t="s">
        <v>1025</v>
      </c>
      <c r="N474" t="s">
        <v>14</v>
      </c>
    </row>
    <row r="475" x14ac:dyDescent="0.25">
      <c r="A475" t="n">
        <v>25</v>
      </c>
      <c r="B475" t="s">
        <v>14</v>
      </c>
      <c r="C475" t="s">
        <v>22</v>
      </c>
      <c r="D475" s="2" t="s">
        <f>=HYPERLINK("https://main.knesset.gov.il/APPS/legislation/main/bills/2240064", "הצעת חוק העונשין (תיקון - השחתת מודעות על רקע מגדר), התשפ""ו-2026")</f>
        <v>229</v>
      </c>
      <c r="E475" t="s">
        <v>229</v>
      </c>
      <c r="F475" t="s">
        <v>1041</v>
      </c>
      <c r="G475" t="s">
        <v>14</v>
      </c>
      <c r="H475">
             </c>
      <c r="I475" t="s">
        <v>14</v>
      </c>
      <c r="J475" t="s">
        <v>141</v>
      </c>
      <c r="K475" t="s">
        <v>14</v>
      </c>
      <c r="L475" t="s">
        <v>20</v>
      </c>
      <c r="M475" t="s">
        <v>1025</v>
      </c>
      <c r="N475" t="s">
        <v>14</v>
      </c>
    </row>
    <row r="476" x14ac:dyDescent="0.25">
      <c r="A476" t="n">
        <v>25</v>
      </c>
      <c r="B476" t="s">
        <v>14</v>
      </c>
      <c r="C476" t="s">
        <v>22</v>
      </c>
      <c r="D476" s="2" t="s">
        <f>=HYPERLINK("https://main.knesset.gov.il/APPS/legislation/main/bills/2239156", "הצעת חוק שימור פוריות לאלמנות של חיילים שנספו, התשפ""ו-2026")</f>
        <v>1042</v>
      </c>
      <c r="E476" t="s">
        <v>1042</v>
      </c>
      <c r="F476" t="s">
        <v>1043</v>
      </c>
      <c r="G476" t="s">
        <v>14</v>
      </c>
      <c r="H476">
             </c>
      <c r="I476" t="s">
        <v>14</v>
      </c>
      <c r="J476" t="s">
        <v>141</v>
      </c>
      <c r="K476" t="s">
        <v>14</v>
      </c>
      <c r="L476" t="s">
        <v>20</v>
      </c>
      <c r="M476" t="s">
        <v>1025</v>
      </c>
      <c r="N476" t="s">
        <v>14</v>
      </c>
    </row>
    <row r="477" x14ac:dyDescent="0.25">
      <c r="A477" t="n">
        <v>25</v>
      </c>
      <c r="B477" t="s">
        <v>14</v>
      </c>
      <c r="C477" t="s">
        <v>22</v>
      </c>
      <c r="D477" s="2" t="s">
        <f>=HYPERLINK("https://main.knesset.gov.il/APPS/legislation/main/bills/2239229", "הצעת חוק הרשויות המקומיות (מימון בחירות) (תיקון - ייצוג נשים ברשות המקומית), התשפ""ו-2026")</f>
        <v>1044</v>
      </c>
      <c r="E477" t="s">
        <v>1044</v>
      </c>
      <c r="F477" t="s">
        <v>1045</v>
      </c>
      <c r="G477" t="s">
        <v>14</v>
      </c>
      <c r="H477">
             </c>
      <c r="I477" t="s">
        <v>14</v>
      </c>
      <c r="J477" t="s">
        <v>343</v>
      </c>
      <c r="K477" t="s">
        <v>14</v>
      </c>
      <c r="L477" t="s">
        <v>20</v>
      </c>
      <c r="M477" t="s">
        <v>1025</v>
      </c>
      <c r="N477" t="s">
        <v>14</v>
      </c>
    </row>
    <row r="478" x14ac:dyDescent="0.25">
      <c r="A478" t="n">
        <v>25</v>
      </c>
      <c r="B478" t="s">
        <v>14</v>
      </c>
      <c r="C478" t="s">
        <v>22</v>
      </c>
      <c r="D478" s="2" t="s">
        <f>=HYPERLINK("https://main.knesset.gov.il/APPS/legislation/main/bills/2236554", "הצעת חוק הפיקוח על שירותים פיננסיים (ביטוח) (תיקון - כתב שירות ללא מעורבות מבטח) (הוראת שעה), התשפ""ו-2026")</f>
        <v>254</v>
      </c>
      <c r="E478" t="s">
        <v>254</v>
      </c>
      <c r="F478" t="s">
        <v>1046</v>
      </c>
      <c r="G478" t="s">
        <v>14</v>
      </c>
      <c r="H478">
             </c>
      <c r="I478" t="s">
        <v>14</v>
      </c>
      <c r="J478" t="s">
        <v>141</v>
      </c>
      <c r="K478" t="s">
        <v>14</v>
      </c>
      <c r="L478" t="s">
        <v>20</v>
      </c>
      <c r="M478" t="s">
        <v>1025</v>
      </c>
      <c r="N478" t="s">
        <v>14</v>
      </c>
    </row>
    <row r="479" x14ac:dyDescent="0.25">
      <c r="A479" t="n">
        <v>25</v>
      </c>
      <c r="B479" t="s">
        <v>14</v>
      </c>
      <c r="C479" t="s">
        <v>22</v>
      </c>
      <c r="D479" s="2" t="s">
        <f>=HYPERLINK("https://main.knesset.gov.il/APPS/legislation/main/bills/2240147", "הצעת חוק-יסוד: הכנסת (תיקון - ייצוג הולם לנשים ברשימת מועמדים לכנסת)")</f>
        <v>1047</v>
      </c>
      <c r="E479" t="s">
        <v>1047</v>
      </c>
      <c r="F479" t="s">
        <v>1048</v>
      </c>
      <c r="G479" t="s">
        <v>14</v>
      </c>
      <c r="H479">
             </c>
      <c r="I479" t="s">
        <v>14</v>
      </c>
      <c r="J479" t="s">
        <v>141</v>
      </c>
      <c r="K479" t="s">
        <v>14</v>
      </c>
      <c r="L479" t="s">
        <v>20</v>
      </c>
      <c r="M479" t="s">
        <v>1025</v>
      </c>
      <c r="N479" t="s">
        <v>14</v>
      </c>
    </row>
    <row r="480" x14ac:dyDescent="0.25">
      <c r="A480" t="n">
        <v>25</v>
      </c>
      <c r="B480" t="s">
        <v>14</v>
      </c>
      <c r="C480" t="s">
        <v>22</v>
      </c>
      <c r="D480" s="2" t="s">
        <f>=HYPERLINK("https://main.knesset.gov.il/APPS/legislation/main/bills/2239594", "הצעת חוק הנכים (תגמולים ושיקום) (תיקון - התאמה של שירותי אגף השיקום לנכים מהציבור הדתי והחרדי), התשפ""ו-2026")</f>
        <v>1049</v>
      </c>
      <c r="E480" t="s">
        <v>1049</v>
      </c>
      <c r="F480" t="s">
        <v>1050</v>
      </c>
      <c r="G480" t="s">
        <v>14</v>
      </c>
      <c r="H480">
             </c>
      <c r="I480" t="s">
        <v>14</v>
      </c>
      <c r="J480" t="s">
        <v>141</v>
      </c>
      <c r="K480" t="s">
        <v>14</v>
      </c>
      <c r="L480" t="s">
        <v>20</v>
      </c>
      <c r="M480" t="s">
        <v>1025</v>
      </c>
      <c r="N480" t="s">
        <v>14</v>
      </c>
    </row>
    <row r="481" x14ac:dyDescent="0.25">
      <c r="A481" t="n">
        <v>25</v>
      </c>
      <c r="B481" t="s">
        <v>14</v>
      </c>
      <c r="C481" t="s">
        <v>22</v>
      </c>
      <c r="D481" s="2" t="s">
        <f>=HYPERLINK("https://main.knesset.gov.il/APPS/legislation/main/bills/2239945", "הצעת חוק הסיוע המשפטי (תיקון - פטור מעמידה במבחן הכנסה לשם סיוע משפטי להלומי קרב), התשפ""ו-2026")</f>
        <v>1051</v>
      </c>
      <c r="E481" t="s">
        <v>1051</v>
      </c>
      <c r="F481" t="s">
        <v>1052</v>
      </c>
      <c r="G481" t="s">
        <v>14</v>
      </c>
      <c r="H481">
             </c>
      <c r="I481" t="s">
        <v>14</v>
      </c>
      <c r="J481" t="s">
        <v>141</v>
      </c>
      <c r="K481" t="s">
        <v>14</v>
      </c>
      <c r="L481" t="s">
        <v>20</v>
      </c>
      <c r="M481" t="s">
        <v>1025</v>
      </c>
      <c r="N481" t="s">
        <v>14</v>
      </c>
    </row>
    <row r="482" x14ac:dyDescent="0.25">
      <c r="A482" t="n">
        <v>25</v>
      </c>
      <c r="B482" t="s">
        <v>14</v>
      </c>
      <c r="C482" t="s">
        <v>22</v>
      </c>
      <c r="D482" s="2" t="s">
        <f>=HYPERLINK("https://main.knesset.gov.il/APPS/legislation/main/bills/2239685", "הצעת חוק הסיוע המשפטי (תיקון - פטור מעמידה במבחן הכנסה לשם סיוע משפטי להלומי קרב), התשפ""ו-2026")</f>
        <v>1051</v>
      </c>
      <c r="E482" t="s">
        <v>1051</v>
      </c>
      <c r="F482" t="s">
        <v>1053</v>
      </c>
      <c r="G482" t="s">
        <v>14</v>
      </c>
      <c r="H482">
             </c>
      <c r="I482" t="s">
        <v>14</v>
      </c>
      <c r="J482" t="s">
        <v>141</v>
      </c>
      <c r="K482" t="s">
        <v>14</v>
      </c>
      <c r="L482" t="s">
        <v>20</v>
      </c>
      <c r="M482" t="s">
        <v>1025</v>
      </c>
      <c r="N482" t="s">
        <v>14</v>
      </c>
    </row>
    <row r="483" x14ac:dyDescent="0.25">
      <c r="A483" t="n">
        <v>25</v>
      </c>
      <c r="B483" t="s">
        <v>14</v>
      </c>
      <c r="C483" t="s">
        <v>22</v>
      </c>
      <c r="D483" s="2" t="s">
        <f>=HYPERLINK("https://main.knesset.gov.il/APPS/legislation/main/bills/2234009", "הצעת חוק לתיקון פקודת המשטרה (הסדרת הפעלת מכת""זית ותיעוד חזותי של ההפעלה), התשפ""ה-2025")</f>
        <v>1054</v>
      </c>
      <c r="E483" t="s">
        <v>1054</v>
      </c>
      <c r="F483" t="s">
        <v>1055</v>
      </c>
      <c r="G483" t="s">
        <v>14</v>
      </c>
      <c r="H483">
             </c>
      <c r="I483" t="s">
        <v>14</v>
      </c>
      <c r="J483" t="s">
        <v>99</v>
      </c>
      <c r="K483" t="s">
        <v>105</v>
      </c>
      <c r="L483" t="s">
        <v>20</v>
      </c>
      <c r="M483" t="s">
        <v>1056</v>
      </c>
      <c r="N483" t="s">
        <v>14</v>
      </c>
    </row>
    <row r="484" x14ac:dyDescent="0.25">
      <c r="A484" t="n">
        <v>25</v>
      </c>
      <c r="B484" t="s">
        <v>14</v>
      </c>
      <c r="C484" t="s">
        <v>22</v>
      </c>
      <c r="D484" s="2" t="s">
        <f>=HYPERLINK("https://main.knesset.gov.il/APPS/legislation/main/bills/2229800", "הצעת חוק לתיקון פקודת המשטרה (הסדרת הפעלת מכת""זית ותיעוד חזותי של ההפעלה), התשפ""ה-2025")</f>
        <v>1054</v>
      </c>
      <c r="E484" t="s">
        <v>1054</v>
      </c>
      <c r="F484" t="s">
        <v>1057</v>
      </c>
      <c r="G484" t="s">
        <v>14</v>
      </c>
      <c r="H484">
             </c>
      <c r="I484" t="s">
        <v>14</v>
      </c>
      <c r="J484" t="s">
        <v>99</v>
      </c>
      <c r="K484" t="s">
        <v>105</v>
      </c>
      <c r="L484" t="s">
        <v>20</v>
      </c>
      <c r="M484" t="s">
        <v>1056</v>
      </c>
      <c r="N484" t="s">
        <v>14</v>
      </c>
    </row>
    <row r="485" x14ac:dyDescent="0.25">
      <c r="A485" t="n">
        <v>25</v>
      </c>
      <c r="B485" t="s">
        <v>14</v>
      </c>
      <c r="C485" t="s">
        <v>22</v>
      </c>
      <c r="D485" s="2" t="s">
        <f>=HYPERLINK("https://main.knesset.gov.il/APPS/legislation/main/bills/2209538", "הצעת חוק לתיקון פקודת המשטרה (תיעוד חזותי של השימוש באמצעים לפיזור הפגנות), התשפ""ד-2023")</f>
        <v>1058</v>
      </c>
      <c r="E485" t="s">
        <v>1058</v>
      </c>
      <c r="F485" t="s">
        <v>1059</v>
      </c>
      <c r="G485" t="s">
        <v>14</v>
      </c>
      <c r="H485">
             </c>
      <c r="I485" t="s">
        <v>14</v>
      </c>
      <c r="J485" t="s">
        <v>99</v>
      </c>
      <c r="K485" t="s">
        <v>105</v>
      </c>
      <c r="L485" t="s">
        <v>20</v>
      </c>
      <c r="M485" t="s">
        <v>1056</v>
      </c>
      <c r="N485" t="s">
        <v>14</v>
      </c>
    </row>
    <row r="486" x14ac:dyDescent="0.25">
      <c r="A486" t="n">
        <v>25</v>
      </c>
      <c r="B486" t="s">
        <v>14</v>
      </c>
      <c r="C486" t="s">
        <v>22</v>
      </c>
      <c r="D486" s="2" t="s">
        <f>=HYPERLINK("https://main.knesset.gov.il/APPS/legislation/main/bills/2209053", "הצעת חוק לתיקון פקודת המשטרה (תיעוד חזותי של השימוש באמצעים לפיזור הפגנות), התשפ""ג-2023")</f>
        <v>1060</v>
      </c>
      <c r="E486" t="s">
        <v>1060</v>
      </c>
      <c r="F486" t="s">
        <v>1061</v>
      </c>
      <c r="G486" t="s">
        <v>14</v>
      </c>
      <c r="H486">
             </c>
      <c r="I486" t="s">
        <v>14</v>
      </c>
      <c r="J486" t="s">
        <v>99</v>
      </c>
      <c r="K486" t="s">
        <v>105</v>
      </c>
      <c r="L486" t="s">
        <v>20</v>
      </c>
      <c r="M486" t="s">
        <v>1056</v>
      </c>
      <c r="N486" t="s">
        <v>14</v>
      </c>
    </row>
    <row r="487" x14ac:dyDescent="0.25">
      <c r="A487" t="n">
        <v>25</v>
      </c>
      <c r="B487" t="s">
        <v>14</v>
      </c>
      <c r="C487" t="s">
        <v>22</v>
      </c>
      <c r="D487" s="2" t="s">
        <f>=HYPERLINK("https://main.knesset.gov.il/APPS/legislation/main/bills/2196986", "הצעת חוק לתיקון פקודת המשטרה (תיעוד חזותי של השימוש במכת""זית), התשפ""ג-2022")</f>
        <v>1062</v>
      </c>
      <c r="E487" t="s">
        <v>1062</v>
      </c>
      <c r="F487" t="s">
        <v>1063</v>
      </c>
      <c r="G487" t="s">
        <v>14</v>
      </c>
      <c r="H487">
             </c>
      <c r="I487" t="s">
        <v>14</v>
      </c>
      <c r="J487" t="s">
        <v>99</v>
      </c>
      <c r="K487" t="s">
        <v>105</v>
      </c>
      <c r="L487" t="s">
        <v>20</v>
      </c>
      <c r="M487" t="s">
        <v>1056</v>
      </c>
      <c r="N487" t="s">
        <v>14</v>
      </c>
    </row>
    <row r="488" x14ac:dyDescent="0.25">
      <c r="A488" t="n">
        <v>25</v>
      </c>
      <c r="B488" t="s">
        <v>14</v>
      </c>
      <c r="C488" t="s">
        <v>22</v>
      </c>
      <c r="D488" s="2" t="s">
        <f>=HYPERLINK("https://main.knesset.gov.il/APPS/legislation/main/bills/2226985", "חוק המועצה לענף הלול (ייצור ושיווק) (תיקון מס' 18 והוראת שעה) (תיקון), התשפ""ו–2026")</f>
        <v>1064</v>
      </c>
      <c r="E488" t="s">
        <v>1064</v>
      </c>
      <c r="F488" t="s">
        <v>1065</v>
      </c>
      <c r="G488" t="s">
        <v>1066</v>
      </c>
      <c r="H488" t="n">
        <v>3497</v>
      </c>
      <c r="I488" t="s">
        <v>14</v>
      </c>
      <c r="J488" t="s">
        <v>91</v>
      </c>
      <c r="K488" t="s">
        <v>19</v>
      </c>
      <c r="L488" t="s">
        <v>20</v>
      </c>
      <c r="M488" t="s">
        <v>1056</v>
      </c>
      <c r="N488" t="s">
        <v>1067</v>
      </c>
    </row>
    <row r="489" x14ac:dyDescent="0.25">
      <c r="A489" t="n">
        <v>25</v>
      </c>
      <c r="B489" t="s">
        <v>14</v>
      </c>
      <c r="C489" t="s">
        <v>22</v>
      </c>
      <c r="D489" s="2" t="s">
        <f>=HYPERLINK("https://main.knesset.gov.il/APPS/legislation/main/bills/2227749", "חוק איסור אלימות בספורט (תיקון מס' 4), התשפ""ו–2026")</f>
        <v>1068</v>
      </c>
      <c r="E489" t="s">
        <v>1068</v>
      </c>
      <c r="F489" t="s">
        <v>1069</v>
      </c>
      <c r="G489" t="s">
        <v>1070</v>
      </c>
      <c r="H489" t="n">
        <v>3496</v>
      </c>
      <c r="I489" t="s">
        <v>14</v>
      </c>
      <c r="J489" t="s">
        <v>91</v>
      </c>
      <c r="K489" t="s">
        <v>105</v>
      </c>
      <c r="L489" t="s">
        <v>20</v>
      </c>
      <c r="M489" t="s">
        <v>1056</v>
      </c>
      <c r="N489" t="s">
        <v>1071</v>
      </c>
    </row>
    <row r="490" x14ac:dyDescent="0.25">
      <c r="A490" t="n">
        <v>25</v>
      </c>
      <c r="B490" t="s">
        <v>14</v>
      </c>
      <c r="C490" t="s">
        <v>22</v>
      </c>
      <c r="D490" s="2" t="s">
        <f>=HYPERLINK("https://main.knesset.gov.il/APPS/legislation/main/bills/2236601", "הצעת חוק זכויות החולה (תיקון - מסירת מידע למניעת פגיעה), התשפ""ו-2025")</f>
        <v>1072</v>
      </c>
      <c r="E490" t="s">
        <v>1072</v>
      </c>
      <c r="F490" t="s">
        <v>1073</v>
      </c>
      <c r="G490" t="s">
        <v>14</v>
      </c>
      <c r="H490">
             </c>
      <c r="I490" t="s">
        <v>14</v>
      </c>
      <c r="J490" t="s">
        <v>343</v>
      </c>
      <c r="K490" t="s">
        <v>14</v>
      </c>
      <c r="L490" t="s">
        <v>20</v>
      </c>
      <c r="M490" t="s">
        <v>1056</v>
      </c>
      <c r="N490" t="s">
        <v>14</v>
      </c>
    </row>
    <row r="491" x14ac:dyDescent="0.25">
      <c r="A491" t="n">
        <v>25</v>
      </c>
      <c r="B491" t="s">
        <v>14</v>
      </c>
      <c r="C491" t="s">
        <v>22</v>
      </c>
      <c r="D491" s="2" t="s">
        <f>=HYPERLINK("https://main.knesset.gov.il/APPS/legislation/main/bills/2237195", "הצעת חוק לתיקון פקודת בריאות העם (מרכזים אקוטיים), התשפ""ו-2025")</f>
        <v>1074</v>
      </c>
      <c r="E491" t="s">
        <v>1074</v>
      </c>
      <c r="F491" t="s">
        <v>1075</v>
      </c>
      <c r="G491" t="s">
        <v>14</v>
      </c>
      <c r="H491">
             </c>
      <c r="I491" t="s">
        <v>14</v>
      </c>
      <c r="J491" t="s">
        <v>55</v>
      </c>
      <c r="K491" t="s">
        <v>14</v>
      </c>
      <c r="L491" t="s">
        <v>20</v>
      </c>
      <c r="M491" t="s">
        <v>1056</v>
      </c>
      <c r="N491" t="s">
        <v>14</v>
      </c>
    </row>
    <row r="492" x14ac:dyDescent="0.25">
      <c r="A492" t="n">
        <v>25</v>
      </c>
      <c r="B492" t="s">
        <v>14</v>
      </c>
      <c r="C492" t="s">
        <v>22</v>
      </c>
      <c r="D492" s="2" t="s">
        <f>=HYPERLINK("https://main.knesset.gov.il/APPS/legislation/main/bills/2235821", "הצעת חוק כביש אגרה (כביש ארצי לישראל) (תיקון - תשלום מופחת לתושבי אזורי עדיפות לאומית), התשפ""ו-2025")</f>
        <v>1076</v>
      </c>
      <c r="E492" t="s">
        <v>1076</v>
      </c>
      <c r="F492" t="s">
        <v>1077</v>
      </c>
      <c r="G492" t="s">
        <v>14</v>
      </c>
      <c r="H492">
             </c>
      <c r="I492" t="s">
        <v>14</v>
      </c>
      <c r="J492" t="s">
        <v>55</v>
      </c>
      <c r="K492" t="s">
        <v>14</v>
      </c>
      <c r="L492" t="s">
        <v>20</v>
      </c>
      <c r="M492" t="s">
        <v>1056</v>
      </c>
      <c r="N492" t="s">
        <v>14</v>
      </c>
    </row>
    <row r="493" x14ac:dyDescent="0.25">
      <c r="A493" t="n">
        <v>25</v>
      </c>
      <c r="B493" t="s">
        <v>14</v>
      </c>
      <c r="C493" t="s">
        <v>22</v>
      </c>
      <c r="D493" s="2" t="s">
        <f>=HYPERLINK("https://main.knesset.gov.il/APPS/legislation/main/bills/2235556", "הצעת חוק ביטוח בריאות ממלכתי (תיקון - שירותי רפואת שיניים), התשפ""ו-2025")</f>
        <v>1078</v>
      </c>
      <c r="E493" t="s">
        <v>1078</v>
      </c>
      <c r="F493" t="s">
        <v>1079</v>
      </c>
      <c r="G493" t="s">
        <v>14</v>
      </c>
      <c r="H493">
             </c>
      <c r="I493" t="s">
        <v>14</v>
      </c>
      <c r="J493" t="s">
        <v>343</v>
      </c>
      <c r="K493" t="s">
        <v>14</v>
      </c>
      <c r="L493" t="s">
        <v>20</v>
      </c>
      <c r="M493" t="s">
        <v>1056</v>
      </c>
      <c r="N493" t="s">
        <v>14</v>
      </c>
    </row>
    <row r="494" x14ac:dyDescent="0.25">
      <c r="A494" t="n">
        <v>25</v>
      </c>
      <c r="B494" t="s">
        <v>14</v>
      </c>
      <c r="C494" t="s">
        <v>22</v>
      </c>
      <c r="D494" s="2" t="s">
        <f>=HYPERLINK("https://main.knesset.gov.il/APPS/legislation/main/bills/2234003", "הצעת חוק לתיקון פקודת המשטרה (מינוי קצינים), התשפ""ה-2025")</f>
        <v>1080</v>
      </c>
      <c r="E494" t="s">
        <v>1080</v>
      </c>
      <c r="F494" t="s">
        <v>1081</v>
      </c>
      <c r="G494" t="s">
        <v>14</v>
      </c>
      <c r="H494">
             </c>
      <c r="I494" t="s">
        <v>14</v>
      </c>
      <c r="J494" t="s">
        <v>55</v>
      </c>
      <c r="K494" t="s">
        <v>14</v>
      </c>
      <c r="L494" t="s">
        <v>20</v>
      </c>
      <c r="M494" t="s">
        <v>1056</v>
      </c>
      <c r="N494" t="s">
        <v>14</v>
      </c>
    </row>
    <row r="495" x14ac:dyDescent="0.25">
      <c r="A495" t="n">
        <v>25</v>
      </c>
      <c r="B495" t="s">
        <v>14</v>
      </c>
      <c r="C495" t="s">
        <v>22</v>
      </c>
      <c r="D495" s="2" t="s">
        <f>=HYPERLINK("https://main.knesset.gov.il/APPS/legislation/main/bills/2232189", "הצעת חוק שירות ביטחון (תיקון - עיצום כספי), התשפ""ה-2025")</f>
        <v>1082</v>
      </c>
      <c r="E495" t="s">
        <v>1082</v>
      </c>
      <c r="F495" t="s">
        <v>1083</v>
      </c>
      <c r="G495" t="s">
        <v>14</v>
      </c>
      <c r="H495">
             </c>
      <c r="I495" t="s">
        <v>14</v>
      </c>
      <c r="J495" t="s">
        <v>55</v>
      </c>
      <c r="K495" t="s">
        <v>14</v>
      </c>
      <c r="L495" t="s">
        <v>20</v>
      </c>
      <c r="M495" t="s">
        <v>1056</v>
      </c>
      <c r="N495" t="s">
        <v>14</v>
      </c>
    </row>
    <row r="496" x14ac:dyDescent="0.25">
      <c r="A496" t="n">
        <v>25</v>
      </c>
      <c r="B496" t="s">
        <v>14</v>
      </c>
      <c r="C496" t="s">
        <v>22</v>
      </c>
      <c r="D496" s="2" t="s">
        <f>=HYPERLINK("https://main.knesset.gov.il/APPS/legislation/main/bills/2232763", "הצעת חוק הביטוח הלאומי (תיקון - שלילת קצבת ילדים ממשפחות פוליגמיות), התשפ""ה-2025")</f>
        <v>1084</v>
      </c>
      <c r="E496" t="s">
        <v>1084</v>
      </c>
      <c r="F496" t="s">
        <v>1085</v>
      </c>
      <c r="G496" t="s">
        <v>14</v>
      </c>
      <c r="H496">
             </c>
      <c r="I496" t="s">
        <v>14</v>
      </c>
      <c r="J496" t="s">
        <v>31</v>
      </c>
      <c r="K496" t="s">
        <v>127</v>
      </c>
      <c r="L496" t="s">
        <v>20</v>
      </c>
      <c r="M496" t="s">
        <v>1056</v>
      </c>
      <c r="N496" t="s">
        <v>14</v>
      </c>
    </row>
    <row r="497" x14ac:dyDescent="0.25">
      <c r="A497" t="n">
        <v>25</v>
      </c>
      <c r="B497" t="s">
        <v>14</v>
      </c>
      <c r="C497" t="s">
        <v>22</v>
      </c>
      <c r="D497" s="2" t="s">
        <f>=HYPERLINK("https://main.knesset.gov.il/APPS/legislation/main/bills/2221104", "הצעת חוק מעמד המשרת בשירות צבאי, התשפ""ה-2024")</f>
        <v>1086</v>
      </c>
      <c r="E497" t="s">
        <v>1086</v>
      </c>
      <c r="F497" t="s">
        <v>1087</v>
      </c>
      <c r="G497" t="s">
        <v>14</v>
      </c>
      <c r="H497">
             </c>
      <c r="I497" t="s">
        <v>14</v>
      </c>
      <c r="J497" t="s">
        <v>55</v>
      </c>
      <c r="K497" t="s">
        <v>14</v>
      </c>
      <c r="L497" t="s">
        <v>20</v>
      </c>
      <c r="M497" t="s">
        <v>1056</v>
      </c>
      <c r="N497" t="s">
        <v>14</v>
      </c>
    </row>
    <row r="498" x14ac:dyDescent="0.25">
      <c r="A498" t="n">
        <v>25</v>
      </c>
      <c r="B498" t="s">
        <v>14</v>
      </c>
      <c r="C498" t="s">
        <v>22</v>
      </c>
      <c r="D498" s="2" t="s">
        <f>=HYPERLINK("https://main.knesset.gov.il/APPS/legislation/main/bills/2222437", "הצעת חוק הרשות הלאומית לתרבות ולשפה המרוקאית יהודית, התשפ""ה-2024")</f>
        <v>1088</v>
      </c>
      <c r="E498" t="s">
        <v>1088</v>
      </c>
      <c r="F498" t="s">
        <v>1089</v>
      </c>
      <c r="G498" t="s">
        <v>14</v>
      </c>
      <c r="H498">
             </c>
      <c r="I498" t="s">
        <v>14</v>
      </c>
      <c r="J498" t="s">
        <v>343</v>
      </c>
      <c r="K498" t="s">
        <v>14</v>
      </c>
      <c r="L498" t="s">
        <v>20</v>
      </c>
      <c r="M498" t="s">
        <v>1056</v>
      </c>
      <c r="N498" t="s">
        <v>14</v>
      </c>
    </row>
    <row r="499" x14ac:dyDescent="0.25">
      <c r="A499" t="n">
        <v>25</v>
      </c>
      <c r="B499" t="s">
        <v>14</v>
      </c>
      <c r="C499" t="s">
        <v>22</v>
      </c>
      <c r="D499" s="2" t="s">
        <f>=HYPERLINK("https://main.knesset.gov.il/APPS/legislation/main/bills/2209123", "הצעת חוק הרבנות הראשית לישראל (תיקון - רב ראשי אחד), התשפ""ג-2023")</f>
        <v>1090</v>
      </c>
      <c r="E499" t="s">
        <v>1090</v>
      </c>
      <c r="F499" t="s">
        <v>1091</v>
      </c>
      <c r="G499" t="s">
        <v>14</v>
      </c>
      <c r="H499">
             </c>
      <c r="I499" t="s">
        <v>14</v>
      </c>
      <c r="J499" t="s">
        <v>55</v>
      </c>
      <c r="K499" t="s">
        <v>14</v>
      </c>
      <c r="L499" t="s">
        <v>20</v>
      </c>
      <c r="M499" t="s">
        <v>1056</v>
      </c>
      <c r="N499" t="s">
        <v>14</v>
      </c>
    </row>
    <row r="500" x14ac:dyDescent="0.25">
      <c r="A500" t="n">
        <v>25</v>
      </c>
      <c r="B500" t="s">
        <v>14</v>
      </c>
      <c r="C500" t="s">
        <v>22</v>
      </c>
      <c r="D500" s="2" t="s">
        <f>=HYPERLINK("https://main.knesset.gov.il/APPS/legislation/main/bills/2203688", "הצעת חוק עובדים זרים (תיקון מס' 25) (חובת בדיקה של רישיון עובד זר), התשפ""ו–2026")</f>
        <v>1092</v>
      </c>
      <c r="E500" t="s">
        <v>1092</v>
      </c>
      <c r="F500" t="s">
        <v>1093</v>
      </c>
      <c r="G500" t="s">
        <v>1094</v>
      </c>
      <c r="H500">
             </c>
      <c r="I500" t="s">
        <v>26</v>
      </c>
      <c r="J500" t="s">
        <v>18</v>
      </c>
      <c r="K500" t="s">
        <v>127</v>
      </c>
      <c r="L500" t="s">
        <v>20</v>
      </c>
      <c r="M500" t="s">
        <v>1056</v>
      </c>
      <c r="N500" t="s">
        <v>14</v>
      </c>
    </row>
    <row r="501" x14ac:dyDescent="0.25">
      <c r="A501" t="n">
        <v>25</v>
      </c>
      <c r="B501" t="s">
        <v>14</v>
      </c>
      <c r="C501" t="s">
        <v>22</v>
      </c>
      <c r="D501" s="2" t="s">
        <f>=HYPERLINK("https://main.knesset.gov.il/APPS/legislation/main/bills/2197086", "הצעת חוק מדד לזכות לקיום אנושי בכבוד, התשפ""ג-2023")</f>
        <v>1095</v>
      </c>
      <c r="E501" t="s">
        <v>1095</v>
      </c>
      <c r="F501" t="s">
        <v>1096</v>
      </c>
      <c r="G501" t="s">
        <v>14</v>
      </c>
      <c r="H501">
             </c>
      <c r="I501" t="s">
        <v>14</v>
      </c>
      <c r="J501" t="s">
        <v>55</v>
      </c>
      <c r="K501" t="s">
        <v>14</v>
      </c>
      <c r="L501" t="s">
        <v>20</v>
      </c>
      <c r="M501" t="s">
        <v>1056</v>
      </c>
      <c r="N501" t="s">
        <v>14</v>
      </c>
    </row>
    <row r="502" x14ac:dyDescent="0.25">
      <c r="A502" t="n">
        <v>25</v>
      </c>
      <c r="B502" t="s">
        <v>14</v>
      </c>
      <c r="C502" t="s">
        <v>15</v>
      </c>
      <c r="D502" s="2" t="s">
        <f>=HYPERLINK("https://main.knesset.gov.il/APPS/legislation/main/bills/1041320", "הצעת חוק מורשי בטיחות באירועים מרובי קהל, התשפ""ו-2026")</f>
        <v>1097</v>
      </c>
      <c r="E502" t="s">
        <v>1097</v>
      </c>
      <c r="F502" t="s">
        <v>14</v>
      </c>
      <c r="G502" t="s">
        <v>1098</v>
      </c>
      <c r="H502">
             </c>
      <c r="I502" t="s">
        <v>14</v>
      </c>
      <c r="J502" t="s">
        <v>69</v>
      </c>
      <c r="K502" t="s">
        <v>14</v>
      </c>
      <c r="L502" t="s">
        <v>20</v>
      </c>
      <c r="M502" t="s">
        <v>1056</v>
      </c>
      <c r="N502" t="s">
        <v>14</v>
      </c>
    </row>
    <row r="503" x14ac:dyDescent="0.25">
      <c r="A503" t="n">
        <v>25</v>
      </c>
      <c r="B503" t="s">
        <v>14</v>
      </c>
      <c r="C503" t="s">
        <v>22</v>
      </c>
      <c r="D503" s="2" t="s">
        <f>=HYPERLINK("https://main.knesset.gov.il/APPS/legislation/main/bills/2197571", "חוק לתיקון פקודת התעבורה (מס' 136), התשפ""ה–2024")</f>
        <v>1099</v>
      </c>
      <c r="E503" t="s">
        <v>1099</v>
      </c>
      <c r="F503" t="s">
        <v>1100</v>
      </c>
      <c r="G503" t="s">
        <v>1101</v>
      </c>
      <c r="H503" t="n">
        <v>3326</v>
      </c>
      <c r="I503" t="s">
        <v>14</v>
      </c>
      <c r="J503" t="s">
        <v>91</v>
      </c>
      <c r="K503" t="s">
        <v>19</v>
      </c>
      <c r="L503" t="s">
        <v>20</v>
      </c>
      <c r="M503" t="s">
        <v>1102</v>
      </c>
      <c r="N503" t="s">
        <v>1103</v>
      </c>
    </row>
    <row r="504" x14ac:dyDescent="0.25">
      <c r="A504" t="n">
        <v>25</v>
      </c>
      <c r="B504" t="s">
        <v>14</v>
      </c>
      <c r="C504" t="s">
        <v>15</v>
      </c>
      <c r="D504" s="2" t="s">
        <f>=HYPERLINK("https://main.knesset.gov.il/APPS/legislation/main/bills/2232915", "חוק הנוטריונים (תיקון מס' 12), התשפ""ו-2026")</f>
        <v>1104</v>
      </c>
      <c r="E504" t="s">
        <v>1104</v>
      </c>
      <c r="F504" t="s">
        <v>14</v>
      </c>
      <c r="G504" t="s">
        <v>1105</v>
      </c>
      <c r="H504" t="n">
        <v>3495</v>
      </c>
      <c r="I504" t="s">
        <v>14</v>
      </c>
      <c r="J504" t="s">
        <v>91</v>
      </c>
      <c r="K504" t="s">
        <v>27</v>
      </c>
      <c r="L504" t="s">
        <v>20</v>
      </c>
      <c r="M504" t="s">
        <v>1102</v>
      </c>
      <c r="N504" t="s">
        <v>14</v>
      </c>
    </row>
    <row r="505" x14ac:dyDescent="0.25">
      <c r="A505" t="n">
        <v>25</v>
      </c>
      <c r="B505" t="s">
        <v>14</v>
      </c>
      <c r="C505" t="s">
        <v>22</v>
      </c>
      <c r="D505" s="2" t="s">
        <f>=HYPERLINK("https://main.knesset.gov.il/APPS/legislation/main/bills/2239542", "הצעת חוק איסור שימוש בבוטים להטעיית הציבור ולהטיית הליכים דמוקרטיים, התשפ""ו-2026")</f>
        <v>1106</v>
      </c>
      <c r="E505" t="s">
        <v>1106</v>
      </c>
      <c r="F505" t="s">
        <v>1107</v>
      </c>
      <c r="G505" t="s">
        <v>14</v>
      </c>
      <c r="H505">
             </c>
      <c r="I505" t="s">
        <v>14</v>
      </c>
      <c r="J505" t="s">
        <v>141</v>
      </c>
      <c r="K505" t="s">
        <v>14</v>
      </c>
      <c r="L505" t="s">
        <v>20</v>
      </c>
      <c r="M505" t="s">
        <v>1102</v>
      </c>
      <c r="N505" t="s">
        <v>14</v>
      </c>
    </row>
    <row r="506" x14ac:dyDescent="0.25">
      <c r="A506" t="n">
        <v>25</v>
      </c>
      <c r="B506" t="s">
        <v>14</v>
      </c>
      <c r="C506" t="s">
        <v>22</v>
      </c>
      <c r="D506" s="2" t="s">
        <f>=HYPERLINK("https://main.knesset.gov.il/APPS/legislation/main/bills/2238615", "הצעת חוק איסור לשון הרע (תיקון - פיצוי ללא הוכחת נזק, חובת פנייה מוקדמת ותביעות השתקה), התשפ״ו-2026")</f>
        <v>1108</v>
      </c>
      <c r="E506" t="s">
        <v>1108</v>
      </c>
      <c r="F506" t="s">
        <v>1109</v>
      </c>
      <c r="G506" t="s">
        <v>14</v>
      </c>
      <c r="H506">
             </c>
      <c r="I506" t="s">
        <v>14</v>
      </c>
      <c r="J506" t="s">
        <v>141</v>
      </c>
      <c r="K506" t="s">
        <v>14</v>
      </c>
      <c r="L506" t="s">
        <v>20</v>
      </c>
      <c r="M506" t="s">
        <v>1102</v>
      </c>
      <c r="N506" t="s">
        <v>14</v>
      </c>
    </row>
    <row r="507" x14ac:dyDescent="0.25">
      <c r="A507" t="n">
        <v>25</v>
      </c>
      <c r="B507" t="s">
        <v>14</v>
      </c>
      <c r="C507" t="s">
        <v>22</v>
      </c>
      <c r="D507" s="2" t="s">
        <f>=HYPERLINK("https://main.knesset.gov.il/APPS/legislation/main/bills/2239485", "הצעת חוק הסיוע המשפטי (תיקון - פטור מעמידה במבחן הכנסה לשם סיוע משפטי להלומי קרב), התשפ""ו-2026")</f>
        <v>1051</v>
      </c>
      <c r="E507" t="s">
        <v>1051</v>
      </c>
      <c r="F507" t="s">
        <v>1110</v>
      </c>
      <c r="G507" t="s">
        <v>14</v>
      </c>
      <c r="H507">
             </c>
      <c r="I507" t="s">
        <v>14</v>
      </c>
      <c r="J507" t="s">
        <v>141</v>
      </c>
      <c r="K507" t="s">
        <v>14</v>
      </c>
      <c r="L507" t="s">
        <v>20</v>
      </c>
      <c r="M507" t="s">
        <v>1102</v>
      </c>
      <c r="N507" t="s">
        <v>14</v>
      </c>
    </row>
    <row r="508" x14ac:dyDescent="0.25">
      <c r="A508" t="n">
        <v>25</v>
      </c>
      <c r="B508" t="s">
        <v>14</v>
      </c>
      <c r="C508" t="s">
        <v>22</v>
      </c>
      <c r="D508" s="2" t="s">
        <f>=HYPERLINK("https://main.knesset.gov.il/APPS/legislation/main/bills/2239230", "הצעת חוק העונשין (תיקון - מניעת קבלת טיפול רפואי במסגרת יחסי ניצול ושליטה), התשפ""ו-2026")</f>
        <v>1111</v>
      </c>
      <c r="E508" t="s">
        <v>1111</v>
      </c>
      <c r="F508" t="s">
        <v>1112</v>
      </c>
      <c r="G508" t="s">
        <v>14</v>
      </c>
      <c r="H508">
             </c>
      <c r="I508" t="s">
        <v>14</v>
      </c>
      <c r="J508" t="s">
        <v>141</v>
      </c>
      <c r="K508" t="s">
        <v>14</v>
      </c>
      <c r="L508" t="s">
        <v>20</v>
      </c>
      <c r="M508" t="s">
        <v>1102</v>
      </c>
      <c r="N508" t="s">
        <v>14</v>
      </c>
    </row>
    <row r="509" x14ac:dyDescent="0.25">
      <c r="A509" t="n">
        <v>25</v>
      </c>
      <c r="B509" t="s">
        <v>14</v>
      </c>
      <c r="C509" t="s">
        <v>22</v>
      </c>
      <c r="D509" s="2" t="s">
        <f>=HYPERLINK("https://main.knesset.gov.il/APPS/legislation/main/bills/2239225", "הצעת חוק מרשם האוכלוסין (תיקון - זכות של אזרח ישראלי המתגורר מחוץ לישראל לקבל תעודת זהות), התשפ""ו-2026")</f>
        <v>1113</v>
      </c>
      <c r="E509" t="s">
        <v>1113</v>
      </c>
      <c r="F509" t="s">
        <v>1114</v>
      </c>
      <c r="G509" t="s">
        <v>14</v>
      </c>
      <c r="H509">
             </c>
      <c r="I509" t="s">
        <v>14</v>
      </c>
      <c r="J509" t="s">
        <v>141</v>
      </c>
      <c r="K509" t="s">
        <v>14</v>
      </c>
      <c r="L509" t="s">
        <v>20</v>
      </c>
      <c r="M509" t="s">
        <v>1102</v>
      </c>
      <c r="N509" t="s">
        <v>14</v>
      </c>
    </row>
    <row r="510" x14ac:dyDescent="0.25">
      <c r="A510" t="n">
        <v>25</v>
      </c>
      <c r="B510" t="s">
        <v>14</v>
      </c>
      <c r="C510" t="s">
        <v>22</v>
      </c>
      <c r="D510" s="2" t="s">
        <f>=HYPERLINK("https://main.knesset.gov.il/APPS/legislation/main/bills/2236584", "הצעת חוק חובת קבלת דיווח של קרוב משפחה בעניין חייל במצוקה נפשית, התשפ""ו-2026")</f>
        <v>1115</v>
      </c>
      <c r="E510" t="s">
        <v>1115</v>
      </c>
      <c r="F510" t="s">
        <v>1116</v>
      </c>
      <c r="G510" t="s">
        <v>14</v>
      </c>
      <c r="H510">
             </c>
      <c r="I510" t="s">
        <v>14</v>
      </c>
      <c r="J510" t="s">
        <v>141</v>
      </c>
      <c r="K510" t="s">
        <v>14</v>
      </c>
      <c r="L510" t="s">
        <v>20</v>
      </c>
      <c r="M510" t="s">
        <v>1102</v>
      </c>
      <c r="N510" t="s">
        <v>14</v>
      </c>
    </row>
    <row r="511" x14ac:dyDescent="0.25">
      <c r="A511" t="n">
        <v>25</v>
      </c>
      <c r="B511" t="s">
        <v>14</v>
      </c>
      <c r="C511" t="s">
        <v>22</v>
      </c>
      <c r="D511" s="2" t="s">
        <f>=HYPERLINK("https://main.knesset.gov.il/APPS/legislation/main/bills/2239227", "הצעת חוק מעמד המשרת בשירות צבאי או לאומי, התשפ""ו-2026")</f>
        <v>1117</v>
      </c>
      <c r="E511" t="s">
        <v>1117</v>
      </c>
      <c r="F511" t="s">
        <v>1118</v>
      </c>
      <c r="G511" t="s">
        <v>14</v>
      </c>
      <c r="H511">
             </c>
      <c r="I511" t="s">
        <v>14</v>
      </c>
      <c r="J511" t="s">
        <v>141</v>
      </c>
      <c r="K511" t="s">
        <v>14</v>
      </c>
      <c r="L511" t="s">
        <v>20</v>
      </c>
      <c r="M511" t="s">
        <v>1102</v>
      </c>
      <c r="N511" t="s">
        <v>14</v>
      </c>
    </row>
    <row r="512" x14ac:dyDescent="0.25">
      <c r="A512" t="n">
        <v>25</v>
      </c>
      <c r="B512" t="s">
        <v>14</v>
      </c>
      <c r="C512" t="s">
        <v>22</v>
      </c>
      <c r="D512" s="2" t="s">
        <f>=HYPERLINK("https://main.knesset.gov.il/APPS/legislation/main/bills/2237665", "הצעת חוק רישוי עסקים (תיקון - היערכות עסקים המחזיקים חומרים מסוכנים לצמצום סיכונים באירועי חירום), התשפ""ו-2026")</f>
        <v>1119</v>
      </c>
      <c r="E512" t="s">
        <v>1119</v>
      </c>
      <c r="F512" t="s">
        <v>1120</v>
      </c>
      <c r="G512" t="s">
        <v>14</v>
      </c>
      <c r="H512">
             </c>
      <c r="I512" t="s">
        <v>14</v>
      </c>
      <c r="J512" t="s">
        <v>141</v>
      </c>
      <c r="K512" t="s">
        <v>14</v>
      </c>
      <c r="L512" t="s">
        <v>20</v>
      </c>
      <c r="M512" t="s">
        <v>1102</v>
      </c>
      <c r="N512" t="s">
        <v>14</v>
      </c>
    </row>
    <row r="513" x14ac:dyDescent="0.25">
      <c r="A513" t="n">
        <v>25</v>
      </c>
      <c r="B513" t="s">
        <v>14</v>
      </c>
      <c r="C513" t="s">
        <v>22</v>
      </c>
      <c r="D513" s="2" t="s">
        <f>=HYPERLINK("https://main.knesset.gov.il/APPS/legislation/main/bills/2239853", "הצעת חוק הסכמים קיבוציים (תיקון - הגבלת כהונה), התשפ""ו-2026")</f>
        <v>1121</v>
      </c>
      <c r="E513" t="s">
        <v>1121</v>
      </c>
      <c r="F513" t="s">
        <v>1122</v>
      </c>
      <c r="G513" t="s">
        <v>14</v>
      </c>
      <c r="H513">
             </c>
      <c r="I513" t="s">
        <v>14</v>
      </c>
      <c r="J513" t="s">
        <v>1123</v>
      </c>
      <c r="K513" t="s">
        <v>14</v>
      </c>
      <c r="L513" t="s">
        <v>20</v>
      </c>
      <c r="M513" t="s">
        <v>1102</v>
      </c>
      <c r="N513" t="s">
        <v>14</v>
      </c>
    </row>
    <row r="514" x14ac:dyDescent="0.25">
      <c r="A514" t="n">
        <v>25</v>
      </c>
      <c r="B514" t="s">
        <v>14</v>
      </c>
      <c r="C514" t="s">
        <v>22</v>
      </c>
      <c r="D514" s="2" t="s">
        <f>=HYPERLINK("https://main.knesset.gov.il/APPS/legislation/main/bills/2239690", " הצעת חוק הביטוח הלאומי (תיקון - שיקום בעלי חיים כעבודה מועדפת),   התשפ""ו-2026")</f>
        <v>1124</v>
      </c>
      <c r="E514" t="s">
        <v>1124</v>
      </c>
      <c r="F514" t="s">
        <v>1125</v>
      </c>
      <c r="G514" t="s">
        <v>14</v>
      </c>
      <c r="H514">
             </c>
      <c r="I514" t="s">
        <v>14</v>
      </c>
      <c r="J514" t="s">
        <v>141</v>
      </c>
      <c r="K514" t="s">
        <v>14</v>
      </c>
      <c r="L514" t="s">
        <v>20</v>
      </c>
      <c r="M514" t="s">
        <v>1102</v>
      </c>
      <c r="N514" t="s">
        <v>14</v>
      </c>
    </row>
    <row r="515" x14ac:dyDescent="0.25">
      <c r="A515" t="n">
        <v>25</v>
      </c>
      <c r="B515" t="s">
        <v>14</v>
      </c>
      <c r="C515" t="s">
        <v>22</v>
      </c>
      <c r="D515" s="2" t="s">
        <f>=HYPERLINK("https://main.knesset.gov.il/APPS/legislation/main/bills/2234890", "הצעת חוק ביטוח פיקדונות בתאגיד בנקאי, התשפ""ו-2026")</f>
        <v>1126</v>
      </c>
      <c r="E515" t="s">
        <v>1126</v>
      </c>
      <c r="F515" t="s">
        <v>1127</v>
      </c>
      <c r="G515" t="s">
        <v>14</v>
      </c>
      <c r="H515">
             </c>
      <c r="I515" t="s">
        <v>14</v>
      </c>
      <c r="J515" t="s">
        <v>141</v>
      </c>
      <c r="K515" t="s">
        <v>14</v>
      </c>
      <c r="L515" t="s">
        <v>20</v>
      </c>
      <c r="M515" t="s">
        <v>1102</v>
      </c>
      <c r="N515" t="s">
        <v>14</v>
      </c>
    </row>
    <row r="516" x14ac:dyDescent="0.25">
      <c r="A516" t="n">
        <v>25</v>
      </c>
      <c r="B516" t="s">
        <v>14</v>
      </c>
      <c r="C516" t="s">
        <v>22</v>
      </c>
      <c r="D516" s="2" t="s">
        <f>=HYPERLINK("https://main.knesset.gov.il/APPS/legislation/main/bills/2237934", "הצעת חוק העיטורים בצבא הגנה לישראל (תיקון - הכרה בגיבורי מלחמת השחרור), התשפ""ו-2026")</f>
        <v>1128</v>
      </c>
      <c r="E516" t="s">
        <v>1128</v>
      </c>
      <c r="F516" t="s">
        <v>1129</v>
      </c>
      <c r="G516" t="s">
        <v>14</v>
      </c>
      <c r="H516">
             </c>
      <c r="I516" t="s">
        <v>14</v>
      </c>
      <c r="J516" t="s">
        <v>141</v>
      </c>
      <c r="K516" t="s">
        <v>14</v>
      </c>
      <c r="L516" t="s">
        <v>20</v>
      </c>
      <c r="M516" t="s">
        <v>1102</v>
      </c>
      <c r="N516" t="s">
        <v>14</v>
      </c>
    </row>
    <row r="517" x14ac:dyDescent="0.25">
      <c r="A517" t="n">
        <v>25</v>
      </c>
      <c r="B517" t="s">
        <v>14</v>
      </c>
      <c r="C517" t="s">
        <v>22</v>
      </c>
      <c r="D517" s="2" t="s">
        <f>=HYPERLINK("https://main.knesset.gov.il/APPS/legislation/main/bills/2239808", "הצעת חוק הפיקוח על שירותים פיננסיים (ביטוח) (תיקון - שקיפות, כללי אתיקה וחובת התקשרות עם סוכני ביטוח), התשפ""ו-2026")</f>
        <v>1130</v>
      </c>
      <c r="E517" t="s">
        <v>1130</v>
      </c>
      <c r="F517" t="s">
        <v>1131</v>
      </c>
      <c r="G517" t="s">
        <v>14</v>
      </c>
      <c r="H517">
             </c>
      <c r="I517" t="s">
        <v>14</v>
      </c>
      <c r="J517" t="s">
        <v>141</v>
      </c>
      <c r="K517" t="s">
        <v>14</v>
      </c>
      <c r="L517" t="s">
        <v>20</v>
      </c>
      <c r="M517" t="s">
        <v>1102</v>
      </c>
      <c r="N517" t="s">
        <v>14</v>
      </c>
    </row>
    <row r="518" x14ac:dyDescent="0.25">
      <c r="A518" t="n">
        <v>25</v>
      </c>
      <c r="B518" t="s">
        <v>14</v>
      </c>
      <c r="C518" t="s">
        <v>22</v>
      </c>
      <c r="D518" s="2" t="s">
        <f>=HYPERLINK("https://main.knesset.gov.il/APPS/legislation/main/bills/2239806", "הצעת חוק תרגום תעודות ציבוריות, התשפ""ו-2026")</f>
        <v>1132</v>
      </c>
      <c r="E518" t="s">
        <v>1132</v>
      </c>
      <c r="F518" t="s">
        <v>1133</v>
      </c>
      <c r="G518" t="s">
        <v>14</v>
      </c>
      <c r="H518">
             </c>
      <c r="I518" t="s">
        <v>14</v>
      </c>
      <c r="J518" t="s">
        <v>343</v>
      </c>
      <c r="K518" t="s">
        <v>14</v>
      </c>
      <c r="L518" t="s">
        <v>20</v>
      </c>
      <c r="M518" t="s">
        <v>1102</v>
      </c>
      <c r="N518" t="s">
        <v>14</v>
      </c>
    </row>
    <row r="519" x14ac:dyDescent="0.25">
      <c r="A519" t="n">
        <v>25</v>
      </c>
      <c r="B519" t="s">
        <v>14</v>
      </c>
      <c r="C519" t="s">
        <v>22</v>
      </c>
      <c r="D519" s="2" t="s">
        <f>=HYPERLINK("https://main.knesset.gov.il/APPS/legislation/main/bills/2239038", "הצעת חוק עובדים זרים (תיקון - הפחתת אגרות), התשפ""ו-2026")</f>
        <v>1134</v>
      </c>
      <c r="E519" t="s">
        <v>1134</v>
      </c>
      <c r="F519" t="s">
        <v>1135</v>
      </c>
      <c r="G519" t="s">
        <v>14</v>
      </c>
      <c r="H519">
             </c>
      <c r="I519" t="s">
        <v>14</v>
      </c>
      <c r="J519" t="s">
        <v>141</v>
      </c>
      <c r="K519" t="s">
        <v>14</v>
      </c>
      <c r="L519" t="s">
        <v>20</v>
      </c>
      <c r="M519" t="s">
        <v>1102</v>
      </c>
      <c r="N519" t="s">
        <v>14</v>
      </c>
    </row>
    <row r="520" x14ac:dyDescent="0.25">
      <c r="A520" t="n">
        <v>25</v>
      </c>
      <c r="B520" t="s">
        <v>14</v>
      </c>
      <c r="C520" t="s">
        <v>22</v>
      </c>
      <c r="D520" s="2" t="s">
        <f>=HYPERLINK("https://main.knesset.gov.il/APPS/legislation/main/bills/2239801", "הצעת חוק התגמולים לנפגעי פעולות איבה (תיקון - הארכת מועד לתביעת גמלה והתקופה שבעדה תשולם), התשפ""ו-2026")</f>
        <v>1136</v>
      </c>
      <c r="E520" t="s">
        <v>1136</v>
      </c>
      <c r="F520" t="s">
        <v>1137</v>
      </c>
      <c r="G520" t="s">
        <v>14</v>
      </c>
      <c r="H520">
             </c>
      <c r="I520" t="s">
        <v>14</v>
      </c>
      <c r="J520" t="s">
        <v>141</v>
      </c>
      <c r="K520" t="s">
        <v>14</v>
      </c>
      <c r="L520" t="s">
        <v>20</v>
      </c>
      <c r="M520" t="s">
        <v>1102</v>
      </c>
      <c r="N520" t="s">
        <v>14</v>
      </c>
    </row>
    <row r="521" x14ac:dyDescent="0.25">
      <c r="A521" t="n">
        <v>25</v>
      </c>
      <c r="B521" t="s">
        <v>14</v>
      </c>
      <c r="C521" t="s">
        <v>22</v>
      </c>
      <c r="D521" s="2" t="s">
        <f>=HYPERLINK("https://main.knesset.gov.il/APPS/legislation/main/bills/2232805", "הצעת חוק זכויות הסטודנט (תיקון מס' 12) (התאמות עקב מחלה קשה), התשפ""ו–2026")</f>
        <v>1138</v>
      </c>
      <c r="E521" t="s">
        <v>1138</v>
      </c>
      <c r="F521" t="s">
        <v>1139</v>
      </c>
      <c r="G521" t="s">
        <v>1140</v>
      </c>
      <c r="H521">
             </c>
      <c r="I521" t="s">
        <v>14</v>
      </c>
      <c r="J521" t="s">
        <v>1141</v>
      </c>
      <c r="K521" t="s">
        <v>34</v>
      </c>
      <c r="L521" t="s">
        <v>20</v>
      </c>
      <c r="M521" t="s">
        <v>1102</v>
      </c>
      <c r="N521" t="s">
        <v>14</v>
      </c>
    </row>
    <row r="522" x14ac:dyDescent="0.25">
      <c r="A522" t="n">
        <v>25</v>
      </c>
      <c r="B522" t="s">
        <v>14</v>
      </c>
      <c r="C522" t="s">
        <v>22</v>
      </c>
      <c r="D522" s="2" t="s">
        <f>=HYPERLINK("https://main.knesset.gov.il/APPS/legislation/main/bills/2229809", "הצעת חוק הכרה בשפת הסימנים הישראלית, התשפ""ה-2025")</f>
        <v>1142</v>
      </c>
      <c r="E522" t="s">
        <v>1142</v>
      </c>
      <c r="F522" t="s">
        <v>1143</v>
      </c>
      <c r="G522" t="s">
        <v>14</v>
      </c>
      <c r="H522">
             </c>
      <c r="I522" t="s">
        <v>14</v>
      </c>
      <c r="J522" t="s">
        <v>99</v>
      </c>
      <c r="K522" t="s">
        <v>34</v>
      </c>
      <c r="L522" t="s">
        <v>20</v>
      </c>
      <c r="M522" t="s">
        <v>1144</v>
      </c>
      <c r="N522" t="s">
        <v>14</v>
      </c>
    </row>
    <row r="523" x14ac:dyDescent="0.25">
      <c r="A523" t="n">
        <v>25</v>
      </c>
      <c r="B523" t="s">
        <v>14</v>
      </c>
      <c r="C523" t="s">
        <v>15</v>
      </c>
      <c r="D523" s="2" t="s">
        <f>=HYPERLINK("https://main.knesset.gov.il/APPS/legislation/main/bills/1046557", "חוק לתיקון ולהארכת תוקפן של תקנות שעת חירום (חרבות ברזל) (פגישה עם עורך דין של עצור בעבירת ביטחון) (תיקון מס' 7), התשפ""ו-2026")</f>
        <v>1145</v>
      </c>
      <c r="E523" t="s">
        <v>1145</v>
      </c>
      <c r="F523" t="s">
        <v>14</v>
      </c>
      <c r="G523" t="s">
        <v>1146</v>
      </c>
      <c r="H523" t="n">
        <v>3494</v>
      </c>
      <c r="I523" t="s">
        <v>14</v>
      </c>
      <c r="J523" t="s">
        <v>91</v>
      </c>
      <c r="K523" t="s">
        <v>27</v>
      </c>
      <c r="L523" t="s">
        <v>20</v>
      </c>
      <c r="M523" t="s">
        <v>1144</v>
      </c>
      <c r="N523" t="s">
        <v>14</v>
      </c>
    </row>
    <row r="524" x14ac:dyDescent="0.25">
      <c r="A524" t="n">
        <v>25</v>
      </c>
      <c r="B524" t="s">
        <v>14</v>
      </c>
      <c r="C524" t="s">
        <v>22</v>
      </c>
      <c r="D524" s="2" t="s">
        <f>=HYPERLINK("https://main.knesset.gov.il/APPS/legislation/main/bills/2238071", "הצעת חוק הביטוח הלאומי (תיקון - דמי לידה לעצמאיות - מתן זכות לעבודה חלקית), התשפ""ו-2025")</f>
        <v>1147</v>
      </c>
      <c r="E524" t="s">
        <v>1147</v>
      </c>
      <c r="F524" t="s">
        <v>1148</v>
      </c>
      <c r="G524" t="s">
        <v>14</v>
      </c>
      <c r="H524">
             </c>
      <c r="I524" t="s">
        <v>14</v>
      </c>
      <c r="J524" t="s">
        <v>31</v>
      </c>
      <c r="K524" t="s">
        <v>127</v>
      </c>
      <c r="L524" t="s">
        <v>20</v>
      </c>
      <c r="M524" t="s">
        <v>1144</v>
      </c>
      <c r="N524" t="s">
        <v>14</v>
      </c>
    </row>
    <row r="525" x14ac:dyDescent="0.25">
      <c r="A525" t="n">
        <v>25</v>
      </c>
      <c r="B525" t="s">
        <v>14</v>
      </c>
      <c r="C525" t="s">
        <v>22</v>
      </c>
      <c r="D525" s="2" t="s">
        <f>=HYPERLINK("https://main.knesset.gov.il/APPS/legislation/main/bills/2237962", "הצעת חוק הביטוח הלאומי (תיקון - חישוב תגמולי מילואים בתקופת חירום), התשפ""ו-2025")</f>
        <v>1149</v>
      </c>
      <c r="E525" t="s">
        <v>1149</v>
      </c>
      <c r="F525" t="s">
        <v>1150</v>
      </c>
      <c r="G525" t="s">
        <v>14</v>
      </c>
      <c r="H525">
             </c>
      <c r="I525" t="s">
        <v>14</v>
      </c>
      <c r="J525" t="s">
        <v>343</v>
      </c>
      <c r="K525" t="s">
        <v>14</v>
      </c>
      <c r="L525" t="s">
        <v>20</v>
      </c>
      <c r="M525" t="s">
        <v>1144</v>
      </c>
      <c r="N525" t="s">
        <v>14</v>
      </c>
    </row>
    <row r="526" x14ac:dyDescent="0.25">
      <c r="A526" t="n">
        <v>25</v>
      </c>
      <c r="B526" t="s">
        <v>14</v>
      </c>
      <c r="C526" t="s">
        <v>22</v>
      </c>
      <c r="D526" s="2" t="s">
        <f>=HYPERLINK("https://main.knesset.gov.il/APPS/legislation/main/bills/2237107", "הצעת חוק הביטוח הלאומי (תיקון - חישוב תגמולי מילואים בתקופת חירום), התשפ""ו-2025")</f>
        <v>1149</v>
      </c>
      <c r="E526" t="s">
        <v>1149</v>
      </c>
      <c r="F526" t="s">
        <v>1151</v>
      </c>
      <c r="G526" t="s">
        <v>14</v>
      </c>
      <c r="H526">
             </c>
      <c r="I526" t="s">
        <v>14</v>
      </c>
      <c r="J526" t="s">
        <v>343</v>
      </c>
      <c r="K526" t="s">
        <v>14</v>
      </c>
      <c r="L526" t="s">
        <v>20</v>
      </c>
      <c r="M526" t="s">
        <v>1144</v>
      </c>
      <c r="N526" t="s">
        <v>14</v>
      </c>
    </row>
    <row r="527" x14ac:dyDescent="0.25">
      <c r="A527" t="n">
        <v>25</v>
      </c>
      <c r="B527" t="s">
        <v>14</v>
      </c>
      <c r="C527" t="s">
        <v>22</v>
      </c>
      <c r="D527" s="2" t="s">
        <f>=HYPERLINK("https://main.knesset.gov.il/APPS/legislation/main/bills/2236166", "הצעת חוק סמכויות לשם מניעת ביצוע עבירות באמצעות אתר אינטרנט (תיקון - מניעת הונאות באמצעי תשלום), התשפ""ו-2025")</f>
        <v>1152</v>
      </c>
      <c r="E527" t="s">
        <v>1152</v>
      </c>
      <c r="F527" t="s">
        <v>1153</v>
      </c>
      <c r="G527" t="s">
        <v>14</v>
      </c>
      <c r="H527">
             </c>
      <c r="I527" t="s">
        <v>14</v>
      </c>
      <c r="J527" t="s">
        <v>343</v>
      </c>
      <c r="K527" t="s">
        <v>14</v>
      </c>
      <c r="L527" t="s">
        <v>20</v>
      </c>
      <c r="M527" t="s">
        <v>1144</v>
      </c>
      <c r="N527" t="s">
        <v>14</v>
      </c>
    </row>
    <row r="528" x14ac:dyDescent="0.25">
      <c r="A528" t="n">
        <v>25</v>
      </c>
      <c r="B528" t="s">
        <v>14</v>
      </c>
      <c r="C528" t="s">
        <v>22</v>
      </c>
      <c r="D528" s="2" t="s">
        <f>=HYPERLINK("https://main.knesset.gov.il/APPS/legislation/main/bills/2236541", "הצעת חוק השיפוט הצבאי (תיקון - כפיפות הפרקליט הצבאי הראשי), התשפ""ו-2025")</f>
        <v>1154</v>
      </c>
      <c r="E528" t="s">
        <v>1154</v>
      </c>
      <c r="F528" t="s">
        <v>1155</v>
      </c>
      <c r="G528" t="s">
        <v>14</v>
      </c>
      <c r="H528">
             </c>
      <c r="I528" t="s">
        <v>14</v>
      </c>
      <c r="J528" t="s">
        <v>343</v>
      </c>
      <c r="K528" t="s">
        <v>14</v>
      </c>
      <c r="L528" t="s">
        <v>20</v>
      </c>
      <c r="M528" t="s">
        <v>1144</v>
      </c>
      <c r="N528" t="s">
        <v>14</v>
      </c>
    </row>
    <row r="529" x14ac:dyDescent="0.25">
      <c r="A529" t="n">
        <v>25</v>
      </c>
      <c r="B529" t="s">
        <v>14</v>
      </c>
      <c r="C529" t="s">
        <v>22</v>
      </c>
      <c r="D529" s="2" t="s">
        <f>=HYPERLINK("https://main.knesset.gov.il/APPS/legislation/main/bills/2235480", "הצעת חוק הביטוח הלאומי (תיקון - גמלת שאירים לאלמנה שנישאה מחדש), התשפ""ו-2025")</f>
        <v>1156</v>
      </c>
      <c r="E529" t="s">
        <v>1156</v>
      </c>
      <c r="F529" t="s">
        <v>1157</v>
      </c>
      <c r="G529" t="s">
        <v>14</v>
      </c>
      <c r="H529">
             </c>
      <c r="I529" t="s">
        <v>14</v>
      </c>
      <c r="J529" t="s">
        <v>343</v>
      </c>
      <c r="K529" t="s">
        <v>14</v>
      </c>
      <c r="L529" t="s">
        <v>20</v>
      </c>
      <c r="M529" t="s">
        <v>1144</v>
      </c>
      <c r="N529" t="s">
        <v>14</v>
      </c>
    </row>
    <row r="530" x14ac:dyDescent="0.25">
      <c r="A530" t="n">
        <v>25</v>
      </c>
      <c r="B530" t="s">
        <v>14</v>
      </c>
      <c r="C530" t="s">
        <v>22</v>
      </c>
      <c r="D530" s="2" t="s">
        <f>=HYPERLINK("https://main.knesset.gov.il/APPS/legislation/main/bills/2235125", "הצעת חוק משפחות חיילים שנספו במערכה (תגמולים ושיקום) (תיקון - ועדת חריגים להכרה בנספה), התשפ""ו-2025")</f>
        <v>1158</v>
      </c>
      <c r="E530" t="s">
        <v>1158</v>
      </c>
      <c r="F530" t="s">
        <v>1159</v>
      </c>
      <c r="G530" t="s">
        <v>14</v>
      </c>
      <c r="H530">
             </c>
      <c r="I530" t="s">
        <v>14</v>
      </c>
      <c r="J530" t="s">
        <v>55</v>
      </c>
      <c r="K530" t="s">
        <v>14</v>
      </c>
      <c r="L530" t="s">
        <v>20</v>
      </c>
      <c r="M530" t="s">
        <v>1144</v>
      </c>
      <c r="N530" t="s">
        <v>14</v>
      </c>
    </row>
    <row r="531" x14ac:dyDescent="0.25">
      <c r="A531" t="n">
        <v>25</v>
      </c>
      <c r="B531" t="s">
        <v>14</v>
      </c>
      <c r="C531" t="s">
        <v>22</v>
      </c>
      <c r="D531" s="2" t="s">
        <f>=HYPERLINK("https://main.knesset.gov.il/APPS/legislation/main/bills/2232909", "הצעת חוק המרכז להנצחת זכרו ומורשתו של זאב ז'בוטינסקי, התשפ""ה-2025")</f>
        <v>1160</v>
      </c>
      <c r="E531" t="s">
        <v>1160</v>
      </c>
      <c r="F531" t="s">
        <v>1161</v>
      </c>
      <c r="G531" t="s">
        <v>14</v>
      </c>
      <c r="H531">
             </c>
      <c r="I531" t="s">
        <v>14</v>
      </c>
      <c r="J531" t="s">
        <v>343</v>
      </c>
      <c r="K531" t="s">
        <v>14</v>
      </c>
      <c r="L531" t="s">
        <v>20</v>
      </c>
      <c r="M531" t="s">
        <v>1144</v>
      </c>
      <c r="N531" t="s">
        <v>14</v>
      </c>
    </row>
    <row r="532" x14ac:dyDescent="0.25">
      <c r="A532" t="n">
        <v>25</v>
      </c>
      <c r="B532" t="s">
        <v>14</v>
      </c>
      <c r="C532" t="s">
        <v>22</v>
      </c>
      <c r="D532" s="2" t="s">
        <f>=HYPERLINK("https://main.knesset.gov.il/APPS/legislation/main/bills/2232716", "הצעת חוק המרכז להנצחת זכרו ומורשתו של זאב ז'בוטינסקי, התשפ""ה-2025")</f>
        <v>1160</v>
      </c>
      <c r="E532" t="s">
        <v>1160</v>
      </c>
      <c r="F532" t="s">
        <v>1162</v>
      </c>
      <c r="G532" t="s">
        <v>14</v>
      </c>
      <c r="H532">
             </c>
      <c r="I532" t="s">
        <v>14</v>
      </c>
      <c r="J532" t="s">
        <v>343</v>
      </c>
      <c r="K532" t="s">
        <v>14</v>
      </c>
      <c r="L532" t="s">
        <v>20</v>
      </c>
      <c r="M532" t="s">
        <v>1144</v>
      </c>
      <c r="N532" t="s">
        <v>14</v>
      </c>
    </row>
    <row r="533" x14ac:dyDescent="0.25">
      <c r="A533" t="n">
        <v>25</v>
      </c>
      <c r="B533" t="s">
        <v>14</v>
      </c>
      <c r="C533" t="s">
        <v>22</v>
      </c>
      <c r="D533" s="2" t="s">
        <f>=HYPERLINK("https://main.knesset.gov.il/APPS/legislation/main/bills/2230973", "הצעת חוק להנצחת זכרו של הרב מאיר נסים מאזוז, התשפ""ה-2025")</f>
        <v>1163</v>
      </c>
      <c r="E533" t="s">
        <v>1163</v>
      </c>
      <c r="F533" t="s">
        <v>1164</v>
      </c>
      <c r="G533" t="s">
        <v>14</v>
      </c>
      <c r="H533">
             </c>
      <c r="I533" t="s">
        <v>14</v>
      </c>
      <c r="J533" t="s">
        <v>343</v>
      </c>
      <c r="K533" t="s">
        <v>14</v>
      </c>
      <c r="L533" t="s">
        <v>20</v>
      </c>
      <c r="M533" t="s">
        <v>1144</v>
      </c>
      <c r="N533" t="s">
        <v>14</v>
      </c>
    </row>
    <row r="534" x14ac:dyDescent="0.25">
      <c r="A534" t="n">
        <v>25</v>
      </c>
      <c r="B534" t="s">
        <v>14</v>
      </c>
      <c r="C534" t="s">
        <v>22</v>
      </c>
      <c r="D534" s="2" t="s">
        <f>=HYPERLINK("https://main.knesset.gov.il/APPS/legislation/main/bills/2230761", "הצעת חוק העונשין (תיקון - פרשנות מקלה בפלילים), התשפ""ה-2025")</f>
        <v>1165</v>
      </c>
      <c r="E534" t="s">
        <v>1165</v>
      </c>
      <c r="F534" t="s">
        <v>1166</v>
      </c>
      <c r="G534" t="s">
        <v>14</v>
      </c>
      <c r="H534">
             </c>
      <c r="I534" t="s">
        <v>14</v>
      </c>
      <c r="J534" t="s">
        <v>343</v>
      </c>
      <c r="K534" t="s">
        <v>14</v>
      </c>
      <c r="L534" t="s">
        <v>20</v>
      </c>
      <c r="M534" t="s">
        <v>1144</v>
      </c>
      <c r="N534" t="s">
        <v>14</v>
      </c>
    </row>
    <row r="535" x14ac:dyDescent="0.25">
      <c r="A535" t="n">
        <v>25</v>
      </c>
      <c r="B535" t="s">
        <v>14</v>
      </c>
      <c r="C535" t="s">
        <v>22</v>
      </c>
      <c r="D535" s="2" t="s">
        <f>=HYPERLINK("https://main.knesset.gov.il/APPS/legislation/main/bills/2225837", "הצעת חוק השידור הציבורי הישראלי (תיקון - הפסקת שידורי חדשות ועידוד הפקות מקור ויצירה ישראלית בתאגיד השידור הישראלי), התשפ""ה-2025")</f>
        <v>1167</v>
      </c>
      <c r="E535" t="s">
        <v>1167</v>
      </c>
      <c r="F535" t="s">
        <v>1168</v>
      </c>
      <c r="G535" t="s">
        <v>14</v>
      </c>
      <c r="H535">
             </c>
      <c r="I535" t="s">
        <v>14</v>
      </c>
      <c r="J535" t="s">
        <v>343</v>
      </c>
      <c r="K535" t="s">
        <v>14</v>
      </c>
      <c r="L535" t="s">
        <v>20</v>
      </c>
      <c r="M535" t="s">
        <v>1144</v>
      </c>
      <c r="N535" t="s">
        <v>14</v>
      </c>
    </row>
    <row r="536" x14ac:dyDescent="0.25">
      <c r="A536" t="n">
        <v>25</v>
      </c>
      <c r="B536" t="s">
        <v>14</v>
      </c>
      <c r="C536" t="s">
        <v>22</v>
      </c>
      <c r="D536" s="2" t="s">
        <f>=HYPERLINK("https://main.knesset.gov.il/APPS/legislation/main/bills/2226882", "הצעת חוק לשינוי מתכונת השידור הציבורי ולהסדרת שידורי רדיו ארציים (תיקוני חקיקה), התשפ""ה-2025")</f>
        <v>1169</v>
      </c>
      <c r="E536" t="s">
        <v>1169</v>
      </c>
      <c r="F536" t="s">
        <v>1170</v>
      </c>
      <c r="G536" t="s">
        <v>14</v>
      </c>
      <c r="H536">
             </c>
      <c r="I536" t="s">
        <v>14</v>
      </c>
      <c r="J536" t="s">
        <v>343</v>
      </c>
      <c r="K536" t="s">
        <v>14</v>
      </c>
      <c r="L536" t="s">
        <v>20</v>
      </c>
      <c r="M536" t="s">
        <v>1144</v>
      </c>
      <c r="N536" t="s">
        <v>14</v>
      </c>
    </row>
    <row r="537" x14ac:dyDescent="0.25">
      <c r="A537" t="n">
        <v>25</v>
      </c>
      <c r="B537" t="s">
        <v>14</v>
      </c>
      <c r="C537" t="s">
        <v>22</v>
      </c>
      <c r="D537" s="2" t="s">
        <f>=HYPERLINK("https://main.knesset.gov.il/APPS/legislation/main/bills/2223848", "הצעת חוק מענה אנושי ללא תשלום לאזרחים ותיקים (תיקוני חקיקה), התשפ""ה-2024")</f>
        <v>1171</v>
      </c>
      <c r="E537" t="s">
        <v>1171</v>
      </c>
      <c r="F537" t="s">
        <v>1172</v>
      </c>
      <c r="G537" t="s">
        <v>14</v>
      </c>
      <c r="H537">
             </c>
      <c r="I537" t="s">
        <v>14</v>
      </c>
      <c r="J537" t="s">
        <v>343</v>
      </c>
      <c r="K537" t="s">
        <v>14</v>
      </c>
      <c r="L537" t="s">
        <v>20</v>
      </c>
      <c r="M537" t="s">
        <v>1144</v>
      </c>
      <c r="N537" t="s">
        <v>14</v>
      </c>
    </row>
    <row r="538" x14ac:dyDescent="0.25">
      <c r="A538" t="n">
        <v>25</v>
      </c>
      <c r="B538" t="s">
        <v>14</v>
      </c>
      <c r="C538" t="s">
        <v>22</v>
      </c>
      <c r="D538" s="2" t="s">
        <f>=HYPERLINK("https://main.knesset.gov.il/APPS/legislation/main/bills/2224971", "הצעת חוק חינוך ממלכתי (תיקון - חינוך ממלכתי חרדי), התשפ""ה-2024")</f>
        <v>1173</v>
      </c>
      <c r="E538" t="s">
        <v>1173</v>
      </c>
      <c r="F538" t="s">
        <v>1174</v>
      </c>
      <c r="G538" t="s">
        <v>14</v>
      </c>
      <c r="H538">
             </c>
      <c r="I538" t="s">
        <v>14</v>
      </c>
      <c r="J538" t="s">
        <v>55</v>
      </c>
      <c r="K538" t="s">
        <v>14</v>
      </c>
      <c r="L538" t="s">
        <v>20</v>
      </c>
      <c r="M538" t="s">
        <v>1144</v>
      </c>
      <c r="N538" t="s">
        <v>14</v>
      </c>
    </row>
    <row r="539" x14ac:dyDescent="0.25">
      <c r="A539" t="n">
        <v>25</v>
      </c>
      <c r="B539" t="s">
        <v>14</v>
      </c>
      <c r="C539" t="s">
        <v>22</v>
      </c>
      <c r="D539" s="2" t="s">
        <f>=HYPERLINK("https://main.knesset.gov.il/APPS/legislation/main/bills/2222055", "הצעת חוק הבנקאות (שירות ללקוח) (תיקון - ביטול עמלת שורה ודמי משמרת), התשפ""ה-2024 ")</f>
        <v>1175</v>
      </c>
      <c r="E539" t="s">
        <v>1175</v>
      </c>
      <c r="F539" t="s">
        <v>1176</v>
      </c>
      <c r="G539" t="s">
        <v>14</v>
      </c>
      <c r="H539">
             </c>
      <c r="I539" t="s">
        <v>14</v>
      </c>
      <c r="J539" t="s">
        <v>343</v>
      </c>
      <c r="K539" t="s">
        <v>14</v>
      </c>
      <c r="L539" t="s">
        <v>20</v>
      </c>
      <c r="M539" t="s">
        <v>1144</v>
      </c>
      <c r="N539" t="s">
        <v>14</v>
      </c>
    </row>
    <row r="540" x14ac:dyDescent="0.25">
      <c r="A540" t="n">
        <v>25</v>
      </c>
      <c r="B540" t="s">
        <v>14</v>
      </c>
      <c r="C540" t="s">
        <v>22</v>
      </c>
      <c r="D540" s="2" t="s">
        <f>=HYPERLINK("https://main.knesset.gov.il/APPS/legislation/main/bills/2219047", "הצעת חוק שירות הביטחון הכללי (תיקון - קיום בדיקת פוליגרף תקופתית לעובדי מערכת אכיפת החוק), התשפ""ד-2024")</f>
        <v>1177</v>
      </c>
      <c r="E540" t="s">
        <v>1177</v>
      </c>
      <c r="F540" t="s">
        <v>1178</v>
      </c>
      <c r="G540" t="s">
        <v>14</v>
      </c>
      <c r="H540">
             </c>
      <c r="I540" t="s">
        <v>14</v>
      </c>
      <c r="J540" t="s">
        <v>343</v>
      </c>
      <c r="K540" t="s">
        <v>14</v>
      </c>
      <c r="L540" t="s">
        <v>20</v>
      </c>
      <c r="M540" t="s">
        <v>1144</v>
      </c>
      <c r="N540" t="s">
        <v>14</v>
      </c>
    </row>
    <row r="541" x14ac:dyDescent="0.25">
      <c r="A541" t="n">
        <v>25</v>
      </c>
      <c r="B541" t="s">
        <v>14</v>
      </c>
      <c r="C541" t="s">
        <v>22</v>
      </c>
      <c r="D541" s="2" t="s">
        <f>=HYPERLINK("https://main.knesset.gov.il/APPS/legislation/main/bills/2198520", "הצעת חוק רשות מקרקעי ישראל (תיקון - ייצוג הולם לאוכלוסייה החרדית במועצת הרשות), התשפ""ג-2023")</f>
        <v>1179</v>
      </c>
      <c r="E541" t="s">
        <v>1179</v>
      </c>
      <c r="F541" t="s">
        <v>1180</v>
      </c>
      <c r="G541" t="s">
        <v>14</v>
      </c>
      <c r="H541">
             </c>
      <c r="I541" t="s">
        <v>14</v>
      </c>
      <c r="J541" t="s">
        <v>343</v>
      </c>
      <c r="K541" t="s">
        <v>14</v>
      </c>
      <c r="L541" t="s">
        <v>20</v>
      </c>
      <c r="M541" t="s">
        <v>1144</v>
      </c>
      <c r="N541" t="s">
        <v>14</v>
      </c>
    </row>
    <row r="542" x14ac:dyDescent="0.25">
      <c r="A542" t="n">
        <v>25</v>
      </c>
      <c r="B542" t="s">
        <v>14</v>
      </c>
      <c r="C542" t="s">
        <v>22</v>
      </c>
      <c r="D542" s="2" t="s">
        <f>=HYPERLINK("https://main.knesset.gov.il/APPS/legislation/main/bills/2197806", "הצעת חוק מועצת עורכי הדין בישראל, התשפ""ג-2022")</f>
        <v>1181</v>
      </c>
      <c r="E542" t="s">
        <v>1181</v>
      </c>
      <c r="F542" t="s">
        <v>1182</v>
      </c>
      <c r="G542" t="s">
        <v>14</v>
      </c>
      <c r="H542">
             </c>
      <c r="I542" t="s">
        <v>14</v>
      </c>
      <c r="J542" t="s">
        <v>31</v>
      </c>
      <c r="K542" t="s">
        <v>121</v>
      </c>
      <c r="L542" t="s">
        <v>20</v>
      </c>
      <c r="M542" t="s">
        <v>1144</v>
      </c>
      <c r="N542" t="s">
        <v>14</v>
      </c>
    </row>
    <row r="543" x14ac:dyDescent="0.25">
      <c r="A543" t="n">
        <v>25</v>
      </c>
      <c r="B543" t="s">
        <v>14</v>
      </c>
      <c r="C543" t="s">
        <v>22</v>
      </c>
      <c r="D543" s="2" t="s">
        <f>=HYPERLINK("https://main.knesset.gov.il/APPS/legislation/main/bills/2229238", "הצעת חוק החברות הממשלתיות (תיקון - הרחבת הייצוג והגיוון בחברות הממשלתיות), התשפ""ה-2025")</f>
        <v>1183</v>
      </c>
      <c r="E543" t="s">
        <v>1183</v>
      </c>
      <c r="F543" t="s">
        <v>1184</v>
      </c>
      <c r="G543" t="s">
        <v>14</v>
      </c>
      <c r="H543">
             </c>
      <c r="I543" t="s">
        <v>14</v>
      </c>
      <c r="J543" t="s">
        <v>31</v>
      </c>
      <c r="K543" t="s">
        <v>27</v>
      </c>
      <c r="L543" t="s">
        <v>20</v>
      </c>
      <c r="M543" t="s">
        <v>1185</v>
      </c>
      <c r="N543" t="s">
        <v>14</v>
      </c>
    </row>
    <row r="544" x14ac:dyDescent="0.25">
      <c r="A544" t="n">
        <v>25</v>
      </c>
      <c r="B544" t="s">
        <v>14</v>
      </c>
      <c r="C544" t="s">
        <v>22</v>
      </c>
      <c r="D544" s="2" t="s">
        <f>=HYPERLINK("https://main.knesset.gov.il/APPS/legislation/main/bills/2233344", "הצעת חוק אומנה לילדים (תיקון - העלאת גיל אומן), התשפ""ה-2025")</f>
        <v>1186</v>
      </c>
      <c r="E544" t="s">
        <v>1186</v>
      </c>
      <c r="F544" t="s">
        <v>1187</v>
      </c>
      <c r="G544" t="s">
        <v>14</v>
      </c>
      <c r="H544">
             </c>
      <c r="I544" t="s">
        <v>14</v>
      </c>
      <c r="J544" t="s">
        <v>99</v>
      </c>
      <c r="K544" t="s">
        <v>127</v>
      </c>
      <c r="L544" t="s">
        <v>20</v>
      </c>
      <c r="M544" t="s">
        <v>1185</v>
      </c>
      <c r="N544" t="s">
        <v>14</v>
      </c>
    </row>
    <row r="545" x14ac:dyDescent="0.25">
      <c r="A545" t="n">
        <v>25</v>
      </c>
      <c r="B545" t="s">
        <v>14</v>
      </c>
      <c r="C545" t="s">
        <v>22</v>
      </c>
      <c r="D545" s="2" t="s">
        <f>=HYPERLINK("https://main.knesset.gov.il/APPS/legislation/main/bills/2197950", "הצעת חוק החברות הממשלתיות (תיקון - כשירות מיוחדת), התשפ""ג-2022")</f>
        <v>1188</v>
      </c>
      <c r="E545" t="s">
        <v>1188</v>
      </c>
      <c r="F545" t="s">
        <v>1189</v>
      </c>
      <c r="G545" t="s">
        <v>14</v>
      </c>
      <c r="H545">
             </c>
      <c r="I545" t="s">
        <v>14</v>
      </c>
      <c r="J545" t="s">
        <v>31</v>
      </c>
      <c r="K545" t="s">
        <v>27</v>
      </c>
      <c r="L545" t="s">
        <v>20</v>
      </c>
      <c r="M545" t="s">
        <v>1185</v>
      </c>
      <c r="N545" t="s">
        <v>14</v>
      </c>
    </row>
    <row r="546" x14ac:dyDescent="0.25">
      <c r="A546" t="n">
        <v>25</v>
      </c>
      <c r="B546" t="s">
        <v>14</v>
      </c>
      <c r="C546" t="s">
        <v>15</v>
      </c>
      <c r="D546" s="2" t="s">
        <f>=HYPERLINK("https://main.knesset.gov.il/APPS/legislation/main/bills/1046556", "חוק לתיקון ולהארכת תוקפן של תקנות שעת חירום (חרבות ברזל) (הארכת מעצר לחשוד בעבירת ביטחון) (תיקון מס' 8), התשפ""ו-2026")</f>
        <v>1190</v>
      </c>
      <c r="E546" t="s">
        <v>1190</v>
      </c>
      <c r="F546" t="s">
        <v>14</v>
      </c>
      <c r="G546" t="s">
        <v>1191</v>
      </c>
      <c r="H546" t="n">
        <v>3491</v>
      </c>
      <c r="I546" t="s">
        <v>14</v>
      </c>
      <c r="J546" t="s">
        <v>91</v>
      </c>
      <c r="K546" t="s">
        <v>27</v>
      </c>
      <c r="L546" t="s">
        <v>20</v>
      </c>
      <c r="M546" t="s">
        <v>1192</v>
      </c>
      <c r="N546" t="s">
        <v>14</v>
      </c>
    </row>
    <row r="547" x14ac:dyDescent="0.25">
      <c r="A547" t="n">
        <v>25</v>
      </c>
      <c r="B547" t="s">
        <v>14</v>
      </c>
      <c r="C547" t="s">
        <v>22</v>
      </c>
      <c r="D547" s="2" t="s">
        <f>=HYPERLINK("https://main.knesset.gov.il/APPS/legislation/main/bills/2228305", "הצעת חוק העונשין (תיקון - החמרת ענישה בעבירות החזקת נשק שלא כדין), התשפ""ה-2025")</f>
        <v>1193</v>
      </c>
      <c r="E547" t="s">
        <v>1193</v>
      </c>
      <c r="F547" t="s">
        <v>1194</v>
      </c>
      <c r="G547" t="s">
        <v>14</v>
      </c>
      <c r="H547">
             </c>
      <c r="I547" t="s">
        <v>14</v>
      </c>
      <c r="J547" t="s">
        <v>31</v>
      </c>
      <c r="K547" t="s">
        <v>27</v>
      </c>
      <c r="L547" t="s">
        <v>20</v>
      </c>
      <c r="M547" t="s">
        <v>1192</v>
      </c>
      <c r="N547" t="s">
        <v>14</v>
      </c>
    </row>
    <row r="548" x14ac:dyDescent="0.25">
      <c r="A548" t="n">
        <v>25</v>
      </c>
      <c r="B548" t="s">
        <v>14</v>
      </c>
      <c r="C548" t="s">
        <v>22</v>
      </c>
      <c r="D548" s="2" t="s">
        <f>=HYPERLINK("https://main.knesset.gov.il/APPS/legislation/main/bills/2205932", "הצעת חוק העונשין (תיקון - החמרת ענישה בגין ירי מנשק חם שלא כדין), התשפ""ג-2023")</f>
        <v>1195</v>
      </c>
      <c r="E548" t="s">
        <v>1195</v>
      </c>
      <c r="F548" t="s">
        <v>1196</v>
      </c>
      <c r="G548" t="s">
        <v>14</v>
      </c>
      <c r="H548">
             </c>
      <c r="I548" t="s">
        <v>14</v>
      </c>
      <c r="J548" t="s">
        <v>31</v>
      </c>
      <c r="K548" t="s">
        <v>27</v>
      </c>
      <c r="L548" t="s">
        <v>20</v>
      </c>
      <c r="M548" t="s">
        <v>1192</v>
      </c>
      <c r="N548" t="s">
        <v>14</v>
      </c>
    </row>
    <row r="549" x14ac:dyDescent="0.25">
      <c r="A549" t="n">
        <v>25</v>
      </c>
      <c r="B549" t="s">
        <v>14</v>
      </c>
      <c r="C549" t="s">
        <v>15</v>
      </c>
      <c r="D549" s="2" t="s">
        <f>=HYPERLINK("https://main.knesset.gov.il/APPS/legislation/main/bills/2230015", "חוק משפחות חיילים שנספו במערכה (תגמולים ושיקום) (תיקון מס' 47), התשפ""ו-2026")</f>
        <v>1197</v>
      </c>
      <c r="E549" t="s">
        <v>1197</v>
      </c>
      <c r="F549" t="s">
        <v>14</v>
      </c>
      <c r="G549" t="s">
        <v>1198</v>
      </c>
      <c r="H549" t="n">
        <v>3493</v>
      </c>
      <c r="I549" t="s">
        <v>14</v>
      </c>
      <c r="J549" t="s">
        <v>91</v>
      </c>
      <c r="K549" t="s">
        <v>127</v>
      </c>
      <c r="L549" t="s">
        <v>20</v>
      </c>
      <c r="M549" t="s">
        <v>1192</v>
      </c>
      <c r="N549" t="s">
        <v>1199</v>
      </c>
    </row>
    <row r="550" x14ac:dyDescent="0.25">
      <c r="A550" t="n">
        <v>25</v>
      </c>
      <c r="B550" t="s">
        <v>14</v>
      </c>
      <c r="C550" t="s">
        <v>15</v>
      </c>
      <c r="D550" s="2" t="s">
        <f>=HYPERLINK("https://main.knesset.gov.il/APPS/legislation/main/bills/1046420", "חוק התמודדות עם תקיפות סייבר חמורות במגזר השירותים הדיגיטליים ושירותי האחסון (הוראת שעה) (תיקון מס' 4), התשפ""ו-2026")</f>
        <v>1200</v>
      </c>
      <c r="E550" t="s">
        <v>1200</v>
      </c>
      <c r="F550" t="s">
        <v>14</v>
      </c>
      <c r="G550" t="s">
        <v>1201</v>
      </c>
      <c r="H550" t="n">
        <v>3492</v>
      </c>
      <c r="I550" t="s">
        <v>14</v>
      </c>
      <c r="J550" t="s">
        <v>91</v>
      </c>
      <c r="K550" t="s">
        <v>114</v>
      </c>
      <c r="L550" t="s">
        <v>20</v>
      </c>
      <c r="M550" t="s">
        <v>1192</v>
      </c>
      <c r="N550" t="s">
        <v>1202</v>
      </c>
    </row>
    <row r="551" x14ac:dyDescent="0.25">
      <c r="A551" t="n">
        <v>25</v>
      </c>
      <c r="B551" t="s">
        <v>14</v>
      </c>
      <c r="C551" t="s">
        <v>22</v>
      </c>
      <c r="D551" s="2" t="s">
        <f>=HYPERLINK("https://main.knesset.gov.il/APPS/legislation/main/bills/2239464", "הצעת חוק איסור לשון הרע (תיקון - פיצוי ללא הוכחת נזק), התשפ""ו-2026")</f>
        <v>1203</v>
      </c>
      <c r="E551" t="s">
        <v>1203</v>
      </c>
      <c r="F551" t="s">
        <v>1204</v>
      </c>
      <c r="G551" t="s">
        <v>14</v>
      </c>
      <c r="H551">
             </c>
      <c r="I551" t="s">
        <v>14</v>
      </c>
      <c r="J551" t="s">
        <v>141</v>
      </c>
      <c r="K551" t="s">
        <v>14</v>
      </c>
      <c r="L551" t="s">
        <v>20</v>
      </c>
      <c r="M551" t="s">
        <v>1192</v>
      </c>
      <c r="N551" t="s">
        <v>14</v>
      </c>
    </row>
    <row r="552" x14ac:dyDescent="0.25">
      <c r="A552" t="n">
        <v>25</v>
      </c>
      <c r="B552" t="s">
        <v>14</v>
      </c>
      <c r="C552" t="s">
        <v>22</v>
      </c>
      <c r="D552" s="2" t="s">
        <f>=HYPERLINK("https://main.knesset.gov.il/APPS/legislation/main/bills/2239348", "הצעת חוק בתי קברות צבאיים (תיקון - קבורה לחיילים שהתאבדו לאחר שירותם עקב הלם קרב), התשפ""ו-2026")</f>
        <v>1205</v>
      </c>
      <c r="E552" t="s">
        <v>1205</v>
      </c>
      <c r="F552" t="s">
        <v>1206</v>
      </c>
      <c r="G552" t="s">
        <v>14</v>
      </c>
      <c r="H552">
             </c>
      <c r="I552" t="s">
        <v>14</v>
      </c>
      <c r="J552" t="s">
        <v>141</v>
      </c>
      <c r="K552" t="s">
        <v>14</v>
      </c>
      <c r="L552" t="s">
        <v>20</v>
      </c>
      <c r="M552" t="s">
        <v>1192</v>
      </c>
      <c r="N552" t="s">
        <v>14</v>
      </c>
    </row>
    <row r="553" x14ac:dyDescent="0.25">
      <c r="A553" t="n">
        <v>25</v>
      </c>
      <c r="B553" t="s">
        <v>14</v>
      </c>
      <c r="C553" t="s">
        <v>22</v>
      </c>
      <c r="D553" s="2" t="s">
        <f>=HYPERLINK("https://main.knesset.gov.il/APPS/legislation/main/bills/2239490", "הצעת חוק בתי קברות צבאיים (תיקון - קבורה לחיילים שהתאבדו לאחר שירותם עקב הלם קרב), התשפ""ו-2026")</f>
        <v>1205</v>
      </c>
      <c r="E553" t="s">
        <v>1205</v>
      </c>
      <c r="F553" t="s">
        <v>1207</v>
      </c>
      <c r="G553" t="s">
        <v>14</v>
      </c>
      <c r="H553">
             </c>
      <c r="I553" t="s">
        <v>14</v>
      </c>
      <c r="J553" t="s">
        <v>141</v>
      </c>
      <c r="K553" t="s">
        <v>14</v>
      </c>
      <c r="L553" t="s">
        <v>20</v>
      </c>
      <c r="M553" t="s">
        <v>1192</v>
      </c>
      <c r="N553" t="s">
        <v>14</v>
      </c>
    </row>
    <row r="554" x14ac:dyDescent="0.25">
      <c r="A554" t="n">
        <v>25</v>
      </c>
      <c r="B554" t="s">
        <v>14</v>
      </c>
      <c r="C554" t="s">
        <v>22</v>
      </c>
      <c r="D554" s="2" t="s">
        <f>=HYPERLINK("https://main.knesset.gov.il/APPS/legislation/main/bills/2239094", "הצעת חוק להשבת כפיפות בתי הדין למשרד המשפטים, התשפ״ו-2026")</f>
        <v>1208</v>
      </c>
      <c r="E554" t="s">
        <v>1208</v>
      </c>
      <c r="F554" t="s">
        <v>1209</v>
      </c>
      <c r="G554" t="s">
        <v>14</v>
      </c>
      <c r="H554">
             </c>
      <c r="I554" t="s">
        <v>14</v>
      </c>
      <c r="J554" t="s">
        <v>141</v>
      </c>
      <c r="K554" t="s">
        <v>14</v>
      </c>
      <c r="L554" t="s">
        <v>20</v>
      </c>
      <c r="M554" t="s">
        <v>1192</v>
      </c>
      <c r="N554" t="s">
        <v>14</v>
      </c>
    </row>
    <row r="555" x14ac:dyDescent="0.25">
      <c r="A555" t="n">
        <v>25</v>
      </c>
      <c r="B555" t="s">
        <v>14</v>
      </c>
      <c r="C555" t="s">
        <v>22</v>
      </c>
      <c r="D555" s="2" t="s">
        <f>=HYPERLINK("https://main.knesset.gov.il/APPS/legislation/main/bills/2239384", "הצעת חוק איסור טיפולי המרה לקטין, התשפ""ו-2026")</f>
        <v>1210</v>
      </c>
      <c r="E555" t="s">
        <v>1210</v>
      </c>
      <c r="F555" t="s">
        <v>1211</v>
      </c>
      <c r="G555" t="s">
        <v>14</v>
      </c>
      <c r="H555">
             </c>
      <c r="I555" t="s">
        <v>14</v>
      </c>
      <c r="J555" t="s">
        <v>141</v>
      </c>
      <c r="K555" t="s">
        <v>14</v>
      </c>
      <c r="L555" t="s">
        <v>20</v>
      </c>
      <c r="M555" t="s">
        <v>1192</v>
      </c>
      <c r="N555" t="s">
        <v>14</v>
      </c>
    </row>
    <row r="556" x14ac:dyDescent="0.25">
      <c r="A556" t="n">
        <v>25</v>
      </c>
      <c r="B556" t="s">
        <v>14</v>
      </c>
      <c r="C556" t="s">
        <v>22</v>
      </c>
      <c r="D556" s="2" t="s">
        <f>=HYPERLINK("https://main.knesset.gov.il/APPS/legislation/main/bills/2239176", "הצעת חוק הרבנות הראשית לישראל (תיקון - שירות צבאי כתנאי כשירות), התשפ""ו-2026")</f>
        <v>1212</v>
      </c>
      <c r="E556" t="s">
        <v>1212</v>
      </c>
      <c r="F556" t="s">
        <v>1213</v>
      </c>
      <c r="G556" t="s">
        <v>14</v>
      </c>
      <c r="H556">
             </c>
      <c r="I556" t="s">
        <v>14</v>
      </c>
      <c r="J556" t="s">
        <v>343</v>
      </c>
      <c r="K556" t="s">
        <v>14</v>
      </c>
      <c r="L556" t="s">
        <v>20</v>
      </c>
      <c r="M556" t="s">
        <v>1192</v>
      </c>
      <c r="N556" t="s">
        <v>14</v>
      </c>
    </row>
    <row r="557" x14ac:dyDescent="0.25">
      <c r="A557" t="n">
        <v>25</v>
      </c>
      <c r="B557" t="s">
        <v>14</v>
      </c>
      <c r="C557" t="s">
        <v>22</v>
      </c>
      <c r="D557" s="2" t="s">
        <f>=HYPERLINK("https://main.knesset.gov.il/APPS/legislation/main/bills/2238842", "הצעת חוק זכויות נפגעי עבירה (תיקון - הוספת סרסור והבאת אדם לידי זנות להגדרה עבירת מין או אלימות), התשפ""ו-2026")</f>
        <v>1214</v>
      </c>
      <c r="E557" t="s">
        <v>1214</v>
      </c>
      <c r="F557" t="s">
        <v>1215</v>
      </c>
      <c r="G557" t="s">
        <v>14</v>
      </c>
      <c r="H557">
             </c>
      <c r="I557" t="s">
        <v>14</v>
      </c>
      <c r="J557" t="s">
        <v>141</v>
      </c>
      <c r="K557" t="s">
        <v>14</v>
      </c>
      <c r="L557" t="s">
        <v>20</v>
      </c>
      <c r="M557" t="s">
        <v>1192</v>
      </c>
      <c r="N557" t="s">
        <v>14</v>
      </c>
    </row>
    <row r="558" x14ac:dyDescent="0.25">
      <c r="A558" t="n">
        <v>25</v>
      </c>
      <c r="B558" t="s">
        <v>14</v>
      </c>
      <c r="C558" t="s">
        <v>22</v>
      </c>
      <c r="D558" s="2" t="s">
        <f>=HYPERLINK("https://main.knesset.gov.il/APPS/legislation/main/bills/2239363", "הצעת חוק מרשם האוכלוסין (תיקון - הגדרת יהודי), התשפ""ו-2026")</f>
        <v>1216</v>
      </c>
      <c r="E558" t="s">
        <v>1216</v>
      </c>
      <c r="F558" t="s">
        <v>1217</v>
      </c>
      <c r="G558" t="s">
        <v>14</v>
      </c>
      <c r="H558">
             </c>
      <c r="I558" t="s">
        <v>14</v>
      </c>
      <c r="J558" t="s">
        <v>141</v>
      </c>
      <c r="K558" t="s">
        <v>14</v>
      </c>
      <c r="L558" t="s">
        <v>20</v>
      </c>
      <c r="M558" t="s">
        <v>1192</v>
      </c>
      <c r="N558" t="s">
        <v>14</v>
      </c>
    </row>
    <row r="559" x14ac:dyDescent="0.25">
      <c r="A559" t="n">
        <v>25</v>
      </c>
      <c r="B559" t="s">
        <v>14</v>
      </c>
      <c r="C559" t="s">
        <v>22</v>
      </c>
      <c r="D559" s="2" t="s">
        <f>=HYPERLINK("https://main.knesset.gov.il/APPS/legislation/main/bills/2236706", "הצעת חוק הגנת הצרכן (תיקון - רכישת מוצרי חשמל, אלקטרוניקה וגז בהנחה ללא תקופת אחריות), התשפ""ו-2026")</f>
        <v>1218</v>
      </c>
      <c r="E559" t="s">
        <v>1218</v>
      </c>
      <c r="F559" t="s">
        <v>1219</v>
      </c>
      <c r="G559" t="s">
        <v>14</v>
      </c>
      <c r="H559">
             </c>
      <c r="I559" t="s">
        <v>14</v>
      </c>
      <c r="J559" t="s">
        <v>141</v>
      </c>
      <c r="K559" t="s">
        <v>14</v>
      </c>
      <c r="L559" t="s">
        <v>20</v>
      </c>
      <c r="M559" t="s">
        <v>1192</v>
      </c>
      <c r="N559" t="s">
        <v>14</v>
      </c>
    </row>
    <row r="560" x14ac:dyDescent="0.25">
      <c r="A560" t="n">
        <v>25</v>
      </c>
      <c r="B560" t="s">
        <v>14</v>
      </c>
      <c r="C560" t="s">
        <v>22</v>
      </c>
      <c r="D560" s="2" t="s">
        <f>=HYPERLINK("https://main.knesset.gov.il/APPS/legislation/main/bills/2239504", "הצעת חוק חובת דיווח שנתי על מצב הטבע והמגוון הביולוגי בישראל, התשפ""ו-2026")</f>
        <v>1220</v>
      </c>
      <c r="E560" t="s">
        <v>1220</v>
      </c>
      <c r="F560" t="s">
        <v>1221</v>
      </c>
      <c r="G560" t="s">
        <v>14</v>
      </c>
      <c r="H560">
             </c>
      <c r="I560" t="s">
        <v>14</v>
      </c>
      <c r="J560" t="s">
        <v>141</v>
      </c>
      <c r="K560" t="s">
        <v>14</v>
      </c>
      <c r="L560" t="s">
        <v>20</v>
      </c>
      <c r="M560" t="s">
        <v>1192</v>
      </c>
      <c r="N560" t="s">
        <v>14</v>
      </c>
    </row>
    <row r="561" x14ac:dyDescent="0.25">
      <c r="A561" t="n">
        <v>25</v>
      </c>
      <c r="B561" t="s">
        <v>14</v>
      </c>
      <c r="C561" t="s">
        <v>22</v>
      </c>
      <c r="D561" s="2" t="s">
        <f>=HYPERLINK("https://main.knesset.gov.il/APPS/legislation/main/bills/2239606", "הצעת חוק העמותות (תיקון - הסדרת מעמדן של אגודות עותמאניות כעמותות רשומות),  התשפ""ו-2026")</f>
        <v>1222</v>
      </c>
      <c r="E561" t="s">
        <v>1222</v>
      </c>
      <c r="F561" t="s">
        <v>1223</v>
      </c>
      <c r="G561" t="s">
        <v>14</v>
      </c>
      <c r="H561">
             </c>
      <c r="I561" t="s">
        <v>14</v>
      </c>
      <c r="J561" t="s">
        <v>141</v>
      </c>
      <c r="K561" t="s">
        <v>14</v>
      </c>
      <c r="L561" t="s">
        <v>20</v>
      </c>
      <c r="M561" t="s">
        <v>1192</v>
      </c>
      <c r="N561" t="s">
        <v>14</v>
      </c>
    </row>
    <row r="562" x14ac:dyDescent="0.25">
      <c r="A562" t="n">
        <v>25</v>
      </c>
      <c r="B562" t="s">
        <v>14</v>
      </c>
      <c r="C562" t="s">
        <v>22</v>
      </c>
      <c r="D562" s="2" t="s">
        <f>=HYPERLINK("https://main.knesset.gov.il/APPS/legislation/main/bills/2236464", "הצעת חוק העמותות (תיקון - הסדרת מעמדן של אגודות עותמאניות כעמותות רשומות), התשפ""ו-2026")</f>
        <v>1224</v>
      </c>
      <c r="E562" t="s">
        <v>1224</v>
      </c>
      <c r="F562" t="s">
        <v>1225</v>
      </c>
      <c r="G562" t="s">
        <v>14</v>
      </c>
      <c r="H562">
             </c>
      <c r="I562" t="s">
        <v>14</v>
      </c>
      <c r="J562" t="s">
        <v>141</v>
      </c>
      <c r="K562" t="s">
        <v>14</v>
      </c>
      <c r="L562" t="s">
        <v>20</v>
      </c>
      <c r="M562" t="s">
        <v>1192</v>
      </c>
      <c r="N562" t="s">
        <v>14</v>
      </c>
    </row>
    <row r="563" x14ac:dyDescent="0.25">
      <c r="A563" t="n">
        <v>25</v>
      </c>
      <c r="B563" t="s">
        <v>14</v>
      </c>
      <c r="C563" t="s">
        <v>22</v>
      </c>
      <c r="D563" s="2" t="s">
        <f>=HYPERLINK("https://main.knesset.gov.il/APPS/legislation/main/bills/2238651", "הצעת חוק להנצחת האדמו""ר מצאנז - הרב יקותיאל יהודה הלברשטאם, התשפ""ו-2026")</f>
        <v>1226</v>
      </c>
      <c r="E563" t="s">
        <v>1226</v>
      </c>
      <c r="F563" t="s">
        <v>1227</v>
      </c>
      <c r="G563" t="s">
        <v>14</v>
      </c>
      <c r="H563">
             </c>
      <c r="I563" t="s">
        <v>14</v>
      </c>
      <c r="J563" t="s">
        <v>141</v>
      </c>
      <c r="K563" t="s">
        <v>14</v>
      </c>
      <c r="L563" t="s">
        <v>20</v>
      </c>
      <c r="M563" t="s">
        <v>1192</v>
      </c>
      <c r="N563" t="s">
        <v>14</v>
      </c>
    </row>
    <row r="564" x14ac:dyDescent="0.25">
      <c r="A564" t="n">
        <v>25</v>
      </c>
      <c r="B564" t="s">
        <v>14</v>
      </c>
      <c r="C564" t="s">
        <v>22</v>
      </c>
      <c r="D564" s="2" t="s">
        <f>=HYPERLINK("https://main.knesset.gov.il/APPS/legislation/main/bills/2235092", "הצעת חוק גמלאות לנושאי משרה ברשויות השלטון (תיקון - התניית זכאות להטבות בשהייה רצופה בישראל), התשפ""ו-2026")</f>
        <v>1228</v>
      </c>
      <c r="E564" t="s">
        <v>1228</v>
      </c>
      <c r="F564" t="s">
        <v>1229</v>
      </c>
      <c r="G564" t="s">
        <v>14</v>
      </c>
      <c r="H564">
             </c>
      <c r="I564" t="s">
        <v>14</v>
      </c>
      <c r="J564" t="s">
        <v>141</v>
      </c>
      <c r="K564" t="s">
        <v>14</v>
      </c>
      <c r="L564" t="s">
        <v>20</v>
      </c>
      <c r="M564" t="s">
        <v>1192</v>
      </c>
      <c r="N564" t="s">
        <v>14</v>
      </c>
    </row>
    <row r="565" x14ac:dyDescent="0.25">
      <c r="A565" t="n">
        <v>25</v>
      </c>
      <c r="B565" t="s">
        <v>14</v>
      </c>
      <c r="C565" t="s">
        <v>22</v>
      </c>
      <c r="D565" s="2" t="s">
        <f>=HYPERLINK("https://main.knesset.gov.il/APPS/legislation/main/bills/2239070", "הצעת חוק יום לציון המאבק לעליית יהודי ברית המועצות לשעבר, התשפ""ו-2026")</f>
        <v>1230</v>
      </c>
      <c r="E565" t="s">
        <v>1230</v>
      </c>
      <c r="F565" t="s">
        <v>1231</v>
      </c>
      <c r="G565" t="s">
        <v>14</v>
      </c>
      <c r="H565">
             </c>
      <c r="I565" t="s">
        <v>14</v>
      </c>
      <c r="J565" t="s">
        <v>141</v>
      </c>
      <c r="K565" t="s">
        <v>14</v>
      </c>
      <c r="L565" t="s">
        <v>20</v>
      </c>
      <c r="M565" t="s">
        <v>1192</v>
      </c>
      <c r="N565" t="s">
        <v>14</v>
      </c>
    </row>
    <row r="566" x14ac:dyDescent="0.25">
      <c r="A566" t="n">
        <v>25</v>
      </c>
      <c r="B566" t="s">
        <v>14</v>
      </c>
      <c r="C566" t="s">
        <v>22</v>
      </c>
      <c r="D566" s="2" t="s">
        <f>=HYPERLINK("https://main.knesset.gov.il/APPS/legislation/main/bills/2238200", "הצעת חוק לתיקון פקודת מחלות בעלי חיים (שיקולי שמירה על ביטחון המזון של מדינת ישראל), התשפ""ו-2026")</f>
        <v>1232</v>
      </c>
      <c r="E566" t="s">
        <v>1232</v>
      </c>
      <c r="F566" t="s">
        <v>1233</v>
      </c>
      <c r="G566" t="s">
        <v>14</v>
      </c>
      <c r="H566">
             </c>
      <c r="I566" t="s">
        <v>14</v>
      </c>
      <c r="J566" t="s">
        <v>141</v>
      </c>
      <c r="K566" t="s">
        <v>14</v>
      </c>
      <c r="L566" t="s">
        <v>20</v>
      </c>
      <c r="M566" t="s">
        <v>1192</v>
      </c>
      <c r="N566" t="s">
        <v>14</v>
      </c>
    </row>
    <row r="567" x14ac:dyDescent="0.25">
      <c r="A567" t="n">
        <v>25</v>
      </c>
      <c r="B567" t="s">
        <v>14</v>
      </c>
      <c r="C567" t="s">
        <v>22</v>
      </c>
      <c r="D567" s="2" t="s">
        <f>=HYPERLINK("https://main.knesset.gov.il/APPS/legislation/main/bills/2239356", "הצעת חוק חובת המכרזים (תיקון - העדפה למעסיק משרתי מילואים), התשפ""ו-2026")</f>
        <v>1234</v>
      </c>
      <c r="E567" t="s">
        <v>1234</v>
      </c>
      <c r="F567" t="s">
        <v>1235</v>
      </c>
      <c r="G567" t="s">
        <v>14</v>
      </c>
      <c r="H567">
             </c>
      <c r="I567" t="s">
        <v>14</v>
      </c>
      <c r="J567" t="s">
        <v>141</v>
      </c>
      <c r="K567" t="s">
        <v>14</v>
      </c>
      <c r="L567" t="s">
        <v>20</v>
      </c>
      <c r="M567" t="s">
        <v>1192</v>
      </c>
      <c r="N567" t="s">
        <v>14</v>
      </c>
    </row>
    <row r="568" x14ac:dyDescent="0.25">
      <c r="A568" t="n">
        <v>25</v>
      </c>
      <c r="B568" t="s">
        <v>14</v>
      </c>
      <c r="C568" t="s">
        <v>22</v>
      </c>
      <c r="D568" s="2" t="s">
        <f>=HYPERLINK("https://main.knesset.gov.il/APPS/legislation/main/bills/2239503", "הצעת חוק שימוש חוזר במים אפורים, התשפ""ו-2026")</f>
        <v>1236</v>
      </c>
      <c r="E568" t="s">
        <v>1236</v>
      </c>
      <c r="F568" t="s">
        <v>1237</v>
      </c>
      <c r="G568" t="s">
        <v>14</v>
      </c>
      <c r="H568">
             </c>
      <c r="I568" t="s">
        <v>14</v>
      </c>
      <c r="J568" t="s">
        <v>141</v>
      </c>
      <c r="K568" t="s">
        <v>14</v>
      </c>
      <c r="L568" t="s">
        <v>20</v>
      </c>
      <c r="M568" t="s">
        <v>1192</v>
      </c>
      <c r="N568" t="s">
        <v>14</v>
      </c>
    </row>
    <row r="569" x14ac:dyDescent="0.25">
      <c r="A569" t="n">
        <v>25</v>
      </c>
      <c r="B569" t="s">
        <v>14</v>
      </c>
      <c r="C569" t="s">
        <v>22</v>
      </c>
      <c r="D569" s="2" t="s">
        <f>=HYPERLINK("https://main.knesset.gov.il/APPS/legislation/main/bills/2239506", "הצעת חוק הבטחת גישה למזון בשעת חירום, התשפ""ו-2026")</f>
        <v>1238</v>
      </c>
      <c r="E569" t="s">
        <v>1238</v>
      </c>
      <c r="F569" t="s">
        <v>1239</v>
      </c>
      <c r="G569" t="s">
        <v>14</v>
      </c>
      <c r="H569">
             </c>
      <c r="I569" t="s">
        <v>14</v>
      </c>
      <c r="J569" t="s">
        <v>141</v>
      </c>
      <c r="K569" t="s">
        <v>14</v>
      </c>
      <c r="L569" t="s">
        <v>20</v>
      </c>
      <c r="M569" t="s">
        <v>1192</v>
      </c>
      <c r="N569" t="s">
        <v>14</v>
      </c>
    </row>
    <row r="570" x14ac:dyDescent="0.25">
      <c r="A570" t="n">
        <v>25</v>
      </c>
      <c r="B570" t="s">
        <v>14</v>
      </c>
      <c r="C570" t="s">
        <v>22</v>
      </c>
      <c r="D570" s="2" t="s">
        <f>=HYPERLINK("https://main.knesset.gov.il/APPS/legislation/main/bills/2238816", "הצעת חוק לתיקון פקודת התעבורה (שינוי שיטת החישוב של דמי חניה בחניון), התשפ""ו-2026")</f>
        <v>827</v>
      </c>
      <c r="E570" t="s">
        <v>827</v>
      </c>
      <c r="F570" t="s">
        <v>1240</v>
      </c>
      <c r="G570" t="s">
        <v>14</v>
      </c>
      <c r="H570">
             </c>
      <c r="I570" t="s">
        <v>14</v>
      </c>
      <c r="J570" t="s">
        <v>343</v>
      </c>
      <c r="K570" t="s">
        <v>14</v>
      </c>
      <c r="L570" t="s">
        <v>20</v>
      </c>
      <c r="M570" t="s">
        <v>1192</v>
      </c>
      <c r="N570" t="s">
        <v>14</v>
      </c>
    </row>
    <row r="571" x14ac:dyDescent="0.25">
      <c r="A571" t="n">
        <v>25</v>
      </c>
      <c r="B571" t="s">
        <v>14</v>
      </c>
      <c r="C571" t="s">
        <v>22</v>
      </c>
      <c r="D571" s="2" t="s">
        <f>=HYPERLINK("https://main.knesset.gov.il/APPS/legislation/main/bills/2236124", "הצעת חוק עידוד העיתונות המקומית והקהילתית, התשפ""ו-2026")</f>
        <v>1241</v>
      </c>
      <c r="E571" t="s">
        <v>1241</v>
      </c>
      <c r="F571" t="s">
        <v>1242</v>
      </c>
      <c r="G571" t="s">
        <v>14</v>
      </c>
      <c r="H571">
             </c>
      <c r="I571" t="s">
        <v>14</v>
      </c>
      <c r="J571" t="s">
        <v>1123</v>
      </c>
      <c r="K571" t="s">
        <v>14</v>
      </c>
      <c r="L571" t="s">
        <v>20</v>
      </c>
      <c r="M571" t="s">
        <v>1192</v>
      </c>
      <c r="N571" t="s">
        <v>14</v>
      </c>
    </row>
    <row r="572" x14ac:dyDescent="0.25">
      <c r="A572" t="n">
        <v>25</v>
      </c>
      <c r="B572" t="s">
        <v>14</v>
      </c>
      <c r="C572" t="s">
        <v>22</v>
      </c>
      <c r="D572" s="2" t="s">
        <f>=HYPERLINK("https://main.knesset.gov.il/APPS/legislation/main/bills/2239505", "הצעת חוק לתיקון פקודת המשטרה (ביטול הכפיפות לשר וסמכותו להתוות מדיניות), התשפ""ו-2026")</f>
        <v>1243</v>
      </c>
      <c r="E572" t="s">
        <v>1243</v>
      </c>
      <c r="F572" t="s">
        <v>1244</v>
      </c>
      <c r="G572" t="s">
        <v>14</v>
      </c>
      <c r="H572">
             </c>
      <c r="I572" t="s">
        <v>14</v>
      </c>
      <c r="J572" t="s">
        <v>141</v>
      </c>
      <c r="K572" t="s">
        <v>14</v>
      </c>
      <c r="L572" t="s">
        <v>20</v>
      </c>
      <c r="M572" t="s">
        <v>1192</v>
      </c>
      <c r="N572" t="s">
        <v>14</v>
      </c>
    </row>
    <row r="573" x14ac:dyDescent="0.25">
      <c r="A573" t="n">
        <v>25</v>
      </c>
      <c r="B573" t="s">
        <v>14</v>
      </c>
      <c r="C573" t="s">
        <v>22</v>
      </c>
      <c r="D573" s="2" t="s">
        <f>=HYPERLINK("https://main.knesset.gov.il/APPS/legislation/main/bills/2239530", "הצעת חוק סמכויות לשם מניעת ביצוע עבירות באמצעות אתר אינטרנט (תיקון - מניעת הונאות באמצעי תשלום), התשפ""ו-2026")</f>
        <v>1245</v>
      </c>
      <c r="E573" t="s">
        <v>1245</v>
      </c>
      <c r="F573" t="s">
        <v>1246</v>
      </c>
      <c r="G573" t="s">
        <v>14</v>
      </c>
      <c r="H573">
             </c>
      <c r="I573" t="s">
        <v>14</v>
      </c>
      <c r="J573" t="s">
        <v>141</v>
      </c>
      <c r="K573" t="s">
        <v>14</v>
      </c>
      <c r="L573" t="s">
        <v>20</v>
      </c>
      <c r="M573" t="s">
        <v>1192</v>
      </c>
      <c r="N573" t="s">
        <v>14</v>
      </c>
    </row>
    <row r="574" x14ac:dyDescent="0.25">
      <c r="A574" t="n">
        <v>25</v>
      </c>
      <c r="B574" t="s">
        <v>14</v>
      </c>
      <c r="C574" t="s">
        <v>22</v>
      </c>
      <c r="D574" s="2" t="s">
        <f>=HYPERLINK("https://main.knesset.gov.il/APPS/legislation/main/bills/2239355", "הצעת חוק-יסוד: הממשלה (תיקון - הגבלת כהונת ראש הממשלה לשתי תקופות כהונה רצופות)")</f>
        <v>1247</v>
      </c>
      <c r="E574" t="s">
        <v>1247</v>
      </c>
      <c r="F574" t="s">
        <v>1248</v>
      </c>
      <c r="G574" t="s">
        <v>14</v>
      </c>
      <c r="H574">
             </c>
      <c r="I574" t="s">
        <v>14</v>
      </c>
      <c r="J574" t="s">
        <v>141</v>
      </c>
      <c r="K574" t="s">
        <v>14</v>
      </c>
      <c r="L574" t="s">
        <v>20</v>
      </c>
      <c r="M574" t="s">
        <v>1192</v>
      </c>
      <c r="N574" t="s">
        <v>14</v>
      </c>
    </row>
    <row r="575" x14ac:dyDescent="0.25">
      <c r="A575" t="n">
        <v>25</v>
      </c>
      <c r="B575" t="s">
        <v>14</v>
      </c>
      <c r="C575" t="s">
        <v>22</v>
      </c>
      <c r="D575" s="2" t="s">
        <f>=HYPERLINK("https://main.knesset.gov.il/APPS/legislation/main/bills/2239343", "הצעת חוק העונשין (תיקון - הוספת עבירת חרם חברתי חמור על קטין), התשפ""ו-2026")</f>
        <v>1249</v>
      </c>
      <c r="E575" t="s">
        <v>1249</v>
      </c>
      <c r="F575" t="s">
        <v>1250</v>
      </c>
      <c r="G575" t="s">
        <v>14</v>
      </c>
      <c r="H575">
             </c>
      <c r="I575" t="s">
        <v>14</v>
      </c>
      <c r="J575" t="s">
        <v>141</v>
      </c>
      <c r="K575" t="s">
        <v>14</v>
      </c>
      <c r="L575" t="s">
        <v>20</v>
      </c>
      <c r="M575" t="s">
        <v>1192</v>
      </c>
      <c r="N575" t="s">
        <v>14</v>
      </c>
    </row>
    <row r="576" x14ac:dyDescent="0.25">
      <c r="A576" t="n">
        <v>25</v>
      </c>
      <c r="B576" t="s">
        <v>14</v>
      </c>
      <c r="C576" t="s">
        <v>22</v>
      </c>
      <c r="D576" s="2" t="s">
        <f>=HYPERLINK("https://main.knesset.gov.il/APPS/legislation/main/bills/2238541", "הצעת חוק ביטוח סיעוד ממלכתי (הקמת ועדה ממלכתית), התשפ""ו-2026")</f>
        <v>1251</v>
      </c>
      <c r="E576" t="s">
        <v>1251</v>
      </c>
      <c r="F576" t="s">
        <v>1252</v>
      </c>
      <c r="G576" t="s">
        <v>14</v>
      </c>
      <c r="H576">
             </c>
      <c r="I576" t="s">
        <v>14</v>
      </c>
      <c r="J576" t="s">
        <v>141</v>
      </c>
      <c r="K576" t="s">
        <v>14</v>
      </c>
      <c r="L576" t="s">
        <v>20</v>
      </c>
      <c r="M576" t="s">
        <v>1192</v>
      </c>
      <c r="N576" t="s">
        <v>14</v>
      </c>
    </row>
    <row r="577" x14ac:dyDescent="0.25">
      <c r="A577" t="n">
        <v>25</v>
      </c>
      <c r="B577" t="s">
        <v>14</v>
      </c>
      <c r="C577" t="s">
        <v>22</v>
      </c>
      <c r="D577" s="2" t="s">
        <f>=HYPERLINK("https://main.knesset.gov.il/APPS/legislation/main/bills/2238309", "הצעת חוק התחרות הכלכלית (תיקון - חזקת מחיר מופרז), התשפ""ו-2026")</f>
        <v>1253</v>
      </c>
      <c r="E577" t="s">
        <v>1253</v>
      </c>
      <c r="F577" t="s">
        <v>1254</v>
      </c>
      <c r="G577" t="s">
        <v>14</v>
      </c>
      <c r="H577">
             </c>
      <c r="I577" t="s">
        <v>14</v>
      </c>
      <c r="J577" t="s">
        <v>141</v>
      </c>
      <c r="K577" t="s">
        <v>14</v>
      </c>
      <c r="L577" t="s">
        <v>20</v>
      </c>
      <c r="M577" t="s">
        <v>1192</v>
      </c>
      <c r="N577" t="s">
        <v>14</v>
      </c>
    </row>
    <row r="578" x14ac:dyDescent="0.25">
      <c r="A578" t="n">
        <v>25</v>
      </c>
      <c r="B578" t="s">
        <v>14</v>
      </c>
      <c r="C578" t="s">
        <v>22</v>
      </c>
      <c r="D578" s="2" t="s">
        <f>=HYPERLINK("https://main.knesset.gov.il/APPS/legislation/main/bills/2234316", "הצעת חוק הבנקאות (שירות ללקוח) (תיקון - חובת הדרכה פיננסית), התשפ""ו-2026")</f>
        <v>1255</v>
      </c>
      <c r="E578" t="s">
        <v>1255</v>
      </c>
      <c r="F578" t="s">
        <v>1256</v>
      </c>
      <c r="G578" t="s">
        <v>14</v>
      </c>
      <c r="H578">
             </c>
      <c r="I578" t="s">
        <v>14</v>
      </c>
      <c r="J578" t="s">
        <v>141</v>
      </c>
      <c r="K578" t="s">
        <v>14</v>
      </c>
      <c r="L578" t="s">
        <v>20</v>
      </c>
      <c r="M578" t="s">
        <v>1192</v>
      </c>
      <c r="N578" t="s">
        <v>14</v>
      </c>
    </row>
    <row r="579" x14ac:dyDescent="0.25">
      <c r="A579" t="n">
        <v>25</v>
      </c>
      <c r="B579" t="s">
        <v>14</v>
      </c>
      <c r="C579" t="s">
        <v>22</v>
      </c>
      <c r="D579" s="2" t="s">
        <f>=HYPERLINK("https://main.knesset.gov.il/APPS/legislation/main/bills/2239579", "הצעת חוק הביטוח הלאומי (תיקון - חישוב תגמולי מילואים בתקופת חירום), התשפ""ו-2026")</f>
        <v>1257</v>
      </c>
      <c r="E579" t="s">
        <v>1257</v>
      </c>
      <c r="F579" t="s">
        <v>1258</v>
      </c>
      <c r="G579" t="s">
        <v>14</v>
      </c>
      <c r="H579">
             </c>
      <c r="I579" t="s">
        <v>14</v>
      </c>
      <c r="J579" t="s">
        <v>141</v>
      </c>
      <c r="K579" t="s">
        <v>14</v>
      </c>
      <c r="L579" t="s">
        <v>20</v>
      </c>
      <c r="M579" t="s">
        <v>1192</v>
      </c>
      <c r="N579" t="s">
        <v>14</v>
      </c>
    </row>
    <row r="580" x14ac:dyDescent="0.25">
      <c r="A580" t="n">
        <v>25</v>
      </c>
      <c r="B580" t="s">
        <v>14</v>
      </c>
      <c r="C580" t="s">
        <v>22</v>
      </c>
      <c r="D580" s="2" t="s">
        <f>=HYPERLINK("https://main.knesset.gov.il/APPS/legislation/main/bills/2216081", "חוק מניעת העסקת עובד הוראה שיש לו תואר אקדמי ממוסד ברשות הפלסטינית (תיקוני חקיקה), התשפ""ו–2026")</f>
        <v>1259</v>
      </c>
      <c r="E580" t="s">
        <v>1259</v>
      </c>
      <c r="F580" t="s">
        <v>1260</v>
      </c>
      <c r="G580" t="s">
        <v>1261</v>
      </c>
      <c r="H580" t="n">
        <v>3490</v>
      </c>
      <c r="I580" t="s">
        <v>14</v>
      </c>
      <c r="J580" t="s">
        <v>91</v>
      </c>
      <c r="K580" t="s">
        <v>34</v>
      </c>
      <c r="L580" t="s">
        <v>20</v>
      </c>
      <c r="M580" t="s">
        <v>1262</v>
      </c>
      <c r="N580" t="s">
        <v>1263</v>
      </c>
    </row>
    <row r="581" x14ac:dyDescent="0.25">
      <c r="A581" t="n">
        <v>25</v>
      </c>
      <c r="B581" t="s">
        <v>14</v>
      </c>
      <c r="C581" t="s">
        <v>22</v>
      </c>
      <c r="D581" s="2" t="s">
        <f>=HYPERLINK("https://main.knesset.gov.il/APPS/legislation/main/bills/2197787", "חוק אומנה לילדים (תיקון מס' 7), התשפ""ו-2026")</f>
        <v>1264</v>
      </c>
      <c r="E581" t="s">
        <v>1264</v>
      </c>
      <c r="F581" t="s">
        <v>1265</v>
      </c>
      <c r="G581" t="s">
        <v>1266</v>
      </c>
      <c r="H581" t="n">
        <v>3489</v>
      </c>
      <c r="I581" t="s">
        <v>14</v>
      </c>
      <c r="J581" t="s">
        <v>91</v>
      </c>
      <c r="K581" t="s">
        <v>127</v>
      </c>
      <c r="L581" t="s">
        <v>20</v>
      </c>
      <c r="M581" t="s">
        <v>1262</v>
      </c>
      <c r="N581" t="s">
        <v>1267</v>
      </c>
    </row>
    <row r="582" x14ac:dyDescent="0.25">
      <c r="A582" t="n">
        <v>25</v>
      </c>
      <c r="B582" t="s">
        <v>14</v>
      </c>
      <c r="C582" t="s">
        <v>22</v>
      </c>
      <c r="D582" s="2" t="s">
        <f>=HYPERLINK("https://main.knesset.gov.il/APPS/legislation/main/bills/2236826", "הצעת חוק איסור הכחשת אירועי טבח 7 באוקטובר 2023 (טבח שמיני עצרת) (תיקון - איסור הכחשת חטיפה והחזקת חטוף בשבי), התשפ""ו-2025")</f>
        <v>1268</v>
      </c>
      <c r="E582" t="s">
        <v>1268</v>
      </c>
      <c r="F582" t="s">
        <v>1269</v>
      </c>
      <c r="G582" t="s">
        <v>14</v>
      </c>
      <c r="H582">
             </c>
      <c r="I582" t="s">
        <v>14</v>
      </c>
      <c r="J582" t="s">
        <v>55</v>
      </c>
      <c r="K582" t="s">
        <v>14</v>
      </c>
      <c r="L582" t="s">
        <v>20</v>
      </c>
      <c r="M582" t="s">
        <v>1262</v>
      </c>
      <c r="N582" t="s">
        <v>14</v>
      </c>
    </row>
    <row r="583" x14ac:dyDescent="0.25">
      <c r="A583" t="n">
        <v>25</v>
      </c>
      <c r="B583" t="s">
        <v>14</v>
      </c>
      <c r="C583" t="s">
        <v>22</v>
      </c>
      <c r="D583" s="2" t="s">
        <f>=HYPERLINK("https://main.knesset.gov.il/APPS/legislation/main/bills/2236314", "הצעת חוק הממשלה (תיקון - ועדת שרים לענייני ביטחון לאומי), התשפ״ו-2025")</f>
        <v>1270</v>
      </c>
      <c r="E583" t="s">
        <v>1270</v>
      </c>
      <c r="F583" t="s">
        <v>1271</v>
      </c>
      <c r="G583" t="s">
        <v>14</v>
      </c>
      <c r="H583">
             </c>
      <c r="I583" t="s">
        <v>14</v>
      </c>
      <c r="J583" t="s">
        <v>55</v>
      </c>
      <c r="K583" t="s">
        <v>14</v>
      </c>
      <c r="L583" t="s">
        <v>20</v>
      </c>
      <c r="M583" t="s">
        <v>1262</v>
      </c>
      <c r="N583" t="s">
        <v>14</v>
      </c>
    </row>
    <row r="584" x14ac:dyDescent="0.25">
      <c r="A584" t="n">
        <v>25</v>
      </c>
      <c r="B584" t="s">
        <v>14</v>
      </c>
      <c r="C584" t="s">
        <v>22</v>
      </c>
      <c r="D584" s="2" t="s">
        <f>=HYPERLINK("https://main.knesset.gov.il/APPS/legislation/main/bills/2236882", "הצעת חוק לתיקון פקודת בתי הסוהר (איסור טיפול רפואי באסירים ביטחוניים בבתי חולים ציבוריים), התשפ""ו-2025")</f>
        <v>1272</v>
      </c>
      <c r="E584" t="s">
        <v>1272</v>
      </c>
      <c r="F584" t="s">
        <v>1273</v>
      </c>
      <c r="G584" t="s">
        <v>14</v>
      </c>
      <c r="H584">
             </c>
      <c r="I584" t="s">
        <v>14</v>
      </c>
      <c r="J584" t="s">
        <v>55</v>
      </c>
      <c r="K584" t="s">
        <v>14</v>
      </c>
      <c r="L584" t="s">
        <v>20</v>
      </c>
      <c r="M584" t="s">
        <v>1262</v>
      </c>
      <c r="N584" t="s">
        <v>14</v>
      </c>
    </row>
    <row r="585" x14ac:dyDescent="0.25">
      <c r="A585" t="n">
        <v>25</v>
      </c>
      <c r="B585" t="s">
        <v>14</v>
      </c>
      <c r="C585" t="s">
        <v>22</v>
      </c>
      <c r="D585" s="2" t="s">
        <f>=HYPERLINK("https://main.knesset.gov.il/APPS/legislation/main/bills/2224833", "הצעת חוק שירות המילואים (תיקון - טיפול נפשי וזוגי לבני משפחות משרתי המילואים) (הוראת שעה - חרבות ברזל), התשפ""ה-2024")</f>
        <v>1274</v>
      </c>
      <c r="E585" t="s">
        <v>1274</v>
      </c>
      <c r="F585" t="s">
        <v>1275</v>
      </c>
      <c r="G585" t="s">
        <v>14</v>
      </c>
      <c r="H585">
             </c>
      <c r="I585" t="s">
        <v>14</v>
      </c>
      <c r="J585" t="s">
        <v>343</v>
      </c>
      <c r="K585" t="s">
        <v>14</v>
      </c>
      <c r="L585" t="s">
        <v>20</v>
      </c>
      <c r="M585" t="s">
        <v>1262</v>
      </c>
      <c r="N585" t="s">
        <v>14</v>
      </c>
    </row>
    <row r="586" x14ac:dyDescent="0.25">
      <c r="A586" t="n">
        <v>25</v>
      </c>
      <c r="B586" t="s">
        <v>14</v>
      </c>
      <c r="C586" t="s">
        <v>22</v>
      </c>
      <c r="D586" s="2" t="s">
        <f>=HYPERLINK("https://main.knesset.gov.il/APPS/legislation/main/bills/2220831", "הצעת חוק מס ערך מוסף (תיקון - מס בשיעור אפס לבעלי עסקים בחבל תקומה ובקו העימות) (הוראת שעה), התשפ""ה-2024")</f>
        <v>1276</v>
      </c>
      <c r="E586" t="s">
        <v>1276</v>
      </c>
      <c r="F586" t="s">
        <v>1277</v>
      </c>
      <c r="G586" t="s">
        <v>14</v>
      </c>
      <c r="H586">
             </c>
      <c r="I586" t="s">
        <v>14</v>
      </c>
      <c r="J586" t="s">
        <v>65</v>
      </c>
      <c r="K586" t="s">
        <v>14</v>
      </c>
      <c r="L586" t="s">
        <v>20</v>
      </c>
      <c r="M586" t="s">
        <v>1262</v>
      </c>
      <c r="N586" t="s">
        <v>14</v>
      </c>
    </row>
    <row r="587" x14ac:dyDescent="0.25">
      <c r="A587" t="n">
        <v>25</v>
      </c>
      <c r="B587" t="s">
        <v>14</v>
      </c>
      <c r="C587" t="s">
        <v>22</v>
      </c>
      <c r="D587" s="2" t="s">
        <f>=HYPERLINK("https://main.knesset.gov.il/APPS/legislation/main/bills/2221855", "הצעת חוק התגמולים לנפגעי פעולות איבה (תיקון - זכאות לטיפול פסיכולוגי), התשפ""ה-2024")</f>
        <v>1278</v>
      </c>
      <c r="E587" t="s">
        <v>1278</v>
      </c>
      <c r="F587" t="s">
        <v>1279</v>
      </c>
      <c r="G587" t="s">
        <v>14</v>
      </c>
      <c r="H587">
             </c>
      <c r="I587" t="s">
        <v>14</v>
      </c>
      <c r="J587" t="s">
        <v>31</v>
      </c>
      <c r="K587" t="s">
        <v>127</v>
      </c>
      <c r="L587" t="s">
        <v>20</v>
      </c>
      <c r="M587" t="s">
        <v>1262</v>
      </c>
      <c r="N587" t="s">
        <v>14</v>
      </c>
    </row>
    <row r="588" x14ac:dyDescent="0.25">
      <c r="A588" t="n">
        <v>25</v>
      </c>
      <c r="B588" t="s">
        <v>14</v>
      </c>
      <c r="C588" t="s">
        <v>22</v>
      </c>
      <c r="D588" s="2" t="s">
        <f>=HYPERLINK("https://main.knesset.gov.il/APPS/legislation/main/bills/2220445", "הצעת חוק לתיקון פקודת הבנקאות (מס' 36) (חשבונות ללא תנועה), התשפ""ו–2026")</f>
        <v>1280</v>
      </c>
      <c r="E588" t="s">
        <v>1280</v>
      </c>
      <c r="F588" t="s">
        <v>1281</v>
      </c>
      <c r="G588" t="s">
        <v>288</v>
      </c>
      <c r="H588">
             </c>
      <c r="I588" t="s">
        <v>14</v>
      </c>
      <c r="J588" t="s">
        <v>69</v>
      </c>
      <c r="K588" t="s">
        <v>19</v>
      </c>
      <c r="L588" t="s">
        <v>20</v>
      </c>
      <c r="M588" t="s">
        <v>1262</v>
      </c>
      <c r="N588" t="s">
        <v>14</v>
      </c>
    </row>
    <row r="589" x14ac:dyDescent="0.25">
      <c r="A589" t="n">
        <v>25</v>
      </c>
      <c r="B589" t="s">
        <v>14</v>
      </c>
      <c r="C589" t="s">
        <v>22</v>
      </c>
      <c r="D589" s="2" t="s">
        <f>=HYPERLINK("https://main.knesset.gov.il/APPS/legislation/main/bills/2218696", "הצעת חוק דמי מחלה (היעדרות בשל מחלת ילד) (תיקון - היעדרות בשל טיפול במי שנפצע בעת שירותו הצבאי, שירותו בכוחות הביטחון או בפגיעת איבה), התשפ""ד-2024")</f>
        <v>1282</v>
      </c>
      <c r="E589" t="s">
        <v>1282</v>
      </c>
      <c r="F589" t="s">
        <v>1283</v>
      </c>
      <c r="G589" t="s">
        <v>14</v>
      </c>
      <c r="H589">
             </c>
      <c r="I589" t="s">
        <v>14</v>
      </c>
      <c r="J589" t="s">
        <v>55</v>
      </c>
      <c r="K589" t="s">
        <v>14</v>
      </c>
      <c r="L589" t="s">
        <v>20</v>
      </c>
      <c r="M589" t="s">
        <v>1262</v>
      </c>
      <c r="N589" t="s">
        <v>14</v>
      </c>
    </row>
    <row r="590" x14ac:dyDescent="0.25">
      <c r="A590" t="n">
        <v>25</v>
      </c>
      <c r="B590" t="s">
        <v>14</v>
      </c>
      <c r="C590" t="s">
        <v>22</v>
      </c>
      <c r="D590" s="2" t="s">
        <f>=HYPERLINK("https://main.knesset.gov.il/APPS/legislation/main/bills/2205686", "הצעת חוק לעיגון מעמדה של העדה הדרוזית, התשפ""ג-2023")</f>
        <v>1284</v>
      </c>
      <c r="E590" t="s">
        <v>1284</v>
      </c>
      <c r="F590" t="s">
        <v>1285</v>
      </c>
      <c r="G590" t="s">
        <v>14</v>
      </c>
      <c r="H590">
             </c>
      <c r="I590" t="s">
        <v>14</v>
      </c>
      <c r="J590" t="s">
        <v>55</v>
      </c>
      <c r="K590" t="s">
        <v>14</v>
      </c>
      <c r="L590" t="s">
        <v>20</v>
      </c>
      <c r="M590" t="s">
        <v>1262</v>
      </c>
      <c r="N590" t="s">
        <v>14</v>
      </c>
    </row>
    <row r="591" x14ac:dyDescent="0.25">
      <c r="A591" t="n">
        <v>25</v>
      </c>
      <c r="B591" t="s">
        <v>14</v>
      </c>
      <c r="C591" t="s">
        <v>22</v>
      </c>
      <c r="D591" s="2" t="s">
        <f>=HYPERLINK("https://main.knesset.gov.il/APPS/legislation/main/bills/2199082", "הצעת חוק-יסוד: העדה הדרוזית ")</f>
        <v>831</v>
      </c>
      <c r="E591" t="s">
        <v>831</v>
      </c>
      <c r="F591" t="s">
        <v>1286</v>
      </c>
      <c r="G591" t="s">
        <v>14</v>
      </c>
      <c r="H591">
             </c>
      <c r="I591" t="s">
        <v>14</v>
      </c>
      <c r="J591" t="s">
        <v>55</v>
      </c>
      <c r="K591" t="s">
        <v>14</v>
      </c>
      <c r="L591" t="s">
        <v>20</v>
      </c>
      <c r="M591" t="s">
        <v>1262</v>
      </c>
      <c r="N591" t="s">
        <v>14</v>
      </c>
    </row>
    <row r="592" x14ac:dyDescent="0.25">
      <c r="A592" t="n">
        <v>25</v>
      </c>
      <c r="B592" t="s">
        <v>14</v>
      </c>
      <c r="C592" t="s">
        <v>22</v>
      </c>
      <c r="D592" s="2" t="s">
        <f>=HYPERLINK("https://main.knesset.gov.il/APPS/legislation/main/bills/2197659", "הצעת חוק איסור הפליה במוצרים, בשירותים ובכניסה למקומות בידור ולמקומות ציבוריים (תיקון - איסור הפליה בדיור), התשפ""ג-2022")</f>
        <v>1287</v>
      </c>
      <c r="E592" t="s">
        <v>1287</v>
      </c>
      <c r="F592" t="s">
        <v>1288</v>
      </c>
      <c r="G592" t="s">
        <v>14</v>
      </c>
      <c r="H592">
             </c>
      <c r="I592" t="s">
        <v>14</v>
      </c>
      <c r="J592" t="s">
        <v>55</v>
      </c>
      <c r="K592" t="s">
        <v>14</v>
      </c>
      <c r="L592" t="s">
        <v>20</v>
      </c>
      <c r="M592" t="s">
        <v>1262</v>
      </c>
      <c r="N592" t="s">
        <v>14</v>
      </c>
    </row>
    <row r="593" x14ac:dyDescent="0.25">
      <c r="A593" t="n">
        <v>25</v>
      </c>
      <c r="B593" t="s">
        <v>14</v>
      </c>
      <c r="C593" t="s">
        <v>22</v>
      </c>
      <c r="D593" s="2" t="s">
        <f>=HYPERLINK("https://main.knesset.gov.il/APPS/legislation/main/bills/2208737", "הצעת חוק תקשורת דיגיטלית עם גופים ציבוריים (תיקון מס' 5) (חובת מתן מענה הולם), התשפ""ה–2025")</f>
        <v>1289</v>
      </c>
      <c r="E593" t="s">
        <v>1289</v>
      </c>
      <c r="F593" t="s">
        <v>1290</v>
      </c>
      <c r="G593" t="s">
        <v>1291</v>
      </c>
      <c r="H593">
             </c>
      <c r="I593" t="s">
        <v>14</v>
      </c>
      <c r="J593" t="s">
        <v>18</v>
      </c>
      <c r="K593" t="s">
        <v>1292</v>
      </c>
      <c r="L593" t="s">
        <v>20</v>
      </c>
      <c r="M593" t="s">
        <v>1293</v>
      </c>
      <c r="N593" t="s">
        <v>14</v>
      </c>
    </row>
    <row r="594" x14ac:dyDescent="0.25">
      <c r="A594" t="n">
        <v>25</v>
      </c>
      <c r="B594" t="s">
        <v>14</v>
      </c>
      <c r="C594" t="s">
        <v>15</v>
      </c>
      <c r="D594" s="2" t="s">
        <f>=HYPERLINK("https://main.knesset.gov.il/APPS/legislation/main/bills/2229878", "חוק חדלות פירעון ושיקום כלכלי (תיקון מס' 9), התשפ""ו-2026")</f>
        <v>1294</v>
      </c>
      <c r="E594" t="s">
        <v>1294</v>
      </c>
      <c r="F594" t="s">
        <v>14</v>
      </c>
      <c r="G594" t="s">
        <v>1295</v>
      </c>
      <c r="H594" t="n">
        <v>3488</v>
      </c>
      <c r="I594" t="s">
        <v>14</v>
      </c>
      <c r="J594" t="s">
        <v>91</v>
      </c>
      <c r="K594" t="s">
        <v>27</v>
      </c>
      <c r="L594" t="s">
        <v>20</v>
      </c>
      <c r="M594" t="s">
        <v>1296</v>
      </c>
      <c r="N594" t="s">
        <v>14</v>
      </c>
    </row>
    <row r="595" x14ac:dyDescent="0.25">
      <c r="A595" t="n">
        <v>25</v>
      </c>
      <c r="B595" t="s">
        <v>14</v>
      </c>
      <c r="C595" t="s">
        <v>22</v>
      </c>
      <c r="D595" s="2" t="s">
        <f>=HYPERLINK("https://main.knesset.gov.il/APPS/legislation/main/bills/2237802", "הצעת חוק הכרזה על תנועת האחים המוסלמים ועל הפלג הדרומי בתנועה האסלאמית כארגוני טרור ומחיקת מפלגות התומכות בטרור מפנקס המפלגות, התשפ""ו-2026")</f>
        <v>510</v>
      </c>
      <c r="E595" t="s">
        <v>510</v>
      </c>
      <c r="F595" t="s">
        <v>1297</v>
      </c>
      <c r="G595" t="s">
        <v>14</v>
      </c>
      <c r="H595">
             </c>
      <c r="I595" t="s">
        <v>14</v>
      </c>
      <c r="J595" t="s">
        <v>141</v>
      </c>
      <c r="K595" t="s">
        <v>14</v>
      </c>
      <c r="L595" t="s">
        <v>20</v>
      </c>
      <c r="M595" t="s">
        <v>1296</v>
      </c>
      <c r="N595" t="s">
        <v>14</v>
      </c>
    </row>
    <row r="596" x14ac:dyDescent="0.25">
      <c r="A596" t="n">
        <v>25</v>
      </c>
      <c r="B596" t="s">
        <v>14</v>
      </c>
      <c r="C596" t="s">
        <v>22</v>
      </c>
      <c r="D596" s="2" t="s">
        <f>=HYPERLINK("https://main.knesset.gov.il/APPS/legislation/main/bills/2238446", "הצעת חוק רישום קבלנים לעבודות הנדסה בנאיות (תיקון - עיצומים כספיים), התשפ""ו-2026")</f>
        <v>1298</v>
      </c>
      <c r="E596" t="s">
        <v>1298</v>
      </c>
      <c r="F596" t="s">
        <v>1299</v>
      </c>
      <c r="G596" t="s">
        <v>14</v>
      </c>
      <c r="H596">
             </c>
      <c r="I596" t="s">
        <v>14</v>
      </c>
      <c r="J596" t="s">
        <v>141</v>
      </c>
      <c r="K596" t="s">
        <v>14</v>
      </c>
      <c r="L596" t="s">
        <v>20</v>
      </c>
      <c r="M596" t="s">
        <v>1296</v>
      </c>
      <c r="N596" t="s">
        <v>14</v>
      </c>
    </row>
    <row r="597" x14ac:dyDescent="0.25">
      <c r="A597" t="n">
        <v>25</v>
      </c>
      <c r="B597" t="s">
        <v>14</v>
      </c>
      <c r="C597" t="s">
        <v>22</v>
      </c>
      <c r="D597" s="2" t="s">
        <f>=HYPERLINK("https://main.knesset.gov.il/APPS/legislation/main/bills/2238974", "הצעת חוק התכנון והבנייה (תיקון - סמכות עיכוב ביצוע צווי הריסה), התשפ""ו-2026")</f>
        <v>1300</v>
      </c>
      <c r="E597" t="s">
        <v>1300</v>
      </c>
      <c r="F597" t="s">
        <v>1301</v>
      </c>
      <c r="G597" t="s">
        <v>14</v>
      </c>
      <c r="H597">
             </c>
      <c r="I597" t="s">
        <v>14</v>
      </c>
      <c r="J597" t="s">
        <v>141</v>
      </c>
      <c r="K597" t="s">
        <v>14</v>
      </c>
      <c r="L597" t="s">
        <v>20</v>
      </c>
      <c r="M597" t="s">
        <v>1296</v>
      </c>
      <c r="N597" t="s">
        <v>14</v>
      </c>
    </row>
    <row r="598" x14ac:dyDescent="0.25">
      <c r="A598" t="n">
        <v>25</v>
      </c>
      <c r="B598" t="s">
        <v>14</v>
      </c>
      <c r="C598" t="s">
        <v>22</v>
      </c>
      <c r="D598" s="2" t="s">
        <f>=HYPERLINK("https://main.knesset.gov.il/APPS/legislation/main/bills/2235423", "הצעת חוק החזר רווח עודף למבוטחים בביטוח רכב, התשפ""ו-2026")</f>
        <v>1302</v>
      </c>
      <c r="E598" t="s">
        <v>1302</v>
      </c>
      <c r="F598" t="s">
        <v>1303</v>
      </c>
      <c r="G598" t="s">
        <v>14</v>
      </c>
      <c r="H598">
             </c>
      <c r="I598" t="s">
        <v>14</v>
      </c>
      <c r="J598" t="s">
        <v>141</v>
      </c>
      <c r="K598" t="s">
        <v>14</v>
      </c>
      <c r="L598" t="s">
        <v>20</v>
      </c>
      <c r="M598" t="s">
        <v>1296</v>
      </c>
      <c r="N598" t="s">
        <v>14</v>
      </c>
    </row>
    <row r="599" x14ac:dyDescent="0.25">
      <c r="A599" t="n">
        <v>25</v>
      </c>
      <c r="B599" t="s">
        <v>14</v>
      </c>
      <c r="C599" t="s">
        <v>22</v>
      </c>
      <c r="D599" s="2" t="s">
        <f>=HYPERLINK("https://main.knesset.gov.il/APPS/legislation/main/bills/2239203", "הצעת חוק רכזי ביטחון שוטף צבאיים, התשפ""ו-2026")</f>
        <v>1304</v>
      </c>
      <c r="E599" t="s">
        <v>1304</v>
      </c>
      <c r="F599" t="s">
        <v>1305</v>
      </c>
      <c r="G599" t="s">
        <v>14</v>
      </c>
      <c r="H599">
             </c>
      <c r="I599" t="s">
        <v>14</v>
      </c>
      <c r="J599" t="s">
        <v>141</v>
      </c>
      <c r="K599" t="s">
        <v>14</v>
      </c>
      <c r="L599" t="s">
        <v>20</v>
      </c>
      <c r="M599" t="s">
        <v>1296</v>
      </c>
      <c r="N599" t="s">
        <v>14</v>
      </c>
    </row>
    <row r="600" x14ac:dyDescent="0.25">
      <c r="A600" t="n">
        <v>25</v>
      </c>
      <c r="B600" t="s">
        <v>14</v>
      </c>
      <c r="C600" t="s">
        <v>22</v>
      </c>
      <c r="D600" s="2" t="s">
        <f>=HYPERLINK("https://main.knesset.gov.il/APPS/legislation/main/bills/2239222", "הצעת חוק גמול לחיילים בשירות סדיר, התשפ""ו-2026")</f>
        <v>1306</v>
      </c>
      <c r="E600" t="s">
        <v>1306</v>
      </c>
      <c r="F600" t="s">
        <v>1307</v>
      </c>
      <c r="G600" t="s">
        <v>14</v>
      </c>
      <c r="H600">
             </c>
      <c r="I600" t="s">
        <v>14</v>
      </c>
      <c r="J600" t="s">
        <v>141</v>
      </c>
      <c r="K600" t="s">
        <v>14</v>
      </c>
      <c r="L600" t="s">
        <v>20</v>
      </c>
      <c r="M600" t="s">
        <v>1296</v>
      </c>
      <c r="N600" t="s">
        <v>14</v>
      </c>
    </row>
    <row r="601" x14ac:dyDescent="0.25">
      <c r="A601" t="n">
        <v>25</v>
      </c>
      <c r="B601" t="s">
        <v>14</v>
      </c>
      <c r="C601" t="s">
        <v>22</v>
      </c>
      <c r="D601" s="2" t="s">
        <f>=HYPERLINK("https://main.knesset.gov.il/APPS/legislation/main/bills/2237588", "הצעת חוק הירושה (תיקון - צוואה לטובת מטפל), התשפ""ו-2026")</f>
        <v>1308</v>
      </c>
      <c r="E601" t="s">
        <v>1308</v>
      </c>
      <c r="F601" t="s">
        <v>1309</v>
      </c>
      <c r="G601" t="s">
        <v>14</v>
      </c>
      <c r="H601">
             </c>
      <c r="I601" t="s">
        <v>14</v>
      </c>
      <c r="J601" t="s">
        <v>141</v>
      </c>
      <c r="K601" t="s">
        <v>14</v>
      </c>
      <c r="L601" t="s">
        <v>20</v>
      </c>
      <c r="M601" t="s">
        <v>1296</v>
      </c>
      <c r="N601" t="s">
        <v>14</v>
      </c>
    </row>
    <row r="602" x14ac:dyDescent="0.25">
      <c r="A602" t="n">
        <v>25</v>
      </c>
      <c r="B602" t="s">
        <v>14</v>
      </c>
      <c r="C602" t="s">
        <v>22</v>
      </c>
      <c r="D602" s="2" t="s">
        <f>=HYPERLINK("https://main.knesset.gov.il/APPS/legislation/main/bills/2238913", "הצעת חוק הכנסת (תיקון - מסירת מידע למרכז המחקר והמידע), התשפ""ו-2026")</f>
        <v>1310</v>
      </c>
      <c r="E602" t="s">
        <v>1310</v>
      </c>
      <c r="F602" t="s">
        <v>1311</v>
      </c>
      <c r="G602" t="s">
        <v>14</v>
      </c>
      <c r="H602">
             </c>
      <c r="I602" t="s">
        <v>14</v>
      </c>
      <c r="J602" t="s">
        <v>141</v>
      </c>
      <c r="K602" t="s">
        <v>14</v>
      </c>
      <c r="L602" t="s">
        <v>20</v>
      </c>
      <c r="M602" t="s">
        <v>1296</v>
      </c>
      <c r="N602" t="s">
        <v>14</v>
      </c>
    </row>
    <row r="603" x14ac:dyDescent="0.25">
      <c r="A603" t="n">
        <v>25</v>
      </c>
      <c r="B603" t="s">
        <v>14</v>
      </c>
      <c r="C603" t="s">
        <v>22</v>
      </c>
      <c r="D603" s="2" t="s">
        <f>=HYPERLINK("https://main.knesset.gov.il/APPS/legislation/main/bills/2235425", "הצעת חוק לתיקון פקודת ביטוח רכב מנועי (איסור ביטוח רכב הרשום בישראל על ידי חברת ביטוח מהאזור), התשפ״ו-2026")</f>
        <v>1312</v>
      </c>
      <c r="E603" t="s">
        <v>1312</v>
      </c>
      <c r="F603" t="s">
        <v>1313</v>
      </c>
      <c r="G603" t="s">
        <v>14</v>
      </c>
      <c r="H603">
             </c>
      <c r="I603" t="s">
        <v>14</v>
      </c>
      <c r="J603" t="s">
        <v>141</v>
      </c>
      <c r="K603" t="s">
        <v>14</v>
      </c>
      <c r="L603" t="s">
        <v>20</v>
      </c>
      <c r="M603" t="s">
        <v>1296</v>
      </c>
      <c r="N603" t="s">
        <v>14</v>
      </c>
    </row>
    <row r="604" x14ac:dyDescent="0.25">
      <c r="A604" t="n">
        <v>25</v>
      </c>
      <c r="B604" t="s">
        <v>14</v>
      </c>
      <c r="C604" t="s">
        <v>22</v>
      </c>
      <c r="D604" s="2" t="s">
        <f>=HYPERLINK("https://main.knesset.gov.il/APPS/legislation/main/bills/2239008", "הצעת חוק איסור קבלת תמורה וחובת דיווח על קשרים עם מדינה זרה, התשפ״ו-2026")</f>
        <v>1314</v>
      </c>
      <c r="E604" t="s">
        <v>1314</v>
      </c>
      <c r="F604" t="s">
        <v>1315</v>
      </c>
      <c r="G604" t="s">
        <v>14</v>
      </c>
      <c r="H604">
             </c>
      <c r="I604" t="s">
        <v>14</v>
      </c>
      <c r="J604" t="s">
        <v>141</v>
      </c>
      <c r="K604" t="s">
        <v>14</v>
      </c>
      <c r="L604" t="s">
        <v>20</v>
      </c>
      <c r="M604" t="s">
        <v>1296</v>
      </c>
      <c r="N604" t="s">
        <v>14</v>
      </c>
    </row>
    <row r="605" x14ac:dyDescent="0.25">
      <c r="A605" t="n">
        <v>25</v>
      </c>
      <c r="B605" t="s">
        <v>14</v>
      </c>
      <c r="C605" t="s">
        <v>22</v>
      </c>
      <c r="D605" s="2" t="s">
        <f>=HYPERLINK("https://main.knesset.gov.il/APPS/legislation/main/bills/2236912", "הצעת חוק הטבות לניצולי שואה (תיקון - זכאות למענק הטבות שנתי לבן זוג של ניצול שואה שנפטר), התשפ""ו-2026")</f>
        <v>1316</v>
      </c>
      <c r="E605" t="s">
        <v>1316</v>
      </c>
      <c r="F605" t="s">
        <v>1317</v>
      </c>
      <c r="G605" t="s">
        <v>14</v>
      </c>
      <c r="H605">
             </c>
      <c r="I605" t="s">
        <v>14</v>
      </c>
      <c r="J605" t="s">
        <v>141</v>
      </c>
      <c r="K605" t="s">
        <v>14</v>
      </c>
      <c r="L605" t="s">
        <v>20</v>
      </c>
      <c r="M605" t="s">
        <v>1296</v>
      </c>
      <c r="N605" t="s">
        <v>14</v>
      </c>
    </row>
    <row r="606" x14ac:dyDescent="0.25">
      <c r="A606" t="n">
        <v>25</v>
      </c>
      <c r="B606" t="s">
        <v>14</v>
      </c>
      <c r="C606" t="s">
        <v>22</v>
      </c>
      <c r="D606" s="2" t="s">
        <f>=HYPERLINK("https://main.knesset.gov.il/APPS/legislation/main/bills/2239193", "הצעת חוק חסינות חברי הכנסת, זכויותיהם וחובותיהם (תיקון - סמכויות ועדת האתיקה בשל הפרעה בבית משפט וסמכויות בית משפט ביחס לחבר הכנסת), התשפ""ו-2026")</f>
        <v>1318</v>
      </c>
      <c r="E606" t="s">
        <v>1318</v>
      </c>
      <c r="F606" t="s">
        <v>1319</v>
      </c>
      <c r="G606" t="s">
        <v>14</v>
      </c>
      <c r="H606">
             </c>
      <c r="I606" t="s">
        <v>14</v>
      </c>
      <c r="J606" t="s">
        <v>141</v>
      </c>
      <c r="K606" t="s">
        <v>14</v>
      </c>
      <c r="L606" t="s">
        <v>20</v>
      </c>
      <c r="M606" t="s">
        <v>1296</v>
      </c>
      <c r="N606" t="s">
        <v>14</v>
      </c>
    </row>
    <row r="607" x14ac:dyDescent="0.25">
      <c r="A607" t="n">
        <v>25</v>
      </c>
      <c r="B607" t="s">
        <v>14</v>
      </c>
      <c r="C607" t="s">
        <v>22</v>
      </c>
      <c r="D607" s="2" t="s">
        <f>=HYPERLINK("https://main.knesset.gov.il/APPS/legislation/main/bills/2238616", "הצעת חוק החלת ריבונות על ביתר עילית, התשפ""ו-2026")</f>
        <v>1320</v>
      </c>
      <c r="E607" t="s">
        <v>1320</v>
      </c>
      <c r="F607" t="s">
        <v>1321</v>
      </c>
      <c r="G607" t="s">
        <v>14</v>
      </c>
      <c r="H607">
             </c>
      <c r="I607" t="s">
        <v>14</v>
      </c>
      <c r="J607" t="s">
        <v>141</v>
      </c>
      <c r="K607" t="s">
        <v>14</v>
      </c>
      <c r="L607" t="s">
        <v>20</v>
      </c>
      <c r="M607" t="s">
        <v>1296</v>
      </c>
      <c r="N607" t="s">
        <v>14</v>
      </c>
    </row>
    <row r="608" x14ac:dyDescent="0.25">
      <c r="A608" t="n">
        <v>25</v>
      </c>
      <c r="B608" t="s">
        <v>14</v>
      </c>
      <c r="C608" t="s">
        <v>22</v>
      </c>
      <c r="D608" s="2" t="s">
        <f>=HYPERLINK("https://main.knesset.gov.il/APPS/legislation/main/bills/2239174", "הצעת חוק התגמולים לנפגעי פעולות שנאה, התשפ""ו-2026")</f>
        <v>1322</v>
      </c>
      <c r="E608" t="s">
        <v>1322</v>
      </c>
      <c r="F608" t="s">
        <v>1323</v>
      </c>
      <c r="G608" t="s">
        <v>14</v>
      </c>
      <c r="H608">
             </c>
      <c r="I608" t="s">
        <v>14</v>
      </c>
      <c r="J608" t="s">
        <v>141</v>
      </c>
      <c r="K608" t="s">
        <v>14</v>
      </c>
      <c r="L608" t="s">
        <v>20</v>
      </c>
      <c r="M608" t="s">
        <v>1296</v>
      </c>
      <c r="N608" t="s">
        <v>14</v>
      </c>
    </row>
    <row r="609" x14ac:dyDescent="0.25">
      <c r="A609" t="n">
        <v>25</v>
      </c>
      <c r="B609" t="s">
        <v>14</v>
      </c>
      <c r="C609" t="s">
        <v>15</v>
      </c>
      <c r="D609" s="2" t="s">
        <f>=HYPERLINK("https://main.knesset.gov.il/APPS/legislation/main/bills/1044632", "הצעת חוק לתיקון פקודת מס הכנסה (מס' 285) (נכס דיגיטלי), התשפ""ו-2026")</f>
        <v>1324</v>
      </c>
      <c r="E609" t="s">
        <v>1324</v>
      </c>
      <c r="F609" t="s">
        <v>14</v>
      </c>
      <c r="G609" t="s">
        <v>1325</v>
      </c>
      <c r="H609">
             </c>
      <c r="I609" t="s">
        <v>14</v>
      </c>
      <c r="J609" t="s">
        <v>69</v>
      </c>
      <c r="K609" t="s">
        <v>14</v>
      </c>
      <c r="L609" t="s">
        <v>20</v>
      </c>
      <c r="M609" t="s">
        <v>1296</v>
      </c>
      <c r="N609" t="s">
        <v>14</v>
      </c>
    </row>
    <row r="610" x14ac:dyDescent="0.25">
      <c r="A610" t="n">
        <v>25</v>
      </c>
      <c r="B610" t="s">
        <v>14</v>
      </c>
      <c r="C610" t="s">
        <v>22</v>
      </c>
      <c r="D610" s="2" t="s">
        <f>=HYPERLINK("https://main.knesset.gov.il/APPS/legislation/main/bills/2199215", "הצעת חוק הבנקאות (שירות ללקוח) (תיקון - שירות מקוון ללקוח), התשפ""ג-2023")</f>
        <v>1326</v>
      </c>
      <c r="E610" t="s">
        <v>1326</v>
      </c>
      <c r="F610" t="s">
        <v>1327</v>
      </c>
      <c r="G610" t="s">
        <v>14</v>
      </c>
      <c r="H610">
             </c>
      <c r="I610" t="s">
        <v>14</v>
      </c>
      <c r="J610" t="s">
        <v>99</v>
      </c>
      <c r="K610" t="s">
        <v>19</v>
      </c>
      <c r="L610" t="s">
        <v>20</v>
      </c>
      <c r="M610" t="s">
        <v>1328</v>
      </c>
      <c r="N610" t="s">
        <v>14</v>
      </c>
    </row>
    <row r="611" x14ac:dyDescent="0.25">
      <c r="A611" t="n">
        <v>25</v>
      </c>
      <c r="B611" t="s">
        <v>14</v>
      </c>
      <c r="C611" t="s">
        <v>22</v>
      </c>
      <c r="D611" s="2" t="s">
        <f>=HYPERLINK("https://main.knesset.gov.il/APPS/legislation/main/bills/2220929", "חוק יום הוקרה ממלכתי לפצועי מערכות ישראל ונפגעי פעולות איבה, התשפ""ו–2026")</f>
        <v>1329</v>
      </c>
      <c r="E611" t="s">
        <v>1329</v>
      </c>
      <c r="F611" t="s">
        <v>1330</v>
      </c>
      <c r="G611" t="s">
        <v>1331</v>
      </c>
      <c r="H611" t="n">
        <v>3487</v>
      </c>
      <c r="I611" t="s">
        <v>14</v>
      </c>
      <c r="J611" t="s">
        <v>91</v>
      </c>
      <c r="K611" t="s">
        <v>34</v>
      </c>
      <c r="L611" t="s">
        <v>20</v>
      </c>
      <c r="M611" t="s">
        <v>1328</v>
      </c>
      <c r="N611" t="s">
        <v>1332</v>
      </c>
    </row>
    <row r="612" x14ac:dyDescent="0.25">
      <c r="A612" t="n">
        <v>25</v>
      </c>
      <c r="B612" t="s">
        <v>14</v>
      </c>
      <c r="C612" t="s">
        <v>22</v>
      </c>
      <c r="D612" s="2" t="s">
        <f>=HYPERLINK("https://main.knesset.gov.il/APPS/legislation/main/bills/2210330", "חוק הכשרות המשפטית והאפוטרופסות (תיקון מס' 24), התשפ""ו–2026")</f>
        <v>1333</v>
      </c>
      <c r="E612" t="s">
        <v>1333</v>
      </c>
      <c r="F612" t="s">
        <v>1334</v>
      </c>
      <c r="G612" t="s">
        <v>1335</v>
      </c>
      <c r="H612" t="n">
        <v>3486</v>
      </c>
      <c r="I612" t="s">
        <v>14</v>
      </c>
      <c r="J612" t="s">
        <v>91</v>
      </c>
      <c r="K612" t="s">
        <v>27</v>
      </c>
      <c r="L612" t="s">
        <v>20</v>
      </c>
      <c r="M612" t="s">
        <v>1328</v>
      </c>
      <c r="N612" t="s">
        <v>14</v>
      </c>
    </row>
    <row r="613" x14ac:dyDescent="0.25">
      <c r="A613" t="n">
        <v>25</v>
      </c>
      <c r="B613" t="s">
        <v>14</v>
      </c>
      <c r="C613" t="s">
        <v>22</v>
      </c>
      <c r="D613" s="2" t="s">
        <f>=HYPERLINK("https://main.knesset.gov.il/APPS/legislation/main/bills/2198087", "חוק הרשויות המקומיות (בחירות) (תיקון מס' 58), התשפ""ו–2026")</f>
        <v>1336</v>
      </c>
      <c r="E613" t="s">
        <v>1336</v>
      </c>
      <c r="F613" t="s">
        <v>1337</v>
      </c>
      <c r="G613" t="s">
        <v>1338</v>
      </c>
      <c r="H613" t="n">
        <v>3485</v>
      </c>
      <c r="I613" t="s">
        <v>14</v>
      </c>
      <c r="J613" t="s">
        <v>91</v>
      </c>
      <c r="K613" t="s">
        <v>46</v>
      </c>
      <c r="L613" t="s">
        <v>20</v>
      </c>
      <c r="M613" t="s">
        <v>1328</v>
      </c>
      <c r="N613" t="s">
        <v>1339</v>
      </c>
    </row>
    <row r="614" x14ac:dyDescent="0.25">
      <c r="A614" t="n">
        <v>25</v>
      </c>
      <c r="B614" t="s">
        <v>14</v>
      </c>
      <c r="C614" t="s">
        <v>15</v>
      </c>
      <c r="D614" s="2" t="s">
        <f>=HYPERLINK("https://main.knesset.gov.il/APPS/legislation/main/bills/2235351", "חוק קצבאות שאירים של משרתי שירות הקבע ושירות המדינה וגמלאיהם (תיקוני חקיקה), התשפ""ו-2026")</f>
        <v>1340</v>
      </c>
      <c r="E614" t="s">
        <v>1340</v>
      </c>
      <c r="F614" t="s">
        <v>14</v>
      </c>
      <c r="G614" t="s">
        <v>1341</v>
      </c>
      <c r="H614" t="n">
        <v>3484</v>
      </c>
      <c r="I614" t="s">
        <v>14</v>
      </c>
      <c r="J614" t="s">
        <v>91</v>
      </c>
      <c r="K614" t="s">
        <v>127</v>
      </c>
      <c r="L614" t="s">
        <v>20</v>
      </c>
      <c r="M614" t="s">
        <v>1328</v>
      </c>
      <c r="N614" t="s">
        <v>1342</v>
      </c>
    </row>
    <row r="615" x14ac:dyDescent="0.25">
      <c r="A615" t="n">
        <v>25</v>
      </c>
      <c r="B615" t="s">
        <v>14</v>
      </c>
      <c r="C615" t="s">
        <v>22</v>
      </c>
      <c r="D615" s="2" t="s">
        <f>=HYPERLINK("https://main.knesset.gov.il/APPS/legislation/main/bills/2236919", "הצעת חוק-יסוד: הכנסת (תיקון - הזכות להיבחר)")</f>
        <v>1343</v>
      </c>
      <c r="E615" t="s">
        <v>1343</v>
      </c>
      <c r="F615" t="s">
        <v>1344</v>
      </c>
      <c r="G615" t="s">
        <v>14</v>
      </c>
      <c r="H615">
             </c>
      <c r="I615" t="s">
        <v>14</v>
      </c>
      <c r="J615" t="s">
        <v>55</v>
      </c>
      <c r="K615" t="s">
        <v>14</v>
      </c>
      <c r="L615" t="s">
        <v>20</v>
      </c>
      <c r="M615" t="s">
        <v>1328</v>
      </c>
      <c r="N615" t="s">
        <v>14</v>
      </c>
    </row>
    <row r="616" x14ac:dyDescent="0.25">
      <c r="A616" t="n">
        <v>25</v>
      </c>
      <c r="B616" t="s">
        <v>14</v>
      </c>
      <c r="C616" t="s">
        <v>22</v>
      </c>
      <c r="D616" s="2" t="s">
        <f>=HYPERLINK("https://main.knesset.gov.il/APPS/legislation/main/bills/2236009", "הצעת חוק יום המודעות לתרומת איברים, התשפ""ו-2025")</f>
        <v>1345</v>
      </c>
      <c r="E616" t="s">
        <v>1345</v>
      </c>
      <c r="F616" t="s">
        <v>1346</v>
      </c>
      <c r="G616" t="s">
        <v>14</v>
      </c>
      <c r="H616">
             </c>
      <c r="I616" t="s">
        <v>14</v>
      </c>
      <c r="J616" t="s">
        <v>31</v>
      </c>
      <c r="K616" t="s">
        <v>34</v>
      </c>
      <c r="L616" t="s">
        <v>20</v>
      </c>
      <c r="M616" t="s">
        <v>1328</v>
      </c>
      <c r="N616" t="s">
        <v>14</v>
      </c>
    </row>
    <row r="617" x14ac:dyDescent="0.25">
      <c r="A617" t="n">
        <v>25</v>
      </c>
      <c r="B617" t="s">
        <v>14</v>
      </c>
      <c r="C617" t="s">
        <v>22</v>
      </c>
      <c r="D617" s="2" t="s">
        <f>=HYPERLINK("https://main.knesset.gov.il/APPS/legislation/main/bills/2234346", "הצעת חוק-יסוד: הממשלה (תיקון - הגבלת תקופת כהונה של ראש הממשלה) ")</f>
        <v>1347</v>
      </c>
      <c r="E617" t="s">
        <v>1347</v>
      </c>
      <c r="F617" t="s">
        <v>1348</v>
      </c>
      <c r="G617" t="s">
        <v>14</v>
      </c>
      <c r="H617">
             </c>
      <c r="I617" t="s">
        <v>14</v>
      </c>
      <c r="J617" t="s">
        <v>55</v>
      </c>
      <c r="K617" t="s">
        <v>14</v>
      </c>
      <c r="L617" t="s">
        <v>20</v>
      </c>
      <c r="M617" t="s">
        <v>1328</v>
      </c>
      <c r="N617" t="s">
        <v>14</v>
      </c>
    </row>
    <row r="618" x14ac:dyDescent="0.25">
      <c r="A618" t="n">
        <v>25</v>
      </c>
      <c r="B618" t="s">
        <v>14</v>
      </c>
      <c r="C618" t="s">
        <v>22</v>
      </c>
      <c r="D618" s="2" t="s">
        <f>=HYPERLINK("https://main.knesset.gov.il/APPS/legislation/main/bills/2234004", "הצעת חוק איסור טיפולי המרה לקטין, התשפ""ה-2025")</f>
        <v>1349</v>
      </c>
      <c r="E618" t="s">
        <v>1349</v>
      </c>
      <c r="F618" t="s">
        <v>1350</v>
      </c>
      <c r="G618" t="s">
        <v>14</v>
      </c>
      <c r="H618">
             </c>
      <c r="I618" t="s">
        <v>14</v>
      </c>
      <c r="J618" t="s">
        <v>55</v>
      </c>
      <c r="K618" t="s">
        <v>14</v>
      </c>
      <c r="L618" t="s">
        <v>20</v>
      </c>
      <c r="M618" t="s">
        <v>1328</v>
      </c>
      <c r="N618" t="s">
        <v>14</v>
      </c>
    </row>
    <row r="619" x14ac:dyDescent="0.25">
      <c r="A619" t="n">
        <v>25</v>
      </c>
      <c r="B619" t="s">
        <v>14</v>
      </c>
      <c r="C619" t="s">
        <v>22</v>
      </c>
      <c r="D619" s="2" t="s">
        <f>=HYPERLINK("https://main.knesset.gov.il/APPS/legislation/main/bills/2232360", "הצעת חוק הבטחת גישה למזון בשעת חירום, התשפ""ה-2025")</f>
        <v>1351</v>
      </c>
      <c r="E619" t="s">
        <v>1351</v>
      </c>
      <c r="F619" t="s">
        <v>1352</v>
      </c>
      <c r="G619" t="s">
        <v>14</v>
      </c>
      <c r="H619">
             </c>
      <c r="I619" t="s">
        <v>14</v>
      </c>
      <c r="J619" t="s">
        <v>55</v>
      </c>
      <c r="K619" t="s">
        <v>14</v>
      </c>
      <c r="L619" t="s">
        <v>20</v>
      </c>
      <c r="M619" t="s">
        <v>1328</v>
      </c>
      <c r="N619" t="s">
        <v>14</v>
      </c>
    </row>
    <row r="620" x14ac:dyDescent="0.25">
      <c r="A620" t="n">
        <v>25</v>
      </c>
      <c r="B620" t="s">
        <v>14</v>
      </c>
      <c r="C620" t="s">
        <v>22</v>
      </c>
      <c r="D620" s="2" t="s">
        <f>=HYPERLINK("https://main.knesset.gov.il/APPS/legislation/main/bills/2232185", "הצעת חוק לציון אירועי ליל הבדולח, התשפ""ה-2025")</f>
        <v>1353</v>
      </c>
      <c r="E620" t="s">
        <v>1353</v>
      </c>
      <c r="F620" t="s">
        <v>1354</v>
      </c>
      <c r="G620" t="s">
        <v>14</v>
      </c>
      <c r="H620">
             </c>
      <c r="I620" t="s">
        <v>14</v>
      </c>
      <c r="J620" t="s">
        <v>31</v>
      </c>
      <c r="K620" t="s">
        <v>34</v>
      </c>
      <c r="L620" t="s">
        <v>20</v>
      </c>
      <c r="M620" t="s">
        <v>1328</v>
      </c>
      <c r="N620" t="s">
        <v>14</v>
      </c>
    </row>
    <row r="621" x14ac:dyDescent="0.25">
      <c r="A621" t="n">
        <v>25</v>
      </c>
      <c r="B621" t="s">
        <v>14</v>
      </c>
      <c r="C621" t="s">
        <v>22</v>
      </c>
      <c r="D621" s="2" t="s">
        <f>=HYPERLINK("https://main.knesset.gov.il/APPS/legislation/main/bills/2232198", "הצעת חוק חובת המכרזים (תיקון - העדפה למעסיק משרתי מילואים), התשפ""ה-2025")</f>
        <v>1355</v>
      </c>
      <c r="E621" t="s">
        <v>1355</v>
      </c>
      <c r="F621" t="s">
        <v>1356</v>
      </c>
      <c r="G621" t="s">
        <v>14</v>
      </c>
      <c r="H621">
             </c>
      <c r="I621" t="s">
        <v>14</v>
      </c>
      <c r="J621" t="s">
        <v>55</v>
      </c>
      <c r="K621" t="s">
        <v>14</v>
      </c>
      <c r="L621" t="s">
        <v>20</v>
      </c>
      <c r="M621" t="s">
        <v>1328</v>
      </c>
      <c r="N621" t="s">
        <v>14</v>
      </c>
    </row>
    <row r="622" x14ac:dyDescent="0.25">
      <c r="A622" t="n">
        <v>25</v>
      </c>
      <c r="B622" t="s">
        <v>14</v>
      </c>
      <c r="C622" t="s">
        <v>22</v>
      </c>
      <c r="D622" s="2" t="s">
        <f>=HYPERLINK("https://main.knesset.gov.il/APPS/legislation/main/bills/2231610", "הצעת חוק שירות המדינה (מינויים) (תיקון - מינוי נציב והטלת תפקיד זמני), התשפ״ה-2025")</f>
        <v>1357</v>
      </c>
      <c r="E622" t="s">
        <v>1357</v>
      </c>
      <c r="F622" t="s">
        <v>1358</v>
      </c>
      <c r="G622" t="s">
        <v>14</v>
      </c>
      <c r="H622">
             </c>
      <c r="I622" t="s">
        <v>14</v>
      </c>
      <c r="J622" t="s">
        <v>31</v>
      </c>
      <c r="K622" t="s">
        <v>27</v>
      </c>
      <c r="L622" t="s">
        <v>20</v>
      </c>
      <c r="M622" t="s">
        <v>1328</v>
      </c>
      <c r="N622" t="s">
        <v>14</v>
      </c>
    </row>
    <row r="623" x14ac:dyDescent="0.25">
      <c r="A623" t="n">
        <v>25</v>
      </c>
      <c r="B623" t="s">
        <v>14</v>
      </c>
      <c r="C623" t="s">
        <v>22</v>
      </c>
      <c r="D623" s="2" t="s">
        <f>=HYPERLINK("https://main.knesset.gov.il/APPS/legislation/main/bills/2225758", "הצעת חוק הגנה על בתי תפילה ותיקים (תיקוני חקיקה), התשפ""ה-2025")</f>
        <v>1359</v>
      </c>
      <c r="E623" t="s">
        <v>1359</v>
      </c>
      <c r="F623" t="s">
        <v>1360</v>
      </c>
      <c r="G623" t="s">
        <v>14</v>
      </c>
      <c r="H623">
             </c>
      <c r="I623" t="s">
        <v>14</v>
      </c>
      <c r="J623" t="s">
        <v>31</v>
      </c>
      <c r="K623" t="s">
        <v>46</v>
      </c>
      <c r="L623" t="s">
        <v>20</v>
      </c>
      <c r="M623" t="s">
        <v>1328</v>
      </c>
      <c r="N623" t="s">
        <v>14</v>
      </c>
    </row>
    <row r="624" x14ac:dyDescent="0.25">
      <c r="A624" t="n">
        <v>25</v>
      </c>
      <c r="B624" t="s">
        <v>14</v>
      </c>
      <c r="C624" t="s">
        <v>22</v>
      </c>
      <c r="D624" s="2" t="s">
        <f>=HYPERLINK("https://main.knesset.gov.il/APPS/legislation/main/bills/2225842", "הצעת חוק שירות ביטחון (תיקון - התמודדות עם הסתה נגד חיילים חרדים), התשפ""ה-2025")</f>
        <v>1361</v>
      </c>
      <c r="E624" t="s">
        <v>1361</v>
      </c>
      <c r="F624" t="s">
        <v>1362</v>
      </c>
      <c r="G624" t="s">
        <v>14</v>
      </c>
      <c r="H624">
             </c>
      <c r="I624" t="s">
        <v>14</v>
      </c>
      <c r="J624" t="s">
        <v>55</v>
      </c>
      <c r="K624" t="s">
        <v>14</v>
      </c>
      <c r="L624" t="s">
        <v>20</v>
      </c>
      <c r="M624" t="s">
        <v>1328</v>
      </c>
      <c r="N624" t="s">
        <v>14</v>
      </c>
    </row>
    <row r="625" x14ac:dyDescent="0.25">
      <c r="A625" t="n">
        <v>25</v>
      </c>
      <c r="B625" t="s">
        <v>14</v>
      </c>
      <c r="C625" t="s">
        <v>22</v>
      </c>
      <c r="D625" s="2" t="s">
        <f>=HYPERLINK("https://main.knesset.gov.il/APPS/legislation/main/bills/2209838", "הצעת חוק איסור טיפול המרה לקטין, התשפ""ד-2023 ")</f>
        <v>1363</v>
      </c>
      <c r="E625" t="s">
        <v>1363</v>
      </c>
      <c r="F625" t="s">
        <v>1364</v>
      </c>
      <c r="G625" t="s">
        <v>14</v>
      </c>
      <c r="H625">
             </c>
      <c r="I625" t="s">
        <v>14</v>
      </c>
      <c r="J625" t="s">
        <v>55</v>
      </c>
      <c r="K625" t="s">
        <v>14</v>
      </c>
      <c r="L625" t="s">
        <v>20</v>
      </c>
      <c r="M625" t="s">
        <v>1328</v>
      </c>
      <c r="N625" t="s">
        <v>14</v>
      </c>
    </row>
    <row r="626" x14ac:dyDescent="0.25">
      <c r="A626" t="n">
        <v>25</v>
      </c>
      <c r="B626" t="s">
        <v>14</v>
      </c>
      <c r="C626" t="s">
        <v>22</v>
      </c>
      <c r="D626" s="2" t="s">
        <f>=HYPERLINK("https://main.knesset.gov.il/APPS/legislation/main/bills/2207029", "הצעת חוק הגנת הצרכן (תיקון מס' 73) (קבלה דיגיטלית ושובר זיכוי דיגיטלי), התשפ""ה–2025")</f>
        <v>1365</v>
      </c>
      <c r="E626" t="s">
        <v>1365</v>
      </c>
      <c r="F626" t="s">
        <v>1366</v>
      </c>
      <c r="G626" t="s">
        <v>1367</v>
      </c>
      <c r="H626">
             </c>
      <c r="I626" t="s">
        <v>14</v>
      </c>
      <c r="J626" t="s">
        <v>18</v>
      </c>
      <c r="K626" t="s">
        <v>19</v>
      </c>
      <c r="L626" t="s">
        <v>20</v>
      </c>
      <c r="M626" t="s">
        <v>1328</v>
      </c>
      <c r="N626" t="s">
        <v>14</v>
      </c>
    </row>
    <row r="627" x14ac:dyDescent="0.25">
      <c r="A627" t="n">
        <v>25</v>
      </c>
      <c r="B627" t="s">
        <v>14</v>
      </c>
      <c r="C627" t="s">
        <v>22</v>
      </c>
      <c r="D627" s="2" t="s">
        <f>=HYPERLINK("https://main.knesset.gov.il/APPS/legislation/main/bills/2205845", "הצעת חוק להפחתת סכום הפיצוי הכספי בשל נסיעה ללא תיקוף כרטיס בתחבורה הציבורית (תיקוני חקיקה), התשפ""ו–2026")</f>
        <v>1368</v>
      </c>
      <c r="E627" t="s">
        <v>1368</v>
      </c>
      <c r="F627" t="s">
        <v>1369</v>
      </c>
      <c r="G627" t="s">
        <v>1370</v>
      </c>
      <c r="H627">
             </c>
      <c r="I627" t="s">
        <v>26</v>
      </c>
      <c r="J627" t="s">
        <v>73</v>
      </c>
      <c r="K627" t="s">
        <v>19</v>
      </c>
      <c r="L627" t="s">
        <v>20</v>
      </c>
      <c r="M627" t="s">
        <v>1328</v>
      </c>
      <c r="N627" t="s">
        <v>14</v>
      </c>
    </row>
    <row r="628" x14ac:dyDescent="0.25">
      <c r="A628" t="n">
        <v>25</v>
      </c>
      <c r="B628" t="s">
        <v>14</v>
      </c>
      <c r="C628" t="s">
        <v>22</v>
      </c>
      <c r="D628" s="2" t="s">
        <f>=HYPERLINK("https://main.knesset.gov.il/APPS/legislation/main/bills/2203407", "הצעת חוק-יסוד: הממשלה (תיקון - הגבלת כהונת ראש הממשלה לשתי תקופות כהונה רצופות)")</f>
        <v>1247</v>
      </c>
      <c r="E628" t="s">
        <v>1247</v>
      </c>
      <c r="F628" t="s">
        <v>1371</v>
      </c>
      <c r="G628" t="s">
        <v>14</v>
      </c>
      <c r="H628">
             </c>
      <c r="I628" t="s">
        <v>14</v>
      </c>
      <c r="J628" t="s">
        <v>55</v>
      </c>
      <c r="K628" t="s">
        <v>14</v>
      </c>
      <c r="L628" t="s">
        <v>20</v>
      </c>
      <c r="M628" t="s">
        <v>1328</v>
      </c>
      <c r="N628" t="s">
        <v>14</v>
      </c>
    </row>
    <row r="629" x14ac:dyDescent="0.25">
      <c r="A629" t="n">
        <v>25</v>
      </c>
      <c r="B629" t="s">
        <v>14</v>
      </c>
      <c r="C629" t="s">
        <v>22</v>
      </c>
      <c r="D629" s="2" t="s">
        <f>=HYPERLINK("https://main.knesset.gov.il/APPS/legislation/main/bills/2202588", "הצעת חוק מרשם האוכלוסין (תיקון - הגדרת יהודי), התשפ""ג-2023")</f>
        <v>1372</v>
      </c>
      <c r="E629" t="s">
        <v>1372</v>
      </c>
      <c r="F629" t="s">
        <v>1373</v>
      </c>
      <c r="G629" t="s">
        <v>14</v>
      </c>
      <c r="H629">
             </c>
      <c r="I629" t="s">
        <v>14</v>
      </c>
      <c r="J629" t="s">
        <v>55</v>
      </c>
      <c r="K629" t="s">
        <v>14</v>
      </c>
      <c r="L629" t="s">
        <v>20</v>
      </c>
      <c r="M629" t="s">
        <v>1328</v>
      </c>
      <c r="N629" t="s">
        <v>14</v>
      </c>
    </row>
    <row r="630" x14ac:dyDescent="0.25">
      <c r="A630" t="n">
        <v>25</v>
      </c>
      <c r="B630" t="s">
        <v>14</v>
      </c>
      <c r="C630" t="s">
        <v>22</v>
      </c>
      <c r="D630" s="2" t="s">
        <f>=HYPERLINK("https://main.knesset.gov.il/APPS/legislation/main/bills/2197656", "הצעת חוק איסור טיפול המרה לקטין, התשפ""ג-2022")</f>
        <v>1374</v>
      </c>
      <c r="E630" t="s">
        <v>1374</v>
      </c>
      <c r="F630" t="s">
        <v>1375</v>
      </c>
      <c r="G630" t="s">
        <v>14</v>
      </c>
      <c r="H630">
             </c>
      <c r="I630" t="s">
        <v>14</v>
      </c>
      <c r="J630" t="s">
        <v>55</v>
      </c>
      <c r="K630" t="s">
        <v>14</v>
      </c>
      <c r="L630" t="s">
        <v>20</v>
      </c>
      <c r="M630" t="s">
        <v>1328</v>
      </c>
      <c r="N630" t="s">
        <v>14</v>
      </c>
    </row>
    <row r="631" x14ac:dyDescent="0.25">
      <c r="A631" t="n">
        <v>25</v>
      </c>
      <c r="B631" t="s">
        <v>14</v>
      </c>
      <c r="C631" t="s">
        <v>22</v>
      </c>
      <c r="D631" s="2" t="s">
        <f>=HYPERLINK("https://main.knesset.gov.il/APPS/legislation/main/bills/2227783", "הצעת חוק משפחות חיילים שנספו במערכה (תגמולים ושיקום) (תיקון - עדכון הסיוע וההטבות לאלמנה), התשפ""ה-2025")</f>
        <v>1376</v>
      </c>
      <c r="E631" t="s">
        <v>1376</v>
      </c>
      <c r="F631" t="s">
        <v>1377</v>
      </c>
      <c r="G631" t="s">
        <v>14</v>
      </c>
      <c r="H631">
             </c>
      <c r="I631" t="s">
        <v>14</v>
      </c>
      <c r="J631" t="s">
        <v>99</v>
      </c>
      <c r="K631" t="s">
        <v>127</v>
      </c>
      <c r="L631" t="s">
        <v>20</v>
      </c>
      <c r="M631" t="s">
        <v>1378</v>
      </c>
      <c r="N631" t="s">
        <v>14</v>
      </c>
    </row>
    <row r="632" x14ac:dyDescent="0.25">
      <c r="A632" t="n">
        <v>25</v>
      </c>
      <c r="B632" t="s">
        <v>14</v>
      </c>
      <c r="C632" t="s">
        <v>22</v>
      </c>
      <c r="D632" s="2" t="s">
        <f>=HYPERLINK("https://main.knesset.gov.il/APPS/legislation/main/bills/2224634", "הצעת חוק העמותות (תיקון - תרומה מישות מדינית זרה), התשפ""ה-2024")</f>
        <v>1379</v>
      </c>
      <c r="E632" t="s">
        <v>1379</v>
      </c>
      <c r="F632" t="s">
        <v>1380</v>
      </c>
      <c r="G632" t="s">
        <v>14</v>
      </c>
      <c r="H632">
             </c>
      <c r="I632" t="s">
        <v>14</v>
      </c>
      <c r="J632" t="s">
        <v>31</v>
      </c>
      <c r="K632" t="s">
        <v>27</v>
      </c>
      <c r="L632" t="s">
        <v>20</v>
      </c>
      <c r="M632" t="s">
        <v>1378</v>
      </c>
      <c r="N632" t="s">
        <v>14</v>
      </c>
    </row>
    <row r="633" x14ac:dyDescent="0.25">
      <c r="A633" t="n">
        <v>25</v>
      </c>
      <c r="B633" t="s">
        <v>14</v>
      </c>
      <c r="C633" t="s">
        <v>22</v>
      </c>
      <c r="D633" s="2" t="s">
        <f>=HYPERLINK("https://main.knesset.gov.il/APPS/legislation/main/bills/2220285", "הצעת חוק משפחות חיילים שנספו במערכה (תגמולים ושיקום) (תיקון - תגמולי יתומים, אלמנות וגרושות), התשפ""ד-2024")</f>
        <v>1381</v>
      </c>
      <c r="E633" t="s">
        <v>1381</v>
      </c>
      <c r="F633" t="s">
        <v>1382</v>
      </c>
      <c r="G633" t="s">
        <v>14</v>
      </c>
      <c r="H633">
             </c>
      <c r="I633" t="s">
        <v>14</v>
      </c>
      <c r="J633" t="s">
        <v>99</v>
      </c>
      <c r="K633" t="s">
        <v>127</v>
      </c>
      <c r="L633" t="s">
        <v>20</v>
      </c>
      <c r="M633" t="s">
        <v>1378</v>
      </c>
      <c r="N633" t="s">
        <v>14</v>
      </c>
    </row>
    <row r="634" x14ac:dyDescent="0.25">
      <c r="A634" t="n">
        <v>25</v>
      </c>
      <c r="B634" t="s">
        <v>14</v>
      </c>
      <c r="C634" t="s">
        <v>22</v>
      </c>
      <c r="D634" s="2" t="s">
        <f>=HYPERLINK("https://main.knesset.gov.il/APPS/legislation/main/bills/2217355", "הצעת חוק משפחות חיילים שנספו במערכה (תגמולים ושיקום) (תיקון - תגמולי הורים, יתומים ואחים שכולים), התשפ""ד-2024")</f>
        <v>1383</v>
      </c>
      <c r="E634" t="s">
        <v>1383</v>
      </c>
      <c r="F634" t="s">
        <v>1384</v>
      </c>
      <c r="G634" t="s">
        <v>14</v>
      </c>
      <c r="H634">
             </c>
      <c r="I634" t="s">
        <v>14</v>
      </c>
      <c r="J634" t="s">
        <v>31</v>
      </c>
      <c r="K634" t="s">
        <v>127</v>
      </c>
      <c r="L634" t="s">
        <v>20</v>
      </c>
      <c r="M634" t="s">
        <v>1378</v>
      </c>
      <c r="N634" t="s">
        <v>14</v>
      </c>
    </row>
    <row r="635" x14ac:dyDescent="0.25">
      <c r="A635" t="n">
        <v>25</v>
      </c>
      <c r="B635" t="s">
        <v>14</v>
      </c>
      <c r="C635" t="s">
        <v>22</v>
      </c>
      <c r="D635" s="2" t="s">
        <f>=HYPERLINK("https://main.knesset.gov.il/APPS/legislation/main/bills/2216711", "הצעת חוק תגמולים ליתום משני הוריו שאחד מהם נספה במלחמת חרבות ברזל (תיקוני חקיקה), התשפ""ד-2024")</f>
        <v>1385</v>
      </c>
      <c r="E635" t="s">
        <v>1385</v>
      </c>
      <c r="F635" t="s">
        <v>1386</v>
      </c>
      <c r="G635" t="s">
        <v>14</v>
      </c>
      <c r="H635">
             </c>
      <c r="I635" t="s">
        <v>14</v>
      </c>
      <c r="J635" t="s">
        <v>99</v>
      </c>
      <c r="K635" t="s">
        <v>127</v>
      </c>
      <c r="L635" t="s">
        <v>20</v>
      </c>
      <c r="M635" t="s">
        <v>1378</v>
      </c>
      <c r="N635" t="s">
        <v>14</v>
      </c>
    </row>
    <row r="636" x14ac:dyDescent="0.25">
      <c r="A636" t="n">
        <v>25</v>
      </c>
      <c r="B636" t="s">
        <v>14</v>
      </c>
      <c r="C636" t="s">
        <v>22</v>
      </c>
      <c r="D636" s="2" t="s">
        <f>=HYPERLINK("https://main.knesset.gov.il/APPS/legislation/main/bills/2215745", "הצעת חוק שירות המדינה (גימלאות) (תיקון - קצבה ליתום משני הוריו), התשפ""ד-2024")</f>
        <v>1387</v>
      </c>
      <c r="E636" t="s">
        <v>1387</v>
      </c>
      <c r="F636" t="s">
        <v>1388</v>
      </c>
      <c r="G636" t="s">
        <v>14</v>
      </c>
      <c r="H636">
             </c>
      <c r="I636" t="s">
        <v>14</v>
      </c>
      <c r="J636" t="s">
        <v>99</v>
      </c>
      <c r="K636" t="s">
        <v>127</v>
      </c>
      <c r="L636" t="s">
        <v>20</v>
      </c>
      <c r="M636" t="s">
        <v>1378</v>
      </c>
      <c r="N636" t="s">
        <v>14</v>
      </c>
    </row>
    <row r="637" x14ac:dyDescent="0.25">
      <c r="A637" t="n">
        <v>25</v>
      </c>
      <c r="B637" t="s">
        <v>14</v>
      </c>
      <c r="C637" t="s">
        <v>22</v>
      </c>
      <c r="D637" s="2" t="s">
        <f>=HYPERLINK("https://main.knesset.gov.il/APPS/legislation/main/bills/2214239", "הצעת חוק משפחות חיילים שנספו במערכה (תגמולים ושיקום) (תיקון - הסדרת הזכויות של יתומים בוגרים), התשפ""ד-2024")</f>
        <v>1389</v>
      </c>
      <c r="E637" t="s">
        <v>1389</v>
      </c>
      <c r="F637" t="s">
        <v>1390</v>
      </c>
      <c r="G637" t="s">
        <v>14</v>
      </c>
      <c r="H637">
             </c>
      <c r="I637" t="s">
        <v>14</v>
      </c>
      <c r="J637" t="s">
        <v>99</v>
      </c>
      <c r="K637" t="s">
        <v>127</v>
      </c>
      <c r="L637" t="s">
        <v>20</v>
      </c>
      <c r="M637" t="s">
        <v>1378</v>
      </c>
      <c r="N637" t="s">
        <v>14</v>
      </c>
    </row>
    <row r="638" x14ac:dyDescent="0.25">
      <c r="A638" t="n">
        <v>25</v>
      </c>
      <c r="B638" t="s">
        <v>14</v>
      </c>
      <c r="C638" t="s">
        <v>22</v>
      </c>
      <c r="D638" s="2" t="s">
        <f>=HYPERLINK("https://main.knesset.gov.il/APPS/legislation/main/bills/2201628", "הצעת חוק משפחות חיילים שנספו במערכה (תגמולים ושיקום) (תיקון - הרחבת הזכאות ליתומים שמלאו להם 21 שנים), התשפ""ג-2023 ")</f>
        <v>1391</v>
      </c>
      <c r="E638" t="s">
        <v>1391</v>
      </c>
      <c r="F638" t="s">
        <v>1392</v>
      </c>
      <c r="G638" t="s">
        <v>14</v>
      </c>
      <c r="H638">
             </c>
      <c r="I638" t="s">
        <v>14</v>
      </c>
      <c r="J638" t="s">
        <v>99</v>
      </c>
      <c r="K638" t="s">
        <v>127</v>
      </c>
      <c r="L638" t="s">
        <v>20</v>
      </c>
      <c r="M638" t="s">
        <v>1378</v>
      </c>
      <c r="N638" t="s">
        <v>14</v>
      </c>
    </row>
    <row r="639" x14ac:dyDescent="0.25">
      <c r="A639" t="n">
        <v>25</v>
      </c>
      <c r="B639" t="s">
        <v>14</v>
      </c>
      <c r="C639" t="s">
        <v>22</v>
      </c>
      <c r="D639" s="2" t="s">
        <f>=HYPERLINK("https://main.knesset.gov.il/APPS/legislation/main/bills/2197759", "הצעת חוק משפחות חיילים שנספו במערכה (תיקון - יתומי צה""ל), התשפ""ג-2022")</f>
        <v>1393</v>
      </c>
      <c r="E639" t="s">
        <v>1393</v>
      </c>
      <c r="F639" t="s">
        <v>1394</v>
      </c>
      <c r="G639" t="s">
        <v>14</v>
      </c>
      <c r="H639">
             </c>
      <c r="I639" t="s">
        <v>14</v>
      </c>
      <c r="J639" t="s">
        <v>99</v>
      </c>
      <c r="K639" t="s">
        <v>127</v>
      </c>
      <c r="L639" t="s">
        <v>20</v>
      </c>
      <c r="M639" t="s">
        <v>1378</v>
      </c>
      <c r="N639" t="s">
        <v>14</v>
      </c>
    </row>
    <row r="640" x14ac:dyDescent="0.25">
      <c r="A640" t="n">
        <v>25</v>
      </c>
      <c r="B640" t="s">
        <v>14</v>
      </c>
      <c r="C640" t="s">
        <v>22</v>
      </c>
      <c r="D640" s="2" t="s">
        <f>=HYPERLINK("https://main.knesset.gov.il/APPS/legislation/main/bills/2223797", "הצעת חוק מסירת מידע סודי לראש הממשלה ולשרים (תיקוני חקיקה), התשפ""ה-2024")</f>
        <v>1395</v>
      </c>
      <c r="E640" t="s">
        <v>1395</v>
      </c>
      <c r="F640" t="s">
        <v>1396</v>
      </c>
      <c r="G640" t="s">
        <v>14</v>
      </c>
      <c r="H640">
             </c>
      <c r="I640" t="s">
        <v>14</v>
      </c>
      <c r="J640" t="s">
        <v>31</v>
      </c>
      <c r="K640" t="s">
        <v>114</v>
      </c>
      <c r="L640" t="s">
        <v>20</v>
      </c>
      <c r="M640" t="s">
        <v>1397</v>
      </c>
      <c r="N640" t="s">
        <v>14</v>
      </c>
    </row>
    <row r="641" x14ac:dyDescent="0.25">
      <c r="A641" t="n">
        <v>25</v>
      </c>
      <c r="B641" t="s">
        <v>14</v>
      </c>
      <c r="C641" t="s">
        <v>22</v>
      </c>
      <c r="D641" s="2" t="s">
        <f>=HYPERLINK("https://main.knesset.gov.il/APPS/legislation/main/bills/2234082", "הצעת חוק-יסוד: השפיטה (תיקון - רשות ערעור למדינה על זיכוי אדם בפלילים)")</f>
        <v>1398</v>
      </c>
      <c r="E641" t="s">
        <v>1398</v>
      </c>
      <c r="F641" t="s">
        <v>1399</v>
      </c>
      <c r="G641" t="s">
        <v>14</v>
      </c>
      <c r="H641">
             </c>
      <c r="I641" t="s">
        <v>14</v>
      </c>
      <c r="J641" t="s">
        <v>31</v>
      </c>
      <c r="K641" t="s">
        <v>27</v>
      </c>
      <c r="L641" t="s">
        <v>20</v>
      </c>
      <c r="M641" t="s">
        <v>1397</v>
      </c>
      <c r="N641" t="s">
        <v>14</v>
      </c>
    </row>
    <row r="642" x14ac:dyDescent="0.25">
      <c r="A642" t="n">
        <v>25</v>
      </c>
      <c r="B642" t="s">
        <v>14</v>
      </c>
      <c r="C642" t="s">
        <v>22</v>
      </c>
      <c r="D642" s="2" t="s">
        <f>=HYPERLINK("https://main.knesset.gov.il/APPS/legislation/main/bills/2225108", "הצעת חוק-יסוד: השפיטה (תיקון - רשות ערעור למדינה על זיכוי אדם בפלילים)")</f>
        <v>1398</v>
      </c>
      <c r="E642" t="s">
        <v>1398</v>
      </c>
      <c r="F642" t="s">
        <v>1400</v>
      </c>
      <c r="G642" t="s">
        <v>14</v>
      </c>
      <c r="H642">
             </c>
      <c r="I642" t="s">
        <v>14</v>
      </c>
      <c r="J642" t="s">
        <v>31</v>
      </c>
      <c r="K642" t="s">
        <v>27</v>
      </c>
      <c r="L642" t="s">
        <v>20</v>
      </c>
      <c r="M642" t="s">
        <v>1397</v>
      </c>
      <c r="N642" t="s">
        <v>14</v>
      </c>
    </row>
    <row r="643" x14ac:dyDescent="0.25">
      <c r="A643" t="n">
        <v>25</v>
      </c>
      <c r="B643" t="s">
        <v>14</v>
      </c>
      <c r="C643" t="s">
        <v>15</v>
      </c>
      <c r="D643" s="2" t="s">
        <f>=HYPERLINK("https://main.knesset.gov.il/APPS/legislation/main/bills/2230475", "חוק הקולנוע (תיקון מס' 7), התשפ""ו-2026")</f>
        <v>1401</v>
      </c>
      <c r="E643" t="s">
        <v>1401</v>
      </c>
      <c r="F643" t="s">
        <v>14</v>
      </c>
      <c r="G643" t="s">
        <v>1402</v>
      </c>
      <c r="H643" t="n">
        <v>3483</v>
      </c>
      <c r="I643" t="s">
        <v>14</v>
      </c>
      <c r="J643" t="s">
        <v>91</v>
      </c>
      <c r="K643" t="s">
        <v>34</v>
      </c>
      <c r="L643" t="s">
        <v>20</v>
      </c>
      <c r="M643" t="s">
        <v>1397</v>
      </c>
      <c r="N643" t="s">
        <v>1403</v>
      </c>
    </row>
    <row r="644" x14ac:dyDescent="0.25">
      <c r="A644" t="n">
        <v>25</v>
      </c>
      <c r="B644" t="s">
        <v>14</v>
      </c>
      <c r="C644" t="s">
        <v>22</v>
      </c>
      <c r="D644" s="2" t="s">
        <f>=HYPERLINK("https://main.knesset.gov.il/APPS/legislation/main/bills/2238725", "הצעת חוק השיפוט הצבאי (תיקון - גבולות המעורבות המשפטית בצה״ל), התשפ""ו-2026")</f>
        <v>1404</v>
      </c>
      <c r="E644" t="s">
        <v>1404</v>
      </c>
      <c r="F644" t="s">
        <v>1405</v>
      </c>
      <c r="G644" t="s">
        <v>14</v>
      </c>
      <c r="H644">
             </c>
      <c r="I644" t="s">
        <v>14</v>
      </c>
      <c r="J644" t="s">
        <v>141</v>
      </c>
      <c r="K644" t="s">
        <v>14</v>
      </c>
      <c r="L644" t="s">
        <v>20</v>
      </c>
      <c r="M644" t="s">
        <v>1397</v>
      </c>
      <c r="N644" t="s">
        <v>14</v>
      </c>
    </row>
    <row r="645" x14ac:dyDescent="0.25">
      <c r="A645" t="n">
        <v>25</v>
      </c>
      <c r="B645" t="s">
        <v>14</v>
      </c>
      <c r="C645" t="s">
        <v>22</v>
      </c>
      <c r="D645" s="2" t="s">
        <f>=HYPERLINK("https://main.knesset.gov.il/APPS/legislation/main/bills/2238532", "הצעת חוק ביטוח סיעודי ממלכתי (תיקוני חקיקה), התשפ""ו-2026")</f>
        <v>1406</v>
      </c>
      <c r="E645" t="s">
        <v>1406</v>
      </c>
      <c r="F645" t="s">
        <v>1407</v>
      </c>
      <c r="G645" t="s">
        <v>14</v>
      </c>
      <c r="H645">
             </c>
      <c r="I645" t="s">
        <v>14</v>
      </c>
      <c r="J645" t="s">
        <v>141</v>
      </c>
      <c r="K645" t="s">
        <v>14</v>
      </c>
      <c r="L645" t="s">
        <v>20</v>
      </c>
      <c r="M645" t="s">
        <v>1397</v>
      </c>
      <c r="N645" t="s">
        <v>14</v>
      </c>
    </row>
    <row r="646" x14ac:dyDescent="0.25">
      <c r="A646" t="n">
        <v>25</v>
      </c>
      <c r="B646" t="s">
        <v>14</v>
      </c>
      <c r="C646" t="s">
        <v>22</v>
      </c>
      <c r="D646" s="2" t="s">
        <f>=HYPERLINK("https://main.knesset.gov.il/APPS/legislation/main/bills/2237891", "הצעת חוק ועדות חקירה (תיקון - הקמת ועדה בהצבעה חשאית בכנסת), התשפ""ו-2026")</f>
        <v>1408</v>
      </c>
      <c r="E646" t="s">
        <v>1408</v>
      </c>
      <c r="F646" t="s">
        <v>1409</v>
      </c>
      <c r="G646" t="s">
        <v>14</v>
      </c>
      <c r="H646">
             </c>
      <c r="I646" t="s">
        <v>14</v>
      </c>
      <c r="J646" t="s">
        <v>141</v>
      </c>
      <c r="K646" t="s">
        <v>14</v>
      </c>
      <c r="L646" t="s">
        <v>20</v>
      </c>
      <c r="M646" t="s">
        <v>1397</v>
      </c>
      <c r="N646" t="s">
        <v>14</v>
      </c>
    </row>
    <row r="647" x14ac:dyDescent="0.25">
      <c r="A647" t="n">
        <v>25</v>
      </c>
      <c r="B647" t="s">
        <v>14</v>
      </c>
      <c r="C647" t="s">
        <v>22</v>
      </c>
      <c r="D647" s="2" t="s">
        <f>=HYPERLINK("https://main.knesset.gov.il/APPS/legislation/main/bills/2238876", " הצעת חוק קבלת ילד של משרת מילואים למעון יום והשתתפות המדינה בעלות שכר הלימוד בו, התשפ""ו-2026")</f>
        <v>1410</v>
      </c>
      <c r="E647" t="s">
        <v>1410</v>
      </c>
      <c r="F647" t="s">
        <v>1411</v>
      </c>
      <c r="G647" t="s">
        <v>14</v>
      </c>
      <c r="H647">
             </c>
      <c r="I647" t="s">
        <v>14</v>
      </c>
      <c r="J647" t="s">
        <v>141</v>
      </c>
      <c r="K647" t="s">
        <v>14</v>
      </c>
      <c r="L647" t="s">
        <v>20</v>
      </c>
      <c r="M647" t="s">
        <v>1397</v>
      </c>
      <c r="N647" t="s">
        <v>14</v>
      </c>
    </row>
    <row r="648" x14ac:dyDescent="0.25">
      <c r="A648" t="n">
        <v>25</v>
      </c>
      <c r="B648" t="s">
        <v>14</v>
      </c>
      <c r="C648" t="s">
        <v>22</v>
      </c>
      <c r="D648" s="2" t="s">
        <f>=HYPERLINK("https://main.knesset.gov.il/APPS/legislation/main/bills/2238185", "הצעת חוק-יסוד: משאל עם לאישור חוקת מדינת ישראל")</f>
        <v>1412</v>
      </c>
      <c r="E648" t="s">
        <v>1412</v>
      </c>
      <c r="F648" t="s">
        <v>1413</v>
      </c>
      <c r="G648" t="s">
        <v>14</v>
      </c>
      <c r="H648">
             </c>
      <c r="I648" t="s">
        <v>14</v>
      </c>
      <c r="J648" t="s">
        <v>141</v>
      </c>
      <c r="K648" t="s">
        <v>14</v>
      </c>
      <c r="L648" t="s">
        <v>20</v>
      </c>
      <c r="M648" t="s">
        <v>1397</v>
      </c>
      <c r="N648" t="s">
        <v>14</v>
      </c>
    </row>
    <row r="649" x14ac:dyDescent="0.25">
      <c r="A649" t="n">
        <v>25</v>
      </c>
      <c r="B649" t="s">
        <v>14</v>
      </c>
      <c r="C649" t="s">
        <v>22</v>
      </c>
      <c r="D649" s="2" t="s">
        <f>=HYPERLINK("https://main.knesset.gov.il/APPS/legislation/main/bills/2238906", "הצעת חוק למניעת הטרדה מינית (תיקון - הרחבת תחולה על עובדים עצמאים ועובדי כלכלת הפלטפורמה), התשפ״ו-2026")</f>
        <v>1414</v>
      </c>
      <c r="E649" t="s">
        <v>1414</v>
      </c>
      <c r="F649" t="s">
        <v>1415</v>
      </c>
      <c r="G649" t="s">
        <v>14</v>
      </c>
      <c r="H649">
             </c>
      <c r="I649" t="s">
        <v>14</v>
      </c>
      <c r="J649" t="s">
        <v>141</v>
      </c>
      <c r="K649" t="s">
        <v>14</v>
      </c>
      <c r="L649" t="s">
        <v>20</v>
      </c>
      <c r="M649" t="s">
        <v>1397</v>
      </c>
      <c r="N649" t="s">
        <v>14</v>
      </c>
    </row>
    <row r="650" x14ac:dyDescent="0.25">
      <c r="A650" t="n">
        <v>25</v>
      </c>
      <c r="B650" t="s">
        <v>14</v>
      </c>
      <c r="C650" t="s">
        <v>22</v>
      </c>
      <c r="D650" s="2" t="s">
        <f>=HYPERLINK("https://main.knesset.gov.il/APPS/legislation/main/bills/2237920", "הצעת חוק העונשין (תיקון - הוספת עבירת חרם חברתי חמור על קטין), התשפ""ו-2026")</f>
        <v>1249</v>
      </c>
      <c r="E650" t="s">
        <v>1249</v>
      </c>
      <c r="F650" t="s">
        <v>1416</v>
      </c>
      <c r="G650" t="s">
        <v>14</v>
      </c>
      <c r="H650">
             </c>
      <c r="I650" t="s">
        <v>14</v>
      </c>
      <c r="J650" t="s">
        <v>141</v>
      </c>
      <c r="K650" t="s">
        <v>14</v>
      </c>
      <c r="L650" t="s">
        <v>20</v>
      </c>
      <c r="M650" t="s">
        <v>1397</v>
      </c>
      <c r="N650" t="s">
        <v>14</v>
      </c>
    </row>
    <row r="651" x14ac:dyDescent="0.25">
      <c r="A651" t="n">
        <v>25</v>
      </c>
      <c r="B651" t="s">
        <v>14</v>
      </c>
      <c r="C651" t="s">
        <v>22</v>
      </c>
      <c r="D651" s="2" t="s">
        <f>=HYPERLINK("https://main.knesset.gov.il/APPS/legislation/main/bills/2231878", "הצעת חוק הגבלת מכירת מוצרי עישון, התשפ""ו-2026")</f>
        <v>1417</v>
      </c>
      <c r="E651" t="s">
        <v>1417</v>
      </c>
      <c r="F651" t="s">
        <v>1418</v>
      </c>
      <c r="G651" t="s">
        <v>14</v>
      </c>
      <c r="H651">
             </c>
      <c r="I651" t="s">
        <v>14</v>
      </c>
      <c r="J651" t="s">
        <v>141</v>
      </c>
      <c r="K651" t="s">
        <v>14</v>
      </c>
      <c r="L651" t="s">
        <v>20</v>
      </c>
      <c r="M651" t="s">
        <v>1397</v>
      </c>
      <c r="N651" t="s">
        <v>14</v>
      </c>
    </row>
    <row r="652" x14ac:dyDescent="0.25">
      <c r="A652" t="n">
        <v>25</v>
      </c>
      <c r="B652" t="s">
        <v>14</v>
      </c>
      <c r="C652" t="s">
        <v>22</v>
      </c>
      <c r="D652" s="2" t="s">
        <f>=HYPERLINK("https://main.knesset.gov.il/APPS/legislation/main/bills/2238168", "הצעת חוק העדפה מתקנת לבני העדה הדרוזית, התשפ""ו-2026")</f>
        <v>1419</v>
      </c>
      <c r="E652" t="s">
        <v>1419</v>
      </c>
      <c r="F652" t="s">
        <v>1420</v>
      </c>
      <c r="G652" t="s">
        <v>14</v>
      </c>
      <c r="H652">
             </c>
      <c r="I652" t="s">
        <v>14</v>
      </c>
      <c r="J652" t="s">
        <v>343</v>
      </c>
      <c r="K652" t="s">
        <v>14</v>
      </c>
      <c r="L652" t="s">
        <v>20</v>
      </c>
      <c r="M652" t="s">
        <v>1397</v>
      </c>
      <c r="N652" t="s">
        <v>14</v>
      </c>
    </row>
    <row r="653" x14ac:dyDescent="0.25">
      <c r="A653" t="n">
        <v>25</v>
      </c>
      <c r="B653" t="s">
        <v>14</v>
      </c>
      <c r="C653" t="s">
        <v>22</v>
      </c>
      <c r="D653" s="2" t="s">
        <f>=HYPERLINK("https://main.knesset.gov.il/APPS/legislation/main/bills/2239012", "הצעת חוק שירות המדינה (מינויים) (תיקון - תואר אקדמי רלוונטי), התשפ""ו-2026")</f>
        <v>1421</v>
      </c>
      <c r="E653" t="s">
        <v>1421</v>
      </c>
      <c r="F653" t="s">
        <v>1422</v>
      </c>
      <c r="G653" t="s">
        <v>14</v>
      </c>
      <c r="H653">
             </c>
      <c r="I653" t="s">
        <v>14</v>
      </c>
      <c r="J653" t="s">
        <v>141</v>
      </c>
      <c r="K653" t="s">
        <v>14</v>
      </c>
      <c r="L653" t="s">
        <v>20</v>
      </c>
      <c r="M653" t="s">
        <v>1397</v>
      </c>
      <c r="N653" t="s">
        <v>14</v>
      </c>
    </row>
    <row r="654" x14ac:dyDescent="0.25">
      <c r="A654" t="n">
        <v>25</v>
      </c>
      <c r="B654" t="s">
        <v>14</v>
      </c>
      <c r="C654" t="s">
        <v>22</v>
      </c>
      <c r="D654" s="2" t="s">
        <f>=HYPERLINK("https://main.knesset.gov.il/APPS/legislation/main/bills/2238327", "הצעת חוק העונשין (תיקון - עבירת הפרת אמונים), התשפ""ו-2026")</f>
        <v>1423</v>
      </c>
      <c r="E654" t="s">
        <v>1423</v>
      </c>
      <c r="F654" t="s">
        <v>1424</v>
      </c>
      <c r="G654" t="s">
        <v>14</v>
      </c>
      <c r="H654">
             </c>
      <c r="I654" t="s">
        <v>14</v>
      </c>
      <c r="J654" t="s">
        <v>141</v>
      </c>
      <c r="K654" t="s">
        <v>14</v>
      </c>
      <c r="L654" t="s">
        <v>20</v>
      </c>
      <c r="M654" t="s">
        <v>1397</v>
      </c>
      <c r="N654" t="s">
        <v>14</v>
      </c>
    </row>
    <row r="655" x14ac:dyDescent="0.25">
      <c r="A655" t="n">
        <v>25</v>
      </c>
      <c r="B655" t="s">
        <v>14</v>
      </c>
      <c r="C655" t="s">
        <v>22</v>
      </c>
      <c r="D655" s="2" t="s">
        <f>=HYPERLINK("https://main.knesset.gov.il/APPS/legislation/main/bills/2239013", "הצעת חוק הפרשנות (תיקון - הגדרת  הפליה על רקע נטייה מינית או זהות מגדרית), התשפ""ו-2026")</f>
        <v>1425</v>
      </c>
      <c r="E655" t="s">
        <v>1425</v>
      </c>
      <c r="F655" t="s">
        <v>1426</v>
      </c>
      <c r="G655" t="s">
        <v>14</v>
      </c>
      <c r="H655">
             </c>
      <c r="I655" t="s">
        <v>14</v>
      </c>
      <c r="J655" t="s">
        <v>141</v>
      </c>
      <c r="K655" t="s">
        <v>14</v>
      </c>
      <c r="L655" t="s">
        <v>20</v>
      </c>
      <c r="M655" t="s">
        <v>1397</v>
      </c>
      <c r="N655" t="s">
        <v>14</v>
      </c>
    </row>
    <row r="656" x14ac:dyDescent="0.25">
      <c r="A656" t="n">
        <v>25</v>
      </c>
      <c r="B656" t="s">
        <v>14</v>
      </c>
      <c r="C656" t="s">
        <v>22</v>
      </c>
      <c r="D656" s="2" t="s">
        <f>=HYPERLINK("https://main.knesset.gov.il/APPS/legislation/main/bills/2238322", "הצעת חוק העונשין (תיקון - ביטול עבירת מרמה והפרת אמונים), התשפ""ו-2026")</f>
        <v>1427</v>
      </c>
      <c r="E656" t="s">
        <v>1427</v>
      </c>
      <c r="F656" t="s">
        <v>1428</v>
      </c>
      <c r="G656" t="s">
        <v>14</v>
      </c>
      <c r="H656">
             </c>
      <c r="I656" t="s">
        <v>14</v>
      </c>
      <c r="J656" t="s">
        <v>141</v>
      </c>
      <c r="K656" t="s">
        <v>14</v>
      </c>
      <c r="L656" t="s">
        <v>20</v>
      </c>
      <c r="M656" t="s">
        <v>1397</v>
      </c>
      <c r="N656" t="s">
        <v>14</v>
      </c>
    </row>
    <row r="657" x14ac:dyDescent="0.25">
      <c r="A657" t="n">
        <v>25</v>
      </c>
      <c r="B657" t="s">
        <v>14</v>
      </c>
      <c r="C657" t="s">
        <v>22</v>
      </c>
      <c r="D657" s="2" t="s">
        <f>=HYPERLINK("https://main.knesset.gov.il/APPS/legislation/main/bills/2238614", "הצעת חוק בתי קברות צבאיים (תיקון - קבורה לחיילים שהתאבדו לאחר שירותם עקב הלם קרב), התשפ""ו-2026")</f>
        <v>1205</v>
      </c>
      <c r="E657" t="s">
        <v>1205</v>
      </c>
      <c r="F657" t="s">
        <v>1429</v>
      </c>
      <c r="G657" t="s">
        <v>14</v>
      </c>
      <c r="H657">
             </c>
      <c r="I657" t="s">
        <v>14</v>
      </c>
      <c r="J657" t="s">
        <v>141</v>
      </c>
      <c r="K657" t="s">
        <v>14</v>
      </c>
      <c r="L657" t="s">
        <v>20</v>
      </c>
      <c r="M657" t="s">
        <v>1397</v>
      </c>
      <c r="N657" t="s">
        <v>14</v>
      </c>
    </row>
    <row r="658" x14ac:dyDescent="0.25">
      <c r="A658" t="n">
        <v>25</v>
      </c>
      <c r="B658" t="s">
        <v>14</v>
      </c>
      <c r="C658" t="s">
        <v>22</v>
      </c>
      <c r="D658" s="2" t="s">
        <f>=HYPERLINK("https://main.knesset.gov.il/APPS/legislation/main/bills/2237289", "הצעת חוק מוסר תשלומים לספקים (תיקון - מועדי תשלום בעד ביצוע עבודות הנדסה בנאיות),  התשפ""ו-2026 ")</f>
        <v>1430</v>
      </c>
      <c r="E658" t="s">
        <v>1430</v>
      </c>
      <c r="F658" t="s">
        <v>1431</v>
      </c>
      <c r="G658" t="s">
        <v>14</v>
      </c>
      <c r="H658">
             </c>
      <c r="I658" t="s">
        <v>14</v>
      </c>
      <c r="J658" t="s">
        <v>141</v>
      </c>
      <c r="K658" t="s">
        <v>14</v>
      </c>
      <c r="L658" t="s">
        <v>20</v>
      </c>
      <c r="M658" t="s">
        <v>1397</v>
      </c>
      <c r="N658" t="s">
        <v>14</v>
      </c>
    </row>
    <row r="659" x14ac:dyDescent="0.25">
      <c r="A659" t="n">
        <v>25</v>
      </c>
      <c r="B659" t="s">
        <v>14</v>
      </c>
      <c r="C659" t="s">
        <v>22</v>
      </c>
      <c r="D659" s="2" t="s">
        <f>=HYPERLINK("https://main.knesset.gov.il/APPS/legislation/main/bills/2238833", "הצעת חוק הפרשנות (תיקון - הגדרת הפליה על רקע זהות מגדרית, נטייה מינית או אמונה דתית), התשפ""ו-2026")</f>
        <v>1432</v>
      </c>
      <c r="E659" t="s">
        <v>1432</v>
      </c>
      <c r="F659" t="s">
        <v>1433</v>
      </c>
      <c r="G659" t="s">
        <v>14</v>
      </c>
      <c r="H659">
             </c>
      <c r="I659" t="s">
        <v>14</v>
      </c>
      <c r="J659" t="s">
        <v>141</v>
      </c>
      <c r="K659" t="s">
        <v>14</v>
      </c>
      <c r="L659" t="s">
        <v>20</v>
      </c>
      <c r="M659" t="s">
        <v>1397</v>
      </c>
      <c r="N659" t="s">
        <v>14</v>
      </c>
    </row>
    <row r="660" x14ac:dyDescent="0.25">
      <c r="A660" t="n">
        <v>25</v>
      </c>
      <c r="B660" t="s">
        <v>14</v>
      </c>
      <c r="C660" t="s">
        <v>22</v>
      </c>
      <c r="D660" s="2" t="s">
        <f>=HYPERLINK("https://main.knesset.gov.il/APPS/legislation/main/bills/2238114", "הצעת חוק יום לציון המאבק באלימות נגד נשים, התשפ""ו-2026")</f>
        <v>1434</v>
      </c>
      <c r="E660" t="s">
        <v>1434</v>
      </c>
      <c r="F660" t="s">
        <v>1435</v>
      </c>
      <c r="G660" t="s">
        <v>14</v>
      </c>
      <c r="H660">
             </c>
      <c r="I660" t="s">
        <v>14</v>
      </c>
      <c r="J660" t="s">
        <v>141</v>
      </c>
      <c r="K660" t="s">
        <v>14</v>
      </c>
      <c r="L660" t="s">
        <v>20</v>
      </c>
      <c r="M660" t="s">
        <v>1397</v>
      </c>
      <c r="N660" t="s">
        <v>14</v>
      </c>
    </row>
    <row r="661" x14ac:dyDescent="0.25">
      <c r="A661" t="n">
        <v>25</v>
      </c>
      <c r="B661" t="s">
        <v>14</v>
      </c>
      <c r="C661" t="s">
        <v>22</v>
      </c>
      <c r="D661" s="2" t="s">
        <f>=HYPERLINK("https://main.knesset.gov.il/APPS/legislation/main/bills/2238564", "הצעת חוק שחרור על-תנאי ממאסר (תיקון - שינוי ברירת המחדל בהחלטה על שחרור על-תנאי ממאסר), התשפ""ו-2026")</f>
        <v>1436</v>
      </c>
      <c r="E661" t="s">
        <v>1436</v>
      </c>
      <c r="F661" t="s">
        <v>1437</v>
      </c>
      <c r="G661" t="s">
        <v>14</v>
      </c>
      <c r="H661">
             </c>
      <c r="I661" t="s">
        <v>14</v>
      </c>
      <c r="J661" t="s">
        <v>343</v>
      </c>
      <c r="K661" t="s">
        <v>14</v>
      </c>
      <c r="L661" t="s">
        <v>20</v>
      </c>
      <c r="M661" t="s">
        <v>1397</v>
      </c>
      <c r="N661" t="s">
        <v>14</v>
      </c>
    </row>
    <row r="662" x14ac:dyDescent="0.25">
      <c r="A662" t="n">
        <v>25</v>
      </c>
      <c r="B662" t="s">
        <v>14</v>
      </c>
      <c r="C662" t="s">
        <v>22</v>
      </c>
      <c r="D662" s="2" t="s">
        <f>=HYPERLINK("https://main.knesset.gov.il/APPS/legislation/main/bills/2238838", "הצעת חוק למניעת אלימות במשפחה (תיקון - הגדרת אלימות במשפחה), התשפ""ו-2026")</f>
        <v>1438</v>
      </c>
      <c r="E662" t="s">
        <v>1438</v>
      </c>
      <c r="F662" t="s">
        <v>1439</v>
      </c>
      <c r="G662" t="s">
        <v>14</v>
      </c>
      <c r="H662">
             </c>
      <c r="I662" t="s">
        <v>14</v>
      </c>
      <c r="J662" t="s">
        <v>141</v>
      </c>
      <c r="K662" t="s">
        <v>14</v>
      </c>
      <c r="L662" t="s">
        <v>20</v>
      </c>
      <c r="M662" t="s">
        <v>1397</v>
      </c>
      <c r="N662" t="s">
        <v>14</v>
      </c>
    </row>
    <row r="663" x14ac:dyDescent="0.25">
      <c r="A663" t="n">
        <v>25</v>
      </c>
      <c r="B663" t="s">
        <v>14</v>
      </c>
      <c r="C663" t="s">
        <v>22</v>
      </c>
      <c r="D663" s="2" t="s">
        <f>=HYPERLINK("https://main.knesset.gov.il/APPS/legislation/main/bills/2238563", "הצעת חוק הכרה בשפת הסימנים הישראלית, התשפ""ו-2026")</f>
        <v>1440</v>
      </c>
      <c r="E663" t="s">
        <v>1440</v>
      </c>
      <c r="F663" t="s">
        <v>1441</v>
      </c>
      <c r="G663" t="s">
        <v>14</v>
      </c>
      <c r="H663">
             </c>
      <c r="I663" t="s">
        <v>14</v>
      </c>
      <c r="J663" t="s">
        <v>141</v>
      </c>
      <c r="K663" t="s">
        <v>14</v>
      </c>
      <c r="L663" t="s">
        <v>20</v>
      </c>
      <c r="M663" t="s">
        <v>1397</v>
      </c>
      <c r="N663" t="s">
        <v>14</v>
      </c>
    </row>
    <row r="664" x14ac:dyDescent="0.25">
      <c r="A664" t="n">
        <v>25</v>
      </c>
      <c r="B664" t="s">
        <v>14</v>
      </c>
      <c r="C664" t="s">
        <v>22</v>
      </c>
      <c r="D664" s="2" t="s">
        <f>=HYPERLINK("https://main.knesset.gov.il/APPS/legislation/main/bills/2206637", "הצעת חוק לקידום הבנייה במתחמים מועדפים (הוראת שעה) (תיקון מס' 10) (הוספת נציג האוכלוסייה החרדית לוועדה למתחמים מועדפים), התשפ""ו–2026")</f>
        <v>1442</v>
      </c>
      <c r="E664" t="s">
        <v>1442</v>
      </c>
      <c r="F664" t="s">
        <v>1443</v>
      </c>
      <c r="G664" t="s">
        <v>1444</v>
      </c>
      <c r="H664">
             </c>
      <c r="I664" t="s">
        <v>14</v>
      </c>
      <c r="J664" t="s">
        <v>69</v>
      </c>
      <c r="K664" t="s">
        <v>46</v>
      </c>
      <c r="L664" t="s">
        <v>20</v>
      </c>
      <c r="M664" t="s">
        <v>1397</v>
      </c>
      <c r="N664" t="s">
        <v>14</v>
      </c>
    </row>
    <row r="665" x14ac:dyDescent="0.25">
      <c r="A665" t="n">
        <v>25</v>
      </c>
      <c r="B665" t="s">
        <v>14</v>
      </c>
      <c r="C665" t="s">
        <v>22</v>
      </c>
      <c r="D665" s="2" t="s">
        <f>=HYPERLINK("https://main.knesset.gov.il/APPS/legislation/main/bills/2236458", "הצעת חוק קרן קיימת לישראל (תיקון - מעבר לחברה ממשלתית), התשפ""ו-2025")</f>
        <v>1445</v>
      </c>
      <c r="E665" t="s">
        <v>1445</v>
      </c>
      <c r="F665" t="s">
        <v>1446</v>
      </c>
      <c r="G665" t="s">
        <v>14</v>
      </c>
      <c r="H665">
             </c>
      <c r="I665" t="s">
        <v>14</v>
      </c>
      <c r="J665" t="s">
        <v>55</v>
      </c>
      <c r="K665" t="s">
        <v>14</v>
      </c>
      <c r="L665" t="s">
        <v>20</v>
      </c>
      <c r="M665" t="s">
        <v>1447</v>
      </c>
      <c r="N665" t="s">
        <v>14</v>
      </c>
    </row>
    <row r="666" x14ac:dyDescent="0.25">
      <c r="A666" t="n">
        <v>25</v>
      </c>
      <c r="B666" t="s">
        <v>14</v>
      </c>
      <c r="C666" t="s">
        <v>22</v>
      </c>
      <c r="D666" s="2" t="s">
        <f>=HYPERLINK("https://main.knesset.gov.il/APPS/legislation/main/bills/2236084", "הצעת חוק יסודות התקציב (תיקון - מניעת תמיכה במוסדות המסיתים להשתמטות), התשפ""ו-2025")</f>
        <v>1448</v>
      </c>
      <c r="E666" t="s">
        <v>1448</v>
      </c>
      <c r="F666" t="s">
        <v>1449</v>
      </c>
      <c r="G666" t="s">
        <v>14</v>
      </c>
      <c r="H666">
             </c>
      <c r="I666" t="s">
        <v>14</v>
      </c>
      <c r="J666" t="s">
        <v>55</v>
      </c>
      <c r="K666" t="s">
        <v>14</v>
      </c>
      <c r="L666" t="s">
        <v>20</v>
      </c>
      <c r="M666" t="s">
        <v>1447</v>
      </c>
      <c r="N666" t="s">
        <v>14</v>
      </c>
    </row>
    <row r="667" x14ac:dyDescent="0.25">
      <c r="A667" t="n">
        <v>25</v>
      </c>
      <c r="B667" t="s">
        <v>14</v>
      </c>
      <c r="C667" t="s">
        <v>22</v>
      </c>
      <c r="D667" s="2" t="s">
        <f>=HYPERLINK("https://main.knesset.gov.il/APPS/legislation/main/bills/2235820", "הצעת חוק כביש אגרה (כביש ארצי לישראל) (תיקון - פטור מאגרה לתחבורה ציבורית), התשפ""ו-2025")</f>
        <v>1450</v>
      </c>
      <c r="E667" t="s">
        <v>1450</v>
      </c>
      <c r="F667" t="s">
        <v>1451</v>
      </c>
      <c r="G667" t="s">
        <v>14</v>
      </c>
      <c r="H667">
             </c>
      <c r="I667" t="s">
        <v>14</v>
      </c>
      <c r="J667" t="s">
        <v>343</v>
      </c>
      <c r="K667" t="s">
        <v>14</v>
      </c>
      <c r="L667" t="s">
        <v>20</v>
      </c>
      <c r="M667" t="s">
        <v>1447</v>
      </c>
      <c r="N667" t="s">
        <v>14</v>
      </c>
    </row>
    <row r="668" x14ac:dyDescent="0.25">
      <c r="A668" t="n">
        <v>25</v>
      </c>
      <c r="B668" t="s">
        <v>14</v>
      </c>
      <c r="C668" t="s">
        <v>22</v>
      </c>
      <c r="D668" s="2" t="s">
        <f>=HYPERLINK("https://main.knesset.gov.il/APPS/legislation/main/bills/2234031", "הצעת חוק התגמולים לנפגעי פעולות שנאה, התשפ""ה-2025")</f>
        <v>1452</v>
      </c>
      <c r="E668" t="s">
        <v>1452</v>
      </c>
      <c r="F668" t="s">
        <v>1453</v>
      </c>
      <c r="G668" t="s">
        <v>14</v>
      </c>
      <c r="H668">
             </c>
      <c r="I668" t="s">
        <v>14</v>
      </c>
      <c r="J668" t="s">
        <v>55</v>
      </c>
      <c r="K668" t="s">
        <v>14</v>
      </c>
      <c r="L668" t="s">
        <v>20</v>
      </c>
      <c r="M668" t="s">
        <v>1447</v>
      </c>
      <c r="N668" t="s">
        <v>14</v>
      </c>
    </row>
    <row r="669" x14ac:dyDescent="0.25">
      <c r="A669" t="n">
        <v>25</v>
      </c>
      <c r="B669" t="s">
        <v>14</v>
      </c>
      <c r="C669" t="s">
        <v>22</v>
      </c>
      <c r="D669" s="2" t="s">
        <f>=HYPERLINK("https://main.knesset.gov.il/APPS/legislation/main/bills/2215695", "הצעת חוק שירות המדינה (מינויים) (תיקון - הצהרת אמונים), התשפ""ד-2024")</f>
        <v>1454</v>
      </c>
      <c r="E669" t="s">
        <v>1454</v>
      </c>
      <c r="F669" t="s">
        <v>1455</v>
      </c>
      <c r="G669" t="s">
        <v>14</v>
      </c>
      <c r="H669">
             </c>
      <c r="I669" t="s">
        <v>14</v>
      </c>
      <c r="J669" t="s">
        <v>55</v>
      </c>
      <c r="K669" t="s">
        <v>14</v>
      </c>
      <c r="L669" t="s">
        <v>20</v>
      </c>
      <c r="M669" t="s">
        <v>1447</v>
      </c>
      <c r="N669" t="s">
        <v>14</v>
      </c>
    </row>
    <row r="670" x14ac:dyDescent="0.25">
      <c r="A670" t="n">
        <v>25</v>
      </c>
      <c r="B670" t="s">
        <v>14</v>
      </c>
      <c r="C670" t="s">
        <v>22</v>
      </c>
      <c r="D670" s="2" t="s">
        <f>=HYPERLINK("https://main.knesset.gov.il/APPS/legislation/main/bills/2206863", "הצעת חוק שירות הציבור (הגבלות לאחר פרישה) (תיקון מס' 6) (תקופת צינון לעובד ציבור ברשויות פיקוח על גופים פיננסיים), התשפ""ו–2026")</f>
        <v>1456</v>
      </c>
      <c r="E670" t="s">
        <v>1456</v>
      </c>
      <c r="F670" t="s">
        <v>1457</v>
      </c>
      <c r="G670" t="s">
        <v>1458</v>
      </c>
      <c r="H670">
             </c>
      <c r="I670" t="s">
        <v>14</v>
      </c>
      <c r="J670" t="s">
        <v>69</v>
      </c>
      <c r="K670" t="s">
        <v>127</v>
      </c>
      <c r="L670" t="s">
        <v>20</v>
      </c>
      <c r="M670" t="s">
        <v>1447</v>
      </c>
      <c r="N670" t="s">
        <v>14</v>
      </c>
    </row>
    <row r="671" x14ac:dyDescent="0.25">
      <c r="A671" t="n">
        <v>25</v>
      </c>
      <c r="B671" t="s">
        <v>14</v>
      </c>
      <c r="C671" t="s">
        <v>22</v>
      </c>
      <c r="D671" s="2" t="s">
        <f>=HYPERLINK("https://main.knesset.gov.il/APPS/legislation/main/bills/2200985", "הצעת חוק התגמולים לנפגעי פעולות איבה (תיקון - פשעי שנאה), התשפ""ג-2023")</f>
        <v>1459</v>
      </c>
      <c r="E671" t="s">
        <v>1459</v>
      </c>
      <c r="F671" t="s">
        <v>1460</v>
      </c>
      <c r="G671" t="s">
        <v>14</v>
      </c>
      <c r="H671">
             </c>
      <c r="I671" t="s">
        <v>14</v>
      </c>
      <c r="J671" t="s">
        <v>55</v>
      </c>
      <c r="K671" t="s">
        <v>14</v>
      </c>
      <c r="L671" t="s">
        <v>20</v>
      </c>
      <c r="M671" t="s">
        <v>1447</v>
      </c>
      <c r="N671" t="s">
        <v>14</v>
      </c>
    </row>
    <row r="672" x14ac:dyDescent="0.25">
      <c r="A672" t="n">
        <v>25</v>
      </c>
      <c r="B672" t="s">
        <v>14</v>
      </c>
      <c r="C672" t="s">
        <v>22</v>
      </c>
      <c r="D672" s="2" t="s">
        <f>=HYPERLINK("https://main.knesset.gov.il/APPS/legislation/main/bills/2200325", "הצעת חוק התגמולים לנפגעי פעולות שנאה, התשפ""ג-2023")</f>
        <v>1461</v>
      </c>
      <c r="E672" t="s">
        <v>1461</v>
      </c>
      <c r="F672" t="s">
        <v>1462</v>
      </c>
      <c r="G672" t="s">
        <v>14</v>
      </c>
      <c r="H672">
             </c>
      <c r="I672" t="s">
        <v>14</v>
      </c>
      <c r="J672" t="s">
        <v>55</v>
      </c>
      <c r="K672" t="s">
        <v>14</v>
      </c>
      <c r="L672" t="s">
        <v>20</v>
      </c>
      <c r="M672" t="s">
        <v>1447</v>
      </c>
      <c r="N672" t="s">
        <v>14</v>
      </c>
    </row>
    <row r="673" x14ac:dyDescent="0.25">
      <c r="A673" t="n">
        <v>25</v>
      </c>
      <c r="B673" t="s">
        <v>14</v>
      </c>
      <c r="C673" t="s">
        <v>22</v>
      </c>
      <c r="D673" s="2" t="s">
        <f>=HYPERLINK("https://main.knesset.gov.il/APPS/legislation/main/bills/2198509", "הצעת חוק לתיקון פקודת התעבורה (איסור נהיגת שטח בדרך שאינה ייעודית לנסיעת שטח), התשפ""ג-2023")</f>
        <v>1463</v>
      </c>
      <c r="E673" t="s">
        <v>1463</v>
      </c>
      <c r="F673" t="s">
        <v>1464</v>
      </c>
      <c r="G673" t="s">
        <v>14</v>
      </c>
      <c r="H673">
             </c>
      <c r="I673" t="s">
        <v>14</v>
      </c>
      <c r="J673" t="s">
        <v>343</v>
      </c>
      <c r="K673" t="s">
        <v>14</v>
      </c>
      <c r="L673" t="s">
        <v>20</v>
      </c>
      <c r="M673" t="s">
        <v>1447</v>
      </c>
      <c r="N673" t="s">
        <v>14</v>
      </c>
    </row>
    <row r="674" x14ac:dyDescent="0.25">
      <c r="A674" t="n">
        <v>25</v>
      </c>
      <c r="B674" t="s">
        <v>14</v>
      </c>
      <c r="C674" t="s">
        <v>20</v>
      </c>
      <c r="D674" s="2" t="s">
        <f>=HYPERLINK("https://main.knesset.gov.il/APPS/legislation/main/bills/2238003", "הצעת חוק משכן הכנסת, רחבתו ומשמר הכנסת (תיקון מס' 20) (גבולות רחבת הכנסת), התשפ""ו–2025")</f>
        <v>1465</v>
      </c>
      <c r="E674" t="s">
        <v>1465</v>
      </c>
      <c r="F674" t="s">
        <v>14</v>
      </c>
      <c r="G674" t="s">
        <v>1466</v>
      </c>
      <c r="H674">
             </c>
      <c r="I674" t="s">
        <v>14</v>
      </c>
      <c r="J674" t="s">
        <v>18</v>
      </c>
      <c r="K674" t="s">
        <v>121</v>
      </c>
      <c r="L674" t="s">
        <v>20</v>
      </c>
      <c r="M674" t="s">
        <v>1447</v>
      </c>
      <c r="N674" t="s">
        <v>14</v>
      </c>
    </row>
    <row r="675" x14ac:dyDescent="0.25">
      <c r="A675" t="n">
        <v>25</v>
      </c>
      <c r="B675" t="s">
        <v>14</v>
      </c>
      <c r="C675" t="s">
        <v>22</v>
      </c>
      <c r="D675" s="2" t="s">
        <f>=HYPERLINK("https://main.knesset.gov.il/APPS/legislation/main/bills/2228505", "הצעת חוק שירות הקבע בצבא הגנה לישראל (גמלאות) (תיקון - קצבאות שאירים - תיקונים שונים), התשפ""ה-2025")</f>
        <v>1467</v>
      </c>
      <c r="E675" t="s">
        <v>1467</v>
      </c>
      <c r="F675" t="s">
        <v>1468</v>
      </c>
      <c r="G675" t="s">
        <v>14</v>
      </c>
      <c r="H675">
             </c>
      <c r="I675" t="s">
        <v>14</v>
      </c>
      <c r="J675" t="s">
        <v>99</v>
      </c>
      <c r="K675" t="s">
        <v>127</v>
      </c>
      <c r="L675" t="s">
        <v>20</v>
      </c>
      <c r="M675" t="s">
        <v>1469</v>
      </c>
      <c r="N675" t="s">
        <v>14</v>
      </c>
    </row>
    <row r="676" x14ac:dyDescent="0.25">
      <c r="A676" t="n">
        <v>25</v>
      </c>
      <c r="B676" t="s">
        <v>14</v>
      </c>
      <c r="C676" t="s">
        <v>22</v>
      </c>
      <c r="D676" s="2" t="s">
        <f>=HYPERLINK("https://main.knesset.gov.il/APPS/legislation/main/bills/2198072", "הצעת חוק שירות הקבע בצבא הגנה לישראל (גמלאות) (תיקון - ביטול ניכוי מקצבה), התשפ""ג-2023")</f>
        <v>1470</v>
      </c>
      <c r="E676" t="s">
        <v>1470</v>
      </c>
      <c r="F676" t="s">
        <v>1471</v>
      </c>
      <c r="G676" t="s">
        <v>14</v>
      </c>
      <c r="H676">
             </c>
      <c r="I676" t="s">
        <v>14</v>
      </c>
      <c r="J676" t="s">
        <v>99</v>
      </c>
      <c r="K676" t="s">
        <v>127</v>
      </c>
      <c r="L676" t="s">
        <v>20</v>
      </c>
      <c r="M676" t="s">
        <v>1469</v>
      </c>
      <c r="N676" t="s">
        <v>14</v>
      </c>
    </row>
    <row r="677" x14ac:dyDescent="0.25">
      <c r="A677" t="n">
        <v>25</v>
      </c>
      <c r="B677" t="s">
        <v>14</v>
      </c>
      <c r="C677" t="s">
        <v>22</v>
      </c>
      <c r="D677" s="2" t="s">
        <f>=HYPERLINK("https://main.knesset.gov.il/APPS/legislation/main/bills/2196528", "חוק עבודת נשים (תיקון מס' 67), התשפ""ו–2026")</f>
        <v>1472</v>
      </c>
      <c r="E677" t="s">
        <v>1472</v>
      </c>
      <c r="F677" t="s">
        <v>1473</v>
      </c>
      <c r="G677" t="s">
        <v>1474</v>
      </c>
      <c r="H677" t="n">
        <v>3482</v>
      </c>
      <c r="I677" t="s">
        <v>14</v>
      </c>
      <c r="J677" t="s">
        <v>91</v>
      </c>
      <c r="K677" t="s">
        <v>127</v>
      </c>
      <c r="L677" t="s">
        <v>20</v>
      </c>
      <c r="M677" t="s">
        <v>1469</v>
      </c>
      <c r="N677" t="s">
        <v>14</v>
      </c>
    </row>
    <row r="678" x14ac:dyDescent="0.25">
      <c r="A678" t="n">
        <v>25</v>
      </c>
      <c r="B678" t="s">
        <v>14</v>
      </c>
      <c r="C678" t="s">
        <v>22</v>
      </c>
      <c r="D678" s="2" t="s">
        <f>=HYPERLINK("https://main.knesset.gov.il/APPS/legislation/main/bills/2225107", "הצעת חוק סדר הדין הפלילי (תיקון - הגבלת משך זמן החקירה המשטרתית וטיפול התביעה בתיק החקירה עד להגשת כתב אישום), התשפ""ה-2024")</f>
        <v>1475</v>
      </c>
      <c r="E678" t="s">
        <v>1475</v>
      </c>
      <c r="F678" t="s">
        <v>1476</v>
      </c>
      <c r="G678" t="s">
        <v>14</v>
      </c>
      <c r="H678">
             </c>
      <c r="I678" t="s">
        <v>14</v>
      </c>
      <c r="J678" t="s">
        <v>31</v>
      </c>
      <c r="K678" t="s">
        <v>27</v>
      </c>
      <c r="L678" t="s">
        <v>20</v>
      </c>
      <c r="M678" t="s">
        <v>1477</v>
      </c>
      <c r="N678" t="s">
        <v>14</v>
      </c>
    </row>
    <row r="679" x14ac:dyDescent="0.25">
      <c r="A679" t="n">
        <v>25</v>
      </c>
      <c r="B679" t="s">
        <v>14</v>
      </c>
      <c r="C679" t="s">
        <v>15</v>
      </c>
      <c r="D679" s="2" t="s">
        <f>=HYPERLINK("https://main.knesset.gov.il/APPS/legislation/main/bills/2214242", "חוק החוזים (חלק כללי) (תיקון מס' 3), התשפ""ו-2026")</f>
        <v>1478</v>
      </c>
      <c r="E679" t="s">
        <v>1478</v>
      </c>
      <c r="F679" t="s">
        <v>14</v>
      </c>
      <c r="G679" t="s">
        <v>1479</v>
      </c>
      <c r="H679" t="n">
        <v>3481</v>
      </c>
      <c r="I679" t="s">
        <v>14</v>
      </c>
      <c r="J679" t="s">
        <v>91</v>
      </c>
      <c r="K679" t="s">
        <v>27</v>
      </c>
      <c r="L679" t="s">
        <v>20</v>
      </c>
      <c r="M679" t="s">
        <v>1477</v>
      </c>
      <c r="N679" t="s">
        <v>14</v>
      </c>
    </row>
    <row r="680" x14ac:dyDescent="0.25">
      <c r="A680" t="n">
        <v>25</v>
      </c>
      <c r="B680" t="s">
        <v>14</v>
      </c>
      <c r="C680" t="s">
        <v>22</v>
      </c>
      <c r="D680" s="2" t="s">
        <f>=HYPERLINK("https://main.knesset.gov.il/APPS/legislation/main/bills/2238565", "הצעת חוק שירות ביטחון (תיקון - השוואת תהליכי המיון, השיבוץ, התקינה וההכשרה, המסלולים המקצועיים ואופקי הקידום לנשים וגברים), התשפ""ו-2026")</f>
        <v>1480</v>
      </c>
      <c r="E680" t="s">
        <v>1480</v>
      </c>
      <c r="F680" t="s">
        <v>1481</v>
      </c>
      <c r="G680" t="s">
        <v>14</v>
      </c>
      <c r="H680">
             </c>
      <c r="I680" t="s">
        <v>14</v>
      </c>
      <c r="J680" t="s">
        <v>141</v>
      </c>
      <c r="K680" t="s">
        <v>14</v>
      </c>
      <c r="L680" t="s">
        <v>20</v>
      </c>
      <c r="M680" t="s">
        <v>1477</v>
      </c>
      <c r="N680" t="s">
        <v>14</v>
      </c>
    </row>
    <row r="681" x14ac:dyDescent="0.25">
      <c r="A681" t="n">
        <v>25</v>
      </c>
      <c r="B681" t="s">
        <v>14</v>
      </c>
      <c r="C681" t="s">
        <v>22</v>
      </c>
      <c r="D681" s="2" t="s">
        <f>=HYPERLINK("https://main.knesset.gov.il/APPS/legislation/main/bills/2238162", "הצעת חוק הכנסת נשק ברישיון למקומות ציבוריים, התשפ""ו-2026")</f>
        <v>1482</v>
      </c>
      <c r="E681" t="s">
        <v>1482</v>
      </c>
      <c r="F681" t="s">
        <v>1483</v>
      </c>
      <c r="G681" t="s">
        <v>14</v>
      </c>
      <c r="H681">
             </c>
      <c r="I681" t="s">
        <v>14</v>
      </c>
      <c r="J681" t="s">
        <v>141</v>
      </c>
      <c r="K681" t="s">
        <v>14</v>
      </c>
      <c r="L681" t="s">
        <v>20</v>
      </c>
      <c r="M681" t="s">
        <v>1477</v>
      </c>
      <c r="N681" t="s">
        <v>14</v>
      </c>
    </row>
    <row r="682" x14ac:dyDescent="0.25">
      <c r="A682" t="n">
        <v>25</v>
      </c>
      <c r="B682" t="s">
        <v>14</v>
      </c>
      <c r="C682" t="s">
        <v>22</v>
      </c>
      <c r="D682" s="2" t="s">
        <f>=HYPERLINK("https://main.knesset.gov.il/APPS/legislation/main/bills/2237397", "הצעת חוק הסרת תכנים מיניים שמפורסמים ללא הסכמה מרשת חברתית, התשפ״ו-2026")</f>
        <v>1484</v>
      </c>
      <c r="E682" t="s">
        <v>1484</v>
      </c>
      <c r="F682" t="s">
        <v>1485</v>
      </c>
      <c r="G682" t="s">
        <v>14</v>
      </c>
      <c r="H682">
             </c>
      <c r="I682" t="s">
        <v>14</v>
      </c>
      <c r="J682" t="s">
        <v>141</v>
      </c>
      <c r="K682" t="s">
        <v>14</v>
      </c>
      <c r="L682" t="s">
        <v>20</v>
      </c>
      <c r="M682" t="s">
        <v>1477</v>
      </c>
      <c r="N682" t="s">
        <v>14</v>
      </c>
    </row>
    <row r="683" x14ac:dyDescent="0.25">
      <c r="A683" t="n">
        <v>25</v>
      </c>
      <c r="B683" t="s">
        <v>14</v>
      </c>
      <c r="C683" t="s">
        <v>22</v>
      </c>
      <c r="D683" s="2" t="s">
        <f>=HYPERLINK("https://main.knesset.gov.il/APPS/legislation/main/bills/2236720", "הצעת חוק הסרת תכנים מיניים שמפורסמים ללא הסכמה מרשת חברתית, התשפ״ו-2026")</f>
        <v>1484</v>
      </c>
      <c r="E683" t="s">
        <v>1484</v>
      </c>
      <c r="F683" t="s">
        <v>1486</v>
      </c>
      <c r="G683" t="s">
        <v>14</v>
      </c>
      <c r="H683">
             </c>
      <c r="I683" t="s">
        <v>14</v>
      </c>
      <c r="J683" t="s">
        <v>343</v>
      </c>
      <c r="K683" t="s">
        <v>14</v>
      </c>
      <c r="L683" t="s">
        <v>20</v>
      </c>
      <c r="M683" t="s">
        <v>1477</v>
      </c>
      <c r="N683" t="s">
        <v>14</v>
      </c>
    </row>
    <row r="684" x14ac:dyDescent="0.25">
      <c r="A684" t="n">
        <v>25</v>
      </c>
      <c r="B684" t="s">
        <v>14</v>
      </c>
      <c r="C684" t="s">
        <v>22</v>
      </c>
      <c r="D684" s="2" t="s">
        <f>=HYPERLINK("https://main.knesset.gov.il/APPS/legislation/main/bills/2237270", "הצעת חוק האזרחים הוותיקים (תיקון - גיל המקנה אי-המתנה בתור), התשפ״ו-2026")</f>
        <v>1487</v>
      </c>
      <c r="E684" t="s">
        <v>1487</v>
      </c>
      <c r="F684" t="s">
        <v>1488</v>
      </c>
      <c r="G684" t="s">
        <v>14</v>
      </c>
      <c r="H684">
             </c>
      <c r="I684" t="s">
        <v>14</v>
      </c>
      <c r="J684" t="s">
        <v>141</v>
      </c>
      <c r="K684" t="s">
        <v>14</v>
      </c>
      <c r="L684" t="s">
        <v>20</v>
      </c>
      <c r="M684" t="s">
        <v>1477</v>
      </c>
      <c r="N684" t="s">
        <v>14</v>
      </c>
    </row>
    <row r="685" x14ac:dyDescent="0.25">
      <c r="A685" t="n">
        <v>25</v>
      </c>
      <c r="B685" t="s">
        <v>14</v>
      </c>
      <c r="C685" t="s">
        <v>22</v>
      </c>
      <c r="D685" s="2" t="s">
        <f>=HYPERLINK("https://main.knesset.gov.il/APPS/legislation/main/bills/2238649", "הצעת חוק הקמת חדר מיון בקריית שמונה, התשפ""ו-2026")</f>
        <v>1489</v>
      </c>
      <c r="E685" t="s">
        <v>1489</v>
      </c>
      <c r="F685" t="s">
        <v>1490</v>
      </c>
      <c r="G685" t="s">
        <v>14</v>
      </c>
      <c r="H685">
             </c>
      <c r="I685" t="s">
        <v>14</v>
      </c>
      <c r="J685" t="s">
        <v>141</v>
      </c>
      <c r="K685" t="s">
        <v>14</v>
      </c>
      <c r="L685" t="s">
        <v>20</v>
      </c>
      <c r="M685" t="s">
        <v>1477</v>
      </c>
      <c r="N685" t="s">
        <v>14</v>
      </c>
    </row>
    <row r="686" x14ac:dyDescent="0.25">
      <c r="A686" t="n">
        <v>25</v>
      </c>
      <c r="B686" t="s">
        <v>14</v>
      </c>
      <c r="C686" t="s">
        <v>22</v>
      </c>
      <c r="D686" s="2" t="s">
        <f>=HYPERLINK("https://main.knesset.gov.il/APPS/legislation/main/bills/2236614", "הצעת חוק לתיקון פקודת בתי הסוהר (העסקת סוהרים בתשלום), התשפ""ו-2026")</f>
        <v>1491</v>
      </c>
      <c r="E686" t="s">
        <v>1491</v>
      </c>
      <c r="F686" t="s">
        <v>1492</v>
      </c>
      <c r="G686" t="s">
        <v>14</v>
      </c>
      <c r="H686">
             </c>
      <c r="I686" t="s">
        <v>14</v>
      </c>
      <c r="J686" t="s">
        <v>141</v>
      </c>
      <c r="K686" t="s">
        <v>14</v>
      </c>
      <c r="L686" t="s">
        <v>20</v>
      </c>
      <c r="M686" t="s">
        <v>1477</v>
      </c>
      <c r="N686" t="s">
        <v>14</v>
      </c>
    </row>
    <row r="687" x14ac:dyDescent="0.25">
      <c r="A687" t="n">
        <v>25</v>
      </c>
      <c r="B687" t="s">
        <v>14</v>
      </c>
      <c r="C687" t="s">
        <v>22</v>
      </c>
      <c r="D687" s="2" t="s">
        <f>=HYPERLINK("https://main.knesset.gov.il/APPS/legislation/main/bills/2237942", "הצעת חוק לתיקון פקודת התעבורה (אכיפת עבירות תעבורה על ידי רשויות מקומיות), התשפ""ו-2026")</f>
        <v>1493</v>
      </c>
      <c r="E687" t="s">
        <v>1493</v>
      </c>
      <c r="F687" t="s">
        <v>1494</v>
      </c>
      <c r="G687" t="s">
        <v>14</v>
      </c>
      <c r="H687">
             </c>
      <c r="I687" t="s">
        <v>14</v>
      </c>
      <c r="J687" t="s">
        <v>343</v>
      </c>
      <c r="K687" t="s">
        <v>14</v>
      </c>
      <c r="L687" t="s">
        <v>20</v>
      </c>
      <c r="M687" t="s">
        <v>1477</v>
      </c>
      <c r="N687" t="s">
        <v>14</v>
      </c>
    </row>
    <row r="688" x14ac:dyDescent="0.25">
      <c r="A688" t="n">
        <v>25</v>
      </c>
      <c r="B688" t="s">
        <v>14</v>
      </c>
      <c r="C688" t="s">
        <v>22</v>
      </c>
      <c r="D688" s="2" t="s">
        <f>=HYPERLINK("https://main.knesset.gov.il/APPS/legislation/main/bills/2237394", "הצעת חוק הבטחת קשר בין ילדים והוריהם, התשפ""ו-2026")</f>
        <v>243</v>
      </c>
      <c r="E688" t="s">
        <v>243</v>
      </c>
      <c r="F688" t="s">
        <v>1495</v>
      </c>
      <c r="G688" t="s">
        <v>14</v>
      </c>
      <c r="H688">
             </c>
      <c r="I688" t="s">
        <v>14</v>
      </c>
      <c r="J688" t="s">
        <v>141</v>
      </c>
      <c r="K688" t="s">
        <v>14</v>
      </c>
      <c r="L688" t="s">
        <v>20</v>
      </c>
      <c r="M688" t="s">
        <v>1477</v>
      </c>
      <c r="N688" t="s">
        <v>14</v>
      </c>
    </row>
    <row r="689" x14ac:dyDescent="0.25">
      <c r="A689" t="n">
        <v>25</v>
      </c>
      <c r="B689" t="s">
        <v>14</v>
      </c>
      <c r="C689" t="s">
        <v>22</v>
      </c>
      <c r="D689" s="2" t="s">
        <f>=HYPERLINK("https://main.knesset.gov.il/APPS/legislation/main/bills/2238632", "הצעת חוק סדר הדין הפלילי (סמכויות אכיפה - מעצרים) (תיקון - פיצוי לעצור ששוחרר ממעצר), התשפ""ו-2026")</f>
        <v>1496</v>
      </c>
      <c r="E689" t="s">
        <v>1496</v>
      </c>
      <c r="F689" t="s">
        <v>1497</v>
      </c>
      <c r="G689" t="s">
        <v>14</v>
      </c>
      <c r="H689">
             </c>
      <c r="I689" t="s">
        <v>14</v>
      </c>
      <c r="J689" t="s">
        <v>141</v>
      </c>
      <c r="K689" t="s">
        <v>14</v>
      </c>
      <c r="L689" t="s">
        <v>20</v>
      </c>
      <c r="M689" t="s">
        <v>1477</v>
      </c>
      <c r="N689" t="s">
        <v>14</v>
      </c>
    </row>
    <row r="690" x14ac:dyDescent="0.25">
      <c r="A690" t="n">
        <v>25</v>
      </c>
      <c r="B690" t="s">
        <v>14</v>
      </c>
      <c r="C690" t="s">
        <v>22</v>
      </c>
      <c r="D690" s="2" t="s">
        <f>=HYPERLINK("https://main.knesset.gov.il/APPS/legislation/main/bills/2238629", "הצעת חוק סדר הדין הפלילי (סמכויות אכיפה - מעצרים) (תיקון - משך מעצר מרבי ועילות מעצר), התשפ""ו-2026")</f>
        <v>1498</v>
      </c>
      <c r="E690" t="s">
        <v>1498</v>
      </c>
      <c r="F690" t="s">
        <v>1499</v>
      </c>
      <c r="G690" t="s">
        <v>14</v>
      </c>
      <c r="H690">
             </c>
      <c r="I690" t="s">
        <v>14</v>
      </c>
      <c r="J690" t="s">
        <v>343</v>
      </c>
      <c r="K690" t="s">
        <v>14</v>
      </c>
      <c r="L690" t="s">
        <v>20</v>
      </c>
      <c r="M690" t="s">
        <v>1477</v>
      </c>
      <c r="N690" t="s">
        <v>14</v>
      </c>
    </row>
    <row r="691" x14ac:dyDescent="0.25">
      <c r="A691" t="n">
        <v>25</v>
      </c>
      <c r="B691" t="s">
        <v>14</v>
      </c>
      <c r="C691" t="s">
        <v>22</v>
      </c>
      <c r="D691" s="2" t="s">
        <f>=HYPERLINK("https://main.knesset.gov.il/APPS/legislation/main/bills/2238567", "הצעת חוק-יסוד: הכנסת (תיקון - ייצוג מינימלי לשני המינים ברשימת מועמדים לכנסת) ")</f>
        <v>1500</v>
      </c>
      <c r="E691" t="s">
        <v>1500</v>
      </c>
      <c r="F691" t="s">
        <v>1501</v>
      </c>
      <c r="G691" t="s">
        <v>14</v>
      </c>
      <c r="H691">
             </c>
      <c r="I691" t="s">
        <v>14</v>
      </c>
      <c r="J691" t="s">
        <v>141</v>
      </c>
      <c r="K691" t="s">
        <v>14</v>
      </c>
      <c r="L691" t="s">
        <v>20</v>
      </c>
      <c r="M691" t="s">
        <v>1477</v>
      </c>
      <c r="N691" t="s">
        <v>14</v>
      </c>
    </row>
    <row r="692" x14ac:dyDescent="0.25">
      <c r="A692" t="n">
        <v>25</v>
      </c>
      <c r="B692" t="s">
        <v>14</v>
      </c>
      <c r="C692" t="s">
        <v>22</v>
      </c>
      <c r="D692" s="2" t="s">
        <f>=HYPERLINK("https://main.knesset.gov.il/APPS/legislation/main/bills/2237905", "הצעת חוק הבנקאות (שירות ללקוח) (תיקון - מחיקת חוב בנקאי לעסקים זעירים, קטנים, בינוניים ואזרחים חדלי פירעון), התשפ""ו-2026")</f>
        <v>1502</v>
      </c>
      <c r="E692" t="s">
        <v>1502</v>
      </c>
      <c r="F692" t="s">
        <v>1503</v>
      </c>
      <c r="G692" t="s">
        <v>14</v>
      </c>
      <c r="H692">
             </c>
      <c r="I692" t="s">
        <v>14</v>
      </c>
      <c r="J692" t="s">
        <v>141</v>
      </c>
      <c r="K692" t="s">
        <v>14</v>
      </c>
      <c r="L692" t="s">
        <v>20</v>
      </c>
      <c r="M692" t="s">
        <v>1477</v>
      </c>
      <c r="N692" t="s">
        <v>14</v>
      </c>
    </row>
    <row r="693" x14ac:dyDescent="0.25">
      <c r="A693" t="n">
        <v>25</v>
      </c>
      <c r="B693" t="s">
        <v>14</v>
      </c>
      <c r="C693" t="s">
        <v>22</v>
      </c>
      <c r="D693" s="2" t="s">
        <f>=HYPERLINK("https://main.knesset.gov.il/APPS/legislation/main/bills/2237821", "הצעת חוק עיון במרשמי המקרקעין ביהודה והשומרון, התשפ""ו-2026")</f>
        <v>1504</v>
      </c>
      <c r="E693" t="s">
        <v>1504</v>
      </c>
      <c r="F693" t="s">
        <v>1505</v>
      </c>
      <c r="G693" t="s">
        <v>14</v>
      </c>
      <c r="H693">
             </c>
      <c r="I693" t="s">
        <v>14</v>
      </c>
      <c r="J693" t="s">
        <v>141</v>
      </c>
      <c r="K693" t="s">
        <v>14</v>
      </c>
      <c r="L693" t="s">
        <v>20</v>
      </c>
      <c r="M693" t="s">
        <v>1477</v>
      </c>
      <c r="N693" t="s">
        <v>14</v>
      </c>
    </row>
    <row r="694" x14ac:dyDescent="0.25">
      <c r="A694" t="n">
        <v>25</v>
      </c>
      <c r="B694" t="s">
        <v>14</v>
      </c>
      <c r="C694" t="s">
        <v>22</v>
      </c>
      <c r="D694" s="2" t="s">
        <f>=HYPERLINK("https://main.knesset.gov.il/APPS/legislation/main/bills/2237968", "הצעת חוק שירות מידע פיננסי (תיקון - פטור וגישה למידע לסוכני ביטוח), התשפ״ו-2026")</f>
        <v>1506</v>
      </c>
      <c r="E694" t="s">
        <v>1506</v>
      </c>
      <c r="F694" t="s">
        <v>1507</v>
      </c>
      <c r="G694" t="s">
        <v>14</v>
      </c>
      <c r="H694">
             </c>
      <c r="I694" t="s">
        <v>14</v>
      </c>
      <c r="J694" t="s">
        <v>141</v>
      </c>
      <c r="K694" t="s">
        <v>14</v>
      </c>
      <c r="L694" t="s">
        <v>20</v>
      </c>
      <c r="M694" t="s">
        <v>1477</v>
      </c>
      <c r="N694" t="s">
        <v>14</v>
      </c>
    </row>
    <row r="695" x14ac:dyDescent="0.25">
      <c r="A695" t="n">
        <v>25</v>
      </c>
      <c r="B695" t="s">
        <v>14</v>
      </c>
      <c r="C695" t="s">
        <v>22</v>
      </c>
      <c r="D695" s="2" t="s">
        <f>=HYPERLINK("https://main.knesset.gov.il/APPS/legislation/main/bills/2238375", "הצעת חוק שיפוט בתי דין רבניים (נישואין וגירושין) (תיקון - מתן פסק דין במקרי אלימות קשים), התשפ""ו-2026")</f>
        <v>1508</v>
      </c>
      <c r="E695" t="s">
        <v>1508</v>
      </c>
      <c r="F695" t="s">
        <v>1509</v>
      </c>
      <c r="G695" t="s">
        <v>14</v>
      </c>
      <c r="H695">
             </c>
      <c r="I695" t="s">
        <v>14</v>
      </c>
      <c r="J695" t="s">
        <v>141</v>
      </c>
      <c r="K695" t="s">
        <v>14</v>
      </c>
      <c r="L695" t="s">
        <v>20</v>
      </c>
      <c r="M695" t="s">
        <v>1477</v>
      </c>
      <c r="N695" t="s">
        <v>14</v>
      </c>
    </row>
    <row r="696" x14ac:dyDescent="0.25">
      <c r="A696" t="n">
        <v>25</v>
      </c>
      <c r="B696" t="s">
        <v>14</v>
      </c>
      <c r="C696" t="s">
        <v>22</v>
      </c>
      <c r="D696" s="2" t="s">
        <f>=HYPERLINK("https://main.knesset.gov.il/APPS/legislation/main/bills/2235832", "הצעת חוק לפיצוי קורבנות טרור (פיצויים לדוגמה) (תיקון - דרכי מימוש והחלה על פסקי דין חלוטים), התשפ""ו-2026")</f>
        <v>1510</v>
      </c>
      <c r="E696" t="s">
        <v>1510</v>
      </c>
      <c r="F696" t="s">
        <v>1511</v>
      </c>
      <c r="G696" t="s">
        <v>14</v>
      </c>
      <c r="H696">
             </c>
      <c r="I696" t="s">
        <v>14</v>
      </c>
      <c r="J696" t="s">
        <v>141</v>
      </c>
      <c r="K696" t="s">
        <v>14</v>
      </c>
      <c r="L696" t="s">
        <v>20</v>
      </c>
      <c r="M696" t="s">
        <v>1477</v>
      </c>
      <c r="N696" t="s">
        <v>14</v>
      </c>
    </row>
    <row r="697" x14ac:dyDescent="0.25">
      <c r="A697" t="n">
        <v>25</v>
      </c>
      <c r="B697" t="s">
        <v>14</v>
      </c>
      <c r="C697" t="s">
        <v>22</v>
      </c>
      <c r="D697" s="2" t="s">
        <f>=HYPERLINK("https://main.knesset.gov.il/APPS/legislation/main/bills/2238129", "הצעת חוק דיווח לכנסת על הטרדות מיניות בשירות הביטחון הכללי ובמוסד למודיעין ולתפקידים מיוחדים והטיפול בהן, התשפ״ו-2026")</f>
        <v>1512</v>
      </c>
      <c r="E697" t="s">
        <v>1512</v>
      </c>
      <c r="F697" t="s">
        <v>1513</v>
      </c>
      <c r="G697" t="s">
        <v>14</v>
      </c>
      <c r="H697">
             </c>
      <c r="I697" t="s">
        <v>14</v>
      </c>
      <c r="J697" t="s">
        <v>141</v>
      </c>
      <c r="K697" t="s">
        <v>14</v>
      </c>
      <c r="L697" t="s">
        <v>20</v>
      </c>
      <c r="M697" t="s">
        <v>1477</v>
      </c>
      <c r="N697" t="s">
        <v>14</v>
      </c>
    </row>
    <row r="698" x14ac:dyDescent="0.25">
      <c r="A698" t="n">
        <v>25</v>
      </c>
      <c r="B698" t="s">
        <v>14</v>
      </c>
      <c r="C698" t="s">
        <v>22</v>
      </c>
      <c r="D698" s="2" t="s">
        <f>=HYPERLINK("https://main.knesset.gov.il/APPS/legislation/main/bills/2238180", "הצעת חוק זכויות הסטודנט (תיקון - איסור הפליה מחמת מוגבלות), התשפ""ו-2026")</f>
        <v>1514</v>
      </c>
      <c r="E698" t="s">
        <v>1514</v>
      </c>
      <c r="F698" t="s">
        <v>1515</v>
      </c>
      <c r="G698" t="s">
        <v>14</v>
      </c>
      <c r="H698">
             </c>
      <c r="I698" t="s">
        <v>14</v>
      </c>
      <c r="J698" t="s">
        <v>343</v>
      </c>
      <c r="K698" t="s">
        <v>14</v>
      </c>
      <c r="L698" t="s">
        <v>20</v>
      </c>
      <c r="M698" t="s">
        <v>1477</v>
      </c>
      <c r="N698" t="s">
        <v>14</v>
      </c>
    </row>
    <row r="699" x14ac:dyDescent="0.25">
      <c r="A699" t="n">
        <v>25</v>
      </c>
      <c r="B699" t="s">
        <v>14</v>
      </c>
      <c r="C699" t="s">
        <v>22</v>
      </c>
      <c r="D699" s="2" t="s">
        <f>=HYPERLINK("https://main.knesset.gov.il/APPS/legislation/main/bills/2227059", "הצעת חוק הביטוח הלאומי (תיקון - דמי לידה לעצמאיות - מתן זכות לעבודה חלקית), התשפ""ה-2025")</f>
        <v>1516</v>
      </c>
      <c r="E699" t="s">
        <v>1516</v>
      </c>
      <c r="F699" t="s">
        <v>1517</v>
      </c>
      <c r="G699" t="s">
        <v>14</v>
      </c>
      <c r="H699">
             </c>
      <c r="I699" t="s">
        <v>14</v>
      </c>
      <c r="J699" t="s">
        <v>31</v>
      </c>
      <c r="K699" t="s">
        <v>127</v>
      </c>
      <c r="L699" t="s">
        <v>20</v>
      </c>
      <c r="M699" t="s">
        <v>1518</v>
      </c>
      <c r="N699" t="s">
        <v>14</v>
      </c>
    </row>
    <row r="700" x14ac:dyDescent="0.25">
      <c r="A700" t="n">
        <v>25</v>
      </c>
      <c r="B700" t="s">
        <v>14</v>
      </c>
      <c r="C700" t="s">
        <v>22</v>
      </c>
      <c r="D700" s="2" t="s">
        <f>=HYPERLINK("https://main.knesset.gov.il/APPS/legislation/main/bills/2198443", "הצעת חוק העונשין (תיקון - עונש מוות למחבלים), התשפ""ג-2023")</f>
        <v>1519</v>
      </c>
      <c r="E700" t="s">
        <v>1519</v>
      </c>
      <c r="F700" t="s">
        <v>1520</v>
      </c>
      <c r="G700" t="s">
        <v>14</v>
      </c>
      <c r="H700">
             </c>
      <c r="I700" t="s">
        <v>14</v>
      </c>
      <c r="J700" t="s">
        <v>99</v>
      </c>
      <c r="K700" t="s">
        <v>105</v>
      </c>
      <c r="L700" t="s">
        <v>20</v>
      </c>
      <c r="M700" t="s">
        <v>1518</v>
      </c>
      <c r="N700" t="s">
        <v>14</v>
      </c>
    </row>
    <row r="701" x14ac:dyDescent="0.25">
      <c r="A701" t="n">
        <v>25</v>
      </c>
      <c r="B701" t="s">
        <v>14</v>
      </c>
      <c r="C701" t="s">
        <v>22</v>
      </c>
      <c r="D701" s="2" t="s">
        <f>=HYPERLINK("https://main.knesset.gov.il/APPS/legislation/main/bills/2227961", "חוק להגדלת היצע הדיור ברשויות מקומיות (תיקוני חקיקה), התשפ""ה-2025")</f>
        <v>1521</v>
      </c>
      <c r="E701" t="s">
        <v>1521</v>
      </c>
      <c r="F701" t="s">
        <v>1522</v>
      </c>
      <c r="G701" t="s">
        <v>1523</v>
      </c>
      <c r="H701" t="n">
        <v>3427</v>
      </c>
      <c r="I701" t="s">
        <v>14</v>
      </c>
      <c r="J701" t="s">
        <v>91</v>
      </c>
      <c r="K701" t="s">
        <v>46</v>
      </c>
      <c r="L701" t="s">
        <v>20</v>
      </c>
      <c r="M701" t="s">
        <v>1518</v>
      </c>
      <c r="N701" t="s">
        <v>1524</v>
      </c>
    </row>
    <row r="702" x14ac:dyDescent="0.25">
      <c r="A702" t="n">
        <v>25</v>
      </c>
      <c r="B702" t="s">
        <v>14</v>
      </c>
      <c r="C702" t="s">
        <v>15</v>
      </c>
      <c r="D702" s="2" t="s">
        <f>=HYPERLINK("https://main.knesset.gov.il/APPS/legislation/main/bills/1046387", "חוק לתיקון פקודת בתי הסוהר (מס' 70 והוראת שעה), התשפ""ו-2026")</f>
        <v>1525</v>
      </c>
      <c r="E702" t="s">
        <v>1525</v>
      </c>
      <c r="F702" t="s">
        <v>14</v>
      </c>
      <c r="G702" t="s">
        <v>1526</v>
      </c>
      <c r="H702" t="n">
        <v>3478</v>
      </c>
      <c r="I702" t="s">
        <v>14</v>
      </c>
      <c r="J702" t="s">
        <v>91</v>
      </c>
      <c r="K702" t="s">
        <v>105</v>
      </c>
      <c r="L702" t="s">
        <v>20</v>
      </c>
      <c r="M702" t="s">
        <v>1518</v>
      </c>
      <c r="N702" t="s">
        <v>1527</v>
      </c>
    </row>
    <row r="703" x14ac:dyDescent="0.25">
      <c r="A703" t="n">
        <v>25</v>
      </c>
      <c r="B703" t="s">
        <v>14</v>
      </c>
      <c r="C703" t="s">
        <v>22</v>
      </c>
      <c r="D703" s="2" t="s">
        <f>=HYPERLINK("https://main.knesset.gov.il/APPS/legislation/main/bills/2217506", "חוק בתי קברות צבאיים (תיקון מס' 5) (תיקון), התשפ""ו–2026")</f>
        <v>1528</v>
      </c>
      <c r="E703" t="s">
        <v>1528</v>
      </c>
      <c r="F703" t="s">
        <v>1529</v>
      </c>
      <c r="G703" t="s">
        <v>1530</v>
      </c>
      <c r="H703" t="n">
        <v>3480</v>
      </c>
      <c r="I703" t="s">
        <v>14</v>
      </c>
      <c r="J703" t="s">
        <v>91</v>
      </c>
      <c r="K703" t="s">
        <v>105</v>
      </c>
      <c r="L703" t="s">
        <v>20</v>
      </c>
      <c r="M703" t="s">
        <v>1518</v>
      </c>
      <c r="N703" t="s">
        <v>1531</v>
      </c>
    </row>
    <row r="704" x14ac:dyDescent="0.25">
      <c r="A704" t="n">
        <v>25</v>
      </c>
      <c r="B704" t="s">
        <v>14</v>
      </c>
      <c r="C704" t="s">
        <v>15</v>
      </c>
      <c r="D704" s="2" t="s">
        <f>=HYPERLINK("https://main.knesset.gov.il/APPS/legislation/main/bills/2219137", "חוק שירות הקבע בצבא הגנה לישראל (גמלאות) (תיקון מס' 37), התשפ""ו-2026")</f>
        <v>1532</v>
      </c>
      <c r="E704" t="s">
        <v>1532</v>
      </c>
      <c r="F704" t="s">
        <v>14</v>
      </c>
      <c r="G704" t="s">
        <v>1533</v>
      </c>
      <c r="H704" t="n">
        <v>3479</v>
      </c>
      <c r="I704" t="s">
        <v>14</v>
      </c>
      <c r="J704" t="s">
        <v>91</v>
      </c>
      <c r="K704" t="s">
        <v>114</v>
      </c>
      <c r="L704" t="s">
        <v>20</v>
      </c>
      <c r="M704" t="s">
        <v>1518</v>
      </c>
      <c r="N704" t="s">
        <v>1534</v>
      </c>
    </row>
    <row r="705" x14ac:dyDescent="0.25">
      <c r="A705" t="n">
        <v>25</v>
      </c>
      <c r="B705" t="s">
        <v>14</v>
      </c>
      <c r="C705" t="s">
        <v>22</v>
      </c>
      <c r="D705" s="2" t="s">
        <f>=HYPERLINK("https://main.knesset.gov.il/APPS/legislation/main/bills/2235929", "הצעת חוק החלת ריבונות על ביתר עילית, התשפ""ו-2025")</f>
        <v>1535</v>
      </c>
      <c r="E705" t="s">
        <v>1535</v>
      </c>
      <c r="F705" t="s">
        <v>1536</v>
      </c>
      <c r="G705" t="s">
        <v>14</v>
      </c>
      <c r="H705">
             </c>
      <c r="I705" t="s">
        <v>14</v>
      </c>
      <c r="J705" t="s">
        <v>55</v>
      </c>
      <c r="K705" t="s">
        <v>14</v>
      </c>
      <c r="L705" t="s">
        <v>20</v>
      </c>
      <c r="M705" t="s">
        <v>1518</v>
      </c>
      <c r="N705" t="s">
        <v>14</v>
      </c>
    </row>
    <row r="706" x14ac:dyDescent="0.25">
      <c r="A706" t="n">
        <v>25</v>
      </c>
      <c r="B706" t="s">
        <v>14</v>
      </c>
      <c r="C706" t="s">
        <v>22</v>
      </c>
      <c r="D706" s="2" t="s">
        <f>=HYPERLINK("https://main.knesset.gov.il/APPS/legislation/main/bills/2234029", "הצעת חוק הפרשנות (תיקון - הגדרת הפליה על רקע נטייה מינית או זהות מגדרית), התשפ""ה-2025")</f>
        <v>1537</v>
      </c>
      <c r="E706" t="s">
        <v>1537</v>
      </c>
      <c r="F706" t="s">
        <v>1538</v>
      </c>
      <c r="G706" t="s">
        <v>14</v>
      </c>
      <c r="H706">
             </c>
      <c r="I706" t="s">
        <v>14</v>
      </c>
      <c r="J706" t="s">
        <v>55</v>
      </c>
      <c r="K706" t="s">
        <v>14</v>
      </c>
      <c r="L706" t="s">
        <v>20</v>
      </c>
      <c r="M706" t="s">
        <v>1518</v>
      </c>
      <c r="N706" t="s">
        <v>14</v>
      </c>
    </row>
    <row r="707" x14ac:dyDescent="0.25">
      <c r="A707" t="n">
        <v>25</v>
      </c>
      <c r="B707" t="s">
        <v>14</v>
      </c>
      <c r="C707" t="s">
        <v>22</v>
      </c>
      <c r="D707" s="2" t="s">
        <f>=HYPERLINK("https://main.knesset.gov.il/APPS/legislation/main/bills/2230689", "הצעת חוק איסור קבלת תמורה וחובת דיווח על קשרים עם מדינה זרה, התשפ״ה-2025 ")</f>
        <v>1539</v>
      </c>
      <c r="E707" t="s">
        <v>1539</v>
      </c>
      <c r="F707" t="s">
        <v>1540</v>
      </c>
      <c r="G707" t="s">
        <v>14</v>
      </c>
      <c r="H707">
             </c>
      <c r="I707" t="s">
        <v>14</v>
      </c>
      <c r="J707" t="s">
        <v>55</v>
      </c>
      <c r="K707" t="s">
        <v>14</v>
      </c>
      <c r="L707" t="s">
        <v>20</v>
      </c>
      <c r="M707" t="s">
        <v>1518</v>
      </c>
      <c r="N707" t="s">
        <v>14</v>
      </c>
    </row>
    <row r="708" x14ac:dyDescent="0.25">
      <c r="A708" t="n">
        <v>25</v>
      </c>
      <c r="B708" t="s">
        <v>14</v>
      </c>
      <c r="C708" t="s">
        <v>22</v>
      </c>
      <c r="D708" s="2" t="s">
        <f>=HYPERLINK("https://main.knesset.gov.il/APPS/legislation/main/bills/2228608", "הצעת חוק הרשות הלאומית למאבק בסמים ובשימוש לרעה באלכוהול, התשפ""ה-2025")</f>
        <v>1541</v>
      </c>
      <c r="E708" t="s">
        <v>1541</v>
      </c>
      <c r="F708" t="s">
        <v>1542</v>
      </c>
      <c r="G708" t="s">
        <v>14</v>
      </c>
      <c r="H708">
             </c>
      <c r="I708" t="s">
        <v>14</v>
      </c>
      <c r="J708" t="s">
        <v>55</v>
      </c>
      <c r="K708" t="s">
        <v>14</v>
      </c>
      <c r="L708" t="s">
        <v>20</v>
      </c>
      <c r="M708" t="s">
        <v>1518</v>
      </c>
      <c r="N708" t="s">
        <v>14</v>
      </c>
    </row>
    <row r="709" x14ac:dyDescent="0.25">
      <c r="A709" t="n">
        <v>25</v>
      </c>
      <c r="B709" t="s">
        <v>14</v>
      </c>
      <c r="C709" t="s">
        <v>22</v>
      </c>
      <c r="D709" s="2" t="s">
        <f>=HYPERLINK("https://main.knesset.gov.il/APPS/legislation/main/bills/2227416", "הצעת חוק פטור מאגרה ללוחמים בשירות מילואים בנסיעה בכבישי אגרה ובנתיבים מהירים (תיקוני חקיקה), התשפ""ה-2025 ")</f>
        <v>1543</v>
      </c>
      <c r="E709" t="s">
        <v>1543</v>
      </c>
      <c r="F709" t="s">
        <v>1544</v>
      </c>
      <c r="G709" t="s">
        <v>14</v>
      </c>
      <c r="H709">
             </c>
      <c r="I709" t="s">
        <v>14</v>
      </c>
      <c r="J709" t="s">
        <v>55</v>
      </c>
      <c r="K709" t="s">
        <v>14</v>
      </c>
      <c r="L709" t="s">
        <v>20</v>
      </c>
      <c r="M709" t="s">
        <v>1518</v>
      </c>
      <c r="N709" t="s">
        <v>14</v>
      </c>
    </row>
    <row r="710" x14ac:dyDescent="0.25">
      <c r="A710" t="n">
        <v>25</v>
      </c>
      <c r="B710" t="s">
        <v>14</v>
      </c>
      <c r="C710" t="s">
        <v>22</v>
      </c>
      <c r="D710" s="2" t="s">
        <f>=HYPERLINK("https://main.knesset.gov.il/APPS/legislation/main/bills/2219182", "הצעת חוק להכרה, לחקר האמת, להנצחה ולפיצוי משפחות הנעדרים מפרשת ילדי תימן, המזרח והבלקן, התשפ""ד-2024")</f>
        <v>1545</v>
      </c>
      <c r="E710" t="s">
        <v>1545</v>
      </c>
      <c r="F710" t="s">
        <v>1546</v>
      </c>
      <c r="G710" t="s">
        <v>14</v>
      </c>
      <c r="H710">
             </c>
      <c r="I710" t="s">
        <v>14</v>
      </c>
      <c r="J710" t="s">
        <v>343</v>
      </c>
      <c r="K710" t="s">
        <v>14</v>
      </c>
      <c r="L710" t="s">
        <v>20</v>
      </c>
      <c r="M710" t="s">
        <v>1518</v>
      </c>
      <c r="N710" t="s">
        <v>14</v>
      </c>
    </row>
    <row r="711" x14ac:dyDescent="0.25">
      <c r="A711" t="n">
        <v>25</v>
      </c>
      <c r="B711" t="s">
        <v>14</v>
      </c>
      <c r="C711" t="s">
        <v>22</v>
      </c>
      <c r="D711" s="2" t="s">
        <f>=HYPERLINK("https://main.knesset.gov.il/APPS/legislation/main/bills/2213740", "הצעת חוק הפרשנות (תיקון - הגדרת הפליה על רקע נטייה מינית או זהות מגדרית), התשפ""ד-2024")</f>
        <v>1547</v>
      </c>
      <c r="E711" t="s">
        <v>1547</v>
      </c>
      <c r="F711" t="s">
        <v>1548</v>
      </c>
      <c r="G711" t="s">
        <v>14</v>
      </c>
      <c r="H711">
             </c>
      <c r="I711" t="s">
        <v>14</v>
      </c>
      <c r="J711" t="s">
        <v>55</v>
      </c>
      <c r="K711" t="s">
        <v>14</v>
      </c>
      <c r="L711" t="s">
        <v>20</v>
      </c>
      <c r="M711" t="s">
        <v>1518</v>
      </c>
      <c r="N711" t="s">
        <v>14</v>
      </c>
    </row>
    <row r="712" x14ac:dyDescent="0.25">
      <c r="A712" t="n">
        <v>25</v>
      </c>
      <c r="B712" t="s">
        <v>14</v>
      </c>
      <c r="C712" t="s">
        <v>22</v>
      </c>
      <c r="D712" s="2" t="s">
        <f>=HYPERLINK("https://main.knesset.gov.il/APPS/legislation/main/bills/2212595", "הצעת חוק הפרשנות (תיקון - הגדרת הפליה על רקע זהות מגדרית, נטייה מינית או אמונה דתית), התשפ""ד-2023")</f>
        <v>1549</v>
      </c>
      <c r="E712" t="s">
        <v>1549</v>
      </c>
      <c r="F712" t="s">
        <v>1550</v>
      </c>
      <c r="G712" t="s">
        <v>14</v>
      </c>
      <c r="H712">
             </c>
      <c r="I712" t="s">
        <v>14</v>
      </c>
      <c r="J712" t="s">
        <v>55</v>
      </c>
      <c r="K712" t="s">
        <v>14</v>
      </c>
      <c r="L712" t="s">
        <v>20</v>
      </c>
      <c r="M712" t="s">
        <v>1518</v>
      </c>
      <c r="N712" t="s">
        <v>14</v>
      </c>
    </row>
    <row r="713" x14ac:dyDescent="0.25">
      <c r="A713" t="n">
        <v>25</v>
      </c>
      <c r="B713" t="s">
        <v>14</v>
      </c>
      <c r="C713" t="s">
        <v>22</v>
      </c>
      <c r="D713" s="2" t="s">
        <f>=HYPERLINK("https://main.knesset.gov.il/APPS/legislation/main/bills/2204400", "הצעת חוק התכנון והבנייה (תיקון - ייצוג הולם לנשים במוסדות התכנון), התשפ""ג-2023")</f>
        <v>1551</v>
      </c>
      <c r="E713" t="s">
        <v>1551</v>
      </c>
      <c r="F713" t="s">
        <v>1552</v>
      </c>
      <c r="G713" t="s">
        <v>14</v>
      </c>
      <c r="H713">
             </c>
      <c r="I713" t="s">
        <v>14</v>
      </c>
      <c r="J713" t="s">
        <v>55</v>
      </c>
      <c r="K713" t="s">
        <v>14</v>
      </c>
      <c r="L713" t="s">
        <v>20</v>
      </c>
      <c r="M713" t="s">
        <v>1518</v>
      </c>
      <c r="N713" t="s">
        <v>14</v>
      </c>
    </row>
    <row r="714" x14ac:dyDescent="0.25">
      <c r="A714" t="n">
        <v>25</v>
      </c>
      <c r="B714" t="s">
        <v>14</v>
      </c>
      <c r="C714" t="s">
        <v>22</v>
      </c>
      <c r="D714" s="2" t="s">
        <f>=HYPERLINK("https://main.knesset.gov.il/APPS/legislation/main/bills/2225755", "דיור והקצאת קרקעות מתוך הצעת חוק למתן הטבות למשרתים במילואים, התשפ""ה-2024")</f>
        <v>1553</v>
      </c>
      <c r="E714" t="s">
        <v>1553</v>
      </c>
      <c r="F714" t="s">
        <v>1554</v>
      </c>
      <c r="G714" t="s">
        <v>14</v>
      </c>
      <c r="H714">
             </c>
      <c r="I714" t="s">
        <v>14</v>
      </c>
      <c r="J714" t="s">
        <v>31</v>
      </c>
      <c r="K714" t="s">
        <v>114</v>
      </c>
      <c r="L714" t="s">
        <v>20</v>
      </c>
      <c r="M714" t="s">
        <v>1555</v>
      </c>
      <c r="N714" t="s">
        <v>14</v>
      </c>
    </row>
    <row r="715" x14ac:dyDescent="0.25">
      <c r="A715" t="n">
        <v>25</v>
      </c>
      <c r="B715" t="s">
        <v>14</v>
      </c>
      <c r="C715" t="s">
        <v>15</v>
      </c>
      <c r="D715" s="2" t="s">
        <f>=HYPERLINK("https://main.knesset.gov.il/APPS/legislation/main/bills/1045508", "הצעת חוק הפטנטים (תיקון מס' 15), התשפ""ו-2025")</f>
        <v>1556</v>
      </c>
      <c r="E715" t="s">
        <v>1556</v>
      </c>
      <c r="F715" t="s">
        <v>14</v>
      </c>
      <c r="G715" t="s">
        <v>1557</v>
      </c>
      <c r="H715">
             </c>
      <c r="I715" t="s">
        <v>14</v>
      </c>
      <c r="J715" t="s">
        <v>69</v>
      </c>
      <c r="K715" t="s">
        <v>14</v>
      </c>
      <c r="L715" t="s">
        <v>20</v>
      </c>
      <c r="M715" t="s">
        <v>1555</v>
      </c>
      <c r="N715" t="s">
        <v>14</v>
      </c>
    </row>
    <row r="716" x14ac:dyDescent="0.25">
      <c r="A716" t="n">
        <v>25</v>
      </c>
      <c r="B716" t="s">
        <v>14</v>
      </c>
      <c r="C716" t="s">
        <v>22</v>
      </c>
      <c r="D716" s="2" t="s">
        <f>=HYPERLINK("https://main.knesset.gov.il/APPS/legislation/main/bills/2213308", "הצעת חוק הגנת השכר (תיקון מס' 32) (הגברת האכיפה – ניכויים משכר עבודה), התשפ""ה–2025")</f>
        <v>1558</v>
      </c>
      <c r="E716" t="s">
        <v>1558</v>
      </c>
      <c r="F716" t="s">
        <v>1559</v>
      </c>
      <c r="G716" t="s">
        <v>1560</v>
      </c>
      <c r="H716">
             </c>
      <c r="I716" t="s">
        <v>26</v>
      </c>
      <c r="J716" t="s">
        <v>18</v>
      </c>
      <c r="K716" t="s">
        <v>127</v>
      </c>
      <c r="L716" t="s">
        <v>20</v>
      </c>
      <c r="M716" t="s">
        <v>1561</v>
      </c>
      <c r="N716" t="s">
        <v>14</v>
      </c>
    </row>
    <row r="717" x14ac:dyDescent="0.25">
      <c r="A717" t="n">
        <v>25</v>
      </c>
      <c r="B717" t="s">
        <v>14</v>
      </c>
      <c r="C717" t="s">
        <v>15</v>
      </c>
      <c r="D717" s="2" t="s">
        <f>=HYPERLINK("https://main.knesset.gov.il/APPS/legislation/main/bills/1045860", "חוק להפסקת פעילות אונר""א (תיקון), התשפ""ו-2025")</f>
        <v>1562</v>
      </c>
      <c r="E717" t="s">
        <v>1562</v>
      </c>
      <c r="F717" t="s">
        <v>14</v>
      </c>
      <c r="G717" t="s">
        <v>1563</v>
      </c>
      <c r="H717" t="n">
        <v>3477</v>
      </c>
      <c r="I717" t="s">
        <v>14</v>
      </c>
      <c r="J717" t="s">
        <v>91</v>
      </c>
      <c r="K717" t="s">
        <v>114</v>
      </c>
      <c r="L717" t="s">
        <v>20</v>
      </c>
      <c r="M717" t="s">
        <v>1561</v>
      </c>
      <c r="N717" t="s">
        <v>1564</v>
      </c>
    </row>
    <row r="718" x14ac:dyDescent="0.25">
      <c r="A718" t="n">
        <v>25</v>
      </c>
      <c r="B718" t="s">
        <v>14</v>
      </c>
      <c r="C718" t="s">
        <v>15</v>
      </c>
      <c r="D718" s="2" t="s">
        <f>=HYPERLINK("https://main.knesset.gov.il/APPS/legislation/main/bills/1046189", "חוק מס חברות מזערי בקבוצה רב-לאומית, התשפ""ו-2025")</f>
        <v>1565</v>
      </c>
      <c r="E718" t="s">
        <v>1565</v>
      </c>
      <c r="F718" t="s">
        <v>14</v>
      </c>
      <c r="G718" t="s">
        <v>1566</v>
      </c>
      <c r="H718" t="n">
        <v>3476</v>
      </c>
      <c r="I718" t="s">
        <v>14</v>
      </c>
      <c r="J718" t="s">
        <v>91</v>
      </c>
      <c r="K718" t="s">
        <v>85</v>
      </c>
      <c r="L718" t="s">
        <v>20</v>
      </c>
      <c r="M718" t="s">
        <v>1561</v>
      </c>
      <c r="N718" t="s">
        <v>14</v>
      </c>
    </row>
    <row r="719" x14ac:dyDescent="0.25">
      <c r="A719" t="n">
        <v>25</v>
      </c>
      <c r="B719" t="s">
        <v>14</v>
      </c>
      <c r="C719" t="s">
        <v>22</v>
      </c>
      <c r="D719" s="2" t="s">
        <f>=HYPERLINK("https://main.knesset.gov.il/APPS/legislation/main/bills/2225805", "חוק קידום התחרות בענפי המזון והפארם (תיקון מס' 9), התשפ""ו–2025")</f>
        <v>1567</v>
      </c>
      <c r="E719" t="s">
        <v>1567</v>
      </c>
      <c r="F719" t="s">
        <v>1568</v>
      </c>
      <c r="G719" t="s">
        <v>1569</v>
      </c>
      <c r="H719" t="n">
        <v>3475</v>
      </c>
      <c r="I719" t="s">
        <v>14</v>
      </c>
      <c r="J719" t="s">
        <v>91</v>
      </c>
      <c r="K719" t="s">
        <v>19</v>
      </c>
      <c r="L719" t="s">
        <v>20</v>
      </c>
      <c r="M719" t="s">
        <v>1561</v>
      </c>
      <c r="N719" t="s">
        <v>1570</v>
      </c>
    </row>
    <row r="720" x14ac:dyDescent="0.25">
      <c r="A720" t="n">
        <v>25</v>
      </c>
      <c r="B720" t="s">
        <v>14</v>
      </c>
      <c r="C720" t="s">
        <v>22</v>
      </c>
      <c r="D720" s="2" t="s">
        <f>=HYPERLINK("https://main.knesset.gov.il/APPS/legislation/main/bills/2238067", "הצעת חוק הסכמים קיבוציים (תיקון - הסדרת גביית דמי טיפול ארגוני-מקצועי לארגון מעבידים), התשפ""ו-2025")</f>
        <v>1571</v>
      </c>
      <c r="E720" t="s">
        <v>1571</v>
      </c>
      <c r="F720" t="s">
        <v>1572</v>
      </c>
      <c r="G720" t="s">
        <v>14</v>
      </c>
      <c r="H720">
             </c>
      <c r="I720" t="s">
        <v>14</v>
      </c>
      <c r="J720" t="s">
        <v>141</v>
      </c>
      <c r="K720" t="s">
        <v>14</v>
      </c>
      <c r="L720" t="s">
        <v>20</v>
      </c>
      <c r="M720" t="s">
        <v>1561</v>
      </c>
      <c r="N720" t="s">
        <v>14</v>
      </c>
    </row>
    <row r="721" x14ac:dyDescent="0.25">
      <c r="A721" t="n">
        <v>25</v>
      </c>
      <c r="B721" t="s">
        <v>14</v>
      </c>
      <c r="C721" t="s">
        <v>22</v>
      </c>
      <c r="D721" s="2" t="s">
        <f>=HYPERLINK("https://main.knesset.gov.il/APPS/legislation/main/bills/2235679", "הצעת חוק בתי המשפט (תיקון - סייגים לעניין חברי הכנסת), התשפ""ו-2025")</f>
        <v>1573</v>
      </c>
      <c r="E721" t="s">
        <v>1573</v>
      </c>
      <c r="F721" t="s">
        <v>1574</v>
      </c>
      <c r="G721" t="s">
        <v>14</v>
      </c>
      <c r="H721">
             </c>
      <c r="I721" t="s">
        <v>14</v>
      </c>
      <c r="J721" t="s">
        <v>141</v>
      </c>
      <c r="K721" t="s">
        <v>14</v>
      </c>
      <c r="L721" t="s">
        <v>20</v>
      </c>
      <c r="M721" t="s">
        <v>1561</v>
      </c>
      <c r="N721" t="s">
        <v>14</v>
      </c>
    </row>
    <row r="722" x14ac:dyDescent="0.25">
      <c r="A722" t="n">
        <v>25</v>
      </c>
      <c r="B722" t="s">
        <v>14</v>
      </c>
      <c r="C722" t="s">
        <v>22</v>
      </c>
      <c r="D722" s="2" t="s">
        <f>=HYPERLINK("https://main.knesset.gov.il/APPS/legislation/main/bills/2237640", "הצעת חוק הדיינים (תיקון - תנאי הסמכה להליכים מוסכמים והבטחת ייצוג נשים), התשפ""ו-2025")</f>
        <v>1575</v>
      </c>
      <c r="E722" t="s">
        <v>1575</v>
      </c>
      <c r="F722" t="s">
        <v>1576</v>
      </c>
      <c r="G722" t="s">
        <v>14</v>
      </c>
      <c r="H722">
             </c>
      <c r="I722" t="s">
        <v>14</v>
      </c>
      <c r="J722" t="s">
        <v>141</v>
      </c>
      <c r="K722" t="s">
        <v>14</v>
      </c>
      <c r="L722" t="s">
        <v>20</v>
      </c>
      <c r="M722" t="s">
        <v>1561</v>
      </c>
      <c r="N722" t="s">
        <v>14</v>
      </c>
    </row>
    <row r="723" x14ac:dyDescent="0.25">
      <c r="A723" t="n">
        <v>25</v>
      </c>
      <c r="B723" t="s">
        <v>14</v>
      </c>
      <c r="C723" t="s">
        <v>22</v>
      </c>
      <c r="D723" s="2" t="s">
        <f>=HYPERLINK("https://main.knesset.gov.il/APPS/legislation/main/bills/2238237", "הצעת חוק הסיוע המשפטי (תיקון - סיוע משפטי לנכי צה""ל ולנפגעי פעולות איבה),  התשפ""ו-2025")</f>
        <v>1577</v>
      </c>
      <c r="E723" t="s">
        <v>1577</v>
      </c>
      <c r="F723" t="s">
        <v>1578</v>
      </c>
      <c r="G723" t="s">
        <v>14</v>
      </c>
      <c r="H723">
             </c>
      <c r="I723" t="s">
        <v>14</v>
      </c>
      <c r="J723" t="s">
        <v>141</v>
      </c>
      <c r="K723" t="s">
        <v>14</v>
      </c>
      <c r="L723" t="s">
        <v>20</v>
      </c>
      <c r="M723" t="s">
        <v>1561</v>
      </c>
      <c r="N723" t="s">
        <v>14</v>
      </c>
    </row>
    <row r="724" x14ac:dyDescent="0.25">
      <c r="A724" t="n">
        <v>25</v>
      </c>
      <c r="B724" t="s">
        <v>14</v>
      </c>
      <c r="C724" t="s">
        <v>22</v>
      </c>
      <c r="D724" s="2" t="s">
        <f>=HYPERLINK("https://main.knesset.gov.il/APPS/legislation/main/bills/2233345", "הצעת חוק הפיקוח על שירותים פיננסיים (ביטוח) (תיקון - החלת הוראות חוק חוזה סוכנות (סוכן מסחרי וספק) על חוזה בין מבטח לסוכן), התשפ""ו-2025")</f>
        <v>1579</v>
      </c>
      <c r="E724" t="s">
        <v>1579</v>
      </c>
      <c r="F724" t="s">
        <v>1580</v>
      </c>
      <c r="G724" t="s">
        <v>14</v>
      </c>
      <c r="H724">
             </c>
      <c r="I724" t="s">
        <v>14</v>
      </c>
      <c r="J724" t="s">
        <v>141</v>
      </c>
      <c r="K724" t="s">
        <v>14</v>
      </c>
      <c r="L724" t="s">
        <v>20</v>
      </c>
      <c r="M724" t="s">
        <v>1561</v>
      </c>
      <c r="N724" t="s">
        <v>14</v>
      </c>
    </row>
    <row r="725" x14ac:dyDescent="0.25">
      <c r="A725" t="n">
        <v>25</v>
      </c>
      <c r="B725" t="s">
        <v>14</v>
      </c>
      <c r="C725" t="s">
        <v>22</v>
      </c>
      <c r="D725" s="2" t="s">
        <f>=HYPERLINK("https://main.knesset.gov.il/APPS/legislation/main/bills/2237459", "הצעת חוק לתיקון פקודת בריאות העם (עדכון על זכאות אפשרית לגמלה), התשפ""ו-2025")</f>
        <v>1581</v>
      </c>
      <c r="E725" t="s">
        <v>1581</v>
      </c>
      <c r="F725" t="s">
        <v>1582</v>
      </c>
      <c r="G725" t="s">
        <v>14</v>
      </c>
      <c r="H725">
             </c>
      <c r="I725" t="s">
        <v>14</v>
      </c>
      <c r="J725" t="s">
        <v>141</v>
      </c>
      <c r="K725" t="s">
        <v>14</v>
      </c>
      <c r="L725" t="s">
        <v>20</v>
      </c>
      <c r="M725" t="s">
        <v>1561</v>
      </c>
      <c r="N725" t="s">
        <v>14</v>
      </c>
    </row>
    <row r="726" x14ac:dyDescent="0.25">
      <c r="A726" t="n">
        <v>25</v>
      </c>
      <c r="B726" t="s">
        <v>14</v>
      </c>
      <c r="C726" t="s">
        <v>22</v>
      </c>
      <c r="D726" s="2" t="s">
        <f>=HYPERLINK("https://main.knesset.gov.il/APPS/legislation/main/bills/2238278", "הצעת חוק זכויות הסטודנט (תיקון - התאמות בהשכלה גבוהה לסטודנטים עקב מחלה קשה), התשפ""ו-2025")</f>
        <v>1583</v>
      </c>
      <c r="E726" t="s">
        <v>1583</v>
      </c>
      <c r="F726" t="s">
        <v>1584</v>
      </c>
      <c r="G726" t="s">
        <v>14</v>
      </c>
      <c r="H726">
             </c>
      <c r="I726" t="s">
        <v>14</v>
      </c>
      <c r="J726" t="s">
        <v>343</v>
      </c>
      <c r="K726" t="s">
        <v>14</v>
      </c>
      <c r="L726" t="s">
        <v>20</v>
      </c>
      <c r="M726" t="s">
        <v>1561</v>
      </c>
      <c r="N726" t="s">
        <v>14</v>
      </c>
    </row>
    <row r="727" x14ac:dyDescent="0.25">
      <c r="A727" t="n">
        <v>25</v>
      </c>
      <c r="B727" t="s">
        <v>14</v>
      </c>
      <c r="C727" t="s">
        <v>22</v>
      </c>
      <c r="D727" s="2" t="s">
        <f>=HYPERLINK("https://main.knesset.gov.il/APPS/legislation/main/bills/2238246", "הצעת חוק שמירת הניקיון (תיקון - טיפול בפסולת בניין), התשפ""ו-2025")</f>
        <v>1585</v>
      </c>
      <c r="E727" t="s">
        <v>1585</v>
      </c>
      <c r="F727" t="s">
        <v>1586</v>
      </c>
      <c r="G727" t="s">
        <v>14</v>
      </c>
      <c r="H727">
             </c>
      <c r="I727" t="s">
        <v>14</v>
      </c>
      <c r="J727" t="s">
        <v>141</v>
      </c>
      <c r="K727" t="s">
        <v>14</v>
      </c>
      <c r="L727" t="s">
        <v>20</v>
      </c>
      <c r="M727" t="s">
        <v>1561</v>
      </c>
      <c r="N727" t="s">
        <v>14</v>
      </c>
    </row>
    <row r="728" x14ac:dyDescent="0.25">
      <c r="A728" t="n">
        <v>25</v>
      </c>
      <c r="B728" t="s">
        <v>14</v>
      </c>
      <c r="C728" t="s">
        <v>22</v>
      </c>
      <c r="D728" s="2" t="s">
        <f>=HYPERLINK("https://main.knesset.gov.il/APPS/legislation/main/bills/2237682", "הצעת חוק לתיקון פקודת התעבורה (שינוי שיטת חישוב דמי חניה בחניון ופטור מתשלום עבור עשר הדקות הראשונות),  התשפ""ו-2025")</f>
        <v>1587</v>
      </c>
      <c r="E728" t="s">
        <v>1587</v>
      </c>
      <c r="F728" t="s">
        <v>1588</v>
      </c>
      <c r="G728" t="s">
        <v>14</v>
      </c>
      <c r="H728">
             </c>
      <c r="I728" t="s">
        <v>14</v>
      </c>
      <c r="J728" t="s">
        <v>141</v>
      </c>
      <c r="K728" t="s">
        <v>14</v>
      </c>
      <c r="L728" t="s">
        <v>20</v>
      </c>
      <c r="M728" t="s">
        <v>1561</v>
      </c>
      <c r="N728" t="s">
        <v>14</v>
      </c>
    </row>
    <row r="729" x14ac:dyDescent="0.25">
      <c r="A729" t="n">
        <v>25</v>
      </c>
      <c r="B729" t="s">
        <v>14</v>
      </c>
      <c r="C729" t="s">
        <v>22</v>
      </c>
      <c r="D729" s="2" t="s">
        <f>=HYPERLINK("https://main.knesset.gov.il/APPS/legislation/main/bills/2236609", "הצעת חוק רשות מקרקעי ישראל (השגה על שומת מקרקעין), התשפ""ו-2025")</f>
        <v>1589</v>
      </c>
      <c r="E729" t="s">
        <v>1589</v>
      </c>
      <c r="F729" t="s">
        <v>1590</v>
      </c>
      <c r="G729" t="s">
        <v>14</v>
      </c>
      <c r="H729">
             </c>
      <c r="I729" t="s">
        <v>14</v>
      </c>
      <c r="J729" t="s">
        <v>141</v>
      </c>
      <c r="K729" t="s">
        <v>14</v>
      </c>
      <c r="L729" t="s">
        <v>20</v>
      </c>
      <c r="M729" t="s">
        <v>1561</v>
      </c>
      <c r="N729" t="s">
        <v>14</v>
      </c>
    </row>
    <row r="730" x14ac:dyDescent="0.25">
      <c r="A730" t="n">
        <v>25</v>
      </c>
      <c r="B730" t="s">
        <v>14</v>
      </c>
      <c r="C730" t="s">
        <v>22</v>
      </c>
      <c r="D730" s="2" t="s">
        <f>=HYPERLINK("https://main.knesset.gov.il/APPS/legislation/main/bills/2238181", "הצעת חוק החברות (תיקון - מכסות ייצוג לנשים בדירקטוריונים של חברות ציבוריות), התשפ""ו-2025")</f>
        <v>1591</v>
      </c>
      <c r="E730" t="s">
        <v>1591</v>
      </c>
      <c r="F730" t="s">
        <v>1592</v>
      </c>
      <c r="G730" t="s">
        <v>14</v>
      </c>
      <c r="H730">
             </c>
      <c r="I730" t="s">
        <v>14</v>
      </c>
      <c r="J730" t="s">
        <v>141</v>
      </c>
      <c r="K730" t="s">
        <v>14</v>
      </c>
      <c r="L730" t="s">
        <v>20</v>
      </c>
      <c r="M730" t="s">
        <v>1561</v>
      </c>
      <c r="N730" t="s">
        <v>14</v>
      </c>
    </row>
    <row r="731" x14ac:dyDescent="0.25">
      <c r="A731" t="n">
        <v>25</v>
      </c>
      <c r="B731" t="s">
        <v>14</v>
      </c>
      <c r="C731" t="s">
        <v>22</v>
      </c>
      <c r="D731" s="2" t="s">
        <f>=HYPERLINK("https://main.knesset.gov.il/APPS/legislation/main/bills/2237519", "הצעת חוק הגנה על קטינים ברשת (הגבלת גיל), התשפ״ו-2025")</f>
        <v>1593</v>
      </c>
      <c r="E731" t="s">
        <v>1593</v>
      </c>
      <c r="F731" t="s">
        <v>1594</v>
      </c>
      <c r="G731" t="s">
        <v>14</v>
      </c>
      <c r="H731">
             </c>
      <c r="I731" t="s">
        <v>14</v>
      </c>
      <c r="J731" t="s">
        <v>141</v>
      </c>
      <c r="K731" t="s">
        <v>14</v>
      </c>
      <c r="L731" t="s">
        <v>20</v>
      </c>
      <c r="M731" t="s">
        <v>1561</v>
      </c>
      <c r="N731" t="s">
        <v>14</v>
      </c>
    </row>
    <row r="732" x14ac:dyDescent="0.25">
      <c r="A732" t="n">
        <v>25</v>
      </c>
      <c r="B732" t="s">
        <v>14</v>
      </c>
      <c r="C732" t="s">
        <v>22</v>
      </c>
      <c r="D732" s="2" t="s">
        <f>=HYPERLINK("https://main.knesset.gov.il/APPS/legislation/main/bills/2237707", "הצעת חוק מענק לחטוף ששב מן השבי או למשפחתו של חטוף שנרצח בשבי וגופתו הושבה בעקבות מתקפת 7 באוקטובר, התשפ""ו-2025 ")</f>
        <v>1595</v>
      </c>
      <c r="E732" t="s">
        <v>1595</v>
      </c>
      <c r="F732" t="s">
        <v>1596</v>
      </c>
      <c r="G732" t="s">
        <v>14</v>
      </c>
      <c r="H732">
             </c>
      <c r="I732" t="s">
        <v>14</v>
      </c>
      <c r="J732" t="s">
        <v>141</v>
      </c>
      <c r="K732" t="s">
        <v>14</v>
      </c>
      <c r="L732" t="s">
        <v>20</v>
      </c>
      <c r="M732" t="s">
        <v>1561</v>
      </c>
      <c r="N732" t="s">
        <v>14</v>
      </c>
    </row>
    <row r="733" x14ac:dyDescent="0.25">
      <c r="A733" t="n">
        <v>25</v>
      </c>
      <c r="B733" t="s">
        <v>14</v>
      </c>
      <c r="C733" t="s">
        <v>22</v>
      </c>
      <c r="D733" s="2" t="s">
        <f>=HYPERLINK("https://main.knesset.gov.il/APPS/legislation/main/bills/2238199", "הצעת חוק הביטוח הלאומי (תיקון - חישוב תגמולי מילואים בתקופת חירום), התשפ""ו-2025")</f>
        <v>1149</v>
      </c>
      <c r="E733" t="s">
        <v>1149</v>
      </c>
      <c r="F733" t="s">
        <v>1597</v>
      </c>
      <c r="G733" t="s">
        <v>14</v>
      </c>
      <c r="H733">
             </c>
      <c r="I733" t="s">
        <v>14</v>
      </c>
      <c r="J733" t="s">
        <v>141</v>
      </c>
      <c r="K733" t="s">
        <v>14</v>
      </c>
      <c r="L733" t="s">
        <v>20</v>
      </c>
      <c r="M733" t="s">
        <v>1561</v>
      </c>
      <c r="N733" t="s">
        <v>14</v>
      </c>
    </row>
    <row r="734" x14ac:dyDescent="0.25">
      <c r="A734" t="n">
        <v>25</v>
      </c>
      <c r="B734" t="s">
        <v>14</v>
      </c>
      <c r="C734" t="s">
        <v>22</v>
      </c>
      <c r="D734" s="2" t="s">
        <f>=HYPERLINK("https://main.knesset.gov.il/APPS/legislation/main/bills/2235105", "הצעת חוק הגבלת תשלום בעד טיפול בתביעה לגמלת סיעוד ולתגמולי ביטוח סיעודי (תיקוני חקיקה), התשפ""ו-2025")</f>
        <v>1598</v>
      </c>
      <c r="E734" t="s">
        <v>1598</v>
      </c>
      <c r="F734" t="s">
        <v>1599</v>
      </c>
      <c r="G734" t="s">
        <v>14</v>
      </c>
      <c r="H734">
             </c>
      <c r="I734" t="s">
        <v>14</v>
      </c>
      <c r="J734" t="s">
        <v>141</v>
      </c>
      <c r="K734" t="s">
        <v>14</v>
      </c>
      <c r="L734" t="s">
        <v>20</v>
      </c>
      <c r="M734" t="s">
        <v>1561</v>
      </c>
      <c r="N734" t="s">
        <v>14</v>
      </c>
    </row>
    <row r="735" x14ac:dyDescent="0.25">
      <c r="A735" t="n">
        <v>25</v>
      </c>
      <c r="B735" t="s">
        <v>14</v>
      </c>
      <c r="C735" t="s">
        <v>22</v>
      </c>
      <c r="D735" s="2" t="s">
        <f>=HYPERLINK("https://main.knesset.gov.il/APPS/legislation/main/bills/2238031", "הצעת חוק הגנה על קטינים (הזכות למחיקת מידע אישי), התשפ""ו-2025")</f>
        <v>1600</v>
      </c>
      <c r="E735" t="s">
        <v>1600</v>
      </c>
      <c r="F735" t="s">
        <v>1601</v>
      </c>
      <c r="G735" t="s">
        <v>14</v>
      </c>
      <c r="H735">
             </c>
      <c r="I735" t="s">
        <v>14</v>
      </c>
      <c r="J735" t="s">
        <v>141</v>
      </c>
      <c r="K735" t="s">
        <v>14</v>
      </c>
      <c r="L735" t="s">
        <v>20</v>
      </c>
      <c r="M735" t="s">
        <v>1561</v>
      </c>
      <c r="N735" t="s">
        <v>14</v>
      </c>
    </row>
    <row r="736" x14ac:dyDescent="0.25">
      <c r="A736" t="n">
        <v>25</v>
      </c>
      <c r="B736" t="s">
        <v>14</v>
      </c>
      <c r="C736" t="s">
        <v>22</v>
      </c>
      <c r="D736" s="2" t="s">
        <f>=HYPERLINK("https://main.knesset.gov.il/APPS/legislation/main/bills/2237792", "הצעת חוק נכסי המדינה (תיקון - הרשאת שימוש לשם הקמת מיתקני שידור לתקשורת בשיטה התאית), התשפ""ו-2025")</f>
        <v>1602</v>
      </c>
      <c r="E736" t="s">
        <v>1602</v>
      </c>
      <c r="F736" t="s">
        <v>1603</v>
      </c>
      <c r="G736" t="s">
        <v>14</v>
      </c>
      <c r="H736">
             </c>
      <c r="I736" t="s">
        <v>14</v>
      </c>
      <c r="J736" t="s">
        <v>343</v>
      </c>
      <c r="K736" t="s">
        <v>14</v>
      </c>
      <c r="L736" t="s">
        <v>20</v>
      </c>
      <c r="M736" t="s">
        <v>1561</v>
      </c>
      <c r="N736" t="s">
        <v>14</v>
      </c>
    </row>
    <row r="737" x14ac:dyDescent="0.25">
      <c r="A737" t="n">
        <v>25</v>
      </c>
      <c r="B737" t="s">
        <v>14</v>
      </c>
      <c r="C737" t="s">
        <v>22</v>
      </c>
      <c r="D737" s="2" t="s">
        <f>=HYPERLINK("https://main.knesset.gov.il/APPS/legislation/main/bills/2233165", "הצעת חוק לשיקום מהיר של מבנים שניזוקו במלחמת עם כלביא (תיקוני חקיקה), התשפ""ה-2025")</f>
        <v>1604</v>
      </c>
      <c r="E737" t="s">
        <v>1604</v>
      </c>
      <c r="F737" t="s">
        <v>1605</v>
      </c>
      <c r="G737" t="s">
        <v>14</v>
      </c>
      <c r="H737">
             </c>
      <c r="I737" t="s">
        <v>14</v>
      </c>
      <c r="J737" t="s">
        <v>99</v>
      </c>
      <c r="K737" t="s">
        <v>46</v>
      </c>
      <c r="L737" t="s">
        <v>20</v>
      </c>
      <c r="M737" t="s">
        <v>1606</v>
      </c>
      <c r="N737" t="s">
        <v>14</v>
      </c>
    </row>
    <row r="738" x14ac:dyDescent="0.25">
      <c r="A738" t="n">
        <v>25</v>
      </c>
      <c r="B738" t="s">
        <v>14</v>
      </c>
      <c r="C738" t="s">
        <v>15</v>
      </c>
      <c r="D738" s="2" t="s">
        <f>=HYPERLINK("https://main.knesset.gov.il/APPS/legislation/main/bills/1046391", "חוק כליאתם של לוחמים בלתי חוקיים (תיקון מס' 4 והוראת שעה – חרבות ברזל) (תיקון מס' 6), התשפ""ו-2025")</f>
        <v>1607</v>
      </c>
      <c r="E738" t="s">
        <v>1607</v>
      </c>
      <c r="F738" t="s">
        <v>14</v>
      </c>
      <c r="G738" t="s">
        <v>1608</v>
      </c>
      <c r="H738" t="n">
        <v>3474</v>
      </c>
      <c r="I738" t="s">
        <v>14</v>
      </c>
      <c r="J738" t="s">
        <v>91</v>
      </c>
      <c r="K738" t="s">
        <v>114</v>
      </c>
      <c r="L738" t="s">
        <v>20</v>
      </c>
      <c r="M738" t="s">
        <v>1609</v>
      </c>
      <c r="N738" t="s">
        <v>1610</v>
      </c>
    </row>
    <row r="739" x14ac:dyDescent="0.25">
      <c r="A739" t="n">
        <v>25</v>
      </c>
      <c r="B739" t="s">
        <v>14</v>
      </c>
      <c r="C739" t="s">
        <v>15</v>
      </c>
      <c r="D739" s="2" t="s">
        <f>=HYPERLINK("https://main.knesset.gov.il/APPS/legislation/main/bills/1046277", "חוק לתיקון פקודת בתי הסוהר (תיקון מס' 66 – הוראת שעה – חרבות ברזל) (חופשה מיוחדת לאסיר) (תיקון מס' 4), התשפ""ו-2025")</f>
        <v>1611</v>
      </c>
      <c r="E739" t="s">
        <v>1611</v>
      </c>
      <c r="F739" t="s">
        <v>14</v>
      </c>
      <c r="G739" t="s">
        <v>1612</v>
      </c>
      <c r="H739" t="n">
        <v>3472</v>
      </c>
      <c r="I739" t="s">
        <v>14</v>
      </c>
      <c r="J739" t="s">
        <v>91</v>
      </c>
      <c r="K739" t="s">
        <v>105</v>
      </c>
      <c r="L739" t="s">
        <v>20</v>
      </c>
      <c r="M739" t="s">
        <v>1609</v>
      </c>
      <c r="N739" t="s">
        <v>1613</v>
      </c>
    </row>
    <row r="740" x14ac:dyDescent="0.25">
      <c r="A740" t="n">
        <v>25</v>
      </c>
      <c r="B740" t="s">
        <v>14</v>
      </c>
      <c r="C740" t="s">
        <v>15</v>
      </c>
      <c r="D740" s="2" t="s">
        <f>=HYPERLINK("https://main.knesset.gov.il/APPS/legislation/main/bills/1046280", "חוק שירות ביטחון (תיקון מס' 7 והוראת שעה) (שירות במשטרה ושירות מוכר) (תיקון מס' 19), התשפ""ו-2025")</f>
        <v>1614</v>
      </c>
      <c r="E740" t="s">
        <v>1614</v>
      </c>
      <c r="F740" t="s">
        <v>14</v>
      </c>
      <c r="G740" t="s">
        <v>1615</v>
      </c>
      <c r="H740" t="n">
        <v>3473</v>
      </c>
      <c r="I740" t="s">
        <v>14</v>
      </c>
      <c r="J740" t="s">
        <v>91</v>
      </c>
      <c r="K740" t="s">
        <v>114</v>
      </c>
      <c r="L740" t="s">
        <v>20</v>
      </c>
      <c r="M740" t="s">
        <v>1609</v>
      </c>
      <c r="N740" t="s">
        <v>1616</v>
      </c>
    </row>
    <row r="741" x14ac:dyDescent="0.25">
      <c r="A741" t="n">
        <v>25</v>
      </c>
      <c r="B741" t="s">
        <v>14</v>
      </c>
      <c r="C741" t="s">
        <v>15</v>
      </c>
      <c r="D741" s="2" t="s">
        <f>=HYPERLINK("https://main.knesset.gov.il/APPS/legislation/main/bills/1046327", "חוק הסמכת צבא הגנה לישראל ושירות הביטחון הכללי לביצוע חדירה לחומר מחשב המשמש להפעלת מצלמה נייחת ופעולה בו (הוראת שעה – חרבות ברזל) (תיקון מס' 5), התשפ""ו-2025")</f>
        <v>1617</v>
      </c>
      <c r="E741" t="s">
        <v>1617</v>
      </c>
      <c r="F741" t="s">
        <v>14</v>
      </c>
      <c r="G741" t="s">
        <v>1618</v>
      </c>
      <c r="H741" t="n">
        <v>3471</v>
      </c>
      <c r="I741" t="s">
        <v>14</v>
      </c>
      <c r="J741" t="s">
        <v>91</v>
      </c>
      <c r="K741" t="s">
        <v>114</v>
      </c>
      <c r="L741" t="s">
        <v>20</v>
      </c>
      <c r="M741" t="s">
        <v>1609</v>
      </c>
      <c r="N741" t="s">
        <v>1619</v>
      </c>
    </row>
    <row r="742" x14ac:dyDescent="0.25">
      <c r="A742" t="n">
        <v>25</v>
      </c>
      <c r="B742" t="s">
        <v>14</v>
      </c>
      <c r="C742" t="s">
        <v>22</v>
      </c>
      <c r="D742" s="2" t="s">
        <f>=HYPERLINK("https://main.knesset.gov.il/APPS/legislation/main/bills/2235677", "הצעת חוק מלחמת שמחת תורה, התשפ""ו-2025")</f>
        <v>1620</v>
      </c>
      <c r="E742" t="s">
        <v>1620</v>
      </c>
      <c r="F742" t="s">
        <v>1621</v>
      </c>
      <c r="G742" t="s">
        <v>14</v>
      </c>
      <c r="H742">
             </c>
      <c r="I742" t="s">
        <v>14</v>
      </c>
      <c r="J742" t="s">
        <v>55</v>
      </c>
      <c r="K742" t="s">
        <v>14</v>
      </c>
      <c r="L742" t="s">
        <v>20</v>
      </c>
      <c r="M742" t="s">
        <v>1609</v>
      </c>
      <c r="N742" t="s">
        <v>14</v>
      </c>
    </row>
    <row r="743" x14ac:dyDescent="0.25">
      <c r="A743" t="n">
        <v>25</v>
      </c>
      <c r="B743" t="s">
        <v>14</v>
      </c>
      <c r="C743" t="s">
        <v>22</v>
      </c>
      <c r="D743" s="2" t="s">
        <f>=HYPERLINK("https://main.knesset.gov.il/APPS/legislation/main/bills/2235479", "הצעת חוק החברות (תיקון - פרסום דוחות כספיים של מונופול), התשפ""ו-2025")</f>
        <v>1622</v>
      </c>
      <c r="E743" t="s">
        <v>1622</v>
      </c>
      <c r="F743" t="s">
        <v>1623</v>
      </c>
      <c r="G743" t="s">
        <v>14</v>
      </c>
      <c r="H743">
             </c>
      <c r="I743" t="s">
        <v>14</v>
      </c>
      <c r="J743" t="s">
        <v>55</v>
      </c>
      <c r="K743" t="s">
        <v>14</v>
      </c>
      <c r="L743" t="s">
        <v>20</v>
      </c>
      <c r="M743" t="s">
        <v>1609</v>
      </c>
      <c r="N743" t="s">
        <v>14</v>
      </c>
    </row>
    <row r="744" x14ac:dyDescent="0.25">
      <c r="A744" t="n">
        <v>25</v>
      </c>
      <c r="B744" t="s">
        <v>14</v>
      </c>
      <c r="C744" t="s">
        <v>22</v>
      </c>
      <c r="D744" s="2" t="s">
        <f>=HYPERLINK("https://main.knesset.gov.il/APPS/legislation/main/bills/2235091", "הצעת חוק-יסוד: הממשלה (תיקון - התניית חברות בוועדת השרים לענייני ביטחון לאומי בשירות צבאי)")</f>
        <v>1624</v>
      </c>
      <c r="E744" t="s">
        <v>1624</v>
      </c>
      <c r="F744" t="s">
        <v>1625</v>
      </c>
      <c r="G744" t="s">
        <v>14</v>
      </c>
      <c r="H744">
             </c>
      <c r="I744" t="s">
        <v>14</v>
      </c>
      <c r="J744" t="s">
        <v>55</v>
      </c>
      <c r="K744" t="s">
        <v>14</v>
      </c>
      <c r="L744" t="s">
        <v>20</v>
      </c>
      <c r="M744" t="s">
        <v>1609</v>
      </c>
      <c r="N744" t="s">
        <v>14</v>
      </c>
    </row>
    <row r="745" x14ac:dyDescent="0.25">
      <c r="A745" t="n">
        <v>25</v>
      </c>
      <c r="B745" t="s">
        <v>14</v>
      </c>
      <c r="C745" t="s">
        <v>22</v>
      </c>
      <c r="D745" s="2" t="s">
        <f>=HYPERLINK("https://main.knesset.gov.il/APPS/legislation/main/bills/2228024", "הצעת חוק הליכי שפיטה וייצוג של נוער (תיקוני חקיקה), התשפ""ה-2025")</f>
        <v>1626</v>
      </c>
      <c r="E745" t="s">
        <v>1626</v>
      </c>
      <c r="F745" t="s">
        <v>1627</v>
      </c>
      <c r="G745" t="s">
        <v>14</v>
      </c>
      <c r="H745">
             </c>
      <c r="I745" t="s">
        <v>14</v>
      </c>
      <c r="J745" t="s">
        <v>343</v>
      </c>
      <c r="K745" t="s">
        <v>14</v>
      </c>
      <c r="L745" t="s">
        <v>20</v>
      </c>
      <c r="M745" t="s">
        <v>1609</v>
      </c>
      <c r="N745" t="s">
        <v>14</v>
      </c>
    </row>
    <row r="746" x14ac:dyDescent="0.25">
      <c r="A746" t="n">
        <v>25</v>
      </c>
      <c r="B746" t="s">
        <v>14</v>
      </c>
      <c r="C746" t="s">
        <v>22</v>
      </c>
      <c r="D746" s="2" t="s">
        <f>=HYPERLINK("https://main.knesset.gov.il/APPS/legislation/main/bills/2227877", "הצעת חוק קבלת מידע לשם זיהוי חללים ונעדרים בשל אירוע רב-נפגעים, התשפ""ה-2025")</f>
        <v>1628</v>
      </c>
      <c r="E746" t="s">
        <v>1628</v>
      </c>
      <c r="F746" t="s">
        <v>1629</v>
      </c>
      <c r="G746" t="s">
        <v>14</v>
      </c>
      <c r="H746">
             </c>
      <c r="I746" t="s">
        <v>14</v>
      </c>
      <c r="J746" t="s">
        <v>343</v>
      </c>
      <c r="K746" t="s">
        <v>14</v>
      </c>
      <c r="L746" t="s">
        <v>20</v>
      </c>
      <c r="M746" t="s">
        <v>1609</v>
      </c>
      <c r="N746" t="s">
        <v>14</v>
      </c>
    </row>
    <row r="747" x14ac:dyDescent="0.25">
      <c r="A747" t="n">
        <v>25</v>
      </c>
      <c r="B747" t="s">
        <v>14</v>
      </c>
      <c r="C747" t="s">
        <v>22</v>
      </c>
      <c r="D747" s="2" t="s">
        <f>=HYPERLINK("https://main.knesset.gov.il/APPS/legislation/main/bills/2196113", "הצעת חוק הכרה אזרחית בהכשרות צבאיות (תיקון - הכרה בניסיון פיקודי כניסיון ניהולי), התשפ""ה-2024")</f>
        <v>1630</v>
      </c>
      <c r="E747" t="s">
        <v>1630</v>
      </c>
      <c r="F747" t="s">
        <v>1631</v>
      </c>
      <c r="G747" t="s">
        <v>14</v>
      </c>
      <c r="H747">
             </c>
      <c r="I747" t="s">
        <v>14</v>
      </c>
      <c r="J747" t="s">
        <v>55</v>
      </c>
      <c r="K747" t="s">
        <v>14</v>
      </c>
      <c r="L747" t="s">
        <v>20</v>
      </c>
      <c r="M747" t="s">
        <v>1609</v>
      </c>
      <c r="N747" t="s">
        <v>14</v>
      </c>
    </row>
    <row r="748" x14ac:dyDescent="0.25">
      <c r="A748" t="n">
        <v>25</v>
      </c>
      <c r="B748" t="s">
        <v>14</v>
      </c>
      <c r="C748" t="s">
        <v>22</v>
      </c>
      <c r="D748" s="2" t="s">
        <f>=HYPERLINK("https://main.knesset.gov.il/APPS/legislation/main/bills/2224764", "הצעת חוק הרשויות המקומיות (פטור חיילים, נפגעי מלחמה ושוטרים מארנונה) (תיקון - הנחה בארנונה למשרת בשירות מילואים פעיל) (הוראת שעה), התשפ""ה-2024")</f>
        <v>1632</v>
      </c>
      <c r="E748" t="s">
        <v>1632</v>
      </c>
      <c r="F748" t="s">
        <v>1633</v>
      </c>
      <c r="G748" t="s">
        <v>14</v>
      </c>
      <c r="H748">
             </c>
      <c r="I748" t="s">
        <v>14</v>
      </c>
      <c r="J748" t="s">
        <v>55</v>
      </c>
      <c r="K748" t="s">
        <v>14</v>
      </c>
      <c r="L748" t="s">
        <v>20</v>
      </c>
      <c r="M748" t="s">
        <v>1609</v>
      </c>
      <c r="N748" t="s">
        <v>14</v>
      </c>
    </row>
    <row r="749" x14ac:dyDescent="0.25">
      <c r="A749" t="n">
        <v>25</v>
      </c>
      <c r="B749" t="s">
        <v>14</v>
      </c>
      <c r="C749" t="s">
        <v>22</v>
      </c>
      <c r="D749" s="2" t="s">
        <f>=HYPERLINK("https://main.knesset.gov.il/APPS/legislation/main/bills/2223817", "הצעת חוק איסור שימוש בטלפונים חכמים במוסדות חינוך, התשפ""ה-2024")</f>
        <v>1634</v>
      </c>
      <c r="E749" t="s">
        <v>1634</v>
      </c>
      <c r="F749" t="s">
        <v>1635</v>
      </c>
      <c r="G749" t="s">
        <v>14</v>
      </c>
      <c r="H749">
             </c>
      <c r="I749" t="s">
        <v>14</v>
      </c>
      <c r="J749" t="s">
        <v>55</v>
      </c>
      <c r="K749" t="s">
        <v>14</v>
      </c>
      <c r="L749" t="s">
        <v>20</v>
      </c>
      <c r="M749" t="s">
        <v>1609</v>
      </c>
      <c r="N749" t="s">
        <v>14</v>
      </c>
    </row>
    <row r="750" x14ac:dyDescent="0.25">
      <c r="A750" t="n">
        <v>25</v>
      </c>
      <c r="B750" t="s">
        <v>14</v>
      </c>
      <c r="C750" t="s">
        <v>22</v>
      </c>
      <c r="D750" s="2" t="s">
        <f>=HYPERLINK("https://main.knesset.gov.il/APPS/legislation/main/bills/2209715", "הצעת חוק זכויות ושירותים לילדים ובני נוער עם קשיים נפשיים, התשפ""ד-2023")</f>
        <v>1636</v>
      </c>
      <c r="E750" t="s">
        <v>1636</v>
      </c>
      <c r="F750" t="s">
        <v>1637</v>
      </c>
      <c r="G750" t="s">
        <v>14</v>
      </c>
      <c r="H750">
             </c>
      <c r="I750" t="s">
        <v>14</v>
      </c>
      <c r="J750" t="s">
        <v>55</v>
      </c>
      <c r="K750" t="s">
        <v>14</v>
      </c>
      <c r="L750" t="s">
        <v>20</v>
      </c>
      <c r="M750" t="s">
        <v>1609</v>
      </c>
      <c r="N750" t="s">
        <v>14</v>
      </c>
    </row>
    <row r="751" x14ac:dyDescent="0.25">
      <c r="A751" t="n">
        <v>25</v>
      </c>
      <c r="B751" t="s">
        <v>14</v>
      </c>
      <c r="C751" t="s">
        <v>22</v>
      </c>
      <c r="D751" s="2" t="s">
        <f>=HYPERLINK("https://main.knesset.gov.il/APPS/legislation/main/bills/2204830", "הצעת חוק שיפוט בתי דין רבניים (נישואין וגירושין) (תיקון - מתן פסק דין במקרי אלימות קשים), התשפ""ג-2023")</f>
        <v>1638</v>
      </c>
      <c r="E751" t="s">
        <v>1638</v>
      </c>
      <c r="F751" t="s">
        <v>1639</v>
      </c>
      <c r="G751" t="s">
        <v>14</v>
      </c>
      <c r="H751">
             </c>
      <c r="I751" t="s">
        <v>14</v>
      </c>
      <c r="J751" t="s">
        <v>55</v>
      </c>
      <c r="K751" t="s">
        <v>14</v>
      </c>
      <c r="L751" t="s">
        <v>20</v>
      </c>
      <c r="M751" t="s">
        <v>1609</v>
      </c>
      <c r="N751" t="s">
        <v>14</v>
      </c>
    </row>
    <row r="752" x14ac:dyDescent="0.25">
      <c r="A752" t="n">
        <v>25</v>
      </c>
      <c r="B752" t="s">
        <v>14</v>
      </c>
      <c r="C752" t="s">
        <v>22</v>
      </c>
      <c r="D752" s="2" t="s">
        <f>=HYPERLINK("https://main.knesset.gov.il/APPS/legislation/main/bills/2203944", "הצעת חוק שיפוט בתי דין רבניים (נישואין וגירושין) (תיקון - הגבלת משך זמן ההליך), התשפ""ג-2023")</f>
        <v>1640</v>
      </c>
      <c r="E752" t="s">
        <v>1640</v>
      </c>
      <c r="F752" t="s">
        <v>1641</v>
      </c>
      <c r="G752" t="s">
        <v>14</v>
      </c>
      <c r="H752">
             </c>
      <c r="I752" t="s">
        <v>14</v>
      </c>
      <c r="J752" t="s">
        <v>55</v>
      </c>
      <c r="K752" t="s">
        <v>14</v>
      </c>
      <c r="L752" t="s">
        <v>20</v>
      </c>
      <c r="M752" t="s">
        <v>1609</v>
      </c>
      <c r="N752" t="s">
        <v>14</v>
      </c>
    </row>
    <row r="753" x14ac:dyDescent="0.25">
      <c r="A753" t="n">
        <v>25</v>
      </c>
      <c r="B753" t="s">
        <v>14</v>
      </c>
      <c r="C753" t="s">
        <v>22</v>
      </c>
      <c r="D753" s="2" t="s">
        <f>=HYPERLINK("https://main.knesset.gov.il/APPS/legislation/main/bills/2196991", "הצעת חוק נישואים אזרחיים, התשפ""ג-2022")</f>
        <v>1642</v>
      </c>
      <c r="E753" t="s">
        <v>1642</v>
      </c>
      <c r="F753" t="s">
        <v>1643</v>
      </c>
      <c r="G753" t="s">
        <v>14</v>
      </c>
      <c r="H753">
             </c>
      <c r="I753" t="s">
        <v>14</v>
      </c>
      <c r="J753" t="s">
        <v>55</v>
      </c>
      <c r="K753" t="s">
        <v>14</v>
      </c>
      <c r="L753" t="s">
        <v>20</v>
      </c>
      <c r="M753" t="s">
        <v>1609</v>
      </c>
      <c r="N753" t="s">
        <v>14</v>
      </c>
    </row>
    <row r="754" x14ac:dyDescent="0.25">
      <c r="A754" t="n">
        <v>25</v>
      </c>
      <c r="B754" t="s">
        <v>14</v>
      </c>
      <c r="C754" t="s">
        <v>15</v>
      </c>
      <c r="D754" s="2" t="s">
        <f>=HYPERLINK("https://main.knesset.gov.il/APPS/legislation/main/bills/1046160", "הצעת חוק רישוי שירותים ומקצועות בענף הרכב (תיקון מס' 14) (הוראות לעניין סייבר והעדפת מכס-ארץ המקור), התשפ""ו-2025")</f>
        <v>1644</v>
      </c>
      <c r="E754" t="s">
        <v>1644</v>
      </c>
      <c r="F754" t="s">
        <v>14</v>
      </c>
      <c r="G754" t="s">
        <v>1645</v>
      </c>
      <c r="H754">
             </c>
      <c r="I754" t="s">
        <v>14</v>
      </c>
      <c r="J754" t="s">
        <v>69</v>
      </c>
      <c r="K754" t="s">
        <v>14</v>
      </c>
      <c r="L754" t="s">
        <v>20</v>
      </c>
      <c r="M754" t="s">
        <v>1609</v>
      </c>
      <c r="N754" t="s">
        <v>14</v>
      </c>
    </row>
    <row r="755" x14ac:dyDescent="0.25">
      <c r="A755" t="n">
        <v>25</v>
      </c>
      <c r="B755" t="s">
        <v>14</v>
      </c>
      <c r="C755" t="s">
        <v>22</v>
      </c>
      <c r="D755" s="2" t="s">
        <f>=HYPERLINK("https://main.knesset.gov.il/APPS/legislation/main/bills/2230612", "הצעת חוק תשלומים לפדויי שבי ולחטופים ששוחררו (תיקון - העלאת דרגת הנכות ל-100% לחטופים ששוחררו), התשפ""ה-2025")</f>
        <v>1646</v>
      </c>
      <c r="E755" t="s">
        <v>1646</v>
      </c>
      <c r="F755" t="s">
        <v>1647</v>
      </c>
      <c r="G755" t="s">
        <v>14</v>
      </c>
      <c r="H755">
             </c>
      <c r="I755" t="s">
        <v>14</v>
      </c>
      <c r="J755" t="s">
        <v>31</v>
      </c>
      <c r="K755" t="s">
        <v>127</v>
      </c>
      <c r="L755" t="s">
        <v>20</v>
      </c>
      <c r="M755" t="s">
        <v>1648</v>
      </c>
      <c r="N755" t="s">
        <v>14</v>
      </c>
    </row>
    <row r="756" x14ac:dyDescent="0.25">
      <c r="A756" t="n">
        <v>25</v>
      </c>
      <c r="B756" t="s">
        <v>14</v>
      </c>
      <c r="C756" t="s">
        <v>22</v>
      </c>
      <c r="D756" s="2" t="s">
        <f>=HYPERLINK("https://main.knesset.gov.il/APPS/legislation/main/bills/2229075", "הצעת חוק תשלומים לפדויי שבי ולחטופים ששוחררו (תיקון - העלאת דרגת הנכות בשנה הראשונה לשחרור), התשפ""ה-2025")</f>
        <v>1649</v>
      </c>
      <c r="E756" t="s">
        <v>1649</v>
      </c>
      <c r="F756" t="s">
        <v>1650</v>
      </c>
      <c r="G756" t="s">
        <v>14</v>
      </c>
      <c r="H756">
             </c>
      <c r="I756" t="s">
        <v>14</v>
      </c>
      <c r="J756" t="s">
        <v>31</v>
      </c>
      <c r="K756" t="s">
        <v>127</v>
      </c>
      <c r="L756" t="s">
        <v>20</v>
      </c>
      <c r="M756" t="s">
        <v>1648</v>
      </c>
      <c r="N756" t="s">
        <v>14</v>
      </c>
    </row>
    <row r="757" x14ac:dyDescent="0.25">
      <c r="A757" t="n">
        <v>25</v>
      </c>
      <c r="B757" t="s">
        <v>14</v>
      </c>
      <c r="C757" t="s">
        <v>22</v>
      </c>
      <c r="D757" s="2" t="s">
        <f>=HYPERLINK("https://main.knesset.gov.il/APPS/legislation/main/bills/2228324", "הצעת חוק תשלומים לפדויי שבי ולחטופים ששוחררו (תיקון - הרחבת הזכאויות לחטופים ששוחררו), התשפ""ה-2025 ")</f>
        <v>1651</v>
      </c>
      <c r="E757" t="s">
        <v>1651</v>
      </c>
      <c r="F757" t="s">
        <v>1652</v>
      </c>
      <c r="G757" t="s">
        <v>14</v>
      </c>
      <c r="H757">
             </c>
      <c r="I757" t="s">
        <v>14</v>
      </c>
      <c r="J757" t="s">
        <v>31</v>
      </c>
      <c r="K757" t="s">
        <v>127</v>
      </c>
      <c r="L757" t="s">
        <v>20</v>
      </c>
      <c r="M757" t="s">
        <v>1648</v>
      </c>
      <c r="N757" t="s">
        <v>14</v>
      </c>
    </row>
    <row r="758" x14ac:dyDescent="0.25">
      <c r="A758" t="n">
        <v>25</v>
      </c>
      <c r="B758" t="s">
        <v>14</v>
      </c>
      <c r="C758" t="s">
        <v>22</v>
      </c>
      <c r="D758" s="2" t="s">
        <f>=HYPERLINK("https://main.knesset.gov.il/APPS/legislation/main/bills/2226415", "הצעת חוק תשלומים לפדויי שבי ולחטופים ששוחררו (תיקון - העלאת דרגת הנכות ל-100% לחטופים ששוחררו), התשפ""ה-2025 ")</f>
        <v>1653</v>
      </c>
      <c r="E758" t="s">
        <v>1653</v>
      </c>
      <c r="F758" t="s">
        <v>1654</v>
      </c>
      <c r="G758" t="s">
        <v>14</v>
      </c>
      <c r="H758">
             </c>
      <c r="I758" t="s">
        <v>14</v>
      </c>
      <c r="J758" t="s">
        <v>31</v>
      </c>
      <c r="K758" t="s">
        <v>127</v>
      </c>
      <c r="L758" t="s">
        <v>20</v>
      </c>
      <c r="M758" t="s">
        <v>1648</v>
      </c>
      <c r="N758" t="s">
        <v>14</v>
      </c>
    </row>
    <row r="759" x14ac:dyDescent="0.25">
      <c r="A759" t="n">
        <v>25</v>
      </c>
      <c r="B759" t="s">
        <v>14</v>
      </c>
      <c r="C759" t="s">
        <v>15</v>
      </c>
      <c r="D759" s="2" t="s">
        <f>=HYPERLINK("https://main.knesset.gov.il/APPS/legislation/main/bills/2231783", "הצעת חוק תשלומים לפדויי שבי ולחטופים ששוחררו (תיקון מס' 7), התשפ""ה-2025 ")</f>
        <v>1655</v>
      </c>
      <c r="E759" t="s">
        <v>1655</v>
      </c>
      <c r="F759" t="s">
        <v>14</v>
      </c>
      <c r="G759" t="s">
        <v>1656</v>
      </c>
      <c r="H759">
             </c>
      <c r="I759" t="s">
        <v>14</v>
      </c>
      <c r="J759" t="s">
        <v>18</v>
      </c>
      <c r="K759" t="s">
        <v>127</v>
      </c>
      <c r="L759" t="s">
        <v>20</v>
      </c>
      <c r="M759" t="s">
        <v>1648</v>
      </c>
      <c r="N759" t="s">
        <v>14</v>
      </c>
    </row>
    <row r="760" x14ac:dyDescent="0.25">
      <c r="A760" t="n">
        <v>25</v>
      </c>
      <c r="B760" t="s">
        <v>14</v>
      </c>
      <c r="C760" t="s">
        <v>22</v>
      </c>
      <c r="D760" s="2" t="s">
        <f>=HYPERLINK("https://main.knesset.gov.il/APPS/legislation/main/bills/2197997", "הצעת חוק הגנת השכר (תיקון - איסור ניכוי חוב או קנס), התשפ""ג-2023")</f>
        <v>1657</v>
      </c>
      <c r="E760" t="s">
        <v>1657</v>
      </c>
      <c r="F760" t="s">
        <v>1658</v>
      </c>
      <c r="G760" t="s">
        <v>14</v>
      </c>
      <c r="H760">
             </c>
      <c r="I760" t="s">
        <v>14</v>
      </c>
      <c r="J760" t="s">
        <v>99</v>
      </c>
      <c r="K760" t="s">
        <v>127</v>
      </c>
      <c r="L760" t="s">
        <v>20</v>
      </c>
      <c r="M760" t="s">
        <v>1648</v>
      </c>
      <c r="N760" t="s">
        <v>14</v>
      </c>
    </row>
    <row r="761" x14ac:dyDescent="0.25">
      <c r="A761" t="n">
        <v>25</v>
      </c>
      <c r="B761" t="s">
        <v>14</v>
      </c>
      <c r="C761" t="s">
        <v>22</v>
      </c>
      <c r="D761" s="2" t="s">
        <f>=HYPERLINK("https://main.knesset.gov.il/APPS/legislation/main/bills/2218391", "חוק מניעת פגיעת גוף שידורים זר בביטחון המדינה (הוראת שעה), התשפ""ו–2025")</f>
        <v>1659</v>
      </c>
      <c r="E761" t="s">
        <v>1659</v>
      </c>
      <c r="F761" t="s">
        <v>1660</v>
      </c>
      <c r="G761" t="s">
        <v>1661</v>
      </c>
      <c r="H761" t="n">
        <v>3470</v>
      </c>
      <c r="I761" t="s">
        <v>14</v>
      </c>
      <c r="J761" t="s">
        <v>91</v>
      </c>
      <c r="K761" t="s">
        <v>105</v>
      </c>
      <c r="L761" t="s">
        <v>20</v>
      </c>
      <c r="M761" t="s">
        <v>1648</v>
      </c>
      <c r="N761" t="s">
        <v>1662</v>
      </c>
    </row>
    <row r="762" x14ac:dyDescent="0.25">
      <c r="A762" t="n">
        <v>25</v>
      </c>
      <c r="B762" t="s">
        <v>14</v>
      </c>
      <c r="C762" t="s">
        <v>22</v>
      </c>
      <c r="D762" s="2" t="s">
        <f>=HYPERLINK("https://main.knesset.gov.il/APPS/legislation/main/bills/2237496", "הצעת חוק סמכויות לשם שמירה על ביטחון הציבור (תיקון - הסדרת סיירות ביטחון ברשויות המקומיות), התשפ""ו-2025")</f>
        <v>1663</v>
      </c>
      <c r="E762" t="s">
        <v>1663</v>
      </c>
      <c r="F762" t="s">
        <v>1664</v>
      </c>
      <c r="G762" t="s">
        <v>14</v>
      </c>
      <c r="H762">
             </c>
      <c r="I762" t="s">
        <v>14</v>
      </c>
      <c r="J762" t="s">
        <v>141</v>
      </c>
      <c r="K762" t="s">
        <v>14</v>
      </c>
      <c r="L762" t="s">
        <v>20</v>
      </c>
      <c r="M762" t="s">
        <v>1648</v>
      </c>
      <c r="N762" t="s">
        <v>14</v>
      </c>
    </row>
    <row r="763" x14ac:dyDescent="0.25">
      <c r="A763" t="n">
        <v>25</v>
      </c>
      <c r="B763" t="s">
        <v>14</v>
      </c>
      <c r="C763" t="s">
        <v>22</v>
      </c>
      <c r="D763" s="2" t="s">
        <f>=HYPERLINK("https://main.knesset.gov.il/APPS/legislation/main/bills/2237941", "הצעת חוק למאבק בהברחות נשק (תיקוני חקיקה), התשפ""ו-2025")</f>
        <v>1665</v>
      </c>
      <c r="E763" t="s">
        <v>1665</v>
      </c>
      <c r="F763" t="s">
        <v>1666</v>
      </c>
      <c r="G763" t="s">
        <v>14</v>
      </c>
      <c r="H763">
             </c>
      <c r="I763" t="s">
        <v>14</v>
      </c>
      <c r="J763" t="s">
        <v>141</v>
      </c>
      <c r="K763" t="s">
        <v>14</v>
      </c>
      <c r="L763" t="s">
        <v>20</v>
      </c>
      <c r="M763" t="s">
        <v>1648</v>
      </c>
      <c r="N763" t="s">
        <v>14</v>
      </c>
    </row>
    <row r="764" x14ac:dyDescent="0.25">
      <c r="A764" t="n">
        <v>25</v>
      </c>
      <c r="B764" t="s">
        <v>14</v>
      </c>
      <c r="C764" t="s">
        <v>22</v>
      </c>
      <c r="D764" s="2" t="s">
        <f>=HYPERLINK("https://main.knesset.gov.il/APPS/legislation/main/bills/2237967", "הצעת חוק החלת הריבונות הישראלית על מתחם מערת המכפלה, התשפ""ו-2025")</f>
        <v>1667</v>
      </c>
      <c r="E764" t="s">
        <v>1667</v>
      </c>
      <c r="F764" t="s">
        <v>1668</v>
      </c>
      <c r="G764" t="s">
        <v>14</v>
      </c>
      <c r="H764">
             </c>
      <c r="I764" t="s">
        <v>14</v>
      </c>
      <c r="J764" t="s">
        <v>141</v>
      </c>
      <c r="K764" t="s">
        <v>14</v>
      </c>
      <c r="L764" t="s">
        <v>20</v>
      </c>
      <c r="M764" t="s">
        <v>1648</v>
      </c>
      <c r="N764" t="s">
        <v>14</v>
      </c>
    </row>
    <row r="765" x14ac:dyDescent="0.25">
      <c r="A765" t="n">
        <v>25</v>
      </c>
      <c r="B765" t="s">
        <v>14</v>
      </c>
      <c r="C765" t="s">
        <v>22</v>
      </c>
      <c r="D765" s="2" t="s">
        <f>=HYPERLINK("https://main.knesset.gov.il/APPS/legislation/main/bills/2237970", "הצעת חוק להפסקת פעילות אונר""א (תיקון - אי-אספקת חשמל ומים וסמכות תפיסת חזקה במקרקעין), התשפ""ו-2025")</f>
        <v>1669</v>
      </c>
      <c r="E765" t="s">
        <v>1669</v>
      </c>
      <c r="F765" t="s">
        <v>1670</v>
      </c>
      <c r="G765" t="s">
        <v>14</v>
      </c>
      <c r="H765">
             </c>
      <c r="I765" t="s">
        <v>14</v>
      </c>
      <c r="J765" t="s">
        <v>141</v>
      </c>
      <c r="K765" t="s">
        <v>14</v>
      </c>
      <c r="L765" t="s">
        <v>20</v>
      </c>
      <c r="M765" t="s">
        <v>1648</v>
      </c>
      <c r="N765" t="s">
        <v>14</v>
      </c>
    </row>
    <row r="766" x14ac:dyDescent="0.25">
      <c r="A766" t="n">
        <v>25</v>
      </c>
      <c r="B766" t="s">
        <v>14</v>
      </c>
      <c r="C766" t="s">
        <v>22</v>
      </c>
      <c r="D766" s="2" t="s">
        <f>=HYPERLINK("https://main.knesset.gov.il/APPS/legislation/main/bills/2237282", "הצעת חוק ביטוח בריאות ממלכתי (תיקון - חידוש חברות בקופת חולים לחייל משוחרר), התשפ״ו-2025")</f>
        <v>1671</v>
      </c>
      <c r="E766" t="s">
        <v>1671</v>
      </c>
      <c r="F766" t="s">
        <v>1672</v>
      </c>
      <c r="G766" t="s">
        <v>14</v>
      </c>
      <c r="H766">
             </c>
      <c r="I766" t="s">
        <v>14</v>
      </c>
      <c r="J766" t="s">
        <v>141</v>
      </c>
      <c r="K766" t="s">
        <v>14</v>
      </c>
      <c r="L766" t="s">
        <v>20</v>
      </c>
      <c r="M766" t="s">
        <v>1648</v>
      </c>
      <c r="N766" t="s">
        <v>14</v>
      </c>
    </row>
    <row r="767" x14ac:dyDescent="0.25">
      <c r="A767" t="n">
        <v>25</v>
      </c>
      <c r="B767" t="s">
        <v>14</v>
      </c>
      <c r="C767" t="s">
        <v>22</v>
      </c>
      <c r="D767" s="2" t="s">
        <f>=HYPERLINK("https://main.knesset.gov.il/APPS/legislation/main/bills/2237073", "הצעת חוק חברות ניהול בניין מגורים או משרדים, התשפ""ו-2025")</f>
        <v>1673</v>
      </c>
      <c r="E767" t="s">
        <v>1673</v>
      </c>
      <c r="F767" t="s">
        <v>1674</v>
      </c>
      <c r="G767" t="s">
        <v>14</v>
      </c>
      <c r="H767">
             </c>
      <c r="I767" t="s">
        <v>14</v>
      </c>
      <c r="J767" t="s">
        <v>141</v>
      </c>
      <c r="K767" t="s">
        <v>14</v>
      </c>
      <c r="L767" t="s">
        <v>20</v>
      </c>
      <c r="M767" t="s">
        <v>1648</v>
      </c>
      <c r="N767" t="s">
        <v>14</v>
      </c>
    </row>
    <row r="768" x14ac:dyDescent="0.25">
      <c r="A768" t="n">
        <v>25</v>
      </c>
      <c r="B768" t="s">
        <v>14</v>
      </c>
      <c r="C768" t="s">
        <v>22</v>
      </c>
      <c r="D768" s="2" t="s">
        <f>=HYPERLINK("https://main.knesset.gov.il/APPS/legislation/main/bills/2237089", "הצעת חוק סדר הדין הפלילי (סמכויות אכיפה - מעצרים) (תיקון - משך מעצר מרבי ועילות מעצר), התשפ""ו-2025")</f>
        <v>1675</v>
      </c>
      <c r="E768" t="s">
        <v>1675</v>
      </c>
      <c r="F768" t="s">
        <v>1676</v>
      </c>
      <c r="G768" t="s">
        <v>14</v>
      </c>
      <c r="H768">
             </c>
      <c r="I768" t="s">
        <v>14</v>
      </c>
      <c r="J768" t="s">
        <v>141</v>
      </c>
      <c r="K768" t="s">
        <v>14</v>
      </c>
      <c r="L768" t="s">
        <v>20</v>
      </c>
      <c r="M768" t="s">
        <v>1648</v>
      </c>
      <c r="N768" t="s">
        <v>14</v>
      </c>
    </row>
    <row r="769" x14ac:dyDescent="0.25">
      <c r="A769" t="n">
        <v>25</v>
      </c>
      <c r="B769" t="s">
        <v>14</v>
      </c>
      <c r="C769" t="s">
        <v>22</v>
      </c>
      <c r="D769" s="2" t="s">
        <f>=HYPERLINK("https://main.knesset.gov.il/APPS/legislation/main/bills/2237316", "הצעת חוק איסור לשון הרע (תיקון - פיצוי ללא הוכחת נזק), התשפ""ו-2025")</f>
        <v>1677</v>
      </c>
      <c r="E769" t="s">
        <v>1677</v>
      </c>
      <c r="F769" t="s">
        <v>1678</v>
      </c>
      <c r="G769" t="s">
        <v>14</v>
      </c>
      <c r="H769">
             </c>
      <c r="I769" t="s">
        <v>14</v>
      </c>
      <c r="J769" t="s">
        <v>141</v>
      </c>
      <c r="K769" t="s">
        <v>14</v>
      </c>
      <c r="L769" t="s">
        <v>20</v>
      </c>
      <c r="M769" t="s">
        <v>1648</v>
      </c>
      <c r="N769" t="s">
        <v>14</v>
      </c>
    </row>
    <row r="770" x14ac:dyDescent="0.25">
      <c r="A770" t="n">
        <v>25</v>
      </c>
      <c r="B770" t="s">
        <v>14</v>
      </c>
      <c r="C770" t="s">
        <v>22</v>
      </c>
      <c r="D770" s="2" t="s">
        <f>=HYPERLINK("https://main.knesset.gov.il/APPS/legislation/main/bills/2237774", "הצעת חוק שעות עבודה ומנוחה (תיקון - אי-תחולת החוק על כבאים), התשפ""ו-2025 ")</f>
        <v>1679</v>
      </c>
      <c r="E770" t="s">
        <v>1679</v>
      </c>
      <c r="F770" t="s">
        <v>1680</v>
      </c>
      <c r="G770" t="s">
        <v>14</v>
      </c>
      <c r="H770">
             </c>
      <c r="I770" t="s">
        <v>14</v>
      </c>
      <c r="J770" t="s">
        <v>141</v>
      </c>
      <c r="K770" t="s">
        <v>14</v>
      </c>
      <c r="L770" t="s">
        <v>20</v>
      </c>
      <c r="M770" t="s">
        <v>1648</v>
      </c>
      <c r="N770" t="s">
        <v>14</v>
      </c>
    </row>
    <row r="771" x14ac:dyDescent="0.25">
      <c r="A771" t="n">
        <v>25</v>
      </c>
      <c r="B771" t="s">
        <v>14</v>
      </c>
      <c r="C771" t="s">
        <v>22</v>
      </c>
      <c r="D771" s="2" t="s">
        <f>=HYPERLINK("https://main.knesset.gov.il/APPS/legislation/main/bills/2236212", "הצעת חוק מינוי תובע מיוחד, התשפ״ו-2025")</f>
        <v>1681</v>
      </c>
      <c r="E771" t="s">
        <v>1681</v>
      </c>
      <c r="F771" t="s">
        <v>1682</v>
      </c>
      <c r="G771" t="s">
        <v>14</v>
      </c>
      <c r="H771">
             </c>
      <c r="I771" t="s">
        <v>14</v>
      </c>
      <c r="J771" t="s">
        <v>141</v>
      </c>
      <c r="K771" t="s">
        <v>14</v>
      </c>
      <c r="L771" t="s">
        <v>20</v>
      </c>
      <c r="M771" t="s">
        <v>1648</v>
      </c>
      <c r="N771" t="s">
        <v>14</v>
      </c>
    </row>
    <row r="772" x14ac:dyDescent="0.25">
      <c r="A772" t="n">
        <v>25</v>
      </c>
      <c r="B772" t="s">
        <v>14</v>
      </c>
      <c r="C772" t="s">
        <v>22</v>
      </c>
      <c r="D772" s="2" t="s">
        <f>=HYPERLINK("https://main.knesset.gov.il/APPS/legislation/main/bills/2237333", "הצעת חוק הפיקוח על מוצר ביטוח ארוך טווח, התשפ""ו-2025")</f>
        <v>1683</v>
      </c>
      <c r="E772" t="s">
        <v>1683</v>
      </c>
      <c r="F772" t="s">
        <v>1684</v>
      </c>
      <c r="G772" t="s">
        <v>14</v>
      </c>
      <c r="H772">
             </c>
      <c r="I772" t="s">
        <v>14</v>
      </c>
      <c r="J772" t="s">
        <v>141</v>
      </c>
      <c r="K772" t="s">
        <v>14</v>
      </c>
      <c r="L772" t="s">
        <v>20</v>
      </c>
      <c r="M772" t="s">
        <v>1648</v>
      </c>
      <c r="N772" t="s">
        <v>14</v>
      </c>
    </row>
    <row r="773" x14ac:dyDescent="0.25">
      <c r="A773" t="n">
        <v>25</v>
      </c>
      <c r="B773" t="s">
        <v>14</v>
      </c>
      <c r="C773" t="s">
        <v>22</v>
      </c>
      <c r="D773" s="2" t="s">
        <f>=HYPERLINK("https://main.knesset.gov.il/APPS/legislation/main/bills/2237776", "הצעת חוק משפחות חיילים שנספו במערכה (תגמולים ושיקום) (תיקון - הגדלת סכום ההשתתפות בהוצאות אזכרה), התשפ""ו-2025")</f>
        <v>1685</v>
      </c>
      <c r="E773" t="s">
        <v>1685</v>
      </c>
      <c r="F773" t="s">
        <v>1686</v>
      </c>
      <c r="G773" t="s">
        <v>14</v>
      </c>
      <c r="H773">
             </c>
      <c r="I773" t="s">
        <v>14</v>
      </c>
      <c r="J773" t="s">
        <v>141</v>
      </c>
      <c r="K773" t="s">
        <v>14</v>
      </c>
      <c r="L773" t="s">
        <v>20</v>
      </c>
      <c r="M773" t="s">
        <v>1648</v>
      </c>
      <c r="N773" t="s">
        <v>14</v>
      </c>
    </row>
    <row r="774" x14ac:dyDescent="0.25">
      <c r="A774" t="n">
        <v>25</v>
      </c>
      <c r="B774" t="s">
        <v>14</v>
      </c>
      <c r="C774" t="s">
        <v>22</v>
      </c>
      <c r="D774" s="2" t="s">
        <f>=HYPERLINK("https://main.knesset.gov.il/APPS/legislation/main/bills/2235417", "הצעת חוק חסינות במילוי תפקיד לראש רשות מקומית (תיקוני חקיקה), התשפ""ו-2025")</f>
        <v>1687</v>
      </c>
      <c r="E774" t="s">
        <v>1687</v>
      </c>
      <c r="F774" t="s">
        <v>1688</v>
      </c>
      <c r="G774" t="s">
        <v>14</v>
      </c>
      <c r="H774">
             </c>
      <c r="I774" t="s">
        <v>14</v>
      </c>
      <c r="J774" t="s">
        <v>141</v>
      </c>
      <c r="K774" t="s">
        <v>14</v>
      </c>
      <c r="L774" t="s">
        <v>20</v>
      </c>
      <c r="M774" t="s">
        <v>1648</v>
      </c>
      <c r="N774" t="s">
        <v>14</v>
      </c>
    </row>
    <row r="775" x14ac:dyDescent="0.25">
      <c r="A775" t="n">
        <v>25</v>
      </c>
      <c r="B775" t="s">
        <v>14</v>
      </c>
      <c r="C775" t="s">
        <v>22</v>
      </c>
      <c r="D775" s="2" t="s">
        <f>=HYPERLINK("https://main.knesset.gov.il/APPS/legislation/main/bills/2237486", "הצעת חוק מניעת רעש בלתי סביר של המואזין, התשפ״ו-2025")</f>
        <v>1689</v>
      </c>
      <c r="E775" t="s">
        <v>1689</v>
      </c>
      <c r="F775" t="s">
        <v>1690</v>
      </c>
      <c r="G775" t="s">
        <v>14</v>
      </c>
      <c r="H775">
             </c>
      <c r="I775" t="s">
        <v>14</v>
      </c>
      <c r="J775" t="s">
        <v>343</v>
      </c>
      <c r="K775" t="s">
        <v>14</v>
      </c>
      <c r="L775" t="s">
        <v>20</v>
      </c>
      <c r="M775" t="s">
        <v>1648</v>
      </c>
      <c r="N775" t="s">
        <v>14</v>
      </c>
    </row>
    <row r="776" x14ac:dyDescent="0.25">
      <c r="A776" t="n">
        <v>25</v>
      </c>
      <c r="B776" t="s">
        <v>14</v>
      </c>
      <c r="C776" t="s">
        <v>22</v>
      </c>
      <c r="D776" s="2" t="s">
        <f>=HYPERLINK("https://main.knesset.gov.il/APPS/legislation/main/bills/2237701", "הצעת חוק לתיקון פקודת התעבורה (שינוי שיטת החישוב של דמי חניה בחניון), התשפ""ו-2025")</f>
        <v>1691</v>
      </c>
      <c r="E776" t="s">
        <v>1691</v>
      </c>
      <c r="F776" t="s">
        <v>1692</v>
      </c>
      <c r="G776" t="s">
        <v>14</v>
      </c>
      <c r="H776">
             </c>
      <c r="I776" t="s">
        <v>14</v>
      </c>
      <c r="J776" t="s">
        <v>141</v>
      </c>
      <c r="K776" t="s">
        <v>14</v>
      </c>
      <c r="L776" t="s">
        <v>20</v>
      </c>
      <c r="M776" t="s">
        <v>1648</v>
      </c>
      <c r="N776" t="s">
        <v>14</v>
      </c>
    </row>
    <row r="777" x14ac:dyDescent="0.25">
      <c r="A777" t="n">
        <v>25</v>
      </c>
      <c r="B777" t="s">
        <v>14</v>
      </c>
      <c r="C777" t="s">
        <v>22</v>
      </c>
      <c r="D777" s="2" t="s">
        <f>=HYPERLINK("https://main.knesset.gov.il/APPS/legislation/main/bills/2237961", "הצעת חוק המזונות (הבטחת תשלום) (תיקון - סכום שלא יובא בחשבון במבחן ההכנסה בשבע השנים הראשונות), התשפ""ו-2025")</f>
        <v>1693</v>
      </c>
      <c r="E777" t="s">
        <v>1693</v>
      </c>
      <c r="F777" t="s">
        <v>1694</v>
      </c>
      <c r="G777" t="s">
        <v>14</v>
      </c>
      <c r="H777">
             </c>
      <c r="I777" t="s">
        <v>14</v>
      </c>
      <c r="J777" t="s">
        <v>141</v>
      </c>
      <c r="K777" t="s">
        <v>14</v>
      </c>
      <c r="L777" t="s">
        <v>20</v>
      </c>
      <c r="M777" t="s">
        <v>1648</v>
      </c>
      <c r="N777" t="s">
        <v>14</v>
      </c>
    </row>
    <row r="778" x14ac:dyDescent="0.25">
      <c r="A778" t="n">
        <v>25</v>
      </c>
      <c r="B778" t="s">
        <v>14</v>
      </c>
      <c r="C778" t="s">
        <v>22</v>
      </c>
      <c r="D778" s="2" t="s">
        <f>=HYPERLINK("https://main.knesset.gov.il/APPS/legislation/main/bills/2237960", "הצעת חוק תגמולים לבני משפחה של חטופים ונעדרים בפעולת איבה (תיקון - מתן זכויות של נפגעי איבה לבן משפחה של חטוף), התשפ""ו-2025")</f>
        <v>1695</v>
      </c>
      <c r="E778" t="s">
        <v>1695</v>
      </c>
      <c r="F778" t="s">
        <v>1696</v>
      </c>
      <c r="G778" t="s">
        <v>14</v>
      </c>
      <c r="H778">
             </c>
      <c r="I778" t="s">
        <v>14</v>
      </c>
      <c r="J778" t="s">
        <v>141</v>
      </c>
      <c r="K778" t="s">
        <v>14</v>
      </c>
      <c r="L778" t="s">
        <v>20</v>
      </c>
      <c r="M778" t="s">
        <v>1648</v>
      </c>
      <c r="N778" t="s">
        <v>14</v>
      </c>
    </row>
    <row r="779" x14ac:dyDescent="0.25">
      <c r="A779" t="n">
        <v>25</v>
      </c>
      <c r="B779" t="s">
        <v>14</v>
      </c>
      <c r="C779" t="s">
        <v>22</v>
      </c>
      <c r="D779" s="2" t="s">
        <f>=HYPERLINK("https://main.knesset.gov.il/APPS/legislation/main/bills/2237768", "הצעת חוק משפחות חיילים שנספו במערכה (תגמולים ושיקום) (תיקון - שעת הורות בעבודה לאלמן או לאלמנה בשנת האבל הראשונה), התשפ""ו-2025")</f>
        <v>1697</v>
      </c>
      <c r="E779" t="s">
        <v>1697</v>
      </c>
      <c r="F779" t="s">
        <v>1698</v>
      </c>
      <c r="G779" t="s">
        <v>14</v>
      </c>
      <c r="H779">
             </c>
      <c r="I779" t="s">
        <v>14</v>
      </c>
      <c r="J779" t="s">
        <v>141</v>
      </c>
      <c r="K779" t="s">
        <v>14</v>
      </c>
      <c r="L779" t="s">
        <v>20</v>
      </c>
      <c r="M779" t="s">
        <v>1648</v>
      </c>
      <c r="N779" t="s">
        <v>14</v>
      </c>
    </row>
    <row r="780" x14ac:dyDescent="0.25">
      <c r="A780" t="n">
        <v>25</v>
      </c>
      <c r="B780" t="s">
        <v>14</v>
      </c>
      <c r="C780" t="s">
        <v>22</v>
      </c>
      <c r="D780" s="2" t="s">
        <f>=HYPERLINK("https://main.knesset.gov.il/APPS/legislation/main/bills/2237696", "הצעת חוק לתיקון פקודת מס הכנסה (פטור ממס למשרת מילואים פעיל) (הוראת שעה - חרבות ברזל), התשפ""ו-2025")</f>
        <v>1699</v>
      </c>
      <c r="E780" t="s">
        <v>1699</v>
      </c>
      <c r="F780" t="s">
        <v>1700</v>
      </c>
      <c r="G780" t="s">
        <v>14</v>
      </c>
      <c r="H780">
             </c>
      <c r="I780" t="s">
        <v>14</v>
      </c>
      <c r="J780" t="s">
        <v>141</v>
      </c>
      <c r="K780" t="s">
        <v>14</v>
      </c>
      <c r="L780" t="s">
        <v>20</v>
      </c>
      <c r="M780" t="s">
        <v>1648</v>
      </c>
      <c r="N780" t="s">
        <v>14</v>
      </c>
    </row>
    <row r="781" x14ac:dyDescent="0.25">
      <c r="A781" t="n">
        <v>25</v>
      </c>
      <c r="B781" t="s">
        <v>14</v>
      </c>
      <c r="C781" t="s">
        <v>22</v>
      </c>
      <c r="D781" s="2" t="s">
        <f>=HYPERLINK("https://main.knesset.gov.il/APPS/legislation/main/bills/2237452", "הצעת חוק איסור הפליה במוצרים, בשירותים ובכניסה למקומות בידור ולמקומות ציבוריים (תיקון - הגדלת סכום הפיצוי בלא הוכחת נזק), התשפ""ו-2025")</f>
        <v>1701</v>
      </c>
      <c r="E781" t="s">
        <v>1701</v>
      </c>
      <c r="F781" t="s">
        <v>1702</v>
      </c>
      <c r="G781" t="s">
        <v>14</v>
      </c>
      <c r="H781">
             </c>
      <c r="I781" t="s">
        <v>14</v>
      </c>
      <c r="J781" t="s">
        <v>141</v>
      </c>
      <c r="K781" t="s">
        <v>14</v>
      </c>
      <c r="L781" t="s">
        <v>20</v>
      </c>
      <c r="M781" t="s">
        <v>1648</v>
      </c>
      <c r="N781" t="s">
        <v>14</v>
      </c>
    </row>
    <row r="782" x14ac:dyDescent="0.25">
      <c r="A782" t="n">
        <v>25</v>
      </c>
      <c r="B782" t="s">
        <v>14</v>
      </c>
      <c r="C782" t="s">
        <v>22</v>
      </c>
      <c r="D782" s="2" t="s">
        <f>=HYPERLINK("https://main.knesset.gov.il/APPS/legislation/main/bills/2237695", "הצעת חוק לימוד חובה (תיקון - הפחתת תקציב בשל אי-גיוס בוגרים), התשפ""ו- 2025")</f>
        <v>1703</v>
      </c>
      <c r="E782" t="s">
        <v>1703</v>
      </c>
      <c r="F782" t="s">
        <v>1704</v>
      </c>
      <c r="G782" t="s">
        <v>14</v>
      </c>
      <c r="H782">
             </c>
      <c r="I782" t="s">
        <v>14</v>
      </c>
      <c r="J782" t="s">
        <v>141</v>
      </c>
      <c r="K782" t="s">
        <v>14</v>
      </c>
      <c r="L782" t="s">
        <v>20</v>
      </c>
      <c r="M782" t="s">
        <v>1648</v>
      </c>
      <c r="N782" t="s">
        <v>14</v>
      </c>
    </row>
    <row r="783" x14ac:dyDescent="0.25">
      <c r="A783" t="n">
        <v>25</v>
      </c>
      <c r="B783" t="s">
        <v>14</v>
      </c>
      <c r="C783" t="s">
        <v>22</v>
      </c>
      <c r="D783" s="2" t="s">
        <f>=HYPERLINK("https://main.knesset.gov.il/APPS/legislation/main/bills/2237088", "הצעת חוק מענק לחטופים ולבני משפחות הנרצחים במתקפת 7 באוקטובר, התשפ""ו-2025")</f>
        <v>1705</v>
      </c>
      <c r="E783" t="s">
        <v>1705</v>
      </c>
      <c r="F783" t="s">
        <v>1706</v>
      </c>
      <c r="G783" t="s">
        <v>14</v>
      </c>
      <c r="H783">
             </c>
      <c r="I783" t="s">
        <v>14</v>
      </c>
      <c r="J783" t="s">
        <v>141</v>
      </c>
      <c r="K783" t="s">
        <v>14</v>
      </c>
      <c r="L783" t="s">
        <v>20</v>
      </c>
      <c r="M783" t="s">
        <v>1648</v>
      </c>
      <c r="N783" t="s">
        <v>14</v>
      </c>
    </row>
    <row r="784" x14ac:dyDescent="0.25">
      <c r="A784" t="n">
        <v>25</v>
      </c>
      <c r="B784" t="s">
        <v>14</v>
      </c>
      <c r="C784" t="s">
        <v>22</v>
      </c>
      <c r="D784" s="2" t="s">
        <f>=HYPERLINK("https://main.knesset.gov.il/APPS/legislation/main/bills/2237685", "הצעת חוק לתיקון פקודת התעבורה (שינוי שיטת החישוב של דמי חניה בחניון), התשפ""ו-2025")</f>
        <v>1691</v>
      </c>
      <c r="E784" t="s">
        <v>1691</v>
      </c>
      <c r="F784" t="s">
        <v>1707</v>
      </c>
      <c r="G784" t="s">
        <v>14</v>
      </c>
      <c r="H784">
             </c>
      <c r="I784" t="s">
        <v>14</v>
      </c>
      <c r="J784" t="s">
        <v>343</v>
      </c>
      <c r="K784" t="s">
        <v>14</v>
      </c>
      <c r="L784" t="s">
        <v>20</v>
      </c>
      <c r="M784" t="s">
        <v>1648</v>
      </c>
      <c r="N784" t="s">
        <v>14</v>
      </c>
    </row>
    <row r="785" x14ac:dyDescent="0.25">
      <c r="A785" t="n">
        <v>25</v>
      </c>
      <c r="B785" t="s">
        <v>14</v>
      </c>
      <c r="C785" t="s">
        <v>20</v>
      </c>
      <c r="D785" s="2" t="s">
        <f>=HYPERLINK("https://main.knesset.gov.il/APPS/legislation/main/bills/2237641", "הצעת חוק חסינות חברי הכנסת, זכויותיהם וחובותיהם (תיקון מס' 46) (אבטחת חבר הכנסת בחוץ לארץ), התשפ""ו–2025")</f>
        <v>1708</v>
      </c>
      <c r="E785" t="s">
        <v>1708</v>
      </c>
      <c r="F785" t="s">
        <v>14</v>
      </c>
      <c r="G785" t="s">
        <v>1709</v>
      </c>
      <c r="H785">
             </c>
      <c r="I785" t="s">
        <v>14</v>
      </c>
      <c r="J785" t="s">
        <v>69</v>
      </c>
      <c r="K785" t="s">
        <v>121</v>
      </c>
      <c r="L785" t="s">
        <v>20</v>
      </c>
      <c r="M785" t="s">
        <v>1648</v>
      </c>
      <c r="N785" t="s">
        <v>14</v>
      </c>
    </row>
    <row r="786" x14ac:dyDescent="0.25">
      <c r="A786" t="n">
        <v>25</v>
      </c>
      <c r="B786" t="s">
        <v>14</v>
      </c>
      <c r="C786" t="s">
        <v>15</v>
      </c>
      <c r="D786" s="2" t="s">
        <f>=HYPERLINK("https://main.knesset.gov.il/APPS/legislation/main/bills/1045890", "הצעת חוק העמותות (תיקון מס' 20) (עיצומים כספיים), התשפ""ו- 2025")</f>
        <v>1710</v>
      </c>
      <c r="E786" t="s">
        <v>1710</v>
      </c>
      <c r="F786" t="s">
        <v>14</v>
      </c>
      <c r="G786" t="s">
        <v>1711</v>
      </c>
      <c r="H786">
             </c>
      <c r="I786" t="s">
        <v>14</v>
      </c>
      <c r="J786" t="s">
        <v>69</v>
      </c>
      <c r="K786" t="s">
        <v>14</v>
      </c>
      <c r="L786" t="s">
        <v>20</v>
      </c>
      <c r="M786" t="s">
        <v>1648</v>
      </c>
      <c r="N786" t="s">
        <v>14</v>
      </c>
    </row>
    <row r="787" x14ac:dyDescent="0.25">
      <c r="A787" t="n">
        <v>25</v>
      </c>
      <c r="B787" t="s">
        <v>14</v>
      </c>
      <c r="C787" t="s">
        <v>22</v>
      </c>
      <c r="D787" s="2" t="s">
        <f>=HYPERLINK("https://main.knesset.gov.il/APPS/legislation/main/bills/2229950", "הצעת חוק רמת הגולן (תיקון - פיתוח וחיזוק רמת הגולן, וקביעת יום לציון רמת הגולן), התשפ""ה-2025")</f>
        <v>1712</v>
      </c>
      <c r="E787" t="s">
        <v>1712</v>
      </c>
      <c r="F787" t="s">
        <v>1713</v>
      </c>
      <c r="G787" t="s">
        <v>14</v>
      </c>
      <c r="H787">
             </c>
      <c r="I787" t="s">
        <v>14</v>
      </c>
      <c r="J787" t="s">
        <v>31</v>
      </c>
      <c r="K787" t="s">
        <v>114</v>
      </c>
      <c r="L787" t="s">
        <v>20</v>
      </c>
      <c r="M787" t="s">
        <v>1714</v>
      </c>
      <c r="N787" t="s">
        <v>14</v>
      </c>
    </row>
    <row r="788" x14ac:dyDescent="0.25">
      <c r="A788" t="n">
        <v>25</v>
      </c>
      <c r="B788" t="s">
        <v>14</v>
      </c>
      <c r="C788" t="s">
        <v>22</v>
      </c>
      <c r="D788" s="2" t="s">
        <f>=HYPERLINK("https://main.knesset.gov.il/APPS/legislation/main/bills/2230441", "הצעת חוק הגנה על קטינים (הזכות למחיקת מידע אישי), התשפ""ה-2025")</f>
        <v>1715</v>
      </c>
      <c r="E788" t="s">
        <v>1715</v>
      </c>
      <c r="F788" t="s">
        <v>1716</v>
      </c>
      <c r="G788" t="s">
        <v>14</v>
      </c>
      <c r="H788">
             </c>
      <c r="I788" t="s">
        <v>14</v>
      </c>
      <c r="J788" t="s">
        <v>31</v>
      </c>
      <c r="K788" t="s">
        <v>27</v>
      </c>
      <c r="L788" t="s">
        <v>20</v>
      </c>
      <c r="M788" t="s">
        <v>1714</v>
      </c>
      <c r="N788" t="s">
        <v>14</v>
      </c>
    </row>
    <row r="789" x14ac:dyDescent="0.25">
      <c r="A789" t="n">
        <v>25</v>
      </c>
      <c r="B789" t="s">
        <v>14</v>
      </c>
      <c r="C789" t="s">
        <v>22</v>
      </c>
      <c r="D789" s="2" t="s">
        <f>=HYPERLINK("https://main.knesset.gov.il/APPS/legislation/main/bills/2228371", "הצעת חוק הגנה על קטינים (הזכות למחיקת מידע אישי), התשפ""ה-2025")</f>
        <v>1715</v>
      </c>
      <c r="E789" t="s">
        <v>1715</v>
      </c>
      <c r="F789" t="s">
        <v>1717</v>
      </c>
      <c r="G789" t="s">
        <v>14</v>
      </c>
      <c r="H789">
             </c>
      <c r="I789" t="s">
        <v>14</v>
      </c>
      <c r="J789" t="s">
        <v>31</v>
      </c>
      <c r="K789" t="s">
        <v>27</v>
      </c>
      <c r="L789" t="s">
        <v>20</v>
      </c>
      <c r="M789" t="s">
        <v>1714</v>
      </c>
      <c r="N789" t="s">
        <v>14</v>
      </c>
    </row>
    <row r="790" x14ac:dyDescent="0.25">
      <c r="A790" t="n">
        <v>25</v>
      </c>
      <c r="B790" t="s">
        <v>14</v>
      </c>
      <c r="C790" t="s">
        <v>22</v>
      </c>
      <c r="D790" s="2" t="s">
        <f>=HYPERLINK("https://main.knesset.gov.il/APPS/legislation/main/bills/2226372", "הצעת חוק הגנה על קטינים (הזכות למחיקת מידע אישי), התשפ""ה-2025")</f>
        <v>1715</v>
      </c>
      <c r="E790" t="s">
        <v>1715</v>
      </c>
      <c r="F790" t="s">
        <v>1718</v>
      </c>
      <c r="G790" t="s">
        <v>14</v>
      </c>
      <c r="H790">
             </c>
      <c r="I790" t="s">
        <v>14</v>
      </c>
      <c r="J790" t="s">
        <v>31</v>
      </c>
      <c r="K790" t="s">
        <v>27</v>
      </c>
      <c r="L790" t="s">
        <v>20</v>
      </c>
      <c r="M790" t="s">
        <v>1714</v>
      </c>
      <c r="N790" t="s">
        <v>14</v>
      </c>
    </row>
    <row r="791" x14ac:dyDescent="0.25">
      <c r="A791" t="n">
        <v>25</v>
      </c>
      <c r="B791" t="s">
        <v>14</v>
      </c>
      <c r="C791" t="s">
        <v>22</v>
      </c>
      <c r="D791" s="2" t="s">
        <f>=HYPERLINK("https://main.knesset.gov.il/APPS/legislation/main/bills/2224908", "הצעת חוק סדר הדין הפלילי (תיקון - מניעת ניגודי עניינים בחקירת היועץ המשפטי לממשלה ופרקליט המדינה), התשפ""ה-2024")</f>
        <v>1719</v>
      </c>
      <c r="E791" t="s">
        <v>1719</v>
      </c>
      <c r="F791" t="s">
        <v>1720</v>
      </c>
      <c r="G791" t="s">
        <v>14</v>
      </c>
      <c r="H791">
             </c>
      <c r="I791" t="s">
        <v>14</v>
      </c>
      <c r="J791" t="s">
        <v>31</v>
      </c>
      <c r="K791" t="s">
        <v>27</v>
      </c>
      <c r="L791" t="s">
        <v>20</v>
      </c>
      <c r="M791" t="s">
        <v>1721</v>
      </c>
      <c r="N791" t="s">
        <v>14</v>
      </c>
    </row>
    <row r="792" x14ac:dyDescent="0.25">
      <c r="A792" t="n">
        <v>25</v>
      </c>
      <c r="B792" t="s">
        <v>14</v>
      </c>
      <c r="C792" t="s">
        <v>22</v>
      </c>
      <c r="D792" s="2" t="s">
        <f>=HYPERLINK("https://main.knesset.gov.il/APPS/legislation/main/bills/2235662", "הצעת חוק להפסקת פעילות אונר""א (תיקון - אי-הספקת חשמל ומים וסמכות תפיסת חזקה במקרקעין), התשפ""ו-2025")</f>
        <v>1722</v>
      </c>
      <c r="E792" t="s">
        <v>1722</v>
      </c>
      <c r="F792" t="s">
        <v>1723</v>
      </c>
      <c r="G792" t="s">
        <v>14</v>
      </c>
      <c r="H792">
             </c>
      <c r="I792" t="s">
        <v>14</v>
      </c>
      <c r="J792" t="s">
        <v>99</v>
      </c>
      <c r="K792" t="s">
        <v>114</v>
      </c>
      <c r="L792" t="s">
        <v>20</v>
      </c>
      <c r="M792" t="s">
        <v>1721</v>
      </c>
      <c r="N792" t="s">
        <v>14</v>
      </c>
    </row>
    <row r="793" x14ac:dyDescent="0.25">
      <c r="A793" t="n">
        <v>25</v>
      </c>
      <c r="B793" t="s">
        <v>14</v>
      </c>
      <c r="C793" t="s">
        <v>22</v>
      </c>
      <c r="D793" s="2" t="s">
        <f>=HYPERLINK("https://main.knesset.gov.il/APPS/legislation/main/bills/2233528", "הצעת חוק להפסקת פעילות אונר""א בשטח מדינת ישראל (תיקון - תפיסת חזקה בכל שטח שהוחזק בידי אונר""א), התשפ""ה-2025")</f>
        <v>1724</v>
      </c>
      <c r="E793" t="s">
        <v>1724</v>
      </c>
      <c r="F793" t="s">
        <v>1725</v>
      </c>
      <c r="G793" t="s">
        <v>14</v>
      </c>
      <c r="H793">
             </c>
      <c r="I793" t="s">
        <v>14</v>
      </c>
      <c r="J793" t="s">
        <v>99</v>
      </c>
      <c r="K793" t="s">
        <v>114</v>
      </c>
      <c r="L793" t="s">
        <v>20</v>
      </c>
      <c r="M793" t="s">
        <v>1721</v>
      </c>
      <c r="N793" t="s">
        <v>14</v>
      </c>
    </row>
    <row r="794" x14ac:dyDescent="0.25">
      <c r="A794" t="n">
        <v>25</v>
      </c>
      <c r="B794" t="s">
        <v>14</v>
      </c>
      <c r="C794" t="s">
        <v>22</v>
      </c>
      <c r="D794" s="2" t="s">
        <f>=HYPERLINK("https://main.knesset.gov.il/APPS/legislation/main/bills/2228568", "הצעת חוק הליכי חקירה והעדה (התאמה לאנשים עם מוגבלות שכלית או נפשית) (תיקון - חקירה והעדה מותאמת למתמודדי נפש), התשפ""ה-2025")</f>
        <v>1726</v>
      </c>
      <c r="E794" t="s">
        <v>1726</v>
      </c>
      <c r="F794" t="s">
        <v>1727</v>
      </c>
      <c r="G794" t="s">
        <v>14</v>
      </c>
      <c r="H794">
             </c>
      <c r="I794" t="s">
        <v>14</v>
      </c>
      <c r="J794" t="s">
        <v>99</v>
      </c>
      <c r="K794" t="s">
        <v>27</v>
      </c>
      <c r="L794" t="s">
        <v>20</v>
      </c>
      <c r="M794" t="s">
        <v>1721</v>
      </c>
      <c r="N794" t="s">
        <v>14</v>
      </c>
    </row>
    <row r="795" x14ac:dyDescent="0.25">
      <c r="A795" t="n">
        <v>25</v>
      </c>
      <c r="B795" t="s">
        <v>14</v>
      </c>
      <c r="C795" t="s">
        <v>20</v>
      </c>
      <c r="D795" s="2" t="s">
        <f>=HYPERLINK("https://main.knesset.gov.il/APPS/legislation/main/bills/2194599", "חוק מימון מפלגות (תיקון מס' 44), התשפ""ו–2025")</f>
        <v>1728</v>
      </c>
      <c r="E795" t="s">
        <v>1728</v>
      </c>
      <c r="F795" t="s">
        <v>14</v>
      </c>
      <c r="G795" t="s">
        <v>1729</v>
      </c>
      <c r="H795" t="n">
        <v>3469</v>
      </c>
      <c r="I795" t="s">
        <v>14</v>
      </c>
      <c r="J795" t="s">
        <v>91</v>
      </c>
      <c r="K795" t="s">
        <v>121</v>
      </c>
      <c r="L795" t="s">
        <v>20</v>
      </c>
      <c r="M795" t="s">
        <v>1730</v>
      </c>
      <c r="N795" t="s">
        <v>1731</v>
      </c>
    </row>
    <row r="796" x14ac:dyDescent="0.25">
      <c r="A796" t="n">
        <v>25</v>
      </c>
      <c r="B796" t="s">
        <v>14</v>
      </c>
      <c r="C796" t="s">
        <v>22</v>
      </c>
      <c r="D796" s="2" t="s">
        <f>=HYPERLINK("https://main.knesset.gov.il/APPS/legislation/main/bills/2237276", "הצעת חוק הממשלה (תיקון - נסיעת שר או סגן שר לחוץ לארץ), התשפ""ו-2025")</f>
        <v>1732</v>
      </c>
      <c r="E796" t="s">
        <v>1732</v>
      </c>
      <c r="F796" t="s">
        <v>1733</v>
      </c>
      <c r="G796" t="s">
        <v>14</v>
      </c>
      <c r="H796">
             </c>
      <c r="I796" t="s">
        <v>14</v>
      </c>
      <c r="J796" t="s">
        <v>141</v>
      </c>
      <c r="K796" t="s">
        <v>14</v>
      </c>
      <c r="L796" t="s">
        <v>20</v>
      </c>
      <c r="M796" t="s">
        <v>1730</v>
      </c>
      <c r="N796" t="s">
        <v>14</v>
      </c>
    </row>
    <row r="797" x14ac:dyDescent="0.25">
      <c r="A797" t="n">
        <v>25</v>
      </c>
      <c r="B797" t="s">
        <v>14</v>
      </c>
      <c r="C797" t="s">
        <v>22</v>
      </c>
      <c r="D797" s="2" t="s">
        <f>=HYPERLINK("https://main.knesset.gov.il/APPS/legislation/main/bills/2237092", "הצעת חוק שחרור על-תנאי ממאסר (תיקון - שחרור על-תנאי ממאסר), התשפ""ו-2025")</f>
        <v>1734</v>
      </c>
      <c r="E797" t="s">
        <v>1734</v>
      </c>
      <c r="F797" t="s">
        <v>1735</v>
      </c>
      <c r="G797" t="s">
        <v>14</v>
      </c>
      <c r="H797">
             </c>
      <c r="I797" t="s">
        <v>14</v>
      </c>
      <c r="J797" t="s">
        <v>141</v>
      </c>
      <c r="K797" t="s">
        <v>14</v>
      </c>
      <c r="L797" t="s">
        <v>20</v>
      </c>
      <c r="M797" t="s">
        <v>1730</v>
      </c>
      <c r="N797" t="s">
        <v>14</v>
      </c>
    </row>
    <row r="798" x14ac:dyDescent="0.25">
      <c r="A798" t="n">
        <v>25</v>
      </c>
      <c r="B798" t="s">
        <v>14</v>
      </c>
      <c r="C798" t="s">
        <v>22</v>
      </c>
      <c r="D798" s="2" t="s">
        <f>=HYPERLINK("https://main.knesset.gov.il/APPS/legislation/main/bills/2235427", "הצעת חוק שימוע למינויים בכירים ושופטים, התשפ״ו-2025")</f>
        <v>1736</v>
      </c>
      <c r="E798" t="s">
        <v>1736</v>
      </c>
      <c r="F798" t="s">
        <v>1737</v>
      </c>
      <c r="G798" t="s">
        <v>14</v>
      </c>
      <c r="H798">
             </c>
      <c r="I798" t="s">
        <v>14</v>
      </c>
      <c r="J798" t="s">
        <v>141</v>
      </c>
      <c r="K798" t="s">
        <v>14</v>
      </c>
      <c r="L798" t="s">
        <v>20</v>
      </c>
      <c r="M798" t="s">
        <v>1730</v>
      </c>
      <c r="N798" t="s">
        <v>14</v>
      </c>
    </row>
    <row r="799" x14ac:dyDescent="0.25">
      <c r="A799" t="n">
        <v>25</v>
      </c>
      <c r="B799" t="s">
        <v>14</v>
      </c>
      <c r="C799" t="s">
        <v>22</v>
      </c>
      <c r="D799" s="2" t="s">
        <f>=HYPERLINK("https://main.knesset.gov.il/APPS/legislation/main/bills/2235933", "הצעת חוק לתיקון פקודת הראיות (אי-קבילות ראיה שהושגה שלא כדין), התשפ״ו-2025")</f>
        <v>1738</v>
      </c>
      <c r="E799" t="s">
        <v>1738</v>
      </c>
      <c r="F799" t="s">
        <v>1739</v>
      </c>
      <c r="G799" t="s">
        <v>14</v>
      </c>
      <c r="H799">
             </c>
      <c r="I799" t="s">
        <v>14</v>
      </c>
      <c r="J799" t="s">
        <v>141</v>
      </c>
      <c r="K799" t="s">
        <v>14</v>
      </c>
      <c r="L799" t="s">
        <v>20</v>
      </c>
      <c r="M799" t="s">
        <v>1730</v>
      </c>
      <c r="N799" t="s">
        <v>14</v>
      </c>
    </row>
    <row r="800" x14ac:dyDescent="0.25">
      <c r="A800" t="n">
        <v>25</v>
      </c>
      <c r="B800" t="s">
        <v>14</v>
      </c>
      <c r="C800" t="s">
        <v>22</v>
      </c>
      <c r="D800" s="2" t="s">
        <f>=HYPERLINK("https://main.knesset.gov.il/APPS/legislation/main/bills/2231895", "הצעת חוק הקאדים (תיקון - הבטחת ייצוג נשים בוועדה לבחירת קאדים), התשפ""ו-2025")</f>
        <v>1740</v>
      </c>
      <c r="E800" t="s">
        <v>1740</v>
      </c>
      <c r="F800" t="s">
        <v>1741</v>
      </c>
      <c r="G800" t="s">
        <v>14</v>
      </c>
      <c r="H800">
             </c>
      <c r="I800" t="s">
        <v>14</v>
      </c>
      <c r="J800" t="s">
        <v>141</v>
      </c>
      <c r="K800" t="s">
        <v>14</v>
      </c>
      <c r="L800" t="s">
        <v>20</v>
      </c>
      <c r="M800" t="s">
        <v>1730</v>
      </c>
      <c r="N800" t="s">
        <v>14</v>
      </c>
    </row>
    <row r="801" x14ac:dyDescent="0.25">
      <c r="A801" t="n">
        <v>25</v>
      </c>
      <c r="B801" t="s">
        <v>14</v>
      </c>
      <c r="C801" t="s">
        <v>22</v>
      </c>
      <c r="D801" s="2" t="s">
        <f>=HYPERLINK("https://main.knesset.gov.il/APPS/legislation/main/bills/2237689", "הצעת חוק תגמולים לבני משפחה של חטופים ונעדרים בפעולת איבה (תיקון - מתן זכויות של נפגעי איבה לבן משפחה של חטוף), התשפ""ו-2025")</f>
        <v>1695</v>
      </c>
      <c r="E801" t="s">
        <v>1695</v>
      </c>
      <c r="F801" t="s">
        <v>1742</v>
      </c>
      <c r="G801" t="s">
        <v>14</v>
      </c>
      <c r="H801">
             </c>
      <c r="I801" t="s">
        <v>14</v>
      </c>
      <c r="J801" t="s">
        <v>141</v>
      </c>
      <c r="K801" t="s">
        <v>14</v>
      </c>
      <c r="L801" t="s">
        <v>20</v>
      </c>
      <c r="M801" t="s">
        <v>1730</v>
      </c>
      <c r="N801" t="s">
        <v>14</v>
      </c>
    </row>
    <row r="802" x14ac:dyDescent="0.25">
      <c r="A802" t="n">
        <v>25</v>
      </c>
      <c r="B802" t="s">
        <v>14</v>
      </c>
      <c r="C802" t="s">
        <v>22</v>
      </c>
      <c r="D802" s="2" t="s">
        <f>=HYPERLINK("https://main.knesset.gov.il/APPS/legislation/main/bills/2237087", "הצעת חוק סדר הדין הפלילי (סמכויות אכיפה - מעצרים) (תיקון - פיצוי לעצור ששוחרר ממעצר), התשפ""ו-2025")</f>
        <v>1743</v>
      </c>
      <c r="E802" t="s">
        <v>1743</v>
      </c>
      <c r="F802" t="s">
        <v>1744</v>
      </c>
      <c r="G802" t="s">
        <v>14</v>
      </c>
      <c r="H802">
             </c>
      <c r="I802" t="s">
        <v>14</v>
      </c>
      <c r="J802" t="s">
        <v>141</v>
      </c>
      <c r="K802" t="s">
        <v>14</v>
      </c>
      <c r="L802" t="s">
        <v>20</v>
      </c>
      <c r="M802" t="s">
        <v>1730</v>
      </c>
      <c r="N802" t="s">
        <v>14</v>
      </c>
    </row>
    <row r="803" x14ac:dyDescent="0.25">
      <c r="A803" t="n">
        <v>25</v>
      </c>
      <c r="B803" t="s">
        <v>14</v>
      </c>
      <c r="C803" t="s">
        <v>22</v>
      </c>
      <c r="D803" s="2" t="s">
        <f>=HYPERLINK("https://main.knesset.gov.il/APPS/legislation/main/bills/2237560", "הצעת חוק-יסוד: הכנסת (תיקון - שלילת זכות הצבעה מאסירים)")</f>
        <v>1745</v>
      </c>
      <c r="E803" t="s">
        <v>1745</v>
      </c>
      <c r="F803" t="s">
        <v>1746</v>
      </c>
      <c r="G803" t="s">
        <v>14</v>
      </c>
      <c r="H803">
             </c>
      <c r="I803" t="s">
        <v>14</v>
      </c>
      <c r="J803" t="s">
        <v>141</v>
      </c>
      <c r="K803" t="s">
        <v>14</v>
      </c>
      <c r="L803" t="s">
        <v>20</v>
      </c>
      <c r="M803" t="s">
        <v>1730</v>
      </c>
      <c r="N803" t="s">
        <v>14</v>
      </c>
    </row>
    <row r="804" x14ac:dyDescent="0.25">
      <c r="A804" t="n">
        <v>25</v>
      </c>
      <c r="B804" t="s">
        <v>14</v>
      </c>
      <c r="C804" t="s">
        <v>22</v>
      </c>
      <c r="D804" s="2" t="s">
        <f>=HYPERLINK("https://main.knesset.gov.il/APPS/legislation/main/bills/2237663", "הצעת חוק הביטוח הלאומי (תיקון - פטור מתשלום דמי ביטוח לאומי עד גיל 21), התשפ""ו-2025")</f>
        <v>1747</v>
      </c>
      <c r="E804" t="s">
        <v>1747</v>
      </c>
      <c r="F804" t="s">
        <v>1748</v>
      </c>
      <c r="G804" t="s">
        <v>14</v>
      </c>
      <c r="H804">
             </c>
      <c r="I804" t="s">
        <v>14</v>
      </c>
      <c r="J804" t="s">
        <v>141</v>
      </c>
      <c r="K804" t="s">
        <v>14</v>
      </c>
      <c r="L804" t="s">
        <v>20</v>
      </c>
      <c r="M804" t="s">
        <v>1730</v>
      </c>
      <c r="N804" t="s">
        <v>14</v>
      </c>
    </row>
    <row r="805" x14ac:dyDescent="0.25">
      <c r="A805" t="n">
        <v>25</v>
      </c>
      <c r="B805" t="s">
        <v>14</v>
      </c>
      <c r="C805" t="s">
        <v>22</v>
      </c>
      <c r="D805" s="2" t="s">
        <f>=HYPERLINK("https://main.knesset.gov.il/APPS/legislation/main/bills/2236861", "הצעת חוק המזונות (הבטחת תשלום) (תיקון - סכום שלא יובא בחשבון במבחן ההכנסה בשבע השנים הראשונות), התשפ""ו-2025")</f>
        <v>1693</v>
      </c>
      <c r="E805" t="s">
        <v>1693</v>
      </c>
      <c r="F805" t="s">
        <v>1749</v>
      </c>
      <c r="G805" t="s">
        <v>14</v>
      </c>
      <c r="H805">
             </c>
      <c r="I805" t="s">
        <v>14</v>
      </c>
      <c r="J805" t="s">
        <v>141</v>
      </c>
      <c r="K805" t="s">
        <v>14</v>
      </c>
      <c r="L805" t="s">
        <v>20</v>
      </c>
      <c r="M805" t="s">
        <v>1730</v>
      </c>
      <c r="N805" t="s">
        <v>14</v>
      </c>
    </row>
    <row r="806" x14ac:dyDescent="0.25">
      <c r="A806" t="n">
        <v>25</v>
      </c>
      <c r="B806" t="s">
        <v>14</v>
      </c>
      <c r="C806" t="s">
        <v>22</v>
      </c>
      <c r="D806" s="2" t="s">
        <f>=HYPERLINK("https://main.knesset.gov.il/APPS/legislation/main/bills/2236619", "הצעת חוק ביטוח בריאות ממלכתי (תיקון - מינוי ועדה ציבורית להרחבת סל שירותי הבריאות המפורט בתוספת השנייה), התשפ""ו-2025 ")</f>
        <v>1750</v>
      </c>
      <c r="E806" t="s">
        <v>1750</v>
      </c>
      <c r="F806" t="s">
        <v>1751</v>
      </c>
      <c r="G806" t="s">
        <v>14</v>
      </c>
      <c r="H806">
             </c>
      <c r="I806" t="s">
        <v>14</v>
      </c>
      <c r="J806" t="s">
        <v>141</v>
      </c>
      <c r="K806" t="s">
        <v>14</v>
      </c>
      <c r="L806" t="s">
        <v>20</v>
      </c>
      <c r="M806" t="s">
        <v>1730</v>
      </c>
      <c r="N806" t="s">
        <v>14</v>
      </c>
    </row>
    <row r="807" x14ac:dyDescent="0.25">
      <c r="A807" t="n">
        <v>25</v>
      </c>
      <c r="B807" t="s">
        <v>14</v>
      </c>
      <c r="C807" t="s">
        <v>22</v>
      </c>
      <c r="D807" s="2" t="s">
        <f>=HYPERLINK("https://main.knesset.gov.il/APPS/legislation/main/bills/2237495", "הצעת חוק חינוך ממלכתי (תיקון - חינוך ממלכתי חרדי), התשפ""ו-2025")</f>
        <v>1752</v>
      </c>
      <c r="E807" t="s">
        <v>1752</v>
      </c>
      <c r="F807" t="s">
        <v>1753</v>
      </c>
      <c r="G807" t="s">
        <v>14</v>
      </c>
      <c r="H807">
             </c>
      <c r="I807" t="s">
        <v>14</v>
      </c>
      <c r="J807" t="s">
        <v>141</v>
      </c>
      <c r="K807" t="s">
        <v>14</v>
      </c>
      <c r="L807" t="s">
        <v>20</v>
      </c>
      <c r="M807" t="s">
        <v>1730</v>
      </c>
      <c r="N807" t="s">
        <v>14</v>
      </c>
    </row>
    <row r="808" x14ac:dyDescent="0.25">
      <c r="A808" t="n">
        <v>25</v>
      </c>
      <c r="B808" t="s">
        <v>14</v>
      </c>
      <c r="C808" t="s">
        <v>22</v>
      </c>
      <c r="D808" s="2" t="s">
        <f>=HYPERLINK("https://main.knesset.gov.il/APPS/legislation/main/bills/2234565", "הצעת חוק הלוואות לדיור (תיקון - מענק מיוחד לרכישת דירה בירושלים), התשפ""ו-2025")</f>
        <v>1754</v>
      </c>
      <c r="E808" t="s">
        <v>1754</v>
      </c>
      <c r="F808" t="s">
        <v>1755</v>
      </c>
      <c r="G808" t="s">
        <v>14</v>
      </c>
      <c r="H808">
             </c>
      <c r="I808" t="s">
        <v>14</v>
      </c>
      <c r="J808" t="s">
        <v>141</v>
      </c>
      <c r="K808" t="s">
        <v>14</v>
      </c>
      <c r="L808" t="s">
        <v>20</v>
      </c>
      <c r="M808" t="s">
        <v>1730</v>
      </c>
      <c r="N808" t="s">
        <v>14</v>
      </c>
    </row>
    <row r="809" x14ac:dyDescent="0.25">
      <c r="A809" t="n">
        <v>25</v>
      </c>
      <c r="B809" t="s">
        <v>14</v>
      </c>
      <c r="C809" t="s">
        <v>22</v>
      </c>
      <c r="D809" s="2" t="s">
        <f>=HYPERLINK("https://main.knesset.gov.il/APPS/legislation/main/bills/2237059", "הצעת חוק מימון הוצאות למשפחות שבויים, חטופים ונעדרים (תיקון - מענק הסתגלות לבני זוג והורים של חטוף שגופתו הושבה), התשפ""ו-2025")</f>
        <v>1756</v>
      </c>
      <c r="E809" t="s">
        <v>1756</v>
      </c>
      <c r="F809" t="s">
        <v>1757</v>
      </c>
      <c r="G809" t="s">
        <v>14</v>
      </c>
      <c r="H809">
             </c>
      <c r="I809" t="s">
        <v>14</v>
      </c>
      <c r="J809" t="s">
        <v>141</v>
      </c>
      <c r="K809" t="s">
        <v>14</v>
      </c>
      <c r="L809" t="s">
        <v>20</v>
      </c>
      <c r="M809" t="s">
        <v>1730</v>
      </c>
      <c r="N809" t="s">
        <v>14</v>
      </c>
    </row>
    <row r="810" x14ac:dyDescent="0.25">
      <c r="A810" t="n">
        <v>25</v>
      </c>
      <c r="B810" t="s">
        <v>14</v>
      </c>
      <c r="C810" t="s">
        <v>22</v>
      </c>
      <c r="D810" s="2" t="s">
        <f>=HYPERLINK("https://main.knesset.gov.il/APPS/legislation/main/bills/2237642", "הצעת חוק בתי קברות צבאיים (תיקון - הצהרת חייל בדבר רצונו בקבורה בבית קברות צבאי), התשפ""ו-2025")</f>
        <v>1758</v>
      </c>
      <c r="E810" t="s">
        <v>1758</v>
      </c>
      <c r="F810" t="s">
        <v>1759</v>
      </c>
      <c r="G810" t="s">
        <v>14</v>
      </c>
      <c r="H810">
             </c>
      <c r="I810" t="s">
        <v>14</v>
      </c>
      <c r="J810" t="s">
        <v>141</v>
      </c>
      <c r="K810" t="s">
        <v>14</v>
      </c>
      <c r="L810" t="s">
        <v>20</v>
      </c>
      <c r="M810" t="s">
        <v>1730</v>
      </c>
      <c r="N810" t="s">
        <v>14</v>
      </c>
    </row>
    <row r="811" x14ac:dyDescent="0.25">
      <c r="A811" t="n">
        <v>25</v>
      </c>
      <c r="B811" t="s">
        <v>14</v>
      </c>
      <c r="C811" t="s">
        <v>22</v>
      </c>
      <c r="D811" s="2" t="s">
        <f>=HYPERLINK("https://main.knesset.gov.il/APPS/legislation/main/bills/2237086", "הצעת חוק חג הסיגד (תיקון - דרכי קיום), התשפ""ו-2025")</f>
        <v>1760</v>
      </c>
      <c r="E811" t="s">
        <v>1760</v>
      </c>
      <c r="F811" t="s">
        <v>1761</v>
      </c>
      <c r="G811" t="s">
        <v>14</v>
      </c>
      <c r="H811">
             </c>
      <c r="I811" t="s">
        <v>14</v>
      </c>
      <c r="J811" t="s">
        <v>141</v>
      </c>
      <c r="K811" t="s">
        <v>14</v>
      </c>
      <c r="L811" t="s">
        <v>20</v>
      </c>
      <c r="M811" t="s">
        <v>1730</v>
      </c>
      <c r="N811" t="s">
        <v>14</v>
      </c>
    </row>
    <row r="812" x14ac:dyDescent="0.25">
      <c r="A812" t="n">
        <v>25</v>
      </c>
      <c r="B812" t="s">
        <v>14</v>
      </c>
      <c r="C812" t="s">
        <v>22</v>
      </c>
      <c r="D812" s="2" t="s">
        <f>=HYPERLINK("https://main.knesset.gov.il/APPS/legislation/main/bills/2236923", "הצעת חוק שירות מידע פיננסי (תיקון - פטור וגישה למידע לסוכני ביטוח), התשפ״ו-2025")</f>
        <v>1762</v>
      </c>
      <c r="E812" t="s">
        <v>1762</v>
      </c>
      <c r="F812" t="s">
        <v>1763</v>
      </c>
      <c r="G812" t="s">
        <v>14</v>
      </c>
      <c r="H812">
             </c>
      <c r="I812" t="s">
        <v>14</v>
      </c>
      <c r="J812" t="s">
        <v>141</v>
      </c>
      <c r="K812" t="s">
        <v>14</v>
      </c>
      <c r="L812" t="s">
        <v>20</v>
      </c>
      <c r="M812" t="s">
        <v>1730</v>
      </c>
      <c r="N812" t="s">
        <v>14</v>
      </c>
    </row>
    <row r="813" x14ac:dyDescent="0.25">
      <c r="A813" t="n">
        <v>25</v>
      </c>
      <c r="B813" t="s">
        <v>14</v>
      </c>
      <c r="C813" t="s">
        <v>22</v>
      </c>
      <c r="D813" s="2" t="s">
        <f>=HYPERLINK("https://main.knesset.gov.il/APPS/legislation/main/bills/2237643", "הצעת חוק השבות (תיקון - הוספת המילה כהלכה), התשפ""ו-2025")</f>
        <v>1764</v>
      </c>
      <c r="E813" t="s">
        <v>1764</v>
      </c>
      <c r="F813" t="s">
        <v>1765</v>
      </c>
      <c r="G813" t="s">
        <v>14</v>
      </c>
      <c r="H813">
             </c>
      <c r="I813" t="s">
        <v>14</v>
      </c>
      <c r="J813" t="s">
        <v>141</v>
      </c>
      <c r="K813" t="s">
        <v>14</v>
      </c>
      <c r="L813" t="s">
        <v>20</v>
      </c>
      <c r="M813" t="s">
        <v>1730</v>
      </c>
      <c r="N813" t="s">
        <v>14</v>
      </c>
    </row>
    <row r="814" x14ac:dyDescent="0.25">
      <c r="A814" t="n">
        <v>25</v>
      </c>
      <c r="B814" t="s">
        <v>14</v>
      </c>
      <c r="C814" t="s">
        <v>22</v>
      </c>
      <c r="D814" s="2" t="s">
        <f>=HYPERLINK("https://main.knesset.gov.il/APPS/legislation/main/bills/2237670", "הצעת חוק לתיקון פקודת התעבורה (שינוי שיטת החישוב של דמי חניה בחניון), התשפ""ו-2025")</f>
        <v>1691</v>
      </c>
      <c r="E814" t="s">
        <v>1691</v>
      </c>
      <c r="F814" t="s">
        <v>1766</v>
      </c>
      <c r="G814" t="s">
        <v>14</v>
      </c>
      <c r="H814">
             </c>
      <c r="I814" t="s">
        <v>14</v>
      </c>
      <c r="J814" t="s">
        <v>343</v>
      </c>
      <c r="K814" t="s">
        <v>14</v>
      </c>
      <c r="L814" t="s">
        <v>20</v>
      </c>
      <c r="M814" t="s">
        <v>1730</v>
      </c>
      <c r="N814" t="s">
        <v>14</v>
      </c>
    </row>
    <row r="815" x14ac:dyDescent="0.25">
      <c r="A815" t="n">
        <v>25</v>
      </c>
      <c r="B815" t="s">
        <v>14</v>
      </c>
      <c r="C815" t="s">
        <v>22</v>
      </c>
      <c r="D815" s="2" t="s">
        <f>=HYPERLINK("https://main.knesset.gov.il/APPS/legislation/main/bills/2230479", "הצעת חוק אספקת החשמל (הוראת שעה), התשפ""ו-2025")</f>
        <v>1767</v>
      </c>
      <c r="E815" t="s">
        <v>1767</v>
      </c>
      <c r="F815" t="s">
        <v>1768</v>
      </c>
      <c r="G815" t="s">
        <v>14</v>
      </c>
      <c r="H815">
             </c>
      <c r="I815" t="s">
        <v>14</v>
      </c>
      <c r="J815" t="s">
        <v>141</v>
      </c>
      <c r="K815" t="s">
        <v>14</v>
      </c>
      <c r="L815" t="s">
        <v>20</v>
      </c>
      <c r="M815" t="s">
        <v>1730</v>
      </c>
      <c r="N815" t="s">
        <v>14</v>
      </c>
    </row>
    <row r="816" x14ac:dyDescent="0.25">
      <c r="A816" t="n">
        <v>25</v>
      </c>
      <c r="B816" t="s">
        <v>14</v>
      </c>
      <c r="C816" t="s">
        <v>22</v>
      </c>
      <c r="D816" s="2" t="s">
        <f>=HYPERLINK("https://main.knesset.gov.il/APPS/legislation/main/bills/2235005", "הצעת חוק מס ערך מוסף (תיקון - הגדרת עוסק פטור), התשפ""ו-2025")</f>
        <v>1769</v>
      </c>
      <c r="E816" t="s">
        <v>1769</v>
      </c>
      <c r="F816" t="s">
        <v>1770</v>
      </c>
      <c r="G816" t="s">
        <v>14</v>
      </c>
      <c r="H816">
             </c>
      <c r="I816" t="s">
        <v>14</v>
      </c>
      <c r="J816" t="s">
        <v>141</v>
      </c>
      <c r="K816" t="s">
        <v>14</v>
      </c>
      <c r="L816" t="s">
        <v>20</v>
      </c>
      <c r="M816" t="s">
        <v>1730</v>
      </c>
      <c r="N816" t="s">
        <v>14</v>
      </c>
    </row>
    <row r="817" x14ac:dyDescent="0.25">
      <c r="A817" t="n">
        <v>25</v>
      </c>
      <c r="B817" t="s">
        <v>14</v>
      </c>
      <c r="C817" t="s">
        <v>22</v>
      </c>
      <c r="D817" s="2" t="s">
        <f>=HYPERLINK("https://main.knesset.gov.il/APPS/legislation/main/bills/2237423", "הצעת חוק שירותי אבטחה, התשפ""ו-2025")</f>
        <v>1771</v>
      </c>
      <c r="E817" t="s">
        <v>1771</v>
      </c>
      <c r="F817" t="s">
        <v>1772</v>
      </c>
      <c r="G817" t="s">
        <v>14</v>
      </c>
      <c r="H817">
             </c>
      <c r="I817" t="s">
        <v>14</v>
      </c>
      <c r="J817" t="s">
        <v>141</v>
      </c>
      <c r="K817" t="s">
        <v>14</v>
      </c>
      <c r="L817" t="s">
        <v>20</v>
      </c>
      <c r="M817" t="s">
        <v>1730</v>
      </c>
      <c r="N817" t="s">
        <v>14</v>
      </c>
    </row>
    <row r="818" x14ac:dyDescent="0.25">
      <c r="A818" t="n">
        <v>25</v>
      </c>
      <c r="B818" t="s">
        <v>14</v>
      </c>
      <c r="C818" t="s">
        <v>22</v>
      </c>
      <c r="D818" s="2" t="s">
        <f>=HYPERLINK("https://main.knesset.gov.il/APPS/legislation/main/bills/2236432", "הצעת חוק המרכז למורשת ארגון אליאנס: כל ישראל חברים, התשפ""ו-2025")</f>
        <v>1773</v>
      </c>
      <c r="E818" t="s">
        <v>1773</v>
      </c>
      <c r="F818" t="s">
        <v>1774</v>
      </c>
      <c r="G818" t="s">
        <v>14</v>
      </c>
      <c r="H818">
             </c>
      <c r="I818" t="s">
        <v>14</v>
      </c>
      <c r="J818" t="s">
        <v>141</v>
      </c>
      <c r="K818" t="s">
        <v>14</v>
      </c>
      <c r="L818" t="s">
        <v>20</v>
      </c>
      <c r="M818" t="s">
        <v>1730</v>
      </c>
      <c r="N818" t="s">
        <v>14</v>
      </c>
    </row>
    <row r="819" x14ac:dyDescent="0.25">
      <c r="A819" t="n">
        <v>25</v>
      </c>
      <c r="B819" t="s">
        <v>14</v>
      </c>
      <c r="C819" t="s">
        <v>15</v>
      </c>
      <c r="D819" s="2" t="s">
        <f>=HYPERLINK("https://main.knesset.gov.il/APPS/legislation/main/bills/1040059", "הצעת חוק זכויות החולה (תיקון מס' 20) (מסירת מידע לצורך מניעת פגיעה), התשפ""ו-2025")</f>
        <v>1775</v>
      </c>
      <c r="E819" t="s">
        <v>1775</v>
      </c>
      <c r="F819" t="s">
        <v>14</v>
      </c>
      <c r="G819" t="s">
        <v>1776</v>
      </c>
      <c r="H819">
             </c>
      <c r="I819" t="s">
        <v>14</v>
      </c>
      <c r="J819" t="s">
        <v>69</v>
      </c>
      <c r="K819" t="s">
        <v>14</v>
      </c>
      <c r="L819" t="s">
        <v>20</v>
      </c>
      <c r="M819" t="s">
        <v>1730</v>
      </c>
      <c r="N819" t="s">
        <v>14</v>
      </c>
    </row>
    <row r="820" x14ac:dyDescent="0.25">
      <c r="A820" t="n">
        <v>25</v>
      </c>
      <c r="B820" t="s">
        <v>14</v>
      </c>
      <c r="C820" t="s">
        <v>22</v>
      </c>
      <c r="D820" s="2" t="s">
        <f>=HYPERLINK("https://main.knesset.gov.il/APPS/legislation/main/bills/2224549", "חוק לתיקון פקודת התעבורה (מס' 138), התשפ""ו-2025")</f>
        <v>1777</v>
      </c>
      <c r="E820" t="s">
        <v>1777</v>
      </c>
      <c r="F820" t="s">
        <v>1778</v>
      </c>
      <c r="G820" t="s">
        <v>1779</v>
      </c>
      <c r="H820" t="n">
        <v>3467</v>
      </c>
      <c r="I820" t="s">
        <v>14</v>
      </c>
      <c r="J820" t="s">
        <v>91</v>
      </c>
      <c r="K820" t="s">
        <v>19</v>
      </c>
      <c r="L820" t="s">
        <v>20</v>
      </c>
      <c r="M820" t="s">
        <v>1780</v>
      </c>
      <c r="N820" t="s">
        <v>1781</v>
      </c>
    </row>
    <row r="821" x14ac:dyDescent="0.25">
      <c r="A821" t="n">
        <v>25</v>
      </c>
      <c r="B821" t="s">
        <v>14</v>
      </c>
      <c r="C821" t="s">
        <v>22</v>
      </c>
      <c r="D821" s="2" t="s">
        <f>=HYPERLINK("https://main.knesset.gov.il/APPS/legislation/main/bills/2230601", "הצעת חוק הבנקאות (שירות ללקוח) (תיקון - ביטול פעולה מכוח הרשאה לחיוב בשל היעדר יתרה מספקת בחשבון והגבלת עמלות בשל הרשאה לחיוב), התשפ""ה-2025")</f>
        <v>1782</v>
      </c>
      <c r="E821" t="s">
        <v>1782</v>
      </c>
      <c r="F821" t="s">
        <v>1783</v>
      </c>
      <c r="G821" t="s">
        <v>14</v>
      </c>
      <c r="H821">
             </c>
      <c r="I821" t="s">
        <v>14</v>
      </c>
      <c r="J821" t="s">
        <v>31</v>
      </c>
      <c r="K821" t="s">
        <v>19</v>
      </c>
      <c r="L821" t="s">
        <v>20</v>
      </c>
      <c r="M821" t="s">
        <v>1780</v>
      </c>
      <c r="N821" t="s">
        <v>14</v>
      </c>
    </row>
    <row r="822" x14ac:dyDescent="0.25">
      <c r="A822" t="n">
        <v>25</v>
      </c>
      <c r="B822" t="s">
        <v>14</v>
      </c>
      <c r="C822" t="s">
        <v>22</v>
      </c>
      <c r="D822" s="2" t="s">
        <f>=HYPERLINK("https://main.knesset.gov.il/APPS/legislation/main/bills/2232274", "הצעת חוק משפחות חיילים שנספו במערכה (תגמולים ושיקום) (תיקון - שעת הורות בעבודה לאלמן או לאלמנה בשנת האבל הראשונה), התשפ""ה-2025")</f>
        <v>1784</v>
      </c>
      <c r="E822" t="s">
        <v>1784</v>
      </c>
      <c r="F822" t="s">
        <v>1785</v>
      </c>
      <c r="G822" t="s">
        <v>14</v>
      </c>
      <c r="H822">
             </c>
      <c r="I822" t="s">
        <v>14</v>
      </c>
      <c r="J822" t="s">
        <v>55</v>
      </c>
      <c r="K822" t="s">
        <v>14</v>
      </c>
      <c r="L822" t="s">
        <v>20</v>
      </c>
      <c r="M822" t="s">
        <v>1780</v>
      </c>
      <c r="N822" t="s">
        <v>14</v>
      </c>
    </row>
    <row r="823" x14ac:dyDescent="0.25">
      <c r="A823" t="n">
        <v>25</v>
      </c>
      <c r="B823" t="s">
        <v>14</v>
      </c>
      <c r="C823" t="s">
        <v>22</v>
      </c>
      <c r="D823" s="2" t="s">
        <f>=HYPERLINK("https://main.knesset.gov.il/APPS/legislation/main/bills/2224229", "הצעת חוק עיון במרשמי המקרקעין ביהודה והשומרון, התשפ""ה-2025")</f>
        <v>1786</v>
      </c>
      <c r="E823" t="s">
        <v>1786</v>
      </c>
      <c r="F823" t="s">
        <v>1787</v>
      </c>
      <c r="G823" t="s">
        <v>14</v>
      </c>
      <c r="H823">
             </c>
      <c r="I823" t="s">
        <v>14</v>
      </c>
      <c r="J823" t="s">
        <v>55</v>
      </c>
      <c r="K823" t="s">
        <v>14</v>
      </c>
      <c r="L823" t="s">
        <v>20</v>
      </c>
      <c r="M823" t="s">
        <v>1780</v>
      </c>
      <c r="N823" t="s">
        <v>14</v>
      </c>
    </row>
    <row r="824" x14ac:dyDescent="0.25">
      <c r="A824" t="n">
        <v>25</v>
      </c>
      <c r="B824" t="s">
        <v>14</v>
      </c>
      <c r="C824" t="s">
        <v>22</v>
      </c>
      <c r="D824" s="2" t="s">
        <f>=HYPERLINK("https://main.knesset.gov.il/APPS/legislation/main/bills/2230845", "הצעת חוק למאבק בהברחות נשק (תיקוני חקיקה), התשפ""ה-2025")</f>
        <v>1788</v>
      </c>
      <c r="E824" t="s">
        <v>1788</v>
      </c>
      <c r="F824" t="s">
        <v>1789</v>
      </c>
      <c r="G824" t="s">
        <v>14</v>
      </c>
      <c r="H824">
             </c>
      <c r="I824" t="s">
        <v>14</v>
      </c>
      <c r="J824" t="s">
        <v>55</v>
      </c>
      <c r="K824" t="s">
        <v>14</v>
      </c>
      <c r="L824" t="s">
        <v>20</v>
      </c>
      <c r="M824" t="s">
        <v>1780</v>
      </c>
      <c r="N824" t="s">
        <v>14</v>
      </c>
    </row>
    <row r="825" x14ac:dyDescent="0.25">
      <c r="A825" t="n">
        <v>25</v>
      </c>
      <c r="B825" t="s">
        <v>14</v>
      </c>
      <c r="C825" t="s">
        <v>22</v>
      </c>
      <c r="D825" s="2" t="s">
        <f>=HYPERLINK("https://main.knesset.gov.il/APPS/legislation/main/bills/2231035", "הצעת חוק קבלת ילד של משרת מילואים למעון יום והשתתפות המדינה בעלות שכר הלימוד בו, התשפ""ה-2025")</f>
        <v>1790</v>
      </c>
      <c r="E825" t="s">
        <v>1790</v>
      </c>
      <c r="F825" t="s">
        <v>1791</v>
      </c>
      <c r="G825" t="s">
        <v>14</v>
      </c>
      <c r="H825">
             </c>
      <c r="I825" t="s">
        <v>14</v>
      </c>
      <c r="J825" t="s">
        <v>55</v>
      </c>
      <c r="K825" t="s">
        <v>14</v>
      </c>
      <c r="L825" t="s">
        <v>20</v>
      </c>
      <c r="M825" t="s">
        <v>1780</v>
      </c>
      <c r="N825" t="s">
        <v>14</v>
      </c>
    </row>
    <row r="826" x14ac:dyDescent="0.25">
      <c r="A826" t="n">
        <v>25</v>
      </c>
      <c r="B826" t="s">
        <v>14</v>
      </c>
      <c r="C826" t="s">
        <v>22</v>
      </c>
      <c r="D826" s="2" t="s">
        <f>=HYPERLINK("https://main.knesset.gov.il/APPS/legislation/main/bills/2229729", "הצעת חוק מניעת חרמות במערכת החינוך, התשפ""ה-2025")</f>
        <v>1792</v>
      </c>
      <c r="E826" t="s">
        <v>1792</v>
      </c>
      <c r="F826" t="s">
        <v>1793</v>
      </c>
      <c r="G826" t="s">
        <v>14</v>
      </c>
      <c r="H826">
             </c>
      <c r="I826" t="s">
        <v>14</v>
      </c>
      <c r="J826" t="s">
        <v>31</v>
      </c>
      <c r="K826" t="s">
        <v>34</v>
      </c>
      <c r="L826" t="s">
        <v>20</v>
      </c>
      <c r="M826" t="s">
        <v>1780</v>
      </c>
      <c r="N826" t="s">
        <v>14</v>
      </c>
    </row>
    <row r="827" x14ac:dyDescent="0.25">
      <c r="A827" t="n">
        <v>25</v>
      </c>
      <c r="B827" t="s">
        <v>14</v>
      </c>
      <c r="C827" t="s">
        <v>22</v>
      </c>
      <c r="D827" s="2" t="s">
        <f>=HYPERLINK("https://main.knesset.gov.il/APPS/legislation/main/bills/2227412", "הצעת חוק קבלת ילד של משרת מילואים למעון יום והשתתפות המדינה בעלות שכר הלימוד בו, התשפ""ה-2025")</f>
        <v>1790</v>
      </c>
      <c r="E827" t="s">
        <v>1790</v>
      </c>
      <c r="F827" t="s">
        <v>1794</v>
      </c>
      <c r="G827" t="s">
        <v>14</v>
      </c>
      <c r="H827">
             </c>
      <c r="I827" t="s">
        <v>14</v>
      </c>
      <c r="J827" t="s">
        <v>55</v>
      </c>
      <c r="K827" t="s">
        <v>14</v>
      </c>
      <c r="L827" t="s">
        <v>20</v>
      </c>
      <c r="M827" t="s">
        <v>1780</v>
      </c>
      <c r="N827" t="s">
        <v>14</v>
      </c>
    </row>
    <row r="828" x14ac:dyDescent="0.25">
      <c r="A828" t="n">
        <v>25</v>
      </c>
      <c r="B828" t="s">
        <v>14</v>
      </c>
      <c r="C828" t="s">
        <v>22</v>
      </c>
      <c r="D828" s="2" t="s">
        <f>=HYPERLINK("https://main.knesset.gov.il/APPS/legislation/main/bills/2223265", "הצעת חוק העונשין (תיקון - תקיפת עיתונאים), התשפ""ה-2024")</f>
        <v>1795</v>
      </c>
      <c r="E828" t="s">
        <v>1795</v>
      </c>
      <c r="F828" t="s">
        <v>1796</v>
      </c>
      <c r="G828" t="s">
        <v>14</v>
      </c>
      <c r="H828">
             </c>
      <c r="I828" t="s">
        <v>14</v>
      </c>
      <c r="J828" t="s">
        <v>55</v>
      </c>
      <c r="K828" t="s">
        <v>14</v>
      </c>
      <c r="L828" t="s">
        <v>20</v>
      </c>
      <c r="M828" t="s">
        <v>1780</v>
      </c>
      <c r="N828" t="s">
        <v>14</v>
      </c>
    </row>
    <row r="829" x14ac:dyDescent="0.25">
      <c r="A829" t="n">
        <v>25</v>
      </c>
      <c r="B829" t="s">
        <v>14</v>
      </c>
      <c r="C829" t="s">
        <v>22</v>
      </c>
      <c r="D829" s="2" t="s">
        <f>=HYPERLINK("https://main.knesset.gov.il/APPS/legislation/main/bills/2199041", "הצעת חוק הביטוח הלאומי (תיקון - דמי לידה לעצמאיות - מתן זכות לעבודה חלקית), התשפ""ג-2023")</f>
        <v>1797</v>
      </c>
      <c r="E829" t="s">
        <v>1797</v>
      </c>
      <c r="F829" t="s">
        <v>1798</v>
      </c>
      <c r="G829" t="s">
        <v>14</v>
      </c>
      <c r="H829">
             </c>
      <c r="I829" t="s">
        <v>14</v>
      </c>
      <c r="J829" t="s">
        <v>55</v>
      </c>
      <c r="K829" t="s">
        <v>14</v>
      </c>
      <c r="L829" t="s">
        <v>20</v>
      </c>
      <c r="M829" t="s">
        <v>1780</v>
      </c>
      <c r="N829" t="s">
        <v>14</v>
      </c>
    </row>
    <row r="830" x14ac:dyDescent="0.25">
      <c r="A830" t="n">
        <v>25</v>
      </c>
      <c r="B830" t="s">
        <v>14</v>
      </c>
      <c r="C830" t="s">
        <v>22</v>
      </c>
      <c r="D830" s="2" t="s">
        <f>=HYPERLINK("https://main.knesset.gov.il/APPS/legislation/main/bills/2199482", "הצעת חוק לתיקון פקודת התעבורה (הצגת משך הזמן שנותר לאותות ברמזורים), התשפ""ג-2023")</f>
        <v>1799</v>
      </c>
      <c r="E830" t="s">
        <v>1799</v>
      </c>
      <c r="F830" t="s">
        <v>1800</v>
      </c>
      <c r="G830" t="s">
        <v>14</v>
      </c>
      <c r="H830">
             </c>
      <c r="I830" t="s">
        <v>14</v>
      </c>
      <c r="J830" t="s">
        <v>343</v>
      </c>
      <c r="K830" t="s">
        <v>14</v>
      </c>
      <c r="L830" t="s">
        <v>20</v>
      </c>
      <c r="M830" t="s">
        <v>1780</v>
      </c>
      <c r="N830" t="s">
        <v>14</v>
      </c>
    </row>
    <row r="831" x14ac:dyDescent="0.25">
      <c r="A831" t="n">
        <v>25</v>
      </c>
      <c r="B831" t="s">
        <v>14</v>
      </c>
      <c r="C831" t="s">
        <v>22</v>
      </c>
      <c r="D831" s="2" t="s">
        <f>=HYPERLINK("https://main.knesset.gov.il/APPS/legislation/main/bills/2236240", "הצעת חוק מינוי תובע מיוחד, התשפ""ו-2025")</f>
        <v>1801</v>
      </c>
      <c r="E831" t="s">
        <v>1801</v>
      </c>
      <c r="F831" t="s">
        <v>1802</v>
      </c>
      <c r="G831" t="s">
        <v>14</v>
      </c>
      <c r="H831">
             </c>
      <c r="I831" t="s">
        <v>14</v>
      </c>
      <c r="J831" t="s">
        <v>141</v>
      </c>
      <c r="K831" t="s">
        <v>14</v>
      </c>
      <c r="L831" t="s">
        <v>20</v>
      </c>
      <c r="M831" t="s">
        <v>1803</v>
      </c>
      <c r="N831" t="s">
        <v>14</v>
      </c>
    </row>
    <row r="832" x14ac:dyDescent="0.25">
      <c r="A832" t="n">
        <v>25</v>
      </c>
      <c r="B832" t="s">
        <v>14</v>
      </c>
      <c r="C832" t="s">
        <v>22</v>
      </c>
      <c r="D832" s="2" t="s">
        <f>=HYPERLINK("https://main.knesset.gov.il/APPS/legislation/main/bills/2234642", "הצעת חוק קידום הביטחון התזונתי בישראל, התשפ""ו-2025")</f>
        <v>1804</v>
      </c>
      <c r="E832" t="s">
        <v>1804</v>
      </c>
      <c r="F832" t="s">
        <v>1805</v>
      </c>
      <c r="G832" t="s">
        <v>14</v>
      </c>
      <c r="H832">
             </c>
      <c r="I832" t="s">
        <v>14</v>
      </c>
      <c r="J832" t="s">
        <v>141</v>
      </c>
      <c r="K832" t="s">
        <v>14</v>
      </c>
      <c r="L832" t="s">
        <v>20</v>
      </c>
      <c r="M832" t="s">
        <v>1803</v>
      </c>
      <c r="N832" t="s">
        <v>14</v>
      </c>
    </row>
    <row r="833" x14ac:dyDescent="0.25">
      <c r="A833" t="n">
        <v>25</v>
      </c>
      <c r="B833" t="s">
        <v>14</v>
      </c>
      <c r="C833" t="s">
        <v>22</v>
      </c>
      <c r="D833" s="2" t="s">
        <f>=HYPERLINK("https://main.knesset.gov.il/APPS/legislation/main/bills/2235668", "הצעת חוק התקשורת (שידורים), התשפ""ו-2025")</f>
        <v>35</v>
      </c>
      <c r="E833" t="s">
        <v>35</v>
      </c>
      <c r="F833" t="s">
        <v>1806</v>
      </c>
      <c r="G833" t="s">
        <v>14</v>
      </c>
      <c r="H833">
             </c>
      <c r="I833" t="s">
        <v>14</v>
      </c>
      <c r="J833" t="s">
        <v>141</v>
      </c>
      <c r="K833" t="s">
        <v>14</v>
      </c>
      <c r="L833" t="s">
        <v>20</v>
      </c>
      <c r="M833" t="s">
        <v>1803</v>
      </c>
      <c r="N833" t="s">
        <v>14</v>
      </c>
    </row>
    <row r="834" x14ac:dyDescent="0.25">
      <c r="A834" t="n">
        <v>25</v>
      </c>
      <c r="B834" t="s">
        <v>14</v>
      </c>
      <c r="C834" t="s">
        <v>22</v>
      </c>
      <c r="D834" s="2" t="s">
        <f>=HYPERLINK("https://main.knesset.gov.il/APPS/legislation/main/bills/2237509", "הצעת חוק הכללת אמצעי זיהוי ביומטריים ונתוני זיהוי ביומטריים במסמכי זיהוי ובמאגר מידע (תיקון - קבלת תמונת טביעת אצבע של נפטר על ידי יורשו), התשפ""ו-2025")</f>
        <v>1807</v>
      </c>
      <c r="E834" t="s">
        <v>1807</v>
      </c>
      <c r="F834" t="s">
        <v>1808</v>
      </c>
      <c r="G834" t="s">
        <v>14</v>
      </c>
      <c r="H834">
             </c>
      <c r="I834" t="s">
        <v>14</v>
      </c>
      <c r="J834" t="s">
        <v>141</v>
      </c>
      <c r="K834" t="s">
        <v>14</v>
      </c>
      <c r="L834" t="s">
        <v>20</v>
      </c>
      <c r="M834" t="s">
        <v>1803</v>
      </c>
      <c r="N834" t="s">
        <v>14</v>
      </c>
    </row>
    <row r="835" x14ac:dyDescent="0.25">
      <c r="A835" t="n">
        <v>25</v>
      </c>
      <c r="B835" t="s">
        <v>14</v>
      </c>
      <c r="C835" t="s">
        <v>22</v>
      </c>
      <c r="D835" s="2" t="s">
        <f>=HYPERLINK("https://main.knesset.gov.il/APPS/legislation/main/bills/2236060", "הצעת חוק לטיפול סביבתי בציוד חשמלי ואלקטרוני ובסוללות (תיקון - חובת מיחזור פסולת סוללות לרכב חשמלי ורכב היברידי), התשפ""ו-2025")</f>
        <v>1809</v>
      </c>
      <c r="E835" t="s">
        <v>1809</v>
      </c>
      <c r="F835" t="s">
        <v>1810</v>
      </c>
      <c r="G835" t="s">
        <v>14</v>
      </c>
      <c r="H835">
             </c>
      <c r="I835" t="s">
        <v>14</v>
      </c>
      <c r="J835" t="s">
        <v>141</v>
      </c>
      <c r="K835" t="s">
        <v>14</v>
      </c>
      <c r="L835" t="s">
        <v>20</v>
      </c>
      <c r="M835" t="s">
        <v>1803</v>
      </c>
      <c r="N835" t="s">
        <v>14</v>
      </c>
    </row>
    <row r="836" x14ac:dyDescent="0.25">
      <c r="A836" t="n">
        <v>25</v>
      </c>
      <c r="B836" t="s">
        <v>14</v>
      </c>
      <c r="C836" t="s">
        <v>22</v>
      </c>
      <c r="D836" s="2" t="s">
        <f>=HYPERLINK("https://main.knesset.gov.il/APPS/legislation/main/bills/2234580", "הצעת חוק הרשויות המקומיות (בחירת ראש הרשות וסגניו וכהונתם) (תיקון - סגני ראש הרשות), התשפ״ו-2025")</f>
        <v>1811</v>
      </c>
      <c r="E836" t="s">
        <v>1811</v>
      </c>
      <c r="F836" t="s">
        <v>1812</v>
      </c>
      <c r="G836" t="s">
        <v>14</v>
      </c>
      <c r="H836">
             </c>
      <c r="I836" t="s">
        <v>14</v>
      </c>
      <c r="J836" t="s">
        <v>141</v>
      </c>
      <c r="K836" t="s">
        <v>14</v>
      </c>
      <c r="L836" t="s">
        <v>20</v>
      </c>
      <c r="M836" t="s">
        <v>1803</v>
      </c>
      <c r="N836" t="s">
        <v>14</v>
      </c>
    </row>
    <row r="837" x14ac:dyDescent="0.25">
      <c r="A837" t="n">
        <v>25</v>
      </c>
      <c r="B837" t="s">
        <v>14</v>
      </c>
      <c r="C837" t="s">
        <v>22</v>
      </c>
      <c r="D837" s="2" t="s">
        <f>=HYPERLINK("https://main.knesset.gov.il/APPS/legislation/main/bills/2237451", "הצעת חוק מענק לחטוף ששב מן השבי או למשפחתו של חטוף שנרצח בשבי וגופתו הושבה בעקבות מתקפת 7 באוקטובר, התשפ""ו–2025 ")</f>
        <v>1813</v>
      </c>
      <c r="E837" t="s">
        <v>1813</v>
      </c>
      <c r="F837" t="s">
        <v>1814</v>
      </c>
      <c r="G837" t="s">
        <v>14</v>
      </c>
      <c r="H837">
             </c>
      <c r="I837" t="s">
        <v>14</v>
      </c>
      <c r="J837" t="s">
        <v>141</v>
      </c>
      <c r="K837" t="s">
        <v>14</v>
      </c>
      <c r="L837" t="s">
        <v>20</v>
      </c>
      <c r="M837" t="s">
        <v>1803</v>
      </c>
      <c r="N837" t="s">
        <v>14</v>
      </c>
    </row>
    <row r="838" x14ac:dyDescent="0.25">
      <c r="A838" t="n">
        <v>25</v>
      </c>
      <c r="B838" t="s">
        <v>14</v>
      </c>
      <c r="C838" t="s">
        <v>22</v>
      </c>
      <c r="D838" s="2" t="s">
        <f>=HYPERLINK("https://main.knesset.gov.il/APPS/legislation/main/bills/2236726", "הצעת חוק החלת הריבונות הישראלית על מתחם מערת המכפלה, התשפ""ו-2025")</f>
        <v>1667</v>
      </c>
      <c r="E838" t="s">
        <v>1667</v>
      </c>
      <c r="F838" t="s">
        <v>1815</v>
      </c>
      <c r="G838" t="s">
        <v>14</v>
      </c>
      <c r="H838">
             </c>
      <c r="I838" t="s">
        <v>14</v>
      </c>
      <c r="J838" t="s">
        <v>141</v>
      </c>
      <c r="K838" t="s">
        <v>14</v>
      </c>
      <c r="L838" t="s">
        <v>20</v>
      </c>
      <c r="M838" t="s">
        <v>1803</v>
      </c>
      <c r="N838" t="s">
        <v>14</v>
      </c>
    </row>
    <row r="839" x14ac:dyDescent="0.25">
      <c r="A839" t="n">
        <v>25</v>
      </c>
      <c r="B839" t="s">
        <v>14</v>
      </c>
      <c r="C839" t="s">
        <v>22</v>
      </c>
      <c r="D839" s="2" t="s">
        <f>=HYPERLINK("https://main.knesset.gov.il/APPS/legislation/main/bills/2237457", "הצעת חוק שירות ביטחון (תיקון - סיוע טיפולי לבוגרי השירות הצבאי), התשפ""ו-2025")</f>
        <v>1816</v>
      </c>
      <c r="E839" t="s">
        <v>1816</v>
      </c>
      <c r="F839" t="s">
        <v>1817</v>
      </c>
      <c r="G839" t="s">
        <v>14</v>
      </c>
      <c r="H839">
             </c>
      <c r="I839" t="s">
        <v>14</v>
      </c>
      <c r="J839" t="s">
        <v>141</v>
      </c>
      <c r="K839" t="s">
        <v>14</v>
      </c>
      <c r="L839" t="s">
        <v>20</v>
      </c>
      <c r="M839" t="s">
        <v>1803</v>
      </c>
      <c r="N839" t="s">
        <v>14</v>
      </c>
    </row>
    <row r="840" x14ac:dyDescent="0.25">
      <c r="A840" t="n">
        <v>25</v>
      </c>
      <c r="B840" t="s">
        <v>14</v>
      </c>
      <c r="C840" t="s">
        <v>22</v>
      </c>
      <c r="D840" s="2" t="s">
        <f>=HYPERLINK("https://main.knesset.gov.il/APPS/legislation/main/bills/2235026", "הצעת חוק האזרחות והכניסה לישראל (הוראת שעה) (תיקון - איסור שהייה וישיבה של פעילי טרור וקרוביהם), התשפ""ו-2025")</f>
        <v>1818</v>
      </c>
      <c r="E840" t="s">
        <v>1818</v>
      </c>
      <c r="F840" t="s">
        <v>1819</v>
      </c>
      <c r="G840" t="s">
        <v>14</v>
      </c>
      <c r="H840">
             </c>
      <c r="I840" t="s">
        <v>14</v>
      </c>
      <c r="J840" t="s">
        <v>141</v>
      </c>
      <c r="K840" t="s">
        <v>14</v>
      </c>
      <c r="L840" t="s">
        <v>20</v>
      </c>
      <c r="M840" t="s">
        <v>1803</v>
      </c>
      <c r="N840" t="s">
        <v>14</v>
      </c>
    </row>
    <row r="841" x14ac:dyDescent="0.25">
      <c r="A841" t="n">
        <v>25</v>
      </c>
      <c r="B841" t="s">
        <v>14</v>
      </c>
      <c r="C841" t="s">
        <v>22</v>
      </c>
      <c r="D841" s="2" t="s">
        <f>=HYPERLINK("https://main.knesset.gov.il/APPS/legislation/main/bills/2236899", "הצעת חוק הנצחת זכרם של קורבנות הטבח בכפר קאסם, התשפ""ו-2025")</f>
        <v>1820</v>
      </c>
      <c r="E841" t="s">
        <v>1820</v>
      </c>
      <c r="F841" t="s">
        <v>1821</v>
      </c>
      <c r="G841" t="s">
        <v>14</v>
      </c>
      <c r="H841">
             </c>
      <c r="I841" t="s">
        <v>14</v>
      </c>
      <c r="J841" t="s">
        <v>141</v>
      </c>
      <c r="K841" t="s">
        <v>14</v>
      </c>
      <c r="L841" t="s">
        <v>20</v>
      </c>
      <c r="M841" t="s">
        <v>1803</v>
      </c>
      <c r="N841" t="s">
        <v>14</v>
      </c>
    </row>
    <row r="842" x14ac:dyDescent="0.25">
      <c r="A842" t="n">
        <v>25</v>
      </c>
      <c r="B842" t="s">
        <v>14</v>
      </c>
      <c r="C842" t="s">
        <v>22</v>
      </c>
      <c r="D842" s="2" t="s">
        <f>=HYPERLINK("https://main.knesset.gov.il/APPS/legislation/main/bills/2236029", "הצעת חוק התכנון והבנייה (תיקון - מורשה להיתר), התשפ""ו-2025")</f>
        <v>1822</v>
      </c>
      <c r="E842" t="s">
        <v>1822</v>
      </c>
      <c r="F842" t="s">
        <v>1823</v>
      </c>
      <c r="G842" t="s">
        <v>14</v>
      </c>
      <c r="H842">
             </c>
      <c r="I842" t="s">
        <v>14</v>
      </c>
      <c r="J842" t="s">
        <v>141</v>
      </c>
      <c r="K842" t="s">
        <v>14</v>
      </c>
      <c r="L842" t="s">
        <v>20</v>
      </c>
      <c r="M842" t="s">
        <v>1803</v>
      </c>
      <c r="N842" t="s">
        <v>14</v>
      </c>
    </row>
    <row r="843" x14ac:dyDescent="0.25">
      <c r="A843" t="n">
        <v>25</v>
      </c>
      <c r="B843" t="s">
        <v>14</v>
      </c>
      <c r="C843" t="s">
        <v>22</v>
      </c>
      <c r="D843" s="2" t="s">
        <f>=HYPERLINK("https://main.knesset.gov.il/APPS/legislation/main/bills/2237274", "הצעת חוק הקמת ועדת חקירה ממלכתית לאירועי 7 באוקטובר, התשפ""ו-2025")</f>
        <v>1824</v>
      </c>
      <c r="E843" t="s">
        <v>1824</v>
      </c>
      <c r="F843" t="s">
        <v>1825</v>
      </c>
      <c r="G843" t="s">
        <v>14</v>
      </c>
      <c r="H843">
             </c>
      <c r="I843" t="s">
        <v>14</v>
      </c>
      <c r="J843" t="s">
        <v>343</v>
      </c>
      <c r="K843" t="s">
        <v>14</v>
      </c>
      <c r="L843" t="s">
        <v>20</v>
      </c>
      <c r="M843" t="s">
        <v>1803</v>
      </c>
      <c r="N843" t="s">
        <v>14</v>
      </c>
    </row>
    <row r="844" x14ac:dyDescent="0.25">
      <c r="A844" t="n">
        <v>25</v>
      </c>
      <c r="B844" t="s">
        <v>14</v>
      </c>
      <c r="C844" t="s">
        <v>22</v>
      </c>
      <c r="D844" s="2" t="s">
        <f>=HYPERLINK("https://main.knesset.gov.il/APPS/legislation/main/bills/2237242", "הצעת חוק האגודות העותומניות (רישום ופיקוח), התשפ""ו-2025")</f>
        <v>1826</v>
      </c>
      <c r="E844" t="s">
        <v>1826</v>
      </c>
      <c r="F844" t="s">
        <v>1827</v>
      </c>
      <c r="G844" t="s">
        <v>14</v>
      </c>
      <c r="H844">
             </c>
      <c r="I844" t="s">
        <v>14</v>
      </c>
      <c r="J844" t="s">
        <v>141</v>
      </c>
      <c r="K844" t="s">
        <v>14</v>
      </c>
      <c r="L844" t="s">
        <v>20</v>
      </c>
      <c r="M844" t="s">
        <v>1803</v>
      </c>
      <c r="N844" t="s">
        <v>14</v>
      </c>
    </row>
    <row r="845" x14ac:dyDescent="0.25">
      <c r="A845" t="n">
        <v>25</v>
      </c>
      <c r="B845" t="s">
        <v>14</v>
      </c>
      <c r="C845" t="s">
        <v>22</v>
      </c>
      <c r="D845" s="2" t="s">
        <f>=HYPERLINK("https://main.knesset.gov.il/APPS/legislation/main/bills/2237269", "הצעת חוק החברות (תיקון - פרסום דוחות כספיים של מונופול), התשפ""ו-2025")</f>
        <v>1622</v>
      </c>
      <c r="E845" t="s">
        <v>1622</v>
      </c>
      <c r="F845" t="s">
        <v>1828</v>
      </c>
      <c r="G845" t="s">
        <v>14</v>
      </c>
      <c r="H845">
             </c>
      <c r="I845" t="s">
        <v>14</v>
      </c>
      <c r="J845" t="s">
        <v>141</v>
      </c>
      <c r="K845" t="s">
        <v>14</v>
      </c>
      <c r="L845" t="s">
        <v>20</v>
      </c>
      <c r="M845" t="s">
        <v>1803</v>
      </c>
      <c r="N845" t="s">
        <v>14</v>
      </c>
    </row>
    <row r="846" x14ac:dyDescent="0.25">
      <c r="A846" t="n">
        <v>25</v>
      </c>
      <c r="B846" t="s">
        <v>14</v>
      </c>
      <c r="C846" t="s">
        <v>22</v>
      </c>
      <c r="D846" s="2" t="s">
        <f>=HYPERLINK("https://main.knesset.gov.il/APPS/legislation/main/bills/2237260", "הצעת חוק המרכז למורשת ארגון אליאנס: כל ישראל חברים, התשפ""ו-2025")</f>
        <v>1773</v>
      </c>
      <c r="E846" t="s">
        <v>1773</v>
      </c>
      <c r="F846" t="s">
        <v>1829</v>
      </c>
      <c r="G846" t="s">
        <v>14</v>
      </c>
      <c r="H846">
             </c>
      <c r="I846" t="s">
        <v>14</v>
      </c>
      <c r="J846" t="s">
        <v>141</v>
      </c>
      <c r="K846" t="s">
        <v>14</v>
      </c>
      <c r="L846" t="s">
        <v>20</v>
      </c>
      <c r="M846" t="s">
        <v>1803</v>
      </c>
      <c r="N846" t="s">
        <v>14</v>
      </c>
    </row>
    <row r="847" x14ac:dyDescent="0.25">
      <c r="A847" t="n">
        <v>25</v>
      </c>
      <c r="B847" t="s">
        <v>14</v>
      </c>
      <c r="C847" t="s">
        <v>15</v>
      </c>
      <c r="D847" s="2" t="s">
        <f>=HYPERLINK("https://main.knesset.gov.il/APPS/legislation/main/bills/1046149", "חוק לתיקון דיני הראיות (הגנת ילדים) (תיקון מס' 20), התשפ""ו-2025")</f>
        <v>1830</v>
      </c>
      <c r="E847" t="s">
        <v>1830</v>
      </c>
      <c r="F847" t="s">
        <v>14</v>
      </c>
      <c r="G847" t="s">
        <v>1831</v>
      </c>
      <c r="H847" t="n">
        <v>3466</v>
      </c>
      <c r="I847" t="s">
        <v>14</v>
      </c>
      <c r="J847" t="s">
        <v>91</v>
      </c>
      <c r="K847" t="s">
        <v>27</v>
      </c>
      <c r="L847" t="s">
        <v>20</v>
      </c>
      <c r="M847" t="s">
        <v>1832</v>
      </c>
      <c r="N847" t="s">
        <v>14</v>
      </c>
    </row>
    <row r="848" x14ac:dyDescent="0.25">
      <c r="A848" t="n">
        <v>25</v>
      </c>
      <c r="B848" t="s">
        <v>14</v>
      </c>
      <c r="C848" t="s">
        <v>22</v>
      </c>
      <c r="D848" s="2" t="s">
        <f>=HYPERLINK("https://main.knesset.gov.il/APPS/legislation/main/bills/2201314", "הצעת חוק לתיקון דיני הראיות (הגנת ילדים) (תיקון - הרחבת ההסדרים הקבועים בחוק לילדים אשר עברו את גיל 14 במועד העדות), התשפ""ג-2023")</f>
        <v>1833</v>
      </c>
      <c r="E848" t="s">
        <v>1833</v>
      </c>
      <c r="F848" t="s">
        <v>1834</v>
      </c>
      <c r="G848" t="s">
        <v>14</v>
      </c>
      <c r="H848">
             </c>
      <c r="I848" t="s">
        <v>14</v>
      </c>
      <c r="J848" t="s">
        <v>99</v>
      </c>
      <c r="K848" t="s">
        <v>27</v>
      </c>
      <c r="L848" t="s">
        <v>20</v>
      </c>
      <c r="M848" t="s">
        <v>1832</v>
      </c>
      <c r="N848" t="s">
        <v>14</v>
      </c>
    </row>
    <row r="849" x14ac:dyDescent="0.25">
      <c r="A849" t="n">
        <v>25</v>
      </c>
      <c r="B849" t="s">
        <v>14</v>
      </c>
      <c r="C849" t="s">
        <v>22</v>
      </c>
      <c r="D849" s="2" t="s">
        <f>=HYPERLINK("https://main.knesset.gov.il/APPS/legislation/main/bills/2211746", "הצעת חוק הביטוח הלאומי (תיקון - הגבלת שכר טרחה עבור טיפול בתביעה לנפגעי איבה), התשפ""ד-2023")</f>
        <v>1835</v>
      </c>
      <c r="E849" t="s">
        <v>1835</v>
      </c>
      <c r="F849" t="s">
        <v>1836</v>
      </c>
      <c r="G849" t="s">
        <v>14</v>
      </c>
      <c r="H849">
             </c>
      <c r="I849" t="s">
        <v>14</v>
      </c>
      <c r="J849" t="s">
        <v>99</v>
      </c>
      <c r="K849" t="s">
        <v>127</v>
      </c>
      <c r="L849" t="s">
        <v>20</v>
      </c>
      <c r="M849" t="s">
        <v>1832</v>
      </c>
      <c r="N849" t="s">
        <v>14</v>
      </c>
    </row>
    <row r="850" x14ac:dyDescent="0.25">
      <c r="A850" t="n">
        <v>25</v>
      </c>
      <c r="B850" t="s">
        <v>14</v>
      </c>
      <c r="C850" t="s">
        <v>22</v>
      </c>
      <c r="D850" s="2" t="s">
        <f>=HYPERLINK("https://main.knesset.gov.il/APPS/legislation/main/bills/2198770", "הצעת חוק הנכים (תגמולים ושיקום) (תיקון - הגבלת שכר טרחת עורך דין), התשפ""ג-2023")</f>
        <v>1837</v>
      </c>
      <c r="E850" t="s">
        <v>1837</v>
      </c>
      <c r="F850" t="s">
        <v>1838</v>
      </c>
      <c r="G850" t="s">
        <v>14</v>
      </c>
      <c r="H850">
             </c>
      <c r="I850" t="s">
        <v>14</v>
      </c>
      <c r="J850" t="s">
        <v>99</v>
      </c>
      <c r="K850" t="s">
        <v>127</v>
      </c>
      <c r="L850" t="s">
        <v>20</v>
      </c>
      <c r="M850" t="s">
        <v>1832</v>
      </c>
      <c r="N850" t="s">
        <v>14</v>
      </c>
    </row>
    <row r="851" x14ac:dyDescent="0.25">
      <c r="A851" t="n">
        <v>25</v>
      </c>
      <c r="B851" t="s">
        <v>14</v>
      </c>
      <c r="C851" t="s">
        <v>22</v>
      </c>
      <c r="D851" s="2" t="s">
        <f>=HYPERLINK("https://main.knesset.gov.il/APPS/legislation/main/bills/2235093", "הצעת חוק שירות ביטחון (תיקון - מתווה בן-גוריון לדחייה ופטור משירות מטעמי לימודי דת), התשפ""ו-2025")</f>
        <v>1839</v>
      </c>
      <c r="E851" t="s">
        <v>1839</v>
      </c>
      <c r="F851" t="s">
        <v>1840</v>
      </c>
      <c r="G851" t="s">
        <v>14</v>
      </c>
      <c r="H851">
             </c>
      <c r="I851" t="s">
        <v>14</v>
      </c>
      <c r="J851" t="s">
        <v>55</v>
      </c>
      <c r="K851" t="s">
        <v>14</v>
      </c>
      <c r="L851" t="s">
        <v>20</v>
      </c>
      <c r="M851" t="s">
        <v>1832</v>
      </c>
      <c r="N851" t="s">
        <v>14</v>
      </c>
    </row>
    <row r="852" x14ac:dyDescent="0.25">
      <c r="A852" t="n">
        <v>25</v>
      </c>
      <c r="B852" t="s">
        <v>14</v>
      </c>
      <c r="C852" t="s">
        <v>22</v>
      </c>
      <c r="D852" s="2" t="s">
        <f>=HYPERLINK("https://main.knesset.gov.il/APPS/legislation/main/bills/2221211", "הצעת חוק התכנון והבנייה (תיקון - הצללת המרחב הציבורי), התשפ""ה-2025")</f>
        <v>1841</v>
      </c>
      <c r="E852" t="s">
        <v>1841</v>
      </c>
      <c r="F852" t="s">
        <v>1842</v>
      </c>
      <c r="G852" t="s">
        <v>14</v>
      </c>
      <c r="H852">
             </c>
      <c r="I852" t="s">
        <v>14</v>
      </c>
      <c r="J852" t="s">
        <v>343</v>
      </c>
      <c r="K852" t="s">
        <v>14</v>
      </c>
      <c r="L852" t="s">
        <v>20</v>
      </c>
      <c r="M852" t="s">
        <v>1832</v>
      </c>
      <c r="N852" t="s">
        <v>14</v>
      </c>
    </row>
    <row r="853" x14ac:dyDescent="0.25">
      <c r="A853" t="n">
        <v>25</v>
      </c>
      <c r="B853" t="s">
        <v>14</v>
      </c>
      <c r="C853" t="s">
        <v>22</v>
      </c>
      <c r="D853" s="2" t="s">
        <f>=HYPERLINK("https://main.knesset.gov.il/APPS/legislation/main/bills/2234224", "הצעת חוק-יסוד: הכנסת (תיקון - ייצוג מינימלי לשני המינים ברשימת מועמדים לכנסת)")</f>
        <v>1843</v>
      </c>
      <c r="E853" t="s">
        <v>1843</v>
      </c>
      <c r="F853" t="s">
        <v>1844</v>
      </c>
      <c r="G853" t="s">
        <v>14</v>
      </c>
      <c r="H853">
             </c>
      <c r="I853" t="s">
        <v>14</v>
      </c>
      <c r="J853" t="s">
        <v>55</v>
      </c>
      <c r="K853" t="s">
        <v>14</v>
      </c>
      <c r="L853" t="s">
        <v>20</v>
      </c>
      <c r="M853" t="s">
        <v>1832</v>
      </c>
      <c r="N853" t="s">
        <v>14</v>
      </c>
    </row>
    <row r="854" x14ac:dyDescent="0.25">
      <c r="A854" t="n">
        <v>25</v>
      </c>
      <c r="B854" t="s">
        <v>14</v>
      </c>
      <c r="C854" t="s">
        <v>22</v>
      </c>
      <c r="D854" s="2" t="s">
        <f>=HYPERLINK("https://main.knesset.gov.il/APPS/legislation/main/bills/2228218", "הצעת חוק-יסוד: הכנסת (תיקון - ייצוג הולם לנשים ברשימת מועמדים לכנסת)")</f>
        <v>1047</v>
      </c>
      <c r="E854" t="s">
        <v>1047</v>
      </c>
      <c r="F854" t="s">
        <v>1845</v>
      </c>
      <c r="G854" t="s">
        <v>14</v>
      </c>
      <c r="H854">
             </c>
      <c r="I854" t="s">
        <v>14</v>
      </c>
      <c r="J854" t="s">
        <v>55</v>
      </c>
      <c r="K854" t="s">
        <v>14</v>
      </c>
      <c r="L854" t="s">
        <v>20</v>
      </c>
      <c r="M854" t="s">
        <v>1832</v>
      </c>
      <c r="N854" t="s">
        <v>14</v>
      </c>
    </row>
    <row r="855" x14ac:dyDescent="0.25">
      <c r="A855" t="n">
        <v>25</v>
      </c>
      <c r="B855" t="s">
        <v>14</v>
      </c>
      <c r="C855" t="s">
        <v>22</v>
      </c>
      <c r="D855" s="2" t="s">
        <f>=HYPERLINK("https://main.knesset.gov.il/APPS/legislation/main/bills/2227423", "הצעת חוק לתיקון פקודת מס הכנסה (פטור ממס למשרת מילואים פעיל) (הוראת שעה - חרבות ברזל), התשפ""ה-2025")</f>
        <v>1846</v>
      </c>
      <c r="E855" t="s">
        <v>1846</v>
      </c>
      <c r="F855" t="s">
        <v>1847</v>
      </c>
      <c r="G855" t="s">
        <v>14</v>
      </c>
      <c r="H855">
             </c>
      <c r="I855" t="s">
        <v>14</v>
      </c>
      <c r="J855" t="s">
        <v>55</v>
      </c>
      <c r="K855" t="s">
        <v>14</v>
      </c>
      <c r="L855" t="s">
        <v>20</v>
      </c>
      <c r="M855" t="s">
        <v>1832</v>
      </c>
      <c r="N855" t="s">
        <v>14</v>
      </c>
    </row>
    <row r="856" x14ac:dyDescent="0.25">
      <c r="A856" t="n">
        <v>25</v>
      </c>
      <c r="B856" t="s">
        <v>14</v>
      </c>
      <c r="C856" t="s">
        <v>22</v>
      </c>
      <c r="D856" s="2" t="s">
        <f>=HYPERLINK("https://main.knesset.gov.il/APPS/legislation/main/bills/2223489", "הצעת חוק העונשין (תיקון - החמרת ענישה על סיוע לאויב במלחמה), התשפ""ה-2024")</f>
        <v>1848</v>
      </c>
      <c r="E856" t="s">
        <v>1848</v>
      </c>
      <c r="F856" t="s">
        <v>1849</v>
      </c>
      <c r="G856" t="s">
        <v>14</v>
      </c>
      <c r="H856">
             </c>
      <c r="I856" t="s">
        <v>14</v>
      </c>
      <c r="J856" t="s">
        <v>343</v>
      </c>
      <c r="K856" t="s">
        <v>14</v>
      </c>
      <c r="L856" t="s">
        <v>20</v>
      </c>
      <c r="M856" t="s">
        <v>1832</v>
      </c>
      <c r="N856" t="s">
        <v>14</v>
      </c>
    </row>
    <row r="857" x14ac:dyDescent="0.25">
      <c r="A857" t="n">
        <v>25</v>
      </c>
      <c r="B857" t="s">
        <v>14</v>
      </c>
      <c r="C857" t="s">
        <v>22</v>
      </c>
      <c r="D857" s="2" t="s">
        <f>=HYPERLINK("https://main.knesset.gov.il/APPS/legislation/main/bills/2203203", "הצעת חוק משק החשמל (תיקון - תעריף מופחת לבתי חולים בפריפריה), התשפ""ג-2023")</f>
        <v>1850</v>
      </c>
      <c r="E857" t="s">
        <v>1850</v>
      </c>
      <c r="F857" t="s">
        <v>1851</v>
      </c>
      <c r="G857" t="s">
        <v>14</v>
      </c>
      <c r="H857">
             </c>
      <c r="I857" t="s">
        <v>14</v>
      </c>
      <c r="J857" t="s">
        <v>55</v>
      </c>
      <c r="K857" t="s">
        <v>14</v>
      </c>
      <c r="L857" t="s">
        <v>20</v>
      </c>
      <c r="M857" t="s">
        <v>1832</v>
      </c>
      <c r="N857" t="s">
        <v>14</v>
      </c>
    </row>
    <row r="858" x14ac:dyDescent="0.25">
      <c r="A858" t="n">
        <v>25</v>
      </c>
      <c r="B858" t="s">
        <v>14</v>
      </c>
      <c r="C858" t="s">
        <v>22</v>
      </c>
      <c r="D858" s="2" t="s">
        <f>=HYPERLINK("https://main.knesset.gov.il/APPS/legislation/main/bills/2199030", "הצעת חוק משק החשמל (תיקון - תעריף מופחת לבתי חולים בפריפריה), התשפ""ג-2023")</f>
        <v>1850</v>
      </c>
      <c r="E858" t="s">
        <v>1850</v>
      </c>
      <c r="F858" t="s">
        <v>1852</v>
      </c>
      <c r="G858" t="s">
        <v>14</v>
      </c>
      <c r="H858">
             </c>
      <c r="I858" t="s">
        <v>14</v>
      </c>
      <c r="J858" t="s">
        <v>55</v>
      </c>
      <c r="K858" t="s">
        <v>14</v>
      </c>
      <c r="L858" t="s">
        <v>20</v>
      </c>
      <c r="M858" t="s">
        <v>1832</v>
      </c>
      <c r="N858" t="s">
        <v>14</v>
      </c>
    </row>
    <row r="859" x14ac:dyDescent="0.25">
      <c r="A859" t="n">
        <v>25</v>
      </c>
      <c r="B859" t="s">
        <v>14</v>
      </c>
      <c r="C859" t="s">
        <v>22</v>
      </c>
      <c r="D859" s="2" t="s">
        <f>=HYPERLINK("https://main.knesset.gov.il/APPS/legislation/main/bills/2196029", "הצעת חוק הטבות לניצולי שואה (תיקון - זכאות למענק הטבות שנתי לבן זוג של ניצול שואה שנפטר), התשפ""ג-2022")</f>
        <v>1853</v>
      </c>
      <c r="E859" t="s">
        <v>1853</v>
      </c>
      <c r="F859" t="s">
        <v>1854</v>
      </c>
      <c r="G859" t="s">
        <v>14</v>
      </c>
      <c r="H859">
             </c>
      <c r="I859" t="s">
        <v>14</v>
      </c>
      <c r="J859" t="s">
        <v>55</v>
      </c>
      <c r="K859" t="s">
        <v>14</v>
      </c>
      <c r="L859" t="s">
        <v>20</v>
      </c>
      <c r="M859" t="s">
        <v>1832</v>
      </c>
      <c r="N859" t="s">
        <v>14</v>
      </c>
    </row>
    <row r="860" x14ac:dyDescent="0.25">
      <c r="A860" t="n">
        <v>25</v>
      </c>
      <c r="B860" t="s">
        <v>14</v>
      </c>
      <c r="C860" t="s">
        <v>22</v>
      </c>
      <c r="D860" s="2" t="s">
        <f>=HYPERLINK("https://main.knesset.gov.il/APPS/legislation/main/bills/2219753", "הצעת חוק מניעת פגיעת גוף שידורים זר בביטחון המדינה (הוראת שעה - חרבות ברזל) (תיקון - מניעת שידורים), התשפ""ד-2024")</f>
        <v>1855</v>
      </c>
      <c r="E860" t="s">
        <v>1855</v>
      </c>
      <c r="F860" t="s">
        <v>1856</v>
      </c>
      <c r="G860" t="s">
        <v>14</v>
      </c>
      <c r="H860">
             </c>
      <c r="I860" t="s">
        <v>14</v>
      </c>
      <c r="J860" t="s">
        <v>1857</v>
      </c>
      <c r="K860" t="s">
        <v>105</v>
      </c>
      <c r="L860" t="s">
        <v>20</v>
      </c>
      <c r="M860" t="s">
        <v>1858</v>
      </c>
      <c r="N860" t="s">
        <v>14</v>
      </c>
    </row>
    <row r="861" x14ac:dyDescent="0.25">
      <c r="A861" t="n">
        <v>25</v>
      </c>
      <c r="B861" t="s">
        <v>14</v>
      </c>
      <c r="C861" t="s">
        <v>15</v>
      </c>
      <c r="D861" s="2" t="s">
        <f>=HYPERLINK("https://main.knesset.gov.il/APPS/legislation/main/bills/2231121", "חוק הסיוע המשפטי (תיקון מס' 30), התשפ""ו–2025")</f>
        <v>1859</v>
      </c>
      <c r="E861" t="s">
        <v>1859</v>
      </c>
      <c r="F861" t="s">
        <v>14</v>
      </c>
      <c r="G861" t="s">
        <v>1860</v>
      </c>
      <c r="H861" t="n">
        <v>3465</v>
      </c>
      <c r="I861" t="s">
        <v>14</v>
      </c>
      <c r="J861" t="s">
        <v>91</v>
      </c>
      <c r="K861" t="s">
        <v>27</v>
      </c>
      <c r="L861" t="s">
        <v>20</v>
      </c>
      <c r="M861" t="s">
        <v>1858</v>
      </c>
      <c r="N861" t="s">
        <v>14</v>
      </c>
    </row>
    <row r="862" x14ac:dyDescent="0.25">
      <c r="A862" t="n">
        <v>25</v>
      </c>
      <c r="B862" t="s">
        <v>14</v>
      </c>
      <c r="C862" t="s">
        <v>22</v>
      </c>
      <c r="D862" s="2" t="s">
        <f>=HYPERLINK("https://main.knesset.gov.il/APPS/legislation/main/bills/2192117", "חוק בתי המשפט (תיקון מס' 106), התשפ""ו–2025")</f>
        <v>1861</v>
      </c>
      <c r="E862" t="s">
        <v>1861</v>
      </c>
      <c r="F862" t="s">
        <v>1862</v>
      </c>
      <c r="G862" t="s">
        <v>1863</v>
      </c>
      <c r="H862" t="n">
        <v>3464</v>
      </c>
      <c r="I862" t="s">
        <v>14</v>
      </c>
      <c r="J862" t="s">
        <v>91</v>
      </c>
      <c r="K862" t="s">
        <v>27</v>
      </c>
      <c r="L862" t="s">
        <v>20</v>
      </c>
      <c r="M862" t="s">
        <v>1858</v>
      </c>
      <c r="N862" t="s">
        <v>14</v>
      </c>
    </row>
    <row r="863" x14ac:dyDescent="0.25">
      <c r="A863" t="n">
        <v>25</v>
      </c>
      <c r="B863" t="s">
        <v>14</v>
      </c>
      <c r="C863" t="s">
        <v>22</v>
      </c>
      <c r="D863" s="2" t="s">
        <f>=HYPERLINK("https://main.knesset.gov.il/APPS/legislation/main/bills/2235767", "הצעת חוק למניעת אלימות במוסדות למתן טיפול (תיקון - הגברת האכיפה), התשפ״ו-2025")</f>
        <v>1864</v>
      </c>
      <c r="E863" t="s">
        <v>1864</v>
      </c>
      <c r="F863" t="s">
        <v>1865</v>
      </c>
      <c r="G863" t="s">
        <v>14</v>
      </c>
      <c r="H863">
             </c>
      <c r="I863" t="s">
        <v>14</v>
      </c>
      <c r="J863" t="s">
        <v>141</v>
      </c>
      <c r="K863" t="s">
        <v>14</v>
      </c>
      <c r="L863" t="s">
        <v>20</v>
      </c>
      <c r="M863" t="s">
        <v>1866</v>
      </c>
      <c r="N863" t="s">
        <v>14</v>
      </c>
    </row>
    <row r="864" x14ac:dyDescent="0.25">
      <c r="A864" t="n">
        <v>25</v>
      </c>
      <c r="B864" t="s">
        <v>14</v>
      </c>
      <c r="C864" t="s">
        <v>22</v>
      </c>
      <c r="D864" s="2" t="s">
        <f>=HYPERLINK("https://main.knesset.gov.il/APPS/legislation/main/bills/2237211", "הצעת חוק לתיקון פקודת בריאות העם (מרכזים אקוטיים), התשפ""ו-2025")</f>
        <v>1074</v>
      </c>
      <c r="E864" t="s">
        <v>1074</v>
      </c>
      <c r="F864" t="s">
        <v>1867</v>
      </c>
      <c r="G864" t="s">
        <v>14</v>
      </c>
      <c r="H864">
             </c>
      <c r="I864" t="s">
        <v>14</v>
      </c>
      <c r="J864" t="s">
        <v>141</v>
      </c>
      <c r="K864" t="s">
        <v>14</v>
      </c>
      <c r="L864" t="s">
        <v>20</v>
      </c>
      <c r="M864" t="s">
        <v>1866</v>
      </c>
      <c r="N864" t="s">
        <v>14</v>
      </c>
    </row>
    <row r="865" x14ac:dyDescent="0.25">
      <c r="A865" t="n">
        <v>25</v>
      </c>
      <c r="B865" t="s">
        <v>14</v>
      </c>
      <c r="C865" t="s">
        <v>22</v>
      </c>
      <c r="D865" s="2" t="s">
        <f>=HYPERLINK("https://main.knesset.gov.il/APPS/legislation/main/bills/2236702", "הצעת חוק הרשות לטיפול בנפגעי הלם קרב, התשפ""ו-2025")</f>
        <v>808</v>
      </c>
      <c r="E865" t="s">
        <v>808</v>
      </c>
      <c r="F865" t="s">
        <v>1868</v>
      </c>
      <c r="G865" t="s">
        <v>14</v>
      </c>
      <c r="H865">
             </c>
      <c r="I865" t="s">
        <v>14</v>
      </c>
      <c r="J865" t="s">
        <v>141</v>
      </c>
      <c r="K865" t="s">
        <v>14</v>
      </c>
      <c r="L865" t="s">
        <v>20</v>
      </c>
      <c r="M865" t="s">
        <v>1866</v>
      </c>
      <c r="N865" t="s">
        <v>14</v>
      </c>
    </row>
    <row r="866" x14ac:dyDescent="0.25">
      <c r="A866" t="n">
        <v>25</v>
      </c>
      <c r="B866" t="s">
        <v>14</v>
      </c>
      <c r="C866" t="s">
        <v>22</v>
      </c>
      <c r="D866" s="2" t="s">
        <f>=HYPERLINK("https://main.knesset.gov.il/APPS/legislation/main/bills/2236669", "הצעת חוק נציבות תלונות הציבור על עובדים סוציאליים, התשפ""ו-2025")</f>
        <v>1869</v>
      </c>
      <c r="E866" t="s">
        <v>1869</v>
      </c>
      <c r="F866" t="s">
        <v>1870</v>
      </c>
      <c r="G866" t="s">
        <v>14</v>
      </c>
      <c r="H866">
             </c>
      <c r="I866" t="s">
        <v>14</v>
      </c>
      <c r="J866" t="s">
        <v>141</v>
      </c>
      <c r="K866" t="s">
        <v>14</v>
      </c>
      <c r="L866" t="s">
        <v>20</v>
      </c>
      <c r="M866" t="s">
        <v>1866</v>
      </c>
      <c r="N866" t="s">
        <v>14</v>
      </c>
    </row>
    <row r="867" x14ac:dyDescent="0.25">
      <c r="A867" t="n">
        <v>25</v>
      </c>
      <c r="B867" t="s">
        <v>14</v>
      </c>
      <c r="C867" t="s">
        <v>22</v>
      </c>
      <c r="D867" s="2" t="s">
        <f>=HYPERLINK("https://main.knesset.gov.il/APPS/legislation/main/bills/2236729", "הצעת חוק סדר הדין הפלילי (תיקון - מניעת ניגודי עניינים בחקירת היועץ המשפטי לממשלה ופרקליט המדינה), התשפ""ו-2025")</f>
        <v>1871</v>
      </c>
      <c r="E867" t="s">
        <v>1871</v>
      </c>
      <c r="F867" t="s">
        <v>1872</v>
      </c>
      <c r="G867" t="s">
        <v>14</v>
      </c>
      <c r="H867">
             </c>
      <c r="I867" t="s">
        <v>14</v>
      </c>
      <c r="J867" t="s">
        <v>141</v>
      </c>
      <c r="K867" t="s">
        <v>14</v>
      </c>
      <c r="L867" t="s">
        <v>20</v>
      </c>
      <c r="M867" t="s">
        <v>1866</v>
      </c>
      <c r="N867" t="s">
        <v>14</v>
      </c>
    </row>
    <row r="868" x14ac:dyDescent="0.25">
      <c r="A868" t="n">
        <v>25</v>
      </c>
      <c r="B868" t="s">
        <v>14</v>
      </c>
      <c r="C868" t="s">
        <v>22</v>
      </c>
      <c r="D868" s="2" t="s">
        <f>=HYPERLINK("https://main.knesset.gov.il/APPS/legislation/main/bills/2235887", "הצעת חוק הגנה בסייבר על תלמידי מערכת החינוך, התשפ״ו-2025")</f>
        <v>1873</v>
      </c>
      <c r="E868" t="s">
        <v>1873</v>
      </c>
      <c r="F868" t="s">
        <v>1874</v>
      </c>
      <c r="G868" t="s">
        <v>14</v>
      </c>
      <c r="H868">
             </c>
      <c r="I868" t="s">
        <v>14</v>
      </c>
      <c r="J868" t="s">
        <v>141</v>
      </c>
      <c r="K868" t="s">
        <v>14</v>
      </c>
      <c r="L868" t="s">
        <v>20</v>
      </c>
      <c r="M868" t="s">
        <v>1866</v>
      </c>
      <c r="N868" t="s">
        <v>14</v>
      </c>
    </row>
    <row r="869" x14ac:dyDescent="0.25">
      <c r="A869" t="n">
        <v>25</v>
      </c>
      <c r="B869" t="s">
        <v>14</v>
      </c>
      <c r="C869" t="s">
        <v>22</v>
      </c>
      <c r="D869" s="2" t="s">
        <f>=HYPERLINK("https://main.knesset.gov.il/APPS/legislation/main/bills/2235433", "הצעת חוק שלילת הטבות מבכירים במדינת ישראל, התשפ""ו-2025 ")</f>
        <v>1875</v>
      </c>
      <c r="E869" t="s">
        <v>1875</v>
      </c>
      <c r="F869" t="s">
        <v>1876</v>
      </c>
      <c r="G869" t="s">
        <v>14</v>
      </c>
      <c r="H869">
             </c>
      <c r="I869" t="s">
        <v>14</v>
      </c>
      <c r="J869" t="s">
        <v>141</v>
      </c>
      <c r="K869" t="s">
        <v>14</v>
      </c>
      <c r="L869" t="s">
        <v>20</v>
      </c>
      <c r="M869" t="s">
        <v>1866</v>
      </c>
      <c r="N869" t="s">
        <v>14</v>
      </c>
    </row>
    <row r="870" x14ac:dyDescent="0.25">
      <c r="A870" t="n">
        <v>25</v>
      </c>
      <c r="B870" t="s">
        <v>14</v>
      </c>
      <c r="C870" t="s">
        <v>22</v>
      </c>
      <c r="D870" s="2" t="s">
        <f>=HYPERLINK("https://main.knesset.gov.il/APPS/legislation/main/bills/2236742", "הצעת חוק הטבות לניצולי שואה (תיקון - הגדלת מענק שנתי), התשפ""ו-2025")</f>
        <v>1877</v>
      </c>
      <c r="E870" t="s">
        <v>1877</v>
      </c>
      <c r="F870" t="s">
        <v>1878</v>
      </c>
      <c r="G870" t="s">
        <v>14</v>
      </c>
      <c r="H870">
             </c>
      <c r="I870" t="s">
        <v>14</v>
      </c>
      <c r="J870" t="s">
        <v>141</v>
      </c>
      <c r="K870" t="s">
        <v>14</v>
      </c>
      <c r="L870" t="s">
        <v>20</v>
      </c>
      <c r="M870" t="s">
        <v>1866</v>
      </c>
      <c r="N870" t="s">
        <v>14</v>
      </c>
    </row>
    <row r="871" x14ac:dyDescent="0.25">
      <c r="A871" t="n">
        <v>25</v>
      </c>
      <c r="B871" t="s">
        <v>14</v>
      </c>
      <c r="C871" t="s">
        <v>22</v>
      </c>
      <c r="D871" s="2" t="s">
        <f>=HYPERLINK("https://main.knesset.gov.il/APPS/legislation/main/bills/2236979", "הצעת חוק הבנקאות (שירות ללקוח) (תיקון - ביטול פעולה מכוח הרשאה לחיוב בשל היעדר יתרה מספקת בחשבון והגבלת עמלות בשל הרשאה לחיוב), התשפ""ו-2025")</f>
        <v>1879</v>
      </c>
      <c r="E871" t="s">
        <v>1879</v>
      </c>
      <c r="F871" t="s">
        <v>1880</v>
      </c>
      <c r="G871" t="s">
        <v>14</v>
      </c>
      <c r="H871">
             </c>
      <c r="I871" t="s">
        <v>14</v>
      </c>
      <c r="J871" t="s">
        <v>141</v>
      </c>
      <c r="K871" t="s">
        <v>14</v>
      </c>
      <c r="L871" t="s">
        <v>20</v>
      </c>
      <c r="M871" t="s">
        <v>1866</v>
      </c>
      <c r="N871" t="s">
        <v>14</v>
      </c>
    </row>
    <row r="872" x14ac:dyDescent="0.25">
      <c r="A872" t="n">
        <v>25</v>
      </c>
      <c r="B872" t="s">
        <v>14</v>
      </c>
      <c r="C872" t="s">
        <v>22</v>
      </c>
      <c r="D872" s="2" t="s">
        <f>=HYPERLINK("https://main.knesset.gov.il/APPS/legislation/main/bills/2236985", "הצעת חוק לתיקון פקודת הבנקאות (חשבונות ללא תנועה), התשפ""ו-2025")</f>
        <v>1881</v>
      </c>
      <c r="E872" t="s">
        <v>1881</v>
      </c>
      <c r="F872" t="s">
        <v>1882</v>
      </c>
      <c r="G872" t="s">
        <v>14</v>
      </c>
      <c r="H872">
             </c>
      <c r="I872" t="s">
        <v>14</v>
      </c>
      <c r="J872" t="s">
        <v>141</v>
      </c>
      <c r="K872" t="s">
        <v>14</v>
      </c>
      <c r="L872" t="s">
        <v>20</v>
      </c>
      <c r="M872" t="s">
        <v>1866</v>
      </c>
      <c r="N872" t="s">
        <v>14</v>
      </c>
    </row>
    <row r="873" x14ac:dyDescent="0.25">
      <c r="A873" t="n">
        <v>25</v>
      </c>
      <c r="B873" t="s">
        <v>14</v>
      </c>
      <c r="C873" t="s">
        <v>22</v>
      </c>
      <c r="D873" s="2" t="s">
        <f>=HYPERLINK("https://main.knesset.gov.il/APPS/legislation/main/bills/2205720", "הצעת חוק לביטול ההפליה ברכישת מקרקעין ביהודה והשומרון, התשפ""ו–2025")</f>
        <v>1883</v>
      </c>
      <c r="E873" t="s">
        <v>1883</v>
      </c>
      <c r="F873" t="s">
        <v>1884</v>
      </c>
      <c r="G873" t="s">
        <v>1885</v>
      </c>
      <c r="H873">
             </c>
      <c r="I873" t="s">
        <v>26</v>
      </c>
      <c r="J873" t="s">
        <v>69</v>
      </c>
      <c r="K873" t="s">
        <v>114</v>
      </c>
      <c r="L873" t="s">
        <v>20</v>
      </c>
      <c r="M873" t="s">
        <v>1866</v>
      </c>
      <c r="N873" t="s">
        <v>14</v>
      </c>
    </row>
    <row r="874" x14ac:dyDescent="0.25">
      <c r="A874" t="n">
        <v>25</v>
      </c>
      <c r="B874" t="s">
        <v>14</v>
      </c>
      <c r="C874" t="s">
        <v>15</v>
      </c>
      <c r="D874" s="2" t="s">
        <f>=HYPERLINK("https://main.knesset.gov.il/APPS/legislation/main/bills/1046181", "חוק המאבק בטרור (תיקון מס' 9 והוראת שעה) (תיקון), התשפ""ו-2025")</f>
        <v>1886</v>
      </c>
      <c r="E874" t="s">
        <v>1886</v>
      </c>
      <c r="F874" t="s">
        <v>14</v>
      </c>
      <c r="G874" t="s">
        <v>1887</v>
      </c>
      <c r="H874" t="n">
        <v>3463</v>
      </c>
      <c r="I874" t="s">
        <v>14</v>
      </c>
      <c r="J874" t="s">
        <v>91</v>
      </c>
      <c r="K874" t="s">
        <v>27</v>
      </c>
      <c r="L874" t="s">
        <v>20</v>
      </c>
      <c r="M874" t="s">
        <v>1888</v>
      </c>
      <c r="N874" t="s">
        <v>14</v>
      </c>
    </row>
    <row r="875" x14ac:dyDescent="0.25">
      <c r="A875" t="n">
        <v>25</v>
      </c>
      <c r="B875" t="s">
        <v>14</v>
      </c>
      <c r="C875" t="s">
        <v>22</v>
      </c>
      <c r="D875" s="2" t="s">
        <f>=HYPERLINK("https://main.knesset.gov.il/APPS/legislation/main/bills/2222182", "חוק התכנון והבנייה (תיקון מס' 163), התשפ""ה–2025")</f>
        <v>1889</v>
      </c>
      <c r="E875" t="s">
        <v>1889</v>
      </c>
      <c r="F875" t="s">
        <v>1890</v>
      </c>
      <c r="G875" t="s">
        <v>1891</v>
      </c>
      <c r="H875" t="n">
        <v>3444</v>
      </c>
      <c r="I875" t="s">
        <v>14</v>
      </c>
      <c r="J875" t="s">
        <v>91</v>
      </c>
      <c r="K875" t="s">
        <v>46</v>
      </c>
      <c r="L875" t="s">
        <v>20</v>
      </c>
      <c r="M875" t="s">
        <v>1888</v>
      </c>
      <c r="N875" t="s">
        <v>1892</v>
      </c>
    </row>
    <row r="876" x14ac:dyDescent="0.25">
      <c r="A876" t="n">
        <v>25</v>
      </c>
      <c r="B876" t="s">
        <v>14</v>
      </c>
      <c r="C876" t="s">
        <v>22</v>
      </c>
      <c r="D876" s="2" t="s">
        <f>=HYPERLINK("https://main.knesset.gov.il/APPS/legislation/main/bills/2231893", "הצעת חוק לימוד חובה (תיקון - הפחתת תקציב בשל אי-גיוס בוגרים), התשפ""ה- 2025")</f>
        <v>1893</v>
      </c>
      <c r="E876" t="s">
        <v>1893</v>
      </c>
      <c r="F876" t="s">
        <v>1894</v>
      </c>
      <c r="G876" t="s">
        <v>14</v>
      </c>
      <c r="H876">
             </c>
      <c r="I876" t="s">
        <v>14</v>
      </c>
      <c r="J876" t="s">
        <v>55</v>
      </c>
      <c r="K876" t="s">
        <v>14</v>
      </c>
      <c r="L876" t="s">
        <v>20</v>
      </c>
      <c r="M876" t="s">
        <v>1888</v>
      </c>
      <c r="N876" t="s">
        <v>14</v>
      </c>
    </row>
    <row r="877" x14ac:dyDescent="0.25">
      <c r="A877" t="n">
        <v>25</v>
      </c>
      <c r="B877" t="s">
        <v>14</v>
      </c>
      <c r="C877" t="s">
        <v>22</v>
      </c>
      <c r="D877" s="2" t="s">
        <f>=HYPERLINK("https://main.knesset.gov.il/APPS/legislation/main/bills/2231882", "הצעת חוק שירותי אבטחה, התשפ""ה-2025")</f>
        <v>1895</v>
      </c>
      <c r="E877" t="s">
        <v>1895</v>
      </c>
      <c r="F877" t="s">
        <v>1896</v>
      </c>
      <c r="G877" t="s">
        <v>14</v>
      </c>
      <c r="H877">
             </c>
      <c r="I877" t="s">
        <v>14</v>
      </c>
      <c r="J877" t="s">
        <v>55</v>
      </c>
      <c r="K877" t="s">
        <v>14</v>
      </c>
      <c r="L877" t="s">
        <v>20</v>
      </c>
      <c r="M877" t="s">
        <v>1888</v>
      </c>
      <c r="N877" t="s">
        <v>14</v>
      </c>
    </row>
    <row r="878" x14ac:dyDescent="0.25">
      <c r="A878" t="n">
        <v>25</v>
      </c>
      <c r="B878" t="s">
        <v>14</v>
      </c>
      <c r="C878" t="s">
        <v>22</v>
      </c>
      <c r="D878" s="2" t="s">
        <f>=HYPERLINK("https://main.knesset.gov.il/APPS/legislation/main/bills/2230342", "הצעת חוק מענק לחטוף ששב מן השבי או למשפחתו של חטוף שנרצח בשבי וגופתו הושבה בעקבות מתקפת 7 באוקטובר, התשפ""ה-2025 ")</f>
        <v>1897</v>
      </c>
      <c r="E878" t="s">
        <v>1897</v>
      </c>
      <c r="F878" t="s">
        <v>1898</v>
      </c>
      <c r="G878" t="s">
        <v>14</v>
      </c>
      <c r="H878">
             </c>
      <c r="I878" t="s">
        <v>14</v>
      </c>
      <c r="J878" t="s">
        <v>55</v>
      </c>
      <c r="K878" t="s">
        <v>14</v>
      </c>
      <c r="L878" t="s">
        <v>20</v>
      </c>
      <c r="M878" t="s">
        <v>1888</v>
      </c>
      <c r="N878" t="s">
        <v>14</v>
      </c>
    </row>
    <row r="879" x14ac:dyDescent="0.25">
      <c r="A879" t="n">
        <v>25</v>
      </c>
      <c r="B879" t="s">
        <v>14</v>
      </c>
      <c r="C879" t="s">
        <v>22</v>
      </c>
      <c r="D879" s="2" t="s">
        <f>=HYPERLINK("https://main.knesset.gov.il/APPS/legislation/main/bills/2225556", "הצעת חוק איסור הפליה במוצרים, בשירותים ובכניסה למקומות בידור ולמקומות ציבוריים (תיקון - הגדלת סכום הפיצוי בלא הוכחת נזק), התשפ""ה-2024")</f>
        <v>1899</v>
      </c>
      <c r="E879" t="s">
        <v>1899</v>
      </c>
      <c r="F879" t="s">
        <v>1900</v>
      </c>
      <c r="G879" t="s">
        <v>14</v>
      </c>
      <c r="H879">
             </c>
      <c r="I879" t="s">
        <v>14</v>
      </c>
      <c r="J879" t="s">
        <v>55</v>
      </c>
      <c r="K879" t="s">
        <v>14</v>
      </c>
      <c r="L879" t="s">
        <v>20</v>
      </c>
      <c r="M879" t="s">
        <v>1888</v>
      </c>
      <c r="N879" t="s">
        <v>14</v>
      </c>
    </row>
    <row r="880" x14ac:dyDescent="0.25">
      <c r="A880" t="n">
        <v>25</v>
      </c>
      <c r="B880" t="s">
        <v>14</v>
      </c>
      <c r="C880" t="s">
        <v>22</v>
      </c>
      <c r="D880" s="2" t="s">
        <f>=HYPERLINK("https://main.knesset.gov.il/APPS/legislation/main/bills/2196924", "הצעת חוק-יסוד: השפיטה (תיקון - סמכויות שיפוט ותקנות סדרי דין באישור ועדה)")</f>
        <v>1901</v>
      </c>
      <c r="E880" t="s">
        <v>1901</v>
      </c>
      <c r="F880" t="s">
        <v>1902</v>
      </c>
      <c r="G880" t="s">
        <v>14</v>
      </c>
      <c r="H880">
             </c>
      <c r="I880" t="s">
        <v>14</v>
      </c>
      <c r="J880" t="s">
        <v>31</v>
      </c>
      <c r="K880" t="s">
        <v>27</v>
      </c>
      <c r="L880" t="s">
        <v>20</v>
      </c>
      <c r="M880" t="s">
        <v>1903</v>
      </c>
      <c r="N880" t="s">
        <v>14</v>
      </c>
    </row>
    <row r="881" x14ac:dyDescent="0.25">
      <c r="A881" t="n">
        <v>25</v>
      </c>
      <c r="B881" t="s">
        <v>14</v>
      </c>
      <c r="C881" t="s">
        <v>22</v>
      </c>
      <c r="D881" s="2" t="s">
        <f>=HYPERLINK("https://main.knesset.gov.il/APPS/legislation/main/bills/2196550", "חוק הסדרים במשק המדינה (תיקוני חקיקה להשגת יעדי התקציב) (תיקון מס' 20), התשפ""ו–2025")</f>
        <v>1904</v>
      </c>
      <c r="E881" t="s">
        <v>1904</v>
      </c>
      <c r="F881" t="s">
        <v>1905</v>
      </c>
      <c r="G881" t="s">
        <v>1906</v>
      </c>
      <c r="H881" t="n">
        <v>3462</v>
      </c>
      <c r="I881" t="s">
        <v>14</v>
      </c>
      <c r="J881" t="s">
        <v>91</v>
      </c>
      <c r="K881" t="s">
        <v>85</v>
      </c>
      <c r="L881" t="s">
        <v>20</v>
      </c>
      <c r="M881" t="s">
        <v>1903</v>
      </c>
      <c r="N881" t="s">
        <v>14</v>
      </c>
    </row>
    <row r="882" x14ac:dyDescent="0.25">
      <c r="A882" t="n">
        <v>25</v>
      </c>
      <c r="B882" t="s">
        <v>14</v>
      </c>
      <c r="C882" t="s">
        <v>22</v>
      </c>
      <c r="D882" s="2" t="s">
        <f>=HYPERLINK("https://main.knesset.gov.il/APPS/legislation/main/bills/2236997", "הצעת חוק כליאתם והעמדתם לדין של המשתתפים באירועי 7 באוקטובר, התשפ""ו-2025")</f>
        <v>1907</v>
      </c>
      <c r="E882" t="s">
        <v>1907</v>
      </c>
      <c r="F882" t="s">
        <v>1908</v>
      </c>
      <c r="G882" t="s">
        <v>14</v>
      </c>
      <c r="H882">
             </c>
      <c r="I882" t="s">
        <v>14</v>
      </c>
      <c r="J882" t="s">
        <v>141</v>
      </c>
      <c r="K882" t="s">
        <v>14</v>
      </c>
      <c r="L882" t="s">
        <v>20</v>
      </c>
      <c r="M882" t="s">
        <v>1909</v>
      </c>
      <c r="N882" t="s">
        <v>14</v>
      </c>
    </row>
    <row r="883" x14ac:dyDescent="0.25">
      <c r="A883" t="n">
        <v>25</v>
      </c>
      <c r="B883" t="s">
        <v>14</v>
      </c>
      <c r="C883" t="s">
        <v>22</v>
      </c>
      <c r="D883" s="2" t="s">
        <f>=HYPERLINK("https://main.knesset.gov.il/APPS/legislation/main/bills/2235103", "הצעת חוק לתיקון פקודת הרופאים (אי-הכרה בלימודי רפואה שנערכו במדינות עוינות או ברשות הפלסטינית), התשפ""ו-2025")</f>
        <v>1910</v>
      </c>
      <c r="E883" t="s">
        <v>1910</v>
      </c>
      <c r="F883" t="s">
        <v>1911</v>
      </c>
      <c r="G883" t="s">
        <v>14</v>
      </c>
      <c r="H883">
             </c>
      <c r="I883" t="s">
        <v>14</v>
      </c>
      <c r="J883" t="s">
        <v>141</v>
      </c>
      <c r="K883" t="s">
        <v>14</v>
      </c>
      <c r="L883" t="s">
        <v>20</v>
      </c>
      <c r="M883" t="s">
        <v>1909</v>
      </c>
      <c r="N883" t="s">
        <v>14</v>
      </c>
    </row>
    <row r="884" x14ac:dyDescent="0.25">
      <c r="A884" t="n">
        <v>25</v>
      </c>
      <c r="B884" t="s">
        <v>14</v>
      </c>
      <c r="C884" t="s">
        <v>22</v>
      </c>
      <c r="D884" s="2" t="s">
        <f>=HYPERLINK("https://main.knesset.gov.il/APPS/legislation/main/bills/2236599", "הצעת חוק העדפה מתקנת למשרתים בשירות צבאי או לאומי, התשפ""ו-2025")</f>
        <v>1912</v>
      </c>
      <c r="E884" t="s">
        <v>1912</v>
      </c>
      <c r="F884" t="s">
        <v>1913</v>
      </c>
      <c r="G884" t="s">
        <v>14</v>
      </c>
      <c r="H884">
             </c>
      <c r="I884" t="s">
        <v>14</v>
      </c>
      <c r="J884" t="s">
        <v>343</v>
      </c>
      <c r="K884" t="s">
        <v>14</v>
      </c>
      <c r="L884" t="s">
        <v>20</v>
      </c>
      <c r="M884" t="s">
        <v>1909</v>
      </c>
      <c r="N884" t="s">
        <v>14</v>
      </c>
    </row>
    <row r="885" x14ac:dyDescent="0.25">
      <c r="A885" t="n">
        <v>25</v>
      </c>
      <c r="B885" t="s">
        <v>14</v>
      </c>
      <c r="C885" t="s">
        <v>22</v>
      </c>
      <c r="D885" s="2" t="s">
        <f>=HYPERLINK("https://main.knesset.gov.il/APPS/legislation/main/bills/2236876", "הצעת חוק בתי הדין הדתיים הדרוזיים (תיקון - כשירות למינוי קאדי מד'הב), התשפ""ו-2025")</f>
        <v>1914</v>
      </c>
      <c r="E885" t="s">
        <v>1914</v>
      </c>
      <c r="F885" t="s">
        <v>1915</v>
      </c>
      <c r="G885" t="s">
        <v>14</v>
      </c>
      <c r="H885">
             </c>
      <c r="I885" t="s">
        <v>14</v>
      </c>
      <c r="J885" t="s">
        <v>141</v>
      </c>
      <c r="K885" t="s">
        <v>14</v>
      </c>
      <c r="L885" t="s">
        <v>20</v>
      </c>
      <c r="M885" t="s">
        <v>1909</v>
      </c>
      <c r="N885" t="s">
        <v>14</v>
      </c>
    </row>
    <row r="886" x14ac:dyDescent="0.25">
      <c r="A886" t="n">
        <v>25</v>
      </c>
      <c r="B886" t="s">
        <v>14</v>
      </c>
      <c r="C886" t="s">
        <v>22</v>
      </c>
      <c r="D886" s="2" t="s">
        <f>=HYPERLINK("https://main.knesset.gov.il/APPS/legislation/main/bills/2236069", "הצעת חוק לתיקון פקודת מס הכנסה (ניכוי ריבית על משכנתה וסיוע ברכישת דירה), התשפ""ו-2025")</f>
        <v>1916</v>
      </c>
      <c r="E886" t="s">
        <v>1916</v>
      </c>
      <c r="F886" t="s">
        <v>1917</v>
      </c>
      <c r="G886" t="s">
        <v>14</v>
      </c>
      <c r="H886">
             </c>
      <c r="I886" t="s">
        <v>14</v>
      </c>
      <c r="J886" t="s">
        <v>141</v>
      </c>
      <c r="K886" t="s">
        <v>14</v>
      </c>
      <c r="L886" t="s">
        <v>20</v>
      </c>
      <c r="M886" t="s">
        <v>1909</v>
      </c>
      <c r="N886" t="s">
        <v>14</v>
      </c>
    </row>
    <row r="887" x14ac:dyDescent="0.25">
      <c r="A887" t="n">
        <v>25</v>
      </c>
      <c r="B887" t="s">
        <v>14</v>
      </c>
      <c r="C887" t="s">
        <v>22</v>
      </c>
      <c r="D887" s="2" t="s">
        <f>=HYPERLINK("https://main.knesset.gov.il/APPS/legislation/main/bills/2235343", "הצעת חוק השבות (תיקון - הוספת המילה כהלכה), התשפ""ו-2025")</f>
        <v>1764</v>
      </c>
      <c r="E887" t="s">
        <v>1764</v>
      </c>
      <c r="F887" t="s">
        <v>1918</v>
      </c>
      <c r="G887" t="s">
        <v>14</v>
      </c>
      <c r="H887">
             </c>
      <c r="I887" t="s">
        <v>14</v>
      </c>
      <c r="J887" t="s">
        <v>141</v>
      </c>
      <c r="K887" t="s">
        <v>14</v>
      </c>
      <c r="L887" t="s">
        <v>20</v>
      </c>
      <c r="M887" t="s">
        <v>1909</v>
      </c>
      <c r="N887" t="s">
        <v>14</v>
      </c>
    </row>
    <row r="888" x14ac:dyDescent="0.25">
      <c r="A888" t="n">
        <v>25</v>
      </c>
      <c r="B888" t="s">
        <v>14</v>
      </c>
      <c r="C888" t="s">
        <v>22</v>
      </c>
      <c r="D888" s="2" t="s">
        <f>=HYPERLINK("https://main.knesset.gov.il/APPS/legislation/main/bills/2236685", "הצעת חוק-יסוד: הכנסת (תיקון - שלילת זכות הצבעה מאסירים)")</f>
        <v>1745</v>
      </c>
      <c r="E888" t="s">
        <v>1745</v>
      </c>
      <c r="F888" t="s">
        <v>1919</v>
      </c>
      <c r="G888" t="s">
        <v>14</v>
      </c>
      <c r="H888">
             </c>
      <c r="I888" t="s">
        <v>14</v>
      </c>
      <c r="J888" t="s">
        <v>141</v>
      </c>
      <c r="K888" t="s">
        <v>14</v>
      </c>
      <c r="L888" t="s">
        <v>20</v>
      </c>
      <c r="M888" t="s">
        <v>1909</v>
      </c>
      <c r="N888" t="s">
        <v>14</v>
      </c>
    </row>
    <row r="889" x14ac:dyDescent="0.25">
      <c r="A889" t="n">
        <v>25</v>
      </c>
      <c r="B889" t="s">
        <v>14</v>
      </c>
      <c r="C889" t="s">
        <v>22</v>
      </c>
      <c r="D889" s="2" t="s">
        <f>=HYPERLINK("https://main.knesset.gov.il/APPS/legislation/main/bills/2236595", "הצעת חוק העונשין (תיקון - עבירות זיוף עמוק), התשפ""ו-2025")</f>
        <v>1920</v>
      </c>
      <c r="E889" t="s">
        <v>1920</v>
      </c>
      <c r="F889" t="s">
        <v>1921</v>
      </c>
      <c r="G889" t="s">
        <v>14</v>
      </c>
      <c r="H889">
             </c>
      <c r="I889" t="s">
        <v>14</v>
      </c>
      <c r="J889" t="s">
        <v>141</v>
      </c>
      <c r="K889" t="s">
        <v>14</v>
      </c>
      <c r="L889" t="s">
        <v>20</v>
      </c>
      <c r="M889" t="s">
        <v>1909</v>
      </c>
      <c r="N889" t="s">
        <v>14</v>
      </c>
    </row>
    <row r="890" x14ac:dyDescent="0.25">
      <c r="A890" t="n">
        <v>25</v>
      </c>
      <c r="B890" t="s">
        <v>14</v>
      </c>
      <c r="C890" t="s">
        <v>22</v>
      </c>
      <c r="D890" s="2" t="s">
        <f>=HYPERLINK("https://main.knesset.gov.il/APPS/legislation/main/bills/2236555", "הצעת חוק העונשין (תיקון - תקיפת עורך דין), התשפ""ו-2025")</f>
        <v>1922</v>
      </c>
      <c r="E890" t="s">
        <v>1922</v>
      </c>
      <c r="F890" t="s">
        <v>1923</v>
      </c>
      <c r="G890" t="s">
        <v>14</v>
      </c>
      <c r="H890">
             </c>
      <c r="I890" t="s">
        <v>14</v>
      </c>
      <c r="J890" t="s">
        <v>141</v>
      </c>
      <c r="K890" t="s">
        <v>14</v>
      </c>
      <c r="L890" t="s">
        <v>20</v>
      </c>
      <c r="M890" t="s">
        <v>1909</v>
      </c>
      <c r="N890" t="s">
        <v>14</v>
      </c>
    </row>
    <row r="891" x14ac:dyDescent="0.25">
      <c r="A891" t="n">
        <v>25</v>
      </c>
      <c r="B891" t="s">
        <v>14</v>
      </c>
      <c r="C891" t="s">
        <v>22</v>
      </c>
      <c r="D891" s="2" t="s">
        <f>=HYPERLINK("https://main.knesset.gov.il/APPS/legislation/main/bills/2236951", "הצעת חוק שמירת הניקיון (תיקון - תמרוץ הקמת מיתקני מיון פסולת להגדלת המחזור), התשפ""ו-2025")</f>
        <v>1924</v>
      </c>
      <c r="E891" t="s">
        <v>1924</v>
      </c>
      <c r="F891" t="s">
        <v>1925</v>
      </c>
      <c r="G891" t="s">
        <v>14</v>
      </c>
      <c r="H891">
             </c>
      <c r="I891" t="s">
        <v>14</v>
      </c>
      <c r="J891" t="s">
        <v>141</v>
      </c>
      <c r="K891" t="s">
        <v>14</v>
      </c>
      <c r="L891" t="s">
        <v>20</v>
      </c>
      <c r="M891" t="s">
        <v>1909</v>
      </c>
      <c r="N891" t="s">
        <v>14</v>
      </c>
    </row>
    <row r="892" x14ac:dyDescent="0.25">
      <c r="A892" t="n">
        <v>25</v>
      </c>
      <c r="B892" t="s">
        <v>14</v>
      </c>
      <c r="C892" t="s">
        <v>22</v>
      </c>
      <c r="D892" s="2" t="s">
        <f>=HYPERLINK("https://main.knesset.gov.il/APPS/legislation/main/bills/2236556", "הצעת חוק תכנון משק החלב (תיקון - קביעת מחירים וחישוב עלויות ייצור חלב), התשפ""ו-2025")</f>
        <v>1926</v>
      </c>
      <c r="E892" t="s">
        <v>1926</v>
      </c>
      <c r="F892" t="s">
        <v>1927</v>
      </c>
      <c r="G892" t="s">
        <v>14</v>
      </c>
      <c r="H892">
             </c>
      <c r="I892" t="s">
        <v>14</v>
      </c>
      <c r="J892" t="s">
        <v>141</v>
      </c>
      <c r="K892" t="s">
        <v>14</v>
      </c>
      <c r="L892" t="s">
        <v>20</v>
      </c>
      <c r="M892" t="s">
        <v>1909</v>
      </c>
      <c r="N892" t="s">
        <v>14</v>
      </c>
    </row>
    <row r="893" x14ac:dyDescent="0.25">
      <c r="A893" t="n">
        <v>25</v>
      </c>
      <c r="B893" t="s">
        <v>14</v>
      </c>
      <c r="C893" t="s">
        <v>22</v>
      </c>
      <c r="D893" s="2" t="s">
        <f>=HYPERLINK("https://main.knesset.gov.il/APPS/legislation/main/bills/2236312", "הצעת חוק הקמת ועדת חקירה ממלכתית למחדלי 7 באוקטובר, התשפ""ו-2025 ")</f>
        <v>1928</v>
      </c>
      <c r="E893" t="s">
        <v>1928</v>
      </c>
      <c r="F893" t="s">
        <v>1929</v>
      </c>
      <c r="G893" t="s">
        <v>14</v>
      </c>
      <c r="H893">
             </c>
      <c r="I893" t="s">
        <v>14</v>
      </c>
      <c r="J893" t="s">
        <v>343</v>
      </c>
      <c r="K893" t="s">
        <v>14</v>
      </c>
      <c r="L893" t="s">
        <v>20</v>
      </c>
      <c r="M893" t="s">
        <v>1909</v>
      </c>
      <c r="N893" t="s">
        <v>14</v>
      </c>
    </row>
    <row r="894" x14ac:dyDescent="0.25">
      <c r="A894" t="n">
        <v>25</v>
      </c>
      <c r="B894" t="s">
        <v>14</v>
      </c>
      <c r="C894" t="s">
        <v>22</v>
      </c>
      <c r="D894" s="2" t="s">
        <f>=HYPERLINK("https://main.knesset.gov.il/APPS/legislation/main/bills/2236693", "הצעת חוק הקמת ועדת חקירה ממלכתית לאירועי 7 באוקטובר, התשפ""ו-2025")</f>
        <v>1824</v>
      </c>
      <c r="E894" t="s">
        <v>1824</v>
      </c>
      <c r="F894" t="s">
        <v>1930</v>
      </c>
      <c r="G894" t="s">
        <v>14</v>
      </c>
      <c r="H894">
             </c>
      <c r="I894" t="s">
        <v>14</v>
      </c>
      <c r="J894" t="s">
        <v>343</v>
      </c>
      <c r="K894" t="s">
        <v>14</v>
      </c>
      <c r="L894" t="s">
        <v>20</v>
      </c>
      <c r="M894" t="s">
        <v>1909</v>
      </c>
      <c r="N894" t="s">
        <v>14</v>
      </c>
    </row>
    <row r="895" x14ac:dyDescent="0.25">
      <c r="A895" t="n">
        <v>25</v>
      </c>
      <c r="B895" t="s">
        <v>14</v>
      </c>
      <c r="C895" t="s">
        <v>22</v>
      </c>
      <c r="D895" s="2" t="s">
        <f>=HYPERLINK("https://main.knesset.gov.il/APPS/legislation/main/bills/2228830", "הצעת חוק להנצחת תרומתה של עליית מרכז ומזרח אירופה, התשפ""ו-2025")</f>
        <v>1931</v>
      </c>
      <c r="E895" t="s">
        <v>1931</v>
      </c>
      <c r="F895" t="s">
        <v>1932</v>
      </c>
      <c r="G895" t="s">
        <v>14</v>
      </c>
      <c r="H895">
             </c>
      <c r="I895" t="s">
        <v>14</v>
      </c>
      <c r="J895" t="s">
        <v>141</v>
      </c>
      <c r="K895" t="s">
        <v>14</v>
      </c>
      <c r="L895" t="s">
        <v>20</v>
      </c>
      <c r="M895" t="s">
        <v>1909</v>
      </c>
      <c r="N895" t="s">
        <v>14</v>
      </c>
    </row>
    <row r="896" x14ac:dyDescent="0.25">
      <c r="A896" t="n">
        <v>25</v>
      </c>
      <c r="B896" t="s">
        <v>14</v>
      </c>
      <c r="C896" t="s">
        <v>22</v>
      </c>
      <c r="D896" s="2" t="s">
        <f>=HYPERLINK("https://main.knesset.gov.il/APPS/legislation/main/bills/2235126", "הצעת חוק הפיקוח על שירותים פיננסיים (קופות גמל) (תיקון - הפקדה עצמאית לקרן השתלמות), התשפ""ו-2025")</f>
        <v>1933</v>
      </c>
      <c r="E896" t="s">
        <v>1933</v>
      </c>
      <c r="F896" t="s">
        <v>1934</v>
      </c>
      <c r="G896" t="s">
        <v>14</v>
      </c>
      <c r="H896">
             </c>
      <c r="I896" t="s">
        <v>14</v>
      </c>
      <c r="J896" t="s">
        <v>141</v>
      </c>
      <c r="K896" t="s">
        <v>14</v>
      </c>
      <c r="L896" t="s">
        <v>20</v>
      </c>
      <c r="M896" t="s">
        <v>1909</v>
      </c>
      <c r="N896" t="s">
        <v>14</v>
      </c>
    </row>
    <row r="897" x14ac:dyDescent="0.25">
      <c r="A897" t="n">
        <v>25</v>
      </c>
      <c r="B897" t="s">
        <v>14</v>
      </c>
      <c r="C897" t="s">
        <v>22</v>
      </c>
      <c r="D897" s="2" t="s">
        <f>=HYPERLINK("https://main.knesset.gov.il/APPS/legislation/main/bills/2236333", "הצעת חוק התכנון והבנייה (תיקון - פטור מהיטל השבחה למוסד ללא כוונות רווח), התשפ""ו-2025")</f>
        <v>1935</v>
      </c>
      <c r="E897" t="s">
        <v>1935</v>
      </c>
      <c r="F897" t="s">
        <v>1936</v>
      </c>
      <c r="G897" t="s">
        <v>14</v>
      </c>
      <c r="H897">
             </c>
      <c r="I897" t="s">
        <v>14</v>
      </c>
      <c r="J897" t="s">
        <v>141</v>
      </c>
      <c r="K897" t="s">
        <v>14</v>
      </c>
      <c r="L897" t="s">
        <v>20</v>
      </c>
      <c r="M897" t="s">
        <v>1909</v>
      </c>
      <c r="N897" t="s">
        <v>14</v>
      </c>
    </row>
    <row r="898" x14ac:dyDescent="0.25">
      <c r="A898" t="n">
        <v>25</v>
      </c>
      <c r="B898" t="s">
        <v>14</v>
      </c>
      <c r="C898" t="s">
        <v>22</v>
      </c>
      <c r="D898" s="2" t="s">
        <f>=HYPERLINK("https://main.knesset.gov.il/APPS/legislation/main/bills/2236871", "הצעת חוק העונשין (תיקון - ביטול העבירה על העלבת עובד ציבור), התשפ""ו-2025")</f>
        <v>1937</v>
      </c>
      <c r="E898" t="s">
        <v>1937</v>
      </c>
      <c r="F898" t="s">
        <v>1938</v>
      </c>
      <c r="G898" t="s">
        <v>14</v>
      </c>
      <c r="H898">
             </c>
      <c r="I898" t="s">
        <v>14</v>
      </c>
      <c r="J898" t="s">
        <v>141</v>
      </c>
      <c r="K898" t="s">
        <v>14</v>
      </c>
      <c r="L898" t="s">
        <v>20</v>
      </c>
      <c r="M898" t="s">
        <v>1909</v>
      </c>
      <c r="N898" t="s">
        <v>14</v>
      </c>
    </row>
    <row r="899" x14ac:dyDescent="0.25">
      <c r="A899" t="n">
        <v>25</v>
      </c>
      <c r="B899" t="s">
        <v>14</v>
      </c>
      <c r="C899" t="s">
        <v>22</v>
      </c>
      <c r="D899" s="2" t="s">
        <f>=HYPERLINK("https://main.knesset.gov.il/APPS/legislation/main/bills/2236620", "הצעת חוק תגמולים לבני משפחה של חטופים ונעדרים בפעולת איבה (תיקון - תגמול הסתגלות כלכלית), התשפ""ו-2025")</f>
        <v>1939</v>
      </c>
      <c r="E899" t="s">
        <v>1939</v>
      </c>
      <c r="F899" t="s">
        <v>1940</v>
      </c>
      <c r="G899" t="s">
        <v>14</v>
      </c>
      <c r="H899">
             </c>
      <c r="I899" t="s">
        <v>14</v>
      </c>
      <c r="J899" t="s">
        <v>141</v>
      </c>
      <c r="K899" t="s">
        <v>14</v>
      </c>
      <c r="L899" t="s">
        <v>20</v>
      </c>
      <c r="M899" t="s">
        <v>1909</v>
      </c>
      <c r="N899" t="s">
        <v>14</v>
      </c>
    </row>
    <row r="900" x14ac:dyDescent="0.25">
      <c r="A900" t="n">
        <v>25</v>
      </c>
      <c r="B900" t="s">
        <v>14</v>
      </c>
      <c r="C900" t="s">
        <v>22</v>
      </c>
      <c r="D900" s="2" t="s">
        <f>=HYPERLINK("https://main.knesset.gov.il/APPS/legislation/main/bills/2236896", "הצעת חוק ביטוח בריאות ממלכתי (תיקון - פנייה לנציב קבילות הציבור), התשפ""ו-2025")</f>
        <v>1941</v>
      </c>
      <c r="E900" t="s">
        <v>1941</v>
      </c>
      <c r="F900" t="s">
        <v>1942</v>
      </c>
      <c r="G900" t="s">
        <v>14</v>
      </c>
      <c r="H900">
             </c>
      <c r="I900" t="s">
        <v>14</v>
      </c>
      <c r="J900" t="s">
        <v>141</v>
      </c>
      <c r="K900" t="s">
        <v>14</v>
      </c>
      <c r="L900" t="s">
        <v>20</v>
      </c>
      <c r="M900" t="s">
        <v>1909</v>
      </c>
      <c r="N900" t="s">
        <v>14</v>
      </c>
    </row>
    <row r="901" x14ac:dyDescent="0.25">
      <c r="A901" t="n">
        <v>25</v>
      </c>
      <c r="B901" t="s">
        <v>14</v>
      </c>
      <c r="C901" t="s">
        <v>22</v>
      </c>
      <c r="D901" s="2" t="s">
        <f>=HYPERLINK("https://main.knesset.gov.il/APPS/legislation/main/bills/2234519", "הצעת חוק רישוי שירותים ומקצועות בענף הרכב (תיקון - הסרת מגבלות והרחבת אפשרות יבוא כלי רכב), התשפ""ו-2025")</f>
        <v>1943</v>
      </c>
      <c r="E901" t="s">
        <v>1943</v>
      </c>
      <c r="F901" t="s">
        <v>1944</v>
      </c>
      <c r="G901" t="s">
        <v>14</v>
      </c>
      <c r="H901">
             </c>
      <c r="I901" t="s">
        <v>14</v>
      </c>
      <c r="J901" t="s">
        <v>141</v>
      </c>
      <c r="K901" t="s">
        <v>14</v>
      </c>
      <c r="L901" t="s">
        <v>20</v>
      </c>
      <c r="M901" t="s">
        <v>1909</v>
      </c>
      <c r="N901" t="s">
        <v>14</v>
      </c>
    </row>
    <row r="902" x14ac:dyDescent="0.25">
      <c r="A902" t="n">
        <v>25</v>
      </c>
      <c r="B902" t="s">
        <v>14</v>
      </c>
      <c r="C902" t="s">
        <v>22</v>
      </c>
      <c r="D902" s="2" t="s">
        <f>=HYPERLINK("https://main.knesset.gov.il/APPS/legislation/main/bills/2236600", "הצעת חוק הבנקאות (שירות ללקוח) (תיקון - שירות מקוון ללקוח), התשפ""ו-2025")</f>
        <v>1945</v>
      </c>
      <c r="E902" t="s">
        <v>1945</v>
      </c>
      <c r="F902" t="s">
        <v>1946</v>
      </c>
      <c r="G902" t="s">
        <v>14</v>
      </c>
      <c r="H902">
             </c>
      <c r="I902" t="s">
        <v>14</v>
      </c>
      <c r="J902" t="s">
        <v>141</v>
      </c>
      <c r="K902" t="s">
        <v>14</v>
      </c>
      <c r="L902" t="s">
        <v>20</v>
      </c>
      <c r="M902" t="s">
        <v>1909</v>
      </c>
      <c r="N902" t="s">
        <v>14</v>
      </c>
    </row>
    <row r="903" x14ac:dyDescent="0.25">
      <c r="A903" t="n">
        <v>25</v>
      </c>
      <c r="B903" t="s">
        <v>14</v>
      </c>
      <c r="C903" t="s">
        <v>22</v>
      </c>
      <c r="D903" s="2" t="s">
        <f>=HYPERLINK("https://main.knesset.gov.il/APPS/legislation/main/bills/2235900", "הצעת חוק זכויות הסטודנט (תיקון - מעונות סטודנטים), התשפ""ו-2025")</f>
        <v>1947</v>
      </c>
      <c r="E903" t="s">
        <v>1947</v>
      </c>
      <c r="F903" t="s">
        <v>1948</v>
      </c>
      <c r="G903" t="s">
        <v>14</v>
      </c>
      <c r="H903">
             </c>
      <c r="I903" t="s">
        <v>14</v>
      </c>
      <c r="J903" t="s">
        <v>141</v>
      </c>
      <c r="K903" t="s">
        <v>14</v>
      </c>
      <c r="L903" t="s">
        <v>20</v>
      </c>
      <c r="M903" t="s">
        <v>1909</v>
      </c>
      <c r="N903" t="s">
        <v>14</v>
      </c>
    </row>
    <row r="904" x14ac:dyDescent="0.25">
      <c r="A904" t="n">
        <v>25</v>
      </c>
      <c r="B904" t="s">
        <v>14</v>
      </c>
      <c r="C904" t="s">
        <v>15</v>
      </c>
      <c r="D904" s="2" t="s">
        <f>=HYPERLINK("https://main.knesset.gov.il/APPS/legislation/main/bills/2234796", "חוק לתיקון פקודת מס הכנסה (מס' 283), התשפ""ו-2025")</f>
        <v>1949</v>
      </c>
      <c r="E904" t="s">
        <v>1949</v>
      </c>
      <c r="F904" t="s">
        <v>14</v>
      </c>
      <c r="G904" t="s">
        <v>1950</v>
      </c>
      <c r="H904" t="n">
        <v>3461</v>
      </c>
      <c r="I904" t="s">
        <v>14</v>
      </c>
      <c r="J904" t="s">
        <v>91</v>
      </c>
      <c r="K904" t="s">
        <v>85</v>
      </c>
      <c r="L904" t="s">
        <v>20</v>
      </c>
      <c r="M904" t="s">
        <v>1951</v>
      </c>
      <c r="N904" t="s">
        <v>14</v>
      </c>
    </row>
    <row r="905" x14ac:dyDescent="0.25">
      <c r="A905" t="n">
        <v>25</v>
      </c>
      <c r="B905" t="s">
        <v>14</v>
      </c>
      <c r="C905" t="s">
        <v>22</v>
      </c>
      <c r="D905" s="2" t="s">
        <f>=HYPERLINK("https://main.knesset.gov.il/APPS/legislation/main/bills/2229832", "הצעת חוק שירות המילואים, התשפ""ה-2025")</f>
        <v>1952</v>
      </c>
      <c r="E905" t="s">
        <v>1952</v>
      </c>
      <c r="F905" t="s">
        <v>1953</v>
      </c>
      <c r="G905" t="s">
        <v>14</v>
      </c>
      <c r="H905">
             </c>
      <c r="I905" t="s">
        <v>14</v>
      </c>
      <c r="J905" t="s">
        <v>55</v>
      </c>
      <c r="K905" t="s">
        <v>14</v>
      </c>
      <c r="L905" t="s">
        <v>20</v>
      </c>
      <c r="M905" t="s">
        <v>1951</v>
      </c>
      <c r="N905" t="s">
        <v>14</v>
      </c>
    </row>
    <row r="906" x14ac:dyDescent="0.25">
      <c r="A906" t="n">
        <v>25</v>
      </c>
      <c r="B906" t="s">
        <v>14</v>
      </c>
      <c r="C906" t="s">
        <v>22</v>
      </c>
      <c r="D906" s="2" t="s">
        <f>=HYPERLINK("https://main.knesset.gov.il/APPS/legislation/main/bills/2224433", "הצעת חוק קליטת חיילים משוחררים (תיקון - מענק דמי מחייה ללוחמות משוחררות), התשפ""ה-2024")</f>
        <v>1954</v>
      </c>
      <c r="E906" t="s">
        <v>1954</v>
      </c>
      <c r="F906" t="s">
        <v>1955</v>
      </c>
      <c r="G906" t="s">
        <v>14</v>
      </c>
      <c r="H906">
             </c>
      <c r="I906" t="s">
        <v>14</v>
      </c>
      <c r="J906" t="s">
        <v>55</v>
      </c>
      <c r="K906" t="s">
        <v>14</v>
      </c>
      <c r="L906" t="s">
        <v>20</v>
      </c>
      <c r="M906" t="s">
        <v>1951</v>
      </c>
      <c r="N906" t="s">
        <v>14</v>
      </c>
    </row>
    <row r="907" x14ac:dyDescent="0.25">
      <c r="A907" t="n">
        <v>25</v>
      </c>
      <c r="B907" t="s">
        <v>14</v>
      </c>
      <c r="C907" t="s">
        <v>22</v>
      </c>
      <c r="D907" s="2" t="s">
        <f>=HYPERLINK("https://main.knesset.gov.il/APPS/legislation/main/bills/2200707", "הצעת חוק הפעלת תחבורה ציבורית בשבת, התשפ""ג-2023")</f>
        <v>1956</v>
      </c>
      <c r="E907" t="s">
        <v>1956</v>
      </c>
      <c r="F907" t="s">
        <v>1957</v>
      </c>
      <c r="G907" t="s">
        <v>14</v>
      </c>
      <c r="H907">
             </c>
      <c r="I907" t="s">
        <v>14</v>
      </c>
      <c r="J907" t="s">
        <v>55</v>
      </c>
      <c r="K907" t="s">
        <v>14</v>
      </c>
      <c r="L907" t="s">
        <v>20</v>
      </c>
      <c r="M907" t="s">
        <v>1951</v>
      </c>
      <c r="N907" t="s">
        <v>14</v>
      </c>
    </row>
    <row r="908" x14ac:dyDescent="0.25">
      <c r="A908" t="n">
        <v>25</v>
      </c>
      <c r="B908" t="s">
        <v>14</v>
      </c>
      <c r="C908" t="s">
        <v>22</v>
      </c>
      <c r="D908" s="2" t="s">
        <f>=HYPERLINK("https://main.knesset.gov.il/APPS/legislation/main/bills/2198774", "הצעת חוק החובה למתן חינוך בלתי פורמאלי לילדים ולנוער, התשפ""ג-2023")</f>
        <v>1958</v>
      </c>
      <c r="E908" t="s">
        <v>1958</v>
      </c>
      <c r="F908" t="s">
        <v>1959</v>
      </c>
      <c r="G908" t="s">
        <v>14</v>
      </c>
      <c r="H908">
             </c>
      <c r="I908" t="s">
        <v>14</v>
      </c>
      <c r="J908" t="s">
        <v>55</v>
      </c>
      <c r="K908" t="s">
        <v>14</v>
      </c>
      <c r="L908" t="s">
        <v>20</v>
      </c>
      <c r="M908" t="s">
        <v>1951</v>
      </c>
      <c r="N908" t="s">
        <v>14</v>
      </c>
    </row>
    <row r="909" x14ac:dyDescent="0.25">
      <c r="A909" t="n">
        <v>25</v>
      </c>
      <c r="B909" t="s">
        <v>14</v>
      </c>
      <c r="C909" t="s">
        <v>22</v>
      </c>
      <c r="D909" s="2" t="s">
        <f>=HYPERLINK("https://main.knesset.gov.il/APPS/legislation/main/bills/2197123", "הצעת חוק הפעלת תחבורה ציבורית בשבת, התשפ""ג-2022")</f>
        <v>1960</v>
      </c>
      <c r="E909" t="s">
        <v>1960</v>
      </c>
      <c r="F909" t="s">
        <v>1961</v>
      </c>
      <c r="G909" t="s">
        <v>14</v>
      </c>
      <c r="H909">
             </c>
      <c r="I909" t="s">
        <v>14</v>
      </c>
      <c r="J909" t="s">
        <v>55</v>
      </c>
      <c r="K909" t="s">
        <v>14</v>
      </c>
      <c r="L909" t="s">
        <v>20</v>
      </c>
      <c r="M909" t="s">
        <v>1951</v>
      </c>
      <c r="N909" t="s">
        <v>14</v>
      </c>
    </row>
    <row r="910" x14ac:dyDescent="0.25">
      <c r="A910" t="n">
        <v>25</v>
      </c>
      <c r="B910" t="s">
        <v>14</v>
      </c>
      <c r="C910" t="s">
        <v>15</v>
      </c>
      <c r="D910" s="2" t="s">
        <f>=HYPERLINK("https://main.knesset.gov.il/APPS/legislation/main/bills/2219671", "הצעת חוק המרכז לגביית קנסות, אגרות והוצאות (תיקון מס' 29) (פריסת תשלום בעד חוב שטרם חלף המועד לתשלומו), התשפ""ד-2024")</f>
        <v>1962</v>
      </c>
      <c r="E910" t="s">
        <v>1962</v>
      </c>
      <c r="F910" t="s">
        <v>14</v>
      </c>
      <c r="G910" t="s">
        <v>1963</v>
      </c>
      <c r="H910">
             </c>
      <c r="I910" t="s">
        <v>14</v>
      </c>
      <c r="J910" t="s">
        <v>18</v>
      </c>
      <c r="K910" t="s">
        <v>27</v>
      </c>
      <c r="L910" t="s">
        <v>20</v>
      </c>
      <c r="M910" t="s">
        <v>1964</v>
      </c>
      <c r="N910" t="s">
        <v>14</v>
      </c>
    </row>
    <row r="911" x14ac:dyDescent="0.25">
      <c r="A911" t="n">
        <v>25</v>
      </c>
      <c r="B911" t="s">
        <v>14</v>
      </c>
      <c r="C911" t="s">
        <v>22</v>
      </c>
      <c r="D911" s="2" t="s">
        <f>=HYPERLINK("https://main.knesset.gov.il/APPS/legislation/main/bills/2202137", "הצעת חוק הדיור הציבורי (זכויות רכישה) (תיקון - הארכת תוקף והוספת תבחינים לרכישת הדירה), התשפ""ג-2023")</f>
        <v>1965</v>
      </c>
      <c r="E911" t="s">
        <v>1965</v>
      </c>
      <c r="F911" t="s">
        <v>1966</v>
      </c>
      <c r="G911" t="s">
        <v>14</v>
      </c>
      <c r="H911">
             </c>
      <c r="I911" t="s">
        <v>14</v>
      </c>
      <c r="J911" t="s">
        <v>99</v>
      </c>
      <c r="K911" t="s">
        <v>46</v>
      </c>
      <c r="L911" t="s">
        <v>20</v>
      </c>
      <c r="M911" t="s">
        <v>1964</v>
      </c>
      <c r="N911" t="s">
        <v>14</v>
      </c>
    </row>
    <row r="912" x14ac:dyDescent="0.25">
      <c r="A912" t="n">
        <v>25</v>
      </c>
      <c r="B912" t="s">
        <v>14</v>
      </c>
      <c r="C912" t="s">
        <v>22</v>
      </c>
      <c r="D912" s="2" t="s">
        <f>=HYPERLINK("https://main.knesset.gov.il/APPS/legislation/main/bills/2202302", "הצעת חוק הדיור הציבורי (זכויות רכישה) (תיקון - הארכת תוקף), התשפ""ג-2023")</f>
        <v>1967</v>
      </c>
      <c r="E912" t="s">
        <v>1967</v>
      </c>
      <c r="F912" t="s">
        <v>1968</v>
      </c>
      <c r="G912" t="s">
        <v>14</v>
      </c>
      <c r="H912">
             </c>
      <c r="I912" t="s">
        <v>14</v>
      </c>
      <c r="J912" t="s">
        <v>99</v>
      </c>
      <c r="K912" t="s">
        <v>46</v>
      </c>
      <c r="L912" t="s">
        <v>20</v>
      </c>
      <c r="M912" t="s">
        <v>1964</v>
      </c>
      <c r="N912" t="s">
        <v>14</v>
      </c>
    </row>
    <row r="913" x14ac:dyDescent="0.25">
      <c r="A913" t="n">
        <v>25</v>
      </c>
      <c r="B913" t="s">
        <v>14</v>
      </c>
      <c r="C913" t="s">
        <v>22</v>
      </c>
      <c r="D913" s="2" t="s">
        <f>=HYPERLINK("https://main.knesset.gov.il/APPS/legislation/main/bills/2202195", "הצעת חוק הדיור הציבורי (זכויות רכישה) (תיקון - הארכת תוקף), התשפ""ג-2023")</f>
        <v>1967</v>
      </c>
      <c r="E913" t="s">
        <v>1967</v>
      </c>
      <c r="F913" t="s">
        <v>1969</v>
      </c>
      <c r="G913" t="s">
        <v>14</v>
      </c>
      <c r="H913">
             </c>
      <c r="I913" t="s">
        <v>14</v>
      </c>
      <c r="J913" t="s">
        <v>99</v>
      </c>
      <c r="K913" t="s">
        <v>46</v>
      </c>
      <c r="L913" t="s">
        <v>20</v>
      </c>
      <c r="M913" t="s">
        <v>1964</v>
      </c>
      <c r="N913" t="s">
        <v>14</v>
      </c>
    </row>
    <row r="914" x14ac:dyDescent="0.25">
      <c r="A914" t="n">
        <v>25</v>
      </c>
      <c r="B914" t="s">
        <v>14</v>
      </c>
      <c r="C914" t="s">
        <v>22</v>
      </c>
      <c r="D914" s="2" t="s">
        <f>=HYPERLINK("https://main.knesset.gov.il/APPS/legislation/main/bills/2198663", "הצעת חוק הדיור הציבורי (זכויות רכישה) (תיקון - הארכת תוקף), התשפ""ג-2023")</f>
        <v>1967</v>
      </c>
      <c r="E914" t="s">
        <v>1967</v>
      </c>
      <c r="F914" t="s">
        <v>1970</v>
      </c>
      <c r="G914" t="s">
        <v>14</v>
      </c>
      <c r="H914">
             </c>
      <c r="I914" t="s">
        <v>14</v>
      </c>
      <c r="J914" t="s">
        <v>99</v>
      </c>
      <c r="K914" t="s">
        <v>46</v>
      </c>
      <c r="L914" t="s">
        <v>20</v>
      </c>
      <c r="M914" t="s">
        <v>1964</v>
      </c>
      <c r="N914" t="s">
        <v>14</v>
      </c>
    </row>
    <row r="915" x14ac:dyDescent="0.25">
      <c r="A915" t="n">
        <v>25</v>
      </c>
      <c r="B915" t="s">
        <v>14</v>
      </c>
      <c r="C915" t="s">
        <v>22</v>
      </c>
      <c r="D915" s="2" t="s">
        <f>=HYPERLINK("https://main.knesset.gov.il/APPS/legislation/main/bills/2198134", "הצעת חוק הדיור הציבורי (זכויות רכישה) (תיקון - הארכת תוקף), התשפ""ג-2022")</f>
        <v>1971</v>
      </c>
      <c r="E915" t="s">
        <v>1971</v>
      </c>
      <c r="F915" t="s">
        <v>1972</v>
      </c>
      <c r="G915" t="s">
        <v>14</v>
      </c>
      <c r="H915">
             </c>
      <c r="I915" t="s">
        <v>14</v>
      </c>
      <c r="J915" t="s">
        <v>99</v>
      </c>
      <c r="K915" t="s">
        <v>46</v>
      </c>
      <c r="L915" t="s">
        <v>20</v>
      </c>
      <c r="M915" t="s">
        <v>1964</v>
      </c>
      <c r="N915" t="s">
        <v>14</v>
      </c>
    </row>
    <row r="916" x14ac:dyDescent="0.25">
      <c r="A916" t="n">
        <v>25</v>
      </c>
      <c r="B916" t="s">
        <v>14</v>
      </c>
      <c r="C916" t="s">
        <v>15</v>
      </c>
      <c r="D916" s="2" t="s">
        <f>=HYPERLINK("https://main.knesset.gov.il/APPS/legislation/main/bills/2232163", "חוק הכניסה לישראל (תיקון מס' 43 והוראת שעה - חרבות ברזל), התשפ""ו-2025")</f>
        <v>1973</v>
      </c>
      <c r="E916" t="s">
        <v>1973</v>
      </c>
      <c r="F916" t="s">
        <v>14</v>
      </c>
      <c r="G916" t="s">
        <v>1974</v>
      </c>
      <c r="H916" t="n">
        <v>3460</v>
      </c>
      <c r="I916" t="s">
        <v>14</v>
      </c>
      <c r="J916" t="s">
        <v>91</v>
      </c>
      <c r="K916" t="s">
        <v>46</v>
      </c>
      <c r="L916" t="s">
        <v>20</v>
      </c>
      <c r="M916" t="s">
        <v>1964</v>
      </c>
      <c r="N916" t="s">
        <v>1975</v>
      </c>
    </row>
    <row r="917" x14ac:dyDescent="0.25">
      <c r="A917" t="n">
        <v>25</v>
      </c>
      <c r="B917" t="s">
        <v>14</v>
      </c>
      <c r="C917" t="s">
        <v>15</v>
      </c>
      <c r="D917" s="2" t="s">
        <f>=HYPERLINK("https://main.knesset.gov.il/APPS/legislation/main/bills/1046069", "חוק שירות לאומי-אזרחי (תיקון מס' 8), התשפ""ו-2025")</f>
        <v>1976</v>
      </c>
      <c r="E917" t="s">
        <v>1976</v>
      </c>
      <c r="F917" t="s">
        <v>14</v>
      </c>
      <c r="G917" t="s">
        <v>1977</v>
      </c>
      <c r="H917" t="n">
        <v>3458</v>
      </c>
      <c r="I917" t="s">
        <v>14</v>
      </c>
      <c r="J917" t="s">
        <v>91</v>
      </c>
      <c r="K917" t="s">
        <v>114</v>
      </c>
      <c r="L917" t="s">
        <v>20</v>
      </c>
      <c r="M917" t="s">
        <v>1978</v>
      </c>
      <c r="N917" t="s">
        <v>1979</v>
      </c>
    </row>
    <row r="918" x14ac:dyDescent="0.25">
      <c r="A918" t="n">
        <v>25</v>
      </c>
      <c r="B918" t="s">
        <v>14</v>
      </c>
      <c r="C918" t="s">
        <v>22</v>
      </c>
      <c r="D918" s="2" t="s">
        <f>=HYPERLINK("https://main.knesset.gov.il/APPS/legislation/main/bills/2224653", "הצעת חוק העונשין (תיקון - קנס על החזקת נשק בלתי חוקי), התשפ""ה-2024")</f>
        <v>1980</v>
      </c>
      <c r="E918" t="s">
        <v>1980</v>
      </c>
      <c r="F918" t="s">
        <v>1981</v>
      </c>
      <c r="G918" t="s">
        <v>14</v>
      </c>
      <c r="H918">
             </c>
      <c r="I918" t="s">
        <v>14</v>
      </c>
      <c r="J918" t="s">
        <v>31</v>
      </c>
      <c r="K918" t="s">
        <v>27</v>
      </c>
      <c r="L918" t="s">
        <v>20</v>
      </c>
      <c r="M918" t="s">
        <v>1978</v>
      </c>
      <c r="N918" t="s">
        <v>14</v>
      </c>
    </row>
    <row r="919" x14ac:dyDescent="0.25">
      <c r="A919" t="n">
        <v>25</v>
      </c>
      <c r="B919" t="s">
        <v>14</v>
      </c>
      <c r="C919" t="s">
        <v>15</v>
      </c>
      <c r="D919" s="2" t="s">
        <f>=HYPERLINK("https://main.knesset.gov.il/APPS/legislation/main/bills/2225485", "חוק הביטוח הלאומי (תיקון מס' 253 והוראות שעה), התשפ""ה-2025 ")</f>
        <v>1982</v>
      </c>
      <c r="E919" t="s">
        <v>1982</v>
      </c>
      <c r="F919" t="s">
        <v>14</v>
      </c>
      <c r="G919" t="s">
        <v>1983</v>
      </c>
      <c r="H919" t="n">
        <v>3355</v>
      </c>
      <c r="I919" t="s">
        <v>14</v>
      </c>
      <c r="J919" t="s">
        <v>91</v>
      </c>
      <c r="K919" t="s">
        <v>127</v>
      </c>
      <c r="L919" t="s">
        <v>20</v>
      </c>
      <c r="M919" t="s">
        <v>1978</v>
      </c>
      <c r="N919" t="s">
        <v>1984</v>
      </c>
    </row>
    <row r="920" x14ac:dyDescent="0.25">
      <c r="A920" t="n">
        <v>25</v>
      </c>
      <c r="B920" t="s">
        <v>14</v>
      </c>
      <c r="C920" t="s">
        <v>15</v>
      </c>
      <c r="D920" s="2" t="s">
        <f>=HYPERLINK("https://main.knesset.gov.il/APPS/legislation/main/bills/2229723", "חוק שיפוט בתי דין רבניים (נישואין וגירושין) (תיקון מס' 6 - הוראת שעה), התשפ""ו-2025")</f>
        <v>1985</v>
      </c>
      <c r="E920" t="s">
        <v>1985</v>
      </c>
      <c r="F920" t="s">
        <v>14</v>
      </c>
      <c r="G920" t="s">
        <v>1986</v>
      </c>
      <c r="H920" t="n">
        <v>3459</v>
      </c>
      <c r="I920" t="s">
        <v>14</v>
      </c>
      <c r="J920" t="s">
        <v>91</v>
      </c>
      <c r="K920" t="s">
        <v>27</v>
      </c>
      <c r="L920" t="s">
        <v>20</v>
      </c>
      <c r="M920" t="s">
        <v>1978</v>
      </c>
      <c r="N920" t="s">
        <v>14</v>
      </c>
    </row>
    <row r="921" x14ac:dyDescent="0.25">
      <c r="A921" t="n">
        <v>25</v>
      </c>
      <c r="B921" t="s">
        <v>14</v>
      </c>
      <c r="C921" t="s">
        <v>22</v>
      </c>
      <c r="D921" s="2" t="s">
        <f>=HYPERLINK("https://main.knesset.gov.il/APPS/legislation/main/bills/2236167", "הצעת חוק למניעת חסימת ציר תנועה חיוני, התשפ״ו-2025")</f>
        <v>1987</v>
      </c>
      <c r="E921" t="s">
        <v>1987</v>
      </c>
      <c r="F921" t="s">
        <v>1988</v>
      </c>
      <c r="G921" t="s">
        <v>14</v>
      </c>
      <c r="H921">
             </c>
      <c r="I921" t="s">
        <v>14</v>
      </c>
      <c r="J921" t="s">
        <v>141</v>
      </c>
      <c r="K921" t="s">
        <v>14</v>
      </c>
      <c r="L921" t="s">
        <v>20</v>
      </c>
      <c r="M921" t="s">
        <v>1978</v>
      </c>
      <c r="N921" t="s">
        <v>14</v>
      </c>
    </row>
    <row r="922" x14ac:dyDescent="0.25">
      <c r="A922" t="n">
        <v>25</v>
      </c>
      <c r="B922" t="s">
        <v>14</v>
      </c>
      <c r="C922" t="s">
        <v>22</v>
      </c>
      <c r="D922" s="2" t="s">
        <f>=HYPERLINK("https://main.knesset.gov.il/APPS/legislation/main/bills/2236136", "הצעת חוק קרן סיוע לקבוצות כדורגל חובבניות, התשפ""ו-2025")</f>
        <v>1989</v>
      </c>
      <c r="E922" t="s">
        <v>1989</v>
      </c>
      <c r="F922" t="s">
        <v>1990</v>
      </c>
      <c r="G922" t="s">
        <v>14</v>
      </c>
      <c r="H922">
             </c>
      <c r="I922" t="s">
        <v>14</v>
      </c>
      <c r="J922" t="s">
        <v>141</v>
      </c>
      <c r="K922" t="s">
        <v>14</v>
      </c>
      <c r="L922" t="s">
        <v>20</v>
      </c>
      <c r="M922" t="s">
        <v>1978</v>
      </c>
      <c r="N922" t="s">
        <v>14</v>
      </c>
    </row>
    <row r="923" x14ac:dyDescent="0.25">
      <c r="A923" t="n">
        <v>25</v>
      </c>
      <c r="B923" t="s">
        <v>14</v>
      </c>
      <c r="C923" t="s">
        <v>22</v>
      </c>
      <c r="D923" s="2" t="s">
        <f>=HYPERLINK("https://main.knesset.gov.il/APPS/legislation/main/bills/2235469", "הצעת חוק הממשלה (תיקון - כללי אתיקה לחברי הממשלה), התשפ""ו-2025")</f>
        <v>1991</v>
      </c>
      <c r="E923" t="s">
        <v>1991</v>
      </c>
      <c r="F923" t="s">
        <v>1992</v>
      </c>
      <c r="G923" t="s">
        <v>14</v>
      </c>
      <c r="H923">
             </c>
      <c r="I923" t="s">
        <v>14</v>
      </c>
      <c r="J923" t="s">
        <v>141</v>
      </c>
      <c r="K923" t="s">
        <v>14</v>
      </c>
      <c r="L923" t="s">
        <v>20</v>
      </c>
      <c r="M923" t="s">
        <v>1978</v>
      </c>
      <c r="N923" t="s">
        <v>14</v>
      </c>
    </row>
    <row r="924" x14ac:dyDescent="0.25">
      <c r="A924" t="n">
        <v>25</v>
      </c>
      <c r="B924" t="s">
        <v>14</v>
      </c>
      <c r="C924" t="s">
        <v>22</v>
      </c>
      <c r="D924" s="2" t="s">
        <f>=HYPERLINK("https://main.knesset.gov.il/APPS/legislation/main/bills/2234629", "הצעת חוק-יסוד: ירושלים בירת ישראל (תיקון - שימור ערכי הטבע והמורשת הלאומית)")</f>
        <v>1993</v>
      </c>
      <c r="E924" t="s">
        <v>1993</v>
      </c>
      <c r="F924" t="s">
        <v>1994</v>
      </c>
      <c r="G924" t="s">
        <v>14</v>
      </c>
      <c r="H924">
             </c>
      <c r="I924" t="s">
        <v>14</v>
      </c>
      <c r="J924" t="s">
        <v>141</v>
      </c>
      <c r="K924" t="s">
        <v>14</v>
      </c>
      <c r="L924" t="s">
        <v>20</v>
      </c>
      <c r="M924" t="s">
        <v>1978</v>
      </c>
      <c r="N924" t="s">
        <v>14</v>
      </c>
    </row>
    <row r="925" x14ac:dyDescent="0.25">
      <c r="A925" t="n">
        <v>25</v>
      </c>
      <c r="B925" t="s">
        <v>14</v>
      </c>
      <c r="C925" t="s">
        <v>22</v>
      </c>
      <c r="D925" s="2" t="s">
        <f>=HYPERLINK("https://main.knesset.gov.il/APPS/legislation/main/bills/2235559", "הצעת חוק ההוצאה לפועל (תיקון - איסור עיקול כספים המיועדים לקיום זכויות יסוד), התשפ""ו-2025")</f>
        <v>1995</v>
      </c>
      <c r="E925" t="s">
        <v>1995</v>
      </c>
      <c r="F925" t="s">
        <v>1996</v>
      </c>
      <c r="G925" t="s">
        <v>14</v>
      </c>
      <c r="H925">
             </c>
      <c r="I925" t="s">
        <v>14</v>
      </c>
      <c r="J925" t="s">
        <v>141</v>
      </c>
      <c r="K925" t="s">
        <v>14</v>
      </c>
      <c r="L925" t="s">
        <v>20</v>
      </c>
      <c r="M925" t="s">
        <v>1978</v>
      </c>
      <c r="N925" t="s">
        <v>14</v>
      </c>
    </row>
    <row r="926" x14ac:dyDescent="0.25">
      <c r="A926" t="n">
        <v>25</v>
      </c>
      <c r="B926" t="s">
        <v>14</v>
      </c>
      <c r="C926" t="s">
        <v>22</v>
      </c>
      <c r="D926" s="2" t="s">
        <f>=HYPERLINK("https://main.knesset.gov.il/APPS/legislation/main/bills/2236131", "הצעת חוק לביטול חובות עבר לרשויות מקומיות מוחלשות, התשפ״ו-2025")</f>
        <v>1997</v>
      </c>
      <c r="E926" t="s">
        <v>1997</v>
      </c>
      <c r="F926" t="s">
        <v>1998</v>
      </c>
      <c r="G926" t="s">
        <v>14</v>
      </c>
      <c r="H926">
             </c>
      <c r="I926" t="s">
        <v>14</v>
      </c>
      <c r="J926" t="s">
        <v>141</v>
      </c>
      <c r="K926" t="s">
        <v>14</v>
      </c>
      <c r="L926" t="s">
        <v>20</v>
      </c>
      <c r="M926" t="s">
        <v>1978</v>
      </c>
      <c r="N926" t="s">
        <v>14</v>
      </c>
    </row>
    <row r="927" x14ac:dyDescent="0.25">
      <c r="A927" t="n">
        <v>25</v>
      </c>
      <c r="B927" t="s">
        <v>14</v>
      </c>
      <c r="C927" t="s">
        <v>22</v>
      </c>
      <c r="D927" s="2" t="s">
        <f>=HYPERLINK("https://main.knesset.gov.il/APPS/legislation/main/bills/2236442", "הצעת חוק איסור הלבנת הון (תיקון - הוספת עבירת סחר לא חוקי בערכי טבע מוגנים), התשפ""ו-2025")</f>
        <v>1999</v>
      </c>
      <c r="E927" t="s">
        <v>1999</v>
      </c>
      <c r="F927" t="s">
        <v>2000</v>
      </c>
      <c r="G927" t="s">
        <v>14</v>
      </c>
      <c r="H927">
             </c>
      <c r="I927" t="s">
        <v>14</v>
      </c>
      <c r="J927" t="s">
        <v>343</v>
      </c>
      <c r="K927" t="s">
        <v>14</v>
      </c>
      <c r="L927" t="s">
        <v>20</v>
      </c>
      <c r="M927" t="s">
        <v>1978</v>
      </c>
      <c r="N927" t="s">
        <v>14</v>
      </c>
    </row>
    <row r="928" x14ac:dyDescent="0.25">
      <c r="A928" t="n">
        <v>25</v>
      </c>
      <c r="B928" t="s">
        <v>14</v>
      </c>
      <c r="C928" t="s">
        <v>22</v>
      </c>
      <c r="D928" s="2" t="s">
        <f>=HYPERLINK("https://main.knesset.gov.il/APPS/legislation/main/bills/2235841", "הצעת חוק זכויות הסטודנט (תיקון - התאמות לסטודנטים לא יהודים), התשפ""ו-2025")</f>
        <v>2001</v>
      </c>
      <c r="E928" t="s">
        <v>2001</v>
      </c>
      <c r="F928" t="s">
        <v>2002</v>
      </c>
      <c r="G928" t="s">
        <v>14</v>
      </c>
      <c r="H928">
             </c>
      <c r="I928" t="s">
        <v>14</v>
      </c>
      <c r="J928" t="s">
        <v>141</v>
      </c>
      <c r="K928" t="s">
        <v>14</v>
      </c>
      <c r="L928" t="s">
        <v>20</v>
      </c>
      <c r="M928" t="s">
        <v>1978</v>
      </c>
      <c r="N928" t="s">
        <v>14</v>
      </c>
    </row>
    <row r="929" x14ac:dyDescent="0.25">
      <c r="A929" t="n">
        <v>25</v>
      </c>
      <c r="B929" t="s">
        <v>14</v>
      </c>
      <c r="C929" t="s">
        <v>22</v>
      </c>
      <c r="D929" s="2" t="s">
        <f>=HYPERLINK("https://main.knesset.gov.il/APPS/legislation/main/bills/2236213", "הצעת חוק-יסוד: הכנסת (תיקון - התניית הצבעה בשירות צבאי או לאומי)")</f>
        <v>2003</v>
      </c>
      <c r="E929" t="s">
        <v>2003</v>
      </c>
      <c r="F929" t="s">
        <v>2004</v>
      </c>
      <c r="G929" t="s">
        <v>14</v>
      </c>
      <c r="H929">
             </c>
      <c r="I929" t="s">
        <v>14</v>
      </c>
      <c r="J929" t="s">
        <v>141</v>
      </c>
      <c r="K929" t="s">
        <v>14</v>
      </c>
      <c r="L929" t="s">
        <v>20</v>
      </c>
      <c r="M929" t="s">
        <v>1978</v>
      </c>
      <c r="N929" t="s">
        <v>14</v>
      </c>
    </row>
    <row r="930" x14ac:dyDescent="0.25">
      <c r="A930" t="n">
        <v>25</v>
      </c>
      <c r="B930" t="s">
        <v>14</v>
      </c>
      <c r="C930" t="s">
        <v>22</v>
      </c>
      <c r="D930" s="2" t="s">
        <f>=HYPERLINK("https://main.knesset.gov.il/APPS/legislation/main/bills/2236313", "הצעת חוק המכר (דירות) (תיקון - חובת מסירת מידע על מנגנון שבת במפרט), התשפ""ו-2025")</f>
        <v>2005</v>
      </c>
      <c r="E930" t="s">
        <v>2005</v>
      </c>
      <c r="F930" t="s">
        <v>2006</v>
      </c>
      <c r="G930" t="s">
        <v>14</v>
      </c>
      <c r="H930">
             </c>
      <c r="I930" t="s">
        <v>14</v>
      </c>
      <c r="J930" t="s">
        <v>141</v>
      </c>
      <c r="K930" t="s">
        <v>14</v>
      </c>
      <c r="L930" t="s">
        <v>20</v>
      </c>
      <c r="M930" t="s">
        <v>1978</v>
      </c>
      <c r="N930" t="s">
        <v>14</v>
      </c>
    </row>
    <row r="931" x14ac:dyDescent="0.25">
      <c r="A931" t="n">
        <v>25</v>
      </c>
      <c r="B931" t="s">
        <v>14</v>
      </c>
      <c r="C931" t="s">
        <v>22</v>
      </c>
      <c r="D931" s="2" t="s">
        <f>=HYPERLINK("https://main.knesset.gov.il/APPS/legislation/main/bills/2236326", "הצעת חוק יום לציון עליית יהודי צפון אפריקה לישראל במאה ה-19 (עליית הת""ר), התשפ""ו-2025")</f>
        <v>2007</v>
      </c>
      <c r="E931" t="s">
        <v>2007</v>
      </c>
      <c r="F931" t="s">
        <v>2008</v>
      </c>
      <c r="G931" t="s">
        <v>14</v>
      </c>
      <c r="H931">
             </c>
      <c r="I931" t="s">
        <v>14</v>
      </c>
      <c r="J931" t="s">
        <v>141</v>
      </c>
      <c r="K931" t="s">
        <v>14</v>
      </c>
      <c r="L931" t="s">
        <v>20</v>
      </c>
      <c r="M931" t="s">
        <v>1978</v>
      </c>
      <c r="N931" t="s">
        <v>14</v>
      </c>
    </row>
    <row r="932" x14ac:dyDescent="0.25">
      <c r="A932" t="n">
        <v>25</v>
      </c>
      <c r="B932" t="s">
        <v>14</v>
      </c>
      <c r="C932" t="s">
        <v>22</v>
      </c>
      <c r="D932" s="2" t="s">
        <f>=HYPERLINK("https://main.knesset.gov.il/APPS/legislation/main/bills/2236138", "הצעת חוק יום המודעות ליתר לחץ דם, התשפ""ו-2025")</f>
        <v>2009</v>
      </c>
      <c r="E932" t="s">
        <v>2009</v>
      </c>
      <c r="F932" t="s">
        <v>2010</v>
      </c>
      <c r="G932" t="s">
        <v>14</v>
      </c>
      <c r="H932">
             </c>
      <c r="I932" t="s">
        <v>14</v>
      </c>
      <c r="J932" t="s">
        <v>141</v>
      </c>
      <c r="K932" t="s">
        <v>14</v>
      </c>
      <c r="L932" t="s">
        <v>20</v>
      </c>
      <c r="M932" t="s">
        <v>1978</v>
      </c>
      <c r="N932" t="s">
        <v>14</v>
      </c>
    </row>
    <row r="933" x14ac:dyDescent="0.25">
      <c r="A933" t="n">
        <v>25</v>
      </c>
      <c r="B933" t="s">
        <v>14</v>
      </c>
      <c r="C933" t="s">
        <v>22</v>
      </c>
      <c r="D933" s="2" t="s">
        <f>=HYPERLINK("https://main.knesset.gov.il/APPS/legislation/main/bills/2236436", "הצעת חוק משפחות חיילים שנספו במערכה (תגמולים ושיקום) (תיקון - ועדת חריגים להכרה בנספה), התשפ""ו-2025")</f>
        <v>1158</v>
      </c>
      <c r="E933" t="s">
        <v>1158</v>
      </c>
      <c r="F933" t="s">
        <v>2011</v>
      </c>
      <c r="G933" t="s">
        <v>14</v>
      </c>
      <c r="H933">
             </c>
      <c r="I933" t="s">
        <v>14</v>
      </c>
      <c r="J933" t="s">
        <v>141</v>
      </c>
      <c r="K933" t="s">
        <v>14</v>
      </c>
      <c r="L933" t="s">
        <v>20</v>
      </c>
      <c r="M933" t="s">
        <v>1978</v>
      </c>
      <c r="N933" t="s">
        <v>14</v>
      </c>
    </row>
    <row r="934" x14ac:dyDescent="0.25">
      <c r="A934" t="n">
        <v>25</v>
      </c>
      <c r="B934" t="s">
        <v>14</v>
      </c>
      <c r="C934" t="s">
        <v>15</v>
      </c>
      <c r="D934" s="2" t="s">
        <f>=HYPERLINK("https://main.knesset.gov.il/APPS/legislation/main/bills/1041438", "הצעת חוק המקרקעין (תיקון מס' 39) (הצמדת חניות נגישות בבית משותף חדש), התשפ""ו-2025")</f>
        <v>2012</v>
      </c>
      <c r="E934" t="s">
        <v>2012</v>
      </c>
      <c r="F934" t="s">
        <v>14</v>
      </c>
      <c r="G934" t="s">
        <v>2013</v>
      </c>
      <c r="H934">
             </c>
      <c r="I934" t="s">
        <v>14</v>
      </c>
      <c r="J934" t="s">
        <v>69</v>
      </c>
      <c r="K934" t="s">
        <v>14</v>
      </c>
      <c r="L934" t="s">
        <v>20</v>
      </c>
      <c r="M934" t="s">
        <v>1978</v>
      </c>
      <c r="N934" t="s">
        <v>14</v>
      </c>
    </row>
    <row r="935" x14ac:dyDescent="0.25">
      <c r="A935" t="n">
        <v>25</v>
      </c>
      <c r="B935" t="s">
        <v>14</v>
      </c>
      <c r="C935" t="s">
        <v>22</v>
      </c>
      <c r="D935" s="2" t="s">
        <f>=HYPERLINK("https://main.knesset.gov.il/APPS/legislation/main/bills/2235553", "הצעת חוק הקמת ועדת חקירה ממלכתית לאירועי 7 באוקטובר, התשפ""ו-2025")</f>
        <v>1824</v>
      </c>
      <c r="E935" t="s">
        <v>1824</v>
      </c>
      <c r="F935" t="s">
        <v>2014</v>
      </c>
      <c r="G935" t="s">
        <v>14</v>
      </c>
      <c r="H935">
             </c>
      <c r="I935" t="s">
        <v>14</v>
      </c>
      <c r="J935" t="s">
        <v>55</v>
      </c>
      <c r="K935" t="s">
        <v>14</v>
      </c>
      <c r="L935" t="s">
        <v>20</v>
      </c>
      <c r="M935" t="s">
        <v>2015</v>
      </c>
      <c r="N935" t="s">
        <v>14</v>
      </c>
    </row>
    <row r="936" x14ac:dyDescent="0.25">
      <c r="A936" t="n">
        <v>25</v>
      </c>
      <c r="B936" t="s">
        <v>14</v>
      </c>
      <c r="C936" t="s">
        <v>22</v>
      </c>
      <c r="D936" s="2" t="s">
        <f>=HYPERLINK("https://main.knesset.gov.il/APPS/legislation/main/bills/2231913", "הצעת חוק לעידוד השקעות הון (תיקון - הטבות למפעל מתחרה בשוק ריכוזי), התשפ""ה-2025")</f>
        <v>2016</v>
      </c>
      <c r="E936" t="s">
        <v>2016</v>
      </c>
      <c r="F936" t="s">
        <v>2017</v>
      </c>
      <c r="G936" t="s">
        <v>14</v>
      </c>
      <c r="H936">
             </c>
      <c r="I936" t="s">
        <v>14</v>
      </c>
      <c r="J936" t="s">
        <v>55</v>
      </c>
      <c r="K936" t="s">
        <v>14</v>
      </c>
      <c r="L936" t="s">
        <v>20</v>
      </c>
      <c r="M936" t="s">
        <v>2015</v>
      </c>
      <c r="N936" t="s">
        <v>14</v>
      </c>
    </row>
    <row r="937" x14ac:dyDescent="0.25">
      <c r="A937" t="n">
        <v>25</v>
      </c>
      <c r="B937" t="s">
        <v>14</v>
      </c>
      <c r="C937" t="s">
        <v>22</v>
      </c>
      <c r="D937" s="2" t="s">
        <f>=HYPERLINK("https://main.knesset.gov.il/APPS/legislation/main/bills/2231038", "הצעת חוק לתיקון פקודת הראיות (חיסיון עיתונאי), התשפ""ה-2025")</f>
        <v>2018</v>
      </c>
      <c r="E937" t="s">
        <v>2018</v>
      </c>
      <c r="F937" t="s">
        <v>2019</v>
      </c>
      <c r="G937" t="s">
        <v>14</v>
      </c>
      <c r="H937">
             </c>
      <c r="I937" t="s">
        <v>14</v>
      </c>
      <c r="J937" t="s">
        <v>55</v>
      </c>
      <c r="K937" t="s">
        <v>14</v>
      </c>
      <c r="L937" t="s">
        <v>20</v>
      </c>
      <c r="M937" t="s">
        <v>2015</v>
      </c>
      <c r="N937" t="s">
        <v>14</v>
      </c>
    </row>
    <row r="938" x14ac:dyDescent="0.25">
      <c r="A938" t="n">
        <v>25</v>
      </c>
      <c r="B938" t="s">
        <v>14</v>
      </c>
      <c r="C938" t="s">
        <v>22</v>
      </c>
      <c r="D938" s="2" t="s">
        <f>=HYPERLINK("https://main.knesset.gov.il/APPS/legislation/main/bills/2226911", "הצעת חוק הקמת ועדת חקירה ממלכתית לאירועי 7 באוקטובר, התשפ""ה-2025")</f>
        <v>2020</v>
      </c>
      <c r="E938" t="s">
        <v>2020</v>
      </c>
      <c r="F938" t="s">
        <v>2021</v>
      </c>
      <c r="G938" t="s">
        <v>14</v>
      </c>
      <c r="H938">
             </c>
      <c r="I938" t="s">
        <v>14</v>
      </c>
      <c r="J938" t="s">
        <v>55</v>
      </c>
      <c r="K938" t="s">
        <v>14</v>
      </c>
      <c r="L938" t="s">
        <v>20</v>
      </c>
      <c r="M938" t="s">
        <v>2015</v>
      </c>
      <c r="N938" t="s">
        <v>14</v>
      </c>
    </row>
    <row r="939" x14ac:dyDescent="0.25">
      <c r="A939" t="n">
        <v>25</v>
      </c>
      <c r="B939" t="s">
        <v>14</v>
      </c>
      <c r="C939" t="s">
        <v>22</v>
      </c>
      <c r="D939" s="2" t="s">
        <f>=HYPERLINK("https://main.knesset.gov.il/APPS/legislation/main/bills/2222441", "הצעת חוק הביטוח הלאומי (תיקון - הגדלת קצבת אזרח ותיק והצמדתה לשכר הממוצע), התשפ""ה-2024")</f>
        <v>2022</v>
      </c>
      <c r="E939" t="s">
        <v>2022</v>
      </c>
      <c r="F939" t="s">
        <v>2023</v>
      </c>
      <c r="G939" t="s">
        <v>14</v>
      </c>
      <c r="H939">
             </c>
      <c r="I939" t="s">
        <v>14</v>
      </c>
      <c r="J939" t="s">
        <v>55</v>
      </c>
      <c r="K939" t="s">
        <v>14</v>
      </c>
      <c r="L939" t="s">
        <v>20</v>
      </c>
      <c r="M939" t="s">
        <v>2015</v>
      </c>
      <c r="N939" t="s">
        <v>14</v>
      </c>
    </row>
    <row r="940" x14ac:dyDescent="0.25">
      <c r="A940" t="n">
        <v>25</v>
      </c>
      <c r="B940" t="s">
        <v>14</v>
      </c>
      <c r="C940" t="s">
        <v>22</v>
      </c>
      <c r="D940" s="2" t="s">
        <f>=HYPERLINK("https://main.knesset.gov.il/APPS/legislation/main/bills/2218896", "הצעת חוק הקמת ועדת חקירה ממלכתית למחדלי 7 באוקטובר, התשפ""ד-2024")</f>
        <v>2024</v>
      </c>
      <c r="E940" t="s">
        <v>2024</v>
      </c>
      <c r="F940" t="s">
        <v>2025</v>
      </c>
      <c r="G940" t="s">
        <v>14</v>
      </c>
      <c r="H940">
             </c>
      <c r="I940" t="s">
        <v>14</v>
      </c>
      <c r="J940" t="s">
        <v>55</v>
      </c>
      <c r="K940" t="s">
        <v>14</v>
      </c>
      <c r="L940" t="s">
        <v>20</v>
      </c>
      <c r="M940" t="s">
        <v>2015</v>
      </c>
      <c r="N940" t="s">
        <v>14</v>
      </c>
    </row>
    <row r="941" x14ac:dyDescent="0.25">
      <c r="A941" t="n">
        <v>25</v>
      </c>
      <c r="B941" t="s">
        <v>14</v>
      </c>
      <c r="C941" t="s">
        <v>22</v>
      </c>
      <c r="D941" s="2" t="s">
        <f>=HYPERLINK("https://main.knesset.gov.il/APPS/legislation/main/bills/2214885", "הצעת חוק הביטוח הלאומי (תיקון - תוספת לחייל מילואים בהפקדות לחיסכון ארוך טווח לילד) (הוראת שעה - חרבות ברזל), התשפ""ד-2024")</f>
        <v>2026</v>
      </c>
      <c r="E941" t="s">
        <v>2026</v>
      </c>
      <c r="F941" t="s">
        <v>2027</v>
      </c>
      <c r="G941" t="s">
        <v>14</v>
      </c>
      <c r="H941">
             </c>
      <c r="I941" t="s">
        <v>14</v>
      </c>
      <c r="J941" t="s">
        <v>55</v>
      </c>
      <c r="K941" t="s">
        <v>14</v>
      </c>
      <c r="L941" t="s">
        <v>20</v>
      </c>
      <c r="M941" t="s">
        <v>2015</v>
      </c>
      <c r="N941" t="s">
        <v>14</v>
      </c>
    </row>
    <row r="942" x14ac:dyDescent="0.25">
      <c r="A942" t="n">
        <v>25</v>
      </c>
      <c r="B942" t="s">
        <v>14</v>
      </c>
      <c r="C942" t="s">
        <v>22</v>
      </c>
      <c r="D942" s="2" t="s">
        <f>=HYPERLINK("https://main.knesset.gov.il/APPS/legislation/main/bills/2203237", "הצעת חוק העונשין (תיקון - איסור על עינויים ועל יחס אכזרי, בלתי אנושי ומשפיל), התשפ""ג-2023")</f>
        <v>2028</v>
      </c>
      <c r="E942" t="s">
        <v>2028</v>
      </c>
      <c r="F942" t="s">
        <v>2029</v>
      </c>
      <c r="G942" t="s">
        <v>14</v>
      </c>
      <c r="H942">
             </c>
      <c r="I942" t="s">
        <v>14</v>
      </c>
      <c r="J942" t="s">
        <v>55</v>
      </c>
      <c r="K942" t="s">
        <v>14</v>
      </c>
      <c r="L942" t="s">
        <v>20</v>
      </c>
      <c r="M942" t="s">
        <v>2015</v>
      </c>
      <c r="N942" t="s">
        <v>14</v>
      </c>
    </row>
    <row r="943" x14ac:dyDescent="0.25">
      <c r="A943" t="n">
        <v>25</v>
      </c>
      <c r="B943" t="s">
        <v>14</v>
      </c>
      <c r="C943" t="s">
        <v>22</v>
      </c>
      <c r="D943" s="2" t="s">
        <f>=HYPERLINK("https://main.knesset.gov.il/APPS/legislation/main/bills/2203939", "הצעת חוק חינוך ממלכתי (תיקון - לימוד מורשת יהודי ברית המועצות לשעבר), התשפ""ג-2023")</f>
        <v>2030</v>
      </c>
      <c r="E943" t="s">
        <v>2030</v>
      </c>
      <c r="F943" t="s">
        <v>2031</v>
      </c>
      <c r="G943" t="s">
        <v>14</v>
      </c>
      <c r="H943">
             </c>
      <c r="I943" t="s">
        <v>14</v>
      </c>
      <c r="J943" t="s">
        <v>55</v>
      </c>
      <c r="K943" t="s">
        <v>14</v>
      </c>
      <c r="L943" t="s">
        <v>20</v>
      </c>
      <c r="M943" t="s">
        <v>2015</v>
      </c>
      <c r="N943" t="s">
        <v>14</v>
      </c>
    </row>
    <row r="944" x14ac:dyDescent="0.25">
      <c r="A944" t="n">
        <v>25</v>
      </c>
      <c r="B944" t="s">
        <v>14</v>
      </c>
      <c r="C944" t="s">
        <v>22</v>
      </c>
      <c r="D944" s="2" t="s">
        <f>=HYPERLINK("https://main.knesset.gov.il/APPS/legislation/main/bills/2202577", "הצעת חוק המאבק בטרור (תיקון מס' 12), התשפ""ו–2025")</f>
        <v>2032</v>
      </c>
      <c r="E944" t="s">
        <v>2032</v>
      </c>
      <c r="F944" t="s">
        <v>2033</v>
      </c>
      <c r="G944" t="s">
        <v>2034</v>
      </c>
      <c r="H944">
             </c>
      <c r="I944" t="s">
        <v>26</v>
      </c>
      <c r="J944" t="s">
        <v>73</v>
      </c>
      <c r="K944" t="s">
        <v>27</v>
      </c>
      <c r="L944" t="s">
        <v>20</v>
      </c>
      <c r="M944" t="s">
        <v>2015</v>
      </c>
      <c r="N944" t="s">
        <v>14</v>
      </c>
    </row>
    <row r="945" x14ac:dyDescent="0.25">
      <c r="A945" t="n">
        <v>25</v>
      </c>
      <c r="B945" t="s">
        <v>14</v>
      </c>
      <c r="C945" t="s">
        <v>15</v>
      </c>
      <c r="D945" s="2" t="s">
        <f>=HYPERLINK("https://main.knesset.gov.il/APPS/legislation/main/bills/2219670", "הצעת חוק לתיקון פקודת התעבורה (מס' 141), התשפ""ו-2025")</f>
        <v>2035</v>
      </c>
      <c r="E945" t="s">
        <v>2035</v>
      </c>
      <c r="F945" t="s">
        <v>14</v>
      </c>
      <c r="G945" t="s">
        <v>2036</v>
      </c>
      <c r="H945">
             </c>
      <c r="I945" t="s">
        <v>14</v>
      </c>
      <c r="J945" t="s">
        <v>73</v>
      </c>
      <c r="K945" t="s">
        <v>19</v>
      </c>
      <c r="L945" t="s">
        <v>20</v>
      </c>
      <c r="M945" t="s">
        <v>2015</v>
      </c>
      <c r="N945" t="s">
        <v>14</v>
      </c>
    </row>
    <row r="946" x14ac:dyDescent="0.25">
      <c r="A946" t="n">
        <v>25</v>
      </c>
      <c r="B946" t="s">
        <v>14</v>
      </c>
      <c r="C946" t="s">
        <v>15</v>
      </c>
      <c r="D946" s="2" t="s">
        <f>=HYPERLINK("https://main.knesset.gov.il/APPS/legislation/main/bills/2207376", "הצעת חוק זכויות לאנשים עם מוגבלות המועסקים כמשתקמים, התשפ""ג-2023")</f>
        <v>2037</v>
      </c>
      <c r="E946" t="s">
        <v>2037</v>
      </c>
      <c r="F946" t="s">
        <v>14</v>
      </c>
      <c r="G946" t="s">
        <v>2038</v>
      </c>
      <c r="H946">
             </c>
      <c r="I946" t="s">
        <v>14</v>
      </c>
      <c r="J946" t="s">
        <v>18</v>
      </c>
      <c r="K946" t="s">
        <v>127</v>
      </c>
      <c r="L946" t="s">
        <v>20</v>
      </c>
      <c r="M946" t="s">
        <v>2039</v>
      </c>
      <c r="N946" t="s">
        <v>14</v>
      </c>
    </row>
    <row r="947" x14ac:dyDescent="0.25">
      <c r="A947" t="n">
        <v>25</v>
      </c>
      <c r="B947" t="s">
        <v>14</v>
      </c>
      <c r="C947" t="s">
        <v>22</v>
      </c>
      <c r="D947" s="2" t="s">
        <f>=HYPERLINK("https://main.knesset.gov.il/APPS/legislation/main/bills/2236279", "הצעת חוק תגמולים לחיילים ולבני משפחותיהם (חבלה שלא בעת מילוי תפקיד) (תיקון - חבלה שאירעה לחייל מילואים בתקופת שירות המילואים במלחמת חרבות ברזל) (הוראת שעה), התשפ""ו-2025")</f>
        <v>2040</v>
      </c>
      <c r="E947" t="s">
        <v>2040</v>
      </c>
      <c r="F947" t="s">
        <v>2041</v>
      </c>
      <c r="G947" t="s">
        <v>14</v>
      </c>
      <c r="H947">
             </c>
      <c r="I947" t="s">
        <v>14</v>
      </c>
      <c r="J947" t="s">
        <v>141</v>
      </c>
      <c r="K947" t="s">
        <v>14</v>
      </c>
      <c r="L947" t="s">
        <v>20</v>
      </c>
      <c r="M947" t="s">
        <v>2039</v>
      </c>
      <c r="N947" t="s">
        <v>14</v>
      </c>
    </row>
    <row r="948" x14ac:dyDescent="0.25">
      <c r="A948" t="n">
        <v>25</v>
      </c>
      <c r="B948" t="s">
        <v>14</v>
      </c>
      <c r="C948" t="s">
        <v>22</v>
      </c>
      <c r="D948" s="2" t="s">
        <f>=HYPERLINK("https://main.knesset.gov.il/APPS/legislation/main/bills/2234673", "הצעת חוק לצמצום השימוש במזומן (תיקון - הארכת הוראת השעה לעניין שימוש במזומן בעסקאות עם תושבי האזור או תושבי המועצה הפלסטינית), התשפ""ו-2025")</f>
        <v>2042</v>
      </c>
      <c r="E948" t="s">
        <v>2042</v>
      </c>
      <c r="F948" t="s">
        <v>2043</v>
      </c>
      <c r="G948" t="s">
        <v>14</v>
      </c>
      <c r="H948">
             </c>
      <c r="I948" t="s">
        <v>14</v>
      </c>
      <c r="J948" t="s">
        <v>141</v>
      </c>
      <c r="K948" t="s">
        <v>14</v>
      </c>
      <c r="L948" t="s">
        <v>20</v>
      </c>
      <c r="M948" t="s">
        <v>2039</v>
      </c>
      <c r="N948" t="s">
        <v>14</v>
      </c>
    </row>
    <row r="949" x14ac:dyDescent="0.25">
      <c r="A949" t="n">
        <v>25</v>
      </c>
      <c r="B949" t="s">
        <v>14</v>
      </c>
      <c r="C949" t="s">
        <v>22</v>
      </c>
      <c r="D949" s="2" t="s">
        <f>=HYPERLINK("https://main.knesset.gov.il/APPS/legislation/main/bills/2234600", "הצעת חוק המועצה להנצחת מורשת יהדות איראן והמדינות הסמוכות, התשפ""ו-2025")</f>
        <v>2044</v>
      </c>
      <c r="E949" t="s">
        <v>2044</v>
      </c>
      <c r="F949" t="s">
        <v>2045</v>
      </c>
      <c r="G949" t="s">
        <v>14</v>
      </c>
      <c r="H949">
             </c>
      <c r="I949" t="s">
        <v>14</v>
      </c>
      <c r="J949" t="s">
        <v>343</v>
      </c>
      <c r="K949" t="s">
        <v>14</v>
      </c>
      <c r="L949" t="s">
        <v>20</v>
      </c>
      <c r="M949" t="s">
        <v>2039</v>
      </c>
      <c r="N949" t="s">
        <v>14</v>
      </c>
    </row>
    <row r="950" x14ac:dyDescent="0.25">
      <c r="A950" t="n">
        <v>25</v>
      </c>
      <c r="B950" t="s">
        <v>14</v>
      </c>
      <c r="C950" t="s">
        <v>22</v>
      </c>
      <c r="D950" s="2" t="s">
        <f>=HYPERLINK("https://main.knesset.gov.il/APPS/legislation/main/bills/2236117", "הצעת חוק קליטת חיילים משוחררים (תיקון - שמירת זכויות לחייל ששירת במילואים בתום שירות סדיר), התשפ""ו-2025")</f>
        <v>2046</v>
      </c>
      <c r="E950" t="s">
        <v>2046</v>
      </c>
      <c r="F950" t="s">
        <v>2047</v>
      </c>
      <c r="G950" t="s">
        <v>14</v>
      </c>
      <c r="H950">
             </c>
      <c r="I950" t="s">
        <v>14</v>
      </c>
      <c r="J950" t="s">
        <v>141</v>
      </c>
      <c r="K950" t="s">
        <v>14</v>
      </c>
      <c r="L950" t="s">
        <v>20</v>
      </c>
      <c r="M950" t="s">
        <v>2039</v>
      </c>
      <c r="N950" t="s">
        <v>14</v>
      </c>
    </row>
    <row r="951" x14ac:dyDescent="0.25">
      <c r="A951" t="n">
        <v>25</v>
      </c>
      <c r="B951" t="s">
        <v>14</v>
      </c>
      <c r="C951" t="s">
        <v>22</v>
      </c>
      <c r="D951" s="2" t="s">
        <f>=HYPERLINK("https://main.knesset.gov.il/APPS/legislation/main/bills/2236363", "הצעת חוק לימוד חובה (תיקון - מימון המדינה לביטוח תאונות אישיות והגברת האכיפה והפיקוח על תשלומי הורים), התשפ""ו-2025")</f>
        <v>2048</v>
      </c>
      <c r="E951" t="s">
        <v>2048</v>
      </c>
      <c r="F951" t="s">
        <v>2049</v>
      </c>
      <c r="G951" t="s">
        <v>14</v>
      </c>
      <c r="H951">
             </c>
      <c r="I951" t="s">
        <v>14</v>
      </c>
      <c r="J951" t="s">
        <v>141</v>
      </c>
      <c r="K951" t="s">
        <v>14</v>
      </c>
      <c r="L951" t="s">
        <v>20</v>
      </c>
      <c r="M951" t="s">
        <v>2039</v>
      </c>
      <c r="N951" t="s">
        <v>14</v>
      </c>
    </row>
    <row r="952" x14ac:dyDescent="0.25">
      <c r="A952" t="n">
        <v>25</v>
      </c>
      <c r="B952" t="s">
        <v>14</v>
      </c>
      <c r="C952" t="s">
        <v>22</v>
      </c>
      <c r="D952" s="2" t="s">
        <f>=HYPERLINK("https://main.knesset.gov.il/APPS/legislation/main/bills/2229786", "הצעת חוק איסור אלימות בספורט (תיקון - החמרת ענישה ואיסור הסתרת פנים), התשפ""ו-2025")</f>
        <v>2050</v>
      </c>
      <c r="E952" t="s">
        <v>2050</v>
      </c>
      <c r="F952" t="s">
        <v>2051</v>
      </c>
      <c r="G952" t="s">
        <v>14</v>
      </c>
      <c r="H952">
             </c>
      <c r="I952" t="s">
        <v>14</v>
      </c>
      <c r="J952" t="s">
        <v>141</v>
      </c>
      <c r="K952" t="s">
        <v>14</v>
      </c>
      <c r="L952" t="s">
        <v>20</v>
      </c>
      <c r="M952" t="s">
        <v>2039</v>
      </c>
      <c r="N952" t="s">
        <v>14</v>
      </c>
    </row>
    <row r="953" x14ac:dyDescent="0.25">
      <c r="A953" t="n">
        <v>25</v>
      </c>
      <c r="B953" t="s">
        <v>14</v>
      </c>
      <c r="C953" t="s">
        <v>22</v>
      </c>
      <c r="D953" s="2" t="s">
        <f>=HYPERLINK("https://main.knesset.gov.il/APPS/legislation/main/bills/2235764", "הצעת חוק לתיקון פקודת מס הכנסה (זיכוי בעד תרומת מזון), התשפ""ו-2025")</f>
        <v>2052</v>
      </c>
      <c r="E953" t="s">
        <v>2052</v>
      </c>
      <c r="F953" t="s">
        <v>2053</v>
      </c>
      <c r="G953" t="s">
        <v>14</v>
      </c>
      <c r="H953">
             </c>
      <c r="I953" t="s">
        <v>14</v>
      </c>
      <c r="J953" t="s">
        <v>141</v>
      </c>
      <c r="K953" t="s">
        <v>14</v>
      </c>
      <c r="L953" t="s">
        <v>20</v>
      </c>
      <c r="M953" t="s">
        <v>2039</v>
      </c>
      <c r="N953" t="s">
        <v>14</v>
      </c>
    </row>
    <row r="954" x14ac:dyDescent="0.25">
      <c r="A954" t="n">
        <v>25</v>
      </c>
      <c r="B954" t="s">
        <v>14</v>
      </c>
      <c r="C954" t="s">
        <v>22</v>
      </c>
      <c r="D954" s="2" t="s">
        <f>=HYPERLINK("https://main.knesset.gov.il/APPS/legislation/main/bills/2236018", "הצעת חוק איסור הפליית משרתים בשירות הביטחוני, הלאומי והאזרחי, התשפ""ו-2025 ")</f>
        <v>2054</v>
      </c>
      <c r="E954" t="s">
        <v>2054</v>
      </c>
      <c r="F954" t="s">
        <v>2055</v>
      </c>
      <c r="G954" t="s">
        <v>14</v>
      </c>
      <c r="H954">
             </c>
      <c r="I954" t="s">
        <v>14</v>
      </c>
      <c r="J954" t="s">
        <v>141</v>
      </c>
      <c r="K954" t="s">
        <v>14</v>
      </c>
      <c r="L954" t="s">
        <v>20</v>
      </c>
      <c r="M954" t="s">
        <v>2039</v>
      </c>
      <c r="N954" t="s">
        <v>14</v>
      </c>
    </row>
    <row r="955" x14ac:dyDescent="0.25">
      <c r="A955" t="n">
        <v>25</v>
      </c>
      <c r="B955" t="s">
        <v>14</v>
      </c>
      <c r="C955" t="s">
        <v>22</v>
      </c>
      <c r="D955" s="2" t="s">
        <f>=HYPERLINK("https://main.knesset.gov.il/APPS/legislation/main/bills/2235768", "הצעת חוק צער בעלי חיים (הגנה על בעלי חיים) (תיקון - איסור שימוש בתרנגולות במנהג הכפרות), התשפ""ו-2025")</f>
        <v>2056</v>
      </c>
      <c r="E955" t="s">
        <v>2056</v>
      </c>
      <c r="F955" t="s">
        <v>2057</v>
      </c>
      <c r="G955" t="s">
        <v>14</v>
      </c>
      <c r="H955">
             </c>
      <c r="I955" t="s">
        <v>14</v>
      </c>
      <c r="J955" t="s">
        <v>141</v>
      </c>
      <c r="K955" t="s">
        <v>14</v>
      </c>
      <c r="L955" t="s">
        <v>20</v>
      </c>
      <c r="M955" t="s">
        <v>2039</v>
      </c>
      <c r="N955" t="s">
        <v>14</v>
      </c>
    </row>
    <row r="956" x14ac:dyDescent="0.25">
      <c r="A956" t="n">
        <v>25</v>
      </c>
      <c r="B956" t="s">
        <v>14</v>
      </c>
      <c r="C956" t="s">
        <v>22</v>
      </c>
      <c r="D956" s="2" t="s">
        <f>=HYPERLINK("https://main.knesset.gov.il/APPS/legislation/main/bills/2235367", "הצעת חוק הבנקאות (שירות ללקוח) (תיקון - עיקול זמני), התשפ""ו-2025")</f>
        <v>2058</v>
      </c>
      <c r="E956" t="s">
        <v>2058</v>
      </c>
      <c r="F956" t="s">
        <v>2059</v>
      </c>
      <c r="G956" t="s">
        <v>14</v>
      </c>
      <c r="H956">
             </c>
      <c r="I956" t="s">
        <v>14</v>
      </c>
      <c r="J956" t="s">
        <v>141</v>
      </c>
      <c r="K956" t="s">
        <v>14</v>
      </c>
      <c r="L956" t="s">
        <v>20</v>
      </c>
      <c r="M956" t="s">
        <v>2039</v>
      </c>
      <c r="N956" t="s">
        <v>14</v>
      </c>
    </row>
    <row r="957" x14ac:dyDescent="0.25">
      <c r="A957" t="n">
        <v>25</v>
      </c>
      <c r="B957" t="s">
        <v>14</v>
      </c>
      <c r="C957" t="s">
        <v>22</v>
      </c>
      <c r="D957" s="2" t="s">
        <f>=HYPERLINK("https://main.knesset.gov.il/APPS/legislation/main/bills/2236155", "הצעת חוק לתיקון פקודת המשטרה (הצבת מערכת צילום ביומטרית לצורך מניעת אלימות במגרשי הספורט) (הוראת שעה), התשפ""ו-2025")</f>
        <v>2060</v>
      </c>
      <c r="E957" t="s">
        <v>2060</v>
      </c>
      <c r="F957" t="s">
        <v>2061</v>
      </c>
      <c r="G957" t="s">
        <v>14</v>
      </c>
      <c r="H957">
             </c>
      <c r="I957" t="s">
        <v>14</v>
      </c>
      <c r="J957" t="s">
        <v>141</v>
      </c>
      <c r="K957" t="s">
        <v>14</v>
      </c>
      <c r="L957" t="s">
        <v>20</v>
      </c>
      <c r="M957" t="s">
        <v>2039</v>
      </c>
      <c r="N957" t="s">
        <v>14</v>
      </c>
    </row>
    <row r="958" x14ac:dyDescent="0.25">
      <c r="A958" t="n">
        <v>25</v>
      </c>
      <c r="B958" t="s">
        <v>14</v>
      </c>
      <c r="C958" t="s">
        <v>22</v>
      </c>
      <c r="D958" s="2" t="s">
        <f>=HYPERLINK("https://main.knesset.gov.il/APPS/legislation/main/bills/2236174", "הצעת חוק הרשות לטיפול בנפגעי פוסט-טראומה והלומי קרב, התשפ""ו-2025")</f>
        <v>2062</v>
      </c>
      <c r="E958" t="s">
        <v>2062</v>
      </c>
      <c r="F958" t="s">
        <v>2063</v>
      </c>
      <c r="G958" t="s">
        <v>14</v>
      </c>
      <c r="H958">
             </c>
      <c r="I958" t="s">
        <v>14</v>
      </c>
      <c r="J958" t="s">
        <v>141</v>
      </c>
      <c r="K958" t="s">
        <v>14</v>
      </c>
      <c r="L958" t="s">
        <v>20</v>
      </c>
      <c r="M958" t="s">
        <v>2039</v>
      </c>
      <c r="N958" t="s">
        <v>14</v>
      </c>
    </row>
    <row r="959" x14ac:dyDescent="0.25">
      <c r="A959" t="n">
        <v>25</v>
      </c>
      <c r="B959" t="s">
        <v>14</v>
      </c>
      <c r="C959" t="s">
        <v>22</v>
      </c>
      <c r="D959" s="2" t="s">
        <f>=HYPERLINK("https://main.knesset.gov.il/APPS/legislation/main/bills/2235563", "הצעת חוק התחרות הכלכלית (תיקון - הגבלת העלאת מחירים במונופולין), התשפ""ו-2025")</f>
        <v>2064</v>
      </c>
      <c r="E959" t="s">
        <v>2064</v>
      </c>
      <c r="F959" t="s">
        <v>2065</v>
      </c>
      <c r="G959" t="s">
        <v>14</v>
      </c>
      <c r="H959">
             </c>
      <c r="I959" t="s">
        <v>14</v>
      </c>
      <c r="J959" t="s">
        <v>141</v>
      </c>
      <c r="K959" t="s">
        <v>14</v>
      </c>
      <c r="L959" t="s">
        <v>20</v>
      </c>
      <c r="M959" t="s">
        <v>2039</v>
      </c>
      <c r="N959" t="s">
        <v>14</v>
      </c>
    </row>
    <row r="960" x14ac:dyDescent="0.25">
      <c r="A960" t="n">
        <v>25</v>
      </c>
      <c r="B960" t="s">
        <v>14</v>
      </c>
      <c r="C960" t="s">
        <v>22</v>
      </c>
      <c r="D960" s="2" t="s">
        <f>=HYPERLINK("https://main.knesset.gov.il/APPS/legislation/main/bills/2235429", "הצעת חוק המינהל האזרחי (הכפפת קציני מטה למשרדי הממשלה), התשפ״ו-2025")</f>
        <v>2066</v>
      </c>
      <c r="E960" t="s">
        <v>2066</v>
      </c>
      <c r="F960" t="s">
        <v>2067</v>
      </c>
      <c r="G960" t="s">
        <v>14</v>
      </c>
      <c r="H960">
             </c>
      <c r="I960" t="s">
        <v>14</v>
      </c>
      <c r="J960" t="s">
        <v>141</v>
      </c>
      <c r="K960" t="s">
        <v>14</v>
      </c>
      <c r="L960" t="s">
        <v>20</v>
      </c>
      <c r="M960" t="s">
        <v>2039</v>
      </c>
      <c r="N960" t="s">
        <v>14</v>
      </c>
    </row>
    <row r="961" x14ac:dyDescent="0.25">
      <c r="A961" t="n">
        <v>25</v>
      </c>
      <c r="B961" t="s">
        <v>14</v>
      </c>
      <c r="C961" t="s">
        <v>22</v>
      </c>
      <c r="D961" s="2" t="s">
        <f>=HYPERLINK("https://main.knesset.gov.il/APPS/legislation/main/bills/2235644", "הצעת חוק יום לציון זכרו ופועלו של אלי כהן, התשפ""ו-2025")</f>
        <v>2068</v>
      </c>
      <c r="E961" t="s">
        <v>2068</v>
      </c>
      <c r="F961" t="s">
        <v>2069</v>
      </c>
      <c r="G961" t="s">
        <v>14</v>
      </c>
      <c r="H961">
             </c>
      <c r="I961" t="s">
        <v>14</v>
      </c>
      <c r="J961" t="s">
        <v>141</v>
      </c>
      <c r="K961" t="s">
        <v>14</v>
      </c>
      <c r="L961" t="s">
        <v>20</v>
      </c>
      <c r="M961" t="s">
        <v>2039</v>
      </c>
      <c r="N961" t="s">
        <v>14</v>
      </c>
    </row>
    <row r="962" x14ac:dyDescent="0.25">
      <c r="A962" t="n">
        <v>25</v>
      </c>
      <c r="B962" t="s">
        <v>14</v>
      </c>
      <c r="C962" t="s">
        <v>22</v>
      </c>
      <c r="D962" s="2" t="s">
        <f>=HYPERLINK("https://main.knesset.gov.il/APPS/legislation/main/bills/2236116", "הצעת חוק צער בעלי חיים (ניסויים בבעלי חיים) (תיקון - הגברת הפיקוח על ניסויים), התשפ""ו-2025")</f>
        <v>2070</v>
      </c>
      <c r="E962" t="s">
        <v>2070</v>
      </c>
      <c r="F962" t="s">
        <v>2071</v>
      </c>
      <c r="G962" t="s">
        <v>14</v>
      </c>
      <c r="H962">
             </c>
      <c r="I962" t="s">
        <v>14</v>
      </c>
      <c r="J962" t="s">
        <v>141</v>
      </c>
      <c r="K962" t="s">
        <v>14</v>
      </c>
      <c r="L962" t="s">
        <v>20</v>
      </c>
      <c r="M962" t="s">
        <v>2039</v>
      </c>
      <c r="N962" t="s">
        <v>14</v>
      </c>
    </row>
    <row r="963" x14ac:dyDescent="0.25">
      <c r="A963" t="n">
        <v>25</v>
      </c>
      <c r="B963" t="s">
        <v>14</v>
      </c>
      <c r="C963" t="s">
        <v>22</v>
      </c>
      <c r="D963" s="2" t="s">
        <f>=HYPERLINK("https://main.knesset.gov.il/APPS/legislation/main/bills/2220892", "הצעת חוק בתי המשפט (תיקון מס' 108) (פרסום פסיקה בענייני משפחה), התשפ""ו–2025")</f>
        <v>2072</v>
      </c>
      <c r="E963" t="s">
        <v>2072</v>
      </c>
      <c r="F963" t="s">
        <v>2073</v>
      </c>
      <c r="G963" t="s">
        <v>2074</v>
      </c>
      <c r="H963">
             </c>
      <c r="I963" t="s">
        <v>14</v>
      </c>
      <c r="J963" t="s">
        <v>69</v>
      </c>
      <c r="K963" t="s">
        <v>27</v>
      </c>
      <c r="L963" t="s">
        <v>20</v>
      </c>
      <c r="M963" t="s">
        <v>2039</v>
      </c>
      <c r="N963" t="s">
        <v>14</v>
      </c>
    </row>
    <row r="964" x14ac:dyDescent="0.25">
      <c r="A964" t="n">
        <v>25</v>
      </c>
      <c r="B964" t="s">
        <v>14</v>
      </c>
      <c r="C964" t="s">
        <v>15</v>
      </c>
      <c r="D964" s="2" t="s">
        <f>=HYPERLINK("https://main.knesset.gov.il/APPS/legislation/main/bills/1045808", "הצעת חוק מרשם בעלי שליטה בתאגידים, התשפ""ו-2025")</f>
        <v>2075</v>
      </c>
      <c r="E964" t="s">
        <v>2075</v>
      </c>
      <c r="F964" t="s">
        <v>14</v>
      </c>
      <c r="G964" t="s">
        <v>2076</v>
      </c>
      <c r="H964">
             </c>
      <c r="I964" t="s">
        <v>14</v>
      </c>
      <c r="J964" t="s">
        <v>69</v>
      </c>
      <c r="K964" t="s">
        <v>14</v>
      </c>
      <c r="L964" t="s">
        <v>20</v>
      </c>
      <c r="M964" t="s">
        <v>2039</v>
      </c>
      <c r="N964" t="s">
        <v>14</v>
      </c>
    </row>
    <row r="965" x14ac:dyDescent="0.25">
      <c r="A965" t="n">
        <v>25</v>
      </c>
      <c r="B965" t="s">
        <v>14</v>
      </c>
      <c r="C965" t="s">
        <v>22</v>
      </c>
      <c r="D965" s="2" t="s">
        <f>=HYPERLINK("https://main.knesset.gov.il/APPS/legislation/main/bills/2230426", "הצעת חוק איסור הלבנת הון (תיקון - הוספת עבירת סחר לא חוקי בערכי טבע מוגנים), התשפ""ה-2025")</f>
        <v>2077</v>
      </c>
      <c r="E965" t="s">
        <v>2077</v>
      </c>
      <c r="F965" t="s">
        <v>2078</v>
      </c>
      <c r="G965" t="s">
        <v>14</v>
      </c>
      <c r="H965">
             </c>
      <c r="I965" t="s">
        <v>14</v>
      </c>
      <c r="J965" t="s">
        <v>65</v>
      </c>
      <c r="K965" t="s">
        <v>14</v>
      </c>
      <c r="L965" t="s">
        <v>20</v>
      </c>
      <c r="M965" t="s">
        <v>2079</v>
      </c>
      <c r="N965" t="s">
        <v>14</v>
      </c>
    </row>
    <row r="966" x14ac:dyDescent="0.25">
      <c r="A966" t="n">
        <v>25</v>
      </c>
      <c r="B966" t="s">
        <v>14</v>
      </c>
      <c r="C966" t="s">
        <v>22</v>
      </c>
      <c r="D966" s="2" t="s">
        <f>=HYPERLINK("https://main.knesset.gov.il/APPS/legislation/main/bills/2229754", "הצעת חוק לתיקון פקודת התעבורה (זמינות קווי שירות לאוטובוסים בלילה), התשפ""ה-2025")</f>
        <v>2080</v>
      </c>
      <c r="E966" t="s">
        <v>2080</v>
      </c>
      <c r="F966" t="s">
        <v>2081</v>
      </c>
      <c r="G966" t="s">
        <v>14</v>
      </c>
      <c r="H966">
             </c>
      <c r="I966" t="s">
        <v>14</v>
      </c>
      <c r="J966" t="s">
        <v>55</v>
      </c>
      <c r="K966" t="s">
        <v>14</v>
      </c>
      <c r="L966" t="s">
        <v>20</v>
      </c>
      <c r="M966" t="s">
        <v>2079</v>
      </c>
      <c r="N966" t="s">
        <v>14</v>
      </c>
    </row>
    <row r="967" x14ac:dyDescent="0.25">
      <c r="A967" t="n">
        <v>25</v>
      </c>
      <c r="B967" t="s">
        <v>14</v>
      </c>
      <c r="C967" t="s">
        <v>22</v>
      </c>
      <c r="D967" s="2" t="s">
        <f>=HYPERLINK("https://main.knesset.gov.il/APPS/legislation/main/bills/2230039", "הצעת חוק-יסוד: הכנסת (תיקון - התניית הצבעה בשירות צבאי או לאומי)")</f>
        <v>2003</v>
      </c>
      <c r="E967" t="s">
        <v>2003</v>
      </c>
      <c r="F967" t="s">
        <v>2082</v>
      </c>
      <c r="G967" t="s">
        <v>14</v>
      </c>
      <c r="H967">
             </c>
      <c r="I967" t="s">
        <v>14</v>
      </c>
      <c r="J967" t="s">
        <v>55</v>
      </c>
      <c r="K967" t="s">
        <v>14</v>
      </c>
      <c r="L967" t="s">
        <v>20</v>
      </c>
      <c r="M967" t="s">
        <v>2079</v>
      </c>
      <c r="N967" t="s">
        <v>14</v>
      </c>
    </row>
    <row r="968" x14ac:dyDescent="0.25">
      <c r="A968" t="n">
        <v>25</v>
      </c>
      <c r="B968" t="s">
        <v>14</v>
      </c>
      <c r="C968" t="s">
        <v>22</v>
      </c>
      <c r="D968" s="2" t="s">
        <f>=HYPERLINK("https://main.knesset.gov.il/APPS/legislation/main/bills/2207023", "הצעת חוק הרחבת האמצעים למאבק בארגוני פשיעה (תיקוני חקיקה), התשפ""ו–2025")</f>
        <v>2083</v>
      </c>
      <c r="E968" t="s">
        <v>2083</v>
      </c>
      <c r="F968" t="s">
        <v>2084</v>
      </c>
      <c r="G968" t="s">
        <v>2085</v>
      </c>
      <c r="H968">
             </c>
      <c r="I968" t="s">
        <v>14</v>
      </c>
      <c r="J968" t="s">
        <v>69</v>
      </c>
      <c r="K968" t="s">
        <v>105</v>
      </c>
      <c r="L968" t="s">
        <v>20</v>
      </c>
      <c r="M968" t="s">
        <v>2079</v>
      </c>
      <c r="N968" t="s">
        <v>14</v>
      </c>
    </row>
    <row r="969" x14ac:dyDescent="0.25">
      <c r="A969" t="n">
        <v>25</v>
      </c>
      <c r="B969" t="s">
        <v>14</v>
      </c>
      <c r="C969" t="s">
        <v>22</v>
      </c>
      <c r="D969" s="2" t="s">
        <f>=HYPERLINK("https://main.knesset.gov.il/APPS/legislation/main/bills/2196659", "הצעת חוק-יסוד: כבוד האדם וחירותו (תיקון - הוספת סעיף שוויון)")</f>
        <v>2086</v>
      </c>
      <c r="E969" t="s">
        <v>2086</v>
      </c>
      <c r="F969" t="s">
        <v>2087</v>
      </c>
      <c r="G969" t="s">
        <v>14</v>
      </c>
      <c r="H969">
             </c>
      <c r="I969" t="s">
        <v>14</v>
      </c>
      <c r="J969" t="s">
        <v>55</v>
      </c>
      <c r="K969" t="s">
        <v>14</v>
      </c>
      <c r="L969" t="s">
        <v>20</v>
      </c>
      <c r="M969" t="s">
        <v>2079</v>
      </c>
      <c r="N969" t="s">
        <v>14</v>
      </c>
    </row>
    <row r="970" x14ac:dyDescent="0.25">
      <c r="A970" t="n">
        <v>25</v>
      </c>
      <c r="B970" t="s">
        <v>14</v>
      </c>
      <c r="C970" t="s">
        <v>15</v>
      </c>
      <c r="D970" s="2" t="s">
        <f>=HYPERLINK("https://main.knesset.gov.il/APPS/legislation/main/bills/2221105", "הצעת חוק העסקת עובדים על ידי קבלני כוח אדם (תיקון מס' 13), התשפ""ו-2025")</f>
        <v>2088</v>
      </c>
      <c r="E970" t="s">
        <v>2088</v>
      </c>
      <c r="F970" t="s">
        <v>14</v>
      </c>
      <c r="G970" t="s">
        <v>2089</v>
      </c>
      <c r="H970">
             </c>
      <c r="I970" t="s">
        <v>14</v>
      </c>
      <c r="J970" t="s">
        <v>73</v>
      </c>
      <c r="K970" t="s">
        <v>127</v>
      </c>
      <c r="L970" t="s">
        <v>20</v>
      </c>
      <c r="M970" t="s">
        <v>2090</v>
      </c>
      <c r="N970" t="s">
        <v>14</v>
      </c>
    </row>
    <row r="971" x14ac:dyDescent="0.25">
      <c r="A971" t="n">
        <v>25</v>
      </c>
      <c r="B971" t="s">
        <v>14</v>
      </c>
      <c r="C971" t="s">
        <v>15</v>
      </c>
      <c r="D971" s="2" t="s">
        <f>=HYPERLINK("https://main.knesset.gov.il/APPS/legislation/main/bills/2229020", "חוק סדר הדין הפלילי (תיקון מס' 101), התשפ""ו-2025")</f>
        <v>2091</v>
      </c>
      <c r="E971" t="s">
        <v>2091</v>
      </c>
      <c r="F971" t="s">
        <v>14</v>
      </c>
      <c r="G971" t="s">
        <v>2092</v>
      </c>
      <c r="H971" t="n">
        <v>3457</v>
      </c>
      <c r="I971" t="s">
        <v>14</v>
      </c>
      <c r="J971" t="s">
        <v>91</v>
      </c>
      <c r="K971" t="s">
        <v>27</v>
      </c>
      <c r="L971" t="s">
        <v>20</v>
      </c>
      <c r="M971" t="s">
        <v>2093</v>
      </c>
      <c r="N971" t="s">
        <v>14</v>
      </c>
    </row>
    <row r="972" x14ac:dyDescent="0.25">
      <c r="A972" t="n">
        <v>25</v>
      </c>
      <c r="B972" t="s">
        <v>14</v>
      </c>
      <c r="C972" t="s">
        <v>22</v>
      </c>
      <c r="D972" s="2" t="s">
        <f>=HYPERLINK("https://main.knesset.gov.il/APPS/legislation/main/bills/2235629", "הצעת חוק תשלומים לפדויי שבי ולחטופים ששוחררו (תיקון - זכויות לחטופים ששהו בשבי ארגון טרור ושוחררו), התשפ""ו-2025")</f>
        <v>2094</v>
      </c>
      <c r="E972" t="s">
        <v>2094</v>
      </c>
      <c r="F972" t="s">
        <v>2095</v>
      </c>
      <c r="G972" t="s">
        <v>14</v>
      </c>
      <c r="H972">
             </c>
      <c r="I972" t="s">
        <v>14</v>
      </c>
      <c r="J972" t="s">
        <v>141</v>
      </c>
      <c r="K972" t="s">
        <v>14</v>
      </c>
      <c r="L972" t="s">
        <v>20</v>
      </c>
      <c r="M972" t="s">
        <v>2093</v>
      </c>
      <c r="N972" t="s">
        <v>14</v>
      </c>
    </row>
    <row r="973" x14ac:dyDescent="0.25">
      <c r="A973" t="n">
        <v>25</v>
      </c>
      <c r="B973" t="s">
        <v>14</v>
      </c>
      <c r="C973" t="s">
        <v>22</v>
      </c>
      <c r="D973" s="2" t="s">
        <f>=HYPERLINK("https://main.knesset.gov.il/APPS/legislation/main/bills/2234872", "הצעת חוק משפחות חיילים שנספו במערכה (תגמולים ושיקום) (תיקון - ועדת חריגים להכרה בנספה), התשפ""ו-2025")</f>
        <v>1158</v>
      </c>
      <c r="E973" t="s">
        <v>1158</v>
      </c>
      <c r="F973" t="s">
        <v>2096</v>
      </c>
      <c r="G973" t="s">
        <v>14</v>
      </c>
      <c r="H973">
             </c>
      <c r="I973" t="s">
        <v>14</v>
      </c>
      <c r="J973" t="s">
        <v>141</v>
      </c>
      <c r="K973" t="s">
        <v>14</v>
      </c>
      <c r="L973" t="s">
        <v>20</v>
      </c>
      <c r="M973" t="s">
        <v>2093</v>
      </c>
      <c r="N973" t="s">
        <v>14</v>
      </c>
    </row>
    <row r="974" x14ac:dyDescent="0.25">
      <c r="A974" t="n">
        <v>25</v>
      </c>
      <c r="B974" t="s">
        <v>14</v>
      </c>
      <c r="C974" t="s">
        <v>22</v>
      </c>
      <c r="D974" s="2" t="s">
        <f>=HYPERLINK("https://main.knesset.gov.il/APPS/legislation/main/bills/2235778", "הצעת חוק תגמולים לבני משפחה של חטופים ונעדרים בפעולת איבה (תיקון - תגמול הסתגלות כלכלית), התשפ""ו-2025")</f>
        <v>1939</v>
      </c>
      <c r="E974" t="s">
        <v>1939</v>
      </c>
      <c r="F974" t="s">
        <v>2097</v>
      </c>
      <c r="G974" t="s">
        <v>14</v>
      </c>
      <c r="H974">
             </c>
      <c r="I974" t="s">
        <v>14</v>
      </c>
      <c r="J974" t="s">
        <v>141</v>
      </c>
      <c r="K974" t="s">
        <v>14</v>
      </c>
      <c r="L974" t="s">
        <v>20</v>
      </c>
      <c r="M974" t="s">
        <v>2093</v>
      </c>
      <c r="N974" t="s">
        <v>14</v>
      </c>
    </row>
    <row r="975" x14ac:dyDescent="0.25">
      <c r="A975" t="n">
        <v>25</v>
      </c>
      <c r="B975" t="s">
        <v>14</v>
      </c>
      <c r="C975" t="s">
        <v>22</v>
      </c>
      <c r="D975" s="2" t="s">
        <f>=HYPERLINK("https://main.knesset.gov.il/APPS/legislation/main/bills/2235706", "הצעת חוק לתיקון פקודת המשטרה (הגבלת הסמכות להורות על מניעת גישה לאזור או למקום), התשפ""ו-2025")</f>
        <v>2098</v>
      </c>
      <c r="E975" t="s">
        <v>2098</v>
      </c>
      <c r="F975" t="s">
        <v>2099</v>
      </c>
      <c r="G975" t="s">
        <v>14</v>
      </c>
      <c r="H975">
             </c>
      <c r="I975" t="s">
        <v>14</v>
      </c>
      <c r="J975" t="s">
        <v>141</v>
      </c>
      <c r="K975" t="s">
        <v>14</v>
      </c>
      <c r="L975" t="s">
        <v>20</v>
      </c>
      <c r="M975" t="s">
        <v>2093</v>
      </c>
      <c r="N975" t="s">
        <v>14</v>
      </c>
    </row>
    <row r="976" x14ac:dyDescent="0.25">
      <c r="A976" t="n">
        <v>25</v>
      </c>
      <c r="B976" t="s">
        <v>14</v>
      </c>
      <c r="C976" t="s">
        <v>22</v>
      </c>
      <c r="D976" s="2" t="s">
        <f>=HYPERLINK("https://main.knesset.gov.il/APPS/legislation/main/bills/2235908", "הצעת חוק הביטוח הלאומי (תיקון - עבודה מועדפת במסגרת מגורים עצמאית ומוגנת למתמודדי נפש), התשפ""ו-2025")</f>
        <v>2100</v>
      </c>
      <c r="E976" t="s">
        <v>2100</v>
      </c>
      <c r="F976" t="s">
        <v>2101</v>
      </c>
      <c r="G976" t="s">
        <v>14</v>
      </c>
      <c r="H976">
             </c>
      <c r="I976" t="s">
        <v>14</v>
      </c>
      <c r="J976" t="s">
        <v>141</v>
      </c>
      <c r="K976" t="s">
        <v>14</v>
      </c>
      <c r="L976" t="s">
        <v>20</v>
      </c>
      <c r="M976" t="s">
        <v>2093</v>
      </c>
      <c r="N976" t="s">
        <v>14</v>
      </c>
    </row>
    <row r="977" x14ac:dyDescent="0.25">
      <c r="A977" t="n">
        <v>25</v>
      </c>
      <c r="B977" t="s">
        <v>14</v>
      </c>
      <c r="C977" t="s">
        <v>22</v>
      </c>
      <c r="D977" s="2" t="s">
        <f>=HYPERLINK("https://main.knesset.gov.il/APPS/legislation/main/bills/2235656", "הצעת חוק לתיקון פקודת העדה הדתית (המרה) (גיור קטינים על ידי רב עיר), התשפ""ו-2025")</f>
        <v>2102</v>
      </c>
      <c r="E977" t="s">
        <v>2102</v>
      </c>
      <c r="F977" t="s">
        <v>2103</v>
      </c>
      <c r="G977" t="s">
        <v>14</v>
      </c>
      <c r="H977">
             </c>
      <c r="I977" t="s">
        <v>14</v>
      </c>
      <c r="J977" t="s">
        <v>141</v>
      </c>
      <c r="K977" t="s">
        <v>14</v>
      </c>
      <c r="L977" t="s">
        <v>20</v>
      </c>
      <c r="M977" t="s">
        <v>2093</v>
      </c>
      <c r="N977" t="s">
        <v>14</v>
      </c>
    </row>
    <row r="978" x14ac:dyDescent="0.25">
      <c r="A978" t="n">
        <v>25</v>
      </c>
      <c r="B978" t="s">
        <v>14</v>
      </c>
      <c r="C978" t="s">
        <v>22</v>
      </c>
      <c r="D978" s="2" t="s">
        <f>=HYPERLINK("https://main.knesset.gov.il/APPS/legislation/main/bills/2235816", "הצעת חוק הביטוח הלאומי (תיקון - אי-זכאות לקצבת ילדים להורה שלא שירת בשירות מזכה), התשפ""ו-2025")</f>
        <v>2104</v>
      </c>
      <c r="E978" t="s">
        <v>2104</v>
      </c>
      <c r="F978" t="s">
        <v>2105</v>
      </c>
      <c r="G978" t="s">
        <v>14</v>
      </c>
      <c r="H978">
             </c>
      <c r="I978" t="s">
        <v>14</v>
      </c>
      <c r="J978" t="s">
        <v>141</v>
      </c>
      <c r="K978" t="s">
        <v>14</v>
      </c>
      <c r="L978" t="s">
        <v>20</v>
      </c>
      <c r="M978" t="s">
        <v>2093</v>
      </c>
      <c r="N978" t="s">
        <v>14</v>
      </c>
    </row>
    <row r="979" x14ac:dyDescent="0.25">
      <c r="A979" t="n">
        <v>25</v>
      </c>
      <c r="B979" t="s">
        <v>14</v>
      </c>
      <c r="C979" t="s">
        <v>22</v>
      </c>
      <c r="D979" s="2" t="s">
        <f>=HYPERLINK("https://main.knesset.gov.il/APPS/legislation/main/bills/2235901", "הצעת חוק הכניסה לישראל (תיקון - קיצור תקופת ביטול אשרה לעובד זר), התשפ""ו-2025")</f>
        <v>2106</v>
      </c>
      <c r="E979" t="s">
        <v>2106</v>
      </c>
      <c r="F979" t="s">
        <v>2107</v>
      </c>
      <c r="G979" t="s">
        <v>14</v>
      </c>
      <c r="H979">
             </c>
      <c r="I979" t="s">
        <v>14</v>
      </c>
      <c r="J979" t="s">
        <v>141</v>
      </c>
      <c r="K979" t="s">
        <v>14</v>
      </c>
      <c r="L979" t="s">
        <v>20</v>
      </c>
      <c r="M979" t="s">
        <v>2093</v>
      </c>
      <c r="N979" t="s">
        <v>14</v>
      </c>
    </row>
    <row r="980" x14ac:dyDescent="0.25">
      <c r="A980" t="n">
        <v>25</v>
      </c>
      <c r="B980" t="s">
        <v>14</v>
      </c>
      <c r="C980" t="s">
        <v>22</v>
      </c>
      <c r="D980" s="2" t="s">
        <f>=HYPERLINK("https://main.knesset.gov.il/APPS/legislation/main/bills/2234110", "הצעת חוק הנכים (תגמולים ושיקום) (תיקון - מבחנים לקביעת דרגת נכות לפגועי ראש), התשפ""ו-2025")</f>
        <v>2108</v>
      </c>
      <c r="E980" t="s">
        <v>2108</v>
      </c>
      <c r="F980" t="s">
        <v>2109</v>
      </c>
      <c r="G980" t="s">
        <v>14</v>
      </c>
      <c r="H980">
             </c>
      <c r="I980" t="s">
        <v>14</v>
      </c>
      <c r="J980" t="s">
        <v>343</v>
      </c>
      <c r="K980" t="s">
        <v>14</v>
      </c>
      <c r="L980" t="s">
        <v>20</v>
      </c>
      <c r="M980" t="s">
        <v>2093</v>
      </c>
      <c r="N980" t="s">
        <v>14</v>
      </c>
    </row>
    <row r="981" x14ac:dyDescent="0.25">
      <c r="A981" t="n">
        <v>25</v>
      </c>
      <c r="B981" t="s">
        <v>14</v>
      </c>
      <c r="C981" t="s">
        <v>22</v>
      </c>
      <c r="D981" s="2" t="s">
        <f>=HYPERLINK("https://main.knesset.gov.il/APPS/legislation/main/bills/2235734", "הצעת חוק-יסוד: הכרה במדינה פלסטינית")</f>
        <v>2110</v>
      </c>
      <c r="E981" t="s">
        <v>2110</v>
      </c>
      <c r="F981" t="s">
        <v>2111</v>
      </c>
      <c r="G981" t="s">
        <v>14</v>
      </c>
      <c r="H981">
             </c>
      <c r="I981" t="s">
        <v>14</v>
      </c>
      <c r="J981" t="s">
        <v>141</v>
      </c>
      <c r="K981" t="s">
        <v>14</v>
      </c>
      <c r="L981" t="s">
        <v>20</v>
      </c>
      <c r="M981" t="s">
        <v>2093</v>
      </c>
      <c r="N981" t="s">
        <v>14</v>
      </c>
    </row>
    <row r="982" x14ac:dyDescent="0.25">
      <c r="A982" t="n">
        <v>25</v>
      </c>
      <c r="B982" t="s">
        <v>14</v>
      </c>
      <c r="C982" t="s">
        <v>22</v>
      </c>
      <c r="D982" s="2" t="s">
        <f>=HYPERLINK("https://main.knesset.gov.il/APPS/legislation/main/bills/2235667", "הצעת חוק הגבלת שחרור פעילי טרור בתמורה לחטופים, התשפ""ו-2025")</f>
        <v>2112</v>
      </c>
      <c r="E982" t="s">
        <v>2112</v>
      </c>
      <c r="F982" t="s">
        <v>2113</v>
      </c>
      <c r="G982" t="s">
        <v>14</v>
      </c>
      <c r="H982">
             </c>
      <c r="I982" t="s">
        <v>14</v>
      </c>
      <c r="J982" t="s">
        <v>141</v>
      </c>
      <c r="K982" t="s">
        <v>14</v>
      </c>
      <c r="L982" t="s">
        <v>20</v>
      </c>
      <c r="M982" t="s">
        <v>2093</v>
      </c>
      <c r="N982" t="s">
        <v>14</v>
      </c>
    </row>
    <row r="983" x14ac:dyDescent="0.25">
      <c r="A983" t="n">
        <v>25</v>
      </c>
      <c r="B983" t="s">
        <v>14</v>
      </c>
      <c r="C983" t="s">
        <v>22</v>
      </c>
      <c r="D983" s="2" t="s">
        <f>=HYPERLINK("https://main.knesset.gov.il/APPS/legislation/main/bills/2235562", "הצעת חוק הגנת הצרכן (תיקון - קבלת הטבות ללא פעולה), התשפ""ו-2025")</f>
        <v>2114</v>
      </c>
      <c r="E983" t="s">
        <v>2114</v>
      </c>
      <c r="F983" t="s">
        <v>2115</v>
      </c>
      <c r="G983" t="s">
        <v>14</v>
      </c>
      <c r="H983">
             </c>
      <c r="I983" t="s">
        <v>14</v>
      </c>
      <c r="J983" t="s">
        <v>141</v>
      </c>
      <c r="K983" t="s">
        <v>14</v>
      </c>
      <c r="L983" t="s">
        <v>20</v>
      </c>
      <c r="M983" t="s">
        <v>2093</v>
      </c>
      <c r="N983" t="s">
        <v>14</v>
      </c>
    </row>
    <row r="984" x14ac:dyDescent="0.25">
      <c r="A984" t="n">
        <v>25</v>
      </c>
      <c r="B984" t="s">
        <v>14</v>
      </c>
      <c r="C984" t="s">
        <v>22</v>
      </c>
      <c r="D984" s="2" t="s">
        <f>=HYPERLINK("https://main.knesset.gov.il/APPS/legislation/main/bills/2235823", "הצעת חוק שעות עבודה ומנוחה (תיקון - שבוע עבודה בן חמישה ימים וקביעת יום ראשון כיום חופשי), התשפ""ו-2025")</f>
        <v>2116</v>
      </c>
      <c r="E984" t="s">
        <v>2116</v>
      </c>
      <c r="F984" t="s">
        <v>2117</v>
      </c>
      <c r="G984" t="s">
        <v>14</v>
      </c>
      <c r="H984">
             </c>
      <c r="I984" t="s">
        <v>14</v>
      </c>
      <c r="J984" t="s">
        <v>141</v>
      </c>
      <c r="K984" t="s">
        <v>14</v>
      </c>
      <c r="L984" t="s">
        <v>20</v>
      </c>
      <c r="M984" t="s">
        <v>2093</v>
      </c>
      <c r="N984" t="s">
        <v>14</v>
      </c>
    </row>
    <row r="985" x14ac:dyDescent="0.25">
      <c r="A985" t="n">
        <v>25</v>
      </c>
      <c r="B985" t="s">
        <v>14</v>
      </c>
      <c r="C985" t="s">
        <v>22</v>
      </c>
      <c r="D985" s="2" t="s">
        <f>=HYPERLINK("https://main.knesset.gov.il/APPS/legislation/main/bills/2235694", "הצעת חוק מלחמת שמחת תורה, התשפ""ו-2025")</f>
        <v>1620</v>
      </c>
      <c r="E985" t="s">
        <v>1620</v>
      </c>
      <c r="F985" t="s">
        <v>2118</v>
      </c>
      <c r="G985" t="s">
        <v>14</v>
      </c>
      <c r="H985">
             </c>
      <c r="I985" t="s">
        <v>14</v>
      </c>
      <c r="J985" t="s">
        <v>141</v>
      </c>
      <c r="K985" t="s">
        <v>14</v>
      </c>
      <c r="L985" t="s">
        <v>20</v>
      </c>
      <c r="M985" t="s">
        <v>2093</v>
      </c>
      <c r="N985" t="s">
        <v>14</v>
      </c>
    </row>
    <row r="986" x14ac:dyDescent="0.25">
      <c r="A986" t="n">
        <v>25</v>
      </c>
      <c r="B986" t="s">
        <v>14</v>
      </c>
      <c r="C986" t="s">
        <v>22</v>
      </c>
      <c r="D986" s="2" t="s">
        <f>=HYPERLINK("https://main.knesset.gov.il/APPS/legislation/main/bills/2225198", "הצעת חוק השידור הציבורי הישראלי (תיקון - דרך מינוי מועצת תאגיד השידור הישראלי), התשפ""ה-2025")</f>
        <v>2119</v>
      </c>
      <c r="E986" t="s">
        <v>2119</v>
      </c>
      <c r="F986" t="s">
        <v>2120</v>
      </c>
      <c r="G986" t="s">
        <v>14</v>
      </c>
      <c r="H986">
             </c>
      <c r="I986" t="s">
        <v>14</v>
      </c>
      <c r="J986" t="s">
        <v>31</v>
      </c>
      <c r="K986" t="s">
        <v>19</v>
      </c>
      <c r="L986" t="s">
        <v>20</v>
      </c>
      <c r="M986" t="s">
        <v>2121</v>
      </c>
      <c r="N986" t="s">
        <v>14</v>
      </c>
    </row>
    <row r="987" x14ac:dyDescent="0.25">
      <c r="A987" t="n">
        <v>25</v>
      </c>
      <c r="B987" t="s">
        <v>14</v>
      </c>
      <c r="C987" t="s">
        <v>22</v>
      </c>
      <c r="D987" s="2" t="s">
        <f>=HYPERLINK("https://main.knesset.gov.il/APPS/legislation/main/bills/2234467", "הצעת חוק לתיקון פקודת מס הכנסה (שלילת הכרה בעמותות המעודדות השתמטות משירות ביטחון), התשפ״ה-2025")</f>
        <v>2122</v>
      </c>
      <c r="E987" t="s">
        <v>2122</v>
      </c>
      <c r="F987" t="s">
        <v>2123</v>
      </c>
      <c r="G987" t="s">
        <v>14</v>
      </c>
      <c r="H987">
             </c>
      <c r="I987" t="s">
        <v>14</v>
      </c>
      <c r="J987" t="s">
        <v>55</v>
      </c>
      <c r="K987" t="s">
        <v>14</v>
      </c>
      <c r="L987" t="s">
        <v>20</v>
      </c>
      <c r="M987" t="s">
        <v>2121</v>
      </c>
      <c r="N987" t="s">
        <v>14</v>
      </c>
    </row>
    <row r="988" x14ac:dyDescent="0.25">
      <c r="A988" t="n">
        <v>25</v>
      </c>
      <c r="B988" t="s">
        <v>14</v>
      </c>
      <c r="C988" t="s">
        <v>22</v>
      </c>
      <c r="D988" s="2" t="s">
        <f>=HYPERLINK("https://main.knesset.gov.il/APPS/legislation/main/bills/2231200", "הצעת חוק קליטת חיילים משוחררים (תיקון - שמירת זכויות לחייל ששירת במילואים בתום שירות סדיר), התשפ""ה-2025")</f>
        <v>2124</v>
      </c>
      <c r="E988" t="s">
        <v>2124</v>
      </c>
      <c r="F988" t="s">
        <v>2125</v>
      </c>
      <c r="G988" t="s">
        <v>14</v>
      </c>
      <c r="H988">
             </c>
      <c r="I988" t="s">
        <v>14</v>
      </c>
      <c r="J988" t="s">
        <v>55</v>
      </c>
      <c r="K988" t="s">
        <v>14</v>
      </c>
      <c r="L988" t="s">
        <v>20</v>
      </c>
      <c r="M988" t="s">
        <v>2121</v>
      </c>
      <c r="N988" t="s">
        <v>14</v>
      </c>
    </row>
    <row r="989" x14ac:dyDescent="0.25">
      <c r="A989" t="n">
        <v>25</v>
      </c>
      <c r="B989" t="s">
        <v>14</v>
      </c>
      <c r="C989" t="s">
        <v>22</v>
      </c>
      <c r="D989" s="2" t="s">
        <f>=HYPERLINK("https://main.knesset.gov.il/APPS/legislation/main/bills/2231207", "הצעת חוק הנצחת זכרם של קורבנות הטבח בכפר קאסם, התשפ""ה-2025")</f>
        <v>2126</v>
      </c>
      <c r="E989" t="s">
        <v>2126</v>
      </c>
      <c r="F989" t="s">
        <v>2127</v>
      </c>
      <c r="G989" t="s">
        <v>14</v>
      </c>
      <c r="H989">
             </c>
      <c r="I989" t="s">
        <v>14</v>
      </c>
      <c r="J989" t="s">
        <v>55</v>
      </c>
      <c r="K989" t="s">
        <v>14</v>
      </c>
      <c r="L989" t="s">
        <v>20</v>
      </c>
      <c r="M989" t="s">
        <v>2121</v>
      </c>
      <c r="N989" t="s">
        <v>14</v>
      </c>
    </row>
    <row r="990" x14ac:dyDescent="0.25">
      <c r="A990" t="n">
        <v>25</v>
      </c>
      <c r="B990" t="s">
        <v>14</v>
      </c>
      <c r="C990" t="s">
        <v>22</v>
      </c>
      <c r="D990" s="2" t="s">
        <f>=HYPERLINK("https://main.knesset.gov.il/APPS/legislation/main/bills/2227840", "הצעת חוק איסור אלימות בספורט (תיקון - החמרת ענישה ואיסור הסתרת פנים), התשפ""ה-2025")</f>
        <v>2128</v>
      </c>
      <c r="E990" t="s">
        <v>2128</v>
      </c>
      <c r="F990" t="s">
        <v>2129</v>
      </c>
      <c r="G990" t="s">
        <v>14</v>
      </c>
      <c r="H990">
             </c>
      <c r="I990" t="s">
        <v>14</v>
      </c>
      <c r="J990" t="s">
        <v>343</v>
      </c>
      <c r="K990" t="s">
        <v>14</v>
      </c>
      <c r="L990" t="s">
        <v>20</v>
      </c>
      <c r="M990" t="s">
        <v>2121</v>
      </c>
      <c r="N990" t="s">
        <v>14</v>
      </c>
    </row>
    <row r="991" x14ac:dyDescent="0.25">
      <c r="A991" t="n">
        <v>25</v>
      </c>
      <c r="B991" t="s">
        <v>14</v>
      </c>
      <c r="C991" t="s">
        <v>22</v>
      </c>
      <c r="D991" s="2" t="s">
        <f>=HYPERLINK("https://main.knesset.gov.il/APPS/legislation/main/bills/2222442", "הצעת חוק הרשות לטיפול בנפגעי הלם קרב, התשפ""ה-2024")</f>
        <v>2130</v>
      </c>
      <c r="E991" t="s">
        <v>2130</v>
      </c>
      <c r="F991" t="s">
        <v>2131</v>
      </c>
      <c r="G991" t="s">
        <v>14</v>
      </c>
      <c r="H991">
             </c>
      <c r="I991" t="s">
        <v>14</v>
      </c>
      <c r="J991" t="s">
        <v>343</v>
      </c>
      <c r="K991" t="s">
        <v>14</v>
      </c>
      <c r="L991" t="s">
        <v>20</v>
      </c>
      <c r="M991" t="s">
        <v>2121</v>
      </c>
      <c r="N991" t="s">
        <v>14</v>
      </c>
    </row>
    <row r="992" x14ac:dyDescent="0.25">
      <c r="A992" t="n">
        <v>25</v>
      </c>
      <c r="B992" t="s">
        <v>14</v>
      </c>
      <c r="C992" t="s">
        <v>22</v>
      </c>
      <c r="D992" s="2" t="s">
        <f>=HYPERLINK("https://main.knesset.gov.il/APPS/legislation/main/bills/2200327", "הצעת חוק האקלים, התשפ""ג-2023")</f>
        <v>2132</v>
      </c>
      <c r="E992" t="s">
        <v>2132</v>
      </c>
      <c r="F992" t="s">
        <v>2133</v>
      </c>
      <c r="G992" t="s">
        <v>14</v>
      </c>
      <c r="H992">
             </c>
      <c r="I992" t="s">
        <v>14</v>
      </c>
      <c r="J992" t="s">
        <v>55</v>
      </c>
      <c r="K992" t="s">
        <v>14</v>
      </c>
      <c r="L992" t="s">
        <v>20</v>
      </c>
      <c r="M992" t="s">
        <v>2121</v>
      </c>
      <c r="N992" t="s">
        <v>14</v>
      </c>
    </row>
    <row r="993" x14ac:dyDescent="0.25">
      <c r="A993" t="n">
        <v>25</v>
      </c>
      <c r="B993" t="s">
        <v>14</v>
      </c>
      <c r="C993" t="s">
        <v>22</v>
      </c>
      <c r="D993" s="2" t="s">
        <f>=HYPERLINK("https://main.knesset.gov.il/APPS/legislation/main/bills/2198073", "הצעת חוק קביעת הזמן (תיקון - ביטול שעון חורף), התשפ""ג- 2022")</f>
        <v>2134</v>
      </c>
      <c r="E993" t="s">
        <v>2134</v>
      </c>
      <c r="F993" t="s">
        <v>2135</v>
      </c>
      <c r="G993" t="s">
        <v>14</v>
      </c>
      <c r="H993">
             </c>
      <c r="I993" t="s">
        <v>14</v>
      </c>
      <c r="J993" t="s">
        <v>55</v>
      </c>
      <c r="K993" t="s">
        <v>14</v>
      </c>
      <c r="L993" t="s">
        <v>20</v>
      </c>
      <c r="M993" t="s">
        <v>2121</v>
      </c>
      <c r="N993" t="s">
        <v>14</v>
      </c>
    </row>
    <row r="994" x14ac:dyDescent="0.25">
      <c r="A994" t="n">
        <v>25</v>
      </c>
      <c r="B994" t="s">
        <v>14</v>
      </c>
      <c r="C994" t="s">
        <v>22</v>
      </c>
      <c r="D994" s="2" t="s">
        <f>=HYPERLINK("https://main.knesset.gov.il/APPS/legislation/main/bills/2230390", "הצעת חוק להקפאת כספים ששילמה הרשות הפלסטינית בזיקה לטרור מהכספים המועברים אליה מממשלת ישראל (תיקון - הקפאה וקיזוז כספים ששילמה הרשות הפלסטינית לארגון הטרור חמאס), התשפ""ה-2025")</f>
        <v>2136</v>
      </c>
      <c r="E994" t="s">
        <v>2136</v>
      </c>
      <c r="F994" t="s">
        <v>2137</v>
      </c>
      <c r="G994" t="s">
        <v>14</v>
      </c>
      <c r="H994">
             </c>
      <c r="I994" t="s">
        <v>14</v>
      </c>
      <c r="J994" t="s">
        <v>31</v>
      </c>
      <c r="K994" t="s">
        <v>114</v>
      </c>
      <c r="L994" t="s">
        <v>20</v>
      </c>
      <c r="M994" t="s">
        <v>2138</v>
      </c>
      <c r="N994" t="s">
        <v>14</v>
      </c>
    </row>
    <row r="995" x14ac:dyDescent="0.25">
      <c r="A995" t="n">
        <v>25</v>
      </c>
      <c r="B995" t="s">
        <v>14</v>
      </c>
      <c r="C995" t="s">
        <v>22</v>
      </c>
      <c r="D995" s="2" t="s">
        <f>=HYPERLINK("https://main.knesset.gov.il/APPS/legislation/main/bills/2234735", "הצעת חוק הסדרת העיסוק במקצועות הבריאות (תיקון - מסלול הסבה בדימות רפואי לבוגרי תואר ראשון מחוץ לארץ), התשפ""ו-2025")</f>
        <v>2139</v>
      </c>
      <c r="E995" t="s">
        <v>2139</v>
      </c>
      <c r="F995" t="s">
        <v>2140</v>
      </c>
      <c r="G995" t="s">
        <v>14</v>
      </c>
      <c r="H995">
             </c>
      <c r="I995" t="s">
        <v>14</v>
      </c>
      <c r="J995" t="s">
        <v>141</v>
      </c>
      <c r="K995" t="s">
        <v>14</v>
      </c>
      <c r="L995" t="s">
        <v>20</v>
      </c>
      <c r="M995" t="s">
        <v>2141</v>
      </c>
      <c r="N995" t="s">
        <v>14</v>
      </c>
    </row>
    <row r="996" x14ac:dyDescent="0.25">
      <c r="A996" t="n">
        <v>25</v>
      </c>
      <c r="B996" t="s">
        <v>14</v>
      </c>
      <c r="C996" t="s">
        <v>22</v>
      </c>
      <c r="D996" s="2" t="s">
        <f>=HYPERLINK("https://main.knesset.gov.il/APPS/legislation/main/bills/2235028", "הצעת חוק מדינות אויב ומדינות עוינות, התשפ""ו-2025")</f>
        <v>2142</v>
      </c>
      <c r="E996" t="s">
        <v>2142</v>
      </c>
      <c r="F996" t="s">
        <v>2143</v>
      </c>
      <c r="G996" t="s">
        <v>14</v>
      </c>
      <c r="H996">
             </c>
      <c r="I996" t="s">
        <v>14</v>
      </c>
      <c r="J996" t="s">
        <v>141</v>
      </c>
      <c r="K996" t="s">
        <v>14</v>
      </c>
      <c r="L996" t="s">
        <v>20</v>
      </c>
      <c r="M996" t="s">
        <v>2141</v>
      </c>
      <c r="N996" t="s">
        <v>14</v>
      </c>
    </row>
    <row r="997" x14ac:dyDescent="0.25">
      <c r="A997" t="n">
        <v>25</v>
      </c>
      <c r="B997" t="s">
        <v>14</v>
      </c>
      <c r="C997" t="s">
        <v>22</v>
      </c>
      <c r="D997" s="2" t="s">
        <f>=HYPERLINK("https://main.knesset.gov.il/APPS/legislation/main/bills/2235215", "הצעת חוק לתיקון פקודת החברות (עסקאות פקטורינג), התשפ""ו-2025")</f>
        <v>2144</v>
      </c>
      <c r="E997" t="s">
        <v>2144</v>
      </c>
      <c r="F997" t="s">
        <v>2145</v>
      </c>
      <c r="G997" t="s">
        <v>14</v>
      </c>
      <c r="H997">
             </c>
      <c r="I997" t="s">
        <v>14</v>
      </c>
      <c r="J997" t="s">
        <v>141</v>
      </c>
      <c r="K997" t="s">
        <v>14</v>
      </c>
      <c r="L997" t="s">
        <v>20</v>
      </c>
      <c r="M997" t="s">
        <v>2141</v>
      </c>
      <c r="N997" t="s">
        <v>14</v>
      </c>
    </row>
    <row r="998" x14ac:dyDescent="0.25">
      <c r="A998" t="n">
        <v>25</v>
      </c>
      <c r="B998" t="s">
        <v>14</v>
      </c>
      <c r="C998" t="s">
        <v>22</v>
      </c>
      <c r="D998" s="2" t="s">
        <f>=HYPERLINK("https://main.knesset.gov.il/APPS/legislation/main/bills/2232341", "הצעת חוק שיקום מתמודדי נפש בקהילה (תיקון - הסדרת מעמד מדריכי שיקום), התשפ""ו-2025")</f>
        <v>2146</v>
      </c>
      <c r="E998" t="s">
        <v>2146</v>
      </c>
      <c r="F998" t="s">
        <v>2147</v>
      </c>
      <c r="G998" t="s">
        <v>14</v>
      </c>
      <c r="H998">
             </c>
      <c r="I998" t="s">
        <v>14</v>
      </c>
      <c r="J998" t="s">
        <v>141</v>
      </c>
      <c r="K998" t="s">
        <v>14</v>
      </c>
      <c r="L998" t="s">
        <v>20</v>
      </c>
      <c r="M998" t="s">
        <v>2141</v>
      </c>
      <c r="N998" t="s">
        <v>14</v>
      </c>
    </row>
    <row r="999" x14ac:dyDescent="0.25">
      <c r="A999" t="n">
        <v>25</v>
      </c>
      <c r="B999" t="s">
        <v>14</v>
      </c>
      <c r="C999" t="s">
        <v>22</v>
      </c>
      <c r="D999" s="2" t="s">
        <f>=HYPERLINK("https://main.knesset.gov.il/APPS/legislation/main/bills/2234573", "הצעת חוק העונשין (תיקון - הגדרת גזענות), התשפ""ו-2025")</f>
        <v>2148</v>
      </c>
      <c r="E999" t="s">
        <v>2148</v>
      </c>
      <c r="F999" t="s">
        <v>2149</v>
      </c>
      <c r="G999" t="s">
        <v>14</v>
      </c>
      <c r="H999">
             </c>
      <c r="I999" t="s">
        <v>14</v>
      </c>
      <c r="J999" t="s">
        <v>141</v>
      </c>
      <c r="K999" t="s">
        <v>14</v>
      </c>
      <c r="L999" t="s">
        <v>20</v>
      </c>
      <c r="M999" t="s">
        <v>2141</v>
      </c>
      <c r="N999" t="s">
        <v>14</v>
      </c>
    </row>
    <row r="1000" x14ac:dyDescent="0.25">
      <c r="A1000" t="n">
        <v>25</v>
      </c>
      <c r="B1000" t="s">
        <v>14</v>
      </c>
      <c r="C1000" t="s">
        <v>22</v>
      </c>
      <c r="D1000" s="2" t="s">
        <f>=HYPERLINK("https://main.knesset.gov.il/APPS/legislation/main/bills/2235736", "הצעת חוק שמירת הניקיון (תיקון - תמרוץ הקמת מיתקני מיון פסולת להגדלת המחזור), התשפ""ו-2025")</f>
        <v>1924</v>
      </c>
      <c r="E1000" t="s">
        <v>1924</v>
      </c>
      <c r="F1000" t="s">
        <v>2150</v>
      </c>
      <c r="G1000" t="s">
        <v>14</v>
      </c>
      <c r="H1000">
             </c>
      <c r="I1000" t="s">
        <v>14</v>
      </c>
      <c r="J1000" t="s">
        <v>141</v>
      </c>
      <c r="K1000" t="s">
        <v>14</v>
      </c>
      <c r="L1000" t="s">
        <v>20</v>
      </c>
      <c r="M1000" t="s">
        <v>2141</v>
      </c>
      <c r="N1000" t="s">
        <v>14</v>
      </c>
    </row>
    <row r="1001" x14ac:dyDescent="0.25">
      <c r="A1001" t="n">
        <v>25</v>
      </c>
      <c r="B1001" t="s">
        <v>14</v>
      </c>
      <c r="C1001" t="s">
        <v>22</v>
      </c>
      <c r="D1001" s="2" t="s">
        <f>=HYPERLINK("https://main.knesset.gov.il/APPS/legislation/main/bills/2233056", "הצעת חוק מיסוי מקרקעין (שבח ורכישה) (תיקון - הקניית זכות במקרקעין חלף בית שנהרס או חולל באירוע טרור), התשפ""ו-2025")</f>
        <v>2151</v>
      </c>
      <c r="E1001" t="s">
        <v>2151</v>
      </c>
      <c r="F1001" t="s">
        <v>2152</v>
      </c>
      <c r="G1001" t="s">
        <v>14</v>
      </c>
      <c r="H1001">
             </c>
      <c r="I1001" t="s">
        <v>14</v>
      </c>
      <c r="J1001" t="s">
        <v>141</v>
      </c>
      <c r="K1001" t="s">
        <v>14</v>
      </c>
      <c r="L1001" t="s">
        <v>20</v>
      </c>
      <c r="M1001" t="s">
        <v>2141</v>
      </c>
      <c r="N1001" t="s">
        <v>14</v>
      </c>
    </row>
    <row r="1002" x14ac:dyDescent="0.25">
      <c r="A1002" t="n">
        <v>25</v>
      </c>
      <c r="B1002" t="s">
        <v>14</v>
      </c>
      <c r="C1002" t="s">
        <v>22</v>
      </c>
      <c r="D1002" s="2" t="s">
        <f>=HYPERLINK("https://main.knesset.gov.il/APPS/legislation/main/bills/2231287", "הצעת חוק הבנקאות (שירות ללקוח) (תיקון - חובת הדרכה פיננסית), התשפ""ו-2025")</f>
        <v>2153</v>
      </c>
      <c r="E1002" t="s">
        <v>2153</v>
      </c>
      <c r="F1002" t="s">
        <v>2154</v>
      </c>
      <c r="G1002" t="s">
        <v>14</v>
      </c>
      <c r="H1002">
             </c>
      <c r="I1002" t="s">
        <v>14</v>
      </c>
      <c r="J1002" t="s">
        <v>141</v>
      </c>
      <c r="K1002" t="s">
        <v>14</v>
      </c>
      <c r="L1002" t="s">
        <v>20</v>
      </c>
      <c r="M1002" t="s">
        <v>2141</v>
      </c>
      <c r="N1002" t="s">
        <v>14</v>
      </c>
    </row>
    <row r="1003" x14ac:dyDescent="0.25">
      <c r="A1003" t="n">
        <v>25</v>
      </c>
      <c r="B1003" t="s">
        <v>14</v>
      </c>
      <c r="C1003" t="s">
        <v>22</v>
      </c>
      <c r="D1003" s="2" t="s">
        <f>=HYPERLINK("https://main.knesset.gov.il/APPS/legislation/main/bills/2235745", "הצעת חוק אסדרת שוק הקנאביס לצריכה עצמית, התשפ""ו-2025")</f>
        <v>2155</v>
      </c>
      <c r="E1003" t="s">
        <v>2155</v>
      </c>
      <c r="F1003" t="s">
        <v>2156</v>
      </c>
      <c r="G1003" t="s">
        <v>14</v>
      </c>
      <c r="H1003">
             </c>
      <c r="I1003" t="s">
        <v>14</v>
      </c>
      <c r="J1003" t="s">
        <v>141</v>
      </c>
      <c r="K1003" t="s">
        <v>14</v>
      </c>
      <c r="L1003" t="s">
        <v>20</v>
      </c>
      <c r="M1003" t="s">
        <v>2141</v>
      </c>
      <c r="N1003" t="s">
        <v>14</v>
      </c>
    </row>
    <row r="1004" x14ac:dyDescent="0.25">
      <c r="A1004" t="n">
        <v>25</v>
      </c>
      <c r="B1004" t="s">
        <v>14</v>
      </c>
      <c r="C1004" t="s">
        <v>22</v>
      </c>
      <c r="D1004" s="2" t="s">
        <f>=HYPERLINK("https://main.knesset.gov.il/APPS/legislation/main/bills/2235652", "הצעת חוק כליאתם והעמדתם לדין של המשתתפים באירועי 7 באוקטובר, התשפ""ו-2025")</f>
        <v>1907</v>
      </c>
      <c r="E1004" t="s">
        <v>1907</v>
      </c>
      <c r="F1004" t="s">
        <v>2157</v>
      </c>
      <c r="G1004" t="s">
        <v>14</v>
      </c>
      <c r="H1004">
             </c>
      <c r="I1004" t="s">
        <v>14</v>
      </c>
      <c r="J1004" t="s">
        <v>141</v>
      </c>
      <c r="K1004" t="s">
        <v>14</v>
      </c>
      <c r="L1004" t="s">
        <v>20</v>
      </c>
      <c r="M1004" t="s">
        <v>2141</v>
      </c>
      <c r="N1004" t="s">
        <v>14</v>
      </c>
    </row>
    <row r="1005" x14ac:dyDescent="0.25">
      <c r="A1005" t="n">
        <v>25</v>
      </c>
      <c r="B1005" t="s">
        <v>14</v>
      </c>
      <c r="C1005" t="s">
        <v>22</v>
      </c>
      <c r="D1005" s="2" t="s">
        <f>=HYPERLINK("https://main.knesset.gov.il/APPS/legislation/main/bills/2235747", "הצעת חוק מימון הוצאות למשפחות שבויים, חטופים ונעדרים (תיקון - מענק הסתגלות לבני זוג והורים של חטוף שגופתו הושבה), התשפ""ו-2025")</f>
        <v>1756</v>
      </c>
      <c r="E1005" t="s">
        <v>1756</v>
      </c>
      <c r="F1005" t="s">
        <v>2158</v>
      </c>
      <c r="G1005" t="s">
        <v>14</v>
      </c>
      <c r="H1005">
             </c>
      <c r="I1005" t="s">
        <v>14</v>
      </c>
      <c r="J1005" t="s">
        <v>141</v>
      </c>
      <c r="K1005" t="s">
        <v>14</v>
      </c>
      <c r="L1005" t="s">
        <v>20</v>
      </c>
      <c r="M1005" t="s">
        <v>2141</v>
      </c>
      <c r="N1005" t="s">
        <v>14</v>
      </c>
    </row>
    <row r="1006" x14ac:dyDescent="0.25">
      <c r="A1006" t="n">
        <v>25</v>
      </c>
      <c r="B1006" t="s">
        <v>14</v>
      </c>
      <c r="C1006" t="s">
        <v>22</v>
      </c>
      <c r="D1006" s="2" t="s">
        <f>=HYPERLINK("https://main.knesset.gov.il/APPS/legislation/main/bills/2235692", "הצעת חוק הקמת ועדת חקירה ממלכתית לאירועי 7 באוקטובר, התשפ""ו-2025")</f>
        <v>1824</v>
      </c>
      <c r="E1006" t="s">
        <v>1824</v>
      </c>
      <c r="F1006" t="s">
        <v>2159</v>
      </c>
      <c r="G1006" t="s">
        <v>14</v>
      </c>
      <c r="H1006">
             </c>
      <c r="I1006" t="s">
        <v>14</v>
      </c>
      <c r="J1006" t="s">
        <v>141</v>
      </c>
      <c r="K1006" t="s">
        <v>14</v>
      </c>
      <c r="L1006" t="s">
        <v>20</v>
      </c>
      <c r="M1006" t="s">
        <v>2141</v>
      </c>
      <c r="N1006" t="s">
        <v>14</v>
      </c>
    </row>
    <row r="1007" x14ac:dyDescent="0.25">
      <c r="A1007" t="n">
        <v>25</v>
      </c>
      <c r="B1007" t="s">
        <v>14</v>
      </c>
      <c r="C1007" t="s">
        <v>22</v>
      </c>
      <c r="D1007" s="2" t="s">
        <f>=HYPERLINK("https://main.knesset.gov.il/APPS/legislation/main/bills/2235739", "הצעת חוק קביעת הזמן (תיקון - ביטול שעון חורף), התשפ""ו-2025")</f>
        <v>2160</v>
      </c>
      <c r="E1007" t="s">
        <v>2160</v>
      </c>
      <c r="F1007" t="s">
        <v>2161</v>
      </c>
      <c r="G1007" t="s">
        <v>14</v>
      </c>
      <c r="H1007">
             </c>
      <c r="I1007" t="s">
        <v>14</v>
      </c>
      <c r="J1007" t="s">
        <v>141</v>
      </c>
      <c r="K1007" t="s">
        <v>14</v>
      </c>
      <c r="L1007" t="s">
        <v>20</v>
      </c>
      <c r="M1007" t="s">
        <v>2141</v>
      </c>
      <c r="N1007" t="s">
        <v>14</v>
      </c>
    </row>
    <row r="1008" x14ac:dyDescent="0.25">
      <c r="A1008" t="n">
        <v>25</v>
      </c>
      <c r="B1008" t="s">
        <v>14</v>
      </c>
      <c r="C1008" t="s">
        <v>22</v>
      </c>
      <c r="D1008" s="2" t="s">
        <f>=HYPERLINK("https://main.knesset.gov.il/APPS/legislation/main/bills/2235560", "הצעת חוק חסינות חברי הכנסת, זכויותיהם וחובותיהם (תיקון - שירות מילואים לחברי כנסת), התשפ""ו-2025")</f>
        <v>2162</v>
      </c>
      <c r="E1008" t="s">
        <v>2162</v>
      </c>
      <c r="F1008" t="s">
        <v>2163</v>
      </c>
      <c r="G1008" t="s">
        <v>14</v>
      </c>
      <c r="H1008">
             </c>
      <c r="I1008" t="s">
        <v>14</v>
      </c>
      <c r="J1008" t="s">
        <v>141</v>
      </c>
      <c r="K1008" t="s">
        <v>14</v>
      </c>
      <c r="L1008" t="s">
        <v>20</v>
      </c>
      <c r="M1008" t="s">
        <v>2141</v>
      </c>
      <c r="N1008" t="s">
        <v>14</v>
      </c>
    </row>
    <row r="1009" x14ac:dyDescent="0.25">
      <c r="A1009" t="n">
        <v>25</v>
      </c>
      <c r="B1009" t="s">
        <v>14</v>
      </c>
      <c r="C1009" t="s">
        <v>22</v>
      </c>
      <c r="D1009" s="2" t="s">
        <f>=HYPERLINK("https://main.knesset.gov.il/APPS/legislation/main/bills/2235398", "הצעת חוק איסור פרסומת והגבלת השיווק של מוצרי טבק ועישון (תיקון - איסור על ייצור ושיווק של מוצר עישון בטעם או בריח מובחן), התשפ""ו-2025 ")</f>
        <v>2164</v>
      </c>
      <c r="E1009" t="s">
        <v>2164</v>
      </c>
      <c r="F1009" t="s">
        <v>2165</v>
      </c>
      <c r="G1009" t="s">
        <v>14</v>
      </c>
      <c r="H1009">
             </c>
      <c r="I1009" t="s">
        <v>14</v>
      </c>
      <c r="J1009" t="s">
        <v>141</v>
      </c>
      <c r="K1009" t="s">
        <v>14</v>
      </c>
      <c r="L1009" t="s">
        <v>20</v>
      </c>
      <c r="M1009" t="s">
        <v>2141</v>
      </c>
      <c r="N1009" t="s">
        <v>14</v>
      </c>
    </row>
    <row r="1010" x14ac:dyDescent="0.25">
      <c r="A1010" t="n">
        <v>25</v>
      </c>
      <c r="B1010" t="s">
        <v>14</v>
      </c>
      <c r="C1010" t="s">
        <v>22</v>
      </c>
      <c r="D1010" s="2" t="s">
        <f>=HYPERLINK("https://main.knesset.gov.il/APPS/legislation/main/bills/2235128", "הצעת חוק תכנון משק החלב (תיקון - ביטול החוק), התשפ""ו-2025")</f>
        <v>2166</v>
      </c>
      <c r="E1010" t="s">
        <v>2166</v>
      </c>
      <c r="F1010" t="s">
        <v>2167</v>
      </c>
      <c r="G1010" t="s">
        <v>14</v>
      </c>
      <c r="H1010">
             </c>
      <c r="I1010" t="s">
        <v>14</v>
      </c>
      <c r="J1010" t="s">
        <v>141</v>
      </c>
      <c r="K1010" t="s">
        <v>14</v>
      </c>
      <c r="L1010" t="s">
        <v>20</v>
      </c>
      <c r="M1010" t="s">
        <v>2141</v>
      </c>
      <c r="N1010" t="s">
        <v>14</v>
      </c>
    </row>
    <row r="1011" x14ac:dyDescent="0.25">
      <c r="A1011" t="n">
        <v>25</v>
      </c>
      <c r="B1011" t="s">
        <v>14</v>
      </c>
      <c r="C1011" t="s">
        <v>22</v>
      </c>
      <c r="D1011" s="2" t="s">
        <f>=HYPERLINK("https://main.knesset.gov.il/APPS/legislation/main/bills/2235254", "הצעת חוק הבנקאות (שירות ללקוח) (תיקון - ביטול צו עיקול), התשפ""ו-2025")</f>
        <v>2168</v>
      </c>
      <c r="E1011" t="s">
        <v>2168</v>
      </c>
      <c r="F1011" t="s">
        <v>2169</v>
      </c>
      <c r="G1011" t="s">
        <v>14</v>
      </c>
      <c r="H1011">
             </c>
      <c r="I1011" t="s">
        <v>14</v>
      </c>
      <c r="J1011" t="s">
        <v>141</v>
      </c>
      <c r="K1011" t="s">
        <v>14</v>
      </c>
      <c r="L1011" t="s">
        <v>20</v>
      </c>
      <c r="M1011" t="s">
        <v>2141</v>
      </c>
      <c r="N1011" t="s">
        <v>14</v>
      </c>
    </row>
    <row r="1012" x14ac:dyDescent="0.25">
      <c r="A1012" t="n">
        <v>25</v>
      </c>
      <c r="B1012" t="s">
        <v>14</v>
      </c>
      <c r="C1012" t="s">
        <v>22</v>
      </c>
      <c r="D1012" s="2" t="s">
        <f>=HYPERLINK("https://main.knesset.gov.il/APPS/legislation/main/bills/2235554", "הצעת חוק לתיקון פקודת מס הכנסה (שלילת הכרה בעמותות המעודדות השתמטות משירות ביטחון), התשפ״ו-2025")</f>
        <v>2170</v>
      </c>
      <c r="E1012" t="s">
        <v>2170</v>
      </c>
      <c r="F1012" t="s">
        <v>2171</v>
      </c>
      <c r="G1012" t="s">
        <v>14</v>
      </c>
      <c r="H1012">
             </c>
      <c r="I1012" t="s">
        <v>14</v>
      </c>
      <c r="J1012" t="s">
        <v>141</v>
      </c>
      <c r="K1012" t="s">
        <v>14</v>
      </c>
      <c r="L1012" t="s">
        <v>20</v>
      </c>
      <c r="M1012" t="s">
        <v>2141</v>
      </c>
      <c r="N1012" t="s">
        <v>14</v>
      </c>
    </row>
    <row r="1013" x14ac:dyDescent="0.25">
      <c r="A1013" t="n">
        <v>25</v>
      </c>
      <c r="B1013" t="s">
        <v>14</v>
      </c>
      <c r="C1013" t="s">
        <v>22</v>
      </c>
      <c r="D1013" s="2" t="s">
        <f>=HYPERLINK("https://main.knesset.gov.il/APPS/legislation/main/bills/2232502", "הצעת חוק יידוע ודיווח על מינוי יועצים חיצוניים לחברי ועדת השרים לענייני ביטחון לאומי ולראש הממשלה, התשפ""ה-2025")</f>
        <v>2172</v>
      </c>
      <c r="E1013" t="s">
        <v>2172</v>
      </c>
      <c r="F1013" t="s">
        <v>2173</v>
      </c>
      <c r="G1013" t="s">
        <v>14</v>
      </c>
      <c r="H1013">
             </c>
      <c r="I1013" t="s">
        <v>14</v>
      </c>
      <c r="J1013" t="s">
        <v>55</v>
      </c>
      <c r="K1013" t="s">
        <v>14</v>
      </c>
      <c r="L1013" t="s">
        <v>20</v>
      </c>
      <c r="M1013" t="s">
        <v>2174</v>
      </c>
      <c r="N1013" t="s">
        <v>14</v>
      </c>
    </row>
    <row r="1014" x14ac:dyDescent="0.25">
      <c r="A1014" t="n">
        <v>25</v>
      </c>
      <c r="B1014" t="s">
        <v>14</v>
      </c>
      <c r="C1014" t="s">
        <v>22</v>
      </c>
      <c r="D1014" s="2" t="s">
        <f>=HYPERLINK("https://main.knesset.gov.il/APPS/legislation/main/bills/2232134", "הצעת חוק סיוע כלכלי לעידוד לומדי תורה וסטודנטים נזקקים (תיקון - קיום הוראות חוק שירות ביטחון כתנאי לסיוע), התשפ""ה-2025")</f>
        <v>2175</v>
      </c>
      <c r="E1014" t="s">
        <v>2175</v>
      </c>
      <c r="F1014" t="s">
        <v>2176</v>
      </c>
      <c r="G1014" t="s">
        <v>14</v>
      </c>
      <c r="H1014">
             </c>
      <c r="I1014" t="s">
        <v>14</v>
      </c>
      <c r="J1014" t="s">
        <v>55</v>
      </c>
      <c r="K1014" t="s">
        <v>14</v>
      </c>
      <c r="L1014" t="s">
        <v>20</v>
      </c>
      <c r="M1014" t="s">
        <v>2174</v>
      </c>
      <c r="N1014" t="s">
        <v>14</v>
      </c>
    </row>
    <row r="1015" x14ac:dyDescent="0.25">
      <c r="A1015" t="n">
        <v>25</v>
      </c>
      <c r="B1015" t="s">
        <v>14</v>
      </c>
      <c r="C1015" t="s">
        <v>22</v>
      </c>
      <c r="D1015" s="2" t="s">
        <f>=HYPERLINK("https://main.knesset.gov.il/APPS/legislation/main/bills/2232133", "הצעת חוק התניית הטבות בדיור בקיום חובות לפי חוק שירות ביטחון, התשפ""ה-2025 ")</f>
        <v>2177</v>
      </c>
      <c r="E1015" t="s">
        <v>2177</v>
      </c>
      <c r="F1015" t="s">
        <v>2178</v>
      </c>
      <c r="G1015" t="s">
        <v>14</v>
      </c>
      <c r="H1015">
             </c>
      <c r="I1015" t="s">
        <v>14</v>
      </c>
      <c r="J1015" t="s">
        <v>55</v>
      </c>
      <c r="K1015" t="s">
        <v>14</v>
      </c>
      <c r="L1015" t="s">
        <v>20</v>
      </c>
      <c r="M1015" t="s">
        <v>2174</v>
      </c>
      <c r="N1015" t="s">
        <v>14</v>
      </c>
    </row>
    <row r="1016" x14ac:dyDescent="0.25">
      <c r="A1016" t="n">
        <v>25</v>
      </c>
      <c r="B1016" t="s">
        <v>14</v>
      </c>
      <c r="C1016" t="s">
        <v>22</v>
      </c>
      <c r="D1016" s="2" t="s">
        <f>=HYPERLINK("https://main.knesset.gov.il/APPS/legislation/main/bills/2232135", "הצעת חוק הביטוח הלאומי (תיקון - קיום הוראות חוק שירות ביטחון כתנאי לתשלום דמי ביטוח לאומי מופחתים), התשפ""ה-2025")</f>
        <v>2179</v>
      </c>
      <c r="E1016" t="s">
        <v>2179</v>
      </c>
      <c r="F1016" t="s">
        <v>2180</v>
      </c>
      <c r="G1016" t="s">
        <v>14</v>
      </c>
      <c r="H1016">
             </c>
      <c r="I1016" t="s">
        <v>14</v>
      </c>
      <c r="J1016" t="s">
        <v>55</v>
      </c>
      <c r="K1016" t="s">
        <v>14</v>
      </c>
      <c r="L1016" t="s">
        <v>20</v>
      </c>
      <c r="M1016" t="s">
        <v>2174</v>
      </c>
      <c r="N1016" t="s">
        <v>14</v>
      </c>
    </row>
    <row r="1017" x14ac:dyDescent="0.25">
      <c r="A1017" t="n">
        <v>25</v>
      </c>
      <c r="B1017" t="s">
        <v>14</v>
      </c>
      <c r="C1017" t="s">
        <v>22</v>
      </c>
      <c r="D1017" s="2" t="s">
        <f>=HYPERLINK("https://main.knesset.gov.il/APPS/legislation/main/bills/2231986", "הצעת חוק החלת ריבונות על מעלה אדומים, התשפ""ה-2025")</f>
        <v>2181</v>
      </c>
      <c r="E1017" t="s">
        <v>2181</v>
      </c>
      <c r="F1017" t="s">
        <v>2182</v>
      </c>
      <c r="G1017" t="s">
        <v>14</v>
      </c>
      <c r="H1017">
             </c>
      <c r="I1017" t="s">
        <v>14</v>
      </c>
      <c r="J1017" t="s">
        <v>31</v>
      </c>
      <c r="K1017" t="s">
        <v>114</v>
      </c>
      <c r="L1017" t="s">
        <v>20</v>
      </c>
      <c r="M1017" t="s">
        <v>2174</v>
      </c>
      <c r="N1017" t="s">
        <v>14</v>
      </c>
    </row>
    <row r="1018" x14ac:dyDescent="0.25">
      <c r="A1018" t="n">
        <v>25</v>
      </c>
      <c r="B1018" t="s">
        <v>14</v>
      </c>
      <c r="C1018" t="s">
        <v>22</v>
      </c>
      <c r="D1018" s="2" t="s">
        <f>=HYPERLINK("https://main.knesset.gov.il/APPS/legislation/main/bills/2230728", "הצעת חוק הביטוח הלאומי (תיקון - אי-זכאות לקצבת ילדים להורה שלא שירת בשירות מזכה), התשפ""ה-2025")</f>
        <v>2183</v>
      </c>
      <c r="E1018" t="s">
        <v>2183</v>
      </c>
      <c r="F1018" t="s">
        <v>2184</v>
      </c>
      <c r="G1018" t="s">
        <v>14</v>
      </c>
      <c r="H1018">
             </c>
      <c r="I1018" t="s">
        <v>14</v>
      </c>
      <c r="J1018" t="s">
        <v>55</v>
      </c>
      <c r="K1018" t="s">
        <v>14</v>
      </c>
      <c r="L1018" t="s">
        <v>20</v>
      </c>
      <c r="M1018" t="s">
        <v>2174</v>
      </c>
      <c r="N1018" t="s">
        <v>14</v>
      </c>
    </row>
    <row r="1019" x14ac:dyDescent="0.25">
      <c r="A1019" t="n">
        <v>25</v>
      </c>
      <c r="B1019" t="s">
        <v>14</v>
      </c>
      <c r="C1019" t="s">
        <v>22</v>
      </c>
      <c r="D1019" s="2" t="s">
        <f>=HYPERLINK("https://main.knesset.gov.il/APPS/legislation/main/bills/2230789", "הצעת חוק החלת הריבונות של מדינת ישראל בחבלי יהודה והשומרון, התשפ""ה-2025")</f>
        <v>2185</v>
      </c>
      <c r="E1019" t="s">
        <v>2185</v>
      </c>
      <c r="F1019" t="s">
        <v>2186</v>
      </c>
      <c r="G1019" t="s">
        <v>14</v>
      </c>
      <c r="H1019">
             </c>
      <c r="I1019" t="s">
        <v>14</v>
      </c>
      <c r="J1019" t="s">
        <v>31</v>
      </c>
      <c r="K1019" t="s">
        <v>114</v>
      </c>
      <c r="L1019" t="s">
        <v>20</v>
      </c>
      <c r="M1019" t="s">
        <v>2174</v>
      </c>
      <c r="N1019" t="s">
        <v>14</v>
      </c>
    </row>
    <row r="1020" x14ac:dyDescent="0.25">
      <c r="A1020" t="n">
        <v>25</v>
      </c>
      <c r="B1020" t="s">
        <v>14</v>
      </c>
      <c r="C1020" t="s">
        <v>22</v>
      </c>
      <c r="D1020" s="2" t="s">
        <f>=HYPERLINK("https://main.knesset.gov.il/APPS/legislation/main/bills/2227421", "הצעת חוק מינהלת מילואים, התשפ""ה-2025")</f>
        <v>2187</v>
      </c>
      <c r="E1020" t="s">
        <v>2187</v>
      </c>
      <c r="F1020" t="s">
        <v>2188</v>
      </c>
      <c r="G1020" t="s">
        <v>14</v>
      </c>
      <c r="H1020">
             </c>
      <c r="I1020" t="s">
        <v>14</v>
      </c>
      <c r="J1020" t="s">
        <v>55</v>
      </c>
      <c r="K1020" t="s">
        <v>14</v>
      </c>
      <c r="L1020" t="s">
        <v>20</v>
      </c>
      <c r="M1020" t="s">
        <v>2174</v>
      </c>
      <c r="N1020" t="s">
        <v>14</v>
      </c>
    </row>
    <row r="1021" x14ac:dyDescent="0.25">
      <c r="A1021" t="n">
        <v>25</v>
      </c>
      <c r="B1021" t="s">
        <v>14</v>
      </c>
      <c r="C1021" t="s">
        <v>22</v>
      </c>
      <c r="D1021" s="2" t="s">
        <f>=HYPERLINK("https://main.knesset.gov.il/APPS/legislation/main/bills/2230366", "חוק לתמיכה בפעולות לטובת נכים ונפגעי פעולות איבה (תיקוני חקיקה), התשפ""ו–2025")</f>
        <v>2189</v>
      </c>
      <c r="E1021" t="s">
        <v>2189</v>
      </c>
      <c r="F1021" t="s">
        <v>2190</v>
      </c>
      <c r="G1021" t="s">
        <v>2191</v>
      </c>
      <c r="H1021" t="n">
        <v>3456</v>
      </c>
      <c r="I1021" t="s">
        <v>14</v>
      </c>
      <c r="J1021" t="s">
        <v>91</v>
      </c>
      <c r="K1021" t="s">
        <v>127</v>
      </c>
      <c r="L1021" t="s">
        <v>20</v>
      </c>
      <c r="M1021" t="s">
        <v>2192</v>
      </c>
      <c r="N1021" t="s">
        <v>2193</v>
      </c>
    </row>
    <row r="1022" x14ac:dyDescent="0.25">
      <c r="A1022" t="n">
        <v>25</v>
      </c>
      <c r="B1022" t="s">
        <v>14</v>
      </c>
      <c r="C1022" t="s">
        <v>15</v>
      </c>
      <c r="D1022" s="2" t="s">
        <f>=HYPERLINK("https://main.knesset.gov.il/APPS/legislation/main/bills/2209493", "הצעת חוק הסדרת העיסוק בקרינה מייננת, התשפ""ו-2025")</f>
        <v>2194</v>
      </c>
      <c r="E1022" t="s">
        <v>2194</v>
      </c>
      <c r="F1022" t="s">
        <v>14</v>
      </c>
      <c r="G1022" t="s">
        <v>2195</v>
      </c>
      <c r="H1022">
             </c>
      <c r="I1022" t="s">
        <v>14</v>
      </c>
      <c r="J1022" t="s">
        <v>73</v>
      </c>
      <c r="K1022" t="s">
        <v>46</v>
      </c>
      <c r="L1022" t="s">
        <v>20</v>
      </c>
      <c r="M1022" t="s">
        <v>2196</v>
      </c>
      <c r="N1022" t="s">
        <v>14</v>
      </c>
    </row>
    <row r="1023" x14ac:dyDescent="0.25">
      <c r="A1023" t="n">
        <v>25</v>
      </c>
      <c r="B1023" t="s">
        <v>14</v>
      </c>
      <c r="C1023" t="s">
        <v>22</v>
      </c>
      <c r="D1023" s="2" t="s">
        <f>=HYPERLINK("https://main.knesset.gov.il/APPS/legislation/main/bills/2234472", "הצעת חוק האזרחות והכניסה לישראל (הוראת שעה) (תיקון - מתן תושבות לדרוזים מסוריה הדרומית), התשפ""ו-2025")</f>
        <v>2197</v>
      </c>
      <c r="E1023" t="s">
        <v>2197</v>
      </c>
      <c r="F1023" t="s">
        <v>2198</v>
      </c>
      <c r="G1023" t="s">
        <v>14</v>
      </c>
      <c r="H1023">
             </c>
      <c r="I1023" t="s">
        <v>14</v>
      </c>
      <c r="J1023" t="s">
        <v>141</v>
      </c>
      <c r="K1023" t="s">
        <v>14</v>
      </c>
      <c r="L1023" t="s">
        <v>20</v>
      </c>
      <c r="M1023" t="s">
        <v>2196</v>
      </c>
      <c r="N1023" t="s">
        <v>14</v>
      </c>
    </row>
    <row r="1024" x14ac:dyDescent="0.25">
      <c r="A1024" t="n">
        <v>25</v>
      </c>
      <c r="B1024" t="s">
        <v>14</v>
      </c>
      <c r="C1024" t="s">
        <v>22</v>
      </c>
      <c r="D1024" s="2" t="s">
        <f>=HYPERLINK("https://main.knesset.gov.il/APPS/legislation/main/bills/2235227", "הצעת חוק סדר הדין הפלילי (תיקון - צמצום מספר הדיונים מטעמי ביטחון המדינה), התשפ״ו-2025")</f>
        <v>2199</v>
      </c>
      <c r="E1024" t="s">
        <v>2199</v>
      </c>
      <c r="F1024" t="s">
        <v>2200</v>
      </c>
      <c r="G1024" t="s">
        <v>14</v>
      </c>
      <c r="H1024">
             </c>
      <c r="I1024" t="s">
        <v>14</v>
      </c>
      <c r="J1024" t="s">
        <v>141</v>
      </c>
      <c r="K1024" t="s">
        <v>14</v>
      </c>
      <c r="L1024" t="s">
        <v>20</v>
      </c>
      <c r="M1024" t="s">
        <v>2196</v>
      </c>
      <c r="N1024" t="s">
        <v>14</v>
      </c>
    </row>
    <row r="1025" x14ac:dyDescent="0.25">
      <c r="A1025" t="n">
        <v>25</v>
      </c>
      <c r="B1025" t="s">
        <v>14</v>
      </c>
      <c r="C1025" t="s">
        <v>22</v>
      </c>
      <c r="D1025" s="2" t="s">
        <f>=HYPERLINK("https://main.knesset.gov.il/APPS/legislation/main/bills/2235162", "הצעת חוק מימון הוצאות למשפחות שבויים, חטופים ונעדרים (תיקון - מענק הסתגלות לבני זוג והורים של חטוף שגופתו הושבה), התשפ""ו-2025")</f>
        <v>1756</v>
      </c>
      <c r="E1025" t="s">
        <v>1756</v>
      </c>
      <c r="F1025" t="s">
        <v>2201</v>
      </c>
      <c r="G1025" t="s">
        <v>14</v>
      </c>
      <c r="H1025">
             </c>
      <c r="I1025" t="s">
        <v>14</v>
      </c>
      <c r="J1025" t="s">
        <v>141</v>
      </c>
      <c r="K1025" t="s">
        <v>14</v>
      </c>
      <c r="L1025" t="s">
        <v>20</v>
      </c>
      <c r="M1025" t="s">
        <v>2196</v>
      </c>
      <c r="N1025" t="s">
        <v>14</v>
      </c>
    </row>
    <row r="1026" x14ac:dyDescent="0.25">
      <c r="A1026" t="n">
        <v>25</v>
      </c>
      <c r="B1026" t="s">
        <v>14</v>
      </c>
      <c r="C1026" t="s">
        <v>22</v>
      </c>
      <c r="D1026" s="2" t="s">
        <f>=HYPERLINK("https://main.knesset.gov.il/APPS/legislation/main/bills/2235231", "הצעת חוק רשות ההסברה הלאומית, התשפ""ו-2025")</f>
        <v>2202</v>
      </c>
      <c r="E1026" t="s">
        <v>2202</v>
      </c>
      <c r="F1026" t="s">
        <v>2203</v>
      </c>
      <c r="G1026" t="s">
        <v>14</v>
      </c>
      <c r="H1026">
             </c>
      <c r="I1026" t="s">
        <v>14</v>
      </c>
      <c r="J1026" t="s">
        <v>141</v>
      </c>
      <c r="K1026" t="s">
        <v>14</v>
      </c>
      <c r="L1026" t="s">
        <v>20</v>
      </c>
      <c r="M1026" t="s">
        <v>2196</v>
      </c>
      <c r="N1026" t="s">
        <v>14</v>
      </c>
    </row>
    <row r="1027" x14ac:dyDescent="0.25">
      <c r="A1027" t="n">
        <v>25</v>
      </c>
      <c r="B1027" t="s">
        <v>14</v>
      </c>
      <c r="C1027" t="s">
        <v>22</v>
      </c>
      <c r="D1027" s="2" t="s">
        <f>=HYPERLINK("https://main.knesset.gov.il/APPS/legislation/main/bills/2235424", "הצעת חוק זכאות למשרתי מילואים יחידים במסגרת תוכנית מחיר למשתכן, התשפ״ו-2025")</f>
        <v>2204</v>
      </c>
      <c r="E1027" t="s">
        <v>2204</v>
      </c>
      <c r="F1027" t="s">
        <v>2205</v>
      </c>
      <c r="G1027" t="s">
        <v>14</v>
      </c>
      <c r="H1027">
             </c>
      <c r="I1027" t="s">
        <v>14</v>
      </c>
      <c r="J1027" t="s">
        <v>141</v>
      </c>
      <c r="K1027" t="s">
        <v>14</v>
      </c>
      <c r="L1027" t="s">
        <v>20</v>
      </c>
      <c r="M1027" t="s">
        <v>2196</v>
      </c>
      <c r="N1027" t="s">
        <v>14</v>
      </c>
    </row>
    <row r="1028" x14ac:dyDescent="0.25">
      <c r="A1028" t="n">
        <v>25</v>
      </c>
      <c r="B1028" t="s">
        <v>14</v>
      </c>
      <c r="C1028" t="s">
        <v>22</v>
      </c>
      <c r="D1028" s="2" t="s">
        <f>=HYPERLINK("https://main.knesset.gov.il/APPS/legislation/main/bills/2235294", "הצעת חוק בתי קברות צבאיים (תיקון - ועדת חריגים להכרה בזכאות לקבורה צבאית), התשפ""ו-2025")</f>
        <v>2206</v>
      </c>
      <c r="E1028" t="s">
        <v>2206</v>
      </c>
      <c r="F1028" t="s">
        <v>2207</v>
      </c>
      <c r="G1028" t="s">
        <v>14</v>
      </c>
      <c r="H1028">
             </c>
      <c r="I1028" t="s">
        <v>14</v>
      </c>
      <c r="J1028" t="s">
        <v>141</v>
      </c>
      <c r="K1028" t="s">
        <v>14</v>
      </c>
      <c r="L1028" t="s">
        <v>20</v>
      </c>
      <c r="M1028" t="s">
        <v>2196</v>
      </c>
      <c r="N1028" t="s">
        <v>14</v>
      </c>
    </row>
    <row r="1029" x14ac:dyDescent="0.25">
      <c r="A1029" t="n">
        <v>25</v>
      </c>
      <c r="B1029" t="s">
        <v>14</v>
      </c>
      <c r="C1029" t="s">
        <v>22</v>
      </c>
      <c r="D1029" s="2" t="s">
        <f>=HYPERLINK("https://main.knesset.gov.il/APPS/legislation/main/bills/2234601", "הצעת חוק זכויות הסטודנט (תיקון - העדפה מתקנת לתושבי הנגב), התשפ""ו-2025")</f>
        <v>2208</v>
      </c>
      <c r="E1029" t="s">
        <v>2208</v>
      </c>
      <c r="F1029" t="s">
        <v>2209</v>
      </c>
      <c r="G1029" t="s">
        <v>14</v>
      </c>
      <c r="H1029">
             </c>
      <c r="I1029" t="s">
        <v>14</v>
      </c>
      <c r="J1029" t="s">
        <v>141</v>
      </c>
      <c r="K1029" t="s">
        <v>14</v>
      </c>
      <c r="L1029" t="s">
        <v>20</v>
      </c>
      <c r="M1029" t="s">
        <v>2196</v>
      </c>
      <c r="N1029" t="s">
        <v>14</v>
      </c>
    </row>
    <row r="1030" x14ac:dyDescent="0.25">
      <c r="A1030" t="n">
        <v>25</v>
      </c>
      <c r="B1030" t="s">
        <v>14</v>
      </c>
      <c r="C1030" t="s">
        <v>22</v>
      </c>
      <c r="D1030" s="2" t="s">
        <f>=HYPERLINK("https://main.knesset.gov.il/APPS/legislation/main/bills/2234182", "הצעת חוק המרכז למורשת ארגון אליאנס: כל ישראל חברים, התשפ""ו-2025")</f>
        <v>1773</v>
      </c>
      <c r="E1030" t="s">
        <v>1773</v>
      </c>
      <c r="F1030" t="s">
        <v>2210</v>
      </c>
      <c r="G1030" t="s">
        <v>14</v>
      </c>
      <c r="H1030">
             </c>
      <c r="I1030" t="s">
        <v>14</v>
      </c>
      <c r="J1030" t="s">
        <v>141</v>
      </c>
      <c r="K1030" t="s">
        <v>14</v>
      </c>
      <c r="L1030" t="s">
        <v>20</v>
      </c>
      <c r="M1030" t="s">
        <v>2196</v>
      </c>
      <c r="N1030" t="s">
        <v>14</v>
      </c>
    </row>
    <row r="1031" x14ac:dyDescent="0.25">
      <c r="A1031" t="n">
        <v>25</v>
      </c>
      <c r="B1031" t="s">
        <v>14</v>
      </c>
      <c r="C1031" t="s">
        <v>22</v>
      </c>
      <c r="D1031" s="2" t="s">
        <f>=HYPERLINK("https://main.knesset.gov.il/APPS/legislation/main/bills/2235127", "הצעת חוק לעידוד הסעות שיתופיות (תיקוני חקיקה), התשפ""ו-2025")</f>
        <v>2211</v>
      </c>
      <c r="E1031" t="s">
        <v>2211</v>
      </c>
      <c r="F1031" t="s">
        <v>2212</v>
      </c>
      <c r="G1031" t="s">
        <v>14</v>
      </c>
      <c r="H1031">
             </c>
      <c r="I1031" t="s">
        <v>14</v>
      </c>
      <c r="J1031" t="s">
        <v>141</v>
      </c>
      <c r="K1031" t="s">
        <v>14</v>
      </c>
      <c r="L1031" t="s">
        <v>20</v>
      </c>
      <c r="M1031" t="s">
        <v>2196</v>
      </c>
      <c r="N1031" t="s">
        <v>14</v>
      </c>
    </row>
    <row r="1032" x14ac:dyDescent="0.25">
      <c r="A1032" t="n">
        <v>25</v>
      </c>
      <c r="B1032" t="s">
        <v>14</v>
      </c>
      <c r="C1032" t="s">
        <v>22</v>
      </c>
      <c r="D1032" s="2" t="s">
        <f>=HYPERLINK("https://main.knesset.gov.il/APPS/legislation/main/bills/2234635", "הצעת חוק הכשרות המשפטית והאפוטרופסות (תיקון - אפוטרופוס לדין), התשפ""ו-2025")</f>
        <v>2213</v>
      </c>
      <c r="E1032" t="s">
        <v>2213</v>
      </c>
      <c r="F1032" t="s">
        <v>2214</v>
      </c>
      <c r="G1032" t="s">
        <v>14</v>
      </c>
      <c r="H1032">
             </c>
      <c r="I1032" t="s">
        <v>14</v>
      </c>
      <c r="J1032" t="s">
        <v>141</v>
      </c>
      <c r="K1032" t="s">
        <v>14</v>
      </c>
      <c r="L1032" t="s">
        <v>20</v>
      </c>
      <c r="M1032" t="s">
        <v>2196</v>
      </c>
      <c r="N1032" t="s">
        <v>14</v>
      </c>
    </row>
    <row r="1033" x14ac:dyDescent="0.25">
      <c r="A1033" t="n">
        <v>25</v>
      </c>
      <c r="B1033" t="s">
        <v>14</v>
      </c>
      <c r="C1033" t="s">
        <v>22</v>
      </c>
      <c r="D1033" s="2" t="s">
        <f>=HYPERLINK("https://main.knesset.gov.il/APPS/legislation/main/bills/2235115", "הצעת חוק לתיקון פקודת מסילות הברזל (העלאת אופניים לרכבת), התשפ""ו-2025")</f>
        <v>2215</v>
      </c>
      <c r="E1033" t="s">
        <v>2215</v>
      </c>
      <c r="F1033" t="s">
        <v>2216</v>
      </c>
      <c r="G1033" t="s">
        <v>14</v>
      </c>
      <c r="H1033">
             </c>
      <c r="I1033" t="s">
        <v>14</v>
      </c>
      <c r="J1033" t="s">
        <v>141</v>
      </c>
      <c r="K1033" t="s">
        <v>14</v>
      </c>
      <c r="L1033" t="s">
        <v>20</v>
      </c>
      <c r="M1033" t="s">
        <v>2196</v>
      </c>
      <c r="N1033" t="s">
        <v>14</v>
      </c>
    </row>
    <row r="1034" x14ac:dyDescent="0.25">
      <c r="A1034" t="n">
        <v>25</v>
      </c>
      <c r="B1034" t="s">
        <v>14</v>
      </c>
      <c r="C1034" t="s">
        <v>22</v>
      </c>
      <c r="D1034" s="2" t="s">
        <f>=HYPERLINK("https://main.knesset.gov.il/APPS/legislation/main/bills/2235109", "הצעת חוק הגנת הצרכן (תיקון - סיכום פניה), התשפ""ו-2025")</f>
        <v>2217</v>
      </c>
      <c r="E1034" t="s">
        <v>2217</v>
      </c>
      <c r="F1034" t="s">
        <v>2218</v>
      </c>
      <c r="G1034" t="s">
        <v>14</v>
      </c>
      <c r="H1034">
             </c>
      <c r="I1034" t="s">
        <v>14</v>
      </c>
      <c r="J1034" t="s">
        <v>141</v>
      </c>
      <c r="K1034" t="s">
        <v>14</v>
      </c>
      <c r="L1034" t="s">
        <v>20</v>
      </c>
      <c r="M1034" t="s">
        <v>2196</v>
      </c>
      <c r="N1034" t="s">
        <v>14</v>
      </c>
    </row>
    <row r="1035" x14ac:dyDescent="0.25">
      <c r="A1035" t="n">
        <v>25</v>
      </c>
      <c r="B1035" t="s">
        <v>14</v>
      </c>
      <c r="C1035" t="s">
        <v>22</v>
      </c>
      <c r="D1035" s="2" t="s">
        <f>=HYPERLINK("https://main.knesset.gov.il/APPS/legislation/main/bills/2235114", "הצעת חוק לתיקון פקודת מסילות הברזל (פטור מתשלום דמי נסיעה לעגלת ילדים), התשפ""ו-2025")</f>
        <v>2219</v>
      </c>
      <c r="E1035" t="s">
        <v>2219</v>
      </c>
      <c r="F1035" t="s">
        <v>2220</v>
      </c>
      <c r="G1035" t="s">
        <v>14</v>
      </c>
      <c r="H1035">
             </c>
      <c r="I1035" t="s">
        <v>14</v>
      </c>
      <c r="J1035" t="s">
        <v>141</v>
      </c>
      <c r="K1035" t="s">
        <v>14</v>
      </c>
      <c r="L1035" t="s">
        <v>20</v>
      </c>
      <c r="M1035" t="s">
        <v>2196</v>
      </c>
      <c r="N1035" t="s">
        <v>14</v>
      </c>
    </row>
    <row r="1036" x14ac:dyDescent="0.25">
      <c r="A1036" t="n">
        <v>25</v>
      </c>
      <c r="B1036" t="s">
        <v>14</v>
      </c>
      <c r="C1036" t="s">
        <v>22</v>
      </c>
      <c r="D1036" s="2" t="s">
        <f>=HYPERLINK("https://main.knesset.gov.il/APPS/legislation/main/bills/2234444", "הצעת חוק הכניסה לישראל (תיקון - קיצור תקופת ביטול אשרה לעובד זר), התשפ""ו-2025")</f>
        <v>2106</v>
      </c>
      <c r="E1036" t="s">
        <v>2106</v>
      </c>
      <c r="F1036" t="s">
        <v>2221</v>
      </c>
      <c r="G1036" t="s">
        <v>14</v>
      </c>
      <c r="H1036">
             </c>
      <c r="I1036" t="s">
        <v>14</v>
      </c>
      <c r="J1036" t="s">
        <v>141</v>
      </c>
      <c r="K1036" t="s">
        <v>14</v>
      </c>
      <c r="L1036" t="s">
        <v>20</v>
      </c>
      <c r="M1036" t="s">
        <v>2196</v>
      </c>
      <c r="N1036" t="s">
        <v>14</v>
      </c>
    </row>
    <row r="1037" x14ac:dyDescent="0.25">
      <c r="A1037" t="n">
        <v>25</v>
      </c>
      <c r="B1037" t="s">
        <v>14</v>
      </c>
      <c r="C1037" t="s">
        <v>22</v>
      </c>
      <c r="D1037" s="2" t="s">
        <f>=HYPERLINK("https://main.knesset.gov.il/APPS/legislation/main/bills/2235345", "הצעת חוק התכנון והבנייה (תיקון - מכירה ישירה של תוצרת חקלאית), התשפ""ו-2025")</f>
        <v>2222</v>
      </c>
      <c r="E1037" t="s">
        <v>2222</v>
      </c>
      <c r="F1037" t="s">
        <v>2223</v>
      </c>
      <c r="G1037" t="s">
        <v>14</v>
      </c>
      <c r="H1037">
             </c>
      <c r="I1037" t="s">
        <v>14</v>
      </c>
      <c r="J1037" t="s">
        <v>141</v>
      </c>
      <c r="K1037" t="s">
        <v>14</v>
      </c>
      <c r="L1037" t="s">
        <v>20</v>
      </c>
      <c r="M1037" t="s">
        <v>2196</v>
      </c>
      <c r="N1037" t="s">
        <v>14</v>
      </c>
    </row>
    <row r="1038" x14ac:dyDescent="0.25">
      <c r="A1038" t="n">
        <v>25</v>
      </c>
      <c r="B1038" t="s">
        <v>14</v>
      </c>
      <c r="C1038" t="s">
        <v>22</v>
      </c>
      <c r="D1038" s="2" t="s">
        <f>=HYPERLINK("https://main.knesset.gov.il/APPS/legislation/main/bills/2232290", "הצעת חוק מרשם האוכלוסין (תיקון - קביעת מינו של אדם בתיעוד ממשלתי - אמת), התשפ""ו-2025")</f>
        <v>2224</v>
      </c>
      <c r="E1038" t="s">
        <v>2224</v>
      </c>
      <c r="F1038" t="s">
        <v>2225</v>
      </c>
      <c r="G1038" t="s">
        <v>14</v>
      </c>
      <c r="H1038">
             </c>
      <c r="I1038" t="s">
        <v>14</v>
      </c>
      <c r="J1038" t="s">
        <v>141</v>
      </c>
      <c r="K1038" t="s">
        <v>14</v>
      </c>
      <c r="L1038" t="s">
        <v>20</v>
      </c>
      <c r="M1038" t="s">
        <v>2196</v>
      </c>
      <c r="N1038" t="s">
        <v>14</v>
      </c>
    </row>
    <row r="1039" x14ac:dyDescent="0.25">
      <c r="A1039" t="n">
        <v>25</v>
      </c>
      <c r="B1039" t="s">
        <v>14</v>
      </c>
      <c r="C1039" t="s">
        <v>22</v>
      </c>
      <c r="D1039" s="2" t="s">
        <f>=HYPERLINK("https://main.knesset.gov.il/APPS/legislation/main/bills/2234655", "הצעת חוק-יסוד: הכנסת (תיקון - הורדת גיל הבחירה) ")</f>
        <v>2226</v>
      </c>
      <c r="E1039" t="s">
        <v>2226</v>
      </c>
      <c r="F1039" t="s">
        <v>2227</v>
      </c>
      <c r="G1039" t="s">
        <v>14</v>
      </c>
      <c r="H1039">
             </c>
      <c r="I1039" t="s">
        <v>14</v>
      </c>
      <c r="J1039" t="s">
        <v>141</v>
      </c>
      <c r="K1039" t="s">
        <v>14</v>
      </c>
      <c r="L1039" t="s">
        <v>20</v>
      </c>
      <c r="M1039" t="s">
        <v>2196</v>
      </c>
      <c r="N1039" t="s">
        <v>14</v>
      </c>
    </row>
    <row r="1040" x14ac:dyDescent="0.25">
      <c r="A1040" t="n">
        <v>25</v>
      </c>
      <c r="B1040" t="s">
        <v>14</v>
      </c>
      <c r="C1040" t="s">
        <v>22</v>
      </c>
      <c r="D1040" s="2" t="s">
        <f>=HYPERLINK("https://main.knesset.gov.il/APPS/legislation/main/bills/2235027", "הצעת חוק רמת הגולן (תיקון - החלת ריבונות על אזורים שהיו בשליטת ישראל בסיום מלחמת יום הכיפורים), התשפ""ו-2025")</f>
        <v>2228</v>
      </c>
      <c r="E1040" t="s">
        <v>2228</v>
      </c>
      <c r="F1040" t="s">
        <v>2229</v>
      </c>
      <c r="G1040" t="s">
        <v>14</v>
      </c>
      <c r="H1040">
             </c>
      <c r="I1040" t="s">
        <v>14</v>
      </c>
      <c r="J1040" t="s">
        <v>141</v>
      </c>
      <c r="K1040" t="s">
        <v>14</v>
      </c>
      <c r="L1040" t="s">
        <v>20</v>
      </c>
      <c r="M1040" t="s">
        <v>2196</v>
      </c>
      <c r="N1040" t="s">
        <v>14</v>
      </c>
    </row>
    <row r="1041" x14ac:dyDescent="0.25">
      <c r="A1041" t="n">
        <v>25</v>
      </c>
      <c r="B1041" t="s">
        <v>14</v>
      </c>
      <c r="C1041" t="s">
        <v>22</v>
      </c>
      <c r="D1041" s="2" t="s">
        <f>=HYPERLINK("https://main.knesset.gov.il/APPS/legislation/main/bills/2235111", "הצעת חוק גנים לאומיים, שמורות טבע, אתרים לאומיים ואתרי הנצחה (תיקון - הסדרת תחבורה ציבורית), התשפ""ו-2025")</f>
        <v>2230</v>
      </c>
      <c r="E1041" t="s">
        <v>2230</v>
      </c>
      <c r="F1041" t="s">
        <v>2231</v>
      </c>
      <c r="G1041" t="s">
        <v>14</v>
      </c>
      <c r="H1041">
             </c>
      <c r="I1041" t="s">
        <v>14</v>
      </c>
      <c r="J1041" t="s">
        <v>141</v>
      </c>
      <c r="K1041" t="s">
        <v>14</v>
      </c>
      <c r="L1041" t="s">
        <v>20</v>
      </c>
      <c r="M1041" t="s">
        <v>2196</v>
      </c>
      <c r="N1041" t="s">
        <v>14</v>
      </c>
    </row>
    <row r="1042" x14ac:dyDescent="0.25">
      <c r="A1042" t="n">
        <v>25</v>
      </c>
      <c r="B1042" t="s">
        <v>14</v>
      </c>
      <c r="C1042" t="s">
        <v>22</v>
      </c>
      <c r="D1042" s="2" t="s">
        <f>=HYPERLINK("https://main.knesset.gov.il/APPS/legislation/main/bills/2234358", "הצעת חוק התכנון והבנייה (תיקון - הוספת נציגי ארגונים סביבתיים בוועדות התכנון הארציות, האזוריות, המקומיות ובוועדות המיוחדות), התשפ״ו-2025")</f>
        <v>2232</v>
      </c>
      <c r="E1042" t="s">
        <v>2232</v>
      </c>
      <c r="F1042" t="s">
        <v>2233</v>
      </c>
      <c r="G1042" t="s">
        <v>14</v>
      </c>
      <c r="H1042">
             </c>
      <c r="I1042" t="s">
        <v>14</v>
      </c>
      <c r="J1042" t="s">
        <v>141</v>
      </c>
      <c r="K1042" t="s">
        <v>14</v>
      </c>
      <c r="L1042" t="s">
        <v>20</v>
      </c>
      <c r="M1042" t="s">
        <v>2196</v>
      </c>
      <c r="N1042" t="s">
        <v>14</v>
      </c>
    </row>
    <row r="1043" x14ac:dyDescent="0.25">
      <c r="A1043" t="n">
        <v>25</v>
      </c>
      <c r="B1043" t="s">
        <v>14</v>
      </c>
      <c r="C1043" t="s">
        <v>22</v>
      </c>
      <c r="D1043" s="2" t="s">
        <f>=HYPERLINK("https://main.knesset.gov.il/APPS/legislation/main/bills/2234395", "הצעת חוק הסיוע המשפטי (תיקון - סיוע משפטי למטופלים סיעודיים), התשפ""ו-2025 ")</f>
        <v>2234</v>
      </c>
      <c r="E1043" t="s">
        <v>2234</v>
      </c>
      <c r="F1043" t="s">
        <v>2235</v>
      </c>
      <c r="G1043" t="s">
        <v>14</v>
      </c>
      <c r="H1043">
             </c>
      <c r="I1043" t="s">
        <v>14</v>
      </c>
      <c r="J1043" t="s">
        <v>141</v>
      </c>
      <c r="K1043" t="s">
        <v>14</v>
      </c>
      <c r="L1043" t="s">
        <v>20</v>
      </c>
      <c r="M1043" t="s">
        <v>2196</v>
      </c>
      <c r="N1043" t="s">
        <v>14</v>
      </c>
    </row>
    <row r="1044" x14ac:dyDescent="0.25">
      <c r="A1044" t="n">
        <v>25</v>
      </c>
      <c r="B1044" t="s">
        <v>14</v>
      </c>
      <c r="C1044" t="s">
        <v>22</v>
      </c>
      <c r="D1044" s="2" t="s">
        <f>=HYPERLINK("https://main.knesset.gov.il/APPS/legislation/main/bills/2235107", "הצעת חוק הבחירות לכנסת (תיקון - ביטול אחוז החסימה ותיקון הסכמי עודפים), התשפ""ו-2025")</f>
        <v>2236</v>
      </c>
      <c r="E1044" t="s">
        <v>2236</v>
      </c>
      <c r="F1044" t="s">
        <v>2237</v>
      </c>
      <c r="G1044" t="s">
        <v>14</v>
      </c>
      <c r="H1044">
             </c>
      <c r="I1044" t="s">
        <v>14</v>
      </c>
      <c r="J1044" t="s">
        <v>141</v>
      </c>
      <c r="K1044" t="s">
        <v>14</v>
      </c>
      <c r="L1044" t="s">
        <v>20</v>
      </c>
      <c r="M1044" t="s">
        <v>2196</v>
      </c>
      <c r="N1044" t="s">
        <v>14</v>
      </c>
    </row>
    <row r="1045" x14ac:dyDescent="0.25">
      <c r="A1045" t="n">
        <v>25</v>
      </c>
      <c r="B1045" t="s">
        <v>14</v>
      </c>
      <c r="C1045" t="s">
        <v>22</v>
      </c>
      <c r="D1045" s="2" t="s">
        <f>=HYPERLINK("https://main.knesset.gov.il/APPS/legislation/main/bills/2234586", "הצעת חוק עידוד תרומות מזון (תיקון - חובת העברת עודפי מזון לארגון לחלוקת מזון), התשפ""ו-2025")</f>
        <v>2238</v>
      </c>
      <c r="E1045" t="s">
        <v>2238</v>
      </c>
      <c r="F1045" t="s">
        <v>2239</v>
      </c>
      <c r="G1045" t="s">
        <v>14</v>
      </c>
      <c r="H1045">
             </c>
      <c r="I1045" t="s">
        <v>14</v>
      </c>
      <c r="J1045" t="s">
        <v>141</v>
      </c>
      <c r="K1045" t="s">
        <v>14</v>
      </c>
      <c r="L1045" t="s">
        <v>20</v>
      </c>
      <c r="M1045" t="s">
        <v>2196</v>
      </c>
      <c r="N1045" t="s">
        <v>14</v>
      </c>
    </row>
    <row r="1046" x14ac:dyDescent="0.25">
      <c r="A1046" t="n">
        <v>25</v>
      </c>
      <c r="B1046" t="s">
        <v>14</v>
      </c>
      <c r="C1046" t="s">
        <v>22</v>
      </c>
      <c r="D1046" s="2" t="s">
        <f>=HYPERLINK("https://main.knesset.gov.il/APPS/legislation/main/bills/2234349", "הצעת חוק הרשות הממשלתית להתחדשות עירונית (תיקון - הפחתת התלות בתחבורה ממונעת), התשפ״ו-2025")</f>
        <v>2240</v>
      </c>
      <c r="E1046" t="s">
        <v>2240</v>
      </c>
      <c r="F1046" t="s">
        <v>2241</v>
      </c>
      <c r="G1046" t="s">
        <v>14</v>
      </c>
      <c r="H1046">
             </c>
      <c r="I1046" t="s">
        <v>14</v>
      </c>
      <c r="J1046" t="s">
        <v>141</v>
      </c>
      <c r="K1046" t="s">
        <v>14</v>
      </c>
      <c r="L1046" t="s">
        <v>20</v>
      </c>
      <c r="M1046" t="s">
        <v>2196</v>
      </c>
      <c r="N1046" t="s">
        <v>14</v>
      </c>
    </row>
    <row r="1047" x14ac:dyDescent="0.25">
      <c r="A1047" t="n">
        <v>25</v>
      </c>
      <c r="B1047" t="s">
        <v>14</v>
      </c>
      <c r="C1047" t="s">
        <v>22</v>
      </c>
      <c r="D1047" s="2" t="s">
        <f>=HYPERLINK("https://main.knesset.gov.il/APPS/legislation/main/bills/2234647", "הצעת חוק לעידוד השקעות הון (תיקון - מפעל בר-תחרות כמפעל הממוקם עד 2 ק""מ מהגבול הצפוני), התשפ""ו-2025")</f>
        <v>2242</v>
      </c>
      <c r="E1047" t="s">
        <v>2242</v>
      </c>
      <c r="F1047" t="s">
        <v>2243</v>
      </c>
      <c r="G1047" t="s">
        <v>14</v>
      </c>
      <c r="H1047">
             </c>
      <c r="I1047" t="s">
        <v>14</v>
      </c>
      <c r="J1047" t="s">
        <v>141</v>
      </c>
      <c r="K1047" t="s">
        <v>14</v>
      </c>
      <c r="L1047" t="s">
        <v>20</v>
      </c>
      <c r="M1047" t="s">
        <v>2196</v>
      </c>
      <c r="N1047" t="s">
        <v>14</v>
      </c>
    </row>
    <row r="1048" x14ac:dyDescent="0.25">
      <c r="A1048" t="n">
        <v>25</v>
      </c>
      <c r="B1048" t="s">
        <v>14</v>
      </c>
      <c r="C1048" t="s">
        <v>22</v>
      </c>
      <c r="D1048" s="2" t="s">
        <f>=HYPERLINK("https://main.knesset.gov.il/APPS/legislation/main/bills/2235106", "הצעת חוק-יסוד: נשיא המדינה (תיקון - ייחוד כהונה) ")</f>
        <v>2244</v>
      </c>
      <c r="E1048" t="s">
        <v>2244</v>
      </c>
      <c r="F1048" t="s">
        <v>2245</v>
      </c>
      <c r="G1048" t="s">
        <v>14</v>
      </c>
      <c r="H1048">
             </c>
      <c r="I1048" t="s">
        <v>14</v>
      </c>
      <c r="J1048" t="s">
        <v>141</v>
      </c>
      <c r="K1048" t="s">
        <v>14</v>
      </c>
      <c r="L1048" t="s">
        <v>20</v>
      </c>
      <c r="M1048" t="s">
        <v>2196</v>
      </c>
      <c r="N1048" t="s">
        <v>14</v>
      </c>
    </row>
    <row r="1049" x14ac:dyDescent="0.25">
      <c r="A1049" t="n">
        <v>25</v>
      </c>
      <c r="B1049" t="s">
        <v>14</v>
      </c>
      <c r="C1049" t="s">
        <v>22</v>
      </c>
      <c r="D1049" s="2" t="s">
        <f>=HYPERLINK("https://main.knesset.gov.il/APPS/legislation/main/bills/2234563", "הצעת חוק המרכז להנצחת מורשתו של הנשיא יצחק נבון, התשפ""ו-2025")</f>
        <v>2246</v>
      </c>
      <c r="E1049" t="s">
        <v>2246</v>
      </c>
      <c r="F1049" t="s">
        <v>2247</v>
      </c>
      <c r="G1049" t="s">
        <v>14</v>
      </c>
      <c r="H1049">
             </c>
      <c r="I1049" t="s">
        <v>14</v>
      </c>
      <c r="J1049" t="s">
        <v>141</v>
      </c>
      <c r="K1049" t="s">
        <v>14</v>
      </c>
      <c r="L1049" t="s">
        <v>20</v>
      </c>
      <c r="M1049" t="s">
        <v>2196</v>
      </c>
      <c r="N1049" t="s">
        <v>14</v>
      </c>
    </row>
    <row r="1050" x14ac:dyDescent="0.25">
      <c r="A1050" t="n">
        <v>25</v>
      </c>
      <c r="B1050" t="s">
        <v>14</v>
      </c>
      <c r="C1050" t="s">
        <v>22</v>
      </c>
      <c r="D1050" s="2" t="s">
        <f>=HYPERLINK("https://main.knesset.gov.il/APPS/legislation/main/bills/2230562", "הצעת חוק התכנון והבנייה (תיקון - הגבלת הספקת חשמל, מים וטלפון), התשפ""ו-2025")</f>
        <v>2248</v>
      </c>
      <c r="E1050" t="s">
        <v>2248</v>
      </c>
      <c r="F1050" t="s">
        <v>2249</v>
      </c>
      <c r="G1050" t="s">
        <v>14</v>
      </c>
      <c r="H1050">
             </c>
      <c r="I1050" t="s">
        <v>14</v>
      </c>
      <c r="J1050" t="s">
        <v>141</v>
      </c>
      <c r="K1050" t="s">
        <v>14</v>
      </c>
      <c r="L1050" t="s">
        <v>20</v>
      </c>
      <c r="M1050" t="s">
        <v>2196</v>
      </c>
      <c r="N1050" t="s">
        <v>14</v>
      </c>
    </row>
    <row r="1051" x14ac:dyDescent="0.25">
      <c r="A1051" t="n">
        <v>25</v>
      </c>
      <c r="B1051" t="s">
        <v>14</v>
      </c>
      <c r="C1051" t="s">
        <v>22</v>
      </c>
      <c r="D1051" s="2" t="s">
        <f>=HYPERLINK("https://main.knesset.gov.il/APPS/legislation/main/bills/2234725", "הצעת חוק השכירות והשאילה (תיקון - איסור הטלת דמי תיווך על השוכר), התשפ""ו-2025")</f>
        <v>2250</v>
      </c>
      <c r="E1051" t="s">
        <v>2250</v>
      </c>
      <c r="F1051" t="s">
        <v>2251</v>
      </c>
      <c r="G1051" t="s">
        <v>14</v>
      </c>
      <c r="H1051">
             </c>
      <c r="I1051" t="s">
        <v>14</v>
      </c>
      <c r="J1051" t="s">
        <v>141</v>
      </c>
      <c r="K1051" t="s">
        <v>14</v>
      </c>
      <c r="L1051" t="s">
        <v>20</v>
      </c>
      <c r="M1051" t="s">
        <v>2196</v>
      </c>
      <c r="N1051" t="s">
        <v>14</v>
      </c>
    </row>
    <row r="1052" x14ac:dyDescent="0.25">
      <c r="A1052" t="n">
        <v>25</v>
      </c>
      <c r="B1052" t="s">
        <v>14</v>
      </c>
      <c r="C1052" t="s">
        <v>22</v>
      </c>
      <c r="D1052" s="2" t="s">
        <f>=HYPERLINK("https://main.knesset.gov.il/APPS/legislation/main/bills/2234650", "הצעת חוק-יסוד: ההגירה לישראל")</f>
        <v>2252</v>
      </c>
      <c r="E1052" t="s">
        <v>2252</v>
      </c>
      <c r="F1052" t="s">
        <v>2253</v>
      </c>
      <c r="G1052" t="s">
        <v>14</v>
      </c>
      <c r="H1052">
             </c>
      <c r="I1052" t="s">
        <v>14</v>
      </c>
      <c r="J1052" t="s">
        <v>141</v>
      </c>
      <c r="K1052" t="s">
        <v>14</v>
      </c>
      <c r="L1052" t="s">
        <v>20</v>
      </c>
      <c r="M1052" t="s">
        <v>2196</v>
      </c>
      <c r="N1052" t="s">
        <v>14</v>
      </c>
    </row>
    <row r="1053" x14ac:dyDescent="0.25">
      <c r="A1053" t="n">
        <v>25</v>
      </c>
      <c r="B1053" t="s">
        <v>14</v>
      </c>
      <c r="C1053" t="s">
        <v>22</v>
      </c>
      <c r="D1053" s="2" t="s">
        <f>=HYPERLINK("https://main.knesset.gov.il/APPS/legislation/main/bills/2234551", "הצעת חוק-יסוד: הכנסת (תיקון - ביטול הפסקת חברות של חבר הכנסת)")</f>
        <v>2254</v>
      </c>
      <c r="E1053" t="s">
        <v>2254</v>
      </c>
      <c r="F1053" t="s">
        <v>2255</v>
      </c>
      <c r="G1053" t="s">
        <v>14</v>
      </c>
      <c r="H1053">
             </c>
      <c r="I1053" t="s">
        <v>14</v>
      </c>
      <c r="J1053" t="s">
        <v>141</v>
      </c>
      <c r="K1053" t="s">
        <v>14</v>
      </c>
      <c r="L1053" t="s">
        <v>20</v>
      </c>
      <c r="M1053" t="s">
        <v>2196</v>
      </c>
      <c r="N1053" t="s">
        <v>14</v>
      </c>
    </row>
    <row r="1054" x14ac:dyDescent="0.25">
      <c r="A1054" t="n">
        <v>25</v>
      </c>
      <c r="B1054" t="s">
        <v>14</v>
      </c>
      <c r="C1054" t="s">
        <v>22</v>
      </c>
      <c r="D1054" s="2" t="s">
        <f>=HYPERLINK("https://main.knesset.gov.il/APPS/legislation/main/bills/2235108", "הצעת חוק הממשלה (תיקון - דיווח על נסיעות שרים לחוץ לארץ), התשפ""ו-2025")</f>
        <v>2256</v>
      </c>
      <c r="E1054" t="s">
        <v>2256</v>
      </c>
      <c r="F1054" t="s">
        <v>2257</v>
      </c>
      <c r="G1054" t="s">
        <v>14</v>
      </c>
      <c r="H1054">
             </c>
      <c r="I1054" t="s">
        <v>14</v>
      </c>
      <c r="J1054" t="s">
        <v>141</v>
      </c>
      <c r="K1054" t="s">
        <v>14</v>
      </c>
      <c r="L1054" t="s">
        <v>20</v>
      </c>
      <c r="M1054" t="s">
        <v>2196</v>
      </c>
      <c r="N1054" t="s">
        <v>14</v>
      </c>
    </row>
    <row r="1055" x14ac:dyDescent="0.25">
      <c r="A1055" t="n">
        <v>25</v>
      </c>
      <c r="B1055" t="s">
        <v>14</v>
      </c>
      <c r="C1055" t="s">
        <v>22</v>
      </c>
      <c r="D1055" s="2" t="s">
        <f>=HYPERLINK("https://main.knesset.gov.il/APPS/legislation/main/bills/2235076", "הצעת חוק הכרה ברצח העם הארמני וציון יום זיכרון, התשפ""ו-2025")</f>
        <v>2258</v>
      </c>
      <c r="E1055" t="s">
        <v>2258</v>
      </c>
      <c r="F1055" t="s">
        <v>2259</v>
      </c>
      <c r="G1055" t="s">
        <v>14</v>
      </c>
      <c r="H1055">
             </c>
      <c r="I1055" t="s">
        <v>14</v>
      </c>
      <c r="J1055" t="s">
        <v>141</v>
      </c>
      <c r="K1055" t="s">
        <v>14</v>
      </c>
      <c r="L1055" t="s">
        <v>20</v>
      </c>
      <c r="M1055" t="s">
        <v>2196</v>
      </c>
      <c r="N1055" t="s">
        <v>14</v>
      </c>
    </row>
    <row r="1056" x14ac:dyDescent="0.25">
      <c r="A1056" t="n">
        <v>25</v>
      </c>
      <c r="B1056" t="s">
        <v>14</v>
      </c>
      <c r="C1056" t="s">
        <v>22</v>
      </c>
      <c r="D1056" s="2" t="s">
        <f>=HYPERLINK("https://main.knesset.gov.il/APPS/legislation/main/bills/2235104", "הצעת חוק היועץ המשפטי לראש הממשלה (מינוי וכהונה), התשפ""ו-2025")</f>
        <v>2260</v>
      </c>
      <c r="E1056" t="s">
        <v>2260</v>
      </c>
      <c r="F1056" t="s">
        <v>2261</v>
      </c>
      <c r="G1056" t="s">
        <v>14</v>
      </c>
      <c r="H1056">
             </c>
      <c r="I1056" t="s">
        <v>14</v>
      </c>
      <c r="J1056" t="s">
        <v>141</v>
      </c>
      <c r="K1056" t="s">
        <v>14</v>
      </c>
      <c r="L1056" t="s">
        <v>20</v>
      </c>
      <c r="M1056" t="s">
        <v>2196</v>
      </c>
      <c r="N1056" t="s">
        <v>14</v>
      </c>
    </row>
    <row r="1057" x14ac:dyDescent="0.25">
      <c r="A1057" t="n">
        <v>25</v>
      </c>
      <c r="B1057" t="s">
        <v>14</v>
      </c>
      <c r="C1057" t="s">
        <v>22</v>
      </c>
      <c r="D1057" s="2" t="s">
        <f>=HYPERLINK("https://main.knesset.gov.il/APPS/legislation/main/bills/2233671", "הצעת חוק לביצוע התאמות אקלימיות בדירת מגורים, התשפ""ו-2025")</f>
        <v>2262</v>
      </c>
      <c r="E1057" t="s">
        <v>2262</v>
      </c>
      <c r="F1057" t="s">
        <v>2263</v>
      </c>
      <c r="G1057" t="s">
        <v>14</v>
      </c>
      <c r="H1057">
             </c>
      <c r="I1057" t="s">
        <v>14</v>
      </c>
      <c r="J1057" t="s">
        <v>141</v>
      </c>
      <c r="K1057" t="s">
        <v>14</v>
      </c>
      <c r="L1057" t="s">
        <v>20</v>
      </c>
      <c r="M1057" t="s">
        <v>2196</v>
      </c>
      <c r="N1057" t="s">
        <v>14</v>
      </c>
    </row>
    <row r="1058" x14ac:dyDescent="0.25">
      <c r="A1058" t="n">
        <v>25</v>
      </c>
      <c r="B1058" t="s">
        <v>14</v>
      </c>
      <c r="C1058" t="s">
        <v>22</v>
      </c>
      <c r="D1058" s="2" t="s">
        <f>=HYPERLINK("https://main.knesset.gov.il/APPS/legislation/main/bills/2234724", "הצעת חוק לימוד חובה (תיקון - מנהל מוסד חינוך), התשפ""ו-2025")</f>
        <v>2264</v>
      </c>
      <c r="E1058" t="s">
        <v>2264</v>
      </c>
      <c r="F1058" t="s">
        <v>2265</v>
      </c>
      <c r="G1058" t="s">
        <v>14</v>
      </c>
      <c r="H1058">
             </c>
      <c r="I1058" t="s">
        <v>14</v>
      </c>
      <c r="J1058" t="s">
        <v>141</v>
      </c>
      <c r="K1058" t="s">
        <v>14</v>
      </c>
      <c r="L1058" t="s">
        <v>20</v>
      </c>
      <c r="M1058" t="s">
        <v>2196</v>
      </c>
      <c r="N1058" t="s">
        <v>14</v>
      </c>
    </row>
    <row r="1059" x14ac:dyDescent="0.25">
      <c r="A1059" t="n">
        <v>25</v>
      </c>
      <c r="B1059" t="s">
        <v>14</v>
      </c>
      <c r="C1059" t="s">
        <v>22</v>
      </c>
      <c r="D1059" s="2" t="s">
        <f>=HYPERLINK("https://main.knesset.gov.il/APPS/legislation/main/bills/2234102", "הצעת חוק הרשויות המקומיות (מימון בחירות) (הוראת שעה) (הארכת מועד לבקשת קבלת מימון), התשפ""ו-2025")</f>
        <v>2266</v>
      </c>
      <c r="E1059" t="s">
        <v>2266</v>
      </c>
      <c r="F1059" t="s">
        <v>2267</v>
      </c>
      <c r="G1059" t="s">
        <v>14</v>
      </c>
      <c r="H1059">
             </c>
      <c r="I1059" t="s">
        <v>14</v>
      </c>
      <c r="J1059" t="s">
        <v>141</v>
      </c>
      <c r="K1059" t="s">
        <v>14</v>
      </c>
      <c r="L1059" t="s">
        <v>20</v>
      </c>
      <c r="M1059" t="s">
        <v>2196</v>
      </c>
      <c r="N1059" t="s">
        <v>14</v>
      </c>
    </row>
    <row r="1060" x14ac:dyDescent="0.25">
      <c r="A1060" t="n">
        <v>25</v>
      </c>
      <c r="B1060" t="s">
        <v>14</v>
      </c>
      <c r="C1060" t="s">
        <v>22</v>
      </c>
      <c r="D1060" s="2" t="s">
        <f>=HYPERLINK("https://main.knesset.gov.il/APPS/legislation/main/bills/2230566", "הצעת חוק הכניסה לישראל (תיקון - רישיון ואשרה לעובדים זרים), התשפ""ו-2025")</f>
        <v>2268</v>
      </c>
      <c r="E1060" t="s">
        <v>2268</v>
      </c>
      <c r="F1060" t="s">
        <v>2269</v>
      </c>
      <c r="G1060" t="s">
        <v>14</v>
      </c>
      <c r="H1060">
             </c>
      <c r="I1060" t="s">
        <v>14</v>
      </c>
      <c r="J1060" t="s">
        <v>141</v>
      </c>
      <c r="K1060" t="s">
        <v>14</v>
      </c>
      <c r="L1060" t="s">
        <v>20</v>
      </c>
      <c r="M1060" t="s">
        <v>2196</v>
      </c>
      <c r="N1060" t="s">
        <v>14</v>
      </c>
    </row>
    <row r="1061" x14ac:dyDescent="0.25">
      <c r="A1061" t="n">
        <v>25</v>
      </c>
      <c r="B1061" t="s">
        <v>14</v>
      </c>
      <c r="C1061" t="s">
        <v>22</v>
      </c>
      <c r="D1061" s="2" t="s">
        <f>=HYPERLINK("https://main.knesset.gov.il/APPS/legislation/main/bills/2234990", "הצעת חוק השבות (תיקון - זכויות בני משפחה), התשפ""ו-2025")</f>
        <v>2270</v>
      </c>
      <c r="E1061" t="s">
        <v>2270</v>
      </c>
      <c r="F1061" t="s">
        <v>2271</v>
      </c>
      <c r="G1061" t="s">
        <v>14</v>
      </c>
      <c r="H1061">
             </c>
      <c r="I1061" t="s">
        <v>14</v>
      </c>
      <c r="J1061" t="s">
        <v>343</v>
      </c>
      <c r="K1061" t="s">
        <v>14</v>
      </c>
      <c r="L1061" t="s">
        <v>20</v>
      </c>
      <c r="M1061" t="s">
        <v>2196</v>
      </c>
      <c r="N1061" t="s">
        <v>14</v>
      </c>
    </row>
    <row r="1062" x14ac:dyDescent="0.25">
      <c r="A1062" t="n">
        <v>25</v>
      </c>
      <c r="B1062" t="s">
        <v>14</v>
      </c>
      <c r="C1062" t="s">
        <v>22</v>
      </c>
      <c r="D1062" s="2" t="s">
        <f>=HYPERLINK("https://main.knesset.gov.il/APPS/legislation/main/bills/2234229", "הצעת חוק שירותי תשלום (תיקון - הודעה למשלם על כרטיס חיוב לא פעיל ועל מועד סיום פטור מדמי השימוש), התשפ""ו-2025")</f>
        <v>2272</v>
      </c>
      <c r="E1062" t="s">
        <v>2272</v>
      </c>
      <c r="F1062" t="s">
        <v>2273</v>
      </c>
      <c r="G1062" t="s">
        <v>14</v>
      </c>
      <c r="H1062">
             </c>
      <c r="I1062" t="s">
        <v>14</v>
      </c>
      <c r="J1062" t="s">
        <v>141</v>
      </c>
      <c r="K1062" t="s">
        <v>14</v>
      </c>
      <c r="L1062" t="s">
        <v>20</v>
      </c>
      <c r="M1062" t="s">
        <v>2196</v>
      </c>
      <c r="N1062" t="s">
        <v>14</v>
      </c>
    </row>
    <row r="1063" x14ac:dyDescent="0.25">
      <c r="A1063" t="n">
        <v>25</v>
      </c>
      <c r="B1063" t="s">
        <v>14</v>
      </c>
      <c r="C1063" t="s">
        <v>22</v>
      </c>
      <c r="D1063" s="2" t="s">
        <f>=HYPERLINK("https://main.knesset.gov.il/APPS/legislation/main/bills/2234572", "הצעת חוק הגנת הצרכן (תיקון - החמרת האכיפה והענישה על אי-הצגת מחיר על טובין על ידי קמעונאי גדול), התשפ""ו-2025")</f>
        <v>2274</v>
      </c>
      <c r="E1063" t="s">
        <v>2274</v>
      </c>
      <c r="F1063" t="s">
        <v>2275</v>
      </c>
      <c r="G1063" t="s">
        <v>14</v>
      </c>
      <c r="H1063">
             </c>
      <c r="I1063" t="s">
        <v>14</v>
      </c>
      <c r="J1063" t="s">
        <v>141</v>
      </c>
      <c r="K1063" t="s">
        <v>14</v>
      </c>
      <c r="L1063" t="s">
        <v>20</v>
      </c>
      <c r="M1063" t="s">
        <v>2196</v>
      </c>
      <c r="N1063" t="s">
        <v>14</v>
      </c>
    </row>
    <row r="1064" x14ac:dyDescent="0.25">
      <c r="A1064" t="n">
        <v>25</v>
      </c>
      <c r="B1064" t="s">
        <v>14</v>
      </c>
      <c r="C1064" t="s">
        <v>22</v>
      </c>
      <c r="D1064" s="2" t="s">
        <f>=HYPERLINK("https://main.knesset.gov.il/APPS/legislation/main/bills/2235110", "הצעת חוק הביטוח הלאומי (תיקון - דמי פגיעה לעובד עצמאי), התשפ""ו-2025")</f>
        <v>2276</v>
      </c>
      <c r="E1064" t="s">
        <v>2276</v>
      </c>
      <c r="F1064" t="s">
        <v>2277</v>
      </c>
      <c r="G1064" t="s">
        <v>14</v>
      </c>
      <c r="H1064">
             </c>
      <c r="I1064" t="s">
        <v>14</v>
      </c>
      <c r="J1064" t="s">
        <v>141</v>
      </c>
      <c r="K1064" t="s">
        <v>14</v>
      </c>
      <c r="L1064" t="s">
        <v>20</v>
      </c>
      <c r="M1064" t="s">
        <v>2196</v>
      </c>
      <c r="N1064" t="s">
        <v>14</v>
      </c>
    </row>
    <row r="1065" x14ac:dyDescent="0.25">
      <c r="A1065" t="n">
        <v>25</v>
      </c>
      <c r="B1065" t="s">
        <v>14</v>
      </c>
      <c r="C1065" t="s">
        <v>22</v>
      </c>
      <c r="D1065" s="2" t="s">
        <f>=HYPERLINK("https://main.knesset.gov.il/APPS/legislation/main/bills/2234713", "הצעת חוק לימוד חובה (תיקון - חינוך חינם לפעוטות), התשפ""ו-2025")</f>
        <v>2278</v>
      </c>
      <c r="E1065" t="s">
        <v>2278</v>
      </c>
      <c r="F1065" t="s">
        <v>2279</v>
      </c>
      <c r="G1065" t="s">
        <v>14</v>
      </c>
      <c r="H1065">
             </c>
      <c r="I1065" t="s">
        <v>14</v>
      </c>
      <c r="J1065" t="s">
        <v>343</v>
      </c>
      <c r="K1065" t="s">
        <v>14</v>
      </c>
      <c r="L1065" t="s">
        <v>20</v>
      </c>
      <c r="M1065" t="s">
        <v>2196</v>
      </c>
      <c r="N1065" t="s">
        <v>14</v>
      </c>
    </row>
    <row r="1066" x14ac:dyDescent="0.25">
      <c r="A1066" t="n">
        <v>25</v>
      </c>
      <c r="B1066" t="s">
        <v>14</v>
      </c>
      <c r="C1066" t="s">
        <v>15</v>
      </c>
      <c r="D1066" s="2" t="s">
        <f>=HYPERLINK("https://main.knesset.gov.il/APPS/legislation/main/bills/1042240", "הצעת חוק הטיס (תיקון מס' 7), התשפ""ו–2025")</f>
        <v>2280</v>
      </c>
      <c r="E1066" t="s">
        <v>2280</v>
      </c>
      <c r="F1066" t="s">
        <v>14</v>
      </c>
      <c r="G1066" t="s">
        <v>2281</v>
      </c>
      <c r="H1066">
             </c>
      <c r="I1066" t="s">
        <v>14</v>
      </c>
      <c r="J1066" t="s">
        <v>69</v>
      </c>
      <c r="K1066" t="s">
        <v>14</v>
      </c>
      <c r="L1066" t="s">
        <v>20</v>
      </c>
      <c r="M1066" t="s">
        <v>2196</v>
      </c>
      <c r="N1066" t="s">
        <v>14</v>
      </c>
    </row>
    <row r="1067" x14ac:dyDescent="0.25">
      <c r="A1067" t="n">
        <v>25</v>
      </c>
      <c r="B1067" t="s">
        <v>14</v>
      </c>
      <c r="C1067" t="s">
        <v>15</v>
      </c>
      <c r="D1067" s="2" t="s">
        <f>=HYPERLINK("https://main.knesset.gov.il/APPS/legislation/main/bills/1046200", "הצעת חוק הסניגוריה הציבורית (תיקון מס' 26) (הסתייעות במומחה או בחוקר לצורך ניהול הייצוג המשפטי), התשפ""ו-2025")</f>
        <v>2282</v>
      </c>
      <c r="E1067" t="s">
        <v>2282</v>
      </c>
      <c r="F1067" t="s">
        <v>14</v>
      </c>
      <c r="G1067" t="s">
        <v>2283</v>
      </c>
      <c r="H1067">
             </c>
      <c r="I1067" t="s">
        <v>14</v>
      </c>
      <c r="J1067" t="s">
        <v>69</v>
      </c>
      <c r="K1067" t="s">
        <v>14</v>
      </c>
      <c r="L1067" t="s">
        <v>20</v>
      </c>
      <c r="M1067" t="s">
        <v>2196</v>
      </c>
      <c r="N1067" t="s">
        <v>14</v>
      </c>
    </row>
    <row r="1068" x14ac:dyDescent="0.25">
      <c r="A1068" t="n">
        <v>25</v>
      </c>
      <c r="B1068" t="s">
        <v>14</v>
      </c>
      <c r="C1068" t="s">
        <v>15</v>
      </c>
      <c r="D1068" s="2" t="s">
        <f>=HYPERLINK("https://main.knesset.gov.il/APPS/legislation/main/bills/1046100", "הצעת חוק הקאדים (תיקון מס' 19), התשפ""ו-2025")</f>
        <v>2284</v>
      </c>
      <c r="E1068" t="s">
        <v>2284</v>
      </c>
      <c r="F1068" t="s">
        <v>14</v>
      </c>
      <c r="G1068" t="s">
        <v>2285</v>
      </c>
      <c r="H1068">
             </c>
      <c r="I1068" t="s">
        <v>14</v>
      </c>
      <c r="J1068" t="s">
        <v>69</v>
      </c>
      <c r="K1068" t="s">
        <v>14</v>
      </c>
      <c r="L1068" t="s">
        <v>20</v>
      </c>
      <c r="M1068" t="s">
        <v>2196</v>
      </c>
      <c r="N1068" t="s">
        <v>14</v>
      </c>
    </row>
    <row r="1069" x14ac:dyDescent="0.25">
      <c r="A1069" t="n">
        <v>25</v>
      </c>
      <c r="B1069" t="s">
        <v>14</v>
      </c>
      <c r="C1069" t="s">
        <v>15</v>
      </c>
      <c r="D1069" s="2" t="s">
        <f>=HYPERLINK("https://main.knesset.gov.il/APPS/legislation/main/bills/2235207", "חוק תקציב נוסף לשנת הכספים 2025, התשפ""ו-2025")</f>
        <v>2286</v>
      </c>
      <c r="E1069" t="s">
        <v>2286</v>
      </c>
      <c r="F1069" t="s">
        <v>14</v>
      </c>
      <c r="G1069" t="s">
        <v>2287</v>
      </c>
      <c r="H1069" t="n">
        <v>3455</v>
      </c>
      <c r="I1069" t="s">
        <v>14</v>
      </c>
      <c r="J1069" t="s">
        <v>91</v>
      </c>
      <c r="K1069" t="s">
        <v>85</v>
      </c>
      <c r="L1069" t="s">
        <v>20</v>
      </c>
      <c r="M1069" t="s">
        <v>2288</v>
      </c>
      <c r="N1069" t="s">
        <v>14</v>
      </c>
    </row>
    <row r="1070" x14ac:dyDescent="0.25">
      <c r="A1070" t="n">
        <v>25</v>
      </c>
      <c r="B1070" t="s">
        <v>14</v>
      </c>
      <c r="C1070" t="s">
        <v>15</v>
      </c>
      <c r="D1070" s="2" t="s">
        <f>=HYPERLINK("https://main.knesset.gov.il/APPS/legislation/main/bills/2235206", "חוק הפחתת הגירעון והגבלת ההוצאה התקציבית (תיקון מס' 29), התשפ""ו-2025")</f>
        <v>2289</v>
      </c>
      <c r="E1070" t="s">
        <v>2289</v>
      </c>
      <c r="F1070" t="s">
        <v>14</v>
      </c>
      <c r="G1070" t="s">
        <v>2290</v>
      </c>
      <c r="H1070" t="n">
        <v>3454</v>
      </c>
      <c r="I1070" t="s">
        <v>14</v>
      </c>
      <c r="J1070" t="s">
        <v>91</v>
      </c>
      <c r="K1070" t="s">
        <v>85</v>
      </c>
      <c r="L1070" t="s">
        <v>20</v>
      </c>
      <c r="M1070" t="s">
        <v>2288</v>
      </c>
      <c r="N1070" t="s">
        <v>14</v>
      </c>
    </row>
    <row r="1071" x14ac:dyDescent="0.25">
      <c r="A1071" t="n">
        <v>25</v>
      </c>
      <c r="B1071" t="s">
        <v>14</v>
      </c>
      <c r="C1071" t="s">
        <v>22</v>
      </c>
      <c r="D1071" s="2" t="s">
        <f>=HYPERLINK("https://main.knesset.gov.il/APPS/legislation/main/bills/2226038", "הצעת חוק תמיכה במימון פעילות ארגון נכי צה""ל ובתי הלוחם ובארגון נפגעי פעולות האיבה, התשפ""ה-2024")</f>
        <v>2291</v>
      </c>
      <c r="E1071" t="s">
        <v>2291</v>
      </c>
      <c r="F1071" t="s">
        <v>2292</v>
      </c>
      <c r="G1071" t="s">
        <v>14</v>
      </c>
      <c r="H1071">
             </c>
      <c r="I1071" t="s">
        <v>14</v>
      </c>
      <c r="J1071" t="s">
        <v>99</v>
      </c>
      <c r="K1071" t="s">
        <v>127</v>
      </c>
      <c r="L1071" t="s">
        <v>20</v>
      </c>
      <c r="M1071" t="s">
        <v>2293</v>
      </c>
      <c r="N1071" t="s">
        <v>14</v>
      </c>
    </row>
    <row r="1072" x14ac:dyDescent="0.25">
      <c r="A1072" t="n">
        <v>25</v>
      </c>
      <c r="B1072" t="s">
        <v>14</v>
      </c>
      <c r="C1072" t="s">
        <v>22</v>
      </c>
      <c r="D1072" s="2" t="s">
        <f>=HYPERLINK("https://main.knesset.gov.il/APPS/legislation/main/bills/2197582", "הצעת חוק המקרקעין (תיקון - התקנת עמדת טעינה לרכב חשמלי בבית משותף ודייני מקרקעין), התשפ""ג-2022")</f>
        <v>2294</v>
      </c>
      <c r="E1072" t="s">
        <v>2294</v>
      </c>
      <c r="F1072" t="s">
        <v>2295</v>
      </c>
      <c r="G1072" t="s">
        <v>14</v>
      </c>
      <c r="H1072">
             </c>
      <c r="I1072" t="s">
        <v>14</v>
      </c>
      <c r="J1072" t="s">
        <v>31</v>
      </c>
      <c r="K1072" t="s">
        <v>46</v>
      </c>
      <c r="L1072" t="s">
        <v>20</v>
      </c>
      <c r="M1072" t="s">
        <v>2296</v>
      </c>
      <c r="N1072" t="s">
        <v>14</v>
      </c>
    </row>
    <row r="1073" x14ac:dyDescent="0.25">
      <c r="A1073" t="n">
        <v>25</v>
      </c>
      <c r="B1073" t="s">
        <v>14</v>
      </c>
      <c r="C1073" t="s">
        <v>15</v>
      </c>
      <c r="D1073" s="2" t="s">
        <f>=HYPERLINK("https://main.knesset.gov.il/APPS/legislation/main/bills/2198284", "הצעת חוק המקרקעין (תיקון מס' 36) (התקנת עמדת טעינה לרכב חשמלי בבית משותף ודיני מקרקעין), התשפ""ג-2022 ")</f>
        <v>2297</v>
      </c>
      <c r="E1073" t="s">
        <v>2297</v>
      </c>
      <c r="F1073" t="s">
        <v>14</v>
      </c>
      <c r="G1073" t="s">
        <v>2298</v>
      </c>
      <c r="H1073">
             </c>
      <c r="I1073" t="s">
        <v>14</v>
      </c>
      <c r="J1073" t="s">
        <v>18</v>
      </c>
      <c r="K1073" t="s">
        <v>46</v>
      </c>
      <c r="L1073" t="s">
        <v>20</v>
      </c>
      <c r="M1073" t="s">
        <v>2296</v>
      </c>
      <c r="N1073" t="s">
        <v>14</v>
      </c>
    </row>
    <row r="1074" x14ac:dyDescent="0.25">
      <c r="A1074" t="n">
        <v>25</v>
      </c>
      <c r="B1074" t="s">
        <v>14</v>
      </c>
      <c r="C1074" t="s">
        <v>22</v>
      </c>
      <c r="D1074" s="2" t="s">
        <f>=HYPERLINK("https://main.knesset.gov.il/APPS/legislation/main/bills/2221062", "הצעת חוק אומנה לילדים (תיקון - הזכות לחינוך לילדים בהשמה חוץ-ביתית), התשפ""ד-2024")</f>
        <v>2299</v>
      </c>
      <c r="E1074" t="s">
        <v>2299</v>
      </c>
      <c r="F1074" t="s">
        <v>2300</v>
      </c>
      <c r="G1074" t="s">
        <v>14</v>
      </c>
      <c r="H1074">
             </c>
      <c r="I1074" t="s">
        <v>14</v>
      </c>
      <c r="J1074" t="s">
        <v>99</v>
      </c>
      <c r="K1074" t="s">
        <v>127</v>
      </c>
      <c r="L1074" t="s">
        <v>20</v>
      </c>
      <c r="M1074" t="s">
        <v>2301</v>
      </c>
      <c r="N1074" t="s">
        <v>14</v>
      </c>
    </row>
    <row r="1075" x14ac:dyDescent="0.25">
      <c r="A1075" t="n">
        <v>25</v>
      </c>
      <c r="B1075" t="s">
        <v>14</v>
      </c>
      <c r="C1075" t="s">
        <v>15</v>
      </c>
      <c r="D1075" s="2" t="s">
        <f>=HYPERLINK("https://main.knesset.gov.il/APPS/legislation/main/bills/2234441", "חוק התמודדות עם תקיפות סייבר חמורות במגזר השירותים הדיגיטליים ושירותי האחסון (הוראת שעה – חרבות ברזל) (תיקון מס' 3), התשפ""ה-2025")</f>
        <v>2302</v>
      </c>
      <c r="E1075" t="s">
        <v>2302</v>
      </c>
      <c r="F1075" t="s">
        <v>14</v>
      </c>
      <c r="G1075" t="s">
        <v>2303</v>
      </c>
      <c r="H1075" t="n">
        <v>3453</v>
      </c>
      <c r="I1075" t="s">
        <v>14</v>
      </c>
      <c r="J1075" t="s">
        <v>91</v>
      </c>
      <c r="K1075" t="s">
        <v>114</v>
      </c>
      <c r="L1075" t="s">
        <v>20</v>
      </c>
      <c r="M1075" t="s">
        <v>2304</v>
      </c>
      <c r="N1075" t="s">
        <v>2305</v>
      </c>
    </row>
    <row r="1076" x14ac:dyDescent="0.25">
      <c r="A1076" t="n">
        <v>25</v>
      </c>
      <c r="B1076" t="s">
        <v>14</v>
      </c>
      <c r="C1076" t="s">
        <v>15</v>
      </c>
      <c r="D1076" s="2" t="s">
        <f>=HYPERLINK("https://main.knesset.gov.il/APPS/legislation/main/bills/2233667", "חוק הגנה על עובדים בשעת חירום (תיקון מס' 5 והוראת שעה - חרבות ברזל) (תיקון מס' 4), התשפ""ה-2025")</f>
        <v>2306</v>
      </c>
      <c r="E1076" t="s">
        <v>2306</v>
      </c>
      <c r="F1076" t="s">
        <v>14</v>
      </c>
      <c r="G1076" t="s">
        <v>2307</v>
      </c>
      <c r="H1076" t="n">
        <v>3451</v>
      </c>
      <c r="I1076" t="s">
        <v>14</v>
      </c>
      <c r="J1076" t="s">
        <v>91</v>
      </c>
      <c r="K1076" t="s">
        <v>127</v>
      </c>
      <c r="L1076" t="s">
        <v>20</v>
      </c>
      <c r="M1076" t="s">
        <v>2304</v>
      </c>
      <c r="N1076" t="s">
        <v>2308</v>
      </c>
    </row>
    <row r="1077" x14ac:dyDescent="0.25">
      <c r="A1077" t="n">
        <v>25</v>
      </c>
      <c r="B1077" t="s">
        <v>14</v>
      </c>
      <c r="C1077" t="s">
        <v>15</v>
      </c>
      <c r="D1077" s="2" t="s">
        <f>=HYPERLINK("https://main.knesset.gov.il/APPS/legislation/main/bills/2194824", "חוק למניעת אלימות במשפחה (תיקון מס' 19 – הוראת שעה), התשפ""ג–2023 ")</f>
        <v>2309</v>
      </c>
      <c r="E1077" t="s">
        <v>2309</v>
      </c>
      <c r="F1077" t="s">
        <v>14</v>
      </c>
      <c r="G1077" t="s">
        <v>2310</v>
      </c>
      <c r="H1077" t="n">
        <v>3085</v>
      </c>
      <c r="I1077" t="s">
        <v>14</v>
      </c>
      <c r="J1077" t="s">
        <v>91</v>
      </c>
      <c r="K1077" t="s">
        <v>105</v>
      </c>
      <c r="L1077" t="s">
        <v>20</v>
      </c>
      <c r="M1077" t="s">
        <v>2304</v>
      </c>
      <c r="N1077" t="s">
        <v>2311</v>
      </c>
    </row>
    <row r="1078" x14ac:dyDescent="0.25">
      <c r="A1078" t="n">
        <v>25</v>
      </c>
      <c r="B1078" t="s">
        <v>14</v>
      </c>
      <c r="C1078" t="s">
        <v>15</v>
      </c>
      <c r="D1078" s="2" t="s">
        <f>=HYPERLINK("https://main.knesset.gov.il/APPS/legislation/main/bills/2229710", "חוק רישוי שירותים ומקצועות בענף הרכב (תיקון מס' 13), התשפ""ה-2025 ")</f>
        <v>2312</v>
      </c>
      <c r="E1078" t="s">
        <v>2312</v>
      </c>
      <c r="F1078" t="s">
        <v>14</v>
      </c>
      <c r="G1078" t="s">
        <v>2313</v>
      </c>
      <c r="H1078" t="n">
        <v>3452</v>
      </c>
      <c r="I1078" t="s">
        <v>14</v>
      </c>
      <c r="J1078" t="s">
        <v>91</v>
      </c>
      <c r="K1078" t="s">
        <v>19</v>
      </c>
      <c r="L1078" t="s">
        <v>20</v>
      </c>
      <c r="M1078" t="s">
        <v>2304</v>
      </c>
      <c r="N1078" t="s">
        <v>2314</v>
      </c>
    </row>
    <row r="1079" x14ac:dyDescent="0.25">
      <c r="A1079" t="n">
        <v>25</v>
      </c>
      <c r="B1079" t="s">
        <v>14</v>
      </c>
      <c r="C1079" t="s">
        <v>22</v>
      </c>
      <c r="D1079" s="2" t="s">
        <f>=HYPERLINK("https://main.knesset.gov.il/APPS/legislation/main/bills/2197441", "הצעת חוק הבנקאות (שירות ללקוח) (תיקון - ריבית על יתרת זכות), התשפ""ג-2023")</f>
        <v>2315</v>
      </c>
      <c r="E1079" t="s">
        <v>2315</v>
      </c>
      <c r="F1079" t="s">
        <v>2316</v>
      </c>
      <c r="G1079" t="s">
        <v>14</v>
      </c>
      <c r="H1079">
             </c>
      <c r="I1079" t="s">
        <v>26</v>
      </c>
      <c r="J1079" t="s">
        <v>31</v>
      </c>
      <c r="K1079" t="s">
        <v>19</v>
      </c>
      <c r="L1079" t="s">
        <v>20</v>
      </c>
      <c r="M1079" t="s">
        <v>2317</v>
      </c>
      <c r="N1079" t="s">
        <v>14</v>
      </c>
    </row>
    <row r="1080" x14ac:dyDescent="0.25">
      <c r="A1080" t="n">
        <v>25</v>
      </c>
      <c r="B1080" t="s">
        <v>14</v>
      </c>
      <c r="C1080" t="s">
        <v>15</v>
      </c>
      <c r="D1080" s="2" t="s">
        <f>=HYPERLINK("https://main.knesset.gov.il/APPS/legislation/main/bills/2232444", "חוק שירות אזרחי (תיקון מס' 7), התשפ""ה-2025")</f>
        <v>2318</v>
      </c>
      <c r="E1080" t="s">
        <v>2318</v>
      </c>
      <c r="F1080" t="s">
        <v>14</v>
      </c>
      <c r="G1080" t="s">
        <v>2319</v>
      </c>
      <c r="H1080" t="n">
        <v>3450</v>
      </c>
      <c r="I1080" t="s">
        <v>14</v>
      </c>
      <c r="J1080" t="s">
        <v>91</v>
      </c>
      <c r="K1080" t="s">
        <v>127</v>
      </c>
      <c r="L1080" t="s">
        <v>20</v>
      </c>
      <c r="M1080" t="s">
        <v>2320</v>
      </c>
      <c r="N1080" t="s">
        <v>2321</v>
      </c>
    </row>
    <row r="1081" x14ac:dyDescent="0.25">
      <c r="A1081" t="n">
        <v>25</v>
      </c>
      <c r="B1081" t="s">
        <v>14</v>
      </c>
      <c r="C1081" t="s">
        <v>22</v>
      </c>
      <c r="D1081" s="2" t="s">
        <f>=HYPERLINK("https://main.knesset.gov.il/APPS/legislation/main/bills/2212963", "הצעת חוק שירות המדינה (מינויים) (תיקון מס' 21) (עדיפות למשרת מילואים פעיל בקבלה לשירות המדינה), התשפ""ה–2024")</f>
        <v>2322</v>
      </c>
      <c r="E1081" t="s">
        <v>2322</v>
      </c>
      <c r="F1081" t="s">
        <v>2323</v>
      </c>
      <c r="G1081" t="s">
        <v>2324</v>
      </c>
      <c r="H1081">
             </c>
      <c r="I1081" t="s">
        <v>26</v>
      </c>
      <c r="J1081" t="s">
        <v>18</v>
      </c>
      <c r="K1081" t="s">
        <v>27</v>
      </c>
      <c r="L1081" t="s">
        <v>20</v>
      </c>
      <c r="M1081" t="s">
        <v>2325</v>
      </c>
      <c r="N1081" t="s">
        <v>14</v>
      </c>
    </row>
    <row r="1082" x14ac:dyDescent="0.25">
      <c r="A1082" t="n">
        <v>25</v>
      </c>
      <c r="B1082" t="s">
        <v>14</v>
      </c>
      <c r="C1082" t="s">
        <v>22</v>
      </c>
      <c r="D1082" s="2" t="s">
        <f>=HYPERLINK("https://main.knesset.gov.il/APPS/legislation/main/bills/2225742", "העדפה מתקנת מתוך הצעת חוק למתן הטבות למשרתים במילואים, התשפ""ה-2024")</f>
        <v>2326</v>
      </c>
      <c r="E1082" t="s">
        <v>2326</v>
      </c>
      <c r="F1082" t="s">
        <v>1554</v>
      </c>
      <c r="G1082" t="s">
        <v>14</v>
      </c>
      <c r="H1082">
             </c>
      <c r="I1082" t="s">
        <v>14</v>
      </c>
      <c r="J1082" t="s">
        <v>50</v>
      </c>
      <c r="K1082" t="s">
        <v>27</v>
      </c>
      <c r="L1082" t="s">
        <v>20</v>
      </c>
      <c r="M1082" t="s">
        <v>2325</v>
      </c>
      <c r="N1082" t="s">
        <v>14</v>
      </c>
    </row>
    <row r="1083" x14ac:dyDescent="0.25">
      <c r="A1083" t="n">
        <v>25</v>
      </c>
      <c r="B1083" t="s">
        <v>14</v>
      </c>
      <c r="C1083" t="s">
        <v>15</v>
      </c>
      <c r="D1083" s="2" t="s">
        <f>=HYPERLINK("https://main.knesset.gov.il/APPS/legislation/main/bills/2233669", "חוק כליאתם של לוחמים בלתי חוקיים (תיקון מס' 4 והוראת שעה - חרבות ברזל) (תיקון מס' 5), התשפ""ה-2025")</f>
        <v>2327</v>
      </c>
      <c r="E1083" t="s">
        <v>2327</v>
      </c>
      <c r="F1083" t="s">
        <v>14</v>
      </c>
      <c r="G1083" t="s">
        <v>2328</v>
      </c>
      <c r="H1083" t="n">
        <v>3449</v>
      </c>
      <c r="I1083" t="s">
        <v>14</v>
      </c>
      <c r="J1083" t="s">
        <v>91</v>
      </c>
      <c r="K1083" t="s">
        <v>114</v>
      </c>
      <c r="L1083" t="s">
        <v>20</v>
      </c>
      <c r="M1083" t="s">
        <v>2329</v>
      </c>
      <c r="N1083" t="s">
        <v>2330</v>
      </c>
    </row>
    <row r="1084" x14ac:dyDescent="0.25">
      <c r="A1084" t="n">
        <v>25</v>
      </c>
      <c r="B1084" t="s">
        <v>14</v>
      </c>
      <c r="C1084" t="s">
        <v>22</v>
      </c>
      <c r="D1084" s="2" t="s">
        <f>=HYPERLINK("https://main.knesset.gov.il/APPS/legislation/main/bills/2210157", "הצעת חוק-יסוד: כניסה, הגירה ומעמד בישראל")</f>
        <v>2331</v>
      </c>
      <c r="E1084" t="s">
        <v>2331</v>
      </c>
      <c r="F1084" t="s">
        <v>2332</v>
      </c>
      <c r="G1084" t="s">
        <v>14</v>
      </c>
      <c r="H1084">
             </c>
      <c r="I1084" t="s">
        <v>14</v>
      </c>
      <c r="J1084" t="s">
        <v>31</v>
      </c>
      <c r="K1084" t="s">
        <v>27</v>
      </c>
      <c r="L1084" t="s">
        <v>20</v>
      </c>
      <c r="M1084" t="s">
        <v>2333</v>
      </c>
      <c r="N1084" t="s">
        <v>14</v>
      </c>
    </row>
    <row r="1085" x14ac:dyDescent="0.25">
      <c r="A1085" t="n">
        <v>25</v>
      </c>
      <c r="B1085" t="s">
        <v>14</v>
      </c>
      <c r="C1085" t="s">
        <v>22</v>
      </c>
      <c r="D1085" s="2" t="s">
        <f>=HYPERLINK("https://main.knesset.gov.il/APPS/legislation/main/bills/2196908", "הצעת חוק-יסוד: כניסה, הגירה ומעמד בישראל")</f>
        <v>2331</v>
      </c>
      <c r="E1085" t="s">
        <v>2331</v>
      </c>
      <c r="F1085" t="s">
        <v>2334</v>
      </c>
      <c r="G1085" t="s">
        <v>14</v>
      </c>
      <c r="H1085">
             </c>
      <c r="I1085" t="s">
        <v>14</v>
      </c>
      <c r="J1085" t="s">
        <v>31</v>
      </c>
      <c r="K1085" t="s">
        <v>27</v>
      </c>
      <c r="L1085" t="s">
        <v>20</v>
      </c>
      <c r="M1085" t="s">
        <v>2333</v>
      </c>
      <c r="N1085" t="s">
        <v>14</v>
      </c>
    </row>
    <row r="1086" x14ac:dyDescent="0.25">
      <c r="A1086" t="n">
        <v>25</v>
      </c>
      <c r="B1086" t="s">
        <v>14</v>
      </c>
      <c r="C1086" t="s">
        <v>15</v>
      </c>
      <c r="D1086" s="2" t="s">
        <f>=HYPERLINK("https://main.knesset.gov.il/APPS/legislation/main/bills/2233694", "חוק התוכנית לסיוע כלכלי (הוראת שעה - חרבות ברזל), התשפ""ה-2025")</f>
        <v>2335</v>
      </c>
      <c r="E1086" t="s">
        <v>2335</v>
      </c>
      <c r="F1086" t="s">
        <v>14</v>
      </c>
      <c r="G1086" t="s">
        <v>2336</v>
      </c>
      <c r="H1086" t="n">
        <v>3448</v>
      </c>
      <c r="I1086" t="s">
        <v>14</v>
      </c>
      <c r="J1086" t="s">
        <v>91</v>
      </c>
      <c r="K1086" t="s">
        <v>85</v>
      </c>
      <c r="L1086" t="s">
        <v>20</v>
      </c>
      <c r="M1086" t="s">
        <v>2333</v>
      </c>
      <c r="N1086" t="s">
        <v>2337</v>
      </c>
    </row>
    <row r="1087" x14ac:dyDescent="0.25">
      <c r="A1087" t="n">
        <v>25</v>
      </c>
      <c r="B1087" t="s">
        <v>14</v>
      </c>
      <c r="C1087" t="s">
        <v>15</v>
      </c>
      <c r="D1087" s="2" t="s">
        <f>=HYPERLINK("https://main.knesset.gov.il/APPS/legislation/main/bills/2233629", "חוק לתיקון פקודת בתי הסוהר (מס' 64 - הוראת שעה - חרבות ברזל) (מצב חירום כליאתי) (תיקון מס' 4), התשפ""ה-2025")</f>
        <v>2338</v>
      </c>
      <c r="E1087" t="s">
        <v>2338</v>
      </c>
      <c r="F1087" t="s">
        <v>14</v>
      </c>
      <c r="G1087" t="s">
        <v>2339</v>
      </c>
      <c r="H1087" t="n">
        <v>3447</v>
      </c>
      <c r="I1087" t="s">
        <v>14</v>
      </c>
      <c r="J1087" t="s">
        <v>91</v>
      </c>
      <c r="K1087" t="s">
        <v>105</v>
      </c>
      <c r="L1087" t="s">
        <v>20</v>
      </c>
      <c r="M1087" t="s">
        <v>2333</v>
      </c>
      <c r="N1087" t="s">
        <v>2340</v>
      </c>
    </row>
    <row r="1088" x14ac:dyDescent="0.25">
      <c r="A1088" t="n">
        <v>25</v>
      </c>
      <c r="B1088" t="s">
        <v>14</v>
      </c>
      <c r="C1088" t="s">
        <v>15</v>
      </c>
      <c r="D1088" s="2" t="s">
        <f>=HYPERLINK("https://main.knesset.gov.il/APPS/legislation/main/bills/2233920", "חוק לתיקון ולהארכת תוקפן של תקנות שעת חירום (חרבות ברזל) (הארכת מעצר לחשוד בעבירת ביטחון) (תיקון מס' 6), התשפ""ה-2025 ")</f>
        <v>2341</v>
      </c>
      <c r="E1088" t="s">
        <v>2341</v>
      </c>
      <c r="F1088" t="s">
        <v>14</v>
      </c>
      <c r="G1088" t="s">
        <v>2342</v>
      </c>
      <c r="H1088" t="n">
        <v>3446</v>
      </c>
      <c r="I1088" t="s">
        <v>14</v>
      </c>
      <c r="J1088" t="s">
        <v>91</v>
      </c>
      <c r="K1088" t="s">
        <v>27</v>
      </c>
      <c r="L1088" t="s">
        <v>20</v>
      </c>
      <c r="M1088" t="s">
        <v>2333</v>
      </c>
      <c r="N1088" t="s">
        <v>2343</v>
      </c>
    </row>
    <row r="1089" x14ac:dyDescent="0.25">
      <c r="A1089" t="n">
        <v>25</v>
      </c>
      <c r="B1089" t="s">
        <v>14</v>
      </c>
      <c r="C1089" t="s">
        <v>15</v>
      </c>
      <c r="D1089" s="2" t="s">
        <f>=HYPERLINK("https://main.knesset.gov.il/APPS/legislation/main/bills/2233919", "חוק לתיקון ולהארכת תוקפן של תקנות שעת חירום (חרבות ברזל) (פגישה עם עורך דין של עצור בעבירת ביטחון) (תיקון מס' 6), התשפ""ה-2025")</f>
        <v>2344</v>
      </c>
      <c r="E1089" t="s">
        <v>2344</v>
      </c>
      <c r="F1089" t="s">
        <v>14</v>
      </c>
      <c r="G1089" t="s">
        <v>2345</v>
      </c>
      <c r="H1089" t="n">
        <v>3445</v>
      </c>
      <c r="I1089" t="s">
        <v>14</v>
      </c>
      <c r="J1089" t="s">
        <v>91</v>
      </c>
      <c r="K1089" t="s">
        <v>27</v>
      </c>
      <c r="L1089" t="s">
        <v>20</v>
      </c>
      <c r="M1089" t="s">
        <v>2333</v>
      </c>
      <c r="N1089" t="s">
        <v>2346</v>
      </c>
    </row>
    <row r="1090" x14ac:dyDescent="0.25">
      <c r="A1090" t="n">
        <v>25</v>
      </c>
      <c r="B1090" t="s">
        <v>14</v>
      </c>
      <c r="C1090" t="s">
        <v>22</v>
      </c>
      <c r="D1090" s="2" t="s">
        <f>=HYPERLINK("https://main.knesset.gov.il/APPS/legislation/main/bills/2217187", "הצעת חוק ביטוח בריאות ממלכתי (תיקון - ניפוק תכשיר מרשם שניתן במרשם אלקטרוני או ידני בתנאי הסדר בכל בתי המרקחת), התשפ""ד-2024")</f>
        <v>2347</v>
      </c>
      <c r="E1090" t="s">
        <v>2347</v>
      </c>
      <c r="F1090" t="s">
        <v>2348</v>
      </c>
      <c r="G1090" t="s">
        <v>14</v>
      </c>
      <c r="H1090">
             </c>
      <c r="I1090" t="s">
        <v>14</v>
      </c>
      <c r="J1090" t="s">
        <v>31</v>
      </c>
      <c r="K1090" t="s">
        <v>480</v>
      </c>
      <c r="L1090" t="s">
        <v>20</v>
      </c>
      <c r="M1090" t="s">
        <v>2333</v>
      </c>
      <c r="N1090" t="s">
        <v>14</v>
      </c>
    </row>
    <row r="1091" x14ac:dyDescent="0.25">
      <c r="A1091" t="n">
        <v>25</v>
      </c>
      <c r="B1091" t="s">
        <v>14</v>
      </c>
      <c r="C1091" t="s">
        <v>22</v>
      </c>
      <c r="D1091" s="2" t="s">
        <f>=HYPERLINK("https://main.knesset.gov.il/APPS/legislation/main/bills/2209023", "הצעת חוק ביטוח בריאות ממלכתי (תיקון - השתתפות עצמית ברכישת תכשיר מרשם מבית מרקחת שאינו בהסדר עם קופת החולים), התשפ""ג-2023")</f>
        <v>2349</v>
      </c>
      <c r="E1091" t="s">
        <v>2349</v>
      </c>
      <c r="F1091" t="s">
        <v>2350</v>
      </c>
      <c r="G1091" t="s">
        <v>14</v>
      </c>
      <c r="H1091">
             </c>
      <c r="I1091" t="s">
        <v>14</v>
      </c>
      <c r="J1091" t="s">
        <v>31</v>
      </c>
      <c r="K1091" t="s">
        <v>480</v>
      </c>
      <c r="L1091" t="s">
        <v>20</v>
      </c>
      <c r="M1091" t="s">
        <v>2333</v>
      </c>
      <c r="N1091" t="s">
        <v>14</v>
      </c>
    </row>
    <row r="1092" x14ac:dyDescent="0.25">
      <c r="A1092" t="n">
        <v>25</v>
      </c>
      <c r="B1092" t="s">
        <v>14</v>
      </c>
      <c r="C1092" t="s">
        <v>22</v>
      </c>
      <c r="D1092" s="2" t="s">
        <f>=HYPERLINK("https://main.knesset.gov.il/APPS/legislation/main/bills/2205582", "הצעת חוק ביטוח בריאות ממלכתי (תיקון - השתתפות עצמית ברכישת תכשיר מרשם מבית מרקחת שאינו בהסדר עם קופת החולים), התשפ""ג-2023")</f>
        <v>2349</v>
      </c>
      <c r="E1092" t="s">
        <v>2349</v>
      </c>
      <c r="F1092" t="s">
        <v>2351</v>
      </c>
      <c r="G1092" t="s">
        <v>14</v>
      </c>
      <c r="H1092">
             </c>
      <c r="I1092" t="s">
        <v>14</v>
      </c>
      <c r="J1092" t="s">
        <v>31</v>
      </c>
      <c r="K1092" t="s">
        <v>480</v>
      </c>
      <c r="L1092" t="s">
        <v>20</v>
      </c>
      <c r="M1092" t="s">
        <v>2333</v>
      </c>
      <c r="N1092" t="s">
        <v>14</v>
      </c>
    </row>
    <row r="1093" x14ac:dyDescent="0.25">
      <c r="A1093" t="n">
        <v>25</v>
      </c>
      <c r="B1093" t="s">
        <v>14</v>
      </c>
      <c r="C1093" t="s">
        <v>22</v>
      </c>
      <c r="D1093" s="2" t="s">
        <f>=HYPERLINK("https://main.knesset.gov.il/APPS/legislation/main/bills/2202257", "הצעת חוק ביטוח בריאות ממלכתי (תיקון - תשלום בעד תכשיר מרשם בבית מרקחת שאין לו הסדר עם קופת חולים), התשפ""ג-2023")</f>
        <v>2352</v>
      </c>
      <c r="E1093" t="s">
        <v>2352</v>
      </c>
      <c r="F1093" t="s">
        <v>2353</v>
      </c>
      <c r="G1093" t="s">
        <v>14</v>
      </c>
      <c r="H1093">
             </c>
      <c r="I1093" t="s">
        <v>14</v>
      </c>
      <c r="J1093" t="s">
        <v>31</v>
      </c>
      <c r="K1093" t="s">
        <v>480</v>
      </c>
      <c r="L1093" t="s">
        <v>20</v>
      </c>
      <c r="M1093" t="s">
        <v>2333</v>
      </c>
      <c r="N1093" t="s">
        <v>14</v>
      </c>
    </row>
    <row r="1094" x14ac:dyDescent="0.25">
      <c r="A1094" t="n">
        <v>25</v>
      </c>
      <c r="B1094" t="s">
        <v>14</v>
      </c>
      <c r="C1094" t="s">
        <v>15</v>
      </c>
      <c r="D1094" s="2" t="s">
        <f>=HYPERLINK("https://main.knesset.gov.il/APPS/legislation/main/bills/2224904", "חוק להשגת יעדי התקציב וליישום המדיניות הכלכלית לשנת התקציב 2025 (תיקוני חקיקה), התשפ""ה–2025")</f>
        <v>2354</v>
      </c>
      <c r="E1094" t="s">
        <v>2354</v>
      </c>
      <c r="F1094" t="s">
        <v>14</v>
      </c>
      <c r="G1094" t="s">
        <v>43</v>
      </c>
      <c r="H1094" t="n">
        <v>3384</v>
      </c>
      <c r="I1094" t="s">
        <v>14</v>
      </c>
      <c r="J1094" t="s">
        <v>91</v>
      </c>
      <c r="K1094" t="s">
        <v>85</v>
      </c>
      <c r="L1094" t="s">
        <v>20</v>
      </c>
      <c r="M1094" t="s">
        <v>2333</v>
      </c>
      <c r="N1094" t="s">
        <v>2355</v>
      </c>
    </row>
    <row r="1095" x14ac:dyDescent="0.25">
      <c r="A1095" t="n">
        <v>25</v>
      </c>
      <c r="B1095" t="s">
        <v>14</v>
      </c>
      <c r="C1095" t="s">
        <v>22</v>
      </c>
      <c r="D1095" s="2" t="s">
        <f>=HYPERLINK("https://main.knesset.gov.il/APPS/legislation/main/bills/2233290", "הצעת חוק סדר הדין הפלילי (תיקון - עיכוב הליכים משפטיים כנגד חברי הממשלה בידי ועדת הכנסת), התשפ""ה-2025")</f>
        <v>2356</v>
      </c>
      <c r="E1095" t="s">
        <v>2356</v>
      </c>
      <c r="F1095" t="s">
        <v>2357</v>
      </c>
      <c r="G1095" t="s">
        <v>14</v>
      </c>
      <c r="H1095">
             </c>
      <c r="I1095" t="s">
        <v>14</v>
      </c>
      <c r="J1095" t="s">
        <v>141</v>
      </c>
      <c r="K1095" t="s">
        <v>14</v>
      </c>
      <c r="L1095" t="s">
        <v>20</v>
      </c>
      <c r="M1095" t="s">
        <v>2333</v>
      </c>
      <c r="N1095" t="s">
        <v>14</v>
      </c>
    </row>
    <row r="1096" x14ac:dyDescent="0.25">
      <c r="A1096" t="n">
        <v>25</v>
      </c>
      <c r="B1096" t="s">
        <v>14</v>
      </c>
      <c r="C1096" t="s">
        <v>22</v>
      </c>
      <c r="D1096" s="2" t="s">
        <f>=HYPERLINK("https://main.knesset.gov.il/APPS/legislation/main/bills/2234244", "הצעת חוק למניעת הטרדה מינית (תיקון - הרחבת תחולה על עובדים עצמאים ועובדי כלכלת הפלטפורמה), התשפ״ה-2025")</f>
        <v>2358</v>
      </c>
      <c r="E1096" t="s">
        <v>2358</v>
      </c>
      <c r="F1096" t="s">
        <v>2359</v>
      </c>
      <c r="G1096" t="s">
        <v>14</v>
      </c>
      <c r="H1096">
             </c>
      <c r="I1096" t="s">
        <v>14</v>
      </c>
      <c r="J1096" t="s">
        <v>141</v>
      </c>
      <c r="K1096" t="s">
        <v>14</v>
      </c>
      <c r="L1096" t="s">
        <v>20</v>
      </c>
      <c r="M1096" t="s">
        <v>2333</v>
      </c>
      <c r="N1096" t="s">
        <v>14</v>
      </c>
    </row>
    <row r="1097" x14ac:dyDescent="0.25">
      <c r="A1097" t="n">
        <v>25</v>
      </c>
      <c r="B1097" t="s">
        <v>14</v>
      </c>
      <c r="C1097" t="s">
        <v>22</v>
      </c>
      <c r="D1097" s="2" t="s">
        <f>=HYPERLINK("https://main.knesset.gov.il/APPS/legislation/main/bills/2233974", "הצעת חוק סמכויות שעת חירום (מעצרים) (תיקון - מעצר מינהלי של אזרח ישראלי), התשפ""ה-2025")</f>
        <v>2360</v>
      </c>
      <c r="E1097" t="s">
        <v>2360</v>
      </c>
      <c r="F1097" t="s">
        <v>2361</v>
      </c>
      <c r="G1097" t="s">
        <v>14</v>
      </c>
      <c r="H1097">
             </c>
      <c r="I1097" t="s">
        <v>14</v>
      </c>
      <c r="J1097" t="s">
        <v>141</v>
      </c>
      <c r="K1097" t="s">
        <v>14</v>
      </c>
      <c r="L1097" t="s">
        <v>20</v>
      </c>
      <c r="M1097" t="s">
        <v>2333</v>
      </c>
      <c r="N1097" t="s">
        <v>14</v>
      </c>
    </row>
    <row r="1098" x14ac:dyDescent="0.25">
      <c r="A1098" t="n">
        <v>25</v>
      </c>
      <c r="B1098" t="s">
        <v>14</v>
      </c>
      <c r="C1098" t="s">
        <v>22</v>
      </c>
      <c r="D1098" s="2" t="s">
        <f>=HYPERLINK("https://main.knesset.gov.il/APPS/legislation/main/bills/2233000", "הצעת חוק-יסוד: משק המדינה (תיקון - בחינת עלות תקציבית מוניציפלית)")</f>
        <v>2362</v>
      </c>
      <c r="E1098" t="s">
        <v>2362</v>
      </c>
      <c r="F1098" t="s">
        <v>2363</v>
      </c>
      <c r="G1098" t="s">
        <v>14</v>
      </c>
      <c r="H1098">
             </c>
      <c r="I1098" t="s">
        <v>14</v>
      </c>
      <c r="J1098" t="s">
        <v>141</v>
      </c>
      <c r="K1098" t="s">
        <v>14</v>
      </c>
      <c r="L1098" t="s">
        <v>20</v>
      </c>
      <c r="M1098" t="s">
        <v>2333</v>
      </c>
      <c r="N1098" t="s">
        <v>14</v>
      </c>
    </row>
    <row r="1099" x14ac:dyDescent="0.25">
      <c r="A1099" t="n">
        <v>25</v>
      </c>
      <c r="B1099" t="s">
        <v>14</v>
      </c>
      <c r="C1099" t="s">
        <v>22</v>
      </c>
      <c r="D1099" s="2" t="s">
        <f>=HYPERLINK("https://main.knesset.gov.il/APPS/legislation/main/bills/2234093", "הצעת חוק החלת הריבונות הישראלית על מתחם קבר יוסף, התשפ""ה-2025")</f>
        <v>2364</v>
      </c>
      <c r="E1099" t="s">
        <v>2364</v>
      </c>
      <c r="F1099" t="s">
        <v>2365</v>
      </c>
      <c r="G1099" t="s">
        <v>14</v>
      </c>
      <c r="H1099">
             </c>
      <c r="I1099" t="s">
        <v>14</v>
      </c>
      <c r="J1099" t="s">
        <v>141</v>
      </c>
      <c r="K1099" t="s">
        <v>14</v>
      </c>
      <c r="L1099" t="s">
        <v>20</v>
      </c>
      <c r="M1099" t="s">
        <v>2333</v>
      </c>
      <c r="N1099" t="s">
        <v>14</v>
      </c>
    </row>
    <row r="1100" x14ac:dyDescent="0.25">
      <c r="A1100" t="n">
        <v>25</v>
      </c>
      <c r="B1100" t="s">
        <v>14</v>
      </c>
      <c r="C1100" t="s">
        <v>22</v>
      </c>
      <c r="D1100" s="2" t="s">
        <f>=HYPERLINK("https://main.knesset.gov.il/APPS/legislation/main/bills/2229798", "הצעת חוק המועצה להשכלה גבוהה (תיקון - חיזוק השקיפות והפיקוח הציבורי על המועצה להשכלה גבוהה), התשפ""ה-2025 ")</f>
        <v>2366</v>
      </c>
      <c r="E1100" t="s">
        <v>2366</v>
      </c>
      <c r="F1100" t="s">
        <v>2367</v>
      </c>
      <c r="G1100" t="s">
        <v>14</v>
      </c>
      <c r="H1100">
             </c>
      <c r="I1100" t="s">
        <v>14</v>
      </c>
      <c r="J1100" t="s">
        <v>141</v>
      </c>
      <c r="K1100" t="s">
        <v>14</v>
      </c>
      <c r="L1100" t="s">
        <v>20</v>
      </c>
      <c r="M1100" t="s">
        <v>2333</v>
      </c>
      <c r="N1100" t="s">
        <v>14</v>
      </c>
    </row>
    <row r="1101" x14ac:dyDescent="0.25">
      <c r="A1101" t="n">
        <v>25</v>
      </c>
      <c r="B1101" t="s">
        <v>14</v>
      </c>
      <c r="C1101" t="s">
        <v>22</v>
      </c>
      <c r="D1101" s="2" t="s">
        <f>=HYPERLINK("https://main.knesset.gov.il/APPS/legislation/main/bills/2233626", "הצעת חוק הסדרת הטיפול בחופי הים התיכון (איגודי ערים חופיות), התשפ""ה-2025 ")</f>
        <v>2368</v>
      </c>
      <c r="E1101" t="s">
        <v>2368</v>
      </c>
      <c r="F1101" t="s">
        <v>2369</v>
      </c>
      <c r="G1101" t="s">
        <v>14</v>
      </c>
      <c r="H1101">
             </c>
      <c r="I1101" t="s">
        <v>14</v>
      </c>
      <c r="J1101" t="s">
        <v>141</v>
      </c>
      <c r="K1101" t="s">
        <v>14</v>
      </c>
      <c r="L1101" t="s">
        <v>20</v>
      </c>
      <c r="M1101" t="s">
        <v>2333</v>
      </c>
      <c r="N1101" t="s">
        <v>14</v>
      </c>
    </row>
    <row r="1102" x14ac:dyDescent="0.25">
      <c r="A1102" t="n">
        <v>25</v>
      </c>
      <c r="B1102" t="s">
        <v>14</v>
      </c>
      <c r="C1102" t="s">
        <v>22</v>
      </c>
      <c r="D1102" s="2" t="s">
        <f>=HYPERLINK("https://main.knesset.gov.il/APPS/legislation/main/bills/2234518", "הצעת חוק איסור צריכת זנות (הוראת שעה ותיקון חקיקה) (תיקון - עיגון כהוראת קבע), התשפ""ה-2025")</f>
        <v>2370</v>
      </c>
      <c r="E1102" t="s">
        <v>2370</v>
      </c>
      <c r="F1102" t="s">
        <v>2371</v>
      </c>
      <c r="G1102" t="s">
        <v>14</v>
      </c>
      <c r="H1102">
             </c>
      <c r="I1102" t="s">
        <v>14</v>
      </c>
      <c r="J1102" t="s">
        <v>141</v>
      </c>
      <c r="K1102" t="s">
        <v>14</v>
      </c>
      <c r="L1102" t="s">
        <v>20</v>
      </c>
      <c r="M1102" t="s">
        <v>2333</v>
      </c>
      <c r="N1102" t="s">
        <v>14</v>
      </c>
    </row>
    <row r="1103" x14ac:dyDescent="0.25">
      <c r="A1103" t="n">
        <v>25</v>
      </c>
      <c r="B1103" t="s">
        <v>14</v>
      </c>
      <c r="C1103" t="s">
        <v>22</v>
      </c>
      <c r="D1103" s="2" t="s">
        <f>=HYPERLINK("https://main.knesset.gov.il/APPS/legislation/main/bills/2233916", "הצעת חוק לתיקון פקודת היערות (הגברת ההגנה על עצים בוגרים), התשפ""ה-2025")</f>
        <v>2372</v>
      </c>
      <c r="E1103" t="s">
        <v>2372</v>
      </c>
      <c r="F1103" t="s">
        <v>2373</v>
      </c>
      <c r="G1103" t="s">
        <v>14</v>
      </c>
      <c r="H1103">
             </c>
      <c r="I1103" t="s">
        <v>14</v>
      </c>
      <c r="J1103" t="s">
        <v>141</v>
      </c>
      <c r="K1103" t="s">
        <v>14</v>
      </c>
      <c r="L1103" t="s">
        <v>20</v>
      </c>
      <c r="M1103" t="s">
        <v>2333</v>
      </c>
      <c r="N1103" t="s">
        <v>14</v>
      </c>
    </row>
    <row r="1104" x14ac:dyDescent="0.25">
      <c r="A1104" t="n">
        <v>25</v>
      </c>
      <c r="B1104" t="s">
        <v>14</v>
      </c>
      <c r="C1104" t="s">
        <v>22</v>
      </c>
      <c r="D1104" s="2" t="s">
        <f>=HYPERLINK("https://main.knesset.gov.il/APPS/legislation/main/bills/2233767", "הצעת חוק איסור אלימות בספורט (תיקון - מחלקה לאלימות בספורט בבתי המשפט), התשפ""ה-2025")</f>
        <v>2374</v>
      </c>
      <c r="E1104" t="s">
        <v>2374</v>
      </c>
      <c r="F1104" t="s">
        <v>2375</v>
      </c>
      <c r="G1104" t="s">
        <v>14</v>
      </c>
      <c r="H1104">
             </c>
      <c r="I1104" t="s">
        <v>14</v>
      </c>
      <c r="J1104" t="s">
        <v>141</v>
      </c>
      <c r="K1104" t="s">
        <v>14</v>
      </c>
      <c r="L1104" t="s">
        <v>20</v>
      </c>
      <c r="M1104" t="s">
        <v>2333</v>
      </c>
      <c r="N1104" t="s">
        <v>14</v>
      </c>
    </row>
    <row r="1105" x14ac:dyDescent="0.25">
      <c r="A1105" t="n">
        <v>25</v>
      </c>
      <c r="B1105" t="s">
        <v>14</v>
      </c>
      <c r="C1105" t="s">
        <v>22</v>
      </c>
      <c r="D1105" s="2" t="s">
        <f>=HYPERLINK("https://main.knesset.gov.il/APPS/legislation/main/bills/2232530", "הצעת חוק התכנון והבנייה (תיקון - מכירה ישירה של תוצרת חקלאית), התשפ""ה-2025")</f>
        <v>2376</v>
      </c>
      <c r="E1105" t="s">
        <v>2376</v>
      </c>
      <c r="F1105" t="s">
        <v>2377</v>
      </c>
      <c r="G1105" t="s">
        <v>14</v>
      </c>
      <c r="H1105">
             </c>
      <c r="I1105" t="s">
        <v>14</v>
      </c>
      <c r="J1105" t="s">
        <v>141</v>
      </c>
      <c r="K1105" t="s">
        <v>14</v>
      </c>
      <c r="L1105" t="s">
        <v>20</v>
      </c>
      <c r="M1105" t="s">
        <v>2333</v>
      </c>
      <c r="N1105" t="s">
        <v>14</v>
      </c>
    </row>
    <row r="1106" x14ac:dyDescent="0.25">
      <c r="A1106" t="n">
        <v>25</v>
      </c>
      <c r="B1106" t="s">
        <v>14</v>
      </c>
      <c r="C1106" t="s">
        <v>22</v>
      </c>
      <c r="D1106" s="2" t="s">
        <f>=HYPERLINK("https://main.knesset.gov.il/APPS/legislation/main/bills/2232213", "הצעת חוק התקנת מנגנון פיקוד שבת במערכת הפעלה אוטומטית ברכוש המשותף (תיקוני חקיקה), התשפ""ה-2025")</f>
        <v>2378</v>
      </c>
      <c r="E1106" t="s">
        <v>2378</v>
      </c>
      <c r="F1106" t="s">
        <v>2379</v>
      </c>
      <c r="G1106" t="s">
        <v>14</v>
      </c>
      <c r="H1106">
             </c>
      <c r="I1106" t="s">
        <v>14</v>
      </c>
      <c r="J1106" t="s">
        <v>141</v>
      </c>
      <c r="K1106" t="s">
        <v>14</v>
      </c>
      <c r="L1106" t="s">
        <v>20</v>
      </c>
      <c r="M1106" t="s">
        <v>2333</v>
      </c>
      <c r="N1106" t="s">
        <v>14</v>
      </c>
    </row>
    <row r="1107" x14ac:dyDescent="0.25">
      <c r="A1107" t="n">
        <v>25</v>
      </c>
      <c r="B1107" t="s">
        <v>14</v>
      </c>
      <c r="C1107" t="s">
        <v>22</v>
      </c>
      <c r="D1107" s="2" t="s">
        <f>=HYPERLINK("https://main.knesset.gov.il/APPS/legislation/main/bills/2234459", "הצעת חוק-יסוד: הכנסת (הפסקת חברות בכנסת של חבר הכנסת המכהן כשר או כסגן שר)")</f>
        <v>2380</v>
      </c>
      <c r="E1107" t="s">
        <v>2380</v>
      </c>
      <c r="F1107" t="s">
        <v>2381</v>
      </c>
      <c r="G1107" t="s">
        <v>14</v>
      </c>
      <c r="H1107">
             </c>
      <c r="I1107" t="s">
        <v>14</v>
      </c>
      <c r="J1107" t="s">
        <v>141</v>
      </c>
      <c r="K1107" t="s">
        <v>14</v>
      </c>
      <c r="L1107" t="s">
        <v>20</v>
      </c>
      <c r="M1107" t="s">
        <v>2333</v>
      </c>
      <c r="N1107" t="s">
        <v>14</v>
      </c>
    </row>
    <row r="1108" x14ac:dyDescent="0.25">
      <c r="A1108" t="n">
        <v>25</v>
      </c>
      <c r="B1108" t="s">
        <v>14</v>
      </c>
      <c r="C1108" t="s">
        <v>22</v>
      </c>
      <c r="D1108" s="2" t="s">
        <f>=HYPERLINK("https://main.knesset.gov.il/APPS/legislation/main/bills/2234528", "הצעת חוק לתיקון פקודת מסי העירייה ומסי הממשלה (פטורין) (גביית ארנונה מנכסי מדינה ברשויות פריפריאליות), התשפ""ה-2025")</f>
        <v>2382</v>
      </c>
      <c r="E1108" t="s">
        <v>2382</v>
      </c>
      <c r="F1108" t="s">
        <v>2383</v>
      </c>
      <c r="G1108" t="s">
        <v>14</v>
      </c>
      <c r="H1108">
             </c>
      <c r="I1108" t="s">
        <v>14</v>
      </c>
      <c r="J1108" t="s">
        <v>141</v>
      </c>
      <c r="K1108" t="s">
        <v>14</v>
      </c>
      <c r="L1108" t="s">
        <v>20</v>
      </c>
      <c r="M1108" t="s">
        <v>2333</v>
      </c>
      <c r="N1108" t="s">
        <v>14</v>
      </c>
    </row>
    <row r="1109" x14ac:dyDescent="0.25">
      <c r="A1109" t="n">
        <v>25</v>
      </c>
      <c r="B1109" t="s">
        <v>14</v>
      </c>
      <c r="C1109" t="s">
        <v>22</v>
      </c>
      <c r="D1109" s="2" t="s">
        <f>=HYPERLINK("https://main.knesset.gov.il/APPS/legislation/main/bills/2233990", "הצעת חוק יסודות התקציב (תיקון - קביעת תקציב הביטחון כשיעור מהתוצר הלאומי הגולמי והסדרה תכנונית), התשפ""ה-2025")</f>
        <v>2384</v>
      </c>
      <c r="E1109" t="s">
        <v>2384</v>
      </c>
      <c r="F1109" t="s">
        <v>2385</v>
      </c>
      <c r="G1109" t="s">
        <v>14</v>
      </c>
      <c r="H1109">
             </c>
      <c r="I1109" t="s">
        <v>14</v>
      </c>
      <c r="J1109" t="s">
        <v>141</v>
      </c>
      <c r="K1109" t="s">
        <v>14</v>
      </c>
      <c r="L1109" t="s">
        <v>20</v>
      </c>
      <c r="M1109" t="s">
        <v>2333</v>
      </c>
      <c r="N1109" t="s">
        <v>14</v>
      </c>
    </row>
    <row r="1110" x14ac:dyDescent="0.25">
      <c r="A1110" t="n">
        <v>25</v>
      </c>
      <c r="B1110" t="s">
        <v>14</v>
      </c>
      <c r="C1110" t="s">
        <v>22</v>
      </c>
      <c r="D1110" s="2" t="s">
        <f>=HYPERLINK("https://main.knesset.gov.il/APPS/legislation/main/bills/2234204", "הצעת חוק הגברת הפיקוח על מעונות יום לפעוטות (תיקוני חקיקה), התשפ""ה-2025")</f>
        <v>2386</v>
      </c>
      <c r="E1110" t="s">
        <v>2386</v>
      </c>
      <c r="F1110" t="s">
        <v>2387</v>
      </c>
      <c r="G1110" t="s">
        <v>14</v>
      </c>
      <c r="H1110">
             </c>
      <c r="I1110" t="s">
        <v>14</v>
      </c>
      <c r="J1110" t="s">
        <v>141</v>
      </c>
      <c r="K1110" t="s">
        <v>14</v>
      </c>
      <c r="L1110" t="s">
        <v>20</v>
      </c>
      <c r="M1110" t="s">
        <v>2333</v>
      </c>
      <c r="N1110" t="s">
        <v>14</v>
      </c>
    </row>
    <row r="1111" x14ac:dyDescent="0.25">
      <c r="A1111" t="n">
        <v>25</v>
      </c>
      <c r="B1111" t="s">
        <v>14</v>
      </c>
      <c r="C1111" t="s">
        <v>22</v>
      </c>
      <c r="D1111" s="2" t="s">
        <f>=HYPERLINK("https://main.knesset.gov.il/APPS/legislation/main/bills/2234084", "הצעת חוק-יסוד: זכויות בהליך פלילי")</f>
        <v>2388</v>
      </c>
      <c r="E1111" t="s">
        <v>2388</v>
      </c>
      <c r="F1111" t="s">
        <v>2389</v>
      </c>
      <c r="G1111" t="s">
        <v>14</v>
      </c>
      <c r="H1111">
             </c>
      <c r="I1111" t="s">
        <v>14</v>
      </c>
      <c r="J1111" t="s">
        <v>141</v>
      </c>
      <c r="K1111" t="s">
        <v>14</v>
      </c>
      <c r="L1111" t="s">
        <v>20</v>
      </c>
      <c r="M1111" t="s">
        <v>2333</v>
      </c>
      <c r="N1111" t="s">
        <v>14</v>
      </c>
    </row>
    <row r="1112" x14ac:dyDescent="0.25">
      <c r="A1112" t="n">
        <v>25</v>
      </c>
      <c r="B1112" t="s">
        <v>14</v>
      </c>
      <c r="C1112" t="s">
        <v>22</v>
      </c>
      <c r="D1112" s="2" t="s">
        <f>=HYPERLINK("https://main.knesset.gov.il/APPS/legislation/main/bills/2234091", "הצעת חוק איות שמות רחובות, דרכים ומקומות ציבוריים (תיקוני חקיקה), התשפ""ה-2025")</f>
        <v>2390</v>
      </c>
      <c r="E1112" t="s">
        <v>2390</v>
      </c>
      <c r="F1112" t="s">
        <v>2391</v>
      </c>
      <c r="G1112" t="s">
        <v>14</v>
      </c>
      <c r="H1112">
             </c>
      <c r="I1112" t="s">
        <v>14</v>
      </c>
      <c r="J1112" t="s">
        <v>141</v>
      </c>
      <c r="K1112" t="s">
        <v>14</v>
      </c>
      <c r="L1112" t="s">
        <v>20</v>
      </c>
      <c r="M1112" t="s">
        <v>2333</v>
      </c>
      <c r="N1112" t="s">
        <v>14</v>
      </c>
    </row>
    <row r="1113" x14ac:dyDescent="0.25">
      <c r="A1113" t="n">
        <v>25</v>
      </c>
      <c r="B1113" t="s">
        <v>14</v>
      </c>
      <c r="C1113" t="s">
        <v>22</v>
      </c>
      <c r="D1113" s="2" t="s">
        <f>=HYPERLINK("https://main.knesset.gov.il/APPS/legislation/main/bills/2233911", "הצעת חוק משפחות חיילים שנספו במערכה (תגמולים ושיקום) (תיקון - הרחבת ההגדרה חבלת שירות), התשפ""ה-2025")</f>
        <v>2392</v>
      </c>
      <c r="E1113" t="s">
        <v>2392</v>
      </c>
      <c r="F1113" t="s">
        <v>2393</v>
      </c>
      <c r="G1113" t="s">
        <v>14</v>
      </c>
      <c r="H1113">
             </c>
      <c r="I1113" t="s">
        <v>14</v>
      </c>
      <c r="J1113" t="s">
        <v>141</v>
      </c>
      <c r="K1113" t="s">
        <v>14</v>
      </c>
      <c r="L1113" t="s">
        <v>20</v>
      </c>
      <c r="M1113" t="s">
        <v>2333</v>
      </c>
      <c r="N1113" t="s">
        <v>14</v>
      </c>
    </row>
    <row r="1114" x14ac:dyDescent="0.25">
      <c r="A1114" t="n">
        <v>25</v>
      </c>
      <c r="B1114" t="s">
        <v>14</v>
      </c>
      <c r="C1114" t="s">
        <v>22</v>
      </c>
      <c r="D1114" s="2" t="s">
        <f>=HYPERLINK("https://main.knesset.gov.il/APPS/legislation/main/bills/2234453", "הצעת חוק לפיצוי קורבנות טרור (פיצויים לדוגמה) (תיקון - הוראות לעניין התיישנות), התשפ""ה-2025")</f>
        <v>2394</v>
      </c>
      <c r="E1114" t="s">
        <v>2394</v>
      </c>
      <c r="F1114" t="s">
        <v>2395</v>
      </c>
      <c r="G1114" t="s">
        <v>14</v>
      </c>
      <c r="H1114">
             </c>
      <c r="I1114" t="s">
        <v>14</v>
      </c>
      <c r="J1114" t="s">
        <v>141</v>
      </c>
      <c r="K1114" t="s">
        <v>14</v>
      </c>
      <c r="L1114" t="s">
        <v>20</v>
      </c>
      <c r="M1114" t="s">
        <v>2333</v>
      </c>
      <c r="N1114" t="s">
        <v>14</v>
      </c>
    </row>
    <row r="1115" x14ac:dyDescent="0.25">
      <c r="A1115" t="n">
        <v>25</v>
      </c>
      <c r="B1115" t="s">
        <v>14</v>
      </c>
      <c r="C1115" t="s">
        <v>22</v>
      </c>
      <c r="D1115" s="2" t="s">
        <f>=HYPERLINK("https://main.knesset.gov.il/APPS/legislation/main/bills/2233927", "הצעת חוק חוזה הביטוח (תיקון - הודעת מבטח בדבר ביטול חוזה הביטוח), התשפ""ה-2025")</f>
        <v>2396</v>
      </c>
      <c r="E1115" t="s">
        <v>2396</v>
      </c>
      <c r="F1115" t="s">
        <v>2397</v>
      </c>
      <c r="G1115" t="s">
        <v>14</v>
      </c>
      <c r="H1115">
             </c>
      <c r="I1115" t="s">
        <v>14</v>
      </c>
      <c r="J1115" t="s">
        <v>141</v>
      </c>
      <c r="K1115" t="s">
        <v>14</v>
      </c>
      <c r="L1115" t="s">
        <v>20</v>
      </c>
      <c r="M1115" t="s">
        <v>2333</v>
      </c>
      <c r="N1115" t="s">
        <v>14</v>
      </c>
    </row>
    <row r="1116" x14ac:dyDescent="0.25">
      <c r="A1116" t="n">
        <v>25</v>
      </c>
      <c r="B1116" t="s">
        <v>14</v>
      </c>
      <c r="C1116" t="s">
        <v>22</v>
      </c>
      <c r="D1116" s="2" t="s">
        <f>=HYPERLINK("https://main.knesset.gov.il/APPS/legislation/main/bills/2231153", "הצעת חוק רשות מקרקעי ישראל (תיקון - העדפת רכישת קרקע בפריפריה לחיילי מילואים ונכי צה""ל), התשפ""ה-2025")</f>
        <v>2398</v>
      </c>
      <c r="E1116" t="s">
        <v>2398</v>
      </c>
      <c r="F1116" t="s">
        <v>2399</v>
      </c>
      <c r="G1116" t="s">
        <v>14</v>
      </c>
      <c r="H1116">
             </c>
      <c r="I1116" t="s">
        <v>14</v>
      </c>
      <c r="J1116" t="s">
        <v>141</v>
      </c>
      <c r="K1116" t="s">
        <v>14</v>
      </c>
      <c r="L1116" t="s">
        <v>20</v>
      </c>
      <c r="M1116" t="s">
        <v>2333</v>
      </c>
      <c r="N1116" t="s">
        <v>14</v>
      </c>
    </row>
    <row r="1117" x14ac:dyDescent="0.25">
      <c r="A1117" t="n">
        <v>25</v>
      </c>
      <c r="B1117" t="s">
        <v>14</v>
      </c>
      <c r="C1117" t="s">
        <v>22</v>
      </c>
      <c r="D1117" s="2" t="s">
        <f>=HYPERLINK("https://main.knesset.gov.il/APPS/legislation/main/bills/2230567", "הצעת חוק הסדרת התיישבות הבדואים בנגב, התשפ""ה-2025")</f>
        <v>2400</v>
      </c>
      <c r="E1117" t="s">
        <v>2400</v>
      </c>
      <c r="F1117" t="s">
        <v>2401</v>
      </c>
      <c r="G1117" t="s">
        <v>14</v>
      </c>
      <c r="H1117">
             </c>
      <c r="I1117" t="s">
        <v>14</v>
      </c>
      <c r="J1117" t="s">
        <v>141</v>
      </c>
      <c r="K1117" t="s">
        <v>14</v>
      </c>
      <c r="L1117" t="s">
        <v>20</v>
      </c>
      <c r="M1117" t="s">
        <v>2333</v>
      </c>
      <c r="N1117" t="s">
        <v>14</v>
      </c>
    </row>
    <row r="1118" x14ac:dyDescent="0.25">
      <c r="A1118" t="n">
        <v>25</v>
      </c>
      <c r="B1118" t="s">
        <v>14</v>
      </c>
      <c r="C1118" t="s">
        <v>22</v>
      </c>
      <c r="D1118" s="2" t="s">
        <f>=HYPERLINK("https://main.knesset.gov.il/APPS/legislation/main/bills/2234442", "הצעת חוק המזונות (הבטחת תשלום) (תיקון - גבייה מינהלית), התשפ""ה-2025")</f>
        <v>2402</v>
      </c>
      <c r="E1118" t="s">
        <v>2402</v>
      </c>
      <c r="F1118" t="s">
        <v>2403</v>
      </c>
      <c r="G1118" t="s">
        <v>14</v>
      </c>
      <c r="H1118">
             </c>
      <c r="I1118" t="s">
        <v>14</v>
      </c>
      <c r="J1118" t="s">
        <v>141</v>
      </c>
      <c r="K1118" t="s">
        <v>14</v>
      </c>
      <c r="L1118" t="s">
        <v>20</v>
      </c>
      <c r="M1118" t="s">
        <v>2333</v>
      </c>
      <c r="N1118" t="s">
        <v>14</v>
      </c>
    </row>
    <row r="1119" x14ac:dyDescent="0.25">
      <c r="A1119" t="n">
        <v>25</v>
      </c>
      <c r="B1119" t="s">
        <v>14</v>
      </c>
      <c r="C1119" t="s">
        <v>22</v>
      </c>
      <c r="D1119" s="2" t="s">
        <f>=HYPERLINK("https://main.knesset.gov.il/APPS/legislation/main/bills/2233997", "הצעת חוק סדר הדין הפלילי (תיקון - עקרון שיוריות הדין הפלילי), התשפ""ה-2025")</f>
        <v>2404</v>
      </c>
      <c r="E1119" t="s">
        <v>2404</v>
      </c>
      <c r="F1119" t="s">
        <v>2405</v>
      </c>
      <c r="G1119" t="s">
        <v>14</v>
      </c>
      <c r="H1119">
             </c>
      <c r="I1119" t="s">
        <v>14</v>
      </c>
      <c r="J1119" t="s">
        <v>141</v>
      </c>
      <c r="K1119" t="s">
        <v>14</v>
      </c>
      <c r="L1119" t="s">
        <v>20</v>
      </c>
      <c r="M1119" t="s">
        <v>2333</v>
      </c>
      <c r="N1119" t="s">
        <v>14</v>
      </c>
    </row>
    <row r="1120" x14ac:dyDescent="0.25">
      <c r="A1120" t="n">
        <v>25</v>
      </c>
      <c r="B1120" t="s">
        <v>14</v>
      </c>
      <c r="C1120" t="s">
        <v>22</v>
      </c>
      <c r="D1120" s="2" t="s">
        <f>=HYPERLINK("https://main.knesset.gov.il/APPS/legislation/main/bills/2226652", "הצעת חוק ההוצאה לפועל (תיקון - הטלת הגבלות על חייב משרת מילואים), התשפ""ה-2025")</f>
        <v>2406</v>
      </c>
      <c r="E1120" t="s">
        <v>2406</v>
      </c>
      <c r="F1120" t="s">
        <v>2407</v>
      </c>
      <c r="G1120" t="s">
        <v>14</v>
      </c>
      <c r="H1120">
             </c>
      <c r="I1120" t="s">
        <v>14</v>
      </c>
      <c r="J1120" t="s">
        <v>141</v>
      </c>
      <c r="K1120" t="s">
        <v>14</v>
      </c>
      <c r="L1120" t="s">
        <v>20</v>
      </c>
      <c r="M1120" t="s">
        <v>2333</v>
      </c>
      <c r="N1120" t="s">
        <v>14</v>
      </c>
    </row>
    <row r="1121" x14ac:dyDescent="0.25">
      <c r="A1121" t="n">
        <v>25</v>
      </c>
      <c r="B1121" t="s">
        <v>14</v>
      </c>
      <c r="C1121" t="s">
        <v>22</v>
      </c>
      <c r="D1121" s="2" t="s">
        <f>=HYPERLINK("https://main.knesset.gov.il/APPS/legislation/main/bills/2231217", "הצעת חוק לעידוד התקשרות עם מפעלים מוגנים (תיקוני חקיקה), התשפ""ה-2025")</f>
        <v>2408</v>
      </c>
      <c r="E1121" t="s">
        <v>2408</v>
      </c>
      <c r="F1121" t="s">
        <v>2409</v>
      </c>
      <c r="G1121" t="s">
        <v>14</v>
      </c>
      <c r="H1121">
             </c>
      <c r="I1121" t="s">
        <v>14</v>
      </c>
      <c r="J1121" t="s">
        <v>141</v>
      </c>
      <c r="K1121" t="s">
        <v>14</v>
      </c>
      <c r="L1121" t="s">
        <v>20</v>
      </c>
      <c r="M1121" t="s">
        <v>2333</v>
      </c>
      <c r="N1121" t="s">
        <v>14</v>
      </c>
    </row>
    <row r="1122" x14ac:dyDescent="0.25">
      <c r="A1122" t="n">
        <v>25</v>
      </c>
      <c r="B1122" t="s">
        <v>14</v>
      </c>
      <c r="C1122" t="s">
        <v>22</v>
      </c>
      <c r="D1122" s="2" t="s">
        <f>=HYPERLINK("https://main.knesset.gov.il/APPS/legislation/main/bills/2232946", "הצעת חוק איסור חימוש גורם עוין, התשפ""ה-2025")</f>
        <v>2410</v>
      </c>
      <c r="E1122" t="s">
        <v>2410</v>
      </c>
      <c r="F1122" t="s">
        <v>2411</v>
      </c>
      <c r="G1122" t="s">
        <v>14</v>
      </c>
      <c r="H1122">
             </c>
      <c r="I1122" t="s">
        <v>14</v>
      </c>
      <c r="J1122" t="s">
        <v>141</v>
      </c>
      <c r="K1122" t="s">
        <v>14</v>
      </c>
      <c r="L1122" t="s">
        <v>20</v>
      </c>
      <c r="M1122" t="s">
        <v>2333</v>
      </c>
      <c r="N1122" t="s">
        <v>14</v>
      </c>
    </row>
    <row r="1123" x14ac:dyDescent="0.25">
      <c r="A1123" t="n">
        <v>25</v>
      </c>
      <c r="B1123" t="s">
        <v>14</v>
      </c>
      <c r="C1123" t="s">
        <v>22</v>
      </c>
      <c r="D1123" s="2" t="s">
        <f>=HYPERLINK("https://main.knesset.gov.il/APPS/legislation/main/bills/2232636", "הצעת חוק שוויון זכויות לבני העדה הדרוזית, התשפ""ה-2025")</f>
        <v>2412</v>
      </c>
      <c r="E1123" t="s">
        <v>2412</v>
      </c>
      <c r="F1123" t="s">
        <v>2413</v>
      </c>
      <c r="G1123" t="s">
        <v>14</v>
      </c>
      <c r="H1123">
             </c>
      <c r="I1123" t="s">
        <v>14</v>
      </c>
      <c r="J1123" t="s">
        <v>141</v>
      </c>
      <c r="K1123" t="s">
        <v>14</v>
      </c>
      <c r="L1123" t="s">
        <v>20</v>
      </c>
      <c r="M1123" t="s">
        <v>2333</v>
      </c>
      <c r="N1123" t="s">
        <v>14</v>
      </c>
    </row>
    <row r="1124" x14ac:dyDescent="0.25">
      <c r="A1124" t="n">
        <v>25</v>
      </c>
      <c r="B1124" t="s">
        <v>14</v>
      </c>
      <c r="C1124" t="s">
        <v>22</v>
      </c>
      <c r="D1124" s="2" t="s">
        <f>=HYPERLINK("https://main.knesset.gov.il/APPS/legislation/main/bills/2234489", "הצעת חוק שירות המדינה (מינויים) (תיקון - ייצוג מגדרי הולם למשרות ניהול כללי במשרדי הממשלה), התשפ""ה-2025")</f>
        <v>2414</v>
      </c>
      <c r="E1124" t="s">
        <v>2414</v>
      </c>
      <c r="F1124" t="s">
        <v>2415</v>
      </c>
      <c r="G1124" t="s">
        <v>14</v>
      </c>
      <c r="H1124">
             </c>
      <c r="I1124" t="s">
        <v>14</v>
      </c>
      <c r="J1124" t="s">
        <v>141</v>
      </c>
      <c r="K1124" t="s">
        <v>14</v>
      </c>
      <c r="L1124" t="s">
        <v>20</v>
      </c>
      <c r="M1124" t="s">
        <v>2333</v>
      </c>
      <c r="N1124" t="s">
        <v>14</v>
      </c>
    </row>
    <row r="1125" x14ac:dyDescent="0.25">
      <c r="A1125" t="n">
        <v>25</v>
      </c>
      <c r="B1125" t="s">
        <v>14</v>
      </c>
      <c r="C1125" t="s">
        <v>22</v>
      </c>
      <c r="D1125" s="2" t="s">
        <f>=HYPERLINK("https://main.knesset.gov.il/APPS/legislation/main/bills/2234005", "הצעת חוק לתיקון פקודת המשטרה (דיווח לכנסת), התשפ""ה-2025")</f>
        <v>2416</v>
      </c>
      <c r="E1125" t="s">
        <v>2416</v>
      </c>
      <c r="F1125" t="s">
        <v>2417</v>
      </c>
      <c r="G1125" t="s">
        <v>14</v>
      </c>
      <c r="H1125">
             </c>
      <c r="I1125" t="s">
        <v>14</v>
      </c>
      <c r="J1125" t="s">
        <v>141</v>
      </c>
      <c r="K1125" t="s">
        <v>14</v>
      </c>
      <c r="L1125" t="s">
        <v>20</v>
      </c>
      <c r="M1125" t="s">
        <v>2333</v>
      </c>
      <c r="N1125" t="s">
        <v>14</v>
      </c>
    </row>
    <row r="1126" x14ac:dyDescent="0.25">
      <c r="A1126" t="n">
        <v>25</v>
      </c>
      <c r="B1126" t="s">
        <v>14</v>
      </c>
      <c r="C1126" t="s">
        <v>22</v>
      </c>
      <c r="D1126" s="2" t="s">
        <f>=HYPERLINK("https://main.knesset.gov.il/APPS/legislation/main/bills/2234033", "הצעת חוק לחלוקה הוגנת של מזונות, התשפ""ה-2025")</f>
        <v>2418</v>
      </c>
      <c r="E1126" t="s">
        <v>2418</v>
      </c>
      <c r="F1126" t="s">
        <v>2419</v>
      </c>
      <c r="G1126" t="s">
        <v>14</v>
      </c>
      <c r="H1126">
             </c>
      <c r="I1126" t="s">
        <v>14</v>
      </c>
      <c r="J1126" t="s">
        <v>141</v>
      </c>
      <c r="K1126" t="s">
        <v>14</v>
      </c>
      <c r="L1126" t="s">
        <v>20</v>
      </c>
      <c r="M1126" t="s">
        <v>2333</v>
      </c>
      <c r="N1126" t="s">
        <v>14</v>
      </c>
    </row>
    <row r="1127" x14ac:dyDescent="0.25">
      <c r="A1127" t="n">
        <v>25</v>
      </c>
      <c r="B1127" t="s">
        <v>14</v>
      </c>
      <c r="C1127" t="s">
        <v>22</v>
      </c>
      <c r="D1127" s="2" t="s">
        <f>=HYPERLINK("https://main.knesset.gov.il/APPS/legislation/main/bills/2233969", "הצעת חוק חוזה הביטוח (תיקון - ביטוח חלופי לנפגעי עבירת גביית דמי חסות), התשפ""ה-2025")</f>
        <v>2420</v>
      </c>
      <c r="E1127" t="s">
        <v>2420</v>
      </c>
      <c r="F1127" t="s">
        <v>2421</v>
      </c>
      <c r="G1127" t="s">
        <v>14</v>
      </c>
      <c r="H1127">
             </c>
      <c r="I1127" t="s">
        <v>14</v>
      </c>
      <c r="J1127" t="s">
        <v>141</v>
      </c>
      <c r="K1127" t="s">
        <v>14</v>
      </c>
      <c r="L1127" t="s">
        <v>20</v>
      </c>
      <c r="M1127" t="s">
        <v>2333</v>
      </c>
      <c r="N1127" t="s">
        <v>14</v>
      </c>
    </row>
    <row r="1128" x14ac:dyDescent="0.25">
      <c r="A1128" t="n">
        <v>25</v>
      </c>
      <c r="B1128" t="s">
        <v>14</v>
      </c>
      <c r="C1128" t="s">
        <v>22</v>
      </c>
      <c r="D1128" s="2" t="s">
        <f>=HYPERLINK("https://main.knesset.gov.il/APPS/legislation/main/bills/2234545", "הצעת חוק מימון הוצאות למשפחות שבויים, חטופים ונעדרים (תיקון - תוספת למענק לשם התארגנות לבני משפחה של חטוף שגופתו הושבה), התשפ""ה-2025")</f>
        <v>2422</v>
      </c>
      <c r="E1128" t="s">
        <v>2422</v>
      </c>
      <c r="F1128" t="s">
        <v>2423</v>
      </c>
      <c r="G1128" t="s">
        <v>14</v>
      </c>
      <c r="H1128">
             </c>
      <c r="I1128" t="s">
        <v>14</v>
      </c>
      <c r="J1128" t="s">
        <v>141</v>
      </c>
      <c r="K1128" t="s">
        <v>14</v>
      </c>
      <c r="L1128" t="s">
        <v>20</v>
      </c>
      <c r="M1128" t="s">
        <v>2333</v>
      </c>
      <c r="N1128" t="s">
        <v>14</v>
      </c>
    </row>
    <row r="1129" x14ac:dyDescent="0.25">
      <c r="A1129" t="n">
        <v>25</v>
      </c>
      <c r="B1129" t="s">
        <v>14</v>
      </c>
      <c r="C1129" t="s">
        <v>22</v>
      </c>
      <c r="D1129" s="2" t="s">
        <f>=HYPERLINK("https://main.knesset.gov.il/APPS/legislation/main/bills/2233784", "הצעת חוק ביטוח בריאות ממלכתי (תיקון - הוספת נציגי עובדים בדירקטוריון ובמועצת קופות החולים), התשפ""ה-2025 ")</f>
        <v>2424</v>
      </c>
      <c r="E1129" t="s">
        <v>2424</v>
      </c>
      <c r="F1129" t="s">
        <v>2425</v>
      </c>
      <c r="G1129" t="s">
        <v>14</v>
      </c>
      <c r="H1129">
             </c>
      <c r="I1129" t="s">
        <v>14</v>
      </c>
      <c r="J1129" t="s">
        <v>141</v>
      </c>
      <c r="K1129" t="s">
        <v>14</v>
      </c>
      <c r="L1129" t="s">
        <v>20</v>
      </c>
      <c r="M1129" t="s">
        <v>2333</v>
      </c>
      <c r="N1129" t="s">
        <v>14</v>
      </c>
    </row>
    <row r="1130" x14ac:dyDescent="0.25">
      <c r="A1130" t="n">
        <v>25</v>
      </c>
      <c r="B1130" t="s">
        <v>14</v>
      </c>
      <c r="C1130" t="s">
        <v>22</v>
      </c>
      <c r="D1130" s="2" t="s">
        <f>=HYPERLINK("https://main.knesset.gov.il/APPS/legislation/main/bills/2233668", "הצעת חוק לתיקון פקודת העיריות (מרכזים להגנה ממפגעי מזג אוויר קיצוני ומיתקני צינון), התשפ""ה-2025")</f>
        <v>2426</v>
      </c>
      <c r="E1130" t="s">
        <v>2426</v>
      </c>
      <c r="F1130" t="s">
        <v>2427</v>
      </c>
      <c r="G1130" t="s">
        <v>14</v>
      </c>
      <c r="H1130">
             </c>
      <c r="I1130" t="s">
        <v>14</v>
      </c>
      <c r="J1130" t="s">
        <v>141</v>
      </c>
      <c r="K1130" t="s">
        <v>14</v>
      </c>
      <c r="L1130" t="s">
        <v>20</v>
      </c>
      <c r="M1130" t="s">
        <v>2333</v>
      </c>
      <c r="N1130" t="s">
        <v>14</v>
      </c>
    </row>
    <row r="1131" x14ac:dyDescent="0.25">
      <c r="A1131" t="n">
        <v>25</v>
      </c>
      <c r="B1131" t="s">
        <v>14</v>
      </c>
      <c r="C1131" t="s">
        <v>22</v>
      </c>
      <c r="D1131" s="2" t="s">
        <f>=HYPERLINK("https://main.knesset.gov.il/APPS/legislation/main/bills/2234522", "הצעת חוק תמיכה במימון פעילות ארגון נכי צה""ל ובתי הלוחם ובארגון נפגעי פעולות האיבה, התשפ""ה-2025")</f>
        <v>2428</v>
      </c>
      <c r="E1131" t="s">
        <v>2428</v>
      </c>
      <c r="F1131" t="s">
        <v>2429</v>
      </c>
      <c r="G1131" t="s">
        <v>14</v>
      </c>
      <c r="H1131">
             </c>
      <c r="I1131" t="s">
        <v>14</v>
      </c>
      <c r="J1131" t="s">
        <v>141</v>
      </c>
      <c r="K1131" t="s">
        <v>14</v>
      </c>
      <c r="L1131" t="s">
        <v>20</v>
      </c>
      <c r="M1131" t="s">
        <v>2333</v>
      </c>
      <c r="N1131" t="s">
        <v>14</v>
      </c>
    </row>
    <row r="1132" x14ac:dyDescent="0.25">
      <c r="A1132" t="n">
        <v>25</v>
      </c>
      <c r="B1132" t="s">
        <v>14</v>
      </c>
      <c r="C1132" t="s">
        <v>22</v>
      </c>
      <c r="D1132" s="2" t="s">
        <f>=HYPERLINK("https://main.knesset.gov.il/APPS/legislation/main/bills/2234368", "הצעת חוק איסור אספקת שירותים חיוניים לגורמים עוינים, התשפ""ה-2025")</f>
        <v>2430</v>
      </c>
      <c r="E1132" t="s">
        <v>2430</v>
      </c>
      <c r="F1132" t="s">
        <v>2431</v>
      </c>
      <c r="G1132" t="s">
        <v>14</v>
      </c>
      <c r="H1132">
             </c>
      <c r="I1132" t="s">
        <v>14</v>
      </c>
      <c r="J1132" t="s">
        <v>141</v>
      </c>
      <c r="K1132" t="s">
        <v>14</v>
      </c>
      <c r="L1132" t="s">
        <v>20</v>
      </c>
      <c r="M1132" t="s">
        <v>2333</v>
      </c>
      <c r="N1132" t="s">
        <v>14</v>
      </c>
    </row>
    <row r="1133" x14ac:dyDescent="0.25">
      <c r="A1133" t="n">
        <v>25</v>
      </c>
      <c r="B1133" t="s">
        <v>14</v>
      </c>
      <c r="C1133" t="s">
        <v>22</v>
      </c>
      <c r="D1133" s="2" t="s">
        <f>=HYPERLINK("https://main.knesset.gov.il/APPS/legislation/main/bills/2232888", "הצעת חוק חניה לנכים (תיקון - הקצאת מקום חניה המיועד לשני רכבים מזכים), התשפ""ה-2025")</f>
        <v>2432</v>
      </c>
      <c r="E1133" t="s">
        <v>2432</v>
      </c>
      <c r="F1133" t="s">
        <v>2433</v>
      </c>
      <c r="G1133" t="s">
        <v>14</v>
      </c>
      <c r="H1133">
             </c>
      <c r="I1133" t="s">
        <v>14</v>
      </c>
      <c r="J1133" t="s">
        <v>141</v>
      </c>
      <c r="K1133" t="s">
        <v>14</v>
      </c>
      <c r="L1133" t="s">
        <v>20</v>
      </c>
      <c r="M1133" t="s">
        <v>2333</v>
      </c>
      <c r="N1133" t="s">
        <v>14</v>
      </c>
    </row>
    <row r="1134" x14ac:dyDescent="0.25">
      <c r="A1134" t="n">
        <v>25</v>
      </c>
      <c r="B1134" t="s">
        <v>14</v>
      </c>
      <c r="C1134" t="s">
        <v>22</v>
      </c>
      <c r="D1134" s="2" t="s">
        <f>=HYPERLINK("https://main.knesset.gov.il/APPS/legislation/main/bills/2233945", "הצעת חוק תגמולים לאסירי ציון ולבני משפחותיהם (תיקון - התאמה לאסירי ציון יוצאי אתיופיה ומדינות אפריקה), התשפ""ה-2025")</f>
        <v>2434</v>
      </c>
      <c r="E1134" t="s">
        <v>2434</v>
      </c>
      <c r="F1134" t="s">
        <v>2435</v>
      </c>
      <c r="G1134" t="s">
        <v>14</v>
      </c>
      <c r="H1134">
             </c>
      <c r="I1134" t="s">
        <v>14</v>
      </c>
      <c r="J1134" t="s">
        <v>141</v>
      </c>
      <c r="K1134" t="s">
        <v>14</v>
      </c>
      <c r="L1134" t="s">
        <v>20</v>
      </c>
      <c r="M1134" t="s">
        <v>2333</v>
      </c>
      <c r="N1134" t="s">
        <v>14</v>
      </c>
    </row>
    <row r="1135" x14ac:dyDescent="0.25">
      <c r="A1135" t="n">
        <v>25</v>
      </c>
      <c r="B1135" t="s">
        <v>14</v>
      </c>
      <c r="C1135" t="s">
        <v>22</v>
      </c>
      <c r="D1135" s="2" t="s">
        <f>=HYPERLINK("https://main.knesset.gov.il/APPS/legislation/main/bills/2234076", "הצעת חוק-יסוד: הכנסת (תיקון - קבלת סעיף בחוק-יסוד שדרוש לביטולו או לשינויו רוב מיוחס)")</f>
        <v>2436</v>
      </c>
      <c r="E1135" t="s">
        <v>2436</v>
      </c>
      <c r="F1135" t="s">
        <v>2437</v>
      </c>
      <c r="G1135" t="s">
        <v>14</v>
      </c>
      <c r="H1135">
             </c>
      <c r="I1135" t="s">
        <v>14</v>
      </c>
      <c r="J1135" t="s">
        <v>141</v>
      </c>
      <c r="K1135" t="s">
        <v>14</v>
      </c>
      <c r="L1135" t="s">
        <v>20</v>
      </c>
      <c r="M1135" t="s">
        <v>2333</v>
      </c>
      <c r="N1135" t="s">
        <v>14</v>
      </c>
    </row>
    <row r="1136" x14ac:dyDescent="0.25">
      <c r="A1136" t="n">
        <v>25</v>
      </c>
      <c r="B1136" t="s">
        <v>14</v>
      </c>
      <c r="C1136" t="s">
        <v>22</v>
      </c>
      <c r="D1136" s="2" t="s">
        <f>=HYPERLINK("https://main.knesset.gov.il/APPS/legislation/main/bills/2233205", "הצעת חוק ההתגוננות האזרחית (תיקון - סמכויות אכיפת כניסה למקלט והטלת קנס), התשפ""ה-2025")</f>
        <v>2438</v>
      </c>
      <c r="E1136" t="s">
        <v>2438</v>
      </c>
      <c r="F1136" t="s">
        <v>2439</v>
      </c>
      <c r="G1136" t="s">
        <v>14</v>
      </c>
      <c r="H1136">
             </c>
      <c r="I1136" t="s">
        <v>14</v>
      </c>
      <c r="J1136" t="s">
        <v>141</v>
      </c>
      <c r="K1136" t="s">
        <v>14</v>
      </c>
      <c r="L1136" t="s">
        <v>20</v>
      </c>
      <c r="M1136" t="s">
        <v>2333</v>
      </c>
      <c r="N1136" t="s">
        <v>14</v>
      </c>
    </row>
    <row r="1137" x14ac:dyDescent="0.25">
      <c r="A1137" t="n">
        <v>25</v>
      </c>
      <c r="B1137" t="s">
        <v>14</v>
      </c>
      <c r="C1137" t="s">
        <v>22</v>
      </c>
      <c r="D1137" s="2" t="s">
        <f>=HYPERLINK("https://main.knesset.gov.il/APPS/legislation/main/bills/2233917", "הצעת חוק הקמת מערכת סולארית בבית משותף שהוקם במסגרת עסקת פינוי ובינוי, התשפ""ה-2025")</f>
        <v>2440</v>
      </c>
      <c r="E1137" t="s">
        <v>2440</v>
      </c>
      <c r="F1137" t="s">
        <v>2441</v>
      </c>
      <c r="G1137" t="s">
        <v>14</v>
      </c>
      <c r="H1137">
             </c>
      <c r="I1137" t="s">
        <v>14</v>
      </c>
      <c r="J1137" t="s">
        <v>141</v>
      </c>
      <c r="K1137" t="s">
        <v>14</v>
      </c>
      <c r="L1137" t="s">
        <v>20</v>
      </c>
      <c r="M1137" t="s">
        <v>2333</v>
      </c>
      <c r="N1137" t="s">
        <v>14</v>
      </c>
    </row>
    <row r="1138" x14ac:dyDescent="0.25">
      <c r="A1138" t="n">
        <v>25</v>
      </c>
      <c r="B1138" t="s">
        <v>14</v>
      </c>
      <c r="C1138" t="s">
        <v>22</v>
      </c>
      <c r="D1138" s="2" t="s">
        <f>=HYPERLINK("https://main.knesset.gov.il/APPS/legislation/main/bills/2234078", "הצעת חוק-יסוד: הכנסת (תיקון - החלטה בדבר הפסקת כהונה של חבר הכנסת)")</f>
        <v>2442</v>
      </c>
      <c r="E1138" t="s">
        <v>2442</v>
      </c>
      <c r="F1138" t="s">
        <v>2443</v>
      </c>
      <c r="G1138" t="s">
        <v>14</v>
      </c>
      <c r="H1138">
             </c>
      <c r="I1138" t="s">
        <v>14</v>
      </c>
      <c r="J1138" t="s">
        <v>141</v>
      </c>
      <c r="K1138" t="s">
        <v>14</v>
      </c>
      <c r="L1138" t="s">
        <v>20</v>
      </c>
      <c r="M1138" t="s">
        <v>2333</v>
      </c>
      <c r="N1138" t="s">
        <v>14</v>
      </c>
    </row>
    <row r="1139" x14ac:dyDescent="0.25">
      <c r="A1139" t="n">
        <v>25</v>
      </c>
      <c r="B1139" t="s">
        <v>14</v>
      </c>
      <c r="C1139" t="s">
        <v>22</v>
      </c>
      <c r="D1139" s="2" t="s">
        <f>=HYPERLINK("https://main.knesset.gov.il/APPS/legislation/main/bills/2233029", "הצעת חוק התכנון והבנייה (תיקון - ועדת משנה לעניין חבל תקומה) (הוראת שעה), התשפ""ה-2025")</f>
        <v>2444</v>
      </c>
      <c r="E1139" t="s">
        <v>2444</v>
      </c>
      <c r="F1139" t="s">
        <v>2445</v>
      </c>
      <c r="G1139" t="s">
        <v>14</v>
      </c>
      <c r="H1139">
             </c>
      <c r="I1139" t="s">
        <v>14</v>
      </c>
      <c r="J1139" t="s">
        <v>141</v>
      </c>
      <c r="K1139" t="s">
        <v>14</v>
      </c>
      <c r="L1139" t="s">
        <v>20</v>
      </c>
      <c r="M1139" t="s">
        <v>2333</v>
      </c>
      <c r="N1139" t="s">
        <v>14</v>
      </c>
    </row>
    <row r="1140" x14ac:dyDescent="0.25">
      <c r="A1140" t="n">
        <v>25</v>
      </c>
      <c r="B1140" t="s">
        <v>14</v>
      </c>
      <c r="C1140" t="s">
        <v>22</v>
      </c>
      <c r="D1140" s="2" t="s">
        <f>=HYPERLINK("https://main.knesset.gov.il/APPS/legislation/main/bills/2234090", "הצעת חוק שימוש בזרע של נפטר לשם הולדה, התשפ""ה-2025")</f>
        <v>2446</v>
      </c>
      <c r="E1140" t="s">
        <v>2446</v>
      </c>
      <c r="F1140" t="s">
        <v>2447</v>
      </c>
      <c r="G1140" t="s">
        <v>14</v>
      </c>
      <c r="H1140">
             </c>
      <c r="I1140" t="s">
        <v>14</v>
      </c>
      <c r="J1140" t="s">
        <v>141</v>
      </c>
      <c r="K1140" t="s">
        <v>14</v>
      </c>
      <c r="L1140" t="s">
        <v>20</v>
      </c>
      <c r="M1140" t="s">
        <v>2333</v>
      </c>
      <c r="N1140" t="s">
        <v>14</v>
      </c>
    </row>
    <row r="1141" x14ac:dyDescent="0.25">
      <c r="A1141" t="n">
        <v>25</v>
      </c>
      <c r="B1141" t="s">
        <v>14</v>
      </c>
      <c r="C1141" t="s">
        <v>22</v>
      </c>
      <c r="D1141" s="2" t="s">
        <f>=HYPERLINK("https://main.knesset.gov.il/APPS/legislation/main/bills/2234417", "הצעת חוק איסור צריכת זנות (הוראת שעה ותיקון חקיקה) (תיקון - עיגון כהוראת קבע), התשפ""ה-2025")</f>
        <v>2370</v>
      </c>
      <c r="E1141" t="s">
        <v>2370</v>
      </c>
      <c r="F1141" t="s">
        <v>2448</v>
      </c>
      <c r="G1141" t="s">
        <v>14</v>
      </c>
      <c r="H1141">
             </c>
      <c r="I1141" t="s">
        <v>14</v>
      </c>
      <c r="J1141" t="s">
        <v>141</v>
      </c>
      <c r="K1141" t="s">
        <v>14</v>
      </c>
      <c r="L1141" t="s">
        <v>20</v>
      </c>
      <c r="M1141" t="s">
        <v>2333</v>
      </c>
      <c r="N1141" t="s">
        <v>14</v>
      </c>
    </row>
    <row r="1142" x14ac:dyDescent="0.25">
      <c r="A1142" t="n">
        <v>25</v>
      </c>
      <c r="B1142" t="s">
        <v>14</v>
      </c>
      <c r="C1142" t="s">
        <v>22</v>
      </c>
      <c r="D1142" s="2" t="s">
        <f>=HYPERLINK("https://main.knesset.gov.il/APPS/legislation/main/bills/2231213", "הצעת חוק לתיקון פקודת העיריות (הזכות להפגין), התשפ""ה-2025 ")</f>
        <v>2449</v>
      </c>
      <c r="E1142" t="s">
        <v>2449</v>
      </c>
      <c r="F1142" t="s">
        <v>2450</v>
      </c>
      <c r="G1142" t="s">
        <v>14</v>
      </c>
      <c r="H1142">
             </c>
      <c r="I1142" t="s">
        <v>14</v>
      </c>
      <c r="J1142" t="s">
        <v>141</v>
      </c>
      <c r="K1142" t="s">
        <v>14</v>
      </c>
      <c r="L1142" t="s">
        <v>20</v>
      </c>
      <c r="M1142" t="s">
        <v>2333</v>
      </c>
      <c r="N1142" t="s">
        <v>14</v>
      </c>
    </row>
    <row r="1143" x14ac:dyDescent="0.25">
      <c r="A1143" t="n">
        <v>25</v>
      </c>
      <c r="B1143" t="s">
        <v>14</v>
      </c>
      <c r="C1143" t="s">
        <v>22</v>
      </c>
      <c r="D1143" s="2" t="s">
        <f>=HYPERLINK("https://main.knesset.gov.il/APPS/legislation/main/bills/2234126", "הצעת חוק איסור עיסוק נוסף לנושאי משרה בכירה, התשפ""ה-2025")</f>
        <v>2451</v>
      </c>
      <c r="E1143" t="s">
        <v>2451</v>
      </c>
      <c r="F1143" t="s">
        <v>2452</v>
      </c>
      <c r="G1143" t="s">
        <v>14</v>
      </c>
      <c r="H1143">
             </c>
      <c r="I1143" t="s">
        <v>14</v>
      </c>
      <c r="J1143" t="s">
        <v>141</v>
      </c>
      <c r="K1143" t="s">
        <v>14</v>
      </c>
      <c r="L1143" t="s">
        <v>20</v>
      </c>
      <c r="M1143" t="s">
        <v>2333</v>
      </c>
      <c r="N1143" t="s">
        <v>14</v>
      </c>
    </row>
    <row r="1144" x14ac:dyDescent="0.25">
      <c r="A1144" t="n">
        <v>25</v>
      </c>
      <c r="B1144" t="s">
        <v>14</v>
      </c>
      <c r="C1144" t="s">
        <v>22</v>
      </c>
      <c r="D1144" s="2" t="s">
        <f>=HYPERLINK("https://main.knesset.gov.il/APPS/legislation/main/bills/2234001", "הצעת חוק לתיקון פקודת המשטרה (ביטול הכפיפות לשר והבטחת עצמאות המשטרה), התשפ""ה-2025")</f>
        <v>2453</v>
      </c>
      <c r="E1144" t="s">
        <v>2453</v>
      </c>
      <c r="F1144" t="s">
        <v>2454</v>
      </c>
      <c r="G1144" t="s">
        <v>14</v>
      </c>
      <c r="H1144">
             </c>
      <c r="I1144" t="s">
        <v>14</v>
      </c>
      <c r="J1144" t="s">
        <v>141</v>
      </c>
      <c r="K1144" t="s">
        <v>14</v>
      </c>
      <c r="L1144" t="s">
        <v>20</v>
      </c>
      <c r="M1144" t="s">
        <v>2333</v>
      </c>
      <c r="N1144" t="s">
        <v>14</v>
      </c>
    </row>
    <row r="1145" x14ac:dyDescent="0.25">
      <c r="A1145" t="n">
        <v>25</v>
      </c>
      <c r="B1145" t="s">
        <v>14</v>
      </c>
      <c r="C1145" t="s">
        <v>22</v>
      </c>
      <c r="D1145" s="2" t="s">
        <f>=HYPERLINK("https://main.knesset.gov.il/APPS/legislation/main/bills/2232813", "הצעת חוק שיקום יישובים בחבל התקומה (תיקוני חקיקה) (הוראת שעה), התשפ""ה-2025 ")</f>
        <v>2455</v>
      </c>
      <c r="E1145" t="s">
        <v>2455</v>
      </c>
      <c r="F1145" t="s">
        <v>2456</v>
      </c>
      <c r="G1145" t="s">
        <v>14</v>
      </c>
      <c r="H1145">
             </c>
      <c r="I1145" t="s">
        <v>14</v>
      </c>
      <c r="J1145" t="s">
        <v>141</v>
      </c>
      <c r="K1145" t="s">
        <v>14</v>
      </c>
      <c r="L1145" t="s">
        <v>20</v>
      </c>
      <c r="M1145" t="s">
        <v>2333</v>
      </c>
      <c r="N1145" t="s">
        <v>14</v>
      </c>
    </row>
    <row r="1146" x14ac:dyDescent="0.25">
      <c r="A1146" t="n">
        <v>25</v>
      </c>
      <c r="B1146" t="s">
        <v>14</v>
      </c>
      <c r="C1146" t="s">
        <v>22</v>
      </c>
      <c r="D1146" s="2" t="s">
        <f>=HYPERLINK("https://main.knesset.gov.il/APPS/legislation/main/bills/2234060", "הצעת חוק סמכויות שעת חירום (תיקוני חקיקה), התשפ""ה-2025")</f>
        <v>2457</v>
      </c>
      <c r="E1146" t="s">
        <v>2457</v>
      </c>
      <c r="F1146" t="s">
        <v>2458</v>
      </c>
      <c r="G1146" t="s">
        <v>14</v>
      </c>
      <c r="H1146">
             </c>
      <c r="I1146" t="s">
        <v>14</v>
      </c>
      <c r="J1146" t="s">
        <v>141</v>
      </c>
      <c r="K1146" t="s">
        <v>14</v>
      </c>
      <c r="L1146" t="s">
        <v>20</v>
      </c>
      <c r="M1146" t="s">
        <v>2333</v>
      </c>
      <c r="N1146" t="s">
        <v>14</v>
      </c>
    </row>
    <row r="1147" x14ac:dyDescent="0.25">
      <c r="A1147" t="n">
        <v>25</v>
      </c>
      <c r="B1147" t="s">
        <v>14</v>
      </c>
      <c r="C1147" t="s">
        <v>22</v>
      </c>
      <c r="D1147" s="2" t="s">
        <f>=HYPERLINK("https://main.knesset.gov.il/APPS/legislation/main/bills/2233908", "הצעת חוק סמכויות לשם שמירה על ביטחון הציבור (תיקון - הסמכת מאבטחים למניעת אלימות באוטובוסים ציבוריים), התשפ""ה-2025 ")</f>
        <v>2459</v>
      </c>
      <c r="E1147" t="s">
        <v>2459</v>
      </c>
      <c r="F1147" t="s">
        <v>2460</v>
      </c>
      <c r="G1147" t="s">
        <v>14</v>
      </c>
      <c r="H1147">
             </c>
      <c r="I1147" t="s">
        <v>14</v>
      </c>
      <c r="J1147" t="s">
        <v>141</v>
      </c>
      <c r="K1147" t="s">
        <v>14</v>
      </c>
      <c r="L1147" t="s">
        <v>20</v>
      </c>
      <c r="M1147" t="s">
        <v>2333</v>
      </c>
      <c r="N1147" t="s">
        <v>14</v>
      </c>
    </row>
    <row r="1148" x14ac:dyDescent="0.25">
      <c r="A1148" t="n">
        <v>25</v>
      </c>
      <c r="B1148" t="s">
        <v>14</v>
      </c>
      <c r="C1148" t="s">
        <v>22</v>
      </c>
      <c r="D1148" s="2" t="s">
        <f>=HYPERLINK("https://main.knesset.gov.il/APPS/legislation/main/bills/2231176", "הצעת חוק ההוצאה לפועל (תיקון - ביטול צו הבאה בשל חוב כספי נמוך), התשפ״ה-2025")</f>
        <v>2461</v>
      </c>
      <c r="E1148" t="s">
        <v>2461</v>
      </c>
      <c r="F1148" t="s">
        <v>2462</v>
      </c>
      <c r="G1148" t="s">
        <v>14</v>
      </c>
      <c r="H1148">
             </c>
      <c r="I1148" t="s">
        <v>14</v>
      </c>
      <c r="J1148" t="s">
        <v>343</v>
      </c>
      <c r="K1148" t="s">
        <v>14</v>
      </c>
      <c r="L1148" t="s">
        <v>20</v>
      </c>
      <c r="M1148" t="s">
        <v>2333</v>
      </c>
      <c r="N1148" t="s">
        <v>14</v>
      </c>
    </row>
    <row r="1149" x14ac:dyDescent="0.25">
      <c r="A1149" t="n">
        <v>25</v>
      </c>
      <c r="B1149" t="s">
        <v>14</v>
      </c>
      <c r="C1149" t="s">
        <v>22</v>
      </c>
      <c r="D1149" s="2" t="s">
        <f>=HYPERLINK("https://main.knesset.gov.il/APPS/legislation/main/bills/2234221", "הצעת חוק שירות המדינה (מינויים) (תיקון - חובת פרסום שאלון לאיתור חשש לניגוד עניינים), התשפ""ה-2025")</f>
        <v>2463</v>
      </c>
      <c r="E1149" t="s">
        <v>2463</v>
      </c>
      <c r="F1149" t="s">
        <v>2464</v>
      </c>
      <c r="G1149" t="s">
        <v>14</v>
      </c>
      <c r="H1149">
             </c>
      <c r="I1149" t="s">
        <v>14</v>
      </c>
      <c r="J1149" t="s">
        <v>141</v>
      </c>
      <c r="K1149" t="s">
        <v>14</v>
      </c>
      <c r="L1149" t="s">
        <v>20</v>
      </c>
      <c r="M1149" t="s">
        <v>2333</v>
      </c>
      <c r="N1149" t="s">
        <v>14</v>
      </c>
    </row>
    <row r="1150" x14ac:dyDescent="0.25">
      <c r="A1150" t="n">
        <v>25</v>
      </c>
      <c r="B1150" t="s">
        <v>14</v>
      </c>
      <c r="C1150" t="s">
        <v>22</v>
      </c>
      <c r="D1150" s="2" t="s">
        <f>=HYPERLINK("https://main.knesset.gov.il/APPS/legislation/main/bills/2233985", "הצעת חוק הרשויות המקומיות (בחירת ראש הרשות וסגניו וכהונתם) (תיקון - הגבלת כהונה רביעית לראש רשות), התשפ""ה-2025")</f>
        <v>2465</v>
      </c>
      <c r="E1150" t="s">
        <v>2465</v>
      </c>
      <c r="F1150" t="s">
        <v>2466</v>
      </c>
      <c r="G1150" t="s">
        <v>14</v>
      </c>
      <c r="H1150">
             </c>
      <c r="I1150" t="s">
        <v>14</v>
      </c>
      <c r="J1150" t="s">
        <v>141</v>
      </c>
      <c r="K1150" t="s">
        <v>14</v>
      </c>
      <c r="L1150" t="s">
        <v>20</v>
      </c>
      <c r="M1150" t="s">
        <v>2333</v>
      </c>
      <c r="N1150" t="s">
        <v>14</v>
      </c>
    </row>
    <row r="1151" x14ac:dyDescent="0.25">
      <c r="A1151" t="n">
        <v>25</v>
      </c>
      <c r="B1151" t="s">
        <v>14</v>
      </c>
      <c r="C1151" t="s">
        <v>22</v>
      </c>
      <c r="D1151" s="2" t="s">
        <f>=HYPERLINK("https://main.knesset.gov.il/APPS/legislation/main/bills/2225415", "הצעת חוק חובת המכרזים (תיקון - תשלום ריבית על ערבות בנקאית), התשפ""ה-2025")</f>
        <v>2467</v>
      </c>
      <c r="E1151" t="s">
        <v>2467</v>
      </c>
      <c r="F1151" t="s">
        <v>2468</v>
      </c>
      <c r="G1151" t="s">
        <v>14</v>
      </c>
      <c r="H1151">
             </c>
      <c r="I1151" t="s">
        <v>14</v>
      </c>
      <c r="J1151" t="s">
        <v>141</v>
      </c>
      <c r="K1151" t="s">
        <v>14</v>
      </c>
      <c r="L1151" t="s">
        <v>20</v>
      </c>
      <c r="M1151" t="s">
        <v>2333</v>
      </c>
      <c r="N1151" t="s">
        <v>14</v>
      </c>
    </row>
    <row r="1152" x14ac:dyDescent="0.25">
      <c r="A1152" t="n">
        <v>25</v>
      </c>
      <c r="B1152" t="s">
        <v>14</v>
      </c>
      <c r="C1152" t="s">
        <v>22</v>
      </c>
      <c r="D1152" s="2" t="s">
        <f>=HYPERLINK("https://main.knesset.gov.il/APPS/legislation/main/bills/2232080", "הצעת חוק לתיקון פקודת מס הכנסה (פטור משווי שימוש ברכב עבודה חשמלי), התשפ""ה-2025")</f>
        <v>2469</v>
      </c>
      <c r="E1152" t="s">
        <v>2469</v>
      </c>
      <c r="F1152" t="s">
        <v>2470</v>
      </c>
      <c r="G1152" t="s">
        <v>14</v>
      </c>
      <c r="H1152">
             </c>
      <c r="I1152" t="s">
        <v>14</v>
      </c>
      <c r="J1152" t="s">
        <v>141</v>
      </c>
      <c r="K1152" t="s">
        <v>14</v>
      </c>
      <c r="L1152" t="s">
        <v>20</v>
      </c>
      <c r="M1152" t="s">
        <v>2333</v>
      </c>
      <c r="N1152" t="s">
        <v>14</v>
      </c>
    </row>
    <row r="1153" x14ac:dyDescent="0.25">
      <c r="A1153" t="n">
        <v>25</v>
      </c>
      <c r="B1153" t="s">
        <v>14</v>
      </c>
      <c r="C1153" t="s">
        <v>22</v>
      </c>
      <c r="D1153" s="2" t="s">
        <f>=HYPERLINK("https://main.knesset.gov.il/APPS/legislation/main/bills/2234443", "הצעת חוק שוויון זכויות לאנשים עם מוגבלות (תיקון - הנגשת אוטובוסים בין-עירוניים), התשפ""ה-2025")</f>
        <v>2471</v>
      </c>
      <c r="E1153" t="s">
        <v>2471</v>
      </c>
      <c r="F1153" t="s">
        <v>2472</v>
      </c>
      <c r="G1153" t="s">
        <v>14</v>
      </c>
      <c r="H1153">
             </c>
      <c r="I1153" t="s">
        <v>14</v>
      </c>
      <c r="J1153" t="s">
        <v>141</v>
      </c>
      <c r="K1153" t="s">
        <v>14</v>
      </c>
      <c r="L1153" t="s">
        <v>20</v>
      </c>
      <c r="M1153" t="s">
        <v>2333</v>
      </c>
      <c r="N1153" t="s">
        <v>14</v>
      </c>
    </row>
    <row r="1154" x14ac:dyDescent="0.25">
      <c r="A1154" t="n">
        <v>25</v>
      </c>
      <c r="B1154" t="s">
        <v>14</v>
      </c>
      <c r="C1154" t="s">
        <v>22</v>
      </c>
      <c r="D1154" s="2" t="s">
        <f>=HYPERLINK("https://main.knesset.gov.il/APPS/legislation/main/bills/2231936", "הצעת חוק-יסוד: הכנסת (תיקון - הרחבת העילות למניעת השתתפות בבחירות)")</f>
        <v>2473</v>
      </c>
      <c r="E1154" t="s">
        <v>2473</v>
      </c>
      <c r="F1154" t="s">
        <v>2474</v>
      </c>
      <c r="G1154" t="s">
        <v>14</v>
      </c>
      <c r="H1154">
             </c>
      <c r="I1154" t="s">
        <v>14</v>
      </c>
      <c r="J1154" t="s">
        <v>141</v>
      </c>
      <c r="K1154" t="s">
        <v>14</v>
      </c>
      <c r="L1154" t="s">
        <v>20</v>
      </c>
      <c r="M1154" t="s">
        <v>2333</v>
      </c>
      <c r="N1154" t="s">
        <v>14</v>
      </c>
    </row>
    <row r="1155" x14ac:dyDescent="0.25">
      <c r="A1155" t="n">
        <v>25</v>
      </c>
      <c r="B1155" t="s">
        <v>14</v>
      </c>
      <c r="C1155" t="s">
        <v>22</v>
      </c>
      <c r="D1155" s="2" t="s">
        <f>=HYPERLINK("https://main.knesset.gov.il/APPS/legislation/main/bills/2234024", "הצעת חוק הסדרי משפט ומינהל (תיקון - ניתוק הזיקה להכרזה על מצב חירום), התשפ""ה-2025")</f>
        <v>2475</v>
      </c>
      <c r="E1155" t="s">
        <v>2475</v>
      </c>
      <c r="F1155" t="s">
        <v>2476</v>
      </c>
      <c r="G1155" t="s">
        <v>14</v>
      </c>
      <c r="H1155">
             </c>
      <c r="I1155" t="s">
        <v>14</v>
      </c>
      <c r="J1155" t="s">
        <v>141</v>
      </c>
      <c r="K1155" t="s">
        <v>14</v>
      </c>
      <c r="L1155" t="s">
        <v>20</v>
      </c>
      <c r="M1155" t="s">
        <v>2333</v>
      </c>
      <c r="N1155" t="s">
        <v>14</v>
      </c>
    </row>
    <row r="1156" x14ac:dyDescent="0.25">
      <c r="A1156" t="n">
        <v>25</v>
      </c>
      <c r="B1156" t="s">
        <v>14</v>
      </c>
      <c r="C1156" t="s">
        <v>22</v>
      </c>
      <c r="D1156" s="2" t="s">
        <f>=HYPERLINK("https://main.knesset.gov.il/APPS/legislation/main/bills/2233028", "הצעת חוק מיסוי מקרקעין (שבח ורכישה) (תיקון - הקניית זכות במקרקעין חלף בית שנהרס או חולל באירוע טרור), התשפ""ה-2025")</f>
        <v>2477</v>
      </c>
      <c r="E1156" t="s">
        <v>2477</v>
      </c>
      <c r="F1156" t="s">
        <v>2478</v>
      </c>
      <c r="G1156" t="s">
        <v>14</v>
      </c>
      <c r="H1156">
             </c>
      <c r="I1156" t="s">
        <v>14</v>
      </c>
      <c r="J1156" t="s">
        <v>141</v>
      </c>
      <c r="K1156" t="s">
        <v>14</v>
      </c>
      <c r="L1156" t="s">
        <v>20</v>
      </c>
      <c r="M1156" t="s">
        <v>2333</v>
      </c>
      <c r="N1156" t="s">
        <v>14</v>
      </c>
    </row>
    <row r="1157" x14ac:dyDescent="0.25">
      <c r="A1157" t="n">
        <v>25</v>
      </c>
      <c r="B1157" t="s">
        <v>14</v>
      </c>
      <c r="C1157" t="s">
        <v>22</v>
      </c>
      <c r="D1157" s="2" t="s">
        <f>=HYPERLINK("https://main.knesset.gov.il/APPS/legislation/main/bills/2234107", "הצעת חוק מימון הוצאות למשפחות שבויים, חטופים ונעדרים (תיקון - הגדלת מענקי סיוע להורה של חטוף או נעדר שאין לו בן זוג שהוא הורה של אותו חטוף או נעדר), התשפ""ה-2025")</f>
        <v>2479</v>
      </c>
      <c r="E1157" t="s">
        <v>2479</v>
      </c>
      <c r="F1157" t="s">
        <v>2480</v>
      </c>
      <c r="G1157" t="s">
        <v>14</v>
      </c>
      <c r="H1157">
             </c>
      <c r="I1157" t="s">
        <v>14</v>
      </c>
      <c r="J1157" t="s">
        <v>141</v>
      </c>
      <c r="K1157" t="s">
        <v>14</v>
      </c>
      <c r="L1157" t="s">
        <v>20</v>
      </c>
      <c r="M1157" t="s">
        <v>2333</v>
      </c>
      <c r="N1157" t="s">
        <v>14</v>
      </c>
    </row>
    <row r="1158" x14ac:dyDescent="0.25">
      <c r="A1158" t="n">
        <v>25</v>
      </c>
      <c r="B1158" t="s">
        <v>14</v>
      </c>
      <c r="C1158" t="s">
        <v>22</v>
      </c>
      <c r="D1158" s="2" t="s">
        <f>=HYPERLINK("https://main.knesset.gov.il/APPS/legislation/main/bills/2231643", "הצעת חוק הסדרת מקומות רחצה (תיקון - הגבלת אחריות רשות מקומית למקום שאינו מוכרז לרחצה), התשפ""ה-2025")</f>
        <v>2481</v>
      </c>
      <c r="E1158" t="s">
        <v>2481</v>
      </c>
      <c r="F1158" t="s">
        <v>2482</v>
      </c>
      <c r="G1158" t="s">
        <v>14</v>
      </c>
      <c r="H1158">
             </c>
      <c r="I1158" t="s">
        <v>14</v>
      </c>
      <c r="J1158" t="s">
        <v>141</v>
      </c>
      <c r="K1158" t="s">
        <v>14</v>
      </c>
      <c r="L1158" t="s">
        <v>20</v>
      </c>
      <c r="M1158" t="s">
        <v>2333</v>
      </c>
      <c r="N1158" t="s">
        <v>14</v>
      </c>
    </row>
    <row r="1159" x14ac:dyDescent="0.25">
      <c r="A1159" t="n">
        <v>25</v>
      </c>
      <c r="B1159" t="s">
        <v>14</v>
      </c>
      <c r="C1159" t="s">
        <v>22</v>
      </c>
      <c r="D1159" s="2" t="s">
        <f>=HYPERLINK("https://main.knesset.gov.il/APPS/legislation/main/bills/2234225", "הצעת חוק החלת תקצוב מגדרי על תקציבים ציבוריים בישראל, התשפ""ה-2025")</f>
        <v>2483</v>
      </c>
      <c r="E1159" t="s">
        <v>2483</v>
      </c>
      <c r="F1159" t="s">
        <v>2484</v>
      </c>
      <c r="G1159" t="s">
        <v>14</v>
      </c>
      <c r="H1159">
             </c>
      <c r="I1159" t="s">
        <v>14</v>
      </c>
      <c r="J1159" t="s">
        <v>141</v>
      </c>
      <c r="K1159" t="s">
        <v>14</v>
      </c>
      <c r="L1159" t="s">
        <v>20</v>
      </c>
      <c r="M1159" t="s">
        <v>2333</v>
      </c>
      <c r="N1159" t="s">
        <v>14</v>
      </c>
    </row>
    <row r="1160" x14ac:dyDescent="0.25">
      <c r="A1160" t="n">
        <v>25</v>
      </c>
      <c r="B1160" t="s">
        <v>14</v>
      </c>
      <c r="C1160" t="s">
        <v>22</v>
      </c>
      <c r="D1160" s="2" t="s">
        <f>=HYPERLINK("https://main.knesset.gov.il/APPS/legislation/main/bills/2234230", "הצעת חוק-יסוד: הממשלה (תיקון - חובת מינוי ממלא מקום ראש הממשלה)")</f>
        <v>2485</v>
      </c>
      <c r="E1160" t="s">
        <v>2485</v>
      </c>
      <c r="F1160" t="s">
        <v>2486</v>
      </c>
      <c r="G1160" t="s">
        <v>14</v>
      </c>
      <c r="H1160">
             </c>
      <c r="I1160" t="s">
        <v>14</v>
      </c>
      <c r="J1160" t="s">
        <v>141</v>
      </c>
      <c r="K1160" t="s">
        <v>14</v>
      </c>
      <c r="L1160" t="s">
        <v>20</v>
      </c>
      <c r="M1160" t="s">
        <v>2333</v>
      </c>
      <c r="N1160" t="s">
        <v>14</v>
      </c>
    </row>
    <row r="1161" x14ac:dyDescent="0.25">
      <c r="A1161" t="n">
        <v>25</v>
      </c>
      <c r="B1161" t="s">
        <v>14</v>
      </c>
      <c r="C1161" t="s">
        <v>22</v>
      </c>
      <c r="D1161" s="2" t="s">
        <f>=HYPERLINK("https://main.knesset.gov.il/APPS/legislation/main/bills/2234081", "הצעת חוק-יסוד: הממשלה (תיקון - חובת מינוי ממלא מקום ראש הממשלה)")</f>
        <v>2485</v>
      </c>
      <c r="E1161" t="s">
        <v>2485</v>
      </c>
      <c r="F1161" t="s">
        <v>2487</v>
      </c>
      <c r="G1161" t="s">
        <v>14</v>
      </c>
      <c r="H1161">
             </c>
      <c r="I1161" t="s">
        <v>14</v>
      </c>
      <c r="J1161" t="s">
        <v>141</v>
      </c>
      <c r="K1161" t="s">
        <v>14</v>
      </c>
      <c r="L1161" t="s">
        <v>20</v>
      </c>
      <c r="M1161" t="s">
        <v>2333</v>
      </c>
      <c r="N1161" t="s">
        <v>14</v>
      </c>
    </row>
    <row r="1162" x14ac:dyDescent="0.25">
      <c r="A1162" t="n">
        <v>25</v>
      </c>
      <c r="B1162" t="s">
        <v>14</v>
      </c>
      <c r="C1162" t="s">
        <v>22</v>
      </c>
      <c r="D1162" s="2" t="s">
        <f>=HYPERLINK("https://main.knesset.gov.il/APPS/legislation/main/bills/2234320", "הצעת חוק הביטוח הלאומי (תיקון - תשלום קצבת שארים לעגונה ולמסורבי גט שהתאלמנו), התשפ""ה-2025")</f>
        <v>2488</v>
      </c>
      <c r="E1162" t="s">
        <v>2488</v>
      </c>
      <c r="F1162" t="s">
        <v>2489</v>
      </c>
      <c r="G1162" t="s">
        <v>14</v>
      </c>
      <c r="H1162">
             </c>
      <c r="I1162" t="s">
        <v>14</v>
      </c>
      <c r="J1162" t="s">
        <v>141</v>
      </c>
      <c r="K1162" t="s">
        <v>14</v>
      </c>
      <c r="L1162" t="s">
        <v>20</v>
      </c>
      <c r="M1162" t="s">
        <v>2333</v>
      </c>
      <c r="N1162" t="s">
        <v>14</v>
      </c>
    </row>
    <row r="1163" x14ac:dyDescent="0.25">
      <c r="A1163" t="n">
        <v>25</v>
      </c>
      <c r="B1163" t="s">
        <v>14</v>
      </c>
      <c r="C1163" t="s">
        <v>22</v>
      </c>
      <c r="D1163" s="2" t="s">
        <f>=HYPERLINK("https://main.knesset.gov.il/APPS/legislation/main/bills/2234201", "הצעת חוק-יסוד: הכנסת (תיקון - ביטול הפסקת חברות של חבר הכנסת)")</f>
        <v>2254</v>
      </c>
      <c r="E1163" t="s">
        <v>2254</v>
      </c>
      <c r="F1163" t="s">
        <v>2490</v>
      </c>
      <c r="G1163" t="s">
        <v>14</v>
      </c>
      <c r="H1163">
             </c>
      <c r="I1163" t="s">
        <v>14</v>
      </c>
      <c r="J1163" t="s">
        <v>141</v>
      </c>
      <c r="K1163" t="s">
        <v>14</v>
      </c>
      <c r="L1163" t="s">
        <v>20</v>
      </c>
      <c r="M1163" t="s">
        <v>2333</v>
      </c>
      <c r="N1163" t="s">
        <v>14</v>
      </c>
    </row>
    <row r="1164" x14ac:dyDescent="0.25">
      <c r="A1164" t="n">
        <v>25</v>
      </c>
      <c r="B1164" t="s">
        <v>14</v>
      </c>
      <c r="C1164" t="s">
        <v>22</v>
      </c>
      <c r="D1164" s="2" t="s">
        <f>=HYPERLINK("https://main.knesset.gov.il/APPS/legislation/main/bills/2233718", "הצעת חוק-יסוד: הכנסת (תיקון - ביטול הפסקת חברות של חבר הכנסת)")</f>
        <v>2254</v>
      </c>
      <c r="E1164" t="s">
        <v>2254</v>
      </c>
      <c r="F1164" t="s">
        <v>2491</v>
      </c>
      <c r="G1164" t="s">
        <v>14</v>
      </c>
      <c r="H1164">
             </c>
      <c r="I1164" t="s">
        <v>14</v>
      </c>
      <c r="J1164" t="s">
        <v>141</v>
      </c>
      <c r="K1164" t="s">
        <v>14</v>
      </c>
      <c r="L1164" t="s">
        <v>20</v>
      </c>
      <c r="M1164" t="s">
        <v>2333</v>
      </c>
      <c r="N1164" t="s">
        <v>14</v>
      </c>
    </row>
    <row r="1165" x14ac:dyDescent="0.25">
      <c r="A1165" t="n">
        <v>25</v>
      </c>
      <c r="B1165" t="s">
        <v>14</v>
      </c>
      <c r="C1165" t="s">
        <v>22</v>
      </c>
      <c r="D1165" s="2" t="s">
        <f>=HYPERLINK("https://main.knesset.gov.il/APPS/legislation/main/bills/2233687", "הצעת חוק-יסוד: הכנסת (תיקון - ביטול הפסקת חברות של חבר הכנסת)")</f>
        <v>2254</v>
      </c>
      <c r="E1165" t="s">
        <v>2254</v>
      </c>
      <c r="F1165" t="s">
        <v>2492</v>
      </c>
      <c r="G1165" t="s">
        <v>14</v>
      </c>
      <c r="H1165">
             </c>
      <c r="I1165" t="s">
        <v>14</v>
      </c>
      <c r="J1165" t="s">
        <v>141</v>
      </c>
      <c r="K1165" t="s">
        <v>14</v>
      </c>
      <c r="L1165" t="s">
        <v>20</v>
      </c>
      <c r="M1165" t="s">
        <v>2333</v>
      </c>
      <c r="N1165" t="s">
        <v>14</v>
      </c>
    </row>
    <row r="1166" x14ac:dyDescent="0.25">
      <c r="A1166" t="n">
        <v>25</v>
      </c>
      <c r="B1166" t="s">
        <v>14</v>
      </c>
      <c r="C1166" t="s">
        <v>22</v>
      </c>
      <c r="D1166" s="2" t="s">
        <f>=HYPERLINK("https://main.knesset.gov.il/APPS/legislation/main/bills/2233598", "הצעת חוק המתווכים במקרקעין (תיקון - הטלת דמי תיווך על שוכר), התשפ""ה-2025")</f>
        <v>2493</v>
      </c>
      <c r="E1166" t="s">
        <v>2493</v>
      </c>
      <c r="F1166" t="s">
        <v>2494</v>
      </c>
      <c r="G1166" t="s">
        <v>14</v>
      </c>
      <c r="H1166">
             </c>
      <c r="I1166" t="s">
        <v>14</v>
      </c>
      <c r="J1166" t="s">
        <v>141</v>
      </c>
      <c r="K1166" t="s">
        <v>14</v>
      </c>
      <c r="L1166" t="s">
        <v>20</v>
      </c>
      <c r="M1166" t="s">
        <v>2333</v>
      </c>
      <c r="N1166" t="s">
        <v>14</v>
      </c>
    </row>
    <row r="1167" x14ac:dyDescent="0.25">
      <c r="A1167" t="n">
        <v>25</v>
      </c>
      <c r="B1167" t="s">
        <v>14</v>
      </c>
      <c r="C1167" t="s">
        <v>22</v>
      </c>
      <c r="D1167" s="2" t="s">
        <f>=HYPERLINK("https://main.knesset.gov.il/APPS/legislation/main/bills/2234036", "הצעת חוק לתיקון סדרי המינהל (החלטות והנמקות) (תיקון - קיצור זמן המענה בפניות ציבור), התשפ""ה-2025")</f>
        <v>2495</v>
      </c>
      <c r="E1167" t="s">
        <v>2495</v>
      </c>
      <c r="F1167" t="s">
        <v>2496</v>
      </c>
      <c r="G1167" t="s">
        <v>14</v>
      </c>
      <c r="H1167">
             </c>
      <c r="I1167" t="s">
        <v>14</v>
      </c>
      <c r="J1167" t="s">
        <v>141</v>
      </c>
      <c r="K1167" t="s">
        <v>14</v>
      </c>
      <c r="L1167" t="s">
        <v>20</v>
      </c>
      <c r="M1167" t="s">
        <v>2333</v>
      </c>
      <c r="N1167" t="s">
        <v>14</v>
      </c>
    </row>
    <row r="1168" x14ac:dyDescent="0.25">
      <c r="A1168" t="n">
        <v>25</v>
      </c>
      <c r="B1168" t="s">
        <v>14</v>
      </c>
      <c r="C1168" t="s">
        <v>22</v>
      </c>
      <c r="D1168" s="2" t="s">
        <f>=HYPERLINK("https://main.knesset.gov.il/APPS/legislation/main/bills/2231845", "הצעת חוק הפיקוח על שירותים פיננסיים (ביטוח) (תיקון - קביעת הוראות האוסרות על הגבלת שימוש במוסכים), התשפ""ה-2025")</f>
        <v>2497</v>
      </c>
      <c r="E1168" t="s">
        <v>2497</v>
      </c>
      <c r="F1168" t="s">
        <v>2498</v>
      </c>
      <c r="G1168" t="s">
        <v>14</v>
      </c>
      <c r="H1168">
             </c>
      <c r="I1168" t="s">
        <v>14</v>
      </c>
      <c r="J1168" t="s">
        <v>141</v>
      </c>
      <c r="K1168" t="s">
        <v>14</v>
      </c>
      <c r="L1168" t="s">
        <v>20</v>
      </c>
      <c r="M1168" t="s">
        <v>2333</v>
      </c>
      <c r="N1168" t="s">
        <v>14</v>
      </c>
    </row>
    <row r="1169" x14ac:dyDescent="0.25">
      <c r="A1169" t="n">
        <v>25</v>
      </c>
      <c r="B1169" t="s">
        <v>14</v>
      </c>
      <c r="C1169" t="s">
        <v>22</v>
      </c>
      <c r="D1169" s="2" t="s">
        <f>=HYPERLINK("https://main.knesset.gov.il/APPS/legislation/main/bills/2232348", "הצעת חוק חקירה והעמדה לדין של פשעי מלחמה, פשעים נגד האנושות והשמדת עם, התשפ""ה-2025")</f>
        <v>2499</v>
      </c>
      <c r="E1169" t="s">
        <v>2499</v>
      </c>
      <c r="F1169" t="s">
        <v>2500</v>
      </c>
      <c r="G1169" t="s">
        <v>14</v>
      </c>
      <c r="H1169">
             </c>
      <c r="I1169" t="s">
        <v>14</v>
      </c>
      <c r="J1169" t="s">
        <v>141</v>
      </c>
      <c r="K1169" t="s">
        <v>14</v>
      </c>
      <c r="L1169" t="s">
        <v>20</v>
      </c>
      <c r="M1169" t="s">
        <v>2333</v>
      </c>
      <c r="N1169" t="s">
        <v>14</v>
      </c>
    </row>
    <row r="1170" x14ac:dyDescent="0.25">
      <c r="A1170" t="n">
        <v>25</v>
      </c>
      <c r="B1170" t="s">
        <v>14</v>
      </c>
      <c r="C1170" t="s">
        <v>22</v>
      </c>
      <c r="D1170" s="2" t="s">
        <f>=HYPERLINK("https://main.knesset.gov.il/APPS/legislation/main/bills/2233642", "הצעת חוק סיוע למשפחות נעדרים, התשפ""ה-2025")</f>
        <v>2501</v>
      </c>
      <c r="E1170" t="s">
        <v>2501</v>
      </c>
      <c r="F1170" t="s">
        <v>2502</v>
      </c>
      <c r="G1170" t="s">
        <v>14</v>
      </c>
      <c r="H1170">
             </c>
      <c r="I1170" t="s">
        <v>14</v>
      </c>
      <c r="J1170" t="s">
        <v>141</v>
      </c>
      <c r="K1170" t="s">
        <v>14</v>
      </c>
      <c r="L1170" t="s">
        <v>20</v>
      </c>
      <c r="M1170" t="s">
        <v>2333</v>
      </c>
      <c r="N1170" t="s">
        <v>14</v>
      </c>
    </row>
    <row r="1171" x14ac:dyDescent="0.25">
      <c r="A1171" t="n">
        <v>25</v>
      </c>
      <c r="B1171" t="s">
        <v>14</v>
      </c>
      <c r="C1171" t="s">
        <v>22</v>
      </c>
      <c r="D1171" s="2" t="s">
        <f>=HYPERLINK("https://main.knesset.gov.il/APPS/legislation/main/bills/2234133", "הצעת חוק סימון מנות בריאות במסעדות, התשפ""ה-2025")</f>
        <v>2503</v>
      </c>
      <c r="E1171" t="s">
        <v>2503</v>
      </c>
      <c r="F1171" t="s">
        <v>2504</v>
      </c>
      <c r="G1171" t="s">
        <v>14</v>
      </c>
      <c r="H1171">
             </c>
      <c r="I1171" t="s">
        <v>14</v>
      </c>
      <c r="J1171" t="s">
        <v>141</v>
      </c>
      <c r="K1171" t="s">
        <v>14</v>
      </c>
      <c r="L1171" t="s">
        <v>20</v>
      </c>
      <c r="M1171" t="s">
        <v>2333</v>
      </c>
      <c r="N1171" t="s">
        <v>14</v>
      </c>
    </row>
    <row r="1172" x14ac:dyDescent="0.25">
      <c r="A1172" t="n">
        <v>25</v>
      </c>
      <c r="B1172" t="s">
        <v>14</v>
      </c>
      <c r="C1172" t="s">
        <v>22</v>
      </c>
      <c r="D1172" s="2" t="s">
        <f>=HYPERLINK("https://main.knesset.gov.il/APPS/legislation/main/bills/2234080", "הצעת חוק הרשויות המקומיות (הקרן להרחבת ההשקעה בתושב ולהגדלת היצע הדיור) (תיקון - החרגת הכנסות מארנונה בגין תקופות שקדמו לשנת 2023), התשפ""ה-2025")</f>
        <v>2505</v>
      </c>
      <c r="E1172" t="s">
        <v>2505</v>
      </c>
      <c r="F1172" t="s">
        <v>2506</v>
      </c>
      <c r="G1172" t="s">
        <v>14</v>
      </c>
      <c r="H1172">
             </c>
      <c r="I1172" t="s">
        <v>14</v>
      </c>
      <c r="J1172" t="s">
        <v>141</v>
      </c>
      <c r="K1172" t="s">
        <v>14</v>
      </c>
      <c r="L1172" t="s">
        <v>20</v>
      </c>
      <c r="M1172" t="s">
        <v>2333</v>
      </c>
      <c r="N1172" t="s">
        <v>14</v>
      </c>
    </row>
    <row r="1173" x14ac:dyDescent="0.25">
      <c r="A1173" t="n">
        <v>25</v>
      </c>
      <c r="B1173" t="s">
        <v>14</v>
      </c>
      <c r="C1173" t="s">
        <v>22</v>
      </c>
      <c r="D1173" s="2" t="s">
        <f>=HYPERLINK("https://main.knesset.gov.il/APPS/legislation/main/bills/2232963", "הצעת חוק עובדים זרים (תיקון - שימוש בכספי פיקדון למטרת גביית פיצוי נזיקי ולשיקום תשתיות), התשפ""ה-2025")</f>
        <v>2507</v>
      </c>
      <c r="E1173" t="s">
        <v>2507</v>
      </c>
      <c r="F1173" t="s">
        <v>2508</v>
      </c>
      <c r="G1173" t="s">
        <v>14</v>
      </c>
      <c r="H1173">
             </c>
      <c r="I1173" t="s">
        <v>14</v>
      </c>
      <c r="J1173" t="s">
        <v>141</v>
      </c>
      <c r="K1173" t="s">
        <v>14</v>
      </c>
      <c r="L1173" t="s">
        <v>20</v>
      </c>
      <c r="M1173" t="s">
        <v>2333</v>
      </c>
      <c r="N1173" t="s">
        <v>14</v>
      </c>
    </row>
    <row r="1174" x14ac:dyDescent="0.25">
      <c r="A1174" t="n">
        <v>25</v>
      </c>
      <c r="B1174" t="s">
        <v>14</v>
      </c>
      <c r="C1174" t="s">
        <v>22</v>
      </c>
      <c r="D1174" s="2" t="s">
        <f>=HYPERLINK("https://main.knesset.gov.il/APPS/legislation/main/bills/2232801", "הצעת חוק העונשין (תיקון - הורדת גיל האחריות הפלילית לילדי מסתננים לעשר שנים), התשפ""ה-2025")</f>
        <v>2509</v>
      </c>
      <c r="E1174" t="s">
        <v>2509</v>
      </c>
      <c r="F1174" t="s">
        <v>2510</v>
      </c>
      <c r="G1174" t="s">
        <v>14</v>
      </c>
      <c r="H1174">
             </c>
      <c r="I1174" t="s">
        <v>14</v>
      </c>
      <c r="J1174" t="s">
        <v>141</v>
      </c>
      <c r="K1174" t="s">
        <v>14</v>
      </c>
      <c r="L1174" t="s">
        <v>20</v>
      </c>
      <c r="M1174" t="s">
        <v>2333</v>
      </c>
      <c r="N1174" t="s">
        <v>14</v>
      </c>
    </row>
    <row r="1175" x14ac:dyDescent="0.25">
      <c r="A1175" t="n">
        <v>25</v>
      </c>
      <c r="B1175" t="s">
        <v>14</v>
      </c>
      <c r="C1175" t="s">
        <v>22</v>
      </c>
      <c r="D1175" s="2" t="s">
        <f>=HYPERLINK("https://main.knesset.gov.il/APPS/legislation/main/bills/2232810", "הצעת חוק הגנת הצרכן (תיקון - החמרת האכיפה והענישה על אי-הצגת מחיר על טובין על ידי קמעונאי גדול), התשפ""ה-2025")</f>
        <v>2511</v>
      </c>
      <c r="E1175" t="s">
        <v>2511</v>
      </c>
      <c r="F1175" t="s">
        <v>2512</v>
      </c>
      <c r="G1175" t="s">
        <v>14</v>
      </c>
      <c r="H1175">
             </c>
      <c r="I1175" t="s">
        <v>14</v>
      </c>
      <c r="J1175" t="s">
        <v>141</v>
      </c>
      <c r="K1175" t="s">
        <v>14</v>
      </c>
      <c r="L1175" t="s">
        <v>20</v>
      </c>
      <c r="M1175" t="s">
        <v>2333</v>
      </c>
      <c r="N1175" t="s">
        <v>14</v>
      </c>
    </row>
    <row r="1176" x14ac:dyDescent="0.25">
      <c r="A1176" t="n">
        <v>25</v>
      </c>
      <c r="B1176" t="s">
        <v>14</v>
      </c>
      <c r="C1176" t="s">
        <v>22</v>
      </c>
      <c r="D1176" s="2" t="s">
        <f>=HYPERLINK("https://main.knesset.gov.il/APPS/legislation/main/bills/2233512", "הצעת חוק-יסוד: הממשלה (תיקון - איסור חקירה פלילית והגשת כתב אישום נגד ראש הממשלה במהלך תקופת כהונתו)")</f>
        <v>2513</v>
      </c>
      <c r="E1176" t="s">
        <v>2513</v>
      </c>
      <c r="F1176" t="s">
        <v>2514</v>
      </c>
      <c r="G1176" t="s">
        <v>14</v>
      </c>
      <c r="H1176">
             </c>
      <c r="I1176" t="s">
        <v>14</v>
      </c>
      <c r="J1176" t="s">
        <v>141</v>
      </c>
      <c r="K1176" t="s">
        <v>14</v>
      </c>
      <c r="L1176" t="s">
        <v>20</v>
      </c>
      <c r="M1176" t="s">
        <v>2333</v>
      </c>
      <c r="N1176" t="s">
        <v>14</v>
      </c>
    </row>
    <row r="1177" x14ac:dyDescent="0.25">
      <c r="A1177" t="n">
        <v>25</v>
      </c>
      <c r="B1177" t="s">
        <v>14</v>
      </c>
      <c r="C1177" t="s">
        <v>22</v>
      </c>
      <c r="D1177" s="2" t="s">
        <f>=HYPERLINK("https://main.knesset.gov.il/APPS/legislation/main/bills/2234028", "הצעת חוק הפרות מינהליות, התשפ""ה-2025")</f>
        <v>2515</v>
      </c>
      <c r="E1177" t="s">
        <v>2515</v>
      </c>
      <c r="F1177" t="s">
        <v>2516</v>
      </c>
      <c r="G1177" t="s">
        <v>14</v>
      </c>
      <c r="H1177">
             </c>
      <c r="I1177" t="s">
        <v>14</v>
      </c>
      <c r="J1177" t="s">
        <v>141</v>
      </c>
      <c r="K1177" t="s">
        <v>14</v>
      </c>
      <c r="L1177" t="s">
        <v>20</v>
      </c>
      <c r="M1177" t="s">
        <v>2333</v>
      </c>
      <c r="N1177" t="s">
        <v>14</v>
      </c>
    </row>
    <row r="1178" x14ac:dyDescent="0.25">
      <c r="A1178" t="n">
        <v>25</v>
      </c>
      <c r="B1178" t="s">
        <v>14</v>
      </c>
      <c r="C1178" t="s">
        <v>22</v>
      </c>
      <c r="D1178" s="2" t="s">
        <f>=HYPERLINK("https://main.knesset.gov.il/APPS/legislation/main/bills/2233635", "הצעת חוק התפזרות הכנסת העשרים וחמש, התשפ""ה-2025")</f>
        <v>225</v>
      </c>
      <c r="E1178" t="s">
        <v>225</v>
      </c>
      <c r="F1178" t="s">
        <v>2517</v>
      </c>
      <c r="G1178" t="s">
        <v>14</v>
      </c>
      <c r="H1178">
             </c>
      <c r="I1178" t="s">
        <v>14</v>
      </c>
      <c r="J1178" t="s">
        <v>141</v>
      </c>
      <c r="K1178" t="s">
        <v>14</v>
      </c>
      <c r="L1178" t="s">
        <v>20</v>
      </c>
      <c r="M1178" t="s">
        <v>2333</v>
      </c>
      <c r="N1178" t="s">
        <v>14</v>
      </c>
    </row>
    <row r="1179" x14ac:dyDescent="0.25">
      <c r="A1179" t="n">
        <v>25</v>
      </c>
      <c r="B1179" t="s">
        <v>14</v>
      </c>
      <c r="C1179" t="s">
        <v>22</v>
      </c>
      <c r="D1179" s="2" t="s">
        <f>=HYPERLINK("https://main.knesset.gov.il/APPS/legislation/main/bills/2233670", "הצעת חוק משק החשמל (תיקון - איסור ניתוק חשמל), התשפ""ה-2025")</f>
        <v>2518</v>
      </c>
      <c r="E1179" t="s">
        <v>2518</v>
      </c>
      <c r="F1179" t="s">
        <v>2519</v>
      </c>
      <c r="G1179" t="s">
        <v>14</v>
      </c>
      <c r="H1179">
             </c>
      <c r="I1179" t="s">
        <v>14</v>
      </c>
      <c r="J1179" t="s">
        <v>141</v>
      </c>
      <c r="K1179" t="s">
        <v>14</v>
      </c>
      <c r="L1179" t="s">
        <v>20</v>
      </c>
      <c r="M1179" t="s">
        <v>2333</v>
      </c>
      <c r="N1179" t="s">
        <v>14</v>
      </c>
    </row>
    <row r="1180" x14ac:dyDescent="0.25">
      <c r="A1180" t="n">
        <v>25</v>
      </c>
      <c r="B1180" t="s">
        <v>14</v>
      </c>
      <c r="C1180" t="s">
        <v>22</v>
      </c>
      <c r="D1180" s="2" t="s">
        <f>=HYPERLINK("https://main.knesset.gov.il/APPS/legislation/main/bills/2233168", "הצעת חוק שירות מידע פיננסי (תיקון - הסדרת מתן שירותים על ידי עמותה), התשפ""ה-2025")</f>
        <v>2520</v>
      </c>
      <c r="E1180" t="s">
        <v>2520</v>
      </c>
      <c r="F1180" t="s">
        <v>2521</v>
      </c>
      <c r="G1180" t="s">
        <v>14</v>
      </c>
      <c r="H1180">
             </c>
      <c r="I1180" t="s">
        <v>14</v>
      </c>
      <c r="J1180" t="s">
        <v>141</v>
      </c>
      <c r="K1180" t="s">
        <v>14</v>
      </c>
      <c r="L1180" t="s">
        <v>20</v>
      </c>
      <c r="M1180" t="s">
        <v>2333</v>
      </c>
      <c r="N1180" t="s">
        <v>14</v>
      </c>
    </row>
    <row r="1181" x14ac:dyDescent="0.25">
      <c r="A1181" t="n">
        <v>25</v>
      </c>
      <c r="B1181" t="s">
        <v>14</v>
      </c>
      <c r="C1181" t="s">
        <v>22</v>
      </c>
      <c r="D1181" s="2" t="s">
        <f>=HYPERLINK("https://main.knesset.gov.il/APPS/legislation/main/bills/2229644", "הצעת חוק סדר הדין הפלילי (תיקון - שינוי פרק זמן ההתיישנות של עבירת המרדה), התשפ""ה-2025")</f>
        <v>2522</v>
      </c>
      <c r="E1181" t="s">
        <v>2522</v>
      </c>
      <c r="F1181" t="s">
        <v>2523</v>
      </c>
      <c r="G1181" t="s">
        <v>14</v>
      </c>
      <c r="H1181">
             </c>
      <c r="I1181" t="s">
        <v>14</v>
      </c>
      <c r="J1181" t="s">
        <v>141</v>
      </c>
      <c r="K1181" t="s">
        <v>14</v>
      </c>
      <c r="L1181" t="s">
        <v>20</v>
      </c>
      <c r="M1181" t="s">
        <v>2333</v>
      </c>
      <c r="N1181" t="s">
        <v>14</v>
      </c>
    </row>
    <row r="1182" x14ac:dyDescent="0.25">
      <c r="A1182" t="n">
        <v>25</v>
      </c>
      <c r="B1182" t="s">
        <v>14</v>
      </c>
      <c r="C1182" t="s">
        <v>22</v>
      </c>
      <c r="D1182" s="2" t="s">
        <f>=HYPERLINK("https://main.knesset.gov.il/APPS/legislation/main/bills/2234079", "הצעת חוק-יסוד: הממשלה (תיקון - הגבלת מועמד המצוי בחקירה מהרכבת הממשלה)")</f>
        <v>2524</v>
      </c>
      <c r="E1182" t="s">
        <v>2524</v>
      </c>
      <c r="F1182" t="s">
        <v>2525</v>
      </c>
      <c r="G1182" t="s">
        <v>14</v>
      </c>
      <c r="H1182">
             </c>
      <c r="I1182" t="s">
        <v>14</v>
      </c>
      <c r="J1182" t="s">
        <v>141</v>
      </c>
      <c r="K1182" t="s">
        <v>14</v>
      </c>
      <c r="L1182" t="s">
        <v>20</v>
      </c>
      <c r="M1182" t="s">
        <v>2333</v>
      </c>
      <c r="N1182" t="s">
        <v>14</v>
      </c>
    </row>
    <row r="1183" x14ac:dyDescent="0.25">
      <c r="A1183" t="n">
        <v>25</v>
      </c>
      <c r="B1183" t="s">
        <v>14</v>
      </c>
      <c r="C1183" t="s">
        <v>22</v>
      </c>
      <c r="D1183" s="2" t="s">
        <f>=HYPERLINK("https://main.knesset.gov.il/APPS/legislation/main/bills/2234192", "הצעת חוק השיפוט הצבאי (תיקון - כשירות הפרקליט הצבאי הראשי וסגנו), התשפ""ה-2025")</f>
        <v>2526</v>
      </c>
      <c r="E1183" t="s">
        <v>2526</v>
      </c>
      <c r="F1183" t="s">
        <v>2527</v>
      </c>
      <c r="G1183" t="s">
        <v>14</v>
      </c>
      <c r="H1183">
             </c>
      <c r="I1183" t="s">
        <v>14</v>
      </c>
      <c r="J1183" t="s">
        <v>141</v>
      </c>
      <c r="K1183" t="s">
        <v>14</v>
      </c>
      <c r="L1183" t="s">
        <v>20</v>
      </c>
      <c r="M1183" t="s">
        <v>2333</v>
      </c>
      <c r="N1183" t="s">
        <v>14</v>
      </c>
    </row>
    <row r="1184" x14ac:dyDescent="0.25">
      <c r="A1184" t="n">
        <v>25</v>
      </c>
      <c r="B1184" t="s">
        <v>14</v>
      </c>
      <c r="C1184" t="s">
        <v>22</v>
      </c>
      <c r="D1184" s="2" t="s">
        <f>=HYPERLINK("https://main.knesset.gov.il/APPS/legislation/main/bills/2234070", "הצעת חוק פנייה לגופים ציבוריים באמצעי קשר דיגיטליים (תיקון - קביעת תור באמצעות האינטרנט), התשפ""ה-2025")</f>
        <v>2528</v>
      </c>
      <c r="E1184" t="s">
        <v>2528</v>
      </c>
      <c r="F1184" t="s">
        <v>2529</v>
      </c>
      <c r="G1184" t="s">
        <v>14</v>
      </c>
      <c r="H1184">
             </c>
      <c r="I1184" t="s">
        <v>14</v>
      </c>
      <c r="J1184" t="s">
        <v>141</v>
      </c>
      <c r="K1184" t="s">
        <v>14</v>
      </c>
      <c r="L1184" t="s">
        <v>20</v>
      </c>
      <c r="M1184" t="s">
        <v>2333</v>
      </c>
      <c r="N1184" t="s">
        <v>14</v>
      </c>
    </row>
    <row r="1185" x14ac:dyDescent="0.25">
      <c r="A1185" t="n">
        <v>25</v>
      </c>
      <c r="B1185" t="s">
        <v>14</v>
      </c>
      <c r="C1185" t="s">
        <v>22</v>
      </c>
      <c r="D1185" s="2" t="s">
        <f>=HYPERLINK("https://main.knesset.gov.il/APPS/legislation/main/bills/2233027", "הצעת חוק רישוי עסקים (תיקון - רישיון עסק בחבל תקומה) (הוראת שעה), התשפ""ה-2025")</f>
        <v>2530</v>
      </c>
      <c r="E1185" t="s">
        <v>2530</v>
      </c>
      <c r="F1185" t="s">
        <v>2531</v>
      </c>
      <c r="G1185" t="s">
        <v>14</v>
      </c>
      <c r="H1185">
             </c>
      <c r="I1185" t="s">
        <v>14</v>
      </c>
      <c r="J1185" t="s">
        <v>141</v>
      </c>
      <c r="K1185" t="s">
        <v>14</v>
      </c>
      <c r="L1185" t="s">
        <v>20</v>
      </c>
      <c r="M1185" t="s">
        <v>2333</v>
      </c>
      <c r="N1185" t="s">
        <v>14</v>
      </c>
    </row>
    <row r="1186" x14ac:dyDescent="0.25">
      <c r="A1186" t="n">
        <v>25</v>
      </c>
      <c r="B1186" t="s">
        <v>14</v>
      </c>
      <c r="C1186" t="s">
        <v>22</v>
      </c>
      <c r="D1186" s="2" t="s">
        <f>=HYPERLINK("https://main.knesset.gov.il/APPS/legislation/main/bills/2234218", "הצעת חוק האפוטרופוס הכללי (תיקון - ניהול נכסי מקרקעין), התשפ""ה-2025 ")</f>
        <v>2532</v>
      </c>
      <c r="E1186" t="s">
        <v>2532</v>
      </c>
      <c r="F1186" t="s">
        <v>2533</v>
      </c>
      <c r="G1186" t="s">
        <v>14</v>
      </c>
      <c r="H1186">
             </c>
      <c r="I1186" t="s">
        <v>14</v>
      </c>
      <c r="J1186" t="s">
        <v>141</v>
      </c>
      <c r="K1186" t="s">
        <v>14</v>
      </c>
      <c r="L1186" t="s">
        <v>20</v>
      </c>
      <c r="M1186" t="s">
        <v>2333</v>
      </c>
      <c r="N1186" t="s">
        <v>14</v>
      </c>
    </row>
    <row r="1187" x14ac:dyDescent="0.25">
      <c r="A1187" t="n">
        <v>25</v>
      </c>
      <c r="B1187" t="s">
        <v>14</v>
      </c>
      <c r="C1187" t="s">
        <v>22</v>
      </c>
      <c r="D1187" s="2" t="s">
        <f>=HYPERLINK("https://main.knesset.gov.il/APPS/legislation/main/bills/2234323", "הצעת חוק העונשין (תיקון - עבירת ביזה), התשפ""ה-2025")</f>
        <v>2534</v>
      </c>
      <c r="E1187" t="s">
        <v>2534</v>
      </c>
      <c r="F1187" t="s">
        <v>2535</v>
      </c>
      <c r="G1187" t="s">
        <v>14</v>
      </c>
      <c r="H1187">
             </c>
      <c r="I1187" t="s">
        <v>14</v>
      </c>
      <c r="J1187" t="s">
        <v>141</v>
      </c>
      <c r="K1187" t="s">
        <v>14</v>
      </c>
      <c r="L1187" t="s">
        <v>20</v>
      </c>
      <c r="M1187" t="s">
        <v>2333</v>
      </c>
      <c r="N1187" t="s">
        <v>14</v>
      </c>
    </row>
    <row r="1188" x14ac:dyDescent="0.25">
      <c r="A1188" t="n">
        <v>25</v>
      </c>
      <c r="B1188" t="s">
        <v>14</v>
      </c>
      <c r="C1188" t="s">
        <v>22</v>
      </c>
      <c r="D1188" s="2" t="s">
        <f>=HYPERLINK("https://main.knesset.gov.il/APPS/legislation/main/bills/2234228", "הצעת חוק-יסוד: הממשלה (תיקון - הגבלת כהונת ראש הממשלה לשתי תקופות כהונה רצופות), התשפ""ה-2025")</f>
        <v>2536</v>
      </c>
      <c r="E1188" t="s">
        <v>2536</v>
      </c>
      <c r="F1188" t="s">
        <v>2537</v>
      </c>
      <c r="G1188" t="s">
        <v>14</v>
      </c>
      <c r="H1188">
             </c>
      <c r="I1188" t="s">
        <v>14</v>
      </c>
      <c r="J1188" t="s">
        <v>343</v>
      </c>
      <c r="K1188" t="s">
        <v>14</v>
      </c>
      <c r="L1188" t="s">
        <v>20</v>
      </c>
      <c r="M1188" t="s">
        <v>2333</v>
      </c>
      <c r="N1188" t="s">
        <v>14</v>
      </c>
    </row>
    <row r="1189" x14ac:dyDescent="0.25">
      <c r="A1189" t="n">
        <v>25</v>
      </c>
      <c r="B1189" t="s">
        <v>14</v>
      </c>
      <c r="C1189" t="s">
        <v>22</v>
      </c>
      <c r="D1189" s="2" t="s">
        <f>=HYPERLINK("https://main.knesset.gov.il/APPS/legislation/main/bills/2234184", "הצעת חוק הליכי חקירה והעדה (התאמה לאנשים עם מוגבלות שכלית או נפשית) (תיקון - חקירה והעדה מותאמת למתמודדי נפש), התשפ""ה-2025")</f>
        <v>1726</v>
      </c>
      <c r="E1189" t="s">
        <v>1726</v>
      </c>
      <c r="F1189" t="s">
        <v>2538</v>
      </c>
      <c r="G1189" t="s">
        <v>14</v>
      </c>
      <c r="H1189">
             </c>
      <c r="I1189" t="s">
        <v>14</v>
      </c>
      <c r="J1189" t="s">
        <v>141</v>
      </c>
      <c r="K1189" t="s">
        <v>14</v>
      </c>
      <c r="L1189" t="s">
        <v>20</v>
      </c>
      <c r="M1189" t="s">
        <v>2333</v>
      </c>
      <c r="N1189" t="s">
        <v>14</v>
      </c>
    </row>
    <row r="1190" x14ac:dyDescent="0.25">
      <c r="A1190" t="n">
        <v>25</v>
      </c>
      <c r="B1190" t="s">
        <v>14</v>
      </c>
      <c r="C1190" t="s">
        <v>22</v>
      </c>
      <c r="D1190" s="2" t="s">
        <f>=HYPERLINK("https://main.knesset.gov.il/APPS/legislation/main/bills/2234439", "הצעת חוק הבנקאות (שירות ללקוח) (תיקון - מסירת מידע על עמלות וריביות בשל פירעון מוקדם של הלוואה), התשפ""ה-2025")</f>
        <v>2539</v>
      </c>
      <c r="E1190" t="s">
        <v>2539</v>
      </c>
      <c r="F1190" t="s">
        <v>2540</v>
      </c>
      <c r="G1190" t="s">
        <v>14</v>
      </c>
      <c r="H1190">
             </c>
      <c r="I1190" t="s">
        <v>14</v>
      </c>
      <c r="J1190" t="s">
        <v>141</v>
      </c>
      <c r="K1190" t="s">
        <v>14</v>
      </c>
      <c r="L1190" t="s">
        <v>20</v>
      </c>
      <c r="M1190" t="s">
        <v>2333</v>
      </c>
      <c r="N1190" t="s">
        <v>14</v>
      </c>
    </row>
    <row r="1191" x14ac:dyDescent="0.25">
      <c r="A1191" t="n">
        <v>25</v>
      </c>
      <c r="B1191" t="s">
        <v>14</v>
      </c>
      <c r="C1191" t="s">
        <v>22</v>
      </c>
      <c r="D1191" s="2" t="s">
        <f>=HYPERLINK("https://main.knesset.gov.il/APPS/legislation/main/bills/2234075", "הצעת חוק תרומת זרע, התשפ""ה-2025")</f>
        <v>2541</v>
      </c>
      <c r="E1191" t="s">
        <v>2541</v>
      </c>
      <c r="F1191" t="s">
        <v>2542</v>
      </c>
      <c r="G1191" t="s">
        <v>14</v>
      </c>
      <c r="H1191">
             </c>
      <c r="I1191" t="s">
        <v>14</v>
      </c>
      <c r="J1191" t="s">
        <v>141</v>
      </c>
      <c r="K1191" t="s">
        <v>14</v>
      </c>
      <c r="L1191" t="s">
        <v>20</v>
      </c>
      <c r="M1191" t="s">
        <v>2333</v>
      </c>
      <c r="N1191" t="s">
        <v>14</v>
      </c>
    </row>
    <row r="1192" x14ac:dyDescent="0.25">
      <c r="A1192" t="n">
        <v>25</v>
      </c>
      <c r="B1192" t="s">
        <v>14</v>
      </c>
      <c r="C1192" t="s">
        <v>22</v>
      </c>
      <c r="D1192" s="2" t="s">
        <f>=HYPERLINK("https://main.knesset.gov.il/APPS/legislation/main/bills/2234007", "הצעת חוק לתיקון פקודת המשטרה (תיעוד חזותי של השימוש באמצעי לפיזור הפגנות), התשפ""ה-2025")</f>
        <v>2543</v>
      </c>
      <c r="E1192" t="s">
        <v>2543</v>
      </c>
      <c r="F1192" t="s">
        <v>2544</v>
      </c>
      <c r="G1192" t="s">
        <v>14</v>
      </c>
      <c r="H1192">
             </c>
      <c r="I1192" t="s">
        <v>14</v>
      </c>
      <c r="J1192" t="s">
        <v>141</v>
      </c>
      <c r="K1192" t="s">
        <v>14</v>
      </c>
      <c r="L1192" t="s">
        <v>20</v>
      </c>
      <c r="M1192" t="s">
        <v>2333</v>
      </c>
      <c r="N1192" t="s">
        <v>14</v>
      </c>
    </row>
    <row r="1193" x14ac:dyDescent="0.25">
      <c r="A1193" t="n">
        <v>25</v>
      </c>
      <c r="B1193" t="s">
        <v>14</v>
      </c>
      <c r="C1193" t="s">
        <v>22</v>
      </c>
      <c r="D1193" s="2" t="s">
        <f>=HYPERLINK("https://main.knesset.gov.il/APPS/legislation/main/bills/2234308", "הצעת חוק-יסוד: הממשלה (תיקון - הפסקת כהונה של ראש הממשלה מחמת עבירה)")</f>
        <v>2545</v>
      </c>
      <c r="E1193" t="s">
        <v>2545</v>
      </c>
      <c r="F1193" t="s">
        <v>2546</v>
      </c>
      <c r="G1193" t="s">
        <v>14</v>
      </c>
      <c r="H1193">
             </c>
      <c r="I1193" t="s">
        <v>14</v>
      </c>
      <c r="J1193" t="s">
        <v>141</v>
      </c>
      <c r="K1193" t="s">
        <v>14</v>
      </c>
      <c r="L1193" t="s">
        <v>20</v>
      </c>
      <c r="M1193" t="s">
        <v>2333</v>
      </c>
      <c r="N1193" t="s">
        <v>14</v>
      </c>
    </row>
    <row r="1194" x14ac:dyDescent="0.25">
      <c r="A1194" t="n">
        <v>25</v>
      </c>
      <c r="B1194" t="s">
        <v>14</v>
      </c>
      <c r="C1194" t="s">
        <v>22</v>
      </c>
      <c r="D1194" s="2" t="s">
        <f>=HYPERLINK("https://main.knesset.gov.il/APPS/legislation/main/bills/2234347", "הצעת חוק מענק לבניית מרחב מוגן, התשפ""ה-2025")</f>
        <v>2547</v>
      </c>
      <c r="E1194" t="s">
        <v>2547</v>
      </c>
      <c r="F1194" t="s">
        <v>2548</v>
      </c>
      <c r="G1194" t="s">
        <v>14</v>
      </c>
      <c r="H1194">
             </c>
      <c r="I1194" t="s">
        <v>14</v>
      </c>
      <c r="J1194" t="s">
        <v>141</v>
      </c>
      <c r="K1194" t="s">
        <v>14</v>
      </c>
      <c r="L1194" t="s">
        <v>20</v>
      </c>
      <c r="M1194" t="s">
        <v>2333</v>
      </c>
      <c r="N1194" t="s">
        <v>14</v>
      </c>
    </row>
    <row r="1195" x14ac:dyDescent="0.25">
      <c r="A1195" t="n">
        <v>25</v>
      </c>
      <c r="B1195" t="s">
        <v>14</v>
      </c>
      <c r="C1195" t="s">
        <v>22</v>
      </c>
      <c r="D1195" s="2" t="s">
        <f>=HYPERLINK("https://main.knesset.gov.il/APPS/legislation/main/bills/2234088", "הצעת חוק-יסוד: נשיא המדינה (תיקון - כשירות מועמדים לכהונה כנשיא המדינה)")</f>
        <v>2549</v>
      </c>
      <c r="E1195" t="s">
        <v>2549</v>
      </c>
      <c r="F1195" t="s">
        <v>2550</v>
      </c>
      <c r="G1195" t="s">
        <v>14</v>
      </c>
      <c r="H1195">
             </c>
      <c r="I1195" t="s">
        <v>14</v>
      </c>
      <c r="J1195" t="s">
        <v>141</v>
      </c>
      <c r="K1195" t="s">
        <v>14</v>
      </c>
      <c r="L1195" t="s">
        <v>20</v>
      </c>
      <c r="M1195" t="s">
        <v>2333</v>
      </c>
      <c r="N1195" t="s">
        <v>14</v>
      </c>
    </row>
    <row r="1196" x14ac:dyDescent="0.25">
      <c r="A1196" t="n">
        <v>25</v>
      </c>
      <c r="B1196" t="s">
        <v>14</v>
      </c>
      <c r="C1196" t="s">
        <v>22</v>
      </c>
      <c r="D1196" s="2" t="s">
        <f>=HYPERLINK("https://main.knesset.gov.il/APPS/legislation/main/bills/2234315", "הצעת חוק שכר שווה לעובדת ולעובד (תיקון - חובת מסירת מידע), התשפ""ה-2025")</f>
        <v>2551</v>
      </c>
      <c r="E1196" t="s">
        <v>2551</v>
      </c>
      <c r="F1196" t="s">
        <v>2552</v>
      </c>
      <c r="G1196" t="s">
        <v>14</v>
      </c>
      <c r="H1196">
             </c>
      <c r="I1196" t="s">
        <v>14</v>
      </c>
      <c r="J1196" t="s">
        <v>141</v>
      </c>
      <c r="K1196" t="s">
        <v>14</v>
      </c>
      <c r="L1196" t="s">
        <v>20</v>
      </c>
      <c r="M1196" t="s">
        <v>2333</v>
      </c>
      <c r="N1196" t="s">
        <v>14</v>
      </c>
    </row>
    <row r="1197" x14ac:dyDescent="0.25">
      <c r="A1197" t="n">
        <v>25</v>
      </c>
      <c r="B1197" t="s">
        <v>14</v>
      </c>
      <c r="C1197" t="s">
        <v>22</v>
      </c>
      <c r="D1197" s="2" t="s">
        <f>=HYPERLINK("https://main.knesset.gov.il/APPS/legislation/main/bills/2234310", "הצעת חוק הנכים (תגמולים ושיקום) (תיקון - תשלום בשל אובדן הכנסה לבן משפחה של נכה בתקופת האשפוז ולאחריה), התשפ""ה-2025")</f>
        <v>2553</v>
      </c>
      <c r="E1197" t="s">
        <v>2553</v>
      </c>
      <c r="F1197" t="s">
        <v>2554</v>
      </c>
      <c r="G1197" t="s">
        <v>14</v>
      </c>
      <c r="H1197">
             </c>
      <c r="I1197" t="s">
        <v>14</v>
      </c>
      <c r="J1197" t="s">
        <v>141</v>
      </c>
      <c r="K1197" t="s">
        <v>14</v>
      </c>
      <c r="L1197" t="s">
        <v>20</v>
      </c>
      <c r="M1197" t="s">
        <v>2333</v>
      </c>
      <c r="N1197" t="s">
        <v>14</v>
      </c>
    </row>
    <row r="1198" x14ac:dyDescent="0.25">
      <c r="A1198" t="n">
        <v>25</v>
      </c>
      <c r="B1198" t="s">
        <v>14</v>
      </c>
      <c r="C1198" t="s">
        <v>22</v>
      </c>
      <c r="D1198" s="2" t="s">
        <f>=HYPERLINK("https://main.knesset.gov.il/APPS/legislation/main/bills/2234416", "הצעת חוק שוויון ההזדמנויות בעבודה (תיקון - איסור הפליה על רקע זהות מגדרית), התשפ""ה-2025")</f>
        <v>2555</v>
      </c>
      <c r="E1198" t="s">
        <v>2555</v>
      </c>
      <c r="F1198" t="s">
        <v>2556</v>
      </c>
      <c r="G1198" t="s">
        <v>14</v>
      </c>
      <c r="H1198">
             </c>
      <c r="I1198" t="s">
        <v>14</v>
      </c>
      <c r="J1198" t="s">
        <v>141</v>
      </c>
      <c r="K1198" t="s">
        <v>14</v>
      </c>
      <c r="L1198" t="s">
        <v>20</v>
      </c>
      <c r="M1198" t="s">
        <v>2333</v>
      </c>
      <c r="N1198" t="s">
        <v>14</v>
      </c>
    </row>
    <row r="1199" x14ac:dyDescent="0.25">
      <c r="A1199" t="n">
        <v>25</v>
      </c>
      <c r="B1199" t="s">
        <v>14</v>
      </c>
      <c r="C1199" t="s">
        <v>22</v>
      </c>
      <c r="D1199" s="2" t="s">
        <f>=HYPERLINK("https://main.knesset.gov.il/APPS/legislation/main/bills/2234171", "הצעת חוק הסדרת הבתים המאזנים בישראל, התשפ""ה-2025")</f>
        <v>2557</v>
      </c>
      <c r="E1199" t="s">
        <v>2557</v>
      </c>
      <c r="F1199" t="s">
        <v>2558</v>
      </c>
      <c r="G1199" t="s">
        <v>14</v>
      </c>
      <c r="H1199">
             </c>
      <c r="I1199" t="s">
        <v>14</v>
      </c>
      <c r="J1199" t="s">
        <v>141</v>
      </c>
      <c r="K1199" t="s">
        <v>14</v>
      </c>
      <c r="L1199" t="s">
        <v>20</v>
      </c>
      <c r="M1199" t="s">
        <v>2333</v>
      </c>
      <c r="N1199" t="s">
        <v>14</v>
      </c>
    </row>
    <row r="1200" x14ac:dyDescent="0.25">
      <c r="A1200" t="n">
        <v>25</v>
      </c>
      <c r="B1200" t="s">
        <v>14</v>
      </c>
      <c r="C1200" t="s">
        <v>22</v>
      </c>
      <c r="D1200" s="2" t="s">
        <f>=HYPERLINK("https://main.knesset.gov.il/APPS/legislation/main/bills/2233595", "הצעת חוק מס רכוש וקרן פיצויים (תיקון - פיצוי נפגעי עבירת גביית דמי חסות), התשפ""ה-2025")</f>
        <v>2559</v>
      </c>
      <c r="E1200" t="s">
        <v>2559</v>
      </c>
      <c r="F1200" t="s">
        <v>2560</v>
      </c>
      <c r="G1200" t="s">
        <v>14</v>
      </c>
      <c r="H1200">
             </c>
      <c r="I1200" t="s">
        <v>14</v>
      </c>
      <c r="J1200" t="s">
        <v>141</v>
      </c>
      <c r="K1200" t="s">
        <v>14</v>
      </c>
      <c r="L1200" t="s">
        <v>20</v>
      </c>
      <c r="M1200" t="s">
        <v>2333</v>
      </c>
      <c r="N1200" t="s">
        <v>14</v>
      </c>
    </row>
    <row r="1201" x14ac:dyDescent="0.25">
      <c r="A1201" t="n">
        <v>25</v>
      </c>
      <c r="B1201" t="s">
        <v>14</v>
      </c>
      <c r="C1201" t="s">
        <v>22</v>
      </c>
      <c r="D1201" s="2" t="s">
        <f>=HYPERLINK("https://main.knesset.gov.il/APPS/legislation/main/bills/2234440", "הצעת חוק הביטוח הלאומי (תיקון - עבודה מועדפת ביישובי קו העימות בצפון ובדרום), התשפ""ה-2025")</f>
        <v>2561</v>
      </c>
      <c r="E1201" t="s">
        <v>2561</v>
      </c>
      <c r="F1201" t="s">
        <v>2562</v>
      </c>
      <c r="G1201" t="s">
        <v>14</v>
      </c>
      <c r="H1201">
             </c>
      <c r="I1201" t="s">
        <v>14</v>
      </c>
      <c r="J1201" t="s">
        <v>141</v>
      </c>
      <c r="K1201" t="s">
        <v>14</v>
      </c>
      <c r="L1201" t="s">
        <v>20</v>
      </c>
      <c r="M1201" t="s">
        <v>2333</v>
      </c>
      <c r="N1201" t="s">
        <v>14</v>
      </c>
    </row>
    <row r="1202" x14ac:dyDescent="0.25">
      <c r="A1202" t="n">
        <v>25</v>
      </c>
      <c r="B1202" t="s">
        <v>14</v>
      </c>
      <c r="C1202" t="s">
        <v>22</v>
      </c>
      <c r="D1202" s="2" t="s">
        <f>=HYPERLINK("https://main.knesset.gov.il/APPS/legislation/main/bills/2234016", "הצעת חוק הבחירות (דרכי תעמולה) (תיקון - תעמולה דיגיטלית), התשפ""ה-2025")</f>
        <v>2563</v>
      </c>
      <c r="E1202" t="s">
        <v>2563</v>
      </c>
      <c r="F1202" t="s">
        <v>2564</v>
      </c>
      <c r="G1202" t="s">
        <v>14</v>
      </c>
      <c r="H1202">
             </c>
      <c r="I1202" t="s">
        <v>14</v>
      </c>
      <c r="J1202" t="s">
        <v>141</v>
      </c>
      <c r="K1202" t="s">
        <v>14</v>
      </c>
      <c r="L1202" t="s">
        <v>20</v>
      </c>
      <c r="M1202" t="s">
        <v>2333</v>
      </c>
      <c r="N1202" t="s">
        <v>14</v>
      </c>
    </row>
    <row r="1203" x14ac:dyDescent="0.25">
      <c r="A1203" t="n">
        <v>25</v>
      </c>
      <c r="B1203" t="s">
        <v>14</v>
      </c>
      <c r="C1203" t="s">
        <v>22</v>
      </c>
      <c r="D1203" s="2" t="s">
        <f>=HYPERLINK("https://main.knesset.gov.il/APPS/legislation/main/bills/2234064", "הצעת חוק מימון מפלגות (תיקון - ייצוג לנשים ברשימת המועמדים), התשפ""ה-2025")</f>
        <v>2565</v>
      </c>
      <c r="E1203" t="s">
        <v>2565</v>
      </c>
      <c r="F1203" t="s">
        <v>2566</v>
      </c>
      <c r="G1203" t="s">
        <v>14</v>
      </c>
      <c r="H1203">
             </c>
      <c r="I1203" t="s">
        <v>14</v>
      </c>
      <c r="J1203" t="s">
        <v>141</v>
      </c>
      <c r="K1203" t="s">
        <v>14</v>
      </c>
      <c r="L1203" t="s">
        <v>20</v>
      </c>
      <c r="M1203" t="s">
        <v>2333</v>
      </c>
      <c r="N1203" t="s">
        <v>14</v>
      </c>
    </row>
    <row r="1204" x14ac:dyDescent="0.25">
      <c r="A1204" t="n">
        <v>25</v>
      </c>
      <c r="B1204" t="s">
        <v>14</v>
      </c>
      <c r="C1204" t="s">
        <v>22</v>
      </c>
      <c r="D1204" s="2" t="s">
        <f>=HYPERLINK("https://main.knesset.gov.il/APPS/legislation/main/bills/2234153", "הצעת חוק עובדים זרים (תיקון - תאגיד עובדים זרים מחליפים זמניים), התשפ""ה-2025")</f>
        <v>2567</v>
      </c>
      <c r="E1204" t="s">
        <v>2567</v>
      </c>
      <c r="F1204" t="s">
        <v>2568</v>
      </c>
      <c r="G1204" t="s">
        <v>14</v>
      </c>
      <c r="H1204">
             </c>
      <c r="I1204" t="s">
        <v>14</v>
      </c>
      <c r="J1204" t="s">
        <v>141</v>
      </c>
      <c r="K1204" t="s">
        <v>14</v>
      </c>
      <c r="L1204" t="s">
        <v>20</v>
      </c>
      <c r="M1204" t="s">
        <v>2333</v>
      </c>
      <c r="N1204" t="s">
        <v>14</v>
      </c>
    </row>
    <row r="1205" x14ac:dyDescent="0.25">
      <c r="A1205" t="n">
        <v>25</v>
      </c>
      <c r="B1205" t="s">
        <v>14</v>
      </c>
      <c r="C1205" t="s">
        <v>22</v>
      </c>
      <c r="D1205" s="2" t="s">
        <f>=HYPERLINK("https://main.knesset.gov.il/APPS/legislation/main/bills/2234226", "הצעת חוק המשתתף החופשי, התשפ""ה-2025")</f>
        <v>2569</v>
      </c>
      <c r="E1205" t="s">
        <v>2569</v>
      </c>
      <c r="F1205" t="s">
        <v>2570</v>
      </c>
      <c r="G1205" t="s">
        <v>14</v>
      </c>
      <c r="H1205">
             </c>
      <c r="I1205" t="s">
        <v>14</v>
      </c>
      <c r="J1205" t="s">
        <v>141</v>
      </c>
      <c r="K1205" t="s">
        <v>14</v>
      </c>
      <c r="L1205" t="s">
        <v>20</v>
      </c>
      <c r="M1205" t="s">
        <v>2333</v>
      </c>
      <c r="N1205" t="s">
        <v>14</v>
      </c>
    </row>
    <row r="1206" x14ac:dyDescent="0.25">
      <c r="A1206" t="n">
        <v>25</v>
      </c>
      <c r="B1206" t="s">
        <v>14</v>
      </c>
      <c r="C1206" t="s">
        <v>22</v>
      </c>
      <c r="D1206" s="2" t="s">
        <f>=HYPERLINK("https://main.knesset.gov.il/APPS/legislation/main/bills/2234035", "הצעת חוק לתיקון פקודת התעבורה (הסמכת רשות מקומית לביצוע תפקידי רישוי), התשפ""ה-2025")</f>
        <v>2571</v>
      </c>
      <c r="E1206" t="s">
        <v>2571</v>
      </c>
      <c r="F1206" t="s">
        <v>2572</v>
      </c>
      <c r="G1206" t="s">
        <v>14</v>
      </c>
      <c r="H1206">
             </c>
      <c r="I1206" t="s">
        <v>14</v>
      </c>
      <c r="J1206" t="s">
        <v>141</v>
      </c>
      <c r="K1206" t="s">
        <v>14</v>
      </c>
      <c r="L1206" t="s">
        <v>20</v>
      </c>
      <c r="M1206" t="s">
        <v>2333</v>
      </c>
      <c r="N1206" t="s">
        <v>14</v>
      </c>
    </row>
    <row r="1207" x14ac:dyDescent="0.25">
      <c r="A1207" t="n">
        <v>25</v>
      </c>
      <c r="B1207" t="s">
        <v>14</v>
      </c>
      <c r="C1207" t="s">
        <v>22</v>
      </c>
      <c r="D1207" s="2" t="s">
        <f>=HYPERLINK("https://main.knesset.gov.il/APPS/legislation/main/bills/2234302", "הצעת חוק דמי מחלה (היעדרות בשל מחלת ילד) (תיקון - היעדרות בעקבות פגיעה בעבירת מין או אלימות חמורה), התשפ""ה-2025")</f>
        <v>2573</v>
      </c>
      <c r="E1207" t="s">
        <v>2573</v>
      </c>
      <c r="F1207" t="s">
        <v>2574</v>
      </c>
      <c r="G1207" t="s">
        <v>14</v>
      </c>
      <c r="H1207">
             </c>
      <c r="I1207" t="s">
        <v>14</v>
      </c>
      <c r="J1207" t="s">
        <v>343</v>
      </c>
      <c r="K1207" t="s">
        <v>14</v>
      </c>
      <c r="L1207" t="s">
        <v>20</v>
      </c>
      <c r="M1207" t="s">
        <v>2333</v>
      </c>
      <c r="N1207" t="s">
        <v>14</v>
      </c>
    </row>
    <row r="1208" x14ac:dyDescent="0.25">
      <c r="A1208" t="n">
        <v>25</v>
      </c>
      <c r="B1208" t="s">
        <v>14</v>
      </c>
      <c r="C1208" t="s">
        <v>22</v>
      </c>
      <c r="D1208" s="2" t="s">
        <f>=HYPERLINK("https://main.knesset.gov.il/APPS/legislation/main/bills/2234023", "הצעת חוק הממשלה (תיקון - דיווח שר בדבר אי-התקנת תקנות במועד), התשפ""ה-2025")</f>
        <v>2575</v>
      </c>
      <c r="E1208" t="s">
        <v>2575</v>
      </c>
      <c r="F1208" t="s">
        <v>2576</v>
      </c>
      <c r="G1208" t="s">
        <v>14</v>
      </c>
      <c r="H1208">
             </c>
      <c r="I1208" t="s">
        <v>14</v>
      </c>
      <c r="J1208" t="s">
        <v>141</v>
      </c>
      <c r="K1208" t="s">
        <v>14</v>
      </c>
      <c r="L1208" t="s">
        <v>20</v>
      </c>
      <c r="M1208" t="s">
        <v>2333</v>
      </c>
      <c r="N1208" t="s">
        <v>14</v>
      </c>
    </row>
    <row r="1209" x14ac:dyDescent="0.25">
      <c r="A1209" t="n">
        <v>25</v>
      </c>
      <c r="B1209" t="s">
        <v>14</v>
      </c>
      <c r="C1209" t="s">
        <v>22</v>
      </c>
      <c r="D1209" s="2" t="s">
        <f>=HYPERLINK("https://main.knesset.gov.il/APPS/legislation/main/bills/2234130", "הצעת חוק עידוד תרומות מזון (תיקון - חובת העברת עודפי מזון לארגון לחלוקת מזון), התשפ""ה-2025")</f>
        <v>2577</v>
      </c>
      <c r="E1209" t="s">
        <v>2577</v>
      </c>
      <c r="F1209" t="s">
        <v>2578</v>
      </c>
      <c r="G1209" t="s">
        <v>14</v>
      </c>
      <c r="H1209">
             </c>
      <c r="I1209" t="s">
        <v>14</v>
      </c>
      <c r="J1209" t="s">
        <v>141</v>
      </c>
      <c r="K1209" t="s">
        <v>14</v>
      </c>
      <c r="L1209" t="s">
        <v>20</v>
      </c>
      <c r="M1209" t="s">
        <v>2333</v>
      </c>
      <c r="N1209" t="s">
        <v>14</v>
      </c>
    </row>
    <row r="1210" x14ac:dyDescent="0.25">
      <c r="A1210" t="n">
        <v>25</v>
      </c>
      <c r="B1210" t="s">
        <v>14</v>
      </c>
      <c r="C1210" t="s">
        <v>22</v>
      </c>
      <c r="D1210" s="2" t="s">
        <f>=HYPERLINK("https://main.knesset.gov.il/APPS/legislation/main/bills/2227641", "הצעת חוק חובת פרסום זהותם של אסירים ביטחוניים ששוחררו ממאסר, התשפ""ה-2025")</f>
        <v>2579</v>
      </c>
      <c r="E1210" t="s">
        <v>2579</v>
      </c>
      <c r="F1210" t="s">
        <v>2580</v>
      </c>
      <c r="G1210" t="s">
        <v>2581</v>
      </c>
      <c r="H1210">
             </c>
      <c r="I1210" t="s">
        <v>26</v>
      </c>
      <c r="J1210" t="s">
        <v>69</v>
      </c>
      <c r="K1210" t="s">
        <v>105</v>
      </c>
      <c r="L1210" t="s">
        <v>20</v>
      </c>
      <c r="M1210" t="s">
        <v>2333</v>
      </c>
      <c r="N1210" t="s">
        <v>14</v>
      </c>
    </row>
    <row r="1211" x14ac:dyDescent="0.25">
      <c r="A1211" t="n">
        <v>25</v>
      </c>
      <c r="B1211" t="s">
        <v>14</v>
      </c>
      <c r="C1211" t="s">
        <v>22</v>
      </c>
      <c r="D1211" s="2" t="s">
        <f>=HYPERLINK("https://main.knesset.gov.il/APPS/legislation/main/bills/2222111", "הצעת חוק המאבק בתופעת השימוש בחומרים מסכנים (תיקון מס' 6) (הגבלת שיווק של חומר מסכן שיש לו שימושים מותרים), התשפ""ה–2025")</f>
        <v>2582</v>
      </c>
      <c r="E1211" t="s">
        <v>2582</v>
      </c>
      <c r="F1211" t="s">
        <v>2583</v>
      </c>
      <c r="G1211" t="s">
        <v>2584</v>
      </c>
      <c r="H1211">
             </c>
      <c r="I1211" t="s">
        <v>14</v>
      </c>
      <c r="J1211" t="s">
        <v>69</v>
      </c>
      <c r="K1211" t="s">
        <v>480</v>
      </c>
      <c r="L1211" t="s">
        <v>20</v>
      </c>
      <c r="M1211" t="s">
        <v>2333</v>
      </c>
      <c r="N1211" t="s">
        <v>14</v>
      </c>
    </row>
    <row r="1212" x14ac:dyDescent="0.25">
      <c r="A1212" t="n">
        <v>25</v>
      </c>
      <c r="B1212" t="s">
        <v>14</v>
      </c>
      <c r="C1212" t="s">
        <v>22</v>
      </c>
      <c r="D1212" s="2" t="s">
        <f>=HYPERLINK("https://main.knesset.gov.il/APPS/legislation/main/bills/2207041", "הצעת חוק להנצחת הרב אברהם יצחק הכהן קוק, התשפ""ה–2025")</f>
        <v>2585</v>
      </c>
      <c r="E1212" t="s">
        <v>2585</v>
      </c>
      <c r="F1212" t="s">
        <v>2586</v>
      </c>
      <c r="G1212" t="s">
        <v>2587</v>
      </c>
      <c r="H1212">
             </c>
      <c r="I1212" t="s">
        <v>14</v>
      </c>
      <c r="J1212" t="s">
        <v>1141</v>
      </c>
      <c r="K1212" t="s">
        <v>34</v>
      </c>
      <c r="L1212" t="s">
        <v>20</v>
      </c>
      <c r="M1212" t="s">
        <v>2333</v>
      </c>
      <c r="N1212" t="s">
        <v>14</v>
      </c>
    </row>
    <row r="1213" x14ac:dyDescent="0.25">
      <c r="A1213" t="n">
        <v>25</v>
      </c>
      <c r="B1213" t="s">
        <v>14</v>
      </c>
      <c r="C1213" t="s">
        <v>22</v>
      </c>
      <c r="D1213" s="2" t="s">
        <f>=HYPERLINK("https://main.knesset.gov.il/APPS/legislation/main/bills/2196668", "הצעת חוק הסדרת השימוש בקנאביס למטרות רפואיות, התשפ""ה-2025")</f>
        <v>2588</v>
      </c>
      <c r="E1213" t="s">
        <v>2588</v>
      </c>
      <c r="F1213" t="s">
        <v>2589</v>
      </c>
      <c r="G1213" t="s">
        <v>2590</v>
      </c>
      <c r="H1213">
             </c>
      <c r="I1213" t="s">
        <v>14</v>
      </c>
      <c r="J1213" t="s">
        <v>1141</v>
      </c>
      <c r="K1213" t="s">
        <v>2591</v>
      </c>
      <c r="L1213" t="s">
        <v>20</v>
      </c>
      <c r="M1213" t="s">
        <v>2333</v>
      </c>
      <c r="N1213" t="s">
        <v>14</v>
      </c>
    </row>
    <row r="1214" x14ac:dyDescent="0.25">
      <c r="A1214" t="n">
        <v>25</v>
      </c>
      <c r="B1214" t="s">
        <v>14</v>
      </c>
      <c r="C1214" t="s">
        <v>15</v>
      </c>
      <c r="D1214" s="2" t="s">
        <f>=HYPERLINK("https://main.knesset.gov.il/APPS/legislation/main/bills/2221954", "הצעת חוק לתיקון פקודת התעבורה (מס' 140), התשפ""ה–2025")</f>
        <v>2592</v>
      </c>
      <c r="E1214" t="s">
        <v>2592</v>
      </c>
      <c r="F1214" t="s">
        <v>14</v>
      </c>
      <c r="G1214" t="s">
        <v>2593</v>
      </c>
      <c r="H1214">
             </c>
      <c r="I1214" t="s">
        <v>14</v>
      </c>
      <c r="J1214" t="s">
        <v>73</v>
      </c>
      <c r="K1214" t="s">
        <v>19</v>
      </c>
      <c r="L1214" t="s">
        <v>20</v>
      </c>
      <c r="M1214" t="s">
        <v>2333</v>
      </c>
      <c r="N1214" t="s">
        <v>14</v>
      </c>
    </row>
    <row r="1215" x14ac:dyDescent="0.25">
      <c r="A1215" t="n">
        <v>25</v>
      </c>
      <c r="B1215" t="s">
        <v>14</v>
      </c>
      <c r="C1215" t="s">
        <v>15</v>
      </c>
      <c r="D1215" s="2" t="s">
        <f>=HYPERLINK("https://main.knesset.gov.il/APPS/legislation/main/bills/2234536", "הצעת חוק איסור הלבנת הון (תיקון מס' 37) (הטלת חובות על מתווך במקרקעין), התשפ""ה-2025")</f>
        <v>2594</v>
      </c>
      <c r="E1215" t="s">
        <v>2594</v>
      </c>
      <c r="F1215" t="s">
        <v>14</v>
      </c>
      <c r="G1215" t="s">
        <v>2595</v>
      </c>
      <c r="H1215">
             </c>
      <c r="I1215" t="s">
        <v>14</v>
      </c>
      <c r="J1215" t="s">
        <v>69</v>
      </c>
      <c r="K1215" t="s">
        <v>14</v>
      </c>
      <c r="L1215" t="s">
        <v>20</v>
      </c>
      <c r="M1215" t="s">
        <v>2333</v>
      </c>
      <c r="N1215" t="s">
        <v>14</v>
      </c>
    </row>
    <row r="1216" x14ac:dyDescent="0.25">
      <c r="A1216" t="n">
        <v>25</v>
      </c>
      <c r="B1216" t="s">
        <v>14</v>
      </c>
      <c r="C1216" t="s">
        <v>15</v>
      </c>
      <c r="D1216" s="2" t="s">
        <f>=HYPERLINK("https://main.knesset.gov.il/APPS/legislation/main/bills/2219317", "הצעת חוק הגנת הצרכן (תיקון מס' 73), התשפ""ה-2025")</f>
        <v>2596</v>
      </c>
      <c r="E1216" t="s">
        <v>2596</v>
      </c>
      <c r="F1216" t="s">
        <v>14</v>
      </c>
      <c r="G1216" t="s">
        <v>2597</v>
      </c>
      <c r="H1216">
             </c>
      <c r="I1216" t="s">
        <v>26</v>
      </c>
      <c r="J1216" t="s">
        <v>73</v>
      </c>
      <c r="K1216" t="s">
        <v>19</v>
      </c>
      <c r="L1216" t="s">
        <v>20</v>
      </c>
      <c r="M1216" t="s">
        <v>2333</v>
      </c>
      <c r="N1216" t="s">
        <v>14</v>
      </c>
    </row>
    <row r="1217" x14ac:dyDescent="0.25">
      <c r="A1217" t="n">
        <v>25</v>
      </c>
      <c r="B1217" t="s">
        <v>14</v>
      </c>
      <c r="C1217" t="s">
        <v>15</v>
      </c>
      <c r="D1217" s="2" t="s">
        <f>=HYPERLINK("https://main.knesset.gov.il/APPS/legislation/main/bills/2227209", "הצעת חוק לקידום הבנייה במתחמים מועדפים (הוראת שעה) (תיקון מס' 9), התשפ""ה-2025")</f>
        <v>2598</v>
      </c>
      <c r="E1217" t="s">
        <v>2598</v>
      </c>
      <c r="F1217" t="s">
        <v>14</v>
      </c>
      <c r="G1217" t="s">
        <v>43</v>
      </c>
      <c r="H1217">
             </c>
      <c r="I1217" t="s">
        <v>14</v>
      </c>
      <c r="J1217" t="s">
        <v>73</v>
      </c>
      <c r="K1217" t="s">
        <v>46</v>
      </c>
      <c r="L1217" t="s">
        <v>20</v>
      </c>
      <c r="M1217" t="s">
        <v>2333</v>
      </c>
      <c r="N1217" t="s">
        <v>14</v>
      </c>
    </row>
    <row r="1218" x14ac:dyDescent="0.25">
      <c r="A1218" t="n">
        <v>25</v>
      </c>
      <c r="B1218" t="s">
        <v>14</v>
      </c>
      <c r="C1218" t="s">
        <v>22</v>
      </c>
      <c r="D1218" s="2" t="s">
        <f>=HYPERLINK("https://main.knesset.gov.il/APPS/legislation/main/bills/2223329", "הצעת חוק בתי קברות צבאיים (תיקון מס' 5) (תיקון - תחולה למפרע), התשפ""ה-2024")</f>
        <v>2599</v>
      </c>
      <c r="E1218" t="s">
        <v>2599</v>
      </c>
      <c r="F1218" t="s">
        <v>2600</v>
      </c>
      <c r="G1218" t="s">
        <v>14</v>
      </c>
      <c r="H1218">
             </c>
      <c r="I1218" t="s">
        <v>14</v>
      </c>
      <c r="J1218" t="s">
        <v>99</v>
      </c>
      <c r="K1218" t="s">
        <v>105</v>
      </c>
      <c r="L1218" t="s">
        <v>20</v>
      </c>
      <c r="M1218" t="s">
        <v>2601</v>
      </c>
      <c r="N1218" t="s">
        <v>14</v>
      </c>
    </row>
    <row r="1219" x14ac:dyDescent="0.25">
      <c r="A1219" t="n">
        <v>25</v>
      </c>
      <c r="B1219" t="s">
        <v>14</v>
      </c>
      <c r="C1219" t="s">
        <v>22</v>
      </c>
      <c r="D1219" s="2" t="s">
        <f>=HYPERLINK("https://main.knesset.gov.il/APPS/legislation/main/bills/2218568", "הצעת חוק בתי קברות צבאיים (תיקון מס' 5) (תיקון - תחולה למפרע), התשפ""ד-2024")</f>
        <v>2602</v>
      </c>
      <c r="E1219" t="s">
        <v>2602</v>
      </c>
      <c r="F1219" t="s">
        <v>2603</v>
      </c>
      <c r="G1219" t="s">
        <v>14</v>
      </c>
      <c r="H1219">
             </c>
      <c r="I1219" t="s">
        <v>14</v>
      </c>
      <c r="J1219" t="s">
        <v>99</v>
      </c>
      <c r="K1219" t="s">
        <v>105</v>
      </c>
      <c r="L1219" t="s">
        <v>20</v>
      </c>
      <c r="M1219" t="s">
        <v>2601</v>
      </c>
      <c r="N1219" t="s">
        <v>14</v>
      </c>
    </row>
    <row r="1220" x14ac:dyDescent="0.25">
      <c r="A1220" t="n">
        <v>25</v>
      </c>
      <c r="B1220" t="s">
        <v>14</v>
      </c>
      <c r="C1220" t="s">
        <v>22</v>
      </c>
      <c r="D1220" s="2" t="s">
        <f>=HYPERLINK("https://main.knesset.gov.il/APPS/legislation/main/bills/2230871", "הצעת חוק המרכז להנצחת מורשתו של הנשיא יצחק נבון, התשפ""ה-2025")</f>
        <v>2604</v>
      </c>
      <c r="E1220" t="s">
        <v>2604</v>
      </c>
      <c r="F1220" t="s">
        <v>2605</v>
      </c>
      <c r="G1220" t="s">
        <v>14</v>
      </c>
      <c r="H1220">
             </c>
      <c r="I1220" t="s">
        <v>14</v>
      </c>
      <c r="J1220" t="s">
        <v>55</v>
      </c>
      <c r="K1220" t="s">
        <v>14</v>
      </c>
      <c r="L1220" t="s">
        <v>20</v>
      </c>
      <c r="M1220" t="s">
        <v>2606</v>
      </c>
      <c r="N1220" t="s">
        <v>14</v>
      </c>
    </row>
    <row r="1221" x14ac:dyDescent="0.25">
      <c r="A1221" t="n">
        <v>25</v>
      </c>
      <c r="B1221" t="s">
        <v>14</v>
      </c>
      <c r="C1221" t="s">
        <v>22</v>
      </c>
      <c r="D1221" s="2" t="s">
        <f>=HYPERLINK("https://main.knesset.gov.il/APPS/legislation/main/bills/2227588", "הצעת חוק איסור אספקת שירותים חיוניים לגורמים עוינים, התשפ""ה-2025")</f>
        <v>2430</v>
      </c>
      <c r="E1221" t="s">
        <v>2430</v>
      </c>
      <c r="F1221" t="s">
        <v>2607</v>
      </c>
      <c r="G1221" t="s">
        <v>14</v>
      </c>
      <c r="H1221">
             </c>
      <c r="I1221" t="s">
        <v>14</v>
      </c>
      <c r="J1221" t="s">
        <v>55</v>
      </c>
      <c r="K1221" t="s">
        <v>14</v>
      </c>
      <c r="L1221" t="s">
        <v>20</v>
      </c>
      <c r="M1221" t="s">
        <v>2606</v>
      </c>
      <c r="N1221" t="s">
        <v>14</v>
      </c>
    </row>
    <row r="1222" x14ac:dyDescent="0.25">
      <c r="A1222" t="n">
        <v>25</v>
      </c>
      <c r="B1222" t="s">
        <v>14</v>
      </c>
      <c r="C1222" t="s">
        <v>22</v>
      </c>
      <c r="D1222" s="2" t="s">
        <f>=HYPERLINK("https://main.knesset.gov.il/APPS/legislation/main/bills/2228059", "הצעת חוק יום המודעות למאבק במחלת הסרטן, התשפ""ה-2025")</f>
        <v>2608</v>
      </c>
      <c r="E1222" t="s">
        <v>2608</v>
      </c>
      <c r="F1222" t="s">
        <v>2609</v>
      </c>
      <c r="G1222" t="s">
        <v>14</v>
      </c>
      <c r="H1222">
             </c>
      <c r="I1222" t="s">
        <v>14</v>
      </c>
      <c r="J1222" t="s">
        <v>31</v>
      </c>
      <c r="K1222" t="s">
        <v>34</v>
      </c>
      <c r="L1222" t="s">
        <v>20</v>
      </c>
      <c r="M1222" t="s">
        <v>2606</v>
      </c>
      <c r="N1222" t="s">
        <v>14</v>
      </c>
    </row>
    <row r="1223" x14ac:dyDescent="0.25">
      <c r="A1223" t="n">
        <v>25</v>
      </c>
      <c r="B1223" t="s">
        <v>14</v>
      </c>
      <c r="C1223" t="s">
        <v>22</v>
      </c>
      <c r="D1223" s="2" t="s">
        <f>=HYPERLINK("https://main.knesset.gov.il/APPS/legislation/main/bills/2227146", "הצעת חוק יום המודעות למחלת הסרטן, התשפ""ה-2025")</f>
        <v>2610</v>
      </c>
      <c r="E1223" t="s">
        <v>2610</v>
      </c>
      <c r="F1223" t="s">
        <v>2611</v>
      </c>
      <c r="G1223" t="s">
        <v>14</v>
      </c>
      <c r="H1223">
             </c>
      <c r="I1223" t="s">
        <v>14</v>
      </c>
      <c r="J1223" t="s">
        <v>31</v>
      </c>
      <c r="K1223" t="s">
        <v>34</v>
      </c>
      <c r="L1223" t="s">
        <v>20</v>
      </c>
      <c r="M1223" t="s">
        <v>2606</v>
      </c>
      <c r="N1223" t="s">
        <v>14</v>
      </c>
    </row>
    <row r="1224" x14ac:dyDescent="0.25">
      <c r="A1224" t="n">
        <v>25</v>
      </c>
      <c r="B1224" t="s">
        <v>14</v>
      </c>
      <c r="C1224" t="s">
        <v>22</v>
      </c>
      <c r="D1224" s="2" t="s">
        <f>=HYPERLINK("https://main.knesset.gov.il/APPS/legislation/main/bills/2227422", "הצעת חוק לתיקון פקודת מס הכנסה (נקודת זיכוי בעד שירות מילואים), התשפ""ה-2025")</f>
        <v>2612</v>
      </c>
      <c r="E1224" t="s">
        <v>2612</v>
      </c>
      <c r="F1224" t="s">
        <v>2613</v>
      </c>
      <c r="G1224" t="s">
        <v>14</v>
      </c>
      <c r="H1224">
             </c>
      <c r="I1224" t="s">
        <v>14</v>
      </c>
      <c r="J1224" t="s">
        <v>55</v>
      </c>
      <c r="K1224" t="s">
        <v>14</v>
      </c>
      <c r="L1224" t="s">
        <v>20</v>
      </c>
      <c r="M1224" t="s">
        <v>2606</v>
      </c>
      <c r="N1224" t="s">
        <v>14</v>
      </c>
    </row>
    <row r="1225" x14ac:dyDescent="0.25">
      <c r="A1225" t="n">
        <v>25</v>
      </c>
      <c r="B1225" t="s">
        <v>14</v>
      </c>
      <c r="C1225" t="s">
        <v>22</v>
      </c>
      <c r="D1225" s="2" t="s">
        <f>=HYPERLINK("https://main.knesset.gov.il/APPS/legislation/main/bills/2226611", "הצעת חוק שירות המדינה (מינויים) (תיקון - ייצוג מגדרי הולם למשרות ניהול כללי במשרדי הממשלה), התשפ""ה-2025")</f>
        <v>2414</v>
      </c>
      <c r="E1225" t="s">
        <v>2414</v>
      </c>
      <c r="F1225" t="s">
        <v>2614</v>
      </c>
      <c r="G1225" t="s">
        <v>14</v>
      </c>
      <c r="H1225">
             </c>
      <c r="I1225" t="s">
        <v>14</v>
      </c>
      <c r="J1225" t="s">
        <v>55</v>
      </c>
      <c r="K1225" t="s">
        <v>14</v>
      </c>
      <c r="L1225" t="s">
        <v>20</v>
      </c>
      <c r="M1225" t="s">
        <v>2606</v>
      </c>
      <c r="N1225" t="s">
        <v>14</v>
      </c>
    </row>
    <row r="1226" x14ac:dyDescent="0.25">
      <c r="A1226" t="n">
        <v>25</v>
      </c>
      <c r="B1226" t="s">
        <v>14</v>
      </c>
      <c r="C1226" t="s">
        <v>22</v>
      </c>
      <c r="D1226" s="2" t="s">
        <f>=HYPERLINK("https://main.knesset.gov.il/APPS/legislation/main/bills/2225463", "הצעת חוק חינוך ממלכתי (תיקון - איסור נשיאת דברים במוסד חינוך למורשע בעבירת טרור, גזענות או בגידה), התשפ""ה-2024")</f>
        <v>2615</v>
      </c>
      <c r="E1226" t="s">
        <v>2615</v>
      </c>
      <c r="F1226" t="s">
        <v>2616</v>
      </c>
      <c r="G1226" t="s">
        <v>14</v>
      </c>
      <c r="H1226">
             </c>
      <c r="I1226" t="s">
        <v>14</v>
      </c>
      <c r="J1226" t="s">
        <v>31</v>
      </c>
      <c r="K1226" t="s">
        <v>34</v>
      </c>
      <c r="L1226" t="s">
        <v>20</v>
      </c>
      <c r="M1226" t="s">
        <v>2606</v>
      </c>
      <c r="N1226" t="s">
        <v>14</v>
      </c>
    </row>
    <row r="1227" x14ac:dyDescent="0.25">
      <c r="A1227" t="n">
        <v>25</v>
      </c>
      <c r="B1227" t="s">
        <v>14</v>
      </c>
      <c r="C1227" t="s">
        <v>22</v>
      </c>
      <c r="D1227" s="2" t="s">
        <f>=HYPERLINK("https://main.knesset.gov.il/APPS/legislation/main/bills/2224149", "הצעת חוק-יסוד: הממשלה (תיקון - תקופה מרבית לכהונה בתפקיד כראש הממשלה)")</f>
        <v>948</v>
      </c>
      <c r="E1227" t="s">
        <v>948</v>
      </c>
      <c r="F1227" t="s">
        <v>2617</v>
      </c>
      <c r="G1227" t="s">
        <v>14</v>
      </c>
      <c r="H1227">
             </c>
      <c r="I1227" t="s">
        <v>14</v>
      </c>
      <c r="J1227" t="s">
        <v>55</v>
      </c>
      <c r="K1227" t="s">
        <v>14</v>
      </c>
      <c r="L1227" t="s">
        <v>20</v>
      </c>
      <c r="M1227" t="s">
        <v>2606</v>
      </c>
      <c r="N1227" t="s">
        <v>14</v>
      </c>
    </row>
    <row r="1228" x14ac:dyDescent="0.25">
      <c r="A1228" t="n">
        <v>25</v>
      </c>
      <c r="B1228" t="s">
        <v>14</v>
      </c>
      <c r="C1228" t="s">
        <v>22</v>
      </c>
      <c r="D1228" s="2" t="s">
        <f>=HYPERLINK("https://main.knesset.gov.il/APPS/legislation/main/bills/2196020", "הצעת חוק לתיקון פקודת מס הכנסה (מיסוי קרן הון סיכון נסחרת), התשפ""ג-2022")</f>
        <v>2618</v>
      </c>
      <c r="E1228" t="s">
        <v>2618</v>
      </c>
      <c r="F1228" t="s">
        <v>2619</v>
      </c>
      <c r="G1228" t="s">
        <v>14</v>
      </c>
      <c r="H1228">
             </c>
      <c r="I1228" t="s">
        <v>14</v>
      </c>
      <c r="J1228" t="s">
        <v>55</v>
      </c>
      <c r="K1228" t="s">
        <v>14</v>
      </c>
      <c r="L1228" t="s">
        <v>20</v>
      </c>
      <c r="M1228" t="s">
        <v>2606</v>
      </c>
      <c r="N1228" t="s">
        <v>14</v>
      </c>
    </row>
    <row r="1229" x14ac:dyDescent="0.25">
      <c r="A1229" t="n">
        <v>25</v>
      </c>
      <c r="B1229" t="s">
        <v>14</v>
      </c>
      <c r="C1229" t="s">
        <v>22</v>
      </c>
      <c r="D1229" s="2" t="s">
        <f>=HYPERLINK("https://main.knesset.gov.il/APPS/legislation/main/bills/2231303", "הצעת חוק חובת פרסום שמותיהם של אסירים ביטחוניים ששוחררו ממאסר, התשפ""ה-2025")</f>
        <v>2620</v>
      </c>
      <c r="E1229" t="s">
        <v>2620</v>
      </c>
      <c r="F1229" t="s">
        <v>2621</v>
      </c>
      <c r="G1229" t="s">
        <v>14</v>
      </c>
      <c r="H1229">
             </c>
      <c r="I1229" t="s">
        <v>14</v>
      </c>
      <c r="J1229" t="s">
        <v>99</v>
      </c>
      <c r="K1229" t="s">
        <v>105</v>
      </c>
      <c r="L1229" t="s">
        <v>20</v>
      </c>
      <c r="M1229" t="s">
        <v>2622</v>
      </c>
      <c r="N1229" t="s">
        <v>14</v>
      </c>
    </row>
    <row r="1230" x14ac:dyDescent="0.25">
      <c r="A1230" t="n">
        <v>25</v>
      </c>
      <c r="B1230" t="s">
        <v>14</v>
      </c>
      <c r="C1230" t="s">
        <v>22</v>
      </c>
      <c r="D1230" s="2" t="s">
        <f>=HYPERLINK("https://main.knesset.gov.il/APPS/legislation/main/bills/2231609", "חוק חובת המכרזים (תיקון מס' 24 – הוראת שעה) (תיקון מס' 2), התשפ""ה–2025")</f>
        <v>2623</v>
      </c>
      <c r="E1230" t="s">
        <v>2623</v>
      </c>
      <c r="F1230" t="s">
        <v>2624</v>
      </c>
      <c r="G1230" t="s">
        <v>2625</v>
      </c>
      <c r="H1230" t="n">
        <v>3443</v>
      </c>
      <c r="I1230" t="s">
        <v>14</v>
      </c>
      <c r="J1230" t="s">
        <v>91</v>
      </c>
      <c r="K1230" t="s">
        <v>27</v>
      </c>
      <c r="L1230" t="s">
        <v>20</v>
      </c>
      <c r="M1230" t="s">
        <v>2622</v>
      </c>
      <c r="N1230" t="s">
        <v>2626</v>
      </c>
    </row>
    <row r="1231" x14ac:dyDescent="0.25">
      <c r="A1231" t="n">
        <v>25</v>
      </c>
      <c r="B1231" t="s">
        <v>14</v>
      </c>
      <c r="C1231" t="s">
        <v>22</v>
      </c>
      <c r="D1231" s="2" t="s">
        <f>=HYPERLINK("https://main.knesset.gov.il/APPS/legislation/main/bills/2221806", "הצעת חוק יישום הסכם הביניים בדבר הגדה המערבית ורצועת עזה (הגבלת פעילות) (תיקון מס' 4) (איסור פעילות בתחומי מדינת ישראל, אכיפה ועונשין), התשפ""ה–2025")</f>
        <v>2627</v>
      </c>
      <c r="E1231" t="s">
        <v>2627</v>
      </c>
      <c r="F1231" t="s">
        <v>2628</v>
      </c>
      <c r="G1231" t="s">
        <v>2629</v>
      </c>
      <c r="H1231">
             </c>
      <c r="I1231" t="s">
        <v>14</v>
      </c>
      <c r="J1231" t="s">
        <v>69</v>
      </c>
      <c r="K1231" t="s">
        <v>105</v>
      </c>
      <c r="L1231" t="s">
        <v>20</v>
      </c>
      <c r="M1231" t="s">
        <v>2622</v>
      </c>
      <c r="N1231" t="s">
        <v>14</v>
      </c>
    </row>
    <row r="1232" x14ac:dyDescent="0.25">
      <c r="A1232" t="n">
        <v>25</v>
      </c>
      <c r="B1232" t="s">
        <v>14</v>
      </c>
      <c r="C1232" t="s">
        <v>22</v>
      </c>
      <c r="D1232" s="2" t="s">
        <f>=HYPERLINK("https://main.knesset.gov.il/APPS/legislation/main/bills/2218982", "הצעת חוק העונשין (תיקון מס' 153), התשפ""ה–2025")</f>
        <v>2630</v>
      </c>
      <c r="E1232" t="s">
        <v>2630</v>
      </c>
      <c r="F1232" t="s">
        <v>2631</v>
      </c>
      <c r="G1232" t="s">
        <v>2632</v>
      </c>
      <c r="H1232">
             </c>
      <c r="I1232" t="s">
        <v>14</v>
      </c>
      <c r="J1232" t="s">
        <v>73</v>
      </c>
      <c r="K1232" t="s">
        <v>105</v>
      </c>
      <c r="L1232" t="s">
        <v>20</v>
      </c>
      <c r="M1232" t="s">
        <v>2622</v>
      </c>
      <c r="N1232" t="s">
        <v>14</v>
      </c>
    </row>
    <row r="1233" x14ac:dyDescent="0.25">
      <c r="A1233" t="n">
        <v>25</v>
      </c>
      <c r="B1233" t="s">
        <v>14</v>
      </c>
      <c r="C1233" t="s">
        <v>15</v>
      </c>
      <c r="D1233" s="2" t="s">
        <f>=HYPERLINK("https://main.knesset.gov.il/APPS/legislation/main/bills/2229620", "חוק לייעול האכיפה והפיקוח העירוניים ברשויות המקומיות (הוראת שעה) (תיקון מס' 18), התשפ""ה–2025 ")</f>
        <v>2633</v>
      </c>
      <c r="E1233" t="s">
        <v>2633</v>
      </c>
      <c r="F1233" t="s">
        <v>14</v>
      </c>
      <c r="G1233" t="s">
        <v>2634</v>
      </c>
      <c r="H1233" t="n">
        <v>3442</v>
      </c>
      <c r="I1233" t="s">
        <v>14</v>
      </c>
      <c r="J1233" t="s">
        <v>91</v>
      </c>
      <c r="K1233" t="s">
        <v>105</v>
      </c>
      <c r="L1233" t="s">
        <v>20</v>
      </c>
      <c r="M1233" t="s">
        <v>2635</v>
      </c>
      <c r="N1233" t="s">
        <v>2636</v>
      </c>
    </row>
    <row r="1234" x14ac:dyDescent="0.25">
      <c r="A1234" t="n">
        <v>25</v>
      </c>
      <c r="B1234" t="s">
        <v>14</v>
      </c>
      <c r="C1234" t="s">
        <v>22</v>
      </c>
      <c r="D1234" s="2" t="s">
        <f>=HYPERLINK("https://main.knesset.gov.il/APPS/legislation/main/bills/2232766", "הצעת חוק הגנת אזרח ישראלי שהוטלו עליו עיצומים כלכליים על ידי מדינה זרה (תיקוני חקיקה), התשפ""ה-2025")</f>
        <v>2637</v>
      </c>
      <c r="E1234" t="s">
        <v>2637</v>
      </c>
      <c r="F1234" t="s">
        <v>2638</v>
      </c>
      <c r="G1234" t="s">
        <v>14</v>
      </c>
      <c r="H1234">
             </c>
      <c r="I1234" t="s">
        <v>14</v>
      </c>
      <c r="J1234" t="s">
        <v>141</v>
      </c>
      <c r="K1234" t="s">
        <v>14</v>
      </c>
      <c r="L1234" t="s">
        <v>20</v>
      </c>
      <c r="M1234" t="s">
        <v>2635</v>
      </c>
      <c r="N1234" t="s">
        <v>14</v>
      </c>
    </row>
    <row r="1235" x14ac:dyDescent="0.25">
      <c r="A1235" t="n">
        <v>25</v>
      </c>
      <c r="B1235" t="s">
        <v>14</v>
      </c>
      <c r="C1235" t="s">
        <v>22</v>
      </c>
      <c r="D1235" s="2" t="s">
        <f>=HYPERLINK("https://main.knesset.gov.il/APPS/legislation/main/bills/2233791", "הצעת חוק לתיקון פקודת העיריות (ועדת מכרזים), התשפ""ה-2025")</f>
        <v>2639</v>
      </c>
      <c r="E1235" t="s">
        <v>2639</v>
      </c>
      <c r="F1235" t="s">
        <v>2640</v>
      </c>
      <c r="G1235" t="s">
        <v>14</v>
      </c>
      <c r="H1235">
             </c>
      <c r="I1235" t="s">
        <v>14</v>
      </c>
      <c r="J1235" t="s">
        <v>141</v>
      </c>
      <c r="K1235" t="s">
        <v>14</v>
      </c>
      <c r="L1235" t="s">
        <v>20</v>
      </c>
      <c r="M1235" t="s">
        <v>2635</v>
      </c>
      <c r="N1235" t="s">
        <v>14</v>
      </c>
    </row>
    <row r="1236" x14ac:dyDescent="0.25">
      <c r="A1236" t="n">
        <v>25</v>
      </c>
      <c r="B1236" t="s">
        <v>14</v>
      </c>
      <c r="C1236" t="s">
        <v>22</v>
      </c>
      <c r="D1236" s="2" t="s">
        <f>=HYPERLINK("https://main.knesset.gov.il/APPS/legislation/main/bills/2234092", "הצעת חוק התפזרות הכנסת העשרים וחמש, התשפ""ה-2025")</f>
        <v>225</v>
      </c>
      <c r="E1236" t="s">
        <v>225</v>
      </c>
      <c r="F1236" t="s">
        <v>2641</v>
      </c>
      <c r="G1236" t="s">
        <v>14</v>
      </c>
      <c r="H1236">
             </c>
      <c r="I1236" t="s">
        <v>14</v>
      </c>
      <c r="J1236" t="s">
        <v>343</v>
      </c>
      <c r="K1236" t="s">
        <v>14</v>
      </c>
      <c r="L1236" t="s">
        <v>20</v>
      </c>
      <c r="M1236" t="s">
        <v>2635</v>
      </c>
      <c r="N1236" t="s">
        <v>14</v>
      </c>
    </row>
    <row r="1237" x14ac:dyDescent="0.25">
      <c r="A1237" t="n">
        <v>25</v>
      </c>
      <c r="B1237" t="s">
        <v>14</v>
      </c>
      <c r="C1237" t="s">
        <v>22</v>
      </c>
      <c r="D1237" s="2" t="s">
        <f>=HYPERLINK("https://main.knesset.gov.il/APPS/legislation/main/bills/2233761", "הצעת חוק התפזרות הכנסת העשרים וחמש, התשפ""ה-2025")</f>
        <v>225</v>
      </c>
      <c r="E1237" t="s">
        <v>225</v>
      </c>
      <c r="F1237" t="s">
        <v>2642</v>
      </c>
      <c r="G1237" t="s">
        <v>14</v>
      </c>
      <c r="H1237">
             </c>
      <c r="I1237" t="s">
        <v>14</v>
      </c>
      <c r="J1237" t="s">
        <v>141</v>
      </c>
      <c r="K1237" t="s">
        <v>14</v>
      </c>
      <c r="L1237" t="s">
        <v>20</v>
      </c>
      <c r="M1237" t="s">
        <v>2635</v>
      </c>
      <c r="N1237" t="s">
        <v>14</v>
      </c>
    </row>
    <row r="1238" x14ac:dyDescent="0.25">
      <c r="A1238" t="n">
        <v>25</v>
      </c>
      <c r="B1238" t="s">
        <v>14</v>
      </c>
      <c r="C1238" t="s">
        <v>22</v>
      </c>
      <c r="D1238" s="2" t="s">
        <f>=HYPERLINK("https://main.knesset.gov.il/APPS/legislation/main/bills/2234013", "הצעת חוק לתיקון פקודת העיריות (גמול כספי לחברי מועצה בעירייה), התשפ""ה-2025 ")</f>
        <v>2643</v>
      </c>
      <c r="E1238" t="s">
        <v>2643</v>
      </c>
      <c r="F1238" t="s">
        <v>2644</v>
      </c>
      <c r="G1238" t="s">
        <v>14</v>
      </c>
      <c r="H1238">
             </c>
      <c r="I1238" t="s">
        <v>14</v>
      </c>
      <c r="J1238" t="s">
        <v>141</v>
      </c>
      <c r="K1238" t="s">
        <v>14</v>
      </c>
      <c r="L1238" t="s">
        <v>20</v>
      </c>
      <c r="M1238" t="s">
        <v>2635</v>
      </c>
      <c r="N1238" t="s">
        <v>14</v>
      </c>
    </row>
    <row r="1239" x14ac:dyDescent="0.25">
      <c r="A1239" t="n">
        <v>25</v>
      </c>
      <c r="B1239" t="s">
        <v>14</v>
      </c>
      <c r="C1239" t="s">
        <v>22</v>
      </c>
      <c r="D1239" s="2" t="s">
        <f>=HYPERLINK("https://main.knesset.gov.il/APPS/legislation/main/bills/2232599", "הצעת חוק הרשויות המקומיות (בחירת ראש הרשות וסגניו וכהונתם) (תיקון - סגנים נוספים), התשפ""ה-2025")</f>
        <v>2645</v>
      </c>
      <c r="E1239" t="s">
        <v>2645</v>
      </c>
      <c r="F1239" t="s">
        <v>2646</v>
      </c>
      <c r="G1239" t="s">
        <v>14</v>
      </c>
      <c r="H1239">
             </c>
      <c r="I1239" t="s">
        <v>14</v>
      </c>
      <c r="J1239" t="s">
        <v>141</v>
      </c>
      <c r="K1239" t="s">
        <v>14</v>
      </c>
      <c r="L1239" t="s">
        <v>20</v>
      </c>
      <c r="M1239" t="s">
        <v>2635</v>
      </c>
      <c r="N1239" t="s">
        <v>14</v>
      </c>
    </row>
    <row r="1240" x14ac:dyDescent="0.25">
      <c r="A1240" t="n">
        <v>25</v>
      </c>
      <c r="B1240" t="s">
        <v>14</v>
      </c>
      <c r="C1240" t="s">
        <v>22</v>
      </c>
      <c r="D1240" s="2" t="s">
        <f>=HYPERLINK("https://main.knesset.gov.il/APPS/legislation/main/bills/2234032", "הצעת חוק זכויות בעלי חיים (העברת סמכויות הוועדה בכנסת) (תיקוני חקיקה), התשפ""ה-2025")</f>
        <v>2647</v>
      </c>
      <c r="E1240" t="s">
        <v>2647</v>
      </c>
      <c r="F1240" t="s">
        <v>2648</v>
      </c>
      <c r="G1240" t="s">
        <v>14</v>
      </c>
      <c r="H1240">
             </c>
      <c r="I1240" t="s">
        <v>14</v>
      </c>
      <c r="J1240" t="s">
        <v>141</v>
      </c>
      <c r="K1240" t="s">
        <v>14</v>
      </c>
      <c r="L1240" t="s">
        <v>20</v>
      </c>
      <c r="M1240" t="s">
        <v>2635</v>
      </c>
      <c r="N1240" t="s">
        <v>14</v>
      </c>
    </row>
    <row r="1241" x14ac:dyDescent="0.25">
      <c r="A1241" t="n">
        <v>25</v>
      </c>
      <c r="B1241" t="s">
        <v>14</v>
      </c>
      <c r="C1241" t="s">
        <v>22</v>
      </c>
      <c r="D1241" s="2" t="s">
        <f>=HYPERLINK("https://main.knesset.gov.il/APPS/legislation/main/bills/2234014", "הצעת חוק דוד בן-גוריון (תיקון - מינוי נציגי יד בן־גוריון למכון), התשפ""ה-2025")</f>
        <v>2649</v>
      </c>
      <c r="E1241" t="s">
        <v>2649</v>
      </c>
      <c r="F1241" t="s">
        <v>2650</v>
      </c>
      <c r="G1241" t="s">
        <v>14</v>
      </c>
      <c r="H1241">
             </c>
      <c r="I1241" t="s">
        <v>14</v>
      </c>
      <c r="J1241" t="s">
        <v>141</v>
      </c>
      <c r="K1241" t="s">
        <v>14</v>
      </c>
      <c r="L1241" t="s">
        <v>20</v>
      </c>
      <c r="M1241" t="s">
        <v>2635</v>
      </c>
      <c r="N1241" t="s">
        <v>14</v>
      </c>
    </row>
    <row r="1242" x14ac:dyDescent="0.25">
      <c r="A1242" t="n">
        <v>25</v>
      </c>
      <c r="B1242" t="s">
        <v>14</v>
      </c>
      <c r="C1242" t="s">
        <v>22</v>
      </c>
      <c r="D1242" s="2" t="s">
        <f>=HYPERLINK("https://main.knesset.gov.il/APPS/legislation/main/bills/2234069", "הצעת חוק עבודת נשים (תיקון - תקופת לידה והורות לגבר), התשפ""ה-2025")</f>
        <v>2651</v>
      </c>
      <c r="E1242" t="s">
        <v>2651</v>
      </c>
      <c r="F1242" t="s">
        <v>2652</v>
      </c>
      <c r="G1242" t="s">
        <v>14</v>
      </c>
      <c r="H1242">
             </c>
      <c r="I1242" t="s">
        <v>14</v>
      </c>
      <c r="J1242" t="s">
        <v>141</v>
      </c>
      <c r="K1242" t="s">
        <v>14</v>
      </c>
      <c r="L1242" t="s">
        <v>20</v>
      </c>
      <c r="M1242" t="s">
        <v>2635</v>
      </c>
      <c r="N1242" t="s">
        <v>14</v>
      </c>
    </row>
    <row r="1243" x14ac:dyDescent="0.25">
      <c r="A1243" t="n">
        <v>25</v>
      </c>
      <c r="B1243" t="s">
        <v>14</v>
      </c>
      <c r="C1243" t="s">
        <v>22</v>
      </c>
      <c r="D1243" s="2" t="s">
        <f>=HYPERLINK("https://main.knesset.gov.il/APPS/legislation/main/bills/2234073", "הצעת חוק תרומת ביציות (תיקון - תרומת ביציות בין בנות זוג), התשפ""ה-2025")</f>
        <v>2653</v>
      </c>
      <c r="E1243" t="s">
        <v>2653</v>
      </c>
      <c r="F1243" t="s">
        <v>2654</v>
      </c>
      <c r="G1243" t="s">
        <v>14</v>
      </c>
      <c r="H1243">
             </c>
      <c r="I1243" t="s">
        <v>14</v>
      </c>
      <c r="J1243" t="s">
        <v>141</v>
      </c>
      <c r="K1243" t="s">
        <v>14</v>
      </c>
      <c r="L1243" t="s">
        <v>20</v>
      </c>
      <c r="M1243" t="s">
        <v>2635</v>
      </c>
      <c r="N1243" t="s">
        <v>14</v>
      </c>
    </row>
    <row r="1244" x14ac:dyDescent="0.25">
      <c r="A1244" t="n">
        <v>25</v>
      </c>
      <c r="B1244" t="s">
        <v>14</v>
      </c>
      <c r="C1244" t="s">
        <v>22</v>
      </c>
      <c r="D1244" s="2" t="s">
        <f>=HYPERLINK("https://main.knesset.gov.il/APPS/legislation/main/bills/2234025", "הצעת חוק הסכמים לנשיאת עוברים (אישור הסכם ומעמד היילוד) (תיקון - הרחבת הזכאות להליכי נשיאת עוברים), התשפ""ה-2025")</f>
        <v>2655</v>
      </c>
      <c r="E1244" t="s">
        <v>2655</v>
      </c>
      <c r="F1244" t="s">
        <v>2656</v>
      </c>
      <c r="G1244" t="s">
        <v>14</v>
      </c>
      <c r="H1244">
             </c>
      <c r="I1244" t="s">
        <v>14</v>
      </c>
      <c r="J1244" t="s">
        <v>141</v>
      </c>
      <c r="K1244" t="s">
        <v>14</v>
      </c>
      <c r="L1244" t="s">
        <v>20</v>
      </c>
      <c r="M1244" t="s">
        <v>2635</v>
      </c>
      <c r="N1244" t="s">
        <v>14</v>
      </c>
    </row>
    <row r="1245" x14ac:dyDescent="0.25">
      <c r="A1245" t="n">
        <v>25</v>
      </c>
      <c r="B1245" t="s">
        <v>14</v>
      </c>
      <c r="C1245" t="s">
        <v>22</v>
      </c>
      <c r="D1245" s="2" t="s">
        <f>=HYPERLINK("https://main.knesset.gov.il/APPS/legislation/main/bills/2234068", "הצעת חוק עבודת נשים (תיקון - הוספת חלקו של חודש במניין), התשפ""ה-2025")</f>
        <v>2657</v>
      </c>
      <c r="E1245" t="s">
        <v>2657</v>
      </c>
      <c r="F1245" t="s">
        <v>2658</v>
      </c>
      <c r="G1245" t="s">
        <v>14</v>
      </c>
      <c r="H1245">
             </c>
      <c r="I1245" t="s">
        <v>14</v>
      </c>
      <c r="J1245" t="s">
        <v>141</v>
      </c>
      <c r="K1245" t="s">
        <v>14</v>
      </c>
      <c r="L1245" t="s">
        <v>20</v>
      </c>
      <c r="M1245" t="s">
        <v>2635</v>
      </c>
      <c r="N1245" t="s">
        <v>14</v>
      </c>
    </row>
    <row r="1246" x14ac:dyDescent="0.25">
      <c r="A1246" t="n">
        <v>25</v>
      </c>
      <c r="B1246" t="s">
        <v>14</v>
      </c>
      <c r="C1246" t="s">
        <v>22</v>
      </c>
      <c r="D1246" s="2" t="s">
        <f>=HYPERLINK("https://main.knesset.gov.il/APPS/legislation/main/bills/2234034", "הצעת חוק לשמירה על בטיחות מעליות, התשפ""ה-2025")</f>
        <v>2659</v>
      </c>
      <c r="E1246" t="s">
        <v>2659</v>
      </c>
      <c r="F1246" t="s">
        <v>2660</v>
      </c>
      <c r="G1246" t="s">
        <v>14</v>
      </c>
      <c r="H1246">
             </c>
      <c r="I1246" t="s">
        <v>14</v>
      </c>
      <c r="J1246" t="s">
        <v>141</v>
      </c>
      <c r="K1246" t="s">
        <v>14</v>
      </c>
      <c r="L1246" t="s">
        <v>20</v>
      </c>
      <c r="M1246" t="s">
        <v>2635</v>
      </c>
      <c r="N1246" t="s">
        <v>14</v>
      </c>
    </row>
    <row r="1247" x14ac:dyDescent="0.25">
      <c r="A1247" t="n">
        <v>25</v>
      </c>
      <c r="B1247" t="s">
        <v>14</v>
      </c>
      <c r="C1247" t="s">
        <v>22</v>
      </c>
      <c r="D1247" s="2" t="s">
        <f>=HYPERLINK("https://main.knesset.gov.il/APPS/legislation/main/bills/2234022", "הצעת חוק המתווכים במקרקעין (תיקון - אחריות לתשלום דמי תיווך), התשפ""ה-2025")</f>
        <v>2661</v>
      </c>
      <c r="E1247" t="s">
        <v>2661</v>
      </c>
      <c r="F1247" t="s">
        <v>2662</v>
      </c>
      <c r="G1247" t="s">
        <v>14</v>
      </c>
      <c r="H1247">
             </c>
      <c r="I1247" t="s">
        <v>14</v>
      </c>
      <c r="J1247" t="s">
        <v>141</v>
      </c>
      <c r="K1247" t="s">
        <v>14</v>
      </c>
      <c r="L1247" t="s">
        <v>20</v>
      </c>
      <c r="M1247" t="s">
        <v>2635</v>
      </c>
      <c r="N1247" t="s">
        <v>14</v>
      </c>
    </row>
    <row r="1248" x14ac:dyDescent="0.25">
      <c r="A1248" t="n">
        <v>25</v>
      </c>
      <c r="B1248" t="s">
        <v>14</v>
      </c>
      <c r="C1248" t="s">
        <v>22</v>
      </c>
      <c r="D1248" s="2" t="s">
        <f>=HYPERLINK("https://main.knesset.gov.il/APPS/legislation/main/bills/2234027", "הצעת חוק הפיקוח על צעצועים מסוכנים, התשפ""ה-2025")</f>
        <v>2663</v>
      </c>
      <c r="E1248" t="s">
        <v>2663</v>
      </c>
      <c r="F1248" t="s">
        <v>2664</v>
      </c>
      <c r="G1248" t="s">
        <v>14</v>
      </c>
      <c r="H1248">
             </c>
      <c r="I1248" t="s">
        <v>14</v>
      </c>
      <c r="J1248" t="s">
        <v>141</v>
      </c>
      <c r="K1248" t="s">
        <v>14</v>
      </c>
      <c r="L1248" t="s">
        <v>20</v>
      </c>
      <c r="M1248" t="s">
        <v>2635</v>
      </c>
      <c r="N1248" t="s">
        <v>14</v>
      </c>
    </row>
    <row r="1249" x14ac:dyDescent="0.25">
      <c r="A1249" t="n">
        <v>25</v>
      </c>
      <c r="B1249" t="s">
        <v>14</v>
      </c>
      <c r="C1249" t="s">
        <v>22</v>
      </c>
      <c r="D1249" s="2" t="s">
        <f>=HYPERLINK("https://main.knesset.gov.il/APPS/legislation/main/bills/2233820", "הצעת חוק הקאדים (תיקון - גיל פרישה לקאדי שילדו נפטר), התשפ""ה-2025")</f>
        <v>2665</v>
      </c>
      <c r="E1249" t="s">
        <v>2665</v>
      </c>
      <c r="F1249" t="s">
        <v>2666</v>
      </c>
      <c r="G1249" t="s">
        <v>14</v>
      </c>
      <c r="H1249">
             </c>
      <c r="I1249" t="s">
        <v>14</v>
      </c>
      <c r="J1249" t="s">
        <v>1123</v>
      </c>
      <c r="K1249" t="s">
        <v>14</v>
      </c>
      <c r="L1249" t="s">
        <v>20</v>
      </c>
      <c r="M1249" t="s">
        <v>2635</v>
      </c>
      <c r="N1249" t="s">
        <v>14</v>
      </c>
    </row>
    <row r="1250" x14ac:dyDescent="0.25">
      <c r="A1250" t="n">
        <v>25</v>
      </c>
      <c r="B1250" t="s">
        <v>14</v>
      </c>
      <c r="C1250" t="s">
        <v>22</v>
      </c>
      <c r="D1250" s="2" t="s">
        <f>=HYPERLINK("https://main.knesset.gov.il/APPS/legislation/main/bills/2234030", "הצעת חוק הרשויות המקומיות (בחירות) (תיקון - העלאת אחוז החסימה), התשפ""ה-2025")</f>
        <v>2667</v>
      </c>
      <c r="E1250" t="s">
        <v>2667</v>
      </c>
      <c r="F1250" t="s">
        <v>2668</v>
      </c>
      <c r="G1250" t="s">
        <v>14</v>
      </c>
      <c r="H1250">
             </c>
      <c r="I1250" t="s">
        <v>14</v>
      </c>
      <c r="J1250" t="s">
        <v>141</v>
      </c>
      <c r="K1250" t="s">
        <v>14</v>
      </c>
      <c r="L1250" t="s">
        <v>20</v>
      </c>
      <c r="M1250" t="s">
        <v>2635</v>
      </c>
      <c r="N1250" t="s">
        <v>14</v>
      </c>
    </row>
    <row r="1251" x14ac:dyDescent="0.25">
      <c r="A1251" t="n">
        <v>25</v>
      </c>
      <c r="B1251" t="s">
        <v>14</v>
      </c>
      <c r="C1251" t="s">
        <v>22</v>
      </c>
      <c r="D1251" s="2" t="s">
        <f>=HYPERLINK("https://main.knesset.gov.il/APPS/legislation/main/bills/2233660", "הצעת חוק הביטוח הלאומי (תיקון - עבודה מועדפת ביישובי קו העימות בצפון ובדרום), התשפ""ה-2025")</f>
        <v>2561</v>
      </c>
      <c r="E1251" t="s">
        <v>2561</v>
      </c>
      <c r="F1251" t="s">
        <v>2669</v>
      </c>
      <c r="G1251" t="s">
        <v>14</v>
      </c>
      <c r="H1251">
             </c>
      <c r="I1251" t="s">
        <v>14</v>
      </c>
      <c r="J1251" t="s">
        <v>141</v>
      </c>
      <c r="K1251" t="s">
        <v>14</v>
      </c>
      <c r="L1251" t="s">
        <v>20</v>
      </c>
      <c r="M1251" t="s">
        <v>2635</v>
      </c>
      <c r="N1251" t="s">
        <v>14</v>
      </c>
    </row>
    <row r="1252" x14ac:dyDescent="0.25">
      <c r="A1252" t="n">
        <v>25</v>
      </c>
      <c r="B1252" t="s">
        <v>14</v>
      </c>
      <c r="C1252" t="s">
        <v>22</v>
      </c>
      <c r="D1252" s="2" t="s">
        <f>=HYPERLINK("https://main.knesset.gov.il/APPS/legislation/main/bills/2232488", "הצעת חוק הרבנות הראשית לישראל (תיקון - מינוי מנהל כללי ותקציב הרבנות הראשית לישראל), התשפ""ה-2025")</f>
        <v>2670</v>
      </c>
      <c r="E1252" t="s">
        <v>2670</v>
      </c>
      <c r="F1252" t="s">
        <v>2671</v>
      </c>
      <c r="G1252" t="s">
        <v>14</v>
      </c>
      <c r="H1252">
             </c>
      <c r="I1252" t="s">
        <v>14</v>
      </c>
      <c r="J1252" t="s">
        <v>141</v>
      </c>
      <c r="K1252" t="s">
        <v>14</v>
      </c>
      <c r="L1252" t="s">
        <v>20</v>
      </c>
      <c r="M1252" t="s">
        <v>2635</v>
      </c>
      <c r="N1252" t="s">
        <v>14</v>
      </c>
    </row>
    <row r="1253" x14ac:dyDescent="0.25">
      <c r="A1253" t="n">
        <v>25</v>
      </c>
      <c r="B1253" t="s">
        <v>14</v>
      </c>
      <c r="C1253" t="s">
        <v>22</v>
      </c>
      <c r="D1253" s="2" t="s">
        <f>=HYPERLINK("https://main.knesset.gov.il/APPS/legislation/main/bills/2234019", "הצעת חוק החזקת תעודת זהות והצגתה (תיקון - תעודה מזהה), התשפ""ה-2025")</f>
        <v>2672</v>
      </c>
      <c r="E1253" t="s">
        <v>2672</v>
      </c>
      <c r="F1253" t="s">
        <v>2673</v>
      </c>
      <c r="G1253" t="s">
        <v>14</v>
      </c>
      <c r="H1253">
             </c>
      <c r="I1253" t="s">
        <v>14</v>
      </c>
      <c r="J1253" t="s">
        <v>141</v>
      </c>
      <c r="K1253" t="s">
        <v>14</v>
      </c>
      <c r="L1253" t="s">
        <v>20</v>
      </c>
      <c r="M1253" t="s">
        <v>2635</v>
      </c>
      <c r="N1253" t="s">
        <v>14</v>
      </c>
    </row>
    <row r="1254" x14ac:dyDescent="0.25">
      <c r="A1254" t="n">
        <v>25</v>
      </c>
      <c r="B1254" t="s">
        <v>14</v>
      </c>
      <c r="C1254" t="s">
        <v>22</v>
      </c>
      <c r="D1254" s="2" t="s">
        <f>=HYPERLINK("https://main.knesset.gov.il/APPS/legislation/main/bills/2234072", "הצעת חוק מרשם האוכלוסין (תיקון - רישום הורה נוסף), התשפ""ה-2025")</f>
        <v>2674</v>
      </c>
      <c r="E1254" t="s">
        <v>2674</v>
      </c>
      <c r="F1254" t="s">
        <v>2675</v>
      </c>
      <c r="G1254" t="s">
        <v>14</v>
      </c>
      <c r="H1254">
             </c>
      <c r="I1254" t="s">
        <v>14</v>
      </c>
      <c r="J1254" t="s">
        <v>141</v>
      </c>
      <c r="K1254" t="s">
        <v>14</v>
      </c>
      <c r="L1254" t="s">
        <v>20</v>
      </c>
      <c r="M1254" t="s">
        <v>2635</v>
      </c>
      <c r="N1254" t="s">
        <v>14</v>
      </c>
    </row>
    <row r="1255" x14ac:dyDescent="0.25">
      <c r="A1255" t="n">
        <v>25</v>
      </c>
      <c r="B1255" t="s">
        <v>14</v>
      </c>
      <c r="C1255" t="s">
        <v>22</v>
      </c>
      <c r="D1255" s="2" t="s">
        <f>=HYPERLINK("https://main.knesset.gov.il/APPS/legislation/main/bills/2234038", "הצעת חוק-יסוד: כבוד האדם וחירותו (תיקון - הזכות לשוויון)")</f>
        <v>2676</v>
      </c>
      <c r="E1255" t="s">
        <v>2676</v>
      </c>
      <c r="F1255" t="s">
        <v>2677</v>
      </c>
      <c r="G1255" t="s">
        <v>14</v>
      </c>
      <c r="H1255">
             </c>
      <c r="I1255" t="s">
        <v>14</v>
      </c>
      <c r="J1255" t="s">
        <v>141</v>
      </c>
      <c r="K1255" t="s">
        <v>14</v>
      </c>
      <c r="L1255" t="s">
        <v>20</v>
      </c>
      <c r="M1255" t="s">
        <v>2635</v>
      </c>
      <c r="N1255" t="s">
        <v>14</v>
      </c>
    </row>
    <row r="1256" x14ac:dyDescent="0.25">
      <c r="A1256" t="n">
        <v>25</v>
      </c>
      <c r="B1256" t="s">
        <v>14</v>
      </c>
      <c r="C1256" t="s">
        <v>22</v>
      </c>
      <c r="D1256" s="2" t="s">
        <f>=HYPERLINK("https://main.knesset.gov.il/APPS/legislation/main/bills/2233011", "הצעת חוק העונשין (תיקון - החמרת ענישה בריגול חמור ומגע עם סוכן חוץ), התשפ""ה-2025")</f>
        <v>2678</v>
      </c>
      <c r="E1256" t="s">
        <v>2678</v>
      </c>
      <c r="F1256" t="s">
        <v>2679</v>
      </c>
      <c r="G1256" t="s">
        <v>14</v>
      </c>
      <c r="H1256">
             </c>
      <c r="I1256" t="s">
        <v>14</v>
      </c>
      <c r="J1256" t="s">
        <v>141</v>
      </c>
      <c r="K1256" t="s">
        <v>14</v>
      </c>
      <c r="L1256" t="s">
        <v>20</v>
      </c>
      <c r="M1256" t="s">
        <v>2635</v>
      </c>
      <c r="N1256" t="s">
        <v>14</v>
      </c>
    </row>
    <row r="1257" x14ac:dyDescent="0.25">
      <c r="A1257" t="n">
        <v>25</v>
      </c>
      <c r="B1257" t="s">
        <v>14</v>
      </c>
      <c r="C1257" t="s">
        <v>22</v>
      </c>
      <c r="D1257" s="2" t="s">
        <f>=HYPERLINK("https://main.knesset.gov.il/APPS/legislation/main/bills/2233977", "הצעת חוק גנים לאומיים, שמורות טבע, אתרים לאומיים ואתרי הנצחה (תיקון - כניסת חתן וכלה ללא תשלום), התשפ""ה-2025")</f>
        <v>2680</v>
      </c>
      <c r="E1257" t="s">
        <v>2680</v>
      </c>
      <c r="F1257" t="s">
        <v>2681</v>
      </c>
      <c r="G1257" t="s">
        <v>14</v>
      </c>
      <c r="H1257">
             </c>
      <c r="I1257" t="s">
        <v>14</v>
      </c>
      <c r="J1257" t="s">
        <v>141</v>
      </c>
      <c r="K1257" t="s">
        <v>14</v>
      </c>
      <c r="L1257" t="s">
        <v>20</v>
      </c>
      <c r="M1257" t="s">
        <v>2635</v>
      </c>
      <c r="N1257" t="s">
        <v>14</v>
      </c>
    </row>
    <row r="1258" x14ac:dyDescent="0.25">
      <c r="A1258" t="n">
        <v>25</v>
      </c>
      <c r="B1258" t="s">
        <v>14</v>
      </c>
      <c r="C1258" t="s">
        <v>22</v>
      </c>
      <c r="D1258" s="2" t="s">
        <f>=HYPERLINK("https://main.knesset.gov.il/APPS/legislation/main/bills/2233790", "הצעת חוק הבנקאות (שירות ללקוח) (תיקון - מתן שירותי הפקדה בכל כספומט בנקאי), התשפ""ה-2025")</f>
        <v>2682</v>
      </c>
      <c r="E1258" t="s">
        <v>2682</v>
      </c>
      <c r="F1258" t="s">
        <v>2683</v>
      </c>
      <c r="G1258" t="s">
        <v>14</v>
      </c>
      <c r="H1258">
             </c>
      <c r="I1258" t="s">
        <v>14</v>
      </c>
      <c r="J1258" t="s">
        <v>141</v>
      </c>
      <c r="K1258" t="s">
        <v>14</v>
      </c>
      <c r="L1258" t="s">
        <v>20</v>
      </c>
      <c r="M1258" t="s">
        <v>2635</v>
      </c>
      <c r="N1258" t="s">
        <v>14</v>
      </c>
    </row>
    <row r="1259" x14ac:dyDescent="0.25">
      <c r="A1259" t="n">
        <v>25</v>
      </c>
      <c r="B1259" t="s">
        <v>14</v>
      </c>
      <c r="C1259" t="s">
        <v>22</v>
      </c>
      <c r="D1259" s="2" t="s">
        <f>=HYPERLINK("https://main.knesset.gov.il/APPS/legislation/main/bills/2233914", "הצעת חוק לתיקון פקודת התעבורה (הוראות לעניין סככות המתנה בתחנות אוטובוס), התשפ״ה-2025")</f>
        <v>2684</v>
      </c>
      <c r="E1259" t="s">
        <v>2684</v>
      </c>
      <c r="F1259" t="s">
        <v>2685</v>
      </c>
      <c r="G1259" t="s">
        <v>14</v>
      </c>
      <c r="H1259">
             </c>
      <c r="I1259" t="s">
        <v>14</v>
      </c>
      <c r="J1259" t="s">
        <v>141</v>
      </c>
      <c r="K1259" t="s">
        <v>14</v>
      </c>
      <c r="L1259" t="s">
        <v>20</v>
      </c>
      <c r="M1259" t="s">
        <v>2635</v>
      </c>
      <c r="N1259" t="s">
        <v>14</v>
      </c>
    </row>
    <row r="1260" x14ac:dyDescent="0.25">
      <c r="A1260" t="n">
        <v>25</v>
      </c>
      <c r="B1260" t="s">
        <v>14</v>
      </c>
      <c r="C1260" t="s">
        <v>22</v>
      </c>
      <c r="D1260" s="2" t="s">
        <f>=HYPERLINK("https://main.knesset.gov.il/APPS/legislation/main/bills/2233983", "הצעת חוק הבנקאות (שירות ללקוח) (תיקון - מסירת מידע על עמלות וריביות בשל פירעון מוקדם של הלוואה), התשפ""ה-2025")</f>
        <v>2539</v>
      </c>
      <c r="E1260" t="s">
        <v>2539</v>
      </c>
      <c r="F1260" t="s">
        <v>2686</v>
      </c>
      <c r="G1260" t="s">
        <v>14</v>
      </c>
      <c r="H1260">
             </c>
      <c r="I1260" t="s">
        <v>14</v>
      </c>
      <c r="J1260" t="s">
        <v>141</v>
      </c>
      <c r="K1260" t="s">
        <v>14</v>
      </c>
      <c r="L1260" t="s">
        <v>20</v>
      </c>
      <c r="M1260" t="s">
        <v>2635</v>
      </c>
      <c r="N1260" t="s">
        <v>14</v>
      </c>
    </row>
    <row r="1261" x14ac:dyDescent="0.25">
      <c r="A1261" t="n">
        <v>25</v>
      </c>
      <c r="B1261" t="s">
        <v>14</v>
      </c>
      <c r="C1261" t="s">
        <v>22</v>
      </c>
      <c r="D1261" s="2" t="s">
        <f>=HYPERLINK("https://main.knesset.gov.il/APPS/legislation/main/bills/2234134", "הצעת חוק הבנקאות (שירות ללקוח) (תיקון - ביטול פעולה מכוח הרשאה לחיוב בשל היעדר יתרה מספקת בחשבון והגבלת עמלות בשל הרשאה לחיוב), התשפ""ה-2025")</f>
        <v>1782</v>
      </c>
      <c r="E1261" t="s">
        <v>1782</v>
      </c>
      <c r="F1261" t="s">
        <v>2687</v>
      </c>
      <c r="G1261" t="s">
        <v>14</v>
      </c>
      <c r="H1261">
             </c>
      <c r="I1261" t="s">
        <v>14</v>
      </c>
      <c r="J1261" t="s">
        <v>141</v>
      </c>
      <c r="K1261" t="s">
        <v>14</v>
      </c>
      <c r="L1261" t="s">
        <v>20</v>
      </c>
      <c r="M1261" t="s">
        <v>2635</v>
      </c>
      <c r="N1261" t="s">
        <v>14</v>
      </c>
    </row>
    <row r="1262" x14ac:dyDescent="0.25">
      <c r="A1262" t="n">
        <v>25</v>
      </c>
      <c r="B1262" t="s">
        <v>14</v>
      </c>
      <c r="C1262" t="s">
        <v>22</v>
      </c>
      <c r="D1262" s="2" t="s">
        <f>=HYPERLINK("https://main.knesset.gov.il/APPS/legislation/main/bills/2233979", "הצעת חוק מחיקת רישומים בגין התקהלות אסורה, התשפ""ה-2025")</f>
        <v>2688</v>
      </c>
      <c r="E1262" t="s">
        <v>2688</v>
      </c>
      <c r="F1262" t="s">
        <v>2689</v>
      </c>
      <c r="G1262" t="s">
        <v>14</v>
      </c>
      <c r="H1262">
             </c>
      <c r="I1262" t="s">
        <v>14</v>
      </c>
      <c r="J1262" t="s">
        <v>141</v>
      </c>
      <c r="K1262" t="s">
        <v>14</v>
      </c>
      <c r="L1262" t="s">
        <v>20</v>
      </c>
      <c r="M1262" t="s">
        <v>2635</v>
      </c>
      <c r="N1262" t="s">
        <v>14</v>
      </c>
    </row>
    <row r="1263" x14ac:dyDescent="0.25">
      <c r="A1263" t="n">
        <v>25</v>
      </c>
      <c r="B1263" t="s">
        <v>14</v>
      </c>
      <c r="C1263" t="s">
        <v>22</v>
      </c>
      <c r="D1263" s="2" t="s">
        <f>=HYPERLINK("https://main.knesset.gov.il/APPS/legislation/main/bills/2234018", "הצעת חוק הביטוח הלאומי (תיקון - הודעה לפני גביית חוב), התשפ""ה-2025")</f>
        <v>2690</v>
      </c>
      <c r="E1263" t="s">
        <v>2690</v>
      </c>
      <c r="F1263" t="s">
        <v>2691</v>
      </c>
      <c r="G1263" t="s">
        <v>14</v>
      </c>
      <c r="H1263">
             </c>
      <c r="I1263" t="s">
        <v>14</v>
      </c>
      <c r="J1263" t="s">
        <v>141</v>
      </c>
      <c r="K1263" t="s">
        <v>14</v>
      </c>
      <c r="L1263" t="s">
        <v>20</v>
      </c>
      <c r="M1263" t="s">
        <v>2635</v>
      </c>
      <c r="N1263" t="s">
        <v>14</v>
      </c>
    </row>
    <row r="1264" x14ac:dyDescent="0.25">
      <c r="A1264" t="n">
        <v>25</v>
      </c>
      <c r="B1264" t="s">
        <v>14</v>
      </c>
      <c r="C1264" t="s">
        <v>22</v>
      </c>
      <c r="D1264" s="2" t="s">
        <f>=HYPERLINK("https://main.knesset.gov.il/APPS/legislation/main/bills/2234010", "הצעת חוק בתי המשפט (תיקון - תקופת צינון במועמדות חבר כנסת או שר למשרת שופט), התשפ""ה-2025")</f>
        <v>2692</v>
      </c>
      <c r="E1264" t="s">
        <v>2692</v>
      </c>
      <c r="F1264" t="s">
        <v>2693</v>
      </c>
      <c r="G1264" t="s">
        <v>14</v>
      </c>
      <c r="H1264">
             </c>
      <c r="I1264" t="s">
        <v>14</v>
      </c>
      <c r="J1264" t="s">
        <v>1123</v>
      </c>
      <c r="K1264" t="s">
        <v>14</v>
      </c>
      <c r="L1264" t="s">
        <v>20</v>
      </c>
      <c r="M1264" t="s">
        <v>2635</v>
      </c>
      <c r="N1264" t="s">
        <v>14</v>
      </c>
    </row>
    <row r="1265" x14ac:dyDescent="0.25">
      <c r="A1265" t="n">
        <v>25</v>
      </c>
      <c r="B1265" t="s">
        <v>14</v>
      </c>
      <c r="C1265" t="s">
        <v>22</v>
      </c>
      <c r="D1265" s="2" t="s">
        <f>=HYPERLINK("https://main.knesset.gov.il/APPS/legislation/main/bills/2232243", "הצעת חוק זיכרון השואה והגבורה - יד ושם (תיקון - הגדרת יד ושם כגוף מבוקר וחיזוק הפיקוח הפרלמנטרי עליו), התשפ""ה-2025")</f>
        <v>2694</v>
      </c>
      <c r="E1265" t="s">
        <v>2694</v>
      </c>
      <c r="F1265" t="s">
        <v>2695</v>
      </c>
      <c r="G1265" t="s">
        <v>14</v>
      </c>
      <c r="H1265">
             </c>
      <c r="I1265" t="s">
        <v>14</v>
      </c>
      <c r="J1265" t="s">
        <v>141</v>
      </c>
      <c r="K1265" t="s">
        <v>14</v>
      </c>
      <c r="L1265" t="s">
        <v>20</v>
      </c>
      <c r="M1265" t="s">
        <v>2635</v>
      </c>
      <c r="N1265" t="s">
        <v>14</v>
      </c>
    </row>
    <row r="1266" x14ac:dyDescent="0.25">
      <c r="A1266" t="n">
        <v>25</v>
      </c>
      <c r="B1266" t="s">
        <v>14</v>
      </c>
      <c r="C1266" t="s">
        <v>22</v>
      </c>
      <c r="D1266" s="2" t="s">
        <f>=HYPERLINK("https://main.knesset.gov.il/APPS/legislation/main/bills/2233789", "הצעת חוק דחיית תשלומי מס לעסק חדש (תיקוני חקיקה), התשפ""ה-2025")</f>
        <v>2696</v>
      </c>
      <c r="E1266" t="s">
        <v>2696</v>
      </c>
      <c r="F1266" t="s">
        <v>2697</v>
      </c>
      <c r="G1266" t="s">
        <v>14</v>
      </c>
      <c r="H1266">
             </c>
      <c r="I1266" t="s">
        <v>14</v>
      </c>
      <c r="J1266" t="s">
        <v>141</v>
      </c>
      <c r="K1266" t="s">
        <v>14</v>
      </c>
      <c r="L1266" t="s">
        <v>20</v>
      </c>
      <c r="M1266" t="s">
        <v>2635</v>
      </c>
      <c r="N1266" t="s">
        <v>14</v>
      </c>
    </row>
    <row r="1267" x14ac:dyDescent="0.25">
      <c r="A1267" t="n">
        <v>25</v>
      </c>
      <c r="B1267" t="s">
        <v>14</v>
      </c>
      <c r="C1267" t="s">
        <v>22</v>
      </c>
      <c r="D1267" s="2" t="s">
        <f>=HYPERLINK("https://main.knesset.gov.il/APPS/legislation/main/bills/2233773", "הצעת חוק לביטול ההתיישנות בעבירות מין במשפחה (תיקוני חקיקה), התשפ""ה-2025")</f>
        <v>2698</v>
      </c>
      <c r="E1267" t="s">
        <v>2698</v>
      </c>
      <c r="F1267" t="s">
        <v>2699</v>
      </c>
      <c r="G1267" t="s">
        <v>14</v>
      </c>
      <c r="H1267">
             </c>
      <c r="I1267" t="s">
        <v>14</v>
      </c>
      <c r="J1267" t="s">
        <v>141</v>
      </c>
      <c r="K1267" t="s">
        <v>14</v>
      </c>
      <c r="L1267" t="s">
        <v>20</v>
      </c>
      <c r="M1267" t="s">
        <v>2635</v>
      </c>
      <c r="N1267" t="s">
        <v>14</v>
      </c>
    </row>
    <row r="1268" x14ac:dyDescent="0.25">
      <c r="A1268" t="n">
        <v>25</v>
      </c>
      <c r="B1268" t="s">
        <v>14</v>
      </c>
      <c r="C1268" t="s">
        <v>22</v>
      </c>
      <c r="D1268" s="2" t="s">
        <f>=HYPERLINK("https://main.knesset.gov.il/APPS/legislation/main/bills/2234063", "הצעת חוק לתיקון פקודת מס הכנסה (פטור ממס למקבלי קצבת ילד נכה), התשפ""ה-2025")</f>
        <v>2700</v>
      </c>
      <c r="E1268" t="s">
        <v>2700</v>
      </c>
      <c r="F1268" t="s">
        <v>2701</v>
      </c>
      <c r="G1268" t="s">
        <v>14</v>
      </c>
      <c r="H1268">
             </c>
      <c r="I1268" t="s">
        <v>14</v>
      </c>
      <c r="J1268" t="s">
        <v>141</v>
      </c>
      <c r="K1268" t="s">
        <v>14</v>
      </c>
      <c r="L1268" t="s">
        <v>20</v>
      </c>
      <c r="M1268" t="s">
        <v>2635</v>
      </c>
      <c r="N1268" t="s">
        <v>14</v>
      </c>
    </row>
    <row r="1269" x14ac:dyDescent="0.25">
      <c r="A1269" t="n">
        <v>25</v>
      </c>
      <c r="B1269" t="s">
        <v>14</v>
      </c>
      <c r="C1269" t="s">
        <v>22</v>
      </c>
      <c r="D1269" s="2" t="s">
        <f>=HYPERLINK("https://main.knesset.gov.il/APPS/legislation/main/bills/2233940", "הצעת חוק תמיכה במימון פעילות ארגון נכי צה""ל ובתי הלוחם ובארגון נפגעי פעולות האיבה, התשפ""ה-2025")</f>
        <v>2428</v>
      </c>
      <c r="E1269" t="s">
        <v>2428</v>
      </c>
      <c r="F1269" t="s">
        <v>2702</v>
      </c>
      <c r="G1269" t="s">
        <v>14</v>
      </c>
      <c r="H1269">
             </c>
      <c r="I1269" t="s">
        <v>14</v>
      </c>
      <c r="J1269" t="s">
        <v>141</v>
      </c>
      <c r="K1269" t="s">
        <v>14</v>
      </c>
      <c r="L1269" t="s">
        <v>20</v>
      </c>
      <c r="M1269" t="s">
        <v>2635</v>
      </c>
      <c r="N1269" t="s">
        <v>14</v>
      </c>
    </row>
    <row r="1270" x14ac:dyDescent="0.25">
      <c r="A1270" t="n">
        <v>25</v>
      </c>
      <c r="B1270" t="s">
        <v>14</v>
      </c>
      <c r="C1270" t="s">
        <v>22</v>
      </c>
      <c r="D1270" s="2" t="s">
        <f>=HYPERLINK("https://main.knesset.gov.il/APPS/legislation/main/bills/2234020", "הצעת חוק המוזיאונים (תיקון - מוזיאונים להנצחה ולהנחלה של זכר השואה והגבורה), התשפ""ה-2025")</f>
        <v>2703</v>
      </c>
      <c r="E1270" t="s">
        <v>2703</v>
      </c>
      <c r="F1270" t="s">
        <v>2704</v>
      </c>
      <c r="G1270" t="s">
        <v>14</v>
      </c>
      <c r="H1270">
             </c>
      <c r="I1270" t="s">
        <v>14</v>
      </c>
      <c r="J1270" t="s">
        <v>141</v>
      </c>
      <c r="K1270" t="s">
        <v>14</v>
      </c>
      <c r="L1270" t="s">
        <v>20</v>
      </c>
      <c r="M1270" t="s">
        <v>2635</v>
      </c>
      <c r="N1270" t="s">
        <v>14</v>
      </c>
    </row>
    <row r="1271" x14ac:dyDescent="0.25">
      <c r="A1271" t="n">
        <v>25</v>
      </c>
      <c r="B1271" t="s">
        <v>14</v>
      </c>
      <c r="C1271" t="s">
        <v>22</v>
      </c>
      <c r="D1271" s="2" t="s">
        <f>=HYPERLINK("https://main.knesset.gov.il/APPS/legislation/main/bills/2234008", "הצעת חוק בית המשפט לענייני משפחה (תיקון - בני זוג מאותו המין), התשפ""ה-2025")</f>
        <v>2705</v>
      </c>
      <c r="E1271" t="s">
        <v>2705</v>
      </c>
      <c r="F1271" t="s">
        <v>2706</v>
      </c>
      <c r="G1271" t="s">
        <v>14</v>
      </c>
      <c r="H1271">
             </c>
      <c r="I1271" t="s">
        <v>14</v>
      </c>
      <c r="J1271" t="s">
        <v>141</v>
      </c>
      <c r="K1271" t="s">
        <v>14</v>
      </c>
      <c r="L1271" t="s">
        <v>20</v>
      </c>
      <c r="M1271" t="s">
        <v>2635</v>
      </c>
      <c r="N1271" t="s">
        <v>14</v>
      </c>
    </row>
    <row r="1272" x14ac:dyDescent="0.25">
      <c r="A1272" t="n">
        <v>25</v>
      </c>
      <c r="B1272" t="s">
        <v>14</v>
      </c>
      <c r="C1272" t="s">
        <v>22</v>
      </c>
      <c r="D1272" s="2" t="s">
        <f>=HYPERLINK("https://main.knesset.gov.il/APPS/legislation/main/bills/2234012", "הצעת חוק בתי המשפט (תיקון - צילום בבתי משפט), התשפ""ה-2025")</f>
        <v>2707</v>
      </c>
      <c r="E1272" t="s">
        <v>2707</v>
      </c>
      <c r="F1272" t="s">
        <v>2708</v>
      </c>
      <c r="G1272" t="s">
        <v>14</v>
      </c>
      <c r="H1272">
             </c>
      <c r="I1272" t="s">
        <v>14</v>
      </c>
      <c r="J1272" t="s">
        <v>141</v>
      </c>
      <c r="K1272" t="s">
        <v>14</v>
      </c>
      <c r="L1272" t="s">
        <v>20</v>
      </c>
      <c r="M1272" t="s">
        <v>2635</v>
      </c>
      <c r="N1272" t="s">
        <v>14</v>
      </c>
    </row>
    <row r="1273" x14ac:dyDescent="0.25">
      <c r="A1273" t="n">
        <v>25</v>
      </c>
      <c r="B1273" t="s">
        <v>14</v>
      </c>
      <c r="C1273" t="s">
        <v>22</v>
      </c>
      <c r="D1273" s="2" t="s">
        <f>=HYPERLINK("https://main.knesset.gov.il/APPS/legislation/main/bills/2233582", "הצעת חוק לתיקון פקודת מס הכנסה (ניכוי בעד שכר עובדים המשרתים במילואים), התשפ""ה-2025")</f>
        <v>2709</v>
      </c>
      <c r="E1273" t="s">
        <v>2709</v>
      </c>
      <c r="F1273" t="s">
        <v>2710</v>
      </c>
      <c r="G1273" t="s">
        <v>14</v>
      </c>
      <c r="H1273">
             </c>
      <c r="I1273" t="s">
        <v>14</v>
      </c>
      <c r="J1273" t="s">
        <v>141</v>
      </c>
      <c r="K1273" t="s">
        <v>14</v>
      </c>
      <c r="L1273" t="s">
        <v>20</v>
      </c>
      <c r="M1273" t="s">
        <v>2635</v>
      </c>
      <c r="N1273" t="s">
        <v>14</v>
      </c>
    </row>
    <row r="1274" x14ac:dyDescent="0.25">
      <c r="A1274" t="n">
        <v>25</v>
      </c>
      <c r="B1274" t="s">
        <v>14</v>
      </c>
      <c r="C1274" t="s">
        <v>22</v>
      </c>
      <c r="D1274" s="2" t="s">
        <f>=HYPERLINK("https://main.knesset.gov.il/APPS/legislation/main/bills/2233639", "הצעת חוק לביטול ההתיישנות בעבירות מין (תיקוני חקיקה), התשפ""ה-2025")</f>
        <v>2711</v>
      </c>
      <c r="E1274" t="s">
        <v>2711</v>
      </c>
      <c r="F1274" t="s">
        <v>2712</v>
      </c>
      <c r="G1274" t="s">
        <v>14</v>
      </c>
      <c r="H1274">
             </c>
      <c r="I1274" t="s">
        <v>14</v>
      </c>
      <c r="J1274" t="s">
        <v>141</v>
      </c>
      <c r="K1274" t="s">
        <v>14</v>
      </c>
      <c r="L1274" t="s">
        <v>20</v>
      </c>
      <c r="M1274" t="s">
        <v>2635</v>
      </c>
      <c r="N1274" t="s">
        <v>14</v>
      </c>
    </row>
    <row r="1275" x14ac:dyDescent="0.25">
      <c r="A1275" t="n">
        <v>25</v>
      </c>
      <c r="B1275" t="s">
        <v>14</v>
      </c>
      <c r="C1275" t="s">
        <v>22</v>
      </c>
      <c r="D1275" s="2" t="s">
        <f>=HYPERLINK("https://main.knesset.gov.il/APPS/legislation/main/bills/2234002", "הצעת חוק אימוץ ילדים (תיקון - כשירות לאמץ והתאמת מאמצים לילד), התשפ""ה-2025")</f>
        <v>2713</v>
      </c>
      <c r="E1275" t="s">
        <v>2713</v>
      </c>
      <c r="F1275" t="s">
        <v>2714</v>
      </c>
      <c r="G1275" t="s">
        <v>14</v>
      </c>
      <c r="H1275">
             </c>
      <c r="I1275" t="s">
        <v>14</v>
      </c>
      <c r="J1275" t="s">
        <v>141</v>
      </c>
      <c r="K1275" t="s">
        <v>14</v>
      </c>
      <c r="L1275" t="s">
        <v>20</v>
      </c>
      <c r="M1275" t="s">
        <v>2635</v>
      </c>
      <c r="N1275" t="s">
        <v>14</v>
      </c>
    </row>
    <row r="1276" x14ac:dyDescent="0.25">
      <c r="A1276" t="n">
        <v>25</v>
      </c>
      <c r="B1276" t="s">
        <v>14</v>
      </c>
      <c r="C1276" t="s">
        <v>22</v>
      </c>
      <c r="D1276" s="2" t="s">
        <f>=HYPERLINK("https://main.knesset.gov.il/APPS/legislation/main/bills/2233981", "הצעת חוק טיפול בפעוט עם מוגבלות (תיקוני חקיקה), התשפ""ה-2025")</f>
        <v>2715</v>
      </c>
      <c r="E1276" t="s">
        <v>2715</v>
      </c>
      <c r="F1276" t="s">
        <v>2716</v>
      </c>
      <c r="G1276" t="s">
        <v>14</v>
      </c>
      <c r="H1276">
             </c>
      <c r="I1276" t="s">
        <v>14</v>
      </c>
      <c r="J1276" t="s">
        <v>141</v>
      </c>
      <c r="K1276" t="s">
        <v>14</v>
      </c>
      <c r="L1276" t="s">
        <v>20</v>
      </c>
      <c r="M1276" t="s">
        <v>2635</v>
      </c>
      <c r="N1276" t="s">
        <v>14</v>
      </c>
    </row>
    <row r="1277" x14ac:dyDescent="0.25">
      <c r="A1277" t="n">
        <v>25</v>
      </c>
      <c r="B1277" t="s">
        <v>14</v>
      </c>
      <c r="C1277" t="s">
        <v>22</v>
      </c>
      <c r="D1277" s="2" t="s">
        <f>=HYPERLINK("https://main.knesset.gov.il/APPS/legislation/main/bills/2233568", "הצעת חוק הבטחת הכנסה (תיקון - זכאי לגמלה ששוהה מחוץ לישראל בשל מצב מיוחד) (הוראת שעה), התשפ""ה-2025")</f>
        <v>2717</v>
      </c>
      <c r="E1277" t="s">
        <v>2717</v>
      </c>
      <c r="F1277" t="s">
        <v>2718</v>
      </c>
      <c r="G1277" t="s">
        <v>14</v>
      </c>
      <c r="H1277">
             </c>
      <c r="I1277" t="s">
        <v>14</v>
      </c>
      <c r="J1277" t="s">
        <v>343</v>
      </c>
      <c r="K1277" t="s">
        <v>14</v>
      </c>
      <c r="L1277" t="s">
        <v>20</v>
      </c>
      <c r="M1277" t="s">
        <v>2635</v>
      </c>
      <c r="N1277" t="s">
        <v>14</v>
      </c>
    </row>
    <row r="1278" x14ac:dyDescent="0.25">
      <c r="A1278" t="n">
        <v>25</v>
      </c>
      <c r="B1278" t="s">
        <v>14</v>
      </c>
      <c r="C1278" t="s">
        <v>22</v>
      </c>
      <c r="D1278" s="2" t="s">
        <f>=HYPERLINK("https://main.knesset.gov.il/APPS/legislation/main/bills/2233980", "הצעת חוק הביטוח הלאומי (תיקון - תיאום דמי ביטוח), התשפ""ה-2025")</f>
        <v>2719</v>
      </c>
      <c r="E1278" t="s">
        <v>2719</v>
      </c>
      <c r="F1278" t="s">
        <v>2720</v>
      </c>
      <c r="G1278" t="s">
        <v>14</v>
      </c>
      <c r="H1278">
             </c>
      <c r="I1278" t="s">
        <v>14</v>
      </c>
      <c r="J1278" t="s">
        <v>141</v>
      </c>
      <c r="K1278" t="s">
        <v>14</v>
      </c>
      <c r="L1278" t="s">
        <v>20</v>
      </c>
      <c r="M1278" t="s">
        <v>2635</v>
      </c>
      <c r="N1278" t="s">
        <v>14</v>
      </c>
    </row>
    <row r="1279" x14ac:dyDescent="0.25">
      <c r="A1279" t="n">
        <v>25</v>
      </c>
      <c r="B1279" t="s">
        <v>14</v>
      </c>
      <c r="C1279" t="s">
        <v>22</v>
      </c>
      <c r="D1279" s="2" t="s">
        <f>=HYPERLINK("https://main.knesset.gov.il/APPS/legislation/main/bills/2233644", "הצעת חוק לתיקון פקודת מס הכנסה (הודעה בדבר זכאות לנקודת זיכוי), התשפ״ה-2025")</f>
        <v>2721</v>
      </c>
      <c r="E1279" t="s">
        <v>2721</v>
      </c>
      <c r="F1279" t="s">
        <v>2722</v>
      </c>
      <c r="G1279" t="s">
        <v>14</v>
      </c>
      <c r="H1279">
             </c>
      <c r="I1279" t="s">
        <v>14</v>
      </c>
      <c r="J1279" t="s">
        <v>141</v>
      </c>
      <c r="K1279" t="s">
        <v>14</v>
      </c>
      <c r="L1279" t="s">
        <v>20</v>
      </c>
      <c r="M1279" t="s">
        <v>2635</v>
      </c>
      <c r="N1279" t="s">
        <v>14</v>
      </c>
    </row>
    <row r="1280" x14ac:dyDescent="0.25">
      <c r="A1280" t="n">
        <v>25</v>
      </c>
      <c r="B1280" t="s">
        <v>14</v>
      </c>
      <c r="C1280" t="s">
        <v>22</v>
      </c>
      <c r="D1280" s="2" t="s">
        <f>=HYPERLINK("https://main.knesset.gov.il/APPS/legislation/main/bills/2234087", "הצעת חוק-יסוד: משק המדינה (תיקון - בחינת העלות לרשויות מקומיות)")</f>
        <v>2723</v>
      </c>
      <c r="E1280" t="s">
        <v>2723</v>
      </c>
      <c r="F1280" t="s">
        <v>2724</v>
      </c>
      <c r="G1280" t="s">
        <v>14</v>
      </c>
      <c r="H1280">
             </c>
      <c r="I1280" t="s">
        <v>14</v>
      </c>
      <c r="J1280" t="s">
        <v>141</v>
      </c>
      <c r="K1280" t="s">
        <v>14</v>
      </c>
      <c r="L1280" t="s">
        <v>20</v>
      </c>
      <c r="M1280" t="s">
        <v>2635</v>
      </c>
      <c r="N1280" t="s">
        <v>14</v>
      </c>
    </row>
    <row r="1281" x14ac:dyDescent="0.25">
      <c r="A1281" t="n">
        <v>25</v>
      </c>
      <c r="B1281" t="s">
        <v>14</v>
      </c>
      <c r="C1281" t="s">
        <v>22</v>
      </c>
      <c r="D1281" s="2" t="s">
        <f>=HYPERLINK("https://main.knesset.gov.il/APPS/legislation/main/bills/2233590", "הצעת חוק איסור צריכת זנות (הוראת שעה ותיקון חקיקה) (תיקון - עיגון כהוראת קבע), התשפ""ה- 2025")</f>
        <v>2725</v>
      </c>
      <c r="E1281" t="s">
        <v>2725</v>
      </c>
      <c r="F1281" t="s">
        <v>2726</v>
      </c>
      <c r="G1281" t="s">
        <v>14</v>
      </c>
      <c r="H1281">
             </c>
      <c r="I1281" t="s">
        <v>14</v>
      </c>
      <c r="J1281" t="s">
        <v>141</v>
      </c>
      <c r="K1281" t="s">
        <v>14</v>
      </c>
      <c r="L1281" t="s">
        <v>20</v>
      </c>
      <c r="M1281" t="s">
        <v>2635</v>
      </c>
      <c r="N1281" t="s">
        <v>14</v>
      </c>
    </row>
    <row r="1282" x14ac:dyDescent="0.25">
      <c r="A1282" t="n">
        <v>25</v>
      </c>
      <c r="B1282" t="s">
        <v>14</v>
      </c>
      <c r="C1282" t="s">
        <v>22</v>
      </c>
      <c r="D1282" s="2" t="s">
        <f>=HYPERLINK("https://main.knesset.gov.il/APPS/legislation/main/bills/2233976", "הצעת חוק זכויות החולה (תיקון - טיפול רפואי לקטין מגיל 15 ללא נוכחות הורה), התשפ""ה-2025")</f>
        <v>2727</v>
      </c>
      <c r="E1282" t="s">
        <v>2727</v>
      </c>
      <c r="F1282" t="s">
        <v>2728</v>
      </c>
      <c r="G1282" t="s">
        <v>14</v>
      </c>
      <c r="H1282">
             </c>
      <c r="I1282" t="s">
        <v>14</v>
      </c>
      <c r="J1282" t="s">
        <v>141</v>
      </c>
      <c r="K1282" t="s">
        <v>14</v>
      </c>
      <c r="L1282" t="s">
        <v>20</v>
      </c>
      <c r="M1282" t="s">
        <v>2635</v>
      </c>
      <c r="N1282" t="s">
        <v>14</v>
      </c>
    </row>
    <row r="1283" x14ac:dyDescent="0.25">
      <c r="A1283" t="n">
        <v>25</v>
      </c>
      <c r="B1283" t="s">
        <v>14</v>
      </c>
      <c r="C1283" t="s">
        <v>22</v>
      </c>
      <c r="D1283" s="2" t="s">
        <f>=HYPERLINK("https://main.knesset.gov.il/APPS/legislation/main/bills/2234006", "הצעת חוק הביטוח הלאומי (תיקון - גמלת אבל), התשפ""ה-2025")</f>
        <v>2729</v>
      </c>
      <c r="E1283" t="s">
        <v>2729</v>
      </c>
      <c r="F1283" t="s">
        <v>2730</v>
      </c>
      <c r="G1283" t="s">
        <v>14</v>
      </c>
      <c r="H1283">
             </c>
      <c r="I1283" t="s">
        <v>14</v>
      </c>
      <c r="J1283" t="s">
        <v>141</v>
      </c>
      <c r="K1283" t="s">
        <v>14</v>
      </c>
      <c r="L1283" t="s">
        <v>20</v>
      </c>
      <c r="M1283" t="s">
        <v>2635</v>
      </c>
      <c r="N1283" t="s">
        <v>14</v>
      </c>
    </row>
    <row r="1284" x14ac:dyDescent="0.25">
      <c r="A1284" t="n">
        <v>25</v>
      </c>
      <c r="B1284" t="s">
        <v>14</v>
      </c>
      <c r="C1284" t="s">
        <v>22</v>
      </c>
      <c r="D1284" s="2" t="s">
        <f>=HYPERLINK("https://main.knesset.gov.il/APPS/legislation/main/bills/2233973", "הצעת חוק מסירת מידע לחברי הכנסת ולוועדות הכנסת (תיקוני חקיקה), התשפ""ה-2025")</f>
        <v>2731</v>
      </c>
      <c r="E1284" t="s">
        <v>2731</v>
      </c>
      <c r="F1284" t="s">
        <v>2732</v>
      </c>
      <c r="G1284" t="s">
        <v>14</v>
      </c>
      <c r="H1284">
             </c>
      <c r="I1284" t="s">
        <v>14</v>
      </c>
      <c r="J1284" t="s">
        <v>141</v>
      </c>
      <c r="K1284" t="s">
        <v>14</v>
      </c>
      <c r="L1284" t="s">
        <v>20</v>
      </c>
      <c r="M1284" t="s">
        <v>2635</v>
      </c>
      <c r="N1284" t="s">
        <v>14</v>
      </c>
    </row>
    <row r="1285" x14ac:dyDescent="0.25">
      <c r="A1285" t="n">
        <v>25</v>
      </c>
      <c r="B1285" t="s">
        <v>14</v>
      </c>
      <c r="C1285" t="s">
        <v>22</v>
      </c>
      <c r="D1285" s="2" t="s">
        <f>=HYPERLINK("https://main.knesset.gov.il/APPS/legislation/main/bills/2233885", "הצעת חוק התגמולים לנפגעי פעולות איבה (תיקון - משפחה מלווה ליתומים בגירים), התשפ""ה-2025")</f>
        <v>2733</v>
      </c>
      <c r="E1285" t="s">
        <v>2733</v>
      </c>
      <c r="F1285" t="s">
        <v>2734</v>
      </c>
      <c r="G1285" t="s">
        <v>14</v>
      </c>
      <c r="H1285">
             </c>
      <c r="I1285" t="s">
        <v>14</v>
      </c>
      <c r="J1285" t="s">
        <v>141</v>
      </c>
      <c r="K1285" t="s">
        <v>14</v>
      </c>
      <c r="L1285" t="s">
        <v>20</v>
      </c>
      <c r="M1285" t="s">
        <v>2635</v>
      </c>
      <c r="N1285" t="s">
        <v>14</v>
      </c>
    </row>
    <row r="1286" x14ac:dyDescent="0.25">
      <c r="A1286" t="n">
        <v>25</v>
      </c>
      <c r="B1286" t="s">
        <v>14</v>
      </c>
      <c r="C1286" t="s">
        <v>22</v>
      </c>
      <c r="D1286" s="2" t="s">
        <f>=HYPERLINK("https://main.knesset.gov.il/APPS/legislation/main/bills/2233964", "הצעת חוק טיפול בכתות פוגעניות, התשפ""ה-2025")</f>
        <v>2735</v>
      </c>
      <c r="E1286" t="s">
        <v>2735</v>
      </c>
      <c r="F1286" t="s">
        <v>2736</v>
      </c>
      <c r="G1286" t="s">
        <v>14</v>
      </c>
      <c r="H1286">
             </c>
      <c r="I1286" t="s">
        <v>14</v>
      </c>
      <c r="J1286" t="s">
        <v>141</v>
      </c>
      <c r="K1286" t="s">
        <v>14</v>
      </c>
      <c r="L1286" t="s">
        <v>20</v>
      </c>
      <c r="M1286" t="s">
        <v>2635</v>
      </c>
      <c r="N1286" t="s">
        <v>14</v>
      </c>
    </row>
    <row r="1287" x14ac:dyDescent="0.25">
      <c r="A1287" t="n">
        <v>25</v>
      </c>
      <c r="B1287" t="s">
        <v>14</v>
      </c>
      <c r="C1287" t="s">
        <v>22</v>
      </c>
      <c r="D1287" s="2" t="s">
        <f>=HYPERLINK("https://main.knesset.gov.il/APPS/legislation/main/bills/2233788", "הצעת חוק טיפול בכתות פוגעניות, התשפ""ה-2025")</f>
        <v>2735</v>
      </c>
      <c r="E1287" t="s">
        <v>2735</v>
      </c>
      <c r="F1287" t="s">
        <v>2737</v>
      </c>
      <c r="G1287" t="s">
        <v>14</v>
      </c>
      <c r="H1287">
             </c>
      <c r="I1287" t="s">
        <v>14</v>
      </c>
      <c r="J1287" t="s">
        <v>141</v>
      </c>
      <c r="K1287" t="s">
        <v>14</v>
      </c>
      <c r="L1287" t="s">
        <v>20</v>
      </c>
      <c r="M1287" t="s">
        <v>2635</v>
      </c>
      <c r="N1287" t="s">
        <v>14</v>
      </c>
    </row>
    <row r="1288" x14ac:dyDescent="0.25">
      <c r="A1288" t="n">
        <v>25</v>
      </c>
      <c r="B1288" t="s">
        <v>14</v>
      </c>
      <c r="C1288" t="s">
        <v>22</v>
      </c>
      <c r="D1288" s="2" t="s">
        <f>=HYPERLINK("https://main.knesset.gov.il/APPS/legislation/main/bills/2233792", "הצעת חוק לתיקון פקודת הרוקחים (רכישת תרופות על ידי קטין מגיל 15), התשפ""ה-2025")</f>
        <v>2738</v>
      </c>
      <c r="E1288" t="s">
        <v>2738</v>
      </c>
      <c r="F1288" t="s">
        <v>2739</v>
      </c>
      <c r="G1288" t="s">
        <v>14</v>
      </c>
      <c r="H1288">
             </c>
      <c r="I1288" t="s">
        <v>14</v>
      </c>
      <c r="J1288" t="s">
        <v>141</v>
      </c>
      <c r="K1288" t="s">
        <v>14</v>
      </c>
      <c r="L1288" t="s">
        <v>20</v>
      </c>
      <c r="M1288" t="s">
        <v>2635</v>
      </c>
      <c r="N1288" t="s">
        <v>14</v>
      </c>
    </row>
    <row r="1289" x14ac:dyDescent="0.25">
      <c r="A1289" t="n">
        <v>25</v>
      </c>
      <c r="B1289" t="s">
        <v>14</v>
      </c>
      <c r="C1289" t="s">
        <v>22</v>
      </c>
      <c r="D1289" s="2" t="s">
        <f>=HYPERLINK("https://main.knesset.gov.il/APPS/legislation/main/bills/2221002", "הצעת חוק לתיקון פקודת בתי הסוהר (מס' 69), התשפ""ה–2025")</f>
        <v>2740</v>
      </c>
      <c r="E1289" t="s">
        <v>2740</v>
      </c>
      <c r="F1289" t="s">
        <v>2741</v>
      </c>
      <c r="G1289" t="s">
        <v>2742</v>
      </c>
      <c r="H1289">
             </c>
      <c r="I1289" t="s">
        <v>14</v>
      </c>
      <c r="J1289" t="s">
        <v>73</v>
      </c>
      <c r="K1289" t="s">
        <v>105</v>
      </c>
      <c r="L1289" t="s">
        <v>20</v>
      </c>
      <c r="M1289" t="s">
        <v>2635</v>
      </c>
      <c r="N1289" t="s">
        <v>14</v>
      </c>
    </row>
    <row r="1290" x14ac:dyDescent="0.25">
      <c r="A1290" t="n">
        <v>25</v>
      </c>
      <c r="B1290" t="s">
        <v>14</v>
      </c>
      <c r="C1290" t="s">
        <v>15</v>
      </c>
      <c r="D1290" s="2" t="s">
        <f>=HYPERLINK("https://main.knesset.gov.il/APPS/legislation/main/bills/2234269", "הצעת חוק העונשין (תיקון מס' 158) (אסון טבע, מלחמה ומצב חירום), התשפ""ה-2025")</f>
        <v>2743</v>
      </c>
      <c r="E1290" t="s">
        <v>2743</v>
      </c>
      <c r="F1290" t="s">
        <v>14</v>
      </c>
      <c r="G1290" t="s">
        <v>2744</v>
      </c>
      <c r="H1290">
             </c>
      <c r="I1290" t="s">
        <v>14</v>
      </c>
      <c r="J1290" t="s">
        <v>1141</v>
      </c>
      <c r="K1290" t="s">
        <v>14</v>
      </c>
      <c r="L1290" t="s">
        <v>20</v>
      </c>
      <c r="M1290" t="s">
        <v>2635</v>
      </c>
      <c r="N1290" t="s">
        <v>14</v>
      </c>
    </row>
    <row r="1291" x14ac:dyDescent="0.25">
      <c r="A1291" t="n">
        <v>25</v>
      </c>
      <c r="B1291" t="s">
        <v>14</v>
      </c>
      <c r="C1291" t="s">
        <v>15</v>
      </c>
      <c r="D1291" s="2" t="s">
        <f>=HYPERLINK("https://main.knesset.gov.il/APPS/legislation/main/bills/2234283", "הצעת חוק מועצת הצמחים (ייצור ושיווק) (תיקון מס' 11), התשפ""ה-2025")</f>
        <v>2745</v>
      </c>
      <c r="E1291" t="s">
        <v>2745</v>
      </c>
      <c r="F1291" t="s">
        <v>14</v>
      </c>
      <c r="G1291" t="s">
        <v>2746</v>
      </c>
      <c r="H1291">
             </c>
      <c r="I1291" t="s">
        <v>14</v>
      </c>
      <c r="J1291" t="s">
        <v>1141</v>
      </c>
      <c r="K1291" t="s">
        <v>14</v>
      </c>
      <c r="L1291" t="s">
        <v>20</v>
      </c>
      <c r="M1291" t="s">
        <v>2635</v>
      </c>
      <c r="N1291" t="s">
        <v>14</v>
      </c>
    </row>
    <row r="1292" x14ac:dyDescent="0.25">
      <c r="A1292" t="n">
        <v>25</v>
      </c>
      <c r="B1292" t="s">
        <v>14</v>
      </c>
      <c r="C1292" t="s">
        <v>22</v>
      </c>
      <c r="D1292" s="2" t="s">
        <f>=HYPERLINK("https://main.knesset.gov.il/APPS/legislation/main/bills/2199054", "הצעת חוק הגנת הצרכן (תיקון - חובת הקלטת שיחות, שמירתן ומסירתן לצרכן), התשפ""ג-2023")</f>
        <v>2747</v>
      </c>
      <c r="E1292" t="s">
        <v>2747</v>
      </c>
      <c r="F1292" t="s">
        <v>2748</v>
      </c>
      <c r="G1292" t="s">
        <v>14</v>
      </c>
      <c r="H1292">
             </c>
      <c r="I1292" t="s">
        <v>14</v>
      </c>
      <c r="J1292" t="s">
        <v>99</v>
      </c>
      <c r="K1292" t="s">
        <v>19</v>
      </c>
      <c r="L1292" t="s">
        <v>20</v>
      </c>
      <c r="M1292" t="s">
        <v>2749</v>
      </c>
      <c r="N1292" t="s">
        <v>14</v>
      </c>
    </row>
    <row r="1293" x14ac:dyDescent="0.25">
      <c r="A1293" t="n">
        <v>25</v>
      </c>
      <c r="B1293" t="s">
        <v>14</v>
      </c>
      <c r="C1293" t="s">
        <v>22</v>
      </c>
      <c r="D1293" s="2" t="s">
        <f>=HYPERLINK("https://main.knesset.gov.il/APPS/legislation/main/bills/2203246", "הצעת חוק הגנת הצרכן (תיקון - חובת הקלטה של עסקה טלפונית), התשפ""ג-2023")</f>
        <v>2750</v>
      </c>
      <c r="E1293" t="s">
        <v>2750</v>
      </c>
      <c r="F1293" t="s">
        <v>2751</v>
      </c>
      <c r="G1293" t="s">
        <v>14</v>
      </c>
      <c r="H1293">
             </c>
      <c r="I1293" t="s">
        <v>14</v>
      </c>
      <c r="J1293" t="s">
        <v>99</v>
      </c>
      <c r="K1293" t="s">
        <v>19</v>
      </c>
      <c r="L1293" t="s">
        <v>20</v>
      </c>
      <c r="M1293" t="s">
        <v>2749</v>
      </c>
      <c r="N1293" t="s">
        <v>14</v>
      </c>
    </row>
    <row r="1294" x14ac:dyDescent="0.25">
      <c r="A1294" t="n">
        <v>25</v>
      </c>
      <c r="B1294" t="s">
        <v>14</v>
      </c>
      <c r="C1294" t="s">
        <v>22</v>
      </c>
      <c r="D1294" s="2" t="s">
        <f>=HYPERLINK("https://main.knesset.gov.il/APPS/legislation/main/bills/2197087", "הצעת חוק איסור לכידת בעלי חיים באמצעות מלכודות אסורות, התשפ""ה-2025")</f>
        <v>2752</v>
      </c>
      <c r="E1294" t="s">
        <v>2752</v>
      </c>
      <c r="F1294" t="s">
        <v>2753</v>
      </c>
      <c r="G1294" t="s">
        <v>2754</v>
      </c>
      <c r="H1294">
             </c>
      <c r="I1294" t="s">
        <v>26</v>
      </c>
      <c r="J1294" t="s">
        <v>18</v>
      </c>
      <c r="K1294" t="s">
        <v>34</v>
      </c>
      <c r="L1294" t="s">
        <v>20</v>
      </c>
      <c r="M1294" t="s">
        <v>2749</v>
      </c>
      <c r="N1294" t="s">
        <v>14</v>
      </c>
    </row>
    <row r="1295" x14ac:dyDescent="0.25">
      <c r="A1295" t="n">
        <v>25</v>
      </c>
      <c r="B1295" t="s">
        <v>14</v>
      </c>
      <c r="C1295" t="s">
        <v>22</v>
      </c>
      <c r="D1295" s="2" t="s">
        <f>=HYPERLINK("https://main.knesset.gov.il/APPS/legislation/main/bills/2228138", "חוק איסור שהייה וישיבה בישראל שלא כדין (תיקוני חקיקה), התשפ""ה-2025")</f>
        <v>2755</v>
      </c>
      <c r="E1295" t="s">
        <v>2755</v>
      </c>
      <c r="F1295" t="s">
        <v>2756</v>
      </c>
      <c r="G1295" t="s">
        <v>2757</v>
      </c>
      <c r="H1295" t="n">
        <v>3441</v>
      </c>
      <c r="I1295" t="s">
        <v>14</v>
      </c>
      <c r="J1295" t="s">
        <v>91</v>
      </c>
      <c r="K1295" t="s">
        <v>114</v>
      </c>
      <c r="L1295" t="s">
        <v>20</v>
      </c>
      <c r="M1295" t="s">
        <v>2749</v>
      </c>
      <c r="N1295" t="s">
        <v>2758</v>
      </c>
    </row>
    <row r="1296" x14ac:dyDescent="0.25">
      <c r="A1296" t="n">
        <v>25</v>
      </c>
      <c r="B1296" t="s">
        <v>14</v>
      </c>
      <c r="C1296" t="s">
        <v>22</v>
      </c>
      <c r="D1296" s="2" t="s">
        <f>=HYPERLINK("https://main.knesset.gov.il/APPS/legislation/main/bills/2231157", "הצעת חוק התגמולים לנפגעי פעולות איבה (תיקון - קבורה בחלקה לבחירת המשפחה), התשפ""ה-2025")</f>
        <v>2759</v>
      </c>
      <c r="E1296" t="s">
        <v>2759</v>
      </c>
      <c r="F1296" t="s">
        <v>2760</v>
      </c>
      <c r="G1296" t="s">
        <v>14</v>
      </c>
      <c r="H1296">
             </c>
      <c r="I1296" t="s">
        <v>14</v>
      </c>
      <c r="J1296" t="s">
        <v>55</v>
      </c>
      <c r="K1296" t="s">
        <v>14</v>
      </c>
      <c r="L1296" t="s">
        <v>20</v>
      </c>
      <c r="M1296" t="s">
        <v>2749</v>
      </c>
      <c r="N1296" t="s">
        <v>14</v>
      </c>
    </row>
    <row r="1297" x14ac:dyDescent="0.25">
      <c r="A1297" t="n">
        <v>25</v>
      </c>
      <c r="B1297" t="s">
        <v>14</v>
      </c>
      <c r="C1297" t="s">
        <v>22</v>
      </c>
      <c r="D1297" s="2" t="s">
        <f>=HYPERLINK("https://main.knesset.gov.il/APPS/legislation/main/bills/2231152", "הצעת חוק-יסוד: הממשלה (תיקון - הגבלת תקופת כהונה של ראש הממשלה) ")</f>
        <v>1347</v>
      </c>
      <c r="E1297" t="s">
        <v>1347</v>
      </c>
      <c r="F1297" t="s">
        <v>2761</v>
      </c>
      <c r="G1297" t="s">
        <v>14</v>
      </c>
      <c r="H1297">
             </c>
      <c r="I1297" t="s">
        <v>14</v>
      </c>
      <c r="J1297" t="s">
        <v>55</v>
      </c>
      <c r="K1297" t="s">
        <v>14</v>
      </c>
      <c r="L1297" t="s">
        <v>20</v>
      </c>
      <c r="M1297" t="s">
        <v>2749</v>
      </c>
      <c r="N1297" t="s">
        <v>14</v>
      </c>
    </row>
    <row r="1298" x14ac:dyDescent="0.25">
      <c r="A1298" t="n">
        <v>25</v>
      </c>
      <c r="B1298" t="s">
        <v>14</v>
      </c>
      <c r="C1298" t="s">
        <v>22</v>
      </c>
      <c r="D1298" s="2" t="s">
        <f>=HYPERLINK("https://main.knesset.gov.il/APPS/legislation/main/bills/2227676", "הצעת חוק משק החשמל (תיקון - הוזלת תעריפי החשמל בימי שבת), התשפ""ה-2025")</f>
        <v>2762</v>
      </c>
      <c r="E1298" t="s">
        <v>2762</v>
      </c>
      <c r="F1298" t="s">
        <v>2763</v>
      </c>
      <c r="G1298" t="s">
        <v>14</v>
      </c>
      <c r="H1298">
             </c>
      <c r="I1298" t="s">
        <v>14</v>
      </c>
      <c r="J1298" t="s">
        <v>55</v>
      </c>
      <c r="K1298" t="s">
        <v>14</v>
      </c>
      <c r="L1298" t="s">
        <v>20</v>
      </c>
      <c r="M1298" t="s">
        <v>2749</v>
      </c>
      <c r="N1298" t="s">
        <v>14</v>
      </c>
    </row>
    <row r="1299" x14ac:dyDescent="0.25">
      <c r="A1299" t="n">
        <v>25</v>
      </c>
      <c r="B1299" t="s">
        <v>14</v>
      </c>
      <c r="C1299" t="s">
        <v>22</v>
      </c>
      <c r="D1299" s="2" t="s">
        <f>=HYPERLINK("https://main.knesset.gov.il/APPS/legislation/main/bills/2212215", "הצעת חוק זכויות הסטודנט (תיקון - הוראת שעה - חרבות ברזל) (מימון שכר לימוד למשרתי מילואים), התשפ״ד-2024")</f>
        <v>2764</v>
      </c>
      <c r="E1299" t="s">
        <v>2764</v>
      </c>
      <c r="F1299" t="s">
        <v>2765</v>
      </c>
      <c r="G1299" t="s">
        <v>14</v>
      </c>
      <c r="H1299">
             </c>
      <c r="I1299" t="s">
        <v>14</v>
      </c>
      <c r="J1299" t="s">
        <v>55</v>
      </c>
      <c r="K1299" t="s">
        <v>14</v>
      </c>
      <c r="L1299" t="s">
        <v>20</v>
      </c>
      <c r="M1299" t="s">
        <v>2749</v>
      </c>
      <c r="N1299" t="s">
        <v>14</v>
      </c>
    </row>
    <row r="1300" x14ac:dyDescent="0.25">
      <c r="A1300" t="n">
        <v>25</v>
      </c>
      <c r="B1300" t="s">
        <v>14</v>
      </c>
      <c r="C1300" t="s">
        <v>22</v>
      </c>
      <c r="D1300" s="2" t="s">
        <f>=HYPERLINK("https://main.knesset.gov.il/APPS/legislation/main/bills/2207565", "הצעת חוק הבחירות לכנסת (תיקון - הצבעת אנשי צוות אוויר), התשפ""ג-2023")</f>
        <v>2766</v>
      </c>
      <c r="E1300" t="s">
        <v>2766</v>
      </c>
      <c r="F1300" t="s">
        <v>2767</v>
      </c>
      <c r="G1300" t="s">
        <v>14</v>
      </c>
      <c r="H1300">
             </c>
      <c r="I1300" t="s">
        <v>14</v>
      </c>
      <c r="J1300" t="s">
        <v>55</v>
      </c>
      <c r="K1300" t="s">
        <v>14</v>
      </c>
      <c r="L1300" t="s">
        <v>20</v>
      </c>
      <c r="M1300" t="s">
        <v>2749</v>
      </c>
      <c r="N1300" t="s">
        <v>14</v>
      </c>
    </row>
    <row r="1301" x14ac:dyDescent="0.25">
      <c r="A1301" t="n">
        <v>25</v>
      </c>
      <c r="B1301" t="s">
        <v>14</v>
      </c>
      <c r="C1301" t="s">
        <v>22</v>
      </c>
      <c r="D1301" s="2" t="s">
        <f>=HYPERLINK("https://main.knesset.gov.il/APPS/legislation/main/bills/2203631", "הצעת חוק השבות (תיקון - זכויות בני משפחה), התשפ""ג-2023")</f>
        <v>2768</v>
      </c>
      <c r="E1301" t="s">
        <v>2768</v>
      </c>
      <c r="F1301" t="s">
        <v>2769</v>
      </c>
      <c r="G1301" t="s">
        <v>14</v>
      </c>
      <c r="H1301">
             </c>
      <c r="I1301" t="s">
        <v>14</v>
      </c>
      <c r="J1301" t="s">
        <v>55</v>
      </c>
      <c r="K1301" t="s">
        <v>14</v>
      </c>
      <c r="L1301" t="s">
        <v>20</v>
      </c>
      <c r="M1301" t="s">
        <v>2749</v>
      </c>
      <c r="N1301" t="s">
        <v>14</v>
      </c>
    </row>
    <row r="1302" x14ac:dyDescent="0.25">
      <c r="A1302" t="n">
        <v>25</v>
      </c>
      <c r="B1302" t="s">
        <v>14</v>
      </c>
      <c r="C1302" t="s">
        <v>22</v>
      </c>
      <c r="D1302" s="2" t="s">
        <f>=HYPERLINK("https://main.knesset.gov.il/APPS/legislation/main/bills/2196179", "הצעת חוק זכויות התלמיד (תיקון - מניעת פגיעה בתלמיד עקב פעילות המתקיימת במוסד חינוך בניגוד לטובת הילד ורצון ההורים), התשפ""ג-2023")</f>
        <v>2770</v>
      </c>
      <c r="E1302" t="s">
        <v>2770</v>
      </c>
      <c r="F1302" t="s">
        <v>2771</v>
      </c>
      <c r="G1302" t="s">
        <v>14</v>
      </c>
      <c r="H1302">
             </c>
      <c r="I1302" t="s">
        <v>14</v>
      </c>
      <c r="J1302" t="s">
        <v>343</v>
      </c>
      <c r="K1302" t="s">
        <v>14</v>
      </c>
      <c r="L1302" t="s">
        <v>20</v>
      </c>
      <c r="M1302" t="s">
        <v>2749</v>
      </c>
      <c r="N1302" t="s">
        <v>14</v>
      </c>
    </row>
    <row r="1303" x14ac:dyDescent="0.25">
      <c r="A1303" t="n">
        <v>25</v>
      </c>
      <c r="B1303" t="s">
        <v>14</v>
      </c>
      <c r="C1303" t="s">
        <v>22</v>
      </c>
      <c r="D1303" s="2" t="s">
        <f>=HYPERLINK("https://main.knesset.gov.il/APPS/legislation/main/bills/2198743", "הצעת חוק זכויות הסטודנט (תיקון מס' 10), התשפ""ה–2025")</f>
        <v>2772</v>
      </c>
      <c r="E1303" t="s">
        <v>2772</v>
      </c>
      <c r="F1303" t="s">
        <v>2773</v>
      </c>
      <c r="G1303" t="s">
        <v>2774</v>
      </c>
      <c r="H1303">
             </c>
      <c r="I1303" t="s">
        <v>14</v>
      </c>
      <c r="J1303" t="s">
        <v>289</v>
      </c>
      <c r="K1303" t="s">
        <v>34</v>
      </c>
      <c r="L1303" t="s">
        <v>20</v>
      </c>
      <c r="M1303" t="s">
        <v>2749</v>
      </c>
      <c r="N1303" t="s">
        <v>14</v>
      </c>
    </row>
    <row r="1304" x14ac:dyDescent="0.25">
      <c r="A1304" t="n">
        <v>25</v>
      </c>
      <c r="B1304" t="s">
        <v>14</v>
      </c>
      <c r="C1304" t="s">
        <v>15</v>
      </c>
      <c r="D1304" s="2" t="s">
        <f>=HYPERLINK("https://main.knesset.gov.il/APPS/legislation/main/bills/2234101", "הצעת חוק הסדרת הליכים לפני רשם קשרי משפחה, התשפ""ה-2025")</f>
        <v>2775</v>
      </c>
      <c r="E1304" t="s">
        <v>2775</v>
      </c>
      <c r="F1304" t="s">
        <v>14</v>
      </c>
      <c r="G1304" t="s">
        <v>2776</v>
      </c>
      <c r="H1304">
             </c>
      <c r="I1304" t="s">
        <v>14</v>
      </c>
      <c r="J1304" t="s">
        <v>69</v>
      </c>
      <c r="K1304" t="s">
        <v>14</v>
      </c>
      <c r="L1304" t="s">
        <v>20</v>
      </c>
      <c r="M1304" t="s">
        <v>2749</v>
      </c>
      <c r="N1304" t="s">
        <v>14</v>
      </c>
    </row>
    <row r="1305" x14ac:dyDescent="0.25">
      <c r="A1305" t="n">
        <v>25</v>
      </c>
      <c r="B1305" t="s">
        <v>14</v>
      </c>
      <c r="C1305" t="s">
        <v>15</v>
      </c>
      <c r="D1305" s="2" t="s">
        <f>=HYPERLINK("https://main.knesset.gov.il/APPS/legislation/main/bills/2234109", "הצעת חוק הסדרת העיסוק בשירותי מסחר בניירות ערך, התשפ""ה-2025 ")</f>
        <v>2777</v>
      </c>
      <c r="E1305" t="s">
        <v>2777</v>
      </c>
      <c r="F1305" t="s">
        <v>14</v>
      </c>
      <c r="G1305" t="s">
        <v>2778</v>
      </c>
      <c r="H1305">
             </c>
      <c r="I1305" t="s">
        <v>14</v>
      </c>
      <c r="J1305" t="s">
        <v>69</v>
      </c>
      <c r="K1305" t="s">
        <v>14</v>
      </c>
      <c r="L1305" t="s">
        <v>20</v>
      </c>
      <c r="M1305" t="s">
        <v>2749</v>
      </c>
      <c r="N1305" t="s">
        <v>14</v>
      </c>
    </row>
    <row r="1306" x14ac:dyDescent="0.25">
      <c r="A1306" t="n">
        <v>25</v>
      </c>
      <c r="B1306" t="s">
        <v>14</v>
      </c>
      <c r="C1306" t="s">
        <v>22</v>
      </c>
      <c r="D1306" s="2" t="s">
        <f>=HYPERLINK("https://main.knesset.gov.il/APPS/legislation/main/bills/2205266", "הצעת חוק המרכז לגביית קנסות, אגרות והוצאות (תיקון מס' 30) (פיצויים שהטיל בית משפט צבאי), התשפ""ד–2024")</f>
        <v>2779</v>
      </c>
      <c r="E1306" t="s">
        <v>2779</v>
      </c>
      <c r="F1306" t="s">
        <v>2780</v>
      </c>
      <c r="G1306" t="s">
        <v>2781</v>
      </c>
      <c r="H1306">
             </c>
      <c r="I1306" t="s">
        <v>26</v>
      </c>
      <c r="J1306" t="s">
        <v>18</v>
      </c>
      <c r="K1306" t="s">
        <v>27</v>
      </c>
      <c r="L1306" t="s">
        <v>20</v>
      </c>
      <c r="M1306" t="s">
        <v>2782</v>
      </c>
      <c r="N1306" t="s">
        <v>14</v>
      </c>
    </row>
    <row r="1307" x14ac:dyDescent="0.25">
      <c r="A1307" t="n">
        <v>25</v>
      </c>
      <c r="B1307" t="s">
        <v>14</v>
      </c>
      <c r="C1307" t="s">
        <v>15</v>
      </c>
      <c r="D1307" s="2" t="s">
        <f>=HYPERLINK("https://main.knesset.gov.il/APPS/legislation/main/bills/2229395", "הצעת חוק למניעת מפגעי אסבסט ואבק מזיק (תיקון מס' 5), התשפ""ה-2025")</f>
        <v>2783</v>
      </c>
      <c r="E1307" t="s">
        <v>2783</v>
      </c>
      <c r="F1307" t="s">
        <v>14</v>
      </c>
      <c r="G1307" t="s">
        <v>2784</v>
      </c>
      <c r="H1307">
             </c>
      <c r="I1307" t="s">
        <v>14</v>
      </c>
      <c r="J1307" t="s">
        <v>73</v>
      </c>
      <c r="K1307" t="s">
        <v>46</v>
      </c>
      <c r="L1307" t="s">
        <v>20</v>
      </c>
      <c r="M1307" t="s">
        <v>2782</v>
      </c>
      <c r="N1307" t="s">
        <v>14</v>
      </c>
    </row>
    <row r="1308" x14ac:dyDescent="0.25">
      <c r="A1308" t="n">
        <v>25</v>
      </c>
      <c r="B1308" t="s">
        <v>14</v>
      </c>
      <c r="C1308" t="s">
        <v>22</v>
      </c>
      <c r="D1308" s="2" t="s">
        <f>=HYPERLINK("https://main.knesset.gov.il/APPS/legislation/main/bills/2224774", "הצעת חוק איסור פרסומת והגבלת השיווק של מוצרי טבק ועישון (תיקון - איסור על ייצור ושיווק של חומר מילוי בטעם או בריח מובחן), התשפ""ה-2024")</f>
        <v>2785</v>
      </c>
      <c r="E1308" t="s">
        <v>2785</v>
      </c>
      <c r="F1308" t="s">
        <v>2786</v>
      </c>
      <c r="G1308" t="s">
        <v>14</v>
      </c>
      <c r="H1308">
             </c>
      <c r="I1308" t="s">
        <v>14</v>
      </c>
      <c r="J1308" t="s">
        <v>31</v>
      </c>
      <c r="K1308" t="s">
        <v>19</v>
      </c>
      <c r="L1308" t="s">
        <v>20</v>
      </c>
      <c r="M1308" t="s">
        <v>2787</v>
      </c>
      <c r="N1308" t="s">
        <v>14</v>
      </c>
    </row>
    <row r="1309" x14ac:dyDescent="0.25">
      <c r="A1309" t="n">
        <v>25</v>
      </c>
      <c r="B1309" t="s">
        <v>14</v>
      </c>
      <c r="C1309" t="s">
        <v>22</v>
      </c>
      <c r="D1309" s="2" t="s">
        <f>=HYPERLINK("https://main.knesset.gov.il/APPS/legislation/main/bills/2232648", "הצעת חוק תמיכה במערך הטיפול בחללים (הוראת שעה), התשפ״ה-2025")</f>
        <v>2788</v>
      </c>
      <c r="E1309" t="s">
        <v>2788</v>
      </c>
      <c r="F1309" t="s">
        <v>2789</v>
      </c>
      <c r="G1309" t="s">
        <v>14</v>
      </c>
      <c r="H1309">
             </c>
      <c r="I1309" t="s">
        <v>14</v>
      </c>
      <c r="J1309" t="s">
        <v>141</v>
      </c>
      <c r="K1309" t="s">
        <v>14</v>
      </c>
      <c r="L1309" t="s">
        <v>20</v>
      </c>
      <c r="M1309" t="s">
        <v>2787</v>
      </c>
      <c r="N1309" t="s">
        <v>14</v>
      </c>
    </row>
    <row r="1310" x14ac:dyDescent="0.25">
      <c r="A1310" t="n">
        <v>25</v>
      </c>
      <c r="B1310" t="s">
        <v>14</v>
      </c>
      <c r="C1310" t="s">
        <v>22</v>
      </c>
      <c r="D1310" s="2" t="s">
        <f>=HYPERLINK("https://main.knesset.gov.il/APPS/legislation/main/bills/2232246", "הצעת חוק התכנון והבנייה (תיקון - פטור מהיתר בנייה להקמת מערכת פוטו-וולטאית ומתקן לאגירת אנרגיה על גג בית ומבנה ציבור בנגב), התשפ""ה-2025")</f>
        <v>2790</v>
      </c>
      <c r="E1310" t="s">
        <v>2790</v>
      </c>
      <c r="F1310" t="s">
        <v>2791</v>
      </c>
      <c r="G1310" t="s">
        <v>14</v>
      </c>
      <c r="H1310">
             </c>
      <c r="I1310" t="s">
        <v>14</v>
      </c>
      <c r="J1310" t="s">
        <v>141</v>
      </c>
      <c r="K1310" t="s">
        <v>14</v>
      </c>
      <c r="L1310" t="s">
        <v>20</v>
      </c>
      <c r="M1310" t="s">
        <v>2787</v>
      </c>
      <c r="N1310" t="s">
        <v>14</v>
      </c>
    </row>
    <row r="1311" x14ac:dyDescent="0.25">
      <c r="A1311" t="n">
        <v>25</v>
      </c>
      <c r="B1311" t="s">
        <v>14</v>
      </c>
      <c r="C1311" t="s">
        <v>22</v>
      </c>
      <c r="D1311" s="2" t="s">
        <f>=HYPERLINK("https://main.knesset.gov.il/APPS/legislation/main/bills/2232493", "הצעת חוק התכנון והבנייה (תיקון - מכירה ישירה של תוצרת חקלאית), התשפ""ה-2025")</f>
        <v>2376</v>
      </c>
      <c r="E1311" t="s">
        <v>2376</v>
      </c>
      <c r="F1311" t="s">
        <v>2792</v>
      </c>
      <c r="G1311" t="s">
        <v>14</v>
      </c>
      <c r="H1311">
             </c>
      <c r="I1311" t="s">
        <v>14</v>
      </c>
      <c r="J1311" t="s">
        <v>141</v>
      </c>
      <c r="K1311" t="s">
        <v>14</v>
      </c>
      <c r="L1311" t="s">
        <v>20</v>
      </c>
      <c r="M1311" t="s">
        <v>2787</v>
      </c>
      <c r="N1311" t="s">
        <v>14</v>
      </c>
    </row>
    <row r="1312" x14ac:dyDescent="0.25">
      <c r="A1312" t="n">
        <v>25</v>
      </c>
      <c r="B1312" t="s">
        <v>14</v>
      </c>
      <c r="C1312" t="s">
        <v>22</v>
      </c>
      <c r="D1312" s="2" t="s">
        <f>=HYPERLINK("https://main.knesset.gov.il/APPS/legislation/main/bills/2228656", "הצעת חוק הסדרת הבתים המאזנים בישראל, התשפ""ה-2025")</f>
        <v>2557</v>
      </c>
      <c r="E1312" t="s">
        <v>2557</v>
      </c>
      <c r="F1312" t="s">
        <v>2793</v>
      </c>
      <c r="G1312" t="s">
        <v>14</v>
      </c>
      <c r="H1312">
             </c>
      <c r="I1312" t="s">
        <v>14</v>
      </c>
      <c r="J1312" t="s">
        <v>141</v>
      </c>
      <c r="K1312" t="s">
        <v>14</v>
      </c>
      <c r="L1312" t="s">
        <v>20</v>
      </c>
      <c r="M1312" t="s">
        <v>2787</v>
      </c>
      <c r="N1312" t="s">
        <v>14</v>
      </c>
    </row>
    <row r="1313" x14ac:dyDescent="0.25">
      <c r="A1313" t="n">
        <v>25</v>
      </c>
      <c r="B1313" t="s">
        <v>14</v>
      </c>
      <c r="C1313" t="s">
        <v>22</v>
      </c>
      <c r="D1313" s="2" t="s">
        <f>=HYPERLINK("https://main.knesset.gov.il/APPS/legislation/main/bills/2233239", "הצעת חוק העונשין (תיקון - החמרת ענישה ועונש מזערי על גניבה תוך ניצול מצב חירום), התשפ""ה-2025")</f>
        <v>2794</v>
      </c>
      <c r="E1313" t="s">
        <v>2794</v>
      </c>
      <c r="F1313" t="s">
        <v>2795</v>
      </c>
      <c r="G1313" t="s">
        <v>14</v>
      </c>
      <c r="H1313">
             </c>
      <c r="I1313" t="s">
        <v>14</v>
      </c>
      <c r="J1313" t="s">
        <v>141</v>
      </c>
      <c r="K1313" t="s">
        <v>14</v>
      </c>
      <c r="L1313" t="s">
        <v>20</v>
      </c>
      <c r="M1313" t="s">
        <v>2787</v>
      </c>
      <c r="N1313" t="s">
        <v>14</v>
      </c>
    </row>
    <row r="1314" x14ac:dyDescent="0.25">
      <c r="A1314" t="n">
        <v>25</v>
      </c>
      <c r="B1314" t="s">
        <v>14</v>
      </c>
      <c r="C1314" t="s">
        <v>22</v>
      </c>
      <c r="D1314" s="2" t="s">
        <f>=HYPERLINK("https://main.knesset.gov.il/APPS/legislation/main/bills/2232527", "הצעת חוק הבטחת גישה למזון בשעת חירום, התשפ""ה-2025")</f>
        <v>1351</v>
      </c>
      <c r="E1314" t="s">
        <v>1351</v>
      </c>
      <c r="F1314" t="s">
        <v>2796</v>
      </c>
      <c r="G1314" t="s">
        <v>14</v>
      </c>
      <c r="H1314">
             </c>
      <c r="I1314" t="s">
        <v>14</v>
      </c>
      <c r="J1314" t="s">
        <v>141</v>
      </c>
      <c r="K1314" t="s">
        <v>14</v>
      </c>
      <c r="L1314" t="s">
        <v>20</v>
      </c>
      <c r="M1314" t="s">
        <v>2787</v>
      </c>
      <c r="N1314" t="s">
        <v>14</v>
      </c>
    </row>
    <row r="1315" x14ac:dyDescent="0.25">
      <c r="A1315" t="n">
        <v>25</v>
      </c>
      <c r="B1315" t="s">
        <v>14</v>
      </c>
      <c r="C1315" t="s">
        <v>22</v>
      </c>
      <c r="D1315" s="2" t="s">
        <f>=HYPERLINK("https://main.knesset.gov.il/APPS/legislation/main/bills/2232549", "הצעת חוק נציבות תלונות הציבור על מייצגי המדינה בערכאות (תיקון - עצמאות הנציב וייעול הליכי בירור תלונות), התשפ""ה-2025")</f>
        <v>2797</v>
      </c>
      <c r="E1315" t="s">
        <v>2797</v>
      </c>
      <c r="F1315" t="s">
        <v>2798</v>
      </c>
      <c r="G1315" t="s">
        <v>14</v>
      </c>
      <c r="H1315">
             </c>
      <c r="I1315" t="s">
        <v>14</v>
      </c>
      <c r="J1315" t="s">
        <v>141</v>
      </c>
      <c r="K1315" t="s">
        <v>14</v>
      </c>
      <c r="L1315" t="s">
        <v>20</v>
      </c>
      <c r="M1315" t="s">
        <v>2787</v>
      </c>
      <c r="N1315" t="s">
        <v>14</v>
      </c>
    </row>
    <row r="1316" x14ac:dyDescent="0.25">
      <c r="A1316" t="n">
        <v>25</v>
      </c>
      <c r="B1316" t="s">
        <v>14</v>
      </c>
      <c r="C1316" t="s">
        <v>22</v>
      </c>
      <c r="D1316" s="2" t="s">
        <f>=HYPERLINK("https://main.knesset.gov.il/APPS/legislation/main/bills/2232268", "הצעת חוק הבנקאות (רישוי) (תיקון - איסור עיסוק במסחר ושמירה של מטבעות וירטואליים) (הוראת שעה), התשפ""ה-2025")</f>
        <v>2799</v>
      </c>
      <c r="E1316" t="s">
        <v>2799</v>
      </c>
      <c r="F1316" t="s">
        <v>2800</v>
      </c>
      <c r="G1316" t="s">
        <v>14</v>
      </c>
      <c r="H1316">
             </c>
      <c r="I1316" t="s">
        <v>14</v>
      </c>
      <c r="J1316" t="s">
        <v>141</v>
      </c>
      <c r="K1316" t="s">
        <v>14</v>
      </c>
      <c r="L1316" t="s">
        <v>20</v>
      </c>
      <c r="M1316" t="s">
        <v>2787</v>
      </c>
      <c r="N1316" t="s">
        <v>14</v>
      </c>
    </row>
    <row r="1317" x14ac:dyDescent="0.25">
      <c r="A1317" t="n">
        <v>25</v>
      </c>
      <c r="B1317" t="s">
        <v>14</v>
      </c>
      <c r="C1317" t="s">
        <v>22</v>
      </c>
      <c r="D1317" s="2" t="s">
        <f>=HYPERLINK("https://main.knesset.gov.il/APPS/legislation/main/bills/2232690", "הצעת חוק הרשות הארצית לכבאות והצלה (תיקון - הגבלת התאגדות וגיל פרישה), התשפ""ה-2025 ")</f>
        <v>2801</v>
      </c>
      <c r="E1317" t="s">
        <v>2801</v>
      </c>
      <c r="F1317" t="s">
        <v>2802</v>
      </c>
      <c r="G1317" t="s">
        <v>14</v>
      </c>
      <c r="H1317">
             </c>
      <c r="I1317" t="s">
        <v>14</v>
      </c>
      <c r="J1317" t="s">
        <v>141</v>
      </c>
      <c r="K1317" t="s">
        <v>14</v>
      </c>
      <c r="L1317" t="s">
        <v>20</v>
      </c>
      <c r="M1317" t="s">
        <v>2787</v>
      </c>
      <c r="N1317" t="s">
        <v>14</v>
      </c>
    </row>
    <row r="1318" x14ac:dyDescent="0.25">
      <c r="A1318" t="n">
        <v>25</v>
      </c>
      <c r="B1318" t="s">
        <v>14</v>
      </c>
      <c r="C1318" t="s">
        <v>22</v>
      </c>
      <c r="D1318" s="2" t="s">
        <f>=HYPERLINK("https://main.knesset.gov.il/APPS/legislation/main/bills/2232494", "הצעת חוק הרשות הארצית לכבאות והצלה (תיקון - הגבלת התאגדות וגיל פרישה), התשפ""ה-2025 ")</f>
        <v>2801</v>
      </c>
      <c r="E1318" t="s">
        <v>2801</v>
      </c>
      <c r="F1318" t="s">
        <v>2803</v>
      </c>
      <c r="G1318" t="s">
        <v>14</v>
      </c>
      <c r="H1318">
             </c>
      <c r="I1318" t="s">
        <v>14</v>
      </c>
      <c r="J1318" t="s">
        <v>141</v>
      </c>
      <c r="K1318" t="s">
        <v>14</v>
      </c>
      <c r="L1318" t="s">
        <v>20</v>
      </c>
      <c r="M1318" t="s">
        <v>2787</v>
      </c>
      <c r="N1318" t="s">
        <v>14</v>
      </c>
    </row>
    <row r="1319" x14ac:dyDescent="0.25">
      <c r="A1319" t="n">
        <v>25</v>
      </c>
      <c r="B1319" t="s">
        <v>14</v>
      </c>
      <c r="C1319" t="s">
        <v>22</v>
      </c>
      <c r="D1319" s="2" t="s">
        <f>=HYPERLINK("https://main.knesset.gov.il/APPS/legislation/main/bills/2232128", "הצעת חוק האופוזיציה ברשויות המקומיות (תיקוני חקיקה), התשפ""ה-2025")</f>
        <v>2804</v>
      </c>
      <c r="E1319" t="s">
        <v>2804</v>
      </c>
      <c r="F1319" t="s">
        <v>2805</v>
      </c>
      <c r="G1319" t="s">
        <v>14</v>
      </c>
      <c r="H1319">
             </c>
      <c r="I1319" t="s">
        <v>14</v>
      </c>
      <c r="J1319" t="s">
        <v>141</v>
      </c>
      <c r="K1319" t="s">
        <v>14</v>
      </c>
      <c r="L1319" t="s">
        <v>20</v>
      </c>
      <c r="M1319" t="s">
        <v>2787</v>
      </c>
      <c r="N1319" t="s">
        <v>14</v>
      </c>
    </row>
    <row r="1320" x14ac:dyDescent="0.25">
      <c r="A1320" t="n">
        <v>25</v>
      </c>
      <c r="B1320" t="s">
        <v>14</v>
      </c>
      <c r="C1320" t="s">
        <v>22</v>
      </c>
      <c r="D1320" s="2" t="s">
        <f>=HYPERLINK("https://main.knesset.gov.il/APPS/legislation/main/bills/2232480", "הצעת חוק העונשין (תיקון - פיצויים לנפגע עבירת סחיטת דמי חסות), התשפ""ה-2025")</f>
        <v>2806</v>
      </c>
      <c r="E1320" t="s">
        <v>2806</v>
      </c>
      <c r="F1320" t="s">
        <v>2807</v>
      </c>
      <c r="G1320" t="s">
        <v>14</v>
      </c>
      <c r="H1320">
             </c>
      <c r="I1320" t="s">
        <v>14</v>
      </c>
      <c r="J1320" t="s">
        <v>343</v>
      </c>
      <c r="K1320" t="s">
        <v>14</v>
      </c>
      <c r="L1320" t="s">
        <v>20</v>
      </c>
      <c r="M1320" t="s">
        <v>2787</v>
      </c>
      <c r="N1320" t="s">
        <v>14</v>
      </c>
    </row>
    <row r="1321" x14ac:dyDescent="0.25">
      <c r="A1321" t="n">
        <v>25</v>
      </c>
      <c r="B1321" t="s">
        <v>14</v>
      </c>
      <c r="C1321" t="s">
        <v>22</v>
      </c>
      <c r="D1321" s="2" t="s">
        <f>=HYPERLINK("https://main.knesset.gov.il/APPS/legislation/main/bills/2233186", "הצעת חוק העונשין (תיקון - עבירת ביזה), התשפ""ה-2025")</f>
        <v>2534</v>
      </c>
      <c r="E1321" t="s">
        <v>2534</v>
      </c>
      <c r="F1321" t="s">
        <v>2808</v>
      </c>
      <c r="G1321" t="s">
        <v>14</v>
      </c>
      <c r="H1321">
             </c>
      <c r="I1321" t="s">
        <v>14</v>
      </c>
      <c r="J1321" t="s">
        <v>141</v>
      </c>
      <c r="K1321" t="s">
        <v>14</v>
      </c>
      <c r="L1321" t="s">
        <v>20</v>
      </c>
      <c r="M1321" t="s">
        <v>2787</v>
      </c>
      <c r="N1321" t="s">
        <v>14</v>
      </c>
    </row>
    <row r="1322" x14ac:dyDescent="0.25">
      <c r="A1322" t="n">
        <v>25</v>
      </c>
      <c r="B1322" t="s">
        <v>14</v>
      </c>
      <c r="C1322" t="s">
        <v>22</v>
      </c>
      <c r="D1322" s="2" t="s">
        <f>=HYPERLINK("https://main.knesset.gov.il/APPS/legislation/main/bills/2231998", "הצעת חוק שירות המילואים (תיקון - הטבה ברכישת דירה ראשונה למשרת מילואים פעיל), התשפ""ה-2025")</f>
        <v>2809</v>
      </c>
      <c r="E1322" t="s">
        <v>2809</v>
      </c>
      <c r="F1322" t="s">
        <v>2810</v>
      </c>
      <c r="G1322" t="s">
        <v>14</v>
      </c>
      <c r="H1322">
             </c>
      <c r="I1322" t="s">
        <v>14</v>
      </c>
      <c r="J1322" t="s">
        <v>141</v>
      </c>
      <c r="K1322" t="s">
        <v>14</v>
      </c>
      <c r="L1322" t="s">
        <v>20</v>
      </c>
      <c r="M1322" t="s">
        <v>2787</v>
      </c>
      <c r="N1322" t="s">
        <v>14</v>
      </c>
    </row>
    <row r="1323" x14ac:dyDescent="0.25">
      <c r="A1323" t="n">
        <v>25</v>
      </c>
      <c r="B1323" t="s">
        <v>14</v>
      </c>
      <c r="C1323" t="s">
        <v>22</v>
      </c>
      <c r="D1323" s="2" t="s">
        <f>=HYPERLINK("https://main.knesset.gov.il/APPS/legislation/main/bills/2232486", "הצעת חוק סימון מנות בריאות במסעדות, התשפ""ה-2025")</f>
        <v>2503</v>
      </c>
      <c r="E1323" t="s">
        <v>2503</v>
      </c>
      <c r="F1323" t="s">
        <v>2811</v>
      </c>
      <c r="G1323" t="s">
        <v>14</v>
      </c>
      <c r="H1323">
             </c>
      <c r="I1323" t="s">
        <v>14</v>
      </c>
      <c r="J1323" t="s">
        <v>141</v>
      </c>
      <c r="K1323" t="s">
        <v>14</v>
      </c>
      <c r="L1323" t="s">
        <v>20</v>
      </c>
      <c r="M1323" t="s">
        <v>2787</v>
      </c>
      <c r="N1323" t="s">
        <v>14</v>
      </c>
    </row>
    <row r="1324" x14ac:dyDescent="0.25">
      <c r="A1324" t="n">
        <v>25</v>
      </c>
      <c r="B1324" t="s">
        <v>14</v>
      </c>
      <c r="C1324" t="s">
        <v>22</v>
      </c>
      <c r="D1324" s="2" t="s">
        <f>=HYPERLINK("https://main.knesset.gov.il/APPS/legislation/main/bills/2233613", "הצעת חוק חובת המכרזים (תיקון מס' 24 - הוראת שעה) (תיקון - הארכת הוראת השעה), התשפ""ה-2025")</f>
        <v>2812</v>
      </c>
      <c r="E1324" t="s">
        <v>2812</v>
      </c>
      <c r="F1324" t="s">
        <v>2813</v>
      </c>
      <c r="G1324" t="s">
        <v>14</v>
      </c>
      <c r="H1324">
             </c>
      <c r="I1324" t="s">
        <v>14</v>
      </c>
      <c r="J1324" t="s">
        <v>141</v>
      </c>
      <c r="K1324" t="s">
        <v>14</v>
      </c>
      <c r="L1324" t="s">
        <v>20</v>
      </c>
      <c r="M1324" t="s">
        <v>2787</v>
      </c>
      <c r="N1324" t="s">
        <v>14</v>
      </c>
    </row>
    <row r="1325" x14ac:dyDescent="0.25">
      <c r="A1325" t="n">
        <v>25</v>
      </c>
      <c r="B1325" t="s">
        <v>14</v>
      </c>
      <c r="C1325" t="s">
        <v>22</v>
      </c>
      <c r="D1325" s="2" t="s">
        <f>=HYPERLINK("https://main.knesset.gov.il/APPS/legislation/main/bills/2233021", "הצעת חוק הסדרת השימוש בקנאביס למטרות רפואיות, התשפ""ה-2025")</f>
        <v>2588</v>
      </c>
      <c r="E1325" t="s">
        <v>2588</v>
      </c>
      <c r="F1325" t="s">
        <v>2814</v>
      </c>
      <c r="G1325" t="s">
        <v>14</v>
      </c>
      <c r="H1325">
             </c>
      <c r="I1325" t="s">
        <v>14</v>
      </c>
      <c r="J1325" t="s">
        <v>141</v>
      </c>
      <c r="K1325" t="s">
        <v>14</v>
      </c>
      <c r="L1325" t="s">
        <v>20</v>
      </c>
      <c r="M1325" t="s">
        <v>2787</v>
      </c>
      <c r="N1325" t="s">
        <v>14</v>
      </c>
    </row>
    <row r="1326" x14ac:dyDescent="0.25">
      <c r="A1326" t="n">
        <v>25</v>
      </c>
      <c r="B1326" t="s">
        <v>14</v>
      </c>
      <c r="C1326" t="s">
        <v>22</v>
      </c>
      <c r="D1326" s="2" t="s">
        <f>=HYPERLINK("https://main.knesset.gov.il/APPS/legislation/main/bills/2233646", "הצעת חוק הביטוח הלאומי (תיקון - מענק בשל ירידה בהכנסות לעצמאים ששירתו במילואים במלחמת חרבות ברזל), התשפ״ה-2025")</f>
        <v>2815</v>
      </c>
      <c r="E1326" t="s">
        <v>2815</v>
      </c>
      <c r="F1326" t="s">
        <v>2816</v>
      </c>
      <c r="G1326" t="s">
        <v>14</v>
      </c>
      <c r="H1326">
             </c>
      <c r="I1326" t="s">
        <v>14</v>
      </c>
      <c r="J1326" t="s">
        <v>141</v>
      </c>
      <c r="K1326" t="s">
        <v>14</v>
      </c>
      <c r="L1326" t="s">
        <v>20</v>
      </c>
      <c r="M1326" t="s">
        <v>2787</v>
      </c>
      <c r="N1326" t="s">
        <v>14</v>
      </c>
    </row>
    <row r="1327" x14ac:dyDescent="0.25">
      <c r="A1327" t="n">
        <v>25</v>
      </c>
      <c r="B1327" t="s">
        <v>14</v>
      </c>
      <c r="C1327" t="s">
        <v>22</v>
      </c>
      <c r="D1327" s="2" t="s">
        <f>=HYPERLINK("https://main.knesset.gov.il/APPS/legislation/main/bills/2233645", "הצעת חוק אומנה לילדים (תיקון - העלאת גיל אומן), התשפ""ה-2025")</f>
        <v>1186</v>
      </c>
      <c r="E1327" t="s">
        <v>1186</v>
      </c>
      <c r="F1327" t="s">
        <v>2817</v>
      </c>
      <c r="G1327" t="s">
        <v>14</v>
      </c>
      <c r="H1327">
             </c>
      <c r="I1327" t="s">
        <v>14</v>
      </c>
      <c r="J1327" t="s">
        <v>141</v>
      </c>
      <c r="K1327" t="s">
        <v>14</v>
      </c>
      <c r="L1327" t="s">
        <v>20</v>
      </c>
      <c r="M1327" t="s">
        <v>2787</v>
      </c>
      <c r="N1327" t="s">
        <v>14</v>
      </c>
    </row>
    <row r="1328" x14ac:dyDescent="0.25">
      <c r="A1328" t="n">
        <v>25</v>
      </c>
      <c r="B1328" t="s">
        <v>14</v>
      </c>
      <c r="C1328" t="s">
        <v>22</v>
      </c>
      <c r="D1328" s="2" t="s">
        <f>=HYPERLINK("https://main.knesset.gov.il/APPS/legislation/main/bills/2232489", "הצעת חוק עידוד תרומות מזון (תיקון - חובת העברת עודפי מזון לארגון לחלוקת מזון), התשפ""ה-2025")</f>
        <v>2577</v>
      </c>
      <c r="E1328" t="s">
        <v>2577</v>
      </c>
      <c r="F1328" t="s">
        <v>2818</v>
      </c>
      <c r="G1328" t="s">
        <v>14</v>
      </c>
      <c r="H1328">
             </c>
      <c r="I1328" t="s">
        <v>14</v>
      </c>
      <c r="J1328" t="s">
        <v>141</v>
      </c>
      <c r="K1328" t="s">
        <v>14</v>
      </c>
      <c r="L1328" t="s">
        <v>20</v>
      </c>
      <c r="M1328" t="s">
        <v>2787</v>
      </c>
      <c r="N1328" t="s">
        <v>14</v>
      </c>
    </row>
    <row r="1329" x14ac:dyDescent="0.25">
      <c r="A1329" t="n">
        <v>25</v>
      </c>
      <c r="B1329" t="s">
        <v>14</v>
      </c>
      <c r="C1329" t="s">
        <v>22</v>
      </c>
      <c r="D1329" s="2" t="s">
        <f>=HYPERLINK("https://main.knesset.gov.il/APPS/legislation/main/bills/2233496", "הצעת חוק תמיכה במימון פעילות ארגון נכי צה""ל ובתי הלוחם ובארגון נפגעי פעולות האיבה, התשפ""ה-2025")</f>
        <v>2428</v>
      </c>
      <c r="E1329" t="s">
        <v>2428</v>
      </c>
      <c r="F1329" t="s">
        <v>2819</v>
      </c>
      <c r="G1329" t="s">
        <v>14</v>
      </c>
      <c r="H1329">
             </c>
      <c r="I1329" t="s">
        <v>14</v>
      </c>
      <c r="J1329" t="s">
        <v>141</v>
      </c>
      <c r="K1329" t="s">
        <v>14</v>
      </c>
      <c r="L1329" t="s">
        <v>20</v>
      </c>
      <c r="M1329" t="s">
        <v>2787</v>
      </c>
      <c r="N1329" t="s">
        <v>14</v>
      </c>
    </row>
    <row r="1330" x14ac:dyDescent="0.25">
      <c r="A1330" t="n">
        <v>25</v>
      </c>
      <c r="B1330" t="s">
        <v>14</v>
      </c>
      <c r="C1330" t="s">
        <v>22</v>
      </c>
      <c r="D1330" s="2" t="s">
        <f>=HYPERLINK("https://main.knesset.gov.il/APPS/legislation/main/bills/2215001", "הצעת חוק הירושה (תיקון מס' 22), התשפ""ה–2025")</f>
        <v>2820</v>
      </c>
      <c r="E1330" t="s">
        <v>2820</v>
      </c>
      <c r="F1330" t="s">
        <v>2821</v>
      </c>
      <c r="G1330" t="s">
        <v>2822</v>
      </c>
      <c r="H1330">
             </c>
      <c r="I1330" t="s">
        <v>14</v>
      </c>
      <c r="J1330" t="s">
        <v>73</v>
      </c>
      <c r="K1330" t="s">
        <v>27</v>
      </c>
      <c r="L1330" t="s">
        <v>20</v>
      </c>
      <c r="M1330" t="s">
        <v>2787</v>
      </c>
      <c r="N1330" t="s">
        <v>14</v>
      </c>
    </row>
    <row r="1331" x14ac:dyDescent="0.25">
      <c r="A1331" t="n">
        <v>25</v>
      </c>
      <c r="B1331" t="s">
        <v>14</v>
      </c>
      <c r="C1331" t="s">
        <v>22</v>
      </c>
      <c r="D1331" s="2" t="s">
        <f>=HYPERLINK("https://main.knesset.gov.il/APPS/legislation/main/bills/2207390", "הצעת חוק הרשויות המקומיות (תגמול לחברי מועצה), התשפ""ה–2025")</f>
        <v>2823</v>
      </c>
      <c r="E1331" t="s">
        <v>2823</v>
      </c>
      <c r="F1331" t="s">
        <v>2824</v>
      </c>
      <c r="G1331" t="s">
        <v>2825</v>
      </c>
      <c r="H1331">
             </c>
      <c r="I1331" t="s">
        <v>26</v>
      </c>
      <c r="J1331" t="s">
        <v>69</v>
      </c>
      <c r="K1331" t="s">
        <v>46</v>
      </c>
      <c r="L1331" t="s">
        <v>20</v>
      </c>
      <c r="M1331" t="s">
        <v>2787</v>
      </c>
      <c r="N1331" t="s">
        <v>14</v>
      </c>
    </row>
    <row r="1332" x14ac:dyDescent="0.25">
      <c r="A1332" t="n">
        <v>25</v>
      </c>
      <c r="B1332" t="s">
        <v>14</v>
      </c>
      <c r="C1332" t="s">
        <v>22</v>
      </c>
      <c r="D1332" s="2" t="s">
        <f>=HYPERLINK("https://main.knesset.gov.il/APPS/legislation/main/bills/2216748", "הצעת חוק הנוער (שפיטה, ענישה ודרכי טיפול) (תיקון - נוכחות עורך דין בחקירת קטין) (הוראת שעה), התשפ""ד-2024")</f>
        <v>2826</v>
      </c>
      <c r="E1332" t="s">
        <v>2826</v>
      </c>
      <c r="F1332" t="s">
        <v>2827</v>
      </c>
      <c r="G1332" t="s">
        <v>14</v>
      </c>
      <c r="H1332">
             </c>
      <c r="I1332" t="s">
        <v>14</v>
      </c>
      <c r="J1332" t="s">
        <v>99</v>
      </c>
      <c r="K1332" t="s">
        <v>27</v>
      </c>
      <c r="L1332" t="s">
        <v>20</v>
      </c>
      <c r="M1332" t="s">
        <v>2828</v>
      </c>
      <c r="N1332" t="s">
        <v>14</v>
      </c>
    </row>
    <row r="1333" x14ac:dyDescent="0.25">
      <c r="A1333" t="n">
        <v>25</v>
      </c>
      <c r="B1333" t="s">
        <v>14</v>
      </c>
      <c r="C1333" t="s">
        <v>22</v>
      </c>
      <c r="D1333" s="2" t="s">
        <f>=HYPERLINK("https://main.knesset.gov.il/APPS/legislation/main/bills/2232811", "הצעת חוק טיפול בכתות פוגעניות, התשפ""ה-2025")</f>
        <v>2735</v>
      </c>
      <c r="E1333" t="s">
        <v>2735</v>
      </c>
      <c r="F1333" t="s">
        <v>2829</v>
      </c>
      <c r="G1333" t="s">
        <v>14</v>
      </c>
      <c r="H1333">
             </c>
      <c r="I1333" t="s">
        <v>14</v>
      </c>
      <c r="J1333" t="s">
        <v>55</v>
      </c>
      <c r="K1333" t="s">
        <v>14</v>
      </c>
      <c r="L1333" t="s">
        <v>20</v>
      </c>
      <c r="M1333" t="s">
        <v>2830</v>
      </c>
      <c r="N1333" t="s">
        <v>14</v>
      </c>
    </row>
    <row r="1334" x14ac:dyDescent="0.25">
      <c r="A1334" t="n">
        <v>25</v>
      </c>
      <c r="B1334" t="s">
        <v>14</v>
      </c>
      <c r="C1334" t="s">
        <v>22</v>
      </c>
      <c r="D1334" s="2" t="s">
        <f>=HYPERLINK("https://main.knesset.gov.il/APPS/legislation/main/bills/2230549", "הצעת חוק הביטוח הלאומי (תיקון - דמי אבטלה לעצמאים), התשפ""ה-2025")</f>
        <v>2831</v>
      </c>
      <c r="E1334" t="s">
        <v>2831</v>
      </c>
      <c r="F1334" t="s">
        <v>2832</v>
      </c>
      <c r="G1334" t="s">
        <v>14</v>
      </c>
      <c r="H1334">
             </c>
      <c r="I1334" t="s">
        <v>14</v>
      </c>
      <c r="J1334" t="s">
        <v>55</v>
      </c>
      <c r="K1334" t="s">
        <v>14</v>
      </c>
      <c r="L1334" t="s">
        <v>20</v>
      </c>
      <c r="M1334" t="s">
        <v>2830</v>
      </c>
      <c r="N1334" t="s">
        <v>14</v>
      </c>
    </row>
    <row r="1335" x14ac:dyDescent="0.25">
      <c r="A1335" t="n">
        <v>25</v>
      </c>
      <c r="B1335" t="s">
        <v>14</v>
      </c>
      <c r="C1335" t="s">
        <v>22</v>
      </c>
      <c r="D1335" s="2" t="s">
        <f>=HYPERLINK("https://main.knesset.gov.il/APPS/legislation/main/bills/2230604", "הצעת חוק טיפול בכתות פוגעניות, התשפ""ה-2025")</f>
        <v>2735</v>
      </c>
      <c r="E1335" t="s">
        <v>2735</v>
      </c>
      <c r="F1335" t="s">
        <v>2833</v>
      </c>
      <c r="G1335" t="s">
        <v>14</v>
      </c>
      <c r="H1335">
             </c>
      <c r="I1335" t="s">
        <v>14</v>
      </c>
      <c r="J1335" t="s">
        <v>55</v>
      </c>
      <c r="K1335" t="s">
        <v>14</v>
      </c>
      <c r="L1335" t="s">
        <v>20</v>
      </c>
      <c r="M1335" t="s">
        <v>2830</v>
      </c>
      <c r="N1335" t="s">
        <v>14</v>
      </c>
    </row>
    <row r="1336" x14ac:dyDescent="0.25">
      <c r="A1336" t="n">
        <v>25</v>
      </c>
      <c r="B1336" t="s">
        <v>14</v>
      </c>
      <c r="C1336" t="s">
        <v>22</v>
      </c>
      <c r="D1336" s="2" t="s">
        <f>=HYPERLINK("https://main.knesset.gov.il/APPS/legislation/main/bills/2229920", "הצעת חוק להגדרת רצועת עזה כאזור עוין ואיסור יחסי מסחר, התשפ""ה-2025")</f>
        <v>1019</v>
      </c>
      <c r="E1336" t="s">
        <v>1019</v>
      </c>
      <c r="F1336" t="s">
        <v>2834</v>
      </c>
      <c r="G1336" t="s">
        <v>14</v>
      </c>
      <c r="H1336">
             </c>
      <c r="I1336" t="s">
        <v>14</v>
      </c>
      <c r="J1336" t="s">
        <v>55</v>
      </c>
      <c r="K1336" t="s">
        <v>14</v>
      </c>
      <c r="L1336" t="s">
        <v>20</v>
      </c>
      <c r="M1336" t="s">
        <v>2830</v>
      </c>
      <c r="N1336" t="s">
        <v>14</v>
      </c>
    </row>
    <row r="1337" x14ac:dyDescent="0.25">
      <c r="A1337" t="n">
        <v>25</v>
      </c>
      <c r="B1337" t="s">
        <v>14</v>
      </c>
      <c r="C1337" t="s">
        <v>22</v>
      </c>
      <c r="D1337" s="2" t="s">
        <f>=HYPERLINK("https://main.knesset.gov.il/APPS/legislation/main/bills/2225190", "הצעת חוק שירות ביטחון (תיקון - סיוע טיפולי לבוגרי השירות הצבאי), התשפ""ה-2025")</f>
        <v>2835</v>
      </c>
      <c r="E1337" t="s">
        <v>2835</v>
      </c>
      <c r="F1337" t="s">
        <v>2836</v>
      </c>
      <c r="G1337" t="s">
        <v>14</v>
      </c>
      <c r="H1337">
             </c>
      <c r="I1337" t="s">
        <v>14</v>
      </c>
      <c r="J1337" t="s">
        <v>55</v>
      </c>
      <c r="K1337" t="s">
        <v>14</v>
      </c>
      <c r="L1337" t="s">
        <v>20</v>
      </c>
      <c r="M1337" t="s">
        <v>2830</v>
      </c>
      <c r="N1337" t="s">
        <v>14</v>
      </c>
    </row>
    <row r="1338" x14ac:dyDescent="0.25">
      <c r="A1338" t="n">
        <v>25</v>
      </c>
      <c r="B1338" t="s">
        <v>14</v>
      </c>
      <c r="C1338" t="s">
        <v>22</v>
      </c>
      <c r="D1338" s="2" t="s">
        <f>=HYPERLINK("https://main.knesset.gov.il/APPS/legislation/main/bills/2220735", "הצעת חוק ביטוח בריאות ממלכתי (תיקון - הפחתה בדמי ביטוח בריאות לתושבי הפריפריה), התשפ""ד-2024")</f>
        <v>2837</v>
      </c>
      <c r="E1338" t="s">
        <v>2837</v>
      </c>
      <c r="F1338" t="s">
        <v>2838</v>
      </c>
      <c r="G1338" t="s">
        <v>14</v>
      </c>
      <c r="H1338">
             </c>
      <c r="I1338" t="s">
        <v>14</v>
      </c>
      <c r="J1338" t="s">
        <v>55</v>
      </c>
      <c r="K1338" t="s">
        <v>14</v>
      </c>
      <c r="L1338" t="s">
        <v>20</v>
      </c>
      <c r="M1338" t="s">
        <v>2830</v>
      </c>
      <c r="N1338" t="s">
        <v>14</v>
      </c>
    </row>
    <row r="1339" x14ac:dyDescent="0.25">
      <c r="A1339" t="n">
        <v>25</v>
      </c>
      <c r="B1339" t="s">
        <v>14</v>
      </c>
      <c r="C1339" t="s">
        <v>22</v>
      </c>
      <c r="D1339" s="2" t="s">
        <f>=HYPERLINK("https://main.knesset.gov.il/APPS/legislation/main/bills/2205614", "הצעת חוק לתיקון פקודת העיריות (ועדת מכרזים), התשפ""ג-2023")</f>
        <v>2839</v>
      </c>
      <c r="E1339" t="s">
        <v>2839</v>
      </c>
      <c r="F1339" t="s">
        <v>2840</v>
      </c>
      <c r="G1339" t="s">
        <v>14</v>
      </c>
      <c r="H1339">
             </c>
      <c r="I1339" t="s">
        <v>14</v>
      </c>
      <c r="J1339" t="s">
        <v>55</v>
      </c>
      <c r="K1339" t="s">
        <v>14</v>
      </c>
      <c r="L1339" t="s">
        <v>20</v>
      </c>
      <c r="M1339" t="s">
        <v>2830</v>
      </c>
      <c r="N1339" t="s">
        <v>14</v>
      </c>
    </row>
    <row r="1340" x14ac:dyDescent="0.25">
      <c r="A1340" t="n">
        <v>25</v>
      </c>
      <c r="B1340" t="s">
        <v>14</v>
      </c>
      <c r="C1340" t="s">
        <v>22</v>
      </c>
      <c r="D1340" s="2" t="s">
        <f>=HYPERLINK("https://main.knesset.gov.il/APPS/legislation/main/bills/2202389", "הצעת חוק טיפול בכתות פוגעניות, התשפ""ג-2023")</f>
        <v>2841</v>
      </c>
      <c r="E1340" t="s">
        <v>2841</v>
      </c>
      <c r="F1340" t="s">
        <v>2842</v>
      </c>
      <c r="G1340" t="s">
        <v>14</v>
      </c>
      <c r="H1340">
             </c>
      <c r="I1340" t="s">
        <v>14</v>
      </c>
      <c r="J1340" t="s">
        <v>55</v>
      </c>
      <c r="K1340" t="s">
        <v>14</v>
      </c>
      <c r="L1340" t="s">
        <v>20</v>
      </c>
      <c r="M1340" t="s">
        <v>2830</v>
      </c>
      <c r="N1340" t="s">
        <v>14</v>
      </c>
    </row>
    <row r="1341" x14ac:dyDescent="0.25">
      <c r="A1341" t="n">
        <v>25</v>
      </c>
      <c r="B1341" t="s">
        <v>14</v>
      </c>
      <c r="C1341" t="s">
        <v>22</v>
      </c>
      <c r="D1341" s="2" t="s">
        <f>=HYPERLINK("https://main.knesset.gov.il/APPS/legislation/main/bills/2231518", "הצעת חוק קידום התחרות בענפי המזון והפארם (תיקון - היקף מחזור המכירות של קמעונאי פארם גדול), התשפ""ה-2025")</f>
        <v>2843</v>
      </c>
      <c r="E1341" t="s">
        <v>2843</v>
      </c>
      <c r="F1341" t="s">
        <v>2844</v>
      </c>
      <c r="G1341" t="s">
        <v>14</v>
      </c>
      <c r="H1341">
             </c>
      <c r="I1341" t="s">
        <v>14</v>
      </c>
      <c r="J1341" t="s">
        <v>99</v>
      </c>
      <c r="K1341" t="s">
        <v>19</v>
      </c>
      <c r="L1341" t="s">
        <v>20</v>
      </c>
      <c r="M1341" t="s">
        <v>2845</v>
      </c>
      <c r="N1341" t="s">
        <v>14</v>
      </c>
    </row>
    <row r="1342" x14ac:dyDescent="0.25">
      <c r="A1342" t="n">
        <v>25</v>
      </c>
      <c r="B1342" t="s">
        <v>14</v>
      </c>
      <c r="C1342" t="s">
        <v>22</v>
      </c>
      <c r="D1342" s="2" t="s">
        <f>=HYPERLINK("https://main.knesset.gov.il/APPS/legislation/main/bills/2208152", "הצעת חוק הרשויות המקומיות (גמול השתתפות בישיבות והחזר הוצאות לחברי מועצה), התשפ""ג-2023")</f>
        <v>2846</v>
      </c>
      <c r="E1342" t="s">
        <v>2846</v>
      </c>
      <c r="F1342" t="s">
        <v>2847</v>
      </c>
      <c r="G1342" t="s">
        <v>14</v>
      </c>
      <c r="H1342">
             </c>
      <c r="I1342" t="s">
        <v>14</v>
      </c>
      <c r="J1342" t="s">
        <v>99</v>
      </c>
      <c r="K1342" t="s">
        <v>46</v>
      </c>
      <c r="L1342" t="s">
        <v>20</v>
      </c>
      <c r="M1342" t="s">
        <v>2845</v>
      </c>
      <c r="N1342" t="s">
        <v>14</v>
      </c>
    </row>
    <row r="1343" x14ac:dyDescent="0.25">
      <c r="A1343" t="n">
        <v>25</v>
      </c>
      <c r="B1343" t="s">
        <v>14</v>
      </c>
      <c r="C1343" t="s">
        <v>22</v>
      </c>
      <c r="D1343" s="2" t="s">
        <f>=HYPERLINK("https://main.knesset.gov.il/APPS/legislation/main/bills/2200635", "הצעת חוק הרשויות המקומיות (זכויות וחובות של חברי מועצה), התשפ""ג-2023")</f>
        <v>2848</v>
      </c>
      <c r="E1343" t="s">
        <v>2848</v>
      </c>
      <c r="F1343" t="s">
        <v>2849</v>
      </c>
      <c r="G1343" t="s">
        <v>14</v>
      </c>
      <c r="H1343">
             </c>
      <c r="I1343" t="s">
        <v>14</v>
      </c>
      <c r="J1343" t="s">
        <v>99</v>
      </c>
      <c r="K1343" t="s">
        <v>46</v>
      </c>
      <c r="L1343" t="s">
        <v>20</v>
      </c>
      <c r="M1343" t="s">
        <v>2845</v>
      </c>
      <c r="N1343" t="s">
        <v>14</v>
      </c>
    </row>
    <row r="1344" x14ac:dyDescent="0.25">
      <c r="A1344" t="n">
        <v>25</v>
      </c>
      <c r="B1344" t="s">
        <v>14</v>
      </c>
      <c r="C1344" t="s">
        <v>22</v>
      </c>
      <c r="D1344" s="2" t="s">
        <f>=HYPERLINK("https://main.knesset.gov.il/APPS/legislation/main/bills/2196056", "הצעת חוק שירות אזרחי (תיקון - הארכת גיל הזכאות של נכה נפש לשרת במסגרת שירות לאומי או התנדבות קהילתית), התשפ""ג-2022")</f>
        <v>2850</v>
      </c>
      <c r="E1344" t="s">
        <v>2850</v>
      </c>
      <c r="F1344" t="s">
        <v>2851</v>
      </c>
      <c r="G1344" t="s">
        <v>14</v>
      </c>
      <c r="H1344">
             </c>
      <c r="I1344" t="s">
        <v>14</v>
      </c>
      <c r="J1344" t="s">
        <v>99</v>
      </c>
      <c r="K1344" t="s">
        <v>127</v>
      </c>
      <c r="L1344" t="s">
        <v>20</v>
      </c>
      <c r="M1344" t="s">
        <v>2845</v>
      </c>
      <c r="N1344" t="s">
        <v>14</v>
      </c>
    </row>
    <row r="1345" x14ac:dyDescent="0.25">
      <c r="A1345" t="n">
        <v>25</v>
      </c>
      <c r="B1345" t="s">
        <v>14</v>
      </c>
      <c r="C1345" t="s">
        <v>22</v>
      </c>
      <c r="D1345" s="2" t="s">
        <f>=HYPERLINK("https://main.knesset.gov.il/APPS/legislation/main/bills/2196198", "הצעת חוק שיפוט בתי דין דתיים (בוררות), התשפ""ג-2023")</f>
        <v>2852</v>
      </c>
      <c r="E1345" t="s">
        <v>2852</v>
      </c>
      <c r="F1345" t="s">
        <v>2853</v>
      </c>
      <c r="G1345" t="s">
        <v>14</v>
      </c>
      <c r="H1345">
             </c>
      <c r="I1345" t="s">
        <v>14</v>
      </c>
      <c r="J1345" t="s">
        <v>99</v>
      </c>
      <c r="K1345" t="s">
        <v>27</v>
      </c>
      <c r="L1345" t="s">
        <v>20</v>
      </c>
      <c r="M1345" t="s">
        <v>2845</v>
      </c>
      <c r="N1345" t="s">
        <v>14</v>
      </c>
    </row>
    <row r="1346" x14ac:dyDescent="0.25">
      <c r="A1346" t="n">
        <v>25</v>
      </c>
      <c r="B1346" t="s">
        <v>14</v>
      </c>
      <c r="C1346" t="s">
        <v>22</v>
      </c>
      <c r="D1346" s="2" t="s">
        <f>=HYPERLINK("https://main.knesset.gov.il/APPS/legislation/main/bills/2222372", "חוק ניוד מידע רפואי (תיקון מס' 2), התשפ""ה–2025")</f>
        <v>2854</v>
      </c>
      <c r="E1346" t="s">
        <v>2854</v>
      </c>
      <c r="F1346" t="s">
        <v>2855</v>
      </c>
      <c r="G1346" t="s">
        <v>2856</v>
      </c>
      <c r="H1346" t="n">
        <v>3439</v>
      </c>
      <c r="I1346" t="s">
        <v>14</v>
      </c>
      <c r="J1346" t="s">
        <v>91</v>
      </c>
      <c r="K1346" t="s">
        <v>480</v>
      </c>
      <c r="L1346" t="s">
        <v>20</v>
      </c>
      <c r="M1346" t="s">
        <v>2845</v>
      </c>
      <c r="N1346" t="s">
        <v>2857</v>
      </c>
    </row>
    <row r="1347" x14ac:dyDescent="0.25">
      <c r="A1347" t="n">
        <v>25</v>
      </c>
      <c r="B1347" t="s">
        <v>14</v>
      </c>
      <c r="C1347" t="s">
        <v>22</v>
      </c>
      <c r="D1347" s="2" t="s">
        <f>=HYPERLINK("https://main.knesset.gov.il/APPS/legislation/main/bills/2220210", "חוק המרכז להנצחת זכרו של דוד לוי, התשפ""ה–2025")</f>
        <v>2858</v>
      </c>
      <c r="E1347" t="s">
        <v>2858</v>
      </c>
      <c r="F1347" t="s">
        <v>2859</v>
      </c>
      <c r="G1347" t="s">
        <v>2860</v>
      </c>
      <c r="H1347" t="n">
        <v>3438</v>
      </c>
      <c r="I1347" t="s">
        <v>14</v>
      </c>
      <c r="J1347" t="s">
        <v>91</v>
      </c>
      <c r="K1347" t="s">
        <v>34</v>
      </c>
      <c r="L1347" t="s">
        <v>20</v>
      </c>
      <c r="M1347" t="s">
        <v>2845</v>
      </c>
      <c r="N1347" t="s">
        <v>2861</v>
      </c>
    </row>
    <row r="1348" x14ac:dyDescent="0.25">
      <c r="A1348" t="n">
        <v>25</v>
      </c>
      <c r="B1348" t="s">
        <v>14</v>
      </c>
      <c r="C1348" t="s">
        <v>15</v>
      </c>
      <c r="D1348" s="2" t="s">
        <f>=HYPERLINK("https://main.knesset.gov.il/APPS/legislation/main/bills/2233299", "חוק לתיקון פקודת סדר הדין הפלילי (מעצר וחיפוש) (מס' 18), התשפ""ה-2025")</f>
        <v>2862</v>
      </c>
      <c r="E1348" t="s">
        <v>2862</v>
      </c>
      <c r="F1348" t="s">
        <v>14</v>
      </c>
      <c r="G1348" t="s">
        <v>2863</v>
      </c>
      <c r="H1348" t="n">
        <v>3436</v>
      </c>
      <c r="I1348" t="s">
        <v>14</v>
      </c>
      <c r="J1348" t="s">
        <v>91</v>
      </c>
      <c r="K1348" t="s">
        <v>105</v>
      </c>
      <c r="L1348" t="s">
        <v>20</v>
      </c>
      <c r="M1348" t="s">
        <v>2864</v>
      </c>
      <c r="N1348" t="s">
        <v>2865</v>
      </c>
    </row>
    <row r="1349" x14ac:dyDescent="0.25">
      <c r="A1349" t="n">
        <v>25</v>
      </c>
      <c r="B1349" t="s">
        <v>14</v>
      </c>
      <c r="C1349" t="s">
        <v>22</v>
      </c>
      <c r="D1349" s="2" t="s">
        <f>=HYPERLINK("https://main.knesset.gov.il/APPS/legislation/main/bills/2226166", "הצעת חוק רישוי עסקים (תיקון מס' 40 – הוראת שעה), התשפ""ה–2025")</f>
        <v>2866</v>
      </c>
      <c r="E1349" t="s">
        <v>2866</v>
      </c>
      <c r="F1349" t="s">
        <v>2867</v>
      </c>
      <c r="G1349" t="s">
        <v>2868</v>
      </c>
      <c r="H1349">
             </c>
      <c r="I1349" t="s">
        <v>14</v>
      </c>
      <c r="J1349" t="s">
        <v>289</v>
      </c>
      <c r="K1349" t="s">
        <v>46</v>
      </c>
      <c r="L1349" t="s">
        <v>20</v>
      </c>
      <c r="M1349" t="s">
        <v>2864</v>
      </c>
      <c r="N1349" t="s">
        <v>14</v>
      </c>
    </row>
    <row r="1350" x14ac:dyDescent="0.25">
      <c r="A1350" t="n">
        <v>25</v>
      </c>
      <c r="B1350" t="s">
        <v>14</v>
      </c>
      <c r="C1350" t="s">
        <v>22</v>
      </c>
      <c r="D1350" s="2" t="s">
        <f>=HYPERLINK("https://main.knesset.gov.il/APPS/legislation/main/bills/2202549", "הצעת חוק לביטול ההתיישנות בעבירות מין במשפחה (תיקוני חקיקה), התשפ""ג-2023")</f>
        <v>2869</v>
      </c>
      <c r="E1350" t="s">
        <v>2869</v>
      </c>
      <c r="F1350" t="s">
        <v>2870</v>
      </c>
      <c r="G1350" t="s">
        <v>14</v>
      </c>
      <c r="H1350">
             </c>
      <c r="I1350" t="s">
        <v>14</v>
      </c>
      <c r="J1350" t="s">
        <v>99</v>
      </c>
      <c r="K1350" t="s">
        <v>14</v>
      </c>
      <c r="L1350" t="s">
        <v>20</v>
      </c>
      <c r="M1350" t="s">
        <v>2864</v>
      </c>
      <c r="N1350" t="s">
        <v>14</v>
      </c>
    </row>
    <row r="1351" x14ac:dyDescent="0.25">
      <c r="A1351" t="n">
        <v>25</v>
      </c>
      <c r="B1351" t="s">
        <v>14</v>
      </c>
      <c r="C1351" t="s">
        <v>22</v>
      </c>
      <c r="D1351" s="2" t="s">
        <f>=HYPERLINK("https://main.knesset.gov.il/APPS/legislation/main/bills/2200737", "הצעת חוק לביטול ההתיישנות בעבירות מין (תיקוני חקיקה), התשפ""ג-2023")</f>
        <v>2871</v>
      </c>
      <c r="E1351" t="s">
        <v>2871</v>
      </c>
      <c r="F1351" t="s">
        <v>2872</v>
      </c>
      <c r="G1351" t="s">
        <v>14</v>
      </c>
      <c r="H1351">
             </c>
      <c r="I1351" t="s">
        <v>14</v>
      </c>
      <c r="J1351" t="s">
        <v>99</v>
      </c>
      <c r="K1351" t="s">
        <v>14</v>
      </c>
      <c r="L1351" t="s">
        <v>20</v>
      </c>
      <c r="M1351" t="s">
        <v>2864</v>
      </c>
      <c r="N1351" t="s">
        <v>14</v>
      </c>
    </row>
    <row r="1352" x14ac:dyDescent="0.25">
      <c r="A1352" t="n">
        <v>25</v>
      </c>
      <c r="B1352" t="s">
        <v>14</v>
      </c>
      <c r="C1352" t="s">
        <v>22</v>
      </c>
      <c r="D1352" s="2" t="s">
        <f>=HYPERLINK("https://main.knesset.gov.il/APPS/legislation/main/bills/2200198", "הצעת חוק לביטול ההתיישנות בעבירות מין (תיקוני חקיקה), התשפ""ג-2023")</f>
        <v>2871</v>
      </c>
      <c r="E1352" t="s">
        <v>2871</v>
      </c>
      <c r="F1352" t="s">
        <v>2873</v>
      </c>
      <c r="G1352" t="s">
        <v>14</v>
      </c>
      <c r="H1352">
             </c>
      <c r="I1352" t="s">
        <v>14</v>
      </c>
      <c r="J1352" t="s">
        <v>99</v>
      </c>
      <c r="K1352" t="s">
        <v>14</v>
      </c>
      <c r="L1352" t="s">
        <v>20</v>
      </c>
      <c r="M1352" t="s">
        <v>2864</v>
      </c>
      <c r="N1352" t="s">
        <v>14</v>
      </c>
    </row>
    <row r="1353" x14ac:dyDescent="0.25">
      <c r="A1353" t="n">
        <v>25</v>
      </c>
      <c r="B1353" t="s">
        <v>14</v>
      </c>
      <c r="C1353" t="s">
        <v>15</v>
      </c>
      <c r="D1353" s="2" t="s">
        <f>=HYPERLINK("https://main.knesset.gov.il/APPS/legislation/main/bills/2227198", "סעיף 9(6) (אישור עשייה במקרקעין) מתוך הצעת חוק התוכנית הכלכלית (תיקוני חקיקה ליישום המדיניות הכלכלית לשנת התקציב 2025), התשפ""ה-2024 [פוצל לפי סעיף 84(ב) לתקנון]")</f>
        <v>2874</v>
      </c>
      <c r="E1353" t="s">
        <v>2874</v>
      </c>
      <c r="F1353" t="s">
        <v>14</v>
      </c>
      <c r="G1353" t="s">
        <v>43</v>
      </c>
      <c r="H1353">
             </c>
      <c r="I1353" t="s">
        <v>14</v>
      </c>
      <c r="J1353" t="s">
        <v>18</v>
      </c>
      <c r="K1353" t="s">
        <v>46</v>
      </c>
      <c r="L1353" t="s">
        <v>20</v>
      </c>
      <c r="M1353" t="s">
        <v>2864</v>
      </c>
      <c r="N1353" t="s">
        <v>14</v>
      </c>
    </row>
    <row r="1354" x14ac:dyDescent="0.25">
      <c r="A1354" t="n">
        <v>25</v>
      </c>
      <c r="B1354" t="s">
        <v>14</v>
      </c>
      <c r="C1354" t="s">
        <v>15</v>
      </c>
      <c r="D1354" s="2" t="s">
        <f>=HYPERLINK("https://main.knesset.gov.il/APPS/legislation/main/bills/2231137", "חוק איסור צריכת זנות (הוראת שעה ותיקון חקיקה) (תיקון), התשפ""ה-2025")</f>
        <v>2875</v>
      </c>
      <c r="E1354" t="s">
        <v>2875</v>
      </c>
      <c r="F1354" t="s">
        <v>14</v>
      </c>
      <c r="G1354" t="s">
        <v>2876</v>
      </c>
      <c r="H1354" t="n">
        <v>3437</v>
      </c>
      <c r="I1354" t="s">
        <v>14</v>
      </c>
      <c r="J1354" t="s">
        <v>91</v>
      </c>
      <c r="K1354" t="s">
        <v>27</v>
      </c>
      <c r="L1354" t="s">
        <v>20</v>
      </c>
      <c r="M1354" t="s">
        <v>2864</v>
      </c>
      <c r="N1354" t="s">
        <v>2877</v>
      </c>
    </row>
    <row r="1355" x14ac:dyDescent="0.25">
      <c r="A1355" t="n">
        <v>25</v>
      </c>
      <c r="B1355" t="s">
        <v>14</v>
      </c>
      <c r="C1355" t="s">
        <v>15</v>
      </c>
      <c r="D1355" s="2" t="s">
        <f>=HYPERLINK("https://main.knesset.gov.il/APPS/legislation/main/bills/2233647", "חוק לייעול האכיפה והפיקוח העירוניים ברשויות המקומיות (הוראת שעה) (תיקון מס' 17), התשפ""ה-2025")</f>
        <v>2878</v>
      </c>
      <c r="E1355" t="s">
        <v>2878</v>
      </c>
      <c r="F1355" t="s">
        <v>14</v>
      </c>
      <c r="G1355" t="s">
        <v>2634</v>
      </c>
      <c r="H1355" t="n">
        <v>3435</v>
      </c>
      <c r="I1355" t="s">
        <v>14</v>
      </c>
      <c r="J1355" t="s">
        <v>91</v>
      </c>
      <c r="K1355" t="s">
        <v>105</v>
      </c>
      <c r="L1355" t="s">
        <v>20</v>
      </c>
      <c r="M1355" t="s">
        <v>2864</v>
      </c>
      <c r="N1355" t="s">
        <v>2879</v>
      </c>
    </row>
    <row r="1356" x14ac:dyDescent="0.25">
      <c r="A1356" t="n">
        <v>25</v>
      </c>
      <c r="B1356" t="s">
        <v>14</v>
      </c>
      <c r="C1356" t="s">
        <v>22</v>
      </c>
      <c r="D1356" s="2" t="s">
        <f>=HYPERLINK("https://main.knesset.gov.il/APPS/legislation/main/bills/2227895", "הצעת חוק הבנקאות (שירות ללקוח) (תיקון - הצעת הלוואה בריבית מופחתת לכיסוי חריגה בחשבון העובר ושב), התשפ""ה-2025")</f>
        <v>2880</v>
      </c>
      <c r="E1356" t="s">
        <v>2880</v>
      </c>
      <c r="F1356" t="s">
        <v>2881</v>
      </c>
      <c r="G1356" t="s">
        <v>14</v>
      </c>
      <c r="H1356">
             </c>
      <c r="I1356" t="s">
        <v>14</v>
      </c>
      <c r="J1356" t="s">
        <v>141</v>
      </c>
      <c r="K1356" t="s">
        <v>14</v>
      </c>
      <c r="L1356" t="s">
        <v>20</v>
      </c>
      <c r="M1356" t="s">
        <v>2864</v>
      </c>
      <c r="N1356" t="s">
        <v>14</v>
      </c>
    </row>
    <row r="1357" x14ac:dyDescent="0.25">
      <c r="A1357" t="n">
        <v>25</v>
      </c>
      <c r="B1357" t="s">
        <v>14</v>
      </c>
      <c r="C1357" t="s">
        <v>22</v>
      </c>
      <c r="D1357" s="2" t="s">
        <f>=HYPERLINK("https://main.knesset.gov.il/APPS/legislation/main/bills/2233322", "הצעת חוק הגנה על בתי עסק (איסור על כפיית שביתה), התשפ""ה-2025")</f>
        <v>2882</v>
      </c>
      <c r="E1357" t="s">
        <v>2882</v>
      </c>
      <c r="F1357" t="s">
        <v>2883</v>
      </c>
      <c r="G1357" t="s">
        <v>14</v>
      </c>
      <c r="H1357">
             </c>
      <c r="I1357" t="s">
        <v>14</v>
      </c>
      <c r="J1357" t="s">
        <v>141</v>
      </c>
      <c r="K1357" t="s">
        <v>14</v>
      </c>
      <c r="L1357" t="s">
        <v>20</v>
      </c>
      <c r="M1357" t="s">
        <v>2864</v>
      </c>
      <c r="N1357" t="s">
        <v>14</v>
      </c>
    </row>
    <row r="1358" x14ac:dyDescent="0.25">
      <c r="A1358" t="n">
        <v>25</v>
      </c>
      <c r="B1358" t="s">
        <v>14</v>
      </c>
      <c r="C1358" t="s">
        <v>22</v>
      </c>
      <c r="D1358" s="2" t="s">
        <f>=HYPERLINK("https://main.knesset.gov.il/APPS/legislation/main/bills/2232739", "הצעת חוק לתיקון פקודת מס הכנסה (הודעה בדבר זכאות לנקודת זיכוי), התשפ״ה-2025")</f>
        <v>2721</v>
      </c>
      <c r="E1358" t="s">
        <v>2721</v>
      </c>
      <c r="F1358" t="s">
        <v>2884</v>
      </c>
      <c r="G1358" t="s">
        <v>14</v>
      </c>
      <c r="H1358">
             </c>
      <c r="I1358" t="s">
        <v>14</v>
      </c>
      <c r="J1358" t="s">
        <v>141</v>
      </c>
      <c r="K1358" t="s">
        <v>14</v>
      </c>
      <c r="L1358" t="s">
        <v>20</v>
      </c>
      <c r="M1358" t="s">
        <v>2864</v>
      </c>
      <c r="N1358" t="s">
        <v>14</v>
      </c>
    </row>
    <row r="1359" x14ac:dyDescent="0.25">
      <c r="A1359" t="n">
        <v>25</v>
      </c>
      <c r="B1359" t="s">
        <v>14</v>
      </c>
      <c r="C1359" t="s">
        <v>22</v>
      </c>
      <c r="D1359" s="2" t="s">
        <f>=HYPERLINK("https://main.knesset.gov.il/APPS/legislation/main/bills/2232635", "הצעת חוק זאב ז'בוטינסקי (ציון זכרו ופועלו) (תיקון - הגדלת תקציב הפעילות ומימון המכון), התשפ""ה-2025")</f>
        <v>2885</v>
      </c>
      <c r="E1359" t="s">
        <v>2885</v>
      </c>
      <c r="F1359" t="s">
        <v>2886</v>
      </c>
      <c r="G1359" t="s">
        <v>14</v>
      </c>
      <c r="H1359">
             </c>
      <c r="I1359" t="s">
        <v>14</v>
      </c>
      <c r="J1359" t="s">
        <v>141</v>
      </c>
      <c r="K1359" t="s">
        <v>14</v>
      </c>
      <c r="L1359" t="s">
        <v>20</v>
      </c>
      <c r="M1359" t="s">
        <v>2864</v>
      </c>
      <c r="N1359" t="s">
        <v>14</v>
      </c>
    </row>
    <row r="1360" x14ac:dyDescent="0.25">
      <c r="A1360" t="n">
        <v>25</v>
      </c>
      <c r="B1360" t="s">
        <v>14</v>
      </c>
      <c r="C1360" t="s">
        <v>22</v>
      </c>
      <c r="D1360" s="2" t="s">
        <f>=HYPERLINK("https://main.knesset.gov.il/APPS/legislation/main/bills/2233026", "הצעת חוק הרשות הארצית לכבאות והצלה (תיקון - חובת קביעת תקנות בדבר נקיטת אמצעי בטיחות אש והצלה), התשפ""ה-2025 ")</f>
        <v>2887</v>
      </c>
      <c r="E1360" t="s">
        <v>2887</v>
      </c>
      <c r="F1360" t="s">
        <v>2888</v>
      </c>
      <c r="G1360" t="s">
        <v>14</v>
      </c>
      <c r="H1360">
             </c>
      <c r="I1360" t="s">
        <v>14</v>
      </c>
      <c r="J1360" t="s">
        <v>141</v>
      </c>
      <c r="K1360" t="s">
        <v>14</v>
      </c>
      <c r="L1360" t="s">
        <v>20</v>
      </c>
      <c r="M1360" t="s">
        <v>2864</v>
      </c>
      <c r="N1360" t="s">
        <v>14</v>
      </c>
    </row>
    <row r="1361" x14ac:dyDescent="0.25">
      <c r="A1361" t="n">
        <v>25</v>
      </c>
      <c r="B1361" t="s">
        <v>14</v>
      </c>
      <c r="C1361" t="s">
        <v>22</v>
      </c>
      <c r="D1361" s="2" t="s">
        <f>=HYPERLINK("https://main.knesset.gov.il/APPS/legislation/main/bills/2232685", "הצעת חוק לתיקון פקודת המשטרה (הסדרת ההפעלה של מכת""זית ותיעוד חזותי של ההפעלה), התשפ""ה-2025")</f>
        <v>2889</v>
      </c>
      <c r="E1361" t="s">
        <v>2889</v>
      </c>
      <c r="F1361" t="s">
        <v>2890</v>
      </c>
      <c r="G1361" t="s">
        <v>14</v>
      </c>
      <c r="H1361">
             </c>
      <c r="I1361" t="s">
        <v>14</v>
      </c>
      <c r="J1361" t="s">
        <v>141</v>
      </c>
      <c r="K1361" t="s">
        <v>14</v>
      </c>
      <c r="L1361" t="s">
        <v>20</v>
      </c>
      <c r="M1361" t="s">
        <v>2864</v>
      </c>
      <c r="N1361" t="s">
        <v>14</v>
      </c>
    </row>
    <row r="1362" x14ac:dyDescent="0.25">
      <c r="A1362" t="n">
        <v>25</v>
      </c>
      <c r="B1362" t="s">
        <v>14</v>
      </c>
      <c r="C1362" t="s">
        <v>22</v>
      </c>
      <c r="D1362" s="2" t="s">
        <f>=HYPERLINK("https://main.knesset.gov.il/APPS/legislation/main/bills/2233054", "הצעת חוק לתיקון פקודת מס הכנסה (זיכוי ממס לתושבי העיר באר שבע), התשפ""ה-2025 ")</f>
        <v>2891</v>
      </c>
      <c r="E1362" t="s">
        <v>2891</v>
      </c>
      <c r="F1362" t="s">
        <v>2892</v>
      </c>
      <c r="G1362" t="s">
        <v>14</v>
      </c>
      <c r="H1362">
             </c>
      <c r="I1362" t="s">
        <v>14</v>
      </c>
      <c r="J1362" t="s">
        <v>141</v>
      </c>
      <c r="K1362" t="s">
        <v>14</v>
      </c>
      <c r="L1362" t="s">
        <v>20</v>
      </c>
      <c r="M1362" t="s">
        <v>2864</v>
      </c>
      <c r="N1362" t="s">
        <v>14</v>
      </c>
    </row>
    <row r="1363" x14ac:dyDescent="0.25">
      <c r="A1363" t="n">
        <v>25</v>
      </c>
      <c r="B1363" t="s">
        <v>14</v>
      </c>
      <c r="C1363" t="s">
        <v>22</v>
      </c>
      <c r="D1363" s="2" t="s">
        <f>=HYPERLINK("https://main.knesset.gov.il/APPS/legislation/main/bills/2232754", "הצעת חוק הביטוח הלאומי (תיקון - מענק בשל ירידה בהכנסות לעצמאים ששירתו במילואים במלחמת חרבות ברזל), התשפ״ה-2025")</f>
        <v>2815</v>
      </c>
      <c r="E1363" t="s">
        <v>2815</v>
      </c>
      <c r="F1363" t="s">
        <v>2893</v>
      </c>
      <c r="G1363" t="s">
        <v>14</v>
      </c>
      <c r="H1363">
             </c>
      <c r="I1363" t="s">
        <v>14</v>
      </c>
      <c r="J1363" t="s">
        <v>141</v>
      </c>
      <c r="K1363" t="s">
        <v>14</v>
      </c>
      <c r="L1363" t="s">
        <v>20</v>
      </c>
      <c r="M1363" t="s">
        <v>2864</v>
      </c>
      <c r="N1363" t="s">
        <v>14</v>
      </c>
    </row>
    <row r="1364" x14ac:dyDescent="0.25">
      <c r="A1364" t="n">
        <v>25</v>
      </c>
      <c r="B1364" t="s">
        <v>14</v>
      </c>
      <c r="C1364" t="s">
        <v>22</v>
      </c>
      <c r="D1364" s="2" t="s">
        <f>=HYPERLINK("https://main.knesset.gov.il/APPS/legislation/main/bills/2218019", "הצעת חוק איסור החזקת מכשיר המשמש לביצוע עבירה (עקיפה ושיבוש של מערכות טכנולוגיות) (תיקוני חקיקה), התשפ""ה–2025")</f>
        <v>2894</v>
      </c>
      <c r="E1364" t="s">
        <v>2894</v>
      </c>
      <c r="F1364" t="s">
        <v>2895</v>
      </c>
      <c r="G1364" t="s">
        <v>2896</v>
      </c>
      <c r="H1364">
             </c>
      <c r="I1364" t="s">
        <v>26</v>
      </c>
      <c r="J1364" t="s">
        <v>69</v>
      </c>
      <c r="K1364" t="s">
        <v>27</v>
      </c>
      <c r="L1364" t="s">
        <v>20</v>
      </c>
      <c r="M1364" t="s">
        <v>2864</v>
      </c>
      <c r="N1364" t="s">
        <v>14</v>
      </c>
    </row>
    <row r="1365" x14ac:dyDescent="0.25">
      <c r="A1365" t="n">
        <v>25</v>
      </c>
      <c r="B1365" t="s">
        <v>14</v>
      </c>
      <c r="C1365" t="s">
        <v>15</v>
      </c>
      <c r="D1365" s="2" t="s">
        <f>=HYPERLINK("https://main.knesset.gov.il/APPS/legislation/main/bills/2233596", "הצעת חוק מיסוי מקרקעין (שבח ורכישה) (תיקון מס' 106), התשפ""ה-2025")</f>
        <v>2897</v>
      </c>
      <c r="E1365" t="s">
        <v>2897</v>
      </c>
      <c r="F1365" t="s">
        <v>14</v>
      </c>
      <c r="G1365" t="s">
        <v>2898</v>
      </c>
      <c r="H1365">
             </c>
      <c r="I1365" t="s">
        <v>14</v>
      </c>
      <c r="J1365" t="s">
        <v>69</v>
      </c>
      <c r="K1365" t="s">
        <v>14</v>
      </c>
      <c r="L1365" t="s">
        <v>20</v>
      </c>
      <c r="M1365" t="s">
        <v>2864</v>
      </c>
      <c r="N1365" t="s">
        <v>14</v>
      </c>
    </row>
    <row r="1366" x14ac:dyDescent="0.25">
      <c r="A1366" t="n">
        <v>25</v>
      </c>
      <c r="B1366" t="s">
        <v>14</v>
      </c>
      <c r="C1366" t="s">
        <v>15</v>
      </c>
      <c r="D1366" s="2" t="s">
        <f>=HYPERLINK("https://main.knesset.gov.il/APPS/legislation/main/bills/2233093", "חוק הסמכת צבא הגנה לישראל ושירות הביטחון הכללי לביצוע חדירה לחומר מחשב המשמש להפעלת מצלמה נייחת ופעולה בו (הוראת שעה - חרבות ברזל) (תיקון מס' 4), התשפ""ה-2025")</f>
        <v>2899</v>
      </c>
      <c r="E1366" t="s">
        <v>2899</v>
      </c>
      <c r="F1366" t="s">
        <v>14</v>
      </c>
      <c r="G1366" t="s">
        <v>2900</v>
      </c>
      <c r="H1366" t="n">
        <v>3434</v>
      </c>
      <c r="I1366" t="s">
        <v>14</v>
      </c>
      <c r="J1366" t="s">
        <v>91</v>
      </c>
      <c r="K1366" t="s">
        <v>114</v>
      </c>
      <c r="L1366" t="s">
        <v>20</v>
      </c>
      <c r="M1366" t="s">
        <v>2901</v>
      </c>
      <c r="N1366" t="s">
        <v>2902</v>
      </c>
    </row>
    <row r="1367" x14ac:dyDescent="0.25">
      <c r="A1367" t="n">
        <v>25</v>
      </c>
      <c r="B1367" t="s">
        <v>14</v>
      </c>
      <c r="C1367" t="s">
        <v>15</v>
      </c>
      <c r="D1367" s="2" t="s">
        <f>=HYPERLINK("https://main.knesset.gov.il/APPS/legislation/main/bills/2232288", "חוק שירות לאומי-אזרחי (תיקון מס' 7), התשפ""ה-2025")</f>
        <v>2903</v>
      </c>
      <c r="E1367" t="s">
        <v>2903</v>
      </c>
      <c r="F1367" t="s">
        <v>14</v>
      </c>
      <c r="G1367" t="s">
        <v>2904</v>
      </c>
      <c r="H1367" t="n">
        <v>3433</v>
      </c>
      <c r="I1367" t="s">
        <v>14</v>
      </c>
      <c r="J1367" t="s">
        <v>91</v>
      </c>
      <c r="K1367" t="s">
        <v>114</v>
      </c>
      <c r="L1367" t="s">
        <v>20</v>
      </c>
      <c r="M1367" t="s">
        <v>2901</v>
      </c>
      <c r="N1367" t="s">
        <v>2905</v>
      </c>
    </row>
    <row r="1368" x14ac:dyDescent="0.25">
      <c r="A1368" t="n">
        <v>25</v>
      </c>
      <c r="B1368" t="s">
        <v>14</v>
      </c>
      <c r="C1368" t="s">
        <v>22</v>
      </c>
      <c r="D1368" s="2" t="s">
        <f>=HYPERLINK("https://main.knesset.gov.il/APPS/legislation/main/bills/2224462", "הצעת חוק הגנת הפרטיות (תיקון מס' 14), התשפ""ה-2025")</f>
        <v>2906</v>
      </c>
      <c r="E1368" t="s">
        <v>2906</v>
      </c>
      <c r="F1368" t="s">
        <v>2907</v>
      </c>
      <c r="G1368" t="s">
        <v>2908</v>
      </c>
      <c r="H1368">
             </c>
      <c r="I1368" t="s">
        <v>14</v>
      </c>
      <c r="J1368" t="s">
        <v>73</v>
      </c>
      <c r="K1368" t="s">
        <v>105</v>
      </c>
      <c r="L1368" t="s">
        <v>20</v>
      </c>
      <c r="M1368" t="s">
        <v>2901</v>
      </c>
      <c r="N1368" t="s">
        <v>14</v>
      </c>
    </row>
    <row r="1369" x14ac:dyDescent="0.25">
      <c r="A1369" t="n">
        <v>25</v>
      </c>
      <c r="B1369" t="s">
        <v>14</v>
      </c>
      <c r="C1369" t="s">
        <v>22</v>
      </c>
      <c r="D1369" s="2" t="s">
        <f>=HYPERLINK("https://main.knesset.gov.il/APPS/legislation/main/bills/2230613", "הצעת חוק איסור צריכת זנות, התשפ""ה-2025")</f>
        <v>2909</v>
      </c>
      <c r="E1369" t="s">
        <v>2909</v>
      </c>
      <c r="F1369" t="s">
        <v>2910</v>
      </c>
      <c r="G1369" t="s">
        <v>14</v>
      </c>
      <c r="H1369">
             </c>
      <c r="I1369" t="s">
        <v>14</v>
      </c>
      <c r="J1369" t="s">
        <v>31</v>
      </c>
      <c r="K1369" t="s">
        <v>27</v>
      </c>
      <c r="L1369" t="s">
        <v>20</v>
      </c>
      <c r="M1369" t="s">
        <v>2911</v>
      </c>
      <c r="N1369" t="s">
        <v>14</v>
      </c>
    </row>
    <row r="1370" x14ac:dyDescent="0.25">
      <c r="A1370" t="n">
        <v>25</v>
      </c>
      <c r="B1370" t="s">
        <v>14</v>
      </c>
      <c r="C1370" t="s">
        <v>22</v>
      </c>
      <c r="D1370" s="2" t="s">
        <f>=HYPERLINK("https://main.knesset.gov.il/APPS/legislation/main/bills/2229392", "הצעת חוק איסור צריכת זנות, תשפ""ה-2025")</f>
        <v>2912</v>
      </c>
      <c r="E1370" t="s">
        <v>2912</v>
      </c>
      <c r="F1370" t="s">
        <v>2913</v>
      </c>
      <c r="G1370" t="s">
        <v>14</v>
      </c>
      <c r="H1370">
             </c>
      <c r="I1370" t="s">
        <v>14</v>
      </c>
      <c r="J1370" t="s">
        <v>31</v>
      </c>
      <c r="K1370" t="s">
        <v>27</v>
      </c>
      <c r="L1370" t="s">
        <v>20</v>
      </c>
      <c r="M1370" t="s">
        <v>2911</v>
      </c>
      <c r="N1370" t="s">
        <v>14</v>
      </c>
    </row>
    <row r="1371" x14ac:dyDescent="0.25">
      <c r="A1371" t="n">
        <v>25</v>
      </c>
      <c r="B1371" t="s">
        <v>14</v>
      </c>
      <c r="C1371" t="s">
        <v>22</v>
      </c>
      <c r="D1371" s="2" t="s">
        <f>=HYPERLINK("https://main.knesset.gov.il/APPS/legislation/main/bills/2219136", "הצעת חוק איסור צריכת זנות (הוראת שעה ותיקון חקיקה) (תיקון - עיגון כהוראת קבע), התשפ""ד-2024")</f>
        <v>2914</v>
      </c>
      <c r="E1371" t="s">
        <v>2914</v>
      </c>
      <c r="F1371" t="s">
        <v>2915</v>
      </c>
      <c r="G1371" t="s">
        <v>14</v>
      </c>
      <c r="H1371">
             </c>
      <c r="I1371" t="s">
        <v>14</v>
      </c>
      <c r="J1371" t="s">
        <v>31</v>
      </c>
      <c r="K1371" t="s">
        <v>27</v>
      </c>
      <c r="L1371" t="s">
        <v>20</v>
      </c>
      <c r="M1371" t="s">
        <v>2911</v>
      </c>
      <c r="N1371" t="s">
        <v>14</v>
      </c>
    </row>
    <row r="1372" x14ac:dyDescent="0.25">
      <c r="A1372" t="n">
        <v>25</v>
      </c>
      <c r="B1372" t="s">
        <v>14</v>
      </c>
      <c r="C1372" t="s">
        <v>15</v>
      </c>
      <c r="D1372" s="2" t="s">
        <f>=HYPERLINK("https://main.knesset.gov.il/APPS/legislation/main/bills/2232962", "חוק להשתתפותם של העובדים ובעלי תפקיד בשירות הציבורי, בצעדים לייצוב המצב הפיסקלי במדינה במהלך השנים 2025 ו-2026 (הוראת שעה) (תיקון מס' 2), התשפ""ה-2025")</f>
        <v>2916</v>
      </c>
      <c r="E1372" t="s">
        <v>2916</v>
      </c>
      <c r="F1372" t="s">
        <v>14</v>
      </c>
      <c r="G1372" t="s">
        <v>2917</v>
      </c>
      <c r="H1372" t="n">
        <v>3431</v>
      </c>
      <c r="I1372" t="s">
        <v>14</v>
      </c>
      <c r="J1372" t="s">
        <v>91</v>
      </c>
      <c r="K1372" t="s">
        <v>127</v>
      </c>
      <c r="L1372" t="s">
        <v>20</v>
      </c>
      <c r="M1372" t="s">
        <v>2918</v>
      </c>
      <c r="N1372" t="s">
        <v>2919</v>
      </c>
    </row>
    <row r="1373" x14ac:dyDescent="0.25">
      <c r="A1373" t="n">
        <v>25</v>
      </c>
      <c r="B1373" t="s">
        <v>14</v>
      </c>
      <c r="C1373" t="s">
        <v>15</v>
      </c>
      <c r="D1373" s="2" t="s">
        <f>=HYPERLINK("https://main.knesset.gov.il/APPS/legislation/main/bills/2229394", "חוק משק החשמל (תיקון מס' 20), התשפ""ה-2025 ")</f>
        <v>2920</v>
      </c>
      <c r="E1373" t="s">
        <v>2920</v>
      </c>
      <c r="F1373" t="s">
        <v>14</v>
      </c>
      <c r="G1373" t="s">
        <v>2921</v>
      </c>
      <c r="H1373" t="n">
        <v>3432</v>
      </c>
      <c r="I1373" t="s">
        <v>14</v>
      </c>
      <c r="J1373" t="s">
        <v>91</v>
      </c>
      <c r="K1373" t="s">
        <v>19</v>
      </c>
      <c r="L1373" t="s">
        <v>20</v>
      </c>
      <c r="M1373" t="s">
        <v>2918</v>
      </c>
      <c r="N1373" t="s">
        <v>2922</v>
      </c>
    </row>
    <row r="1374" x14ac:dyDescent="0.25">
      <c r="A1374" t="n">
        <v>25</v>
      </c>
      <c r="B1374" t="s">
        <v>14</v>
      </c>
      <c r="C1374" t="s">
        <v>22</v>
      </c>
      <c r="D1374" s="2" t="s">
        <f>=HYPERLINK("https://main.knesset.gov.il/APPS/legislation/main/bills/2232561", "הצעת חוק הנכים (תגמולים ושיקום) (תיקון - הגדלת זכויות לנכה עם הפרעה בתר-חבלתית שמקבל תגמול מיוחד), התשפ""ה-2025")</f>
        <v>2923</v>
      </c>
      <c r="E1374" t="s">
        <v>2923</v>
      </c>
      <c r="F1374" t="s">
        <v>2924</v>
      </c>
      <c r="G1374" t="s">
        <v>14</v>
      </c>
      <c r="H1374">
             </c>
      <c r="I1374" t="s">
        <v>14</v>
      </c>
      <c r="J1374" t="s">
        <v>141</v>
      </c>
      <c r="K1374" t="s">
        <v>14</v>
      </c>
      <c r="L1374" t="s">
        <v>20</v>
      </c>
      <c r="M1374" t="s">
        <v>2918</v>
      </c>
      <c r="N1374" t="s">
        <v>14</v>
      </c>
    </row>
    <row r="1375" x14ac:dyDescent="0.25">
      <c r="A1375" t="n">
        <v>25</v>
      </c>
      <c r="B1375" t="s">
        <v>14</v>
      </c>
      <c r="C1375" t="s">
        <v>22</v>
      </c>
      <c r="D1375" s="2" t="s">
        <f>=HYPERLINK("https://main.knesset.gov.il/APPS/legislation/main/bills/2224619", "הצעת חוק שימוש במונח יהודה והשומרון, התשפ""ה–2025")</f>
        <v>2925</v>
      </c>
      <c r="E1375" t="s">
        <v>2925</v>
      </c>
      <c r="F1375" t="s">
        <v>2926</v>
      </c>
      <c r="G1375" t="s">
        <v>2927</v>
      </c>
      <c r="H1375">
             </c>
      <c r="I1375" t="s">
        <v>26</v>
      </c>
      <c r="J1375" t="s">
        <v>289</v>
      </c>
      <c r="K1375" t="s">
        <v>27</v>
      </c>
      <c r="L1375" t="s">
        <v>20</v>
      </c>
      <c r="M1375" t="s">
        <v>2918</v>
      </c>
      <c r="N1375" t="s">
        <v>14</v>
      </c>
    </row>
    <row r="1376" x14ac:dyDescent="0.25">
      <c r="A1376" t="n">
        <v>25</v>
      </c>
      <c r="B1376" t="s">
        <v>14</v>
      </c>
      <c r="C1376" t="s">
        <v>22</v>
      </c>
      <c r="D1376" s="2" t="s">
        <f>=HYPERLINK("https://main.knesset.gov.il/APPS/legislation/main/bills/2206870", "חוק הבעת עמדה של נפגע או נפגעת עבירה בנוגע לשחרור על־תנאי ממאסר (תיקוני חקיקה), התשפ""ה–2025")</f>
        <v>2928</v>
      </c>
      <c r="E1376" t="s">
        <v>2928</v>
      </c>
      <c r="F1376" t="s">
        <v>2929</v>
      </c>
      <c r="G1376" t="s">
        <v>2930</v>
      </c>
      <c r="H1376" t="n">
        <v>3430</v>
      </c>
      <c r="I1376" t="s">
        <v>14</v>
      </c>
      <c r="J1376" t="s">
        <v>91</v>
      </c>
      <c r="K1376" t="s">
        <v>27</v>
      </c>
      <c r="L1376" t="s">
        <v>20</v>
      </c>
      <c r="M1376" t="s">
        <v>2931</v>
      </c>
      <c r="N1376" t="s">
        <v>2932</v>
      </c>
    </row>
    <row r="1377" x14ac:dyDescent="0.25">
      <c r="A1377" t="n">
        <v>25</v>
      </c>
      <c r="B1377" t="s">
        <v>14</v>
      </c>
      <c r="C1377" t="s">
        <v>15</v>
      </c>
      <c r="D1377" s="2" t="s">
        <f>=HYPERLINK("https://main.knesset.gov.il/APPS/legislation/main/bills/2223990", "חוק הביטוח הלאומי (תיקון מס' 258), התשפ""ה-2025 ")</f>
        <v>2933</v>
      </c>
      <c r="E1377" t="s">
        <v>2933</v>
      </c>
      <c r="F1377" t="s">
        <v>14</v>
      </c>
      <c r="G1377" t="s">
        <v>2934</v>
      </c>
      <c r="H1377" t="n">
        <v>3429</v>
      </c>
      <c r="I1377" t="s">
        <v>14</v>
      </c>
      <c r="J1377" t="s">
        <v>91</v>
      </c>
      <c r="K1377" t="s">
        <v>127</v>
      </c>
      <c r="L1377" t="s">
        <v>20</v>
      </c>
      <c r="M1377" t="s">
        <v>2931</v>
      </c>
      <c r="N1377" t="s">
        <v>2935</v>
      </c>
    </row>
    <row r="1378" x14ac:dyDescent="0.25">
      <c r="A1378" t="n">
        <v>25</v>
      </c>
      <c r="B1378" t="s">
        <v>14</v>
      </c>
      <c r="C1378" t="s">
        <v>15</v>
      </c>
      <c r="D1378" s="2" t="s">
        <f>=HYPERLINK("https://main.knesset.gov.il/APPS/legislation/main/bills/2209988", "חוק הכללת אמצעי זיהוי ביומטריים ונתוני זיהוי ביומטריים במסמכי זיהוי ובמאגר מידע (תיקון מס' 8 – הוראת שעה), התשפ""ה–2025")</f>
        <v>2936</v>
      </c>
      <c r="E1378" t="s">
        <v>2936</v>
      </c>
      <c r="F1378" t="s">
        <v>14</v>
      </c>
      <c r="G1378" t="s">
        <v>2937</v>
      </c>
      <c r="H1378" t="n">
        <v>3428</v>
      </c>
      <c r="I1378" t="s">
        <v>14</v>
      </c>
      <c r="J1378" t="s">
        <v>91</v>
      </c>
      <c r="K1378" t="s">
        <v>14</v>
      </c>
      <c r="L1378" t="s">
        <v>20</v>
      </c>
      <c r="M1378" t="s">
        <v>2931</v>
      </c>
      <c r="N1378" t="s">
        <v>2938</v>
      </c>
    </row>
    <row r="1379" x14ac:dyDescent="0.25">
      <c r="A1379" t="n">
        <v>25</v>
      </c>
      <c r="B1379" t="s">
        <v>14</v>
      </c>
      <c r="C1379" t="s">
        <v>15</v>
      </c>
      <c r="D1379" s="2" t="s">
        <f>=HYPERLINK("https://main.knesset.gov.il/APPS/legislation/main/bills/2227194", "חוק תקשורת דיגיטלית עם גופים ציבוריים (תיקון מס' 4), התשפ""ה-2025 ")</f>
        <v>2939</v>
      </c>
      <c r="E1379" t="s">
        <v>2939</v>
      </c>
      <c r="F1379" t="s">
        <v>14</v>
      </c>
      <c r="G1379" t="s">
        <v>43</v>
      </c>
      <c r="H1379" t="n">
        <v>3382</v>
      </c>
      <c r="I1379" t="s">
        <v>14</v>
      </c>
      <c r="J1379" t="s">
        <v>91</v>
      </c>
      <c r="K1379" t="s">
        <v>108</v>
      </c>
      <c r="L1379" t="s">
        <v>20</v>
      </c>
      <c r="M1379" t="s">
        <v>2931</v>
      </c>
      <c r="N1379" t="s">
        <v>14</v>
      </c>
    </row>
    <row r="1380" x14ac:dyDescent="0.25">
      <c r="A1380" t="n">
        <v>25</v>
      </c>
      <c r="B1380" t="s">
        <v>14</v>
      </c>
      <c r="C1380" t="s">
        <v>22</v>
      </c>
      <c r="D1380" s="2" t="s">
        <f>=HYPERLINK("https://main.knesset.gov.il/APPS/legislation/main/bills/2231725", "הצעת חוק הכנסת (תיקון - הרכב הוועדה הציבורית לבדיקת כשירות והתאמה של מועמדים למשרת היועץ המשפטי לכנסת), התשפ""ה-2025")</f>
        <v>2940</v>
      </c>
      <c r="E1380" t="s">
        <v>2940</v>
      </c>
      <c r="F1380" t="s">
        <v>2941</v>
      </c>
      <c r="G1380" t="s">
        <v>14</v>
      </c>
      <c r="H1380">
             </c>
      <c r="I1380" t="s">
        <v>14</v>
      </c>
      <c r="J1380" t="s">
        <v>141</v>
      </c>
      <c r="K1380" t="s">
        <v>14</v>
      </c>
      <c r="L1380" t="s">
        <v>20</v>
      </c>
      <c r="M1380" t="s">
        <v>2931</v>
      </c>
      <c r="N1380" t="s">
        <v>14</v>
      </c>
    </row>
    <row r="1381" x14ac:dyDescent="0.25">
      <c r="A1381" t="n">
        <v>25</v>
      </c>
      <c r="B1381" t="s">
        <v>14</v>
      </c>
      <c r="C1381" t="s">
        <v>22</v>
      </c>
      <c r="D1381" s="2" t="s">
        <f>=HYPERLINK("https://main.knesset.gov.il/APPS/legislation/main/bills/2232364", "הצעת חוק המועצה הארצית לביטחון תזונתי (תיקון - קרן לשמירה על ביטחון תזונתי), התשפ""ה-2025")</f>
        <v>2942</v>
      </c>
      <c r="E1381" t="s">
        <v>2942</v>
      </c>
      <c r="F1381" t="s">
        <v>2943</v>
      </c>
      <c r="G1381" t="s">
        <v>14</v>
      </c>
      <c r="H1381">
             </c>
      <c r="I1381" t="s">
        <v>14</v>
      </c>
      <c r="J1381" t="s">
        <v>141</v>
      </c>
      <c r="K1381" t="s">
        <v>14</v>
      </c>
      <c r="L1381" t="s">
        <v>20</v>
      </c>
      <c r="M1381" t="s">
        <v>2931</v>
      </c>
      <c r="N1381" t="s">
        <v>14</v>
      </c>
    </row>
    <row r="1382" x14ac:dyDescent="0.25">
      <c r="A1382" t="n">
        <v>25</v>
      </c>
      <c r="B1382" t="s">
        <v>14</v>
      </c>
      <c r="C1382" t="s">
        <v>22</v>
      </c>
      <c r="D1382" s="2" t="s">
        <f>=HYPERLINK("https://main.knesset.gov.il/APPS/legislation/main/bills/2232387", "הצעת חוק בעלות אחודה (תיקוני חקיקה), התשפ""ה-2025 ")</f>
        <v>2944</v>
      </c>
      <c r="E1382" t="s">
        <v>2944</v>
      </c>
      <c r="F1382" t="s">
        <v>2945</v>
      </c>
      <c r="G1382" t="s">
        <v>14</v>
      </c>
      <c r="H1382">
             </c>
      <c r="I1382" t="s">
        <v>14</v>
      </c>
      <c r="J1382" t="s">
        <v>343</v>
      </c>
      <c r="K1382" t="s">
        <v>14</v>
      </c>
      <c r="L1382" t="s">
        <v>20</v>
      </c>
      <c r="M1382" t="s">
        <v>2931</v>
      </c>
      <c r="N1382" t="s">
        <v>14</v>
      </c>
    </row>
    <row r="1383" x14ac:dyDescent="0.25">
      <c r="A1383" t="n">
        <v>25</v>
      </c>
      <c r="B1383" t="s">
        <v>14</v>
      </c>
      <c r="C1383" t="s">
        <v>22</v>
      </c>
      <c r="D1383" s="2" t="s">
        <f>=HYPERLINK("https://main.knesset.gov.il/APPS/legislation/main/bills/2232391", "הצעת חוק להקפאת כספים ששילמה הרשות הפלסטינית בזיקה לטרור מהכספים המועברים אליה מממשלת ישראל (תיקון - איסור העברת כספים מהרשות הפלסטינית לפעיל טרור), התשפ""ה-2025")</f>
        <v>2946</v>
      </c>
      <c r="E1383" t="s">
        <v>2946</v>
      </c>
      <c r="F1383" t="s">
        <v>2947</v>
      </c>
      <c r="G1383" t="s">
        <v>14</v>
      </c>
      <c r="H1383">
             </c>
      <c r="I1383" t="s">
        <v>14</v>
      </c>
      <c r="J1383" t="s">
        <v>141</v>
      </c>
      <c r="K1383" t="s">
        <v>14</v>
      </c>
      <c r="L1383" t="s">
        <v>20</v>
      </c>
      <c r="M1383" t="s">
        <v>2931</v>
      </c>
      <c r="N1383" t="s">
        <v>14</v>
      </c>
    </row>
    <row r="1384" x14ac:dyDescent="0.25">
      <c r="A1384" t="n">
        <v>25</v>
      </c>
      <c r="B1384" t="s">
        <v>14</v>
      </c>
      <c r="C1384" t="s">
        <v>22</v>
      </c>
      <c r="D1384" s="2" t="s">
        <f>=HYPERLINK("https://main.knesset.gov.il/APPS/legislation/main/bills/2230308", "הצעת חוק שירות ביטחון (תיקון - גיוס חובה לעולים חדשים), התשפ""ה-2025")</f>
        <v>2948</v>
      </c>
      <c r="E1384" t="s">
        <v>2948</v>
      </c>
      <c r="F1384" t="s">
        <v>2949</v>
      </c>
      <c r="G1384" t="s">
        <v>14</v>
      </c>
      <c r="H1384">
             </c>
      <c r="I1384" t="s">
        <v>14</v>
      </c>
      <c r="J1384" t="s">
        <v>141</v>
      </c>
      <c r="K1384" t="s">
        <v>14</v>
      </c>
      <c r="L1384" t="s">
        <v>20</v>
      </c>
      <c r="M1384" t="s">
        <v>2931</v>
      </c>
      <c r="N1384" t="s">
        <v>14</v>
      </c>
    </row>
    <row r="1385" x14ac:dyDescent="0.25">
      <c r="A1385" t="n">
        <v>25</v>
      </c>
      <c r="B1385" t="s">
        <v>14</v>
      </c>
      <c r="C1385" t="s">
        <v>22</v>
      </c>
      <c r="D1385" s="2" t="s">
        <f>=HYPERLINK("https://main.knesset.gov.il/APPS/legislation/main/bills/2232179", "הצעת חוק מכירת רכב משומש (זכאות למידע וגילוי נאות) (תיקון - קבלת מידע לפני רכישת רכב משומש), התשפ""ה-2025")</f>
        <v>2950</v>
      </c>
      <c r="E1385" t="s">
        <v>2950</v>
      </c>
      <c r="F1385" t="s">
        <v>2951</v>
      </c>
      <c r="G1385" t="s">
        <v>14</v>
      </c>
      <c r="H1385">
             </c>
      <c r="I1385" t="s">
        <v>14</v>
      </c>
      <c r="J1385" t="s">
        <v>141</v>
      </c>
      <c r="K1385" t="s">
        <v>14</v>
      </c>
      <c r="L1385" t="s">
        <v>20</v>
      </c>
      <c r="M1385" t="s">
        <v>2931</v>
      </c>
      <c r="N1385" t="s">
        <v>14</v>
      </c>
    </row>
    <row r="1386" x14ac:dyDescent="0.25">
      <c r="A1386" t="n">
        <v>25</v>
      </c>
      <c r="B1386" t="s">
        <v>14</v>
      </c>
      <c r="C1386" t="s">
        <v>22</v>
      </c>
      <c r="D1386" s="2" t="s">
        <f>=HYPERLINK("https://main.knesset.gov.il/APPS/legislation/main/bills/2232175", "הצעת חוק סיוע ליצרן חקלאי באזורים הסמוכים לגבול המדינה, התשפ""ה-2025")</f>
        <v>2952</v>
      </c>
      <c r="E1386" t="s">
        <v>2952</v>
      </c>
      <c r="F1386" t="s">
        <v>2953</v>
      </c>
      <c r="G1386" t="s">
        <v>14</v>
      </c>
      <c r="H1386">
             </c>
      <c r="I1386" t="s">
        <v>14</v>
      </c>
      <c r="J1386" t="s">
        <v>141</v>
      </c>
      <c r="K1386" t="s">
        <v>14</v>
      </c>
      <c r="L1386" t="s">
        <v>20</v>
      </c>
      <c r="M1386" t="s">
        <v>2931</v>
      </c>
      <c r="N1386" t="s">
        <v>14</v>
      </c>
    </row>
    <row r="1387" x14ac:dyDescent="0.25">
      <c r="A1387" t="n">
        <v>25</v>
      </c>
      <c r="B1387" t="s">
        <v>14</v>
      </c>
      <c r="C1387" t="s">
        <v>22</v>
      </c>
      <c r="D1387" s="2" t="s">
        <f>=HYPERLINK("https://main.knesset.gov.il/APPS/legislation/main/bills/2232061", "הצעת חוק הנכים (תגמולים ושיקום) (תיקון - החזר בשל אובדן הכנסה לבן משפחה של נכה בתקופת האשפוז ולאחריה), התשפ""ה-2025")</f>
        <v>2954</v>
      </c>
      <c r="E1387" t="s">
        <v>2954</v>
      </c>
      <c r="F1387" t="s">
        <v>2955</v>
      </c>
      <c r="G1387" t="s">
        <v>14</v>
      </c>
      <c r="H1387">
             </c>
      <c r="I1387" t="s">
        <v>14</v>
      </c>
      <c r="J1387" t="s">
        <v>141</v>
      </c>
      <c r="K1387" t="s">
        <v>14</v>
      </c>
      <c r="L1387" t="s">
        <v>20</v>
      </c>
      <c r="M1387" t="s">
        <v>2931</v>
      </c>
      <c r="N1387" t="s">
        <v>14</v>
      </c>
    </row>
    <row r="1388" x14ac:dyDescent="0.25">
      <c r="A1388" t="n">
        <v>25</v>
      </c>
      <c r="B1388" t="s">
        <v>14</v>
      </c>
      <c r="C1388" t="s">
        <v>22</v>
      </c>
      <c r="D1388" s="2" t="s">
        <f>=HYPERLINK("https://main.knesset.gov.il/APPS/legislation/main/bills/2232191", "הצעת חוק סדר הדין הפלילי (סמכויות אכיפה - מעצרים) (תיקון - החרגת עבירת גביית דמי חסות), התשפ""ה-2025")</f>
        <v>2956</v>
      </c>
      <c r="E1388" t="s">
        <v>2956</v>
      </c>
      <c r="F1388" t="s">
        <v>2957</v>
      </c>
      <c r="G1388" t="s">
        <v>14</v>
      </c>
      <c r="H1388">
             </c>
      <c r="I1388" t="s">
        <v>14</v>
      </c>
      <c r="J1388" t="s">
        <v>141</v>
      </c>
      <c r="K1388" t="s">
        <v>14</v>
      </c>
      <c r="L1388" t="s">
        <v>20</v>
      </c>
      <c r="M1388" t="s">
        <v>2931</v>
      </c>
      <c r="N1388" t="s">
        <v>14</v>
      </c>
    </row>
    <row r="1389" x14ac:dyDescent="0.25">
      <c r="A1389" t="n">
        <v>25</v>
      </c>
      <c r="B1389" t="s">
        <v>14</v>
      </c>
      <c r="C1389" t="s">
        <v>22</v>
      </c>
      <c r="D1389" s="2" t="s">
        <f>=HYPERLINK("https://main.knesset.gov.il/APPS/legislation/main/bills/2230508", "הצעת חוק החברות הממשלתיות (תיקון - ייצוג הולם לבני העדה האתיופית), התשפ""ה-2025")</f>
        <v>2958</v>
      </c>
      <c r="E1389" t="s">
        <v>2958</v>
      </c>
      <c r="F1389" t="s">
        <v>2959</v>
      </c>
      <c r="G1389" t="s">
        <v>14</v>
      </c>
      <c r="H1389">
             </c>
      <c r="I1389" t="s">
        <v>14</v>
      </c>
      <c r="J1389" t="s">
        <v>141</v>
      </c>
      <c r="K1389" t="s">
        <v>14</v>
      </c>
      <c r="L1389" t="s">
        <v>20</v>
      </c>
      <c r="M1389" t="s">
        <v>2931</v>
      </c>
      <c r="N1389" t="s">
        <v>14</v>
      </c>
    </row>
    <row r="1390" x14ac:dyDescent="0.25">
      <c r="A1390" t="n">
        <v>25</v>
      </c>
      <c r="B1390" t="s">
        <v>14</v>
      </c>
      <c r="C1390" t="s">
        <v>22</v>
      </c>
      <c r="D1390" s="2" t="s">
        <f>=HYPERLINK("https://main.knesset.gov.il/APPS/legislation/main/bills/2232790", "הצעת חוק קרן לאזרחי ישראל (תיקון - הבטחת תקצוב הנגב), התשפ""ה-2025")</f>
        <v>197</v>
      </c>
      <c r="E1390" t="s">
        <v>197</v>
      </c>
      <c r="F1390" t="s">
        <v>2960</v>
      </c>
      <c r="G1390" t="s">
        <v>14</v>
      </c>
      <c r="H1390">
             </c>
      <c r="I1390" t="s">
        <v>14</v>
      </c>
      <c r="J1390" t="s">
        <v>141</v>
      </c>
      <c r="K1390" t="s">
        <v>14</v>
      </c>
      <c r="L1390" t="s">
        <v>20</v>
      </c>
      <c r="M1390" t="s">
        <v>2931</v>
      </c>
      <c r="N1390" t="s">
        <v>14</v>
      </c>
    </row>
    <row r="1391" x14ac:dyDescent="0.25">
      <c r="A1391" t="n">
        <v>25</v>
      </c>
      <c r="B1391" t="s">
        <v>14</v>
      </c>
      <c r="C1391" t="s">
        <v>22</v>
      </c>
      <c r="D1391" s="2" t="s">
        <f>=HYPERLINK("https://main.knesset.gov.il/APPS/legislation/main/bills/2232517", "הצעת חוק ועדות חקירה (תיקון - אירועי חובה להקמת ועדת חקירה ממלכתית), התשפ""ה-2025")</f>
        <v>2961</v>
      </c>
      <c r="E1391" t="s">
        <v>2961</v>
      </c>
      <c r="F1391" t="s">
        <v>2962</v>
      </c>
      <c r="G1391" t="s">
        <v>14</v>
      </c>
      <c r="H1391">
             </c>
      <c r="I1391" t="s">
        <v>14</v>
      </c>
      <c r="J1391" t="s">
        <v>141</v>
      </c>
      <c r="K1391" t="s">
        <v>14</v>
      </c>
      <c r="L1391" t="s">
        <v>20</v>
      </c>
      <c r="M1391" t="s">
        <v>2931</v>
      </c>
      <c r="N1391" t="s">
        <v>14</v>
      </c>
    </row>
    <row r="1392" x14ac:dyDescent="0.25">
      <c r="A1392" t="n">
        <v>25</v>
      </c>
      <c r="B1392" t="s">
        <v>14</v>
      </c>
      <c r="C1392" t="s">
        <v>22</v>
      </c>
      <c r="D1392" s="2" t="s">
        <f>=HYPERLINK("https://main.knesset.gov.il/APPS/legislation/main/bills/2232050", "הצעת חוק הביטוח הלאומי (תיקון - שיעור קצבת שירותים מיוחדים וגמלת ילד נכה למעסיקים שני מטפלים), התשפ""ה-2025")</f>
        <v>2963</v>
      </c>
      <c r="E1392" t="s">
        <v>2963</v>
      </c>
      <c r="F1392" t="s">
        <v>2964</v>
      </c>
      <c r="G1392" t="s">
        <v>14</v>
      </c>
      <c r="H1392">
             </c>
      <c r="I1392" t="s">
        <v>14</v>
      </c>
      <c r="J1392" t="s">
        <v>141</v>
      </c>
      <c r="K1392" t="s">
        <v>14</v>
      </c>
      <c r="L1392" t="s">
        <v>20</v>
      </c>
      <c r="M1392" t="s">
        <v>2931</v>
      </c>
      <c r="N1392" t="s">
        <v>14</v>
      </c>
    </row>
    <row r="1393" x14ac:dyDescent="0.25">
      <c r="A1393" t="n">
        <v>25</v>
      </c>
      <c r="B1393" t="s">
        <v>14</v>
      </c>
      <c r="C1393" t="s">
        <v>22</v>
      </c>
      <c r="D1393" s="2" t="s">
        <f>=HYPERLINK("https://main.knesset.gov.il/APPS/legislation/main/bills/2230763", "הצעת חוק איסור עיסוק נוסף לשופטים, חברי הכנסת ושרים, התשפ""ה-2025")</f>
        <v>2965</v>
      </c>
      <c r="E1393" t="s">
        <v>2965</v>
      </c>
      <c r="F1393" t="s">
        <v>2966</v>
      </c>
      <c r="G1393" t="s">
        <v>14</v>
      </c>
      <c r="H1393">
             </c>
      <c r="I1393" t="s">
        <v>14</v>
      </c>
      <c r="J1393" t="s">
        <v>141</v>
      </c>
      <c r="K1393" t="s">
        <v>14</v>
      </c>
      <c r="L1393" t="s">
        <v>20</v>
      </c>
      <c r="M1393" t="s">
        <v>2931</v>
      </c>
      <c r="N1393" t="s">
        <v>14</v>
      </c>
    </row>
    <row r="1394" x14ac:dyDescent="0.25">
      <c r="A1394" t="n">
        <v>25</v>
      </c>
      <c r="B1394" t="s">
        <v>14</v>
      </c>
      <c r="C1394" t="s">
        <v>22</v>
      </c>
      <c r="D1394" s="2" t="s">
        <f>=HYPERLINK("https://main.knesset.gov.il/APPS/legislation/main/bills/2232353", "הצעת חוק עובדים זרים (תיקון - האחראי על טיפול בפניות מעסיקים בענף הסיעוד הביתי), התשפ""ה-2025")</f>
        <v>2967</v>
      </c>
      <c r="E1394" t="s">
        <v>2967</v>
      </c>
      <c r="F1394" t="s">
        <v>2968</v>
      </c>
      <c r="G1394" t="s">
        <v>14</v>
      </c>
      <c r="H1394">
             </c>
      <c r="I1394" t="s">
        <v>14</v>
      </c>
      <c r="J1394" t="s">
        <v>141</v>
      </c>
      <c r="K1394" t="s">
        <v>14</v>
      </c>
      <c r="L1394" t="s">
        <v>20</v>
      </c>
      <c r="M1394" t="s">
        <v>2931</v>
      </c>
      <c r="N1394" t="s">
        <v>14</v>
      </c>
    </row>
    <row r="1395" x14ac:dyDescent="0.25">
      <c r="A1395" t="n">
        <v>25</v>
      </c>
      <c r="B1395" t="s">
        <v>14</v>
      </c>
      <c r="C1395" t="s">
        <v>22</v>
      </c>
      <c r="D1395" s="2" t="s">
        <f>=HYPERLINK("https://main.knesset.gov.il/APPS/legislation/main/bills/2232610", "הצעת חוק לתיקון פקודת מסי העיריה ומסי הממשלה (פיטורין) (נכס המשמש כמבנה לארגון נוער), התשפ""ה-2025")</f>
        <v>2969</v>
      </c>
      <c r="E1395" t="s">
        <v>2969</v>
      </c>
      <c r="F1395" t="s">
        <v>2970</v>
      </c>
      <c r="G1395" t="s">
        <v>14</v>
      </c>
      <c r="H1395">
             </c>
      <c r="I1395" t="s">
        <v>14</v>
      </c>
      <c r="J1395" t="s">
        <v>141</v>
      </c>
      <c r="K1395" t="s">
        <v>14</v>
      </c>
      <c r="L1395" t="s">
        <v>20</v>
      </c>
      <c r="M1395" t="s">
        <v>2931</v>
      </c>
      <c r="N1395" t="s">
        <v>14</v>
      </c>
    </row>
    <row r="1396" x14ac:dyDescent="0.25">
      <c r="A1396" t="n">
        <v>25</v>
      </c>
      <c r="B1396" t="s">
        <v>14</v>
      </c>
      <c r="C1396" t="s">
        <v>22</v>
      </c>
      <c r="D1396" s="2" t="s">
        <f>=HYPERLINK("https://main.knesset.gov.il/APPS/legislation/main/bills/2232573", "הצעת חוק לעידוד השקעות הון בחקלאות (תיקון - השוואת ההטבות בתעשייה להטבות בחקלאות ותמיכה בתזונה בריאה), התשפ""ה-2025")</f>
        <v>2971</v>
      </c>
      <c r="E1396" t="s">
        <v>2971</v>
      </c>
      <c r="F1396" t="s">
        <v>2972</v>
      </c>
      <c r="G1396" t="s">
        <v>14</v>
      </c>
      <c r="H1396">
             </c>
      <c r="I1396" t="s">
        <v>14</v>
      </c>
      <c r="J1396" t="s">
        <v>141</v>
      </c>
      <c r="K1396" t="s">
        <v>14</v>
      </c>
      <c r="L1396" t="s">
        <v>20</v>
      </c>
      <c r="M1396" t="s">
        <v>2931</v>
      </c>
      <c r="N1396" t="s">
        <v>14</v>
      </c>
    </row>
    <row r="1397" x14ac:dyDescent="0.25">
      <c r="A1397" t="n">
        <v>25</v>
      </c>
      <c r="B1397" t="s">
        <v>14</v>
      </c>
      <c r="C1397" t="s">
        <v>22</v>
      </c>
      <c r="D1397" s="2" t="s">
        <f>=HYPERLINK("https://main.knesset.gov.il/APPS/legislation/main/bills/2205253", "חוק התקשורת (בזק ושידורים) (תיקון מס' 82 – הוראת שעה), התשפ""ה–2025")</f>
        <v>2973</v>
      </c>
      <c r="E1397" t="s">
        <v>2973</v>
      </c>
      <c r="F1397" t="s">
        <v>2974</v>
      </c>
      <c r="G1397" t="s">
        <v>2975</v>
      </c>
      <c r="H1397" t="n">
        <v>3426</v>
      </c>
      <c r="I1397" t="s">
        <v>14</v>
      </c>
      <c r="J1397" t="s">
        <v>91</v>
      </c>
      <c r="K1397" t="s">
        <v>19</v>
      </c>
      <c r="L1397" t="s">
        <v>20</v>
      </c>
      <c r="M1397" t="s">
        <v>2976</v>
      </c>
      <c r="N1397" t="s">
        <v>2977</v>
      </c>
    </row>
    <row r="1398" x14ac:dyDescent="0.25">
      <c r="A1398" t="n">
        <v>25</v>
      </c>
      <c r="B1398" t="s">
        <v>14</v>
      </c>
      <c r="C1398" t="s">
        <v>22</v>
      </c>
      <c r="D1398" s="2" t="s">
        <f>=HYPERLINK("https://main.knesset.gov.il/APPS/legislation/main/bills/2230351", "הצעת חוק הגנה על הציבור מפני ביצוע עבירות מין (תיקון - סמכויות עיכוב ומעצר), התשפ""ה-2025")</f>
        <v>2978</v>
      </c>
      <c r="E1398" t="s">
        <v>2978</v>
      </c>
      <c r="F1398" t="s">
        <v>2979</v>
      </c>
      <c r="G1398" t="s">
        <v>14</v>
      </c>
      <c r="H1398">
             </c>
      <c r="I1398" t="s">
        <v>14</v>
      </c>
      <c r="J1398" t="s">
        <v>343</v>
      </c>
      <c r="K1398" t="s">
        <v>14</v>
      </c>
      <c r="L1398" t="s">
        <v>20</v>
      </c>
      <c r="M1398" t="s">
        <v>2976</v>
      </c>
      <c r="N1398" t="s">
        <v>14</v>
      </c>
    </row>
    <row r="1399" x14ac:dyDescent="0.25">
      <c r="A1399" t="n">
        <v>25</v>
      </c>
      <c r="B1399" t="s">
        <v>14</v>
      </c>
      <c r="C1399" t="s">
        <v>22</v>
      </c>
      <c r="D1399" s="2" t="s">
        <f>=HYPERLINK("https://main.knesset.gov.il/APPS/legislation/main/bills/2229916", "הצעת חוק שירותי תעופה (פיצוי וסיוע בשל ביטול טיסה או שינוי בתנאיה) (תיקון - הודעה לגבי ביטול טיסה או שינוי במועד טיסה), התשפ""ה-2025")</f>
        <v>2980</v>
      </c>
      <c r="E1399" t="s">
        <v>2980</v>
      </c>
      <c r="F1399" t="s">
        <v>2981</v>
      </c>
      <c r="G1399" t="s">
        <v>14</v>
      </c>
      <c r="H1399">
             </c>
      <c r="I1399" t="s">
        <v>14</v>
      </c>
      <c r="J1399" t="s">
        <v>31</v>
      </c>
      <c r="K1399" t="s">
        <v>19</v>
      </c>
      <c r="L1399" t="s">
        <v>20</v>
      </c>
      <c r="M1399" t="s">
        <v>2976</v>
      </c>
      <c r="N1399" t="s">
        <v>14</v>
      </c>
    </row>
    <row r="1400" x14ac:dyDescent="0.25">
      <c r="A1400" t="n">
        <v>25</v>
      </c>
      <c r="B1400" t="s">
        <v>14</v>
      </c>
      <c r="C1400" t="s">
        <v>22</v>
      </c>
      <c r="D1400" s="2" t="s">
        <f>=HYPERLINK("https://main.knesset.gov.il/APPS/legislation/main/bills/2230165", "הצעת חוק סמכויות לשם שמירה על ביטחון הציבור (תיקון - הסמכת מאבטחים למניעת פעילות חבלנית עוינת במרחב הציבורי ברשויות המקומיות), התשפ""ה-2025 ")</f>
        <v>2982</v>
      </c>
      <c r="E1400" t="s">
        <v>2982</v>
      </c>
      <c r="F1400" t="s">
        <v>2983</v>
      </c>
      <c r="G1400" t="s">
        <v>14</v>
      </c>
      <c r="H1400">
             </c>
      <c r="I1400" t="s">
        <v>14</v>
      </c>
      <c r="J1400" t="s">
        <v>343</v>
      </c>
      <c r="K1400" t="s">
        <v>14</v>
      </c>
      <c r="L1400" t="s">
        <v>20</v>
      </c>
      <c r="M1400" t="s">
        <v>2976</v>
      </c>
      <c r="N1400" t="s">
        <v>14</v>
      </c>
    </row>
    <row r="1401" x14ac:dyDescent="0.25">
      <c r="A1401" t="n">
        <v>25</v>
      </c>
      <c r="B1401" t="s">
        <v>14</v>
      </c>
      <c r="C1401" t="s">
        <v>22</v>
      </c>
      <c r="D1401" s="2" t="s">
        <f>=HYPERLINK("https://main.knesset.gov.il/APPS/legislation/main/bills/2229200", "הצעת חוק הגנת הצרכן (תיקון - שינוי יעד של משלוח טובין), התשפ""ה-2025")</f>
        <v>2984</v>
      </c>
      <c r="E1401" t="s">
        <v>2984</v>
      </c>
      <c r="F1401" t="s">
        <v>2985</v>
      </c>
      <c r="G1401" t="s">
        <v>14</v>
      </c>
      <c r="H1401">
             </c>
      <c r="I1401" t="s">
        <v>14</v>
      </c>
      <c r="J1401" t="s">
        <v>343</v>
      </c>
      <c r="K1401" t="s">
        <v>14</v>
      </c>
      <c r="L1401" t="s">
        <v>20</v>
      </c>
      <c r="M1401" t="s">
        <v>2976</v>
      </c>
      <c r="N1401" t="s">
        <v>14</v>
      </c>
    </row>
    <row r="1402" x14ac:dyDescent="0.25">
      <c r="A1402" t="n">
        <v>25</v>
      </c>
      <c r="B1402" t="s">
        <v>14</v>
      </c>
      <c r="C1402" t="s">
        <v>22</v>
      </c>
      <c r="D1402" s="2" t="s">
        <f>=HYPERLINK("https://main.knesset.gov.il/APPS/legislation/main/bills/2228518", "הצעת חוק הביטוח הלאומי (תיקון - הגבלת תשלום בעד טיפול בתביעה), התשפ""ה-2025")</f>
        <v>2986</v>
      </c>
      <c r="E1402" t="s">
        <v>2986</v>
      </c>
      <c r="F1402" t="s">
        <v>2987</v>
      </c>
      <c r="G1402" t="s">
        <v>14</v>
      </c>
      <c r="H1402">
             </c>
      <c r="I1402" t="s">
        <v>14</v>
      </c>
      <c r="J1402" t="s">
        <v>343</v>
      </c>
      <c r="K1402" t="s">
        <v>14</v>
      </c>
      <c r="L1402" t="s">
        <v>20</v>
      </c>
      <c r="M1402" t="s">
        <v>2976</v>
      </c>
      <c r="N1402" t="s">
        <v>14</v>
      </c>
    </row>
    <row r="1403" x14ac:dyDescent="0.25">
      <c r="A1403" t="n">
        <v>25</v>
      </c>
      <c r="B1403" t="s">
        <v>14</v>
      </c>
      <c r="C1403" t="s">
        <v>22</v>
      </c>
      <c r="D1403" s="2" t="s">
        <f>=HYPERLINK("https://main.knesset.gov.il/APPS/legislation/main/bills/2224955", "הצעת חוק סמכויות לשם שמירה על ביטחון הציבור (תיקון - הסמכת מאבטחים למניעת פעילות חבלנית עוינת במרחב הציבורי ברשויות המקומיות), התשפ""ה-2025 ")</f>
        <v>2982</v>
      </c>
      <c r="E1403" t="s">
        <v>2982</v>
      </c>
      <c r="F1403" t="s">
        <v>2988</v>
      </c>
      <c r="G1403" t="s">
        <v>14</v>
      </c>
      <c r="H1403">
             </c>
      <c r="I1403" t="s">
        <v>14</v>
      </c>
      <c r="J1403" t="s">
        <v>343</v>
      </c>
      <c r="K1403" t="s">
        <v>14</v>
      </c>
      <c r="L1403" t="s">
        <v>20</v>
      </c>
      <c r="M1403" t="s">
        <v>2976</v>
      </c>
      <c r="N1403" t="s">
        <v>14</v>
      </c>
    </row>
    <row r="1404" x14ac:dyDescent="0.25">
      <c r="A1404" t="n">
        <v>25</v>
      </c>
      <c r="B1404" t="s">
        <v>14</v>
      </c>
      <c r="C1404" t="s">
        <v>22</v>
      </c>
      <c r="D1404" s="2" t="s">
        <f>=HYPERLINK("https://main.knesset.gov.il/APPS/legislation/main/bills/2220125", "הצעת חוק המאבק במדינות תומכות טרור, התשפ""ד-2024")</f>
        <v>2989</v>
      </c>
      <c r="E1404" t="s">
        <v>2989</v>
      </c>
      <c r="F1404" t="s">
        <v>2990</v>
      </c>
      <c r="G1404" t="s">
        <v>14</v>
      </c>
      <c r="H1404">
             </c>
      <c r="I1404" t="s">
        <v>14</v>
      </c>
      <c r="J1404" t="s">
        <v>343</v>
      </c>
      <c r="K1404" t="s">
        <v>14</v>
      </c>
      <c r="L1404" t="s">
        <v>20</v>
      </c>
      <c r="M1404" t="s">
        <v>2976</v>
      </c>
      <c r="N1404" t="s">
        <v>14</v>
      </c>
    </row>
    <row r="1405" x14ac:dyDescent="0.25">
      <c r="A1405" t="n">
        <v>25</v>
      </c>
      <c r="B1405" t="s">
        <v>14</v>
      </c>
      <c r="C1405" t="s">
        <v>22</v>
      </c>
      <c r="D1405" s="2" t="s">
        <f>=HYPERLINK("https://main.knesset.gov.il/APPS/legislation/main/bills/2218659", "הצעת חוק התפזרות הכנסת העשרים וחמש, התשפ""ד-2024")</f>
        <v>2991</v>
      </c>
      <c r="E1405" t="s">
        <v>2991</v>
      </c>
      <c r="F1405" t="s">
        <v>2992</v>
      </c>
      <c r="G1405" t="s">
        <v>14</v>
      </c>
      <c r="H1405">
             </c>
      <c r="I1405" t="s">
        <v>14</v>
      </c>
      <c r="J1405" t="s">
        <v>55</v>
      </c>
      <c r="K1405" t="s">
        <v>14</v>
      </c>
      <c r="L1405" t="s">
        <v>20</v>
      </c>
      <c r="M1405" t="s">
        <v>2976</v>
      </c>
      <c r="N1405" t="s">
        <v>14</v>
      </c>
    </row>
    <row r="1406" x14ac:dyDescent="0.25">
      <c r="A1406" t="n">
        <v>25</v>
      </c>
      <c r="B1406" t="s">
        <v>14</v>
      </c>
      <c r="C1406" t="s">
        <v>22</v>
      </c>
      <c r="D1406" s="2" t="s">
        <f>=HYPERLINK("https://main.knesset.gov.il/APPS/legislation/main/bills/2203896", "הצעת חוק התפזרות הכנסת העשרים וחמש, התשפ""ג-2023")</f>
        <v>402</v>
      </c>
      <c r="E1406" t="s">
        <v>402</v>
      </c>
      <c r="F1406" t="s">
        <v>2993</v>
      </c>
      <c r="G1406" t="s">
        <v>14</v>
      </c>
      <c r="H1406">
             </c>
      <c r="I1406" t="s">
        <v>14</v>
      </c>
      <c r="J1406" t="s">
        <v>55</v>
      </c>
      <c r="K1406" t="s">
        <v>14</v>
      </c>
      <c r="L1406" t="s">
        <v>20</v>
      </c>
      <c r="M1406" t="s">
        <v>2976</v>
      </c>
      <c r="N1406" t="s">
        <v>14</v>
      </c>
    </row>
    <row r="1407" x14ac:dyDescent="0.25">
      <c r="A1407" t="n">
        <v>25</v>
      </c>
      <c r="B1407" t="s">
        <v>14</v>
      </c>
      <c r="C1407" t="s">
        <v>22</v>
      </c>
      <c r="D1407" s="2" t="s">
        <f>=HYPERLINK("https://main.knesset.gov.il/APPS/legislation/main/bills/2203604", "הצעת חוק התפזרות הכנסת העשרים וחמש, התשפ""ג-2023")</f>
        <v>402</v>
      </c>
      <c r="E1407" t="s">
        <v>402</v>
      </c>
      <c r="F1407" t="s">
        <v>2994</v>
      </c>
      <c r="G1407" t="s">
        <v>14</v>
      </c>
      <c r="H1407">
             </c>
      <c r="I1407" t="s">
        <v>14</v>
      </c>
      <c r="J1407" t="s">
        <v>55</v>
      </c>
      <c r="K1407" t="s">
        <v>14</v>
      </c>
      <c r="L1407" t="s">
        <v>20</v>
      </c>
      <c r="M1407" t="s">
        <v>2976</v>
      </c>
      <c r="N1407" t="s">
        <v>14</v>
      </c>
    </row>
    <row r="1408" x14ac:dyDescent="0.25">
      <c r="A1408" t="n">
        <v>25</v>
      </c>
      <c r="B1408" t="s">
        <v>14</v>
      </c>
      <c r="C1408" t="s">
        <v>22</v>
      </c>
      <c r="D1408" s="2" t="s">
        <f>=HYPERLINK("https://main.knesset.gov.il/APPS/legislation/main/bills/2198981", "הצעת חוק התפזרות הכנסת העשרים וחמש, התשפ""ג-2023")</f>
        <v>402</v>
      </c>
      <c r="E1408" t="s">
        <v>402</v>
      </c>
      <c r="F1408" t="s">
        <v>2995</v>
      </c>
      <c r="G1408" t="s">
        <v>14</v>
      </c>
      <c r="H1408">
             </c>
      <c r="I1408" t="s">
        <v>14</v>
      </c>
      <c r="J1408" t="s">
        <v>55</v>
      </c>
      <c r="K1408" t="s">
        <v>14</v>
      </c>
      <c r="L1408" t="s">
        <v>20</v>
      </c>
      <c r="M1408" t="s">
        <v>2976</v>
      </c>
      <c r="N1408" t="s">
        <v>14</v>
      </c>
    </row>
    <row r="1409" x14ac:dyDescent="0.25">
      <c r="A1409" t="n">
        <v>25</v>
      </c>
      <c r="B1409" t="s">
        <v>14</v>
      </c>
      <c r="C1409" t="s">
        <v>22</v>
      </c>
      <c r="D1409" s="2" t="s">
        <f>=HYPERLINK("https://main.knesset.gov.il/APPS/legislation/main/bills/2196960", "הצעת חוק התפזרות הכנסת העשרים וחמש, התשפ""ג-2022")</f>
        <v>404</v>
      </c>
      <c r="E1409" t="s">
        <v>404</v>
      </c>
      <c r="F1409" t="s">
        <v>2996</v>
      </c>
      <c r="G1409" t="s">
        <v>14</v>
      </c>
      <c r="H1409">
             </c>
      <c r="I1409" t="s">
        <v>14</v>
      </c>
      <c r="J1409" t="s">
        <v>55</v>
      </c>
      <c r="K1409" t="s">
        <v>14</v>
      </c>
      <c r="L1409" t="s">
        <v>20</v>
      </c>
      <c r="M1409" t="s">
        <v>2976</v>
      </c>
      <c r="N1409" t="s">
        <v>14</v>
      </c>
    </row>
    <row r="1410" x14ac:dyDescent="0.25">
      <c r="A1410" t="n">
        <v>25</v>
      </c>
      <c r="B1410" t="s">
        <v>14</v>
      </c>
      <c r="C1410" t="s">
        <v>22</v>
      </c>
      <c r="D1410" s="2" t="s">
        <f>=HYPERLINK("https://main.knesset.gov.il/APPS/legislation/main/bills/2196561", "הצעת חוק התפזרות הכנסת העשרים וחמש, התשפ""ג-2022")</f>
        <v>404</v>
      </c>
      <c r="E1410" t="s">
        <v>404</v>
      </c>
      <c r="F1410" t="s">
        <v>2997</v>
      </c>
      <c r="G1410" t="s">
        <v>14</v>
      </c>
      <c r="H1410">
             </c>
      <c r="I1410" t="s">
        <v>14</v>
      </c>
      <c r="J1410" t="s">
        <v>55</v>
      </c>
      <c r="K1410" t="s">
        <v>14</v>
      </c>
      <c r="L1410" t="s">
        <v>20</v>
      </c>
      <c r="M1410" t="s">
        <v>2976</v>
      </c>
      <c r="N1410" t="s">
        <v>14</v>
      </c>
    </row>
    <row r="1411" x14ac:dyDescent="0.25">
      <c r="A1411" t="n">
        <v>25</v>
      </c>
      <c r="B1411" t="s">
        <v>14</v>
      </c>
      <c r="C1411" t="s">
        <v>15</v>
      </c>
      <c r="D1411" s="2" t="s">
        <f>=HYPERLINK("https://main.knesset.gov.il/APPS/legislation/main/bills/2232839", "הצעת חוק איסור הלבנת הון (תיקון מס' 36) (הקפאה זמנית של רכוש או של פעולה ברכוש), התשפ""ה-2025")</f>
        <v>2998</v>
      </c>
      <c r="E1411" t="s">
        <v>2998</v>
      </c>
      <c r="F1411" t="s">
        <v>14</v>
      </c>
      <c r="G1411" t="s">
        <v>2999</v>
      </c>
      <c r="H1411">
             </c>
      <c r="I1411" t="s">
        <v>14</v>
      </c>
      <c r="J1411" t="s">
        <v>69</v>
      </c>
      <c r="K1411" t="s">
        <v>14</v>
      </c>
      <c r="L1411" t="s">
        <v>20</v>
      </c>
      <c r="M1411" t="s">
        <v>2976</v>
      </c>
      <c r="N1411" t="s">
        <v>14</v>
      </c>
    </row>
    <row r="1412" x14ac:dyDescent="0.25">
      <c r="A1412" t="n">
        <v>25</v>
      </c>
      <c r="B1412" t="s">
        <v>14</v>
      </c>
      <c r="C1412" t="s">
        <v>22</v>
      </c>
      <c r="D1412" s="2" t="s">
        <f>=HYPERLINK("https://main.knesset.gov.il/APPS/legislation/main/bills/2207881", "הצעת חוק הבנקאות (שירות ללקוח) (תיקון - ריבית על יתרת זכות), התשפ""ג-2023")</f>
        <v>2315</v>
      </c>
      <c r="E1412" t="s">
        <v>2315</v>
      </c>
      <c r="F1412" t="s">
        <v>3000</v>
      </c>
      <c r="G1412" t="s">
        <v>14</v>
      </c>
      <c r="H1412">
             </c>
      <c r="I1412" t="s">
        <v>14</v>
      </c>
      <c r="J1412" t="s">
        <v>99</v>
      </c>
      <c r="K1412" t="s">
        <v>19</v>
      </c>
      <c r="L1412" t="s">
        <v>20</v>
      </c>
      <c r="M1412" t="s">
        <v>3001</v>
      </c>
      <c r="N1412" t="s">
        <v>14</v>
      </c>
    </row>
    <row r="1413" x14ac:dyDescent="0.25">
      <c r="A1413" t="n">
        <v>25</v>
      </c>
      <c r="B1413" t="s">
        <v>14</v>
      </c>
      <c r="C1413" t="s">
        <v>22</v>
      </c>
      <c r="D1413" s="2" t="s">
        <f>=HYPERLINK("https://main.knesset.gov.il/APPS/legislation/main/bills/2203717", "הצעת חוק הבנקאות (שירות ללקוח) (תיקון - ריבית על יתרת זכות), התשפ""ג-2023")</f>
        <v>2315</v>
      </c>
      <c r="E1413" t="s">
        <v>2315</v>
      </c>
      <c r="F1413" t="s">
        <v>3002</v>
      </c>
      <c r="G1413" t="s">
        <v>14</v>
      </c>
      <c r="H1413">
             </c>
      <c r="I1413" t="s">
        <v>14</v>
      </c>
      <c r="J1413" t="s">
        <v>99</v>
      </c>
      <c r="K1413" t="s">
        <v>19</v>
      </c>
      <c r="L1413" t="s">
        <v>20</v>
      </c>
      <c r="M1413" t="s">
        <v>3001</v>
      </c>
      <c r="N1413" t="s">
        <v>14</v>
      </c>
    </row>
    <row r="1414" x14ac:dyDescent="0.25">
      <c r="A1414" t="n">
        <v>25</v>
      </c>
      <c r="B1414" t="s">
        <v>14</v>
      </c>
      <c r="C1414" t="s">
        <v>22</v>
      </c>
      <c r="D1414" s="2" t="s">
        <f>=HYPERLINK("https://main.knesset.gov.il/APPS/legislation/main/bills/2218542", "חוק הנוטריונים (תיקון מס' 11), התשפ""ה-2025")</f>
        <v>3003</v>
      </c>
      <c r="E1414" t="s">
        <v>3003</v>
      </c>
      <c r="F1414" t="s">
        <v>3004</v>
      </c>
      <c r="G1414" t="s">
        <v>3005</v>
      </c>
      <c r="H1414" t="n">
        <v>3424</v>
      </c>
      <c r="I1414" t="s">
        <v>14</v>
      </c>
      <c r="J1414" t="s">
        <v>91</v>
      </c>
      <c r="K1414" t="s">
        <v>27</v>
      </c>
      <c r="L1414" t="s">
        <v>20</v>
      </c>
      <c r="M1414" t="s">
        <v>3001</v>
      </c>
      <c r="N1414" t="s">
        <v>3006</v>
      </c>
    </row>
    <row r="1415" x14ac:dyDescent="0.25">
      <c r="A1415" t="n">
        <v>25</v>
      </c>
      <c r="B1415" t="s">
        <v>14</v>
      </c>
      <c r="C1415" t="s">
        <v>22</v>
      </c>
      <c r="D1415" s="2" t="s">
        <f>=HYPERLINK("https://main.knesset.gov.il/APPS/legislation/main/bills/2220900", "חוק אסטרטגיית הביטחון הלאומי, התשפ""ה–2025")</f>
        <v>3007</v>
      </c>
      <c r="E1415" t="s">
        <v>3007</v>
      </c>
      <c r="F1415" t="s">
        <v>3008</v>
      </c>
      <c r="G1415" t="s">
        <v>3009</v>
      </c>
      <c r="H1415" t="n">
        <v>3423</v>
      </c>
      <c r="I1415" t="s">
        <v>14</v>
      </c>
      <c r="J1415" t="s">
        <v>91</v>
      </c>
      <c r="K1415" t="s">
        <v>114</v>
      </c>
      <c r="L1415" t="s">
        <v>20</v>
      </c>
      <c r="M1415" t="s">
        <v>3001</v>
      </c>
      <c r="N1415" t="s">
        <v>3010</v>
      </c>
    </row>
    <row r="1416" x14ac:dyDescent="0.25">
      <c r="A1416" t="n">
        <v>25</v>
      </c>
      <c r="B1416" t="s">
        <v>14</v>
      </c>
      <c r="C1416" t="s">
        <v>22</v>
      </c>
      <c r="D1416" s="2" t="s">
        <f>=HYPERLINK("https://main.knesset.gov.il/APPS/legislation/main/bills/2205767", "הצעת חוק השידור הציבורי הישראלי (תיקון מס' 10 והוראת שעה), התשפ""ה–2025")</f>
        <v>3011</v>
      </c>
      <c r="E1416" t="s">
        <v>3011</v>
      </c>
      <c r="F1416" t="s">
        <v>3012</v>
      </c>
      <c r="G1416" t="s">
        <v>3013</v>
      </c>
      <c r="H1416">
             </c>
      <c r="I1416" t="s">
        <v>14</v>
      </c>
      <c r="J1416" t="s">
        <v>289</v>
      </c>
      <c r="K1416" t="s">
        <v>19</v>
      </c>
      <c r="L1416" t="s">
        <v>20</v>
      </c>
      <c r="M1416" t="s">
        <v>3001</v>
      </c>
      <c r="N1416" t="s">
        <v>14</v>
      </c>
    </row>
    <row r="1417" x14ac:dyDescent="0.25">
      <c r="A1417" t="n">
        <v>25</v>
      </c>
      <c r="B1417" t="s">
        <v>14</v>
      </c>
      <c r="C1417" t="s">
        <v>22</v>
      </c>
      <c r="D1417" s="2" t="s">
        <f>=HYPERLINK("https://main.knesset.gov.il/APPS/legislation/main/bills/2225783", "הצעת חוק עבודת נשים (תיקון - הארכת תקופת הלידה וההורות להורי פעוט עם מוגבלות מורכבת), התשפ""ה-2024")</f>
        <v>3014</v>
      </c>
      <c r="E1417" t="s">
        <v>3014</v>
      </c>
      <c r="F1417" t="s">
        <v>3015</v>
      </c>
      <c r="G1417" t="s">
        <v>14</v>
      </c>
      <c r="H1417">
             </c>
      <c r="I1417" t="s">
        <v>14</v>
      </c>
      <c r="J1417" t="s">
        <v>99</v>
      </c>
      <c r="K1417" t="s">
        <v>127</v>
      </c>
      <c r="L1417" t="s">
        <v>20</v>
      </c>
      <c r="M1417" t="s">
        <v>3016</v>
      </c>
      <c r="N1417" t="s">
        <v>14</v>
      </c>
    </row>
    <row r="1418" x14ac:dyDescent="0.25">
      <c r="A1418" t="n">
        <v>25</v>
      </c>
      <c r="B1418" t="s">
        <v>14</v>
      </c>
      <c r="C1418" t="s">
        <v>15</v>
      </c>
      <c r="D1418" s="2" t="s">
        <f>=HYPERLINK("https://main.knesset.gov.il/APPS/legislation/main/bills/2231844", "הצעת חוק ההתייעלות הכלכלית (תיקוני חקיקה להשגת יעדי התקציב לשנות התקציב 2023 ו-2024) (תיקון מס' 2), התשפ""ה-2025 ")</f>
        <v>3017</v>
      </c>
      <c r="E1418" t="s">
        <v>3017</v>
      </c>
      <c r="F1418" t="s">
        <v>14</v>
      </c>
      <c r="G1418" t="s">
        <v>3018</v>
      </c>
      <c r="H1418">
             </c>
      <c r="I1418" t="s">
        <v>14</v>
      </c>
      <c r="J1418" t="s">
        <v>18</v>
      </c>
      <c r="K1418" t="s">
        <v>85</v>
      </c>
      <c r="L1418" t="s">
        <v>20</v>
      </c>
      <c r="M1418" t="s">
        <v>3016</v>
      </c>
      <c r="N1418" t="s">
        <v>14</v>
      </c>
    </row>
    <row r="1419" x14ac:dyDescent="0.25">
      <c r="A1419" t="n">
        <v>25</v>
      </c>
      <c r="B1419" t="s">
        <v>14</v>
      </c>
      <c r="C1419" t="s">
        <v>15</v>
      </c>
      <c r="D1419" s="2" t="s">
        <f>=HYPERLINK("https://main.knesset.gov.il/APPS/legislation/main/bills/2230250", "חוק לשכת עורכי הדין (תיקון מס' 46), התשפ""ה-2025 ")</f>
        <v>3019</v>
      </c>
      <c r="E1419" t="s">
        <v>3019</v>
      </c>
      <c r="F1419" t="s">
        <v>14</v>
      </c>
      <c r="G1419" t="s">
        <v>3020</v>
      </c>
      <c r="H1419" t="n">
        <v>3422</v>
      </c>
      <c r="I1419" t="s">
        <v>14</v>
      </c>
      <c r="J1419" t="s">
        <v>91</v>
      </c>
      <c r="K1419" t="s">
        <v>27</v>
      </c>
      <c r="L1419" t="s">
        <v>20</v>
      </c>
      <c r="M1419" t="s">
        <v>3016</v>
      </c>
      <c r="N1419" t="s">
        <v>3021</v>
      </c>
    </row>
    <row r="1420" x14ac:dyDescent="0.25">
      <c r="A1420" t="n">
        <v>25</v>
      </c>
      <c r="B1420" t="s">
        <v>14</v>
      </c>
      <c r="C1420" t="s">
        <v>22</v>
      </c>
      <c r="D1420" s="2" t="s">
        <f>=HYPERLINK("https://main.knesset.gov.il/APPS/legislation/main/bills/2231103", "הצעת חוק שנת שירות, התשפ""ה-2025")</f>
        <v>3022</v>
      </c>
      <c r="E1420" t="s">
        <v>3022</v>
      </c>
      <c r="F1420" t="s">
        <v>3023</v>
      </c>
      <c r="G1420" t="s">
        <v>14</v>
      </c>
      <c r="H1420">
             </c>
      <c r="I1420" t="s">
        <v>14</v>
      </c>
      <c r="J1420" t="s">
        <v>141</v>
      </c>
      <c r="K1420" t="s">
        <v>14</v>
      </c>
      <c r="L1420" t="s">
        <v>20</v>
      </c>
      <c r="M1420" t="s">
        <v>3016</v>
      </c>
      <c r="N1420" t="s">
        <v>14</v>
      </c>
    </row>
    <row r="1421" x14ac:dyDescent="0.25">
      <c r="A1421" t="n">
        <v>25</v>
      </c>
      <c r="B1421" t="s">
        <v>14</v>
      </c>
      <c r="C1421" t="s">
        <v>22</v>
      </c>
      <c r="D1421" s="2" t="s">
        <f>=HYPERLINK("https://main.knesset.gov.il/APPS/legislation/main/bills/2232063", "הצעת חוק הביטוח הלאומי (תיקון - שיעור קצבת שירותים מיוחדים וגמלת ילד נכה למעסיקים שני מטפלים), התשפ""ה-2025")</f>
        <v>2963</v>
      </c>
      <c r="E1421" t="s">
        <v>2963</v>
      </c>
      <c r="F1421" t="s">
        <v>3024</v>
      </c>
      <c r="G1421" t="s">
        <v>14</v>
      </c>
      <c r="H1421">
             </c>
      <c r="I1421" t="s">
        <v>14</v>
      </c>
      <c r="J1421" t="s">
        <v>141</v>
      </c>
      <c r="K1421" t="s">
        <v>14</v>
      </c>
      <c r="L1421" t="s">
        <v>20</v>
      </c>
      <c r="M1421" t="s">
        <v>3016</v>
      </c>
      <c r="N1421" t="s">
        <v>14</v>
      </c>
    </row>
    <row r="1422" x14ac:dyDescent="0.25">
      <c r="A1422" t="n">
        <v>25</v>
      </c>
      <c r="B1422" t="s">
        <v>14</v>
      </c>
      <c r="C1422" t="s">
        <v>22</v>
      </c>
      <c r="D1422" s="2" t="s">
        <f>=HYPERLINK("https://main.knesset.gov.il/APPS/legislation/main/bills/2230725", "הצעת חוק מימון מפלגות (תיקון - אחריות יושב ראש מפלגה לחובות סיעה שחדלה להתקיים), התשפ""ה-2025")</f>
        <v>3025</v>
      </c>
      <c r="E1422" t="s">
        <v>3025</v>
      </c>
      <c r="F1422" t="s">
        <v>3026</v>
      </c>
      <c r="G1422" t="s">
        <v>14</v>
      </c>
      <c r="H1422">
             </c>
      <c r="I1422" t="s">
        <v>14</v>
      </c>
      <c r="J1422" t="s">
        <v>141</v>
      </c>
      <c r="K1422" t="s">
        <v>14</v>
      </c>
      <c r="L1422" t="s">
        <v>20</v>
      </c>
      <c r="M1422" t="s">
        <v>3016</v>
      </c>
      <c r="N1422" t="s">
        <v>14</v>
      </c>
    </row>
    <row r="1423" x14ac:dyDescent="0.25">
      <c r="A1423" t="n">
        <v>25</v>
      </c>
      <c r="B1423" t="s">
        <v>14</v>
      </c>
      <c r="C1423" t="s">
        <v>22</v>
      </c>
      <c r="D1423" s="2" t="s">
        <f>=HYPERLINK("https://main.knesset.gov.il/APPS/legislation/main/bills/2231849", "הצעת חוק הרב יהודה עמיטל והרב אהרון ליכטנשטיין (ציון זכרם ופועלם), התשפ""ה-2025")</f>
        <v>3027</v>
      </c>
      <c r="E1423" t="s">
        <v>3027</v>
      </c>
      <c r="F1423" t="s">
        <v>3028</v>
      </c>
      <c r="G1423" t="s">
        <v>14</v>
      </c>
      <c r="H1423">
             </c>
      <c r="I1423" t="s">
        <v>14</v>
      </c>
      <c r="J1423" t="s">
        <v>141</v>
      </c>
      <c r="K1423" t="s">
        <v>14</v>
      </c>
      <c r="L1423" t="s">
        <v>20</v>
      </c>
      <c r="M1423" t="s">
        <v>3016</v>
      </c>
      <c r="N1423" t="s">
        <v>14</v>
      </c>
    </row>
    <row r="1424" x14ac:dyDescent="0.25">
      <c r="A1424" t="n">
        <v>25</v>
      </c>
      <c r="B1424" t="s">
        <v>14</v>
      </c>
      <c r="C1424" t="s">
        <v>22</v>
      </c>
      <c r="D1424" s="2" t="s">
        <f>=HYPERLINK("https://main.knesset.gov.il/APPS/legislation/main/bills/2231107", "הצעת חוק קליטת חיילים משוחררים (תיקון - הכרה בעבודה בפנימיות לילדים ונוער בסיכון כעבודה מועדפת ומתן הטבות), התשפ""ה-2025 ")</f>
        <v>3029</v>
      </c>
      <c r="E1424" t="s">
        <v>3029</v>
      </c>
      <c r="F1424" t="s">
        <v>3030</v>
      </c>
      <c r="G1424" t="s">
        <v>14</v>
      </c>
      <c r="H1424">
             </c>
      <c r="I1424" t="s">
        <v>14</v>
      </c>
      <c r="J1424" t="s">
        <v>141</v>
      </c>
      <c r="K1424" t="s">
        <v>14</v>
      </c>
      <c r="L1424" t="s">
        <v>20</v>
      </c>
      <c r="M1424" t="s">
        <v>3016</v>
      </c>
      <c r="N1424" t="s">
        <v>14</v>
      </c>
    </row>
    <row r="1425" x14ac:dyDescent="0.25">
      <c r="A1425" t="n">
        <v>25</v>
      </c>
      <c r="B1425" t="s">
        <v>14</v>
      </c>
      <c r="C1425" t="s">
        <v>22</v>
      </c>
      <c r="D1425" s="2" t="s">
        <f>=HYPERLINK("https://main.knesset.gov.il/APPS/legislation/main/bills/2232317", "הצעת חוק הנוער (טיפול והשגחה) (תיקון - טיפול בבריחה ממשמורת), התשפ""ה-2025")</f>
        <v>3031</v>
      </c>
      <c r="E1425" t="s">
        <v>3031</v>
      </c>
      <c r="F1425" t="s">
        <v>3032</v>
      </c>
      <c r="G1425" t="s">
        <v>14</v>
      </c>
      <c r="H1425">
             </c>
      <c r="I1425" t="s">
        <v>14</v>
      </c>
      <c r="J1425" t="s">
        <v>141</v>
      </c>
      <c r="K1425" t="s">
        <v>14</v>
      </c>
      <c r="L1425" t="s">
        <v>20</v>
      </c>
      <c r="M1425" t="s">
        <v>3016</v>
      </c>
      <c r="N1425" t="s">
        <v>14</v>
      </c>
    </row>
    <row r="1426" x14ac:dyDescent="0.25">
      <c r="A1426" t="n">
        <v>25</v>
      </c>
      <c r="B1426" t="s">
        <v>14</v>
      </c>
      <c r="C1426" t="s">
        <v>22</v>
      </c>
      <c r="D1426" s="2" t="s">
        <f>=HYPERLINK("https://main.knesset.gov.il/APPS/legislation/main/bills/2232552", "הצעת חוק שידור חי של דיונים בבית המשפט העליון, התשפ""ה-2025")</f>
        <v>3033</v>
      </c>
      <c r="E1426" t="s">
        <v>3033</v>
      </c>
      <c r="F1426" t="s">
        <v>3034</v>
      </c>
      <c r="G1426" t="s">
        <v>14</v>
      </c>
      <c r="H1426">
             </c>
      <c r="I1426" t="s">
        <v>14</v>
      </c>
      <c r="J1426" t="s">
        <v>141</v>
      </c>
      <c r="K1426" t="s">
        <v>14</v>
      </c>
      <c r="L1426" t="s">
        <v>20</v>
      </c>
      <c r="M1426" t="s">
        <v>3016</v>
      </c>
      <c r="N1426" t="s">
        <v>14</v>
      </c>
    </row>
    <row r="1427" x14ac:dyDescent="0.25">
      <c r="A1427" t="n">
        <v>25</v>
      </c>
      <c r="B1427" t="s">
        <v>14</v>
      </c>
      <c r="C1427" t="s">
        <v>22</v>
      </c>
      <c r="D1427" s="2" t="s">
        <f>=HYPERLINK("https://main.knesset.gov.il/APPS/legislation/main/bills/2232422", "הצעת חוק חובת המכרזים (תיקון - העדפה מתקנת לנכי צה""ל), התשפ""ה-2025")</f>
        <v>3035</v>
      </c>
      <c r="E1427" t="s">
        <v>3035</v>
      </c>
      <c r="F1427" t="s">
        <v>3036</v>
      </c>
      <c r="G1427" t="s">
        <v>14</v>
      </c>
      <c r="H1427">
             </c>
      <c r="I1427" t="s">
        <v>14</v>
      </c>
      <c r="J1427" t="s">
        <v>141</v>
      </c>
      <c r="K1427" t="s">
        <v>14</v>
      </c>
      <c r="L1427" t="s">
        <v>20</v>
      </c>
      <c r="M1427" t="s">
        <v>3016</v>
      </c>
      <c r="N1427" t="s">
        <v>14</v>
      </c>
    </row>
    <row r="1428" x14ac:dyDescent="0.25">
      <c r="A1428" t="n">
        <v>25</v>
      </c>
      <c r="B1428" t="s">
        <v>14</v>
      </c>
      <c r="C1428" t="s">
        <v>22</v>
      </c>
      <c r="D1428" s="2" t="s">
        <f>=HYPERLINK("https://main.knesset.gov.il/APPS/legislation/main/bills/2232396", "הצעת חוק יום העצמאות (תיקון - מועד יום העצמאות), התשפ""ה-2025")</f>
        <v>3037</v>
      </c>
      <c r="E1428" t="s">
        <v>3037</v>
      </c>
      <c r="F1428" t="s">
        <v>3038</v>
      </c>
      <c r="G1428" t="s">
        <v>14</v>
      </c>
      <c r="H1428">
             </c>
      <c r="I1428" t="s">
        <v>14</v>
      </c>
      <c r="J1428" t="s">
        <v>141</v>
      </c>
      <c r="K1428" t="s">
        <v>14</v>
      </c>
      <c r="L1428" t="s">
        <v>20</v>
      </c>
      <c r="M1428" t="s">
        <v>3016</v>
      </c>
      <c r="N1428" t="s">
        <v>14</v>
      </c>
    </row>
    <row r="1429" x14ac:dyDescent="0.25">
      <c r="A1429" t="n">
        <v>25</v>
      </c>
      <c r="B1429" t="s">
        <v>14</v>
      </c>
      <c r="C1429" t="s">
        <v>22</v>
      </c>
      <c r="D1429" s="2" t="s">
        <f>=HYPERLINK("https://main.knesset.gov.il/APPS/legislation/main/bills/2231842", "הצעת חוק לאשרור אמנת רומא, התשפ""ה-2025")</f>
        <v>3039</v>
      </c>
      <c r="E1429" t="s">
        <v>3039</v>
      </c>
      <c r="F1429" t="s">
        <v>3040</v>
      </c>
      <c r="G1429" t="s">
        <v>14</v>
      </c>
      <c r="H1429">
             </c>
      <c r="I1429" t="s">
        <v>14</v>
      </c>
      <c r="J1429" t="s">
        <v>141</v>
      </c>
      <c r="K1429" t="s">
        <v>14</v>
      </c>
      <c r="L1429" t="s">
        <v>20</v>
      </c>
      <c r="M1429" t="s">
        <v>3016</v>
      </c>
      <c r="N1429" t="s">
        <v>14</v>
      </c>
    </row>
    <row r="1430" x14ac:dyDescent="0.25">
      <c r="A1430" t="n">
        <v>25</v>
      </c>
      <c r="B1430" t="s">
        <v>14</v>
      </c>
      <c r="C1430" t="s">
        <v>22</v>
      </c>
      <c r="D1430" s="2" t="s">
        <f>=HYPERLINK("https://main.knesset.gov.il/APPS/legislation/main/bills/2232229", "הצעת חוק חובת לימודי ליבה וביטול מוסדות הפטור (תיקוני חקיקה), התשפ""ה-2025")</f>
        <v>3041</v>
      </c>
      <c r="E1430" t="s">
        <v>3041</v>
      </c>
      <c r="F1430" t="s">
        <v>3042</v>
      </c>
      <c r="G1430" t="s">
        <v>14</v>
      </c>
      <c r="H1430">
             </c>
      <c r="I1430" t="s">
        <v>14</v>
      </c>
      <c r="J1430" t="s">
        <v>141</v>
      </c>
      <c r="K1430" t="s">
        <v>14</v>
      </c>
      <c r="L1430" t="s">
        <v>20</v>
      </c>
      <c r="M1430" t="s">
        <v>3016</v>
      </c>
      <c r="N1430" t="s">
        <v>14</v>
      </c>
    </row>
    <row r="1431" x14ac:dyDescent="0.25">
      <c r="A1431" t="n">
        <v>25</v>
      </c>
      <c r="B1431" t="s">
        <v>14</v>
      </c>
      <c r="C1431" t="s">
        <v>22</v>
      </c>
      <c r="D1431" s="2" t="s">
        <f>=HYPERLINK("https://main.knesset.gov.il/APPS/legislation/main/bills/2231544", "הצעת חוק אחריות לתגמולים ולטיפול בחיילים בשירות מילואים או בשירות קבע ובאנשי כוחות הביטחון בשל חבלה תוך כדי השירות (תיקוני חקיקה), התשפ""ה-2025")</f>
        <v>3043</v>
      </c>
      <c r="E1431" t="s">
        <v>3043</v>
      </c>
      <c r="F1431" t="s">
        <v>3044</v>
      </c>
      <c r="G1431" t="s">
        <v>14</v>
      </c>
      <c r="H1431">
             </c>
      <c r="I1431" t="s">
        <v>14</v>
      </c>
      <c r="J1431" t="s">
        <v>141</v>
      </c>
      <c r="K1431" t="s">
        <v>14</v>
      </c>
      <c r="L1431" t="s">
        <v>20</v>
      </c>
      <c r="M1431" t="s">
        <v>3016</v>
      </c>
      <c r="N1431" t="s">
        <v>14</v>
      </c>
    </row>
    <row r="1432" x14ac:dyDescent="0.25">
      <c r="A1432" t="n">
        <v>25</v>
      </c>
      <c r="B1432" t="s">
        <v>14</v>
      </c>
      <c r="C1432" t="s">
        <v>22</v>
      </c>
      <c r="D1432" s="2" t="s">
        <f>=HYPERLINK("https://main.knesset.gov.il/APPS/legislation/main/bills/2232569", "הצעת חוק מגן דוד אדום (תיקון - הבטחת הרציפות התפקודית של מגן דוד אדום), התשפ""ה-2025")</f>
        <v>3045</v>
      </c>
      <c r="E1432" t="s">
        <v>3045</v>
      </c>
      <c r="F1432" t="s">
        <v>3046</v>
      </c>
      <c r="G1432" t="s">
        <v>14</v>
      </c>
      <c r="H1432">
             </c>
      <c r="I1432" t="s">
        <v>14</v>
      </c>
      <c r="J1432" t="s">
        <v>141</v>
      </c>
      <c r="K1432" t="s">
        <v>14</v>
      </c>
      <c r="L1432" t="s">
        <v>20</v>
      </c>
      <c r="M1432" t="s">
        <v>3016</v>
      </c>
      <c r="N1432" t="s">
        <v>14</v>
      </c>
    </row>
    <row r="1433" x14ac:dyDescent="0.25">
      <c r="A1433" t="n">
        <v>25</v>
      </c>
      <c r="B1433" t="s">
        <v>14</v>
      </c>
      <c r="C1433" t="s">
        <v>22</v>
      </c>
      <c r="D1433" s="2" t="s">
        <f>=HYPERLINK("https://main.knesset.gov.il/APPS/legislation/main/bills/2231774", "הצעת חוק התקשורת (בזק ושידורים) (תיקון - הגנה על קטינים מפני תוכן פוגעני באינטרנט באמצעות אומדן גיל), התשפ""ה-2025")</f>
        <v>3047</v>
      </c>
      <c r="E1433" t="s">
        <v>3047</v>
      </c>
      <c r="F1433" t="s">
        <v>3048</v>
      </c>
      <c r="G1433" t="s">
        <v>14</v>
      </c>
      <c r="H1433">
             </c>
      <c r="I1433" t="s">
        <v>14</v>
      </c>
      <c r="J1433" t="s">
        <v>141</v>
      </c>
      <c r="K1433" t="s">
        <v>14</v>
      </c>
      <c r="L1433" t="s">
        <v>20</v>
      </c>
      <c r="M1433" t="s">
        <v>3016</v>
      </c>
      <c r="N1433" t="s">
        <v>14</v>
      </c>
    </row>
    <row r="1434" x14ac:dyDescent="0.25">
      <c r="A1434" t="n">
        <v>25</v>
      </c>
      <c r="B1434" t="s">
        <v>14</v>
      </c>
      <c r="C1434" t="s">
        <v>15</v>
      </c>
      <c r="D1434" s="2" t="s">
        <f>=HYPERLINK("https://main.knesset.gov.il/APPS/legislation/main/bills/2229713", "הצעת חוק שירות מידע פיננסי (תיקון מס' 3 והוראת שעה), התשפ""ה-2025 ")</f>
        <v>3049</v>
      </c>
      <c r="E1434" t="s">
        <v>3049</v>
      </c>
      <c r="F1434" t="s">
        <v>14</v>
      </c>
      <c r="G1434" t="s">
        <v>3050</v>
      </c>
      <c r="H1434">
             </c>
      <c r="I1434" t="s">
        <v>14</v>
      </c>
      <c r="J1434" t="s">
        <v>73</v>
      </c>
      <c r="K1434" t="s">
        <v>19</v>
      </c>
      <c r="L1434" t="s">
        <v>20</v>
      </c>
      <c r="M1434" t="s">
        <v>3016</v>
      </c>
      <c r="N1434" t="s">
        <v>14</v>
      </c>
    </row>
    <row r="1435" x14ac:dyDescent="0.25">
      <c r="A1435" t="n">
        <v>25</v>
      </c>
      <c r="B1435" t="s">
        <v>14</v>
      </c>
      <c r="C1435" t="s">
        <v>22</v>
      </c>
      <c r="D1435" s="2" t="s">
        <f>=HYPERLINK("https://main.knesset.gov.il/APPS/legislation/main/bills/2207388", "הצעת חוק לתיקון סדרי הדין (חקירת עדים) (תיקון - מתן עדות שלא בפני הנאשם בעבירת נטילת דמי חסות), התשפ""ג-2023")</f>
        <v>3051</v>
      </c>
      <c r="E1435" t="s">
        <v>3051</v>
      </c>
      <c r="F1435" t="s">
        <v>3052</v>
      </c>
      <c r="G1435" t="s">
        <v>14</v>
      </c>
      <c r="H1435">
             </c>
      <c r="I1435" t="s">
        <v>14</v>
      </c>
      <c r="J1435" t="s">
        <v>31</v>
      </c>
      <c r="K1435" t="s">
        <v>27</v>
      </c>
      <c r="L1435" t="s">
        <v>20</v>
      </c>
      <c r="M1435" t="s">
        <v>3053</v>
      </c>
      <c r="N1435" t="s">
        <v>14</v>
      </c>
    </row>
    <row r="1436" x14ac:dyDescent="0.25">
      <c r="A1436" t="n">
        <v>25</v>
      </c>
      <c r="B1436" t="s">
        <v>14</v>
      </c>
      <c r="C1436" t="s">
        <v>22</v>
      </c>
      <c r="D1436" s="2" t="s">
        <f>=HYPERLINK("https://main.knesset.gov.il/APPS/legislation/main/bills/2197392", "הצעת חוק לתיקון סדרי הדין (חקירת עדים) (תיקון - מתן עדות שלא בפני הנאשם בעבירת נטילת דמי חסות), התשפ""ג-2023")</f>
        <v>3051</v>
      </c>
      <c r="E1436" t="s">
        <v>3051</v>
      </c>
      <c r="F1436" t="s">
        <v>3054</v>
      </c>
      <c r="G1436" t="s">
        <v>14</v>
      </c>
      <c r="H1436">
             </c>
      <c r="I1436" t="s">
        <v>14</v>
      </c>
      <c r="J1436" t="s">
        <v>31</v>
      </c>
      <c r="K1436" t="s">
        <v>27</v>
      </c>
      <c r="L1436" t="s">
        <v>20</v>
      </c>
      <c r="M1436" t="s">
        <v>3053</v>
      </c>
      <c r="N1436" t="s">
        <v>14</v>
      </c>
    </row>
    <row r="1437" x14ac:dyDescent="0.25">
      <c r="A1437" t="n">
        <v>25</v>
      </c>
      <c r="B1437" t="s">
        <v>14</v>
      </c>
      <c r="C1437" t="s">
        <v>22</v>
      </c>
      <c r="D1437" s="2" t="s">
        <f>=HYPERLINK("https://main.knesset.gov.il/APPS/legislation/main/bills/2210285", "הצעת חוק הרשות לפיתוח הנגב (תיקון - הגדרת הנגב), התשפ""ד-2024")</f>
        <v>3055</v>
      </c>
      <c r="E1437" t="s">
        <v>3055</v>
      </c>
      <c r="F1437" t="s">
        <v>3056</v>
      </c>
      <c r="G1437" t="s">
        <v>14</v>
      </c>
      <c r="H1437">
             </c>
      <c r="I1437" t="s">
        <v>14</v>
      </c>
      <c r="J1437" t="s">
        <v>31</v>
      </c>
      <c r="K1437" t="s">
        <v>19</v>
      </c>
      <c r="L1437" t="s">
        <v>20</v>
      </c>
      <c r="M1437" t="s">
        <v>3057</v>
      </c>
      <c r="N1437" t="s">
        <v>14</v>
      </c>
    </row>
    <row r="1438" x14ac:dyDescent="0.25">
      <c r="A1438" t="n">
        <v>25</v>
      </c>
      <c r="B1438" t="s">
        <v>14</v>
      </c>
      <c r="C1438" t="s">
        <v>22</v>
      </c>
      <c r="D1438" s="2" t="s">
        <f>=HYPERLINK("https://main.knesset.gov.il/APPS/legislation/main/bills/2225242", "חוק כלי הירייה (תיקון מס' 26), התשפ""ה–2025")</f>
        <v>3058</v>
      </c>
      <c r="E1438" t="s">
        <v>3058</v>
      </c>
      <c r="F1438" t="s">
        <v>3059</v>
      </c>
      <c r="G1438" t="s">
        <v>3060</v>
      </c>
      <c r="H1438" t="n">
        <v>3421</v>
      </c>
      <c r="I1438" t="s">
        <v>14</v>
      </c>
      <c r="J1438" t="s">
        <v>91</v>
      </c>
      <c r="K1438" t="s">
        <v>105</v>
      </c>
      <c r="L1438" t="s">
        <v>20</v>
      </c>
      <c r="M1438" t="s">
        <v>3057</v>
      </c>
      <c r="N1438" t="s">
        <v>3061</v>
      </c>
    </row>
    <row r="1439" x14ac:dyDescent="0.25">
      <c r="A1439" t="n">
        <v>25</v>
      </c>
      <c r="B1439" t="s">
        <v>14</v>
      </c>
      <c r="C1439" t="s">
        <v>22</v>
      </c>
      <c r="D1439" s="2" t="s">
        <f>=HYPERLINK("https://main.knesset.gov.il/APPS/legislation/main/bills/2223725", "הצעת חוק הביטוח הלאומי (תיקון - הארכת הזכאות לדמי אבטלה למשרתי מילואים), התשפ""ה-2024")</f>
        <v>3062</v>
      </c>
      <c r="E1439" t="s">
        <v>3062</v>
      </c>
      <c r="F1439" t="s">
        <v>3063</v>
      </c>
      <c r="G1439" t="s">
        <v>14</v>
      </c>
      <c r="H1439">
             </c>
      <c r="I1439" t="s">
        <v>14</v>
      </c>
      <c r="J1439" t="s">
        <v>55</v>
      </c>
      <c r="K1439" t="s">
        <v>14</v>
      </c>
      <c r="L1439" t="s">
        <v>20</v>
      </c>
      <c r="M1439" t="s">
        <v>3057</v>
      </c>
      <c r="N1439" t="s">
        <v>14</v>
      </c>
    </row>
    <row r="1440" x14ac:dyDescent="0.25">
      <c r="A1440" t="n">
        <v>25</v>
      </c>
      <c r="B1440" t="s">
        <v>14</v>
      </c>
      <c r="C1440" t="s">
        <v>22</v>
      </c>
      <c r="D1440" s="2" t="s">
        <f>=HYPERLINK("https://main.knesset.gov.il/APPS/legislation/main/bills/2224434", "הצעת חוק ביטוח בריאות ממלכתי (תיקון - הפחתה בדמי ביטוח בריאות לתושבי העוטף וקו העימות) (הוראת שעה - חרבות ברזל), התשפ""ה-2024")</f>
        <v>3064</v>
      </c>
      <c r="E1440" t="s">
        <v>3064</v>
      </c>
      <c r="F1440" t="s">
        <v>3065</v>
      </c>
      <c r="G1440" t="s">
        <v>14</v>
      </c>
      <c r="H1440">
             </c>
      <c r="I1440" t="s">
        <v>14</v>
      </c>
      <c r="J1440" t="s">
        <v>55</v>
      </c>
      <c r="K1440" t="s">
        <v>14</v>
      </c>
      <c r="L1440" t="s">
        <v>20</v>
      </c>
      <c r="M1440" t="s">
        <v>3057</v>
      </c>
      <c r="N1440" t="s">
        <v>14</v>
      </c>
    </row>
    <row r="1441" x14ac:dyDescent="0.25">
      <c r="A1441" t="n">
        <v>25</v>
      </c>
      <c r="B1441" t="s">
        <v>14</v>
      </c>
      <c r="C1441" t="s">
        <v>22</v>
      </c>
      <c r="D1441" s="2" t="s">
        <f>=HYPERLINK("https://main.knesset.gov.il/APPS/legislation/main/bills/2223497", "הצעת חוק גירוש משפחות מחבלים (תיקון - הרחבת והבניית שיקול הדעת), התשפ""ה-2024")</f>
        <v>3066</v>
      </c>
      <c r="E1441" t="s">
        <v>3066</v>
      </c>
      <c r="F1441" t="s">
        <v>3067</v>
      </c>
      <c r="G1441" t="s">
        <v>14</v>
      </c>
      <c r="H1441">
             </c>
      <c r="I1441" t="s">
        <v>14</v>
      </c>
      <c r="J1441" t="s">
        <v>31</v>
      </c>
      <c r="K1441" t="s">
        <v>46</v>
      </c>
      <c r="L1441" t="s">
        <v>20</v>
      </c>
      <c r="M1441" t="s">
        <v>3057</v>
      </c>
      <c r="N1441" t="s">
        <v>14</v>
      </c>
    </row>
    <row r="1442" x14ac:dyDescent="0.25">
      <c r="A1442" t="n">
        <v>25</v>
      </c>
      <c r="B1442" t="s">
        <v>14</v>
      </c>
      <c r="C1442" t="s">
        <v>22</v>
      </c>
      <c r="D1442" s="2" t="s">
        <f>=HYPERLINK("https://main.knesset.gov.il/APPS/legislation/main/bills/2224051", "הצעת חוק הקמת יישוב עירוני חדש לאוכלוסייה הדרוזית, התשפ""ה-2024")</f>
        <v>3068</v>
      </c>
      <c r="E1442" t="s">
        <v>3068</v>
      </c>
      <c r="F1442" t="s">
        <v>3069</v>
      </c>
      <c r="G1442" t="s">
        <v>14</v>
      </c>
      <c r="H1442">
             </c>
      <c r="I1442" t="s">
        <v>14</v>
      </c>
      <c r="J1442" t="s">
        <v>55</v>
      </c>
      <c r="K1442" t="s">
        <v>14</v>
      </c>
      <c r="L1442" t="s">
        <v>20</v>
      </c>
      <c r="M1442" t="s">
        <v>3057</v>
      </c>
      <c r="N1442" t="s">
        <v>14</v>
      </c>
    </row>
    <row r="1443" x14ac:dyDescent="0.25">
      <c r="A1443" t="n">
        <v>25</v>
      </c>
      <c r="B1443" t="s">
        <v>14</v>
      </c>
      <c r="C1443" t="s">
        <v>22</v>
      </c>
      <c r="D1443" s="2" t="s">
        <f>=HYPERLINK("https://main.knesset.gov.il/APPS/legislation/main/bills/2215554", "הצעת חוק הנכים (תגמולים ושיקום) (תיקון - קביעת זכאויות נוספות לנכים), התשפ""ד-2024")</f>
        <v>3070</v>
      </c>
      <c r="E1443" t="s">
        <v>3070</v>
      </c>
      <c r="F1443" t="s">
        <v>3071</v>
      </c>
      <c r="G1443" t="s">
        <v>14</v>
      </c>
      <c r="H1443">
             </c>
      <c r="I1443" t="s">
        <v>14</v>
      </c>
      <c r="J1443" t="s">
        <v>55</v>
      </c>
      <c r="K1443" t="s">
        <v>14</v>
      </c>
      <c r="L1443" t="s">
        <v>20</v>
      </c>
      <c r="M1443" t="s">
        <v>3057</v>
      </c>
      <c r="N1443" t="s">
        <v>14</v>
      </c>
    </row>
    <row r="1444" x14ac:dyDescent="0.25">
      <c r="A1444" t="n">
        <v>25</v>
      </c>
      <c r="B1444" t="s">
        <v>14</v>
      </c>
      <c r="C1444" t="s">
        <v>22</v>
      </c>
      <c r="D1444" s="2" t="s">
        <f>=HYPERLINK("https://main.knesset.gov.il/APPS/legislation/main/bills/2200332", "הצעת חוק איסור הפליה במוצרים, בשירותים ובכניסה למקומות בידור ולמקומות ציבוריים (תיקון - איסור הפליה בדיור), התשפ""ד-2023")</f>
        <v>3072</v>
      </c>
      <c r="E1444" t="s">
        <v>3072</v>
      </c>
      <c r="F1444" t="s">
        <v>3073</v>
      </c>
      <c r="G1444" t="s">
        <v>14</v>
      </c>
      <c r="H1444">
             </c>
      <c r="I1444" t="s">
        <v>14</v>
      </c>
      <c r="J1444" t="s">
        <v>55</v>
      </c>
      <c r="K1444" t="s">
        <v>14</v>
      </c>
      <c r="L1444" t="s">
        <v>20</v>
      </c>
      <c r="M1444" t="s">
        <v>3057</v>
      </c>
      <c r="N1444" t="s">
        <v>14</v>
      </c>
    </row>
    <row r="1445" x14ac:dyDescent="0.25">
      <c r="A1445" t="n">
        <v>25</v>
      </c>
      <c r="B1445" t="s">
        <v>14</v>
      </c>
      <c r="C1445" t="s">
        <v>22</v>
      </c>
      <c r="D1445" s="2" t="s">
        <f>=HYPERLINK("https://main.knesset.gov.il/APPS/legislation/main/bills/2198959", "הצעת חוק הביטוח הלאומי (תיקון - שלילת קצבת ילדים ממשפחות פוליגמיות), התשפ""ג-2023")</f>
        <v>3074</v>
      </c>
      <c r="E1445" t="s">
        <v>3074</v>
      </c>
      <c r="F1445" t="s">
        <v>3075</v>
      </c>
      <c r="G1445" t="s">
        <v>14</v>
      </c>
      <c r="H1445">
             </c>
      <c r="I1445" t="s">
        <v>14</v>
      </c>
      <c r="J1445" t="s">
        <v>55</v>
      </c>
      <c r="K1445" t="s">
        <v>14</v>
      </c>
      <c r="L1445" t="s">
        <v>20</v>
      </c>
      <c r="M1445" t="s">
        <v>3057</v>
      </c>
      <c r="N1445" t="s">
        <v>14</v>
      </c>
    </row>
    <row r="1446" x14ac:dyDescent="0.25">
      <c r="A1446" t="n">
        <v>25</v>
      </c>
      <c r="B1446" t="s">
        <v>14</v>
      </c>
      <c r="C1446" t="s">
        <v>22</v>
      </c>
      <c r="D1446" s="2" t="s">
        <f>=HYPERLINK("https://main.knesset.gov.il/APPS/legislation/main/bills/2198716", "הצעת חוק הרשות הלאומית לתרבות ולשפה המרוקאית יהודית, התשפ""ג-2023")</f>
        <v>3076</v>
      </c>
      <c r="E1446" t="s">
        <v>3076</v>
      </c>
      <c r="F1446" t="s">
        <v>3077</v>
      </c>
      <c r="G1446" t="s">
        <v>14</v>
      </c>
      <c r="H1446">
             </c>
      <c r="I1446" t="s">
        <v>14</v>
      </c>
      <c r="J1446" t="s">
        <v>55</v>
      </c>
      <c r="K1446" t="s">
        <v>14</v>
      </c>
      <c r="L1446" t="s">
        <v>20</v>
      </c>
      <c r="M1446" t="s">
        <v>3057</v>
      </c>
      <c r="N1446" t="s">
        <v>14</v>
      </c>
    </row>
    <row r="1447" x14ac:dyDescent="0.25">
      <c r="A1447" t="n">
        <v>25</v>
      </c>
      <c r="B1447" t="s">
        <v>14</v>
      </c>
      <c r="C1447" t="s">
        <v>22</v>
      </c>
      <c r="D1447" s="2" t="s">
        <f>=HYPERLINK("https://main.knesset.gov.il/APPS/legislation/main/bills/2196065", "הצעת חוק לתיקון פקודת מס הכנסה (ניכוי הוצאות כיבוד לפגישה מחוץ למקום העיסוק), התשפ""ג-2022")</f>
        <v>3078</v>
      </c>
      <c r="E1447" t="s">
        <v>3078</v>
      </c>
      <c r="F1447" t="s">
        <v>3079</v>
      </c>
      <c r="G1447" t="s">
        <v>14</v>
      </c>
      <c r="H1447">
             </c>
      <c r="I1447" t="s">
        <v>14</v>
      </c>
      <c r="J1447" t="s">
        <v>55</v>
      </c>
      <c r="K1447" t="s">
        <v>14</v>
      </c>
      <c r="L1447" t="s">
        <v>20</v>
      </c>
      <c r="M1447" t="s">
        <v>3057</v>
      </c>
      <c r="N1447" t="s">
        <v>14</v>
      </c>
    </row>
    <row r="1448" x14ac:dyDescent="0.25">
      <c r="A1448" t="n">
        <v>25</v>
      </c>
      <c r="B1448" t="s">
        <v>14</v>
      </c>
      <c r="C1448" t="s">
        <v>22</v>
      </c>
      <c r="D1448" s="2" t="s">
        <f>=HYPERLINK("https://main.knesset.gov.il/APPS/legislation/main/bills/2198925", "הצעת חוק ביטוח בריאות ממלכתי (תיקון - החזר דמי נסיעה באמבולנס עבור מטופל בתחום בריאות הנפש), התשפ""ג-2023")</f>
        <v>3080</v>
      </c>
      <c r="E1448" t="s">
        <v>3080</v>
      </c>
      <c r="F1448" t="s">
        <v>3081</v>
      </c>
      <c r="G1448" t="s">
        <v>14</v>
      </c>
      <c r="H1448">
             </c>
      <c r="I1448" t="s">
        <v>14</v>
      </c>
      <c r="J1448" t="s">
        <v>99</v>
      </c>
      <c r="K1448" t="s">
        <v>480</v>
      </c>
      <c r="L1448" t="s">
        <v>20</v>
      </c>
      <c r="M1448" t="s">
        <v>3082</v>
      </c>
      <c r="N1448" t="s">
        <v>14</v>
      </c>
    </row>
    <row r="1449" x14ac:dyDescent="0.25">
      <c r="A1449" t="n">
        <v>25</v>
      </c>
      <c r="B1449" t="s">
        <v>14</v>
      </c>
      <c r="C1449" t="s">
        <v>22</v>
      </c>
      <c r="D1449" s="2" t="s">
        <f>=HYPERLINK("https://main.knesset.gov.il/APPS/legislation/main/bills/2198723", "הצעת חוק ביטוח בריאות ממלכתי (תיקון - החזר דמי נסיעה באמבולנס עבור מטופל בתחום בריאות הנפש), התשפ""ג-2023")</f>
        <v>3080</v>
      </c>
      <c r="E1449" t="s">
        <v>3080</v>
      </c>
      <c r="F1449" t="s">
        <v>3083</v>
      </c>
      <c r="G1449" t="s">
        <v>14</v>
      </c>
      <c r="H1449">
             </c>
      <c r="I1449" t="s">
        <v>14</v>
      </c>
      <c r="J1449" t="s">
        <v>99</v>
      </c>
      <c r="K1449" t="s">
        <v>480</v>
      </c>
      <c r="L1449" t="s">
        <v>20</v>
      </c>
      <c r="M1449" t="s">
        <v>3082</v>
      </c>
      <c r="N1449" t="s">
        <v>14</v>
      </c>
    </row>
    <row r="1450" x14ac:dyDescent="0.25">
      <c r="A1450" t="n">
        <v>25</v>
      </c>
      <c r="B1450" t="s">
        <v>14</v>
      </c>
      <c r="C1450" t="s">
        <v>15</v>
      </c>
      <c r="D1450" s="2" t="s">
        <f>=HYPERLINK("https://main.knesset.gov.il/APPS/legislation/main/bills/2217246", "הצעת חוק התקנת מצלמות לשם הגנה על פעוטות במעונות יום לפעוטות (תיקון), התשפ""ד-2024")</f>
        <v>3084</v>
      </c>
      <c r="E1450" t="s">
        <v>3084</v>
      </c>
      <c r="F1450" t="s">
        <v>14</v>
      </c>
      <c r="G1450" t="s">
        <v>3085</v>
      </c>
      <c r="H1450">
             </c>
      <c r="I1450" t="s">
        <v>14</v>
      </c>
      <c r="J1450" t="s">
        <v>18</v>
      </c>
      <c r="K1450" t="s">
        <v>34</v>
      </c>
      <c r="L1450" t="s">
        <v>20</v>
      </c>
      <c r="M1450" t="s">
        <v>3082</v>
      </c>
      <c r="N1450" t="s">
        <v>14</v>
      </c>
    </row>
    <row r="1451" x14ac:dyDescent="0.25">
      <c r="A1451" t="n">
        <v>25</v>
      </c>
      <c r="B1451" t="s">
        <v>14</v>
      </c>
      <c r="C1451" t="s">
        <v>22</v>
      </c>
      <c r="D1451" s="2" t="s">
        <f>=HYPERLINK("https://main.knesset.gov.il/APPS/legislation/main/bills/2224762", "הצעת חוק לתיקון פקודת הסטטיסטיקה (הפניה לאפיון הרשויות המקומיות), התשפ""ה-2024")</f>
        <v>3086</v>
      </c>
      <c r="E1451" t="s">
        <v>3086</v>
      </c>
      <c r="F1451" t="s">
        <v>3087</v>
      </c>
      <c r="G1451" t="s">
        <v>14</v>
      </c>
      <c r="H1451">
             </c>
      <c r="I1451" t="s">
        <v>14</v>
      </c>
      <c r="J1451" t="s">
        <v>31</v>
      </c>
      <c r="K1451" t="s">
        <v>85</v>
      </c>
      <c r="L1451" t="s">
        <v>20</v>
      </c>
      <c r="M1451" t="s">
        <v>3082</v>
      </c>
      <c r="N1451" t="s">
        <v>14</v>
      </c>
    </row>
    <row r="1452" x14ac:dyDescent="0.25">
      <c r="A1452" t="n">
        <v>25</v>
      </c>
      <c r="B1452" t="s">
        <v>14</v>
      </c>
      <c r="C1452" t="s">
        <v>15</v>
      </c>
      <c r="D1452" s="2" t="s">
        <f>=HYPERLINK("https://main.knesset.gov.il/APPS/legislation/main/bills/2221617", "חוק עזרה משפטית בין מדינות (תיקון מס' 12), התשפ""ה-2025")</f>
        <v>3088</v>
      </c>
      <c r="E1452" t="s">
        <v>3088</v>
      </c>
      <c r="F1452" t="s">
        <v>14</v>
      </c>
      <c r="G1452" t="s">
        <v>3089</v>
      </c>
      <c r="H1452" t="n">
        <v>3420</v>
      </c>
      <c r="I1452" t="s">
        <v>14</v>
      </c>
      <c r="J1452" t="s">
        <v>91</v>
      </c>
      <c r="K1452" t="s">
        <v>27</v>
      </c>
      <c r="L1452" t="s">
        <v>20</v>
      </c>
      <c r="M1452" t="s">
        <v>3082</v>
      </c>
      <c r="N1452" t="s">
        <v>3090</v>
      </c>
    </row>
    <row r="1453" x14ac:dyDescent="0.25">
      <c r="A1453" t="n">
        <v>25</v>
      </c>
      <c r="B1453" t="s">
        <v>14</v>
      </c>
      <c r="C1453" t="s">
        <v>22</v>
      </c>
      <c r="D1453" s="2" t="s">
        <f>=HYPERLINK("https://main.knesset.gov.il/APPS/legislation/main/bills/2231526", "הצעת חוק מגן דוד אדום (תיקון - הבטחת הרציפות התפקודית של מגן דוד אדום), התשפ""ה-2025")</f>
        <v>3045</v>
      </c>
      <c r="E1453" t="s">
        <v>3045</v>
      </c>
      <c r="F1453" t="s">
        <v>3091</v>
      </c>
      <c r="G1453" t="s">
        <v>14</v>
      </c>
      <c r="H1453">
             </c>
      <c r="I1453" t="s">
        <v>14</v>
      </c>
      <c r="J1453" t="s">
        <v>141</v>
      </c>
      <c r="K1453" t="s">
        <v>14</v>
      </c>
      <c r="L1453" t="s">
        <v>20</v>
      </c>
      <c r="M1453" t="s">
        <v>3082</v>
      </c>
      <c r="N1453" t="s">
        <v>14</v>
      </c>
    </row>
    <row r="1454" x14ac:dyDescent="0.25">
      <c r="A1454" t="n">
        <v>25</v>
      </c>
      <c r="B1454" t="s">
        <v>14</v>
      </c>
      <c r="C1454" t="s">
        <v>22</v>
      </c>
      <c r="D1454" s="2" t="s">
        <f>=HYPERLINK("https://main.knesset.gov.il/APPS/legislation/main/bills/2231102", "הצעת חוק הכנסת (תיקון - צפיית חברי הכנסת בנתוני תקציב המדינה במערכת רוחבית כוללת במשרדי הממשלה), התשפ""ה-2025")</f>
        <v>3092</v>
      </c>
      <c r="E1454" t="s">
        <v>3092</v>
      </c>
      <c r="F1454" t="s">
        <v>3093</v>
      </c>
      <c r="G1454" t="s">
        <v>14</v>
      </c>
      <c r="H1454">
             </c>
      <c r="I1454" t="s">
        <v>14</v>
      </c>
      <c r="J1454" t="s">
        <v>141</v>
      </c>
      <c r="K1454" t="s">
        <v>14</v>
      </c>
      <c r="L1454" t="s">
        <v>20</v>
      </c>
      <c r="M1454" t="s">
        <v>3082</v>
      </c>
      <c r="N1454" t="s">
        <v>14</v>
      </c>
    </row>
    <row r="1455" x14ac:dyDescent="0.25">
      <c r="A1455" t="n">
        <v>25</v>
      </c>
      <c r="B1455" t="s">
        <v>14</v>
      </c>
      <c r="C1455" t="s">
        <v>22</v>
      </c>
      <c r="D1455" s="2" t="s">
        <f>=HYPERLINK("https://main.knesset.gov.il/APPS/legislation/main/bills/2230886", "הצעת חוק החיילים המשוחררים (החזרה לעבודה) (תיקון - הגנה על פצוע מלחמה בתקופת האשפוז ולאחריה) (הוראת שעה), התשפ""ה-2025")</f>
        <v>3094</v>
      </c>
      <c r="E1455" t="s">
        <v>3094</v>
      </c>
      <c r="F1455" t="s">
        <v>3095</v>
      </c>
      <c r="G1455" t="s">
        <v>14</v>
      </c>
      <c r="H1455">
             </c>
      <c r="I1455" t="s">
        <v>14</v>
      </c>
      <c r="J1455" t="s">
        <v>141</v>
      </c>
      <c r="K1455" t="s">
        <v>14</v>
      </c>
      <c r="L1455" t="s">
        <v>20</v>
      </c>
      <c r="M1455" t="s">
        <v>3082</v>
      </c>
      <c r="N1455" t="s">
        <v>14</v>
      </c>
    </row>
    <row r="1456" x14ac:dyDescent="0.25">
      <c r="A1456" t="n">
        <v>25</v>
      </c>
      <c r="B1456" t="s">
        <v>14</v>
      </c>
      <c r="C1456" t="s">
        <v>22</v>
      </c>
      <c r="D1456" s="2" t="s">
        <f>=HYPERLINK("https://main.knesset.gov.il/APPS/legislation/main/bills/2230762", "הצעת חוק הנזיקים האזרחיים (אחריות המדינה) (תיקון - סייגים לאחריות המדינה בשל פעילות טרור), התשפ״ה-2025")</f>
        <v>3096</v>
      </c>
      <c r="E1456" t="s">
        <v>3096</v>
      </c>
      <c r="F1456" t="s">
        <v>3097</v>
      </c>
      <c r="G1456" t="s">
        <v>14</v>
      </c>
      <c r="H1456">
             </c>
      <c r="I1456" t="s">
        <v>14</v>
      </c>
      <c r="J1456" t="s">
        <v>343</v>
      </c>
      <c r="K1456" t="s">
        <v>14</v>
      </c>
      <c r="L1456" t="s">
        <v>20</v>
      </c>
      <c r="M1456" t="s">
        <v>3082</v>
      </c>
      <c r="N1456" t="s">
        <v>14</v>
      </c>
    </row>
    <row r="1457" x14ac:dyDescent="0.25">
      <c r="A1457" t="n">
        <v>25</v>
      </c>
      <c r="B1457" t="s">
        <v>14</v>
      </c>
      <c r="C1457" t="s">
        <v>22</v>
      </c>
      <c r="D1457" s="2" t="s">
        <f>=HYPERLINK("https://main.knesset.gov.il/APPS/legislation/main/bills/2231728", "הצעת חוק-יסוד: הממשלה (תיקון - הגבלת מספר שרים וסגני שרים)")</f>
        <v>3098</v>
      </c>
      <c r="E1457" t="s">
        <v>3098</v>
      </c>
      <c r="F1457" t="s">
        <v>3099</v>
      </c>
      <c r="G1457" t="s">
        <v>14</v>
      </c>
      <c r="H1457">
             </c>
      <c r="I1457" t="s">
        <v>14</v>
      </c>
      <c r="J1457" t="s">
        <v>141</v>
      </c>
      <c r="K1457" t="s">
        <v>14</v>
      </c>
      <c r="L1457" t="s">
        <v>20</v>
      </c>
      <c r="M1457" t="s">
        <v>3082</v>
      </c>
      <c r="N1457" t="s">
        <v>14</v>
      </c>
    </row>
    <row r="1458" x14ac:dyDescent="0.25">
      <c r="A1458" t="n">
        <v>25</v>
      </c>
      <c r="B1458" t="s">
        <v>14</v>
      </c>
      <c r="C1458" t="s">
        <v>22</v>
      </c>
      <c r="D1458" s="2" t="s">
        <f>=HYPERLINK("https://main.knesset.gov.il/APPS/legislation/main/bills/2231332", "הצעת חוק לתיקון פקודת מס הכנסה (הקפאת הטבת מס לחייל משוחרר), התשפ""ה-2025")</f>
        <v>3100</v>
      </c>
      <c r="E1458" t="s">
        <v>3100</v>
      </c>
      <c r="F1458" t="s">
        <v>3101</v>
      </c>
      <c r="G1458" t="s">
        <v>14</v>
      </c>
      <c r="H1458">
             </c>
      <c r="I1458" t="s">
        <v>14</v>
      </c>
      <c r="J1458" t="s">
        <v>141</v>
      </c>
      <c r="K1458" t="s">
        <v>14</v>
      </c>
      <c r="L1458" t="s">
        <v>20</v>
      </c>
      <c r="M1458" t="s">
        <v>3082</v>
      </c>
      <c r="N1458" t="s">
        <v>14</v>
      </c>
    </row>
    <row r="1459" x14ac:dyDescent="0.25">
      <c r="A1459" t="n">
        <v>25</v>
      </c>
      <c r="B1459" t="s">
        <v>14</v>
      </c>
      <c r="C1459" t="s">
        <v>22</v>
      </c>
      <c r="D1459" s="2" t="s">
        <f>=HYPERLINK("https://main.knesset.gov.il/APPS/legislation/main/bills/2230348", "הצעת חוק הגנת הצרכן (תיקון - עצמאות תקציבית ודיווח), התשפ""ה-2025")</f>
        <v>3102</v>
      </c>
      <c r="E1459" t="s">
        <v>3102</v>
      </c>
      <c r="F1459" t="s">
        <v>3103</v>
      </c>
      <c r="G1459" t="s">
        <v>14</v>
      </c>
      <c r="H1459">
             </c>
      <c r="I1459" t="s">
        <v>14</v>
      </c>
      <c r="J1459" t="s">
        <v>141</v>
      </c>
      <c r="K1459" t="s">
        <v>14</v>
      </c>
      <c r="L1459" t="s">
        <v>20</v>
      </c>
      <c r="M1459" t="s">
        <v>3082</v>
      </c>
      <c r="N1459" t="s">
        <v>14</v>
      </c>
    </row>
    <row r="1460" x14ac:dyDescent="0.25">
      <c r="A1460" t="n">
        <v>25</v>
      </c>
      <c r="B1460" t="s">
        <v>14</v>
      </c>
      <c r="C1460" t="s">
        <v>22</v>
      </c>
      <c r="D1460" s="2" t="s">
        <f>=HYPERLINK("https://main.knesset.gov.il/APPS/legislation/main/bills/2232218", "הצעת חוק לתיקון פקודת העיריות (גמול השתתפות בישיבות והחזר הוצאות לחברי מועצה), התשפ""ה-2025")</f>
        <v>3104</v>
      </c>
      <c r="E1460" t="s">
        <v>3104</v>
      </c>
      <c r="F1460" t="s">
        <v>3105</v>
      </c>
      <c r="G1460" t="s">
        <v>14</v>
      </c>
      <c r="H1460">
             </c>
      <c r="I1460" t="s">
        <v>14</v>
      </c>
      <c r="J1460" t="s">
        <v>141</v>
      </c>
      <c r="K1460" t="s">
        <v>14</v>
      </c>
      <c r="L1460" t="s">
        <v>20</v>
      </c>
      <c r="M1460" t="s">
        <v>3082</v>
      </c>
      <c r="N1460" t="s">
        <v>14</v>
      </c>
    </row>
    <row r="1461" x14ac:dyDescent="0.25">
      <c r="A1461" t="n">
        <v>25</v>
      </c>
      <c r="B1461" t="s">
        <v>14</v>
      </c>
      <c r="C1461" t="s">
        <v>22</v>
      </c>
      <c r="D1461" s="2" t="s">
        <f>=HYPERLINK("https://main.knesset.gov.il/APPS/legislation/main/bills/2231899", "הצעת חוק זכויות החולה (תיקון - מניעת טיפול רפואי למחבלים במערכת הבריאות הציבורית), התשפ""ה-2025")</f>
        <v>3106</v>
      </c>
      <c r="E1461" t="s">
        <v>3106</v>
      </c>
      <c r="F1461" t="s">
        <v>3107</v>
      </c>
      <c r="G1461" t="s">
        <v>14</v>
      </c>
      <c r="H1461">
             </c>
      <c r="I1461" t="s">
        <v>14</v>
      </c>
      <c r="J1461" t="s">
        <v>141</v>
      </c>
      <c r="K1461" t="s">
        <v>14</v>
      </c>
      <c r="L1461" t="s">
        <v>20</v>
      </c>
      <c r="M1461" t="s">
        <v>3082</v>
      </c>
      <c r="N1461" t="s">
        <v>14</v>
      </c>
    </row>
    <row r="1462" x14ac:dyDescent="0.25">
      <c r="A1462" t="n">
        <v>25</v>
      </c>
      <c r="B1462" t="s">
        <v>14</v>
      </c>
      <c r="C1462" t="s">
        <v>22</v>
      </c>
      <c r="D1462" s="2" t="s">
        <f>=HYPERLINK("https://main.knesset.gov.il/APPS/legislation/main/bills/2232226", "הצעת חוק רישוי שירותים ומקצועות בענף הרכב (תיקון - מתווך במתן שירות רכב ומוסכי הסדר), התשפ""ה-2025")</f>
        <v>3108</v>
      </c>
      <c r="E1462" t="s">
        <v>3108</v>
      </c>
      <c r="F1462" t="s">
        <v>3109</v>
      </c>
      <c r="G1462" t="s">
        <v>14</v>
      </c>
      <c r="H1462">
             </c>
      <c r="I1462" t="s">
        <v>14</v>
      </c>
      <c r="J1462" t="s">
        <v>141</v>
      </c>
      <c r="K1462" t="s">
        <v>14</v>
      </c>
      <c r="L1462" t="s">
        <v>20</v>
      </c>
      <c r="M1462" t="s">
        <v>3082</v>
      </c>
      <c r="N1462" t="s">
        <v>14</v>
      </c>
    </row>
    <row r="1463" x14ac:dyDescent="0.25">
      <c r="A1463" t="n">
        <v>25</v>
      </c>
      <c r="B1463" t="s">
        <v>14</v>
      </c>
      <c r="C1463" t="s">
        <v>22</v>
      </c>
      <c r="D1463" s="2" t="s">
        <f>=HYPERLINK("https://main.knesset.gov.il/APPS/legislation/main/bills/2232275", "הצעת חוק פיצוי נפגעי אסון טבע (פיצוי לנפגעי שריפה), התשפ""ה-2025")</f>
        <v>3110</v>
      </c>
      <c r="E1463" t="s">
        <v>3110</v>
      </c>
      <c r="F1463" t="s">
        <v>3111</v>
      </c>
      <c r="G1463" t="s">
        <v>14</v>
      </c>
      <c r="H1463">
             </c>
      <c r="I1463" t="s">
        <v>14</v>
      </c>
      <c r="J1463" t="s">
        <v>141</v>
      </c>
      <c r="K1463" t="s">
        <v>14</v>
      </c>
      <c r="L1463" t="s">
        <v>20</v>
      </c>
      <c r="M1463" t="s">
        <v>3082</v>
      </c>
      <c r="N1463" t="s">
        <v>14</v>
      </c>
    </row>
    <row r="1464" x14ac:dyDescent="0.25">
      <c r="A1464" t="n">
        <v>25</v>
      </c>
      <c r="B1464" t="s">
        <v>14</v>
      </c>
      <c r="C1464" t="s">
        <v>22</v>
      </c>
      <c r="D1464" s="2" t="s">
        <f>=HYPERLINK("https://main.knesset.gov.il/APPS/legislation/main/bills/2232152", "הצעת חוק הבחירות לכנסת (תיקון - אחוז החסימה), התשפ""ה-2025")</f>
        <v>3112</v>
      </c>
      <c r="E1464" t="s">
        <v>3112</v>
      </c>
      <c r="F1464" t="s">
        <v>3113</v>
      </c>
      <c r="G1464" t="s">
        <v>14</v>
      </c>
      <c r="H1464">
             </c>
      <c r="I1464" t="s">
        <v>14</v>
      </c>
      <c r="J1464" t="s">
        <v>141</v>
      </c>
      <c r="K1464" t="s">
        <v>14</v>
      </c>
      <c r="L1464" t="s">
        <v>20</v>
      </c>
      <c r="M1464" t="s">
        <v>3082</v>
      </c>
      <c r="N1464" t="s">
        <v>14</v>
      </c>
    </row>
    <row r="1465" x14ac:dyDescent="0.25">
      <c r="A1465" t="n">
        <v>25</v>
      </c>
      <c r="B1465" t="s">
        <v>14</v>
      </c>
      <c r="C1465" t="s">
        <v>22</v>
      </c>
      <c r="D1465" s="2" t="s">
        <f>=HYPERLINK("https://main.knesset.gov.il/APPS/legislation/main/bills/2232160", "הצעת חוק לתיקון פקודת התעבורה (קידום התחרות באמצעות תחבורה שיתופית מקוונת), התשפ""ה-2025")</f>
        <v>3114</v>
      </c>
      <c r="E1465" t="s">
        <v>3114</v>
      </c>
      <c r="F1465" t="s">
        <v>3115</v>
      </c>
      <c r="G1465" t="s">
        <v>14</v>
      </c>
      <c r="H1465">
             </c>
      <c r="I1465" t="s">
        <v>14</v>
      </c>
      <c r="J1465" t="s">
        <v>141</v>
      </c>
      <c r="K1465" t="s">
        <v>14</v>
      </c>
      <c r="L1465" t="s">
        <v>20</v>
      </c>
      <c r="M1465" t="s">
        <v>3082</v>
      </c>
      <c r="N1465" t="s">
        <v>14</v>
      </c>
    </row>
    <row r="1466" x14ac:dyDescent="0.25">
      <c r="A1466" t="n">
        <v>25</v>
      </c>
      <c r="B1466" t="s">
        <v>14</v>
      </c>
      <c r="C1466" t="s">
        <v>22</v>
      </c>
      <c r="D1466" s="2" t="s">
        <f>=HYPERLINK("https://main.knesset.gov.il/APPS/legislation/main/bills/2231130", "הצעת חוק החלת הפחתת שכר על נושאי משרה, התשפ""ה-2025")</f>
        <v>3116</v>
      </c>
      <c r="E1466" t="s">
        <v>3116</v>
      </c>
      <c r="F1466" t="s">
        <v>3117</v>
      </c>
      <c r="G1466" t="s">
        <v>14</v>
      </c>
      <c r="H1466">
             </c>
      <c r="I1466" t="s">
        <v>14</v>
      </c>
      <c r="J1466" t="s">
        <v>141</v>
      </c>
      <c r="K1466" t="s">
        <v>14</v>
      </c>
      <c r="L1466" t="s">
        <v>20</v>
      </c>
      <c r="M1466" t="s">
        <v>3082</v>
      </c>
      <c r="N1466" t="s">
        <v>14</v>
      </c>
    </row>
    <row r="1467" x14ac:dyDescent="0.25">
      <c r="A1467" t="n">
        <v>25</v>
      </c>
      <c r="B1467" t="s">
        <v>14</v>
      </c>
      <c r="C1467" t="s">
        <v>22</v>
      </c>
      <c r="D1467" s="2" t="s">
        <f>=HYPERLINK("https://main.knesset.gov.il/APPS/legislation/main/bills/2232151", "הצעת חוק חובת שליחת בקשת תשלום טרם עיקול ותפיסה של נכסים המוחזקים בידי צד שלישי (תיקוני חקיקה), התשפ""ה-2025")</f>
        <v>3118</v>
      </c>
      <c r="E1467" t="s">
        <v>3118</v>
      </c>
      <c r="F1467" t="s">
        <v>3119</v>
      </c>
      <c r="G1467" t="s">
        <v>14</v>
      </c>
      <c r="H1467">
             </c>
      <c r="I1467" t="s">
        <v>14</v>
      </c>
      <c r="J1467" t="s">
        <v>141</v>
      </c>
      <c r="K1467" t="s">
        <v>14</v>
      </c>
      <c r="L1467" t="s">
        <v>20</v>
      </c>
      <c r="M1467" t="s">
        <v>3082</v>
      </c>
      <c r="N1467" t="s">
        <v>14</v>
      </c>
    </row>
    <row r="1468" x14ac:dyDescent="0.25">
      <c r="A1468" t="n">
        <v>25</v>
      </c>
      <c r="B1468" t="s">
        <v>14</v>
      </c>
      <c r="C1468" t="s">
        <v>22</v>
      </c>
      <c r="D1468" s="2" t="s">
        <f>=HYPERLINK("https://main.knesset.gov.il/APPS/legislation/main/bills/2228792", "הצעת חוק מיסוי מקרקעין (שבח ורכישה) (תיקון - מכירת דירה שמשמשת למגורי המוכר), התשפ""ה-2025")</f>
        <v>3120</v>
      </c>
      <c r="E1468" t="s">
        <v>3120</v>
      </c>
      <c r="F1468" t="s">
        <v>3121</v>
      </c>
      <c r="G1468" t="s">
        <v>14</v>
      </c>
      <c r="H1468">
             </c>
      <c r="I1468" t="s">
        <v>14</v>
      </c>
      <c r="J1468" t="s">
        <v>141</v>
      </c>
      <c r="K1468" t="s">
        <v>14</v>
      </c>
      <c r="L1468" t="s">
        <v>20</v>
      </c>
      <c r="M1468" t="s">
        <v>3082</v>
      </c>
      <c r="N1468" t="s">
        <v>14</v>
      </c>
    </row>
    <row r="1469" x14ac:dyDescent="0.25">
      <c r="A1469" t="n">
        <v>25</v>
      </c>
      <c r="B1469" t="s">
        <v>14</v>
      </c>
      <c r="C1469" t="s">
        <v>22</v>
      </c>
      <c r="D1469" s="2" t="s">
        <f>=HYPERLINK("https://main.knesset.gov.il/APPS/legislation/main/bills/2220461", "הצעת חוק נכסי המדינה (תיקון מס' 9) (הרשאת שימוש לשם הקמת מיתקני שידור לתקשורת בשיטה התאית), התשפ""ה–2025")</f>
        <v>3122</v>
      </c>
      <c r="E1469" t="s">
        <v>3122</v>
      </c>
      <c r="F1469" t="s">
        <v>3123</v>
      </c>
      <c r="G1469" t="s">
        <v>3124</v>
      </c>
      <c r="H1469">
             </c>
      <c r="I1469" t="s">
        <v>14</v>
      </c>
      <c r="J1469" t="s">
        <v>1141</v>
      </c>
      <c r="K1469" t="s">
        <v>19</v>
      </c>
      <c r="L1469" t="s">
        <v>20</v>
      </c>
      <c r="M1469" t="s">
        <v>3082</v>
      </c>
      <c r="N1469" t="s">
        <v>14</v>
      </c>
    </row>
    <row r="1470" x14ac:dyDescent="0.25">
      <c r="A1470" t="n">
        <v>25</v>
      </c>
      <c r="B1470" t="s">
        <v>14</v>
      </c>
      <c r="C1470" t="s">
        <v>22</v>
      </c>
      <c r="D1470" s="2" t="s">
        <f>=HYPERLINK("https://main.knesset.gov.il/APPS/legislation/main/bills/2203951", "הצעת חוק שירות התעסוקה (תיקון מס' 24) (הגברת התחרות בסיעוד הביתי), התשפ""ה–2025")</f>
        <v>3125</v>
      </c>
      <c r="E1470" t="s">
        <v>3125</v>
      </c>
      <c r="F1470" t="s">
        <v>3126</v>
      </c>
      <c r="G1470" t="s">
        <v>3127</v>
      </c>
      <c r="H1470">
             </c>
      <c r="I1470" t="s">
        <v>14</v>
      </c>
      <c r="J1470" t="s">
        <v>1141</v>
      </c>
      <c r="K1470" t="s">
        <v>127</v>
      </c>
      <c r="L1470" t="s">
        <v>20</v>
      </c>
      <c r="M1470" t="s">
        <v>3082</v>
      </c>
      <c r="N1470" t="s">
        <v>14</v>
      </c>
    </row>
    <row r="1471" x14ac:dyDescent="0.25">
      <c r="A1471" t="n">
        <v>25</v>
      </c>
      <c r="B1471" t="s">
        <v>14</v>
      </c>
      <c r="C1471" t="s">
        <v>15</v>
      </c>
      <c r="D1471" s="2" t="s">
        <f>=HYPERLINK("https://main.knesset.gov.il/APPS/legislation/main/bills/2232434", "הצעת חוק חדלות פירעון ושיקום כלכלי (צו לשיקום כלכלי על יסוד הכתב) (הוראת שעה), התשפ""ה-2025")</f>
        <v>3128</v>
      </c>
      <c r="E1471" t="s">
        <v>3128</v>
      </c>
      <c r="F1471" t="s">
        <v>14</v>
      </c>
      <c r="G1471" t="s">
        <v>3129</v>
      </c>
      <c r="H1471">
             </c>
      <c r="I1471" t="s">
        <v>14</v>
      </c>
      <c r="J1471" t="s">
        <v>69</v>
      </c>
      <c r="K1471" t="s">
        <v>14</v>
      </c>
      <c r="L1471" t="s">
        <v>20</v>
      </c>
      <c r="M1471" t="s">
        <v>3082</v>
      </c>
      <c r="N1471" t="s">
        <v>14</v>
      </c>
    </row>
    <row r="1472" x14ac:dyDescent="0.25">
      <c r="A1472" t="n">
        <v>25</v>
      </c>
      <c r="B1472" t="s">
        <v>14</v>
      </c>
      <c r="C1472" t="s">
        <v>22</v>
      </c>
      <c r="D1472" s="2" t="s">
        <f>=HYPERLINK("https://main.knesset.gov.il/APPS/legislation/main/bills/2226156", "הצעת חוק ניוד מידע רפואי (תיקון - הוספת גופים ציבוריים), התשפ""ה-2025")</f>
        <v>3130</v>
      </c>
      <c r="E1472" t="s">
        <v>3130</v>
      </c>
      <c r="F1472" t="s">
        <v>3131</v>
      </c>
      <c r="G1472" t="s">
        <v>14</v>
      </c>
      <c r="H1472">
             </c>
      <c r="I1472" t="s">
        <v>14</v>
      </c>
      <c r="J1472" t="s">
        <v>99</v>
      </c>
      <c r="K1472" t="s">
        <v>480</v>
      </c>
      <c r="L1472" t="s">
        <v>20</v>
      </c>
      <c r="M1472" t="s">
        <v>3132</v>
      </c>
      <c r="N1472" t="s">
        <v>14</v>
      </c>
    </row>
    <row r="1473" x14ac:dyDescent="0.25">
      <c r="A1473" t="n">
        <v>25</v>
      </c>
      <c r="B1473" t="s">
        <v>14</v>
      </c>
      <c r="C1473" t="s">
        <v>22</v>
      </c>
      <c r="D1473" s="2" t="s">
        <f>=HYPERLINK("https://main.knesset.gov.il/APPS/legislation/main/bills/2229768", "הצעת חוק איסור התקשרות בהסדר לקביעת מחיר אחיד למזון במשלוח ובהזמנה בבית האוכל, התשפ""ה-2025")</f>
        <v>3133</v>
      </c>
      <c r="E1473" t="s">
        <v>3133</v>
      </c>
      <c r="F1473" t="s">
        <v>3134</v>
      </c>
      <c r="G1473" t="s">
        <v>14</v>
      </c>
      <c r="H1473">
             </c>
      <c r="I1473" t="s">
        <v>14</v>
      </c>
      <c r="J1473" t="s">
        <v>343</v>
      </c>
      <c r="K1473" t="s">
        <v>14</v>
      </c>
      <c r="L1473" t="s">
        <v>20</v>
      </c>
      <c r="M1473" t="s">
        <v>3132</v>
      </c>
      <c r="N1473" t="s">
        <v>14</v>
      </c>
    </row>
    <row r="1474" x14ac:dyDescent="0.25">
      <c r="A1474" t="n">
        <v>25</v>
      </c>
      <c r="B1474" t="s">
        <v>14</v>
      </c>
      <c r="C1474" t="s">
        <v>22</v>
      </c>
      <c r="D1474" s="2" t="s">
        <f>=HYPERLINK("https://main.knesset.gov.il/APPS/legislation/main/bills/2230004", "הצעת חוק שירות המילואים (תיקון - הפחתת שיעור המס שחל על תגמולים למשרתי מילואים), התשפ""ה-2025")</f>
        <v>3135</v>
      </c>
      <c r="E1474" t="s">
        <v>3135</v>
      </c>
      <c r="F1474" t="s">
        <v>3136</v>
      </c>
      <c r="G1474" t="s">
        <v>14</v>
      </c>
      <c r="H1474">
             </c>
      <c r="I1474" t="s">
        <v>14</v>
      </c>
      <c r="J1474" t="s">
        <v>55</v>
      </c>
      <c r="K1474" t="s">
        <v>14</v>
      </c>
      <c r="L1474" t="s">
        <v>20</v>
      </c>
      <c r="M1474" t="s">
        <v>3132</v>
      </c>
      <c r="N1474" t="s">
        <v>14</v>
      </c>
    </row>
    <row r="1475" x14ac:dyDescent="0.25">
      <c r="A1475" t="n">
        <v>25</v>
      </c>
      <c r="B1475" t="s">
        <v>14</v>
      </c>
      <c r="C1475" t="s">
        <v>22</v>
      </c>
      <c r="D1475" s="2" t="s">
        <f>=HYPERLINK("https://main.knesset.gov.il/APPS/legislation/main/bills/2229575", "הצעת חוק ביטול הצנזורה על סרטים, התשפ""ה-2025")</f>
        <v>3137</v>
      </c>
      <c r="E1475" t="s">
        <v>3137</v>
      </c>
      <c r="F1475" t="s">
        <v>3138</v>
      </c>
      <c r="G1475" t="s">
        <v>14</v>
      </c>
      <c r="H1475">
             </c>
      <c r="I1475" t="s">
        <v>14</v>
      </c>
      <c r="J1475" t="s">
        <v>55</v>
      </c>
      <c r="K1475" t="s">
        <v>14</v>
      </c>
      <c r="L1475" t="s">
        <v>20</v>
      </c>
      <c r="M1475" t="s">
        <v>3132</v>
      </c>
      <c r="N1475" t="s">
        <v>14</v>
      </c>
    </row>
    <row r="1476" x14ac:dyDescent="0.25">
      <c r="A1476" t="n">
        <v>25</v>
      </c>
      <c r="B1476" t="s">
        <v>14</v>
      </c>
      <c r="C1476" t="s">
        <v>22</v>
      </c>
      <c r="D1476" s="2" t="s">
        <f>=HYPERLINK("https://main.knesset.gov.il/APPS/legislation/main/bills/2227427", "הצעת חוק החיילים המשוחררים (החזרה לעבודה) (תיקון - הרחבת תקופת הגנה מפני פיטורים למשרתים במילואים), התשפ""ה-2025")</f>
        <v>3139</v>
      </c>
      <c r="E1476" t="s">
        <v>3139</v>
      </c>
      <c r="F1476" t="s">
        <v>3140</v>
      </c>
      <c r="G1476" t="s">
        <v>14</v>
      </c>
      <c r="H1476">
             </c>
      <c r="I1476" t="s">
        <v>14</v>
      </c>
      <c r="J1476" t="s">
        <v>55</v>
      </c>
      <c r="K1476" t="s">
        <v>14</v>
      </c>
      <c r="L1476" t="s">
        <v>20</v>
      </c>
      <c r="M1476" t="s">
        <v>3132</v>
      </c>
      <c r="N1476" t="s">
        <v>14</v>
      </c>
    </row>
    <row r="1477" x14ac:dyDescent="0.25">
      <c r="A1477" t="n">
        <v>25</v>
      </c>
      <c r="B1477" t="s">
        <v>14</v>
      </c>
      <c r="C1477" t="s">
        <v>22</v>
      </c>
      <c r="D1477" s="2" t="s">
        <f>=HYPERLINK("https://main.knesset.gov.il/APPS/legislation/main/bills/2222604", "הצעת חוק גנים לאומיים, שמורות טבע, אתרים לאומיים ואתרי הנצחה (תיקון - שמירה על מעמד האתרים הלאומיים), התשפ""ה-2024")</f>
        <v>3141</v>
      </c>
      <c r="E1477" t="s">
        <v>3141</v>
      </c>
      <c r="F1477" t="s">
        <v>3142</v>
      </c>
      <c r="G1477" t="s">
        <v>14</v>
      </c>
      <c r="H1477">
             </c>
      <c r="I1477" t="s">
        <v>14</v>
      </c>
      <c r="J1477" t="s">
        <v>55</v>
      </c>
      <c r="K1477" t="s">
        <v>14</v>
      </c>
      <c r="L1477" t="s">
        <v>20</v>
      </c>
      <c r="M1477" t="s">
        <v>3132</v>
      </c>
      <c r="N1477" t="s">
        <v>14</v>
      </c>
    </row>
    <row r="1478" x14ac:dyDescent="0.25">
      <c r="A1478" t="n">
        <v>25</v>
      </c>
      <c r="B1478" t="s">
        <v>14</v>
      </c>
      <c r="C1478" t="s">
        <v>22</v>
      </c>
      <c r="D1478" s="2" t="s">
        <f>=HYPERLINK("https://main.knesset.gov.il/APPS/legislation/main/bills/2220826", "הצעת חוק בית המשפט לענייני משפחה (תיקון - ביטול האגרה עבור הורה בבקשת מינוי כאפוטרופוס), התשפ״ד-2024")</f>
        <v>3143</v>
      </c>
      <c r="E1478" t="s">
        <v>3143</v>
      </c>
      <c r="F1478" t="s">
        <v>3144</v>
      </c>
      <c r="G1478" t="s">
        <v>14</v>
      </c>
      <c r="H1478">
             </c>
      <c r="I1478" t="s">
        <v>14</v>
      </c>
      <c r="J1478" t="s">
        <v>55</v>
      </c>
      <c r="K1478" t="s">
        <v>14</v>
      </c>
      <c r="L1478" t="s">
        <v>20</v>
      </c>
      <c r="M1478" t="s">
        <v>3132</v>
      </c>
      <c r="N1478" t="s">
        <v>14</v>
      </c>
    </row>
    <row r="1479" x14ac:dyDescent="0.25">
      <c r="A1479" t="n">
        <v>25</v>
      </c>
      <c r="B1479" t="s">
        <v>14</v>
      </c>
      <c r="C1479" t="s">
        <v>15</v>
      </c>
      <c r="D1479" s="2" t="s">
        <f>=HYPERLINK("https://main.knesset.gov.il/APPS/legislation/main/bills/2229708", "הצעת חוק הכניסה לישראל (תיקון מס' 41), התשפ""ה-2025 ")</f>
        <v>3145</v>
      </c>
      <c r="E1479" t="s">
        <v>3145</v>
      </c>
      <c r="F1479" t="s">
        <v>14</v>
      </c>
      <c r="G1479" t="s">
        <v>3146</v>
      </c>
      <c r="H1479">
             </c>
      <c r="I1479" t="s">
        <v>14</v>
      </c>
      <c r="J1479" t="s">
        <v>289</v>
      </c>
      <c r="K1479" t="s">
        <v>46</v>
      </c>
      <c r="L1479" t="s">
        <v>20</v>
      </c>
      <c r="M1479" t="s">
        <v>3147</v>
      </c>
      <c r="N1479" t="s">
        <v>14</v>
      </c>
    </row>
    <row r="1480" x14ac:dyDescent="0.25">
      <c r="A1480" t="n">
        <v>25</v>
      </c>
      <c r="B1480" t="s">
        <v>14</v>
      </c>
      <c r="C1480" t="s">
        <v>22</v>
      </c>
      <c r="D1480" s="2" t="s">
        <f>=HYPERLINK("https://main.knesset.gov.il/APPS/legislation/main/bills/2223999", "הצעת חוק העונשין (תיקון - שימוש במשבש תדרים), התשפ""ה-2024")</f>
        <v>3148</v>
      </c>
      <c r="E1480" t="s">
        <v>3148</v>
      </c>
      <c r="F1480" t="s">
        <v>3149</v>
      </c>
      <c r="G1480" t="s">
        <v>14</v>
      </c>
      <c r="H1480">
             </c>
      <c r="I1480" t="s">
        <v>14</v>
      </c>
      <c r="J1480" t="s">
        <v>99</v>
      </c>
      <c r="K1480" t="s">
        <v>27</v>
      </c>
      <c r="L1480" t="s">
        <v>20</v>
      </c>
      <c r="M1480" t="s">
        <v>3150</v>
      </c>
      <c r="N1480" t="s">
        <v>14</v>
      </c>
    </row>
    <row r="1481" x14ac:dyDescent="0.25">
      <c r="A1481" t="n">
        <v>25</v>
      </c>
      <c r="B1481" t="s">
        <v>14</v>
      </c>
      <c r="C1481" t="s">
        <v>22</v>
      </c>
      <c r="D1481" s="2" t="s">
        <f>=HYPERLINK("https://main.knesset.gov.il/APPS/legislation/main/bills/2231299", "הצעת חוק-יסוד: משאל עם - ועדת חקירה ממלכתית לאירועי 7 באוקטובר")</f>
        <v>3151</v>
      </c>
      <c r="E1481" t="s">
        <v>3151</v>
      </c>
      <c r="F1481" t="s">
        <v>3152</v>
      </c>
      <c r="G1481" t="s">
        <v>14</v>
      </c>
      <c r="H1481">
             </c>
      <c r="I1481" t="s">
        <v>14</v>
      </c>
      <c r="J1481" t="s">
        <v>141</v>
      </c>
      <c r="K1481" t="s">
        <v>14</v>
      </c>
      <c r="L1481" t="s">
        <v>20</v>
      </c>
      <c r="M1481" t="s">
        <v>3150</v>
      </c>
      <c r="N1481" t="s">
        <v>14</v>
      </c>
    </row>
    <row r="1482" x14ac:dyDescent="0.25">
      <c r="A1482" t="n">
        <v>25</v>
      </c>
      <c r="B1482" t="s">
        <v>14</v>
      </c>
      <c r="C1482" t="s">
        <v>22</v>
      </c>
      <c r="D1482" s="2" t="s">
        <f>=HYPERLINK("https://main.knesset.gov.il/APPS/legislation/main/bills/2222447", "הצעת חוק לתיקון פקודת הסמים המסוכנים (איסור פרסום והפצת חומר פרסומי למכירת סמים מסוכנים), התשפ""ה-2025")</f>
        <v>3153</v>
      </c>
      <c r="E1482" t="s">
        <v>3153</v>
      </c>
      <c r="F1482" t="s">
        <v>3154</v>
      </c>
      <c r="G1482" t="s">
        <v>14</v>
      </c>
      <c r="H1482">
             </c>
      <c r="I1482" t="s">
        <v>14</v>
      </c>
      <c r="J1482" t="s">
        <v>141</v>
      </c>
      <c r="K1482" t="s">
        <v>14</v>
      </c>
      <c r="L1482" t="s">
        <v>20</v>
      </c>
      <c r="M1482" t="s">
        <v>3150</v>
      </c>
      <c r="N1482" t="s">
        <v>14</v>
      </c>
    </row>
    <row r="1483" x14ac:dyDescent="0.25">
      <c r="A1483" t="n">
        <v>25</v>
      </c>
      <c r="B1483" t="s">
        <v>14</v>
      </c>
      <c r="C1483" t="s">
        <v>22</v>
      </c>
      <c r="D1483" s="2" t="s">
        <f>=HYPERLINK("https://main.knesset.gov.il/APPS/legislation/main/bills/2231227", "הצעת חוק יידוע ודיווח על מינוי יועצים חיצוניים לנושאי משרה ציבורית, התשפ""ה-2025")</f>
        <v>3155</v>
      </c>
      <c r="E1483" t="s">
        <v>3155</v>
      </c>
      <c r="F1483" t="s">
        <v>3156</v>
      </c>
      <c r="G1483" t="s">
        <v>14</v>
      </c>
      <c r="H1483">
             </c>
      <c r="I1483" t="s">
        <v>14</v>
      </c>
      <c r="J1483" t="s">
        <v>141</v>
      </c>
      <c r="K1483" t="s">
        <v>14</v>
      </c>
      <c r="L1483" t="s">
        <v>20</v>
      </c>
      <c r="M1483" t="s">
        <v>3150</v>
      </c>
      <c r="N1483" t="s">
        <v>14</v>
      </c>
    </row>
    <row r="1484" x14ac:dyDescent="0.25">
      <c r="A1484" t="n">
        <v>25</v>
      </c>
      <c r="B1484" t="s">
        <v>14</v>
      </c>
      <c r="C1484" t="s">
        <v>22</v>
      </c>
      <c r="D1484" s="2" t="s">
        <f>=HYPERLINK("https://main.knesset.gov.il/APPS/legislation/main/bills/2231729", "הצעת חוק-יסוד: הממשלה (תיקון - הגבלת מספר שרים וסגני שרים)")</f>
        <v>3098</v>
      </c>
      <c r="E1484" t="s">
        <v>3098</v>
      </c>
      <c r="F1484" t="s">
        <v>3157</v>
      </c>
      <c r="G1484" t="s">
        <v>14</v>
      </c>
      <c r="H1484">
             </c>
      <c r="I1484" t="s">
        <v>14</v>
      </c>
      <c r="J1484" t="s">
        <v>141</v>
      </c>
      <c r="K1484" t="s">
        <v>14</v>
      </c>
      <c r="L1484" t="s">
        <v>20</v>
      </c>
      <c r="M1484" t="s">
        <v>3150</v>
      </c>
      <c r="N1484" t="s">
        <v>14</v>
      </c>
    </row>
    <row r="1485" x14ac:dyDescent="0.25">
      <c r="A1485" t="n">
        <v>25</v>
      </c>
      <c r="B1485" t="s">
        <v>14</v>
      </c>
      <c r="C1485" t="s">
        <v>22</v>
      </c>
      <c r="D1485" s="2" t="s">
        <f>=HYPERLINK("https://main.knesset.gov.il/APPS/legislation/main/bills/2231300", "הצעת חוק חיפוש במקום שהוכרז כאזור מועד לפשיעה אלימה (תיקוני חקיקה), התשפ""ה-2025")</f>
        <v>3158</v>
      </c>
      <c r="E1485" t="s">
        <v>3158</v>
      </c>
      <c r="F1485" t="s">
        <v>3159</v>
      </c>
      <c r="G1485" t="s">
        <v>14</v>
      </c>
      <c r="H1485">
             </c>
      <c r="I1485" t="s">
        <v>14</v>
      </c>
      <c r="J1485" t="s">
        <v>141</v>
      </c>
      <c r="K1485" t="s">
        <v>14</v>
      </c>
      <c r="L1485" t="s">
        <v>20</v>
      </c>
      <c r="M1485" t="s">
        <v>3150</v>
      </c>
      <c r="N1485" t="s">
        <v>14</v>
      </c>
    </row>
    <row r="1486" x14ac:dyDescent="0.25">
      <c r="A1486" t="n">
        <v>25</v>
      </c>
      <c r="B1486" t="s">
        <v>14</v>
      </c>
      <c r="C1486" t="s">
        <v>22</v>
      </c>
      <c r="D1486" s="2" t="s">
        <f>=HYPERLINK("https://main.knesset.gov.il/APPS/legislation/main/bills/2230661", "הצעת חוק עובדים זרים (תיקון - האחראי על טיפול בפניות מעסיקים בענף הסיעוד הביתי), התשפ""ה-2025")</f>
        <v>2967</v>
      </c>
      <c r="E1486" t="s">
        <v>2967</v>
      </c>
      <c r="F1486" t="s">
        <v>3160</v>
      </c>
      <c r="G1486" t="s">
        <v>14</v>
      </c>
      <c r="H1486">
             </c>
      <c r="I1486" t="s">
        <v>14</v>
      </c>
      <c r="J1486" t="s">
        <v>141</v>
      </c>
      <c r="K1486" t="s">
        <v>14</v>
      </c>
      <c r="L1486" t="s">
        <v>20</v>
      </c>
      <c r="M1486" t="s">
        <v>3150</v>
      </c>
      <c r="N1486" t="s">
        <v>14</v>
      </c>
    </row>
    <row r="1487" x14ac:dyDescent="0.25">
      <c r="A1487" t="n">
        <v>25</v>
      </c>
      <c r="B1487" t="s">
        <v>14</v>
      </c>
      <c r="C1487" t="s">
        <v>22</v>
      </c>
      <c r="D1487" s="2" t="s">
        <f>=HYPERLINK("https://main.knesset.gov.il/APPS/legislation/main/bills/2228924", "הצעת חוק מרשם האוכלוסין (תיקון - רישום מען באמצעות נקודת ציון), התשפ""ה-2025")</f>
        <v>3161</v>
      </c>
      <c r="E1487" t="s">
        <v>3161</v>
      </c>
      <c r="F1487" t="s">
        <v>3162</v>
      </c>
      <c r="G1487" t="s">
        <v>14</v>
      </c>
      <c r="H1487">
             </c>
      <c r="I1487" t="s">
        <v>14</v>
      </c>
      <c r="J1487" t="s">
        <v>141</v>
      </c>
      <c r="K1487" t="s">
        <v>14</v>
      </c>
      <c r="L1487" t="s">
        <v>20</v>
      </c>
      <c r="M1487" t="s">
        <v>3150</v>
      </c>
      <c r="N1487" t="s">
        <v>14</v>
      </c>
    </row>
    <row r="1488" x14ac:dyDescent="0.25">
      <c r="A1488" t="n">
        <v>25</v>
      </c>
      <c r="B1488" t="s">
        <v>14</v>
      </c>
      <c r="C1488" t="s">
        <v>22</v>
      </c>
      <c r="D1488" s="2" t="s">
        <f>=HYPERLINK("https://main.knesset.gov.il/APPS/legislation/main/bills/2231885", "הצעת חוק להגנת חיית הבר (תיקון - חילוט כלי ציד), התשפ""ה-2025")</f>
        <v>3163</v>
      </c>
      <c r="E1488" t="s">
        <v>3163</v>
      </c>
      <c r="F1488" t="s">
        <v>3164</v>
      </c>
      <c r="G1488" t="s">
        <v>14</v>
      </c>
      <c r="H1488">
             </c>
      <c r="I1488" t="s">
        <v>14</v>
      </c>
      <c r="J1488" t="s">
        <v>141</v>
      </c>
      <c r="K1488" t="s">
        <v>14</v>
      </c>
      <c r="L1488" t="s">
        <v>20</v>
      </c>
      <c r="M1488" t="s">
        <v>3150</v>
      </c>
      <c r="N1488" t="s">
        <v>14</v>
      </c>
    </row>
    <row r="1489" x14ac:dyDescent="0.25">
      <c r="A1489" t="n">
        <v>25</v>
      </c>
      <c r="B1489" t="s">
        <v>14</v>
      </c>
      <c r="C1489" t="s">
        <v>22</v>
      </c>
      <c r="D1489" s="2" t="s">
        <f>=HYPERLINK("https://main.knesset.gov.il/APPS/legislation/main/bills/2230961", "הצעת חוק השבת זכויות במקרקעין שנשללו ביהודה והשומרון לפני קום המדינה, התשפ""ה-2025")</f>
        <v>3165</v>
      </c>
      <c r="E1489" t="s">
        <v>3165</v>
      </c>
      <c r="F1489" t="s">
        <v>3166</v>
      </c>
      <c r="G1489" t="s">
        <v>14</v>
      </c>
      <c r="H1489">
             </c>
      <c r="I1489" t="s">
        <v>14</v>
      </c>
      <c r="J1489" t="s">
        <v>141</v>
      </c>
      <c r="K1489" t="s">
        <v>14</v>
      </c>
      <c r="L1489" t="s">
        <v>20</v>
      </c>
      <c r="M1489" t="s">
        <v>3150</v>
      </c>
      <c r="N1489" t="s">
        <v>14</v>
      </c>
    </row>
    <row r="1490" x14ac:dyDescent="0.25">
      <c r="A1490" t="n">
        <v>25</v>
      </c>
      <c r="B1490" t="s">
        <v>14</v>
      </c>
      <c r="C1490" t="s">
        <v>22</v>
      </c>
      <c r="D1490" s="2" t="s">
        <f>=HYPERLINK("https://main.knesset.gov.il/APPS/legislation/main/bills/2231478", "הצעת חוק לתיקון פקודת העיריות (תעודה על תשלום חובות), התשפ""ה-2025")</f>
        <v>3167</v>
      </c>
      <c r="E1490" t="s">
        <v>3167</v>
      </c>
      <c r="F1490" t="s">
        <v>3168</v>
      </c>
      <c r="G1490" t="s">
        <v>14</v>
      </c>
      <c r="H1490">
             </c>
      <c r="I1490" t="s">
        <v>14</v>
      </c>
      <c r="J1490" t="s">
        <v>141</v>
      </c>
      <c r="K1490" t="s">
        <v>14</v>
      </c>
      <c r="L1490" t="s">
        <v>20</v>
      </c>
      <c r="M1490" t="s">
        <v>3150</v>
      </c>
      <c r="N1490" t="s">
        <v>14</v>
      </c>
    </row>
    <row r="1491" x14ac:dyDescent="0.25">
      <c r="A1491" t="n">
        <v>25</v>
      </c>
      <c r="B1491" t="s">
        <v>14</v>
      </c>
      <c r="C1491" t="s">
        <v>22</v>
      </c>
      <c r="D1491" s="2" t="s">
        <f>=HYPERLINK("https://main.knesset.gov.il/APPS/legislation/main/bills/2231654", "הצעת חוק לתיקון פקודת העיריות (הבטחת תשלומי גמלאות לעובדי עירייה), התשפ""ה-2025")</f>
        <v>3169</v>
      </c>
      <c r="E1491" t="s">
        <v>3169</v>
      </c>
      <c r="F1491" t="s">
        <v>3170</v>
      </c>
      <c r="G1491" t="s">
        <v>14</v>
      </c>
      <c r="H1491">
             </c>
      <c r="I1491" t="s">
        <v>14</v>
      </c>
      <c r="J1491" t="s">
        <v>141</v>
      </c>
      <c r="K1491" t="s">
        <v>14</v>
      </c>
      <c r="L1491" t="s">
        <v>20</v>
      </c>
      <c r="M1491" t="s">
        <v>3150</v>
      </c>
      <c r="N1491" t="s">
        <v>14</v>
      </c>
    </row>
    <row r="1492" x14ac:dyDescent="0.25">
      <c r="A1492" t="n">
        <v>25</v>
      </c>
      <c r="B1492" t="s">
        <v>14</v>
      </c>
      <c r="C1492" t="s">
        <v>22</v>
      </c>
      <c r="D1492" s="2" t="s">
        <f>=HYPERLINK("https://main.knesset.gov.il/APPS/legislation/main/bills/2231353", "הצעת חוק שירות המילואים (תיקון - הטבות בדיור לחיילי מילואים), התשפ""ה-2025")</f>
        <v>3171</v>
      </c>
      <c r="E1492" t="s">
        <v>3171</v>
      </c>
      <c r="F1492" t="s">
        <v>3172</v>
      </c>
      <c r="G1492" t="s">
        <v>14</v>
      </c>
      <c r="H1492">
             </c>
      <c r="I1492" t="s">
        <v>14</v>
      </c>
      <c r="J1492" t="s">
        <v>141</v>
      </c>
      <c r="K1492" t="s">
        <v>14</v>
      </c>
      <c r="L1492" t="s">
        <v>20</v>
      </c>
      <c r="M1492" t="s">
        <v>3150</v>
      </c>
      <c r="N1492" t="s">
        <v>14</v>
      </c>
    </row>
    <row r="1493" x14ac:dyDescent="0.25">
      <c r="A1493" t="n">
        <v>25</v>
      </c>
      <c r="B1493" t="s">
        <v>14</v>
      </c>
      <c r="C1493" t="s">
        <v>22</v>
      </c>
      <c r="D1493" s="2" t="s">
        <f>=HYPERLINK("https://main.knesset.gov.il/APPS/legislation/main/bills/2231365", "הצעת חוק המאבק במדינות תומכות טרור, התשפ""ה-2025")</f>
        <v>3173</v>
      </c>
      <c r="E1493" t="s">
        <v>3173</v>
      </c>
      <c r="F1493" t="s">
        <v>3174</v>
      </c>
      <c r="G1493" t="s">
        <v>14</v>
      </c>
      <c r="H1493">
             </c>
      <c r="I1493" t="s">
        <v>14</v>
      </c>
      <c r="J1493" t="s">
        <v>343</v>
      </c>
      <c r="K1493" t="s">
        <v>14</v>
      </c>
      <c r="L1493" t="s">
        <v>20</v>
      </c>
      <c r="M1493" t="s">
        <v>3150</v>
      </c>
      <c r="N1493" t="s">
        <v>14</v>
      </c>
    </row>
    <row r="1494" x14ac:dyDescent="0.25">
      <c r="A1494" t="n">
        <v>25</v>
      </c>
      <c r="B1494" t="s">
        <v>14</v>
      </c>
      <c r="C1494" t="s">
        <v>22</v>
      </c>
      <c r="D1494" s="2" t="s">
        <f>=HYPERLINK("https://main.knesset.gov.il/APPS/legislation/main/bills/2231485", "הצעת חוק לתיקון פקודת המשטרה (הצבת מערכת צילום ביומטרית לצורך מניעת אלימות במגרשי הספורט) (הוראת שעה), התשפ""ה-2025")</f>
        <v>3175</v>
      </c>
      <c r="E1494" t="s">
        <v>3175</v>
      </c>
      <c r="F1494" t="s">
        <v>3176</v>
      </c>
      <c r="G1494" t="s">
        <v>14</v>
      </c>
      <c r="H1494">
             </c>
      <c r="I1494" t="s">
        <v>14</v>
      </c>
      <c r="J1494" t="s">
        <v>141</v>
      </c>
      <c r="K1494" t="s">
        <v>14</v>
      </c>
      <c r="L1494" t="s">
        <v>20</v>
      </c>
      <c r="M1494" t="s">
        <v>3150</v>
      </c>
      <c r="N1494" t="s">
        <v>14</v>
      </c>
    </row>
    <row r="1495" x14ac:dyDescent="0.25">
      <c r="A1495" t="n">
        <v>25</v>
      </c>
      <c r="B1495" t="s">
        <v>14</v>
      </c>
      <c r="C1495" t="s">
        <v>22</v>
      </c>
      <c r="D1495" s="2" t="s">
        <f>=HYPERLINK("https://main.knesset.gov.il/APPS/legislation/main/bills/2231396", "הצעת חוק הוועדה לטיפול במשפחות נעדרים אזרחיים, התשפ""ה-2025")</f>
        <v>3177</v>
      </c>
      <c r="E1495" t="s">
        <v>3177</v>
      </c>
      <c r="F1495" t="s">
        <v>3178</v>
      </c>
      <c r="G1495" t="s">
        <v>14</v>
      </c>
      <c r="H1495">
             </c>
      <c r="I1495" t="s">
        <v>14</v>
      </c>
      <c r="J1495" t="s">
        <v>343</v>
      </c>
      <c r="K1495" t="s">
        <v>14</v>
      </c>
      <c r="L1495" t="s">
        <v>20</v>
      </c>
      <c r="M1495" t="s">
        <v>3150</v>
      </c>
      <c r="N1495" t="s">
        <v>14</v>
      </c>
    </row>
    <row r="1496" x14ac:dyDescent="0.25">
      <c r="A1496" t="n">
        <v>25</v>
      </c>
      <c r="B1496" t="s">
        <v>14</v>
      </c>
      <c r="C1496" t="s">
        <v>22</v>
      </c>
      <c r="D1496" s="2" t="s">
        <f>=HYPERLINK("https://main.knesset.gov.il/APPS/legislation/main/bills/2231906", "הצעת חוק החקלאות, התשפ""ה-2025")</f>
        <v>3179</v>
      </c>
      <c r="E1496" t="s">
        <v>3179</v>
      </c>
      <c r="F1496" t="s">
        <v>3180</v>
      </c>
      <c r="G1496" t="s">
        <v>14</v>
      </c>
      <c r="H1496">
             </c>
      <c r="I1496" t="s">
        <v>14</v>
      </c>
      <c r="J1496" t="s">
        <v>141</v>
      </c>
      <c r="K1496" t="s">
        <v>14</v>
      </c>
      <c r="L1496" t="s">
        <v>20</v>
      </c>
      <c r="M1496" t="s">
        <v>3150</v>
      </c>
      <c r="N1496" t="s">
        <v>14</v>
      </c>
    </row>
    <row r="1497" x14ac:dyDescent="0.25">
      <c r="A1497" t="n">
        <v>25</v>
      </c>
      <c r="B1497" t="s">
        <v>14</v>
      </c>
      <c r="C1497" t="s">
        <v>22</v>
      </c>
      <c r="D1497" s="2" t="s">
        <f>=HYPERLINK("https://main.knesset.gov.il/APPS/legislation/main/bills/2231684", "הצעת חוק המים (תיקון - הנחות לבתי תפילה), התשפ""ה-2025")</f>
        <v>3181</v>
      </c>
      <c r="E1497" t="s">
        <v>3181</v>
      </c>
      <c r="F1497" t="s">
        <v>3182</v>
      </c>
      <c r="G1497" t="s">
        <v>14</v>
      </c>
      <c r="H1497">
             </c>
      <c r="I1497" t="s">
        <v>14</v>
      </c>
      <c r="J1497" t="s">
        <v>141</v>
      </c>
      <c r="K1497" t="s">
        <v>14</v>
      </c>
      <c r="L1497" t="s">
        <v>20</v>
      </c>
      <c r="M1497" t="s">
        <v>3150</v>
      </c>
      <c r="N1497" t="s">
        <v>14</v>
      </c>
    </row>
    <row r="1498" x14ac:dyDescent="0.25">
      <c r="A1498" t="n">
        <v>25</v>
      </c>
      <c r="B1498" t="s">
        <v>14</v>
      </c>
      <c r="C1498" t="s">
        <v>22</v>
      </c>
      <c r="D1498" s="2" t="s">
        <f>=HYPERLINK("https://main.knesset.gov.il/APPS/legislation/main/bills/2231898", "הצעת חוק איסור התקשרות בהסדר לקביעת מחיר אחיד למזון במשלוח ובהזמנה בבית האוכל, התשפ""ה-2025")</f>
        <v>3133</v>
      </c>
      <c r="E1498" t="s">
        <v>3133</v>
      </c>
      <c r="F1498" t="s">
        <v>3183</v>
      </c>
      <c r="G1498" t="s">
        <v>14</v>
      </c>
      <c r="H1498">
             </c>
      <c r="I1498" t="s">
        <v>14</v>
      </c>
      <c r="J1498" t="s">
        <v>141</v>
      </c>
      <c r="K1498" t="s">
        <v>14</v>
      </c>
      <c r="L1498" t="s">
        <v>20</v>
      </c>
      <c r="M1498" t="s">
        <v>3150</v>
      </c>
      <c r="N1498" t="s">
        <v>14</v>
      </c>
    </row>
    <row r="1499" x14ac:dyDescent="0.25">
      <c r="A1499" t="n">
        <v>25</v>
      </c>
      <c r="B1499" t="s">
        <v>14</v>
      </c>
      <c r="C1499" t="s">
        <v>22</v>
      </c>
      <c r="D1499" s="2" t="s">
        <f>=HYPERLINK("https://main.knesset.gov.il/APPS/legislation/main/bills/2231902", "הצעת חוק תמיכה במימון פעילות ארגון נכי צה""ל ובתי הלוחם ובארגון נפגעי פעולות האיבה, התשפ""ה-2025")</f>
        <v>2428</v>
      </c>
      <c r="E1499" t="s">
        <v>2428</v>
      </c>
      <c r="F1499" t="s">
        <v>3184</v>
      </c>
      <c r="G1499" t="s">
        <v>14</v>
      </c>
      <c r="H1499">
             </c>
      <c r="I1499" t="s">
        <v>14</v>
      </c>
      <c r="J1499" t="s">
        <v>141</v>
      </c>
      <c r="K1499" t="s">
        <v>14</v>
      </c>
      <c r="L1499" t="s">
        <v>20</v>
      </c>
      <c r="M1499" t="s">
        <v>3150</v>
      </c>
      <c r="N1499" t="s">
        <v>14</v>
      </c>
    </row>
    <row r="1500" x14ac:dyDescent="0.25">
      <c r="A1500" t="n">
        <v>25</v>
      </c>
      <c r="B1500" t="s">
        <v>14</v>
      </c>
      <c r="C1500" t="s">
        <v>22</v>
      </c>
      <c r="D1500" s="2" t="s">
        <f>=HYPERLINK("https://main.knesset.gov.il/APPS/legislation/main/bills/2231180", "הצעת חוק התכנון והבנייה (תיקון - הקלה בפיצול דירות) התשפ""ה-2025")</f>
        <v>3185</v>
      </c>
      <c r="E1500" t="s">
        <v>3185</v>
      </c>
      <c r="F1500" t="s">
        <v>3186</v>
      </c>
      <c r="G1500" t="s">
        <v>14</v>
      </c>
      <c r="H1500">
             </c>
      <c r="I1500" t="s">
        <v>14</v>
      </c>
      <c r="J1500" t="s">
        <v>141</v>
      </c>
      <c r="K1500" t="s">
        <v>14</v>
      </c>
      <c r="L1500" t="s">
        <v>20</v>
      </c>
      <c r="M1500" t="s">
        <v>3150</v>
      </c>
      <c r="N1500" t="s">
        <v>14</v>
      </c>
    </row>
    <row r="1501" x14ac:dyDescent="0.25">
      <c r="A1501" t="n">
        <v>25</v>
      </c>
      <c r="B1501" t="s">
        <v>14</v>
      </c>
      <c r="C1501" t="s">
        <v>22</v>
      </c>
      <c r="D1501" s="2" t="s">
        <f>=HYPERLINK("https://main.knesset.gov.il/APPS/legislation/main/bills/2231847", "הצעת חוק הביטוח הלאומי (תיקון - הצמדת קצבת נכות מעבודה לשכר הממוצע במשק), התשפ""ה-2025")</f>
        <v>3187</v>
      </c>
      <c r="E1501" t="s">
        <v>3187</v>
      </c>
      <c r="F1501" t="s">
        <v>3188</v>
      </c>
      <c r="G1501" t="s">
        <v>14</v>
      </c>
      <c r="H1501">
             </c>
      <c r="I1501" t="s">
        <v>14</v>
      </c>
      <c r="J1501" t="s">
        <v>141</v>
      </c>
      <c r="K1501" t="s">
        <v>14</v>
      </c>
      <c r="L1501" t="s">
        <v>20</v>
      </c>
      <c r="M1501" t="s">
        <v>3150</v>
      </c>
      <c r="N1501" t="s">
        <v>14</v>
      </c>
    </row>
    <row r="1502" x14ac:dyDescent="0.25">
      <c r="A1502" t="n">
        <v>25</v>
      </c>
      <c r="B1502" t="s">
        <v>14</v>
      </c>
      <c r="C1502" t="s">
        <v>22</v>
      </c>
      <c r="D1502" s="2" t="s">
        <f>=HYPERLINK("https://main.knesset.gov.il/APPS/legislation/main/bills/2228357", "הצעת חוק להגברת האכיפה של דיני העבודה (תיקון - עיצום כספי בשל אי-הסדרת ביטוח רפואי לעובד זר), התשפ""ה-2025")</f>
        <v>3189</v>
      </c>
      <c r="E1502" t="s">
        <v>3189</v>
      </c>
      <c r="F1502" t="s">
        <v>3190</v>
      </c>
      <c r="G1502" t="s">
        <v>14</v>
      </c>
      <c r="H1502">
             </c>
      <c r="I1502" t="s">
        <v>14</v>
      </c>
      <c r="J1502" t="s">
        <v>141</v>
      </c>
      <c r="K1502" t="s">
        <v>14</v>
      </c>
      <c r="L1502" t="s">
        <v>20</v>
      </c>
      <c r="M1502" t="s">
        <v>3150</v>
      </c>
      <c r="N1502" t="s">
        <v>14</v>
      </c>
    </row>
    <row r="1503" x14ac:dyDescent="0.25">
      <c r="A1503" t="n">
        <v>25</v>
      </c>
      <c r="B1503" t="s">
        <v>14</v>
      </c>
      <c r="C1503" t="s">
        <v>22</v>
      </c>
      <c r="D1503" s="2" t="s">
        <f>=HYPERLINK("https://main.knesset.gov.il/APPS/legislation/main/bills/2231075", "הצעת חוק לתיקון פקודת מס הכנסה (הכרה בקרן משפחתית כמוסד ציבורי), התשפ""ה-2025")</f>
        <v>3191</v>
      </c>
      <c r="E1503" t="s">
        <v>3191</v>
      </c>
      <c r="F1503" t="s">
        <v>3192</v>
      </c>
      <c r="G1503" t="s">
        <v>14</v>
      </c>
      <c r="H1503">
             </c>
      <c r="I1503" t="s">
        <v>14</v>
      </c>
      <c r="J1503" t="s">
        <v>141</v>
      </c>
      <c r="K1503" t="s">
        <v>14</v>
      </c>
      <c r="L1503" t="s">
        <v>20</v>
      </c>
      <c r="M1503" t="s">
        <v>3150</v>
      </c>
      <c r="N1503" t="s">
        <v>14</v>
      </c>
    </row>
    <row r="1504" x14ac:dyDescent="0.25">
      <c r="A1504" t="n">
        <v>25</v>
      </c>
      <c r="B1504" t="s">
        <v>14</v>
      </c>
      <c r="C1504" t="s">
        <v>22</v>
      </c>
      <c r="D1504" s="2" t="s">
        <f>=HYPERLINK("https://main.knesset.gov.il/APPS/legislation/main/bills/2231074", "הצעת חוק לתיקון פקודת מס הכנסה (הגדלת תקרת תרומה מזכה למוסד ציבורי), התשפ""ה-2025")</f>
        <v>3193</v>
      </c>
      <c r="E1504" t="s">
        <v>3193</v>
      </c>
      <c r="F1504" t="s">
        <v>3194</v>
      </c>
      <c r="G1504" t="s">
        <v>14</v>
      </c>
      <c r="H1504">
             </c>
      <c r="I1504" t="s">
        <v>14</v>
      </c>
      <c r="J1504" t="s">
        <v>141</v>
      </c>
      <c r="K1504" t="s">
        <v>14</v>
      </c>
      <c r="L1504" t="s">
        <v>20</v>
      </c>
      <c r="M1504" t="s">
        <v>3150</v>
      </c>
      <c r="N1504" t="s">
        <v>14</v>
      </c>
    </row>
    <row r="1505" x14ac:dyDescent="0.25">
      <c r="A1505" t="n">
        <v>25</v>
      </c>
      <c r="B1505" t="s">
        <v>14</v>
      </c>
      <c r="C1505" t="s">
        <v>15</v>
      </c>
      <c r="D1505" s="2" t="s">
        <f>=HYPERLINK("https://main.knesset.gov.il/APPS/legislation/main/bills/2228735", "הצעת חוק להסדרת עסקאות איגוח, התשפ""ה-2025 ")</f>
        <v>3195</v>
      </c>
      <c r="E1505" t="s">
        <v>3195</v>
      </c>
      <c r="F1505" t="s">
        <v>14</v>
      </c>
      <c r="G1505" t="s">
        <v>3196</v>
      </c>
      <c r="H1505">
             </c>
      <c r="I1505" t="s">
        <v>14</v>
      </c>
      <c r="J1505" t="s">
        <v>60</v>
      </c>
      <c r="K1505" t="s">
        <v>14</v>
      </c>
      <c r="L1505" t="s">
        <v>20</v>
      </c>
      <c r="M1505" t="s">
        <v>3150</v>
      </c>
      <c r="N1505" t="s">
        <v>14</v>
      </c>
    </row>
    <row r="1506" x14ac:dyDescent="0.25">
      <c r="A1506" t="n">
        <v>25</v>
      </c>
      <c r="B1506" t="s">
        <v>14</v>
      </c>
      <c r="C1506" t="s">
        <v>15</v>
      </c>
      <c r="D1506" s="2" t="s">
        <f>=HYPERLINK("https://main.knesset.gov.il/APPS/legislation/main/bills/2231611", "חוק מניעת פגיעת גוף שידורים זר בביטחון המדינה (הוראה שעה - חרבות ברזל) (תיקון מס' 3), התשפ""ה-2025")</f>
        <v>3197</v>
      </c>
      <c r="E1506" t="s">
        <v>3197</v>
      </c>
      <c r="F1506" t="s">
        <v>14</v>
      </c>
      <c r="G1506" t="s">
        <v>3198</v>
      </c>
      <c r="H1506" t="n">
        <v>3418</v>
      </c>
      <c r="I1506" t="s">
        <v>14</v>
      </c>
      <c r="J1506" t="s">
        <v>91</v>
      </c>
      <c r="K1506" t="s">
        <v>105</v>
      </c>
      <c r="L1506" t="s">
        <v>20</v>
      </c>
      <c r="M1506" t="s">
        <v>3199</v>
      </c>
      <c r="N1506" t="s">
        <v>3200</v>
      </c>
    </row>
    <row r="1507" x14ac:dyDescent="0.25">
      <c r="A1507" t="n">
        <v>25</v>
      </c>
      <c r="B1507" t="s">
        <v>14</v>
      </c>
      <c r="C1507" t="s">
        <v>22</v>
      </c>
      <c r="D1507" s="2" t="s">
        <f>=HYPERLINK("https://main.knesset.gov.il/APPS/legislation/main/bills/2213964", "חוק התכנון והבנייה (תיקון מס' 161), התשפ""ה–2025")</f>
        <v>3201</v>
      </c>
      <c r="E1507" t="s">
        <v>3201</v>
      </c>
      <c r="F1507" t="s">
        <v>3202</v>
      </c>
      <c r="G1507" t="s">
        <v>3203</v>
      </c>
      <c r="H1507" t="n">
        <v>3419</v>
      </c>
      <c r="I1507" t="s">
        <v>14</v>
      </c>
      <c r="J1507" t="s">
        <v>91</v>
      </c>
      <c r="K1507" t="s">
        <v>46</v>
      </c>
      <c r="L1507" t="s">
        <v>20</v>
      </c>
      <c r="M1507" t="s">
        <v>3199</v>
      </c>
      <c r="N1507" t="s">
        <v>3204</v>
      </c>
    </row>
    <row r="1508" x14ac:dyDescent="0.25">
      <c r="A1508" t="n">
        <v>25</v>
      </c>
      <c r="B1508" t="s">
        <v>14</v>
      </c>
      <c r="C1508" t="s">
        <v>22</v>
      </c>
      <c r="D1508" s="2" t="s">
        <f>=HYPERLINK("https://main.knesset.gov.il/APPS/legislation/main/bills/2230303", "הצעת חוק ציון שירות צבאי או שירות לאומי בהשכלה הגבוהה ובשירות המדינה (תיקוני חקיקה), התשפ""ה-2025")</f>
        <v>3205</v>
      </c>
      <c r="E1508" t="s">
        <v>3205</v>
      </c>
      <c r="F1508" t="s">
        <v>3206</v>
      </c>
      <c r="G1508" t="s">
        <v>14</v>
      </c>
      <c r="H1508">
             </c>
      <c r="I1508" t="s">
        <v>14</v>
      </c>
      <c r="J1508" t="s">
        <v>55</v>
      </c>
      <c r="K1508" t="s">
        <v>14</v>
      </c>
      <c r="L1508" t="s">
        <v>20</v>
      </c>
      <c r="M1508" t="s">
        <v>3199</v>
      </c>
      <c r="N1508" t="s">
        <v>14</v>
      </c>
    </row>
    <row r="1509" x14ac:dyDescent="0.25">
      <c r="A1509" t="n">
        <v>25</v>
      </c>
      <c r="B1509" t="s">
        <v>14</v>
      </c>
      <c r="C1509" t="s">
        <v>22</v>
      </c>
      <c r="D1509" s="2" t="s">
        <f>=HYPERLINK("https://main.knesset.gov.il/APPS/legislation/main/bills/2230175", "הצעת חוק תגמול משפחות על תרומתן לשירות בצבא הגנה לישראל, התשפ""ה-2025")</f>
        <v>3207</v>
      </c>
      <c r="E1509" t="s">
        <v>3207</v>
      </c>
      <c r="F1509" t="s">
        <v>3208</v>
      </c>
      <c r="G1509" t="s">
        <v>14</v>
      </c>
      <c r="H1509">
             </c>
      <c r="I1509" t="s">
        <v>14</v>
      </c>
      <c r="J1509" t="s">
        <v>55</v>
      </c>
      <c r="K1509" t="s">
        <v>14</v>
      </c>
      <c r="L1509" t="s">
        <v>20</v>
      </c>
      <c r="M1509" t="s">
        <v>3199</v>
      </c>
      <c r="N1509" t="s">
        <v>14</v>
      </c>
    </row>
    <row r="1510" x14ac:dyDescent="0.25">
      <c r="A1510" t="n">
        <v>25</v>
      </c>
      <c r="B1510" t="s">
        <v>14</v>
      </c>
      <c r="C1510" t="s">
        <v>22</v>
      </c>
      <c r="D1510" s="2" t="s">
        <f>=HYPERLINK("https://main.knesset.gov.il/APPS/legislation/main/bills/2229171", "הצעת חוק איסור הכחשת הנכבה, התשפ""ה-2025")</f>
        <v>3209</v>
      </c>
      <c r="E1510" t="s">
        <v>3209</v>
      </c>
      <c r="F1510" t="s">
        <v>3210</v>
      </c>
      <c r="G1510" t="s">
        <v>14</v>
      </c>
      <c r="H1510">
             </c>
      <c r="I1510" t="s">
        <v>14</v>
      </c>
      <c r="J1510" t="s">
        <v>55</v>
      </c>
      <c r="K1510" t="s">
        <v>14</v>
      </c>
      <c r="L1510" t="s">
        <v>20</v>
      </c>
      <c r="M1510" t="s">
        <v>3199</v>
      </c>
      <c r="N1510" t="s">
        <v>14</v>
      </c>
    </row>
    <row r="1511" x14ac:dyDescent="0.25">
      <c r="A1511" t="n">
        <v>25</v>
      </c>
      <c r="B1511" t="s">
        <v>14</v>
      </c>
      <c r="C1511" t="s">
        <v>22</v>
      </c>
      <c r="D1511" s="2" t="s">
        <f>=HYPERLINK("https://main.knesset.gov.il/APPS/legislation/main/bills/2227993", "הצעת חוק חובת המכרזים (תיקון - העדפה למעסיק משרתי מילואים), התשפ""ה-2025")</f>
        <v>1355</v>
      </c>
      <c r="E1511" t="s">
        <v>1355</v>
      </c>
      <c r="F1511" t="s">
        <v>3211</v>
      </c>
      <c r="G1511" t="s">
        <v>14</v>
      </c>
      <c r="H1511">
             </c>
      <c r="I1511" t="s">
        <v>14</v>
      </c>
      <c r="J1511" t="s">
        <v>55</v>
      </c>
      <c r="K1511" t="s">
        <v>14</v>
      </c>
      <c r="L1511" t="s">
        <v>20</v>
      </c>
      <c r="M1511" t="s">
        <v>3199</v>
      </c>
      <c r="N1511" t="s">
        <v>14</v>
      </c>
    </row>
    <row r="1512" x14ac:dyDescent="0.25">
      <c r="A1512" t="n">
        <v>25</v>
      </c>
      <c r="B1512" t="s">
        <v>14</v>
      </c>
      <c r="C1512" t="s">
        <v>22</v>
      </c>
      <c r="D1512" s="2" t="s">
        <f>=HYPERLINK("https://main.knesset.gov.il/APPS/legislation/main/bills/2224224", "הצעת חוק פיקוח על מחירי מצרכים ושירותים (תיקון - פיקוח על מחירי לחם מלא, דגנים, כוסמין ושיפון), התשפ""ה-2024")</f>
        <v>3212</v>
      </c>
      <c r="E1512" t="s">
        <v>3212</v>
      </c>
      <c r="F1512" t="s">
        <v>3213</v>
      </c>
      <c r="G1512" t="s">
        <v>14</v>
      </c>
      <c r="H1512">
             </c>
      <c r="I1512" t="s">
        <v>14</v>
      </c>
      <c r="J1512" t="s">
        <v>55</v>
      </c>
      <c r="K1512" t="s">
        <v>14</v>
      </c>
      <c r="L1512" t="s">
        <v>20</v>
      </c>
      <c r="M1512" t="s">
        <v>3199</v>
      </c>
      <c r="N1512" t="s">
        <v>14</v>
      </c>
    </row>
    <row r="1513" x14ac:dyDescent="0.25">
      <c r="A1513" t="n">
        <v>25</v>
      </c>
      <c r="B1513" t="s">
        <v>14</v>
      </c>
      <c r="C1513" t="s">
        <v>22</v>
      </c>
      <c r="D1513" s="2" t="s">
        <f>=HYPERLINK("https://main.knesset.gov.il/APPS/legislation/main/bills/2224063", "הצעת חוק לתיקון פקודת המשטרה (ביטול הכפיפות לשר וסמכותו להתוות מדיניות), התשפ""ה-2024")</f>
        <v>3214</v>
      </c>
      <c r="E1513" t="s">
        <v>3214</v>
      </c>
      <c r="F1513" t="s">
        <v>3215</v>
      </c>
      <c r="G1513" t="s">
        <v>14</v>
      </c>
      <c r="H1513">
             </c>
      <c r="I1513" t="s">
        <v>14</v>
      </c>
      <c r="J1513" t="s">
        <v>55</v>
      </c>
      <c r="K1513" t="s">
        <v>14</v>
      </c>
      <c r="L1513" t="s">
        <v>20</v>
      </c>
      <c r="M1513" t="s">
        <v>3199</v>
      </c>
      <c r="N1513" t="s">
        <v>14</v>
      </c>
    </row>
    <row r="1514" x14ac:dyDescent="0.25">
      <c r="A1514" t="n">
        <v>25</v>
      </c>
      <c r="B1514" t="s">
        <v>14</v>
      </c>
      <c r="C1514" t="s">
        <v>22</v>
      </c>
      <c r="D1514" s="2" t="s">
        <f>=HYPERLINK("https://main.knesset.gov.il/APPS/legislation/main/bills/2222177", "הצעת חוק כלי הירייה (תיקון מס' 27), התשפ""ה–2025")</f>
        <v>3216</v>
      </c>
      <c r="E1514" t="s">
        <v>3216</v>
      </c>
      <c r="F1514" t="s">
        <v>3217</v>
      </c>
      <c r="G1514" t="s">
        <v>3218</v>
      </c>
      <c r="H1514">
             </c>
      <c r="I1514" t="s">
        <v>14</v>
      </c>
      <c r="J1514" t="s">
        <v>73</v>
      </c>
      <c r="K1514" t="s">
        <v>105</v>
      </c>
      <c r="L1514" t="s">
        <v>20</v>
      </c>
      <c r="M1514" t="s">
        <v>3199</v>
      </c>
      <c r="N1514" t="s">
        <v>14</v>
      </c>
    </row>
    <row r="1515" x14ac:dyDescent="0.25">
      <c r="A1515" t="n">
        <v>25</v>
      </c>
      <c r="B1515" t="s">
        <v>14</v>
      </c>
      <c r="C1515" t="s">
        <v>22</v>
      </c>
      <c r="D1515" s="2" t="s">
        <f>=HYPERLINK("https://main.knesset.gov.il/APPS/legislation/main/bills/2214728", "הצעת חוק שירות המילואים (תיקון מס' 3) (הטבות בדיור לחיילי מילואים), התשפ""ה–2025")</f>
        <v>3219</v>
      </c>
      <c r="E1515" t="s">
        <v>3219</v>
      </c>
      <c r="F1515" t="s">
        <v>3220</v>
      </c>
      <c r="G1515" t="s">
        <v>3221</v>
      </c>
      <c r="H1515">
             </c>
      <c r="I1515" t="s">
        <v>14</v>
      </c>
      <c r="J1515" t="s">
        <v>69</v>
      </c>
      <c r="K1515" t="s">
        <v>114</v>
      </c>
      <c r="L1515" t="s">
        <v>20</v>
      </c>
      <c r="M1515" t="s">
        <v>3199</v>
      </c>
      <c r="N1515" t="s">
        <v>14</v>
      </c>
    </row>
    <row r="1516" x14ac:dyDescent="0.25">
      <c r="A1516" t="n">
        <v>25</v>
      </c>
      <c r="B1516" t="s">
        <v>14</v>
      </c>
      <c r="C1516" t="s">
        <v>15</v>
      </c>
      <c r="D1516" s="2" t="s">
        <f>=HYPERLINK("https://main.knesset.gov.il/APPS/legislation/main/bills/2207551", "הצעת חוק לתיקון דיני הבחירות לרשויות המקומיות, התשפ""ג-2023 - הגשת רשימת מועמדים באופן ממוכן והליכים משפטיים בעניין ביטול בחירות")</f>
        <v>3222</v>
      </c>
      <c r="E1516" t="s">
        <v>3222</v>
      </c>
      <c r="F1516" t="s">
        <v>14</v>
      </c>
      <c r="G1516" t="s">
        <v>3223</v>
      </c>
      <c r="H1516">
             </c>
      <c r="I1516" t="s">
        <v>14</v>
      </c>
      <c r="J1516" t="s">
        <v>18</v>
      </c>
      <c r="K1516" t="s">
        <v>46</v>
      </c>
      <c r="L1516" t="s">
        <v>20</v>
      </c>
      <c r="M1516" t="s">
        <v>3224</v>
      </c>
      <c r="N1516" t="s">
        <v>14</v>
      </c>
    </row>
    <row r="1517" x14ac:dyDescent="0.25">
      <c r="A1517" t="n">
        <v>25</v>
      </c>
      <c r="B1517" t="s">
        <v>14</v>
      </c>
      <c r="C1517" t="s">
        <v>22</v>
      </c>
      <c r="D1517" s="2" t="s">
        <f>=HYPERLINK("https://main.knesset.gov.il/APPS/legislation/main/bills/2217571", "חוק הבנקאות (שירות ללקוח) (תיקון מס' 39), התשפ""ה–2025")</f>
        <v>3225</v>
      </c>
      <c r="E1517" t="s">
        <v>3225</v>
      </c>
      <c r="F1517" t="s">
        <v>3226</v>
      </c>
      <c r="G1517" t="s">
        <v>3227</v>
      </c>
      <c r="H1517" t="n">
        <v>3417</v>
      </c>
      <c r="I1517" t="s">
        <v>14</v>
      </c>
      <c r="J1517" t="s">
        <v>91</v>
      </c>
      <c r="K1517" t="s">
        <v>19</v>
      </c>
      <c r="L1517" t="s">
        <v>20</v>
      </c>
      <c r="M1517" t="s">
        <v>3224</v>
      </c>
      <c r="N1517" t="s">
        <v>3228</v>
      </c>
    </row>
    <row r="1518" x14ac:dyDescent="0.25">
      <c r="A1518" t="n">
        <v>25</v>
      </c>
      <c r="B1518" t="s">
        <v>14</v>
      </c>
      <c r="C1518" t="s">
        <v>15</v>
      </c>
      <c r="D1518" s="2" t="s">
        <f>=HYPERLINK("https://main.knesset.gov.il/APPS/legislation/main/bills/2230635", "חוק העונשין (תיקון מס' 133 – הוראת שעה) (תיקון מס' 3), התשפ""ה-2025 ")</f>
        <v>3229</v>
      </c>
      <c r="E1518" t="s">
        <v>3229</v>
      </c>
      <c r="F1518" t="s">
        <v>14</v>
      </c>
      <c r="G1518" t="s">
        <v>3230</v>
      </c>
      <c r="H1518" t="n">
        <v>3416</v>
      </c>
      <c r="I1518" t="s">
        <v>14</v>
      </c>
      <c r="J1518" t="s">
        <v>91</v>
      </c>
      <c r="K1518" t="s">
        <v>27</v>
      </c>
      <c r="L1518" t="s">
        <v>20</v>
      </c>
      <c r="M1518" t="s">
        <v>3224</v>
      </c>
      <c r="N1518" t="s">
        <v>3231</v>
      </c>
    </row>
    <row r="1519" x14ac:dyDescent="0.25">
      <c r="A1519" t="n">
        <v>25</v>
      </c>
      <c r="B1519" t="s">
        <v>14</v>
      </c>
      <c r="C1519" t="s">
        <v>15</v>
      </c>
      <c r="D1519" s="2" t="s">
        <f>=HYPERLINK("https://main.knesset.gov.il/APPS/legislation/main/bills/2231474", "חוק להשתתפותם של העובדים ובעלי תפקיד בשירות הציבורי, בצעדים לייצוב המצב הפיסקלי במדינה במהלך השנים 2025 ו-2026 (הוראת שעה) (תיקון), התשפ""ה-2025")</f>
        <v>3232</v>
      </c>
      <c r="E1519" t="s">
        <v>3232</v>
      </c>
      <c r="F1519" t="s">
        <v>14</v>
      </c>
      <c r="G1519" t="s">
        <v>3233</v>
      </c>
      <c r="H1519" t="n">
        <v>3415</v>
      </c>
      <c r="I1519" t="s">
        <v>14</v>
      </c>
      <c r="J1519" t="s">
        <v>91</v>
      </c>
      <c r="K1519" t="s">
        <v>127</v>
      </c>
      <c r="L1519" t="s">
        <v>20</v>
      </c>
      <c r="M1519" t="s">
        <v>3234</v>
      </c>
      <c r="N1519" t="s">
        <v>3235</v>
      </c>
    </row>
    <row r="1520" x14ac:dyDescent="0.25">
      <c r="A1520" t="n">
        <v>25</v>
      </c>
      <c r="B1520" t="s">
        <v>14</v>
      </c>
      <c r="C1520" t="s">
        <v>15</v>
      </c>
      <c r="D1520" s="2" t="s">
        <f>=HYPERLINK("https://main.knesset.gov.il/APPS/legislation/main/bills/2231120", "חוק לתיקון פקודת בתי הסוהר (תיקון מס' 66 - הוראת שעה - חרבות ברזל) (חופשה מיוחדת לאסיר) (תיקון מס' 3), התשפ""ה-2025")</f>
        <v>3236</v>
      </c>
      <c r="E1520" t="s">
        <v>3236</v>
      </c>
      <c r="F1520" t="s">
        <v>14</v>
      </c>
      <c r="G1520" t="s">
        <v>3237</v>
      </c>
      <c r="H1520" t="n">
        <v>3414</v>
      </c>
      <c r="I1520" t="s">
        <v>14</v>
      </c>
      <c r="J1520" t="s">
        <v>91</v>
      </c>
      <c r="K1520" t="s">
        <v>105</v>
      </c>
      <c r="L1520" t="s">
        <v>20</v>
      </c>
      <c r="M1520" t="s">
        <v>3234</v>
      </c>
      <c r="N1520" t="s">
        <v>3238</v>
      </c>
    </row>
    <row r="1521" x14ac:dyDescent="0.25">
      <c r="A1521" t="n">
        <v>25</v>
      </c>
      <c r="B1521" t="s">
        <v>14</v>
      </c>
      <c r="C1521" t="s">
        <v>22</v>
      </c>
      <c r="D1521" s="2" t="s">
        <f>=HYPERLINK("https://main.knesset.gov.il/APPS/legislation/main/bills/2229808", "הצעת חוק כלי הירייה (תיקון - הזכות להגנה עצמית והזכות לסייע בהגנה על המדינה), התשפ""ה-2025 ")</f>
        <v>3239</v>
      </c>
      <c r="E1521" t="s">
        <v>3239</v>
      </c>
      <c r="F1521" t="s">
        <v>3240</v>
      </c>
      <c r="G1521" t="s">
        <v>14</v>
      </c>
      <c r="H1521">
             </c>
      <c r="I1521" t="s">
        <v>14</v>
      </c>
      <c r="J1521" t="s">
        <v>141</v>
      </c>
      <c r="K1521" t="s">
        <v>14</v>
      </c>
      <c r="L1521" t="s">
        <v>20</v>
      </c>
      <c r="M1521" t="s">
        <v>3234</v>
      </c>
      <c r="N1521" t="s">
        <v>14</v>
      </c>
    </row>
    <row r="1522" x14ac:dyDescent="0.25">
      <c r="A1522" t="n">
        <v>25</v>
      </c>
      <c r="B1522" t="s">
        <v>14</v>
      </c>
      <c r="C1522" t="s">
        <v>22</v>
      </c>
      <c r="D1522" s="2" t="s">
        <f>=HYPERLINK("https://main.knesset.gov.il/APPS/legislation/main/bills/2231563", "הצעת חוק שירות המדינה (מינויים) (תיקון - מינוי נציב שירות המדינה), התשפ""ה-2025 ")</f>
        <v>3241</v>
      </c>
      <c r="E1522" t="s">
        <v>3241</v>
      </c>
      <c r="F1522" t="s">
        <v>3242</v>
      </c>
      <c r="G1522" t="s">
        <v>14</v>
      </c>
      <c r="H1522">
             </c>
      <c r="I1522" t="s">
        <v>14</v>
      </c>
      <c r="J1522" t="s">
        <v>141</v>
      </c>
      <c r="K1522" t="s">
        <v>14</v>
      </c>
      <c r="L1522" t="s">
        <v>20</v>
      </c>
      <c r="M1522" t="s">
        <v>3234</v>
      </c>
      <c r="N1522" t="s">
        <v>14</v>
      </c>
    </row>
    <row r="1523" x14ac:dyDescent="0.25">
      <c r="A1523" t="n">
        <v>25</v>
      </c>
      <c r="B1523" t="s">
        <v>14</v>
      </c>
      <c r="C1523" t="s">
        <v>22</v>
      </c>
      <c r="D1523" s="2" t="s">
        <f>=HYPERLINK("https://main.knesset.gov.il/APPS/legislation/main/bills/2224367", "הצעת חוק שירות המדינה (מינויים) (תיקון - הרחבת היקף המכרזים), התשפ""ה-2025")</f>
        <v>3243</v>
      </c>
      <c r="E1523" t="s">
        <v>3243</v>
      </c>
      <c r="F1523" t="s">
        <v>3244</v>
      </c>
      <c r="G1523" t="s">
        <v>14</v>
      </c>
      <c r="H1523">
             </c>
      <c r="I1523" t="s">
        <v>14</v>
      </c>
      <c r="J1523" t="s">
        <v>141</v>
      </c>
      <c r="K1523" t="s">
        <v>14</v>
      </c>
      <c r="L1523" t="s">
        <v>20</v>
      </c>
      <c r="M1523" t="s">
        <v>3234</v>
      </c>
      <c r="N1523" t="s">
        <v>14</v>
      </c>
    </row>
    <row r="1524" x14ac:dyDescent="0.25">
      <c r="A1524" t="n">
        <v>25</v>
      </c>
      <c r="B1524" t="s">
        <v>14</v>
      </c>
      <c r="C1524" t="s">
        <v>22</v>
      </c>
      <c r="D1524" s="2" t="s">
        <f>=HYPERLINK("https://main.knesset.gov.il/APPS/legislation/main/bills/2230960", "הצעת חוק פיצויים לבעלי זכות במקרקעין מועברים, התשפ""ה-2025")</f>
        <v>3245</v>
      </c>
      <c r="E1524" t="s">
        <v>3245</v>
      </c>
      <c r="F1524" t="s">
        <v>3246</v>
      </c>
      <c r="G1524" t="s">
        <v>14</v>
      </c>
      <c r="H1524">
             </c>
      <c r="I1524" t="s">
        <v>14</v>
      </c>
      <c r="J1524" t="s">
        <v>141</v>
      </c>
      <c r="K1524" t="s">
        <v>14</v>
      </c>
      <c r="L1524" t="s">
        <v>20</v>
      </c>
      <c r="M1524" t="s">
        <v>3234</v>
      </c>
      <c r="N1524" t="s">
        <v>14</v>
      </c>
    </row>
    <row r="1525" x14ac:dyDescent="0.25">
      <c r="A1525" t="n">
        <v>25</v>
      </c>
      <c r="B1525" t="s">
        <v>14</v>
      </c>
      <c r="C1525" t="s">
        <v>22</v>
      </c>
      <c r="D1525" s="2" t="s">
        <f>=HYPERLINK("https://main.knesset.gov.il/APPS/legislation/main/bills/2229095", "הצעת חוק הכשרות המשפטית והאפוטרופסות (תיקון - שלילת אפוטרופסות בעקבות הרשעה בעבירת אלימות חמורה), התשפ""ה-2025 ")</f>
        <v>3247</v>
      </c>
      <c r="E1525" t="s">
        <v>3247</v>
      </c>
      <c r="F1525" t="s">
        <v>3248</v>
      </c>
      <c r="G1525" t="s">
        <v>14</v>
      </c>
      <c r="H1525">
             </c>
      <c r="I1525" t="s">
        <v>14</v>
      </c>
      <c r="J1525" t="s">
        <v>141</v>
      </c>
      <c r="K1525" t="s">
        <v>14</v>
      </c>
      <c r="L1525" t="s">
        <v>20</v>
      </c>
      <c r="M1525" t="s">
        <v>3234</v>
      </c>
      <c r="N1525" t="s">
        <v>14</v>
      </c>
    </row>
    <row r="1526" x14ac:dyDescent="0.25">
      <c r="A1526" t="n">
        <v>25</v>
      </c>
      <c r="B1526" t="s">
        <v>14</v>
      </c>
      <c r="C1526" t="s">
        <v>22</v>
      </c>
      <c r="D1526" s="2" t="s">
        <f>=HYPERLINK("https://main.knesset.gov.il/APPS/legislation/main/bills/2231612", "הצעת חוק ועדות חקירה (תיקון - אירועי חובה להקמת ועדת חקירה ממלכתית), התשפ""ה-2025")</f>
        <v>2961</v>
      </c>
      <c r="E1526" t="s">
        <v>2961</v>
      </c>
      <c r="F1526" t="s">
        <v>3249</v>
      </c>
      <c r="G1526" t="s">
        <v>14</v>
      </c>
      <c r="H1526">
             </c>
      <c r="I1526" t="s">
        <v>14</v>
      </c>
      <c r="J1526" t="s">
        <v>141</v>
      </c>
      <c r="K1526" t="s">
        <v>14</v>
      </c>
      <c r="L1526" t="s">
        <v>20</v>
      </c>
      <c r="M1526" t="s">
        <v>3234</v>
      </c>
      <c r="N1526" t="s">
        <v>14</v>
      </c>
    </row>
    <row r="1527" x14ac:dyDescent="0.25">
      <c r="A1527" t="n">
        <v>25</v>
      </c>
      <c r="B1527" t="s">
        <v>14</v>
      </c>
      <c r="C1527" t="s">
        <v>22</v>
      </c>
      <c r="D1527" s="2" t="s">
        <f>=HYPERLINK("https://main.knesset.gov.il/APPS/legislation/main/bills/2231072", "הצעת חוק המאבק בטרור (תיקון - עבירת הצתה), התשפ""ה-2025")</f>
        <v>3250</v>
      </c>
      <c r="E1527" t="s">
        <v>3250</v>
      </c>
      <c r="F1527" t="s">
        <v>3251</v>
      </c>
      <c r="G1527" t="s">
        <v>14</v>
      </c>
      <c r="H1527">
             </c>
      <c r="I1527" t="s">
        <v>14</v>
      </c>
      <c r="J1527" t="s">
        <v>141</v>
      </c>
      <c r="K1527" t="s">
        <v>14</v>
      </c>
      <c r="L1527" t="s">
        <v>20</v>
      </c>
      <c r="M1527" t="s">
        <v>3234</v>
      </c>
      <c r="N1527" t="s">
        <v>14</v>
      </c>
    </row>
    <row r="1528" x14ac:dyDescent="0.25">
      <c r="A1528" t="n">
        <v>25</v>
      </c>
      <c r="B1528" t="s">
        <v>14</v>
      </c>
      <c r="C1528" t="s">
        <v>22</v>
      </c>
      <c r="D1528" s="2" t="s">
        <f>=HYPERLINK("https://main.knesset.gov.il/APPS/legislation/main/bills/2231160", "הצעת חוק להגנת חיית הבר (תיקון - חילוט כלי ציד), התשפ""ה-2025")</f>
        <v>3163</v>
      </c>
      <c r="E1528" t="s">
        <v>3163</v>
      </c>
      <c r="F1528" t="s">
        <v>3252</v>
      </c>
      <c r="G1528" t="s">
        <v>14</v>
      </c>
      <c r="H1528">
             </c>
      <c r="I1528" t="s">
        <v>14</v>
      </c>
      <c r="J1528" t="s">
        <v>141</v>
      </c>
      <c r="K1528" t="s">
        <v>14</v>
      </c>
      <c r="L1528" t="s">
        <v>20</v>
      </c>
      <c r="M1528" t="s">
        <v>3234</v>
      </c>
      <c r="N1528" t="s">
        <v>14</v>
      </c>
    </row>
    <row r="1529" x14ac:dyDescent="0.25">
      <c r="A1529" t="n">
        <v>25</v>
      </c>
      <c r="B1529" t="s">
        <v>14</v>
      </c>
      <c r="C1529" t="s">
        <v>22</v>
      </c>
      <c r="D1529" s="2" t="s">
        <f>=HYPERLINK("https://main.knesset.gov.il/APPS/legislation/main/bills/2230963", "הצעת חוק סדר הדין הפלילי (תיקון - חקירת עיתונאים), התשפ""ה-2025")</f>
        <v>3253</v>
      </c>
      <c r="E1529" t="s">
        <v>3253</v>
      </c>
      <c r="F1529" t="s">
        <v>3254</v>
      </c>
      <c r="G1529" t="s">
        <v>14</v>
      </c>
      <c r="H1529">
             </c>
      <c r="I1529" t="s">
        <v>14</v>
      </c>
      <c r="J1529" t="s">
        <v>141</v>
      </c>
      <c r="K1529" t="s">
        <v>14</v>
      </c>
      <c r="L1529" t="s">
        <v>20</v>
      </c>
      <c r="M1529" t="s">
        <v>3234</v>
      </c>
      <c r="N1529" t="s">
        <v>14</v>
      </c>
    </row>
    <row r="1530" x14ac:dyDescent="0.25">
      <c r="A1530" t="n">
        <v>25</v>
      </c>
      <c r="B1530" t="s">
        <v>14</v>
      </c>
      <c r="C1530" t="s">
        <v>22</v>
      </c>
      <c r="D1530" s="2" t="s">
        <f>=HYPERLINK("https://main.knesset.gov.il/APPS/legislation/main/bills/2228403", "הצעת חוק חניה לנכים (תיקון - תגי נכה), התשפ""ה-2025")</f>
        <v>3255</v>
      </c>
      <c r="E1530" t="s">
        <v>3255</v>
      </c>
      <c r="F1530" t="s">
        <v>3256</v>
      </c>
      <c r="G1530" t="s">
        <v>14</v>
      </c>
      <c r="H1530">
             </c>
      <c r="I1530" t="s">
        <v>14</v>
      </c>
      <c r="J1530" t="s">
        <v>343</v>
      </c>
      <c r="K1530" t="s">
        <v>14</v>
      </c>
      <c r="L1530" t="s">
        <v>20</v>
      </c>
      <c r="M1530" t="s">
        <v>3234</v>
      </c>
      <c r="N1530" t="s">
        <v>14</v>
      </c>
    </row>
    <row r="1531" x14ac:dyDescent="0.25">
      <c r="A1531" t="n">
        <v>25</v>
      </c>
      <c r="B1531" t="s">
        <v>14</v>
      </c>
      <c r="C1531" t="s">
        <v>22</v>
      </c>
      <c r="D1531" s="2" t="s">
        <f>=HYPERLINK("https://main.knesset.gov.il/APPS/legislation/main/bills/2229631", "הצעת חוק לתיקון פקודת הרופאים (אי-הכרה בלימודי רפואה שנערכו במדינות עוינות או ברשות הפלסטינית), התשפ""ה-2025")</f>
        <v>3257</v>
      </c>
      <c r="E1531" t="s">
        <v>3257</v>
      </c>
      <c r="F1531" t="s">
        <v>3258</v>
      </c>
      <c r="G1531" t="s">
        <v>14</v>
      </c>
      <c r="H1531">
             </c>
      <c r="I1531" t="s">
        <v>14</v>
      </c>
      <c r="J1531" t="s">
        <v>141</v>
      </c>
      <c r="K1531" t="s">
        <v>14</v>
      </c>
      <c r="L1531" t="s">
        <v>20</v>
      </c>
      <c r="M1531" t="s">
        <v>3234</v>
      </c>
      <c r="N1531" t="s">
        <v>14</v>
      </c>
    </row>
    <row r="1532" x14ac:dyDescent="0.25">
      <c r="A1532" t="n">
        <v>25</v>
      </c>
      <c r="B1532" t="s">
        <v>14</v>
      </c>
      <c r="C1532" t="s">
        <v>22</v>
      </c>
      <c r="D1532" s="2" t="s">
        <f>=HYPERLINK("https://main.knesset.gov.il/APPS/legislation/main/bills/2231190", "הצעת חוק קבלת ילד של משרת מילואים למעון יום והשתתפות המדינה בעלות שכר הלימוד בו, התשפ""ה-2025")</f>
        <v>1790</v>
      </c>
      <c r="E1532" t="s">
        <v>1790</v>
      </c>
      <c r="F1532" t="s">
        <v>3259</v>
      </c>
      <c r="G1532" t="s">
        <v>14</v>
      </c>
      <c r="H1532">
             </c>
      <c r="I1532" t="s">
        <v>14</v>
      </c>
      <c r="J1532" t="s">
        <v>141</v>
      </c>
      <c r="K1532" t="s">
        <v>14</v>
      </c>
      <c r="L1532" t="s">
        <v>20</v>
      </c>
      <c r="M1532" t="s">
        <v>3234</v>
      </c>
      <c r="N1532" t="s">
        <v>14</v>
      </c>
    </row>
    <row r="1533" x14ac:dyDescent="0.25">
      <c r="A1533" t="n">
        <v>25</v>
      </c>
      <c r="B1533" t="s">
        <v>14</v>
      </c>
      <c r="C1533" t="s">
        <v>22</v>
      </c>
      <c r="D1533" s="2" t="s">
        <f>=HYPERLINK("https://main.knesset.gov.il/APPS/legislation/main/bills/2231169", "הצעת חוק הרשויות המקומיות (פטור חיילים, נפגעי מלחמה ושוטרים מארנונה) (תיקון - הנחה בארנונה לחייל מילואים פעיל), התשפ""ה-2025")</f>
        <v>3260</v>
      </c>
      <c r="E1533" t="s">
        <v>3260</v>
      </c>
      <c r="F1533" t="s">
        <v>3261</v>
      </c>
      <c r="G1533" t="s">
        <v>14</v>
      </c>
      <c r="H1533">
             </c>
      <c r="I1533" t="s">
        <v>14</v>
      </c>
      <c r="J1533" t="s">
        <v>141</v>
      </c>
      <c r="K1533" t="s">
        <v>14</v>
      </c>
      <c r="L1533" t="s">
        <v>20</v>
      </c>
      <c r="M1533" t="s">
        <v>3234</v>
      </c>
      <c r="N1533" t="s">
        <v>14</v>
      </c>
    </row>
    <row r="1534" x14ac:dyDescent="0.25">
      <c r="A1534" t="n">
        <v>25</v>
      </c>
      <c r="B1534" t="s">
        <v>14</v>
      </c>
      <c r="C1534" t="s">
        <v>22</v>
      </c>
      <c r="D1534" s="2" t="s">
        <f>=HYPERLINK("https://main.knesset.gov.il/APPS/legislation/main/bills/2231557", "הצעת חוק שוויון זכויות לאנשים עם מוגבלות (תיקון - הגנה על חולים במחלה ממארת בזמן הטיפולים וההחלמה), התשפ""ה-2025")</f>
        <v>3262</v>
      </c>
      <c r="E1534" t="s">
        <v>3262</v>
      </c>
      <c r="F1534" t="s">
        <v>3263</v>
      </c>
      <c r="G1534" t="s">
        <v>14</v>
      </c>
      <c r="H1534">
             </c>
      <c r="I1534" t="s">
        <v>14</v>
      </c>
      <c r="J1534" t="s">
        <v>141</v>
      </c>
      <c r="K1534" t="s">
        <v>14</v>
      </c>
      <c r="L1534" t="s">
        <v>20</v>
      </c>
      <c r="M1534" t="s">
        <v>3234</v>
      </c>
      <c r="N1534" t="s">
        <v>14</v>
      </c>
    </row>
    <row r="1535" x14ac:dyDescent="0.25">
      <c r="A1535" t="n">
        <v>25</v>
      </c>
      <c r="B1535" t="s">
        <v>14</v>
      </c>
      <c r="C1535" t="s">
        <v>22</v>
      </c>
      <c r="D1535" s="2" t="s">
        <f>=HYPERLINK("https://main.knesset.gov.il/APPS/legislation/main/bills/2231394", "הצעת חוק-יסוד: זכויות בהליך פלילי")</f>
        <v>2388</v>
      </c>
      <c r="E1535" t="s">
        <v>2388</v>
      </c>
      <c r="F1535" t="s">
        <v>3264</v>
      </c>
      <c r="G1535" t="s">
        <v>14</v>
      </c>
      <c r="H1535">
             </c>
      <c r="I1535" t="s">
        <v>14</v>
      </c>
      <c r="J1535" t="s">
        <v>343</v>
      </c>
      <c r="K1535" t="s">
        <v>14</v>
      </c>
      <c r="L1535" t="s">
        <v>20</v>
      </c>
      <c r="M1535" t="s">
        <v>3234</v>
      </c>
      <c r="N1535" t="s">
        <v>14</v>
      </c>
    </row>
    <row r="1536" x14ac:dyDescent="0.25">
      <c r="A1536" t="n">
        <v>25</v>
      </c>
      <c r="B1536" t="s">
        <v>14</v>
      </c>
      <c r="C1536" t="s">
        <v>22</v>
      </c>
      <c r="D1536" s="2" t="s">
        <f>=HYPERLINK("https://main.knesset.gov.il/APPS/legislation/main/bills/2227851", "הצעת חוק רישוי שירותים ומקצועות בענף הרכב (תיקון - הוראות לעניין ייבוא רכב מסוג מעונוע), התשפ""ה-2025")</f>
        <v>3265</v>
      </c>
      <c r="E1536" t="s">
        <v>3265</v>
      </c>
      <c r="F1536" t="s">
        <v>3266</v>
      </c>
      <c r="G1536" t="s">
        <v>14</v>
      </c>
      <c r="H1536">
             </c>
      <c r="I1536" t="s">
        <v>14</v>
      </c>
      <c r="J1536" t="s">
        <v>141</v>
      </c>
      <c r="K1536" t="s">
        <v>14</v>
      </c>
      <c r="L1536" t="s">
        <v>20</v>
      </c>
      <c r="M1536" t="s">
        <v>3234</v>
      </c>
      <c r="N1536" t="s">
        <v>14</v>
      </c>
    </row>
    <row r="1537" x14ac:dyDescent="0.25">
      <c r="A1537" t="n">
        <v>25</v>
      </c>
      <c r="B1537" t="s">
        <v>14</v>
      </c>
      <c r="C1537" t="s">
        <v>22</v>
      </c>
      <c r="D1537" s="2" t="s">
        <f>=HYPERLINK("https://main.knesset.gov.il/APPS/legislation/main/bills/2231490", "הצעת חוק חובת שליחת בקשת תשלום טרם עיקול ותפיסה של נכסים המוחזקים בידי צד שלישי (תיקוני חקיקה), התשפ""ה-2025")</f>
        <v>3118</v>
      </c>
      <c r="E1537" t="s">
        <v>3118</v>
      </c>
      <c r="F1537" t="s">
        <v>3267</v>
      </c>
      <c r="G1537" t="s">
        <v>14</v>
      </c>
      <c r="H1537">
             </c>
      <c r="I1537" t="s">
        <v>14</v>
      </c>
      <c r="J1537" t="s">
        <v>141</v>
      </c>
      <c r="K1537" t="s">
        <v>14</v>
      </c>
      <c r="L1537" t="s">
        <v>20</v>
      </c>
      <c r="M1537" t="s">
        <v>3234</v>
      </c>
      <c r="N1537" t="s">
        <v>14</v>
      </c>
    </row>
    <row r="1538" x14ac:dyDescent="0.25">
      <c r="A1538" t="n">
        <v>25</v>
      </c>
      <c r="B1538" t="s">
        <v>14</v>
      </c>
      <c r="C1538" t="s">
        <v>22</v>
      </c>
      <c r="D1538" s="2" t="s">
        <f>=HYPERLINK("https://main.knesset.gov.il/APPS/legislation/main/bills/2231553", "הצעת חוק איסור הפליית משרתים בשירות הביטחוני, הלאומי והאזרחי, התשפ""ה-2025")</f>
        <v>3268</v>
      </c>
      <c r="E1538" t="s">
        <v>3268</v>
      </c>
      <c r="F1538" t="s">
        <v>3269</v>
      </c>
      <c r="G1538" t="s">
        <v>14</v>
      </c>
      <c r="H1538">
             </c>
      <c r="I1538" t="s">
        <v>14</v>
      </c>
      <c r="J1538" t="s">
        <v>141</v>
      </c>
      <c r="K1538" t="s">
        <v>14</v>
      </c>
      <c r="L1538" t="s">
        <v>20</v>
      </c>
      <c r="M1538" t="s">
        <v>3234</v>
      </c>
      <c r="N1538" t="s">
        <v>14</v>
      </c>
    </row>
    <row r="1539" x14ac:dyDescent="0.25">
      <c r="A1539" t="n">
        <v>25</v>
      </c>
      <c r="B1539" t="s">
        <v>14</v>
      </c>
      <c r="C1539" t="s">
        <v>22</v>
      </c>
      <c r="D1539" s="2" t="s">
        <f>=HYPERLINK("https://main.knesset.gov.il/APPS/legislation/main/bills/2231554", "הצעת חוק לתיקון פקודת התעבורה (איסור שימוש ברכב שהועמד באופן המפריע לתנועה), התשפ""ה-2025")</f>
        <v>3270</v>
      </c>
      <c r="E1539" t="s">
        <v>3270</v>
      </c>
      <c r="F1539" t="s">
        <v>3271</v>
      </c>
      <c r="G1539" t="s">
        <v>14</v>
      </c>
      <c r="H1539">
             </c>
      <c r="I1539" t="s">
        <v>14</v>
      </c>
      <c r="J1539" t="s">
        <v>141</v>
      </c>
      <c r="K1539" t="s">
        <v>14</v>
      </c>
      <c r="L1539" t="s">
        <v>20</v>
      </c>
      <c r="M1539" t="s">
        <v>3234</v>
      </c>
      <c r="N1539" t="s">
        <v>14</v>
      </c>
    </row>
    <row r="1540" x14ac:dyDescent="0.25">
      <c r="A1540" t="n">
        <v>25</v>
      </c>
      <c r="B1540" t="s">
        <v>14</v>
      </c>
      <c r="C1540" t="s">
        <v>22</v>
      </c>
      <c r="D1540" s="2" t="s">
        <f>=HYPERLINK("https://main.knesset.gov.il/APPS/legislation/main/bills/2231555", "הצעת חוק הביטוח הלאומי (תיקון - קביעת אחוזי נכות ללקויי שמיעה - דו-צידי וחד-צידי), התשפ""ה-2025")</f>
        <v>3272</v>
      </c>
      <c r="E1540" t="s">
        <v>3272</v>
      </c>
      <c r="F1540" t="s">
        <v>3273</v>
      </c>
      <c r="G1540" t="s">
        <v>14</v>
      </c>
      <c r="H1540">
             </c>
      <c r="I1540" t="s">
        <v>14</v>
      </c>
      <c r="J1540" t="s">
        <v>141</v>
      </c>
      <c r="K1540" t="s">
        <v>14</v>
      </c>
      <c r="L1540" t="s">
        <v>20</v>
      </c>
      <c r="M1540" t="s">
        <v>3234</v>
      </c>
      <c r="N1540" t="s">
        <v>14</v>
      </c>
    </row>
    <row r="1541" x14ac:dyDescent="0.25">
      <c r="A1541" t="n">
        <v>25</v>
      </c>
      <c r="B1541" t="s">
        <v>14</v>
      </c>
      <c r="C1541" t="s">
        <v>22</v>
      </c>
      <c r="D1541" s="2" t="s">
        <f>=HYPERLINK("https://main.knesset.gov.il/APPS/legislation/main/bills/2231483", "הצעת חוק האזרחים הוותיקים (תיקון - לחצן מצוקה לקשיש), התשפ""ה-2025")</f>
        <v>3274</v>
      </c>
      <c r="E1541" t="s">
        <v>3274</v>
      </c>
      <c r="F1541" t="s">
        <v>3275</v>
      </c>
      <c r="G1541" t="s">
        <v>14</v>
      </c>
      <c r="H1541">
             </c>
      <c r="I1541" t="s">
        <v>14</v>
      </c>
      <c r="J1541" t="s">
        <v>141</v>
      </c>
      <c r="K1541" t="s">
        <v>14</v>
      </c>
      <c r="L1541" t="s">
        <v>20</v>
      </c>
      <c r="M1541" t="s">
        <v>3234</v>
      </c>
      <c r="N1541" t="s">
        <v>14</v>
      </c>
    </row>
    <row r="1542" x14ac:dyDescent="0.25">
      <c r="A1542" t="n">
        <v>25</v>
      </c>
      <c r="B1542" t="s">
        <v>14</v>
      </c>
      <c r="C1542" t="s">
        <v>22</v>
      </c>
      <c r="D1542" s="2" t="s">
        <f>=HYPERLINK("https://main.knesset.gov.il/APPS/legislation/main/bills/2230228", "הצעת חוק הנכים (תגמולים ושיקום) (תיקון - חבלה שאינה חבלת שירות בזמן מלחמה), התשפ""ה-2025")</f>
        <v>3276</v>
      </c>
      <c r="E1542" t="s">
        <v>3276</v>
      </c>
      <c r="F1542" t="s">
        <v>3277</v>
      </c>
      <c r="G1542" t="s">
        <v>14</v>
      </c>
      <c r="H1542">
             </c>
      <c r="I1542" t="s">
        <v>14</v>
      </c>
      <c r="J1542" t="s">
        <v>343</v>
      </c>
      <c r="K1542" t="s">
        <v>14</v>
      </c>
      <c r="L1542" t="s">
        <v>20</v>
      </c>
      <c r="M1542" t="s">
        <v>3278</v>
      </c>
      <c r="N1542" t="s">
        <v>14</v>
      </c>
    </row>
    <row r="1543" x14ac:dyDescent="0.25">
      <c r="A1543" t="n">
        <v>25</v>
      </c>
      <c r="B1543" t="s">
        <v>14</v>
      </c>
      <c r="C1543" t="s">
        <v>22</v>
      </c>
      <c r="D1543" s="2" t="s">
        <f>=HYPERLINK("https://main.knesset.gov.il/APPS/legislation/main/bills/2229715", "הצעת חוק זכויות החולה (תיקון - מניעת טיפול רפואי למחבלים במערכת הבריאות הציבורית), התשפ""ה-2025")</f>
        <v>3106</v>
      </c>
      <c r="E1543" t="s">
        <v>3106</v>
      </c>
      <c r="F1543" t="s">
        <v>3279</v>
      </c>
      <c r="G1543" t="s">
        <v>14</v>
      </c>
      <c r="H1543">
             </c>
      <c r="I1543" t="s">
        <v>14</v>
      </c>
      <c r="J1543" t="s">
        <v>55</v>
      </c>
      <c r="K1543" t="s">
        <v>14</v>
      </c>
      <c r="L1543" t="s">
        <v>20</v>
      </c>
      <c r="M1543" t="s">
        <v>3278</v>
      </c>
      <c r="N1543" t="s">
        <v>14</v>
      </c>
    </row>
    <row r="1544" x14ac:dyDescent="0.25">
      <c r="A1544" t="n">
        <v>25</v>
      </c>
      <c r="B1544" t="s">
        <v>14</v>
      </c>
      <c r="C1544" t="s">
        <v>22</v>
      </c>
      <c r="D1544" s="2" t="s">
        <f>=HYPERLINK("https://main.knesset.gov.il/APPS/legislation/main/bills/2227719", "הצעת חוק לתיקון פקודת מס הכנסה (ניכוי בגין הוצאות טיפול בילדים), התשפ""ה-2025")</f>
        <v>3280</v>
      </c>
      <c r="E1544" t="s">
        <v>3280</v>
      </c>
      <c r="F1544" t="s">
        <v>3281</v>
      </c>
      <c r="G1544" t="s">
        <v>14</v>
      </c>
      <c r="H1544">
             </c>
      <c r="I1544" t="s">
        <v>14</v>
      </c>
      <c r="J1544" t="s">
        <v>55</v>
      </c>
      <c r="K1544" t="s">
        <v>14</v>
      </c>
      <c r="L1544" t="s">
        <v>20</v>
      </c>
      <c r="M1544" t="s">
        <v>3278</v>
      </c>
      <c r="N1544" t="s">
        <v>14</v>
      </c>
    </row>
    <row r="1545" x14ac:dyDescent="0.25">
      <c r="A1545" t="n">
        <v>25</v>
      </c>
      <c r="B1545" t="s">
        <v>14</v>
      </c>
      <c r="C1545" t="s">
        <v>22</v>
      </c>
      <c r="D1545" s="2" t="s">
        <f>=HYPERLINK("https://main.knesset.gov.il/APPS/legislation/main/bills/2226940", "הצעת חוק שירות המילואים (תיקון - שיקום נפשי וטיפול זוגי) (הוראת שעה), התשפ""ה-2025")</f>
        <v>3282</v>
      </c>
      <c r="E1545" t="s">
        <v>3282</v>
      </c>
      <c r="F1545" t="s">
        <v>3283</v>
      </c>
      <c r="G1545" t="s">
        <v>14</v>
      </c>
      <c r="H1545">
             </c>
      <c r="I1545" t="s">
        <v>14</v>
      </c>
      <c r="J1545" t="s">
        <v>55</v>
      </c>
      <c r="K1545" t="s">
        <v>14</v>
      </c>
      <c r="L1545" t="s">
        <v>20</v>
      </c>
      <c r="M1545" t="s">
        <v>3278</v>
      </c>
      <c r="N1545" t="s">
        <v>14</v>
      </c>
    </row>
    <row r="1546" x14ac:dyDescent="0.25">
      <c r="A1546" t="n">
        <v>25</v>
      </c>
      <c r="B1546" t="s">
        <v>14</v>
      </c>
      <c r="C1546" t="s">
        <v>22</v>
      </c>
      <c r="D1546" s="2" t="s">
        <f>=HYPERLINK("https://main.knesset.gov.il/APPS/legislation/main/bills/2205642", "הצעת חוק שירותי אבטחה, התשפ""ג-2023")</f>
        <v>3284</v>
      </c>
      <c r="E1546" t="s">
        <v>3284</v>
      </c>
      <c r="F1546" t="s">
        <v>3285</v>
      </c>
      <c r="G1546" t="s">
        <v>14</v>
      </c>
      <c r="H1546">
             </c>
      <c r="I1546" t="s">
        <v>14</v>
      </c>
      <c r="J1546" t="s">
        <v>55</v>
      </c>
      <c r="K1546" t="s">
        <v>14</v>
      </c>
      <c r="L1546" t="s">
        <v>20</v>
      </c>
      <c r="M1546" t="s">
        <v>3278</v>
      </c>
      <c r="N1546" t="s">
        <v>14</v>
      </c>
    </row>
    <row r="1547" x14ac:dyDescent="0.25">
      <c r="A1547" t="n">
        <v>25</v>
      </c>
      <c r="B1547" t="s">
        <v>14</v>
      </c>
      <c r="C1547" t="s">
        <v>22</v>
      </c>
      <c r="D1547" s="2" t="s">
        <f>=HYPERLINK("https://main.knesset.gov.il/APPS/legislation/main/bills/2201555", "הצעת חוק שירות המדינה (מינויים) (תיקון - חובת פרסום שאלון לאיתור חשש לניגוד עניינים), התשפ""ג-2023")</f>
        <v>3286</v>
      </c>
      <c r="E1547" t="s">
        <v>3286</v>
      </c>
      <c r="F1547" t="s">
        <v>3287</v>
      </c>
      <c r="G1547" t="s">
        <v>14</v>
      </c>
      <c r="H1547">
             </c>
      <c r="I1547" t="s">
        <v>14</v>
      </c>
      <c r="J1547" t="s">
        <v>55</v>
      </c>
      <c r="K1547" t="s">
        <v>14</v>
      </c>
      <c r="L1547" t="s">
        <v>20</v>
      </c>
      <c r="M1547" t="s">
        <v>3278</v>
      </c>
      <c r="N1547" t="s">
        <v>14</v>
      </c>
    </row>
    <row r="1548" x14ac:dyDescent="0.25">
      <c r="A1548" t="n">
        <v>25</v>
      </c>
      <c r="B1548" t="s">
        <v>14</v>
      </c>
      <c r="C1548" t="s">
        <v>22</v>
      </c>
      <c r="D1548" s="2" t="s">
        <f>=HYPERLINK("https://main.knesset.gov.il/APPS/legislation/main/bills/2218999", "הצעת חוק חובת הצגה של נתוני צפייה לצופה, התשפ""ד-2024")</f>
        <v>3288</v>
      </c>
      <c r="E1548" t="s">
        <v>3288</v>
      </c>
      <c r="F1548" t="s">
        <v>3289</v>
      </c>
      <c r="G1548" t="s">
        <v>14</v>
      </c>
      <c r="H1548">
             </c>
      <c r="I1548" t="s">
        <v>14</v>
      </c>
      <c r="J1548" t="s">
        <v>31</v>
      </c>
      <c r="K1548" t="s">
        <v>19</v>
      </c>
      <c r="L1548" t="s">
        <v>20</v>
      </c>
      <c r="M1548" t="s">
        <v>3290</v>
      </c>
      <c r="N1548" t="s">
        <v>14</v>
      </c>
    </row>
    <row r="1549" x14ac:dyDescent="0.25">
      <c r="A1549" t="n">
        <v>25</v>
      </c>
      <c r="B1549" t="s">
        <v>14</v>
      </c>
      <c r="C1549" t="s">
        <v>15</v>
      </c>
      <c r="D1549" s="2" t="s">
        <f>=HYPERLINK("https://main.knesset.gov.il/APPS/legislation/main/bills/2195286", "הצעת חוק הפטנטים (תיקון מס' 14) (הגברת התחרותיות), התשפ""ב-2022")</f>
        <v>3291</v>
      </c>
      <c r="E1549" t="s">
        <v>3291</v>
      </c>
      <c r="F1549" t="s">
        <v>14</v>
      </c>
      <c r="G1549" t="s">
        <v>3292</v>
      </c>
      <c r="H1549">
             </c>
      <c r="I1549" t="s">
        <v>379</v>
      </c>
      <c r="J1549" t="s">
        <v>18</v>
      </c>
      <c r="K1549" t="s">
        <v>27</v>
      </c>
      <c r="L1549" t="s">
        <v>20</v>
      </c>
      <c r="M1549" t="s">
        <v>3290</v>
      </c>
      <c r="N1549" t="s">
        <v>14</v>
      </c>
    </row>
    <row r="1550" x14ac:dyDescent="0.25">
      <c r="A1550" t="n">
        <v>25</v>
      </c>
      <c r="B1550" t="s">
        <v>14</v>
      </c>
      <c r="C1550" t="s">
        <v>22</v>
      </c>
      <c r="D1550" s="2" t="s">
        <f>=HYPERLINK("https://main.knesset.gov.il/APPS/legislation/main/bills/2228431", "הצעת חוק להנחלת מורשתו של הרבי מלובביץ' ושל שושלת תנועת חב""ד, התשפ""ה-2025")</f>
        <v>3293</v>
      </c>
      <c r="E1550" t="s">
        <v>3293</v>
      </c>
      <c r="F1550" t="s">
        <v>3294</v>
      </c>
      <c r="G1550" t="s">
        <v>14</v>
      </c>
      <c r="H1550">
             </c>
      <c r="I1550" t="s">
        <v>14</v>
      </c>
      <c r="J1550" t="s">
        <v>31</v>
      </c>
      <c r="K1550" t="s">
        <v>34</v>
      </c>
      <c r="L1550" t="s">
        <v>20</v>
      </c>
      <c r="M1550" t="s">
        <v>3290</v>
      </c>
      <c r="N1550" t="s">
        <v>14</v>
      </c>
    </row>
    <row r="1551" x14ac:dyDescent="0.25">
      <c r="A1551" t="n">
        <v>25</v>
      </c>
      <c r="B1551" t="s">
        <v>14</v>
      </c>
      <c r="C1551" t="s">
        <v>22</v>
      </c>
      <c r="D1551" s="2" t="s">
        <f>=HYPERLINK("https://main.knesset.gov.il/APPS/legislation/main/bills/2222052", "חוק הבנקאות (שירות ללקוח) (תיקון מס' 38), התשפ""ה–2025")</f>
        <v>3295</v>
      </c>
      <c r="E1551" t="s">
        <v>3295</v>
      </c>
      <c r="F1551" t="s">
        <v>3296</v>
      </c>
      <c r="G1551" t="s">
        <v>3297</v>
      </c>
      <c r="H1551" t="n">
        <v>3413</v>
      </c>
      <c r="I1551" t="s">
        <v>14</v>
      </c>
      <c r="J1551" t="s">
        <v>91</v>
      </c>
      <c r="K1551" t="s">
        <v>19</v>
      </c>
      <c r="L1551" t="s">
        <v>20</v>
      </c>
      <c r="M1551" t="s">
        <v>3290</v>
      </c>
      <c r="N1551" t="s">
        <v>3298</v>
      </c>
    </row>
    <row r="1552" x14ac:dyDescent="0.25">
      <c r="A1552" t="n">
        <v>25</v>
      </c>
      <c r="B1552" t="s">
        <v>14</v>
      </c>
      <c r="C1552" t="s">
        <v>20</v>
      </c>
      <c r="D1552" s="2" t="s">
        <f>=HYPERLINK("https://main.knesset.gov.il/APPS/legislation/main/bills/2220949", "חוק הממשלה (תיקון מס' 14), התשפ''ה–2025")</f>
        <v>3299</v>
      </c>
      <c r="E1552" t="s">
        <v>3299</v>
      </c>
      <c r="F1552" t="s">
        <v>14</v>
      </c>
      <c r="G1552" t="s">
        <v>3300</v>
      </c>
      <c r="H1552" t="n">
        <v>3412</v>
      </c>
      <c r="I1552" t="s">
        <v>14</v>
      </c>
      <c r="J1552" t="s">
        <v>91</v>
      </c>
      <c r="K1552" t="s">
        <v>27</v>
      </c>
      <c r="L1552" t="s">
        <v>20</v>
      </c>
      <c r="M1552" t="s">
        <v>3301</v>
      </c>
      <c r="N1552" t="s">
        <v>3302</v>
      </c>
    </row>
    <row r="1553" x14ac:dyDescent="0.25">
      <c r="A1553" t="n">
        <v>25</v>
      </c>
      <c r="B1553" t="s">
        <v>14</v>
      </c>
      <c r="C1553" t="s">
        <v>20</v>
      </c>
      <c r="D1553" s="2" t="s">
        <f>=HYPERLINK("https://main.knesset.gov.il/APPS/legislation/main/bills/2223298", "חוק-יסוד: הממשלה (תיקון מס' 13)")</f>
        <v>3303</v>
      </c>
      <c r="E1553" t="s">
        <v>3303</v>
      </c>
      <c r="F1553" t="s">
        <v>14</v>
      </c>
      <c r="G1553" t="s">
        <v>3304</v>
      </c>
      <c r="H1553" t="n">
        <v>3411</v>
      </c>
      <c r="I1553" t="s">
        <v>14</v>
      </c>
      <c r="J1553" t="s">
        <v>91</v>
      </c>
      <c r="K1553" t="s">
        <v>27</v>
      </c>
      <c r="L1553" t="s">
        <v>20</v>
      </c>
      <c r="M1553" t="s">
        <v>3301</v>
      </c>
      <c r="N1553" t="s">
        <v>3305</v>
      </c>
    </row>
    <row r="1554" x14ac:dyDescent="0.25">
      <c r="A1554" t="n">
        <v>25</v>
      </c>
      <c r="B1554" t="s">
        <v>14</v>
      </c>
      <c r="C1554" t="s">
        <v>22</v>
      </c>
      <c r="D1554" s="2" t="s">
        <f>=HYPERLINK("https://main.knesset.gov.il/APPS/legislation/main/bills/2230659", "הצעת חוק לשכת עורכי הדין (תיקון - מתן ציון מגן לעולים חדשים ולעורכי דין זרים בבחינות ההתמחות), התשפ""ה-2025")</f>
        <v>3306</v>
      </c>
      <c r="E1554" t="s">
        <v>3306</v>
      </c>
      <c r="F1554" t="s">
        <v>3307</v>
      </c>
      <c r="G1554" t="s">
        <v>14</v>
      </c>
      <c r="H1554">
             </c>
      <c r="I1554" t="s">
        <v>14</v>
      </c>
      <c r="J1554" t="s">
        <v>141</v>
      </c>
      <c r="K1554" t="s">
        <v>14</v>
      </c>
      <c r="L1554" t="s">
        <v>20</v>
      </c>
      <c r="M1554" t="s">
        <v>3301</v>
      </c>
      <c r="N1554" t="s">
        <v>14</v>
      </c>
    </row>
    <row r="1555" x14ac:dyDescent="0.25">
      <c r="A1555" t="n">
        <v>25</v>
      </c>
      <c r="B1555" t="s">
        <v>14</v>
      </c>
      <c r="C1555" t="s">
        <v>22</v>
      </c>
      <c r="D1555" s="2" t="s">
        <f>=HYPERLINK("https://main.knesset.gov.il/APPS/legislation/main/bills/2230439", "הצעת חוק תכנון משק החלב (תיקון - קביעת מחירים וחישוב עלויות ייצור חלב), התשפ""ה-2025")</f>
        <v>3308</v>
      </c>
      <c r="E1555" t="s">
        <v>3308</v>
      </c>
      <c r="F1555" t="s">
        <v>3309</v>
      </c>
      <c r="G1555" t="s">
        <v>14</v>
      </c>
      <c r="H1555">
             </c>
      <c r="I1555" t="s">
        <v>14</v>
      </c>
      <c r="J1555" t="s">
        <v>141</v>
      </c>
      <c r="K1555" t="s">
        <v>14</v>
      </c>
      <c r="L1555" t="s">
        <v>20</v>
      </c>
      <c r="M1555" t="s">
        <v>3301</v>
      </c>
      <c r="N1555" t="s">
        <v>14</v>
      </c>
    </row>
    <row r="1556" x14ac:dyDescent="0.25">
      <c r="A1556" t="n">
        <v>25</v>
      </c>
      <c r="B1556" t="s">
        <v>14</v>
      </c>
      <c r="C1556" t="s">
        <v>22</v>
      </c>
      <c r="D1556" s="2" t="s">
        <f>=HYPERLINK("https://main.knesset.gov.il/APPS/legislation/main/bills/2230396", "הצעת חוק סיוע כלכלי לעידוד לומדי תורה וסטודנטים נזקקים (תיקון - קיום הוראות חוק שירות ביטחון כתנאי לסיוע), התשפ""ה-2025")</f>
        <v>2175</v>
      </c>
      <c r="E1556" t="s">
        <v>2175</v>
      </c>
      <c r="F1556" t="s">
        <v>3310</v>
      </c>
      <c r="G1556" t="s">
        <v>14</v>
      </c>
      <c r="H1556">
             </c>
      <c r="I1556" t="s">
        <v>14</v>
      </c>
      <c r="J1556" t="s">
        <v>141</v>
      </c>
      <c r="K1556" t="s">
        <v>14</v>
      </c>
      <c r="L1556" t="s">
        <v>20</v>
      </c>
      <c r="M1556" t="s">
        <v>3301</v>
      </c>
      <c r="N1556" t="s">
        <v>14</v>
      </c>
    </row>
    <row r="1557" x14ac:dyDescent="0.25">
      <c r="A1557" t="n">
        <v>25</v>
      </c>
      <c r="B1557" t="s">
        <v>14</v>
      </c>
      <c r="C1557" t="s">
        <v>22</v>
      </c>
      <c r="D1557" s="2" t="s">
        <f>=HYPERLINK("https://main.knesset.gov.il/APPS/legislation/main/bills/2225276", "הצעת חוק הפיקוח על מוצר ביטוח ארוך טווח, התשפ""ה-2025")</f>
        <v>3311</v>
      </c>
      <c r="E1557" t="s">
        <v>3311</v>
      </c>
      <c r="F1557" t="s">
        <v>3312</v>
      </c>
      <c r="G1557" t="s">
        <v>14</v>
      </c>
      <c r="H1557">
             </c>
      <c r="I1557" t="s">
        <v>14</v>
      </c>
      <c r="J1557" t="s">
        <v>141</v>
      </c>
      <c r="K1557" t="s">
        <v>14</v>
      </c>
      <c r="L1557" t="s">
        <v>20</v>
      </c>
      <c r="M1557" t="s">
        <v>3301</v>
      </c>
      <c r="N1557" t="s">
        <v>14</v>
      </c>
    </row>
    <row r="1558" x14ac:dyDescent="0.25">
      <c r="A1558" t="n">
        <v>25</v>
      </c>
      <c r="B1558" t="s">
        <v>14</v>
      </c>
      <c r="C1558" t="s">
        <v>22</v>
      </c>
      <c r="D1558" s="2" t="s">
        <f>=HYPERLINK("https://main.knesset.gov.il/APPS/legislation/main/bills/2229093", "הצעת חוק איסור הפליית משרתים בשירות הביטחוני, הלאומי והאזרחי, התשפ""ה-2025 ")</f>
        <v>3313</v>
      </c>
      <c r="E1558" t="s">
        <v>3313</v>
      </c>
      <c r="F1558" t="s">
        <v>3314</v>
      </c>
      <c r="G1558" t="s">
        <v>14</v>
      </c>
      <c r="H1558">
             </c>
      <c r="I1558" t="s">
        <v>14</v>
      </c>
      <c r="J1558" t="s">
        <v>141</v>
      </c>
      <c r="K1558" t="s">
        <v>14</v>
      </c>
      <c r="L1558" t="s">
        <v>20</v>
      </c>
      <c r="M1558" t="s">
        <v>3301</v>
      </c>
      <c r="N1558" t="s">
        <v>14</v>
      </c>
    </row>
    <row r="1559" x14ac:dyDescent="0.25">
      <c r="A1559" t="n">
        <v>25</v>
      </c>
      <c r="B1559" t="s">
        <v>14</v>
      </c>
      <c r="C1559" t="s">
        <v>22</v>
      </c>
      <c r="D1559" s="2" t="s">
        <f>=HYPERLINK("https://main.knesset.gov.il/APPS/legislation/main/bills/2231162", "הצעת חוק הממשלה (תיקון - בדיקת פוליגרף שנתית לבירור הדלפות מדיוני ועדת השרים לענייני ביטחון לאומי), התשפ""ה-2025")</f>
        <v>3315</v>
      </c>
      <c r="E1559" t="s">
        <v>3315</v>
      </c>
      <c r="F1559" t="s">
        <v>3316</v>
      </c>
      <c r="G1559" t="s">
        <v>14</v>
      </c>
      <c r="H1559">
             </c>
      <c r="I1559" t="s">
        <v>14</v>
      </c>
      <c r="J1559" t="s">
        <v>141</v>
      </c>
      <c r="K1559" t="s">
        <v>14</v>
      </c>
      <c r="L1559" t="s">
        <v>20</v>
      </c>
      <c r="M1559" t="s">
        <v>3301</v>
      </c>
      <c r="N1559" t="s">
        <v>14</v>
      </c>
    </row>
    <row r="1560" x14ac:dyDescent="0.25">
      <c r="A1560" t="n">
        <v>25</v>
      </c>
      <c r="B1560" t="s">
        <v>14</v>
      </c>
      <c r="C1560" t="s">
        <v>22</v>
      </c>
      <c r="D1560" s="2" t="s">
        <f>=HYPERLINK("https://main.knesset.gov.il/APPS/legislation/main/bills/2230386", "הצעת חוק לתיקון פקודת התעבורה (סמכות רשות מקומית בקביעת שפות תמרורים), התשפ""ה-2025")</f>
        <v>3317</v>
      </c>
      <c r="E1560" t="s">
        <v>3317</v>
      </c>
      <c r="F1560" t="s">
        <v>3318</v>
      </c>
      <c r="G1560" t="s">
        <v>14</v>
      </c>
      <c r="H1560">
             </c>
      <c r="I1560" t="s">
        <v>14</v>
      </c>
      <c r="J1560" t="s">
        <v>141</v>
      </c>
      <c r="K1560" t="s">
        <v>14</v>
      </c>
      <c r="L1560" t="s">
        <v>20</v>
      </c>
      <c r="M1560" t="s">
        <v>3301</v>
      </c>
      <c r="N1560" t="s">
        <v>14</v>
      </c>
    </row>
    <row r="1561" x14ac:dyDescent="0.25">
      <c r="A1561" t="n">
        <v>25</v>
      </c>
      <c r="B1561" t="s">
        <v>14</v>
      </c>
      <c r="C1561" t="s">
        <v>22</v>
      </c>
      <c r="D1561" s="2" t="s">
        <f>=HYPERLINK("https://main.knesset.gov.il/APPS/legislation/main/bills/2230337", "הצעת חוק לתיקון פקודת התעבורה (איסור שימוש ברכב שהועמד באופן המפריע לתנועה), התשפ""ה-2025")</f>
        <v>3270</v>
      </c>
      <c r="E1561" t="s">
        <v>3270</v>
      </c>
      <c r="F1561" t="s">
        <v>3319</v>
      </c>
      <c r="G1561" t="s">
        <v>14</v>
      </c>
      <c r="H1561">
             </c>
      <c r="I1561" t="s">
        <v>14</v>
      </c>
      <c r="J1561" t="s">
        <v>141</v>
      </c>
      <c r="K1561" t="s">
        <v>14</v>
      </c>
      <c r="L1561" t="s">
        <v>20</v>
      </c>
      <c r="M1561" t="s">
        <v>3301</v>
      </c>
      <c r="N1561" t="s">
        <v>14</v>
      </c>
    </row>
    <row r="1562" x14ac:dyDescent="0.25">
      <c r="A1562" t="n">
        <v>25</v>
      </c>
      <c r="B1562" t="s">
        <v>14</v>
      </c>
      <c r="C1562" t="s">
        <v>22</v>
      </c>
      <c r="D1562" s="2" t="s">
        <f>=HYPERLINK("https://main.knesset.gov.il/APPS/legislation/main/bills/2231036", "הצעת חוק איסור הלבנת הון (תיקון - איסור גביית דמי שמירה בלא רישיון), התשפ""ה-2025")</f>
        <v>3320</v>
      </c>
      <c r="E1562" t="s">
        <v>3320</v>
      </c>
      <c r="F1562" t="s">
        <v>3321</v>
      </c>
      <c r="G1562" t="s">
        <v>14</v>
      </c>
      <c r="H1562">
             </c>
      <c r="I1562" t="s">
        <v>14</v>
      </c>
      <c r="J1562" t="s">
        <v>141</v>
      </c>
      <c r="K1562" t="s">
        <v>14</v>
      </c>
      <c r="L1562" t="s">
        <v>20</v>
      </c>
      <c r="M1562" t="s">
        <v>3301</v>
      </c>
      <c r="N1562" t="s">
        <v>14</v>
      </c>
    </row>
    <row r="1563" x14ac:dyDescent="0.25">
      <c r="A1563" t="n">
        <v>25</v>
      </c>
      <c r="B1563" t="s">
        <v>14</v>
      </c>
      <c r="C1563" t="s">
        <v>22</v>
      </c>
      <c r="D1563" s="2" t="s">
        <f>=HYPERLINK("https://main.knesset.gov.il/APPS/legislation/main/bills/2230681", "הצעת חוק נטילה ושימוש בזרע של נפטר לשם הולדה, התשפ""ה-2025")</f>
        <v>3322</v>
      </c>
      <c r="E1563" t="s">
        <v>3322</v>
      </c>
      <c r="F1563" t="s">
        <v>3323</v>
      </c>
      <c r="G1563" t="s">
        <v>14</v>
      </c>
      <c r="H1563">
             </c>
      <c r="I1563" t="s">
        <v>14</v>
      </c>
      <c r="J1563" t="s">
        <v>141</v>
      </c>
      <c r="K1563" t="s">
        <v>14</v>
      </c>
      <c r="L1563" t="s">
        <v>20</v>
      </c>
      <c r="M1563" t="s">
        <v>3301</v>
      </c>
      <c r="N1563" t="s">
        <v>14</v>
      </c>
    </row>
    <row r="1564" x14ac:dyDescent="0.25">
      <c r="A1564" t="n">
        <v>25</v>
      </c>
      <c r="B1564" t="s">
        <v>14</v>
      </c>
      <c r="C1564" t="s">
        <v>22</v>
      </c>
      <c r="D1564" s="2" t="s">
        <f>=HYPERLINK("https://main.knesset.gov.il/APPS/legislation/main/bills/2230313", "הצעת חוק הכנסת (תיקון - התייצבות בפני ועדות הכנסת), התשפ""ה-2025")</f>
        <v>3324</v>
      </c>
      <c r="E1564" t="s">
        <v>3324</v>
      </c>
      <c r="F1564" t="s">
        <v>3325</v>
      </c>
      <c r="G1564" t="s">
        <v>14</v>
      </c>
      <c r="H1564">
             </c>
      <c r="I1564" t="s">
        <v>14</v>
      </c>
      <c r="J1564" t="s">
        <v>141</v>
      </c>
      <c r="K1564" t="s">
        <v>14</v>
      </c>
      <c r="L1564" t="s">
        <v>20</v>
      </c>
      <c r="M1564" t="s">
        <v>3301</v>
      </c>
      <c r="N1564" t="s">
        <v>14</v>
      </c>
    </row>
    <row r="1565" x14ac:dyDescent="0.25">
      <c r="A1565" t="n">
        <v>25</v>
      </c>
      <c r="B1565" t="s">
        <v>14</v>
      </c>
      <c r="C1565" t="s">
        <v>22</v>
      </c>
      <c r="D1565" s="2" t="s">
        <f>=HYPERLINK("https://main.knesset.gov.il/APPS/legislation/main/bills/2231223", "הצעת חוק הביטוח הלאומי (תיקון - קביעת אחוזי נכות ללקויי שמיעה - דו-צידי וחד-צידי), התשפ""ה-2025")</f>
        <v>3272</v>
      </c>
      <c r="E1565" t="s">
        <v>3272</v>
      </c>
      <c r="F1565" t="s">
        <v>3326</v>
      </c>
      <c r="G1565" t="s">
        <v>14</v>
      </c>
      <c r="H1565">
             </c>
      <c r="I1565" t="s">
        <v>14</v>
      </c>
      <c r="J1565" t="s">
        <v>141</v>
      </c>
      <c r="K1565" t="s">
        <v>14</v>
      </c>
      <c r="L1565" t="s">
        <v>20</v>
      </c>
      <c r="M1565" t="s">
        <v>3301</v>
      </c>
      <c r="N1565" t="s">
        <v>14</v>
      </c>
    </row>
    <row r="1566" x14ac:dyDescent="0.25">
      <c r="A1566" t="n">
        <v>25</v>
      </c>
      <c r="B1566" t="s">
        <v>14</v>
      </c>
      <c r="C1566" t="s">
        <v>22</v>
      </c>
      <c r="D1566" s="2" t="s">
        <f>=HYPERLINK("https://main.knesset.gov.il/APPS/legislation/main/bills/2231167", "הצעת חוק הרשויות המקומיות (זכויות וחובות של חברי מועצה), התשפ""ה-2025")</f>
        <v>3327</v>
      </c>
      <c r="E1566" t="s">
        <v>3327</v>
      </c>
      <c r="F1566" t="s">
        <v>3328</v>
      </c>
      <c r="G1566" t="s">
        <v>14</v>
      </c>
      <c r="H1566">
             </c>
      <c r="I1566" t="s">
        <v>14</v>
      </c>
      <c r="J1566" t="s">
        <v>141</v>
      </c>
      <c r="K1566" t="s">
        <v>14</v>
      </c>
      <c r="L1566" t="s">
        <v>20</v>
      </c>
      <c r="M1566" t="s">
        <v>3301</v>
      </c>
      <c r="N1566" t="s">
        <v>14</v>
      </c>
    </row>
    <row r="1567" x14ac:dyDescent="0.25">
      <c r="A1567" t="n">
        <v>25</v>
      </c>
      <c r="B1567" t="s">
        <v>14</v>
      </c>
      <c r="C1567" t="s">
        <v>22</v>
      </c>
      <c r="D1567" s="2" t="s">
        <f>=HYPERLINK("https://main.knesset.gov.il/APPS/legislation/main/bills/2209283", "הצעת חוק לתיקון פקודת העיריות (ייצוג הולם), התשפ""ה-2025")</f>
        <v>3329</v>
      </c>
      <c r="E1567" t="s">
        <v>3329</v>
      </c>
      <c r="F1567" t="s">
        <v>3330</v>
      </c>
      <c r="G1567" t="s">
        <v>14</v>
      </c>
      <c r="H1567">
             </c>
      <c r="I1567" t="s">
        <v>14</v>
      </c>
      <c r="J1567" t="s">
        <v>141</v>
      </c>
      <c r="K1567" t="s">
        <v>14</v>
      </c>
      <c r="L1567" t="s">
        <v>20</v>
      </c>
      <c r="M1567" t="s">
        <v>3301</v>
      </c>
      <c r="N1567" t="s">
        <v>14</v>
      </c>
    </row>
    <row r="1568" x14ac:dyDescent="0.25">
      <c r="A1568" t="n">
        <v>25</v>
      </c>
      <c r="B1568" t="s">
        <v>14</v>
      </c>
      <c r="C1568" t="s">
        <v>22</v>
      </c>
      <c r="D1568" s="2" t="s">
        <f>=HYPERLINK("https://main.knesset.gov.il/APPS/legislation/main/bills/2231073", "הצעת חוק העונשין (תיקון - עונש מינימום למצית נכס ציבורי) (הוראת שעה), התשפ""ה-2025")</f>
        <v>3331</v>
      </c>
      <c r="E1568" t="s">
        <v>3331</v>
      </c>
      <c r="F1568" t="s">
        <v>3332</v>
      </c>
      <c r="G1568" t="s">
        <v>14</v>
      </c>
      <c r="H1568">
             </c>
      <c r="I1568" t="s">
        <v>14</v>
      </c>
      <c r="J1568" t="s">
        <v>141</v>
      </c>
      <c r="K1568" t="s">
        <v>14</v>
      </c>
      <c r="L1568" t="s">
        <v>20</v>
      </c>
      <c r="M1568" t="s">
        <v>3301</v>
      </c>
      <c r="N1568" t="s">
        <v>14</v>
      </c>
    </row>
    <row r="1569" x14ac:dyDescent="0.25">
      <c r="A1569" t="n">
        <v>25</v>
      </c>
      <c r="B1569" t="s">
        <v>14</v>
      </c>
      <c r="C1569" t="s">
        <v>22</v>
      </c>
      <c r="D1569" s="2" t="s">
        <f>=HYPERLINK("https://main.knesset.gov.il/APPS/legislation/main/bills/2231037", "הצעת חוק-יסוד: הכנסת (תיקון - מניין חברי הכנסת במליאה)")</f>
        <v>3333</v>
      </c>
      <c r="E1569" t="s">
        <v>3333</v>
      </c>
      <c r="F1569" t="s">
        <v>3334</v>
      </c>
      <c r="G1569" t="s">
        <v>14</v>
      </c>
      <c r="H1569">
             </c>
      <c r="I1569" t="s">
        <v>14</v>
      </c>
      <c r="J1569" t="s">
        <v>141</v>
      </c>
      <c r="K1569" t="s">
        <v>14</v>
      </c>
      <c r="L1569" t="s">
        <v>20</v>
      </c>
      <c r="M1569" t="s">
        <v>3301</v>
      </c>
      <c r="N1569" t="s">
        <v>14</v>
      </c>
    </row>
    <row r="1570" x14ac:dyDescent="0.25">
      <c r="A1570" t="n">
        <v>25</v>
      </c>
      <c r="B1570" t="s">
        <v>14</v>
      </c>
      <c r="C1570" t="s">
        <v>22</v>
      </c>
      <c r="D1570" s="2" t="s">
        <f>=HYPERLINK("https://main.knesset.gov.il/APPS/legislation/main/bills/2230804", "הצעת חוק שוויון זכויות לאנשים עם מוגבלות (תיקון - הגנה על חולים במחלה ממארת בזמן הטיפולים וההחלמה), התשפ""ה-2025")</f>
        <v>3262</v>
      </c>
      <c r="E1570" t="s">
        <v>3262</v>
      </c>
      <c r="F1570" t="s">
        <v>3335</v>
      </c>
      <c r="G1570" t="s">
        <v>14</v>
      </c>
      <c r="H1570">
             </c>
      <c r="I1570" t="s">
        <v>14</v>
      </c>
      <c r="J1570" t="s">
        <v>141</v>
      </c>
      <c r="K1570" t="s">
        <v>14</v>
      </c>
      <c r="L1570" t="s">
        <v>20</v>
      </c>
      <c r="M1570" t="s">
        <v>3301</v>
      </c>
      <c r="N1570" t="s">
        <v>14</v>
      </c>
    </row>
    <row r="1571" x14ac:dyDescent="0.25">
      <c r="A1571" t="n">
        <v>25</v>
      </c>
      <c r="B1571" t="s">
        <v>14</v>
      </c>
      <c r="C1571" t="s">
        <v>15</v>
      </c>
      <c r="D1571" s="2" t="s">
        <f>=HYPERLINK("https://main.knesset.gov.il/APPS/legislation/main/bills/2202780", "הצעת חוק לתיקון פקודת התעבורה (מס' 138), התשפ""ה-2025")</f>
        <v>3336</v>
      </c>
      <c r="E1571" t="s">
        <v>3336</v>
      </c>
      <c r="F1571" t="s">
        <v>14</v>
      </c>
      <c r="G1571" t="s">
        <v>3337</v>
      </c>
      <c r="H1571">
             </c>
      <c r="I1571" t="s">
        <v>14</v>
      </c>
      <c r="J1571" t="s">
        <v>289</v>
      </c>
      <c r="K1571" t="s">
        <v>19</v>
      </c>
      <c r="L1571" t="s">
        <v>20</v>
      </c>
      <c r="M1571" t="s">
        <v>3301</v>
      </c>
      <c r="N1571" t="s">
        <v>14</v>
      </c>
    </row>
    <row r="1572" x14ac:dyDescent="0.25">
      <c r="A1572" t="n">
        <v>25</v>
      </c>
      <c r="B1572" t="s">
        <v>14</v>
      </c>
      <c r="C1572" t="s">
        <v>15</v>
      </c>
      <c r="D1572" s="2" t="s">
        <f>=HYPERLINK("https://main.knesset.gov.il/APPS/legislation/main/bills/2231472", "הצעת חוק אכיפת פסקי חוץ (תיקון מס' 4) (יישום האמנה בדבר הכרה ואכיפה של פסקי חוץ בעניינים אזרחיים ומסחריים), התשפ""ה-2025")</f>
        <v>3338</v>
      </c>
      <c r="E1572" t="s">
        <v>3338</v>
      </c>
      <c r="F1572" t="s">
        <v>14</v>
      </c>
      <c r="G1572" t="s">
        <v>3339</v>
      </c>
      <c r="H1572">
             </c>
      <c r="I1572" t="s">
        <v>14</v>
      </c>
      <c r="J1572" t="s">
        <v>69</v>
      </c>
      <c r="K1572" t="s">
        <v>14</v>
      </c>
      <c r="L1572" t="s">
        <v>20</v>
      </c>
      <c r="M1572" t="s">
        <v>3301</v>
      </c>
      <c r="N1572" t="s">
        <v>14</v>
      </c>
    </row>
    <row r="1573" x14ac:dyDescent="0.25">
      <c r="A1573" t="n">
        <v>25</v>
      </c>
      <c r="B1573" t="s">
        <v>14</v>
      </c>
      <c r="C1573" t="s">
        <v>15</v>
      </c>
      <c r="D1573" s="2" t="s">
        <f>=HYPERLINK("https://main.knesset.gov.il/APPS/legislation/main/bills/2231473", "הצעת חוק שירות התעסוקה (תיקון מס' 23) (ביטול חובת רישוי ללשכה פרטית העוסקת בתיווך עבודה לעובד ישראלי), התשפ""ה-2025")</f>
        <v>3340</v>
      </c>
      <c r="E1573" t="s">
        <v>3340</v>
      </c>
      <c r="F1573" t="s">
        <v>14</v>
      </c>
      <c r="G1573" t="s">
        <v>3341</v>
      </c>
      <c r="H1573">
             </c>
      <c r="I1573" t="s">
        <v>14</v>
      </c>
      <c r="J1573" t="s">
        <v>69</v>
      </c>
      <c r="K1573" t="s">
        <v>14</v>
      </c>
      <c r="L1573" t="s">
        <v>20</v>
      </c>
      <c r="M1573" t="s">
        <v>3301</v>
      </c>
      <c r="N1573" t="s">
        <v>14</v>
      </c>
    </row>
    <row r="1574" x14ac:dyDescent="0.25">
      <c r="A1574" t="n">
        <v>25</v>
      </c>
      <c r="B1574" t="s">
        <v>14</v>
      </c>
      <c r="C1574" t="s">
        <v>15</v>
      </c>
      <c r="D1574" s="2" t="s">
        <f>=HYPERLINK("https://main.knesset.gov.il/APPS/legislation/main/bills/2223547", "הצעת חוק לתיקון דיני הקניין הרוחני (מועד ערעור על החלטות הרשם), התשפ""ה–2025")</f>
        <v>3342</v>
      </c>
      <c r="E1574" t="s">
        <v>3342</v>
      </c>
      <c r="F1574" t="s">
        <v>14</v>
      </c>
      <c r="G1574" t="s">
        <v>3343</v>
      </c>
      <c r="H1574">
             </c>
      <c r="I1574" t="s">
        <v>14</v>
      </c>
      <c r="J1574" t="s">
        <v>73</v>
      </c>
      <c r="K1574" t="s">
        <v>19</v>
      </c>
      <c r="L1574" t="s">
        <v>20</v>
      </c>
      <c r="M1574" t="s">
        <v>3301</v>
      </c>
      <c r="N1574" t="s">
        <v>14</v>
      </c>
    </row>
    <row r="1575" x14ac:dyDescent="0.25">
      <c r="A1575" t="n">
        <v>25</v>
      </c>
      <c r="B1575" t="s">
        <v>14</v>
      </c>
      <c r="C1575" t="s">
        <v>15</v>
      </c>
      <c r="D1575" s="2" t="s">
        <f>=HYPERLINK("https://main.knesset.gov.il/APPS/legislation/main/bills/2208660", "הצעת חוק החברות (תיקון מס' 38), התשפ""ה-2025")</f>
        <v>3344</v>
      </c>
      <c r="E1575" t="s">
        <v>3344</v>
      </c>
      <c r="F1575" t="s">
        <v>14</v>
      </c>
      <c r="G1575" t="s">
        <v>3345</v>
      </c>
      <c r="H1575">
             </c>
      <c r="I1575" t="s">
        <v>14</v>
      </c>
      <c r="J1575" t="s">
        <v>289</v>
      </c>
      <c r="K1575" t="s">
        <v>27</v>
      </c>
      <c r="L1575" t="s">
        <v>20</v>
      </c>
      <c r="M1575" t="s">
        <v>3301</v>
      </c>
      <c r="N1575" t="s">
        <v>14</v>
      </c>
    </row>
    <row r="1576" x14ac:dyDescent="0.25">
      <c r="A1576" t="n">
        <v>25</v>
      </c>
      <c r="B1576" t="s">
        <v>14</v>
      </c>
      <c r="C1576" t="s">
        <v>22</v>
      </c>
      <c r="D1576" s="2" t="s">
        <f>=HYPERLINK("https://main.knesset.gov.il/APPS/legislation/main/bills/2227566", "הצעת חוק להקמת מוסד להשכלה גבוהה בעיר רהט, התשפ""ה-2025")</f>
        <v>3346</v>
      </c>
      <c r="E1576" t="s">
        <v>3346</v>
      </c>
      <c r="F1576" t="s">
        <v>3347</v>
      </c>
      <c r="G1576" t="s">
        <v>14</v>
      </c>
      <c r="H1576">
             </c>
      <c r="I1576" t="s">
        <v>14</v>
      </c>
      <c r="J1576" t="s">
        <v>343</v>
      </c>
      <c r="K1576" t="s">
        <v>14</v>
      </c>
      <c r="L1576" t="s">
        <v>20</v>
      </c>
      <c r="M1576" t="s">
        <v>3348</v>
      </c>
      <c r="N1576" t="s">
        <v>14</v>
      </c>
    </row>
    <row r="1577" x14ac:dyDescent="0.25">
      <c r="A1577" t="n">
        <v>25</v>
      </c>
      <c r="B1577" t="s">
        <v>14</v>
      </c>
      <c r="C1577" t="s">
        <v>22</v>
      </c>
      <c r="D1577" s="2" t="s">
        <f>=HYPERLINK("https://main.knesset.gov.il/APPS/legislation/main/bills/2226856", "הצעת חוק פיקוח הכנסת על העברת סיוע הומניטרי מכספי המדינה, התשפ""ה-2025")</f>
        <v>3349</v>
      </c>
      <c r="E1577" t="s">
        <v>3349</v>
      </c>
      <c r="F1577" t="s">
        <v>3350</v>
      </c>
      <c r="G1577" t="s">
        <v>14</v>
      </c>
      <c r="H1577">
             </c>
      <c r="I1577" t="s">
        <v>14</v>
      </c>
      <c r="J1577" t="s">
        <v>55</v>
      </c>
      <c r="K1577" t="s">
        <v>14</v>
      </c>
      <c r="L1577" t="s">
        <v>20</v>
      </c>
      <c r="M1577" t="s">
        <v>3348</v>
      </c>
      <c r="N1577" t="s">
        <v>14</v>
      </c>
    </row>
    <row r="1578" x14ac:dyDescent="0.25">
      <c r="A1578" t="n">
        <v>25</v>
      </c>
      <c r="B1578" t="s">
        <v>14</v>
      </c>
      <c r="C1578" t="s">
        <v>22</v>
      </c>
      <c r="D1578" s="2" t="s">
        <f>=HYPERLINK("https://main.knesset.gov.il/APPS/legislation/main/bills/2220450", "הצעת חוק משפחות חיילים שנספו במערכה (תגמולים ושיקום) (תיקון - תקופת הסתגלות כלכלית לאלמנה), התשפ""ד-2024")</f>
        <v>3351</v>
      </c>
      <c r="E1578" t="s">
        <v>3351</v>
      </c>
      <c r="F1578" t="s">
        <v>3352</v>
      </c>
      <c r="G1578" t="s">
        <v>14</v>
      </c>
      <c r="H1578">
             </c>
      <c r="I1578" t="s">
        <v>14</v>
      </c>
      <c r="J1578" t="s">
        <v>55</v>
      </c>
      <c r="K1578" t="s">
        <v>14</v>
      </c>
      <c r="L1578" t="s">
        <v>20</v>
      </c>
      <c r="M1578" t="s">
        <v>3348</v>
      </c>
      <c r="N1578" t="s">
        <v>14</v>
      </c>
    </row>
    <row r="1579" x14ac:dyDescent="0.25">
      <c r="A1579" t="n">
        <v>25</v>
      </c>
      <c r="B1579" t="s">
        <v>14</v>
      </c>
      <c r="C1579" t="s">
        <v>22</v>
      </c>
      <c r="D1579" s="2" t="s">
        <f>=HYPERLINK("https://main.knesset.gov.il/APPS/legislation/main/bills/2228260", "הצעת חוק לתיקון מונחים בחקיקה (יהודה והשומרון), התשפ""ה-2025")</f>
        <v>3353</v>
      </c>
      <c r="E1579" t="s">
        <v>3353</v>
      </c>
      <c r="F1579" t="s">
        <v>3354</v>
      </c>
      <c r="G1579" t="s">
        <v>14</v>
      </c>
      <c r="H1579">
             </c>
      <c r="I1579" t="s">
        <v>14</v>
      </c>
      <c r="J1579" t="s">
        <v>99</v>
      </c>
      <c r="K1579" t="s">
        <v>27</v>
      </c>
      <c r="L1579" t="s">
        <v>20</v>
      </c>
      <c r="M1579" t="s">
        <v>3355</v>
      </c>
      <c r="N1579" t="s">
        <v>14</v>
      </c>
    </row>
    <row r="1580" x14ac:dyDescent="0.25">
      <c r="A1580" t="n">
        <v>25</v>
      </c>
      <c r="B1580" t="s">
        <v>14</v>
      </c>
      <c r="C1580" t="s">
        <v>15</v>
      </c>
      <c r="D1580" s="2" t="s">
        <f>=HYPERLINK("https://main.knesset.gov.il/APPS/legislation/main/bills/2223555", "חוק חדלות פירעון ושיקום כלכלי (תיקון מס' 4 - הוראת שעה - נגיף הקורונה החדש) (תיקון מס' 3), התשפ""ה-2025")</f>
        <v>3356</v>
      </c>
      <c r="E1580" t="s">
        <v>3356</v>
      </c>
      <c r="F1580" t="s">
        <v>14</v>
      </c>
      <c r="G1580" t="s">
        <v>1295</v>
      </c>
      <c r="H1580" t="n">
        <v>3410</v>
      </c>
      <c r="I1580" t="s">
        <v>14</v>
      </c>
      <c r="J1580" t="s">
        <v>91</v>
      </c>
      <c r="K1580" t="s">
        <v>27</v>
      </c>
      <c r="L1580" t="s">
        <v>20</v>
      </c>
      <c r="M1580" t="s">
        <v>3355</v>
      </c>
      <c r="N1580" t="s">
        <v>3357</v>
      </c>
    </row>
    <row r="1581" x14ac:dyDescent="0.25">
      <c r="A1581" t="n">
        <v>25</v>
      </c>
      <c r="B1581" t="s">
        <v>14</v>
      </c>
      <c r="C1581" t="s">
        <v>22</v>
      </c>
      <c r="D1581" s="2" t="s">
        <f>=HYPERLINK("https://main.knesset.gov.il/APPS/legislation/main/bills/2228785", "הצעת חוק כלי הירייה (תיקון - הודעה בגין חשש לחיי אדם מצד המגיש בקשה להחזיק בכלי ירייה), התשפ""ה-2025")</f>
        <v>3358</v>
      </c>
      <c r="E1581" t="s">
        <v>3358</v>
      </c>
      <c r="F1581" t="s">
        <v>3359</v>
      </c>
      <c r="G1581" t="s">
        <v>14</v>
      </c>
      <c r="H1581">
             </c>
      <c r="I1581" t="s">
        <v>14</v>
      </c>
      <c r="J1581" t="s">
        <v>99</v>
      </c>
      <c r="K1581" t="s">
        <v>105</v>
      </c>
      <c r="L1581" t="s">
        <v>20</v>
      </c>
      <c r="M1581" t="s">
        <v>3360</v>
      </c>
      <c r="N1581" t="s">
        <v>14</v>
      </c>
    </row>
    <row r="1582" x14ac:dyDescent="0.25">
      <c r="A1582" t="n">
        <v>25</v>
      </c>
      <c r="B1582" t="s">
        <v>14</v>
      </c>
      <c r="C1582" t="s">
        <v>22</v>
      </c>
      <c r="D1582" s="2" t="s">
        <f>=HYPERLINK("https://main.knesset.gov.il/APPS/legislation/main/bills/2225707", "הצעת חוק כלי הירייה (תיקון - הודעה בגין חשש לחיי אדם מצד המגיש בקשה להחזיק בכלי ירייה), התשפ""ה-2025")</f>
        <v>3358</v>
      </c>
      <c r="E1582" t="s">
        <v>3358</v>
      </c>
      <c r="F1582" t="s">
        <v>3361</v>
      </c>
      <c r="G1582" t="s">
        <v>14</v>
      </c>
      <c r="H1582">
             </c>
      <c r="I1582" t="s">
        <v>14</v>
      </c>
      <c r="J1582" t="s">
        <v>99</v>
      </c>
      <c r="K1582" t="s">
        <v>105</v>
      </c>
      <c r="L1582" t="s">
        <v>20</v>
      </c>
      <c r="M1582" t="s">
        <v>3360</v>
      </c>
      <c r="N1582" t="s">
        <v>14</v>
      </c>
    </row>
    <row r="1583" x14ac:dyDescent="0.25">
      <c r="A1583" t="n">
        <v>25</v>
      </c>
      <c r="B1583" t="s">
        <v>14</v>
      </c>
      <c r="C1583" t="s">
        <v>22</v>
      </c>
      <c r="D1583" s="2" t="s">
        <f>=HYPERLINK("https://main.knesset.gov.il/APPS/legislation/main/bills/2230515", "הצעת חוק נציב תלונות הציבור על שופטים (תיקון - מינוי הנציב), התשפ""ה-2025")</f>
        <v>3362</v>
      </c>
      <c r="E1583" t="s">
        <v>3362</v>
      </c>
      <c r="F1583" t="s">
        <v>3363</v>
      </c>
      <c r="G1583" t="s">
        <v>14</v>
      </c>
      <c r="H1583">
             </c>
      <c r="I1583" t="s">
        <v>14</v>
      </c>
      <c r="J1583" t="s">
        <v>141</v>
      </c>
      <c r="K1583" t="s">
        <v>14</v>
      </c>
      <c r="L1583" t="s">
        <v>20</v>
      </c>
      <c r="M1583" t="s">
        <v>3360</v>
      </c>
      <c r="N1583" t="s">
        <v>14</v>
      </c>
    </row>
    <row r="1584" x14ac:dyDescent="0.25">
      <c r="A1584" t="n">
        <v>25</v>
      </c>
      <c r="B1584" t="s">
        <v>14</v>
      </c>
      <c r="C1584" t="s">
        <v>22</v>
      </c>
      <c r="D1584" s="2" t="s">
        <f>=HYPERLINK("https://main.knesset.gov.il/APPS/legislation/main/bills/2230518", "הצעת חוק המועצה להשכלה גבוהה (תיקון - הענקת תארים שלישיים בכלל המוסדות המוכרים), התשפ""ה-2025")</f>
        <v>3364</v>
      </c>
      <c r="E1584" t="s">
        <v>3364</v>
      </c>
      <c r="F1584" t="s">
        <v>3365</v>
      </c>
      <c r="G1584" t="s">
        <v>14</v>
      </c>
      <c r="H1584">
             </c>
      <c r="I1584" t="s">
        <v>14</v>
      </c>
      <c r="J1584" t="s">
        <v>141</v>
      </c>
      <c r="K1584" t="s">
        <v>14</v>
      </c>
      <c r="L1584" t="s">
        <v>20</v>
      </c>
      <c r="M1584" t="s">
        <v>3360</v>
      </c>
      <c r="N1584" t="s">
        <v>14</v>
      </c>
    </row>
    <row r="1585" x14ac:dyDescent="0.25">
      <c r="A1585" t="n">
        <v>25</v>
      </c>
      <c r="B1585" t="s">
        <v>14</v>
      </c>
      <c r="C1585" t="s">
        <v>22</v>
      </c>
      <c r="D1585" s="2" t="s">
        <f>=HYPERLINK("https://main.knesset.gov.il/APPS/legislation/main/bills/2228557", "הצעת חוק העונשין (תיקון - עונש מינימום וקנס על החזקת נשק בלתי חוקי), התשפ""ה-2025")</f>
        <v>3366</v>
      </c>
      <c r="E1585" t="s">
        <v>3366</v>
      </c>
      <c r="F1585" t="s">
        <v>3367</v>
      </c>
      <c r="G1585" t="s">
        <v>14</v>
      </c>
      <c r="H1585">
             </c>
      <c r="I1585" t="s">
        <v>14</v>
      </c>
      <c r="J1585" t="s">
        <v>141</v>
      </c>
      <c r="K1585" t="s">
        <v>14</v>
      </c>
      <c r="L1585" t="s">
        <v>20</v>
      </c>
      <c r="M1585" t="s">
        <v>3360</v>
      </c>
      <c r="N1585" t="s">
        <v>14</v>
      </c>
    </row>
    <row r="1586" x14ac:dyDescent="0.25">
      <c r="A1586" t="n">
        <v>25</v>
      </c>
      <c r="B1586" t="s">
        <v>14</v>
      </c>
      <c r="C1586" t="s">
        <v>22</v>
      </c>
      <c r="D1586" s="2" t="s">
        <f>=HYPERLINK("https://main.knesset.gov.il/APPS/legislation/main/bills/2222244", "הצעת חוק חובת שליחת בקשת תשלום טרם עיקול ותפיסה של נכסים המוחזקים בידי צד שלישי (תיקוני חקיקה), התשפ""ה-2025")</f>
        <v>3118</v>
      </c>
      <c r="E1586" t="s">
        <v>3118</v>
      </c>
      <c r="F1586" t="s">
        <v>3368</v>
      </c>
      <c r="G1586" t="s">
        <v>14</v>
      </c>
      <c r="H1586">
             </c>
      <c r="I1586" t="s">
        <v>14</v>
      </c>
      <c r="J1586" t="s">
        <v>141</v>
      </c>
      <c r="K1586" t="s">
        <v>14</v>
      </c>
      <c r="L1586" t="s">
        <v>20</v>
      </c>
      <c r="M1586" t="s">
        <v>3360</v>
      </c>
      <c r="N1586" t="s">
        <v>14</v>
      </c>
    </row>
    <row r="1587" x14ac:dyDescent="0.25">
      <c r="A1587" t="n">
        <v>25</v>
      </c>
      <c r="B1587" t="s">
        <v>14</v>
      </c>
      <c r="C1587" t="s">
        <v>22</v>
      </c>
      <c r="D1587" s="2" t="s">
        <f>=HYPERLINK("https://main.knesset.gov.il/APPS/legislation/main/bills/2230322", "הצעת חוק לשכת עורכי הדין (תיקון - תקופת ההתמחות), התשפ""ה-2025")</f>
        <v>3369</v>
      </c>
      <c r="E1587" t="s">
        <v>3369</v>
      </c>
      <c r="F1587" t="s">
        <v>3370</v>
      </c>
      <c r="G1587" t="s">
        <v>14</v>
      </c>
      <c r="H1587">
             </c>
      <c r="I1587" t="s">
        <v>14</v>
      </c>
      <c r="J1587" t="s">
        <v>141</v>
      </c>
      <c r="K1587" t="s">
        <v>14</v>
      </c>
      <c r="L1587" t="s">
        <v>20</v>
      </c>
      <c r="M1587" t="s">
        <v>3360</v>
      </c>
      <c r="N1587" t="s">
        <v>14</v>
      </c>
    </row>
    <row r="1588" x14ac:dyDescent="0.25">
      <c r="A1588" t="n">
        <v>25</v>
      </c>
      <c r="B1588" t="s">
        <v>14</v>
      </c>
      <c r="C1588" t="s">
        <v>22</v>
      </c>
      <c r="D1588" s="2" t="s">
        <f>=HYPERLINK("https://main.knesset.gov.il/APPS/legislation/main/bills/2230229", "הצעת חוק התכנון והבנייה (תיקון - ניוד זכויות), התשפ""ה-2025")</f>
        <v>3371</v>
      </c>
      <c r="E1588" t="s">
        <v>3371</v>
      </c>
      <c r="F1588" t="s">
        <v>3372</v>
      </c>
      <c r="G1588" t="s">
        <v>14</v>
      </c>
      <c r="H1588">
             </c>
      <c r="I1588" t="s">
        <v>14</v>
      </c>
      <c r="J1588" t="s">
        <v>141</v>
      </c>
      <c r="K1588" t="s">
        <v>14</v>
      </c>
      <c r="L1588" t="s">
        <v>20</v>
      </c>
      <c r="M1588" t="s">
        <v>3360</v>
      </c>
      <c r="N1588" t="s">
        <v>14</v>
      </c>
    </row>
    <row r="1589" x14ac:dyDescent="0.25">
      <c r="A1589" t="n">
        <v>25</v>
      </c>
      <c r="B1589" t="s">
        <v>14</v>
      </c>
      <c r="C1589" t="s">
        <v>22</v>
      </c>
      <c r="D1589" s="2" t="s">
        <f>=HYPERLINK("https://main.knesset.gov.il/APPS/legislation/main/bills/2230844", "הצעת חוק לתיקון פקודת הרוקחים (שפות העלון לצרכן), התשפ""ה-2025")</f>
        <v>3373</v>
      </c>
      <c r="E1589" t="s">
        <v>3373</v>
      </c>
      <c r="F1589" t="s">
        <v>3374</v>
      </c>
      <c r="G1589" t="s">
        <v>14</v>
      </c>
      <c r="H1589">
             </c>
      <c r="I1589" t="s">
        <v>14</v>
      </c>
      <c r="J1589" t="s">
        <v>141</v>
      </c>
      <c r="K1589" t="s">
        <v>14</v>
      </c>
      <c r="L1589" t="s">
        <v>20</v>
      </c>
      <c r="M1589" t="s">
        <v>3360</v>
      </c>
      <c r="N1589" t="s">
        <v>14</v>
      </c>
    </row>
    <row r="1590" x14ac:dyDescent="0.25">
      <c r="A1590" t="n">
        <v>25</v>
      </c>
      <c r="B1590" t="s">
        <v>14</v>
      </c>
      <c r="C1590" t="s">
        <v>22</v>
      </c>
      <c r="D1590" s="2" t="s">
        <f>=HYPERLINK("https://main.knesset.gov.il/APPS/legislation/main/bills/2221344", "הצעת חוק היער והאילנות, התשפ""ה-2025")</f>
        <v>3375</v>
      </c>
      <c r="E1590" t="s">
        <v>3375</v>
      </c>
      <c r="F1590" t="s">
        <v>3376</v>
      </c>
      <c r="G1590" t="s">
        <v>14</v>
      </c>
      <c r="H1590">
             </c>
      <c r="I1590" t="s">
        <v>14</v>
      </c>
      <c r="J1590" t="s">
        <v>141</v>
      </c>
      <c r="K1590" t="s">
        <v>14</v>
      </c>
      <c r="L1590" t="s">
        <v>20</v>
      </c>
      <c r="M1590" t="s">
        <v>3360</v>
      </c>
      <c r="N1590" t="s">
        <v>14</v>
      </c>
    </row>
    <row r="1591" x14ac:dyDescent="0.25">
      <c r="A1591" t="n">
        <v>25</v>
      </c>
      <c r="B1591" t="s">
        <v>14</v>
      </c>
      <c r="C1591" t="s">
        <v>22</v>
      </c>
      <c r="D1591" s="2" t="s">
        <f>=HYPERLINK("https://main.knesset.gov.il/APPS/legislation/main/bills/2230836", "הצעת חוק לתיקון פקודת המשטרה (הצבת מערכת צילום ביומטרית לצורך מניעת אלימות במגרשי הספורט) (הוראת שעה), התשפ""ה-2025")</f>
        <v>3175</v>
      </c>
      <c r="E1591" t="s">
        <v>3175</v>
      </c>
      <c r="F1591" t="s">
        <v>3377</v>
      </c>
      <c r="G1591" t="s">
        <v>14</v>
      </c>
      <c r="H1591">
             </c>
      <c r="I1591" t="s">
        <v>14</v>
      </c>
      <c r="J1591" t="s">
        <v>141</v>
      </c>
      <c r="K1591" t="s">
        <v>14</v>
      </c>
      <c r="L1591" t="s">
        <v>20</v>
      </c>
      <c r="M1591" t="s">
        <v>3360</v>
      </c>
      <c r="N1591" t="s">
        <v>14</v>
      </c>
    </row>
    <row r="1592" x14ac:dyDescent="0.25">
      <c r="A1592" t="n">
        <v>25</v>
      </c>
      <c r="B1592" t="s">
        <v>14</v>
      </c>
      <c r="C1592" t="s">
        <v>22</v>
      </c>
      <c r="D1592" s="2" t="s">
        <f>=HYPERLINK("https://main.knesset.gov.il/APPS/legislation/main/bills/2230834", "הצעת חוק שימוש בזרע של נפטר לשם הולדה, התשפ""ה-2025")</f>
        <v>2446</v>
      </c>
      <c r="E1592" t="s">
        <v>2446</v>
      </c>
      <c r="F1592" t="s">
        <v>3378</v>
      </c>
      <c r="G1592" t="s">
        <v>14</v>
      </c>
      <c r="H1592">
             </c>
      <c r="I1592" t="s">
        <v>14</v>
      </c>
      <c r="J1592" t="s">
        <v>141</v>
      </c>
      <c r="K1592" t="s">
        <v>14</v>
      </c>
      <c r="L1592" t="s">
        <v>20</v>
      </c>
      <c r="M1592" t="s">
        <v>3360</v>
      </c>
      <c r="N1592" t="s">
        <v>14</v>
      </c>
    </row>
    <row r="1593" x14ac:dyDescent="0.25">
      <c r="A1593" t="n">
        <v>25</v>
      </c>
      <c r="B1593" t="s">
        <v>14</v>
      </c>
      <c r="C1593" t="s">
        <v>22</v>
      </c>
      <c r="D1593" s="2" t="s">
        <f>=HYPERLINK("https://main.knesset.gov.il/APPS/legislation/main/bills/2230317", "הצעת חוק המכר (דירות) (הבטחת השקעות של רוכשי דירות) (תיקון - ליווי פיננסי על ידי נותני שירותי תשלום בעלי חשיבות יציבותית), התשפ""ה-2025")</f>
        <v>3379</v>
      </c>
      <c r="E1593" t="s">
        <v>3379</v>
      </c>
      <c r="F1593" t="s">
        <v>3380</v>
      </c>
      <c r="G1593" t="s">
        <v>14</v>
      </c>
      <c r="H1593">
             </c>
      <c r="I1593" t="s">
        <v>14</v>
      </c>
      <c r="J1593" t="s">
        <v>141</v>
      </c>
      <c r="K1593" t="s">
        <v>14</v>
      </c>
      <c r="L1593" t="s">
        <v>20</v>
      </c>
      <c r="M1593" t="s">
        <v>3360</v>
      </c>
      <c r="N1593" t="s">
        <v>14</v>
      </c>
    </row>
    <row r="1594" x14ac:dyDescent="0.25">
      <c r="A1594" t="n">
        <v>25</v>
      </c>
      <c r="B1594" t="s">
        <v>14</v>
      </c>
      <c r="C1594" t="s">
        <v>22</v>
      </c>
      <c r="D1594" s="2" t="s">
        <f>=HYPERLINK("https://main.knesset.gov.il/APPS/legislation/main/bills/2230486", "הצעת חוק המקרקעין (תיקון - בנייה או הרחבת מרחב מוגן לאדם עם מוגבלות), התשפ""ה-2025")</f>
        <v>3381</v>
      </c>
      <c r="E1594" t="s">
        <v>3381</v>
      </c>
      <c r="F1594" t="s">
        <v>3382</v>
      </c>
      <c r="G1594" t="s">
        <v>14</v>
      </c>
      <c r="H1594">
             </c>
      <c r="I1594" t="s">
        <v>14</v>
      </c>
      <c r="J1594" t="s">
        <v>141</v>
      </c>
      <c r="K1594" t="s">
        <v>14</v>
      </c>
      <c r="L1594" t="s">
        <v>20</v>
      </c>
      <c r="M1594" t="s">
        <v>3360</v>
      </c>
      <c r="N1594" t="s">
        <v>14</v>
      </c>
    </row>
    <row r="1595" x14ac:dyDescent="0.25">
      <c r="A1595" t="n">
        <v>25</v>
      </c>
      <c r="B1595" t="s">
        <v>14</v>
      </c>
      <c r="C1595" t="s">
        <v>22</v>
      </c>
      <c r="D1595" s="2" t="s">
        <f>=HYPERLINK("https://main.knesset.gov.il/APPS/legislation/main/bills/2230667", "הצעת חוק אוויר נקי (תיקון - איסור שימוש בתנורים המוסקים בדלק מוצק), התשפ""ה-2025")</f>
        <v>3383</v>
      </c>
      <c r="E1595" t="s">
        <v>3383</v>
      </c>
      <c r="F1595" t="s">
        <v>3384</v>
      </c>
      <c r="G1595" t="s">
        <v>14</v>
      </c>
      <c r="H1595">
             </c>
      <c r="I1595" t="s">
        <v>14</v>
      </c>
      <c r="J1595" t="s">
        <v>141</v>
      </c>
      <c r="K1595" t="s">
        <v>14</v>
      </c>
      <c r="L1595" t="s">
        <v>20</v>
      </c>
      <c r="M1595" t="s">
        <v>3360</v>
      </c>
      <c r="N1595" t="s">
        <v>14</v>
      </c>
    </row>
    <row r="1596" x14ac:dyDescent="0.25">
      <c r="A1596" t="n">
        <v>25</v>
      </c>
      <c r="B1596" t="s">
        <v>14</v>
      </c>
      <c r="C1596" t="s">
        <v>22</v>
      </c>
      <c r="D1596" s="2" t="s">
        <f>=HYPERLINK("https://main.knesset.gov.il/APPS/legislation/main/bills/2230790", "הצעת חוק עידוד עזיבה מרצון של תושבי חבל עזה, התשפ""ה-2025")</f>
        <v>3385</v>
      </c>
      <c r="E1596" t="s">
        <v>3385</v>
      </c>
      <c r="F1596" t="s">
        <v>3386</v>
      </c>
      <c r="G1596" t="s">
        <v>14</v>
      </c>
      <c r="H1596">
             </c>
      <c r="I1596" t="s">
        <v>14</v>
      </c>
      <c r="J1596" t="s">
        <v>141</v>
      </c>
      <c r="K1596" t="s">
        <v>14</v>
      </c>
      <c r="L1596" t="s">
        <v>20</v>
      </c>
      <c r="M1596" t="s">
        <v>3360</v>
      </c>
      <c r="N1596" t="s">
        <v>14</v>
      </c>
    </row>
    <row r="1597" x14ac:dyDescent="0.25">
      <c r="A1597" t="n">
        <v>25</v>
      </c>
      <c r="B1597" t="s">
        <v>14</v>
      </c>
      <c r="C1597" t="s">
        <v>22</v>
      </c>
      <c r="D1597" s="2" t="s">
        <f>=HYPERLINK("https://main.knesset.gov.il/APPS/legislation/main/bills/2230413", "הצעת חוק מדיניות שווה באכיפת החוק כלפי מפגינים, התשפ""ה-2025")</f>
        <v>3387</v>
      </c>
      <c r="E1597" t="s">
        <v>3387</v>
      </c>
      <c r="F1597" t="s">
        <v>3388</v>
      </c>
      <c r="G1597" t="s">
        <v>14</v>
      </c>
      <c r="H1597">
             </c>
      <c r="I1597" t="s">
        <v>14</v>
      </c>
      <c r="J1597" t="s">
        <v>141</v>
      </c>
      <c r="K1597" t="s">
        <v>14</v>
      </c>
      <c r="L1597" t="s">
        <v>20</v>
      </c>
      <c r="M1597" t="s">
        <v>3360</v>
      </c>
      <c r="N1597" t="s">
        <v>14</v>
      </c>
    </row>
    <row r="1598" x14ac:dyDescent="0.25">
      <c r="A1598" t="n">
        <v>25</v>
      </c>
      <c r="B1598" t="s">
        <v>14</v>
      </c>
      <c r="C1598" t="s">
        <v>22</v>
      </c>
      <c r="D1598" s="2" t="s">
        <f>=HYPERLINK("https://main.knesset.gov.il/APPS/legislation/main/bills/2225503", "הצעת חוק העונשין (תיקון - עבירת המרדה וקריאה לסרבנות), התשפ""ה-2025")</f>
        <v>3389</v>
      </c>
      <c r="E1598" t="s">
        <v>3389</v>
      </c>
      <c r="F1598" t="s">
        <v>3390</v>
      </c>
      <c r="G1598" t="s">
        <v>14</v>
      </c>
      <c r="H1598">
             </c>
      <c r="I1598" t="s">
        <v>14</v>
      </c>
      <c r="J1598" t="s">
        <v>141</v>
      </c>
      <c r="K1598" t="s">
        <v>14</v>
      </c>
      <c r="L1598" t="s">
        <v>20</v>
      </c>
      <c r="M1598" t="s">
        <v>3360</v>
      </c>
      <c r="N1598" t="s">
        <v>14</v>
      </c>
    </row>
    <row r="1599" x14ac:dyDescent="0.25">
      <c r="A1599" t="n">
        <v>25</v>
      </c>
      <c r="B1599" t="s">
        <v>14</v>
      </c>
      <c r="C1599" t="s">
        <v>22</v>
      </c>
      <c r="D1599" s="2" t="s">
        <f>=HYPERLINK("https://main.knesset.gov.il/APPS/legislation/main/bills/2230791", "הצעת חוק קביעת יום לציון הטבעת הספינה אלטלנה, התשפ""ה-2025")</f>
        <v>3391</v>
      </c>
      <c r="E1599" t="s">
        <v>3391</v>
      </c>
      <c r="F1599" t="s">
        <v>3392</v>
      </c>
      <c r="G1599" t="s">
        <v>14</v>
      </c>
      <c r="H1599">
             </c>
      <c r="I1599" t="s">
        <v>14</v>
      </c>
      <c r="J1599" t="s">
        <v>141</v>
      </c>
      <c r="K1599" t="s">
        <v>14</v>
      </c>
      <c r="L1599" t="s">
        <v>20</v>
      </c>
      <c r="M1599" t="s">
        <v>3360</v>
      </c>
      <c r="N1599" t="s">
        <v>14</v>
      </c>
    </row>
    <row r="1600" x14ac:dyDescent="0.25">
      <c r="A1600" t="n">
        <v>25</v>
      </c>
      <c r="B1600" t="s">
        <v>14</v>
      </c>
      <c r="C1600" t="s">
        <v>22</v>
      </c>
      <c r="D1600" s="2" t="s">
        <f>=HYPERLINK("https://main.knesset.gov.il/APPS/legislation/main/bills/2230611", "הצעת חוק הביטוח הלאומי (תיקון - הצמדת קצבת נכות מעבודה לשכר הממוצע במשק), התשפ""ה-2025")</f>
        <v>3187</v>
      </c>
      <c r="E1600" t="s">
        <v>3187</v>
      </c>
      <c r="F1600" t="s">
        <v>3393</v>
      </c>
      <c r="G1600" t="s">
        <v>14</v>
      </c>
      <c r="H1600">
             </c>
      <c r="I1600" t="s">
        <v>14</v>
      </c>
      <c r="J1600" t="s">
        <v>141</v>
      </c>
      <c r="K1600" t="s">
        <v>14</v>
      </c>
      <c r="L1600" t="s">
        <v>20</v>
      </c>
      <c r="M1600" t="s">
        <v>3360</v>
      </c>
      <c r="N1600" t="s">
        <v>14</v>
      </c>
    </row>
    <row r="1601" x14ac:dyDescent="0.25">
      <c r="A1601" t="n">
        <v>25</v>
      </c>
      <c r="B1601" t="s">
        <v>14</v>
      </c>
      <c r="C1601" t="s">
        <v>22</v>
      </c>
      <c r="D1601" s="2" t="s">
        <f>=HYPERLINK("https://main.knesset.gov.il/APPS/legislation/main/bills/2230668", "הצעת חוק שירותי תעופה (פיצוי וסיוע בשל ביטול טיסה או שינוי בתנאיה) (תיקון - הודעה לגבי ביטול טיסה או שינוי במועד טיסה), התשפ""ה-2025")</f>
        <v>2980</v>
      </c>
      <c r="E1601" t="s">
        <v>2980</v>
      </c>
      <c r="F1601" t="s">
        <v>3394</v>
      </c>
      <c r="G1601" t="s">
        <v>14</v>
      </c>
      <c r="H1601">
             </c>
      <c r="I1601" t="s">
        <v>14</v>
      </c>
      <c r="J1601" t="s">
        <v>141</v>
      </c>
      <c r="K1601" t="s">
        <v>14</v>
      </c>
      <c r="L1601" t="s">
        <v>20</v>
      </c>
      <c r="M1601" t="s">
        <v>3360</v>
      </c>
      <c r="N1601" t="s">
        <v>14</v>
      </c>
    </row>
    <row r="1602" x14ac:dyDescent="0.25">
      <c r="A1602" t="n">
        <v>25</v>
      </c>
      <c r="B1602" t="s">
        <v>14</v>
      </c>
      <c r="C1602" t="s">
        <v>22</v>
      </c>
      <c r="D1602" s="2" t="s">
        <f>=HYPERLINK("https://main.knesset.gov.il/APPS/legislation/main/bills/2230786", "הצעת חוק האזרחים הוותיקים (תיקון - לחצן מצוקה לקשיש), התשפ""ה-2025")</f>
        <v>3274</v>
      </c>
      <c r="E1602" t="s">
        <v>3274</v>
      </c>
      <c r="F1602" t="s">
        <v>3395</v>
      </c>
      <c r="G1602" t="s">
        <v>14</v>
      </c>
      <c r="H1602">
             </c>
      <c r="I1602" t="s">
        <v>14</v>
      </c>
      <c r="J1602" t="s">
        <v>141</v>
      </c>
      <c r="K1602" t="s">
        <v>14</v>
      </c>
      <c r="L1602" t="s">
        <v>20</v>
      </c>
      <c r="M1602" t="s">
        <v>3360</v>
      </c>
      <c r="N1602" t="s">
        <v>14</v>
      </c>
    </row>
    <row r="1603" x14ac:dyDescent="0.25">
      <c r="A1603" t="n">
        <v>25</v>
      </c>
      <c r="B1603" t="s">
        <v>14</v>
      </c>
      <c r="C1603" t="s">
        <v>22</v>
      </c>
      <c r="D1603" s="2" t="s">
        <f>=HYPERLINK("https://main.knesset.gov.il/APPS/legislation/main/bills/2230650", "הצעת חוק להגבלת השיווק של גז קצפות לצרכן, התשפ""ה-2025")</f>
        <v>3396</v>
      </c>
      <c r="E1603" t="s">
        <v>3396</v>
      </c>
      <c r="F1603" t="s">
        <v>3397</v>
      </c>
      <c r="G1603" t="s">
        <v>14</v>
      </c>
      <c r="H1603">
             </c>
      <c r="I1603" t="s">
        <v>14</v>
      </c>
      <c r="J1603" t="s">
        <v>141</v>
      </c>
      <c r="K1603" t="s">
        <v>14</v>
      </c>
      <c r="L1603" t="s">
        <v>20</v>
      </c>
      <c r="M1603" t="s">
        <v>3360</v>
      </c>
      <c r="N1603" t="s">
        <v>14</v>
      </c>
    </row>
    <row r="1604" x14ac:dyDescent="0.25">
      <c r="A1604" t="n">
        <v>25</v>
      </c>
      <c r="B1604" t="s">
        <v>14</v>
      </c>
      <c r="C1604" t="s">
        <v>22</v>
      </c>
      <c r="D1604" s="2" t="s">
        <f>=HYPERLINK("https://main.knesset.gov.il/APPS/legislation/main/bills/2230610", "הצעת חוק טיפול בחולי נפש (תיקון - קביעת מועד למתן חוות דעת פסיכיאטרית), התשפ""ה-2025")</f>
        <v>3398</v>
      </c>
      <c r="E1604" t="s">
        <v>3398</v>
      </c>
      <c r="F1604" t="s">
        <v>3399</v>
      </c>
      <c r="G1604" t="s">
        <v>14</v>
      </c>
      <c r="H1604">
             </c>
      <c r="I1604" t="s">
        <v>14</v>
      </c>
      <c r="J1604" t="s">
        <v>141</v>
      </c>
      <c r="K1604" t="s">
        <v>14</v>
      </c>
      <c r="L1604" t="s">
        <v>20</v>
      </c>
      <c r="M1604" t="s">
        <v>3360</v>
      </c>
      <c r="N1604" t="s">
        <v>14</v>
      </c>
    </row>
    <row r="1605" x14ac:dyDescent="0.25">
      <c r="A1605" t="n">
        <v>25</v>
      </c>
      <c r="B1605" t="s">
        <v>14</v>
      </c>
      <c r="C1605" t="s">
        <v>22</v>
      </c>
      <c r="D1605" s="2" t="s">
        <f>=HYPERLINK("https://main.knesset.gov.il/APPS/legislation/main/bills/2230609", "הצעת חוק שירות התעסוקה (תיקון - חיזוק הפיקוח הפרלמנטרי על שירות התעסוקה), התשפ""ה-2025 ")</f>
        <v>3400</v>
      </c>
      <c r="E1605" t="s">
        <v>3400</v>
      </c>
      <c r="F1605" t="s">
        <v>3401</v>
      </c>
      <c r="G1605" t="s">
        <v>14</v>
      </c>
      <c r="H1605">
             </c>
      <c r="I1605" t="s">
        <v>14</v>
      </c>
      <c r="J1605" t="s">
        <v>141</v>
      </c>
      <c r="K1605" t="s">
        <v>14</v>
      </c>
      <c r="L1605" t="s">
        <v>20</v>
      </c>
      <c r="M1605" t="s">
        <v>3360</v>
      </c>
      <c r="N1605" t="s">
        <v>14</v>
      </c>
    </row>
    <row r="1606" x14ac:dyDescent="0.25">
      <c r="A1606" t="n">
        <v>25</v>
      </c>
      <c r="B1606" t="s">
        <v>14</v>
      </c>
      <c r="C1606" t="s">
        <v>22</v>
      </c>
      <c r="D1606" s="2" t="s">
        <f>=HYPERLINK("https://main.knesset.gov.il/APPS/legislation/main/bills/2230607", "הצעת חוק הגנת הצרכן (תיקון - שינוי יעד של משלוח טובין), התשפ""ה-2025")</f>
        <v>2984</v>
      </c>
      <c r="E1606" t="s">
        <v>2984</v>
      </c>
      <c r="F1606" t="s">
        <v>3402</v>
      </c>
      <c r="G1606" t="s">
        <v>14</v>
      </c>
      <c r="H1606">
             </c>
      <c r="I1606" t="s">
        <v>14</v>
      </c>
      <c r="J1606" t="s">
        <v>343</v>
      </c>
      <c r="K1606" t="s">
        <v>14</v>
      </c>
      <c r="L1606" t="s">
        <v>20</v>
      </c>
      <c r="M1606" t="s">
        <v>3360</v>
      </c>
      <c r="N1606" t="s">
        <v>14</v>
      </c>
    </row>
    <row r="1607" x14ac:dyDescent="0.25">
      <c r="A1607" t="n">
        <v>25</v>
      </c>
      <c r="B1607" t="s">
        <v>14</v>
      </c>
      <c r="C1607" t="s">
        <v>22</v>
      </c>
      <c r="D1607" s="2" t="s">
        <f>=HYPERLINK("https://main.knesset.gov.il/APPS/legislation/main/bills/2230431", "הצעת חוק לתיקון פקודת התעבורה (גרימת נזק למצלמה), התשפ""ה-2025")</f>
        <v>3403</v>
      </c>
      <c r="E1607" t="s">
        <v>3403</v>
      </c>
      <c r="F1607" t="s">
        <v>3404</v>
      </c>
      <c r="G1607" t="s">
        <v>14</v>
      </c>
      <c r="H1607">
             </c>
      <c r="I1607" t="s">
        <v>14</v>
      </c>
      <c r="J1607" t="s">
        <v>141</v>
      </c>
      <c r="K1607" t="s">
        <v>14</v>
      </c>
      <c r="L1607" t="s">
        <v>20</v>
      </c>
      <c r="M1607" t="s">
        <v>3360</v>
      </c>
      <c r="N1607" t="s">
        <v>14</v>
      </c>
    </row>
    <row r="1608" x14ac:dyDescent="0.25">
      <c r="A1608" t="n">
        <v>25</v>
      </c>
      <c r="B1608" t="s">
        <v>14</v>
      </c>
      <c r="C1608" t="s">
        <v>22</v>
      </c>
      <c r="D1608" s="2" t="s">
        <f>=HYPERLINK("https://main.knesset.gov.il/APPS/legislation/main/bills/2230782", "הצעת חוק לתיקון פקודת מס הכנסה (דחיית הגשת דיווח שנתי לעסק שהוקם ברבעון האחרון של השנה), התשפ""ה-2025")</f>
        <v>3405</v>
      </c>
      <c r="E1608" t="s">
        <v>3405</v>
      </c>
      <c r="F1608" t="s">
        <v>3406</v>
      </c>
      <c r="G1608" t="s">
        <v>14</v>
      </c>
      <c r="H1608">
             </c>
      <c r="I1608" t="s">
        <v>14</v>
      </c>
      <c r="J1608" t="s">
        <v>141</v>
      </c>
      <c r="K1608" t="s">
        <v>14</v>
      </c>
      <c r="L1608" t="s">
        <v>20</v>
      </c>
      <c r="M1608" t="s">
        <v>3360</v>
      </c>
      <c r="N1608" t="s">
        <v>14</v>
      </c>
    </row>
    <row r="1609" x14ac:dyDescent="0.25">
      <c r="A1609" t="n">
        <v>25</v>
      </c>
      <c r="B1609" t="s">
        <v>14</v>
      </c>
      <c r="C1609" t="s">
        <v>22</v>
      </c>
      <c r="D1609" s="2" t="s">
        <f>=HYPERLINK("https://main.knesset.gov.il/APPS/legislation/main/bills/2230556", "הצעת חוק שחרור על-תנאי ממאסר (תיקון - המרת עונש מאסר עולם), התשפ""ה-2025")</f>
        <v>3407</v>
      </c>
      <c r="E1609" t="s">
        <v>3407</v>
      </c>
      <c r="F1609" t="s">
        <v>3408</v>
      </c>
      <c r="G1609" t="s">
        <v>14</v>
      </c>
      <c r="H1609">
             </c>
      <c r="I1609" t="s">
        <v>14</v>
      </c>
      <c r="J1609" t="s">
        <v>141</v>
      </c>
      <c r="K1609" t="s">
        <v>14</v>
      </c>
      <c r="L1609" t="s">
        <v>20</v>
      </c>
      <c r="M1609" t="s">
        <v>3360</v>
      </c>
      <c r="N1609" t="s">
        <v>14</v>
      </c>
    </row>
    <row r="1610" x14ac:dyDescent="0.25">
      <c r="A1610" t="n">
        <v>25</v>
      </c>
      <c r="B1610" t="s">
        <v>14</v>
      </c>
      <c r="C1610" t="s">
        <v>22</v>
      </c>
      <c r="D1610" s="2" t="s">
        <f>=HYPERLINK("https://main.knesset.gov.il/APPS/legislation/main/bills/2230608", "הצעת חוק ביטול הזכאות לנסיעה חינם בתחבורה ציבורית לחברי הכנסת ולחברי הכנסת לשעבר (תיקוני חקיקה), התשפ""ה-2025 ")</f>
        <v>3409</v>
      </c>
      <c r="E1610" t="s">
        <v>3409</v>
      </c>
      <c r="F1610" t="s">
        <v>3410</v>
      </c>
      <c r="G1610" t="s">
        <v>14</v>
      </c>
      <c r="H1610">
             </c>
      <c r="I1610" t="s">
        <v>14</v>
      </c>
      <c r="J1610" t="s">
        <v>141</v>
      </c>
      <c r="K1610" t="s">
        <v>14</v>
      </c>
      <c r="L1610" t="s">
        <v>20</v>
      </c>
      <c r="M1610" t="s">
        <v>3360</v>
      </c>
      <c r="N1610" t="s">
        <v>14</v>
      </c>
    </row>
    <row r="1611" x14ac:dyDescent="0.25">
      <c r="A1611" t="n">
        <v>25</v>
      </c>
      <c r="B1611" t="s">
        <v>14</v>
      </c>
      <c r="C1611" t="s">
        <v>22</v>
      </c>
      <c r="D1611" s="2" t="s">
        <f>=HYPERLINK("https://main.knesset.gov.il/APPS/legislation/main/bills/2230605", "הצעת חוק הליכי חקירה והעדה (התאמה לאנשים עם מוגבלות שכלית או נפשית) (תיקון - חקירה והעדה מותאמת למתמודדי נפש), התשפ""ה-2025")</f>
        <v>1726</v>
      </c>
      <c r="E1611" t="s">
        <v>1726</v>
      </c>
      <c r="F1611" t="s">
        <v>3411</v>
      </c>
      <c r="G1611" t="s">
        <v>14</v>
      </c>
      <c r="H1611">
             </c>
      <c r="I1611" t="s">
        <v>14</v>
      </c>
      <c r="J1611" t="s">
        <v>141</v>
      </c>
      <c r="K1611" t="s">
        <v>14</v>
      </c>
      <c r="L1611" t="s">
        <v>20</v>
      </c>
      <c r="M1611" t="s">
        <v>3360</v>
      </c>
      <c r="N1611" t="s">
        <v>14</v>
      </c>
    </row>
    <row r="1612" x14ac:dyDescent="0.25">
      <c r="A1612" t="n">
        <v>25</v>
      </c>
      <c r="B1612" t="s">
        <v>14</v>
      </c>
      <c r="C1612" t="s">
        <v>22</v>
      </c>
      <c r="D1612" s="2" t="s">
        <f>=HYPERLINK("https://main.knesset.gov.il/APPS/legislation/main/bills/2230603", "הצעת חוק-יסוד: הממשלה (תיקון - הגבלת כהונת ראש הממשלה לשתי תקופות כהונה רצופות)")</f>
        <v>1247</v>
      </c>
      <c r="E1612" t="s">
        <v>1247</v>
      </c>
      <c r="F1612" t="s">
        <v>3412</v>
      </c>
      <c r="G1612" t="s">
        <v>14</v>
      </c>
      <c r="H1612">
             </c>
      <c r="I1612" t="s">
        <v>14</v>
      </c>
      <c r="J1612" t="s">
        <v>343</v>
      </c>
      <c r="K1612" t="s">
        <v>14</v>
      </c>
      <c r="L1612" t="s">
        <v>20</v>
      </c>
      <c r="M1612" t="s">
        <v>3360</v>
      </c>
      <c r="N1612" t="s">
        <v>14</v>
      </c>
    </row>
    <row r="1613" x14ac:dyDescent="0.25">
      <c r="A1613" t="n">
        <v>25</v>
      </c>
      <c r="B1613" t="s">
        <v>14</v>
      </c>
      <c r="C1613" t="s">
        <v>22</v>
      </c>
      <c r="D1613" s="2" t="s">
        <f>=HYPERLINK("https://main.knesset.gov.il/APPS/legislation/main/bills/2226352", "הצעת חוק גירוש מסתננים תומכי המשטר במדינת אריתריאה ומסתננים שביצעו עבירות במדינת ישראל, התשפ""ה-2025")</f>
        <v>3413</v>
      </c>
      <c r="E1613" t="s">
        <v>3413</v>
      </c>
      <c r="F1613" t="s">
        <v>3414</v>
      </c>
      <c r="G1613" t="s">
        <v>14</v>
      </c>
      <c r="H1613">
             </c>
      <c r="I1613" t="s">
        <v>14</v>
      </c>
      <c r="J1613" t="s">
        <v>99</v>
      </c>
      <c r="K1613" t="s">
        <v>46</v>
      </c>
      <c r="L1613" t="s">
        <v>20</v>
      </c>
      <c r="M1613" t="s">
        <v>3415</v>
      </c>
      <c r="N1613" t="s">
        <v>14</v>
      </c>
    </row>
    <row r="1614" x14ac:dyDescent="0.25">
      <c r="A1614" t="n">
        <v>25</v>
      </c>
      <c r="B1614" t="s">
        <v>14</v>
      </c>
      <c r="C1614" t="s">
        <v>22</v>
      </c>
      <c r="D1614" s="2" t="s">
        <f>=HYPERLINK("https://main.knesset.gov.il/APPS/legislation/main/bills/2221997", "הצעת חוק גירוש מסתננים תומכי המשטר במדינת אריתריאה ומסתננים שביצעו עבירות במדינת ישראל, התשפ""ה-2024")</f>
        <v>3416</v>
      </c>
      <c r="E1614" t="s">
        <v>3416</v>
      </c>
      <c r="F1614" t="s">
        <v>3417</v>
      </c>
      <c r="G1614" t="s">
        <v>14</v>
      </c>
      <c r="H1614">
             </c>
      <c r="I1614" t="s">
        <v>14</v>
      </c>
      <c r="J1614" t="s">
        <v>99</v>
      </c>
      <c r="K1614" t="s">
        <v>46</v>
      </c>
      <c r="L1614" t="s">
        <v>20</v>
      </c>
      <c r="M1614" t="s">
        <v>3415</v>
      </c>
      <c r="N1614" t="s">
        <v>14</v>
      </c>
    </row>
    <row r="1615" x14ac:dyDescent="0.25">
      <c r="A1615" t="n">
        <v>25</v>
      </c>
      <c r="B1615" t="s">
        <v>14</v>
      </c>
      <c r="C1615" t="s">
        <v>22</v>
      </c>
      <c r="D1615" s="2" t="s">
        <f>=HYPERLINK("https://main.knesset.gov.il/APPS/legislation/main/bills/2213094", "הצעת חוק תובענות ייצוגיות (תיקון - פניה מוקדמת), התשפ""ד-2024")</f>
        <v>3418</v>
      </c>
      <c r="E1615" t="s">
        <v>3418</v>
      </c>
      <c r="F1615" t="s">
        <v>3419</v>
      </c>
      <c r="G1615" t="s">
        <v>14</v>
      </c>
      <c r="H1615">
             </c>
      <c r="I1615" t="s">
        <v>14</v>
      </c>
      <c r="J1615" t="s">
        <v>31</v>
      </c>
      <c r="K1615" t="s">
        <v>14</v>
      </c>
      <c r="L1615" t="s">
        <v>20</v>
      </c>
      <c r="M1615" t="s">
        <v>3420</v>
      </c>
      <c r="N1615" t="s">
        <v>14</v>
      </c>
    </row>
    <row r="1616" x14ac:dyDescent="0.25">
      <c r="A1616" t="n">
        <v>25</v>
      </c>
      <c r="B1616" t="s">
        <v>14</v>
      </c>
      <c r="C1616" t="s">
        <v>22</v>
      </c>
      <c r="D1616" s="2" t="s">
        <f>=HYPERLINK("https://main.knesset.gov.il/APPS/legislation/main/bills/2202485", "הצעת חוק תובענות ייצוגיות (תיקון - הגשת תובענה נגד גוף אשר פעילותו מחייבת רישיון), התשפ""ג-2023")</f>
        <v>3421</v>
      </c>
      <c r="E1616" t="s">
        <v>3421</v>
      </c>
      <c r="F1616" t="s">
        <v>3422</v>
      </c>
      <c r="G1616" t="s">
        <v>14</v>
      </c>
      <c r="H1616">
             </c>
      <c r="I1616" t="s">
        <v>14</v>
      </c>
      <c r="J1616" t="s">
        <v>31</v>
      </c>
      <c r="K1616" t="s">
        <v>14</v>
      </c>
      <c r="L1616" t="s">
        <v>20</v>
      </c>
      <c r="M1616" t="s">
        <v>3420</v>
      </c>
      <c r="N1616" t="s">
        <v>14</v>
      </c>
    </row>
    <row r="1617" x14ac:dyDescent="0.25">
      <c r="A1617" t="n">
        <v>25</v>
      </c>
      <c r="B1617" t="s">
        <v>14</v>
      </c>
      <c r="C1617" t="s">
        <v>15</v>
      </c>
      <c r="D1617" s="2" t="s">
        <f>=HYPERLINK("https://main.knesset.gov.il/APPS/legislation/main/bills/2221157", "הצעת חוק תובענות ייצוגיות (תיקון מס' 16), התשפ""ד-2024")</f>
        <v>3423</v>
      </c>
      <c r="E1617" t="s">
        <v>3423</v>
      </c>
      <c r="F1617" t="s">
        <v>14</v>
      </c>
      <c r="G1617" t="s">
        <v>3424</v>
      </c>
      <c r="H1617">
             </c>
      <c r="I1617" t="s">
        <v>14</v>
      </c>
      <c r="J1617" t="s">
        <v>18</v>
      </c>
      <c r="K1617" t="s">
        <v>14</v>
      </c>
      <c r="L1617" t="s">
        <v>20</v>
      </c>
      <c r="M1617" t="s">
        <v>3420</v>
      </c>
      <c r="N1617" t="s">
        <v>14</v>
      </c>
    </row>
    <row r="1618" x14ac:dyDescent="0.25">
      <c r="A1618" t="n">
        <v>25</v>
      </c>
      <c r="B1618" t="s">
        <v>14</v>
      </c>
      <c r="C1618" t="s">
        <v>15</v>
      </c>
      <c r="D1618" s="2" t="s">
        <f>=HYPERLINK("https://main.knesset.gov.il/APPS/legislation/main/bills/2227650", "חוק הפצת שידורים באמצעות תחנות שידור ספרתיות (תיקון מס' 7 – הוראת שעה) (תיקון), התשפ""ה-2025 ")</f>
        <v>3425</v>
      </c>
      <c r="E1618" t="s">
        <v>3425</v>
      </c>
      <c r="F1618" t="s">
        <v>14</v>
      </c>
      <c r="G1618" t="s">
        <v>3426</v>
      </c>
      <c r="H1618" t="n">
        <v>3400</v>
      </c>
      <c r="I1618" t="s">
        <v>14</v>
      </c>
      <c r="J1618" t="s">
        <v>91</v>
      </c>
      <c r="K1618" t="s">
        <v>19</v>
      </c>
      <c r="L1618" t="s">
        <v>20</v>
      </c>
      <c r="M1618" t="s">
        <v>3427</v>
      </c>
      <c r="N1618" t="s">
        <v>3428</v>
      </c>
    </row>
    <row r="1619" x14ac:dyDescent="0.25">
      <c r="A1619" t="n">
        <v>25</v>
      </c>
      <c r="B1619" t="s">
        <v>14</v>
      </c>
      <c r="C1619" t="s">
        <v>22</v>
      </c>
      <c r="D1619" s="2" t="s">
        <f>=HYPERLINK("https://main.knesset.gov.il/APPS/legislation/main/bills/2205557", "חוק הכשרות המשפטית והאפוטרופסות (תיקון מס' 22 והוראת שעה), התשפ""ה–2025")</f>
        <v>3429</v>
      </c>
      <c r="E1619" t="s">
        <v>3429</v>
      </c>
      <c r="F1619" t="s">
        <v>3430</v>
      </c>
      <c r="G1619" t="s">
        <v>3431</v>
      </c>
      <c r="H1619" t="n">
        <v>3391</v>
      </c>
      <c r="I1619" t="s">
        <v>14</v>
      </c>
      <c r="J1619" t="s">
        <v>91</v>
      </c>
      <c r="K1619" t="s">
        <v>27</v>
      </c>
      <c r="L1619" t="s">
        <v>20</v>
      </c>
      <c r="M1619" t="s">
        <v>3427</v>
      </c>
      <c r="N1619" t="s">
        <v>3432</v>
      </c>
    </row>
    <row r="1620" x14ac:dyDescent="0.25">
      <c r="A1620" t="n">
        <v>25</v>
      </c>
      <c r="B1620" t="s">
        <v>14</v>
      </c>
      <c r="C1620" t="s">
        <v>15</v>
      </c>
      <c r="D1620" s="2" t="s">
        <f>=HYPERLINK("https://main.knesset.gov.il/APPS/legislation/main/bills/2229397", "חוק הכללת אמצעי זיהוי ביומטריים ונתוני זיהוי ביומטריים במסמכי זיהוי ובמאגר מידע (תיקון מס' 7 - הוראת שעה), התשפ""ה-2025 ")</f>
        <v>3433</v>
      </c>
      <c r="E1620" t="s">
        <v>3433</v>
      </c>
      <c r="F1620" t="s">
        <v>14</v>
      </c>
      <c r="G1620" t="s">
        <v>3434</v>
      </c>
      <c r="H1620" t="n">
        <v>3390</v>
      </c>
      <c r="I1620" t="s">
        <v>14</v>
      </c>
      <c r="J1620" t="s">
        <v>91</v>
      </c>
      <c r="K1620" t="s">
        <v>14</v>
      </c>
      <c r="L1620" t="s">
        <v>20</v>
      </c>
      <c r="M1620" t="s">
        <v>3427</v>
      </c>
      <c r="N1620" t="s">
        <v>3435</v>
      </c>
    </row>
    <row r="1621" x14ac:dyDescent="0.25">
      <c r="A1621" t="n">
        <v>25</v>
      </c>
      <c r="B1621" t="s">
        <v>14</v>
      </c>
      <c r="C1621" t="s">
        <v>15</v>
      </c>
      <c r="D1621" s="2" t="s">
        <f>=HYPERLINK("https://main.knesset.gov.il/APPS/legislation/main/bills/2227201", "חוק התכנון והבנייה (תיקון מס' 160 והוראות שעה), התשפ""ה-2025")</f>
        <v>3436</v>
      </c>
      <c r="E1621" t="s">
        <v>3436</v>
      </c>
      <c r="F1621" t="s">
        <v>14</v>
      </c>
      <c r="G1621" t="s">
        <v>43</v>
      </c>
      <c r="H1621" t="n">
        <v>3408</v>
      </c>
      <c r="I1621" t="s">
        <v>14</v>
      </c>
      <c r="J1621" t="s">
        <v>91</v>
      </c>
      <c r="K1621" t="s">
        <v>46</v>
      </c>
      <c r="L1621" t="s">
        <v>20</v>
      </c>
      <c r="M1621" t="s">
        <v>3427</v>
      </c>
      <c r="N1621" t="s">
        <v>3437</v>
      </c>
    </row>
    <row r="1622" x14ac:dyDescent="0.25">
      <c r="A1622" t="n">
        <v>25</v>
      </c>
      <c r="B1622" t="s">
        <v>14</v>
      </c>
      <c r="C1622" t="s">
        <v>22</v>
      </c>
      <c r="D1622" s="2" t="s">
        <f>=HYPERLINK("https://main.knesset.gov.il/APPS/legislation/main/bills/2220995", "חוק העונשין (תיקון מס' 152), התשפ""ה–2025")</f>
        <v>3438</v>
      </c>
      <c r="E1622" t="s">
        <v>3438</v>
      </c>
      <c r="F1622" t="s">
        <v>3439</v>
      </c>
      <c r="G1622" t="s">
        <v>3440</v>
      </c>
      <c r="H1622" t="n">
        <v>3407</v>
      </c>
      <c r="I1622" t="s">
        <v>14</v>
      </c>
      <c r="J1622" t="s">
        <v>91</v>
      </c>
      <c r="K1622" t="s">
        <v>27</v>
      </c>
      <c r="L1622" t="s">
        <v>20</v>
      </c>
      <c r="M1622" t="s">
        <v>3427</v>
      </c>
      <c r="N1622" t="s">
        <v>3441</v>
      </c>
    </row>
    <row r="1623" x14ac:dyDescent="0.25">
      <c r="A1623" t="n">
        <v>25</v>
      </c>
      <c r="B1623" t="s">
        <v>14</v>
      </c>
      <c r="C1623" t="s">
        <v>22</v>
      </c>
      <c r="D1623" s="2" t="s">
        <f>=HYPERLINK("https://main.knesset.gov.il/APPS/legislation/main/bills/2195779", "חוק למניעת הפליה ברישוי מחמת מצב בריאותי (תיקוני חקיקה), התשפ""ה–2025")</f>
        <v>3442</v>
      </c>
      <c r="E1623" t="s">
        <v>3442</v>
      </c>
      <c r="F1623" t="s">
        <v>3443</v>
      </c>
      <c r="G1623" t="s">
        <v>3444</v>
      </c>
      <c r="H1623" t="n">
        <v>3406</v>
      </c>
      <c r="I1623" t="s">
        <v>14</v>
      </c>
      <c r="J1623" t="s">
        <v>91</v>
      </c>
      <c r="K1623" t="s">
        <v>480</v>
      </c>
      <c r="L1623" t="s">
        <v>20</v>
      </c>
      <c r="M1623" t="s">
        <v>3427</v>
      </c>
      <c r="N1623" t="s">
        <v>3445</v>
      </c>
    </row>
    <row r="1624" x14ac:dyDescent="0.25">
      <c r="A1624" t="n">
        <v>25</v>
      </c>
      <c r="B1624" t="s">
        <v>14</v>
      </c>
      <c r="C1624" t="s">
        <v>22</v>
      </c>
      <c r="D1624" s="2" t="s">
        <f>=HYPERLINK("https://main.knesset.gov.il/APPS/legislation/main/bills/2195679", "חוק הרשות הלאומית למאבק בעוני, התשפ""ה-2025")</f>
        <v>3446</v>
      </c>
      <c r="E1624" t="s">
        <v>3446</v>
      </c>
      <c r="F1624" t="s">
        <v>3447</v>
      </c>
      <c r="G1624" t="s">
        <v>3448</v>
      </c>
      <c r="H1624" t="n">
        <v>3405</v>
      </c>
      <c r="I1624" t="s">
        <v>14</v>
      </c>
      <c r="J1624" t="s">
        <v>91</v>
      </c>
      <c r="K1624" t="s">
        <v>127</v>
      </c>
      <c r="L1624" t="s">
        <v>20</v>
      </c>
      <c r="M1624" t="s">
        <v>3427</v>
      </c>
      <c r="N1624" t="s">
        <v>3449</v>
      </c>
    </row>
    <row r="1625" x14ac:dyDescent="0.25">
      <c r="A1625" t="n">
        <v>25</v>
      </c>
      <c r="B1625" t="s">
        <v>14</v>
      </c>
      <c r="C1625" t="s">
        <v>22</v>
      </c>
      <c r="D1625" s="2" t="s">
        <f>=HYPERLINK("https://main.knesset.gov.il/APPS/legislation/main/bills/2197166", "חוק הביטוח הלאומי (תיקון מס' 257), התשפ""ה–2025")</f>
        <v>3450</v>
      </c>
      <c r="E1625" t="s">
        <v>3450</v>
      </c>
      <c r="F1625" t="s">
        <v>3451</v>
      </c>
      <c r="G1625" t="s">
        <v>3452</v>
      </c>
      <c r="H1625" t="n">
        <v>3404</v>
      </c>
      <c r="I1625" t="s">
        <v>14</v>
      </c>
      <c r="J1625" t="s">
        <v>91</v>
      </c>
      <c r="K1625" t="s">
        <v>127</v>
      </c>
      <c r="L1625" t="s">
        <v>20</v>
      </c>
      <c r="M1625" t="s">
        <v>3427</v>
      </c>
      <c r="N1625" t="s">
        <v>3453</v>
      </c>
    </row>
    <row r="1626" x14ac:dyDescent="0.25">
      <c r="A1626" t="n">
        <v>25</v>
      </c>
      <c r="B1626" t="s">
        <v>14</v>
      </c>
      <c r="C1626" t="s">
        <v>22</v>
      </c>
      <c r="D1626" s="2" t="s">
        <f>=HYPERLINK("https://main.knesset.gov.il/APPS/legislation/main/bills/2215643", "חוק המים (תיקון מס' 31), התשפ""ה–2025")</f>
        <v>3454</v>
      </c>
      <c r="E1626" t="s">
        <v>3454</v>
      </c>
      <c r="F1626" t="s">
        <v>3455</v>
      </c>
      <c r="G1626" t="s">
        <v>3456</v>
      </c>
      <c r="H1626" t="n">
        <v>3403</v>
      </c>
      <c r="I1626" t="s">
        <v>14</v>
      </c>
      <c r="J1626" t="s">
        <v>91</v>
      </c>
      <c r="K1626" t="s">
        <v>19</v>
      </c>
      <c r="L1626" t="s">
        <v>20</v>
      </c>
      <c r="M1626" t="s">
        <v>3427</v>
      </c>
      <c r="N1626" t="s">
        <v>3457</v>
      </c>
    </row>
    <row r="1627" x14ac:dyDescent="0.25">
      <c r="A1627" t="n">
        <v>25</v>
      </c>
      <c r="B1627" t="s">
        <v>14</v>
      </c>
      <c r="C1627" t="s">
        <v>22</v>
      </c>
      <c r="D1627" s="2" t="s">
        <f>=HYPERLINK("https://main.knesset.gov.il/APPS/legislation/main/bills/2210645", "חוק הגנת הצרכן (תיקון מס' 72), התשפ""ה–2025")</f>
        <v>3458</v>
      </c>
      <c r="E1627" t="s">
        <v>3458</v>
      </c>
      <c r="F1627" t="s">
        <v>3459</v>
      </c>
      <c r="G1627" t="s">
        <v>3460</v>
      </c>
      <c r="H1627" t="n">
        <v>3402</v>
      </c>
      <c r="I1627" t="s">
        <v>14</v>
      </c>
      <c r="J1627" t="s">
        <v>91</v>
      </c>
      <c r="K1627" t="s">
        <v>19</v>
      </c>
      <c r="L1627" t="s">
        <v>20</v>
      </c>
      <c r="M1627" t="s">
        <v>3427</v>
      </c>
      <c r="N1627" t="s">
        <v>3461</v>
      </c>
    </row>
    <row r="1628" x14ac:dyDescent="0.25">
      <c r="A1628" t="n">
        <v>25</v>
      </c>
      <c r="B1628" t="s">
        <v>14</v>
      </c>
      <c r="C1628" t="s">
        <v>15</v>
      </c>
      <c r="D1628" s="2" t="s">
        <f>=HYPERLINK("https://main.knesset.gov.il/APPS/legislation/main/bills/2228456", "חוק להסדרת אירוע הילולת רבי שמעון בר יוחאי בהר מירון (הוראת שעה), התשפ""ה-2025 ")</f>
        <v>3462</v>
      </c>
      <c r="E1628" t="s">
        <v>3462</v>
      </c>
      <c r="F1628" t="s">
        <v>14</v>
      </c>
      <c r="G1628" t="s">
        <v>3463</v>
      </c>
      <c r="H1628" t="n">
        <v>3401</v>
      </c>
      <c r="I1628" t="s">
        <v>14</v>
      </c>
      <c r="J1628" t="s">
        <v>91</v>
      </c>
      <c r="K1628" t="s">
        <v>105</v>
      </c>
      <c r="L1628" t="s">
        <v>20</v>
      </c>
      <c r="M1628" t="s">
        <v>3427</v>
      </c>
      <c r="N1628" t="s">
        <v>3464</v>
      </c>
    </row>
    <row r="1629" x14ac:dyDescent="0.25">
      <c r="A1629" t="n">
        <v>25</v>
      </c>
      <c r="B1629" t="s">
        <v>14</v>
      </c>
      <c r="C1629" t="s">
        <v>22</v>
      </c>
      <c r="D1629" s="2" t="s">
        <f>=HYPERLINK("https://main.knesset.gov.il/APPS/legislation/main/bills/2211055", "חוק התקשורת (בזק ושידורים) (תיקון מס' 81), התשפ""ה–2025")</f>
        <v>3465</v>
      </c>
      <c r="E1629" t="s">
        <v>3465</v>
      </c>
      <c r="F1629" t="s">
        <v>3466</v>
      </c>
      <c r="G1629" t="s">
        <v>3467</v>
      </c>
      <c r="H1629" t="n">
        <v>3399</v>
      </c>
      <c r="I1629" t="s">
        <v>14</v>
      </c>
      <c r="J1629" t="s">
        <v>91</v>
      </c>
      <c r="K1629" t="s">
        <v>19</v>
      </c>
      <c r="L1629" t="s">
        <v>20</v>
      </c>
      <c r="M1629" t="s">
        <v>3427</v>
      </c>
      <c r="N1629" t="s">
        <v>3468</v>
      </c>
    </row>
    <row r="1630" x14ac:dyDescent="0.25">
      <c r="A1630" t="n">
        <v>25</v>
      </c>
      <c r="B1630" t="s">
        <v>14</v>
      </c>
      <c r="C1630" t="s">
        <v>22</v>
      </c>
      <c r="D1630" s="2" t="s">
        <f>=HYPERLINK("https://main.knesset.gov.il/APPS/legislation/main/bills/2199188", "חוק גיל פרישה (הורה שילדו נפטר) (הוראת שעה) (תיקון מס' 3), התשפ""ה–2025")</f>
        <v>3469</v>
      </c>
      <c r="E1630" t="s">
        <v>3469</v>
      </c>
      <c r="F1630" t="s">
        <v>3470</v>
      </c>
      <c r="G1630" t="s">
        <v>3471</v>
      </c>
      <c r="H1630" t="n">
        <v>3398</v>
      </c>
      <c r="I1630" t="s">
        <v>14</v>
      </c>
      <c r="J1630" t="s">
        <v>91</v>
      </c>
      <c r="K1630" t="s">
        <v>127</v>
      </c>
      <c r="L1630" t="s">
        <v>20</v>
      </c>
      <c r="M1630" t="s">
        <v>3427</v>
      </c>
      <c r="N1630" t="s">
        <v>3472</v>
      </c>
    </row>
    <row r="1631" x14ac:dyDescent="0.25">
      <c r="A1631" t="n">
        <v>25</v>
      </c>
      <c r="B1631" t="s">
        <v>14</v>
      </c>
      <c r="C1631" t="s">
        <v>22</v>
      </c>
      <c r="D1631" s="2" t="s">
        <f>=HYPERLINK("https://main.knesset.gov.il/APPS/legislation/main/bills/2209251", "חוק הספורט (תיקון מס' 18 והוראת שעה), התשפ""ה–2025")</f>
        <v>3473</v>
      </c>
      <c r="E1631" t="s">
        <v>3473</v>
      </c>
      <c r="F1631" t="s">
        <v>3474</v>
      </c>
      <c r="G1631" t="s">
        <v>3475</v>
      </c>
      <c r="H1631" t="n">
        <v>3397</v>
      </c>
      <c r="I1631" t="s">
        <v>14</v>
      </c>
      <c r="J1631" t="s">
        <v>91</v>
      </c>
      <c r="K1631" t="s">
        <v>34</v>
      </c>
      <c r="L1631" t="s">
        <v>20</v>
      </c>
      <c r="M1631" t="s">
        <v>3427</v>
      </c>
      <c r="N1631" t="s">
        <v>3476</v>
      </c>
    </row>
    <row r="1632" x14ac:dyDescent="0.25">
      <c r="A1632" t="n">
        <v>25</v>
      </c>
      <c r="B1632" t="s">
        <v>14</v>
      </c>
      <c r="C1632" t="s">
        <v>22</v>
      </c>
      <c r="D1632" s="2" t="s">
        <f>=HYPERLINK("https://main.knesset.gov.il/APPS/legislation/main/bills/2200242", "חוק הרשויות המקומיות (מימון בחירות) (תיקון מס' 19), התשפ""ה–2025")</f>
        <v>3477</v>
      </c>
      <c r="E1632" t="s">
        <v>3477</v>
      </c>
      <c r="F1632" t="s">
        <v>3478</v>
      </c>
      <c r="G1632" t="s">
        <v>3479</v>
      </c>
      <c r="H1632" t="n">
        <v>3396</v>
      </c>
      <c r="I1632" t="s">
        <v>14</v>
      </c>
      <c r="J1632" t="s">
        <v>91</v>
      </c>
      <c r="K1632" t="s">
        <v>46</v>
      </c>
      <c r="L1632" t="s">
        <v>20</v>
      </c>
      <c r="M1632" t="s">
        <v>3427</v>
      </c>
      <c r="N1632" t="s">
        <v>3480</v>
      </c>
    </row>
    <row r="1633" x14ac:dyDescent="0.25">
      <c r="A1633" t="n">
        <v>25</v>
      </c>
      <c r="B1633" t="s">
        <v>14</v>
      </c>
      <c r="C1633" t="s">
        <v>22</v>
      </c>
      <c r="D1633" s="2" t="s">
        <f>=HYPERLINK("https://main.knesset.gov.il/APPS/legislation/main/bills/2218716", "חוק להנצחת זכרו של מנחם בגין (תיקון מס' 4), התשפ""ה–2025")</f>
        <v>3481</v>
      </c>
      <c r="E1633" t="s">
        <v>3481</v>
      </c>
      <c r="F1633" t="s">
        <v>3482</v>
      </c>
      <c r="G1633" t="s">
        <v>3483</v>
      </c>
      <c r="H1633" t="n">
        <v>3395</v>
      </c>
      <c r="I1633" t="s">
        <v>14</v>
      </c>
      <c r="J1633" t="s">
        <v>91</v>
      </c>
      <c r="K1633" t="s">
        <v>34</v>
      </c>
      <c r="L1633" t="s">
        <v>20</v>
      </c>
      <c r="M1633" t="s">
        <v>3427</v>
      </c>
      <c r="N1633" t="s">
        <v>3484</v>
      </c>
    </row>
    <row r="1634" x14ac:dyDescent="0.25">
      <c r="A1634" t="n">
        <v>25</v>
      </c>
      <c r="B1634" t="s">
        <v>14</v>
      </c>
      <c r="C1634" t="s">
        <v>22</v>
      </c>
      <c r="D1634" s="2" t="s">
        <f>=HYPERLINK("https://main.knesset.gov.il/APPS/legislation/main/bills/2221190", "חוק הצבת מכשירי החייאה במקומות ציבוריים (תיקון מס' 3), התשפ""ה–2025")</f>
        <v>3485</v>
      </c>
      <c r="E1634" t="s">
        <v>3485</v>
      </c>
      <c r="F1634" t="s">
        <v>3486</v>
      </c>
      <c r="G1634" t="s">
        <v>3487</v>
      </c>
      <c r="H1634" t="n">
        <v>3394</v>
      </c>
      <c r="I1634" t="s">
        <v>14</v>
      </c>
      <c r="J1634" t="s">
        <v>91</v>
      </c>
      <c r="K1634" t="s">
        <v>480</v>
      </c>
      <c r="L1634" t="s">
        <v>20</v>
      </c>
      <c r="M1634" t="s">
        <v>3427</v>
      </c>
      <c r="N1634" t="s">
        <v>3488</v>
      </c>
    </row>
    <row r="1635" x14ac:dyDescent="0.25">
      <c r="A1635" t="n">
        <v>25</v>
      </c>
      <c r="B1635" t="s">
        <v>14</v>
      </c>
      <c r="C1635" t="s">
        <v>15</v>
      </c>
      <c r="D1635" s="2" t="s">
        <f>=HYPERLINK("https://main.knesset.gov.il/APPS/legislation/main/bills/2225520", "חוק שיקום נרחב לחבל התקומה כאזור מיקוד לאומי וסיוע ליישובים הסמוכים אליו, התשפ""ה–2025 ")</f>
        <v>3489</v>
      </c>
      <c r="E1635" t="s">
        <v>3489</v>
      </c>
      <c r="F1635" t="s">
        <v>14</v>
      </c>
      <c r="G1635" t="s">
        <v>3490</v>
      </c>
      <c r="H1635" t="n">
        <v>3393</v>
      </c>
      <c r="I1635" t="s">
        <v>14</v>
      </c>
      <c r="J1635" t="s">
        <v>91</v>
      </c>
      <c r="K1635" t="s">
        <v>19</v>
      </c>
      <c r="L1635" t="s">
        <v>20</v>
      </c>
      <c r="M1635" t="s">
        <v>3427</v>
      </c>
      <c r="N1635" t="s">
        <v>3491</v>
      </c>
    </row>
    <row r="1636" x14ac:dyDescent="0.25">
      <c r="A1636" t="n">
        <v>25</v>
      </c>
      <c r="B1636" t="s">
        <v>14</v>
      </c>
      <c r="C1636" t="s">
        <v>15</v>
      </c>
      <c r="D1636" s="2" t="s">
        <f>=HYPERLINK("https://main.knesset.gov.il/APPS/legislation/main/bills/2229396", "חוק תוספות לתגמולים ולהטבות לבני משפחה של חטופים ונעדרים (תיקוני חקיקה), התשפ""ה-2025")</f>
        <v>3492</v>
      </c>
      <c r="E1636" t="s">
        <v>3492</v>
      </c>
      <c r="F1636" t="s">
        <v>14</v>
      </c>
      <c r="G1636" t="s">
        <v>3493</v>
      </c>
      <c r="H1636" t="n">
        <v>3392</v>
      </c>
      <c r="I1636" t="s">
        <v>14</v>
      </c>
      <c r="J1636" t="s">
        <v>91</v>
      </c>
      <c r="K1636" t="s">
        <v>127</v>
      </c>
      <c r="L1636" t="s">
        <v>20</v>
      </c>
      <c r="M1636" t="s">
        <v>3427</v>
      </c>
      <c r="N1636" t="s">
        <v>3494</v>
      </c>
    </row>
    <row r="1637" x14ac:dyDescent="0.25">
      <c r="A1637" t="n">
        <v>25</v>
      </c>
      <c r="B1637" t="s">
        <v>14</v>
      </c>
      <c r="C1637" t="s">
        <v>15</v>
      </c>
      <c r="D1637" s="2" t="s">
        <f>=HYPERLINK("https://main.knesset.gov.il/APPS/legislation/main/bills/2229709", "חוק כליאתם של לוחמים בלתי חוקיים (תיקון מס' 4 והוראת שעה – חרבות ברזל) (תיקון מס' 4), התשפ""ה-2025 ")</f>
        <v>3495</v>
      </c>
      <c r="E1637" t="s">
        <v>3495</v>
      </c>
      <c r="F1637" t="s">
        <v>14</v>
      </c>
      <c r="G1637" t="s">
        <v>3496</v>
      </c>
      <c r="H1637" t="n">
        <v>3387</v>
      </c>
      <c r="I1637" t="s">
        <v>14</v>
      </c>
      <c r="J1637" t="s">
        <v>91</v>
      </c>
      <c r="K1637" t="s">
        <v>114</v>
      </c>
      <c r="L1637" t="s">
        <v>20</v>
      </c>
      <c r="M1637" t="s">
        <v>3427</v>
      </c>
      <c r="N1637" t="s">
        <v>3497</v>
      </c>
    </row>
    <row r="1638" x14ac:dyDescent="0.25">
      <c r="A1638" t="n">
        <v>25</v>
      </c>
      <c r="B1638" t="s">
        <v>14</v>
      </c>
      <c r="C1638" t="s">
        <v>15</v>
      </c>
      <c r="D1638" s="2" t="s">
        <f>=HYPERLINK("https://main.knesset.gov.il/APPS/legislation/main/bills/2228775", "חוק לייעול האכיפה והפיקוח העירוניים ברשויות המקומיות (הוראת שעה) (תיקון מס' 16), התשפ""ה–2025 ")</f>
        <v>3498</v>
      </c>
      <c r="E1638" t="s">
        <v>3498</v>
      </c>
      <c r="F1638" t="s">
        <v>14</v>
      </c>
      <c r="G1638" t="s">
        <v>2634</v>
      </c>
      <c r="H1638" t="n">
        <v>3386</v>
      </c>
      <c r="I1638" t="s">
        <v>14</v>
      </c>
      <c r="J1638" t="s">
        <v>91</v>
      </c>
      <c r="K1638" t="s">
        <v>105</v>
      </c>
      <c r="L1638" t="s">
        <v>20</v>
      </c>
      <c r="M1638" t="s">
        <v>3427</v>
      </c>
      <c r="N1638" t="s">
        <v>3499</v>
      </c>
    </row>
    <row r="1639" x14ac:dyDescent="0.25">
      <c r="A1639" t="n">
        <v>25</v>
      </c>
      <c r="B1639" t="s">
        <v>14</v>
      </c>
      <c r="C1639" t="s">
        <v>15</v>
      </c>
      <c r="D1639" s="2" t="s">
        <f>=HYPERLINK("https://main.knesset.gov.il/APPS/legislation/main/bills/2229712", "חוק התמודדות עם תקיפות סייבר חמורות במגזר השירותים הדיגיטליים ושירותי האחסון (הוראת שעה – חרבות ברזל) (תיקון מס' 2), התשפ""ה-2025 ")</f>
        <v>3500</v>
      </c>
      <c r="E1639" t="s">
        <v>3500</v>
      </c>
      <c r="F1639" t="s">
        <v>14</v>
      </c>
      <c r="G1639" t="s">
        <v>3501</v>
      </c>
      <c r="H1639" t="n">
        <v>3385</v>
      </c>
      <c r="I1639" t="s">
        <v>14</v>
      </c>
      <c r="J1639" t="s">
        <v>91</v>
      </c>
      <c r="K1639" t="s">
        <v>114</v>
      </c>
      <c r="L1639" t="s">
        <v>20</v>
      </c>
      <c r="M1639" t="s">
        <v>3427</v>
      </c>
      <c r="N1639" t="s">
        <v>3502</v>
      </c>
    </row>
    <row r="1640" x14ac:dyDescent="0.25">
      <c r="A1640" t="n">
        <v>25</v>
      </c>
      <c r="B1640" t="s">
        <v>14</v>
      </c>
      <c r="C1640" t="s">
        <v>22</v>
      </c>
      <c r="D1640" s="2" t="s">
        <f>=HYPERLINK("https://main.knesset.gov.il/APPS/legislation/main/bills/2230592", "הצעת חוק שימוש בזרע של נפטר לשם הולדה, התשפ""ה-2025")</f>
        <v>2446</v>
      </c>
      <c r="E1640" t="s">
        <v>2446</v>
      </c>
      <c r="F1640" t="s">
        <v>3503</v>
      </c>
      <c r="G1640" t="s">
        <v>14</v>
      </c>
      <c r="H1640">
             </c>
      <c r="I1640" t="s">
        <v>14</v>
      </c>
      <c r="J1640" t="s">
        <v>141</v>
      </c>
      <c r="K1640" t="s">
        <v>14</v>
      </c>
      <c r="L1640" t="s">
        <v>20</v>
      </c>
      <c r="M1640" t="s">
        <v>3427</v>
      </c>
      <c r="N1640" t="s">
        <v>14</v>
      </c>
    </row>
    <row r="1641" x14ac:dyDescent="0.25">
      <c r="A1641" t="n">
        <v>25</v>
      </c>
      <c r="B1641" t="s">
        <v>14</v>
      </c>
      <c r="C1641" t="s">
        <v>22</v>
      </c>
      <c r="D1641" s="2" t="s">
        <f>=HYPERLINK("https://main.knesset.gov.il/APPS/legislation/main/bills/2230578", "הצעת חוק-יסוד: לימוד תורה")</f>
        <v>86</v>
      </c>
      <c r="E1641" t="s">
        <v>86</v>
      </c>
      <c r="F1641" t="s">
        <v>3504</v>
      </c>
      <c r="G1641" t="s">
        <v>14</v>
      </c>
      <c r="H1641">
             </c>
      <c r="I1641" t="s">
        <v>14</v>
      </c>
      <c r="J1641" t="s">
        <v>141</v>
      </c>
      <c r="K1641" t="s">
        <v>14</v>
      </c>
      <c r="L1641" t="s">
        <v>20</v>
      </c>
      <c r="M1641" t="s">
        <v>3427</v>
      </c>
      <c r="N1641" t="s">
        <v>14</v>
      </c>
    </row>
    <row r="1642" x14ac:dyDescent="0.25">
      <c r="A1642" t="n">
        <v>25</v>
      </c>
      <c r="B1642" t="s">
        <v>14</v>
      </c>
      <c r="C1642" t="s">
        <v>22</v>
      </c>
      <c r="D1642" s="2" t="s">
        <f>=HYPERLINK("https://main.knesset.gov.il/APPS/legislation/main/bills/2208710", "הצעת חוק הגנת הצרכן (תיקון - ביטול עסקת מכר מרחוק של שירותי תיירות) (הוראת שעה), התשפ""ה-2025")</f>
        <v>3505</v>
      </c>
      <c r="E1642" t="s">
        <v>3505</v>
      </c>
      <c r="F1642" t="s">
        <v>3506</v>
      </c>
      <c r="G1642" t="s">
        <v>14</v>
      </c>
      <c r="H1642">
             </c>
      <c r="I1642" t="s">
        <v>14</v>
      </c>
      <c r="J1642" t="s">
        <v>141</v>
      </c>
      <c r="K1642" t="s">
        <v>14</v>
      </c>
      <c r="L1642" t="s">
        <v>20</v>
      </c>
      <c r="M1642" t="s">
        <v>3427</v>
      </c>
      <c r="N1642" t="s">
        <v>14</v>
      </c>
    </row>
    <row r="1643" x14ac:dyDescent="0.25">
      <c r="A1643" t="n">
        <v>25</v>
      </c>
      <c r="B1643" t="s">
        <v>14</v>
      </c>
      <c r="C1643" t="s">
        <v>22</v>
      </c>
      <c r="D1643" s="2" t="s">
        <f>=HYPERLINK("https://main.knesset.gov.il/APPS/legislation/main/bills/2222145", "הצעת חוק לתמיכה ועידוד שילובם של משרתי המילואים בחקלאות ובהתיישבות, התשפ""ה-2025")</f>
        <v>3507</v>
      </c>
      <c r="E1643" t="s">
        <v>3507</v>
      </c>
      <c r="F1643" t="s">
        <v>3508</v>
      </c>
      <c r="G1643" t="s">
        <v>14</v>
      </c>
      <c r="H1643">
             </c>
      <c r="I1643" t="s">
        <v>14</v>
      </c>
      <c r="J1643" t="s">
        <v>141</v>
      </c>
      <c r="K1643" t="s">
        <v>14</v>
      </c>
      <c r="L1643" t="s">
        <v>20</v>
      </c>
      <c r="M1643" t="s">
        <v>3427</v>
      </c>
      <c r="N1643" t="s">
        <v>14</v>
      </c>
    </row>
    <row r="1644" x14ac:dyDescent="0.25">
      <c r="A1644" t="n">
        <v>25</v>
      </c>
      <c r="B1644" t="s">
        <v>14</v>
      </c>
      <c r="C1644" t="s">
        <v>22</v>
      </c>
      <c r="D1644" s="2" t="s">
        <f>=HYPERLINK("https://main.knesset.gov.il/APPS/legislation/main/bills/2230442", "הצעת חוק החלת המשפט, השיפוט והמינהל בחבלי הארץ שבריבונות ישראל, התשפ""ה-2025")</f>
        <v>3509</v>
      </c>
      <c r="E1644" t="s">
        <v>3509</v>
      </c>
      <c r="F1644" t="s">
        <v>3510</v>
      </c>
      <c r="G1644" t="s">
        <v>14</v>
      </c>
      <c r="H1644">
             </c>
      <c r="I1644" t="s">
        <v>14</v>
      </c>
      <c r="J1644" t="s">
        <v>141</v>
      </c>
      <c r="K1644" t="s">
        <v>14</v>
      </c>
      <c r="L1644" t="s">
        <v>20</v>
      </c>
      <c r="M1644" t="s">
        <v>3427</v>
      </c>
      <c r="N1644" t="s">
        <v>14</v>
      </c>
    </row>
    <row r="1645" x14ac:dyDescent="0.25">
      <c r="A1645" t="n">
        <v>25</v>
      </c>
      <c r="B1645" t="s">
        <v>14</v>
      </c>
      <c r="C1645" t="s">
        <v>22</v>
      </c>
      <c r="D1645" s="2" t="s">
        <f>=HYPERLINK("https://main.knesset.gov.il/APPS/legislation/main/bills/2229959", "הצעת חוק האזרחות והכניסה לישראל (הוראת שעה) (תיקון - גילאים ומצב לחימה), התשפ״ה-2025")</f>
        <v>3511</v>
      </c>
      <c r="E1645" t="s">
        <v>3511</v>
      </c>
      <c r="F1645" t="s">
        <v>3512</v>
      </c>
      <c r="G1645" t="s">
        <v>14</v>
      </c>
      <c r="H1645">
             </c>
      <c r="I1645" t="s">
        <v>14</v>
      </c>
      <c r="J1645" t="s">
        <v>141</v>
      </c>
      <c r="K1645" t="s">
        <v>14</v>
      </c>
      <c r="L1645" t="s">
        <v>20</v>
      </c>
      <c r="M1645" t="s">
        <v>3427</v>
      </c>
      <c r="N1645" t="s">
        <v>14</v>
      </c>
    </row>
    <row r="1646" x14ac:dyDescent="0.25">
      <c r="A1646" t="n">
        <v>25</v>
      </c>
      <c r="B1646" t="s">
        <v>14</v>
      </c>
      <c r="C1646" t="s">
        <v>22</v>
      </c>
      <c r="D1646" s="2" t="s">
        <f>=HYPERLINK("https://main.knesset.gov.il/APPS/legislation/main/bills/2229894", "הצעת חוק הדיור המוגן (תיקון - תנאים לביצוע עבודות בנייה בבית הדיור המוגן), התשפ""ה-2025")</f>
        <v>3513</v>
      </c>
      <c r="E1646" t="s">
        <v>3513</v>
      </c>
      <c r="F1646" t="s">
        <v>3514</v>
      </c>
      <c r="G1646" t="s">
        <v>14</v>
      </c>
      <c r="H1646">
             </c>
      <c r="I1646" t="s">
        <v>14</v>
      </c>
      <c r="J1646" t="s">
        <v>141</v>
      </c>
      <c r="K1646" t="s">
        <v>14</v>
      </c>
      <c r="L1646" t="s">
        <v>20</v>
      </c>
      <c r="M1646" t="s">
        <v>3427</v>
      </c>
      <c r="N1646" t="s">
        <v>14</v>
      </c>
    </row>
    <row r="1647" x14ac:dyDescent="0.25">
      <c r="A1647" t="n">
        <v>25</v>
      </c>
      <c r="B1647" t="s">
        <v>14</v>
      </c>
      <c r="C1647" t="s">
        <v>22</v>
      </c>
      <c r="D1647" s="2" t="s">
        <f>=HYPERLINK("https://main.knesset.gov.il/APPS/legislation/main/bills/2228706", "הצעת חוק שידור חי של דיונים בבית המשפט העליון, התשפ”ה-2025")</f>
        <v>3515</v>
      </c>
      <c r="E1647" t="s">
        <v>3515</v>
      </c>
      <c r="F1647" t="s">
        <v>3516</v>
      </c>
      <c r="G1647" t="s">
        <v>14</v>
      </c>
      <c r="H1647">
             </c>
      <c r="I1647" t="s">
        <v>14</v>
      </c>
      <c r="J1647" t="s">
        <v>141</v>
      </c>
      <c r="K1647" t="s">
        <v>14</v>
      </c>
      <c r="L1647" t="s">
        <v>20</v>
      </c>
      <c r="M1647" t="s">
        <v>3427</v>
      </c>
      <c r="N1647" t="s">
        <v>14</v>
      </c>
    </row>
    <row r="1648" x14ac:dyDescent="0.25">
      <c r="A1648" t="n">
        <v>25</v>
      </c>
      <c r="B1648" t="s">
        <v>14</v>
      </c>
      <c r="C1648" t="s">
        <v>22</v>
      </c>
      <c r="D1648" s="2" t="s">
        <f>=HYPERLINK("https://main.knesset.gov.il/APPS/legislation/main/bills/2230227", "הצעת חוק העונשין (תיקון - הגנה על קטינים מפני עבירות מין), התשפ""ה-2025")</f>
        <v>3517</v>
      </c>
      <c r="E1648" t="s">
        <v>3517</v>
      </c>
      <c r="F1648" t="s">
        <v>3518</v>
      </c>
      <c r="G1648" t="s">
        <v>14</v>
      </c>
      <c r="H1648">
             </c>
      <c r="I1648" t="s">
        <v>14</v>
      </c>
      <c r="J1648" t="s">
        <v>141</v>
      </c>
      <c r="K1648" t="s">
        <v>14</v>
      </c>
      <c r="L1648" t="s">
        <v>20</v>
      </c>
      <c r="M1648" t="s">
        <v>3427</v>
      </c>
      <c r="N1648" t="s">
        <v>14</v>
      </c>
    </row>
    <row r="1649" x14ac:dyDescent="0.25">
      <c r="A1649" t="n">
        <v>25</v>
      </c>
      <c r="B1649" t="s">
        <v>14</v>
      </c>
      <c r="C1649" t="s">
        <v>22</v>
      </c>
      <c r="D1649" s="2" t="s">
        <f>=HYPERLINK("https://main.knesset.gov.il/APPS/legislation/main/bills/2229759", "הצעת חוק מסע עדות ומורשת הטבח והגבורה של אירועי 7 באוקטובר (הוראת שעה), התשפ""ה-2025")</f>
        <v>3519</v>
      </c>
      <c r="E1649" t="s">
        <v>3519</v>
      </c>
      <c r="F1649" t="s">
        <v>3520</v>
      </c>
      <c r="G1649" t="s">
        <v>14</v>
      </c>
      <c r="H1649">
             </c>
      <c r="I1649" t="s">
        <v>14</v>
      </c>
      <c r="J1649" t="s">
        <v>141</v>
      </c>
      <c r="K1649" t="s">
        <v>14</v>
      </c>
      <c r="L1649" t="s">
        <v>20</v>
      </c>
      <c r="M1649" t="s">
        <v>3427</v>
      </c>
      <c r="N1649" t="s">
        <v>14</v>
      </c>
    </row>
    <row r="1650" x14ac:dyDescent="0.25">
      <c r="A1650" t="n">
        <v>25</v>
      </c>
      <c r="B1650" t="s">
        <v>14</v>
      </c>
      <c r="C1650" t="s">
        <v>22</v>
      </c>
      <c r="D1650" s="2" t="s">
        <f>=HYPERLINK("https://main.knesset.gov.il/APPS/legislation/main/bills/2219103", "הצעת חוק שלילת תמיכות מגופי ספורט בשל קבלת תרומה מישות מדינית זרה תומכת טרור ואיסור פגיעה בכבוד סמלי המדינה באירוע ספורט (תיקוני חקיקה), התשפ""ה-2025")</f>
        <v>3521</v>
      </c>
      <c r="E1650" t="s">
        <v>3521</v>
      </c>
      <c r="F1650" t="s">
        <v>3522</v>
      </c>
      <c r="G1650" t="s">
        <v>14</v>
      </c>
      <c r="H1650">
             </c>
      <c r="I1650" t="s">
        <v>14</v>
      </c>
      <c r="J1650" t="s">
        <v>141</v>
      </c>
      <c r="K1650" t="s">
        <v>14</v>
      </c>
      <c r="L1650" t="s">
        <v>20</v>
      </c>
      <c r="M1650" t="s">
        <v>3427</v>
      </c>
      <c r="N1650" t="s">
        <v>14</v>
      </c>
    </row>
    <row r="1651" x14ac:dyDescent="0.25">
      <c r="A1651" t="n">
        <v>25</v>
      </c>
      <c r="B1651" t="s">
        <v>14</v>
      </c>
      <c r="C1651" t="s">
        <v>22</v>
      </c>
      <c r="D1651" s="2" t="s">
        <f>=HYPERLINK("https://main.knesset.gov.il/APPS/legislation/main/bills/2229582", "הצעת חוק הגנת הפרטיות (תיקון - הגדרת שירות בתי הסוהר כרשות ביטחון), התשפ""ה-2025")</f>
        <v>3523</v>
      </c>
      <c r="E1651" t="s">
        <v>3523</v>
      </c>
      <c r="F1651" t="s">
        <v>3524</v>
      </c>
      <c r="G1651" t="s">
        <v>14</v>
      </c>
      <c r="H1651">
             </c>
      <c r="I1651" t="s">
        <v>14</v>
      </c>
      <c r="J1651" t="s">
        <v>141</v>
      </c>
      <c r="K1651" t="s">
        <v>14</v>
      </c>
      <c r="L1651" t="s">
        <v>20</v>
      </c>
      <c r="M1651" t="s">
        <v>3427</v>
      </c>
      <c r="N1651" t="s">
        <v>14</v>
      </c>
    </row>
    <row r="1652" x14ac:dyDescent="0.25">
      <c r="A1652" t="n">
        <v>25</v>
      </c>
      <c r="B1652" t="s">
        <v>14</v>
      </c>
      <c r="C1652" t="s">
        <v>22</v>
      </c>
      <c r="D1652" s="2" t="s">
        <f>=HYPERLINK("https://main.knesset.gov.il/APPS/legislation/main/bills/2228779", "הצעת חוק תרומת עוברים, התשפ""ה-2025")</f>
        <v>3525</v>
      </c>
      <c r="E1652" t="s">
        <v>3525</v>
      </c>
      <c r="F1652" t="s">
        <v>3526</v>
      </c>
      <c r="G1652" t="s">
        <v>14</v>
      </c>
      <c r="H1652">
             </c>
      <c r="I1652" t="s">
        <v>14</v>
      </c>
      <c r="J1652" t="s">
        <v>141</v>
      </c>
      <c r="K1652" t="s">
        <v>14</v>
      </c>
      <c r="L1652" t="s">
        <v>20</v>
      </c>
      <c r="M1652" t="s">
        <v>3427</v>
      </c>
      <c r="N1652" t="s">
        <v>14</v>
      </c>
    </row>
    <row r="1653" x14ac:dyDescent="0.25">
      <c r="A1653" t="n">
        <v>25</v>
      </c>
      <c r="B1653" t="s">
        <v>14</v>
      </c>
      <c r="C1653" t="s">
        <v>22</v>
      </c>
      <c r="D1653" s="2" t="s">
        <f>=HYPERLINK("https://main.knesset.gov.il/APPS/legislation/main/bills/2230467", "הצעת חוק לתיקון פקודת מס הכנסה (מס נוסף על פנסיה תקציבית), התשפ""ה-2025")</f>
        <v>3527</v>
      </c>
      <c r="E1653" t="s">
        <v>3527</v>
      </c>
      <c r="F1653" t="s">
        <v>3528</v>
      </c>
      <c r="G1653" t="s">
        <v>14</v>
      </c>
      <c r="H1653">
             </c>
      <c r="I1653" t="s">
        <v>14</v>
      </c>
      <c r="J1653" t="s">
        <v>141</v>
      </c>
      <c r="K1653" t="s">
        <v>14</v>
      </c>
      <c r="L1653" t="s">
        <v>20</v>
      </c>
      <c r="M1653" t="s">
        <v>3427</v>
      </c>
      <c r="N1653" t="s">
        <v>14</v>
      </c>
    </row>
    <row r="1654" x14ac:dyDescent="0.25">
      <c r="A1654" t="n">
        <v>25</v>
      </c>
      <c r="B1654" t="s">
        <v>14</v>
      </c>
      <c r="C1654" t="s">
        <v>22</v>
      </c>
      <c r="D1654" s="2" t="s">
        <f>=HYPERLINK("https://main.knesset.gov.il/APPS/legislation/main/bills/2230224", "הצעת חוק סדר הדין הפלילי (תיקון - העברת הטיפול בהגשת כתבי אישום בעבירות גביית דמי חסות לתביעה המשטרתית), התשפ""ה-2025")</f>
        <v>3529</v>
      </c>
      <c r="E1654" t="s">
        <v>3529</v>
      </c>
      <c r="F1654" t="s">
        <v>3530</v>
      </c>
      <c r="G1654" t="s">
        <v>14</v>
      </c>
      <c r="H1654">
             </c>
      <c r="I1654" t="s">
        <v>14</v>
      </c>
      <c r="J1654" t="s">
        <v>141</v>
      </c>
      <c r="K1654" t="s">
        <v>14</v>
      </c>
      <c r="L1654" t="s">
        <v>20</v>
      </c>
      <c r="M1654" t="s">
        <v>3427</v>
      </c>
      <c r="N1654" t="s">
        <v>14</v>
      </c>
    </row>
    <row r="1655" x14ac:dyDescent="0.25">
      <c r="A1655" t="n">
        <v>25</v>
      </c>
      <c r="B1655" t="s">
        <v>14</v>
      </c>
      <c r="C1655" t="s">
        <v>22</v>
      </c>
      <c r="D1655" s="2" t="s">
        <f>=HYPERLINK("https://main.knesset.gov.il/APPS/legislation/main/bills/2229643", "הצעת חוק איסור הונאה בכשרות (תיקון - כשרות בלבד ובית אוכל הפתוח בשבת), התשפ""ה-2025")</f>
        <v>3531</v>
      </c>
      <c r="E1655" t="s">
        <v>3531</v>
      </c>
      <c r="F1655" t="s">
        <v>3532</v>
      </c>
      <c r="G1655" t="s">
        <v>14</v>
      </c>
      <c r="H1655">
             </c>
      <c r="I1655" t="s">
        <v>14</v>
      </c>
      <c r="J1655" t="s">
        <v>141</v>
      </c>
      <c r="K1655" t="s">
        <v>14</v>
      </c>
      <c r="L1655" t="s">
        <v>20</v>
      </c>
      <c r="M1655" t="s">
        <v>3427</v>
      </c>
      <c r="N1655" t="s">
        <v>14</v>
      </c>
    </row>
    <row r="1656" x14ac:dyDescent="0.25">
      <c r="A1656" t="n">
        <v>25</v>
      </c>
      <c r="B1656" t="s">
        <v>14</v>
      </c>
      <c r="C1656" t="s">
        <v>22</v>
      </c>
      <c r="D1656" s="2" t="s">
        <f>=HYPERLINK("https://main.knesset.gov.il/APPS/legislation/main/bills/2230425", "הצעת חוק החלת הריבונות של מדינת ישראל בחבלי יהודה והשומרון, התשפ""ה-2025")</f>
        <v>2185</v>
      </c>
      <c r="E1656" t="s">
        <v>2185</v>
      </c>
      <c r="F1656" t="s">
        <v>3533</v>
      </c>
      <c r="G1656" t="s">
        <v>14</v>
      </c>
      <c r="H1656">
             </c>
      <c r="I1656" t="s">
        <v>14</v>
      </c>
      <c r="J1656" t="s">
        <v>141</v>
      </c>
      <c r="K1656" t="s">
        <v>14</v>
      </c>
      <c r="L1656" t="s">
        <v>20</v>
      </c>
      <c r="M1656" t="s">
        <v>3427</v>
      </c>
      <c r="N1656" t="s">
        <v>14</v>
      </c>
    </row>
    <row r="1657" x14ac:dyDescent="0.25">
      <c r="A1657" t="n">
        <v>25</v>
      </c>
      <c r="B1657" t="s">
        <v>14</v>
      </c>
      <c r="C1657" t="s">
        <v>22</v>
      </c>
      <c r="D1657" s="2" t="s">
        <f>=HYPERLINK("https://main.knesset.gov.il/APPS/legislation/main/bills/2228398", "הצעת חוק תגמולים לנפגעי פשיעה חמורה, התשפ""ה-2025")</f>
        <v>3534</v>
      </c>
      <c r="E1657" t="s">
        <v>3534</v>
      </c>
      <c r="F1657" t="s">
        <v>3535</v>
      </c>
      <c r="G1657" t="s">
        <v>14</v>
      </c>
      <c r="H1657">
             </c>
      <c r="I1657" t="s">
        <v>14</v>
      </c>
      <c r="J1657" t="s">
        <v>141</v>
      </c>
      <c r="K1657" t="s">
        <v>14</v>
      </c>
      <c r="L1657" t="s">
        <v>20</v>
      </c>
      <c r="M1657" t="s">
        <v>3427</v>
      </c>
      <c r="N1657" t="s">
        <v>14</v>
      </c>
    </row>
    <row r="1658" x14ac:dyDescent="0.25">
      <c r="A1658" t="n">
        <v>25</v>
      </c>
      <c r="B1658" t="s">
        <v>14</v>
      </c>
      <c r="C1658" t="s">
        <v>22</v>
      </c>
      <c r="D1658" s="2" t="s">
        <f>=HYPERLINK("https://main.knesset.gov.il/APPS/legislation/main/bills/2230551", "הצעת חוק עיטור הפציעה הקרבית, התשפ""ה-2025")</f>
        <v>3536</v>
      </c>
      <c r="E1658" t="s">
        <v>3536</v>
      </c>
      <c r="F1658" t="s">
        <v>3537</v>
      </c>
      <c r="G1658" t="s">
        <v>14</v>
      </c>
      <c r="H1658">
             </c>
      <c r="I1658" t="s">
        <v>14</v>
      </c>
      <c r="J1658" t="s">
        <v>141</v>
      </c>
      <c r="K1658" t="s">
        <v>14</v>
      </c>
      <c r="L1658" t="s">
        <v>20</v>
      </c>
      <c r="M1658" t="s">
        <v>3427</v>
      </c>
      <c r="N1658" t="s">
        <v>14</v>
      </c>
    </row>
    <row r="1659" x14ac:dyDescent="0.25">
      <c r="A1659" t="n">
        <v>25</v>
      </c>
      <c r="B1659" t="s">
        <v>14</v>
      </c>
      <c r="C1659" t="s">
        <v>22</v>
      </c>
      <c r="D1659" s="2" t="s">
        <f>=HYPERLINK("https://main.knesset.gov.il/APPS/legislation/main/bills/2229997", "הצעת חוק מאבק בארגוני פשיעה (תיקון - הרחבת הנסיבה המחמירה לזיקה לארגון פשיעה), התשפ""ה-2025")</f>
        <v>3538</v>
      </c>
      <c r="E1659" t="s">
        <v>3538</v>
      </c>
      <c r="F1659" t="s">
        <v>3539</v>
      </c>
      <c r="G1659" t="s">
        <v>14</v>
      </c>
      <c r="H1659">
             </c>
      <c r="I1659" t="s">
        <v>14</v>
      </c>
      <c r="J1659" t="s">
        <v>141</v>
      </c>
      <c r="K1659" t="s">
        <v>14</v>
      </c>
      <c r="L1659" t="s">
        <v>20</v>
      </c>
      <c r="M1659" t="s">
        <v>3427</v>
      </c>
      <c r="N1659" t="s">
        <v>14</v>
      </c>
    </row>
    <row r="1660" x14ac:dyDescent="0.25">
      <c r="A1660" t="n">
        <v>25</v>
      </c>
      <c r="B1660" t="s">
        <v>14</v>
      </c>
      <c r="C1660" t="s">
        <v>22</v>
      </c>
      <c r="D1660" s="2" t="s">
        <f>=HYPERLINK("https://main.knesset.gov.il/APPS/legislation/main/bills/2229687", "הצעת חוק עסקאות גופים ציבוריים (תיקון - פסילת ספקים בשל מעורבות בפשיעה מאורגנת), התשפ""ה-2025")</f>
        <v>3540</v>
      </c>
      <c r="E1660" t="s">
        <v>3540</v>
      </c>
      <c r="F1660" t="s">
        <v>3541</v>
      </c>
      <c r="G1660" t="s">
        <v>14</v>
      </c>
      <c r="H1660">
             </c>
      <c r="I1660" t="s">
        <v>14</v>
      </c>
      <c r="J1660" t="s">
        <v>141</v>
      </c>
      <c r="K1660" t="s">
        <v>14</v>
      </c>
      <c r="L1660" t="s">
        <v>20</v>
      </c>
      <c r="M1660" t="s">
        <v>3427</v>
      </c>
      <c r="N1660" t="s">
        <v>14</v>
      </c>
    </row>
    <row r="1661" x14ac:dyDescent="0.25">
      <c r="A1661" t="n">
        <v>25</v>
      </c>
      <c r="B1661" t="s">
        <v>14</v>
      </c>
      <c r="C1661" t="s">
        <v>22</v>
      </c>
      <c r="D1661" s="2" t="s">
        <f>=HYPERLINK("https://main.knesset.gov.il/APPS/legislation/main/bills/2230150", "הצעת חוק העונשין (תיקון - איסור ביזוי המת), התשפ""ה-2025")</f>
        <v>3542</v>
      </c>
      <c r="E1661" t="s">
        <v>3542</v>
      </c>
      <c r="F1661" t="s">
        <v>3543</v>
      </c>
      <c r="G1661" t="s">
        <v>14</v>
      </c>
      <c r="H1661">
             </c>
      <c r="I1661" t="s">
        <v>14</v>
      </c>
      <c r="J1661" t="s">
        <v>141</v>
      </c>
      <c r="K1661" t="s">
        <v>14</v>
      </c>
      <c r="L1661" t="s">
        <v>20</v>
      </c>
      <c r="M1661" t="s">
        <v>3427</v>
      </c>
      <c r="N1661" t="s">
        <v>14</v>
      </c>
    </row>
    <row r="1662" x14ac:dyDescent="0.25">
      <c r="A1662" t="n">
        <v>25</v>
      </c>
      <c r="B1662" t="s">
        <v>14</v>
      </c>
      <c r="C1662" t="s">
        <v>22</v>
      </c>
      <c r="D1662" s="2" t="s">
        <f>=HYPERLINK("https://main.knesset.gov.il/APPS/legislation/main/bills/2230554", "הצעת חוק הביטוח הלאומי (תיקון - תשלום דמי קבורה בעת קבורת נפטר שלא לפי מקום מושבו), התשפ""ה-2025")</f>
        <v>3544</v>
      </c>
      <c r="E1662" t="s">
        <v>3544</v>
      </c>
      <c r="F1662" t="s">
        <v>3545</v>
      </c>
      <c r="G1662" t="s">
        <v>14</v>
      </c>
      <c r="H1662">
             </c>
      <c r="I1662" t="s">
        <v>14</v>
      </c>
      <c r="J1662" t="s">
        <v>141</v>
      </c>
      <c r="K1662" t="s">
        <v>14</v>
      </c>
      <c r="L1662" t="s">
        <v>20</v>
      </c>
      <c r="M1662" t="s">
        <v>3427</v>
      </c>
      <c r="N1662" t="s">
        <v>14</v>
      </c>
    </row>
    <row r="1663" x14ac:dyDescent="0.25">
      <c r="A1663" t="n">
        <v>25</v>
      </c>
      <c r="B1663" t="s">
        <v>14</v>
      </c>
      <c r="C1663" t="s">
        <v>22</v>
      </c>
      <c r="D1663" s="2" t="s">
        <f>=HYPERLINK("https://main.knesset.gov.il/APPS/legislation/main/bills/2228879", "הצעת חוק הדואר (תיקון - אישור שימוש בשם בנק הדואר), התשפ""ה-2025")</f>
        <v>3546</v>
      </c>
      <c r="E1663" t="s">
        <v>3546</v>
      </c>
      <c r="F1663" t="s">
        <v>3547</v>
      </c>
      <c r="G1663" t="s">
        <v>14</v>
      </c>
      <c r="H1663">
             </c>
      <c r="I1663" t="s">
        <v>14</v>
      </c>
      <c r="J1663" t="s">
        <v>141</v>
      </c>
      <c r="K1663" t="s">
        <v>14</v>
      </c>
      <c r="L1663" t="s">
        <v>20</v>
      </c>
      <c r="M1663" t="s">
        <v>3427</v>
      </c>
      <c r="N1663" t="s">
        <v>14</v>
      </c>
    </row>
    <row r="1664" x14ac:dyDescent="0.25">
      <c r="A1664" t="n">
        <v>25</v>
      </c>
      <c r="B1664" t="s">
        <v>14</v>
      </c>
      <c r="C1664" t="s">
        <v>22</v>
      </c>
      <c r="D1664" s="2" t="s">
        <f>=HYPERLINK("https://main.knesset.gov.il/APPS/legislation/main/bills/2229743", "הצעת חוק קידום הביטחון התזונתי בישראל, התשפ""ה-2025 ")</f>
        <v>3548</v>
      </c>
      <c r="E1664" t="s">
        <v>3548</v>
      </c>
      <c r="F1664" t="s">
        <v>3549</v>
      </c>
      <c r="G1664" t="s">
        <v>14</v>
      </c>
      <c r="H1664">
             </c>
      <c r="I1664" t="s">
        <v>14</v>
      </c>
      <c r="J1664" t="s">
        <v>141</v>
      </c>
      <c r="K1664" t="s">
        <v>14</v>
      </c>
      <c r="L1664" t="s">
        <v>20</v>
      </c>
      <c r="M1664" t="s">
        <v>3427</v>
      </c>
      <c r="N1664" t="s">
        <v>14</v>
      </c>
    </row>
    <row r="1665" x14ac:dyDescent="0.25">
      <c r="A1665" t="n">
        <v>25</v>
      </c>
      <c r="B1665" t="s">
        <v>14</v>
      </c>
      <c r="C1665" t="s">
        <v>22</v>
      </c>
      <c r="D1665" s="2" t="s">
        <f>=HYPERLINK("https://main.knesset.gov.il/APPS/legislation/main/bills/2230356", "הצעת חוק השיפוט הצבאי (תיקון - בדיקה או חקירה לפני העמדה לדין בעת לחימה), התשפ""ה-2025")</f>
        <v>3550</v>
      </c>
      <c r="E1665" t="s">
        <v>3550</v>
      </c>
      <c r="F1665" t="s">
        <v>3551</v>
      </c>
      <c r="G1665" t="s">
        <v>14</v>
      </c>
      <c r="H1665">
             </c>
      <c r="I1665" t="s">
        <v>14</v>
      </c>
      <c r="J1665" t="s">
        <v>141</v>
      </c>
      <c r="K1665" t="s">
        <v>14</v>
      </c>
      <c r="L1665" t="s">
        <v>20</v>
      </c>
      <c r="M1665" t="s">
        <v>3427</v>
      </c>
      <c r="N1665" t="s">
        <v>14</v>
      </c>
    </row>
    <row r="1666" x14ac:dyDescent="0.25">
      <c r="A1666" t="n">
        <v>25</v>
      </c>
      <c r="B1666" t="s">
        <v>14</v>
      </c>
      <c r="C1666" t="s">
        <v>22</v>
      </c>
      <c r="D1666" s="2" t="s">
        <f>=HYPERLINK("https://main.knesset.gov.il/APPS/legislation/main/bills/2230044", "הצעת חוק הפסקת שידורי גלי צה""ל, התשפ""ה-2025 ")</f>
        <v>3552</v>
      </c>
      <c r="E1666" t="s">
        <v>3552</v>
      </c>
      <c r="F1666" t="s">
        <v>3553</v>
      </c>
      <c r="G1666" t="s">
        <v>14</v>
      </c>
      <c r="H1666">
             </c>
      <c r="I1666" t="s">
        <v>14</v>
      </c>
      <c r="J1666" t="s">
        <v>141</v>
      </c>
      <c r="K1666" t="s">
        <v>14</v>
      </c>
      <c r="L1666" t="s">
        <v>20</v>
      </c>
      <c r="M1666" t="s">
        <v>3427</v>
      </c>
      <c r="N1666" t="s">
        <v>14</v>
      </c>
    </row>
    <row r="1667" x14ac:dyDescent="0.25">
      <c r="A1667" t="n">
        <v>25</v>
      </c>
      <c r="B1667" t="s">
        <v>14</v>
      </c>
      <c r="C1667" t="s">
        <v>22</v>
      </c>
      <c r="D1667" s="2" t="s">
        <f>=HYPERLINK("https://main.knesset.gov.il/APPS/legislation/main/bills/2229738", "הצעת חוק התחרות הכלכלית (תיקון - שינוי דרך מינוי הממונה על התחרות וקביעת תקופת צינון), התשפ""ה-2025")</f>
        <v>3554</v>
      </c>
      <c r="E1667" t="s">
        <v>3554</v>
      </c>
      <c r="F1667" t="s">
        <v>3555</v>
      </c>
      <c r="G1667" t="s">
        <v>14</v>
      </c>
      <c r="H1667">
             </c>
      <c r="I1667" t="s">
        <v>14</v>
      </c>
      <c r="J1667" t="s">
        <v>141</v>
      </c>
      <c r="K1667" t="s">
        <v>14</v>
      </c>
      <c r="L1667" t="s">
        <v>20</v>
      </c>
      <c r="M1667" t="s">
        <v>3427</v>
      </c>
      <c r="N1667" t="s">
        <v>14</v>
      </c>
    </row>
    <row r="1668" x14ac:dyDescent="0.25">
      <c r="A1668" t="n">
        <v>25</v>
      </c>
      <c r="B1668" t="s">
        <v>14</v>
      </c>
      <c r="C1668" t="s">
        <v>22</v>
      </c>
      <c r="D1668" s="2" t="s">
        <f>=HYPERLINK("https://main.knesset.gov.il/APPS/legislation/main/bills/2230440", "הצעת חוק הליכי שפיטה וייצוג של נוער (תיקוני חקיקה), התשפ""ה-2025")</f>
        <v>1626</v>
      </c>
      <c r="E1668" t="s">
        <v>1626</v>
      </c>
      <c r="F1668" t="s">
        <v>3556</v>
      </c>
      <c r="G1668" t="s">
        <v>14</v>
      </c>
      <c r="H1668">
             </c>
      <c r="I1668" t="s">
        <v>14</v>
      </c>
      <c r="J1668" t="s">
        <v>141</v>
      </c>
      <c r="K1668" t="s">
        <v>14</v>
      </c>
      <c r="L1668" t="s">
        <v>20</v>
      </c>
      <c r="M1668" t="s">
        <v>3427</v>
      </c>
      <c r="N1668" t="s">
        <v>14</v>
      </c>
    </row>
    <row r="1669" x14ac:dyDescent="0.25">
      <c r="A1669" t="n">
        <v>25</v>
      </c>
      <c r="B1669" t="s">
        <v>14</v>
      </c>
      <c r="C1669" t="s">
        <v>22</v>
      </c>
      <c r="D1669" s="2" t="s">
        <f>=HYPERLINK("https://main.knesset.gov.il/APPS/legislation/main/bills/2228070", "הצעת חוק שירות המדינה (מינויים) (תיקון - הפסקת כהונת היועץ המשפטי לממשלה), התשפ""ה-2025")</f>
        <v>3557</v>
      </c>
      <c r="E1669" t="s">
        <v>3557</v>
      </c>
      <c r="F1669" t="s">
        <v>3558</v>
      </c>
      <c r="G1669" t="s">
        <v>14</v>
      </c>
      <c r="H1669">
             </c>
      <c r="I1669" t="s">
        <v>14</v>
      </c>
      <c r="J1669" t="s">
        <v>141</v>
      </c>
      <c r="K1669" t="s">
        <v>14</v>
      </c>
      <c r="L1669" t="s">
        <v>20</v>
      </c>
      <c r="M1669" t="s">
        <v>3427</v>
      </c>
      <c r="N1669" t="s">
        <v>14</v>
      </c>
    </row>
    <row r="1670" x14ac:dyDescent="0.25">
      <c r="A1670" t="n">
        <v>25</v>
      </c>
      <c r="B1670" t="s">
        <v>14</v>
      </c>
      <c r="C1670" t="s">
        <v>22</v>
      </c>
      <c r="D1670" s="2" t="s">
        <f>=HYPERLINK("https://main.knesset.gov.il/APPS/legislation/main/bills/2229421", "הצעת חוק פיצויים לבעלי עסקים נפגעי עבודות תשתית מתמשכות, התשפ""ה-2025")</f>
        <v>3559</v>
      </c>
      <c r="E1670" t="s">
        <v>3559</v>
      </c>
      <c r="F1670" t="s">
        <v>3560</v>
      </c>
      <c r="G1670" t="s">
        <v>14</v>
      </c>
      <c r="H1670">
             </c>
      <c r="I1670" t="s">
        <v>14</v>
      </c>
      <c r="J1670" t="s">
        <v>141</v>
      </c>
      <c r="K1670" t="s">
        <v>14</v>
      </c>
      <c r="L1670" t="s">
        <v>20</v>
      </c>
      <c r="M1670" t="s">
        <v>3427</v>
      </c>
      <c r="N1670" t="s">
        <v>14</v>
      </c>
    </row>
    <row r="1671" x14ac:dyDescent="0.25">
      <c r="A1671" t="n">
        <v>25</v>
      </c>
      <c r="B1671" t="s">
        <v>14</v>
      </c>
      <c r="C1671" t="s">
        <v>22</v>
      </c>
      <c r="D1671" s="2" t="s">
        <f>=HYPERLINK("https://main.knesset.gov.il/APPS/legislation/main/bills/2230446", "הצעת חוק חיפוש במקום שהוכרז כאזור מועד לפשיעה אלימה (תיקוני חקיקה), התשפ""ה-2025")</f>
        <v>3158</v>
      </c>
      <c r="E1671" t="s">
        <v>3158</v>
      </c>
      <c r="F1671" t="s">
        <v>3561</v>
      </c>
      <c r="G1671" t="s">
        <v>14</v>
      </c>
      <c r="H1671">
             </c>
      <c r="I1671" t="s">
        <v>14</v>
      </c>
      <c r="J1671" t="s">
        <v>141</v>
      </c>
      <c r="K1671" t="s">
        <v>14</v>
      </c>
      <c r="L1671" t="s">
        <v>20</v>
      </c>
      <c r="M1671" t="s">
        <v>3427</v>
      </c>
      <c r="N1671" t="s">
        <v>14</v>
      </c>
    </row>
    <row r="1672" x14ac:dyDescent="0.25">
      <c r="A1672" t="n">
        <v>25</v>
      </c>
      <c r="B1672" t="s">
        <v>14</v>
      </c>
      <c r="C1672" t="s">
        <v>22</v>
      </c>
      <c r="D1672" s="2" t="s">
        <f>=HYPERLINK("https://main.knesset.gov.il/APPS/legislation/main/bills/2226649", "הצעת חוק הסדרת הטיפול בחופי הכנרת (תיקון - הפרדת איגוד ערים כנרת מרשות ניקוז ונחלים כנרת), התשפ""ה-2025")</f>
        <v>3562</v>
      </c>
      <c r="E1672" t="s">
        <v>3562</v>
      </c>
      <c r="F1672" t="s">
        <v>3563</v>
      </c>
      <c r="G1672" t="s">
        <v>14</v>
      </c>
      <c r="H1672">
             </c>
      <c r="I1672" t="s">
        <v>14</v>
      </c>
      <c r="J1672" t="s">
        <v>141</v>
      </c>
      <c r="K1672" t="s">
        <v>14</v>
      </c>
      <c r="L1672" t="s">
        <v>20</v>
      </c>
      <c r="M1672" t="s">
        <v>3427</v>
      </c>
      <c r="N1672" t="s">
        <v>14</v>
      </c>
    </row>
    <row r="1673" x14ac:dyDescent="0.25">
      <c r="A1673" t="n">
        <v>25</v>
      </c>
      <c r="B1673" t="s">
        <v>14</v>
      </c>
      <c r="C1673" t="s">
        <v>22</v>
      </c>
      <c r="D1673" s="2" t="s">
        <f>=HYPERLINK("https://main.knesset.gov.il/APPS/legislation/main/bills/2230393", "הצעת חוק חדלות פירעון ושיקום כלכלי (תיקון - העלאת סף החובות לניהול הליך ברשות האכיפה והגבייה), התשפ""ה-2025")</f>
        <v>3564</v>
      </c>
      <c r="E1673" t="s">
        <v>3564</v>
      </c>
      <c r="F1673" t="s">
        <v>3565</v>
      </c>
      <c r="G1673" t="s">
        <v>14</v>
      </c>
      <c r="H1673">
             </c>
      <c r="I1673" t="s">
        <v>14</v>
      </c>
      <c r="J1673" t="s">
        <v>141</v>
      </c>
      <c r="K1673" t="s">
        <v>14</v>
      </c>
      <c r="L1673" t="s">
        <v>20</v>
      </c>
      <c r="M1673" t="s">
        <v>3427</v>
      </c>
      <c r="N1673" t="s">
        <v>14</v>
      </c>
    </row>
    <row r="1674" x14ac:dyDescent="0.25">
      <c r="A1674" t="n">
        <v>25</v>
      </c>
      <c r="B1674" t="s">
        <v>14</v>
      </c>
      <c r="C1674" t="s">
        <v>22</v>
      </c>
      <c r="D1674" s="2" t="s">
        <f>=HYPERLINK("https://main.knesset.gov.il/APPS/legislation/main/bills/2230156", "הצעת חוק משפחות חיילים שנספו במערכה (תגמולים ושיקום) (תיקון - הרחבת הסיוע של התערבות לרווחה רגשית), התשפ""ה-2025")</f>
        <v>3566</v>
      </c>
      <c r="E1674" t="s">
        <v>3566</v>
      </c>
      <c r="F1674" t="s">
        <v>3567</v>
      </c>
      <c r="G1674" t="s">
        <v>14</v>
      </c>
      <c r="H1674">
             </c>
      <c r="I1674" t="s">
        <v>14</v>
      </c>
      <c r="J1674" t="s">
        <v>141</v>
      </c>
      <c r="K1674" t="s">
        <v>14</v>
      </c>
      <c r="L1674" t="s">
        <v>20</v>
      </c>
      <c r="M1674" t="s">
        <v>3427</v>
      </c>
      <c r="N1674" t="s">
        <v>14</v>
      </c>
    </row>
    <row r="1675" x14ac:dyDescent="0.25">
      <c r="A1675" t="n">
        <v>25</v>
      </c>
      <c r="B1675" t="s">
        <v>14</v>
      </c>
      <c r="C1675" t="s">
        <v>22</v>
      </c>
      <c r="D1675" s="2" t="s">
        <f>=HYPERLINK("https://main.knesset.gov.il/APPS/legislation/main/bills/2230236", "הצעת חוק העונשין (תיקון - היזק בזדון לכלי עבודה), התשפ""ה-2025")</f>
        <v>3568</v>
      </c>
      <c r="E1675" t="s">
        <v>3568</v>
      </c>
      <c r="F1675" t="s">
        <v>3569</v>
      </c>
      <c r="G1675" t="s">
        <v>14</v>
      </c>
      <c r="H1675">
             </c>
      <c r="I1675" t="s">
        <v>14</v>
      </c>
      <c r="J1675" t="s">
        <v>141</v>
      </c>
      <c r="K1675" t="s">
        <v>14</v>
      </c>
      <c r="L1675" t="s">
        <v>20</v>
      </c>
      <c r="M1675" t="s">
        <v>3427</v>
      </c>
      <c r="N1675" t="s">
        <v>14</v>
      </c>
    </row>
    <row r="1676" x14ac:dyDescent="0.25">
      <c r="A1676" t="n">
        <v>25</v>
      </c>
      <c r="B1676" t="s">
        <v>14</v>
      </c>
      <c r="C1676" t="s">
        <v>22</v>
      </c>
      <c r="D1676" s="2" t="s">
        <f>=HYPERLINK("https://main.knesset.gov.il/APPS/legislation/main/bills/2229758", "הצעת חוק הממשלה (תיקון - דיווח על מצב רפואי של חבר ועדת השרים לענייני ביטחון לאומי), התשפ""ה-2025")</f>
        <v>3570</v>
      </c>
      <c r="E1676" t="s">
        <v>3570</v>
      </c>
      <c r="F1676" t="s">
        <v>3571</v>
      </c>
      <c r="G1676" t="s">
        <v>14</v>
      </c>
      <c r="H1676">
             </c>
      <c r="I1676" t="s">
        <v>14</v>
      </c>
      <c r="J1676" t="s">
        <v>141</v>
      </c>
      <c r="K1676" t="s">
        <v>14</v>
      </c>
      <c r="L1676" t="s">
        <v>20</v>
      </c>
      <c r="M1676" t="s">
        <v>3427</v>
      </c>
      <c r="N1676" t="s">
        <v>14</v>
      </c>
    </row>
    <row r="1677" x14ac:dyDescent="0.25">
      <c r="A1677" t="n">
        <v>25</v>
      </c>
      <c r="B1677" t="s">
        <v>14</v>
      </c>
      <c r="C1677" t="s">
        <v>22</v>
      </c>
      <c r="D1677" s="2" t="s">
        <f>=HYPERLINK("https://main.knesset.gov.il/APPS/legislation/main/bills/2229702", "הצעת חוק אוויר נקי (תיקון - איסור שימוש בתנורים המוסקים בדלק מוצק), התשפ""ה-2025")</f>
        <v>3383</v>
      </c>
      <c r="E1677" t="s">
        <v>3383</v>
      </c>
      <c r="F1677" t="s">
        <v>3572</v>
      </c>
      <c r="G1677" t="s">
        <v>14</v>
      </c>
      <c r="H1677">
             </c>
      <c r="I1677" t="s">
        <v>14</v>
      </c>
      <c r="J1677" t="s">
        <v>141</v>
      </c>
      <c r="K1677" t="s">
        <v>14</v>
      </c>
      <c r="L1677" t="s">
        <v>20</v>
      </c>
      <c r="M1677" t="s">
        <v>3427</v>
      </c>
      <c r="N1677" t="s">
        <v>14</v>
      </c>
    </row>
    <row r="1678" x14ac:dyDescent="0.25">
      <c r="A1678" t="n">
        <v>25</v>
      </c>
      <c r="B1678" t="s">
        <v>14</v>
      </c>
      <c r="C1678" t="s">
        <v>22</v>
      </c>
      <c r="D1678" s="2" t="s">
        <f>=HYPERLINK("https://main.knesset.gov.il/APPS/legislation/main/bills/2229608", "הצעת חוק שעות עבודה ומנוחה (תיקון - קיצור יום עבודה בחודש הרמדאן), התשפ""ה-2025")</f>
        <v>3573</v>
      </c>
      <c r="E1678" t="s">
        <v>3573</v>
      </c>
      <c r="F1678" t="s">
        <v>3574</v>
      </c>
      <c r="G1678" t="s">
        <v>14</v>
      </c>
      <c r="H1678">
             </c>
      <c r="I1678" t="s">
        <v>14</v>
      </c>
      <c r="J1678" t="s">
        <v>141</v>
      </c>
      <c r="K1678" t="s">
        <v>14</v>
      </c>
      <c r="L1678" t="s">
        <v>20</v>
      </c>
      <c r="M1678" t="s">
        <v>3427</v>
      </c>
      <c r="N1678" t="s">
        <v>14</v>
      </c>
    </row>
    <row r="1679" x14ac:dyDescent="0.25">
      <c r="A1679" t="n">
        <v>25</v>
      </c>
      <c r="B1679" t="s">
        <v>14</v>
      </c>
      <c r="C1679" t="s">
        <v>22</v>
      </c>
      <c r="D1679" s="2" t="s">
        <f>=HYPERLINK("https://main.knesset.gov.il/APPS/legislation/main/bills/2227410", "הצעת חוק לתיקון פקודת הרוקחים (רכישת תרופות על ידי קטין מגיל 15), התשפ""ה-2025")</f>
        <v>2738</v>
      </c>
      <c r="E1679" t="s">
        <v>2738</v>
      </c>
      <c r="F1679" t="s">
        <v>3575</v>
      </c>
      <c r="G1679" t="s">
        <v>14</v>
      </c>
      <c r="H1679">
             </c>
      <c r="I1679" t="s">
        <v>14</v>
      </c>
      <c r="J1679" t="s">
        <v>141</v>
      </c>
      <c r="K1679" t="s">
        <v>14</v>
      </c>
      <c r="L1679" t="s">
        <v>20</v>
      </c>
      <c r="M1679" t="s">
        <v>3427</v>
      </c>
      <c r="N1679" t="s">
        <v>14</v>
      </c>
    </row>
    <row r="1680" x14ac:dyDescent="0.25">
      <c r="A1680" t="n">
        <v>25</v>
      </c>
      <c r="B1680" t="s">
        <v>14</v>
      </c>
      <c r="C1680" t="s">
        <v>22</v>
      </c>
      <c r="D1680" s="2" t="s">
        <f>=HYPERLINK("https://main.knesset.gov.il/APPS/legislation/main/bills/2230023", "הצעת חוק נכי רדיפות הנאצים (תיקון - קביעת אחוזי נכות מינימליים), התשפ""ה-2025")</f>
        <v>3576</v>
      </c>
      <c r="E1680" t="s">
        <v>3576</v>
      </c>
      <c r="F1680" t="s">
        <v>3577</v>
      </c>
      <c r="G1680" t="s">
        <v>14</v>
      </c>
      <c r="H1680">
             </c>
      <c r="I1680" t="s">
        <v>14</v>
      </c>
      <c r="J1680" t="s">
        <v>141</v>
      </c>
      <c r="K1680" t="s">
        <v>14</v>
      </c>
      <c r="L1680" t="s">
        <v>20</v>
      </c>
      <c r="M1680" t="s">
        <v>3427</v>
      </c>
      <c r="N1680" t="s">
        <v>14</v>
      </c>
    </row>
    <row r="1681" x14ac:dyDescent="0.25">
      <c r="A1681" t="n">
        <v>25</v>
      </c>
      <c r="B1681" t="s">
        <v>14</v>
      </c>
      <c r="C1681" t="s">
        <v>22</v>
      </c>
      <c r="D1681" s="2" t="s">
        <f>=HYPERLINK("https://main.knesset.gov.il/APPS/legislation/main/bills/2229189", "הצעת חוק הביטוח הלאומי (תיקון - תשלום גמלת סיעוד לרווק או אלמן שהגיע לגיל 75), התשפ""ה-2025")</f>
        <v>3578</v>
      </c>
      <c r="E1681" t="s">
        <v>3578</v>
      </c>
      <c r="F1681" t="s">
        <v>3579</v>
      </c>
      <c r="G1681" t="s">
        <v>14</v>
      </c>
      <c r="H1681">
             </c>
      <c r="I1681" t="s">
        <v>14</v>
      </c>
      <c r="J1681" t="s">
        <v>141</v>
      </c>
      <c r="K1681" t="s">
        <v>14</v>
      </c>
      <c r="L1681" t="s">
        <v>20</v>
      </c>
      <c r="M1681" t="s">
        <v>3427</v>
      </c>
      <c r="N1681" t="s">
        <v>14</v>
      </c>
    </row>
    <row r="1682" x14ac:dyDescent="0.25">
      <c r="A1682" t="n">
        <v>25</v>
      </c>
      <c r="B1682" t="s">
        <v>14</v>
      </c>
      <c r="C1682" t="s">
        <v>22</v>
      </c>
      <c r="D1682" s="2" t="s">
        <f>=HYPERLINK("https://main.knesset.gov.il/APPS/legislation/main/bills/2229312", "הצעת חוק לימוד חובה (תיקון - חינוך חינם לגיל הרך), התשפ""ה-2025")</f>
        <v>3580</v>
      </c>
      <c r="E1682" t="s">
        <v>3580</v>
      </c>
      <c r="F1682" t="s">
        <v>3581</v>
      </c>
      <c r="G1682" t="s">
        <v>14</v>
      </c>
      <c r="H1682">
             </c>
      <c r="I1682" t="s">
        <v>14</v>
      </c>
      <c r="J1682" t="s">
        <v>141</v>
      </c>
      <c r="K1682" t="s">
        <v>14</v>
      </c>
      <c r="L1682" t="s">
        <v>20</v>
      </c>
      <c r="M1682" t="s">
        <v>3427</v>
      </c>
      <c r="N1682" t="s">
        <v>14</v>
      </c>
    </row>
    <row r="1683" x14ac:dyDescent="0.25">
      <c r="A1683" t="n">
        <v>25</v>
      </c>
      <c r="B1683" t="s">
        <v>14</v>
      </c>
      <c r="C1683" t="s">
        <v>22</v>
      </c>
      <c r="D1683" s="2" t="s">
        <f>=HYPERLINK("https://main.knesset.gov.il/APPS/legislation/main/bills/2229813", "הצעת חוק מס קנייה (טובין ושירותים) (תיקון - מס קצוב על טבק ומוצריו), התשפ""ה-2025")</f>
        <v>3582</v>
      </c>
      <c r="E1683" t="s">
        <v>3582</v>
      </c>
      <c r="F1683" t="s">
        <v>3583</v>
      </c>
      <c r="G1683" t="s">
        <v>14</v>
      </c>
      <c r="H1683">
             </c>
      <c r="I1683" t="s">
        <v>14</v>
      </c>
      <c r="J1683" t="s">
        <v>141</v>
      </c>
      <c r="K1683" t="s">
        <v>14</v>
      </c>
      <c r="L1683" t="s">
        <v>20</v>
      </c>
      <c r="M1683" t="s">
        <v>3427</v>
      </c>
      <c r="N1683" t="s">
        <v>14</v>
      </c>
    </row>
    <row r="1684" x14ac:dyDescent="0.25">
      <c r="A1684" t="n">
        <v>25</v>
      </c>
      <c r="B1684" t="s">
        <v>14</v>
      </c>
      <c r="C1684" t="s">
        <v>22</v>
      </c>
      <c r="D1684" s="2" t="s">
        <f>=HYPERLINK("https://main.knesset.gov.il/APPS/legislation/main/bills/2230423", "הצעת חוק הביטוח הלאומי (תיקון - עבודה בגן ילדים כעבודה מועדפת), התשפ""ה-2025")</f>
        <v>3584</v>
      </c>
      <c r="E1684" t="s">
        <v>3584</v>
      </c>
      <c r="F1684" t="s">
        <v>3585</v>
      </c>
      <c r="G1684" t="s">
        <v>14</v>
      </c>
      <c r="H1684">
             </c>
      <c r="I1684" t="s">
        <v>14</v>
      </c>
      <c r="J1684" t="s">
        <v>141</v>
      </c>
      <c r="K1684" t="s">
        <v>14</v>
      </c>
      <c r="L1684" t="s">
        <v>20</v>
      </c>
      <c r="M1684" t="s">
        <v>3427</v>
      </c>
      <c r="N1684" t="s">
        <v>14</v>
      </c>
    </row>
    <row r="1685" x14ac:dyDescent="0.25">
      <c r="A1685" t="n">
        <v>25</v>
      </c>
      <c r="B1685" t="s">
        <v>14</v>
      </c>
      <c r="C1685" t="s">
        <v>22</v>
      </c>
      <c r="D1685" s="2" t="s">
        <f>=HYPERLINK("https://main.knesset.gov.il/APPS/legislation/main/bills/2230436", "הצעת חוק לתיקון פקודת התעבורה (חובת הפעלת קווי תחבורה ציבורית ישירים לבתי חולים), התשפ""ה-2025")</f>
        <v>3586</v>
      </c>
      <c r="E1685" t="s">
        <v>3586</v>
      </c>
      <c r="F1685" t="s">
        <v>3587</v>
      </c>
      <c r="G1685" t="s">
        <v>14</v>
      </c>
      <c r="H1685">
             </c>
      <c r="I1685" t="s">
        <v>14</v>
      </c>
      <c r="J1685" t="s">
        <v>141</v>
      </c>
      <c r="K1685" t="s">
        <v>14</v>
      </c>
      <c r="L1685" t="s">
        <v>20</v>
      </c>
      <c r="M1685" t="s">
        <v>3427</v>
      </c>
      <c r="N1685" t="s">
        <v>14</v>
      </c>
    </row>
    <row r="1686" x14ac:dyDescent="0.25">
      <c r="A1686" t="n">
        <v>25</v>
      </c>
      <c r="B1686" t="s">
        <v>14</v>
      </c>
      <c r="C1686" t="s">
        <v>22</v>
      </c>
      <c r="D1686" s="2" t="s">
        <f>=HYPERLINK("https://main.knesset.gov.il/APPS/legislation/main/bills/2230300", "הצעת חוק העונשין (תיקון - עבירות זיוף עמוק), התשפ""ה-2025")</f>
        <v>3588</v>
      </c>
      <c r="E1686" t="s">
        <v>3588</v>
      </c>
      <c r="F1686" t="s">
        <v>3589</v>
      </c>
      <c r="G1686" t="s">
        <v>14</v>
      </c>
      <c r="H1686">
             </c>
      <c r="I1686" t="s">
        <v>14</v>
      </c>
      <c r="J1686" t="s">
        <v>141</v>
      </c>
      <c r="K1686" t="s">
        <v>14</v>
      </c>
      <c r="L1686" t="s">
        <v>20</v>
      </c>
      <c r="M1686" t="s">
        <v>3427</v>
      </c>
      <c r="N1686" t="s">
        <v>14</v>
      </c>
    </row>
    <row r="1687" x14ac:dyDescent="0.25">
      <c r="A1687" t="n">
        <v>25</v>
      </c>
      <c r="B1687" t="s">
        <v>14</v>
      </c>
      <c r="C1687" t="s">
        <v>22</v>
      </c>
      <c r="D1687" s="2" t="s">
        <f>=HYPERLINK("https://main.knesset.gov.il/APPS/legislation/main/bills/2229834", "הצעת חוק דמי מחלה (היעדרות בשל מחלת בן זוג) (תיקון - הרחבת הזכאויות), התשפ""ה-2025")</f>
        <v>3590</v>
      </c>
      <c r="E1687" t="s">
        <v>3590</v>
      </c>
      <c r="F1687" t="s">
        <v>3591</v>
      </c>
      <c r="G1687" t="s">
        <v>14</v>
      </c>
      <c r="H1687">
             </c>
      <c r="I1687" t="s">
        <v>14</v>
      </c>
      <c r="J1687" t="s">
        <v>141</v>
      </c>
      <c r="K1687" t="s">
        <v>14</v>
      </c>
      <c r="L1687" t="s">
        <v>20</v>
      </c>
      <c r="M1687" t="s">
        <v>3427</v>
      </c>
      <c r="N1687" t="s">
        <v>14</v>
      </c>
    </row>
    <row r="1688" x14ac:dyDescent="0.25">
      <c r="A1688" t="n">
        <v>25</v>
      </c>
      <c r="B1688" t="s">
        <v>14</v>
      </c>
      <c r="C1688" t="s">
        <v>22</v>
      </c>
      <c r="D1688" s="2" t="s">
        <f>=HYPERLINK("https://main.knesset.gov.il/APPS/legislation/main/bills/2221381", "הצעת חוק לתיקון פקודת הרוקחים (סימון אזהרה על שמן שיזוף), התשפ""ה-2025 ")</f>
        <v>3592</v>
      </c>
      <c r="E1688" t="s">
        <v>3592</v>
      </c>
      <c r="F1688" t="s">
        <v>3593</v>
      </c>
      <c r="G1688" t="s">
        <v>14</v>
      </c>
      <c r="H1688">
             </c>
      <c r="I1688" t="s">
        <v>14</v>
      </c>
      <c r="J1688" t="s">
        <v>141</v>
      </c>
      <c r="K1688" t="s">
        <v>14</v>
      </c>
      <c r="L1688" t="s">
        <v>20</v>
      </c>
      <c r="M1688" t="s">
        <v>3427</v>
      </c>
      <c r="N1688" t="s">
        <v>14</v>
      </c>
    </row>
    <row r="1689" x14ac:dyDescent="0.25">
      <c r="A1689" t="n">
        <v>25</v>
      </c>
      <c r="B1689" t="s">
        <v>14</v>
      </c>
      <c r="C1689" t="s">
        <v>22</v>
      </c>
      <c r="D1689" s="2" t="s">
        <f>=HYPERLINK("https://main.knesset.gov.il/APPS/legislation/main/bills/2229632", "הצעת חוק מרשם האוכלוסין (תיקון - הוספת צו הורות לרשימת מסירת העתקים של פסקי דין והצהרות), התשפ""ה-2025")</f>
        <v>3594</v>
      </c>
      <c r="E1689" t="s">
        <v>3594</v>
      </c>
      <c r="F1689" t="s">
        <v>3595</v>
      </c>
      <c r="G1689" t="s">
        <v>14</v>
      </c>
      <c r="H1689">
             </c>
      <c r="I1689" t="s">
        <v>14</v>
      </c>
      <c r="J1689" t="s">
        <v>141</v>
      </c>
      <c r="K1689" t="s">
        <v>14</v>
      </c>
      <c r="L1689" t="s">
        <v>20</v>
      </c>
      <c r="M1689" t="s">
        <v>3427</v>
      </c>
      <c r="N1689" t="s">
        <v>14</v>
      </c>
    </row>
    <row r="1690" x14ac:dyDescent="0.25">
      <c r="A1690" t="n">
        <v>25</v>
      </c>
      <c r="B1690" t="s">
        <v>14</v>
      </c>
      <c r="C1690" t="s">
        <v>22</v>
      </c>
      <c r="D1690" s="2" t="s">
        <f>=HYPERLINK("https://main.knesset.gov.il/APPS/legislation/main/bills/2229613", "הצעת חוק סיוע לתושבי הצפון שלא פונו מבתיהם (תיקוני חקיקה), התשפ""ה-2025")</f>
        <v>3596</v>
      </c>
      <c r="E1690" t="s">
        <v>3596</v>
      </c>
      <c r="F1690" t="s">
        <v>3597</v>
      </c>
      <c r="G1690" t="s">
        <v>14</v>
      </c>
      <c r="H1690">
             </c>
      <c r="I1690" t="s">
        <v>14</v>
      </c>
      <c r="J1690" t="s">
        <v>141</v>
      </c>
      <c r="K1690" t="s">
        <v>14</v>
      </c>
      <c r="L1690" t="s">
        <v>20</v>
      </c>
      <c r="M1690" t="s">
        <v>3427</v>
      </c>
      <c r="N1690" t="s">
        <v>14</v>
      </c>
    </row>
    <row r="1691" x14ac:dyDescent="0.25">
      <c r="A1691" t="n">
        <v>25</v>
      </c>
      <c r="B1691" t="s">
        <v>14</v>
      </c>
      <c r="C1691" t="s">
        <v>15</v>
      </c>
      <c r="D1691" s="2" t="s">
        <f>=HYPERLINK("https://main.knesset.gov.il/APPS/legislation/main/bills/2230633", "הצעת חוק לתיקון פקודת העיריות (מס' 159) (גמול והחזר הוצאות לחבר המועצה), התשפ""ה-2025 ")</f>
        <v>3598</v>
      </c>
      <c r="E1691" t="s">
        <v>3598</v>
      </c>
      <c r="F1691" t="s">
        <v>14</v>
      </c>
      <c r="G1691" t="s">
        <v>3599</v>
      </c>
      <c r="H1691">
             </c>
      <c r="I1691" t="s">
        <v>14</v>
      </c>
      <c r="J1691" t="s">
        <v>69</v>
      </c>
      <c r="K1691" t="s">
        <v>14</v>
      </c>
      <c r="L1691" t="s">
        <v>20</v>
      </c>
      <c r="M1691" t="s">
        <v>3427</v>
      </c>
      <c r="N1691" t="s">
        <v>14</v>
      </c>
    </row>
    <row r="1692" x14ac:dyDescent="0.25">
      <c r="A1692" t="n">
        <v>25</v>
      </c>
      <c r="B1692" t="s">
        <v>14</v>
      </c>
      <c r="C1692" t="s">
        <v>15</v>
      </c>
      <c r="D1692" s="2" t="s">
        <f>=HYPERLINK("https://main.knesset.gov.il/APPS/legislation/main/bills/2230634", "הצעת חוק התמודדות עם תופעת עבירות נשק (תיקוני חקיקה והוראת שעה), התשפ""ה-2025 ")</f>
        <v>3600</v>
      </c>
      <c r="E1692" t="s">
        <v>3600</v>
      </c>
      <c r="F1692" t="s">
        <v>14</v>
      </c>
      <c r="G1692" t="s">
        <v>3601</v>
      </c>
      <c r="H1692">
             </c>
      <c r="I1692" t="s">
        <v>14</v>
      </c>
      <c r="J1692" t="s">
        <v>69</v>
      </c>
      <c r="K1692" t="s">
        <v>14</v>
      </c>
      <c r="L1692" t="s">
        <v>20</v>
      </c>
      <c r="M1692" t="s">
        <v>3427</v>
      </c>
      <c r="N1692" t="s">
        <v>14</v>
      </c>
    </row>
    <row r="1693" x14ac:dyDescent="0.25">
      <c r="A1693" t="n">
        <v>25</v>
      </c>
      <c r="B1693" t="s">
        <v>14</v>
      </c>
      <c r="C1693" t="s">
        <v>20</v>
      </c>
      <c r="D1693" s="2" t="s">
        <f>=HYPERLINK("https://main.knesset.gov.il/APPS/legislation/main/bills/2201202", "חוק בתי המשפט (תיקון מס' 105), התשפ""ה-2025")</f>
        <v>3602</v>
      </c>
      <c r="E1693" t="s">
        <v>3602</v>
      </c>
      <c r="F1693" t="s">
        <v>14</v>
      </c>
      <c r="G1693" t="s">
        <v>3603</v>
      </c>
      <c r="H1693" t="n">
        <v>3389</v>
      </c>
      <c r="I1693" t="s">
        <v>14</v>
      </c>
      <c r="J1693" t="s">
        <v>91</v>
      </c>
      <c r="K1693" t="s">
        <v>27</v>
      </c>
      <c r="L1693" t="s">
        <v>20</v>
      </c>
      <c r="M1693" t="s">
        <v>3604</v>
      </c>
      <c r="N1693" t="s">
        <v>3605</v>
      </c>
    </row>
    <row r="1694" x14ac:dyDescent="0.25">
      <c r="A1694" t="n">
        <v>25</v>
      </c>
      <c r="B1694" t="s">
        <v>14</v>
      </c>
      <c r="C1694" t="s">
        <v>20</v>
      </c>
      <c r="D1694" s="2" t="s">
        <f>=HYPERLINK("https://main.knesset.gov.il/APPS/legislation/main/bills/2201200", "חוק-יסוד: השפיטה (תיקון מס' 4) ")</f>
        <v>3606</v>
      </c>
      <c r="E1694" t="s">
        <v>3606</v>
      </c>
      <c r="F1694" t="s">
        <v>14</v>
      </c>
      <c r="G1694" t="s">
        <v>3603</v>
      </c>
      <c r="H1694" t="n">
        <v>3388</v>
      </c>
      <c r="I1694" t="s">
        <v>14</v>
      </c>
      <c r="J1694" t="s">
        <v>91</v>
      </c>
      <c r="K1694" t="s">
        <v>27</v>
      </c>
      <c r="L1694" t="s">
        <v>20</v>
      </c>
      <c r="M1694" t="s">
        <v>3604</v>
      </c>
      <c r="N1694" t="s">
        <v>3607</v>
      </c>
    </row>
    <row r="1695" x14ac:dyDescent="0.25">
      <c r="A1695" t="n">
        <v>25</v>
      </c>
      <c r="B1695" t="s">
        <v>14</v>
      </c>
      <c r="C1695" t="s">
        <v>22</v>
      </c>
      <c r="D1695" s="2" t="s">
        <f>=HYPERLINK("https://main.knesset.gov.il/APPS/legislation/main/bills/2223362", "הצעת חוק הקמת שדה תעופה בנבטים (הוראות מיוחדות), התשפ""ה–2025")</f>
        <v>3608</v>
      </c>
      <c r="E1695" t="s">
        <v>3608</v>
      </c>
      <c r="F1695" t="s">
        <v>3609</v>
      </c>
      <c r="G1695" t="s">
        <v>3610</v>
      </c>
      <c r="H1695">
             </c>
      <c r="I1695" t="s">
        <v>26</v>
      </c>
      <c r="J1695" t="s">
        <v>73</v>
      </c>
      <c r="K1695" t="s">
        <v>19</v>
      </c>
      <c r="L1695" t="s">
        <v>20</v>
      </c>
      <c r="M1695" t="s">
        <v>3604</v>
      </c>
      <c r="N1695" t="s">
        <v>14</v>
      </c>
    </row>
    <row r="1696" x14ac:dyDescent="0.25">
      <c r="A1696" t="n">
        <v>25</v>
      </c>
      <c r="B1696" t="s">
        <v>14</v>
      </c>
      <c r="C1696" t="s">
        <v>22</v>
      </c>
      <c r="D1696" s="2" t="s">
        <f>=HYPERLINK("https://main.knesset.gov.il/APPS/legislation/main/bills/2207030", "הצעת חוק הרשויות המקומיות (ניהול סיכונים תאגידי), התשפ""ג-2023 ")</f>
        <v>3611</v>
      </c>
      <c r="E1696" t="s">
        <v>3611</v>
      </c>
      <c r="F1696" t="s">
        <v>3612</v>
      </c>
      <c r="G1696" t="s">
        <v>14</v>
      </c>
      <c r="H1696">
             </c>
      <c r="I1696" t="s">
        <v>14</v>
      </c>
      <c r="J1696" t="s">
        <v>31</v>
      </c>
      <c r="K1696" t="s">
        <v>46</v>
      </c>
      <c r="L1696" t="s">
        <v>20</v>
      </c>
      <c r="M1696" t="s">
        <v>3613</v>
      </c>
      <c r="N1696" t="s">
        <v>14</v>
      </c>
    </row>
    <row r="1697" x14ac:dyDescent="0.25">
      <c r="A1697" t="n">
        <v>25</v>
      </c>
      <c r="B1697" t="s">
        <v>14</v>
      </c>
      <c r="C1697" t="s">
        <v>15</v>
      </c>
      <c r="D1697" s="2" t="s">
        <f>=HYPERLINK("https://main.knesset.gov.il/APPS/legislation/main/bills/2224903", "חוק התקציב לשנת הכספים 2025, התשפ""ה-2025 ")</f>
        <v>3614</v>
      </c>
      <c r="E1697" t="s">
        <v>3614</v>
      </c>
      <c r="F1697" t="s">
        <v>14</v>
      </c>
      <c r="G1697" t="s">
        <v>3615</v>
      </c>
      <c r="H1697" t="n">
        <v>3409</v>
      </c>
      <c r="I1697" t="s">
        <v>14</v>
      </c>
      <c r="J1697" t="s">
        <v>91</v>
      </c>
      <c r="K1697" t="s">
        <v>85</v>
      </c>
      <c r="L1697" t="s">
        <v>20</v>
      </c>
      <c r="M1697" t="s">
        <v>3616</v>
      </c>
      <c r="N1697" t="s">
        <v>3617</v>
      </c>
    </row>
    <row r="1698" x14ac:dyDescent="0.25">
      <c r="A1698" t="n">
        <v>25</v>
      </c>
      <c r="B1698" t="s">
        <v>14</v>
      </c>
      <c r="C1698" t="s">
        <v>22</v>
      </c>
      <c r="D1698" s="2" t="s">
        <f>=HYPERLINK("https://main.knesset.gov.il/APPS/legislation/main/bills/2230152", "הצעת חוק הביטוח הלאומי (תיקון - הצמדת קצבת נכות מעבודה לשכר הממוצע במשק), התשפ""ה-2025")</f>
        <v>3187</v>
      </c>
      <c r="E1698" t="s">
        <v>3187</v>
      </c>
      <c r="F1698" t="s">
        <v>3618</v>
      </c>
      <c r="G1698" t="s">
        <v>14</v>
      </c>
      <c r="H1698">
             </c>
      <c r="I1698" t="s">
        <v>14</v>
      </c>
      <c r="J1698" t="s">
        <v>141</v>
      </c>
      <c r="K1698" t="s">
        <v>14</v>
      </c>
      <c r="L1698" t="s">
        <v>20</v>
      </c>
      <c r="M1698" t="s">
        <v>3616</v>
      </c>
      <c r="N1698" t="s">
        <v>14</v>
      </c>
    </row>
    <row r="1699" x14ac:dyDescent="0.25">
      <c r="A1699" t="n">
        <v>25</v>
      </c>
      <c r="B1699" t="s">
        <v>14</v>
      </c>
      <c r="C1699" t="s">
        <v>22</v>
      </c>
      <c r="D1699" s="2" t="s">
        <f>=HYPERLINK("https://main.knesset.gov.il/APPS/legislation/main/bills/2230265", "הצעת חוק תשלומים לפדויי שבי ולחטופים ששוחררו (תיקון - הרחבת הזכאויות לחטופים ששוחררו), התשפ""ה-2025")</f>
        <v>3619</v>
      </c>
      <c r="E1699" t="s">
        <v>3619</v>
      </c>
      <c r="F1699" t="s">
        <v>3620</v>
      </c>
      <c r="G1699" t="s">
        <v>14</v>
      </c>
      <c r="H1699">
             </c>
      <c r="I1699" t="s">
        <v>14</v>
      </c>
      <c r="J1699" t="s">
        <v>141</v>
      </c>
      <c r="K1699" t="s">
        <v>14</v>
      </c>
      <c r="L1699" t="s">
        <v>20</v>
      </c>
      <c r="M1699" t="s">
        <v>3616</v>
      </c>
      <c r="N1699" t="s">
        <v>14</v>
      </c>
    </row>
    <row r="1700" x14ac:dyDescent="0.25">
      <c r="A1700" t="n">
        <v>25</v>
      </c>
      <c r="B1700" t="s">
        <v>14</v>
      </c>
      <c r="C1700" t="s">
        <v>22</v>
      </c>
      <c r="D1700" s="2" t="s">
        <f>=HYPERLINK("https://main.knesset.gov.il/APPS/legislation/main/bills/2224785", "הצעת חוק חיוב ספק תכנים בהשקעה בהפקות מקומיות, התשפ""ה-2025")</f>
        <v>3621</v>
      </c>
      <c r="E1700" t="s">
        <v>3621</v>
      </c>
      <c r="F1700" t="s">
        <v>3622</v>
      </c>
      <c r="G1700" t="s">
        <v>14</v>
      </c>
      <c r="H1700">
             </c>
      <c r="I1700" t="s">
        <v>14</v>
      </c>
      <c r="J1700" t="s">
        <v>141</v>
      </c>
      <c r="K1700" t="s">
        <v>14</v>
      </c>
      <c r="L1700" t="s">
        <v>20</v>
      </c>
      <c r="M1700" t="s">
        <v>3616</v>
      </c>
      <c r="N1700" t="s">
        <v>14</v>
      </c>
    </row>
    <row r="1701" x14ac:dyDescent="0.25">
      <c r="A1701" t="n">
        <v>25</v>
      </c>
      <c r="B1701" t="s">
        <v>14</v>
      </c>
      <c r="C1701" t="s">
        <v>22</v>
      </c>
      <c r="D1701" s="2" t="s">
        <f>=HYPERLINK("https://main.knesset.gov.il/APPS/legislation/main/bills/2230159", "הצעת חוק הרשות הלאומית למאבק בסמים ובשימוש לרעה באלכוהול, התשפ""ה-2025")</f>
        <v>1541</v>
      </c>
      <c r="E1701" t="s">
        <v>1541</v>
      </c>
      <c r="F1701" t="s">
        <v>3623</v>
      </c>
      <c r="G1701" t="s">
        <v>14</v>
      </c>
      <c r="H1701">
             </c>
      <c r="I1701" t="s">
        <v>14</v>
      </c>
      <c r="J1701" t="s">
        <v>141</v>
      </c>
      <c r="K1701" t="s">
        <v>14</v>
      </c>
      <c r="L1701" t="s">
        <v>20</v>
      </c>
      <c r="M1701" t="s">
        <v>3616</v>
      </c>
      <c r="N1701" t="s">
        <v>14</v>
      </c>
    </row>
    <row r="1702" x14ac:dyDescent="0.25">
      <c r="A1702" t="n">
        <v>25</v>
      </c>
      <c r="B1702" t="s">
        <v>14</v>
      </c>
      <c r="C1702" t="s">
        <v>22</v>
      </c>
      <c r="D1702" s="2" t="s">
        <f>=HYPERLINK("https://main.knesset.gov.il/APPS/legislation/main/bills/2229454", "הצעת חוק מדיניות שווה באכיפת החוק כלפי מפגינים, התשפ""ה-2025")</f>
        <v>3387</v>
      </c>
      <c r="E1702" t="s">
        <v>3387</v>
      </c>
      <c r="F1702" t="s">
        <v>3624</v>
      </c>
      <c r="G1702" t="s">
        <v>14</v>
      </c>
      <c r="H1702">
             </c>
      <c r="I1702" t="s">
        <v>14</v>
      </c>
      <c r="J1702" t="s">
        <v>141</v>
      </c>
      <c r="K1702" t="s">
        <v>14</v>
      </c>
      <c r="L1702" t="s">
        <v>20</v>
      </c>
      <c r="M1702" t="s">
        <v>3616</v>
      </c>
      <c r="N1702" t="s">
        <v>14</v>
      </c>
    </row>
    <row r="1703" x14ac:dyDescent="0.25">
      <c r="A1703" t="n">
        <v>25</v>
      </c>
      <c r="B1703" t="s">
        <v>14</v>
      </c>
      <c r="C1703" t="s">
        <v>22</v>
      </c>
      <c r="D1703" s="2" t="s">
        <f>=HYPERLINK("https://main.knesset.gov.il/APPS/legislation/main/bills/2229646", "הצעת חוק למאבק באלימות משטרתית (תיקוני חקיקה), התשפ""ה-2025")</f>
        <v>3625</v>
      </c>
      <c r="E1703" t="s">
        <v>3625</v>
      </c>
      <c r="F1703" t="s">
        <v>3626</v>
      </c>
      <c r="G1703" t="s">
        <v>14</v>
      </c>
      <c r="H1703">
             </c>
      <c r="I1703" t="s">
        <v>14</v>
      </c>
      <c r="J1703" t="s">
        <v>141</v>
      </c>
      <c r="K1703" t="s">
        <v>14</v>
      </c>
      <c r="L1703" t="s">
        <v>20</v>
      </c>
      <c r="M1703" t="s">
        <v>3616</v>
      </c>
      <c r="N1703" t="s">
        <v>14</v>
      </c>
    </row>
    <row r="1704" x14ac:dyDescent="0.25">
      <c r="A1704" t="n">
        <v>25</v>
      </c>
      <c r="B1704" t="s">
        <v>14</v>
      </c>
      <c r="C1704" t="s">
        <v>22</v>
      </c>
      <c r="D1704" s="2" t="s">
        <f>=HYPERLINK("https://main.knesset.gov.il/APPS/legislation/main/bills/2229785", "הצעת חוק השיפוט הצבאי (תיקון - דיווח לכנסת על תלונות בגין הטרדות מיניות בצבא הגנה לישראל ועל אופן הטיפול בהן), התשפ""ה-2025")</f>
        <v>3627</v>
      </c>
      <c r="E1704" t="s">
        <v>3627</v>
      </c>
      <c r="F1704" t="s">
        <v>3628</v>
      </c>
      <c r="G1704" t="s">
        <v>14</v>
      </c>
      <c r="H1704">
             </c>
      <c r="I1704" t="s">
        <v>14</v>
      </c>
      <c r="J1704" t="s">
        <v>141</v>
      </c>
      <c r="K1704" t="s">
        <v>14</v>
      </c>
      <c r="L1704" t="s">
        <v>20</v>
      </c>
      <c r="M1704" t="s">
        <v>3616</v>
      </c>
      <c r="N1704" t="s">
        <v>14</v>
      </c>
    </row>
    <row r="1705" x14ac:dyDescent="0.25">
      <c r="A1705" t="n">
        <v>25</v>
      </c>
      <c r="B1705" t="s">
        <v>14</v>
      </c>
      <c r="C1705" t="s">
        <v>22</v>
      </c>
      <c r="D1705" s="2" t="s">
        <f>=HYPERLINK("https://main.knesset.gov.il/APPS/legislation/main/bills/2229279", "הצעת חוק לידה שקטה (תיקוני חקיקה), התשפ""ה-2025")</f>
        <v>3629</v>
      </c>
      <c r="E1705" t="s">
        <v>3629</v>
      </c>
      <c r="F1705" t="s">
        <v>3630</v>
      </c>
      <c r="G1705" t="s">
        <v>14</v>
      </c>
      <c r="H1705">
             </c>
      <c r="I1705" t="s">
        <v>14</v>
      </c>
      <c r="J1705" t="s">
        <v>141</v>
      </c>
      <c r="K1705" t="s">
        <v>14</v>
      </c>
      <c r="L1705" t="s">
        <v>20</v>
      </c>
      <c r="M1705" t="s">
        <v>3616</v>
      </c>
      <c r="N1705" t="s">
        <v>14</v>
      </c>
    </row>
    <row r="1706" x14ac:dyDescent="0.25">
      <c r="A1706" t="n">
        <v>25</v>
      </c>
      <c r="B1706" t="s">
        <v>14</v>
      </c>
      <c r="C1706" t="s">
        <v>22</v>
      </c>
      <c r="D1706" s="2" t="s">
        <f>=HYPERLINK("https://main.knesset.gov.il/APPS/legislation/main/bills/2228801", "הצעת חוק לתיקון פקודת המשטרה (הצבת מערכת צילום ביומטרית לצורך מניעת אלימות במגרשי הספורט) (הוראת שעה), התשפ""ה-2025")</f>
        <v>3175</v>
      </c>
      <c r="E1706" t="s">
        <v>3175</v>
      </c>
      <c r="F1706" t="s">
        <v>3631</v>
      </c>
      <c r="G1706" t="s">
        <v>14</v>
      </c>
      <c r="H1706">
             </c>
      <c r="I1706" t="s">
        <v>14</v>
      </c>
      <c r="J1706" t="s">
        <v>141</v>
      </c>
      <c r="K1706" t="s">
        <v>14</v>
      </c>
      <c r="L1706" t="s">
        <v>20</v>
      </c>
      <c r="M1706" t="s">
        <v>3616</v>
      </c>
      <c r="N1706" t="s">
        <v>14</v>
      </c>
    </row>
    <row r="1707" x14ac:dyDescent="0.25">
      <c r="A1707" t="n">
        <v>25</v>
      </c>
      <c r="B1707" t="s">
        <v>14</v>
      </c>
      <c r="C1707" t="s">
        <v>22</v>
      </c>
      <c r="D1707" s="2" t="s">
        <f>=HYPERLINK("https://main.knesset.gov.il/APPS/legislation/main/bills/2229996", "הצעת חוק לתיקון פקודת מס הכנסה (קרן השתלמות לחקלאי שומר שמיטה), התשפ""ה-2025")</f>
        <v>3632</v>
      </c>
      <c r="E1707" t="s">
        <v>3632</v>
      </c>
      <c r="F1707" t="s">
        <v>3633</v>
      </c>
      <c r="G1707" t="s">
        <v>14</v>
      </c>
      <c r="H1707">
             </c>
      <c r="I1707" t="s">
        <v>14</v>
      </c>
      <c r="J1707" t="s">
        <v>141</v>
      </c>
      <c r="K1707" t="s">
        <v>14</v>
      </c>
      <c r="L1707" t="s">
        <v>20</v>
      </c>
      <c r="M1707" t="s">
        <v>3616</v>
      </c>
      <c r="N1707" t="s">
        <v>14</v>
      </c>
    </row>
    <row r="1708" x14ac:dyDescent="0.25">
      <c r="A1708" t="n">
        <v>25</v>
      </c>
      <c r="B1708" t="s">
        <v>14</v>
      </c>
      <c r="C1708" t="s">
        <v>22</v>
      </c>
      <c r="D1708" s="2" t="s">
        <f>=HYPERLINK("https://main.knesset.gov.il/APPS/legislation/main/bills/2229829", "הצעת חוק הפיקוח על שירותים פיננסיים (קופות גמל) (תיקון - הוראות לשמירת זכויות פנסיוניות למשרתי מילואים), התשפ""ה-2025")</f>
        <v>3634</v>
      </c>
      <c r="E1708" t="s">
        <v>3634</v>
      </c>
      <c r="F1708" t="s">
        <v>3635</v>
      </c>
      <c r="G1708" t="s">
        <v>14</v>
      </c>
      <c r="H1708">
             </c>
      <c r="I1708" t="s">
        <v>14</v>
      </c>
      <c r="J1708" t="s">
        <v>141</v>
      </c>
      <c r="K1708" t="s">
        <v>14</v>
      </c>
      <c r="L1708" t="s">
        <v>20</v>
      </c>
      <c r="M1708" t="s">
        <v>3616</v>
      </c>
      <c r="N1708" t="s">
        <v>14</v>
      </c>
    </row>
    <row r="1709" x14ac:dyDescent="0.25">
      <c r="A1709" t="n">
        <v>25</v>
      </c>
      <c r="B1709" t="s">
        <v>14</v>
      </c>
      <c r="C1709" t="s">
        <v>22</v>
      </c>
      <c r="D1709" s="2" t="s">
        <f>=HYPERLINK("https://main.knesset.gov.il/APPS/legislation/main/bills/2230155", "הצעת חוק הבנקאות (שירות ללקוח) (תיקון - הפצת כרטיסי אשראי של כלל חברות כרטיסי האשראי), התשפ""ה-2025")</f>
        <v>3636</v>
      </c>
      <c r="E1709" t="s">
        <v>3636</v>
      </c>
      <c r="F1709" t="s">
        <v>3637</v>
      </c>
      <c r="G1709" t="s">
        <v>14</v>
      </c>
      <c r="H1709">
             </c>
      <c r="I1709" t="s">
        <v>14</v>
      </c>
      <c r="J1709" t="s">
        <v>141</v>
      </c>
      <c r="K1709" t="s">
        <v>14</v>
      </c>
      <c r="L1709" t="s">
        <v>20</v>
      </c>
      <c r="M1709" t="s">
        <v>3616</v>
      </c>
      <c r="N1709" t="s">
        <v>14</v>
      </c>
    </row>
    <row r="1710" x14ac:dyDescent="0.25">
      <c r="A1710" t="n">
        <v>25</v>
      </c>
      <c r="B1710" t="s">
        <v>14</v>
      </c>
      <c r="C1710" t="s">
        <v>22</v>
      </c>
      <c r="D1710" s="2" t="s">
        <f>=HYPERLINK("https://main.knesset.gov.il/APPS/legislation/main/bills/2228410", "הצעת חוק הצבת מכשירי החייאה במקומות ציבוריים (תיקון - חובת הצבת מכשיר החייאה בבניין רב-קומות), התשפ""ה-2025")</f>
        <v>3638</v>
      </c>
      <c r="E1710" t="s">
        <v>3638</v>
      </c>
      <c r="F1710" t="s">
        <v>3639</v>
      </c>
      <c r="G1710" t="s">
        <v>14</v>
      </c>
      <c r="H1710">
             </c>
      <c r="I1710" t="s">
        <v>14</v>
      </c>
      <c r="J1710" t="s">
        <v>141</v>
      </c>
      <c r="K1710" t="s">
        <v>14</v>
      </c>
      <c r="L1710" t="s">
        <v>20</v>
      </c>
      <c r="M1710" t="s">
        <v>3616</v>
      </c>
      <c r="N1710" t="s">
        <v>14</v>
      </c>
    </row>
    <row r="1711" x14ac:dyDescent="0.25">
      <c r="A1711" t="n">
        <v>25</v>
      </c>
      <c r="B1711" t="s">
        <v>14</v>
      </c>
      <c r="C1711" t="s">
        <v>22</v>
      </c>
      <c r="D1711" s="2" t="s">
        <f>=HYPERLINK("https://main.knesset.gov.il/APPS/legislation/main/bills/2230238", "הצעת חוק לתיקון פקודת התעבורה (חובת הפעלת קווי תחבורה ציבורית ישירים לבתי חולים), התשפ""ה-2025")</f>
        <v>3586</v>
      </c>
      <c r="E1711" t="s">
        <v>3586</v>
      </c>
      <c r="F1711" t="s">
        <v>3640</v>
      </c>
      <c r="G1711" t="s">
        <v>14</v>
      </c>
      <c r="H1711">
             </c>
      <c r="I1711" t="s">
        <v>14</v>
      </c>
      <c r="J1711" t="s">
        <v>141</v>
      </c>
      <c r="K1711" t="s">
        <v>14</v>
      </c>
      <c r="L1711" t="s">
        <v>20</v>
      </c>
      <c r="M1711" t="s">
        <v>3616</v>
      </c>
      <c r="N1711" t="s">
        <v>14</v>
      </c>
    </row>
    <row r="1712" x14ac:dyDescent="0.25">
      <c r="A1712" t="n">
        <v>25</v>
      </c>
      <c r="B1712" t="s">
        <v>14</v>
      </c>
      <c r="C1712" t="s">
        <v>22</v>
      </c>
      <c r="D1712" s="2" t="s">
        <f>=HYPERLINK("https://main.knesset.gov.il/APPS/legislation/main/bills/2229447", "הצעת חוק האזרחות (תיקון - אזרחות למי שנולד במדינת אויב), התשפ""ה-2025")</f>
        <v>3641</v>
      </c>
      <c r="E1712" t="s">
        <v>3641</v>
      </c>
      <c r="F1712" t="s">
        <v>3642</v>
      </c>
      <c r="G1712" t="s">
        <v>14</v>
      </c>
      <c r="H1712">
             </c>
      <c r="I1712" t="s">
        <v>14</v>
      </c>
      <c r="J1712" t="s">
        <v>141</v>
      </c>
      <c r="K1712" t="s">
        <v>14</v>
      </c>
      <c r="L1712" t="s">
        <v>20</v>
      </c>
      <c r="M1712" t="s">
        <v>3616</v>
      </c>
      <c r="N1712" t="s">
        <v>14</v>
      </c>
    </row>
    <row r="1713" x14ac:dyDescent="0.25">
      <c r="A1713" t="n">
        <v>25</v>
      </c>
      <c r="B1713" t="s">
        <v>14</v>
      </c>
      <c r="C1713" t="s">
        <v>22</v>
      </c>
      <c r="D1713" s="2" t="s">
        <f>=HYPERLINK("https://main.knesset.gov.il/APPS/legislation/main/bills/2229111", "הצעת חוק האזרחות (תיקון - אי-מתן אזרחות לילדו של אדם שנכנס לישראל שלא כדין), התשפ""ה-2025")</f>
        <v>3643</v>
      </c>
      <c r="E1713" t="s">
        <v>3643</v>
      </c>
      <c r="F1713" t="s">
        <v>3644</v>
      </c>
      <c r="G1713" t="s">
        <v>14</v>
      </c>
      <c r="H1713">
             </c>
      <c r="I1713" t="s">
        <v>14</v>
      </c>
      <c r="J1713" t="s">
        <v>141</v>
      </c>
      <c r="K1713" t="s">
        <v>14</v>
      </c>
      <c r="L1713" t="s">
        <v>20</v>
      </c>
      <c r="M1713" t="s">
        <v>3616</v>
      </c>
      <c r="N1713" t="s">
        <v>14</v>
      </c>
    </row>
    <row r="1714" x14ac:dyDescent="0.25">
      <c r="A1714" t="n">
        <v>25</v>
      </c>
      <c r="B1714" t="s">
        <v>14</v>
      </c>
      <c r="C1714" t="s">
        <v>22</v>
      </c>
      <c r="D1714" s="2" t="s">
        <f>=HYPERLINK("https://main.knesset.gov.il/APPS/legislation/main/bills/2229983", "הצעת חוק החברות (תיקון - מכסות ייצוג לנשים בדירקטוריונים של חברות ציבוריות), התשפ""ה-2025")</f>
        <v>3645</v>
      </c>
      <c r="E1714" t="s">
        <v>3645</v>
      </c>
      <c r="F1714" t="s">
        <v>3646</v>
      </c>
      <c r="G1714" t="s">
        <v>14</v>
      </c>
      <c r="H1714">
             </c>
      <c r="I1714" t="s">
        <v>14</v>
      </c>
      <c r="J1714" t="s">
        <v>141</v>
      </c>
      <c r="K1714" t="s">
        <v>14</v>
      </c>
      <c r="L1714" t="s">
        <v>20</v>
      </c>
      <c r="M1714" t="s">
        <v>3616</v>
      </c>
      <c r="N1714" t="s">
        <v>14</v>
      </c>
    </row>
    <row r="1715" x14ac:dyDescent="0.25">
      <c r="A1715" t="n">
        <v>25</v>
      </c>
      <c r="B1715" t="s">
        <v>14</v>
      </c>
      <c r="C1715" t="s">
        <v>22</v>
      </c>
      <c r="D1715" s="2" t="s">
        <f>=HYPERLINK("https://main.knesset.gov.il/APPS/legislation/main/bills/2229995", "הצעת חוק פיצוי נפגעי אסון טבע (פיצוי בשל נזקים לתשתיות לחקלאות) (תיקון - פיצוי בשל אסונות מעשה ידי אדם), התשפ""ה-2025")</f>
        <v>3647</v>
      </c>
      <c r="E1715" t="s">
        <v>3647</v>
      </c>
      <c r="F1715" t="s">
        <v>3648</v>
      </c>
      <c r="G1715" t="s">
        <v>14</v>
      </c>
      <c r="H1715">
             </c>
      <c r="I1715" t="s">
        <v>14</v>
      </c>
      <c r="J1715" t="s">
        <v>141</v>
      </c>
      <c r="K1715" t="s">
        <v>14</v>
      </c>
      <c r="L1715" t="s">
        <v>20</v>
      </c>
      <c r="M1715" t="s">
        <v>3616</v>
      </c>
      <c r="N1715" t="s">
        <v>14</v>
      </c>
    </row>
    <row r="1716" x14ac:dyDescent="0.25">
      <c r="A1716" t="n">
        <v>25</v>
      </c>
      <c r="B1716" t="s">
        <v>14</v>
      </c>
      <c r="C1716" t="s">
        <v>22</v>
      </c>
      <c r="D1716" s="2" t="s">
        <f>=HYPERLINK("https://main.knesset.gov.il/APPS/legislation/main/bills/2229236", "הצעת חוק זכויות התלמיד (תיקון - חופש דת ופולחן דתי לתלמידים במוסדות חינוך), התשפ""ה-2025 ")</f>
        <v>3649</v>
      </c>
      <c r="E1716" t="s">
        <v>3649</v>
      </c>
      <c r="F1716" t="s">
        <v>3650</v>
      </c>
      <c r="G1716" t="s">
        <v>14</v>
      </c>
      <c r="H1716">
             </c>
      <c r="I1716" t="s">
        <v>14</v>
      </c>
      <c r="J1716" t="s">
        <v>141</v>
      </c>
      <c r="K1716" t="s">
        <v>14</v>
      </c>
      <c r="L1716" t="s">
        <v>20</v>
      </c>
      <c r="M1716" t="s">
        <v>3616</v>
      </c>
      <c r="N1716" t="s">
        <v>14</v>
      </c>
    </row>
    <row r="1717" x14ac:dyDescent="0.25">
      <c r="A1717" t="n">
        <v>24</v>
      </c>
      <c r="B1717" t="s">
        <v>14</v>
      </c>
      <c r="C1717" t="s">
        <v>15</v>
      </c>
      <c r="D1717" s="2" t="s">
        <f>=HYPERLINK("https://main.knesset.gov.il/APPS/legislation/main/bills/2195285", "הצעת חוק ההוצאה לפועל (תיקון מס' 73) (תחליף המצאת התראה וזכות להתגונן בתביעה על סכום קצוב), התשפ""ב-2022")</f>
        <v>3651</v>
      </c>
      <c r="E1717" t="s">
        <v>3651</v>
      </c>
      <c r="F1717" t="s">
        <v>14</v>
      </c>
      <c r="G1717" t="s">
        <v>3652</v>
      </c>
      <c r="H1717">
             </c>
      <c r="I1717" t="s">
        <v>14</v>
      </c>
      <c r="J1717" t="s">
        <v>3653</v>
      </c>
      <c r="K1717" t="s">
        <v>27</v>
      </c>
      <c r="L1717" t="s">
        <v>20</v>
      </c>
      <c r="M1717" t="s">
        <v>3616</v>
      </c>
      <c r="N1717" t="s">
        <v>14</v>
      </c>
    </row>
    <row r="1718" x14ac:dyDescent="0.25">
      <c r="A1718" t="n">
        <v>25</v>
      </c>
      <c r="B1718" t="s">
        <v>14</v>
      </c>
      <c r="C1718" t="s">
        <v>22</v>
      </c>
      <c r="D1718" s="2" t="s">
        <f>=HYPERLINK("https://main.knesset.gov.il/APPS/legislation/main/bills/2222430", "הצעת חוק תגמול למשרתים בשירות צבאי או אזרחי באקדמיה, התשפ""ה-2024")</f>
        <v>883</v>
      </c>
      <c r="E1718" t="s">
        <v>883</v>
      </c>
      <c r="F1718" t="s">
        <v>884</v>
      </c>
      <c r="G1718" t="s">
        <v>14</v>
      </c>
      <c r="H1718">
             </c>
      <c r="I1718" t="s">
        <v>14</v>
      </c>
      <c r="J1718" t="s">
        <v>31</v>
      </c>
      <c r="K1718" t="s">
        <v>34</v>
      </c>
      <c r="L1718" t="s">
        <v>20</v>
      </c>
      <c r="M1718" t="s">
        <v>3654</v>
      </c>
      <c r="N1718" t="s">
        <v>14</v>
      </c>
    </row>
    <row r="1719" x14ac:dyDescent="0.25">
      <c r="A1719" t="n">
        <v>25</v>
      </c>
      <c r="B1719" t="s">
        <v>14</v>
      </c>
      <c r="C1719" t="s">
        <v>22</v>
      </c>
      <c r="D1719" s="2" t="s">
        <f>=HYPERLINK("https://main.knesset.gov.il/APPS/legislation/main/bills/2225756", "דיור סטודנטים מתוך הצעת חוק למתן הטבות למשרתים במילואים, התשפ""ה-2024")</f>
        <v>3655</v>
      </c>
      <c r="E1719" t="s">
        <v>3655</v>
      </c>
      <c r="F1719" t="s">
        <v>1554</v>
      </c>
      <c r="G1719" t="s">
        <v>14</v>
      </c>
      <c r="H1719">
             </c>
      <c r="I1719" t="s">
        <v>14</v>
      </c>
      <c r="J1719" t="s">
        <v>31</v>
      </c>
      <c r="K1719" t="s">
        <v>34</v>
      </c>
      <c r="L1719" t="s">
        <v>20</v>
      </c>
      <c r="M1719" t="s">
        <v>3654</v>
      </c>
      <c r="N1719" t="s">
        <v>14</v>
      </c>
    </row>
    <row r="1720" x14ac:dyDescent="0.25">
      <c r="A1720" t="n">
        <v>25</v>
      </c>
      <c r="B1720" t="s">
        <v>14</v>
      </c>
      <c r="C1720" t="s">
        <v>22</v>
      </c>
      <c r="D1720" s="2" t="s">
        <f>=HYPERLINK("https://main.knesset.gov.il/APPS/legislation/main/bills/2225748", "פטור מאגרה בכניסה לאתרים מתוך הצעת חוק למתן הטבות למשרתים במילואים, התשפ""ה-2024")</f>
        <v>3656</v>
      </c>
      <c r="E1720" t="s">
        <v>3656</v>
      </c>
      <c r="F1720" t="s">
        <v>1554</v>
      </c>
      <c r="G1720" t="s">
        <v>14</v>
      </c>
      <c r="H1720">
             </c>
      <c r="I1720" t="s">
        <v>14</v>
      </c>
      <c r="J1720" t="s">
        <v>31</v>
      </c>
      <c r="K1720" t="s">
        <v>34</v>
      </c>
      <c r="L1720" t="s">
        <v>20</v>
      </c>
      <c r="M1720" t="s">
        <v>3654</v>
      </c>
      <c r="N1720" t="s">
        <v>14</v>
      </c>
    </row>
    <row r="1721" x14ac:dyDescent="0.25">
      <c r="A1721" t="n">
        <v>25</v>
      </c>
      <c r="B1721" t="s">
        <v>14</v>
      </c>
      <c r="C1721" t="s">
        <v>22</v>
      </c>
      <c r="D1721" s="2" t="s">
        <f>=HYPERLINK("https://main.knesset.gov.il/APPS/legislation/main/bills/2225740", "סבסוד קייטנות מתוך הצעת חוק למתן הטבות למשרתים במילואים, התשפ""ה-2024")</f>
        <v>3657</v>
      </c>
      <c r="E1721" t="s">
        <v>3657</v>
      </c>
      <c r="F1721" t="s">
        <v>1554</v>
      </c>
      <c r="G1721" t="s">
        <v>14</v>
      </c>
      <c r="H1721">
             </c>
      <c r="I1721" t="s">
        <v>14</v>
      </c>
      <c r="J1721" t="s">
        <v>31</v>
      </c>
      <c r="K1721" t="s">
        <v>34</v>
      </c>
      <c r="L1721" t="s">
        <v>20</v>
      </c>
      <c r="M1721" t="s">
        <v>3654</v>
      </c>
      <c r="N1721" t="s">
        <v>14</v>
      </c>
    </row>
    <row r="1722" x14ac:dyDescent="0.25">
      <c r="A1722" t="n">
        <v>25</v>
      </c>
      <c r="B1722" t="s">
        <v>14</v>
      </c>
      <c r="C1722" t="s">
        <v>15</v>
      </c>
      <c r="D1722" s="2" t="s">
        <f>=HYPERLINK("https://main.knesset.gov.il/APPS/legislation/main/bills/2227202", "סעיף 21(1)(א) (היתר לפי תכנית ללא תשריט) מתוך הצעת חוק התוכנית הכלכלית (תיקוני חקיקה ליישום המדיניות הכלכלית לשנת התקציב 2025), התשפ""ה-2024 [פוצל לפי סעיף 84(ב) לתקנון] ")</f>
        <v>3658</v>
      </c>
      <c r="E1722" t="s">
        <v>3658</v>
      </c>
      <c r="F1722" t="s">
        <v>14</v>
      </c>
      <c r="G1722" t="s">
        <v>43</v>
      </c>
      <c r="H1722">
             </c>
      <c r="I1722" t="s">
        <v>14</v>
      </c>
      <c r="J1722" t="s">
        <v>99</v>
      </c>
      <c r="K1722" t="s">
        <v>46</v>
      </c>
      <c r="L1722" t="s">
        <v>20</v>
      </c>
      <c r="M1722" t="s">
        <v>3654</v>
      </c>
      <c r="N1722" t="s">
        <v>14</v>
      </c>
    </row>
    <row r="1723" x14ac:dyDescent="0.25">
      <c r="A1723" t="n">
        <v>25</v>
      </c>
      <c r="B1723" t="s">
        <v>14</v>
      </c>
      <c r="C1723" t="s">
        <v>15</v>
      </c>
      <c r="D1723" s="2" t="s">
        <f>=HYPERLINK("https://main.knesset.gov.il/APPS/legislation/main/bills/2227204", "סעיף 21(1)(ב), (5) ו-(6) (הרחבת האפשרות להעביר היתרים לרשויות רישוי ארציות) מתוך הצעת חוק התוכנית הכלכלית (תיקוני חקיקה ליישום המדיניות הכלכלית לשנת התקציב 2025), התשפ""ה-2024 [פוצל לפי סעיף 84(ב) לתקנון]")</f>
        <v>3659</v>
      </c>
      <c r="E1723" t="s">
        <v>3659</v>
      </c>
      <c r="F1723" t="s">
        <v>14</v>
      </c>
      <c r="G1723" t="s">
        <v>43</v>
      </c>
      <c r="H1723">
             </c>
      <c r="I1723" t="s">
        <v>14</v>
      </c>
      <c r="J1723" t="s">
        <v>99</v>
      </c>
      <c r="K1723" t="s">
        <v>46</v>
      </c>
      <c r="L1723" t="s">
        <v>20</v>
      </c>
      <c r="M1723" t="s">
        <v>3654</v>
      </c>
      <c r="N1723" t="s">
        <v>14</v>
      </c>
    </row>
    <row r="1724" x14ac:dyDescent="0.25">
      <c r="A1724" t="n">
        <v>25</v>
      </c>
      <c r="B1724" t="s">
        <v>14</v>
      </c>
      <c r="C1724" t="s">
        <v>15</v>
      </c>
      <c r="D1724" s="2" t="s">
        <f>=HYPERLINK("https://main.knesset.gov.il/APPS/legislation/main/bills/2227205", "סעיפים 21(2), (4) ו-22 (הסמכת רשות רישוי ארצית בשטחים גליליים) מתוך הצעת חוק התוכנית הכלכלית (תיקוני חקיקה ליישום המדיניות הכלכלית לשנת התקציב 2025), התשפ""ה-2024 [פוצל לפי סעיף 84(ב) לתקנון] ")</f>
        <v>3660</v>
      </c>
      <c r="E1724" t="s">
        <v>3660</v>
      </c>
      <c r="F1724" t="s">
        <v>14</v>
      </c>
      <c r="G1724" t="s">
        <v>43</v>
      </c>
      <c r="H1724">
             </c>
      <c r="I1724" t="s">
        <v>14</v>
      </c>
      <c r="J1724" t="s">
        <v>99</v>
      </c>
      <c r="K1724" t="s">
        <v>46</v>
      </c>
      <c r="L1724" t="s">
        <v>20</v>
      </c>
      <c r="M1724" t="s">
        <v>3654</v>
      </c>
      <c r="N1724" t="s">
        <v>14</v>
      </c>
    </row>
    <row r="1725" x14ac:dyDescent="0.25">
      <c r="A1725" t="n">
        <v>25</v>
      </c>
      <c r="B1725" t="s">
        <v>14</v>
      </c>
      <c r="C1725" t="s">
        <v>15</v>
      </c>
      <c r="D1725" s="2" t="s">
        <f>=HYPERLINK("https://main.knesset.gov.il/APPS/legislation/main/bills/2227210", "סעיף 24 (הארכת פטור מהיטל השבחה למתקנים פוטו-וולטאים) מתוך הצעת חוק התוכנית הכלכלית (תיקוני חקיקה ליישום המדיניות הכלכלית לשנת התקציב 2025), התשפ""ה-2024 [פוצל לפי סעיף 84(ב) לתקנון] ")</f>
        <v>3661</v>
      </c>
      <c r="E1725" t="s">
        <v>3661</v>
      </c>
      <c r="F1725" t="s">
        <v>14</v>
      </c>
      <c r="G1725" t="s">
        <v>43</v>
      </c>
      <c r="H1725">
             </c>
      <c r="I1725" t="s">
        <v>14</v>
      </c>
      <c r="J1725" t="s">
        <v>99</v>
      </c>
      <c r="K1725" t="s">
        <v>46</v>
      </c>
      <c r="L1725" t="s">
        <v>20</v>
      </c>
      <c r="M1725" t="s">
        <v>3654</v>
      </c>
      <c r="N1725" t="s">
        <v>14</v>
      </c>
    </row>
    <row r="1726" x14ac:dyDescent="0.25">
      <c r="A1726" t="n">
        <v>25</v>
      </c>
      <c r="B1726" t="s">
        <v>14</v>
      </c>
      <c r="C1726" t="s">
        <v>15</v>
      </c>
      <c r="D1726" s="2" t="s">
        <f>=HYPERLINK("https://main.knesset.gov.il/APPS/legislation/main/bills/2225484", "הצעת חוק התכנון והבנייה (תיקון מס' 160), התשפ""ה-2024 ")</f>
        <v>3662</v>
      </c>
      <c r="E1726" t="s">
        <v>3662</v>
      </c>
      <c r="F1726" t="s">
        <v>14</v>
      </c>
      <c r="G1726" t="s">
        <v>3663</v>
      </c>
      <c r="H1726">
             </c>
      <c r="I1726" t="s">
        <v>14</v>
      </c>
      <c r="J1726" t="s">
        <v>99</v>
      </c>
      <c r="K1726" t="s">
        <v>46</v>
      </c>
      <c r="L1726" t="s">
        <v>20</v>
      </c>
      <c r="M1726" t="s">
        <v>3654</v>
      </c>
      <c r="N1726" t="s">
        <v>14</v>
      </c>
    </row>
    <row r="1727" x14ac:dyDescent="0.25">
      <c r="A1727" t="n">
        <v>25</v>
      </c>
      <c r="B1727" t="s">
        <v>14</v>
      </c>
      <c r="C1727" t="s">
        <v>15</v>
      </c>
      <c r="D1727" s="2" t="s">
        <f>=HYPERLINK("https://main.knesset.gov.il/APPS/legislation/main/bills/2227297", "הצעת חוק התכנון והבנייה (תיקון מס' 161), התשפ""ה-2025 ")</f>
        <v>3664</v>
      </c>
      <c r="E1727" t="s">
        <v>3664</v>
      </c>
      <c r="F1727" t="s">
        <v>14</v>
      </c>
      <c r="G1727" t="s">
        <v>3665</v>
      </c>
      <c r="H1727">
             </c>
      <c r="I1727" t="s">
        <v>14</v>
      </c>
      <c r="J1727" t="s">
        <v>99</v>
      </c>
      <c r="K1727" t="s">
        <v>46</v>
      </c>
      <c r="L1727" t="s">
        <v>20</v>
      </c>
      <c r="M1727" t="s">
        <v>3654</v>
      </c>
      <c r="N1727" t="s">
        <v>14</v>
      </c>
    </row>
    <row r="1728" x14ac:dyDescent="0.25">
      <c r="A1728" t="n">
        <v>25</v>
      </c>
      <c r="B1728" t="s">
        <v>14</v>
      </c>
      <c r="C1728" t="s">
        <v>22</v>
      </c>
      <c r="D1728" s="2" t="s">
        <f>=HYPERLINK("https://main.knesset.gov.il/APPS/legislation/main/bills/2226269", "הצעת חוק הקמת שדה תעופה בנבטים, התשפ""ה-2025")</f>
        <v>3666</v>
      </c>
      <c r="E1728" t="s">
        <v>3666</v>
      </c>
      <c r="F1728" t="s">
        <v>3667</v>
      </c>
      <c r="G1728" t="s">
        <v>14</v>
      </c>
      <c r="H1728">
             </c>
      <c r="I1728" t="s">
        <v>14</v>
      </c>
      <c r="J1728" t="s">
        <v>99</v>
      </c>
      <c r="K1728" t="s">
        <v>19</v>
      </c>
      <c r="L1728" t="s">
        <v>20</v>
      </c>
      <c r="M1728" t="s">
        <v>3654</v>
      </c>
      <c r="N1728" t="s">
        <v>14</v>
      </c>
    </row>
    <row r="1729" x14ac:dyDescent="0.25">
      <c r="A1729" t="n">
        <v>25</v>
      </c>
      <c r="B1729" t="s">
        <v>14</v>
      </c>
      <c r="C1729" t="s">
        <v>22</v>
      </c>
      <c r="D1729" s="2" t="s">
        <f>=HYPERLINK("https://main.knesset.gov.il/APPS/legislation/main/bills/2203915", "הצעת חוק עבודת נשים (תיקון - הארכת תקופת הלידה וההורות להורי פעוט עם מוגבלות מורכבת), התשפ""ג-2023")</f>
        <v>3668</v>
      </c>
      <c r="E1729" t="s">
        <v>3668</v>
      </c>
      <c r="F1729" t="s">
        <v>3669</v>
      </c>
      <c r="G1729" t="s">
        <v>14</v>
      </c>
      <c r="H1729">
             </c>
      <c r="I1729" t="s">
        <v>14</v>
      </c>
      <c r="J1729" t="s">
        <v>99</v>
      </c>
      <c r="K1729" t="s">
        <v>127</v>
      </c>
      <c r="L1729" t="s">
        <v>20</v>
      </c>
      <c r="M1729" t="s">
        <v>3670</v>
      </c>
      <c r="N1729" t="s">
        <v>14</v>
      </c>
    </row>
    <row r="1730" x14ac:dyDescent="0.25">
      <c r="A1730" t="n">
        <v>25</v>
      </c>
      <c r="B1730" t="s">
        <v>14</v>
      </c>
      <c r="C1730" t="s">
        <v>22</v>
      </c>
      <c r="D1730" s="2" t="s">
        <f>=HYPERLINK("https://main.knesset.gov.il/APPS/legislation/main/bills/2202827", "הצעת חוק עבודת נשים (תיקון - הארכת תקופת הלידה וההורות להורי פעוט עם מוגבלות מורכבת), התשפ""ג-2023")</f>
        <v>3668</v>
      </c>
      <c r="E1730" t="s">
        <v>3668</v>
      </c>
      <c r="F1730" t="s">
        <v>3671</v>
      </c>
      <c r="G1730" t="s">
        <v>14</v>
      </c>
      <c r="H1730">
             </c>
      <c r="I1730" t="s">
        <v>14</v>
      </c>
      <c r="J1730" t="s">
        <v>99</v>
      </c>
      <c r="K1730" t="s">
        <v>127</v>
      </c>
      <c r="L1730" t="s">
        <v>20</v>
      </c>
      <c r="M1730" t="s">
        <v>3670</v>
      </c>
      <c r="N1730" t="s">
        <v>14</v>
      </c>
    </row>
    <row r="1731" x14ac:dyDescent="0.25">
      <c r="A1731" t="n">
        <v>25</v>
      </c>
      <c r="B1731" t="s">
        <v>14</v>
      </c>
      <c r="C1731" t="s">
        <v>15</v>
      </c>
      <c r="D1731" s="2" t="s">
        <f>=HYPERLINK("https://main.knesset.gov.il/APPS/legislation/main/bills/2227232", "חוק התחשבנות בין בתי חולים לקופות חולים (בריאות הנפש), התשפ""ה-2025")</f>
        <v>3672</v>
      </c>
      <c r="E1731" t="s">
        <v>3672</v>
      </c>
      <c r="F1731" t="s">
        <v>14</v>
      </c>
      <c r="G1731" t="s">
        <v>43</v>
      </c>
      <c r="H1731" t="n">
        <v>3383</v>
      </c>
      <c r="I1731" t="s">
        <v>14</v>
      </c>
      <c r="J1731" t="s">
        <v>91</v>
      </c>
      <c r="K1731" t="s">
        <v>480</v>
      </c>
      <c r="L1731" t="s">
        <v>20</v>
      </c>
      <c r="M1731" t="s">
        <v>3670</v>
      </c>
      <c r="N1731" t="s">
        <v>3673</v>
      </c>
    </row>
    <row r="1732" x14ac:dyDescent="0.25">
      <c r="A1732" t="n">
        <v>25</v>
      </c>
      <c r="B1732" t="s">
        <v>14</v>
      </c>
      <c r="C1732" t="s">
        <v>15</v>
      </c>
      <c r="D1732" s="2" t="s">
        <f>=HYPERLINK("https://main.knesset.gov.il/APPS/legislation/main/bills/2224907", "חוק מסגרות תקציב המדינה (הוראות מיוחדות לשנת 2025) (תיקוני חקיקה), התשפ""ה-2025")</f>
        <v>3674</v>
      </c>
      <c r="E1732" t="s">
        <v>3674</v>
      </c>
      <c r="F1732" t="s">
        <v>14</v>
      </c>
      <c r="G1732" t="s">
        <v>43</v>
      </c>
      <c r="H1732" t="n">
        <v>3381</v>
      </c>
      <c r="I1732" t="s">
        <v>14</v>
      </c>
      <c r="J1732" t="s">
        <v>91</v>
      </c>
      <c r="K1732" t="s">
        <v>85</v>
      </c>
      <c r="L1732" t="s">
        <v>20</v>
      </c>
      <c r="M1732" t="s">
        <v>3670</v>
      </c>
      <c r="N1732" t="s">
        <v>3675</v>
      </c>
    </row>
    <row r="1733" x14ac:dyDescent="0.25">
      <c r="A1733" t="n">
        <v>25</v>
      </c>
      <c r="B1733" t="s">
        <v>14</v>
      </c>
      <c r="C1733" t="s">
        <v>22</v>
      </c>
      <c r="D1733" s="2" t="s">
        <f>=HYPERLINK("https://main.knesset.gov.il/APPS/legislation/main/bills/2229115", "הצעת חוק הכניסה לישראל (תיקון - החמרת ענישה בעבירה של כניסה בלתי חוקית), התשפ""ה-2025 ")</f>
        <v>3676</v>
      </c>
      <c r="E1733" t="s">
        <v>3676</v>
      </c>
      <c r="F1733" t="s">
        <v>3677</v>
      </c>
      <c r="G1733" t="s">
        <v>14</v>
      </c>
      <c r="H1733">
             </c>
      <c r="I1733" t="s">
        <v>14</v>
      </c>
      <c r="J1733" t="s">
        <v>31</v>
      </c>
      <c r="K1733" t="s">
        <v>105</v>
      </c>
      <c r="L1733" t="s">
        <v>20</v>
      </c>
      <c r="M1733" t="s">
        <v>3670</v>
      </c>
      <c r="N1733" t="s">
        <v>14</v>
      </c>
    </row>
    <row r="1734" x14ac:dyDescent="0.25">
      <c r="A1734" t="n">
        <v>25</v>
      </c>
      <c r="B1734" t="s">
        <v>14</v>
      </c>
      <c r="C1734" t="s">
        <v>22</v>
      </c>
      <c r="D1734" s="2" t="s">
        <f>=HYPERLINK("https://main.knesset.gov.il/APPS/legislation/main/bills/2228757", "הצעת חוק להקפאת כספים ששילמה הרשות הפלסטינית בזיקה לטרור מהכספים המועברים אליה מממשלת ישראל (תיקון - קיזוז כספים בגין פיצוי על נזקי גניבת רכבים), התשפ""ה-2025 ")</f>
        <v>3678</v>
      </c>
      <c r="E1734" t="s">
        <v>3678</v>
      </c>
      <c r="F1734" t="s">
        <v>3679</v>
      </c>
      <c r="G1734" t="s">
        <v>14</v>
      </c>
      <c r="H1734">
             </c>
      <c r="I1734" t="s">
        <v>14</v>
      </c>
      <c r="J1734" t="s">
        <v>31</v>
      </c>
      <c r="K1734" t="s">
        <v>114</v>
      </c>
      <c r="L1734" t="s">
        <v>20</v>
      </c>
      <c r="M1734" t="s">
        <v>3670</v>
      </c>
      <c r="N1734" t="s">
        <v>14</v>
      </c>
    </row>
    <row r="1735" x14ac:dyDescent="0.25">
      <c r="A1735" t="n">
        <v>25</v>
      </c>
      <c r="B1735" t="s">
        <v>14</v>
      </c>
      <c r="C1735" t="s">
        <v>22</v>
      </c>
      <c r="D1735" s="2" t="s">
        <f>=HYPERLINK("https://main.knesset.gov.il/APPS/legislation/main/bills/2226667", "הצעת חוק ועדות חקירה (תיקון - אירועי חובה להקמת ועדת חקירה ממלכתית), התשפ""ה-2025")</f>
        <v>2961</v>
      </c>
      <c r="E1735" t="s">
        <v>2961</v>
      </c>
      <c r="F1735" t="s">
        <v>3680</v>
      </c>
      <c r="G1735" t="s">
        <v>14</v>
      </c>
      <c r="H1735">
             </c>
      <c r="I1735" t="s">
        <v>14</v>
      </c>
      <c r="J1735" t="s">
        <v>55</v>
      </c>
      <c r="K1735" t="s">
        <v>14</v>
      </c>
      <c r="L1735" t="s">
        <v>20</v>
      </c>
      <c r="M1735" t="s">
        <v>3670</v>
      </c>
      <c r="N1735" t="s">
        <v>14</v>
      </c>
    </row>
    <row r="1736" x14ac:dyDescent="0.25">
      <c r="A1736" t="n">
        <v>25</v>
      </c>
      <c r="B1736" t="s">
        <v>14</v>
      </c>
      <c r="C1736" t="s">
        <v>22</v>
      </c>
      <c r="D1736" s="2" t="s">
        <f>=HYPERLINK("https://main.knesset.gov.il/APPS/legislation/main/bills/2226314", "הצעת חוק העונשין (תיקון - עבירות זיוף עמוק), התשפ""ה-2025")</f>
        <v>3588</v>
      </c>
      <c r="E1736" t="s">
        <v>3588</v>
      </c>
      <c r="F1736" t="s">
        <v>3681</v>
      </c>
      <c r="G1736" t="s">
        <v>14</v>
      </c>
      <c r="H1736">
             </c>
      <c r="I1736" t="s">
        <v>14</v>
      </c>
      <c r="J1736" t="s">
        <v>55</v>
      </c>
      <c r="K1736" t="s">
        <v>14</v>
      </c>
      <c r="L1736" t="s">
        <v>20</v>
      </c>
      <c r="M1736" t="s">
        <v>3670</v>
      </c>
      <c r="N1736" t="s">
        <v>14</v>
      </c>
    </row>
    <row r="1737" x14ac:dyDescent="0.25">
      <c r="A1737" t="n">
        <v>25</v>
      </c>
      <c r="B1737" t="s">
        <v>14</v>
      </c>
      <c r="C1737" t="s">
        <v>22</v>
      </c>
      <c r="D1737" s="2" t="s">
        <f>=HYPERLINK("https://main.knesset.gov.il/APPS/legislation/main/bills/2225729", "הצעת חוק יום בריאות הלב, התשפ""ה-2025")</f>
        <v>3682</v>
      </c>
      <c r="E1737" t="s">
        <v>3682</v>
      </c>
      <c r="F1737" t="s">
        <v>3683</v>
      </c>
      <c r="G1737" t="s">
        <v>14</v>
      </c>
      <c r="H1737">
             </c>
      <c r="I1737" t="s">
        <v>14</v>
      </c>
      <c r="J1737" t="s">
        <v>31</v>
      </c>
      <c r="K1737" t="s">
        <v>34</v>
      </c>
      <c r="L1737" t="s">
        <v>20</v>
      </c>
      <c r="M1737" t="s">
        <v>3670</v>
      </c>
      <c r="N1737" t="s">
        <v>14</v>
      </c>
    </row>
    <row r="1738" x14ac:dyDescent="0.25">
      <c r="A1738" t="n">
        <v>25</v>
      </c>
      <c r="B1738" t="s">
        <v>14</v>
      </c>
      <c r="C1738" t="s">
        <v>22</v>
      </c>
      <c r="D1738" s="2" t="s">
        <f>=HYPERLINK("https://main.knesset.gov.il/APPS/legislation/main/bills/2224574", "הצעת חוק להקפאת כספים ששילמה הרשות הפלסטינית בזיקה לטרור מהכספים המועברים אליה מממשלת ישראל (תיקון - קיזוז כספים בגין פיצוי על נזקי גניבת רכבים), התשפ""ה-2024 ")</f>
        <v>3684</v>
      </c>
      <c r="E1738" t="s">
        <v>3684</v>
      </c>
      <c r="F1738" t="s">
        <v>3685</v>
      </c>
      <c r="G1738" t="s">
        <v>14</v>
      </c>
      <c r="H1738">
             </c>
      <c r="I1738" t="s">
        <v>14</v>
      </c>
      <c r="J1738" t="s">
        <v>31</v>
      </c>
      <c r="K1738" t="s">
        <v>114</v>
      </c>
      <c r="L1738" t="s">
        <v>20</v>
      </c>
      <c r="M1738" t="s">
        <v>3670</v>
      </c>
      <c r="N1738" t="s">
        <v>14</v>
      </c>
    </row>
    <row r="1739" x14ac:dyDescent="0.25">
      <c r="A1739" t="n">
        <v>25</v>
      </c>
      <c r="B1739" t="s">
        <v>14</v>
      </c>
      <c r="C1739" t="s">
        <v>22</v>
      </c>
      <c r="D1739" s="2" t="s">
        <f>=HYPERLINK("https://main.knesset.gov.il/APPS/legislation/main/bills/2223239", "הצעת חוק הריסת בתי מחבלים, התשפ""ה-2024")</f>
        <v>3686</v>
      </c>
      <c r="E1739" t="s">
        <v>3686</v>
      </c>
      <c r="F1739" t="s">
        <v>3687</v>
      </c>
      <c r="G1739" t="s">
        <v>14</v>
      </c>
      <c r="H1739">
             </c>
      <c r="I1739" t="s">
        <v>14</v>
      </c>
      <c r="J1739" t="s">
        <v>31</v>
      </c>
      <c r="K1739" t="s">
        <v>114</v>
      </c>
      <c r="L1739" t="s">
        <v>20</v>
      </c>
      <c r="M1739" t="s">
        <v>3670</v>
      </c>
      <c r="N1739" t="s">
        <v>14</v>
      </c>
    </row>
    <row r="1740" x14ac:dyDescent="0.25">
      <c r="A1740" t="n">
        <v>25</v>
      </c>
      <c r="B1740" t="s">
        <v>14</v>
      </c>
      <c r="C1740" t="s">
        <v>22</v>
      </c>
      <c r="D1740" s="2" t="s">
        <f>=HYPERLINK("https://main.knesset.gov.il/APPS/legislation/main/bills/2220281", "הצעת חוק החברות (תיקון - מכסות ייצוג לנשים בדירקטוריונים של חברות ציבוריות), התשפ""ד-2024")</f>
        <v>3688</v>
      </c>
      <c r="E1740" t="s">
        <v>3688</v>
      </c>
      <c r="F1740" t="s">
        <v>3689</v>
      </c>
      <c r="G1740" t="s">
        <v>14</v>
      </c>
      <c r="H1740">
             </c>
      <c r="I1740" t="s">
        <v>14</v>
      </c>
      <c r="J1740" t="s">
        <v>55</v>
      </c>
      <c r="K1740" t="s">
        <v>14</v>
      </c>
      <c r="L1740" t="s">
        <v>20</v>
      </c>
      <c r="M1740" t="s">
        <v>3670</v>
      </c>
      <c r="N1740" t="s">
        <v>14</v>
      </c>
    </row>
    <row r="1741" x14ac:dyDescent="0.25">
      <c r="A1741" t="n">
        <v>25</v>
      </c>
      <c r="B1741" t="s">
        <v>14</v>
      </c>
      <c r="C1741" t="s">
        <v>22</v>
      </c>
      <c r="D1741" s="2" t="s">
        <f>=HYPERLINK("https://main.knesset.gov.il/APPS/legislation/main/bills/2210668", "הצעת חוק חינוך מיוחד (תיקון - שילוב בתנועות נוער), התשפ""ד-2024")</f>
        <v>3690</v>
      </c>
      <c r="E1741" t="s">
        <v>3690</v>
      </c>
      <c r="F1741" t="s">
        <v>3691</v>
      </c>
      <c r="G1741" t="s">
        <v>14</v>
      </c>
      <c r="H1741">
             </c>
      <c r="I1741" t="s">
        <v>14</v>
      </c>
      <c r="J1741" t="s">
        <v>343</v>
      </c>
      <c r="K1741" t="s">
        <v>14</v>
      </c>
      <c r="L1741" t="s">
        <v>20</v>
      </c>
      <c r="M1741" t="s">
        <v>3670</v>
      </c>
      <c r="N1741" t="s">
        <v>14</v>
      </c>
    </row>
    <row r="1742" x14ac:dyDescent="0.25">
      <c r="A1742" t="n">
        <v>25</v>
      </c>
      <c r="B1742" t="s">
        <v>14</v>
      </c>
      <c r="C1742" t="s">
        <v>22</v>
      </c>
      <c r="D1742" s="2" t="s">
        <f>=HYPERLINK("https://main.knesset.gov.il/APPS/legislation/main/bills/2212895", "הצעת חוק משפחות חיילים שנספו במערכה (תגמולים ושיקום) (תיקון - זכויות הסתגלות לאחים שכולים), התשפ""ד-2024")</f>
        <v>3692</v>
      </c>
      <c r="E1742" t="s">
        <v>3692</v>
      </c>
      <c r="F1742" t="s">
        <v>3693</v>
      </c>
      <c r="G1742" t="s">
        <v>14</v>
      </c>
      <c r="H1742">
             </c>
      <c r="I1742" t="s">
        <v>14</v>
      </c>
      <c r="J1742" t="s">
        <v>55</v>
      </c>
      <c r="K1742" t="s">
        <v>14</v>
      </c>
      <c r="L1742" t="s">
        <v>20</v>
      </c>
      <c r="M1742" t="s">
        <v>3670</v>
      </c>
      <c r="N1742" t="s">
        <v>14</v>
      </c>
    </row>
    <row r="1743" x14ac:dyDescent="0.25">
      <c r="A1743" t="n">
        <v>25</v>
      </c>
      <c r="B1743" t="s">
        <v>14</v>
      </c>
      <c r="C1743" t="s">
        <v>22</v>
      </c>
      <c r="D1743" s="2" t="s">
        <f>=HYPERLINK("https://main.knesset.gov.il/APPS/legislation/main/bills/2197673", "הצעת חוק המועצה להשכלה גבוהה (תיקון - פטור משכר לימוד לסטודנטים מתחת לקו העוני), התשפ""ג-2022")</f>
        <v>3694</v>
      </c>
      <c r="E1743" t="s">
        <v>3694</v>
      </c>
      <c r="F1743" t="s">
        <v>3695</v>
      </c>
      <c r="G1743" t="s">
        <v>14</v>
      </c>
      <c r="H1743">
             </c>
      <c r="I1743" t="s">
        <v>14</v>
      </c>
      <c r="J1743" t="s">
        <v>55</v>
      </c>
      <c r="K1743" t="s">
        <v>14</v>
      </c>
      <c r="L1743" t="s">
        <v>20</v>
      </c>
      <c r="M1743" t="s">
        <v>3670</v>
      </c>
      <c r="N1743" t="s">
        <v>14</v>
      </c>
    </row>
    <row r="1744" x14ac:dyDescent="0.25">
      <c r="A1744" t="n">
        <v>25</v>
      </c>
      <c r="B1744" t="s">
        <v>14</v>
      </c>
      <c r="C1744" t="s">
        <v>15</v>
      </c>
      <c r="D1744" s="2" t="s">
        <f>=HYPERLINK("https://main.knesset.gov.il/APPS/legislation/main/bills/2227228", "פרק ח' (השתתפותם של העובדים ובעלי תפקיד בשירות הציבורי, בצעדים לייצוב המצב הפיסקלי במדינה במהלך השנים 2025 ו-2026 (הוראת שעה) מתוך הצעת חוק ההתייעלות הכלכלית (תיקוני חקיקה להשגת יעדי התקציב לשנת התקציב 2025), התשפ""ה-2024 ")</f>
        <v>3696</v>
      </c>
      <c r="E1744" t="s">
        <v>3696</v>
      </c>
      <c r="F1744" t="s">
        <v>14</v>
      </c>
      <c r="G1744" t="s">
        <v>43</v>
      </c>
      <c r="H1744">
             </c>
      <c r="I1744" t="s">
        <v>14</v>
      </c>
      <c r="J1744" t="s">
        <v>99</v>
      </c>
      <c r="K1744" t="s">
        <v>121</v>
      </c>
      <c r="L1744" t="s">
        <v>20</v>
      </c>
      <c r="M1744" t="s">
        <v>3697</v>
      </c>
      <c r="N1744" t="s">
        <v>14</v>
      </c>
    </row>
    <row r="1745" x14ac:dyDescent="0.25">
      <c r="A1745" t="n">
        <v>25</v>
      </c>
      <c r="B1745" t="s">
        <v>14</v>
      </c>
      <c r="C1745" t="s">
        <v>15</v>
      </c>
      <c r="D1745" s="2" t="s">
        <f>=HYPERLINK("https://main.knesset.gov.il/APPS/legislation/main/bills/2227225", "סעיף 21 (חוק שירות המדינה (גמלאות)) מתוך הצעת חוק ההתייעלות הכלכלית (תיקוני חקיקה להשגת יעדי התקציב לשנת התקציב 2025), התשפ""ה-2024 [פרק ו']")</f>
        <v>3698</v>
      </c>
      <c r="E1745" t="s">
        <v>3698</v>
      </c>
      <c r="F1745" t="s">
        <v>14</v>
      </c>
      <c r="G1745" t="s">
        <v>43</v>
      </c>
      <c r="H1745">
             </c>
      <c r="I1745" t="s">
        <v>14</v>
      </c>
      <c r="J1745" t="s">
        <v>99</v>
      </c>
      <c r="K1745" t="s">
        <v>121</v>
      </c>
      <c r="L1745" t="s">
        <v>20</v>
      </c>
      <c r="M1745" t="s">
        <v>3697</v>
      </c>
      <c r="N1745" t="s">
        <v>14</v>
      </c>
    </row>
    <row r="1746" x14ac:dyDescent="0.25">
      <c r="A1746" t="n">
        <v>25</v>
      </c>
      <c r="B1746" t="s">
        <v>14</v>
      </c>
      <c r="C1746" t="s">
        <v>15</v>
      </c>
      <c r="D1746" s="2" t="s">
        <f>=HYPERLINK("https://main.knesset.gov.il/APPS/legislation/main/bills/2227226", "סעיף 22 (חוק שירות הקבע בצה""ל (גמלאות)) מתוך הצעת חוק ההתייעלות הכלכלית (תיקוני חקיקה להשגת יעדי התקציב לשנת התקציב 2025), התשפ""ה-2024 [פרק ו']")</f>
        <v>3699</v>
      </c>
      <c r="E1746" t="s">
        <v>3699</v>
      </c>
      <c r="F1746" t="s">
        <v>14</v>
      </c>
      <c r="G1746" t="s">
        <v>43</v>
      </c>
      <c r="H1746">
             </c>
      <c r="I1746" t="s">
        <v>14</v>
      </c>
      <c r="J1746" t="s">
        <v>99</v>
      </c>
      <c r="K1746" t="s">
        <v>121</v>
      </c>
      <c r="L1746" t="s">
        <v>20</v>
      </c>
      <c r="M1746" t="s">
        <v>3697</v>
      </c>
      <c r="N1746" t="s">
        <v>14</v>
      </c>
    </row>
    <row r="1747" x14ac:dyDescent="0.25">
      <c r="A1747" t="n">
        <v>25</v>
      </c>
      <c r="B1747" t="s">
        <v>14</v>
      </c>
      <c r="C1747" t="s">
        <v>22</v>
      </c>
      <c r="D1747" s="2" t="s">
        <f>=HYPERLINK("https://main.knesset.gov.il/APPS/legislation/main/bills/2222966", "הצעת חוק איסור הפליה ברישוי מחמת מצב בריאותי (תיקוני חקיקה), התשפ""ה-2024")</f>
        <v>3700</v>
      </c>
      <c r="E1747" t="s">
        <v>3700</v>
      </c>
      <c r="F1747" t="s">
        <v>3701</v>
      </c>
      <c r="G1747" t="s">
        <v>14</v>
      </c>
      <c r="H1747">
             </c>
      <c r="I1747" t="s">
        <v>14</v>
      </c>
      <c r="J1747" t="s">
        <v>99</v>
      </c>
      <c r="K1747" t="s">
        <v>480</v>
      </c>
      <c r="L1747" t="s">
        <v>20</v>
      </c>
      <c r="M1747" t="s">
        <v>3697</v>
      </c>
      <c r="N1747" t="s">
        <v>14</v>
      </c>
    </row>
    <row r="1748" x14ac:dyDescent="0.25">
      <c r="A1748" t="n">
        <v>25</v>
      </c>
      <c r="B1748" t="s">
        <v>14</v>
      </c>
      <c r="C1748" t="s">
        <v>22</v>
      </c>
      <c r="D1748" s="2" t="s">
        <f>=HYPERLINK("https://main.knesset.gov.il/APPS/legislation/main/bills/2212657", "הצעת חוק הדחת נציג ציבור התומך במאבק מזוין נגד מדינת ישראל (תיקוני חקיקה), התשפ""ד-2024")</f>
        <v>3702</v>
      </c>
      <c r="E1748" t="s">
        <v>3702</v>
      </c>
      <c r="F1748" t="s">
        <v>3703</v>
      </c>
      <c r="G1748" t="s">
        <v>14</v>
      </c>
      <c r="H1748">
             </c>
      <c r="I1748" t="s">
        <v>14</v>
      </c>
      <c r="J1748" t="s">
        <v>99</v>
      </c>
      <c r="K1748" t="s">
        <v>46</v>
      </c>
      <c r="L1748" t="s">
        <v>20</v>
      </c>
      <c r="M1748" t="s">
        <v>3697</v>
      </c>
      <c r="N1748" t="s">
        <v>14</v>
      </c>
    </row>
    <row r="1749" x14ac:dyDescent="0.25">
      <c r="A1749" t="n">
        <v>25</v>
      </c>
      <c r="B1749" t="s">
        <v>14</v>
      </c>
      <c r="C1749" t="s">
        <v>22</v>
      </c>
      <c r="D1749" s="2" t="s">
        <f>=HYPERLINK("https://main.knesset.gov.il/APPS/legislation/main/bills/2211426", "הצעת חוק הרשויות המקומיות (בחירות) (תיקון - מניעת השתתפות של מועמד או של רשימת מועמדים בבחירות), התשפ""ד-2023")</f>
        <v>3704</v>
      </c>
      <c r="E1749" t="s">
        <v>3704</v>
      </c>
      <c r="F1749" t="s">
        <v>3705</v>
      </c>
      <c r="G1749" t="s">
        <v>14</v>
      </c>
      <c r="H1749">
             </c>
      <c r="I1749" t="s">
        <v>14</v>
      </c>
      <c r="J1749" t="s">
        <v>99</v>
      </c>
      <c r="K1749" t="s">
        <v>46</v>
      </c>
      <c r="L1749" t="s">
        <v>20</v>
      </c>
      <c r="M1749" t="s">
        <v>3697</v>
      </c>
      <c r="N1749" t="s">
        <v>14</v>
      </c>
    </row>
    <row r="1750" x14ac:dyDescent="0.25">
      <c r="A1750" t="n">
        <v>25</v>
      </c>
      <c r="B1750" t="s">
        <v>14</v>
      </c>
      <c r="C1750" t="s">
        <v>22</v>
      </c>
      <c r="D1750" s="2" t="s">
        <f>=HYPERLINK("https://main.knesset.gov.il/APPS/legislation/main/bills/2207085", "הצעת חוק בתי המשפט (תיקון - תקופת צינון למינוי שופט שכיהן כפרקליט), התשפ""ג- 2023")</f>
        <v>3706</v>
      </c>
      <c r="E1750" t="s">
        <v>3706</v>
      </c>
      <c r="F1750" t="s">
        <v>3707</v>
      </c>
      <c r="G1750" t="s">
        <v>14</v>
      </c>
      <c r="H1750">
             </c>
      <c r="I1750" t="s">
        <v>14</v>
      </c>
      <c r="J1750" t="s">
        <v>31</v>
      </c>
      <c r="K1750" t="s">
        <v>27</v>
      </c>
      <c r="L1750" t="s">
        <v>20</v>
      </c>
      <c r="M1750" t="s">
        <v>3697</v>
      </c>
      <c r="N1750" t="s">
        <v>14</v>
      </c>
    </row>
    <row r="1751" x14ac:dyDescent="0.25">
      <c r="A1751" t="n">
        <v>25</v>
      </c>
      <c r="B1751" t="s">
        <v>14</v>
      </c>
      <c r="C1751" t="s">
        <v>15</v>
      </c>
      <c r="D1751" s="2" t="s">
        <f>=HYPERLINK("https://main.knesset.gov.il/APPS/legislation/main/bills/2227220", "סעיף 8(1)-(3), (5), (7)-(9), 9(2), 10(1) ו-14 (הוצאות שלא מותרות בניכוי והגבלת תשלומים במזומן) מתוך הצעת חוק ההתייעלות הכלכלית (תיקוני חקיקה להשגת יעדי התקציב לשנת התקציב 2025), התשפ""ה-2024 ")</f>
        <v>3708</v>
      </c>
      <c r="E1751" t="s">
        <v>3708</v>
      </c>
      <c r="F1751" t="s">
        <v>14</v>
      </c>
      <c r="G1751" t="s">
        <v>43</v>
      </c>
      <c r="H1751">
             </c>
      <c r="I1751" t="s">
        <v>14</v>
      </c>
      <c r="J1751" t="s">
        <v>99</v>
      </c>
      <c r="K1751" t="s">
        <v>121</v>
      </c>
      <c r="L1751" t="s">
        <v>20</v>
      </c>
      <c r="M1751" t="s">
        <v>3697</v>
      </c>
      <c r="N1751" t="s">
        <v>14</v>
      </c>
    </row>
    <row r="1752" x14ac:dyDescent="0.25">
      <c r="A1752" t="n">
        <v>25</v>
      </c>
      <c r="B1752" t="s">
        <v>14</v>
      </c>
      <c r="C1752" t="s">
        <v>15</v>
      </c>
      <c r="D1752" s="2" t="s">
        <f>=HYPERLINK("https://main.knesset.gov.il/APPS/legislation/main/bills/2228291", "סעיפים 11 ו-13 (שינוי מודל החשבוניות הפיקטיביות) מתוך הצעת חוק ההתייעלות הכלכלית (תיקוני חקיקה להשגת יעדי התקציב לשנת התקציב 2025), התשפ""ה-2024 ")</f>
        <v>3709</v>
      </c>
      <c r="E1752" t="s">
        <v>3709</v>
      </c>
      <c r="F1752" t="s">
        <v>14</v>
      </c>
      <c r="G1752" t="s">
        <v>43</v>
      </c>
      <c r="H1752">
             </c>
      <c r="I1752" t="s">
        <v>14</v>
      </c>
      <c r="J1752" t="s">
        <v>99</v>
      </c>
      <c r="K1752" t="s">
        <v>121</v>
      </c>
      <c r="L1752" t="s">
        <v>20</v>
      </c>
      <c r="M1752" t="s">
        <v>3697</v>
      </c>
      <c r="N1752" t="s">
        <v>14</v>
      </c>
    </row>
    <row r="1753" x14ac:dyDescent="0.25">
      <c r="A1753" t="n">
        <v>25</v>
      </c>
      <c r="B1753" t="s">
        <v>14</v>
      </c>
      <c r="C1753" t="s">
        <v>22</v>
      </c>
      <c r="D1753" s="2" t="s">
        <f>=HYPERLINK("https://main.knesset.gov.il/APPS/legislation/main/bills/2229056", "הצעת חוק איסור צריכת זנות (תיקון - עיגון כהוראת קבע), התשפ""ה-2025")</f>
        <v>3710</v>
      </c>
      <c r="E1753" t="s">
        <v>3710</v>
      </c>
      <c r="F1753" t="s">
        <v>3711</v>
      </c>
      <c r="G1753" t="s">
        <v>14</v>
      </c>
      <c r="H1753">
             </c>
      <c r="I1753" t="s">
        <v>14</v>
      </c>
      <c r="J1753" t="s">
        <v>141</v>
      </c>
      <c r="K1753" t="s">
        <v>14</v>
      </c>
      <c r="L1753" t="s">
        <v>20</v>
      </c>
      <c r="M1753" t="s">
        <v>3697</v>
      </c>
      <c r="N1753" t="s">
        <v>14</v>
      </c>
    </row>
    <row r="1754" x14ac:dyDescent="0.25">
      <c r="A1754" t="n">
        <v>25</v>
      </c>
      <c r="B1754" t="s">
        <v>14</v>
      </c>
      <c r="C1754" t="s">
        <v>22</v>
      </c>
      <c r="D1754" s="2" t="s">
        <f>=HYPERLINK("https://main.knesset.gov.il/APPS/legislation/main/bills/2229355", "הצעת חוק לתיקון פקודת המשטרה (מערכת צילום ביומטרית), התשפ""ה-2025")</f>
        <v>3712</v>
      </c>
      <c r="E1754" t="s">
        <v>3712</v>
      </c>
      <c r="F1754" t="s">
        <v>3713</v>
      </c>
      <c r="G1754" t="s">
        <v>14</v>
      </c>
      <c r="H1754">
             </c>
      <c r="I1754" t="s">
        <v>14</v>
      </c>
      <c r="J1754" t="s">
        <v>141</v>
      </c>
      <c r="K1754" t="s">
        <v>14</v>
      </c>
      <c r="L1754" t="s">
        <v>20</v>
      </c>
      <c r="M1754" t="s">
        <v>3697</v>
      </c>
      <c r="N1754" t="s">
        <v>14</v>
      </c>
    </row>
    <row r="1755" x14ac:dyDescent="0.25">
      <c r="A1755" t="n">
        <v>25</v>
      </c>
      <c r="B1755" t="s">
        <v>14</v>
      </c>
      <c r="C1755" t="s">
        <v>22</v>
      </c>
      <c r="D1755" s="2" t="s">
        <f>=HYPERLINK("https://main.knesset.gov.il/APPS/legislation/main/bills/2228528", "הצעת חוק עקרונות לפדיון שבויים ונעדרים, התשפ""ה-2025")</f>
        <v>3714</v>
      </c>
      <c r="E1755" t="s">
        <v>3714</v>
      </c>
      <c r="F1755" t="s">
        <v>3715</v>
      </c>
      <c r="G1755" t="s">
        <v>14</v>
      </c>
      <c r="H1755">
             </c>
      <c r="I1755" t="s">
        <v>14</v>
      </c>
      <c r="J1755" t="s">
        <v>141</v>
      </c>
      <c r="K1755" t="s">
        <v>14</v>
      </c>
      <c r="L1755" t="s">
        <v>20</v>
      </c>
      <c r="M1755" t="s">
        <v>3697</v>
      </c>
      <c r="N1755" t="s">
        <v>14</v>
      </c>
    </row>
    <row r="1756" x14ac:dyDescent="0.25">
      <c r="A1756" t="n">
        <v>25</v>
      </c>
      <c r="B1756" t="s">
        <v>14</v>
      </c>
      <c r="C1756" t="s">
        <v>22</v>
      </c>
      <c r="D1756" s="2" t="s">
        <f>=HYPERLINK("https://main.knesset.gov.il/APPS/legislation/main/bills/2228236", "הצעת חוק בתי המשפט (תיקון - בוררות חובה בתובענה כספית), התשפ""ה-2025")</f>
        <v>3716</v>
      </c>
      <c r="E1756" t="s">
        <v>3716</v>
      </c>
      <c r="F1756" t="s">
        <v>3717</v>
      </c>
      <c r="G1756" t="s">
        <v>14</v>
      </c>
      <c r="H1756">
             </c>
      <c r="I1756" t="s">
        <v>14</v>
      </c>
      <c r="J1756" t="s">
        <v>141</v>
      </c>
      <c r="K1756" t="s">
        <v>14</v>
      </c>
      <c r="L1756" t="s">
        <v>20</v>
      </c>
      <c r="M1756" t="s">
        <v>3697</v>
      </c>
      <c r="N1756" t="s">
        <v>14</v>
      </c>
    </row>
    <row r="1757" x14ac:dyDescent="0.25">
      <c r="A1757" t="n">
        <v>25</v>
      </c>
      <c r="B1757" t="s">
        <v>14</v>
      </c>
      <c r="C1757" t="s">
        <v>22</v>
      </c>
      <c r="D1757" s="2" t="s">
        <f>=HYPERLINK("https://main.knesset.gov.il/APPS/legislation/main/bills/2228790", "הצעת חוק המאבק בסנקציות נגד מדינת ישראל, התשפ""ה-2025")</f>
        <v>3718</v>
      </c>
      <c r="E1757" t="s">
        <v>3718</v>
      </c>
      <c r="F1757" t="s">
        <v>3719</v>
      </c>
      <c r="G1757" t="s">
        <v>14</v>
      </c>
      <c r="H1757">
             </c>
      <c r="I1757" t="s">
        <v>14</v>
      </c>
      <c r="J1757" t="s">
        <v>141</v>
      </c>
      <c r="K1757" t="s">
        <v>14</v>
      </c>
      <c r="L1757" t="s">
        <v>20</v>
      </c>
      <c r="M1757" t="s">
        <v>3697</v>
      </c>
      <c r="N1757" t="s">
        <v>14</v>
      </c>
    </row>
    <row r="1758" x14ac:dyDescent="0.25">
      <c r="A1758" t="n">
        <v>25</v>
      </c>
      <c r="B1758" t="s">
        <v>14</v>
      </c>
      <c r="C1758" t="s">
        <v>22</v>
      </c>
      <c r="D1758" s="2" t="s">
        <f>=HYPERLINK("https://main.knesset.gov.il/APPS/legislation/main/bills/2228927", "הצעת חוק איסור מתן היתרי עבודה לתושבי הרשות הפלסטינית, התשפ""ה-2025")</f>
        <v>3720</v>
      </c>
      <c r="E1758" t="s">
        <v>3720</v>
      </c>
      <c r="F1758" t="s">
        <v>3721</v>
      </c>
      <c r="G1758" t="s">
        <v>14</v>
      </c>
      <c r="H1758">
             </c>
      <c r="I1758" t="s">
        <v>14</v>
      </c>
      <c r="J1758" t="s">
        <v>141</v>
      </c>
      <c r="K1758" t="s">
        <v>14</v>
      </c>
      <c r="L1758" t="s">
        <v>20</v>
      </c>
      <c r="M1758" t="s">
        <v>3697</v>
      </c>
      <c r="N1758" t="s">
        <v>14</v>
      </c>
    </row>
    <row r="1759" x14ac:dyDescent="0.25">
      <c r="A1759" t="n">
        <v>25</v>
      </c>
      <c r="B1759" t="s">
        <v>14</v>
      </c>
      <c r="C1759" t="s">
        <v>22</v>
      </c>
      <c r="D1759" s="2" t="s">
        <f>=HYPERLINK("https://main.knesset.gov.il/APPS/legislation/main/bills/2228945", "הצעת חוק לביטול הסכם אוסלו, הסכם חברון והסכם ואי, התשפ""ה-2025")</f>
        <v>3722</v>
      </c>
      <c r="E1759" t="s">
        <v>3722</v>
      </c>
      <c r="F1759" t="s">
        <v>3723</v>
      </c>
      <c r="G1759" t="s">
        <v>14</v>
      </c>
      <c r="H1759">
             </c>
      <c r="I1759" t="s">
        <v>14</v>
      </c>
      <c r="J1759" t="s">
        <v>141</v>
      </c>
      <c r="K1759" t="s">
        <v>14</v>
      </c>
      <c r="L1759" t="s">
        <v>20</v>
      </c>
      <c r="M1759" t="s">
        <v>3697</v>
      </c>
      <c r="N1759" t="s">
        <v>14</v>
      </c>
    </row>
    <row r="1760" x14ac:dyDescent="0.25">
      <c r="A1760" t="n">
        <v>25</v>
      </c>
      <c r="B1760" t="s">
        <v>14</v>
      </c>
      <c r="C1760" t="s">
        <v>22</v>
      </c>
      <c r="D1760" s="2" t="s">
        <f>=HYPERLINK("https://main.knesset.gov.il/APPS/legislation/main/bills/2228234", "הצעת חוק להגברת האכיפה של דיני העבודה (תיקון - עיצום כספי בשל אי-הסדרת ביטוח רפואי לעובד זר), התשפ""ה-2025")</f>
        <v>3189</v>
      </c>
      <c r="E1760" t="s">
        <v>3189</v>
      </c>
      <c r="F1760" t="s">
        <v>3724</v>
      </c>
      <c r="G1760" t="s">
        <v>14</v>
      </c>
      <c r="H1760">
             </c>
      <c r="I1760" t="s">
        <v>14</v>
      </c>
      <c r="J1760" t="s">
        <v>141</v>
      </c>
      <c r="K1760" t="s">
        <v>14</v>
      </c>
      <c r="L1760" t="s">
        <v>20</v>
      </c>
      <c r="M1760" t="s">
        <v>3697</v>
      </c>
      <c r="N1760" t="s">
        <v>14</v>
      </c>
    </row>
    <row r="1761" x14ac:dyDescent="0.25">
      <c r="A1761" t="n">
        <v>25</v>
      </c>
      <c r="B1761" t="s">
        <v>14</v>
      </c>
      <c r="C1761" t="s">
        <v>22</v>
      </c>
      <c r="D1761" s="2" t="s">
        <f>=HYPERLINK("https://main.knesset.gov.il/APPS/legislation/main/bills/2229611", "הצעת חוק הביטוח הלאומי (תיקון - עבודה בחינוך וסיוע להוראה או בטיפול בילדים כעבודה מועדפת), התשפ""ה-2025")</f>
        <v>3725</v>
      </c>
      <c r="E1761" t="s">
        <v>3725</v>
      </c>
      <c r="F1761" t="s">
        <v>3726</v>
      </c>
      <c r="G1761" t="s">
        <v>14</v>
      </c>
      <c r="H1761">
             </c>
      <c r="I1761" t="s">
        <v>14</v>
      </c>
      <c r="J1761" t="s">
        <v>141</v>
      </c>
      <c r="K1761" t="s">
        <v>14</v>
      </c>
      <c r="L1761" t="s">
        <v>20</v>
      </c>
      <c r="M1761" t="s">
        <v>3697</v>
      </c>
      <c r="N1761" t="s">
        <v>14</v>
      </c>
    </row>
    <row r="1762" x14ac:dyDescent="0.25">
      <c r="A1762" t="n">
        <v>25</v>
      </c>
      <c r="B1762" t="s">
        <v>14</v>
      </c>
      <c r="C1762" t="s">
        <v>22</v>
      </c>
      <c r="D1762" s="2" t="s">
        <f>=HYPERLINK("https://main.knesset.gov.il/APPS/legislation/main/bills/2229516", "הצעת חוק לתיקון מונחים בחקיקה (בית רפואה), התשפ""ה-2025")</f>
        <v>3727</v>
      </c>
      <c r="E1762" t="s">
        <v>3727</v>
      </c>
      <c r="F1762" t="s">
        <v>3728</v>
      </c>
      <c r="G1762" t="s">
        <v>14</v>
      </c>
      <c r="H1762">
             </c>
      <c r="I1762" t="s">
        <v>14</v>
      </c>
      <c r="J1762" t="s">
        <v>141</v>
      </c>
      <c r="K1762" t="s">
        <v>14</v>
      </c>
      <c r="L1762" t="s">
        <v>20</v>
      </c>
      <c r="M1762" t="s">
        <v>3697</v>
      </c>
      <c r="N1762" t="s">
        <v>14</v>
      </c>
    </row>
    <row r="1763" x14ac:dyDescent="0.25">
      <c r="A1763" t="n">
        <v>25</v>
      </c>
      <c r="B1763" t="s">
        <v>14</v>
      </c>
      <c r="C1763" t="s">
        <v>22</v>
      </c>
      <c r="D1763" s="2" t="s">
        <f>=HYPERLINK("https://main.knesset.gov.il/APPS/legislation/main/bills/2229805", "הצעת חוק הסדרת השימוש בקנאביס למטרות רפואיות, התשפ""ה-2025")</f>
        <v>2588</v>
      </c>
      <c r="E1763" t="s">
        <v>2588</v>
      </c>
      <c r="F1763" t="s">
        <v>3729</v>
      </c>
      <c r="G1763" t="s">
        <v>14</v>
      </c>
      <c r="H1763">
             </c>
      <c r="I1763" t="s">
        <v>14</v>
      </c>
      <c r="J1763" t="s">
        <v>141</v>
      </c>
      <c r="K1763" t="s">
        <v>14</v>
      </c>
      <c r="L1763" t="s">
        <v>20</v>
      </c>
      <c r="M1763" t="s">
        <v>3697</v>
      </c>
      <c r="N1763" t="s">
        <v>14</v>
      </c>
    </row>
    <row r="1764" x14ac:dyDescent="0.25">
      <c r="A1764" t="n">
        <v>25</v>
      </c>
      <c r="B1764" t="s">
        <v>14</v>
      </c>
      <c r="C1764" t="s">
        <v>22</v>
      </c>
      <c r="D1764" s="2" t="s">
        <f>=HYPERLINK("https://main.knesset.gov.il/APPS/legislation/main/bills/2228412", "הצעת חוק החלת הריבונות של מדינת ישראל בחבלי יהודה והשומרון, התשפ""ה-2025")</f>
        <v>2185</v>
      </c>
      <c r="E1764" t="s">
        <v>2185</v>
      </c>
      <c r="F1764" t="s">
        <v>3730</v>
      </c>
      <c r="G1764" t="s">
        <v>14</v>
      </c>
      <c r="H1764">
             </c>
      <c r="I1764" t="s">
        <v>14</v>
      </c>
      <c r="J1764" t="s">
        <v>141</v>
      </c>
      <c r="K1764" t="s">
        <v>14</v>
      </c>
      <c r="L1764" t="s">
        <v>20</v>
      </c>
      <c r="M1764" t="s">
        <v>3697</v>
      </c>
      <c r="N1764" t="s">
        <v>14</v>
      </c>
    </row>
    <row r="1765" x14ac:dyDescent="0.25">
      <c r="A1765" t="n">
        <v>25</v>
      </c>
      <c r="B1765" t="s">
        <v>14</v>
      </c>
      <c r="C1765" t="s">
        <v>22</v>
      </c>
      <c r="D1765" s="2" t="s">
        <f>=HYPERLINK("https://main.knesset.gov.il/APPS/legislation/main/bills/2229797", "הצעת חוק משפחות חיילים שנספו במערכה (תגמולים ושיקום) (תיקון - שלילת הכרה כבן משפחה), התשפ""ה-2025")</f>
        <v>3731</v>
      </c>
      <c r="E1765" t="s">
        <v>3731</v>
      </c>
      <c r="F1765" t="s">
        <v>3732</v>
      </c>
      <c r="G1765" t="s">
        <v>14</v>
      </c>
      <c r="H1765">
             </c>
      <c r="I1765" t="s">
        <v>14</v>
      </c>
      <c r="J1765" t="s">
        <v>141</v>
      </c>
      <c r="K1765" t="s">
        <v>14</v>
      </c>
      <c r="L1765" t="s">
        <v>20</v>
      </c>
      <c r="M1765" t="s">
        <v>3697</v>
      </c>
      <c r="N1765" t="s">
        <v>14</v>
      </c>
    </row>
    <row r="1766" x14ac:dyDescent="0.25">
      <c r="A1766" t="n">
        <v>25</v>
      </c>
      <c r="B1766" t="s">
        <v>14</v>
      </c>
      <c r="C1766" t="s">
        <v>22</v>
      </c>
      <c r="D1766" s="2" t="s">
        <f>=HYPERLINK("https://main.knesset.gov.il/APPS/legislation/main/bills/2229796", "הצעת חוק טיפול בחולי נפש (תיקון - קביעת מועד למתן חוות דעת פסיכיאטרית), התשפ""ה-2025")</f>
        <v>3398</v>
      </c>
      <c r="E1766" t="s">
        <v>3398</v>
      </c>
      <c r="F1766" t="s">
        <v>3733</v>
      </c>
      <c r="G1766" t="s">
        <v>14</v>
      </c>
      <c r="H1766">
             </c>
      <c r="I1766" t="s">
        <v>14</v>
      </c>
      <c r="J1766" t="s">
        <v>141</v>
      </c>
      <c r="K1766" t="s">
        <v>14</v>
      </c>
      <c r="L1766" t="s">
        <v>20</v>
      </c>
      <c r="M1766" t="s">
        <v>3697</v>
      </c>
      <c r="N1766" t="s">
        <v>14</v>
      </c>
    </row>
    <row r="1767" x14ac:dyDescent="0.25">
      <c r="A1767" t="n">
        <v>25</v>
      </c>
      <c r="B1767" t="s">
        <v>14</v>
      </c>
      <c r="C1767" t="s">
        <v>22</v>
      </c>
      <c r="D1767" s="2" t="s">
        <f>=HYPERLINK("https://main.knesset.gov.il/APPS/legislation/main/bills/2229801", "הצעת חוק שירות הקבע בצבא הגנה לישראל (גמלאות) (תיקון - קצבאות שאירים - תיקונים שונים), התשפ""ה-2025")</f>
        <v>1467</v>
      </c>
      <c r="E1767" t="s">
        <v>1467</v>
      </c>
      <c r="F1767" t="s">
        <v>3734</v>
      </c>
      <c r="G1767" t="s">
        <v>14</v>
      </c>
      <c r="H1767">
             </c>
      <c r="I1767" t="s">
        <v>14</v>
      </c>
      <c r="J1767" t="s">
        <v>141</v>
      </c>
      <c r="K1767" t="s">
        <v>14</v>
      </c>
      <c r="L1767" t="s">
        <v>20</v>
      </c>
      <c r="M1767" t="s">
        <v>3697</v>
      </c>
      <c r="N1767" t="s">
        <v>14</v>
      </c>
    </row>
    <row r="1768" x14ac:dyDescent="0.25">
      <c r="A1768" t="n">
        <v>25</v>
      </c>
      <c r="B1768" t="s">
        <v>14</v>
      </c>
      <c r="C1768" t="s">
        <v>22</v>
      </c>
      <c r="D1768" s="2" t="s">
        <f>=HYPERLINK("https://main.knesset.gov.il/APPS/legislation/main/bills/2229794", "הצעת חוק הגנת הצרכן (תיקון - איסור הפעלת השפעה בלתי הוגנת במצב חירום), התשפ""ה-2025")</f>
        <v>3735</v>
      </c>
      <c r="E1768" t="s">
        <v>3735</v>
      </c>
      <c r="F1768" t="s">
        <v>3736</v>
      </c>
      <c r="G1768" t="s">
        <v>14</v>
      </c>
      <c r="H1768">
             </c>
      <c r="I1768" t="s">
        <v>14</v>
      </c>
      <c r="J1768" t="s">
        <v>141</v>
      </c>
      <c r="K1768" t="s">
        <v>14</v>
      </c>
      <c r="L1768" t="s">
        <v>20</v>
      </c>
      <c r="M1768" t="s">
        <v>3697</v>
      </c>
      <c r="N1768" t="s">
        <v>14</v>
      </c>
    </row>
    <row r="1769" x14ac:dyDescent="0.25">
      <c r="A1769" t="n">
        <v>25</v>
      </c>
      <c r="B1769" t="s">
        <v>14</v>
      </c>
      <c r="C1769" t="s">
        <v>22</v>
      </c>
      <c r="D1769" s="2" t="s">
        <f>=HYPERLINK("https://main.knesset.gov.il/APPS/legislation/main/bills/2221940", "הצעת חוק לקביעת התאמות לעניין זכויות סוציאליות של עובדים זרים, התשפ""ה-2025")</f>
        <v>3737</v>
      </c>
      <c r="E1769" t="s">
        <v>3737</v>
      </c>
      <c r="F1769" t="s">
        <v>3738</v>
      </c>
      <c r="G1769" t="s">
        <v>14</v>
      </c>
      <c r="H1769">
             </c>
      <c r="I1769" t="s">
        <v>14</v>
      </c>
      <c r="J1769" t="s">
        <v>141</v>
      </c>
      <c r="K1769" t="s">
        <v>14</v>
      </c>
      <c r="L1769" t="s">
        <v>20</v>
      </c>
      <c r="M1769" t="s">
        <v>3697</v>
      </c>
      <c r="N1769" t="s">
        <v>14</v>
      </c>
    </row>
    <row r="1770" x14ac:dyDescent="0.25">
      <c r="A1770" t="n">
        <v>25</v>
      </c>
      <c r="B1770" t="s">
        <v>14</v>
      </c>
      <c r="C1770" t="s">
        <v>22</v>
      </c>
      <c r="D1770" s="2" t="s">
        <f>=HYPERLINK("https://main.knesset.gov.il/APPS/legislation/main/bills/2228967", "הצעת חוק-יסוד: הממשלה (תיקון - הגבלת מספר שרים וסגני שרים)")</f>
        <v>3098</v>
      </c>
      <c r="E1770" t="s">
        <v>3098</v>
      </c>
      <c r="F1770" t="s">
        <v>3739</v>
      </c>
      <c r="G1770" t="s">
        <v>14</v>
      </c>
      <c r="H1770">
             </c>
      <c r="I1770" t="s">
        <v>14</v>
      </c>
      <c r="J1770" t="s">
        <v>141</v>
      </c>
      <c r="K1770" t="s">
        <v>14</v>
      </c>
      <c r="L1770" t="s">
        <v>20</v>
      </c>
      <c r="M1770" t="s">
        <v>3697</v>
      </c>
      <c r="N1770" t="s">
        <v>14</v>
      </c>
    </row>
    <row r="1771" x14ac:dyDescent="0.25">
      <c r="A1771" t="n">
        <v>25</v>
      </c>
      <c r="B1771" t="s">
        <v>14</v>
      </c>
      <c r="C1771" t="s">
        <v>22</v>
      </c>
      <c r="D1771" s="2" t="s">
        <f>=HYPERLINK("https://main.knesset.gov.il/APPS/legislation/main/bills/2227751", "הצעת חוק לסבסוד תרכובת מזון לתינוקות, התשפ""ה-2025")</f>
        <v>3740</v>
      </c>
      <c r="E1771" t="s">
        <v>3740</v>
      </c>
      <c r="F1771" t="s">
        <v>3741</v>
      </c>
      <c r="G1771" t="s">
        <v>14</v>
      </c>
      <c r="H1771">
             </c>
      <c r="I1771" t="s">
        <v>14</v>
      </c>
      <c r="J1771" t="s">
        <v>141</v>
      </c>
      <c r="K1771" t="s">
        <v>14</v>
      </c>
      <c r="L1771" t="s">
        <v>20</v>
      </c>
      <c r="M1771" t="s">
        <v>3697</v>
      </c>
      <c r="N1771" t="s">
        <v>14</v>
      </c>
    </row>
    <row r="1772" x14ac:dyDescent="0.25">
      <c r="A1772" t="n">
        <v>25</v>
      </c>
      <c r="B1772" t="s">
        <v>14</v>
      </c>
      <c r="C1772" t="s">
        <v>22</v>
      </c>
      <c r="D1772" s="2" t="s">
        <f>=HYPERLINK("https://main.knesset.gov.il/APPS/legislation/main/bills/2229803", "הצעת חוק חדלות פירעון ושיקום כלכלי (תיקון - העלאת סף החובות לניהול הליך ברשות האכיפה והגבייה), התשפ""ה-2025")</f>
        <v>3564</v>
      </c>
      <c r="E1772" t="s">
        <v>3564</v>
      </c>
      <c r="F1772" t="s">
        <v>3742</v>
      </c>
      <c r="G1772" t="s">
        <v>14</v>
      </c>
      <c r="H1772">
             </c>
      <c r="I1772" t="s">
        <v>14</v>
      </c>
      <c r="J1772" t="s">
        <v>141</v>
      </c>
      <c r="K1772" t="s">
        <v>14</v>
      </c>
      <c r="L1772" t="s">
        <v>20</v>
      </c>
      <c r="M1772" t="s">
        <v>3697</v>
      </c>
      <c r="N1772" t="s">
        <v>14</v>
      </c>
    </row>
    <row r="1773" x14ac:dyDescent="0.25">
      <c r="A1773" t="n">
        <v>25</v>
      </c>
      <c r="B1773" t="s">
        <v>14</v>
      </c>
      <c r="C1773" t="s">
        <v>22</v>
      </c>
      <c r="D1773" s="2" t="s">
        <f>=HYPERLINK("https://main.knesset.gov.il/APPS/legislation/main/bills/2229791", "הצעת חוק החברות (תיקון - מכסות ייצוג לנשים בדירקטוריונים של חברות ציבוריות), התשפ""ה-2025")</f>
        <v>3645</v>
      </c>
      <c r="E1773" t="s">
        <v>3645</v>
      </c>
      <c r="F1773" t="s">
        <v>3743</v>
      </c>
      <c r="G1773" t="s">
        <v>14</v>
      </c>
      <c r="H1773">
             </c>
      <c r="I1773" t="s">
        <v>14</v>
      </c>
      <c r="J1773" t="s">
        <v>141</v>
      </c>
      <c r="K1773" t="s">
        <v>14</v>
      </c>
      <c r="L1773" t="s">
        <v>20</v>
      </c>
      <c r="M1773" t="s">
        <v>3697</v>
      </c>
      <c r="N1773" t="s">
        <v>14</v>
      </c>
    </row>
    <row r="1774" x14ac:dyDescent="0.25">
      <c r="A1774" t="n">
        <v>25</v>
      </c>
      <c r="B1774" t="s">
        <v>14</v>
      </c>
      <c r="C1774" t="s">
        <v>22</v>
      </c>
      <c r="D1774" s="2" t="s">
        <f>=HYPERLINK("https://main.knesset.gov.il/APPS/legislation/main/bills/2228336", "הצעת חוק איסור פרסומת ומכירת משקאות אנרגיה לקטינים, התשפ""ה-2025")</f>
        <v>3744</v>
      </c>
      <c r="E1774" t="s">
        <v>3744</v>
      </c>
      <c r="F1774" t="s">
        <v>3745</v>
      </c>
      <c r="G1774" t="s">
        <v>14</v>
      </c>
      <c r="H1774">
             </c>
      <c r="I1774" t="s">
        <v>14</v>
      </c>
      <c r="J1774" t="s">
        <v>343</v>
      </c>
      <c r="K1774" t="s">
        <v>14</v>
      </c>
      <c r="L1774" t="s">
        <v>20</v>
      </c>
      <c r="M1774" t="s">
        <v>3697</v>
      </c>
      <c r="N1774" t="s">
        <v>14</v>
      </c>
    </row>
    <row r="1775" x14ac:dyDescent="0.25">
      <c r="A1775" t="n">
        <v>25</v>
      </c>
      <c r="B1775" t="s">
        <v>14</v>
      </c>
      <c r="C1775" t="s">
        <v>22</v>
      </c>
      <c r="D1775" s="2" t="s">
        <f>=HYPERLINK("https://main.knesset.gov.il/APPS/legislation/main/bills/2227327", "הצעת חוק הבנקאות (שירות ללקוח) (תיקון - הפצת כרטיסי אשראי של כלל חברות כרטיסי האשראי), התשפ""ה-2025")</f>
        <v>3636</v>
      </c>
      <c r="E1775" t="s">
        <v>3636</v>
      </c>
      <c r="F1775" t="s">
        <v>3746</v>
      </c>
      <c r="G1775" t="s">
        <v>14</v>
      </c>
      <c r="H1775">
             </c>
      <c r="I1775" t="s">
        <v>14</v>
      </c>
      <c r="J1775" t="s">
        <v>141</v>
      </c>
      <c r="K1775" t="s">
        <v>14</v>
      </c>
      <c r="L1775" t="s">
        <v>20</v>
      </c>
      <c r="M1775" t="s">
        <v>3697</v>
      </c>
      <c r="N1775" t="s">
        <v>14</v>
      </c>
    </row>
    <row r="1776" x14ac:dyDescent="0.25">
      <c r="A1776" t="n">
        <v>25</v>
      </c>
      <c r="B1776" t="s">
        <v>14</v>
      </c>
      <c r="C1776" t="s">
        <v>22</v>
      </c>
      <c r="D1776" s="2" t="s">
        <f>=HYPERLINK("https://main.knesset.gov.il/APPS/legislation/main/bills/2228523", "הצעת חוק הביטוח הלאומי (תיקון - הצמדת קצבת נכות מעבודה לשכר הממוצע במשק), התשפ""ה-2025")</f>
        <v>3187</v>
      </c>
      <c r="E1776" t="s">
        <v>3187</v>
      </c>
      <c r="F1776" t="s">
        <v>3747</v>
      </c>
      <c r="G1776" t="s">
        <v>14</v>
      </c>
      <c r="H1776">
             </c>
      <c r="I1776" t="s">
        <v>14</v>
      </c>
      <c r="J1776" t="s">
        <v>141</v>
      </c>
      <c r="K1776" t="s">
        <v>14</v>
      </c>
      <c r="L1776" t="s">
        <v>20</v>
      </c>
      <c r="M1776" t="s">
        <v>3697</v>
      </c>
      <c r="N1776" t="s">
        <v>14</v>
      </c>
    </row>
    <row r="1777" x14ac:dyDescent="0.25">
      <c r="A1777" t="n">
        <v>25</v>
      </c>
      <c r="B1777" t="s">
        <v>14</v>
      </c>
      <c r="C1777" t="s">
        <v>15</v>
      </c>
      <c r="D1777" s="2" t="s">
        <f>=HYPERLINK("https://main.knesset.gov.il/APPS/legislation/main/bills/2227222", "פרק ב' (ביטוח לאומי) מתוך הצעת חוק ההתייעלות הכלכלית (תיקוני חקיקה להשגת יעדי התקציב לשנת התקציב 2025), התשפ""ה-2024 ")</f>
        <v>3748</v>
      </c>
      <c r="E1777" t="s">
        <v>3748</v>
      </c>
      <c r="F1777" t="s">
        <v>14</v>
      </c>
      <c r="G1777" t="s">
        <v>43</v>
      </c>
      <c r="H1777">
             </c>
      <c r="I1777" t="s">
        <v>14</v>
      </c>
      <c r="J1777" t="s">
        <v>99</v>
      </c>
      <c r="K1777" t="s">
        <v>121</v>
      </c>
      <c r="L1777" t="s">
        <v>20</v>
      </c>
      <c r="M1777" t="s">
        <v>3749</v>
      </c>
      <c r="N1777" t="s">
        <v>14</v>
      </c>
    </row>
    <row r="1778" x14ac:dyDescent="0.25">
      <c r="A1778" t="n">
        <v>25</v>
      </c>
      <c r="B1778" t="s">
        <v>14</v>
      </c>
      <c r="C1778" t="s">
        <v>15</v>
      </c>
      <c r="D1778" s="2" t="s">
        <f>=HYPERLINK("https://main.knesset.gov.il/APPS/legislation/main/bills/2227221", "סעיף 16 (דיגיטציה של חשבוניות מס) מתוך הצעת חוק ההתייעלות הכלכלית (תיקוני חקיקה להשגת יעדי התקציב לשנת התקציב 2025), התשפ""ה-2024 ")</f>
        <v>3750</v>
      </c>
      <c r="E1778" t="s">
        <v>3750</v>
      </c>
      <c r="F1778" t="s">
        <v>14</v>
      </c>
      <c r="G1778" t="s">
        <v>43</v>
      </c>
      <c r="H1778">
             </c>
      <c r="I1778" t="s">
        <v>14</v>
      </c>
      <c r="J1778" t="s">
        <v>99</v>
      </c>
      <c r="K1778" t="s">
        <v>121</v>
      </c>
      <c r="L1778" t="s">
        <v>20</v>
      </c>
      <c r="M1778" t="s">
        <v>3749</v>
      </c>
      <c r="N1778" t="s">
        <v>14</v>
      </c>
    </row>
    <row r="1779" x14ac:dyDescent="0.25">
      <c r="A1779" t="n">
        <v>25</v>
      </c>
      <c r="B1779" t="s">
        <v>14</v>
      </c>
      <c r="C1779" t="s">
        <v>15</v>
      </c>
      <c r="D1779" s="2" t="s">
        <f>=HYPERLINK("https://main.knesset.gov.il/APPS/legislation/main/bills/2227219", "סעיפים 7-6 (שינוי מבנה ומיזוג) מתוך הצעת חוק ההתייעלות הכלכלית (תיקוני חקיקה להשגת יעדי התקציב לשנת התקציב 2025), התשפ""ה-2024 ")</f>
        <v>3751</v>
      </c>
      <c r="E1779" t="s">
        <v>3751</v>
      </c>
      <c r="F1779" t="s">
        <v>14</v>
      </c>
      <c r="G1779" t="s">
        <v>43</v>
      </c>
      <c r="H1779">
             </c>
      <c r="I1779" t="s">
        <v>14</v>
      </c>
      <c r="J1779" t="s">
        <v>99</v>
      </c>
      <c r="K1779" t="s">
        <v>121</v>
      </c>
      <c r="L1779" t="s">
        <v>20</v>
      </c>
      <c r="M1779" t="s">
        <v>3749</v>
      </c>
      <c r="N1779" t="s">
        <v>14</v>
      </c>
    </row>
    <row r="1780" x14ac:dyDescent="0.25">
      <c r="A1780" t="n">
        <v>25</v>
      </c>
      <c r="B1780" t="s">
        <v>14</v>
      </c>
      <c r="C1780" t="s">
        <v>15</v>
      </c>
      <c r="D1780" s="2" t="s">
        <f>=HYPERLINK("https://main.knesset.gov.il/APPS/legislation/main/bills/2228290", "סעיף 10(2) (הרחבת חובת הגשת דיווח מפורט) מתוך הצעת חוק ההתייעלות הכלכלית (תיקוני חקיקה להשגת יעדי התקציב לשנת התקציב 2025), התשפ""ה-2024 ")</f>
        <v>3752</v>
      </c>
      <c r="E1780" t="s">
        <v>3752</v>
      </c>
      <c r="F1780" t="s">
        <v>14</v>
      </c>
      <c r="G1780" t="s">
        <v>43</v>
      </c>
      <c r="H1780">
             </c>
      <c r="I1780" t="s">
        <v>14</v>
      </c>
      <c r="J1780" t="s">
        <v>99</v>
      </c>
      <c r="K1780" t="s">
        <v>121</v>
      </c>
      <c r="L1780" t="s">
        <v>20</v>
      </c>
      <c r="M1780" t="s">
        <v>3749</v>
      </c>
      <c r="N1780" t="s">
        <v>14</v>
      </c>
    </row>
    <row r="1781" x14ac:dyDescent="0.25">
      <c r="A1781" t="n">
        <v>25</v>
      </c>
      <c r="B1781" t="s">
        <v>14</v>
      </c>
      <c r="C1781" t="s">
        <v>22</v>
      </c>
      <c r="D1781" s="2" t="s">
        <f>=HYPERLINK("https://main.knesset.gov.il/APPS/legislation/main/bills/2198097", "חוק להסדרת מגורים בשטחי מרעה, התשפ""ה–2025")</f>
        <v>3753</v>
      </c>
      <c r="E1781" t="s">
        <v>3753</v>
      </c>
      <c r="F1781" t="s">
        <v>3754</v>
      </c>
      <c r="G1781" t="s">
        <v>3755</v>
      </c>
      <c r="H1781" t="n">
        <v>3380</v>
      </c>
      <c r="I1781" t="s">
        <v>14</v>
      </c>
      <c r="J1781" t="s">
        <v>91</v>
      </c>
      <c r="K1781" t="s">
        <v>46</v>
      </c>
      <c r="L1781" t="s">
        <v>20</v>
      </c>
      <c r="M1781" t="s">
        <v>3756</v>
      </c>
      <c r="N1781" t="s">
        <v>3757</v>
      </c>
    </row>
    <row r="1782" x14ac:dyDescent="0.25">
      <c r="A1782" t="n">
        <v>25</v>
      </c>
      <c r="B1782" t="s">
        <v>14</v>
      </c>
      <c r="C1782" t="s">
        <v>22</v>
      </c>
      <c r="D1782" s="2" t="s">
        <f>=HYPERLINK("https://main.knesset.gov.il/APPS/legislation/main/bills/2227682", "הצעת חוק משק החשמל (תיקון - טעינת רכב חשמלי באמצעות יישומון תשלום אחוד), התשפ""ה-2025")</f>
        <v>3758</v>
      </c>
      <c r="E1782" t="s">
        <v>3758</v>
      </c>
      <c r="F1782" t="s">
        <v>3759</v>
      </c>
      <c r="G1782" t="s">
        <v>14</v>
      </c>
      <c r="H1782">
             </c>
      <c r="I1782" t="s">
        <v>14</v>
      </c>
      <c r="J1782" t="s">
        <v>31</v>
      </c>
      <c r="K1782" t="s">
        <v>19</v>
      </c>
      <c r="L1782" t="s">
        <v>20</v>
      </c>
      <c r="M1782" t="s">
        <v>3756</v>
      </c>
      <c r="N1782" t="s">
        <v>14</v>
      </c>
    </row>
    <row r="1783" x14ac:dyDescent="0.25">
      <c r="A1783" t="n">
        <v>25</v>
      </c>
      <c r="B1783" t="s">
        <v>14</v>
      </c>
      <c r="C1783" t="s">
        <v>22</v>
      </c>
      <c r="D1783" s="2" t="s">
        <f>=HYPERLINK("https://main.knesset.gov.il/APPS/legislation/main/bills/2227371", "הצעת חוק מיסוי מקרקעין (שבח ורכישה) (תיקון - שווי רכישה), התשפ""ה-2025")</f>
        <v>3760</v>
      </c>
      <c r="E1783" t="s">
        <v>3760</v>
      </c>
      <c r="F1783" t="s">
        <v>3761</v>
      </c>
      <c r="G1783" t="s">
        <v>14</v>
      </c>
      <c r="H1783">
             </c>
      <c r="I1783" t="s">
        <v>14</v>
      </c>
      <c r="J1783" t="s">
        <v>31</v>
      </c>
      <c r="K1783" t="s">
        <v>85</v>
      </c>
      <c r="L1783" t="s">
        <v>20</v>
      </c>
      <c r="M1783" t="s">
        <v>3756</v>
      </c>
      <c r="N1783" t="s">
        <v>14</v>
      </c>
    </row>
    <row r="1784" x14ac:dyDescent="0.25">
      <c r="A1784" t="n">
        <v>25</v>
      </c>
      <c r="B1784" t="s">
        <v>14</v>
      </c>
      <c r="C1784" t="s">
        <v>22</v>
      </c>
      <c r="D1784" s="2" t="s">
        <f>=HYPERLINK("https://main.knesset.gov.il/APPS/legislation/main/bills/2226673", "הצעת חוק-יסוד: הכנסת (תיקון - התניית הצבעה בשירות צבאי או לאומי)")</f>
        <v>2003</v>
      </c>
      <c r="E1784" t="s">
        <v>2003</v>
      </c>
      <c r="F1784" t="s">
        <v>3762</v>
      </c>
      <c r="G1784" t="s">
        <v>14</v>
      </c>
      <c r="H1784">
             </c>
      <c r="I1784" t="s">
        <v>14</v>
      </c>
      <c r="J1784" t="s">
        <v>55</v>
      </c>
      <c r="K1784" t="s">
        <v>14</v>
      </c>
      <c r="L1784" t="s">
        <v>20</v>
      </c>
      <c r="M1784" t="s">
        <v>3756</v>
      </c>
      <c r="N1784" t="s">
        <v>14</v>
      </c>
    </row>
    <row r="1785" x14ac:dyDescent="0.25">
      <c r="A1785" t="n">
        <v>25</v>
      </c>
      <c r="B1785" t="s">
        <v>14</v>
      </c>
      <c r="C1785" t="s">
        <v>22</v>
      </c>
      <c r="D1785" s="2" t="s">
        <f>=HYPERLINK("https://main.knesset.gov.il/APPS/legislation/main/bills/2226689", "הצעת חוק משק החשמל (תיקון - טעינת רכב חשמלי באמצעות יישומון תשלום אחוד), התשפ""ה-2025")</f>
        <v>3758</v>
      </c>
      <c r="E1785" t="s">
        <v>3758</v>
      </c>
      <c r="F1785" t="s">
        <v>3763</v>
      </c>
      <c r="G1785" t="s">
        <v>14</v>
      </c>
      <c r="H1785">
             </c>
      <c r="I1785" t="s">
        <v>14</v>
      </c>
      <c r="J1785" t="s">
        <v>31</v>
      </c>
      <c r="K1785" t="s">
        <v>19</v>
      </c>
      <c r="L1785" t="s">
        <v>20</v>
      </c>
      <c r="M1785" t="s">
        <v>3756</v>
      </c>
      <c r="N1785" t="s">
        <v>14</v>
      </c>
    </row>
    <row r="1786" x14ac:dyDescent="0.25">
      <c r="A1786" t="n">
        <v>25</v>
      </c>
      <c r="B1786" t="s">
        <v>14</v>
      </c>
      <c r="C1786" t="s">
        <v>22</v>
      </c>
      <c r="D1786" s="2" t="s">
        <f>=HYPERLINK("https://main.knesset.gov.il/APPS/legislation/main/bills/2223948", "הצעת חוק משק החשמל (תיקון - טעינת רכב חשמלי באמצעות יישומון תשלום אחוד), התשפ""ה-2025")</f>
        <v>3758</v>
      </c>
      <c r="E1786" t="s">
        <v>3758</v>
      </c>
      <c r="F1786" t="s">
        <v>3764</v>
      </c>
      <c r="G1786" t="s">
        <v>14</v>
      </c>
      <c r="H1786">
             </c>
      <c r="I1786" t="s">
        <v>14</v>
      </c>
      <c r="J1786" t="s">
        <v>31</v>
      </c>
      <c r="K1786" t="s">
        <v>19</v>
      </c>
      <c r="L1786" t="s">
        <v>20</v>
      </c>
      <c r="M1786" t="s">
        <v>3756</v>
      </c>
      <c r="N1786" t="s">
        <v>14</v>
      </c>
    </row>
    <row r="1787" x14ac:dyDescent="0.25">
      <c r="A1787" t="n">
        <v>25</v>
      </c>
      <c r="B1787" t="s">
        <v>14</v>
      </c>
      <c r="C1787" t="s">
        <v>22</v>
      </c>
      <c r="D1787" s="2" t="s">
        <f>=HYPERLINK("https://main.knesset.gov.il/APPS/legislation/main/bills/2209707", "הצעת חוק מיסוי מקרקעין (שבח ורכישה) (תיקון - שווי רכישה), התשפ""ה-2024")</f>
        <v>3765</v>
      </c>
      <c r="E1787" t="s">
        <v>3765</v>
      </c>
      <c r="F1787" t="s">
        <v>3766</v>
      </c>
      <c r="G1787" t="s">
        <v>14</v>
      </c>
      <c r="H1787">
             </c>
      <c r="I1787" t="s">
        <v>14</v>
      </c>
      <c r="J1787" t="s">
        <v>31</v>
      </c>
      <c r="K1787" t="s">
        <v>85</v>
      </c>
      <c r="L1787" t="s">
        <v>20</v>
      </c>
      <c r="M1787" t="s">
        <v>3756</v>
      </c>
      <c r="N1787" t="s">
        <v>14</v>
      </c>
    </row>
    <row r="1788" x14ac:dyDescent="0.25">
      <c r="A1788" t="n">
        <v>25</v>
      </c>
      <c r="B1788" t="s">
        <v>14</v>
      </c>
      <c r="C1788" t="s">
        <v>22</v>
      </c>
      <c r="D1788" s="2" t="s">
        <f>=HYPERLINK("https://main.knesset.gov.il/APPS/legislation/main/bills/2224126", "הצעת חוק השתתפות המדינה בעלות שכר הלימוד במעון יום למשרתי מילואים, התשפ""ה-2024")</f>
        <v>3767</v>
      </c>
      <c r="E1788" t="s">
        <v>3767</v>
      </c>
      <c r="F1788" t="s">
        <v>3768</v>
      </c>
      <c r="G1788" t="s">
        <v>14</v>
      </c>
      <c r="H1788">
             </c>
      <c r="I1788" t="s">
        <v>14</v>
      </c>
      <c r="J1788" t="s">
        <v>55</v>
      </c>
      <c r="K1788" t="s">
        <v>14</v>
      </c>
      <c r="L1788" t="s">
        <v>20</v>
      </c>
      <c r="M1788" t="s">
        <v>3756</v>
      </c>
      <c r="N1788" t="s">
        <v>14</v>
      </c>
    </row>
    <row r="1789" x14ac:dyDescent="0.25">
      <c r="A1789" t="n">
        <v>25</v>
      </c>
      <c r="B1789" t="s">
        <v>14</v>
      </c>
      <c r="C1789" t="s">
        <v>22</v>
      </c>
      <c r="D1789" s="2" t="s">
        <f>=HYPERLINK("https://main.knesset.gov.il/APPS/legislation/main/bills/2220190", "הצעת חוק למניעת חרם חברתי בבתי ספר, התשפ""ד-2024")</f>
        <v>3769</v>
      </c>
      <c r="E1789" t="s">
        <v>3769</v>
      </c>
      <c r="F1789" t="s">
        <v>3770</v>
      </c>
      <c r="G1789" t="s">
        <v>14</v>
      </c>
      <c r="H1789">
             </c>
      <c r="I1789" t="s">
        <v>14</v>
      </c>
      <c r="J1789" t="s">
        <v>31</v>
      </c>
      <c r="K1789" t="s">
        <v>34</v>
      </c>
      <c r="L1789" t="s">
        <v>20</v>
      </c>
      <c r="M1789" t="s">
        <v>3756</v>
      </c>
      <c r="N1789" t="s">
        <v>14</v>
      </c>
    </row>
    <row r="1790" x14ac:dyDescent="0.25">
      <c r="A1790" t="n">
        <v>25</v>
      </c>
      <c r="B1790" t="s">
        <v>14</v>
      </c>
      <c r="C1790" t="s">
        <v>22</v>
      </c>
      <c r="D1790" s="2" t="s">
        <f>=HYPERLINK("https://main.knesset.gov.il/APPS/legislation/main/bills/2220083", "הצעת חוק למניעת חרם חברתי בבתי ספר, התשפ""ד-2024 ")</f>
        <v>3771</v>
      </c>
      <c r="E1790" t="s">
        <v>3771</v>
      </c>
      <c r="F1790" t="s">
        <v>3772</v>
      </c>
      <c r="G1790" t="s">
        <v>14</v>
      </c>
      <c r="H1790">
             </c>
      <c r="I1790" t="s">
        <v>14</v>
      </c>
      <c r="J1790" t="s">
        <v>31</v>
      </c>
      <c r="K1790" t="s">
        <v>34</v>
      </c>
      <c r="L1790" t="s">
        <v>20</v>
      </c>
      <c r="M1790" t="s">
        <v>3756</v>
      </c>
      <c r="N1790" t="s">
        <v>14</v>
      </c>
    </row>
    <row r="1791" x14ac:dyDescent="0.25">
      <c r="A1791" t="n">
        <v>25</v>
      </c>
      <c r="B1791" t="s">
        <v>14</v>
      </c>
      <c r="C1791" t="s">
        <v>22</v>
      </c>
      <c r="D1791" s="2" t="s">
        <f>=HYPERLINK("https://main.knesset.gov.il/APPS/legislation/main/bills/2217123", "הצעת חוק למניעת חרם חברתי בבתי ספר, התשפ""ד-2024")</f>
        <v>3769</v>
      </c>
      <c r="E1791" t="s">
        <v>3769</v>
      </c>
      <c r="F1791" t="s">
        <v>3773</v>
      </c>
      <c r="G1791" t="s">
        <v>14</v>
      </c>
      <c r="H1791">
             </c>
      <c r="I1791" t="s">
        <v>14</v>
      </c>
      <c r="J1791" t="s">
        <v>31</v>
      </c>
      <c r="K1791" t="s">
        <v>34</v>
      </c>
      <c r="L1791" t="s">
        <v>20</v>
      </c>
      <c r="M1791" t="s">
        <v>3756</v>
      </c>
      <c r="N1791" t="s">
        <v>14</v>
      </c>
    </row>
    <row r="1792" x14ac:dyDescent="0.25">
      <c r="A1792" t="n">
        <v>25</v>
      </c>
      <c r="B1792" t="s">
        <v>14</v>
      </c>
      <c r="C1792" t="s">
        <v>22</v>
      </c>
      <c r="D1792" s="2" t="s">
        <f>=HYPERLINK("https://main.knesset.gov.il/APPS/legislation/main/bills/2207077", "הצעת חוק העונשין (תיקון - קביעת עונש מינימום לעבירות יידוי אבנים), התשפ""ג-2023")</f>
        <v>3774</v>
      </c>
      <c r="E1792" t="s">
        <v>3774</v>
      </c>
      <c r="F1792" t="s">
        <v>3775</v>
      </c>
      <c r="G1792" t="s">
        <v>14</v>
      </c>
      <c r="H1792">
             </c>
      <c r="I1792" t="s">
        <v>14</v>
      </c>
      <c r="J1792" t="s">
        <v>31</v>
      </c>
      <c r="K1792" t="s">
        <v>27</v>
      </c>
      <c r="L1792" t="s">
        <v>20</v>
      </c>
      <c r="M1792" t="s">
        <v>3756</v>
      </c>
      <c r="N1792" t="s">
        <v>14</v>
      </c>
    </row>
    <row r="1793" x14ac:dyDescent="0.25">
      <c r="A1793" t="n">
        <v>25</v>
      </c>
      <c r="B1793" t="s">
        <v>14</v>
      </c>
      <c r="C1793" t="s">
        <v>22</v>
      </c>
      <c r="D1793" s="2" t="s">
        <f>=HYPERLINK("https://main.knesset.gov.il/APPS/legislation/main/bills/2204871", "הצעת חוק העונשין (תיקון - קביעת עונש מינימום לעבירות יידוי אבנים), התשפ""ג-2023")</f>
        <v>3774</v>
      </c>
      <c r="E1793" t="s">
        <v>3774</v>
      </c>
      <c r="F1793" t="s">
        <v>3776</v>
      </c>
      <c r="G1793" t="s">
        <v>14</v>
      </c>
      <c r="H1793">
             </c>
      <c r="I1793" t="s">
        <v>14</v>
      </c>
      <c r="J1793" t="s">
        <v>31</v>
      </c>
      <c r="K1793" t="s">
        <v>27</v>
      </c>
      <c r="L1793" t="s">
        <v>20</v>
      </c>
      <c r="M1793" t="s">
        <v>3756</v>
      </c>
      <c r="N1793" t="s">
        <v>14</v>
      </c>
    </row>
    <row r="1794" x14ac:dyDescent="0.25">
      <c r="A1794" t="n">
        <v>25</v>
      </c>
      <c r="B1794" t="s">
        <v>14</v>
      </c>
      <c r="C1794" t="s">
        <v>22</v>
      </c>
      <c r="D1794" s="2" t="s">
        <f>=HYPERLINK("https://main.knesset.gov.il/APPS/legislation/main/bills/2200287", "הצעת חוק העונשין (תיקון - קביעת עונש מינימום לעבירות יידוי אבנים), התשפ""ג-2023")</f>
        <v>3774</v>
      </c>
      <c r="E1794" t="s">
        <v>3774</v>
      </c>
      <c r="F1794" t="s">
        <v>3777</v>
      </c>
      <c r="G1794" t="s">
        <v>14</v>
      </c>
      <c r="H1794">
             </c>
      <c r="I1794" t="s">
        <v>14</v>
      </c>
      <c r="J1794" t="s">
        <v>31</v>
      </c>
      <c r="K1794" t="s">
        <v>27</v>
      </c>
      <c r="L1794" t="s">
        <v>20</v>
      </c>
      <c r="M1794" t="s">
        <v>3756</v>
      </c>
      <c r="N1794" t="s">
        <v>14</v>
      </c>
    </row>
    <row r="1795" x14ac:dyDescent="0.25">
      <c r="A1795" t="n">
        <v>25</v>
      </c>
      <c r="B1795" t="s">
        <v>14</v>
      </c>
      <c r="C1795" t="s">
        <v>22</v>
      </c>
      <c r="D1795" s="2" t="s">
        <f>=HYPERLINK("https://main.knesset.gov.il/APPS/legislation/main/bills/2226840", "הצעת חוק כלי הירייה (תיקון - הודעה בגין חשש לחיי אדם מצד המגיש בקשה להחזיק בכלי ירייה), התשפ""ה-2025")</f>
        <v>3358</v>
      </c>
      <c r="E1795" t="s">
        <v>3358</v>
      </c>
      <c r="F1795" t="s">
        <v>3778</v>
      </c>
      <c r="G1795" t="s">
        <v>14</v>
      </c>
      <c r="H1795">
             </c>
      <c r="I1795" t="s">
        <v>14</v>
      </c>
      <c r="J1795" t="s">
        <v>99</v>
      </c>
      <c r="K1795" t="s">
        <v>105</v>
      </c>
      <c r="L1795" t="s">
        <v>20</v>
      </c>
      <c r="M1795" t="s">
        <v>3779</v>
      </c>
      <c r="N1795" t="s">
        <v>14</v>
      </c>
    </row>
    <row r="1796" x14ac:dyDescent="0.25">
      <c r="A1796" t="n">
        <v>25</v>
      </c>
      <c r="B1796" t="s">
        <v>14</v>
      </c>
      <c r="C1796" t="s">
        <v>22</v>
      </c>
      <c r="D1796" s="2" t="s">
        <f>=HYPERLINK("https://main.knesset.gov.il/APPS/legislation/main/bills/2223561", "הצעת חוק חסינות חברי הכנסת, זכויותיהם וחובותיהם (תיקון -אישור הכנסת לפתיחה בהליך פלילי או אזרחי), התשפ""ה-2024")</f>
        <v>3780</v>
      </c>
      <c r="E1796" t="s">
        <v>3780</v>
      </c>
      <c r="F1796" t="s">
        <v>3781</v>
      </c>
      <c r="G1796" t="s">
        <v>14</v>
      </c>
      <c r="H1796">
             </c>
      <c r="I1796" t="s">
        <v>14</v>
      </c>
      <c r="J1796" t="s">
        <v>31</v>
      </c>
      <c r="K1796" t="s">
        <v>121</v>
      </c>
      <c r="L1796" t="s">
        <v>20</v>
      </c>
      <c r="M1796" t="s">
        <v>3779</v>
      </c>
      <c r="N1796" t="s">
        <v>14</v>
      </c>
    </row>
    <row r="1797" x14ac:dyDescent="0.25">
      <c r="A1797" t="n">
        <v>25</v>
      </c>
      <c r="B1797" t="s">
        <v>14</v>
      </c>
      <c r="C1797" t="s">
        <v>22</v>
      </c>
      <c r="D1797" s="2" t="s">
        <f>=HYPERLINK("https://main.knesset.gov.il/APPS/legislation/main/bills/2200841", "הצעת חוק הגנת הצרכן (תיקון - איסור התניית תשלום בכרטיס אשראי בסכום רכישה מזערי), התשפ""ג-2023")</f>
        <v>3782</v>
      </c>
      <c r="E1797" t="s">
        <v>3782</v>
      </c>
      <c r="F1797" t="s">
        <v>3783</v>
      </c>
      <c r="G1797" t="s">
        <v>14</v>
      </c>
      <c r="H1797">
             </c>
      <c r="I1797" t="s">
        <v>14</v>
      </c>
      <c r="J1797" t="s">
        <v>99</v>
      </c>
      <c r="K1797" t="s">
        <v>19</v>
      </c>
      <c r="L1797" t="s">
        <v>20</v>
      </c>
      <c r="M1797" t="s">
        <v>3779</v>
      </c>
      <c r="N1797" t="s">
        <v>14</v>
      </c>
    </row>
    <row r="1798" x14ac:dyDescent="0.25">
      <c r="A1798" t="n">
        <v>25</v>
      </c>
      <c r="B1798" t="s">
        <v>14</v>
      </c>
      <c r="C1798" t="s">
        <v>22</v>
      </c>
      <c r="D1798" s="2" t="s">
        <f>=HYPERLINK("https://main.knesset.gov.il/APPS/legislation/main/bills/2212785", "הצעת חוק התכנון והבנייה (תיקון - היטלי השבחה במיתקני אגירת אנרגיה), התשפ""ד-2024 ")</f>
        <v>3784</v>
      </c>
      <c r="E1798" t="s">
        <v>3784</v>
      </c>
      <c r="F1798" t="s">
        <v>3785</v>
      </c>
      <c r="G1798" t="s">
        <v>14</v>
      </c>
      <c r="H1798">
             </c>
      <c r="I1798" t="s">
        <v>14</v>
      </c>
      <c r="J1798" t="s">
        <v>99</v>
      </c>
      <c r="K1798" t="s">
        <v>46</v>
      </c>
      <c r="L1798" t="s">
        <v>20</v>
      </c>
      <c r="M1798" t="s">
        <v>3786</v>
      </c>
      <c r="N1798" t="s">
        <v>14</v>
      </c>
    </row>
    <row r="1799" x14ac:dyDescent="0.25">
      <c r="A1799" t="n">
        <v>25</v>
      </c>
      <c r="B1799" t="s">
        <v>14</v>
      </c>
      <c r="C1799" t="s">
        <v>22</v>
      </c>
      <c r="D1799" s="2" t="s">
        <f>=HYPERLINK("https://main.knesset.gov.il/APPS/legislation/main/bills/2225769", "הצעת חוק דחיית תשלומי מס לעסק חדש (תיקוני חקיקה), התשפ""ה-2025")</f>
        <v>2696</v>
      </c>
      <c r="E1799" t="s">
        <v>2696</v>
      </c>
      <c r="F1799" t="s">
        <v>3787</v>
      </c>
      <c r="G1799" t="s">
        <v>14</v>
      </c>
      <c r="H1799">
             </c>
      <c r="I1799" t="s">
        <v>14</v>
      </c>
      <c r="J1799" t="s">
        <v>141</v>
      </c>
      <c r="K1799" t="s">
        <v>14</v>
      </c>
      <c r="L1799" t="s">
        <v>20</v>
      </c>
      <c r="M1799" t="s">
        <v>3786</v>
      </c>
      <c r="N1799" t="s">
        <v>14</v>
      </c>
    </row>
    <row r="1800" x14ac:dyDescent="0.25">
      <c r="A1800" t="n">
        <v>25</v>
      </c>
      <c r="B1800" t="s">
        <v>14</v>
      </c>
      <c r="C1800" t="s">
        <v>22</v>
      </c>
      <c r="D1800" s="2" t="s">
        <f>=HYPERLINK("https://main.knesset.gov.il/APPS/legislation/main/bills/2228030", "הצעת חוק העונשין (תיקון - הוספת עבירת יחסי מין אסורים בין מטפל בריאותי למטופל), התשפ""ה-2025")</f>
        <v>3788</v>
      </c>
      <c r="E1800" t="s">
        <v>3788</v>
      </c>
      <c r="F1800" t="s">
        <v>3789</v>
      </c>
      <c r="G1800" t="s">
        <v>14</v>
      </c>
      <c r="H1800">
             </c>
      <c r="I1800" t="s">
        <v>14</v>
      </c>
      <c r="J1800" t="s">
        <v>141</v>
      </c>
      <c r="K1800" t="s">
        <v>14</v>
      </c>
      <c r="L1800" t="s">
        <v>20</v>
      </c>
      <c r="M1800" t="s">
        <v>3786</v>
      </c>
      <c r="N1800" t="s">
        <v>14</v>
      </c>
    </row>
    <row r="1801" x14ac:dyDescent="0.25">
      <c r="A1801" t="n">
        <v>25</v>
      </c>
      <c r="B1801" t="s">
        <v>14</v>
      </c>
      <c r="C1801" t="s">
        <v>22</v>
      </c>
      <c r="D1801" s="2" t="s">
        <f>=HYPERLINK("https://main.knesset.gov.il/APPS/legislation/main/bills/2228918", "הצעת חוק רואי חשבון (תיקון - מתן רישיון רואה חשבון לעורך דין שהוא יועץ מס), התשפ""ה-2025")</f>
        <v>3790</v>
      </c>
      <c r="E1801" t="s">
        <v>3790</v>
      </c>
      <c r="F1801" t="s">
        <v>3791</v>
      </c>
      <c r="G1801" t="s">
        <v>14</v>
      </c>
      <c r="H1801">
             </c>
      <c r="I1801" t="s">
        <v>14</v>
      </c>
      <c r="J1801" t="s">
        <v>141</v>
      </c>
      <c r="K1801" t="s">
        <v>14</v>
      </c>
      <c r="L1801" t="s">
        <v>20</v>
      </c>
      <c r="M1801" t="s">
        <v>3786</v>
      </c>
      <c r="N1801" t="s">
        <v>14</v>
      </c>
    </row>
    <row r="1802" x14ac:dyDescent="0.25">
      <c r="A1802" t="n">
        <v>25</v>
      </c>
      <c r="B1802" t="s">
        <v>14</v>
      </c>
      <c r="C1802" t="s">
        <v>22</v>
      </c>
      <c r="D1802" s="2" t="s">
        <f>=HYPERLINK("https://main.knesset.gov.il/APPS/legislation/main/bills/2228962", "הצעת חוק שיפוט בתי דין רבניים (נישואין וגירושין) (תיקון - סמכות כריכת מזונות ילדים), התשפ""ה-2025")</f>
        <v>3792</v>
      </c>
      <c r="E1802" t="s">
        <v>3792</v>
      </c>
      <c r="F1802" t="s">
        <v>3793</v>
      </c>
      <c r="G1802" t="s">
        <v>14</v>
      </c>
      <c r="H1802">
             </c>
      <c r="I1802" t="s">
        <v>14</v>
      </c>
      <c r="J1802" t="s">
        <v>141</v>
      </c>
      <c r="K1802" t="s">
        <v>14</v>
      </c>
      <c r="L1802" t="s">
        <v>20</v>
      </c>
      <c r="M1802" t="s">
        <v>3786</v>
      </c>
      <c r="N1802" t="s">
        <v>14</v>
      </c>
    </row>
    <row r="1803" x14ac:dyDescent="0.25">
      <c r="A1803" t="n">
        <v>25</v>
      </c>
      <c r="B1803" t="s">
        <v>14</v>
      </c>
      <c r="C1803" t="s">
        <v>22</v>
      </c>
      <c r="D1803" s="2" t="s">
        <f>=HYPERLINK("https://main.knesset.gov.il/APPS/legislation/main/bills/2229512", "הצעת חוק התכנון והבנייה (תיקון - הקלה לבניין קיים), התשפ""ה-2025 ")</f>
        <v>3794</v>
      </c>
      <c r="E1803" t="s">
        <v>3794</v>
      </c>
      <c r="F1803" t="s">
        <v>3795</v>
      </c>
      <c r="G1803" t="s">
        <v>14</v>
      </c>
      <c r="H1803">
             </c>
      <c r="I1803" t="s">
        <v>14</v>
      </c>
      <c r="J1803" t="s">
        <v>141</v>
      </c>
      <c r="K1803" t="s">
        <v>14</v>
      </c>
      <c r="L1803" t="s">
        <v>20</v>
      </c>
      <c r="M1803" t="s">
        <v>3786</v>
      </c>
      <c r="N1803" t="s">
        <v>14</v>
      </c>
    </row>
    <row r="1804" x14ac:dyDescent="0.25">
      <c r="A1804" t="n">
        <v>25</v>
      </c>
      <c r="B1804" t="s">
        <v>14</v>
      </c>
      <c r="C1804" t="s">
        <v>22</v>
      </c>
      <c r="D1804" s="2" t="s">
        <f>=HYPERLINK("https://main.knesset.gov.il/APPS/legislation/main/bills/2228983", "הצעת חוק הכניסה לישראל (תיקון - החמרת הענישה על הסעת שוהים בלתי חוקיים), התשפ""ה-2025")</f>
        <v>3796</v>
      </c>
      <c r="E1804" t="s">
        <v>3796</v>
      </c>
      <c r="F1804" t="s">
        <v>3797</v>
      </c>
      <c r="G1804" t="s">
        <v>14</v>
      </c>
      <c r="H1804">
             </c>
      <c r="I1804" t="s">
        <v>14</v>
      </c>
      <c r="J1804" t="s">
        <v>141</v>
      </c>
      <c r="K1804" t="s">
        <v>14</v>
      </c>
      <c r="L1804" t="s">
        <v>20</v>
      </c>
      <c r="M1804" t="s">
        <v>3786</v>
      </c>
      <c r="N1804" t="s">
        <v>14</v>
      </c>
    </row>
    <row r="1805" x14ac:dyDescent="0.25">
      <c r="A1805" t="n">
        <v>25</v>
      </c>
      <c r="B1805" t="s">
        <v>14</v>
      </c>
      <c r="C1805" t="s">
        <v>22</v>
      </c>
      <c r="D1805" s="2" t="s">
        <f>=HYPERLINK("https://main.knesset.gov.il/APPS/legislation/main/bills/2228544", "הצעת חוק החלת החוק הישראלי על כל היישובים היהודיים בשטחי יהודה והשומרון, התשפ""ה-2025")</f>
        <v>3798</v>
      </c>
      <c r="E1805" t="s">
        <v>3798</v>
      </c>
      <c r="F1805" t="s">
        <v>3799</v>
      </c>
      <c r="G1805" t="s">
        <v>14</v>
      </c>
      <c r="H1805">
             </c>
      <c r="I1805" t="s">
        <v>14</v>
      </c>
      <c r="J1805" t="s">
        <v>141</v>
      </c>
      <c r="K1805" t="s">
        <v>14</v>
      </c>
      <c r="L1805" t="s">
        <v>20</v>
      </c>
      <c r="M1805" t="s">
        <v>3786</v>
      </c>
      <c r="N1805" t="s">
        <v>14</v>
      </c>
    </row>
    <row r="1806" x14ac:dyDescent="0.25">
      <c r="A1806" t="n">
        <v>25</v>
      </c>
      <c r="B1806" t="s">
        <v>14</v>
      </c>
      <c r="C1806" t="s">
        <v>22</v>
      </c>
      <c r="D1806" s="2" t="s">
        <f>=HYPERLINK("https://main.knesset.gov.il/APPS/legislation/main/bills/2228549", "הצעת חוק חסינות לחיילי צה""ל באירועים מבצעיים, התשפ""ה-2025")</f>
        <v>3800</v>
      </c>
      <c r="E1806" t="s">
        <v>3800</v>
      </c>
      <c r="F1806" t="s">
        <v>3801</v>
      </c>
      <c r="G1806" t="s">
        <v>14</v>
      </c>
      <c r="H1806">
             </c>
      <c r="I1806" t="s">
        <v>14</v>
      </c>
      <c r="J1806" t="s">
        <v>141</v>
      </c>
      <c r="K1806" t="s">
        <v>14</v>
      </c>
      <c r="L1806" t="s">
        <v>20</v>
      </c>
      <c r="M1806" t="s">
        <v>3786</v>
      </c>
      <c r="N1806" t="s">
        <v>14</v>
      </c>
    </row>
    <row r="1807" x14ac:dyDescent="0.25">
      <c r="A1807" t="n">
        <v>25</v>
      </c>
      <c r="B1807" t="s">
        <v>14</v>
      </c>
      <c r="C1807" t="s">
        <v>22</v>
      </c>
      <c r="D1807" s="2" t="s">
        <f>=HYPERLINK("https://main.knesset.gov.il/APPS/legislation/main/bills/2229202", "הצעת חוק לתיקון פקודת התעבורה (ביטול חובת קביעת אזורי חניה), התשפ""ה-2025")</f>
        <v>3802</v>
      </c>
      <c r="E1807" t="s">
        <v>3802</v>
      </c>
      <c r="F1807" t="s">
        <v>3803</v>
      </c>
      <c r="G1807" t="s">
        <v>14</v>
      </c>
      <c r="H1807">
             </c>
      <c r="I1807" t="s">
        <v>14</v>
      </c>
      <c r="J1807" t="s">
        <v>141</v>
      </c>
      <c r="K1807" t="s">
        <v>14</v>
      </c>
      <c r="L1807" t="s">
        <v>20</v>
      </c>
      <c r="M1807" t="s">
        <v>3786</v>
      </c>
      <c r="N1807" t="s">
        <v>14</v>
      </c>
    </row>
    <row r="1808" x14ac:dyDescent="0.25">
      <c r="A1808" t="n">
        <v>25</v>
      </c>
      <c r="B1808" t="s">
        <v>14</v>
      </c>
      <c r="C1808" t="s">
        <v>22</v>
      </c>
      <c r="D1808" s="2" t="s">
        <f>=HYPERLINK("https://main.knesset.gov.il/APPS/legislation/main/bills/2227397", "הצעת חוק שירות התעסוקה (תיקון - חיזוק הפיקוח הפרלמנטרי על שירות התעסוקה), התשפ""ה-2025 ")</f>
        <v>3400</v>
      </c>
      <c r="E1808" t="s">
        <v>3400</v>
      </c>
      <c r="F1808" t="s">
        <v>3804</v>
      </c>
      <c r="G1808" t="s">
        <v>14</v>
      </c>
      <c r="H1808">
             </c>
      <c r="I1808" t="s">
        <v>14</v>
      </c>
      <c r="J1808" t="s">
        <v>141</v>
      </c>
      <c r="K1808" t="s">
        <v>14</v>
      </c>
      <c r="L1808" t="s">
        <v>20</v>
      </c>
      <c r="M1808" t="s">
        <v>3786</v>
      </c>
      <c r="N1808" t="s">
        <v>14</v>
      </c>
    </row>
    <row r="1809" x14ac:dyDescent="0.25">
      <c r="A1809" t="n">
        <v>25</v>
      </c>
      <c r="B1809" t="s">
        <v>14</v>
      </c>
      <c r="C1809" t="s">
        <v>22</v>
      </c>
      <c r="D1809" s="2" t="s">
        <f>=HYPERLINK("https://main.knesset.gov.il/APPS/legislation/main/bills/2229156", "הצעת חוק חובת פרסום שמותיהם של אסירים ביטחוניים ששוחררו ממאסר, התשפ""ה-2025")</f>
        <v>2620</v>
      </c>
      <c r="E1809" t="s">
        <v>2620</v>
      </c>
      <c r="F1809" t="s">
        <v>3805</v>
      </c>
      <c r="G1809" t="s">
        <v>14</v>
      </c>
      <c r="H1809">
             </c>
      <c r="I1809" t="s">
        <v>14</v>
      </c>
      <c r="J1809" t="s">
        <v>141</v>
      </c>
      <c r="K1809" t="s">
        <v>14</v>
      </c>
      <c r="L1809" t="s">
        <v>20</v>
      </c>
      <c r="M1809" t="s">
        <v>3786</v>
      </c>
      <c r="N1809" t="s">
        <v>14</v>
      </c>
    </row>
    <row r="1810" x14ac:dyDescent="0.25">
      <c r="A1810" t="n">
        <v>25</v>
      </c>
      <c r="B1810" t="s">
        <v>14</v>
      </c>
      <c r="C1810" t="s">
        <v>22</v>
      </c>
      <c r="D1810" s="2" t="s">
        <f>=HYPERLINK("https://main.knesset.gov.il/APPS/legislation/main/bills/2229108", "הצעת חוק כליאת אסירים ביטחוניים, התשפ""ה-2025")</f>
        <v>3806</v>
      </c>
      <c r="E1810" t="s">
        <v>3806</v>
      </c>
      <c r="F1810" t="s">
        <v>3807</v>
      </c>
      <c r="G1810" t="s">
        <v>14</v>
      </c>
      <c r="H1810">
             </c>
      <c r="I1810" t="s">
        <v>14</v>
      </c>
      <c r="J1810" t="s">
        <v>141</v>
      </c>
      <c r="K1810" t="s">
        <v>14</v>
      </c>
      <c r="L1810" t="s">
        <v>20</v>
      </c>
      <c r="M1810" t="s">
        <v>3786</v>
      </c>
      <c r="N1810" t="s">
        <v>14</v>
      </c>
    </row>
    <row r="1811" x14ac:dyDescent="0.25">
      <c r="A1811" t="n">
        <v>25</v>
      </c>
      <c r="B1811" t="s">
        <v>14</v>
      </c>
      <c r="C1811" t="s">
        <v>22</v>
      </c>
      <c r="D1811" s="2" t="s">
        <f>=HYPERLINK("https://main.knesset.gov.il/APPS/legislation/main/bills/2228032", "הצעת חוק איסור העסקת מחבלים משוחררים בשטחי מדינת ישראל, התשפ""ה-2025")</f>
        <v>3808</v>
      </c>
      <c r="E1811" t="s">
        <v>3808</v>
      </c>
      <c r="F1811" t="s">
        <v>3809</v>
      </c>
      <c r="G1811" t="s">
        <v>14</v>
      </c>
      <c r="H1811">
             </c>
      <c r="I1811" t="s">
        <v>14</v>
      </c>
      <c r="J1811" t="s">
        <v>141</v>
      </c>
      <c r="K1811" t="s">
        <v>14</v>
      </c>
      <c r="L1811" t="s">
        <v>20</v>
      </c>
      <c r="M1811" t="s">
        <v>3786</v>
      </c>
      <c r="N1811" t="s">
        <v>14</v>
      </c>
    </row>
    <row r="1812" x14ac:dyDescent="0.25">
      <c r="A1812" t="n">
        <v>25</v>
      </c>
      <c r="B1812" t="s">
        <v>14</v>
      </c>
      <c r="C1812" t="s">
        <v>22</v>
      </c>
      <c r="D1812" s="2" t="s">
        <f>=HYPERLINK("https://main.knesset.gov.il/APPS/legislation/main/bills/2229183", "הצעת חוק הכרזה על ארגון ""אדוני השממה"" כארגון טרור, התשפ""ה-2025")</f>
        <v>3810</v>
      </c>
      <c r="E1812" t="s">
        <v>3810</v>
      </c>
      <c r="F1812" t="s">
        <v>3811</v>
      </c>
      <c r="G1812" t="s">
        <v>14</v>
      </c>
      <c r="H1812">
             </c>
      <c r="I1812" t="s">
        <v>14</v>
      </c>
      <c r="J1812" t="s">
        <v>141</v>
      </c>
      <c r="K1812" t="s">
        <v>14</v>
      </c>
      <c r="L1812" t="s">
        <v>20</v>
      </c>
      <c r="M1812" t="s">
        <v>3786</v>
      </c>
      <c r="N1812" t="s">
        <v>14</v>
      </c>
    </row>
    <row r="1813" x14ac:dyDescent="0.25">
      <c r="A1813" t="n">
        <v>25</v>
      </c>
      <c r="B1813" t="s">
        <v>14</v>
      </c>
      <c r="C1813" t="s">
        <v>22</v>
      </c>
      <c r="D1813" s="2" t="s">
        <f>=HYPERLINK("https://main.knesset.gov.il/APPS/legislation/main/bills/2228882", "הצעת חוק מניעת פגיעת גוף שידורים זר בביטחון המדינה (הוראת שעה - חרבות ברזל) (תיקון - ביטול החוק), התשפ""ה-2025")</f>
        <v>3812</v>
      </c>
      <c r="E1813" t="s">
        <v>3812</v>
      </c>
      <c r="F1813" t="s">
        <v>3813</v>
      </c>
      <c r="G1813" t="s">
        <v>14</v>
      </c>
      <c r="H1813">
             </c>
      <c r="I1813" t="s">
        <v>14</v>
      </c>
      <c r="J1813" t="s">
        <v>141</v>
      </c>
      <c r="K1813" t="s">
        <v>14</v>
      </c>
      <c r="L1813" t="s">
        <v>20</v>
      </c>
      <c r="M1813" t="s">
        <v>3786</v>
      </c>
      <c r="N1813" t="s">
        <v>14</v>
      </c>
    </row>
    <row r="1814" x14ac:dyDescent="0.25">
      <c r="A1814" t="n">
        <v>25</v>
      </c>
      <c r="B1814" t="s">
        <v>14</v>
      </c>
      <c r="C1814" t="s">
        <v>22</v>
      </c>
      <c r="D1814" s="2" t="s">
        <f>=HYPERLINK("https://main.knesset.gov.il/APPS/legislation/main/bills/2227521", "הצעת חוק סימון פרסומות המכילות תוכן שנוצר או נערך באמצעות בינה מלאכותית (תיקוני חקיקה), התשפ""ה-2025")</f>
        <v>3814</v>
      </c>
      <c r="E1814" t="s">
        <v>3814</v>
      </c>
      <c r="F1814" t="s">
        <v>3815</v>
      </c>
      <c r="G1814" t="s">
        <v>14</v>
      </c>
      <c r="H1814">
             </c>
      <c r="I1814" t="s">
        <v>14</v>
      </c>
      <c r="J1814" t="s">
        <v>141</v>
      </c>
      <c r="K1814" t="s">
        <v>14</v>
      </c>
      <c r="L1814" t="s">
        <v>20</v>
      </c>
      <c r="M1814" t="s">
        <v>3786</v>
      </c>
      <c r="N1814" t="s">
        <v>14</v>
      </c>
    </row>
    <row r="1815" x14ac:dyDescent="0.25">
      <c r="A1815" t="n">
        <v>25</v>
      </c>
      <c r="B1815" t="s">
        <v>14</v>
      </c>
      <c r="C1815" t="s">
        <v>22</v>
      </c>
      <c r="D1815" s="2" t="s">
        <f>=HYPERLINK("https://main.knesset.gov.il/APPS/legislation/main/bills/2228827", "הצעת חוק סמכויות להתמודדות עם כלי טיס בלתי מאויש, התשפ""ה-2025")</f>
        <v>3816</v>
      </c>
      <c r="E1815" t="s">
        <v>3816</v>
      </c>
      <c r="F1815" t="s">
        <v>3817</v>
      </c>
      <c r="G1815" t="s">
        <v>14</v>
      </c>
      <c r="H1815">
             </c>
      <c r="I1815" t="s">
        <v>14</v>
      </c>
      <c r="J1815" t="s">
        <v>141</v>
      </c>
      <c r="K1815" t="s">
        <v>14</v>
      </c>
      <c r="L1815" t="s">
        <v>20</v>
      </c>
      <c r="M1815" t="s">
        <v>3786</v>
      </c>
      <c r="N1815" t="s">
        <v>14</v>
      </c>
    </row>
    <row r="1816" x14ac:dyDescent="0.25">
      <c r="A1816" t="n">
        <v>25</v>
      </c>
      <c r="B1816" t="s">
        <v>14</v>
      </c>
      <c r="C1816" t="s">
        <v>22</v>
      </c>
      <c r="D1816" s="2" t="s">
        <f>=HYPERLINK("https://main.knesset.gov.il/APPS/legislation/main/bills/2227544", "הצעת חוק לתיקון פקודת העיריות (השתתפות עובדים במשרות אמון במכרזים פומביים לקבלת עובדים), התשפ""ה-2025")</f>
        <v>3818</v>
      </c>
      <c r="E1816" t="s">
        <v>3818</v>
      </c>
      <c r="F1816" t="s">
        <v>3819</v>
      </c>
      <c r="G1816" t="s">
        <v>14</v>
      </c>
      <c r="H1816">
             </c>
      <c r="I1816" t="s">
        <v>14</v>
      </c>
      <c r="J1816" t="s">
        <v>141</v>
      </c>
      <c r="K1816" t="s">
        <v>14</v>
      </c>
      <c r="L1816" t="s">
        <v>20</v>
      </c>
      <c r="M1816" t="s">
        <v>3786</v>
      </c>
      <c r="N1816" t="s">
        <v>14</v>
      </c>
    </row>
    <row r="1817" x14ac:dyDescent="0.25">
      <c r="A1817" t="n">
        <v>25</v>
      </c>
      <c r="B1817" t="s">
        <v>14</v>
      </c>
      <c r="C1817" t="s">
        <v>22</v>
      </c>
      <c r="D1817" s="2" t="s">
        <f>=HYPERLINK("https://main.knesset.gov.il/APPS/legislation/main/bills/2227317", "הצעת חוק זכויות הסטודנט (תיקון - זכויות לסטודנטים הלומדים בחוץ לארץ), התשפ""ה-2025")</f>
        <v>3820</v>
      </c>
      <c r="E1817" t="s">
        <v>3820</v>
      </c>
      <c r="F1817" t="s">
        <v>3821</v>
      </c>
      <c r="G1817" t="s">
        <v>14</v>
      </c>
      <c r="H1817">
             </c>
      <c r="I1817" t="s">
        <v>14</v>
      </c>
      <c r="J1817" t="s">
        <v>141</v>
      </c>
      <c r="K1817" t="s">
        <v>14</v>
      </c>
      <c r="L1817" t="s">
        <v>20</v>
      </c>
      <c r="M1817" t="s">
        <v>3786</v>
      </c>
      <c r="N1817" t="s">
        <v>14</v>
      </c>
    </row>
    <row r="1818" x14ac:dyDescent="0.25">
      <c r="A1818" t="n">
        <v>25</v>
      </c>
      <c r="B1818" t="s">
        <v>14</v>
      </c>
      <c r="C1818" t="s">
        <v>22</v>
      </c>
      <c r="D1818" s="2" t="s">
        <f>=HYPERLINK("https://main.knesset.gov.il/APPS/legislation/main/bills/2228428", "הצעת חוק איסור פרסומת ומכירת משקאות אנרגיה לקטינים, התשפ""ה-2025")</f>
        <v>3744</v>
      </c>
      <c r="E1818" t="s">
        <v>3744</v>
      </c>
      <c r="F1818" t="s">
        <v>3822</v>
      </c>
      <c r="G1818" t="s">
        <v>14</v>
      </c>
      <c r="H1818">
             </c>
      <c r="I1818" t="s">
        <v>14</v>
      </c>
      <c r="J1818" t="s">
        <v>141</v>
      </c>
      <c r="K1818" t="s">
        <v>14</v>
      </c>
      <c r="L1818" t="s">
        <v>20</v>
      </c>
      <c r="M1818" t="s">
        <v>3786</v>
      </c>
      <c r="N1818" t="s">
        <v>14</v>
      </c>
    </row>
    <row r="1819" x14ac:dyDescent="0.25">
      <c r="A1819" t="n">
        <v>25</v>
      </c>
      <c r="B1819" t="s">
        <v>14</v>
      </c>
      <c r="C1819" t="s">
        <v>22</v>
      </c>
      <c r="D1819" s="2" t="s">
        <f>=HYPERLINK("https://main.knesset.gov.il/APPS/legislation/main/bills/2228723", "הצעת חוק ציונות כערך מנחה בפעולות הממשלה, התשפ""ה-2025")</f>
        <v>3823</v>
      </c>
      <c r="E1819" t="s">
        <v>3823</v>
      </c>
      <c r="F1819" t="s">
        <v>3824</v>
      </c>
      <c r="G1819" t="s">
        <v>14</v>
      </c>
      <c r="H1819">
             </c>
      <c r="I1819" t="s">
        <v>14</v>
      </c>
      <c r="J1819" t="s">
        <v>141</v>
      </c>
      <c r="K1819" t="s">
        <v>14</v>
      </c>
      <c r="L1819" t="s">
        <v>20</v>
      </c>
      <c r="M1819" t="s">
        <v>3786</v>
      </c>
      <c r="N1819" t="s">
        <v>14</v>
      </c>
    </row>
    <row r="1820" x14ac:dyDescent="0.25">
      <c r="A1820" t="n">
        <v>25</v>
      </c>
      <c r="B1820" t="s">
        <v>14</v>
      </c>
      <c r="C1820" t="s">
        <v>22</v>
      </c>
      <c r="D1820" s="2" t="s">
        <f>=HYPERLINK("https://main.knesset.gov.il/APPS/legislation/main/bills/2227342", "הצעת חוק הגנת הצרכן (תיקון - חובת הצגת מספרי טלפון של מוקדי סיוע לצרכן בכניסה לרשתות שיווק מזון וחנויות), התשפ""ה-2025")</f>
        <v>3825</v>
      </c>
      <c r="E1820" t="s">
        <v>3825</v>
      </c>
      <c r="F1820" t="s">
        <v>3826</v>
      </c>
      <c r="G1820" t="s">
        <v>14</v>
      </c>
      <c r="H1820">
             </c>
      <c r="I1820" t="s">
        <v>14</v>
      </c>
      <c r="J1820" t="s">
        <v>141</v>
      </c>
      <c r="K1820" t="s">
        <v>14</v>
      </c>
      <c r="L1820" t="s">
        <v>20</v>
      </c>
      <c r="M1820" t="s">
        <v>3786</v>
      </c>
      <c r="N1820" t="s">
        <v>14</v>
      </c>
    </row>
    <row r="1821" x14ac:dyDescent="0.25">
      <c r="A1821" t="n">
        <v>25</v>
      </c>
      <c r="B1821" t="s">
        <v>14</v>
      </c>
      <c r="C1821" t="s">
        <v>22</v>
      </c>
      <c r="D1821" s="2" t="s">
        <f>=HYPERLINK("https://main.knesset.gov.il/APPS/legislation/main/bills/2228601", "הצעת חוק מס להפחתת גודש התנועה באזור גוש דן (תיקון - פטור ממס לתושבי יישובים סמוכים לאזור גוש דן), התשפ""ה-2025")</f>
        <v>3827</v>
      </c>
      <c r="E1821" t="s">
        <v>3827</v>
      </c>
      <c r="F1821" t="s">
        <v>3828</v>
      </c>
      <c r="G1821" t="s">
        <v>14</v>
      </c>
      <c r="H1821">
             </c>
      <c r="I1821" t="s">
        <v>14</v>
      </c>
      <c r="J1821" t="s">
        <v>141</v>
      </c>
      <c r="K1821" t="s">
        <v>14</v>
      </c>
      <c r="L1821" t="s">
        <v>20</v>
      </c>
      <c r="M1821" t="s">
        <v>3786</v>
      </c>
      <c r="N1821" t="s">
        <v>14</v>
      </c>
    </row>
    <row r="1822" x14ac:dyDescent="0.25">
      <c r="A1822" t="n">
        <v>25</v>
      </c>
      <c r="B1822" t="s">
        <v>14</v>
      </c>
      <c r="C1822" t="s">
        <v>22</v>
      </c>
      <c r="D1822" s="2" t="s">
        <f>=HYPERLINK("https://main.knesset.gov.il/APPS/legislation/main/bills/2228546", "הצעת חוק המרכז למורשת יהדות תוניסיה וג'רבה, התשפ""ה-2025")</f>
        <v>3829</v>
      </c>
      <c r="E1822" t="s">
        <v>3829</v>
      </c>
      <c r="F1822" t="s">
        <v>3830</v>
      </c>
      <c r="G1822" t="s">
        <v>14</v>
      </c>
      <c r="H1822">
             </c>
      <c r="I1822" t="s">
        <v>14</v>
      </c>
      <c r="J1822" t="s">
        <v>141</v>
      </c>
      <c r="K1822" t="s">
        <v>14</v>
      </c>
      <c r="L1822" t="s">
        <v>20</v>
      </c>
      <c r="M1822" t="s">
        <v>3786</v>
      </c>
      <c r="N1822" t="s">
        <v>14</v>
      </c>
    </row>
    <row r="1823" x14ac:dyDescent="0.25">
      <c r="A1823" t="n">
        <v>25</v>
      </c>
      <c r="B1823" t="s">
        <v>14</v>
      </c>
      <c r="C1823" t="s">
        <v>22</v>
      </c>
      <c r="D1823" s="2" t="s">
        <f>=HYPERLINK("https://main.knesset.gov.il/APPS/legislation/main/bills/2229247", "הצעת חוק הסיוע המשפטי (תיקון - סיוע משפטי למטופל סיעודי), התשפ""ה-2025")</f>
        <v>3831</v>
      </c>
      <c r="E1823" t="s">
        <v>3831</v>
      </c>
      <c r="F1823" t="s">
        <v>3832</v>
      </c>
      <c r="G1823" t="s">
        <v>14</v>
      </c>
      <c r="H1823">
             </c>
      <c r="I1823" t="s">
        <v>14</v>
      </c>
      <c r="J1823" t="s">
        <v>141</v>
      </c>
      <c r="K1823" t="s">
        <v>14</v>
      </c>
      <c r="L1823" t="s">
        <v>20</v>
      </c>
      <c r="M1823" t="s">
        <v>3786</v>
      </c>
      <c r="N1823" t="s">
        <v>14</v>
      </c>
    </row>
    <row r="1824" x14ac:dyDescent="0.25">
      <c r="A1824" t="n">
        <v>25</v>
      </c>
      <c r="B1824" t="s">
        <v>14</v>
      </c>
      <c r="C1824" t="s">
        <v>22</v>
      </c>
      <c r="D1824" s="2" t="s">
        <f>=HYPERLINK("https://main.knesset.gov.il/APPS/legislation/main/bills/2227461", "הצעת חוק הביטוח הלאומי (תיקון - ביטול שלילת קצבת שאירים מאלמנות שנישאו שנית), התשפ""ה-2025")</f>
        <v>3833</v>
      </c>
      <c r="E1824" t="s">
        <v>3833</v>
      </c>
      <c r="F1824" t="s">
        <v>3834</v>
      </c>
      <c r="G1824" t="s">
        <v>14</v>
      </c>
      <c r="H1824">
             </c>
      <c r="I1824" t="s">
        <v>14</v>
      </c>
      <c r="J1824" t="s">
        <v>141</v>
      </c>
      <c r="K1824" t="s">
        <v>14</v>
      </c>
      <c r="L1824" t="s">
        <v>20</v>
      </c>
      <c r="M1824" t="s">
        <v>3786</v>
      </c>
      <c r="N1824" t="s">
        <v>14</v>
      </c>
    </row>
    <row r="1825" x14ac:dyDescent="0.25">
      <c r="A1825" t="n">
        <v>25</v>
      </c>
      <c r="B1825" t="s">
        <v>14</v>
      </c>
      <c r="C1825" t="s">
        <v>15</v>
      </c>
      <c r="D1825" s="2" t="s">
        <f>=HYPERLINK("https://main.knesset.gov.il/APPS/legislation/main/bills/2229711", "הצעת חוק לתיקון פקודת התעבורה (מס' 139) (רישיון להפעלת מונית חשמלית), התשפ""ה-2025 ")</f>
        <v>3835</v>
      </c>
      <c r="E1825" t="s">
        <v>3835</v>
      </c>
      <c r="F1825" t="s">
        <v>14</v>
      </c>
      <c r="G1825" t="s">
        <v>3836</v>
      </c>
      <c r="H1825">
             </c>
      <c r="I1825" t="s">
        <v>14</v>
      </c>
      <c r="J1825" t="s">
        <v>69</v>
      </c>
      <c r="K1825" t="s">
        <v>14</v>
      </c>
      <c r="L1825" t="s">
        <v>20</v>
      </c>
      <c r="M1825" t="s">
        <v>3786</v>
      </c>
      <c r="N1825" t="s">
        <v>14</v>
      </c>
    </row>
    <row r="1826" x14ac:dyDescent="0.25">
      <c r="A1826" t="n">
        <v>25</v>
      </c>
      <c r="B1826" t="s">
        <v>14</v>
      </c>
      <c r="C1826" t="s">
        <v>15</v>
      </c>
      <c r="D1826" s="2" t="s">
        <f>=HYPERLINK("https://main.knesset.gov.il/APPS/legislation/main/bills/2227190", "פרק ז' (חברות ממשלתיות) מתוך הצעת חוק התוכנית הכלכלית (תיקוני חקיקה ליישום המדיניות הכלכלית לשנת התקציב 2025), התשפ""ה-2024 ")</f>
        <v>3837</v>
      </c>
      <c r="E1826" t="s">
        <v>3837</v>
      </c>
      <c r="F1826" t="s">
        <v>14</v>
      </c>
      <c r="G1826" t="s">
        <v>43</v>
      </c>
      <c r="H1826">
             </c>
      <c r="I1826" t="s">
        <v>14</v>
      </c>
      <c r="J1826" t="s">
        <v>99</v>
      </c>
      <c r="K1826" t="s">
        <v>121</v>
      </c>
      <c r="L1826" t="s">
        <v>20</v>
      </c>
      <c r="M1826" t="s">
        <v>3838</v>
      </c>
      <c r="N1826" t="s">
        <v>14</v>
      </c>
    </row>
    <row r="1827" x14ac:dyDescent="0.25">
      <c r="A1827" t="n">
        <v>25</v>
      </c>
      <c r="B1827" t="s">
        <v>14</v>
      </c>
      <c r="C1827" t="s">
        <v>15</v>
      </c>
      <c r="D1827" s="2" t="s">
        <f>=HYPERLINK("https://main.knesset.gov.il/APPS/legislation/main/bills/2227227", "פרק ז' (הקפאה והפחתה של דמי הבראה בשנת 2025) מתוך הצעת חוק ההתייעלות הכלכלית (תיקוני חקיקה להשגת יעדי התקציב לשנת התקציב 2025), התשפ""ה-2024 ")</f>
        <v>3839</v>
      </c>
      <c r="E1827" t="s">
        <v>3839</v>
      </c>
      <c r="F1827" t="s">
        <v>14</v>
      </c>
      <c r="G1827" t="s">
        <v>43</v>
      </c>
      <c r="H1827">
             </c>
      <c r="I1827" t="s">
        <v>14</v>
      </c>
      <c r="J1827" t="s">
        <v>99</v>
      </c>
      <c r="K1827" t="s">
        <v>121</v>
      </c>
      <c r="L1827" t="s">
        <v>20</v>
      </c>
      <c r="M1827" t="s">
        <v>3840</v>
      </c>
      <c r="N1827" t="s">
        <v>14</v>
      </c>
    </row>
    <row r="1828" x14ac:dyDescent="0.25">
      <c r="A1828" t="n">
        <v>25</v>
      </c>
      <c r="B1828" t="s">
        <v>14</v>
      </c>
      <c r="C1828" t="s">
        <v>15</v>
      </c>
      <c r="D1828" s="2" t="s">
        <f>=HYPERLINK("https://main.knesset.gov.il/APPS/legislation/main/bills/2227191", "פרק ד' (תשתיות וביוב) מתוך הצעת חוק התוכנית הכלכלית (תיקוני חקיקה ליישום המדיניות הכלכלית לשנת התקציב 2025), התשפ""ה-2024 ")</f>
        <v>3841</v>
      </c>
      <c r="E1828" t="s">
        <v>3841</v>
      </c>
      <c r="F1828" t="s">
        <v>14</v>
      </c>
      <c r="G1828" t="s">
        <v>43</v>
      </c>
      <c r="H1828">
             </c>
      <c r="I1828" t="s">
        <v>14</v>
      </c>
      <c r="J1828" t="s">
        <v>99</v>
      </c>
      <c r="K1828" t="s">
        <v>121</v>
      </c>
      <c r="L1828" t="s">
        <v>20</v>
      </c>
      <c r="M1828" t="s">
        <v>3842</v>
      </c>
      <c r="N1828" t="s">
        <v>14</v>
      </c>
    </row>
    <row r="1829" x14ac:dyDescent="0.25">
      <c r="A1829" t="n">
        <v>25</v>
      </c>
      <c r="B1829" t="s">
        <v>14</v>
      </c>
      <c r="C1829" t="s">
        <v>22</v>
      </c>
      <c r="D1829" s="2" t="s">
        <f>=HYPERLINK("https://main.knesset.gov.il/APPS/legislation/main/bills/2220329", "חוק הביטוח הלאומי (תיקון מס' 255), התשפ""ה–2025")</f>
        <v>3843</v>
      </c>
      <c r="E1829" t="s">
        <v>3843</v>
      </c>
      <c r="F1829" t="s">
        <v>3844</v>
      </c>
      <c r="G1829" t="s">
        <v>3845</v>
      </c>
      <c r="H1829" t="n">
        <v>3378</v>
      </c>
      <c r="I1829" t="s">
        <v>14</v>
      </c>
      <c r="J1829" t="s">
        <v>91</v>
      </c>
      <c r="K1829" t="s">
        <v>127</v>
      </c>
      <c r="L1829" t="s">
        <v>20</v>
      </c>
      <c r="M1829" t="s">
        <v>3842</v>
      </c>
      <c r="N1829" t="s">
        <v>3846</v>
      </c>
    </row>
    <row r="1830" x14ac:dyDescent="0.25">
      <c r="A1830" t="n">
        <v>25</v>
      </c>
      <c r="B1830" t="s">
        <v>14</v>
      </c>
      <c r="C1830" t="s">
        <v>22</v>
      </c>
      <c r="D1830" s="2" t="s">
        <f>=HYPERLINK("https://main.knesset.gov.il/APPS/legislation/main/bills/2218605", "הצעת חוק מעבר צה""ל דרומה (הוראת שעה - העדפת שירותים מהנגב), התשפ""ד-2024")</f>
        <v>3847</v>
      </c>
      <c r="E1830" t="s">
        <v>3847</v>
      </c>
      <c r="F1830" t="s">
        <v>3848</v>
      </c>
      <c r="G1830" t="s">
        <v>14</v>
      </c>
      <c r="H1830">
             </c>
      <c r="I1830" t="s">
        <v>14</v>
      </c>
      <c r="J1830" t="s">
        <v>343</v>
      </c>
      <c r="K1830" t="s">
        <v>14</v>
      </c>
      <c r="L1830" t="s">
        <v>20</v>
      </c>
      <c r="M1830" t="s">
        <v>3842</v>
      </c>
      <c r="N1830" t="s">
        <v>14</v>
      </c>
    </row>
    <row r="1831" x14ac:dyDescent="0.25">
      <c r="A1831" t="n">
        <v>25</v>
      </c>
      <c r="B1831" t="s">
        <v>14</v>
      </c>
      <c r="C1831" t="s">
        <v>22</v>
      </c>
      <c r="D1831" s="2" t="s">
        <f>=HYPERLINK("https://main.knesset.gov.il/APPS/legislation/main/bills/2209019", "הצעת חוק זכויות החולה (תיקון - טיפול בזמן סביר), התשפ""ג-2023")</f>
        <v>3849</v>
      </c>
      <c r="E1831" t="s">
        <v>3849</v>
      </c>
      <c r="F1831" t="s">
        <v>3850</v>
      </c>
      <c r="G1831" t="s">
        <v>14</v>
      </c>
      <c r="H1831">
             </c>
      <c r="I1831" t="s">
        <v>14</v>
      </c>
      <c r="J1831" t="s">
        <v>55</v>
      </c>
      <c r="K1831" t="s">
        <v>14</v>
      </c>
      <c r="L1831" t="s">
        <v>20</v>
      </c>
      <c r="M1831" t="s">
        <v>3842</v>
      </c>
      <c r="N1831" t="s">
        <v>14</v>
      </c>
    </row>
    <row r="1832" x14ac:dyDescent="0.25">
      <c r="A1832" t="n">
        <v>25</v>
      </c>
      <c r="B1832" t="s">
        <v>14</v>
      </c>
      <c r="C1832" t="s">
        <v>22</v>
      </c>
      <c r="D1832" s="2" t="s">
        <f>=HYPERLINK("https://main.knesset.gov.il/APPS/legislation/main/bills/2201481", "הצעת חוק סדר הדין הפלילי (סמכויות אכיפה – מעצרים) (תיקון מס' 23 – הוראת שעה) (החמרת תנאי שחרור בערובה של חשוד בעבירות חמורות), התשפ""ד–2024")</f>
        <v>3851</v>
      </c>
      <c r="E1832" t="s">
        <v>3851</v>
      </c>
      <c r="F1832" t="s">
        <v>3852</v>
      </c>
      <c r="G1832" t="s">
        <v>3853</v>
      </c>
      <c r="H1832">
             </c>
      <c r="I1832" t="s">
        <v>14</v>
      </c>
      <c r="J1832" t="s">
        <v>18</v>
      </c>
      <c r="K1832" t="s">
        <v>105</v>
      </c>
      <c r="L1832" t="s">
        <v>20</v>
      </c>
      <c r="M1832" t="s">
        <v>3854</v>
      </c>
      <c r="N1832" t="s">
        <v>14</v>
      </c>
    </row>
    <row r="1833" x14ac:dyDescent="0.25">
      <c r="A1833" t="n">
        <v>25</v>
      </c>
      <c r="B1833" t="s">
        <v>14</v>
      </c>
      <c r="C1833" t="s">
        <v>22</v>
      </c>
      <c r="D1833" s="2" t="s">
        <f>=HYPERLINK("https://main.knesset.gov.il/APPS/legislation/main/bills/2223377", "הצעת חוק מניעת העסקת עובד הוראה בעל תואר אקדמי מהרשות הפלסטינית (תיקוני חקיקה), התשפ""ה-2024")</f>
        <v>3855</v>
      </c>
      <c r="E1833" t="s">
        <v>3855</v>
      </c>
      <c r="F1833" t="s">
        <v>3856</v>
      </c>
      <c r="G1833" t="s">
        <v>14</v>
      </c>
      <c r="H1833">
             </c>
      <c r="I1833" t="s">
        <v>14</v>
      </c>
      <c r="J1833" t="s">
        <v>99</v>
      </c>
      <c r="K1833" t="s">
        <v>34</v>
      </c>
      <c r="L1833" t="s">
        <v>20</v>
      </c>
      <c r="M1833" t="s">
        <v>3854</v>
      </c>
      <c r="N1833" t="s">
        <v>14</v>
      </c>
    </row>
    <row r="1834" x14ac:dyDescent="0.25">
      <c r="A1834" t="n">
        <v>25</v>
      </c>
      <c r="B1834" t="s">
        <v>14</v>
      </c>
      <c r="C1834" t="s">
        <v>15</v>
      </c>
      <c r="D1834" s="2" t="s">
        <f>=HYPERLINK("https://main.knesset.gov.il/APPS/legislation/main/bills/2227223", "סעיף 17 (חוק גמלאות לנושאי משרה ברשויות השלטון) מתוך הצעת חוק ההתייעלות הכלכלית (תיקוני חקיקה להשגת יעדי התקציב לשנת התקציב 2025), התשפ""ה-2024 [פרק ד']")</f>
        <v>3857</v>
      </c>
      <c r="E1834" t="s">
        <v>3857</v>
      </c>
      <c r="F1834" t="s">
        <v>14</v>
      </c>
      <c r="G1834" t="s">
        <v>43</v>
      </c>
      <c r="H1834">
             </c>
      <c r="I1834" t="s">
        <v>14</v>
      </c>
      <c r="J1834" t="s">
        <v>99</v>
      </c>
      <c r="K1834" t="s">
        <v>121</v>
      </c>
      <c r="L1834" t="s">
        <v>20</v>
      </c>
      <c r="M1834" t="s">
        <v>3854</v>
      </c>
      <c r="N1834" t="s">
        <v>14</v>
      </c>
    </row>
    <row r="1835" x14ac:dyDescent="0.25">
      <c r="A1835" t="n">
        <v>25</v>
      </c>
      <c r="B1835" t="s">
        <v>14</v>
      </c>
      <c r="C1835" t="s">
        <v>15</v>
      </c>
      <c r="D1835" s="2" t="s">
        <f>=HYPERLINK("https://main.knesset.gov.il/APPS/legislation/main/bills/2227224", "סעיף 18 (גמלאות לראש הרשות וסגניו) מתוך הצעת חוק ההתייעלות הכלכלית (תיקוני חקיקה להשגת יעדי התקציב לשנת התקציב 2025), התשפ""ה-2024 [פרק ד']")</f>
        <v>3858</v>
      </c>
      <c r="E1835" t="s">
        <v>3858</v>
      </c>
      <c r="F1835" t="s">
        <v>14</v>
      </c>
      <c r="G1835" t="s">
        <v>43</v>
      </c>
      <c r="H1835">
             </c>
      <c r="I1835" t="s">
        <v>14</v>
      </c>
      <c r="J1835" t="s">
        <v>99</v>
      </c>
      <c r="K1835" t="s">
        <v>121</v>
      </c>
      <c r="L1835" t="s">
        <v>20</v>
      </c>
      <c r="M1835" t="s">
        <v>3854</v>
      </c>
      <c r="N1835" t="s">
        <v>14</v>
      </c>
    </row>
    <row r="1836" x14ac:dyDescent="0.25">
      <c r="A1836" t="n">
        <v>25</v>
      </c>
      <c r="B1836" t="s">
        <v>14</v>
      </c>
      <c r="C1836" t="s">
        <v>22</v>
      </c>
      <c r="D1836" s="2" t="s">
        <f>=HYPERLINK("https://main.knesset.gov.il/APPS/legislation/main/bills/2210261", "הצעת חוק הרשות הלאומית למאבק בעוני, התשפ""ד-2023")</f>
        <v>3859</v>
      </c>
      <c r="E1836" t="s">
        <v>3859</v>
      </c>
      <c r="F1836" t="s">
        <v>3860</v>
      </c>
      <c r="G1836" t="s">
        <v>14</v>
      </c>
      <c r="H1836">
             </c>
      <c r="I1836" t="s">
        <v>14</v>
      </c>
      <c r="J1836" t="s">
        <v>99</v>
      </c>
      <c r="K1836" t="s">
        <v>127</v>
      </c>
      <c r="L1836" t="s">
        <v>20</v>
      </c>
      <c r="M1836" t="s">
        <v>3861</v>
      </c>
      <c r="N1836" t="s">
        <v>14</v>
      </c>
    </row>
    <row r="1837" x14ac:dyDescent="0.25">
      <c r="A1837" t="n">
        <v>25</v>
      </c>
      <c r="B1837" t="s">
        <v>14</v>
      </c>
      <c r="C1837" t="s">
        <v>22</v>
      </c>
      <c r="D1837" s="2" t="s">
        <f>=HYPERLINK("https://main.knesset.gov.il/APPS/legislation/main/bills/2225178", "הצעת חוק הקמת שדה תעופה בנבטים, התשפ""ה-2024")</f>
        <v>3862</v>
      </c>
      <c r="E1837" t="s">
        <v>3862</v>
      </c>
      <c r="F1837" t="s">
        <v>3863</v>
      </c>
      <c r="G1837" t="s">
        <v>14</v>
      </c>
      <c r="H1837">
             </c>
      <c r="I1837" t="s">
        <v>14</v>
      </c>
      <c r="J1837" t="s">
        <v>99</v>
      </c>
      <c r="K1837" t="s">
        <v>19</v>
      </c>
      <c r="L1837" t="s">
        <v>20</v>
      </c>
      <c r="M1837" t="s">
        <v>3861</v>
      </c>
      <c r="N1837" t="s">
        <v>14</v>
      </c>
    </row>
    <row r="1838" x14ac:dyDescent="0.25">
      <c r="A1838" t="n">
        <v>25</v>
      </c>
      <c r="B1838" t="s">
        <v>14</v>
      </c>
      <c r="C1838" t="s">
        <v>22</v>
      </c>
      <c r="D1838" s="2" t="s">
        <f>=HYPERLINK("https://main.knesset.gov.il/APPS/legislation/main/bills/2219438", "חוק נציב תלונות הציבור על שופטים (תיקון מס' 6), התשפ""ה–2025")</f>
        <v>3864</v>
      </c>
      <c r="E1838" t="s">
        <v>3864</v>
      </c>
      <c r="F1838" t="s">
        <v>3865</v>
      </c>
      <c r="G1838" t="s">
        <v>3866</v>
      </c>
      <c r="H1838" t="n">
        <v>3377</v>
      </c>
      <c r="I1838" t="s">
        <v>14</v>
      </c>
      <c r="J1838" t="s">
        <v>91</v>
      </c>
      <c r="K1838" t="s">
        <v>27</v>
      </c>
      <c r="L1838" t="s">
        <v>20</v>
      </c>
      <c r="M1838" t="s">
        <v>3861</v>
      </c>
      <c r="N1838" t="s">
        <v>3867</v>
      </c>
    </row>
    <row r="1839" x14ac:dyDescent="0.25">
      <c r="A1839" t="n">
        <v>25</v>
      </c>
      <c r="B1839" t="s">
        <v>14</v>
      </c>
      <c r="C1839" t="s">
        <v>22</v>
      </c>
      <c r="D1839" s="2" t="s">
        <f>=HYPERLINK("https://main.knesset.gov.il/APPS/legislation/main/bills/2229307", "הצעת חוק הסדרת השימוש בקנאביס למטרות רפואיות, התשפ""ה-2025")</f>
        <v>2588</v>
      </c>
      <c r="E1839" t="s">
        <v>2588</v>
      </c>
      <c r="F1839" t="s">
        <v>3868</v>
      </c>
      <c r="G1839" t="s">
        <v>14</v>
      </c>
      <c r="H1839">
             </c>
      <c r="I1839" t="s">
        <v>14</v>
      </c>
      <c r="J1839" t="s">
        <v>343</v>
      </c>
      <c r="K1839" t="s">
        <v>14</v>
      </c>
      <c r="L1839" t="s">
        <v>20</v>
      </c>
      <c r="M1839" t="s">
        <v>3861</v>
      </c>
      <c r="N1839" t="s">
        <v>14</v>
      </c>
    </row>
    <row r="1840" x14ac:dyDescent="0.25">
      <c r="A1840" t="n">
        <v>25</v>
      </c>
      <c r="B1840" t="s">
        <v>14</v>
      </c>
      <c r="C1840" t="s">
        <v>22</v>
      </c>
      <c r="D1840" s="2" t="s">
        <f>=HYPERLINK("https://main.knesset.gov.il/APPS/legislation/main/bills/2227528", "הצעת חוק אסדרת חברות שמירה ושירותי אבטחה, התשפ""ה-2025")</f>
        <v>3869</v>
      </c>
      <c r="E1840" t="s">
        <v>3869</v>
      </c>
      <c r="F1840" t="s">
        <v>3870</v>
      </c>
      <c r="G1840" t="s">
        <v>14</v>
      </c>
      <c r="H1840">
             </c>
      <c r="I1840" t="s">
        <v>14</v>
      </c>
      <c r="J1840" t="s">
        <v>141</v>
      </c>
      <c r="K1840" t="s">
        <v>14</v>
      </c>
      <c r="L1840" t="s">
        <v>20</v>
      </c>
      <c r="M1840" t="s">
        <v>3861</v>
      </c>
      <c r="N1840" t="s">
        <v>14</v>
      </c>
    </row>
    <row r="1841" x14ac:dyDescent="0.25">
      <c r="A1841" t="n">
        <v>25</v>
      </c>
      <c r="B1841" t="s">
        <v>14</v>
      </c>
      <c r="C1841" t="s">
        <v>22</v>
      </c>
      <c r="D1841" s="2" t="s">
        <f>=HYPERLINK("https://main.knesset.gov.il/APPS/legislation/main/bills/2218872", "הצעת חוק מחיקת רישומים בגין התקהלות אסורה, התשפ""ה-2025")</f>
        <v>2688</v>
      </c>
      <c r="E1841" t="s">
        <v>2688</v>
      </c>
      <c r="F1841" t="s">
        <v>3871</v>
      </c>
      <c r="G1841" t="s">
        <v>14</v>
      </c>
      <c r="H1841">
             </c>
      <c r="I1841" t="s">
        <v>14</v>
      </c>
      <c r="J1841" t="s">
        <v>141</v>
      </c>
      <c r="K1841" t="s">
        <v>14</v>
      </c>
      <c r="L1841" t="s">
        <v>20</v>
      </c>
      <c r="M1841" t="s">
        <v>3861</v>
      </c>
      <c r="N1841" t="s">
        <v>14</v>
      </c>
    </row>
    <row r="1842" x14ac:dyDescent="0.25">
      <c r="A1842" t="n">
        <v>25</v>
      </c>
      <c r="B1842" t="s">
        <v>14</v>
      </c>
      <c r="C1842" t="s">
        <v>22</v>
      </c>
      <c r="D1842" s="2" t="s">
        <f>=HYPERLINK("https://main.knesset.gov.il/APPS/legislation/main/bills/2228600", "הצעת חוק חדלות פירעון ושיקום כלכלי (תיקון - העלאת סף החובות לניהול הליך ברשות האכיפה והגבייה), התשפ""ה-2025")</f>
        <v>3564</v>
      </c>
      <c r="E1842" t="s">
        <v>3564</v>
      </c>
      <c r="F1842" t="s">
        <v>3872</v>
      </c>
      <c r="G1842" t="s">
        <v>14</v>
      </c>
      <c r="H1842">
             </c>
      <c r="I1842" t="s">
        <v>14</v>
      </c>
      <c r="J1842" t="s">
        <v>141</v>
      </c>
      <c r="K1842" t="s">
        <v>14</v>
      </c>
      <c r="L1842" t="s">
        <v>20</v>
      </c>
      <c r="M1842" t="s">
        <v>3861</v>
      </c>
      <c r="N1842" t="s">
        <v>14</v>
      </c>
    </row>
    <row r="1843" x14ac:dyDescent="0.25">
      <c r="A1843" t="n">
        <v>25</v>
      </c>
      <c r="B1843" t="s">
        <v>14</v>
      </c>
      <c r="C1843" t="s">
        <v>22</v>
      </c>
      <c r="D1843" s="2" t="s">
        <f>=HYPERLINK("https://main.knesset.gov.il/APPS/legislation/main/bills/2229096", "הצעת חוק יחסי ממון בין בני זוג (תיקון - הסכמי ממון), התשפ""ה-2025")</f>
        <v>3873</v>
      </c>
      <c r="E1843" t="s">
        <v>3873</v>
      </c>
      <c r="F1843" t="s">
        <v>3874</v>
      </c>
      <c r="G1843" t="s">
        <v>14</v>
      </c>
      <c r="H1843">
             </c>
      <c r="I1843" t="s">
        <v>14</v>
      </c>
      <c r="J1843" t="s">
        <v>141</v>
      </c>
      <c r="K1843" t="s">
        <v>14</v>
      </c>
      <c r="L1843" t="s">
        <v>20</v>
      </c>
      <c r="M1843" t="s">
        <v>3861</v>
      </c>
      <c r="N1843" t="s">
        <v>14</v>
      </c>
    </row>
    <row r="1844" x14ac:dyDescent="0.25">
      <c r="A1844" t="n">
        <v>25</v>
      </c>
      <c r="B1844" t="s">
        <v>14</v>
      </c>
      <c r="C1844" t="s">
        <v>22</v>
      </c>
      <c r="D1844" s="2" t="s">
        <f>=HYPERLINK("https://main.knesset.gov.il/APPS/legislation/main/bills/2228132", "הצעת חוק לתיקון פקודת בתי הסוהר (סמכויות חטיבת חלופות הכליאה והפיקוח), התשפ""ה-2025")</f>
        <v>3875</v>
      </c>
      <c r="E1844" t="s">
        <v>3875</v>
      </c>
      <c r="F1844" t="s">
        <v>3876</v>
      </c>
      <c r="G1844" t="s">
        <v>14</v>
      </c>
      <c r="H1844">
             </c>
      <c r="I1844" t="s">
        <v>14</v>
      </c>
      <c r="J1844" t="s">
        <v>141</v>
      </c>
      <c r="K1844" t="s">
        <v>14</v>
      </c>
      <c r="L1844" t="s">
        <v>20</v>
      </c>
      <c r="M1844" t="s">
        <v>3861</v>
      </c>
      <c r="N1844" t="s">
        <v>14</v>
      </c>
    </row>
    <row r="1845" x14ac:dyDescent="0.25">
      <c r="A1845" t="n">
        <v>25</v>
      </c>
      <c r="B1845" t="s">
        <v>14</v>
      </c>
      <c r="C1845" t="s">
        <v>22</v>
      </c>
      <c r="D1845" s="2" t="s">
        <f>=HYPERLINK("https://main.knesset.gov.il/APPS/legislation/main/bills/2228807", "הצעת חוק עיגון סמכותו של שר הביטחון למנות ולפטר קצינים בצבא הגנה לישראל, התשפ""ה-2025")</f>
        <v>3877</v>
      </c>
      <c r="E1845" t="s">
        <v>3877</v>
      </c>
      <c r="F1845" t="s">
        <v>3878</v>
      </c>
      <c r="G1845" t="s">
        <v>14</v>
      </c>
      <c r="H1845">
             </c>
      <c r="I1845" t="s">
        <v>14</v>
      </c>
      <c r="J1845" t="s">
        <v>141</v>
      </c>
      <c r="K1845" t="s">
        <v>14</v>
      </c>
      <c r="L1845" t="s">
        <v>20</v>
      </c>
      <c r="M1845" t="s">
        <v>3861</v>
      </c>
      <c r="N1845" t="s">
        <v>14</v>
      </c>
    </row>
    <row r="1846" x14ac:dyDescent="0.25">
      <c r="A1846" t="n">
        <v>25</v>
      </c>
      <c r="B1846" t="s">
        <v>14</v>
      </c>
      <c r="C1846" t="s">
        <v>22</v>
      </c>
      <c r="D1846" s="2" t="s">
        <f>=HYPERLINK("https://main.knesset.gov.il/APPS/legislation/main/bills/2226921", "הצעת חוק לתיקון פקודת התעבורה (איסור מתן רישיון נהיגה למסתנן), התשפ""ה-2025")</f>
        <v>3879</v>
      </c>
      <c r="E1846" t="s">
        <v>3879</v>
      </c>
      <c r="F1846" t="s">
        <v>3880</v>
      </c>
      <c r="G1846" t="s">
        <v>14</v>
      </c>
      <c r="H1846">
             </c>
      <c r="I1846" t="s">
        <v>14</v>
      </c>
      <c r="J1846" t="s">
        <v>141</v>
      </c>
      <c r="K1846" t="s">
        <v>14</v>
      </c>
      <c r="L1846" t="s">
        <v>20</v>
      </c>
      <c r="M1846" t="s">
        <v>3861</v>
      </c>
      <c r="N1846" t="s">
        <v>14</v>
      </c>
    </row>
    <row r="1847" x14ac:dyDescent="0.25">
      <c r="A1847" t="n">
        <v>25</v>
      </c>
      <c r="B1847" t="s">
        <v>14</v>
      </c>
      <c r="C1847" t="s">
        <v>22</v>
      </c>
      <c r="D1847" s="2" t="s">
        <f>=HYPERLINK("https://main.knesset.gov.il/APPS/legislation/main/bills/2227415", "הצעת חוק משק החשמל (תיקון - תשלומי חשמל מופחתים לעולים בגיל פרישה שלא זכאים להשלמת הכנסה), התשפ""ה-2025")</f>
        <v>3881</v>
      </c>
      <c r="E1847" t="s">
        <v>3881</v>
      </c>
      <c r="F1847" t="s">
        <v>3882</v>
      </c>
      <c r="G1847" t="s">
        <v>14</v>
      </c>
      <c r="H1847">
             </c>
      <c r="I1847" t="s">
        <v>14</v>
      </c>
      <c r="J1847" t="s">
        <v>141</v>
      </c>
      <c r="K1847" t="s">
        <v>14</v>
      </c>
      <c r="L1847" t="s">
        <v>20</v>
      </c>
      <c r="M1847" t="s">
        <v>3861</v>
      </c>
      <c r="N1847" t="s">
        <v>14</v>
      </c>
    </row>
    <row r="1848" x14ac:dyDescent="0.25">
      <c r="A1848" t="n">
        <v>25</v>
      </c>
      <c r="B1848" t="s">
        <v>14</v>
      </c>
      <c r="C1848" t="s">
        <v>22</v>
      </c>
      <c r="D1848" s="2" t="s">
        <f>=HYPERLINK("https://main.knesset.gov.il/APPS/legislation/main/bills/2229311", "הצעת חוק דיווח על הליך פלילי נגד תלמיד בעבירת טרור (תיקוני חקיקה), התשפ""ה-2025")</f>
        <v>3883</v>
      </c>
      <c r="E1848" t="s">
        <v>3883</v>
      </c>
      <c r="F1848" t="s">
        <v>3884</v>
      </c>
      <c r="G1848" t="s">
        <v>14</v>
      </c>
      <c r="H1848">
             </c>
      <c r="I1848" t="s">
        <v>14</v>
      </c>
      <c r="J1848" t="s">
        <v>141</v>
      </c>
      <c r="K1848" t="s">
        <v>14</v>
      </c>
      <c r="L1848" t="s">
        <v>20</v>
      </c>
      <c r="M1848" t="s">
        <v>3861</v>
      </c>
      <c r="N1848" t="s">
        <v>14</v>
      </c>
    </row>
    <row r="1849" x14ac:dyDescent="0.25">
      <c r="A1849" t="n">
        <v>25</v>
      </c>
      <c r="B1849" t="s">
        <v>14</v>
      </c>
      <c r="C1849" t="s">
        <v>22</v>
      </c>
      <c r="D1849" s="2" t="s">
        <f>=HYPERLINK("https://main.knesset.gov.il/APPS/legislation/main/bills/2228570", "הצעת חוק איסור העברת כספים לרשות תומכת טרור (תיקוני חקיקה), התשפ""ה-2025")</f>
        <v>3885</v>
      </c>
      <c r="E1849" t="s">
        <v>3885</v>
      </c>
      <c r="F1849" t="s">
        <v>3886</v>
      </c>
      <c r="G1849" t="s">
        <v>14</v>
      </c>
      <c r="H1849">
             </c>
      <c r="I1849" t="s">
        <v>14</v>
      </c>
      <c r="J1849" t="s">
        <v>141</v>
      </c>
      <c r="K1849" t="s">
        <v>14</v>
      </c>
      <c r="L1849" t="s">
        <v>20</v>
      </c>
      <c r="M1849" t="s">
        <v>3861</v>
      </c>
      <c r="N1849" t="s">
        <v>14</v>
      </c>
    </row>
    <row r="1850" x14ac:dyDescent="0.25">
      <c r="A1850" t="n">
        <v>25</v>
      </c>
      <c r="B1850" t="s">
        <v>14</v>
      </c>
      <c r="C1850" t="s">
        <v>22</v>
      </c>
      <c r="D1850" s="2" t="s">
        <f>=HYPERLINK("https://main.knesset.gov.il/APPS/legislation/main/bills/2227980", "הצעת חוק לביטול אזרחותו או תושבותו של מי שמתגורר בשטח רצועת עזה (תיקוני חקיקה), התשפ""ה-2025")</f>
        <v>3887</v>
      </c>
      <c r="E1850" t="s">
        <v>3887</v>
      </c>
      <c r="F1850" t="s">
        <v>3888</v>
      </c>
      <c r="G1850" t="s">
        <v>14</v>
      </c>
      <c r="H1850">
             </c>
      <c r="I1850" t="s">
        <v>14</v>
      </c>
      <c r="J1850" t="s">
        <v>141</v>
      </c>
      <c r="K1850" t="s">
        <v>14</v>
      </c>
      <c r="L1850" t="s">
        <v>20</v>
      </c>
      <c r="M1850" t="s">
        <v>3861</v>
      </c>
      <c r="N1850" t="s">
        <v>14</v>
      </c>
    </row>
    <row r="1851" x14ac:dyDescent="0.25">
      <c r="A1851" t="n">
        <v>25</v>
      </c>
      <c r="B1851" t="s">
        <v>14</v>
      </c>
      <c r="C1851" t="s">
        <v>22</v>
      </c>
      <c r="D1851" s="2" t="s">
        <f>=HYPERLINK("https://main.knesset.gov.il/APPS/legislation/main/bills/2227982", "הצעת חוק עידוד עזיבה מרצון של תושבי יהודה והשומרון, התשפ""ה-2025")</f>
        <v>3889</v>
      </c>
      <c r="E1851" t="s">
        <v>3889</v>
      </c>
      <c r="F1851" t="s">
        <v>3890</v>
      </c>
      <c r="G1851" t="s">
        <v>14</v>
      </c>
      <c r="H1851">
             </c>
      <c r="I1851" t="s">
        <v>14</v>
      </c>
      <c r="J1851" t="s">
        <v>141</v>
      </c>
      <c r="K1851" t="s">
        <v>14</v>
      </c>
      <c r="L1851" t="s">
        <v>20</v>
      </c>
      <c r="M1851" t="s">
        <v>3861</v>
      </c>
      <c r="N1851" t="s">
        <v>14</v>
      </c>
    </row>
    <row r="1852" x14ac:dyDescent="0.25">
      <c r="A1852" t="n">
        <v>25</v>
      </c>
      <c r="B1852" t="s">
        <v>14</v>
      </c>
      <c r="C1852" t="s">
        <v>22</v>
      </c>
      <c r="D1852" s="2" t="s">
        <f>=HYPERLINK("https://main.knesset.gov.il/APPS/legislation/main/bills/2228339", "הצעת חוק התכנון והבנייה (תיקון - הנחיות בדבר שיקולי ביטחון לאומי), התשפ""ה-2025")</f>
        <v>3891</v>
      </c>
      <c r="E1852" t="s">
        <v>3891</v>
      </c>
      <c r="F1852" t="s">
        <v>3892</v>
      </c>
      <c r="G1852" t="s">
        <v>14</v>
      </c>
      <c r="H1852">
             </c>
      <c r="I1852" t="s">
        <v>14</v>
      </c>
      <c r="J1852" t="s">
        <v>141</v>
      </c>
      <c r="K1852" t="s">
        <v>14</v>
      </c>
      <c r="L1852" t="s">
        <v>20</v>
      </c>
      <c r="M1852" t="s">
        <v>3861</v>
      </c>
      <c r="N1852" t="s">
        <v>14</v>
      </c>
    </row>
    <row r="1853" x14ac:dyDescent="0.25">
      <c r="A1853" t="n">
        <v>25</v>
      </c>
      <c r="B1853" t="s">
        <v>14</v>
      </c>
      <c r="C1853" t="s">
        <v>22</v>
      </c>
      <c r="D1853" s="2" t="s">
        <f>=HYPERLINK("https://main.knesset.gov.il/APPS/legislation/main/bills/2228734", "הצעת חוק משפחות חיילים שנספו במערכה (תגמולים ושיקום) (תיקון - שלילת הכרה כבן משפחה), התשפ""ה-2025")</f>
        <v>3731</v>
      </c>
      <c r="E1853" t="s">
        <v>3731</v>
      </c>
      <c r="F1853" t="s">
        <v>3893</v>
      </c>
      <c r="G1853" t="s">
        <v>14</v>
      </c>
      <c r="H1853">
             </c>
      <c r="I1853" t="s">
        <v>14</v>
      </c>
      <c r="J1853" t="s">
        <v>141</v>
      </c>
      <c r="K1853" t="s">
        <v>14</v>
      </c>
      <c r="L1853" t="s">
        <v>20</v>
      </c>
      <c r="M1853" t="s">
        <v>3861</v>
      </c>
      <c r="N1853" t="s">
        <v>14</v>
      </c>
    </row>
    <row r="1854" x14ac:dyDescent="0.25">
      <c r="A1854" t="n">
        <v>25</v>
      </c>
      <c r="B1854" t="s">
        <v>14</v>
      </c>
      <c r="C1854" t="s">
        <v>22</v>
      </c>
      <c r="D1854" s="2" t="s">
        <f>=HYPERLINK("https://main.knesset.gov.il/APPS/legislation/main/bills/2228065", "הצעת חוק טיפול בחולי נפש (תיקון - קביעת מועד למתן חוות דעת פסיכיאטרית), התשפ""ה-2025")</f>
        <v>3398</v>
      </c>
      <c r="E1854" t="s">
        <v>3398</v>
      </c>
      <c r="F1854" t="s">
        <v>3894</v>
      </c>
      <c r="G1854" t="s">
        <v>14</v>
      </c>
      <c r="H1854">
             </c>
      <c r="I1854" t="s">
        <v>14</v>
      </c>
      <c r="J1854" t="s">
        <v>141</v>
      </c>
      <c r="K1854" t="s">
        <v>14</v>
      </c>
      <c r="L1854" t="s">
        <v>20</v>
      </c>
      <c r="M1854" t="s">
        <v>3861</v>
      </c>
      <c r="N1854" t="s">
        <v>14</v>
      </c>
    </row>
    <row r="1855" x14ac:dyDescent="0.25">
      <c r="A1855" t="n">
        <v>25</v>
      </c>
      <c r="B1855" t="s">
        <v>14</v>
      </c>
      <c r="C1855" t="s">
        <v>22</v>
      </c>
      <c r="D1855" s="2" t="s">
        <f>=HYPERLINK("https://main.knesset.gov.il/APPS/legislation/main/bills/2227318", "הצעת חוק עידוד התיישבות בפריפריה, התשפ""ה-2025")</f>
        <v>3895</v>
      </c>
      <c r="E1855" t="s">
        <v>3895</v>
      </c>
      <c r="F1855" t="s">
        <v>3896</v>
      </c>
      <c r="G1855" t="s">
        <v>14</v>
      </c>
      <c r="H1855">
             </c>
      <c r="I1855" t="s">
        <v>14</v>
      </c>
      <c r="J1855" t="s">
        <v>141</v>
      </c>
      <c r="K1855" t="s">
        <v>14</v>
      </c>
      <c r="L1855" t="s">
        <v>20</v>
      </c>
      <c r="M1855" t="s">
        <v>3861</v>
      </c>
      <c r="N1855" t="s">
        <v>14</v>
      </c>
    </row>
    <row r="1856" x14ac:dyDescent="0.25">
      <c r="A1856" t="n">
        <v>25</v>
      </c>
      <c r="B1856" t="s">
        <v>14</v>
      </c>
      <c r="C1856" t="s">
        <v>22</v>
      </c>
      <c r="D1856" s="2" t="s">
        <f>=HYPERLINK("https://main.knesset.gov.il/APPS/legislation/main/bills/2228551", "הצעת חוק לתיקון פקודת סדרי השלטון והמשפט (חקיקה באזור באמצעות צו), התשפ""ה-2025 ")</f>
        <v>3897</v>
      </c>
      <c r="E1856" t="s">
        <v>3897</v>
      </c>
      <c r="F1856" t="s">
        <v>3898</v>
      </c>
      <c r="G1856" t="s">
        <v>14</v>
      </c>
      <c r="H1856">
             </c>
      <c r="I1856" t="s">
        <v>14</v>
      </c>
      <c r="J1856" t="s">
        <v>141</v>
      </c>
      <c r="K1856" t="s">
        <v>14</v>
      </c>
      <c r="L1856" t="s">
        <v>20</v>
      </c>
      <c r="M1856" t="s">
        <v>3861</v>
      </c>
      <c r="N1856" t="s">
        <v>14</v>
      </c>
    </row>
    <row r="1857" x14ac:dyDescent="0.25">
      <c r="A1857" t="n">
        <v>25</v>
      </c>
      <c r="B1857" t="s">
        <v>14</v>
      </c>
      <c r="C1857" t="s">
        <v>22</v>
      </c>
      <c r="D1857" s="2" t="s">
        <f>=HYPERLINK("https://main.knesset.gov.il/APPS/legislation/main/bills/2228552", "הצעת חוק מקרקעין באזור יהודה והשומרון, התשפ""ה-2025")</f>
        <v>3899</v>
      </c>
      <c r="E1857" t="s">
        <v>3899</v>
      </c>
      <c r="F1857" t="s">
        <v>3900</v>
      </c>
      <c r="G1857" t="s">
        <v>14</v>
      </c>
      <c r="H1857">
             </c>
      <c r="I1857" t="s">
        <v>14</v>
      </c>
      <c r="J1857" t="s">
        <v>141</v>
      </c>
      <c r="K1857" t="s">
        <v>14</v>
      </c>
      <c r="L1857" t="s">
        <v>20</v>
      </c>
      <c r="M1857" t="s">
        <v>3861</v>
      </c>
      <c r="N1857" t="s">
        <v>14</v>
      </c>
    </row>
    <row r="1858" x14ac:dyDescent="0.25">
      <c r="A1858" t="n">
        <v>25</v>
      </c>
      <c r="B1858" t="s">
        <v>14</v>
      </c>
      <c r="C1858" t="s">
        <v>22</v>
      </c>
      <c r="D1858" s="2" t="s">
        <f>=HYPERLINK("https://main.knesset.gov.il/APPS/legislation/main/bills/2221257", "הצעת חוק הסיוע המשפטי (תיקון - נפגעות ונפגעי הטרדה מינית), התשפ""ה-2025")</f>
        <v>3901</v>
      </c>
      <c r="E1858" t="s">
        <v>3901</v>
      </c>
      <c r="F1858" t="s">
        <v>3902</v>
      </c>
      <c r="G1858" t="s">
        <v>14</v>
      </c>
      <c r="H1858">
             </c>
      <c r="I1858" t="s">
        <v>14</v>
      </c>
      <c r="J1858" t="s">
        <v>141</v>
      </c>
      <c r="K1858" t="s">
        <v>14</v>
      </c>
      <c r="L1858" t="s">
        <v>20</v>
      </c>
      <c r="M1858" t="s">
        <v>3861</v>
      </c>
      <c r="N1858" t="s">
        <v>14</v>
      </c>
    </row>
    <row r="1859" x14ac:dyDescent="0.25">
      <c r="A1859" t="n">
        <v>25</v>
      </c>
      <c r="B1859" t="s">
        <v>14</v>
      </c>
      <c r="C1859" t="s">
        <v>22</v>
      </c>
      <c r="D1859" s="2" t="s">
        <f>=HYPERLINK("https://main.knesset.gov.il/APPS/legislation/main/bills/2228047", "הצעת חוק הנכים (תגמולים ושיקום)(תיקון - החזר בשל אובדן הכנסה לבן משפחה של נכה ששוחרר מאשפוז), התשפ""ה-2025")</f>
        <v>3903</v>
      </c>
      <c r="E1859" t="s">
        <v>3903</v>
      </c>
      <c r="F1859" t="s">
        <v>3904</v>
      </c>
      <c r="G1859" t="s">
        <v>14</v>
      </c>
      <c r="H1859">
             </c>
      <c r="I1859" t="s">
        <v>14</v>
      </c>
      <c r="J1859" t="s">
        <v>141</v>
      </c>
      <c r="K1859" t="s">
        <v>14</v>
      </c>
      <c r="L1859" t="s">
        <v>20</v>
      </c>
      <c r="M1859" t="s">
        <v>3861</v>
      </c>
      <c r="N1859" t="s">
        <v>14</v>
      </c>
    </row>
    <row r="1860" x14ac:dyDescent="0.25">
      <c r="A1860" t="n">
        <v>25</v>
      </c>
      <c r="B1860" t="s">
        <v>14</v>
      </c>
      <c r="C1860" t="s">
        <v>22</v>
      </c>
      <c r="D1860" s="2" t="s">
        <f>=HYPERLINK("https://main.knesset.gov.il/APPS/legislation/main/bills/2214303", "הצעת חוק עובדים זרים (תיקון - חובת מעסיק לבדיקת אשרה של עובד זר), התשפ""ד-2024")</f>
        <v>3905</v>
      </c>
      <c r="E1860" t="s">
        <v>3905</v>
      </c>
      <c r="F1860" t="s">
        <v>3906</v>
      </c>
      <c r="G1860" t="s">
        <v>14</v>
      </c>
      <c r="H1860">
             </c>
      <c r="I1860" t="s">
        <v>14</v>
      </c>
      <c r="J1860" t="s">
        <v>99</v>
      </c>
      <c r="K1860" t="s">
        <v>127</v>
      </c>
      <c r="L1860" t="s">
        <v>20</v>
      </c>
      <c r="M1860" t="s">
        <v>3907</v>
      </c>
      <c r="N1860" t="s">
        <v>14</v>
      </c>
    </row>
    <row r="1861" x14ac:dyDescent="0.25">
      <c r="A1861" t="n">
        <v>25</v>
      </c>
      <c r="B1861" t="s">
        <v>14</v>
      </c>
      <c r="C1861" t="s">
        <v>15</v>
      </c>
      <c r="D1861" s="2" t="s">
        <f>=HYPERLINK("https://main.knesset.gov.il/APPS/legislation/main/bills/2228288", "סעיף 9(1) ו-14 (הכרה בהוצאות הכרוכות בהשבחת נכס) מתוך הצעת חוק ההתייעלות הכלכלית (תיקוני חקיקה להשגת יעדי התקציב לשנת התקציב 2025), התשפ""ה-2024 ")</f>
        <v>3908</v>
      </c>
      <c r="E1861" t="s">
        <v>3908</v>
      </c>
      <c r="F1861" t="s">
        <v>14</v>
      </c>
      <c r="G1861" t="s">
        <v>43</v>
      </c>
      <c r="H1861">
             </c>
      <c r="I1861" t="s">
        <v>14</v>
      </c>
      <c r="J1861" t="s">
        <v>18</v>
      </c>
      <c r="K1861" t="s">
        <v>85</v>
      </c>
      <c r="L1861" t="s">
        <v>20</v>
      </c>
      <c r="M1861" t="s">
        <v>3909</v>
      </c>
      <c r="N1861" t="s">
        <v>14</v>
      </c>
    </row>
    <row r="1862" x14ac:dyDescent="0.25">
      <c r="A1862" t="n">
        <v>25</v>
      </c>
      <c r="B1862" t="s">
        <v>14</v>
      </c>
      <c r="C1862" t="s">
        <v>22</v>
      </c>
      <c r="D1862" s="2" t="s">
        <f>=HYPERLINK("https://main.knesset.gov.il/APPS/legislation/main/bills/2223834", "הצעת חוק מיסוי מקרקעין (שבח ורכישה) (תיקון - ייצוג נישום על ידי רואה חשבון ויועץ מס מייצג), התשפ""ה-2024")</f>
        <v>3910</v>
      </c>
      <c r="E1862" t="s">
        <v>3910</v>
      </c>
      <c r="F1862" t="s">
        <v>3911</v>
      </c>
      <c r="G1862" t="s">
        <v>14</v>
      </c>
      <c r="H1862">
             </c>
      <c r="I1862" t="s">
        <v>14</v>
      </c>
      <c r="J1862" t="s">
        <v>31</v>
      </c>
      <c r="K1862" t="s">
        <v>85</v>
      </c>
      <c r="L1862" t="s">
        <v>20</v>
      </c>
      <c r="M1862" t="s">
        <v>3909</v>
      </c>
      <c r="N1862" t="s">
        <v>14</v>
      </c>
    </row>
    <row r="1863" x14ac:dyDescent="0.25">
      <c r="A1863" t="n">
        <v>25</v>
      </c>
      <c r="B1863" t="s">
        <v>14</v>
      </c>
      <c r="C1863" t="s">
        <v>22</v>
      </c>
      <c r="D1863" s="2" t="s">
        <f>=HYPERLINK("https://main.knesset.gov.il/APPS/legislation/main/bills/2206305", "חוק יום לציון מכתב 18 המשפחות היהודיות מגאורגיה, התשפ""ה–2025")</f>
        <v>3912</v>
      </c>
      <c r="E1863" t="s">
        <v>3912</v>
      </c>
      <c r="F1863" t="s">
        <v>3913</v>
      </c>
      <c r="G1863" t="s">
        <v>3914</v>
      </c>
      <c r="H1863" t="n">
        <v>3376</v>
      </c>
      <c r="I1863" t="s">
        <v>14</v>
      </c>
      <c r="J1863" t="s">
        <v>91</v>
      </c>
      <c r="K1863" t="s">
        <v>34</v>
      </c>
      <c r="L1863" t="s">
        <v>20</v>
      </c>
      <c r="M1863" t="s">
        <v>3909</v>
      </c>
      <c r="N1863" t="s">
        <v>3915</v>
      </c>
    </row>
    <row r="1864" x14ac:dyDescent="0.25">
      <c r="A1864" t="n">
        <v>25</v>
      </c>
      <c r="B1864" t="s">
        <v>14</v>
      </c>
      <c r="C1864" t="s">
        <v>22</v>
      </c>
      <c r="D1864" s="2" t="s">
        <f>=HYPERLINK("https://main.knesset.gov.il/APPS/legislation/main/bills/2228409", "הצעת חוק הוראות פתיחה באש במרחב החיץ הביטחוני ברצועת עזה, התשפ""ה-2025")</f>
        <v>3916</v>
      </c>
      <c r="E1864" t="s">
        <v>3916</v>
      </c>
      <c r="F1864" t="s">
        <v>3917</v>
      </c>
      <c r="G1864" t="s">
        <v>14</v>
      </c>
      <c r="H1864">
             </c>
      <c r="I1864" t="s">
        <v>14</v>
      </c>
      <c r="J1864" t="s">
        <v>141</v>
      </c>
      <c r="K1864" t="s">
        <v>14</v>
      </c>
      <c r="L1864" t="s">
        <v>20</v>
      </c>
      <c r="M1864" t="s">
        <v>3918</v>
      </c>
      <c r="N1864" t="s">
        <v>14</v>
      </c>
    </row>
    <row r="1865" x14ac:dyDescent="0.25">
      <c r="A1865" t="n">
        <v>25</v>
      </c>
      <c r="B1865" t="s">
        <v>14</v>
      </c>
      <c r="C1865" t="s">
        <v>22</v>
      </c>
      <c r="D1865" s="2" t="s">
        <f>=HYPERLINK("https://main.knesset.gov.il/APPS/legislation/main/bills/2226894", "הצעת חוק הרשויות המקומיות (פטור חיילים, נפגעי מלחמה ושוטרים מארנונה) (תיקון - פטור מארנונה לחייל מילואים שהוא סטודנט) (הוראת שעה), התשפ""ה-2025")</f>
        <v>3919</v>
      </c>
      <c r="E1865" t="s">
        <v>3919</v>
      </c>
      <c r="F1865" t="s">
        <v>3920</v>
      </c>
      <c r="G1865" t="s">
        <v>14</v>
      </c>
      <c r="H1865">
             </c>
      <c r="I1865" t="s">
        <v>14</v>
      </c>
      <c r="J1865" t="s">
        <v>141</v>
      </c>
      <c r="K1865" t="s">
        <v>14</v>
      </c>
      <c r="L1865" t="s">
        <v>20</v>
      </c>
      <c r="M1865" t="s">
        <v>3918</v>
      </c>
      <c r="N1865" t="s">
        <v>14</v>
      </c>
    </row>
    <row r="1866" x14ac:dyDescent="0.25">
      <c r="A1866" t="n">
        <v>25</v>
      </c>
      <c r="B1866" t="s">
        <v>14</v>
      </c>
      <c r="C1866" t="s">
        <v>22</v>
      </c>
      <c r="D1866" s="2" t="s">
        <f>=HYPERLINK("https://main.knesset.gov.il/APPS/legislation/main/bills/2228451", "הצעת חוק החברות (תיקון - מכסות ייצוג לנשים בדירקטוריונים של חברות ציבוריות), התשפ""ה-2025")</f>
        <v>3645</v>
      </c>
      <c r="E1866" t="s">
        <v>3645</v>
      </c>
      <c r="F1866" t="s">
        <v>3921</v>
      </c>
      <c r="G1866" t="s">
        <v>14</v>
      </c>
      <c r="H1866">
             </c>
      <c r="I1866" t="s">
        <v>14</v>
      </c>
      <c r="J1866" t="s">
        <v>141</v>
      </c>
      <c r="K1866" t="s">
        <v>14</v>
      </c>
      <c r="L1866" t="s">
        <v>20</v>
      </c>
      <c r="M1866" t="s">
        <v>3918</v>
      </c>
      <c r="N1866" t="s">
        <v>14</v>
      </c>
    </row>
    <row r="1867" x14ac:dyDescent="0.25">
      <c r="A1867" t="n">
        <v>25</v>
      </c>
      <c r="B1867" t="s">
        <v>14</v>
      </c>
      <c r="C1867" t="s">
        <v>22</v>
      </c>
      <c r="D1867" s="2" t="s">
        <f>=HYPERLINK("https://main.knesset.gov.il/APPS/legislation/main/bills/2228073", "הצעת חוק העונשין (תיקון - ביטול סעיפי חילוט שטרי כסף מזוייפים וחיפוש וחילוט של ציוד לזיוף), התשפ""ה-2025")</f>
        <v>3922</v>
      </c>
      <c r="E1867" t="s">
        <v>3922</v>
      </c>
      <c r="F1867" t="s">
        <v>3923</v>
      </c>
      <c r="G1867" t="s">
        <v>14</v>
      </c>
      <c r="H1867">
             </c>
      <c r="I1867" t="s">
        <v>14</v>
      </c>
      <c r="J1867" t="s">
        <v>141</v>
      </c>
      <c r="K1867" t="s">
        <v>14</v>
      </c>
      <c r="L1867" t="s">
        <v>20</v>
      </c>
      <c r="M1867" t="s">
        <v>3918</v>
      </c>
      <c r="N1867" t="s">
        <v>14</v>
      </c>
    </row>
    <row r="1868" x14ac:dyDescent="0.25">
      <c r="A1868" t="n">
        <v>25</v>
      </c>
      <c r="B1868" t="s">
        <v>14</v>
      </c>
      <c r="C1868" t="s">
        <v>22</v>
      </c>
      <c r="D1868" s="2" t="s">
        <f>=HYPERLINK("https://main.knesset.gov.il/APPS/legislation/main/bills/2222364", "הצעת חוק העונשין (תיקון - נשיאת מאסר במשמורת בקהילה), התשפ""ה-2025")</f>
        <v>3924</v>
      </c>
      <c r="E1868" t="s">
        <v>3924</v>
      </c>
      <c r="F1868" t="s">
        <v>3925</v>
      </c>
      <c r="G1868" t="s">
        <v>14</v>
      </c>
      <c r="H1868">
             </c>
      <c r="I1868" t="s">
        <v>14</v>
      </c>
      <c r="J1868" t="s">
        <v>141</v>
      </c>
      <c r="K1868" t="s">
        <v>14</v>
      </c>
      <c r="L1868" t="s">
        <v>20</v>
      </c>
      <c r="M1868" t="s">
        <v>3918</v>
      </c>
      <c r="N1868" t="s">
        <v>14</v>
      </c>
    </row>
    <row r="1869" x14ac:dyDescent="0.25">
      <c r="A1869" t="n">
        <v>25</v>
      </c>
      <c r="B1869" t="s">
        <v>14</v>
      </c>
      <c r="C1869" t="s">
        <v>22</v>
      </c>
      <c r="D1869" s="2" t="s">
        <f>=HYPERLINK("https://main.knesset.gov.il/APPS/legislation/main/bills/2227943", "הצעת חוק לתיקון פקודת התעבורה (השגה וערר על דרישה לתשלום תעריף מוגדל), התשפ""ה-2025")</f>
        <v>3926</v>
      </c>
      <c r="E1869" t="s">
        <v>3926</v>
      </c>
      <c r="F1869" t="s">
        <v>3927</v>
      </c>
      <c r="G1869" t="s">
        <v>14</v>
      </c>
      <c r="H1869">
             </c>
      <c r="I1869" t="s">
        <v>14</v>
      </c>
      <c r="J1869" t="s">
        <v>141</v>
      </c>
      <c r="K1869" t="s">
        <v>14</v>
      </c>
      <c r="L1869" t="s">
        <v>20</v>
      </c>
      <c r="M1869" t="s">
        <v>3918</v>
      </c>
      <c r="N1869" t="s">
        <v>14</v>
      </c>
    </row>
    <row r="1870" x14ac:dyDescent="0.25">
      <c r="A1870" t="n">
        <v>25</v>
      </c>
      <c r="B1870" t="s">
        <v>14</v>
      </c>
      <c r="C1870" t="s">
        <v>22</v>
      </c>
      <c r="D1870" s="2" t="s">
        <f>=HYPERLINK("https://main.knesset.gov.il/APPS/legislation/main/bills/2228028", "הצעת חוק התכנון והבנייה (תיקון - הקמת מבנים ארעיים בשטחים חקלאיים), התשפ""ה-2025")</f>
        <v>3928</v>
      </c>
      <c r="E1870" t="s">
        <v>3928</v>
      </c>
      <c r="F1870" t="s">
        <v>3929</v>
      </c>
      <c r="G1870" t="s">
        <v>14</v>
      </c>
      <c r="H1870">
             </c>
      <c r="I1870" t="s">
        <v>14</v>
      </c>
      <c r="J1870" t="s">
        <v>141</v>
      </c>
      <c r="K1870" t="s">
        <v>14</v>
      </c>
      <c r="L1870" t="s">
        <v>20</v>
      </c>
      <c r="M1870" t="s">
        <v>3918</v>
      </c>
      <c r="N1870" t="s">
        <v>14</v>
      </c>
    </row>
    <row r="1871" x14ac:dyDescent="0.25">
      <c r="A1871" t="n">
        <v>25</v>
      </c>
      <c r="B1871" t="s">
        <v>14</v>
      </c>
      <c r="C1871" t="s">
        <v>22</v>
      </c>
      <c r="D1871" s="2" t="s">
        <f>=HYPERLINK("https://main.knesset.gov.il/APPS/legislation/main/bills/2217901", "הצעת חוק לתיקון פקודת התעבורה (אי-חידוש רישיון רכב), התשפ""ה-2025")</f>
        <v>3930</v>
      </c>
      <c r="E1871" t="s">
        <v>3930</v>
      </c>
      <c r="F1871" t="s">
        <v>3931</v>
      </c>
      <c r="G1871" t="s">
        <v>14</v>
      </c>
      <c r="H1871">
             </c>
      <c r="I1871" t="s">
        <v>14</v>
      </c>
      <c r="J1871" t="s">
        <v>343</v>
      </c>
      <c r="K1871" t="s">
        <v>14</v>
      </c>
      <c r="L1871" t="s">
        <v>20</v>
      </c>
      <c r="M1871" t="s">
        <v>3918</v>
      </c>
      <c r="N1871" t="s">
        <v>14</v>
      </c>
    </row>
    <row r="1872" x14ac:dyDescent="0.25">
      <c r="A1872" t="n">
        <v>25</v>
      </c>
      <c r="B1872" t="s">
        <v>14</v>
      </c>
      <c r="C1872" t="s">
        <v>22</v>
      </c>
      <c r="D1872" s="2" t="s">
        <f>=HYPERLINK("https://main.knesset.gov.il/APPS/legislation/main/bills/2227543", "הצעת חוק לתיקון פקודת העיריות (הבטחת תשלומי גמלאות לעובדי עירייה), התשפ""ה-2025")</f>
        <v>3169</v>
      </c>
      <c r="E1872" t="s">
        <v>3169</v>
      </c>
      <c r="F1872" t="s">
        <v>3932</v>
      </c>
      <c r="G1872" t="s">
        <v>14</v>
      </c>
      <c r="H1872">
             </c>
      <c r="I1872" t="s">
        <v>14</v>
      </c>
      <c r="J1872" t="s">
        <v>141</v>
      </c>
      <c r="K1872" t="s">
        <v>14</v>
      </c>
      <c r="L1872" t="s">
        <v>20</v>
      </c>
      <c r="M1872" t="s">
        <v>3918</v>
      </c>
      <c r="N1872" t="s">
        <v>14</v>
      </c>
    </row>
    <row r="1873" x14ac:dyDescent="0.25">
      <c r="A1873" t="n">
        <v>25</v>
      </c>
      <c r="B1873" t="s">
        <v>14</v>
      </c>
      <c r="C1873" t="s">
        <v>22</v>
      </c>
      <c r="D1873" s="2" t="s">
        <f>=HYPERLINK("https://main.knesset.gov.il/APPS/legislation/main/bills/2228535", "הצעת חוק הפיקוח על שירותים פיננסיים (ייעוץ, שיווק ומערכת סליקה פנסיוניים) (תיקון - הגבלת עמלת הפצה), התשפ""ה-2025")</f>
        <v>3933</v>
      </c>
      <c r="E1873" t="s">
        <v>3933</v>
      </c>
      <c r="F1873" t="s">
        <v>3934</v>
      </c>
      <c r="G1873" t="s">
        <v>14</v>
      </c>
      <c r="H1873">
             </c>
      <c r="I1873" t="s">
        <v>14</v>
      </c>
      <c r="J1873" t="s">
        <v>141</v>
      </c>
      <c r="K1873" t="s">
        <v>14</v>
      </c>
      <c r="L1873" t="s">
        <v>20</v>
      </c>
      <c r="M1873" t="s">
        <v>3918</v>
      </c>
      <c r="N1873" t="s">
        <v>14</v>
      </c>
    </row>
    <row r="1874" x14ac:dyDescent="0.25">
      <c r="A1874" t="n">
        <v>25</v>
      </c>
      <c r="B1874" t="s">
        <v>14</v>
      </c>
      <c r="C1874" t="s">
        <v>22</v>
      </c>
      <c r="D1874" s="2" t="s">
        <f>=HYPERLINK("https://main.knesset.gov.il/APPS/legislation/main/bills/2227439", "הצעת חוק הגבלת פיטורי עובד שהתאלמן בתקופה הסמוכה לפטירת בן הזוג, התשפ""ה-2025")</f>
        <v>3935</v>
      </c>
      <c r="E1874" t="s">
        <v>3935</v>
      </c>
      <c r="F1874" t="s">
        <v>3936</v>
      </c>
      <c r="G1874" t="s">
        <v>14</v>
      </c>
      <c r="H1874">
             </c>
      <c r="I1874" t="s">
        <v>14</v>
      </c>
      <c r="J1874" t="s">
        <v>343</v>
      </c>
      <c r="K1874" t="s">
        <v>14</v>
      </c>
      <c r="L1874" t="s">
        <v>20</v>
      </c>
      <c r="M1874" t="s">
        <v>3918</v>
      </c>
      <c r="N1874" t="s">
        <v>14</v>
      </c>
    </row>
    <row r="1875" x14ac:dyDescent="0.25">
      <c r="A1875" t="n">
        <v>25</v>
      </c>
      <c r="B1875" t="s">
        <v>14</v>
      </c>
      <c r="C1875" t="s">
        <v>22</v>
      </c>
      <c r="D1875" s="2" t="s">
        <f>=HYPERLINK("https://main.knesset.gov.il/APPS/legislation/main/bills/2228194", "הצעת חוק הגנת הצרכן (תיקון - איסור הפעלת השפעה בלתי הוגנת במצב חירום), התשפ""ה-2025")</f>
        <v>3735</v>
      </c>
      <c r="E1875" t="s">
        <v>3735</v>
      </c>
      <c r="F1875" t="s">
        <v>3937</v>
      </c>
      <c r="G1875" t="s">
        <v>14</v>
      </c>
      <c r="H1875">
             </c>
      <c r="I1875" t="s">
        <v>14</v>
      </c>
      <c r="J1875" t="s">
        <v>141</v>
      </c>
      <c r="K1875" t="s">
        <v>14</v>
      </c>
      <c r="L1875" t="s">
        <v>20</v>
      </c>
      <c r="M1875" t="s">
        <v>3918</v>
      </c>
      <c r="N1875" t="s">
        <v>14</v>
      </c>
    </row>
    <row r="1876" x14ac:dyDescent="0.25">
      <c r="A1876" t="n">
        <v>25</v>
      </c>
      <c r="B1876" t="s">
        <v>14</v>
      </c>
      <c r="C1876" t="s">
        <v>22</v>
      </c>
      <c r="D1876" s="2" t="s">
        <f>=HYPERLINK("https://main.knesset.gov.il/APPS/legislation/main/bills/2226765", "הצעת חוק הביטוח הלאומי (תיקון - הדרכה בכפר נוער כעבודה מועדפת), התשפ""ה-2025")</f>
        <v>3938</v>
      </c>
      <c r="E1876" t="s">
        <v>3938</v>
      </c>
      <c r="F1876" t="s">
        <v>3939</v>
      </c>
      <c r="G1876" t="s">
        <v>14</v>
      </c>
      <c r="H1876">
             </c>
      <c r="I1876" t="s">
        <v>14</v>
      </c>
      <c r="J1876" t="s">
        <v>141</v>
      </c>
      <c r="K1876" t="s">
        <v>14</v>
      </c>
      <c r="L1876" t="s">
        <v>20</v>
      </c>
      <c r="M1876" t="s">
        <v>3918</v>
      </c>
      <c r="N1876" t="s">
        <v>14</v>
      </c>
    </row>
    <row r="1877" x14ac:dyDescent="0.25">
      <c r="A1877" t="n">
        <v>25</v>
      </c>
      <c r="B1877" t="s">
        <v>14</v>
      </c>
      <c r="C1877" t="s">
        <v>22</v>
      </c>
      <c r="D1877" s="2" t="s">
        <f>=HYPERLINK("https://main.knesset.gov.il/APPS/legislation/main/bills/2228372", "הצעת חוק זכויות אחים מטפלים בנכי צה""ל (תיקוני חקיקה), התשפ""ה-2025")</f>
        <v>3940</v>
      </c>
      <c r="E1877" t="s">
        <v>3940</v>
      </c>
      <c r="F1877" t="s">
        <v>3941</v>
      </c>
      <c r="G1877" t="s">
        <v>14</v>
      </c>
      <c r="H1877">
             </c>
      <c r="I1877" t="s">
        <v>14</v>
      </c>
      <c r="J1877" t="s">
        <v>343</v>
      </c>
      <c r="K1877" t="s">
        <v>14</v>
      </c>
      <c r="L1877" t="s">
        <v>20</v>
      </c>
      <c r="M1877" t="s">
        <v>3918</v>
      </c>
      <c r="N1877" t="s">
        <v>14</v>
      </c>
    </row>
    <row r="1878" x14ac:dyDescent="0.25">
      <c r="A1878" t="n">
        <v>25</v>
      </c>
      <c r="B1878" t="s">
        <v>14</v>
      </c>
      <c r="C1878" t="s">
        <v>22</v>
      </c>
      <c r="D1878" s="2" t="s">
        <f>=HYPERLINK("https://main.knesset.gov.il/APPS/legislation/main/bills/2228881", "הצעת חוק תשלומים לפדויי שבי ולחטופים ששוחררו (תיקון - זכאות לבן משפחה של חטוף ששוחרר), התשפ""ה-2025 ")</f>
        <v>3942</v>
      </c>
      <c r="E1878" t="s">
        <v>3942</v>
      </c>
      <c r="F1878" t="s">
        <v>3943</v>
      </c>
      <c r="G1878" t="s">
        <v>14</v>
      </c>
      <c r="H1878">
             </c>
      <c r="I1878" t="s">
        <v>14</v>
      </c>
      <c r="J1878" t="s">
        <v>343</v>
      </c>
      <c r="K1878" t="s">
        <v>14</v>
      </c>
      <c r="L1878" t="s">
        <v>20</v>
      </c>
      <c r="M1878" t="s">
        <v>3918</v>
      </c>
      <c r="N1878" t="s">
        <v>14</v>
      </c>
    </row>
    <row r="1879" x14ac:dyDescent="0.25">
      <c r="A1879" t="n">
        <v>25</v>
      </c>
      <c r="B1879" t="s">
        <v>14</v>
      </c>
      <c r="C1879" t="s">
        <v>22</v>
      </c>
      <c r="D1879" s="2" t="s">
        <f>=HYPERLINK("https://main.knesset.gov.il/APPS/legislation/main/bills/2228007", "הצעת חוק הביטוח הלאומי (תיקון - דמי אשפוז לעצמאים), התשפ""ה-2025 ")</f>
        <v>3944</v>
      </c>
      <c r="E1879" t="s">
        <v>3944</v>
      </c>
      <c r="F1879" t="s">
        <v>3945</v>
      </c>
      <c r="G1879" t="s">
        <v>14</v>
      </c>
      <c r="H1879">
             </c>
      <c r="I1879" t="s">
        <v>14</v>
      </c>
      <c r="J1879" t="s">
        <v>141</v>
      </c>
      <c r="K1879" t="s">
        <v>14</v>
      </c>
      <c r="L1879" t="s">
        <v>20</v>
      </c>
      <c r="M1879" t="s">
        <v>3918</v>
      </c>
      <c r="N1879" t="s">
        <v>14</v>
      </c>
    </row>
    <row r="1880" x14ac:dyDescent="0.25">
      <c r="A1880" t="n">
        <v>25</v>
      </c>
      <c r="B1880" t="s">
        <v>14</v>
      </c>
      <c r="C1880" t="s">
        <v>22</v>
      </c>
      <c r="D1880" s="2" t="s">
        <f>=HYPERLINK("https://main.knesset.gov.il/APPS/legislation/main/bills/2228447", "הצעת חוק כלי הירייה (תיקון - הודעה בגין חשש לחיי אדם מצד המגיש בקשה להחזיק בכלי ירייה), התשפ""ה-2025")</f>
        <v>3358</v>
      </c>
      <c r="E1880" t="s">
        <v>3358</v>
      </c>
      <c r="F1880" t="s">
        <v>3946</v>
      </c>
      <c r="G1880" t="s">
        <v>14</v>
      </c>
      <c r="H1880">
             </c>
      <c r="I1880" t="s">
        <v>14</v>
      </c>
      <c r="J1880" t="s">
        <v>141</v>
      </c>
      <c r="K1880" t="s">
        <v>14</v>
      </c>
      <c r="L1880" t="s">
        <v>20</v>
      </c>
      <c r="M1880" t="s">
        <v>3918</v>
      </c>
      <c r="N1880" t="s">
        <v>14</v>
      </c>
    </row>
    <row r="1881" x14ac:dyDescent="0.25">
      <c r="A1881" t="n">
        <v>25</v>
      </c>
      <c r="B1881" t="s">
        <v>14</v>
      </c>
      <c r="C1881" t="s">
        <v>22</v>
      </c>
      <c r="D1881" s="2" t="s">
        <f>=HYPERLINK("https://main.knesset.gov.il/APPS/legislation/main/bills/2228556", "הצעת חוק בתי המשפט (תיקון - קביעת מותבים בבית המשפט העליון), התשפ""ה-2025")</f>
        <v>3947</v>
      </c>
      <c r="E1881" t="s">
        <v>3947</v>
      </c>
      <c r="F1881" t="s">
        <v>3948</v>
      </c>
      <c r="G1881" t="s">
        <v>14</v>
      </c>
      <c r="H1881">
             </c>
      <c r="I1881" t="s">
        <v>14</v>
      </c>
      <c r="J1881" t="s">
        <v>141</v>
      </c>
      <c r="K1881" t="s">
        <v>14</v>
      </c>
      <c r="L1881" t="s">
        <v>20</v>
      </c>
      <c r="M1881" t="s">
        <v>3918</v>
      </c>
      <c r="N1881" t="s">
        <v>14</v>
      </c>
    </row>
    <row r="1882" x14ac:dyDescent="0.25">
      <c r="A1882" t="n">
        <v>25</v>
      </c>
      <c r="B1882" t="s">
        <v>14</v>
      </c>
      <c r="C1882" t="s">
        <v>22</v>
      </c>
      <c r="D1882" s="2" t="s">
        <f>=HYPERLINK("https://main.knesset.gov.il/APPS/legislation/main/bills/2227983", "הצעת חוק להקפאת כספים ששילמה הרשות הפלסטינית בזיקה לטרור מהכספים המועברים אליה מממשלת ישראל (תיקון - קיזוז כספים בגין פיצוי על נזקי גניבת רכבים), התשפ""ה-2025 ")</f>
        <v>3678</v>
      </c>
      <c r="E1882" t="s">
        <v>3678</v>
      </c>
      <c r="F1882" t="s">
        <v>3949</v>
      </c>
      <c r="G1882" t="s">
        <v>14</v>
      </c>
      <c r="H1882">
             </c>
      <c r="I1882" t="s">
        <v>14</v>
      </c>
      <c r="J1882" t="s">
        <v>141</v>
      </c>
      <c r="K1882" t="s">
        <v>14</v>
      </c>
      <c r="L1882" t="s">
        <v>20</v>
      </c>
      <c r="M1882" t="s">
        <v>3918</v>
      </c>
      <c r="N1882" t="s">
        <v>14</v>
      </c>
    </row>
    <row r="1883" x14ac:dyDescent="0.25">
      <c r="A1883" t="n">
        <v>25</v>
      </c>
      <c r="B1883" t="s">
        <v>14</v>
      </c>
      <c r="C1883" t="s">
        <v>22</v>
      </c>
      <c r="D1883" s="2" t="s">
        <f>=HYPERLINK("https://main.knesset.gov.il/APPS/legislation/main/bills/2228137", "הצעת חוק השיפוט הצבאי (תיקון - בדיקה פסיכיאטרית לחשוד או נאשם בעבירות היעדר מן השירות), התשפ""ה-2025")</f>
        <v>3950</v>
      </c>
      <c r="E1883" t="s">
        <v>3950</v>
      </c>
      <c r="F1883" t="s">
        <v>3951</v>
      </c>
      <c r="G1883" t="s">
        <v>14</v>
      </c>
      <c r="H1883">
             </c>
      <c r="I1883" t="s">
        <v>14</v>
      </c>
      <c r="J1883" t="s">
        <v>141</v>
      </c>
      <c r="K1883" t="s">
        <v>14</v>
      </c>
      <c r="L1883" t="s">
        <v>20</v>
      </c>
      <c r="M1883" t="s">
        <v>3918</v>
      </c>
      <c r="N1883" t="s">
        <v>14</v>
      </c>
    </row>
    <row r="1884" x14ac:dyDescent="0.25">
      <c r="A1884" t="n">
        <v>25</v>
      </c>
      <c r="B1884" t="s">
        <v>14</v>
      </c>
      <c r="C1884" t="s">
        <v>22</v>
      </c>
      <c r="D1884" s="2" t="s">
        <f>=HYPERLINK("https://main.knesset.gov.il/APPS/legislation/main/bills/2227984", "הצעת חוק כליאת אסירים ביטחוניים, התשפ""ה-2025")</f>
        <v>3806</v>
      </c>
      <c r="E1884" t="s">
        <v>3806</v>
      </c>
      <c r="F1884" t="s">
        <v>3952</v>
      </c>
      <c r="G1884" t="s">
        <v>14</v>
      </c>
      <c r="H1884">
             </c>
      <c r="I1884" t="s">
        <v>14</v>
      </c>
      <c r="J1884" t="s">
        <v>141</v>
      </c>
      <c r="K1884" t="s">
        <v>14</v>
      </c>
      <c r="L1884" t="s">
        <v>20</v>
      </c>
      <c r="M1884" t="s">
        <v>3918</v>
      </c>
      <c r="N1884" t="s">
        <v>14</v>
      </c>
    </row>
    <row r="1885" x14ac:dyDescent="0.25">
      <c r="A1885" t="n">
        <v>25</v>
      </c>
      <c r="B1885" t="s">
        <v>14</v>
      </c>
      <c r="C1885" t="s">
        <v>22</v>
      </c>
      <c r="D1885" s="2" t="s">
        <f>=HYPERLINK("https://main.knesset.gov.il/APPS/legislation/main/bills/2227498", "הצעת חוק האזרחות (תיקון - אי-מתן אזרחות לילדו של אדם שנכנס לישראל שלא כדין), התשפ""ה-2025")</f>
        <v>3643</v>
      </c>
      <c r="E1885" t="s">
        <v>3643</v>
      </c>
      <c r="F1885" t="s">
        <v>3953</v>
      </c>
      <c r="G1885" t="s">
        <v>14</v>
      </c>
      <c r="H1885">
             </c>
      <c r="I1885" t="s">
        <v>14</v>
      </c>
      <c r="J1885" t="s">
        <v>141</v>
      </c>
      <c r="K1885" t="s">
        <v>14</v>
      </c>
      <c r="L1885" t="s">
        <v>20</v>
      </c>
      <c r="M1885" t="s">
        <v>3918</v>
      </c>
      <c r="N1885" t="s">
        <v>14</v>
      </c>
    </row>
    <row r="1886" x14ac:dyDescent="0.25">
      <c r="A1886" t="n">
        <v>25</v>
      </c>
      <c r="B1886" t="s">
        <v>14</v>
      </c>
      <c r="C1886" t="s">
        <v>22</v>
      </c>
      <c r="D1886" s="2" t="s">
        <f>=HYPERLINK("https://main.knesset.gov.il/APPS/legislation/main/bills/2228624", "הצעת חוק לתיקון סדרי הדין (חקירת עדים) (תיקון - מתן עדות שלא בפני הנאשם בעבירת נטילת דמי חסות), התשפ""ה-2025 ")</f>
        <v>3954</v>
      </c>
      <c r="E1886" t="s">
        <v>3954</v>
      </c>
      <c r="F1886" t="s">
        <v>3955</v>
      </c>
      <c r="G1886" t="s">
        <v>14</v>
      </c>
      <c r="H1886">
             </c>
      <c r="I1886" t="s">
        <v>14</v>
      </c>
      <c r="J1886" t="s">
        <v>141</v>
      </c>
      <c r="K1886" t="s">
        <v>14</v>
      </c>
      <c r="L1886" t="s">
        <v>20</v>
      </c>
      <c r="M1886" t="s">
        <v>3918</v>
      </c>
      <c r="N1886" t="s">
        <v>14</v>
      </c>
    </row>
    <row r="1887" x14ac:dyDescent="0.25">
      <c r="A1887" t="n">
        <v>25</v>
      </c>
      <c r="B1887" t="s">
        <v>14</v>
      </c>
      <c r="C1887" t="s">
        <v>22</v>
      </c>
      <c r="D1887" s="2" t="s">
        <f>=HYPERLINK("https://main.knesset.gov.il/APPS/legislation/main/bills/2227825", "הצעת חוק התכנון והבנייה (תיקון - מתן הקלה לבניין קיים), התשפ""ה-2025 ")</f>
        <v>3956</v>
      </c>
      <c r="E1887" t="s">
        <v>3956</v>
      </c>
      <c r="F1887" t="s">
        <v>3957</v>
      </c>
      <c r="G1887" t="s">
        <v>14</v>
      </c>
      <c r="H1887">
             </c>
      <c r="I1887" t="s">
        <v>14</v>
      </c>
      <c r="J1887" t="s">
        <v>141</v>
      </c>
      <c r="K1887" t="s">
        <v>14</v>
      </c>
      <c r="L1887" t="s">
        <v>20</v>
      </c>
      <c r="M1887" t="s">
        <v>3918</v>
      </c>
      <c r="N1887" t="s">
        <v>14</v>
      </c>
    </row>
    <row r="1888" x14ac:dyDescent="0.25">
      <c r="A1888" t="n">
        <v>25</v>
      </c>
      <c r="B1888" t="s">
        <v>14</v>
      </c>
      <c r="C1888" t="s">
        <v>22</v>
      </c>
      <c r="D1888" s="2" t="s">
        <f>=HYPERLINK("https://main.knesset.gov.il/APPS/legislation/main/bills/2228444", "הצעת חוק לתיקון פקודת העיריות (שכר לחבר מועצה), התשפ""ה-2025")</f>
        <v>3958</v>
      </c>
      <c r="E1888" t="s">
        <v>3958</v>
      </c>
      <c r="F1888" t="s">
        <v>3959</v>
      </c>
      <c r="G1888" t="s">
        <v>14</v>
      </c>
      <c r="H1888">
             </c>
      <c r="I1888" t="s">
        <v>14</v>
      </c>
      <c r="J1888" t="s">
        <v>343</v>
      </c>
      <c r="K1888" t="s">
        <v>14</v>
      </c>
      <c r="L1888" t="s">
        <v>20</v>
      </c>
      <c r="M1888" t="s">
        <v>3918</v>
      </c>
      <c r="N1888" t="s">
        <v>14</v>
      </c>
    </row>
    <row r="1889" x14ac:dyDescent="0.25">
      <c r="A1889" t="n">
        <v>25</v>
      </c>
      <c r="B1889" t="s">
        <v>14</v>
      </c>
      <c r="C1889" t="s">
        <v>15</v>
      </c>
      <c r="D1889" s="2" t="s">
        <f>=HYPERLINK("https://main.knesset.gov.il/APPS/legislation/main/bills/2228652", "הצעת חוק השיפוט הצבאי (תיקון מס' 82) (הארכת משך תחולת החוק לגבי עבירות מין), התשפ""ה-2025 ")</f>
        <v>3960</v>
      </c>
      <c r="E1889" t="s">
        <v>3960</v>
      </c>
      <c r="F1889" t="s">
        <v>14</v>
      </c>
      <c r="G1889" t="s">
        <v>3961</v>
      </c>
      <c r="H1889">
             </c>
      <c r="I1889" t="s">
        <v>14</v>
      </c>
      <c r="J1889" t="s">
        <v>18</v>
      </c>
      <c r="K1889" t="s">
        <v>114</v>
      </c>
      <c r="L1889" t="s">
        <v>20</v>
      </c>
      <c r="M1889" t="s">
        <v>3918</v>
      </c>
      <c r="N1889" t="s">
        <v>14</v>
      </c>
    </row>
    <row r="1890" x14ac:dyDescent="0.25">
      <c r="A1890" t="n">
        <v>25</v>
      </c>
      <c r="B1890" t="s">
        <v>14</v>
      </c>
      <c r="C1890" t="s">
        <v>15</v>
      </c>
      <c r="D1890" s="2" t="s">
        <f>=HYPERLINK("https://main.knesset.gov.il/APPS/legislation/main/bills/2227213", "סעיף 25 (הארכת תוקף היתרים שפקעו) מתוך הצעת חוק התוכנית הכלכלית (תיקוני חקיקה ליישום המדיניות הכלכלית לשנת התקציב 2025), התשפ""ה-2024 [פוצל לפי סעיף 84(ב) לתקנון]")</f>
        <v>3962</v>
      </c>
      <c r="E1890" t="s">
        <v>3962</v>
      </c>
      <c r="F1890" t="s">
        <v>14</v>
      </c>
      <c r="G1890" t="s">
        <v>43</v>
      </c>
      <c r="H1890">
             </c>
      <c r="I1890" t="s">
        <v>14</v>
      </c>
      <c r="J1890" t="s">
        <v>18</v>
      </c>
      <c r="K1890" t="s">
        <v>46</v>
      </c>
      <c r="L1890" t="s">
        <v>20</v>
      </c>
      <c r="M1890" t="s">
        <v>3963</v>
      </c>
      <c r="N1890" t="s">
        <v>14</v>
      </c>
    </row>
    <row r="1891" x14ac:dyDescent="0.25">
      <c r="A1891" t="n">
        <v>25</v>
      </c>
      <c r="B1891" t="s">
        <v>14</v>
      </c>
      <c r="C1891" t="s">
        <v>15</v>
      </c>
      <c r="D1891" s="2" t="s">
        <f>=HYPERLINK("https://main.knesset.gov.il/APPS/legislation/main/bills/2227207", "סעיף 21(3) ו-(7) (אישור בשתיקה של גורמים מאשרים להיתר) מתוך הצעת חוק התוכנית הכלכלית (תיקוני חקיקה ליישום המדיניות הכלכלית לשנת התקציב 2025), התשפ""ה-2024 [פוצל לפי סעיף 84(ב) לתקנון] ")</f>
        <v>3964</v>
      </c>
      <c r="E1891" t="s">
        <v>3964</v>
      </c>
      <c r="F1891" t="s">
        <v>14</v>
      </c>
      <c r="G1891" t="s">
        <v>43</v>
      </c>
      <c r="H1891">
             </c>
      <c r="I1891" t="s">
        <v>14</v>
      </c>
      <c r="J1891" t="s">
        <v>18</v>
      </c>
      <c r="K1891" t="s">
        <v>46</v>
      </c>
      <c r="L1891" t="s">
        <v>20</v>
      </c>
      <c r="M1891" t="s">
        <v>3963</v>
      </c>
      <c r="N1891" t="s">
        <v>14</v>
      </c>
    </row>
    <row r="1892" x14ac:dyDescent="0.25">
      <c r="A1892" t="n">
        <v>25</v>
      </c>
      <c r="B1892" t="s">
        <v>14</v>
      </c>
      <c r="C1892" t="s">
        <v>15</v>
      </c>
      <c r="D1892" s="2" t="s">
        <f>=HYPERLINK("https://main.knesset.gov.il/APPS/legislation/main/bills/2225771", "חוק לייעול האכיפה והפיקוח העירוניים ברשויות המקומיות (הוראת שעה) (תיקון מס' 15), התשפ""ה–2025")</f>
        <v>3965</v>
      </c>
      <c r="E1892" t="s">
        <v>3965</v>
      </c>
      <c r="F1892" t="s">
        <v>14</v>
      </c>
      <c r="G1892" t="s">
        <v>2634</v>
      </c>
      <c r="H1892" t="n">
        <v>3373</v>
      </c>
      <c r="I1892" t="s">
        <v>14</v>
      </c>
      <c r="J1892" t="s">
        <v>91</v>
      </c>
      <c r="K1892" t="s">
        <v>105</v>
      </c>
      <c r="L1892" t="s">
        <v>20</v>
      </c>
      <c r="M1892" t="s">
        <v>3966</v>
      </c>
      <c r="N1892" t="s">
        <v>3967</v>
      </c>
    </row>
    <row r="1893" x14ac:dyDescent="0.25">
      <c r="A1893" t="n">
        <v>25</v>
      </c>
      <c r="B1893" t="s">
        <v>14</v>
      </c>
      <c r="C1893" t="s">
        <v>22</v>
      </c>
      <c r="D1893" s="2" t="s">
        <f>=HYPERLINK("https://main.knesset.gov.il/APPS/legislation/main/bills/2201441", "חוק הכניסה לישראל (תיקון מס' 40), התשפ""ה–2025")</f>
        <v>3968</v>
      </c>
      <c r="E1893" t="s">
        <v>3968</v>
      </c>
      <c r="F1893" t="s">
        <v>3969</v>
      </c>
      <c r="G1893" t="s">
        <v>3970</v>
      </c>
      <c r="H1893" t="n">
        <v>3374</v>
      </c>
      <c r="I1893" t="s">
        <v>14</v>
      </c>
      <c r="J1893" t="s">
        <v>91</v>
      </c>
      <c r="K1893" t="s">
        <v>46</v>
      </c>
      <c r="L1893" t="s">
        <v>20</v>
      </c>
      <c r="M1893" t="s">
        <v>3966</v>
      </c>
      <c r="N1893" t="s">
        <v>3971</v>
      </c>
    </row>
    <row r="1894" x14ac:dyDescent="0.25">
      <c r="A1894" t="n">
        <v>25</v>
      </c>
      <c r="B1894" t="s">
        <v>14</v>
      </c>
      <c r="C1894" t="s">
        <v>22</v>
      </c>
      <c r="D1894" s="2" t="s">
        <f>=HYPERLINK("https://main.knesset.gov.il/APPS/legislation/main/bills/2224618", "הצעת חוק לא תעמוד על דם רעך (תיקון - חובה לפעול להחזרת החטופים), התשפ""ה-2024")</f>
        <v>3972</v>
      </c>
      <c r="E1894" t="s">
        <v>3972</v>
      </c>
      <c r="F1894" t="s">
        <v>3973</v>
      </c>
      <c r="G1894" t="s">
        <v>14</v>
      </c>
      <c r="H1894">
             </c>
      <c r="I1894" t="s">
        <v>14</v>
      </c>
      <c r="J1894" t="s">
        <v>55</v>
      </c>
      <c r="K1894" t="s">
        <v>14</v>
      </c>
      <c r="L1894" t="s">
        <v>20</v>
      </c>
      <c r="M1894" t="s">
        <v>3966</v>
      </c>
      <c r="N1894" t="s">
        <v>14</v>
      </c>
    </row>
    <row r="1895" x14ac:dyDescent="0.25">
      <c r="A1895" t="n">
        <v>25</v>
      </c>
      <c r="B1895" t="s">
        <v>14</v>
      </c>
      <c r="C1895" t="s">
        <v>22</v>
      </c>
      <c r="D1895" s="2" t="s">
        <f>=HYPERLINK("https://main.knesset.gov.il/APPS/legislation/main/bills/2220430", "הצעת חוק המאבק בטרור (תיקון - החמרה בענישה בשל עבירה שהיא מעשה טרור), התשפ""ד-2024")</f>
        <v>3974</v>
      </c>
      <c r="E1895" t="s">
        <v>3974</v>
      </c>
      <c r="F1895" t="s">
        <v>3975</v>
      </c>
      <c r="G1895" t="s">
        <v>14</v>
      </c>
      <c r="H1895">
             </c>
      <c r="I1895" t="s">
        <v>14</v>
      </c>
      <c r="J1895" t="s">
        <v>31</v>
      </c>
      <c r="K1895" t="s">
        <v>27</v>
      </c>
      <c r="L1895" t="s">
        <v>20</v>
      </c>
      <c r="M1895" t="s">
        <v>3966</v>
      </c>
      <c r="N1895" t="s">
        <v>14</v>
      </c>
    </row>
    <row r="1896" x14ac:dyDescent="0.25">
      <c r="A1896" t="n">
        <v>25</v>
      </c>
      <c r="B1896" t="s">
        <v>14</v>
      </c>
      <c r="C1896" t="s">
        <v>22</v>
      </c>
      <c r="D1896" s="2" t="s">
        <f>=HYPERLINK("https://main.knesset.gov.il/APPS/legislation/main/bills/2219393", "הצעת חוק להגנה על אנשי ציבור ישראלים מפני פעילות של בית הדין הפלילי הבין-לאומי בהאג כנגד מדינת ישראל, התשפ""ד-2024")</f>
        <v>3976</v>
      </c>
      <c r="E1896" t="s">
        <v>3976</v>
      </c>
      <c r="F1896" t="s">
        <v>3977</v>
      </c>
      <c r="G1896" t="s">
        <v>14</v>
      </c>
      <c r="H1896">
             </c>
      <c r="I1896" t="s">
        <v>14</v>
      </c>
      <c r="J1896" t="s">
        <v>31</v>
      </c>
      <c r="K1896" t="s">
        <v>114</v>
      </c>
      <c r="L1896" t="s">
        <v>20</v>
      </c>
      <c r="M1896" t="s">
        <v>3966</v>
      </c>
      <c r="N1896" t="s">
        <v>14</v>
      </c>
    </row>
    <row r="1897" x14ac:dyDescent="0.25">
      <c r="A1897" t="n">
        <v>25</v>
      </c>
      <c r="B1897" t="s">
        <v>14</v>
      </c>
      <c r="C1897" t="s">
        <v>22</v>
      </c>
      <c r="D1897" s="2" t="s">
        <f>=HYPERLINK("https://main.knesset.gov.il/APPS/legislation/main/bills/2202593", "הצעת חוק ביטוח בריאות ממלכתי (תיקון - החזר דמי נסיעה באמבולנס למי שהגיע לגיל פרישה), התשפ""ג-2023")</f>
        <v>3978</v>
      </c>
      <c r="E1897" t="s">
        <v>3978</v>
      </c>
      <c r="F1897" t="s">
        <v>3979</v>
      </c>
      <c r="G1897" t="s">
        <v>14</v>
      </c>
      <c r="H1897">
             </c>
      <c r="I1897" t="s">
        <v>14</v>
      </c>
      <c r="J1897" t="s">
        <v>55</v>
      </c>
      <c r="K1897" t="s">
        <v>14</v>
      </c>
      <c r="L1897" t="s">
        <v>20</v>
      </c>
      <c r="M1897" t="s">
        <v>3966</v>
      </c>
      <c r="N1897" t="s">
        <v>14</v>
      </c>
    </row>
    <row r="1898" x14ac:dyDescent="0.25">
      <c r="A1898" t="n">
        <v>25</v>
      </c>
      <c r="B1898" t="s">
        <v>14</v>
      </c>
      <c r="C1898" t="s">
        <v>22</v>
      </c>
      <c r="D1898" s="2" t="s">
        <f>=HYPERLINK("https://main.knesset.gov.il/APPS/legislation/main/bills/2198903", "הצעת חוק לתיקון פקודת הנמלים (פרק הזמן המרבי למתן שירות מקדים לפריקת מטען מאוניות), התשפ""ג-2023")</f>
        <v>3980</v>
      </c>
      <c r="E1898" t="s">
        <v>3980</v>
      </c>
      <c r="F1898" t="s">
        <v>3981</v>
      </c>
      <c r="G1898" t="s">
        <v>14</v>
      </c>
      <c r="H1898">
             </c>
      <c r="I1898" t="s">
        <v>14</v>
      </c>
      <c r="J1898" t="s">
        <v>65</v>
      </c>
      <c r="K1898" t="s">
        <v>14</v>
      </c>
      <c r="L1898" t="s">
        <v>20</v>
      </c>
      <c r="M1898" t="s">
        <v>3966</v>
      </c>
      <c r="N1898" t="s">
        <v>14</v>
      </c>
    </row>
    <row r="1899" x14ac:dyDescent="0.25">
      <c r="A1899" t="n">
        <v>25</v>
      </c>
      <c r="B1899" t="s">
        <v>14</v>
      </c>
      <c r="C1899" t="s">
        <v>15</v>
      </c>
      <c r="D1899" s="2" t="s">
        <f>=HYPERLINK("https://main.knesset.gov.il/APPS/legislation/main/bills/2228287", "סעיף 8(4), (6) ו-12 (חובת דיווח של זירות מקוונות לביצוע עסקאות להשכרת מקרקעין) מתוך הצעת חוק ההתייעלות הכלכלית (תיקוני חקיקה להשגת יעדי התקציב לשנת התקציב 2025), התשפ""ה-2024 ")</f>
        <v>3982</v>
      </c>
      <c r="E1899" t="s">
        <v>3982</v>
      </c>
      <c r="F1899" t="s">
        <v>14</v>
      </c>
      <c r="G1899" t="s">
        <v>43</v>
      </c>
      <c r="H1899">
             </c>
      <c r="I1899" t="s">
        <v>14</v>
      </c>
      <c r="J1899" t="s">
        <v>18</v>
      </c>
      <c r="K1899" t="s">
        <v>85</v>
      </c>
      <c r="L1899" t="s">
        <v>20</v>
      </c>
      <c r="M1899" t="s">
        <v>3983</v>
      </c>
      <c r="N1899" t="s">
        <v>14</v>
      </c>
    </row>
    <row r="1900" x14ac:dyDescent="0.25">
      <c r="A1900" t="n">
        <v>25</v>
      </c>
      <c r="B1900" t="s">
        <v>14</v>
      </c>
      <c r="C1900" t="s">
        <v>15</v>
      </c>
      <c r="D1900" s="2" t="s">
        <f>=HYPERLINK("https://main.knesset.gov.il/APPS/legislation/main/bills/2205489", "חוק להסדרה של הצבת כוורות, האבקה וייצור דבש, התשפ""ה–2025")</f>
        <v>3984</v>
      </c>
      <c r="E1900" t="s">
        <v>3984</v>
      </c>
      <c r="F1900" t="s">
        <v>14</v>
      </c>
      <c r="G1900" t="s">
        <v>3985</v>
      </c>
      <c r="H1900" t="n">
        <v>3375</v>
      </c>
      <c r="I1900" t="s">
        <v>14</v>
      </c>
      <c r="J1900" t="s">
        <v>91</v>
      </c>
      <c r="K1900" t="s">
        <v>19</v>
      </c>
      <c r="L1900" t="s">
        <v>20</v>
      </c>
      <c r="M1900" t="s">
        <v>3986</v>
      </c>
      <c r="N1900" t="s">
        <v>3987</v>
      </c>
    </row>
    <row r="1901" x14ac:dyDescent="0.25">
      <c r="A1901" t="n">
        <v>25</v>
      </c>
      <c r="B1901" t="s">
        <v>14</v>
      </c>
      <c r="C1901" t="s">
        <v>22</v>
      </c>
      <c r="D1901" s="2" t="s">
        <f>=HYPERLINK("https://main.knesset.gov.il/APPS/legislation/main/bills/2225410", "הצעת חוק הפיקוח על שירותים פיננסיים (ביטוח) (תיקון - שקיפות, כללי אתיקה וחובת התקשרות עם סוכני ביטוח), התשפ""ה-2025")</f>
        <v>3988</v>
      </c>
      <c r="E1901" t="s">
        <v>3988</v>
      </c>
      <c r="F1901" t="s">
        <v>3989</v>
      </c>
      <c r="G1901" t="s">
        <v>14</v>
      </c>
      <c r="H1901">
             </c>
      <c r="I1901" t="s">
        <v>14</v>
      </c>
      <c r="J1901" t="s">
        <v>141</v>
      </c>
      <c r="K1901" t="s">
        <v>14</v>
      </c>
      <c r="L1901" t="s">
        <v>20</v>
      </c>
      <c r="M1901" t="s">
        <v>3986</v>
      </c>
      <c r="N1901" t="s">
        <v>14</v>
      </c>
    </row>
    <row r="1902" x14ac:dyDescent="0.25">
      <c r="A1902" t="n">
        <v>25</v>
      </c>
      <c r="B1902" t="s">
        <v>14</v>
      </c>
      <c r="C1902" t="s">
        <v>22</v>
      </c>
      <c r="D1902" s="2" t="s">
        <f>=HYPERLINK("https://main.knesset.gov.il/APPS/legislation/main/bills/2228207", "הצעת חוק קבלת מידע לשם זיהוי חללים ונעדרים בשל אירוע רב-נפגעים, התשפ""ה-2025")</f>
        <v>1628</v>
      </c>
      <c r="E1902" t="s">
        <v>1628</v>
      </c>
      <c r="F1902" t="s">
        <v>3990</v>
      </c>
      <c r="G1902" t="s">
        <v>14</v>
      </c>
      <c r="H1902">
             </c>
      <c r="I1902" t="s">
        <v>14</v>
      </c>
      <c r="J1902" t="s">
        <v>141</v>
      </c>
      <c r="K1902" t="s">
        <v>14</v>
      </c>
      <c r="L1902" t="s">
        <v>20</v>
      </c>
      <c r="M1902" t="s">
        <v>3986</v>
      </c>
      <c r="N1902" t="s">
        <v>14</v>
      </c>
    </row>
    <row r="1903" x14ac:dyDescent="0.25">
      <c r="A1903" t="n">
        <v>25</v>
      </c>
      <c r="B1903" t="s">
        <v>14</v>
      </c>
      <c r="C1903" t="s">
        <v>22</v>
      </c>
      <c r="D1903" s="2" t="s">
        <f>=HYPERLINK("https://main.knesset.gov.il/APPS/legislation/main/bills/2227747", "הצעת חוק לעידוד השקעות הון (תיקון - מרכזים לוגיסטיים), התשפ""ה-2025")</f>
        <v>3991</v>
      </c>
      <c r="E1903" t="s">
        <v>3991</v>
      </c>
      <c r="F1903" t="s">
        <v>3992</v>
      </c>
      <c r="G1903" t="s">
        <v>14</v>
      </c>
      <c r="H1903">
             </c>
      <c r="I1903" t="s">
        <v>14</v>
      </c>
      <c r="J1903" t="s">
        <v>141</v>
      </c>
      <c r="K1903" t="s">
        <v>14</v>
      </c>
      <c r="L1903" t="s">
        <v>20</v>
      </c>
      <c r="M1903" t="s">
        <v>3986</v>
      </c>
      <c r="N1903" t="s">
        <v>14</v>
      </c>
    </row>
    <row r="1904" x14ac:dyDescent="0.25">
      <c r="A1904" t="n">
        <v>25</v>
      </c>
      <c r="B1904" t="s">
        <v>14</v>
      </c>
      <c r="C1904" t="s">
        <v>22</v>
      </c>
      <c r="D1904" s="2" t="s">
        <f>=HYPERLINK("https://main.knesset.gov.il/APPS/legislation/main/bills/2227745", "הצעת חוק הגנה על ריבונות ישראלית והגבלת שיתוף פעולה עם בית הדין הפלילי הבין-לאומי, התשפ""ה-2025")</f>
        <v>3993</v>
      </c>
      <c r="E1904" t="s">
        <v>3993</v>
      </c>
      <c r="F1904" t="s">
        <v>3994</v>
      </c>
      <c r="G1904" t="s">
        <v>14</v>
      </c>
      <c r="H1904">
             </c>
      <c r="I1904" t="s">
        <v>14</v>
      </c>
      <c r="J1904" t="s">
        <v>141</v>
      </c>
      <c r="K1904" t="s">
        <v>14</v>
      </c>
      <c r="L1904" t="s">
        <v>20</v>
      </c>
      <c r="M1904" t="s">
        <v>3986</v>
      </c>
      <c r="N1904" t="s">
        <v>14</v>
      </c>
    </row>
    <row r="1905" x14ac:dyDescent="0.25">
      <c r="A1905" t="n">
        <v>25</v>
      </c>
      <c r="B1905" t="s">
        <v>14</v>
      </c>
      <c r="C1905" t="s">
        <v>22</v>
      </c>
      <c r="D1905" s="2" t="s">
        <f>=HYPERLINK("https://main.knesset.gov.il/APPS/legislation/main/bills/2228016", "הצעת חוק הביטוח הלאומי (תיקון - עבודות בתחומי החינוך, התרבות והספורט כעבודות מועדפות), התשפ""ה-2025")</f>
        <v>3995</v>
      </c>
      <c r="E1905" t="s">
        <v>3995</v>
      </c>
      <c r="F1905" t="s">
        <v>3996</v>
      </c>
      <c r="G1905" t="s">
        <v>14</v>
      </c>
      <c r="H1905">
             </c>
      <c r="I1905" t="s">
        <v>14</v>
      </c>
      <c r="J1905" t="s">
        <v>141</v>
      </c>
      <c r="K1905" t="s">
        <v>14</v>
      </c>
      <c r="L1905" t="s">
        <v>20</v>
      </c>
      <c r="M1905" t="s">
        <v>3986</v>
      </c>
      <c r="N1905" t="s">
        <v>14</v>
      </c>
    </row>
    <row r="1906" x14ac:dyDescent="0.25">
      <c r="A1906" t="n">
        <v>25</v>
      </c>
      <c r="B1906" t="s">
        <v>14</v>
      </c>
      <c r="C1906" t="s">
        <v>22</v>
      </c>
      <c r="D1906" s="2" t="s">
        <f>=HYPERLINK("https://main.knesset.gov.il/APPS/legislation/main/bills/2227308", "הצעת חוק מערך רפואה מונעת בגוף ביטחוני, התשפ""ה-2025")</f>
        <v>3997</v>
      </c>
      <c r="E1906" t="s">
        <v>3997</v>
      </c>
      <c r="F1906" t="s">
        <v>3998</v>
      </c>
      <c r="G1906" t="s">
        <v>14</v>
      </c>
      <c r="H1906">
             </c>
      <c r="I1906" t="s">
        <v>14</v>
      </c>
      <c r="J1906" t="s">
        <v>141</v>
      </c>
      <c r="K1906" t="s">
        <v>14</v>
      </c>
      <c r="L1906" t="s">
        <v>20</v>
      </c>
      <c r="M1906" t="s">
        <v>3986</v>
      </c>
      <c r="N1906" t="s">
        <v>14</v>
      </c>
    </row>
    <row r="1907" x14ac:dyDescent="0.25">
      <c r="A1907" t="n">
        <v>25</v>
      </c>
      <c r="B1907" t="s">
        <v>14</v>
      </c>
      <c r="C1907" t="s">
        <v>22</v>
      </c>
      <c r="D1907" s="2" t="s">
        <f>=HYPERLINK("https://main.knesset.gov.il/APPS/legislation/main/bills/2228243", "הצעת חוק תגמולים לבני משפחה של חטופים ונעדרים בפעולת איבה (תיקון - זכאות לאחר חזרת חטוף או נעדר), התשפ""ה-2025")</f>
        <v>3999</v>
      </c>
      <c r="E1907" t="s">
        <v>3999</v>
      </c>
      <c r="F1907" t="s">
        <v>4000</v>
      </c>
      <c r="G1907" t="s">
        <v>14</v>
      </c>
      <c r="H1907">
             </c>
      <c r="I1907" t="s">
        <v>14</v>
      </c>
      <c r="J1907" t="s">
        <v>343</v>
      </c>
      <c r="K1907" t="s">
        <v>14</v>
      </c>
      <c r="L1907" t="s">
        <v>20</v>
      </c>
      <c r="M1907" t="s">
        <v>3986</v>
      </c>
      <c r="N1907" t="s">
        <v>14</v>
      </c>
    </row>
    <row r="1908" x14ac:dyDescent="0.25">
      <c r="A1908" t="n">
        <v>25</v>
      </c>
      <c r="B1908" t="s">
        <v>14</v>
      </c>
      <c r="C1908" t="s">
        <v>22</v>
      </c>
      <c r="D1908" s="2" t="s">
        <f>=HYPERLINK("https://main.knesset.gov.il/APPS/legislation/main/bills/2228309", "הצעת חוק יום הרבי מלובביץ' (ציון פועלו), התשפ""ה-2025")</f>
        <v>4001</v>
      </c>
      <c r="E1908" t="s">
        <v>4001</v>
      </c>
      <c r="F1908" t="s">
        <v>4002</v>
      </c>
      <c r="G1908" t="s">
        <v>14</v>
      </c>
      <c r="H1908">
             </c>
      <c r="I1908" t="s">
        <v>14</v>
      </c>
      <c r="J1908" t="s">
        <v>141</v>
      </c>
      <c r="K1908" t="s">
        <v>14</v>
      </c>
      <c r="L1908" t="s">
        <v>20</v>
      </c>
      <c r="M1908" t="s">
        <v>3986</v>
      </c>
      <c r="N1908" t="s">
        <v>14</v>
      </c>
    </row>
    <row r="1909" x14ac:dyDescent="0.25">
      <c r="A1909" t="n">
        <v>25</v>
      </c>
      <c r="B1909" t="s">
        <v>14</v>
      </c>
      <c r="C1909" t="s">
        <v>22</v>
      </c>
      <c r="D1909" s="2" t="s">
        <f>=HYPERLINK("https://main.knesset.gov.il/APPS/legislation/main/bills/2226170", "הצעת חוק שירות הציבור (תקופת חופשה ללא תשלום), התשפ""ה-2025")</f>
        <v>4003</v>
      </c>
      <c r="E1909" t="s">
        <v>4003</v>
      </c>
      <c r="F1909" t="s">
        <v>4004</v>
      </c>
      <c r="G1909" t="s">
        <v>14</v>
      </c>
      <c r="H1909">
             </c>
      <c r="I1909" t="s">
        <v>14</v>
      </c>
      <c r="J1909" t="s">
        <v>141</v>
      </c>
      <c r="K1909" t="s">
        <v>14</v>
      </c>
      <c r="L1909" t="s">
        <v>20</v>
      </c>
      <c r="M1909" t="s">
        <v>3986</v>
      </c>
      <c r="N1909" t="s">
        <v>14</v>
      </c>
    </row>
    <row r="1910" x14ac:dyDescent="0.25">
      <c r="A1910" t="n">
        <v>25</v>
      </c>
      <c r="B1910" t="s">
        <v>14</v>
      </c>
      <c r="C1910" t="s">
        <v>22</v>
      </c>
      <c r="D1910" s="2" t="s">
        <f>=HYPERLINK("https://main.knesset.gov.il/APPS/legislation/main/bills/2227880", "הצעת חוק לביטול ההפליה ברכישת מקרקעין ביהודה והשומרון, התשפ""ה- 2025")</f>
        <v>4005</v>
      </c>
      <c r="E1910" t="s">
        <v>4005</v>
      </c>
      <c r="F1910" t="s">
        <v>4006</v>
      </c>
      <c r="G1910" t="s">
        <v>14</v>
      </c>
      <c r="H1910">
             </c>
      <c r="I1910" t="s">
        <v>14</v>
      </c>
      <c r="J1910" t="s">
        <v>141</v>
      </c>
      <c r="K1910" t="s">
        <v>14</v>
      </c>
      <c r="L1910" t="s">
        <v>20</v>
      </c>
      <c r="M1910" t="s">
        <v>3986</v>
      </c>
      <c r="N1910" t="s">
        <v>14</v>
      </c>
    </row>
    <row r="1911" x14ac:dyDescent="0.25">
      <c r="A1911" t="n">
        <v>25</v>
      </c>
      <c r="B1911" t="s">
        <v>14</v>
      </c>
      <c r="C1911" t="s">
        <v>22</v>
      </c>
      <c r="D1911" s="2" t="s">
        <f>=HYPERLINK("https://main.knesset.gov.il/APPS/legislation/main/bills/2227733", "הצעת חוק מאבק בארגוני פשיעה (תיקון - החמרת הענישה כנגד ארגוני סחיטה ושחיתות), התשפ""ה-2025")</f>
        <v>4007</v>
      </c>
      <c r="E1911" t="s">
        <v>4007</v>
      </c>
      <c r="F1911" t="s">
        <v>4008</v>
      </c>
      <c r="G1911" t="s">
        <v>14</v>
      </c>
      <c r="H1911">
             </c>
      <c r="I1911" t="s">
        <v>14</v>
      </c>
      <c r="J1911" t="s">
        <v>141</v>
      </c>
      <c r="K1911" t="s">
        <v>14</v>
      </c>
      <c r="L1911" t="s">
        <v>20</v>
      </c>
      <c r="M1911" t="s">
        <v>3986</v>
      </c>
      <c r="N1911" t="s">
        <v>14</v>
      </c>
    </row>
    <row r="1912" x14ac:dyDescent="0.25">
      <c r="A1912" t="n">
        <v>25</v>
      </c>
      <c r="B1912" t="s">
        <v>14</v>
      </c>
      <c r="C1912" t="s">
        <v>22</v>
      </c>
      <c r="D1912" s="2" t="s">
        <f>=HYPERLINK("https://main.knesset.gov.il/APPS/legislation/main/bills/2209928", "הצעת חוק הרשויות המקומיות (גמול השתתפות בישיבות והחזר הוצאות לחברי מועצה), התשפ""ה-2025")</f>
        <v>4009</v>
      </c>
      <c r="E1912" t="s">
        <v>4009</v>
      </c>
      <c r="F1912" t="s">
        <v>4010</v>
      </c>
      <c r="G1912" t="s">
        <v>14</v>
      </c>
      <c r="H1912">
             </c>
      <c r="I1912" t="s">
        <v>14</v>
      </c>
      <c r="J1912" t="s">
        <v>141</v>
      </c>
      <c r="K1912" t="s">
        <v>14</v>
      </c>
      <c r="L1912" t="s">
        <v>20</v>
      </c>
      <c r="M1912" t="s">
        <v>3986</v>
      </c>
      <c r="N1912" t="s">
        <v>14</v>
      </c>
    </row>
    <row r="1913" x14ac:dyDescent="0.25">
      <c r="A1913" t="n">
        <v>25</v>
      </c>
      <c r="B1913" t="s">
        <v>14</v>
      </c>
      <c r="C1913" t="s">
        <v>22</v>
      </c>
      <c r="D1913" s="2" t="s">
        <f>=HYPERLINK("https://main.knesset.gov.il/APPS/legislation/main/bills/2226396", "הצעת חוק התכנון והבנייה (תיקון - חדרי הנקה בבניינים ציבוריים), התשפ""ה-2025")</f>
        <v>4011</v>
      </c>
      <c r="E1913" t="s">
        <v>4011</v>
      </c>
      <c r="F1913" t="s">
        <v>4012</v>
      </c>
      <c r="G1913" t="s">
        <v>14</v>
      </c>
      <c r="H1913">
             </c>
      <c r="I1913" t="s">
        <v>14</v>
      </c>
      <c r="J1913" t="s">
        <v>141</v>
      </c>
      <c r="K1913" t="s">
        <v>14</v>
      </c>
      <c r="L1913" t="s">
        <v>20</v>
      </c>
      <c r="M1913" t="s">
        <v>3986</v>
      </c>
      <c r="N1913" t="s">
        <v>14</v>
      </c>
    </row>
    <row r="1914" x14ac:dyDescent="0.25">
      <c r="A1914" t="n">
        <v>25</v>
      </c>
      <c r="B1914" t="s">
        <v>14</v>
      </c>
      <c r="C1914" t="s">
        <v>22</v>
      </c>
      <c r="D1914" s="2" t="s">
        <f>=HYPERLINK("https://main.knesset.gov.il/APPS/legislation/main/bills/2226596", "הצעת חוק העונשין (תיקון - בעילה אסורה בהסכמה תוך ניצול מעמד ציבורי מיוחד), התשפ""ה-2025")</f>
        <v>4013</v>
      </c>
      <c r="E1914" t="s">
        <v>4013</v>
      </c>
      <c r="F1914" t="s">
        <v>4014</v>
      </c>
      <c r="G1914" t="s">
        <v>14</v>
      </c>
      <c r="H1914">
             </c>
      <c r="I1914" t="s">
        <v>14</v>
      </c>
      <c r="J1914" t="s">
        <v>343</v>
      </c>
      <c r="K1914" t="s">
        <v>14</v>
      </c>
      <c r="L1914" t="s">
        <v>20</v>
      </c>
      <c r="M1914" t="s">
        <v>3986</v>
      </c>
      <c r="N1914" t="s">
        <v>14</v>
      </c>
    </row>
    <row r="1915" x14ac:dyDescent="0.25">
      <c r="A1915" t="n">
        <v>25</v>
      </c>
      <c r="B1915" t="s">
        <v>14</v>
      </c>
      <c r="C1915" t="s">
        <v>22</v>
      </c>
      <c r="D1915" s="2" t="s">
        <f>=HYPERLINK("https://main.knesset.gov.il/APPS/legislation/main/bills/2227150", "הצעת חוק דיווח על הליך פלילי בעבירת טרור נגד תלמיד (תיקוני חקיקה), התשפ""ה-2025")</f>
        <v>4015</v>
      </c>
      <c r="E1915" t="s">
        <v>4015</v>
      </c>
      <c r="F1915" t="s">
        <v>4016</v>
      </c>
      <c r="G1915" t="s">
        <v>14</v>
      </c>
      <c r="H1915">
             </c>
      <c r="I1915" t="s">
        <v>14</v>
      </c>
      <c r="J1915" t="s">
        <v>141</v>
      </c>
      <c r="K1915" t="s">
        <v>14</v>
      </c>
      <c r="L1915" t="s">
        <v>20</v>
      </c>
      <c r="M1915" t="s">
        <v>3986</v>
      </c>
      <c r="N1915" t="s">
        <v>14</v>
      </c>
    </row>
    <row r="1916" x14ac:dyDescent="0.25">
      <c r="A1916" t="n">
        <v>25</v>
      </c>
      <c r="B1916" t="s">
        <v>14</v>
      </c>
      <c r="C1916" t="s">
        <v>22</v>
      </c>
      <c r="D1916" s="2" t="s">
        <f>=HYPERLINK("https://main.knesset.gov.il/APPS/legislation/main/bills/2225686", "הצעת חוק איסור הפליה במוצרים, בשירותים ובכניסה למקומות בידור ולמקומות ציבוריים (תיקון - איסור הפליה בשל נשיאת נשק), התשפ""ה-2025")</f>
        <v>4017</v>
      </c>
      <c r="E1916" t="s">
        <v>4017</v>
      </c>
      <c r="F1916" t="s">
        <v>4018</v>
      </c>
      <c r="G1916" t="s">
        <v>14</v>
      </c>
      <c r="H1916">
             </c>
      <c r="I1916" t="s">
        <v>14</v>
      </c>
      <c r="J1916" t="s">
        <v>141</v>
      </c>
      <c r="K1916" t="s">
        <v>14</v>
      </c>
      <c r="L1916" t="s">
        <v>20</v>
      </c>
      <c r="M1916" t="s">
        <v>3986</v>
      </c>
      <c r="N1916" t="s">
        <v>14</v>
      </c>
    </row>
    <row r="1917" x14ac:dyDescent="0.25">
      <c r="A1917" t="n">
        <v>25</v>
      </c>
      <c r="B1917" t="s">
        <v>14</v>
      </c>
      <c r="C1917" t="s">
        <v>22</v>
      </c>
      <c r="D1917" s="2" t="s">
        <f>=HYPERLINK("https://main.knesset.gov.il/APPS/legislation/main/bills/2227445", "הצעת חוק התגמולים לנפגעי פעולות איבה (תיקון - הארכת מועד לתביעת גמלה והתקופה שבעדה תשולם), התשפ""ה-2025")</f>
        <v>4019</v>
      </c>
      <c r="E1917" t="s">
        <v>4019</v>
      </c>
      <c r="F1917" t="s">
        <v>4020</v>
      </c>
      <c r="G1917" t="s">
        <v>14</v>
      </c>
      <c r="H1917">
             </c>
      <c r="I1917" t="s">
        <v>14</v>
      </c>
      <c r="J1917" t="s">
        <v>141</v>
      </c>
      <c r="K1917" t="s">
        <v>14</v>
      </c>
      <c r="L1917" t="s">
        <v>20</v>
      </c>
      <c r="M1917" t="s">
        <v>3986</v>
      </c>
      <c r="N1917" t="s">
        <v>14</v>
      </c>
    </row>
    <row r="1918" x14ac:dyDescent="0.25">
      <c r="A1918" t="n">
        <v>25</v>
      </c>
      <c r="B1918" t="s">
        <v>14</v>
      </c>
      <c r="C1918" t="s">
        <v>22</v>
      </c>
      <c r="D1918" s="2" t="s">
        <f>=HYPERLINK("https://main.knesset.gov.il/APPS/legislation/main/bills/2223039", "הצעת חוק לביטול הפליה ברכישת מקרקעין ביהודה והשומרון, התשפ""ה-2024")</f>
        <v>4021</v>
      </c>
      <c r="E1918" t="s">
        <v>4021</v>
      </c>
      <c r="F1918" t="s">
        <v>4022</v>
      </c>
      <c r="G1918" t="s">
        <v>14</v>
      </c>
      <c r="H1918">
             </c>
      <c r="I1918" t="s">
        <v>14</v>
      </c>
      <c r="J1918" t="s">
        <v>99</v>
      </c>
      <c r="K1918" t="s">
        <v>114</v>
      </c>
      <c r="L1918" t="s">
        <v>20</v>
      </c>
      <c r="M1918" t="s">
        <v>4023</v>
      </c>
      <c r="N1918" t="s">
        <v>14</v>
      </c>
    </row>
    <row r="1919" x14ac:dyDescent="0.25">
      <c r="A1919" t="n">
        <v>25</v>
      </c>
      <c r="B1919" t="s">
        <v>14</v>
      </c>
      <c r="C1919" t="s">
        <v>22</v>
      </c>
      <c r="D1919" s="2" t="s">
        <f>=HYPERLINK("https://main.knesset.gov.il/APPS/legislation/main/bills/2222432", "הצעת חוק חסינות חברי הכנסת, זכויותיהם וחובותיהם (תיקון - כינוס ועדת האתיקה וסמכויותיה בקשר למסירת מידע לכנסת על ידי שרים), התשפ""ה-2024")</f>
        <v>4024</v>
      </c>
      <c r="E1919" t="s">
        <v>4024</v>
      </c>
      <c r="F1919" t="s">
        <v>4025</v>
      </c>
      <c r="G1919" t="s">
        <v>14</v>
      </c>
      <c r="H1919">
             </c>
      <c r="I1919" t="s">
        <v>14</v>
      </c>
      <c r="J1919" t="s">
        <v>55</v>
      </c>
      <c r="K1919" t="s">
        <v>14</v>
      </c>
      <c r="L1919" t="s">
        <v>20</v>
      </c>
      <c r="M1919" t="s">
        <v>4026</v>
      </c>
      <c r="N1919" t="s">
        <v>14</v>
      </c>
    </row>
    <row r="1920" x14ac:dyDescent="0.25">
      <c r="A1920" t="n">
        <v>25</v>
      </c>
      <c r="B1920" t="s">
        <v>14</v>
      </c>
      <c r="C1920" t="s">
        <v>22</v>
      </c>
      <c r="D1920" s="2" t="s">
        <f>=HYPERLINK("https://main.knesset.gov.il/APPS/legislation/main/bills/2224644", "הצעת חוק אזור סחר חופשי באילת (פטורים והנחות ממסים) (תיקון - אזור קו עימות) (הוראת שעה - חרבות ברזל), התשפ""ה-2024")</f>
        <v>4027</v>
      </c>
      <c r="E1920" t="s">
        <v>4027</v>
      </c>
      <c r="F1920" t="s">
        <v>4028</v>
      </c>
      <c r="G1920" t="s">
        <v>14</v>
      </c>
      <c r="H1920">
             </c>
      <c r="I1920" t="s">
        <v>14</v>
      </c>
      <c r="J1920" t="s">
        <v>55</v>
      </c>
      <c r="K1920" t="s">
        <v>14</v>
      </c>
      <c r="L1920" t="s">
        <v>20</v>
      </c>
      <c r="M1920" t="s">
        <v>4026</v>
      </c>
      <c r="N1920" t="s">
        <v>14</v>
      </c>
    </row>
    <row r="1921" x14ac:dyDescent="0.25">
      <c r="A1921" t="n">
        <v>25</v>
      </c>
      <c r="B1921" t="s">
        <v>14</v>
      </c>
      <c r="C1921" t="s">
        <v>22</v>
      </c>
      <c r="D1921" s="2" t="s">
        <f>=HYPERLINK("https://main.knesset.gov.il/APPS/legislation/main/bills/2215560", "הצעת חוק בתי דין רבניים (הקדשות רבניים), התשפ""ד-2024")</f>
        <v>4029</v>
      </c>
      <c r="E1921" t="s">
        <v>4029</v>
      </c>
      <c r="F1921" t="s">
        <v>4030</v>
      </c>
      <c r="G1921" t="s">
        <v>14</v>
      </c>
      <c r="H1921">
             </c>
      <c r="I1921" t="s">
        <v>14</v>
      </c>
      <c r="J1921" t="s">
        <v>31</v>
      </c>
      <c r="K1921" t="s">
        <v>27</v>
      </c>
      <c r="L1921" t="s">
        <v>20</v>
      </c>
      <c r="M1921" t="s">
        <v>4026</v>
      </c>
      <c r="N1921" t="s">
        <v>14</v>
      </c>
    </row>
    <row r="1922" x14ac:dyDescent="0.25">
      <c r="A1922" t="n">
        <v>25</v>
      </c>
      <c r="B1922" t="s">
        <v>14</v>
      </c>
      <c r="C1922" t="s">
        <v>22</v>
      </c>
      <c r="D1922" s="2" t="s">
        <f>=HYPERLINK("https://main.knesset.gov.il/APPS/legislation/main/bills/2199426", "הצעת חוק התכנון והבנייה (תיקון - הקמת ועדה מיוחדת לקידום והסדרת התכנון ביישובים הדרוזים) (הוראת שעה), התשפ""ג-2023")</f>
        <v>4031</v>
      </c>
      <c r="E1922" t="s">
        <v>4031</v>
      </c>
      <c r="F1922" t="s">
        <v>4032</v>
      </c>
      <c r="G1922" t="s">
        <v>14</v>
      </c>
      <c r="H1922">
             </c>
      <c r="I1922" t="s">
        <v>14</v>
      </c>
      <c r="J1922" t="s">
        <v>55</v>
      </c>
      <c r="K1922" t="s">
        <v>14</v>
      </c>
      <c r="L1922" t="s">
        <v>20</v>
      </c>
      <c r="M1922" t="s">
        <v>4026</v>
      </c>
      <c r="N1922" t="s">
        <v>14</v>
      </c>
    </row>
    <row r="1923" x14ac:dyDescent="0.25">
      <c r="A1923" t="n">
        <v>25</v>
      </c>
      <c r="B1923" t="s">
        <v>14</v>
      </c>
      <c r="C1923" t="s">
        <v>20</v>
      </c>
      <c r="D1923" s="2" t="s">
        <f>=HYPERLINK("https://main.knesset.gov.il/APPS/legislation/main/bills/2225792", "הצעת חוק יסוד: משאל עם - תיקון")</f>
        <v>4033</v>
      </c>
      <c r="E1923" t="s">
        <v>4033</v>
      </c>
      <c r="F1923" t="s">
        <v>14</v>
      </c>
      <c r="G1923" t="s">
        <v>14</v>
      </c>
      <c r="H1923">
             </c>
      <c r="I1923" t="s">
        <v>14</v>
      </c>
      <c r="J1923" t="s">
        <v>31</v>
      </c>
      <c r="K1923" t="s">
        <v>27</v>
      </c>
      <c r="L1923" t="s">
        <v>20</v>
      </c>
      <c r="M1923" t="s">
        <v>4034</v>
      </c>
      <c r="N1923" t="s">
        <v>14</v>
      </c>
    </row>
    <row r="1924" x14ac:dyDescent="0.25">
      <c r="A1924" t="n">
        <v>25</v>
      </c>
      <c r="B1924" t="s">
        <v>14</v>
      </c>
      <c r="C1924" t="s">
        <v>22</v>
      </c>
      <c r="D1924" s="2" t="s">
        <f>=HYPERLINK("https://main.knesset.gov.il/APPS/legislation/main/bills/2199017", "הצעת חוק זכאות לאבחון לקויות למידה לילדים ממשפחות מעוטות יכולת, התשפ""ג-2023")</f>
        <v>4035</v>
      </c>
      <c r="E1924" t="s">
        <v>4035</v>
      </c>
      <c r="F1924" t="s">
        <v>4036</v>
      </c>
      <c r="G1924" t="s">
        <v>14</v>
      </c>
      <c r="H1924">
             </c>
      <c r="I1924" t="s">
        <v>14</v>
      </c>
      <c r="J1924" t="s">
        <v>99</v>
      </c>
      <c r="K1924" t="s">
        <v>34</v>
      </c>
      <c r="L1924" t="s">
        <v>20</v>
      </c>
      <c r="M1924" t="s">
        <v>4034</v>
      </c>
      <c r="N1924" t="s">
        <v>14</v>
      </c>
    </row>
    <row r="1925" x14ac:dyDescent="0.25">
      <c r="A1925" t="n">
        <v>25</v>
      </c>
      <c r="B1925" t="s">
        <v>14</v>
      </c>
      <c r="C1925" t="s">
        <v>22</v>
      </c>
      <c r="D1925" s="2" t="s">
        <f>=HYPERLINK("https://main.knesset.gov.il/APPS/legislation/main/bills/2198798", "הצעת חוק זכאות לאבחון לקויות למידה לילדים ממשפחות מעוטות יכולת, התשפ""ג-2023")</f>
        <v>4035</v>
      </c>
      <c r="E1925" t="s">
        <v>4035</v>
      </c>
      <c r="F1925" t="s">
        <v>4037</v>
      </c>
      <c r="G1925" t="s">
        <v>14</v>
      </c>
      <c r="H1925">
             </c>
      <c r="I1925" t="s">
        <v>26</v>
      </c>
      <c r="J1925" t="s">
        <v>31</v>
      </c>
      <c r="K1925" t="s">
        <v>34</v>
      </c>
      <c r="L1925" t="s">
        <v>20</v>
      </c>
      <c r="M1925" t="s">
        <v>4034</v>
      </c>
      <c r="N1925" t="s">
        <v>14</v>
      </c>
    </row>
    <row r="1926" x14ac:dyDescent="0.25">
      <c r="A1926" t="n">
        <v>25</v>
      </c>
      <c r="B1926" t="s">
        <v>14</v>
      </c>
      <c r="C1926" t="s">
        <v>22</v>
      </c>
      <c r="D1926" s="2" t="s">
        <f>=HYPERLINK("https://main.knesset.gov.il/APPS/legislation/main/bills/2220902", "הצעת חוק להסדרת המגורים בשטחי מרעה, התשפ""ד-2024")</f>
        <v>4038</v>
      </c>
      <c r="E1926" t="s">
        <v>4038</v>
      </c>
      <c r="F1926" t="s">
        <v>4039</v>
      </c>
      <c r="G1926" t="s">
        <v>14</v>
      </c>
      <c r="H1926">
             </c>
      <c r="I1926" t="s">
        <v>14</v>
      </c>
      <c r="J1926" t="s">
        <v>99</v>
      </c>
      <c r="K1926" t="s">
        <v>46</v>
      </c>
      <c r="L1926" t="s">
        <v>20</v>
      </c>
      <c r="M1926" t="s">
        <v>4034</v>
      </c>
      <c r="N1926" t="s">
        <v>14</v>
      </c>
    </row>
    <row r="1927" x14ac:dyDescent="0.25">
      <c r="A1927" t="n">
        <v>25</v>
      </c>
      <c r="B1927" t="s">
        <v>14</v>
      </c>
      <c r="C1927" t="s">
        <v>22</v>
      </c>
      <c r="D1927" s="2" t="s">
        <f>=HYPERLINK("https://main.knesset.gov.il/APPS/legislation/main/bills/2207143", "הצעת חוק להסדרת המגורים בשטחי מרעה, התשפ""ג-2023")</f>
        <v>4040</v>
      </c>
      <c r="E1927" t="s">
        <v>4040</v>
      </c>
      <c r="F1927" t="s">
        <v>4041</v>
      </c>
      <c r="G1927" t="s">
        <v>14</v>
      </c>
      <c r="H1927">
             </c>
      <c r="I1927" t="s">
        <v>14</v>
      </c>
      <c r="J1927" t="s">
        <v>99</v>
      </c>
      <c r="K1927" t="s">
        <v>46</v>
      </c>
      <c r="L1927" t="s">
        <v>20</v>
      </c>
      <c r="M1927" t="s">
        <v>4034</v>
      </c>
      <c r="N1927" t="s">
        <v>14</v>
      </c>
    </row>
    <row r="1928" x14ac:dyDescent="0.25">
      <c r="A1928" t="n">
        <v>25</v>
      </c>
      <c r="B1928" t="s">
        <v>14</v>
      </c>
      <c r="C1928" t="s">
        <v>22</v>
      </c>
      <c r="D1928" s="2" t="s">
        <f>=HYPERLINK("https://main.knesset.gov.il/APPS/legislation/main/bills/2208258", "הצעת חוק להטמעת מורשת יהדות ספרד והמזרח במערכת החינוך וההשכלה הגבוהה, התשפ""ג-2023")</f>
        <v>4042</v>
      </c>
      <c r="E1928" t="s">
        <v>4042</v>
      </c>
      <c r="F1928" t="s">
        <v>4043</v>
      </c>
      <c r="G1928" t="s">
        <v>14</v>
      </c>
      <c r="H1928">
             </c>
      <c r="I1928" t="s">
        <v>14</v>
      </c>
      <c r="J1928" t="s">
        <v>31</v>
      </c>
      <c r="K1928" t="s">
        <v>34</v>
      </c>
      <c r="L1928" t="s">
        <v>20</v>
      </c>
      <c r="M1928" t="s">
        <v>4034</v>
      </c>
      <c r="N1928" t="s">
        <v>14</v>
      </c>
    </row>
    <row r="1929" x14ac:dyDescent="0.25">
      <c r="A1929" t="n">
        <v>25</v>
      </c>
      <c r="B1929" t="s">
        <v>14</v>
      </c>
      <c r="C1929" t="s">
        <v>15</v>
      </c>
      <c r="D1929" s="2" t="s">
        <f>=HYPERLINK("https://main.knesset.gov.il/APPS/legislation/main/bills/2218572", "חוק שירותי תעופה (פיצוי וסיוע בשל ביטול טיסה או שינוי בתנאיה) (תיקון מס' 2 והוראת שעה – חרבות ברזל), התשפ""ה–2025")</f>
        <v>4044</v>
      </c>
      <c r="E1929" t="s">
        <v>4044</v>
      </c>
      <c r="F1929" t="s">
        <v>14</v>
      </c>
      <c r="G1929" t="s">
        <v>4045</v>
      </c>
      <c r="H1929" t="n">
        <v>3372</v>
      </c>
      <c r="I1929" t="s">
        <v>14</v>
      </c>
      <c r="J1929" t="s">
        <v>91</v>
      </c>
      <c r="K1929" t="s">
        <v>19</v>
      </c>
      <c r="L1929" t="s">
        <v>20</v>
      </c>
      <c r="M1929" t="s">
        <v>4034</v>
      </c>
      <c r="N1929" t="s">
        <v>4046</v>
      </c>
    </row>
    <row r="1930" x14ac:dyDescent="0.25">
      <c r="A1930" t="n">
        <v>25</v>
      </c>
      <c r="B1930" t="s">
        <v>14</v>
      </c>
      <c r="C1930" t="s">
        <v>15</v>
      </c>
      <c r="D1930" s="2" t="s">
        <f>=HYPERLINK("https://main.knesset.gov.il/APPS/legislation/main/bills/2224854", "חוק לתיקון פקודת סימני מסחר (מס' 9), התשפ""ה–2025 ")</f>
        <v>4047</v>
      </c>
      <c r="E1930" t="s">
        <v>4047</v>
      </c>
      <c r="F1930" t="s">
        <v>14</v>
      </c>
      <c r="G1930" t="s">
        <v>4048</v>
      </c>
      <c r="H1930" t="n">
        <v>3371</v>
      </c>
      <c r="I1930" t="s">
        <v>14</v>
      </c>
      <c r="J1930" t="s">
        <v>91</v>
      </c>
      <c r="K1930" t="s">
        <v>19</v>
      </c>
      <c r="L1930" t="s">
        <v>20</v>
      </c>
      <c r="M1930" t="s">
        <v>4034</v>
      </c>
      <c r="N1930" t="s">
        <v>4049</v>
      </c>
    </row>
    <row r="1931" x14ac:dyDescent="0.25">
      <c r="A1931" t="n">
        <v>25</v>
      </c>
      <c r="B1931" t="s">
        <v>14</v>
      </c>
      <c r="C1931" t="s">
        <v>22</v>
      </c>
      <c r="D1931" s="2" t="s">
        <f>=HYPERLINK("https://main.knesset.gov.il/APPS/legislation/main/bills/2223868", "הצעת חוק התקשורת (בזק ושידורים) (תיקון - הרשות והמועצה לתקשורת משודרת), התשפ""ה-2025")</f>
        <v>4050</v>
      </c>
      <c r="E1931" t="s">
        <v>4050</v>
      </c>
      <c r="F1931" t="s">
        <v>4051</v>
      </c>
      <c r="G1931" t="s">
        <v>14</v>
      </c>
      <c r="H1931">
             </c>
      <c r="I1931" t="s">
        <v>14</v>
      </c>
      <c r="J1931" t="s">
        <v>141</v>
      </c>
      <c r="K1931" t="s">
        <v>14</v>
      </c>
      <c r="L1931" t="s">
        <v>20</v>
      </c>
      <c r="M1931" t="s">
        <v>4034</v>
      </c>
      <c r="N1931" t="s">
        <v>14</v>
      </c>
    </row>
    <row r="1932" x14ac:dyDescent="0.25">
      <c r="A1932" t="n">
        <v>25</v>
      </c>
      <c r="B1932" t="s">
        <v>14</v>
      </c>
      <c r="C1932" t="s">
        <v>22</v>
      </c>
      <c r="D1932" s="2" t="s">
        <f>=HYPERLINK("https://main.knesset.gov.il/APPS/legislation/main/bills/2227661", "הצעת חוק מאבק בארגוני פשיעה (תיקון - הרחבת הענישה על עבירות גניבת רכב כדין ענישה בגין חברות בארגון פשיעה), התשפ""ה-2025")</f>
        <v>4052</v>
      </c>
      <c r="E1932" t="s">
        <v>4052</v>
      </c>
      <c r="F1932" t="s">
        <v>4053</v>
      </c>
      <c r="G1932" t="s">
        <v>14</v>
      </c>
      <c r="H1932">
             </c>
      <c r="I1932" t="s">
        <v>14</v>
      </c>
      <c r="J1932" t="s">
        <v>141</v>
      </c>
      <c r="K1932" t="s">
        <v>14</v>
      </c>
      <c r="L1932" t="s">
        <v>20</v>
      </c>
      <c r="M1932" t="s">
        <v>4034</v>
      </c>
      <c r="N1932" t="s">
        <v>14</v>
      </c>
    </row>
    <row r="1933" x14ac:dyDescent="0.25">
      <c r="A1933" t="n">
        <v>25</v>
      </c>
      <c r="B1933" t="s">
        <v>14</v>
      </c>
      <c r="C1933" t="s">
        <v>22</v>
      </c>
      <c r="D1933" s="2" t="s">
        <f>=HYPERLINK("https://main.knesset.gov.il/APPS/legislation/main/bills/2227460", "הצעת חוק עקרונות לפדיון שבויים, התשפ""ה-2025 ")</f>
        <v>4054</v>
      </c>
      <c r="E1933" t="s">
        <v>4054</v>
      </c>
      <c r="F1933" t="s">
        <v>4055</v>
      </c>
      <c r="G1933" t="s">
        <v>14</v>
      </c>
      <c r="H1933">
             </c>
      <c r="I1933" t="s">
        <v>14</v>
      </c>
      <c r="J1933" t="s">
        <v>141</v>
      </c>
      <c r="K1933" t="s">
        <v>14</v>
      </c>
      <c r="L1933" t="s">
        <v>20</v>
      </c>
      <c r="M1933" t="s">
        <v>4034</v>
      </c>
      <c r="N1933" t="s">
        <v>14</v>
      </c>
    </row>
    <row r="1934" x14ac:dyDescent="0.25">
      <c r="A1934" t="n">
        <v>25</v>
      </c>
      <c r="B1934" t="s">
        <v>14</v>
      </c>
      <c r="C1934" t="s">
        <v>22</v>
      </c>
      <c r="D1934" s="2" t="s">
        <f>=HYPERLINK("https://main.knesset.gov.il/APPS/legislation/main/bills/2226629", "הצעת חוק הרשות הלאומית למאבק בסמים ובשימוש לרעה באלכוהול, התשפ""ה-2025")</f>
        <v>1541</v>
      </c>
      <c r="E1934" t="s">
        <v>1541</v>
      </c>
      <c r="F1934" t="s">
        <v>4056</v>
      </c>
      <c r="G1934" t="s">
        <v>14</v>
      </c>
      <c r="H1934">
             </c>
      <c r="I1934" t="s">
        <v>14</v>
      </c>
      <c r="J1934" t="s">
        <v>141</v>
      </c>
      <c r="K1934" t="s">
        <v>14</v>
      </c>
      <c r="L1934" t="s">
        <v>20</v>
      </c>
      <c r="M1934" t="s">
        <v>4034</v>
      </c>
      <c r="N1934" t="s">
        <v>14</v>
      </c>
    </row>
    <row r="1935" x14ac:dyDescent="0.25">
      <c r="A1935" t="n">
        <v>25</v>
      </c>
      <c r="B1935" t="s">
        <v>14</v>
      </c>
      <c r="C1935" t="s">
        <v>22</v>
      </c>
      <c r="D1935" s="2" t="s">
        <f>=HYPERLINK("https://main.knesset.gov.il/APPS/legislation/main/bills/2227681", "הצעת חוק החלת הריבונות הישראלית על בקעת הירדן, התשפ""ה-2025")</f>
        <v>4057</v>
      </c>
      <c r="E1935" t="s">
        <v>4057</v>
      </c>
      <c r="F1935" t="s">
        <v>4058</v>
      </c>
      <c r="G1935" t="s">
        <v>14</v>
      </c>
      <c r="H1935">
             </c>
      <c r="I1935" t="s">
        <v>14</v>
      </c>
      <c r="J1935" t="s">
        <v>141</v>
      </c>
      <c r="K1935" t="s">
        <v>14</v>
      </c>
      <c r="L1935" t="s">
        <v>20</v>
      </c>
      <c r="M1935" t="s">
        <v>4034</v>
      </c>
      <c r="N1935" t="s">
        <v>14</v>
      </c>
    </row>
    <row r="1936" x14ac:dyDescent="0.25">
      <c r="A1936" t="n">
        <v>25</v>
      </c>
      <c r="B1936" t="s">
        <v>14</v>
      </c>
      <c r="C1936" t="s">
        <v>22</v>
      </c>
      <c r="D1936" s="2" t="s">
        <f>=HYPERLINK("https://main.knesset.gov.il/APPS/legislation/main/bills/2227161", "הצעת חוק למניעת הטרדה מינית (תיקון - חשיפת זהותו של מטריד ברשת תקשורת אלקטרונית), התשפ""ה-2025")</f>
        <v>4059</v>
      </c>
      <c r="E1936" t="s">
        <v>4059</v>
      </c>
      <c r="F1936" t="s">
        <v>4060</v>
      </c>
      <c r="G1936" t="s">
        <v>14</v>
      </c>
      <c r="H1936">
             </c>
      <c r="I1936" t="s">
        <v>14</v>
      </c>
      <c r="J1936" t="s">
        <v>141</v>
      </c>
      <c r="K1936" t="s">
        <v>14</v>
      </c>
      <c r="L1936" t="s">
        <v>20</v>
      </c>
      <c r="M1936" t="s">
        <v>4034</v>
      </c>
      <c r="N1936" t="s">
        <v>14</v>
      </c>
    </row>
    <row r="1937" x14ac:dyDescent="0.25">
      <c r="A1937" t="n">
        <v>25</v>
      </c>
      <c r="B1937" t="s">
        <v>14</v>
      </c>
      <c r="C1937" t="s">
        <v>22</v>
      </c>
      <c r="D1937" s="2" t="s">
        <f>=HYPERLINK("https://main.knesset.gov.il/APPS/legislation/main/bills/2226137", "הצעת חוק למניעת הטרדה מינית (תיקון - חשיפת זהותו של מטריד ברשת תקשורת אלקטרונית), התשפ""ה-2025")</f>
        <v>4059</v>
      </c>
      <c r="E1937" t="s">
        <v>4059</v>
      </c>
      <c r="F1937" t="s">
        <v>4061</v>
      </c>
      <c r="G1937" t="s">
        <v>14</v>
      </c>
      <c r="H1937">
             </c>
      <c r="I1937" t="s">
        <v>14</v>
      </c>
      <c r="J1937" t="s">
        <v>141</v>
      </c>
      <c r="K1937" t="s">
        <v>14</v>
      </c>
      <c r="L1937" t="s">
        <v>20</v>
      </c>
      <c r="M1937" t="s">
        <v>4034</v>
      </c>
      <c r="N1937" t="s">
        <v>14</v>
      </c>
    </row>
    <row r="1938" x14ac:dyDescent="0.25">
      <c r="A1938" t="n">
        <v>25</v>
      </c>
      <c r="B1938" t="s">
        <v>14</v>
      </c>
      <c r="C1938" t="s">
        <v>22</v>
      </c>
      <c r="D1938" s="2" t="s">
        <f>=HYPERLINK("https://main.knesset.gov.il/APPS/legislation/main/bills/2227717", "הצעת חוק-יסוד: הצבא (תיקון - שמירה על אורח חיים דתי)")</f>
        <v>4062</v>
      </c>
      <c r="E1938" t="s">
        <v>4062</v>
      </c>
      <c r="F1938" t="s">
        <v>4063</v>
      </c>
      <c r="G1938" t="s">
        <v>14</v>
      </c>
      <c r="H1938">
             </c>
      <c r="I1938" t="s">
        <v>14</v>
      </c>
      <c r="J1938" t="s">
        <v>141</v>
      </c>
      <c r="K1938" t="s">
        <v>14</v>
      </c>
      <c r="L1938" t="s">
        <v>20</v>
      </c>
      <c r="M1938" t="s">
        <v>4034</v>
      </c>
      <c r="N1938" t="s">
        <v>14</v>
      </c>
    </row>
    <row r="1939" x14ac:dyDescent="0.25">
      <c r="A1939" t="n">
        <v>25</v>
      </c>
      <c r="B1939" t="s">
        <v>14</v>
      </c>
      <c r="C1939" t="s">
        <v>22</v>
      </c>
      <c r="D1939" s="2" t="s">
        <f>=HYPERLINK("https://main.knesset.gov.il/APPS/legislation/main/bills/2227730", "הצעת חוק-יסוד: הצבא (תיקון - עקרונות היסוד של הצבא)")</f>
        <v>4064</v>
      </c>
      <c r="E1939" t="s">
        <v>4064</v>
      </c>
      <c r="F1939" t="s">
        <v>4065</v>
      </c>
      <c r="G1939" t="s">
        <v>14</v>
      </c>
      <c r="H1939">
             </c>
      <c r="I1939" t="s">
        <v>14</v>
      </c>
      <c r="J1939" t="s">
        <v>141</v>
      </c>
      <c r="K1939" t="s">
        <v>14</v>
      </c>
      <c r="L1939" t="s">
        <v>20</v>
      </c>
      <c r="M1939" t="s">
        <v>4034</v>
      </c>
      <c r="N1939" t="s">
        <v>14</v>
      </c>
    </row>
    <row r="1940" x14ac:dyDescent="0.25">
      <c r="A1940" t="n">
        <v>25</v>
      </c>
      <c r="B1940" t="s">
        <v>14</v>
      </c>
      <c r="C1940" t="s">
        <v>22</v>
      </c>
      <c r="D1940" s="2" t="s">
        <f>=HYPERLINK("https://main.knesset.gov.il/APPS/legislation/main/bills/2227746", "הצעת חוק העונשין (תיקון - הכרה באינוס גברים), התשפ""ה-2025")</f>
        <v>4066</v>
      </c>
      <c r="E1940" t="s">
        <v>4066</v>
      </c>
      <c r="F1940" t="s">
        <v>4067</v>
      </c>
      <c r="G1940" t="s">
        <v>14</v>
      </c>
      <c r="H1940">
             </c>
      <c r="I1940" t="s">
        <v>14</v>
      </c>
      <c r="J1940" t="s">
        <v>343</v>
      </c>
      <c r="K1940" t="s">
        <v>14</v>
      </c>
      <c r="L1940" t="s">
        <v>20</v>
      </c>
      <c r="M1940" t="s">
        <v>4034</v>
      </c>
      <c r="N1940" t="s">
        <v>14</v>
      </c>
    </row>
    <row r="1941" x14ac:dyDescent="0.25">
      <c r="A1941" t="n">
        <v>25</v>
      </c>
      <c r="B1941" t="s">
        <v>14</v>
      </c>
      <c r="C1941" t="s">
        <v>22</v>
      </c>
      <c r="D1941" s="2" t="s">
        <f>=HYPERLINK("https://main.knesset.gov.il/APPS/legislation/main/bills/2227488", "הצעת חוק ציונות כערך מנחה בפעולות הממשלה, התשפ""ה-2025")</f>
        <v>3823</v>
      </c>
      <c r="E1941" t="s">
        <v>3823</v>
      </c>
      <c r="F1941" t="s">
        <v>4068</v>
      </c>
      <c r="G1941" t="s">
        <v>14</v>
      </c>
      <c r="H1941">
             </c>
      <c r="I1941" t="s">
        <v>14</v>
      </c>
      <c r="J1941" t="s">
        <v>141</v>
      </c>
      <c r="K1941" t="s">
        <v>14</v>
      </c>
      <c r="L1941" t="s">
        <v>20</v>
      </c>
      <c r="M1941" t="s">
        <v>4034</v>
      </c>
      <c r="N1941" t="s">
        <v>14</v>
      </c>
    </row>
    <row r="1942" x14ac:dyDescent="0.25">
      <c r="A1942" t="n">
        <v>25</v>
      </c>
      <c r="B1942" t="s">
        <v>14</v>
      </c>
      <c r="C1942" t="s">
        <v>22</v>
      </c>
      <c r="D1942" s="2" t="s">
        <f>=HYPERLINK("https://main.knesset.gov.il/APPS/legislation/main/bills/2227987", "הצעת חוק הביטוח הלאומי (תיקון - שלילת זכויות סוציאליות לאדם שהורשע ברצח או בניסיון לרצח על רקע לאומני), התשפ""ה-2025")</f>
        <v>4069</v>
      </c>
      <c r="E1942" t="s">
        <v>4069</v>
      </c>
      <c r="F1942" t="s">
        <v>4070</v>
      </c>
      <c r="G1942" t="s">
        <v>14</v>
      </c>
      <c r="H1942">
             </c>
      <c r="I1942" t="s">
        <v>14</v>
      </c>
      <c r="J1942" t="s">
        <v>141</v>
      </c>
      <c r="K1942" t="s">
        <v>14</v>
      </c>
      <c r="L1942" t="s">
        <v>20</v>
      </c>
      <c r="M1942" t="s">
        <v>4034</v>
      </c>
      <c r="N1942" t="s">
        <v>14</v>
      </c>
    </row>
    <row r="1943" x14ac:dyDescent="0.25">
      <c r="A1943" t="n">
        <v>25</v>
      </c>
      <c r="B1943" t="s">
        <v>14</v>
      </c>
      <c r="C1943" t="s">
        <v>22</v>
      </c>
      <c r="D1943" s="2" t="s">
        <f>=HYPERLINK("https://main.knesset.gov.il/APPS/legislation/main/bills/2224803", "הצעת חוק תשלומים לפדויי שבי ולחטופים ששוחררו (תיקון - זכאות לבן משפחה של חטוף ששוחרר), התשפ""ה-2025")</f>
        <v>4071</v>
      </c>
      <c r="E1943" t="s">
        <v>4071</v>
      </c>
      <c r="F1943" t="s">
        <v>4072</v>
      </c>
      <c r="G1943" t="s">
        <v>14</v>
      </c>
      <c r="H1943">
             </c>
      <c r="I1943" t="s">
        <v>14</v>
      </c>
      <c r="J1943" t="s">
        <v>141</v>
      </c>
      <c r="K1943" t="s">
        <v>14</v>
      </c>
      <c r="L1943" t="s">
        <v>20</v>
      </c>
      <c r="M1943" t="s">
        <v>4034</v>
      </c>
      <c r="N1943" t="s">
        <v>14</v>
      </c>
    </row>
    <row r="1944" x14ac:dyDescent="0.25">
      <c r="A1944" t="n">
        <v>25</v>
      </c>
      <c r="B1944" t="s">
        <v>14</v>
      </c>
      <c r="C1944" t="s">
        <v>22</v>
      </c>
      <c r="D1944" s="2" t="s">
        <f>=HYPERLINK("https://main.knesset.gov.il/APPS/legislation/main/bills/2227891", "הצעת חוק-יסוד: הכנסת (תיקון - הפחתת הרוב הדרוש להפסקת חברותו של חבר הכנסת)")</f>
        <v>4073</v>
      </c>
      <c r="E1944" t="s">
        <v>4073</v>
      </c>
      <c r="F1944" t="s">
        <v>4074</v>
      </c>
      <c r="G1944" t="s">
        <v>14</v>
      </c>
      <c r="H1944">
             </c>
      <c r="I1944" t="s">
        <v>14</v>
      </c>
      <c r="J1944" t="s">
        <v>141</v>
      </c>
      <c r="K1944" t="s">
        <v>14</v>
      </c>
      <c r="L1944" t="s">
        <v>20</v>
      </c>
      <c r="M1944" t="s">
        <v>4034</v>
      </c>
      <c r="N1944" t="s">
        <v>14</v>
      </c>
    </row>
    <row r="1945" x14ac:dyDescent="0.25">
      <c r="A1945" t="n">
        <v>25</v>
      </c>
      <c r="B1945" t="s">
        <v>14</v>
      </c>
      <c r="C1945" t="s">
        <v>22</v>
      </c>
      <c r="D1945" s="2" t="s">
        <f>=HYPERLINK("https://main.knesset.gov.il/APPS/legislation/main/bills/2227491", "הצעת חוק צער בעלי חיים (הגנה על בעלי חיים) (תיקון - איסור שימוש בבעלי חיים במוסד חינוך או תרבות), התשפ""ה-2025")</f>
        <v>4075</v>
      </c>
      <c r="E1945" t="s">
        <v>4075</v>
      </c>
      <c r="F1945" t="s">
        <v>4076</v>
      </c>
      <c r="G1945" t="s">
        <v>14</v>
      </c>
      <c r="H1945">
             </c>
      <c r="I1945" t="s">
        <v>14</v>
      </c>
      <c r="J1945" t="s">
        <v>141</v>
      </c>
      <c r="K1945" t="s">
        <v>14</v>
      </c>
      <c r="L1945" t="s">
        <v>20</v>
      </c>
      <c r="M1945" t="s">
        <v>4034</v>
      </c>
      <c r="N1945" t="s">
        <v>14</v>
      </c>
    </row>
    <row r="1946" x14ac:dyDescent="0.25">
      <c r="A1946" t="n">
        <v>25</v>
      </c>
      <c r="B1946" t="s">
        <v>14</v>
      </c>
      <c r="C1946" t="s">
        <v>22</v>
      </c>
      <c r="D1946" s="2" t="s">
        <f>=HYPERLINK("https://main.knesset.gov.il/APPS/legislation/main/bills/2227639", "הצעת חוק עובדים זרים (תיקון - הגבלת שכר טרחת עורך דין), התשפ""ה-2025")</f>
        <v>4077</v>
      </c>
      <c r="E1946" t="s">
        <v>4077</v>
      </c>
      <c r="F1946" t="s">
        <v>4078</v>
      </c>
      <c r="G1946" t="s">
        <v>14</v>
      </c>
      <c r="H1946">
             </c>
      <c r="I1946" t="s">
        <v>14</v>
      </c>
      <c r="J1946" t="s">
        <v>141</v>
      </c>
      <c r="K1946" t="s">
        <v>14</v>
      </c>
      <c r="L1946" t="s">
        <v>20</v>
      </c>
      <c r="M1946" t="s">
        <v>4034</v>
      </c>
      <c r="N1946" t="s">
        <v>14</v>
      </c>
    </row>
    <row r="1947" x14ac:dyDescent="0.25">
      <c r="A1947" t="n">
        <v>25</v>
      </c>
      <c r="B1947" t="s">
        <v>14</v>
      </c>
      <c r="C1947" t="s">
        <v>22</v>
      </c>
      <c r="D1947" s="2" t="s">
        <f>=HYPERLINK("https://main.knesset.gov.il/APPS/legislation/main/bills/2227478", "הצעת חוק המוהלים, התשפ""ה-2025")</f>
        <v>4079</v>
      </c>
      <c r="E1947" t="s">
        <v>4079</v>
      </c>
      <c r="F1947" t="s">
        <v>4080</v>
      </c>
      <c r="G1947" t="s">
        <v>14</v>
      </c>
      <c r="H1947">
             </c>
      <c r="I1947" t="s">
        <v>14</v>
      </c>
      <c r="J1947" t="s">
        <v>141</v>
      </c>
      <c r="K1947" t="s">
        <v>14</v>
      </c>
      <c r="L1947" t="s">
        <v>20</v>
      </c>
      <c r="M1947" t="s">
        <v>4034</v>
      </c>
      <c r="N1947" t="s">
        <v>14</v>
      </c>
    </row>
    <row r="1948" x14ac:dyDescent="0.25">
      <c r="A1948" t="n">
        <v>25</v>
      </c>
      <c r="B1948" t="s">
        <v>14</v>
      </c>
      <c r="C1948" t="s">
        <v>22</v>
      </c>
      <c r="D1948" s="2" t="s">
        <f>=HYPERLINK("https://main.knesset.gov.il/APPS/legislation/main/bills/2225693", "הצעת חוק למניעת מפגעים (בטיחות מקררים) (תיקון - ביטול איסור הפקרת מקרר), התשפ""ה-2025")</f>
        <v>4081</v>
      </c>
      <c r="E1948" t="s">
        <v>4081</v>
      </c>
      <c r="F1948" t="s">
        <v>4082</v>
      </c>
      <c r="G1948" t="s">
        <v>14</v>
      </c>
      <c r="H1948">
             </c>
      <c r="I1948" t="s">
        <v>14</v>
      </c>
      <c r="J1948" t="s">
        <v>141</v>
      </c>
      <c r="K1948" t="s">
        <v>14</v>
      </c>
      <c r="L1948" t="s">
        <v>20</v>
      </c>
      <c r="M1948" t="s">
        <v>4034</v>
      </c>
      <c r="N1948" t="s">
        <v>14</v>
      </c>
    </row>
    <row r="1949" x14ac:dyDescent="0.25">
      <c r="A1949" t="n">
        <v>25</v>
      </c>
      <c r="B1949" t="s">
        <v>14</v>
      </c>
      <c r="C1949" t="s">
        <v>22</v>
      </c>
      <c r="D1949" s="2" t="s">
        <f>=HYPERLINK("https://main.knesset.gov.il/APPS/legislation/main/bills/2227964", "הצעת חוק-יסוד: הכנסת (תיקון - הצהרת אמונים של חבר הכנסת) ")</f>
        <v>4083</v>
      </c>
      <c r="E1949" t="s">
        <v>4083</v>
      </c>
      <c r="F1949" t="s">
        <v>4084</v>
      </c>
      <c r="G1949" t="s">
        <v>14</v>
      </c>
      <c r="H1949">
             </c>
      <c r="I1949" t="s">
        <v>14</v>
      </c>
      <c r="J1949" t="s">
        <v>141</v>
      </c>
      <c r="K1949" t="s">
        <v>14</v>
      </c>
      <c r="L1949" t="s">
        <v>20</v>
      </c>
      <c r="M1949" t="s">
        <v>4034</v>
      </c>
      <c r="N1949" t="s">
        <v>14</v>
      </c>
    </row>
    <row r="1950" x14ac:dyDescent="0.25">
      <c r="A1950" t="n">
        <v>25</v>
      </c>
      <c r="B1950" t="s">
        <v>14</v>
      </c>
      <c r="C1950" t="s">
        <v>22</v>
      </c>
      <c r="D1950" s="2" t="s">
        <f>=HYPERLINK("https://main.knesset.gov.il/APPS/legislation/main/bills/2227428", "הצעת חוק הביטוח הלאומי (תיקון - גמלת אבל לעצמאים), התשפ״ה-2025")</f>
        <v>4085</v>
      </c>
      <c r="E1950" t="s">
        <v>4085</v>
      </c>
      <c r="F1950" t="s">
        <v>4086</v>
      </c>
      <c r="G1950" t="s">
        <v>14</v>
      </c>
      <c r="H1950">
             </c>
      <c r="I1950" t="s">
        <v>14</v>
      </c>
      <c r="J1950" t="s">
        <v>141</v>
      </c>
      <c r="K1950" t="s">
        <v>14</v>
      </c>
      <c r="L1950" t="s">
        <v>20</v>
      </c>
      <c r="M1950" t="s">
        <v>4034</v>
      </c>
      <c r="N1950" t="s">
        <v>14</v>
      </c>
    </row>
    <row r="1951" x14ac:dyDescent="0.25">
      <c r="A1951" t="n">
        <v>25</v>
      </c>
      <c r="B1951" t="s">
        <v>14</v>
      </c>
      <c r="C1951" t="s">
        <v>22</v>
      </c>
      <c r="D1951" s="2" t="s">
        <f>=HYPERLINK("https://main.knesset.gov.il/APPS/legislation/main/bills/2227532", "הצעת חוק העונשין (תיקון - המאבק בפוליגמיה), התשפ""ה-2025")</f>
        <v>4087</v>
      </c>
      <c r="E1951" t="s">
        <v>4087</v>
      </c>
      <c r="F1951" t="s">
        <v>4088</v>
      </c>
      <c r="G1951" t="s">
        <v>14</v>
      </c>
      <c r="H1951">
             </c>
      <c r="I1951" t="s">
        <v>14</v>
      </c>
      <c r="J1951" t="s">
        <v>141</v>
      </c>
      <c r="K1951" t="s">
        <v>14</v>
      </c>
      <c r="L1951" t="s">
        <v>20</v>
      </c>
      <c r="M1951" t="s">
        <v>4034</v>
      </c>
      <c r="N1951" t="s">
        <v>14</v>
      </c>
    </row>
    <row r="1952" x14ac:dyDescent="0.25">
      <c r="A1952" t="n">
        <v>25</v>
      </c>
      <c r="B1952" t="s">
        <v>14</v>
      </c>
      <c r="C1952" t="s">
        <v>22</v>
      </c>
      <c r="D1952" s="2" t="s">
        <f>=HYPERLINK("https://main.knesset.gov.il/APPS/legislation/main/bills/2203956", "הצעת חוק הגנת הצרכן (תיקון - ביטול עסקת מכר מרחוק למתן שירותי תיירות בישראל), התשפ""ה-2025")</f>
        <v>4089</v>
      </c>
      <c r="E1952" t="s">
        <v>4089</v>
      </c>
      <c r="F1952" t="s">
        <v>4090</v>
      </c>
      <c r="G1952" t="s">
        <v>14</v>
      </c>
      <c r="H1952">
             </c>
      <c r="I1952" t="s">
        <v>14</v>
      </c>
      <c r="J1952" t="s">
        <v>141</v>
      </c>
      <c r="K1952" t="s">
        <v>14</v>
      </c>
      <c r="L1952" t="s">
        <v>20</v>
      </c>
      <c r="M1952" t="s">
        <v>4034</v>
      </c>
      <c r="N1952" t="s">
        <v>14</v>
      </c>
    </row>
    <row r="1953" x14ac:dyDescent="0.25">
      <c r="A1953" t="n">
        <v>25</v>
      </c>
      <c r="B1953" t="s">
        <v>14</v>
      </c>
      <c r="C1953" t="s">
        <v>22</v>
      </c>
      <c r="D1953" s="2" t="s">
        <f>=HYPERLINK("https://main.knesset.gov.il/APPS/legislation/main/bills/2226827", "הצעת חוק המקרקעין (תיקון - בנייה או הרחבה של מרחב מוגן דירתי לאדם עם מוגבלות), התשפ""ה-2025")</f>
        <v>4091</v>
      </c>
      <c r="E1953" t="s">
        <v>4091</v>
      </c>
      <c r="F1953" t="s">
        <v>4092</v>
      </c>
      <c r="G1953" t="s">
        <v>14</v>
      </c>
      <c r="H1953">
             </c>
      <c r="I1953" t="s">
        <v>14</v>
      </c>
      <c r="J1953" t="s">
        <v>141</v>
      </c>
      <c r="K1953" t="s">
        <v>14</v>
      </c>
      <c r="L1953" t="s">
        <v>20</v>
      </c>
      <c r="M1953" t="s">
        <v>4034</v>
      </c>
      <c r="N1953" t="s">
        <v>14</v>
      </c>
    </row>
    <row r="1954" x14ac:dyDescent="0.25">
      <c r="A1954" t="n">
        <v>25</v>
      </c>
      <c r="B1954" t="s">
        <v>14</v>
      </c>
      <c r="C1954" t="s">
        <v>22</v>
      </c>
      <c r="D1954" s="2" t="s">
        <f>=HYPERLINK("https://main.knesset.gov.il/APPS/legislation/main/bills/2227042", "הצעת חוק חסיון שמות ראש המטה הכללי, ראש המוסד למודיעין ולתפקידים מיוחדים וראש שירות הביטחון הכללי, התשפ""ה-2025")</f>
        <v>4093</v>
      </c>
      <c r="E1954" t="s">
        <v>4093</v>
      </c>
      <c r="F1954" t="s">
        <v>4094</v>
      </c>
      <c r="G1954" t="s">
        <v>14</v>
      </c>
      <c r="H1954">
             </c>
      <c r="I1954" t="s">
        <v>14</v>
      </c>
      <c r="J1954" t="s">
        <v>141</v>
      </c>
      <c r="K1954" t="s">
        <v>14</v>
      </c>
      <c r="L1954" t="s">
        <v>20</v>
      </c>
      <c r="M1954" t="s">
        <v>4034</v>
      </c>
      <c r="N1954" t="s">
        <v>14</v>
      </c>
    </row>
    <row r="1955" x14ac:dyDescent="0.25">
      <c r="A1955" t="n">
        <v>25</v>
      </c>
      <c r="B1955" t="s">
        <v>14</v>
      </c>
      <c r="C1955" t="s">
        <v>22</v>
      </c>
      <c r="D1955" s="2" t="s">
        <f>=HYPERLINK("https://main.knesset.gov.il/APPS/legislation/main/bills/2227879", "הצעת חוק דרישת פירוט מקורות רכוש בלתי מוסבר מאדם הפעיל בארגון פשיעה, התשפ״ה-2025")</f>
        <v>4095</v>
      </c>
      <c r="E1955" t="s">
        <v>4095</v>
      </c>
      <c r="F1955" t="s">
        <v>4096</v>
      </c>
      <c r="G1955" t="s">
        <v>14</v>
      </c>
      <c r="H1955">
             </c>
      <c r="I1955" t="s">
        <v>14</v>
      </c>
      <c r="J1955" t="s">
        <v>141</v>
      </c>
      <c r="K1955" t="s">
        <v>14</v>
      </c>
      <c r="L1955" t="s">
        <v>20</v>
      </c>
      <c r="M1955" t="s">
        <v>4034</v>
      </c>
      <c r="N1955" t="s">
        <v>14</v>
      </c>
    </row>
    <row r="1956" x14ac:dyDescent="0.25">
      <c r="A1956" t="n">
        <v>25</v>
      </c>
      <c r="B1956" t="s">
        <v>14</v>
      </c>
      <c r="C1956" t="s">
        <v>22</v>
      </c>
      <c r="D1956" s="2" t="s">
        <f>=HYPERLINK("https://main.knesset.gov.il/APPS/legislation/main/bills/2227482", "הצעת חוק הוקרה לאזרחים נושאי נשק ברישיון פרטי שהצילו חיים בפיגוע, התשפ""ה-2025")</f>
        <v>4097</v>
      </c>
      <c r="E1956" t="s">
        <v>4097</v>
      </c>
      <c r="F1956" t="s">
        <v>4098</v>
      </c>
      <c r="G1956" t="s">
        <v>14</v>
      </c>
      <c r="H1956">
             </c>
      <c r="I1956" t="s">
        <v>14</v>
      </c>
      <c r="J1956" t="s">
        <v>141</v>
      </c>
      <c r="K1956" t="s">
        <v>14</v>
      </c>
      <c r="L1956" t="s">
        <v>20</v>
      </c>
      <c r="M1956" t="s">
        <v>4034</v>
      </c>
      <c r="N1956" t="s">
        <v>14</v>
      </c>
    </row>
    <row r="1957" x14ac:dyDescent="0.25">
      <c r="A1957" t="n">
        <v>25</v>
      </c>
      <c r="B1957" t="s">
        <v>14</v>
      </c>
      <c r="C1957" t="s">
        <v>22</v>
      </c>
      <c r="D1957" s="2" t="s">
        <f>=HYPERLINK("https://main.knesset.gov.il/APPS/legislation/main/bills/2227403", "הצעת חוק-יסוד: רמת הגולן ")</f>
        <v>4099</v>
      </c>
      <c r="E1957" t="s">
        <v>4099</v>
      </c>
      <c r="F1957" t="s">
        <v>4100</v>
      </c>
      <c r="G1957" t="s">
        <v>14</v>
      </c>
      <c r="H1957">
             </c>
      <c r="I1957" t="s">
        <v>14</v>
      </c>
      <c r="J1957" t="s">
        <v>141</v>
      </c>
      <c r="K1957" t="s">
        <v>14</v>
      </c>
      <c r="L1957" t="s">
        <v>20</v>
      </c>
      <c r="M1957" t="s">
        <v>4034</v>
      </c>
      <c r="N1957" t="s">
        <v>14</v>
      </c>
    </row>
    <row r="1958" x14ac:dyDescent="0.25">
      <c r="A1958" t="n">
        <v>25</v>
      </c>
      <c r="B1958" t="s">
        <v>14</v>
      </c>
      <c r="C1958" t="s">
        <v>22</v>
      </c>
      <c r="D1958" s="2" t="s">
        <f>=HYPERLINK("https://main.knesset.gov.il/APPS/legislation/main/bills/2227929", "הצעת חוק הסיוע המשפטי (תיקון - העמדת סיוע לנפגע פעולות איבה), התשפ""ה-2025")</f>
        <v>4101</v>
      </c>
      <c r="E1958" t="s">
        <v>4101</v>
      </c>
      <c r="F1958" t="s">
        <v>4102</v>
      </c>
      <c r="G1958" t="s">
        <v>14</v>
      </c>
      <c r="H1958">
             </c>
      <c r="I1958" t="s">
        <v>14</v>
      </c>
      <c r="J1958" t="s">
        <v>141</v>
      </c>
      <c r="K1958" t="s">
        <v>14</v>
      </c>
      <c r="L1958" t="s">
        <v>20</v>
      </c>
      <c r="M1958" t="s">
        <v>4034</v>
      </c>
      <c r="N1958" t="s">
        <v>14</v>
      </c>
    </row>
    <row r="1959" x14ac:dyDescent="0.25">
      <c r="A1959" t="n">
        <v>25</v>
      </c>
      <c r="B1959" t="s">
        <v>14</v>
      </c>
      <c r="C1959" t="s">
        <v>22</v>
      </c>
      <c r="D1959" s="2" t="s">
        <f>=HYPERLINK("https://main.knesset.gov.il/APPS/legislation/main/bills/2227529", "הצעת חוק ועדת חקירה ממלכתית בגין אירועי 7 באוקטובר ומלחמת חרבות ברזל, התשפ""ה-2025")</f>
        <v>4103</v>
      </c>
      <c r="E1959" t="s">
        <v>4103</v>
      </c>
      <c r="F1959" t="s">
        <v>4104</v>
      </c>
      <c r="G1959" t="s">
        <v>14</v>
      </c>
      <c r="H1959">
             </c>
      <c r="I1959" t="s">
        <v>14</v>
      </c>
      <c r="J1959" t="s">
        <v>141</v>
      </c>
      <c r="K1959" t="s">
        <v>14</v>
      </c>
      <c r="L1959" t="s">
        <v>20</v>
      </c>
      <c r="M1959" t="s">
        <v>4034</v>
      </c>
      <c r="N1959" t="s">
        <v>14</v>
      </c>
    </row>
    <row r="1960" x14ac:dyDescent="0.25">
      <c r="A1960" t="n">
        <v>25</v>
      </c>
      <c r="B1960" t="s">
        <v>14</v>
      </c>
      <c r="C1960" t="s">
        <v>15</v>
      </c>
      <c r="D1960" s="2" t="s">
        <f>=HYPERLINK("https://main.knesset.gov.il/APPS/legislation/main/bills/2226258", "חוק הגנה על עובדים בשעת חירום (תיקון מס' 5 והוראת שעה – חרבות ברזל) (תיקון מס' 3), התשפ""ה–2025")</f>
        <v>4105</v>
      </c>
      <c r="E1960" t="s">
        <v>4105</v>
      </c>
      <c r="F1960" t="s">
        <v>14</v>
      </c>
      <c r="G1960" t="s">
        <v>4106</v>
      </c>
      <c r="H1960" t="n">
        <v>3370</v>
      </c>
      <c r="I1960" t="s">
        <v>14</v>
      </c>
      <c r="J1960" t="s">
        <v>91</v>
      </c>
      <c r="K1960" t="s">
        <v>127</v>
      </c>
      <c r="L1960" t="s">
        <v>20</v>
      </c>
      <c r="M1960" t="s">
        <v>4107</v>
      </c>
      <c r="N1960" t="s">
        <v>4108</v>
      </c>
    </row>
    <row r="1961" x14ac:dyDescent="0.25">
      <c r="A1961" t="n">
        <v>25</v>
      </c>
      <c r="B1961" t="s">
        <v>14</v>
      </c>
      <c r="C1961" t="s">
        <v>15</v>
      </c>
      <c r="D1961" s="2" t="s">
        <f>=HYPERLINK("https://main.knesset.gov.il/APPS/legislation/main/bills/2227648", "חוק לתיקון ולהארכת תוקפן של תקנות שעת חירום (חרבות ברזל) (פגישה עם עורך דין של עצור בעבירת ביטחון) (תיקון מס' 5), התשפ""ה-2025 ")</f>
        <v>4109</v>
      </c>
      <c r="E1961" t="s">
        <v>4109</v>
      </c>
      <c r="F1961" t="s">
        <v>14</v>
      </c>
      <c r="G1961" t="s">
        <v>4110</v>
      </c>
      <c r="H1961" t="n">
        <v>3369</v>
      </c>
      <c r="I1961" t="s">
        <v>14</v>
      </c>
      <c r="J1961" t="s">
        <v>91</v>
      </c>
      <c r="K1961" t="s">
        <v>27</v>
      </c>
      <c r="L1961" t="s">
        <v>20</v>
      </c>
      <c r="M1961" t="s">
        <v>4107</v>
      </c>
      <c r="N1961" t="s">
        <v>4111</v>
      </c>
    </row>
    <row r="1962" x14ac:dyDescent="0.25">
      <c r="A1962" t="n">
        <v>25</v>
      </c>
      <c r="B1962" t="s">
        <v>14</v>
      </c>
      <c r="C1962" t="s">
        <v>15</v>
      </c>
      <c r="D1962" s="2" t="s">
        <f>=HYPERLINK("https://main.knesset.gov.il/APPS/legislation/main/bills/2227649", "חוק לתיקון ולהארכת תוקפן של תקנות שעת חירום (חרבות ברזל) (הארכת מעצר לחשוד בעבירת ביטחון) (תיקון מס' 5), התשפ""ה-2025 ")</f>
        <v>4112</v>
      </c>
      <c r="E1962" t="s">
        <v>4112</v>
      </c>
      <c r="F1962" t="s">
        <v>14</v>
      </c>
      <c r="G1962" t="s">
        <v>4113</v>
      </c>
      <c r="H1962" t="n">
        <v>3368</v>
      </c>
      <c r="I1962" t="s">
        <v>14</v>
      </c>
      <c r="J1962" t="s">
        <v>91</v>
      </c>
      <c r="K1962" t="s">
        <v>27</v>
      </c>
      <c r="L1962" t="s">
        <v>20</v>
      </c>
      <c r="M1962" t="s">
        <v>4107</v>
      </c>
      <c r="N1962" t="s">
        <v>4114</v>
      </c>
    </row>
    <row r="1963" x14ac:dyDescent="0.25">
      <c r="A1963" t="n">
        <v>25</v>
      </c>
      <c r="B1963" t="s">
        <v>14</v>
      </c>
      <c r="C1963" t="s">
        <v>22</v>
      </c>
      <c r="D1963" s="2" t="s">
        <f>=HYPERLINK("https://main.knesset.gov.il/APPS/legislation/main/bills/2224146", "הצעת חוק המרכז לגביית קנסות, אגרות והוצאות (תיקון - חובת איתור חייבים), התשפ""ה-2024")</f>
        <v>4115</v>
      </c>
      <c r="E1963" t="s">
        <v>4115</v>
      </c>
      <c r="F1963" t="s">
        <v>4116</v>
      </c>
      <c r="G1963" t="s">
        <v>14</v>
      </c>
      <c r="H1963">
             </c>
      <c r="I1963" t="s">
        <v>14</v>
      </c>
      <c r="J1963" t="s">
        <v>55</v>
      </c>
      <c r="K1963" t="s">
        <v>14</v>
      </c>
      <c r="L1963" t="s">
        <v>20</v>
      </c>
      <c r="M1963" t="s">
        <v>4107</v>
      </c>
      <c r="N1963" t="s">
        <v>14</v>
      </c>
    </row>
    <row r="1964" x14ac:dyDescent="0.25">
      <c r="A1964" t="n">
        <v>25</v>
      </c>
      <c r="B1964" t="s">
        <v>14</v>
      </c>
      <c r="C1964" t="s">
        <v>22</v>
      </c>
      <c r="D1964" s="2" t="s">
        <f>=HYPERLINK("https://main.knesset.gov.il/APPS/legislation/main/bills/2220898", "הצעת חוק נכי רדיפות הנאצים (תיקון - השוואת זכאות לשורדים שעלו אחרי 1 באוקטובר 1953), התשפ""ד-2024")</f>
        <v>4117</v>
      </c>
      <c r="E1964" t="s">
        <v>4117</v>
      </c>
      <c r="F1964" t="s">
        <v>4118</v>
      </c>
      <c r="G1964" t="s">
        <v>14</v>
      </c>
      <c r="H1964">
             </c>
      <c r="I1964" t="s">
        <v>14</v>
      </c>
      <c r="J1964" t="s">
        <v>55</v>
      </c>
      <c r="K1964" t="s">
        <v>14</v>
      </c>
      <c r="L1964" t="s">
        <v>20</v>
      </c>
      <c r="M1964" t="s">
        <v>4107</v>
      </c>
      <c r="N1964" t="s">
        <v>14</v>
      </c>
    </row>
    <row r="1965" x14ac:dyDescent="0.25">
      <c r="A1965" t="n">
        <v>25</v>
      </c>
      <c r="B1965" t="s">
        <v>14</v>
      </c>
      <c r="C1965" t="s">
        <v>22</v>
      </c>
      <c r="D1965" s="2" t="s">
        <f>=HYPERLINK("https://main.knesset.gov.il/APPS/legislation/main/bills/2216043", "הצעת חוק החברות (תיקון - פרסום דוחות כספיים של מונופול), התשפ""ד-2024")</f>
        <v>4119</v>
      </c>
      <c r="E1965" t="s">
        <v>4119</v>
      </c>
      <c r="F1965" t="s">
        <v>4120</v>
      </c>
      <c r="G1965" t="s">
        <v>14</v>
      </c>
      <c r="H1965">
             </c>
      <c r="I1965" t="s">
        <v>14</v>
      </c>
      <c r="J1965" t="s">
        <v>55</v>
      </c>
      <c r="K1965" t="s">
        <v>14</v>
      </c>
      <c r="L1965" t="s">
        <v>20</v>
      </c>
      <c r="M1965" t="s">
        <v>4107</v>
      </c>
      <c r="N1965" t="s">
        <v>14</v>
      </c>
    </row>
    <row r="1966" x14ac:dyDescent="0.25">
      <c r="A1966" t="n">
        <v>25</v>
      </c>
      <c r="B1966" t="s">
        <v>14</v>
      </c>
      <c r="C1966" t="s">
        <v>22</v>
      </c>
      <c r="D1966" s="2" t="s">
        <f>=HYPERLINK("https://main.knesset.gov.il/APPS/legislation/main/bills/2214401", "הצעת חוק חכירה הוגנת, התשפ""ד-2024")</f>
        <v>4121</v>
      </c>
      <c r="E1966" t="s">
        <v>4121</v>
      </c>
      <c r="F1966" t="s">
        <v>4122</v>
      </c>
      <c r="G1966" t="s">
        <v>14</v>
      </c>
      <c r="H1966">
             </c>
      <c r="I1966" t="s">
        <v>14</v>
      </c>
      <c r="J1966" t="s">
        <v>343</v>
      </c>
      <c r="K1966" t="s">
        <v>14</v>
      </c>
      <c r="L1966" t="s">
        <v>20</v>
      </c>
      <c r="M1966" t="s">
        <v>4107</v>
      </c>
      <c r="N1966" t="s">
        <v>14</v>
      </c>
    </row>
    <row r="1967" x14ac:dyDescent="0.25">
      <c r="A1967" t="n">
        <v>25</v>
      </c>
      <c r="B1967" t="s">
        <v>14</v>
      </c>
      <c r="C1967" t="s">
        <v>22</v>
      </c>
      <c r="D1967" s="2" t="s">
        <f>=HYPERLINK("https://main.knesset.gov.il/APPS/legislation/main/bills/2209843", "הצעת חוק-יסוד: הכנסת (תיקון - ייצוג מינימלי לשני המינים ברשימת מועמדים לכנסת)")</f>
        <v>1843</v>
      </c>
      <c r="E1967" t="s">
        <v>1843</v>
      </c>
      <c r="F1967" t="s">
        <v>4123</v>
      </c>
      <c r="G1967" t="s">
        <v>14</v>
      </c>
      <c r="H1967">
             </c>
      <c r="I1967" t="s">
        <v>14</v>
      </c>
      <c r="J1967" t="s">
        <v>55</v>
      </c>
      <c r="K1967" t="s">
        <v>14</v>
      </c>
      <c r="L1967" t="s">
        <v>20</v>
      </c>
      <c r="M1967" t="s">
        <v>4107</v>
      </c>
      <c r="N1967" t="s">
        <v>14</v>
      </c>
    </row>
    <row r="1968" x14ac:dyDescent="0.25">
      <c r="A1968" t="n">
        <v>25</v>
      </c>
      <c r="B1968" t="s">
        <v>14</v>
      </c>
      <c r="C1968" t="s">
        <v>22</v>
      </c>
      <c r="D1968" s="2" t="s">
        <f>=HYPERLINK("https://main.knesset.gov.il/APPS/legislation/main/bills/2208304", "הצעת חוק-יסוד: הכנסת (תיקון - ייצוג הולם לנשים ברשימת מועמדים לכנסת)")</f>
        <v>1047</v>
      </c>
      <c r="E1968" t="s">
        <v>1047</v>
      </c>
      <c r="F1968" t="s">
        <v>4124</v>
      </c>
      <c r="G1968" t="s">
        <v>14</v>
      </c>
      <c r="H1968">
             </c>
      <c r="I1968" t="s">
        <v>14</v>
      </c>
      <c r="J1968" t="s">
        <v>55</v>
      </c>
      <c r="K1968" t="s">
        <v>14</v>
      </c>
      <c r="L1968" t="s">
        <v>20</v>
      </c>
      <c r="M1968" t="s">
        <v>4107</v>
      </c>
      <c r="N1968" t="s">
        <v>14</v>
      </c>
    </row>
    <row r="1969" x14ac:dyDescent="0.25">
      <c r="A1969" t="n">
        <v>25</v>
      </c>
      <c r="B1969" t="s">
        <v>14</v>
      </c>
      <c r="C1969" t="s">
        <v>22</v>
      </c>
      <c r="D1969" s="2" t="s">
        <f>=HYPERLINK("https://main.knesset.gov.il/APPS/legislation/main/bills/2198906", "הצעת חוק העונשין (תיקון - החמרת ענישה בעבירות החזקת נשק שלא כדין), התשפ""ג-2023")</f>
        <v>4125</v>
      </c>
      <c r="E1969" t="s">
        <v>4125</v>
      </c>
      <c r="F1969" t="s">
        <v>4126</v>
      </c>
      <c r="G1969" t="s">
        <v>14</v>
      </c>
      <c r="H1969">
             </c>
      <c r="I1969" t="s">
        <v>14</v>
      </c>
      <c r="J1969" t="s">
        <v>55</v>
      </c>
      <c r="K1969" t="s">
        <v>14</v>
      </c>
      <c r="L1969" t="s">
        <v>20</v>
      </c>
      <c r="M1969" t="s">
        <v>4107</v>
      </c>
      <c r="N1969" t="s">
        <v>14</v>
      </c>
    </row>
    <row r="1970" x14ac:dyDescent="0.25">
      <c r="A1970" t="n">
        <v>25</v>
      </c>
      <c r="B1970" t="s">
        <v>14</v>
      </c>
      <c r="C1970" t="s">
        <v>22</v>
      </c>
      <c r="D1970" s="2" t="s">
        <f>=HYPERLINK("https://main.knesset.gov.il/APPS/legislation/main/bills/2224080", "הצעת חוק העונשין (תיקון - הגנה על חושפי שחיתויות ומתריעים בנסיבות ביטחוניות), התשפ""ה-2024")</f>
        <v>4127</v>
      </c>
      <c r="E1970" t="s">
        <v>4127</v>
      </c>
      <c r="F1970" t="s">
        <v>4128</v>
      </c>
      <c r="G1970" t="s">
        <v>14</v>
      </c>
      <c r="H1970">
             </c>
      <c r="I1970" t="s">
        <v>14</v>
      </c>
      <c r="J1970" t="s">
        <v>31</v>
      </c>
      <c r="K1970" t="s">
        <v>114</v>
      </c>
      <c r="L1970" t="s">
        <v>20</v>
      </c>
      <c r="M1970" t="s">
        <v>4129</v>
      </c>
      <c r="N1970" t="s">
        <v>14</v>
      </c>
    </row>
    <row r="1971" x14ac:dyDescent="0.25">
      <c r="A1971" t="n">
        <v>25</v>
      </c>
      <c r="B1971" t="s">
        <v>14</v>
      </c>
      <c r="C1971" t="s">
        <v>22</v>
      </c>
      <c r="D1971" s="2" t="s">
        <f>=HYPERLINK("https://main.knesset.gov.il/APPS/legislation/main/bills/2202978", "הצעת חוק יום ציון ממלכתי לוועידת סן רמו, התשפ""ג-2023")</f>
        <v>4130</v>
      </c>
      <c r="E1971" t="s">
        <v>4130</v>
      </c>
      <c r="F1971" t="s">
        <v>4131</v>
      </c>
      <c r="G1971" t="s">
        <v>14</v>
      </c>
      <c r="H1971">
             </c>
      <c r="I1971" t="s">
        <v>14</v>
      </c>
      <c r="J1971" t="s">
        <v>31</v>
      </c>
      <c r="K1971" t="s">
        <v>34</v>
      </c>
      <c r="L1971" t="s">
        <v>20</v>
      </c>
      <c r="M1971" t="s">
        <v>4129</v>
      </c>
      <c r="N1971" t="s">
        <v>14</v>
      </c>
    </row>
    <row r="1972" x14ac:dyDescent="0.25">
      <c r="A1972" t="n">
        <v>25</v>
      </c>
      <c r="B1972" t="s">
        <v>14</v>
      </c>
      <c r="C1972" t="s">
        <v>22</v>
      </c>
      <c r="D1972" s="2" t="s">
        <f>=HYPERLINK("https://main.knesset.gov.il/APPS/legislation/main/bills/2200544", "הצעת חוק יום ציון ממלכתי לוועידת סן רמו, התשפ''ג-2023")</f>
        <v>4132</v>
      </c>
      <c r="E1972" t="s">
        <v>4132</v>
      </c>
      <c r="F1972" t="s">
        <v>4133</v>
      </c>
      <c r="G1972" t="s">
        <v>14</v>
      </c>
      <c r="H1972">
             </c>
      <c r="I1972" t="s">
        <v>14</v>
      </c>
      <c r="J1972" t="s">
        <v>31</v>
      </c>
      <c r="K1972" t="s">
        <v>34</v>
      </c>
      <c r="L1972" t="s">
        <v>20</v>
      </c>
      <c r="M1972" t="s">
        <v>4129</v>
      </c>
      <c r="N1972" t="s">
        <v>14</v>
      </c>
    </row>
    <row r="1973" x14ac:dyDescent="0.25">
      <c r="A1973" t="n">
        <v>25</v>
      </c>
      <c r="B1973" t="s">
        <v>14</v>
      </c>
      <c r="C1973" t="s">
        <v>15</v>
      </c>
      <c r="D1973" s="2" t="s">
        <f>=HYPERLINK("https://main.knesset.gov.il/APPS/legislation/main/bills/2227189", "פרק ג' (גבייה) מתוך הצעת חוק התוכנית הכלכלית (תיקוני חקיקה ליישום המדיניות הכלכלית לשנת התקציב 2025), התשפ""ה-2024 ")</f>
        <v>4134</v>
      </c>
      <c r="E1973" t="s">
        <v>4134</v>
      </c>
      <c r="F1973" t="s">
        <v>14</v>
      </c>
      <c r="G1973" t="s">
        <v>43</v>
      </c>
      <c r="H1973">
             </c>
      <c r="I1973" t="s">
        <v>14</v>
      </c>
      <c r="J1973" t="s">
        <v>99</v>
      </c>
      <c r="K1973" t="s">
        <v>121</v>
      </c>
      <c r="L1973" t="s">
        <v>20</v>
      </c>
      <c r="M1973" t="s">
        <v>4129</v>
      </c>
      <c r="N1973" t="s">
        <v>14</v>
      </c>
    </row>
    <row r="1974" x14ac:dyDescent="0.25">
      <c r="A1974" t="n">
        <v>25</v>
      </c>
      <c r="B1974" t="s">
        <v>14</v>
      </c>
      <c r="C1974" t="s">
        <v>22</v>
      </c>
      <c r="D1974" s="2" t="s">
        <f>=HYPERLINK("https://main.knesset.gov.il/APPS/legislation/main/bills/2215477", "הצעת חוק גיל פרישה (הורה שילדו נפטר) (הוראת שעה) (תיקון - הפיכת הוראת שעה להוראה קבועה), התשפ""ד-2024")</f>
        <v>4135</v>
      </c>
      <c r="E1974" t="s">
        <v>4135</v>
      </c>
      <c r="F1974" t="s">
        <v>4136</v>
      </c>
      <c r="G1974" t="s">
        <v>14</v>
      </c>
      <c r="H1974">
             </c>
      <c r="I1974" t="s">
        <v>14</v>
      </c>
      <c r="J1974" t="s">
        <v>99</v>
      </c>
      <c r="K1974" t="s">
        <v>127</v>
      </c>
      <c r="L1974" t="s">
        <v>20</v>
      </c>
      <c r="M1974" t="s">
        <v>4129</v>
      </c>
      <c r="N1974" t="s">
        <v>14</v>
      </c>
    </row>
    <row r="1975" x14ac:dyDescent="0.25">
      <c r="A1975" t="n">
        <v>25</v>
      </c>
      <c r="B1975" t="s">
        <v>14</v>
      </c>
      <c r="C1975" t="s">
        <v>15</v>
      </c>
      <c r="D1975" s="2" t="s">
        <f>=HYPERLINK("https://main.knesset.gov.il/APPS/legislation/main/bills/2227200", "סעיפים 9(11) ו-11(2) (היטלי פיתוח) מתוך הצעת חוק התוכנית הכלכלית (תיקוני חקיקה ליישום המדיניות הכלכלית לשנת התקציב 2025), התשפ""ה-2024 [פוצל לפי סעיף 84(ב) לתקנון] ")</f>
        <v>4137</v>
      </c>
      <c r="E1975" t="s">
        <v>4137</v>
      </c>
      <c r="F1975" t="s">
        <v>14</v>
      </c>
      <c r="G1975" t="s">
        <v>43</v>
      </c>
      <c r="H1975">
             </c>
      <c r="I1975" t="s">
        <v>14</v>
      </c>
      <c r="J1975" t="s">
        <v>18</v>
      </c>
      <c r="K1975" t="s">
        <v>46</v>
      </c>
      <c r="L1975" t="s">
        <v>20</v>
      </c>
      <c r="M1975" t="s">
        <v>4129</v>
      </c>
      <c r="N1975" t="s">
        <v>14</v>
      </c>
    </row>
    <row r="1976" x14ac:dyDescent="0.25">
      <c r="A1976" t="n">
        <v>25</v>
      </c>
      <c r="B1976" t="s">
        <v>14</v>
      </c>
      <c r="C1976" t="s">
        <v>22</v>
      </c>
      <c r="D1976" s="2" t="s">
        <f>=HYPERLINK("https://main.knesset.gov.il/APPS/legislation/main/bills/2220657", "חוק יום לציון עליית יהודי תימן לישראל ולהנצחת זכרם של הנספים בדרך לישראל, התשפ""ה–2025")</f>
        <v>4138</v>
      </c>
      <c r="E1976" t="s">
        <v>4138</v>
      </c>
      <c r="F1976" t="s">
        <v>4139</v>
      </c>
      <c r="G1976" t="s">
        <v>4140</v>
      </c>
      <c r="H1976" t="n">
        <v>3367</v>
      </c>
      <c r="I1976" t="s">
        <v>14</v>
      </c>
      <c r="J1976" t="s">
        <v>91</v>
      </c>
      <c r="K1976" t="s">
        <v>34</v>
      </c>
      <c r="L1976" t="s">
        <v>20</v>
      </c>
      <c r="M1976" t="s">
        <v>4129</v>
      </c>
      <c r="N1976" t="s">
        <v>4141</v>
      </c>
    </row>
    <row r="1977" x14ac:dyDescent="0.25">
      <c r="A1977" t="n">
        <v>25</v>
      </c>
      <c r="B1977" t="s">
        <v>14</v>
      </c>
      <c r="C1977" t="s">
        <v>22</v>
      </c>
      <c r="D1977" s="2" t="s">
        <f>=HYPERLINK("https://main.knesset.gov.il/APPS/legislation/main/bills/2216361", "הצעת חוק הביטוח הלאומי (תיקון מס' 254) (מועד תשלום דמי לידה), התשפ""ה-2024")</f>
        <v>4142</v>
      </c>
      <c r="E1977" t="s">
        <v>4142</v>
      </c>
      <c r="F1977" t="s">
        <v>4143</v>
      </c>
      <c r="G1977" t="s">
        <v>4144</v>
      </c>
      <c r="H1977">
             </c>
      <c r="I1977" t="s">
        <v>14</v>
      </c>
      <c r="J1977" t="s">
        <v>18</v>
      </c>
      <c r="K1977" t="s">
        <v>127</v>
      </c>
      <c r="L1977" t="s">
        <v>20</v>
      </c>
      <c r="M1977" t="s">
        <v>4129</v>
      </c>
      <c r="N1977" t="s">
        <v>14</v>
      </c>
    </row>
    <row r="1978" x14ac:dyDescent="0.25">
      <c r="A1978" t="n">
        <v>25</v>
      </c>
      <c r="B1978" t="s">
        <v>14</v>
      </c>
      <c r="C1978" t="s">
        <v>22</v>
      </c>
      <c r="D1978" s="2" t="s">
        <f>=HYPERLINK("https://main.knesset.gov.il/APPS/legislation/main/bills/2214887", "חוק הגנת הצרכן (תיקון מס' 70), התשפ""ד–2024")</f>
        <v>4145</v>
      </c>
      <c r="E1978" t="s">
        <v>4145</v>
      </c>
      <c r="F1978" t="s">
        <v>4146</v>
      </c>
      <c r="G1978" t="s">
        <v>4147</v>
      </c>
      <c r="H1978" t="n">
        <v>3239</v>
      </c>
      <c r="I1978" t="s">
        <v>14</v>
      </c>
      <c r="J1978" t="s">
        <v>91</v>
      </c>
      <c r="K1978" t="s">
        <v>19</v>
      </c>
      <c r="L1978" t="s">
        <v>20</v>
      </c>
      <c r="M1978" t="s">
        <v>4148</v>
      </c>
      <c r="N1978" t="s">
        <v>4149</v>
      </c>
    </row>
    <row r="1979" x14ac:dyDescent="0.25">
      <c r="A1979" t="n">
        <v>25</v>
      </c>
      <c r="B1979" t="s">
        <v>14</v>
      </c>
      <c r="C1979" t="s">
        <v>22</v>
      </c>
      <c r="D1979" s="2" t="s">
        <f>=HYPERLINK("https://main.knesset.gov.il/APPS/legislation/main/bills/2226650", "הצעת חוק לקביעת תקציב למרכזי ההנצחה - מרכז בגין, מרכז רבין ומכון למורשת בן-גוריון (תיקוני חקיקה), התשפ""ה-2025")</f>
        <v>4150</v>
      </c>
      <c r="E1979" t="s">
        <v>4150</v>
      </c>
      <c r="F1979" t="s">
        <v>4151</v>
      </c>
      <c r="G1979" t="s">
        <v>14</v>
      </c>
      <c r="H1979">
             </c>
      <c r="I1979" t="s">
        <v>14</v>
      </c>
      <c r="J1979" t="s">
        <v>141</v>
      </c>
      <c r="K1979" t="s">
        <v>14</v>
      </c>
      <c r="L1979" t="s">
        <v>20</v>
      </c>
      <c r="M1979" t="s">
        <v>4148</v>
      </c>
      <c r="N1979" t="s">
        <v>14</v>
      </c>
    </row>
    <row r="1980" x14ac:dyDescent="0.25">
      <c r="A1980" t="n">
        <v>25</v>
      </c>
      <c r="B1980" t="s">
        <v>14</v>
      </c>
      <c r="C1980" t="s">
        <v>22</v>
      </c>
      <c r="D1980" s="2" t="s">
        <f>=HYPERLINK("https://main.knesset.gov.il/APPS/legislation/main/bills/2227475", "הצעת חוק מניעת סיוע הומניטרי לאויב, התשפ""ה-2025")</f>
        <v>4152</v>
      </c>
      <c r="E1980" t="s">
        <v>4152</v>
      </c>
      <c r="F1980" t="s">
        <v>4153</v>
      </c>
      <c r="G1980" t="s">
        <v>14</v>
      </c>
      <c r="H1980">
             </c>
      <c r="I1980" t="s">
        <v>14</v>
      </c>
      <c r="J1980" t="s">
        <v>141</v>
      </c>
      <c r="K1980" t="s">
        <v>14</v>
      </c>
      <c r="L1980" t="s">
        <v>20</v>
      </c>
      <c r="M1980" t="s">
        <v>4148</v>
      </c>
      <c r="N1980" t="s">
        <v>14</v>
      </c>
    </row>
    <row r="1981" x14ac:dyDescent="0.25">
      <c r="A1981" t="n">
        <v>25</v>
      </c>
      <c r="B1981" t="s">
        <v>14</v>
      </c>
      <c r="C1981" t="s">
        <v>22</v>
      </c>
      <c r="D1981" s="2" t="s">
        <f>=HYPERLINK("https://main.knesset.gov.il/APPS/legislation/main/bills/2227763", "הצעת חוק טיפול בפעוט עם מוגבלות (תיקוני חקיקה), התשפ""ה-2025")</f>
        <v>2715</v>
      </c>
      <c r="E1981" t="s">
        <v>2715</v>
      </c>
      <c r="F1981" t="s">
        <v>4154</v>
      </c>
      <c r="G1981" t="s">
        <v>14</v>
      </c>
      <c r="H1981">
             </c>
      <c r="I1981" t="s">
        <v>14</v>
      </c>
      <c r="J1981" t="s">
        <v>141</v>
      </c>
      <c r="K1981" t="s">
        <v>14</v>
      </c>
      <c r="L1981" t="s">
        <v>20</v>
      </c>
      <c r="M1981" t="s">
        <v>4148</v>
      </c>
      <c r="N1981" t="s">
        <v>14</v>
      </c>
    </row>
    <row r="1982" x14ac:dyDescent="0.25">
      <c r="A1982" t="n">
        <v>25</v>
      </c>
      <c r="B1982" t="s">
        <v>14</v>
      </c>
      <c r="C1982" t="s">
        <v>22</v>
      </c>
      <c r="D1982" s="2" t="s">
        <f>=HYPERLINK("https://main.knesset.gov.il/APPS/legislation/main/bills/2227725", "הצעת חוק הביטוח הלאומי (תיקון - דמי לידה לעצמאיות - מתן זכות לעבודה חלקית), התשפ""ה-2025")</f>
        <v>1516</v>
      </c>
      <c r="E1982" t="s">
        <v>1516</v>
      </c>
      <c r="F1982" t="s">
        <v>4155</v>
      </c>
      <c r="G1982" t="s">
        <v>14</v>
      </c>
      <c r="H1982">
             </c>
      <c r="I1982" t="s">
        <v>14</v>
      </c>
      <c r="J1982" t="s">
        <v>141</v>
      </c>
      <c r="K1982" t="s">
        <v>14</v>
      </c>
      <c r="L1982" t="s">
        <v>20</v>
      </c>
      <c r="M1982" t="s">
        <v>4148</v>
      </c>
      <c r="N1982" t="s">
        <v>14</v>
      </c>
    </row>
    <row r="1983" x14ac:dyDescent="0.25">
      <c r="A1983" t="n">
        <v>25</v>
      </c>
      <c r="B1983" t="s">
        <v>14</v>
      </c>
      <c r="C1983" t="s">
        <v>22</v>
      </c>
      <c r="D1983" s="2" t="s">
        <f>=HYPERLINK("https://main.knesset.gov.il/APPS/legislation/main/bills/2226950", "הצעת חוק הביטוח הלאומי (תיקון - מטרות המוסד, מינוי מנהל ופיקוח פרלמנטרי על מאזן ודוח כספי), התשפ""ה-2025")</f>
        <v>4156</v>
      </c>
      <c r="E1983" t="s">
        <v>4156</v>
      </c>
      <c r="F1983" t="s">
        <v>4157</v>
      </c>
      <c r="G1983" t="s">
        <v>14</v>
      </c>
      <c r="H1983">
             </c>
      <c r="I1983" t="s">
        <v>14</v>
      </c>
      <c r="J1983" t="s">
        <v>141</v>
      </c>
      <c r="K1983" t="s">
        <v>14</v>
      </c>
      <c r="L1983" t="s">
        <v>20</v>
      </c>
      <c r="M1983" t="s">
        <v>4148</v>
      </c>
      <c r="N1983" t="s">
        <v>14</v>
      </c>
    </row>
    <row r="1984" x14ac:dyDescent="0.25">
      <c r="A1984" t="n">
        <v>25</v>
      </c>
      <c r="B1984" t="s">
        <v>14</v>
      </c>
      <c r="C1984" t="s">
        <v>22</v>
      </c>
      <c r="D1984" s="2" t="s">
        <f>=HYPERLINK("https://main.knesset.gov.il/APPS/legislation/main/bills/2227764", "הצעת חוק הביטוח הלאומי (תיקון - תיאום דמי ביטוח), התשפ""ה-2025")</f>
        <v>2719</v>
      </c>
      <c r="E1984" t="s">
        <v>2719</v>
      </c>
      <c r="F1984" t="s">
        <v>4158</v>
      </c>
      <c r="G1984" t="s">
        <v>14</v>
      </c>
      <c r="H1984">
             </c>
      <c r="I1984" t="s">
        <v>14</v>
      </c>
      <c r="J1984" t="s">
        <v>141</v>
      </c>
      <c r="K1984" t="s">
        <v>14</v>
      </c>
      <c r="L1984" t="s">
        <v>20</v>
      </c>
      <c r="M1984" t="s">
        <v>4148</v>
      </c>
      <c r="N1984" t="s">
        <v>14</v>
      </c>
    </row>
    <row r="1985" x14ac:dyDescent="0.25">
      <c r="A1985" t="n">
        <v>25</v>
      </c>
      <c r="B1985" t="s">
        <v>14</v>
      </c>
      <c r="C1985" t="s">
        <v>22</v>
      </c>
      <c r="D1985" s="2" t="s">
        <f>=HYPERLINK("https://main.knesset.gov.il/APPS/legislation/main/bills/2227640", "הצעת חוק עובדים זרים (תיקון - אי-תחולת הסדר פנסיוני על עובד זר המועסק אצל יחיד בענף הסיעוד), התשפ""ה-2025")</f>
        <v>4159</v>
      </c>
      <c r="E1985" t="s">
        <v>4159</v>
      </c>
      <c r="F1985" t="s">
        <v>4160</v>
      </c>
      <c r="G1985" t="s">
        <v>14</v>
      </c>
      <c r="H1985">
             </c>
      <c r="I1985" t="s">
        <v>14</v>
      </c>
      <c r="J1985" t="s">
        <v>141</v>
      </c>
      <c r="K1985" t="s">
        <v>14</v>
      </c>
      <c r="L1985" t="s">
        <v>20</v>
      </c>
      <c r="M1985" t="s">
        <v>4148</v>
      </c>
      <c r="N1985" t="s">
        <v>14</v>
      </c>
    </row>
    <row r="1986" x14ac:dyDescent="0.25">
      <c r="A1986" t="n">
        <v>25</v>
      </c>
      <c r="B1986" t="s">
        <v>14</v>
      </c>
      <c r="C1986" t="s">
        <v>22</v>
      </c>
      <c r="D1986" s="2" t="s">
        <f>=HYPERLINK("https://main.knesset.gov.il/APPS/legislation/main/bills/2224686", "הצעת חוק הגנה על מתחם הר הבית, התשפ""ה-2025")</f>
        <v>4161</v>
      </c>
      <c r="E1986" t="s">
        <v>4161</v>
      </c>
      <c r="F1986" t="s">
        <v>4162</v>
      </c>
      <c r="G1986" t="s">
        <v>14</v>
      </c>
      <c r="H1986">
             </c>
      <c r="I1986" t="s">
        <v>14</v>
      </c>
      <c r="J1986" t="s">
        <v>141</v>
      </c>
      <c r="K1986" t="s">
        <v>14</v>
      </c>
      <c r="L1986" t="s">
        <v>20</v>
      </c>
      <c r="M1986" t="s">
        <v>4148</v>
      </c>
      <c r="N1986" t="s">
        <v>14</v>
      </c>
    </row>
    <row r="1987" x14ac:dyDescent="0.25">
      <c r="A1987" t="n">
        <v>25</v>
      </c>
      <c r="B1987" t="s">
        <v>14</v>
      </c>
      <c r="C1987" t="s">
        <v>22</v>
      </c>
      <c r="D1987" s="2" t="s">
        <f>=HYPERLINK("https://main.knesset.gov.il/APPS/legislation/main/bills/2227743", "הצעת חוק עידוד שירות צבאי, לאומי או לאומי-אזרחי במוסדות להשכלה גבוהה, התשפ""ה-2025")</f>
        <v>4163</v>
      </c>
      <c r="E1987" t="s">
        <v>4163</v>
      </c>
      <c r="F1987" t="s">
        <v>4164</v>
      </c>
      <c r="G1987" t="s">
        <v>14</v>
      </c>
      <c r="H1987">
             </c>
      <c r="I1987" t="s">
        <v>14</v>
      </c>
      <c r="J1987" t="s">
        <v>141</v>
      </c>
      <c r="K1987" t="s">
        <v>14</v>
      </c>
      <c r="L1987" t="s">
        <v>20</v>
      </c>
      <c r="M1987" t="s">
        <v>4148</v>
      </c>
      <c r="N1987" t="s">
        <v>14</v>
      </c>
    </row>
    <row r="1988" x14ac:dyDescent="0.25">
      <c r="A1988" t="n">
        <v>25</v>
      </c>
      <c r="B1988" t="s">
        <v>14</v>
      </c>
      <c r="C1988" t="s">
        <v>22</v>
      </c>
      <c r="D1988" s="2" t="s">
        <f>=HYPERLINK("https://main.knesset.gov.il/APPS/legislation/main/bills/2227061", "הצעת חוק יסוד: רמת הגולן")</f>
        <v>4165</v>
      </c>
      <c r="E1988" t="s">
        <v>4165</v>
      </c>
      <c r="F1988" t="s">
        <v>4166</v>
      </c>
      <c r="G1988" t="s">
        <v>14</v>
      </c>
      <c r="H1988">
             </c>
      <c r="I1988" t="s">
        <v>14</v>
      </c>
      <c r="J1988" t="s">
        <v>141</v>
      </c>
      <c r="K1988" t="s">
        <v>14</v>
      </c>
      <c r="L1988" t="s">
        <v>20</v>
      </c>
      <c r="M1988" t="s">
        <v>4148</v>
      </c>
      <c r="N1988" t="s">
        <v>14</v>
      </c>
    </row>
    <row r="1989" x14ac:dyDescent="0.25">
      <c r="A1989" t="n">
        <v>25</v>
      </c>
      <c r="B1989" t="s">
        <v>14</v>
      </c>
      <c r="C1989" t="s">
        <v>22</v>
      </c>
      <c r="D1989" s="2" t="s">
        <f>=HYPERLINK("https://main.knesset.gov.il/APPS/legislation/main/bills/2227582", "הצעת חוק לעידוד השקעות הון (תיקון - פעילות ייצורית הכוללת אריזה), התשפ""ה-2025")</f>
        <v>4167</v>
      </c>
      <c r="E1989" t="s">
        <v>4167</v>
      </c>
      <c r="F1989" t="s">
        <v>4168</v>
      </c>
      <c r="G1989" t="s">
        <v>14</v>
      </c>
      <c r="H1989">
             </c>
      <c r="I1989" t="s">
        <v>14</v>
      </c>
      <c r="J1989" t="s">
        <v>141</v>
      </c>
      <c r="K1989" t="s">
        <v>14</v>
      </c>
      <c r="L1989" t="s">
        <v>20</v>
      </c>
      <c r="M1989" t="s">
        <v>4148</v>
      </c>
      <c r="N1989" t="s">
        <v>14</v>
      </c>
    </row>
    <row r="1990" x14ac:dyDescent="0.25">
      <c r="A1990" t="n">
        <v>25</v>
      </c>
      <c r="B1990" t="s">
        <v>14</v>
      </c>
      <c r="C1990" t="s">
        <v>22</v>
      </c>
      <c r="D1990" s="2" t="s">
        <f>=HYPERLINK("https://main.knesset.gov.il/APPS/legislation/main/bills/2224864", "הצעת חוק לצמצום הריכוזיות בענף הפרסום במדיה, התשפ""ה-2025")</f>
        <v>4169</v>
      </c>
      <c r="E1990" t="s">
        <v>4169</v>
      </c>
      <c r="F1990" t="s">
        <v>4170</v>
      </c>
      <c r="G1990" t="s">
        <v>14</v>
      </c>
      <c r="H1990">
             </c>
      <c r="I1990" t="s">
        <v>14</v>
      </c>
      <c r="J1990" t="s">
        <v>141</v>
      </c>
      <c r="K1990" t="s">
        <v>14</v>
      </c>
      <c r="L1990" t="s">
        <v>20</v>
      </c>
      <c r="M1990" t="s">
        <v>4148</v>
      </c>
      <c r="N1990" t="s">
        <v>14</v>
      </c>
    </row>
    <row r="1991" x14ac:dyDescent="0.25">
      <c r="A1991" t="n">
        <v>25</v>
      </c>
      <c r="B1991" t="s">
        <v>14</v>
      </c>
      <c r="C1991" t="s">
        <v>22</v>
      </c>
      <c r="D1991" s="2" t="s">
        <f>=HYPERLINK("https://main.knesset.gov.il/APPS/legislation/main/bills/2224893", "הצעת חוק שירותי תעופה (פיצוי וסיוע בשל ביטול טיסה או שינוי בתנאיה) (תיקון - התאמת השירות והפיצוי לצורכי הלקוח), התשפ""ה-2025")</f>
        <v>4171</v>
      </c>
      <c r="E1991" t="s">
        <v>4171</v>
      </c>
      <c r="F1991" t="s">
        <v>4172</v>
      </c>
      <c r="G1991" t="s">
        <v>14</v>
      </c>
      <c r="H1991">
             </c>
      <c r="I1991" t="s">
        <v>14</v>
      </c>
      <c r="J1991" t="s">
        <v>141</v>
      </c>
      <c r="K1991" t="s">
        <v>14</v>
      </c>
      <c r="L1991" t="s">
        <v>20</v>
      </c>
      <c r="M1991" t="s">
        <v>4148</v>
      </c>
      <c r="N1991" t="s">
        <v>14</v>
      </c>
    </row>
    <row r="1992" x14ac:dyDescent="0.25">
      <c r="A1992" t="n">
        <v>25</v>
      </c>
      <c r="B1992" t="s">
        <v>14</v>
      </c>
      <c r="C1992" t="s">
        <v>22</v>
      </c>
      <c r="D1992" s="2" t="s">
        <f>=HYPERLINK("https://main.knesset.gov.il/APPS/legislation/main/bills/2227677", "הצעת חוק הבנקאות (שירות ללקוח) (תיקון - הודעה ללקוח בדבר הטלת עיקול על חשבונו), התשפ""ה-2025")</f>
        <v>4173</v>
      </c>
      <c r="E1992" t="s">
        <v>4173</v>
      </c>
      <c r="F1992" t="s">
        <v>4174</v>
      </c>
      <c r="G1992" t="s">
        <v>14</v>
      </c>
      <c r="H1992">
             </c>
      <c r="I1992" t="s">
        <v>14</v>
      </c>
      <c r="J1992" t="s">
        <v>141</v>
      </c>
      <c r="K1992" t="s">
        <v>14</v>
      </c>
      <c r="L1992" t="s">
        <v>20</v>
      </c>
      <c r="M1992" t="s">
        <v>4148</v>
      </c>
      <c r="N1992" t="s">
        <v>14</v>
      </c>
    </row>
    <row r="1993" x14ac:dyDescent="0.25">
      <c r="A1993" t="n">
        <v>25</v>
      </c>
      <c r="B1993" t="s">
        <v>14</v>
      </c>
      <c r="C1993" t="s">
        <v>22</v>
      </c>
      <c r="D1993" s="2" t="s">
        <f>=HYPERLINK("https://main.knesset.gov.il/APPS/legislation/main/bills/2226349", "הצעת חוק עידוד עזיבה מרצון של תושבי חבל עזה, התשפ""ה-2025")</f>
        <v>3385</v>
      </c>
      <c r="E1993" t="s">
        <v>3385</v>
      </c>
      <c r="F1993" t="s">
        <v>4175</v>
      </c>
      <c r="G1993" t="s">
        <v>14</v>
      </c>
      <c r="H1993">
             </c>
      <c r="I1993" t="s">
        <v>14</v>
      </c>
      <c r="J1993" t="s">
        <v>141</v>
      </c>
      <c r="K1993" t="s">
        <v>14</v>
      </c>
      <c r="L1993" t="s">
        <v>20</v>
      </c>
      <c r="M1993" t="s">
        <v>4148</v>
      </c>
      <c r="N1993" t="s">
        <v>14</v>
      </c>
    </row>
    <row r="1994" x14ac:dyDescent="0.25">
      <c r="A1994" t="n">
        <v>25</v>
      </c>
      <c r="B1994" t="s">
        <v>14</v>
      </c>
      <c r="C1994" t="s">
        <v>22</v>
      </c>
      <c r="D1994" s="2" t="s">
        <f>=HYPERLINK("https://main.knesset.gov.il/APPS/legislation/main/bills/2227716", "הצעת חוק הפיקוח הפרלמנטרי, התשפ""ה-2025")</f>
        <v>4176</v>
      </c>
      <c r="E1994" t="s">
        <v>4176</v>
      </c>
      <c r="F1994" t="s">
        <v>4177</v>
      </c>
      <c r="G1994" t="s">
        <v>14</v>
      </c>
      <c r="H1994">
             </c>
      <c r="I1994" t="s">
        <v>14</v>
      </c>
      <c r="J1994" t="s">
        <v>141</v>
      </c>
      <c r="K1994" t="s">
        <v>14</v>
      </c>
      <c r="L1994" t="s">
        <v>20</v>
      </c>
      <c r="M1994" t="s">
        <v>4148</v>
      </c>
      <c r="N1994" t="s">
        <v>14</v>
      </c>
    </row>
    <row r="1995" x14ac:dyDescent="0.25">
      <c r="A1995" t="n">
        <v>25</v>
      </c>
      <c r="B1995" t="s">
        <v>14</v>
      </c>
      <c r="C1995" t="s">
        <v>22</v>
      </c>
      <c r="D1995" s="2" t="s">
        <f>=HYPERLINK("https://main.knesset.gov.il/APPS/legislation/main/bills/2227726", "הצעת חוק-יסוד: זכויות בהליך פלילי")</f>
        <v>2388</v>
      </c>
      <c r="E1995" t="s">
        <v>2388</v>
      </c>
      <c r="F1995" t="s">
        <v>4178</v>
      </c>
      <c r="G1995" t="s">
        <v>14</v>
      </c>
      <c r="H1995">
             </c>
      <c r="I1995" t="s">
        <v>14</v>
      </c>
      <c r="J1995" t="s">
        <v>141</v>
      </c>
      <c r="K1995" t="s">
        <v>14</v>
      </c>
      <c r="L1995" t="s">
        <v>20</v>
      </c>
      <c r="M1995" t="s">
        <v>4148</v>
      </c>
      <c r="N1995" t="s">
        <v>14</v>
      </c>
    </row>
    <row r="1996" x14ac:dyDescent="0.25">
      <c r="A1996" t="n">
        <v>25</v>
      </c>
      <c r="B1996" t="s">
        <v>14</v>
      </c>
      <c r="C1996" t="s">
        <v>22</v>
      </c>
      <c r="D1996" s="2" t="s">
        <f>=HYPERLINK("https://main.knesset.gov.il/APPS/legislation/main/bills/2227632", "הצעת חוק תגמולים לבני משפחה של חטופים ונעדרים בפעולת איבה (תיקון - זכאות לאחר חזרת חטוף או נעדר), התשפ""ה-2025")</f>
        <v>3999</v>
      </c>
      <c r="E1996" t="s">
        <v>3999</v>
      </c>
      <c r="F1996" t="s">
        <v>4179</v>
      </c>
      <c r="G1996" t="s">
        <v>14</v>
      </c>
      <c r="H1996">
             </c>
      <c r="I1996" t="s">
        <v>14</v>
      </c>
      <c r="J1996" t="s">
        <v>141</v>
      </c>
      <c r="K1996" t="s">
        <v>14</v>
      </c>
      <c r="L1996" t="s">
        <v>20</v>
      </c>
      <c r="M1996" t="s">
        <v>4148</v>
      </c>
      <c r="N1996" t="s">
        <v>14</v>
      </c>
    </row>
    <row r="1997" x14ac:dyDescent="0.25">
      <c r="A1997" t="n">
        <v>25</v>
      </c>
      <c r="B1997" t="s">
        <v>14</v>
      </c>
      <c r="C1997" t="s">
        <v>22</v>
      </c>
      <c r="D1997" s="2" t="s">
        <f>=HYPERLINK("https://main.knesset.gov.il/APPS/legislation/main/bills/2227104", "הצעת חוק החזקת תכשיר אפינפרין במוסדות חינוך ובמקומות ציבוריים (תיקון - החזקת תכשיר אפינפרין בכלי טיס וברכבות), התשפ""ה-2025")</f>
        <v>4180</v>
      </c>
      <c r="E1997" t="s">
        <v>4180</v>
      </c>
      <c r="F1997" t="s">
        <v>4181</v>
      </c>
      <c r="G1997" t="s">
        <v>14</v>
      </c>
      <c r="H1997">
             </c>
      <c r="I1997" t="s">
        <v>14</v>
      </c>
      <c r="J1997" t="s">
        <v>141</v>
      </c>
      <c r="K1997" t="s">
        <v>14</v>
      </c>
      <c r="L1997" t="s">
        <v>20</v>
      </c>
      <c r="M1997" t="s">
        <v>4148</v>
      </c>
      <c r="N1997" t="s">
        <v>14</v>
      </c>
    </row>
    <row r="1998" x14ac:dyDescent="0.25">
      <c r="A1998" t="n">
        <v>25</v>
      </c>
      <c r="B1998" t="s">
        <v>14</v>
      </c>
      <c r="C1998" t="s">
        <v>22</v>
      </c>
      <c r="D1998" s="2" t="s">
        <f>=HYPERLINK("https://main.knesset.gov.il/APPS/legislation/main/bills/2227714", "הצעת חוק גירוש מיידי של מסתננים התומכים במשטר מדינתם, התשפ""ה-2025")</f>
        <v>4182</v>
      </c>
      <c r="E1998" t="s">
        <v>4182</v>
      </c>
      <c r="F1998" t="s">
        <v>4183</v>
      </c>
      <c r="G1998" t="s">
        <v>14</v>
      </c>
      <c r="H1998">
             </c>
      <c r="I1998" t="s">
        <v>14</v>
      </c>
      <c r="J1998" t="s">
        <v>141</v>
      </c>
      <c r="K1998" t="s">
        <v>14</v>
      </c>
      <c r="L1998" t="s">
        <v>20</v>
      </c>
      <c r="M1998" t="s">
        <v>4148</v>
      </c>
      <c r="N1998" t="s">
        <v>14</v>
      </c>
    </row>
    <row r="1999" x14ac:dyDescent="0.25">
      <c r="A1999" t="n">
        <v>25</v>
      </c>
      <c r="B1999" t="s">
        <v>14</v>
      </c>
      <c r="C1999" t="s">
        <v>22</v>
      </c>
      <c r="D1999" s="2" t="s">
        <f>=HYPERLINK("https://main.knesset.gov.il/APPS/legislation/main/bills/2227707", "הצעת חוק גירוש מסתננים תומכי המשטר במדינת אריתריאה ומסתננים שביצעו עבירות במדינת ישראל, התשפ""ה-2025")</f>
        <v>3413</v>
      </c>
      <c r="E1999" t="s">
        <v>3413</v>
      </c>
      <c r="F1999" t="s">
        <v>4184</v>
      </c>
      <c r="G1999" t="s">
        <v>14</v>
      </c>
      <c r="H1999">
             </c>
      <c r="I1999" t="s">
        <v>14</v>
      </c>
      <c r="J1999" t="s">
        <v>141</v>
      </c>
      <c r="K1999" t="s">
        <v>14</v>
      </c>
      <c r="L1999" t="s">
        <v>20</v>
      </c>
      <c r="M1999" t="s">
        <v>4148</v>
      </c>
      <c r="N1999" t="s">
        <v>14</v>
      </c>
    </row>
    <row r="2000" x14ac:dyDescent="0.25">
      <c r="A2000" t="n">
        <v>25</v>
      </c>
      <c r="B2000" t="s">
        <v>14</v>
      </c>
      <c r="C2000" t="s">
        <v>22</v>
      </c>
      <c r="D2000" s="2" t="s">
        <f>=HYPERLINK("https://main.knesset.gov.il/APPS/legislation/main/bills/2227635", "הצעת חוק גירוש מסתננים תומכי המשטר במדינת אריתריאה ומסתננים שביצעו עבירות במדינת ישראל, התשפ""ה-2025")</f>
        <v>3413</v>
      </c>
      <c r="E2000" t="s">
        <v>3413</v>
      </c>
      <c r="F2000" t="s">
        <v>4185</v>
      </c>
      <c r="G2000" t="s">
        <v>14</v>
      </c>
      <c r="H2000">
             </c>
      <c r="I2000" t="s">
        <v>14</v>
      </c>
      <c r="J2000" t="s">
        <v>141</v>
      </c>
      <c r="K2000" t="s">
        <v>14</v>
      </c>
      <c r="L2000" t="s">
        <v>20</v>
      </c>
      <c r="M2000" t="s">
        <v>4148</v>
      </c>
      <c r="N2000" t="s">
        <v>14</v>
      </c>
    </row>
    <row r="2001" x14ac:dyDescent="0.25">
      <c r="A2001" t="n">
        <v>25</v>
      </c>
      <c r="B2001" t="s">
        <v>14</v>
      </c>
      <c r="C2001" t="s">
        <v>22</v>
      </c>
      <c r="D2001" s="2" t="s">
        <f>=HYPERLINK("https://main.knesset.gov.il/APPS/legislation/main/bills/2227715", "הצעת חוק איסור לשון הרע (תיקון - פיצוי בגין האשמות שווא בדבר פשעי מלחמה), התשפ""ה-2025")</f>
        <v>4186</v>
      </c>
      <c r="E2001" t="s">
        <v>4186</v>
      </c>
      <c r="F2001" t="s">
        <v>4187</v>
      </c>
      <c r="G2001" t="s">
        <v>14</v>
      </c>
      <c r="H2001">
             </c>
      <c r="I2001" t="s">
        <v>14</v>
      </c>
      <c r="J2001" t="s">
        <v>141</v>
      </c>
      <c r="K2001" t="s">
        <v>14</v>
      </c>
      <c r="L2001" t="s">
        <v>20</v>
      </c>
      <c r="M2001" t="s">
        <v>4148</v>
      </c>
      <c r="N2001" t="s">
        <v>14</v>
      </c>
    </row>
    <row r="2002" x14ac:dyDescent="0.25">
      <c r="A2002" t="n">
        <v>25</v>
      </c>
      <c r="B2002" t="s">
        <v>14</v>
      </c>
      <c r="C2002" t="s">
        <v>22</v>
      </c>
      <c r="D2002" s="2" t="s">
        <f>=HYPERLINK("https://main.knesset.gov.il/APPS/legislation/main/bills/2224430", "הצעת חוק הממשלה (תיקון - בדיקת פוליגרף שנתית לבירור הדלפות מדיוני ועדת השרים לענייני ביטחון לאומי), התשפ""ה-2025")</f>
        <v>3315</v>
      </c>
      <c r="E2002" t="s">
        <v>3315</v>
      </c>
      <c r="F2002" t="s">
        <v>4188</v>
      </c>
      <c r="G2002" t="s">
        <v>14</v>
      </c>
      <c r="H2002">
             </c>
      <c r="I2002" t="s">
        <v>14</v>
      </c>
      <c r="J2002" t="s">
        <v>141</v>
      </c>
      <c r="K2002" t="s">
        <v>14</v>
      </c>
      <c r="L2002" t="s">
        <v>20</v>
      </c>
      <c r="M2002" t="s">
        <v>4148</v>
      </c>
      <c r="N2002" t="s">
        <v>14</v>
      </c>
    </row>
    <row r="2003" x14ac:dyDescent="0.25">
      <c r="A2003" t="n">
        <v>25</v>
      </c>
      <c r="B2003" t="s">
        <v>14</v>
      </c>
      <c r="C2003" t="s">
        <v>22</v>
      </c>
      <c r="D2003" s="2" t="s">
        <f>=HYPERLINK("https://main.knesset.gov.il/APPS/legislation/main/bills/2227471", "הצעת חוק חינוך טכנולוגי חובה, התשפ""ה-2025")</f>
        <v>4189</v>
      </c>
      <c r="E2003" t="s">
        <v>4189</v>
      </c>
      <c r="F2003" t="s">
        <v>4190</v>
      </c>
      <c r="G2003" t="s">
        <v>14</v>
      </c>
      <c r="H2003">
             </c>
      <c r="I2003" t="s">
        <v>14</v>
      </c>
      <c r="J2003" t="s">
        <v>141</v>
      </c>
      <c r="K2003" t="s">
        <v>14</v>
      </c>
      <c r="L2003" t="s">
        <v>20</v>
      </c>
      <c r="M2003" t="s">
        <v>4148</v>
      </c>
      <c r="N2003" t="s">
        <v>14</v>
      </c>
    </row>
    <row r="2004" x14ac:dyDescent="0.25">
      <c r="A2004" t="n">
        <v>25</v>
      </c>
      <c r="B2004" t="s">
        <v>14</v>
      </c>
      <c r="C2004" t="s">
        <v>22</v>
      </c>
      <c r="D2004" s="2" t="s">
        <f>=HYPERLINK("https://main.knesset.gov.il/APPS/legislation/main/bills/2227382", "הצעת חוק כליאת אסירים ביטחוניים, התשפ""ה-2025")</f>
        <v>3806</v>
      </c>
      <c r="E2004" t="s">
        <v>3806</v>
      </c>
      <c r="F2004" t="s">
        <v>4191</v>
      </c>
      <c r="G2004" t="s">
        <v>14</v>
      </c>
      <c r="H2004">
             </c>
      <c r="I2004" t="s">
        <v>14</v>
      </c>
      <c r="J2004" t="s">
        <v>141</v>
      </c>
      <c r="K2004" t="s">
        <v>14</v>
      </c>
      <c r="L2004" t="s">
        <v>20</v>
      </c>
      <c r="M2004" t="s">
        <v>4148</v>
      </c>
      <c r="N2004" t="s">
        <v>14</v>
      </c>
    </row>
    <row r="2005" x14ac:dyDescent="0.25">
      <c r="A2005" t="n">
        <v>25</v>
      </c>
      <c r="B2005" t="s">
        <v>14</v>
      </c>
      <c r="C2005" t="s">
        <v>22</v>
      </c>
      <c r="D2005" s="2" t="s">
        <f>=HYPERLINK("https://main.knesset.gov.il/APPS/legislation/main/bills/2227376", "הצעת חוק כליאת אסירים ביטחוניים, התשפ""ה-2025")</f>
        <v>3806</v>
      </c>
      <c r="E2005" t="s">
        <v>3806</v>
      </c>
      <c r="F2005" t="s">
        <v>4192</v>
      </c>
      <c r="G2005" t="s">
        <v>14</v>
      </c>
      <c r="H2005">
             </c>
      <c r="I2005" t="s">
        <v>14</v>
      </c>
      <c r="J2005" t="s">
        <v>141</v>
      </c>
      <c r="K2005" t="s">
        <v>14</v>
      </c>
      <c r="L2005" t="s">
        <v>20</v>
      </c>
      <c r="M2005" t="s">
        <v>4148</v>
      </c>
      <c r="N2005" t="s">
        <v>14</v>
      </c>
    </row>
    <row r="2006" x14ac:dyDescent="0.25">
      <c r="A2006" t="n">
        <v>25</v>
      </c>
      <c r="B2006" t="s">
        <v>14</v>
      </c>
      <c r="C2006" t="s">
        <v>22</v>
      </c>
      <c r="D2006" s="2" t="s">
        <f>=HYPERLINK("https://main.knesset.gov.il/APPS/legislation/main/bills/2227497", "הצעת חוק הסדרת העיסוק בייעוץ השקעות, בשיווק השקעות ובניהול תיקי השקעות (תיקון - לקוח כשיר), התשפ""ה-2025")</f>
        <v>4193</v>
      </c>
      <c r="E2006" t="s">
        <v>4193</v>
      </c>
      <c r="F2006" t="s">
        <v>4194</v>
      </c>
      <c r="G2006" t="s">
        <v>14</v>
      </c>
      <c r="H2006">
             </c>
      <c r="I2006" t="s">
        <v>14</v>
      </c>
      <c r="J2006" t="s">
        <v>141</v>
      </c>
      <c r="K2006" t="s">
        <v>14</v>
      </c>
      <c r="L2006" t="s">
        <v>20</v>
      </c>
      <c r="M2006" t="s">
        <v>4148</v>
      </c>
      <c r="N2006" t="s">
        <v>14</v>
      </c>
    </row>
    <row r="2007" x14ac:dyDescent="0.25">
      <c r="A2007" t="n">
        <v>25</v>
      </c>
      <c r="B2007" t="s">
        <v>14</v>
      </c>
      <c r="C2007" t="s">
        <v>22</v>
      </c>
      <c r="D2007" s="2" t="s">
        <f>=HYPERLINK("https://main.knesset.gov.il/APPS/legislation/main/bills/2227459", "הצעת חוק הנגישות הלשונית, התשפ""ה-2025")</f>
        <v>4195</v>
      </c>
      <c r="E2007" t="s">
        <v>4195</v>
      </c>
      <c r="F2007" t="s">
        <v>4196</v>
      </c>
      <c r="G2007" t="s">
        <v>14</v>
      </c>
      <c r="H2007">
             </c>
      <c r="I2007" t="s">
        <v>14</v>
      </c>
      <c r="J2007" t="s">
        <v>141</v>
      </c>
      <c r="K2007" t="s">
        <v>14</v>
      </c>
      <c r="L2007" t="s">
        <v>20</v>
      </c>
      <c r="M2007" t="s">
        <v>4148</v>
      </c>
      <c r="N2007" t="s">
        <v>14</v>
      </c>
    </row>
    <row r="2008" x14ac:dyDescent="0.25">
      <c r="A2008" t="n">
        <v>25</v>
      </c>
      <c r="B2008" t="s">
        <v>14</v>
      </c>
      <c r="C2008" t="s">
        <v>22</v>
      </c>
      <c r="D2008" s="2" t="s">
        <f>=HYPERLINK("https://main.knesset.gov.il/APPS/legislation/main/bills/2227455", "הצעת חוק שירות המדינה (מינויים) (תיקון - שקיפות בתהליך קבלה לעבודה), התשפ""ה-2025")</f>
        <v>4197</v>
      </c>
      <c r="E2008" t="s">
        <v>4197</v>
      </c>
      <c r="F2008" t="s">
        <v>4198</v>
      </c>
      <c r="G2008" t="s">
        <v>14</v>
      </c>
      <c r="H2008">
             </c>
      <c r="I2008" t="s">
        <v>14</v>
      </c>
      <c r="J2008" t="s">
        <v>141</v>
      </c>
      <c r="K2008" t="s">
        <v>14</v>
      </c>
      <c r="L2008" t="s">
        <v>20</v>
      </c>
      <c r="M2008" t="s">
        <v>4148</v>
      </c>
      <c r="N2008" t="s">
        <v>14</v>
      </c>
    </row>
    <row r="2009" x14ac:dyDescent="0.25">
      <c r="A2009" t="n">
        <v>25</v>
      </c>
      <c r="B2009" t="s">
        <v>14</v>
      </c>
      <c r="C2009" t="s">
        <v>22</v>
      </c>
      <c r="D2009" s="2" t="s">
        <f>=HYPERLINK("https://main.knesset.gov.il/APPS/legislation/main/bills/2216282", "הצעת חוק איסור שהייה וישיבה בישראל שלא כדין (תיקוני חקיקה), התשפ""ה–2025")</f>
        <v>4199</v>
      </c>
      <c r="E2009" t="s">
        <v>4199</v>
      </c>
      <c r="F2009" t="s">
        <v>4200</v>
      </c>
      <c r="G2009" t="s">
        <v>4201</v>
      </c>
      <c r="H2009">
             </c>
      <c r="I2009" t="s">
        <v>14</v>
      </c>
      <c r="J2009" t="s">
        <v>1141</v>
      </c>
      <c r="K2009" t="s">
        <v>14</v>
      </c>
      <c r="L2009" t="s">
        <v>20</v>
      </c>
      <c r="M2009" t="s">
        <v>4148</v>
      </c>
      <c r="N2009" t="s">
        <v>14</v>
      </c>
    </row>
    <row r="2010" x14ac:dyDescent="0.25">
      <c r="A2010" t="n">
        <v>25</v>
      </c>
      <c r="B2010" t="s">
        <v>14</v>
      </c>
      <c r="C2010" t="s">
        <v>15</v>
      </c>
      <c r="D2010" s="2" t="s">
        <f>=HYPERLINK("https://main.knesset.gov.il/APPS/legislation/main/bills/2227243", "סעיף 9(10) (פרסום התקשרויות רבעוני) מתוך הצעת חוק התוכנית הכלכלית (תיקוני חקיקה ליישום המדיניות הכלכלית לשנת התקציב 2025), התשפ""ה-2024 [פוצל לפי סעיף 84(ב) לתקנון]")</f>
        <v>4202</v>
      </c>
      <c r="E2010" t="s">
        <v>4202</v>
      </c>
      <c r="F2010" t="s">
        <v>14</v>
      </c>
      <c r="G2010" t="s">
        <v>43</v>
      </c>
      <c r="H2010">
             </c>
      <c r="I2010" t="s">
        <v>14</v>
      </c>
      <c r="J2010" t="s">
        <v>18</v>
      </c>
      <c r="K2010" t="s">
        <v>46</v>
      </c>
      <c r="L2010" t="s">
        <v>20</v>
      </c>
      <c r="M2010" t="s">
        <v>4203</v>
      </c>
      <c r="N2010" t="s">
        <v>14</v>
      </c>
    </row>
    <row r="2011" x14ac:dyDescent="0.25">
      <c r="A2011" t="n">
        <v>25</v>
      </c>
      <c r="B2011" t="s">
        <v>14</v>
      </c>
      <c r="C2011" t="s">
        <v>15</v>
      </c>
      <c r="D2011" s="2" t="s">
        <f>=HYPERLINK("https://main.knesset.gov.il/APPS/legislation/main/bills/2227196", "סעיפים 9(1), (2), (8), (9) ו-11(1) (הרכב ועדת המכרזים) מתוך הצעת חוק התוכנית הכלכלית (תיקוני חקיקה ליישום המדיניות הכלכלית לשנת התקציב 2025), התשפ""ה-2024 [פוצל לפי סעיף 84(ב) לתקנון] ")</f>
        <v>4204</v>
      </c>
      <c r="E2011" t="s">
        <v>4204</v>
      </c>
      <c r="F2011" t="s">
        <v>14</v>
      </c>
      <c r="G2011" t="s">
        <v>43</v>
      </c>
      <c r="H2011">
             </c>
      <c r="I2011" t="s">
        <v>14</v>
      </c>
      <c r="J2011" t="s">
        <v>18</v>
      </c>
      <c r="K2011" t="s">
        <v>46</v>
      </c>
      <c r="L2011" t="s">
        <v>20</v>
      </c>
      <c r="M2011" t="s">
        <v>4203</v>
      </c>
      <c r="N2011" t="s">
        <v>14</v>
      </c>
    </row>
    <row r="2012" x14ac:dyDescent="0.25">
      <c r="A2012" t="n">
        <v>25</v>
      </c>
      <c r="B2012" t="s">
        <v>14</v>
      </c>
      <c r="C2012" t="s">
        <v>15</v>
      </c>
      <c r="D2012" s="2" t="s">
        <f>=HYPERLINK("https://main.knesset.gov.il/APPS/legislation/main/bills/2227197", "סעיף 9(3) עד (5) (ועדות המועצה) מתוך הצעת חוק התוכנית הכלכלית (תיקוני חקיקה ליישום המדיניות הכלכלית לשנת התקציב 2025), התשפ""ה-2024 [פוצל לפי סעיף 84(ב) לתקנון] ")</f>
        <v>4205</v>
      </c>
      <c r="E2012" t="s">
        <v>4205</v>
      </c>
      <c r="F2012" t="s">
        <v>14</v>
      </c>
      <c r="G2012" t="s">
        <v>43</v>
      </c>
      <c r="H2012">
             </c>
      <c r="I2012" t="s">
        <v>14</v>
      </c>
      <c r="J2012" t="s">
        <v>18</v>
      </c>
      <c r="K2012" t="s">
        <v>46</v>
      </c>
      <c r="L2012" t="s">
        <v>20</v>
      </c>
      <c r="M2012" t="s">
        <v>4203</v>
      </c>
      <c r="N2012" t="s">
        <v>14</v>
      </c>
    </row>
    <row r="2013" x14ac:dyDescent="0.25">
      <c r="A2013" t="n">
        <v>25</v>
      </c>
      <c r="B2013" t="s">
        <v>14</v>
      </c>
      <c r="C2013" t="s">
        <v>22</v>
      </c>
      <c r="D2013" s="2" t="s">
        <f>=HYPERLINK("https://main.knesset.gov.il/APPS/legislation/main/bills/2225750", "הנחה בתשלומי ארנונה, חשמל ומים מתוך הצעת חוק למתן הטבות למשרתים במילואים, התשפ""ה-2024")</f>
        <v>4206</v>
      </c>
      <c r="E2013" t="s">
        <v>4206</v>
      </c>
      <c r="F2013" t="s">
        <v>1554</v>
      </c>
      <c r="G2013" t="s">
        <v>14</v>
      </c>
      <c r="H2013">
             </c>
      <c r="I2013" t="s">
        <v>14</v>
      </c>
      <c r="J2013" t="s">
        <v>31</v>
      </c>
      <c r="K2013" t="s">
        <v>85</v>
      </c>
      <c r="L2013" t="s">
        <v>20</v>
      </c>
      <c r="M2013" t="s">
        <v>4207</v>
      </c>
      <c r="N2013" t="s">
        <v>14</v>
      </c>
    </row>
    <row r="2014" x14ac:dyDescent="0.25">
      <c r="A2014" t="n">
        <v>25</v>
      </c>
      <c r="B2014" t="s">
        <v>14</v>
      </c>
      <c r="C2014" t="s">
        <v>22</v>
      </c>
      <c r="D2014" s="2" t="s">
        <f>=HYPERLINK("https://main.knesset.gov.il/APPS/legislation/main/bills/2225752", "קיזוז 5% בניכוי מס במקור מתוך הצעת חוק למתן הטבות למשרתים במילואים, התשפ""ה-2024")</f>
        <v>4208</v>
      </c>
      <c r="E2014" t="s">
        <v>4208</v>
      </c>
      <c r="F2014" t="s">
        <v>1554</v>
      </c>
      <c r="G2014" t="s">
        <v>14</v>
      </c>
      <c r="H2014">
             </c>
      <c r="I2014" t="s">
        <v>14</v>
      </c>
      <c r="J2014" t="s">
        <v>31</v>
      </c>
      <c r="K2014" t="s">
        <v>85</v>
      </c>
      <c r="L2014" t="s">
        <v>20</v>
      </c>
      <c r="M2014" t="s">
        <v>4207</v>
      </c>
      <c r="N2014" t="s">
        <v>14</v>
      </c>
    </row>
    <row r="2015" x14ac:dyDescent="0.25">
      <c r="A2015" t="n">
        <v>25</v>
      </c>
      <c r="B2015" t="s">
        <v>14</v>
      </c>
      <c r="C2015" t="s">
        <v>22</v>
      </c>
      <c r="D2015" s="2" t="s">
        <f>=HYPERLINK("https://main.knesset.gov.il/APPS/legislation/main/bills/2225753", "נקודות זיכוי מתוך הצעת חוק למתן הטבות למשרתים במילואים, התשפ""ה-2024")</f>
        <v>4209</v>
      </c>
      <c r="E2015" t="s">
        <v>4209</v>
      </c>
      <c r="F2015" t="s">
        <v>1554</v>
      </c>
      <c r="G2015" t="s">
        <v>14</v>
      </c>
      <c r="H2015">
             </c>
      <c r="I2015" t="s">
        <v>14</v>
      </c>
      <c r="J2015" t="s">
        <v>31</v>
      </c>
      <c r="K2015" t="s">
        <v>85</v>
      </c>
      <c r="L2015" t="s">
        <v>20</v>
      </c>
      <c r="M2015" t="s">
        <v>4207</v>
      </c>
      <c r="N2015" t="s">
        <v>14</v>
      </c>
    </row>
    <row r="2016" x14ac:dyDescent="0.25">
      <c r="A2016" t="n">
        <v>25</v>
      </c>
      <c r="B2016" t="s">
        <v>14</v>
      </c>
      <c r="C2016" t="s">
        <v>22</v>
      </c>
      <c r="D2016" s="2" t="s">
        <f>=HYPERLINK("https://main.knesset.gov.il/APPS/legislation/main/bills/2207136", "חוק רישוי עסקים (תיקון מס' 39), התשפ""ה–2025")</f>
        <v>4210</v>
      </c>
      <c r="E2016" t="s">
        <v>4210</v>
      </c>
      <c r="F2016" t="s">
        <v>4211</v>
      </c>
      <c r="G2016" t="s">
        <v>4212</v>
      </c>
      <c r="H2016" t="n">
        <v>3366</v>
      </c>
      <c r="I2016" t="s">
        <v>14</v>
      </c>
      <c r="J2016" t="s">
        <v>91</v>
      </c>
      <c r="K2016" t="s">
        <v>46</v>
      </c>
      <c r="L2016" t="s">
        <v>20</v>
      </c>
      <c r="M2016" t="s">
        <v>4207</v>
      </c>
      <c r="N2016" t="s">
        <v>4213</v>
      </c>
    </row>
    <row r="2017" x14ac:dyDescent="0.25">
      <c r="A2017" t="n">
        <v>25</v>
      </c>
      <c r="B2017" t="s">
        <v>14</v>
      </c>
      <c r="C2017" t="s">
        <v>22</v>
      </c>
      <c r="D2017" s="2" t="s">
        <f>=HYPERLINK("https://main.knesset.gov.il/APPS/legislation/main/bills/2225120", "הצעת חוק הסיוע המשפטי (תיקון - העמדת סיוע לנפגע פעולות איבה), התשפ""ה-2024")</f>
        <v>4214</v>
      </c>
      <c r="E2017" t="s">
        <v>4214</v>
      </c>
      <c r="F2017" t="s">
        <v>4215</v>
      </c>
      <c r="G2017" t="s">
        <v>14</v>
      </c>
      <c r="H2017">
             </c>
      <c r="I2017" t="s">
        <v>14</v>
      </c>
      <c r="J2017" t="s">
        <v>55</v>
      </c>
      <c r="K2017" t="s">
        <v>14</v>
      </c>
      <c r="L2017" t="s">
        <v>20</v>
      </c>
      <c r="M2017" t="s">
        <v>4207</v>
      </c>
      <c r="N2017" t="s">
        <v>14</v>
      </c>
    </row>
    <row r="2018" x14ac:dyDescent="0.25">
      <c r="A2018" t="n">
        <v>25</v>
      </c>
      <c r="B2018" t="s">
        <v>14</v>
      </c>
      <c r="C2018" t="s">
        <v>22</v>
      </c>
      <c r="D2018" s="2" t="s">
        <f>=HYPERLINK("https://main.knesset.gov.il/APPS/legislation/main/bills/2224632", "הצעת חוק תמיכה בביטחון תזונתי אצל תינוקות, התשפ""ה-2024")</f>
        <v>4216</v>
      </c>
      <c r="E2018" t="s">
        <v>4216</v>
      </c>
      <c r="F2018" t="s">
        <v>4217</v>
      </c>
      <c r="G2018" t="s">
        <v>14</v>
      </c>
      <c r="H2018">
             </c>
      <c r="I2018" t="s">
        <v>14</v>
      </c>
      <c r="J2018" t="s">
        <v>55</v>
      </c>
      <c r="K2018" t="s">
        <v>14</v>
      </c>
      <c r="L2018" t="s">
        <v>20</v>
      </c>
      <c r="M2018" t="s">
        <v>4207</v>
      </c>
      <c r="N2018" t="s">
        <v>14</v>
      </c>
    </row>
    <row r="2019" x14ac:dyDescent="0.25">
      <c r="A2019" t="n">
        <v>25</v>
      </c>
      <c r="B2019" t="s">
        <v>14</v>
      </c>
      <c r="C2019" t="s">
        <v>22</v>
      </c>
      <c r="D2019" s="2" t="s">
        <f>=HYPERLINK("https://main.knesset.gov.il/APPS/legislation/main/bills/2213797", "הצעת חוק הביטוח הלאומי (תיקון - שיפוי המעסיק על הפרשות פנסיוניות בעד עובדו המשרת במילואים בנסיבות חירום) (הוראת שעה - חרבות ברזל), התשפ""ד- 2024")</f>
        <v>4218</v>
      </c>
      <c r="E2019" t="s">
        <v>4218</v>
      </c>
      <c r="F2019" t="s">
        <v>4219</v>
      </c>
      <c r="G2019" t="s">
        <v>14</v>
      </c>
      <c r="H2019">
             </c>
      <c r="I2019" t="s">
        <v>14</v>
      </c>
      <c r="J2019" t="s">
        <v>55</v>
      </c>
      <c r="K2019" t="s">
        <v>14</v>
      </c>
      <c r="L2019" t="s">
        <v>20</v>
      </c>
      <c r="M2019" t="s">
        <v>4207</v>
      </c>
      <c r="N2019" t="s">
        <v>14</v>
      </c>
    </row>
    <row r="2020" x14ac:dyDescent="0.25">
      <c r="A2020" t="n">
        <v>25</v>
      </c>
      <c r="B2020" t="s">
        <v>14</v>
      </c>
      <c r="C2020" t="s">
        <v>22</v>
      </c>
      <c r="D2020" s="2" t="s">
        <f>=HYPERLINK("https://main.knesset.gov.il/APPS/legislation/main/bills/2203622", "הצעת חוק שירותי רווחה (זכויות נשים ששהו במקלט לנשים מוכות) (תיקון - זכות למגורים בדיור ציבורי), התשפ""ג-2023")</f>
        <v>4220</v>
      </c>
      <c r="E2020" t="s">
        <v>4220</v>
      </c>
      <c r="F2020" t="s">
        <v>4221</v>
      </c>
      <c r="G2020" t="s">
        <v>14</v>
      </c>
      <c r="H2020">
             </c>
      <c r="I2020" t="s">
        <v>14</v>
      </c>
      <c r="J2020" t="s">
        <v>31</v>
      </c>
      <c r="K2020" t="s">
        <v>127</v>
      </c>
      <c r="L2020" t="s">
        <v>20</v>
      </c>
      <c r="M2020" t="s">
        <v>4207</v>
      </c>
      <c r="N2020" t="s">
        <v>14</v>
      </c>
    </row>
    <row r="2021" x14ac:dyDescent="0.25">
      <c r="A2021" t="n">
        <v>25</v>
      </c>
      <c r="B2021" t="s">
        <v>14</v>
      </c>
      <c r="C2021" t="s">
        <v>22</v>
      </c>
      <c r="D2021" s="2" t="s">
        <f>=HYPERLINK("https://main.knesset.gov.il/APPS/legislation/main/bills/2203277", "הצעת חוק לתיקון פקודת המכס (איסור השמדת טובין חבי מכס), התשפ""ג-2023")</f>
        <v>4222</v>
      </c>
      <c r="E2021" t="s">
        <v>4222</v>
      </c>
      <c r="F2021" t="s">
        <v>4223</v>
      </c>
      <c r="G2021" t="s">
        <v>14</v>
      </c>
      <c r="H2021">
             </c>
      <c r="I2021" t="s">
        <v>14</v>
      </c>
      <c r="J2021" t="s">
        <v>31</v>
      </c>
      <c r="K2021" t="s">
        <v>85</v>
      </c>
      <c r="L2021" t="s">
        <v>20</v>
      </c>
      <c r="M2021" t="s">
        <v>4207</v>
      </c>
      <c r="N2021" t="s">
        <v>14</v>
      </c>
    </row>
    <row r="2022" x14ac:dyDescent="0.25">
      <c r="A2022" t="n">
        <v>25</v>
      </c>
      <c r="B2022" t="s">
        <v>14</v>
      </c>
      <c r="C2022" t="s">
        <v>22</v>
      </c>
      <c r="D2022" s="2" t="s">
        <f>=HYPERLINK("https://main.knesset.gov.il/APPS/legislation/main/bills/2201651", "הצעת חוק שירותי רווחה (זכויות נשים ששהו במקלט לנשים מוכות) (תיקון - זכות למגורים בדיור ציבורי), התשפ""ג-2023")</f>
        <v>4220</v>
      </c>
      <c r="E2022" t="s">
        <v>4220</v>
      </c>
      <c r="F2022" t="s">
        <v>4224</v>
      </c>
      <c r="G2022" t="s">
        <v>14</v>
      </c>
      <c r="H2022">
             </c>
      <c r="I2022" t="s">
        <v>14</v>
      </c>
      <c r="J2022" t="s">
        <v>31</v>
      </c>
      <c r="K2022" t="s">
        <v>127</v>
      </c>
      <c r="L2022" t="s">
        <v>20</v>
      </c>
      <c r="M2022" t="s">
        <v>4207</v>
      </c>
      <c r="N2022" t="s">
        <v>14</v>
      </c>
    </row>
    <row r="2023" x14ac:dyDescent="0.25">
      <c r="A2023" t="n">
        <v>25</v>
      </c>
      <c r="B2023" t="s">
        <v>14</v>
      </c>
      <c r="C2023" t="s">
        <v>22</v>
      </c>
      <c r="D2023" s="2" t="s">
        <f>=HYPERLINK("https://main.knesset.gov.il/APPS/legislation/main/bills/2196090", "הצעת חוק לתיקון פקודת המכס (איסור השמדת טובין חבי מכס), התשפ""ג-2022")</f>
        <v>4225</v>
      </c>
      <c r="E2023" t="s">
        <v>4225</v>
      </c>
      <c r="F2023" t="s">
        <v>4226</v>
      </c>
      <c r="G2023" t="s">
        <v>14</v>
      </c>
      <c r="H2023">
             </c>
      <c r="I2023" t="s">
        <v>14</v>
      </c>
      <c r="J2023" t="s">
        <v>31</v>
      </c>
      <c r="K2023" t="s">
        <v>85</v>
      </c>
      <c r="L2023" t="s">
        <v>20</v>
      </c>
      <c r="M2023" t="s">
        <v>4207</v>
      </c>
      <c r="N2023" t="s">
        <v>14</v>
      </c>
    </row>
    <row r="2024" x14ac:dyDescent="0.25">
      <c r="A2024" t="n">
        <v>25</v>
      </c>
      <c r="B2024" t="s">
        <v>14</v>
      </c>
      <c r="C2024" t="s">
        <v>22</v>
      </c>
      <c r="D2024" s="2" t="s">
        <f>=HYPERLINK("https://main.knesset.gov.il/APPS/legislation/main/bills/2196046", "הצעת חוק תמיכה בביטחון תזונתי אצל תינוקות, התשפ""ג-2022")</f>
        <v>4227</v>
      </c>
      <c r="E2024" t="s">
        <v>4227</v>
      </c>
      <c r="F2024" t="s">
        <v>4228</v>
      </c>
      <c r="G2024" t="s">
        <v>14</v>
      </c>
      <c r="H2024">
             </c>
      <c r="I2024" t="s">
        <v>14</v>
      </c>
      <c r="J2024" t="s">
        <v>55</v>
      </c>
      <c r="K2024" t="s">
        <v>14</v>
      </c>
      <c r="L2024" t="s">
        <v>20</v>
      </c>
      <c r="M2024" t="s">
        <v>4207</v>
      </c>
      <c r="N2024" t="s">
        <v>14</v>
      </c>
    </row>
    <row r="2025" x14ac:dyDescent="0.25">
      <c r="A2025" t="n">
        <v>25</v>
      </c>
      <c r="B2025" t="s">
        <v>14</v>
      </c>
      <c r="C2025" t="s">
        <v>15</v>
      </c>
      <c r="D2025" s="2" t="s">
        <f>=HYPERLINK("https://main.knesset.gov.il/APPS/legislation/main/bills/2226079", "סעיף 1(3)-(ג), סעיף קטן (א2) המוצע; סעיף 1(3)-(ה) ההגדרה ""הכנסה חייבת"" המוצעת; וסעיף 4(ג) מתוך הצעת חוק ההתייעלות הכלכלית (תיקוני חקיקה להשגת יעדי התקציב לשנת התקציב 2025) (הקפאת עדכוני מס ומס יסף), התשפ""ה-2024 (מס יסף על השבח) ")</f>
        <v>4229</v>
      </c>
      <c r="E2025" t="s">
        <v>4229</v>
      </c>
      <c r="F2025" t="s">
        <v>14</v>
      </c>
      <c r="G2025" t="s">
        <v>4230</v>
      </c>
      <c r="H2025">
             </c>
      <c r="I2025" t="s">
        <v>14</v>
      </c>
      <c r="J2025" t="s">
        <v>18</v>
      </c>
      <c r="K2025" t="s">
        <v>85</v>
      </c>
      <c r="L2025" t="s">
        <v>20</v>
      </c>
      <c r="M2025" t="s">
        <v>4231</v>
      </c>
      <c r="N2025" t="s">
        <v>14</v>
      </c>
    </row>
    <row r="2026" x14ac:dyDescent="0.25">
      <c r="A2026" t="n">
        <v>25</v>
      </c>
      <c r="B2026" t="s">
        <v>14</v>
      </c>
      <c r="C2026" t="s">
        <v>22</v>
      </c>
      <c r="D2026" s="2" t="s">
        <f>=HYPERLINK("https://main.knesset.gov.il/APPS/legislation/main/bills/2225749", "פטור מתשלום אגרות רישום ורישוי מתוך הצעת חוק למתן הטבות למשרתים במילואים, התשפ""ה-2024")</f>
        <v>4232</v>
      </c>
      <c r="E2026" t="s">
        <v>4232</v>
      </c>
      <c r="F2026" t="s">
        <v>1554</v>
      </c>
      <c r="G2026" t="s">
        <v>14</v>
      </c>
      <c r="H2026">
             </c>
      <c r="I2026" t="s">
        <v>14</v>
      </c>
      <c r="J2026" t="s">
        <v>31</v>
      </c>
      <c r="K2026" t="s">
        <v>19</v>
      </c>
      <c r="L2026" t="s">
        <v>20</v>
      </c>
      <c r="M2026" t="s">
        <v>4231</v>
      </c>
      <c r="N2026" t="s">
        <v>14</v>
      </c>
    </row>
    <row r="2027" x14ac:dyDescent="0.25">
      <c r="A2027" t="n">
        <v>25</v>
      </c>
      <c r="B2027" t="s">
        <v>14</v>
      </c>
      <c r="C2027" t="s">
        <v>15</v>
      </c>
      <c r="D2027" s="2" t="s">
        <f>=HYPERLINK("https://main.knesset.gov.il/APPS/legislation/main/bills/2217525", "חוק הכללת אמצעי זיהוי ביומטריים ונתוני זיהוי ביומטריים במסמכי זיהוי ובמאגר מידע (תיקון מס' 6), התשפ""ה-2025")</f>
        <v>4233</v>
      </c>
      <c r="E2027" t="s">
        <v>4233</v>
      </c>
      <c r="F2027" t="s">
        <v>14</v>
      </c>
      <c r="G2027" t="s">
        <v>4234</v>
      </c>
      <c r="H2027" t="n">
        <v>3365</v>
      </c>
      <c r="I2027" t="s">
        <v>14</v>
      </c>
      <c r="J2027" t="s">
        <v>91</v>
      </c>
      <c r="K2027" t="s">
        <v>14</v>
      </c>
      <c r="L2027" t="s">
        <v>20</v>
      </c>
      <c r="M2027" t="s">
        <v>4231</v>
      </c>
      <c r="N2027" t="s">
        <v>4235</v>
      </c>
    </row>
    <row r="2028" x14ac:dyDescent="0.25">
      <c r="A2028" t="n">
        <v>25</v>
      </c>
      <c r="B2028" t="s">
        <v>14</v>
      </c>
      <c r="C2028" t="s">
        <v>15</v>
      </c>
      <c r="D2028" s="2" t="s">
        <f>=HYPERLINK("https://main.knesset.gov.il/APPS/legislation/main/bills/2204257", "חוק לתיקון פקודת הרוקחים (מס' 38), התשפ""ה–2025")</f>
        <v>4236</v>
      </c>
      <c r="E2028" t="s">
        <v>4236</v>
      </c>
      <c r="F2028" t="s">
        <v>14</v>
      </c>
      <c r="G2028" t="s">
        <v>110</v>
      </c>
      <c r="H2028" t="n">
        <v>3364</v>
      </c>
      <c r="I2028" t="s">
        <v>14</v>
      </c>
      <c r="J2028" t="s">
        <v>91</v>
      </c>
      <c r="K2028" t="s">
        <v>480</v>
      </c>
      <c r="L2028" t="s">
        <v>20</v>
      </c>
      <c r="M2028" t="s">
        <v>4231</v>
      </c>
      <c r="N2028" t="s">
        <v>4237</v>
      </c>
    </row>
    <row r="2029" x14ac:dyDescent="0.25">
      <c r="A2029" t="n">
        <v>25</v>
      </c>
      <c r="B2029" t="s">
        <v>14</v>
      </c>
      <c r="C2029" t="s">
        <v>22</v>
      </c>
      <c r="D2029" s="2" t="s">
        <f>=HYPERLINK("https://main.knesset.gov.il/APPS/legislation/main/bills/2217493", "חוק משפחות חיילים שנספו במערכה (תגמולים ושיקום) (תיקון מס' 46), התשפ""ה–2025")</f>
        <v>4238</v>
      </c>
      <c r="E2029" t="s">
        <v>4238</v>
      </c>
      <c r="F2029" t="s">
        <v>4239</v>
      </c>
      <c r="G2029" t="s">
        <v>4240</v>
      </c>
      <c r="H2029" t="n">
        <v>3363</v>
      </c>
      <c r="I2029" t="s">
        <v>14</v>
      </c>
      <c r="J2029" t="s">
        <v>91</v>
      </c>
      <c r="K2029" t="s">
        <v>127</v>
      </c>
      <c r="L2029" t="s">
        <v>20</v>
      </c>
      <c r="M2029" t="s">
        <v>4231</v>
      </c>
      <c r="N2029" t="s">
        <v>4241</v>
      </c>
    </row>
    <row r="2030" x14ac:dyDescent="0.25">
      <c r="A2030" t="n">
        <v>25</v>
      </c>
      <c r="B2030" t="s">
        <v>14</v>
      </c>
      <c r="C2030" t="s">
        <v>22</v>
      </c>
      <c r="D2030" s="2" t="s">
        <f>=HYPERLINK("https://main.knesset.gov.il/APPS/legislation/main/bills/2208569", "הצעת חוק להפחתת סכום הפיצוי הכספי בשל נסיעה ללא תיקוף כרטיס בתחבורה ציבורית (תיקוני חקיקה), התשפ""ג-2023")</f>
        <v>4242</v>
      </c>
      <c r="E2030" t="s">
        <v>4242</v>
      </c>
      <c r="F2030" t="s">
        <v>4243</v>
      </c>
      <c r="G2030" t="s">
        <v>14</v>
      </c>
      <c r="H2030">
             </c>
      <c r="I2030" t="s">
        <v>14</v>
      </c>
      <c r="J2030" t="s">
        <v>99</v>
      </c>
      <c r="K2030" t="s">
        <v>19</v>
      </c>
      <c r="L2030" t="s">
        <v>20</v>
      </c>
      <c r="M2030" t="s">
        <v>4244</v>
      </c>
      <c r="N2030" t="s">
        <v>14</v>
      </c>
    </row>
    <row r="2031" x14ac:dyDescent="0.25">
      <c r="A2031" t="n">
        <v>25</v>
      </c>
      <c r="B2031" t="s">
        <v>14</v>
      </c>
      <c r="C2031" t="s">
        <v>22</v>
      </c>
      <c r="D2031" s="2" t="s">
        <f>=HYPERLINK("https://main.knesset.gov.il/APPS/legislation/main/bills/2207264", "הצעת חוק להפחתת סכום הפיצוי הכספי בשל נסיעה ללא תיקוף כרטיס בתחבורה ציבורית (תיקוני חקיקה), התשפ""ג-2023")</f>
        <v>4242</v>
      </c>
      <c r="E2031" t="s">
        <v>4242</v>
      </c>
      <c r="F2031" t="s">
        <v>4245</v>
      </c>
      <c r="G2031" t="s">
        <v>14</v>
      </c>
      <c r="H2031">
             </c>
      <c r="I2031" t="s">
        <v>14</v>
      </c>
      <c r="J2031" t="s">
        <v>99</v>
      </c>
      <c r="K2031" t="s">
        <v>19</v>
      </c>
      <c r="L2031" t="s">
        <v>20</v>
      </c>
      <c r="M2031" t="s">
        <v>4244</v>
      </c>
      <c r="N2031" t="s">
        <v>14</v>
      </c>
    </row>
    <row r="2032" x14ac:dyDescent="0.25">
      <c r="A2032" t="n">
        <v>25</v>
      </c>
      <c r="B2032" t="s">
        <v>14</v>
      </c>
      <c r="C2032" t="s">
        <v>22</v>
      </c>
      <c r="D2032" s="2" t="s">
        <f>=HYPERLINK("https://main.knesset.gov.il/APPS/legislation/main/bills/2226063", "הצעת חוק לתיקון פקודת מס הכנסה (קרן השתלמות לחקלאי שומר שמיטה), התשפ""ה-2024")</f>
        <v>4246</v>
      </c>
      <c r="E2032" t="s">
        <v>4246</v>
      </c>
      <c r="F2032" t="s">
        <v>4247</v>
      </c>
      <c r="G2032" t="s">
        <v>14</v>
      </c>
      <c r="H2032">
             </c>
      <c r="I2032" t="s">
        <v>14</v>
      </c>
      <c r="J2032" t="s">
        <v>31</v>
      </c>
      <c r="K2032" t="s">
        <v>85</v>
      </c>
      <c r="L2032" t="s">
        <v>20</v>
      </c>
      <c r="M2032" t="s">
        <v>4244</v>
      </c>
      <c r="N2032" t="s">
        <v>14</v>
      </c>
    </row>
    <row r="2033" x14ac:dyDescent="0.25">
      <c r="A2033" t="n">
        <v>25</v>
      </c>
      <c r="B2033" t="s">
        <v>14</v>
      </c>
      <c r="C2033" t="s">
        <v>22</v>
      </c>
      <c r="D2033" s="2" t="s">
        <f>=HYPERLINK("https://main.knesset.gov.il/APPS/legislation/main/bills/2217620", "הצעת חוק לתיקון פקודת מס הכנסה (קרן השתלמות לחקלאי שומר שמיטה), התשפ""ד-2024")</f>
        <v>4248</v>
      </c>
      <c r="E2033" t="s">
        <v>4248</v>
      </c>
      <c r="F2033" t="s">
        <v>4249</v>
      </c>
      <c r="G2033" t="s">
        <v>14</v>
      </c>
      <c r="H2033">
             </c>
      <c r="I2033" t="s">
        <v>14</v>
      </c>
      <c r="J2033" t="s">
        <v>31</v>
      </c>
      <c r="K2033" t="s">
        <v>85</v>
      </c>
      <c r="L2033" t="s">
        <v>20</v>
      </c>
      <c r="M2033" t="s">
        <v>4244</v>
      </c>
      <c r="N2033" t="s">
        <v>14</v>
      </c>
    </row>
    <row r="2034" x14ac:dyDescent="0.25">
      <c r="A2034" t="n">
        <v>25</v>
      </c>
      <c r="B2034" t="s">
        <v>14</v>
      </c>
      <c r="C2034" t="s">
        <v>22</v>
      </c>
      <c r="D2034" s="2" t="s">
        <f>=HYPERLINK("https://main.knesset.gov.il/APPS/legislation/main/bills/2196547", "חוק להנצחת זכרו של מרן הרב עובדיה יוסף, התשפ""ה-2025")</f>
        <v>4250</v>
      </c>
      <c r="E2034" t="s">
        <v>4250</v>
      </c>
      <c r="F2034" t="s">
        <v>4251</v>
      </c>
      <c r="G2034" t="s">
        <v>4252</v>
      </c>
      <c r="H2034" t="n">
        <v>3362</v>
      </c>
      <c r="I2034" t="s">
        <v>14</v>
      </c>
      <c r="J2034" t="s">
        <v>91</v>
      </c>
      <c r="K2034" t="s">
        <v>34</v>
      </c>
      <c r="L2034" t="s">
        <v>20</v>
      </c>
      <c r="M2034" t="s">
        <v>4244</v>
      </c>
      <c r="N2034" t="s">
        <v>4253</v>
      </c>
    </row>
    <row r="2035" x14ac:dyDescent="0.25">
      <c r="A2035" t="n">
        <v>25</v>
      </c>
      <c r="B2035" t="s">
        <v>14</v>
      </c>
      <c r="C2035" t="s">
        <v>22</v>
      </c>
      <c r="D2035" s="2" t="s">
        <f>=HYPERLINK("https://main.knesset.gov.il/APPS/legislation/main/bills/2219763", "חוק לתיקון פקודת בתי הסוהר (מס' 68), התשפ""ה–2025")</f>
        <v>4254</v>
      </c>
      <c r="E2035" t="s">
        <v>4254</v>
      </c>
      <c r="F2035" t="s">
        <v>2907</v>
      </c>
      <c r="G2035" t="s">
        <v>2908</v>
      </c>
      <c r="H2035" t="n">
        <v>3361</v>
      </c>
      <c r="I2035" t="s">
        <v>14</v>
      </c>
      <c r="J2035" t="s">
        <v>91</v>
      </c>
      <c r="K2035" t="s">
        <v>105</v>
      </c>
      <c r="L2035" t="s">
        <v>20</v>
      </c>
      <c r="M2035" t="s">
        <v>4244</v>
      </c>
      <c r="N2035" t="s">
        <v>4255</v>
      </c>
    </row>
    <row r="2036" x14ac:dyDescent="0.25">
      <c r="A2036" t="n">
        <v>25</v>
      </c>
      <c r="B2036" t="s">
        <v>14</v>
      </c>
      <c r="C2036" t="s">
        <v>15</v>
      </c>
      <c r="D2036" s="2" t="s">
        <f>=HYPERLINK("https://main.knesset.gov.il/APPS/legislation/main/bills/2226851", "חוק הביטוח הלאומי (תיקון מס' 254), התשפ""ה-2025 ")</f>
        <v>4256</v>
      </c>
      <c r="E2036" t="s">
        <v>4256</v>
      </c>
      <c r="F2036" t="s">
        <v>14</v>
      </c>
      <c r="G2036" t="s">
        <v>4257</v>
      </c>
      <c r="H2036" t="n">
        <v>3360</v>
      </c>
      <c r="I2036" t="s">
        <v>14</v>
      </c>
      <c r="J2036" t="s">
        <v>91</v>
      </c>
      <c r="K2036" t="s">
        <v>127</v>
      </c>
      <c r="L2036" t="s">
        <v>20</v>
      </c>
      <c r="M2036" t="s">
        <v>4244</v>
      </c>
      <c r="N2036" t="s">
        <v>4258</v>
      </c>
    </row>
    <row r="2037" x14ac:dyDescent="0.25">
      <c r="A2037" t="n">
        <v>25</v>
      </c>
      <c r="B2037" t="s">
        <v>14</v>
      </c>
      <c r="C2037" t="s">
        <v>22</v>
      </c>
      <c r="D2037" s="2" t="s">
        <f>=HYPERLINK("https://main.knesset.gov.il/APPS/legislation/main/bills/2225017", "הצעת חוק זכויות החולה (תיקון - טיפול רפואי לקטין מגיל 15 ללא נוכחות הורה), התשפ""ה-2025")</f>
        <v>2727</v>
      </c>
      <c r="E2037" t="s">
        <v>2727</v>
      </c>
      <c r="F2037" t="s">
        <v>4259</v>
      </c>
      <c r="G2037" t="s">
        <v>14</v>
      </c>
      <c r="H2037">
             </c>
      <c r="I2037" t="s">
        <v>14</v>
      </c>
      <c r="J2037" t="s">
        <v>141</v>
      </c>
      <c r="K2037" t="s">
        <v>14</v>
      </c>
      <c r="L2037" t="s">
        <v>20</v>
      </c>
      <c r="M2037" t="s">
        <v>4244</v>
      </c>
      <c r="N2037" t="s">
        <v>14</v>
      </c>
    </row>
    <row r="2038" x14ac:dyDescent="0.25">
      <c r="A2038" t="n">
        <v>25</v>
      </c>
      <c r="B2038" t="s">
        <v>14</v>
      </c>
      <c r="C2038" t="s">
        <v>22</v>
      </c>
      <c r="D2038" s="2" t="s">
        <f>=HYPERLINK("https://main.knesset.gov.il/APPS/legislation/main/bills/2224914", "הצעת חוק תמיכה במימון פעילות ארגון נכי צה""ל ובתי הלוחם ובארגון נפגעי פעולות האיבה, התשפ""ה-2025")</f>
        <v>2428</v>
      </c>
      <c r="E2038" t="s">
        <v>2428</v>
      </c>
      <c r="F2038" t="s">
        <v>4260</v>
      </c>
      <c r="G2038" t="s">
        <v>14</v>
      </c>
      <c r="H2038">
             </c>
      <c r="I2038" t="s">
        <v>14</v>
      </c>
      <c r="J2038" t="s">
        <v>343</v>
      </c>
      <c r="K2038" t="s">
        <v>14</v>
      </c>
      <c r="L2038" t="s">
        <v>20</v>
      </c>
      <c r="M2038" t="s">
        <v>4244</v>
      </c>
      <c r="N2038" t="s">
        <v>14</v>
      </c>
    </row>
    <row r="2039" x14ac:dyDescent="0.25">
      <c r="A2039" t="n">
        <v>25</v>
      </c>
      <c r="B2039" t="s">
        <v>14</v>
      </c>
      <c r="C2039" t="s">
        <v>22</v>
      </c>
      <c r="D2039" s="2" t="s">
        <f>=HYPERLINK("https://main.knesset.gov.il/APPS/legislation/main/bills/2227036", "הצעת חוק לתיקון פקודת סדר הדין הפלילי (מעצר וחיפוש) (חיפוש שלא על פי צו חיפוש) (הארכת הוראת השעה), התשפ""ה-2025 ")</f>
        <v>4261</v>
      </c>
      <c r="E2039" t="s">
        <v>4261</v>
      </c>
      <c r="F2039" t="s">
        <v>4262</v>
      </c>
      <c r="G2039" t="s">
        <v>14</v>
      </c>
      <c r="H2039">
             </c>
      <c r="I2039" t="s">
        <v>14</v>
      </c>
      <c r="J2039" t="s">
        <v>141</v>
      </c>
      <c r="K2039" t="s">
        <v>14</v>
      </c>
      <c r="L2039" t="s">
        <v>20</v>
      </c>
      <c r="M2039" t="s">
        <v>4244</v>
      </c>
      <c r="N2039" t="s">
        <v>14</v>
      </c>
    </row>
    <row r="2040" x14ac:dyDescent="0.25">
      <c r="A2040" t="n">
        <v>25</v>
      </c>
      <c r="B2040" t="s">
        <v>14</v>
      </c>
      <c r="C2040" t="s">
        <v>22</v>
      </c>
      <c r="D2040" s="2" t="s">
        <f>=HYPERLINK("https://main.knesset.gov.il/APPS/legislation/main/bills/2226325", "הצעת חוק הפיקוח על שירותים פיננסיים (ייעוץ, שיווק ומערכת סליקה פנסיוניים) (תיקון - חובת ייעוץ או שיווק פנסיוני בעת משיכת כספים שלא כדין), התשפ""ה-2025")</f>
        <v>4263</v>
      </c>
      <c r="E2040" t="s">
        <v>4263</v>
      </c>
      <c r="F2040" t="s">
        <v>4264</v>
      </c>
      <c r="G2040" t="s">
        <v>14</v>
      </c>
      <c r="H2040">
             </c>
      <c r="I2040" t="s">
        <v>14</v>
      </c>
      <c r="J2040" t="s">
        <v>141</v>
      </c>
      <c r="K2040" t="s">
        <v>14</v>
      </c>
      <c r="L2040" t="s">
        <v>20</v>
      </c>
      <c r="M2040" t="s">
        <v>4244</v>
      </c>
      <c r="N2040" t="s">
        <v>14</v>
      </c>
    </row>
    <row r="2041" x14ac:dyDescent="0.25">
      <c r="A2041" t="n">
        <v>25</v>
      </c>
      <c r="B2041" t="s">
        <v>14</v>
      </c>
      <c r="C2041" t="s">
        <v>22</v>
      </c>
      <c r="D2041" s="2" t="s">
        <f>=HYPERLINK("https://main.knesset.gov.il/APPS/legislation/main/bills/2227119", "הצעת חוק הגנה על ישראלים מפני מוסדות בין-לאומיים עוינים, התשפ״ה-2025")</f>
        <v>4265</v>
      </c>
      <c r="E2041" t="s">
        <v>4265</v>
      </c>
      <c r="F2041" t="s">
        <v>4266</v>
      </c>
      <c r="G2041" t="s">
        <v>14</v>
      </c>
      <c r="H2041">
             </c>
      <c r="I2041" t="s">
        <v>14</v>
      </c>
      <c r="J2041" t="s">
        <v>141</v>
      </c>
      <c r="K2041" t="s">
        <v>14</v>
      </c>
      <c r="L2041" t="s">
        <v>20</v>
      </c>
      <c r="M2041" t="s">
        <v>4244</v>
      </c>
      <c r="N2041" t="s">
        <v>14</v>
      </c>
    </row>
    <row r="2042" x14ac:dyDescent="0.25">
      <c r="A2042" t="n">
        <v>25</v>
      </c>
      <c r="B2042" t="s">
        <v>14</v>
      </c>
      <c r="C2042" t="s">
        <v>22</v>
      </c>
      <c r="D2042" s="2" t="s">
        <f>=HYPERLINK("https://main.knesset.gov.il/APPS/legislation/main/bills/2227111", "הצעת חוק מאבק בארגוני פשיעה (תיקון - החמרת הענישה כנגד ארגוני סחיטה ושחיתות), התשפ""ה-2025")</f>
        <v>4007</v>
      </c>
      <c r="E2042" t="s">
        <v>4007</v>
      </c>
      <c r="F2042" t="s">
        <v>4267</v>
      </c>
      <c r="G2042" t="s">
        <v>14</v>
      </c>
      <c r="H2042">
             </c>
      <c r="I2042" t="s">
        <v>14</v>
      </c>
      <c r="J2042" t="s">
        <v>141</v>
      </c>
      <c r="K2042" t="s">
        <v>14</v>
      </c>
      <c r="L2042" t="s">
        <v>20</v>
      </c>
      <c r="M2042" t="s">
        <v>4244</v>
      </c>
      <c r="N2042" t="s">
        <v>14</v>
      </c>
    </row>
    <row r="2043" x14ac:dyDescent="0.25">
      <c r="A2043" t="n">
        <v>25</v>
      </c>
      <c r="B2043" t="s">
        <v>14</v>
      </c>
      <c r="C2043" t="s">
        <v>22</v>
      </c>
      <c r="D2043" s="2" t="s">
        <f>=HYPERLINK("https://main.knesset.gov.il/APPS/legislation/main/bills/2226928", "הצעת חוק שיקים ללא כיסוי (תיקון - הודעה על אי-כיבוד הרשאה לחיוב חשבון), התשפ""ה-2025")</f>
        <v>4268</v>
      </c>
      <c r="E2043" t="s">
        <v>4268</v>
      </c>
      <c r="F2043" t="s">
        <v>4269</v>
      </c>
      <c r="G2043" t="s">
        <v>14</v>
      </c>
      <c r="H2043">
             </c>
      <c r="I2043" t="s">
        <v>14</v>
      </c>
      <c r="J2043" t="s">
        <v>141</v>
      </c>
      <c r="K2043" t="s">
        <v>14</v>
      </c>
      <c r="L2043" t="s">
        <v>20</v>
      </c>
      <c r="M2043" t="s">
        <v>4244</v>
      </c>
      <c r="N2043" t="s">
        <v>14</v>
      </c>
    </row>
    <row r="2044" x14ac:dyDescent="0.25">
      <c r="A2044" t="n">
        <v>25</v>
      </c>
      <c r="B2044" t="s">
        <v>14</v>
      </c>
      <c r="C2044" t="s">
        <v>22</v>
      </c>
      <c r="D2044" s="2" t="s">
        <f>=HYPERLINK("https://main.knesset.gov.il/APPS/legislation/main/bills/2221935", "הצעת חוק הסדרת העיסוק בייעוץ השקעות, בשיווק השקעות ובניהול תיקי השקעות (תיקון - לקוח כשיר), התשפ""ה-2025")</f>
        <v>4193</v>
      </c>
      <c r="E2044" t="s">
        <v>4193</v>
      </c>
      <c r="F2044" t="s">
        <v>4270</v>
      </c>
      <c r="G2044" t="s">
        <v>14</v>
      </c>
      <c r="H2044">
             </c>
      <c r="I2044" t="s">
        <v>14</v>
      </c>
      <c r="J2044" t="s">
        <v>141</v>
      </c>
      <c r="K2044" t="s">
        <v>14</v>
      </c>
      <c r="L2044" t="s">
        <v>20</v>
      </c>
      <c r="M2044" t="s">
        <v>4244</v>
      </c>
      <c r="N2044" t="s">
        <v>14</v>
      </c>
    </row>
    <row r="2045" x14ac:dyDescent="0.25">
      <c r="A2045" t="n">
        <v>25</v>
      </c>
      <c r="B2045" t="s">
        <v>14</v>
      </c>
      <c r="C2045" t="s">
        <v>22</v>
      </c>
      <c r="D2045" s="2" t="s">
        <f>=HYPERLINK("https://main.knesset.gov.il/APPS/legislation/main/bills/2227408", "הצעת חוק תקשורת דיגיטלית עם גופים ציבוריים (תיקון - אישור קבלה ועדכון על מצב הטיפול בפנייה), התשפ""ה-2025")</f>
        <v>4271</v>
      </c>
      <c r="E2045" t="s">
        <v>4271</v>
      </c>
      <c r="F2045" t="s">
        <v>4272</v>
      </c>
      <c r="G2045" t="s">
        <v>14</v>
      </c>
      <c r="H2045">
             </c>
      <c r="I2045" t="s">
        <v>14</v>
      </c>
      <c r="J2045" t="s">
        <v>141</v>
      </c>
      <c r="K2045" t="s">
        <v>14</v>
      </c>
      <c r="L2045" t="s">
        <v>20</v>
      </c>
      <c r="M2045" t="s">
        <v>4244</v>
      </c>
      <c r="N2045" t="s">
        <v>14</v>
      </c>
    </row>
    <row r="2046" x14ac:dyDescent="0.25">
      <c r="A2046" t="n">
        <v>25</v>
      </c>
      <c r="B2046" t="s">
        <v>14</v>
      </c>
      <c r="C2046" t="s">
        <v>22</v>
      </c>
      <c r="D2046" s="2" t="s">
        <f>=HYPERLINK("https://main.knesset.gov.il/APPS/legislation/main/bills/2225891", "הצעת חוק-יסוד: משק המדינה (תיקון - סנקציה לאי-עמידה בזמני הגשת התקציב)")</f>
        <v>4273</v>
      </c>
      <c r="E2046" t="s">
        <v>4273</v>
      </c>
      <c r="F2046" t="s">
        <v>4274</v>
      </c>
      <c r="G2046" t="s">
        <v>14</v>
      </c>
      <c r="H2046">
             </c>
      <c r="I2046" t="s">
        <v>14</v>
      </c>
      <c r="J2046" t="s">
        <v>141</v>
      </c>
      <c r="K2046" t="s">
        <v>14</v>
      </c>
      <c r="L2046" t="s">
        <v>20</v>
      </c>
      <c r="M2046" t="s">
        <v>4244</v>
      </c>
      <c r="N2046" t="s">
        <v>14</v>
      </c>
    </row>
    <row r="2047" x14ac:dyDescent="0.25">
      <c r="A2047" t="n">
        <v>25</v>
      </c>
      <c r="B2047" t="s">
        <v>14</v>
      </c>
      <c r="C2047" t="s">
        <v>22</v>
      </c>
      <c r="D2047" s="2" t="s">
        <f>=HYPERLINK("https://main.knesset.gov.il/APPS/legislation/main/bills/2227065", "הצעת חוק להסדרת הביטחון בגופים ציבוריים (תיקון - אבטחה במוסדות להשכלה גבוהה), התשפ""ה-2025")</f>
        <v>4275</v>
      </c>
      <c r="E2047" t="s">
        <v>4275</v>
      </c>
      <c r="F2047" t="s">
        <v>4276</v>
      </c>
      <c r="G2047" t="s">
        <v>14</v>
      </c>
      <c r="H2047">
             </c>
      <c r="I2047" t="s">
        <v>14</v>
      </c>
      <c r="J2047" t="s">
        <v>141</v>
      </c>
      <c r="K2047" t="s">
        <v>14</v>
      </c>
      <c r="L2047" t="s">
        <v>20</v>
      </c>
      <c r="M2047" t="s">
        <v>4244</v>
      </c>
      <c r="N2047" t="s">
        <v>14</v>
      </c>
    </row>
    <row r="2048" x14ac:dyDescent="0.25">
      <c r="A2048" t="n">
        <v>25</v>
      </c>
      <c r="B2048" t="s">
        <v>14</v>
      </c>
      <c r="C2048" t="s">
        <v>22</v>
      </c>
      <c r="D2048" s="2" t="s">
        <f>=HYPERLINK("https://main.knesset.gov.il/APPS/legislation/main/bills/2227311", "הצעת חוק זכויות הסטודנט (תיקון - איסור הפליה מחמת מוגבלות), התשפ""ה-2025")</f>
        <v>4277</v>
      </c>
      <c r="E2048" t="s">
        <v>4277</v>
      </c>
      <c r="F2048" t="s">
        <v>4278</v>
      </c>
      <c r="G2048" t="s">
        <v>14</v>
      </c>
      <c r="H2048">
             </c>
      <c r="I2048" t="s">
        <v>14</v>
      </c>
      <c r="J2048" t="s">
        <v>343</v>
      </c>
      <c r="K2048" t="s">
        <v>14</v>
      </c>
      <c r="L2048" t="s">
        <v>20</v>
      </c>
      <c r="M2048" t="s">
        <v>4244</v>
      </c>
      <c r="N2048" t="s">
        <v>14</v>
      </c>
    </row>
    <row r="2049" x14ac:dyDescent="0.25">
      <c r="A2049" t="n">
        <v>25</v>
      </c>
      <c r="B2049" t="s">
        <v>14</v>
      </c>
      <c r="C2049" t="s">
        <v>22</v>
      </c>
      <c r="D2049" s="2" t="s">
        <f>=HYPERLINK("https://main.knesset.gov.il/APPS/legislation/main/bills/2227426", "הצעת חוק הביטוח הלאומי (תיקון - חישוב התגמול לעצמאים בשירות מילואים), התשפ""ה-2025")</f>
        <v>4279</v>
      </c>
      <c r="E2049" t="s">
        <v>4279</v>
      </c>
      <c r="F2049" t="s">
        <v>4280</v>
      </c>
      <c r="G2049" t="s">
        <v>14</v>
      </c>
      <c r="H2049">
             </c>
      <c r="I2049" t="s">
        <v>14</v>
      </c>
      <c r="J2049" t="s">
        <v>141</v>
      </c>
      <c r="K2049" t="s">
        <v>14</v>
      </c>
      <c r="L2049" t="s">
        <v>20</v>
      </c>
      <c r="M2049" t="s">
        <v>4244</v>
      </c>
      <c r="N2049" t="s">
        <v>14</v>
      </c>
    </row>
    <row r="2050" x14ac:dyDescent="0.25">
      <c r="A2050" t="n">
        <v>25</v>
      </c>
      <c r="B2050" t="s">
        <v>14</v>
      </c>
      <c r="C2050" t="s">
        <v>22</v>
      </c>
      <c r="D2050" s="2" t="s">
        <f>=HYPERLINK("https://main.knesset.gov.il/APPS/legislation/main/bills/2225650", "הצעת חוק תוספת ימי היעדרות והרחבת התקופה המוגנת מפני פיטורים לבן זוג של משרת מילואים (תיקוני חקיקה), התשפ""ה-2025")</f>
        <v>4281</v>
      </c>
      <c r="E2050" t="s">
        <v>4281</v>
      </c>
      <c r="F2050" t="s">
        <v>4282</v>
      </c>
      <c r="G2050" t="s">
        <v>14</v>
      </c>
      <c r="H2050">
             </c>
      <c r="I2050" t="s">
        <v>14</v>
      </c>
      <c r="J2050" t="s">
        <v>141</v>
      </c>
      <c r="K2050" t="s">
        <v>14</v>
      </c>
      <c r="L2050" t="s">
        <v>20</v>
      </c>
      <c r="M2050" t="s">
        <v>4244</v>
      </c>
      <c r="N2050" t="s">
        <v>14</v>
      </c>
    </row>
    <row r="2051" x14ac:dyDescent="0.25">
      <c r="A2051" t="n">
        <v>25</v>
      </c>
      <c r="B2051" t="s">
        <v>14</v>
      </c>
      <c r="C2051" t="s">
        <v>22</v>
      </c>
      <c r="D2051" s="2" t="s">
        <f>=HYPERLINK("https://main.knesset.gov.il/APPS/legislation/main/bills/2224518", "הצעת חוק הבנקאות (שירות ללקוח) (תיקון - הודעה ללקוח בדבר הטלת עיקול על חשבונו), התשפ""ה-2025")</f>
        <v>4173</v>
      </c>
      <c r="E2051" t="s">
        <v>4173</v>
      </c>
      <c r="F2051" t="s">
        <v>4283</v>
      </c>
      <c r="G2051" t="s">
        <v>14</v>
      </c>
      <c r="H2051">
             </c>
      <c r="I2051" t="s">
        <v>14</v>
      </c>
      <c r="J2051" t="s">
        <v>141</v>
      </c>
      <c r="K2051" t="s">
        <v>14</v>
      </c>
      <c r="L2051" t="s">
        <v>20</v>
      </c>
      <c r="M2051" t="s">
        <v>4244</v>
      </c>
      <c r="N2051" t="s">
        <v>14</v>
      </c>
    </row>
    <row r="2052" x14ac:dyDescent="0.25">
      <c r="A2052" t="n">
        <v>25</v>
      </c>
      <c r="B2052" t="s">
        <v>14</v>
      </c>
      <c r="C2052" t="s">
        <v>22</v>
      </c>
      <c r="D2052" s="2" t="s">
        <f>=HYPERLINK("https://main.knesset.gov.il/APPS/legislation/main/bills/2225631", "הצעת חוק לתיקון פקודת התעבורה (פיצוי בשל איחור אוטובוס), התשפ""ה-2025")</f>
        <v>4284</v>
      </c>
      <c r="E2052" t="s">
        <v>4284</v>
      </c>
      <c r="F2052" t="s">
        <v>4285</v>
      </c>
      <c r="G2052" t="s">
        <v>14</v>
      </c>
      <c r="H2052">
             </c>
      <c r="I2052" t="s">
        <v>14</v>
      </c>
      <c r="J2052" t="s">
        <v>141</v>
      </c>
      <c r="K2052" t="s">
        <v>14</v>
      </c>
      <c r="L2052" t="s">
        <v>20</v>
      </c>
      <c r="M2052" t="s">
        <v>4244</v>
      </c>
      <c r="N2052" t="s">
        <v>14</v>
      </c>
    </row>
    <row r="2053" x14ac:dyDescent="0.25">
      <c r="A2053" t="n">
        <v>25</v>
      </c>
      <c r="B2053" t="s">
        <v>14</v>
      </c>
      <c r="C2053" t="s">
        <v>22</v>
      </c>
      <c r="D2053" s="2" t="s">
        <f>=HYPERLINK("https://main.knesset.gov.il/APPS/legislation/main/bills/2227369", "הצעת חוק סיוע למשפחות נרצחי מאורעות 7 באוקטובר, התשפ""ה-2025")</f>
        <v>4286</v>
      </c>
      <c r="E2053" t="s">
        <v>4286</v>
      </c>
      <c r="F2053" t="s">
        <v>4287</v>
      </c>
      <c r="G2053" t="s">
        <v>14</v>
      </c>
      <c r="H2053">
             </c>
      <c r="I2053" t="s">
        <v>14</v>
      </c>
      <c r="J2053" t="s">
        <v>141</v>
      </c>
      <c r="K2053" t="s">
        <v>14</v>
      </c>
      <c r="L2053" t="s">
        <v>20</v>
      </c>
      <c r="M2053" t="s">
        <v>4244</v>
      </c>
      <c r="N2053" t="s">
        <v>14</v>
      </c>
    </row>
    <row r="2054" x14ac:dyDescent="0.25">
      <c r="A2054" t="n">
        <v>25</v>
      </c>
      <c r="B2054" t="s">
        <v>14</v>
      </c>
      <c r="C2054" t="s">
        <v>22</v>
      </c>
      <c r="D2054" s="2" t="s">
        <f>=HYPERLINK("https://main.knesset.gov.il/APPS/legislation/main/bills/2227307", "הצעת חוק הגנת השכר (תיקון - תלוש שכר אחיד בשירות המדינה), התשפ""ה-2025")</f>
        <v>4288</v>
      </c>
      <c r="E2054" t="s">
        <v>4288</v>
      </c>
      <c r="F2054" t="s">
        <v>4289</v>
      </c>
      <c r="G2054" t="s">
        <v>14</v>
      </c>
      <c r="H2054">
             </c>
      <c r="I2054" t="s">
        <v>14</v>
      </c>
      <c r="J2054" t="s">
        <v>141</v>
      </c>
      <c r="K2054" t="s">
        <v>14</v>
      </c>
      <c r="L2054" t="s">
        <v>20</v>
      </c>
      <c r="M2054" t="s">
        <v>4244</v>
      </c>
      <c r="N2054" t="s">
        <v>14</v>
      </c>
    </row>
    <row r="2055" x14ac:dyDescent="0.25">
      <c r="A2055" t="n">
        <v>25</v>
      </c>
      <c r="B2055" t="s">
        <v>14</v>
      </c>
      <c r="C2055" t="s">
        <v>22</v>
      </c>
      <c r="D2055" s="2" t="s">
        <f>=HYPERLINK("https://main.knesset.gov.il/APPS/legislation/main/bills/2226997", "הצעת חוק זכויות הסטודנט (תיקון - איסור הפליה מחמת מוגבלות), התשפ""ה-2025")</f>
        <v>4277</v>
      </c>
      <c r="E2055" t="s">
        <v>4277</v>
      </c>
      <c r="F2055" t="s">
        <v>4290</v>
      </c>
      <c r="G2055" t="s">
        <v>14</v>
      </c>
      <c r="H2055">
             </c>
      <c r="I2055" t="s">
        <v>14</v>
      </c>
      <c r="J2055" t="s">
        <v>343</v>
      </c>
      <c r="K2055" t="s">
        <v>14</v>
      </c>
      <c r="L2055" t="s">
        <v>20</v>
      </c>
      <c r="M2055" t="s">
        <v>4244</v>
      </c>
      <c r="N2055" t="s">
        <v>14</v>
      </c>
    </row>
    <row r="2056" x14ac:dyDescent="0.25">
      <c r="A2056" t="n">
        <v>25</v>
      </c>
      <c r="B2056" t="s">
        <v>14</v>
      </c>
      <c r="C2056" t="s">
        <v>22</v>
      </c>
      <c r="D2056" s="2" t="s">
        <f>=HYPERLINK("https://main.knesset.gov.il/APPS/legislation/main/bills/2227028", "הצעת חוק החלת תקצוב מגדרי על תקציבים ציבוריים בישראל, התשפ""ה-2025")</f>
        <v>2483</v>
      </c>
      <c r="E2056" t="s">
        <v>2483</v>
      </c>
      <c r="F2056" t="s">
        <v>4291</v>
      </c>
      <c r="G2056" t="s">
        <v>14</v>
      </c>
      <c r="H2056">
             </c>
      <c r="I2056" t="s">
        <v>14</v>
      </c>
      <c r="J2056" t="s">
        <v>141</v>
      </c>
      <c r="K2056" t="s">
        <v>14</v>
      </c>
      <c r="L2056" t="s">
        <v>20</v>
      </c>
      <c r="M2056" t="s">
        <v>4244</v>
      </c>
      <c r="N2056" t="s">
        <v>14</v>
      </c>
    </row>
    <row r="2057" x14ac:dyDescent="0.25">
      <c r="A2057" t="n">
        <v>25</v>
      </c>
      <c r="B2057" t="s">
        <v>14</v>
      </c>
      <c r="C2057" t="s">
        <v>22</v>
      </c>
      <c r="D2057" s="2" t="s">
        <f>=HYPERLINK("https://main.knesset.gov.il/APPS/legislation/main/bills/2225666", "הצעת חוק חסינות חברי הכנסת, זכויותיהם וחובותיהם (תיקון - ביקור במוסדות ציבוריים), התשפ""ה-2025")</f>
        <v>4292</v>
      </c>
      <c r="E2057" t="s">
        <v>4292</v>
      </c>
      <c r="F2057" t="s">
        <v>4293</v>
      </c>
      <c r="G2057" t="s">
        <v>14</v>
      </c>
      <c r="H2057">
             </c>
      <c r="I2057" t="s">
        <v>14</v>
      </c>
      <c r="J2057" t="s">
        <v>141</v>
      </c>
      <c r="K2057" t="s">
        <v>14</v>
      </c>
      <c r="L2057" t="s">
        <v>20</v>
      </c>
      <c r="M2057" t="s">
        <v>4244</v>
      </c>
      <c r="N2057" t="s">
        <v>14</v>
      </c>
    </row>
    <row r="2058" x14ac:dyDescent="0.25">
      <c r="A2058" t="n">
        <v>25</v>
      </c>
      <c r="B2058" t="s">
        <v>14</v>
      </c>
      <c r="C2058" t="s">
        <v>22</v>
      </c>
      <c r="D2058" s="2" t="s">
        <f>=HYPERLINK("https://main.knesset.gov.il/APPS/legislation/main/bills/2221505", "הצעת חוק מס ערך מוסף (תיקון - פטור ממס על תשר), התשפ""ה-2024")</f>
        <v>4294</v>
      </c>
      <c r="E2058" t="s">
        <v>4294</v>
      </c>
      <c r="F2058" t="s">
        <v>4295</v>
      </c>
      <c r="G2058" t="s">
        <v>14</v>
      </c>
      <c r="H2058">
             </c>
      <c r="I2058" t="s">
        <v>14</v>
      </c>
      <c r="J2058" t="s">
        <v>31</v>
      </c>
      <c r="K2058" t="s">
        <v>85</v>
      </c>
      <c r="L2058" t="s">
        <v>20</v>
      </c>
      <c r="M2058" t="s">
        <v>4296</v>
      </c>
      <c r="N2058" t="s">
        <v>14</v>
      </c>
    </row>
    <row r="2059" x14ac:dyDescent="0.25">
      <c r="A2059" t="n">
        <v>25</v>
      </c>
      <c r="B2059" t="s">
        <v>14</v>
      </c>
      <c r="C2059" t="s">
        <v>22</v>
      </c>
      <c r="D2059" s="2" t="s">
        <f>=HYPERLINK("https://main.knesset.gov.il/APPS/legislation/main/bills/2221538", "הצעת חוק מס ערך מוסף (תיקון - פטור ממס על תשר), התשפ""ה-2024")</f>
        <v>4294</v>
      </c>
      <c r="E2059" t="s">
        <v>4294</v>
      </c>
      <c r="F2059" t="s">
        <v>4297</v>
      </c>
      <c r="G2059" t="s">
        <v>14</v>
      </c>
      <c r="H2059">
             </c>
      <c r="I2059" t="s">
        <v>14</v>
      </c>
      <c r="J2059" t="s">
        <v>31</v>
      </c>
      <c r="K2059" t="s">
        <v>85</v>
      </c>
      <c r="L2059" t="s">
        <v>20</v>
      </c>
      <c r="M2059" t="s">
        <v>4296</v>
      </c>
      <c r="N2059" t="s">
        <v>14</v>
      </c>
    </row>
    <row r="2060" x14ac:dyDescent="0.25">
      <c r="A2060" t="n">
        <v>25</v>
      </c>
      <c r="B2060" t="s">
        <v>14</v>
      </c>
      <c r="C2060" t="s">
        <v>22</v>
      </c>
      <c r="D2060" s="2" t="s">
        <f>=HYPERLINK("https://main.knesset.gov.il/APPS/legislation/main/bills/2208708", "חוק לשכת עורכי הדין (תיקון מס' 45), התשפ""ה–2025")</f>
        <v>4298</v>
      </c>
      <c r="E2060" t="s">
        <v>4298</v>
      </c>
      <c r="F2060" t="s">
        <v>4299</v>
      </c>
      <c r="G2060" t="s">
        <v>4300</v>
      </c>
      <c r="H2060" t="n">
        <v>3359</v>
      </c>
      <c r="I2060" t="s">
        <v>14</v>
      </c>
      <c r="J2060" t="s">
        <v>91</v>
      </c>
      <c r="K2060" t="s">
        <v>27</v>
      </c>
      <c r="L2060" t="s">
        <v>20</v>
      </c>
      <c r="M2060" t="s">
        <v>4296</v>
      </c>
      <c r="N2060" t="s">
        <v>4301</v>
      </c>
    </row>
    <row r="2061" x14ac:dyDescent="0.25">
      <c r="A2061" t="n">
        <v>25</v>
      </c>
      <c r="B2061" t="s">
        <v>14</v>
      </c>
      <c r="C2061" t="s">
        <v>22</v>
      </c>
      <c r="D2061" s="2" t="s">
        <f>=HYPERLINK("https://main.knesset.gov.il/APPS/legislation/main/bills/2223191", "הצעת חוק ועדת חקירה ממלכתית בגין אירועי 7 באוקטובר ומלחמת חרבות ברזל, התשפ""ה-2024 ")</f>
        <v>4302</v>
      </c>
      <c r="E2061" t="s">
        <v>4302</v>
      </c>
      <c r="F2061" t="s">
        <v>4303</v>
      </c>
      <c r="G2061" t="s">
        <v>14</v>
      </c>
      <c r="H2061">
             </c>
      <c r="I2061" t="s">
        <v>14</v>
      </c>
      <c r="J2061" t="s">
        <v>55</v>
      </c>
      <c r="K2061" t="s">
        <v>14</v>
      </c>
      <c r="L2061" t="s">
        <v>20</v>
      </c>
      <c r="M2061" t="s">
        <v>4296</v>
      </c>
      <c r="N2061" t="s">
        <v>14</v>
      </c>
    </row>
    <row r="2062" x14ac:dyDescent="0.25">
      <c r="A2062" t="n">
        <v>25</v>
      </c>
      <c r="B2062" t="s">
        <v>14</v>
      </c>
      <c r="C2062" t="s">
        <v>22</v>
      </c>
      <c r="D2062" s="2" t="s">
        <f>=HYPERLINK("https://main.knesset.gov.il/APPS/legislation/main/bills/2195655", "הצעת חוק הרחבת לימודי הבסיס בחינוך שאינו ממלכתי (הוראת שעה), התשפ""ג-2023")</f>
        <v>4304</v>
      </c>
      <c r="E2062" t="s">
        <v>4304</v>
      </c>
      <c r="F2062" t="s">
        <v>4305</v>
      </c>
      <c r="G2062" t="s">
        <v>14</v>
      </c>
      <c r="H2062">
             </c>
      <c r="I2062" t="s">
        <v>14</v>
      </c>
      <c r="J2062" t="s">
        <v>55</v>
      </c>
      <c r="K2062" t="s">
        <v>14</v>
      </c>
      <c r="L2062" t="s">
        <v>20</v>
      </c>
      <c r="M2062" t="s">
        <v>4296</v>
      </c>
      <c r="N2062" t="s">
        <v>14</v>
      </c>
    </row>
    <row r="2063" x14ac:dyDescent="0.25">
      <c r="A2063" t="n">
        <v>25</v>
      </c>
      <c r="B2063" t="s">
        <v>14</v>
      </c>
      <c r="C2063" t="s">
        <v>22</v>
      </c>
      <c r="D2063" s="2" t="s">
        <f>=HYPERLINK("https://main.knesset.gov.il/APPS/legislation/main/bills/2203397", "הצעת חוק החלת הריבונות הישראלית על בקעת הירדן, התשפ""ג-2023")</f>
        <v>4306</v>
      </c>
      <c r="E2063" t="s">
        <v>4306</v>
      </c>
      <c r="F2063" t="s">
        <v>4307</v>
      </c>
      <c r="G2063" t="s">
        <v>14</v>
      </c>
      <c r="H2063">
             </c>
      <c r="I2063" t="s">
        <v>14</v>
      </c>
      <c r="J2063" t="s">
        <v>55</v>
      </c>
      <c r="K2063" t="s">
        <v>14</v>
      </c>
      <c r="L2063" t="s">
        <v>20</v>
      </c>
      <c r="M2063" t="s">
        <v>4296</v>
      </c>
      <c r="N2063" t="s">
        <v>14</v>
      </c>
    </row>
    <row r="2064" x14ac:dyDescent="0.25">
      <c r="A2064" t="n">
        <v>25</v>
      </c>
      <c r="B2064" t="s">
        <v>14</v>
      </c>
      <c r="C2064" t="s">
        <v>22</v>
      </c>
      <c r="D2064" s="2" t="s">
        <f>=HYPERLINK("https://main.knesset.gov.il/APPS/legislation/main/bills/2225064", "הצעת חוק מיקוד לאומי לשיקום מרחיב לחבל התקומה, התשפ""ה-2024")</f>
        <v>4308</v>
      </c>
      <c r="E2064" t="s">
        <v>4308</v>
      </c>
      <c r="F2064" t="s">
        <v>4309</v>
      </c>
      <c r="G2064" t="s">
        <v>14</v>
      </c>
      <c r="H2064">
             </c>
      <c r="I2064" t="s">
        <v>14</v>
      </c>
      <c r="J2064" t="s">
        <v>99</v>
      </c>
      <c r="K2064" t="s">
        <v>19</v>
      </c>
      <c r="L2064" t="s">
        <v>20</v>
      </c>
      <c r="M2064" t="s">
        <v>4310</v>
      </c>
      <c r="N2064" t="s">
        <v>14</v>
      </c>
    </row>
    <row r="2065" x14ac:dyDescent="0.25">
      <c r="A2065" t="n">
        <v>25</v>
      </c>
      <c r="B2065" t="s">
        <v>14</v>
      </c>
      <c r="C2065" t="s">
        <v>22</v>
      </c>
      <c r="D2065" s="2" t="s">
        <f>=HYPERLINK("https://main.knesset.gov.il/APPS/legislation/main/bills/2211184", "חוק איסור הכחשת אירועי טבח 7 באוקטובר 2023 (טבח שמיני עצרת), התשפ""ה–2025")</f>
        <v>4311</v>
      </c>
      <c r="E2065" t="s">
        <v>4311</v>
      </c>
      <c r="F2065" t="s">
        <v>4312</v>
      </c>
      <c r="G2065" t="s">
        <v>4313</v>
      </c>
      <c r="H2065" t="n">
        <v>3358</v>
      </c>
      <c r="I2065" t="s">
        <v>14</v>
      </c>
      <c r="J2065" t="s">
        <v>91</v>
      </c>
      <c r="K2065" t="s">
        <v>27</v>
      </c>
      <c r="L2065" t="s">
        <v>20</v>
      </c>
      <c r="M2065" t="s">
        <v>4310</v>
      </c>
      <c r="N2065" t="s">
        <v>4314</v>
      </c>
    </row>
    <row r="2066" x14ac:dyDescent="0.25">
      <c r="A2066" t="n">
        <v>25</v>
      </c>
      <c r="B2066" t="s">
        <v>14</v>
      </c>
      <c r="C2066" t="s">
        <v>15</v>
      </c>
      <c r="D2066" s="2" t="s">
        <f>=HYPERLINK("https://main.knesset.gov.il/APPS/legislation/main/bills/2225865", "חוק תאגידי מים וביוב (תיקון מס' 17), התשפ""ה-2025")</f>
        <v>4315</v>
      </c>
      <c r="E2066" t="s">
        <v>4315</v>
      </c>
      <c r="F2066" t="s">
        <v>14</v>
      </c>
      <c r="G2066" t="s">
        <v>4316</v>
      </c>
      <c r="H2066" t="n">
        <v>3357</v>
      </c>
      <c r="I2066" t="s">
        <v>14</v>
      </c>
      <c r="J2066" t="s">
        <v>91</v>
      </c>
      <c r="K2066" t="s">
        <v>19</v>
      </c>
      <c r="L2066" t="s">
        <v>20</v>
      </c>
      <c r="M2066" t="s">
        <v>4310</v>
      </c>
      <c r="N2066" t="s">
        <v>4317</v>
      </c>
    </row>
    <row r="2067" x14ac:dyDescent="0.25">
      <c r="A2067" t="n">
        <v>25</v>
      </c>
      <c r="B2067" t="s">
        <v>14</v>
      </c>
      <c r="C2067" t="s">
        <v>22</v>
      </c>
      <c r="D2067" s="2" t="s">
        <f>=HYPERLINK("https://main.knesset.gov.il/APPS/legislation/main/bills/2197296", "הצעת חוק הביטוח הלאומי (תיקון מס' 255) (תשלום גמלה לשמירת היריון), התשפ""ה-2024")</f>
        <v>4318</v>
      </c>
      <c r="E2067" t="s">
        <v>4318</v>
      </c>
      <c r="F2067" t="s">
        <v>4319</v>
      </c>
      <c r="G2067" t="s">
        <v>4320</v>
      </c>
      <c r="H2067">
             </c>
      <c r="I2067" t="s">
        <v>14</v>
      </c>
      <c r="J2067" t="s">
        <v>18</v>
      </c>
      <c r="K2067" t="s">
        <v>127</v>
      </c>
      <c r="L2067" t="s">
        <v>20</v>
      </c>
      <c r="M2067" t="s">
        <v>4310</v>
      </c>
      <c r="N2067" t="s">
        <v>14</v>
      </c>
    </row>
    <row r="2068" x14ac:dyDescent="0.25">
      <c r="A2068" t="n">
        <v>25</v>
      </c>
      <c r="B2068" t="s">
        <v>14</v>
      </c>
      <c r="C2068" t="s">
        <v>15</v>
      </c>
      <c r="D2068" s="2" t="s">
        <f>=HYPERLINK("https://main.knesset.gov.il/APPS/legislation/main/bills/2227199", "סעיפים 9(7), 13 ו-14 (אישור מיזמים משותפים) מתוך הצעת חוק התוכנית הכלכלית (תיקוני חקיקה ליישום המדיניות הכלכלית לשנת התקציב 2025), התשפ""ה-2024 [פוצל לפי סעיף 84(ב) לתקנון]")</f>
        <v>4321</v>
      </c>
      <c r="E2068" t="s">
        <v>4321</v>
      </c>
      <c r="F2068" t="s">
        <v>14</v>
      </c>
      <c r="G2068" t="s">
        <v>43</v>
      </c>
      <c r="H2068">
             </c>
      <c r="I2068" t="s">
        <v>14</v>
      </c>
      <c r="J2068" t="s">
        <v>18</v>
      </c>
      <c r="K2068" t="s">
        <v>46</v>
      </c>
      <c r="L2068" t="s">
        <v>20</v>
      </c>
      <c r="M2068" t="s">
        <v>4322</v>
      </c>
      <c r="N2068" t="s">
        <v>14</v>
      </c>
    </row>
    <row r="2069" x14ac:dyDescent="0.25">
      <c r="A2069" t="n">
        <v>25</v>
      </c>
      <c r="B2069" t="s">
        <v>14</v>
      </c>
      <c r="C2069" t="s">
        <v>15</v>
      </c>
      <c r="D2069" s="2" t="s">
        <f>=HYPERLINK("https://main.knesset.gov.il/APPS/legislation/main/bills/2223548", "חוק הגז הפחמימני המעובה (תיקון מס' 2), התשפ""ה-2025 ")</f>
        <v>4323</v>
      </c>
      <c r="E2069" t="s">
        <v>4323</v>
      </c>
      <c r="F2069" t="s">
        <v>14</v>
      </c>
      <c r="G2069" t="s">
        <v>4324</v>
      </c>
      <c r="H2069" t="n">
        <v>3356</v>
      </c>
      <c r="I2069" t="s">
        <v>14</v>
      </c>
      <c r="J2069" t="s">
        <v>91</v>
      </c>
      <c r="K2069" t="s">
        <v>19</v>
      </c>
      <c r="L2069" t="s">
        <v>20</v>
      </c>
      <c r="M2069" t="s">
        <v>4322</v>
      </c>
      <c r="N2069" t="s">
        <v>4325</v>
      </c>
    </row>
    <row r="2070" x14ac:dyDescent="0.25">
      <c r="A2070" t="n">
        <v>25</v>
      </c>
      <c r="B2070" t="s">
        <v>14</v>
      </c>
      <c r="C2070" t="s">
        <v>22</v>
      </c>
      <c r="D2070" s="2" t="s">
        <f>=HYPERLINK("https://main.knesset.gov.il/APPS/legislation/main/bills/2226337", "הצעת חוק כליאת אסירים ביטחוניים, התשפ""ה-2025")</f>
        <v>3806</v>
      </c>
      <c r="E2070" t="s">
        <v>3806</v>
      </c>
      <c r="F2070" t="s">
        <v>4326</v>
      </c>
      <c r="G2070" t="s">
        <v>14</v>
      </c>
      <c r="H2070">
             </c>
      <c r="I2070" t="s">
        <v>14</v>
      </c>
      <c r="J2070" t="s">
        <v>141</v>
      </c>
      <c r="K2070" t="s">
        <v>14</v>
      </c>
      <c r="L2070" t="s">
        <v>20</v>
      </c>
      <c r="M2070" t="s">
        <v>4322</v>
      </c>
      <c r="N2070" t="s">
        <v>14</v>
      </c>
    </row>
    <row r="2071" x14ac:dyDescent="0.25">
      <c r="A2071" t="n">
        <v>25</v>
      </c>
      <c r="B2071" t="s">
        <v>14</v>
      </c>
      <c r="C2071" t="s">
        <v>22</v>
      </c>
      <c r="D2071" s="2" t="s">
        <f>=HYPERLINK("https://main.knesset.gov.il/APPS/legislation/main/bills/2198420", "הצעת חוק שירות המדינה (מינויים) (תיקון - מינוי יועצים משפטיים של משרדים), התשפ""ה-2025")</f>
        <v>4327</v>
      </c>
      <c r="E2071" t="s">
        <v>4327</v>
      </c>
      <c r="F2071" t="s">
        <v>4328</v>
      </c>
      <c r="G2071" t="s">
        <v>14</v>
      </c>
      <c r="H2071">
             </c>
      <c r="I2071" t="s">
        <v>14</v>
      </c>
      <c r="J2071" t="s">
        <v>141</v>
      </c>
      <c r="K2071" t="s">
        <v>14</v>
      </c>
      <c r="L2071" t="s">
        <v>20</v>
      </c>
      <c r="M2071" t="s">
        <v>4322</v>
      </c>
      <c r="N2071" t="s">
        <v>14</v>
      </c>
    </row>
    <row r="2072" x14ac:dyDescent="0.25">
      <c r="A2072" t="n">
        <v>25</v>
      </c>
      <c r="B2072" t="s">
        <v>14</v>
      </c>
      <c r="C2072" t="s">
        <v>22</v>
      </c>
      <c r="D2072" s="2" t="s">
        <f>=HYPERLINK("https://main.knesset.gov.il/APPS/legislation/main/bills/2226683", "הצעת חוק החלת תקצוב מגדרי על תקציבים ציבוריים בישראל, התשפ""ה-2025")</f>
        <v>2483</v>
      </c>
      <c r="E2072" t="s">
        <v>2483</v>
      </c>
      <c r="F2072" t="s">
        <v>4329</v>
      </c>
      <c r="G2072" t="s">
        <v>14</v>
      </c>
      <c r="H2072">
             </c>
      <c r="I2072" t="s">
        <v>14</v>
      </c>
      <c r="J2072" t="s">
        <v>141</v>
      </c>
      <c r="K2072" t="s">
        <v>14</v>
      </c>
      <c r="L2072" t="s">
        <v>20</v>
      </c>
      <c r="M2072" t="s">
        <v>4322</v>
      </c>
      <c r="N2072" t="s">
        <v>14</v>
      </c>
    </row>
    <row r="2073" x14ac:dyDescent="0.25">
      <c r="A2073" t="n">
        <v>25</v>
      </c>
      <c r="B2073" t="s">
        <v>14</v>
      </c>
      <c r="C2073" t="s">
        <v>22</v>
      </c>
      <c r="D2073" s="2" t="s">
        <f>=HYPERLINK("https://main.knesset.gov.il/APPS/legislation/main/bills/2198417", "הצעת חוק-יסוד: השפיטה (תיקון - הגבלת זכות העמידה)")</f>
        <v>4330</v>
      </c>
      <c r="E2073" t="s">
        <v>4330</v>
      </c>
      <c r="F2073" t="s">
        <v>4331</v>
      </c>
      <c r="G2073" t="s">
        <v>14</v>
      </c>
      <c r="H2073">
             </c>
      <c r="I2073" t="s">
        <v>14</v>
      </c>
      <c r="J2073" t="s">
        <v>141</v>
      </c>
      <c r="K2073" t="s">
        <v>14</v>
      </c>
      <c r="L2073" t="s">
        <v>20</v>
      </c>
      <c r="M2073" t="s">
        <v>4322</v>
      </c>
      <c r="N2073" t="s">
        <v>14</v>
      </c>
    </row>
    <row r="2074" x14ac:dyDescent="0.25">
      <c r="A2074" t="n">
        <v>25</v>
      </c>
      <c r="B2074" t="s">
        <v>14</v>
      </c>
      <c r="C2074" t="s">
        <v>22</v>
      </c>
      <c r="D2074" s="2" t="s">
        <f>=HYPERLINK("https://main.knesset.gov.il/APPS/legislation/main/bills/2226510", "הצעת חוק מעמד המשרת בשירות צבאי או לאומי, התשפ""ה-2025")</f>
        <v>4332</v>
      </c>
      <c r="E2074" t="s">
        <v>4332</v>
      </c>
      <c r="F2074" t="s">
        <v>4333</v>
      </c>
      <c r="G2074" t="s">
        <v>14</v>
      </c>
      <c r="H2074">
             </c>
      <c r="I2074" t="s">
        <v>14</v>
      </c>
      <c r="J2074" t="s">
        <v>141</v>
      </c>
      <c r="K2074" t="s">
        <v>14</v>
      </c>
      <c r="L2074" t="s">
        <v>20</v>
      </c>
      <c r="M2074" t="s">
        <v>4322</v>
      </c>
      <c r="N2074" t="s">
        <v>14</v>
      </c>
    </row>
    <row r="2075" x14ac:dyDescent="0.25">
      <c r="A2075" t="n">
        <v>25</v>
      </c>
      <c r="B2075" t="s">
        <v>14</v>
      </c>
      <c r="C2075" t="s">
        <v>22</v>
      </c>
      <c r="D2075" s="2" t="s">
        <f>=HYPERLINK("https://main.knesset.gov.il/APPS/legislation/main/bills/2226762", "הצעת חוק עידוד שירות צבאי, לאומי או לאומי-אזרחי במוסדות להשכלה גבוהה, התשפ""ה-2025")</f>
        <v>4163</v>
      </c>
      <c r="E2075" t="s">
        <v>4163</v>
      </c>
      <c r="F2075" t="s">
        <v>4334</v>
      </c>
      <c r="G2075" t="s">
        <v>14</v>
      </c>
      <c r="H2075">
             </c>
      <c r="I2075" t="s">
        <v>14</v>
      </c>
      <c r="J2075" t="s">
        <v>141</v>
      </c>
      <c r="K2075" t="s">
        <v>14</v>
      </c>
      <c r="L2075" t="s">
        <v>20</v>
      </c>
      <c r="M2075" t="s">
        <v>4322</v>
      </c>
      <c r="N2075" t="s">
        <v>14</v>
      </c>
    </row>
    <row r="2076" x14ac:dyDescent="0.25">
      <c r="A2076" t="n">
        <v>25</v>
      </c>
      <c r="B2076" t="s">
        <v>14</v>
      </c>
      <c r="C2076" t="s">
        <v>22</v>
      </c>
      <c r="D2076" s="2" t="s">
        <f>=HYPERLINK("https://main.knesset.gov.il/APPS/legislation/main/bills/2198419", "הצעת חוק-יסוד: השפיטה (תיקון - הפרדת רשויות)")</f>
        <v>4335</v>
      </c>
      <c r="E2076" t="s">
        <v>4335</v>
      </c>
      <c r="F2076" t="s">
        <v>4336</v>
      </c>
      <c r="G2076" t="s">
        <v>14</v>
      </c>
      <c r="H2076">
             </c>
      <c r="I2076" t="s">
        <v>14</v>
      </c>
      <c r="J2076" t="s">
        <v>141</v>
      </c>
      <c r="K2076" t="s">
        <v>14</v>
      </c>
      <c r="L2076" t="s">
        <v>20</v>
      </c>
      <c r="M2076" t="s">
        <v>4322</v>
      </c>
      <c r="N2076" t="s">
        <v>14</v>
      </c>
    </row>
    <row r="2077" x14ac:dyDescent="0.25">
      <c r="A2077" t="n">
        <v>25</v>
      </c>
      <c r="B2077" t="s">
        <v>14</v>
      </c>
      <c r="C2077" t="s">
        <v>22</v>
      </c>
      <c r="D2077" s="2" t="s">
        <f>=HYPERLINK("https://main.knesset.gov.il/APPS/legislation/main/bills/2226417", "הצעת חוק רשות מקרקעי ישראל (תיקון - העדפת רכישת קרקע בפריפריה לחיילי מילואים), התשפ""ה-2025")</f>
        <v>4337</v>
      </c>
      <c r="E2077" t="s">
        <v>4337</v>
      </c>
      <c r="F2077" t="s">
        <v>4338</v>
      </c>
      <c r="G2077" t="s">
        <v>14</v>
      </c>
      <c r="H2077">
             </c>
      <c r="I2077" t="s">
        <v>14</v>
      </c>
      <c r="J2077" t="s">
        <v>141</v>
      </c>
      <c r="K2077" t="s">
        <v>14</v>
      </c>
      <c r="L2077" t="s">
        <v>20</v>
      </c>
      <c r="M2077" t="s">
        <v>4322</v>
      </c>
      <c r="N2077" t="s">
        <v>14</v>
      </c>
    </row>
    <row r="2078" x14ac:dyDescent="0.25">
      <c r="A2078" t="n">
        <v>25</v>
      </c>
      <c r="B2078" t="s">
        <v>14</v>
      </c>
      <c r="C2078" t="s">
        <v>22</v>
      </c>
      <c r="D2078" s="2" t="s">
        <f>=HYPERLINK("https://main.knesset.gov.il/APPS/legislation/main/bills/2226723", "הצעת חוק מרשם האוכלוסין (תיקון - שינוי שם משפחה של קורבנות עבירת רצח שבוצעה על ידי בני משפחתם), התשפ""ה-2025")</f>
        <v>4339</v>
      </c>
      <c r="E2078" t="s">
        <v>4339</v>
      </c>
      <c r="F2078" t="s">
        <v>4340</v>
      </c>
      <c r="G2078" t="s">
        <v>14</v>
      </c>
      <c r="H2078">
             </c>
      <c r="I2078" t="s">
        <v>14</v>
      </c>
      <c r="J2078" t="s">
        <v>141</v>
      </c>
      <c r="K2078" t="s">
        <v>14</v>
      </c>
      <c r="L2078" t="s">
        <v>20</v>
      </c>
      <c r="M2078" t="s">
        <v>4322</v>
      </c>
      <c r="N2078" t="s">
        <v>14</v>
      </c>
    </row>
    <row r="2079" x14ac:dyDescent="0.25">
      <c r="A2079" t="n">
        <v>25</v>
      </c>
      <c r="B2079" t="s">
        <v>14</v>
      </c>
      <c r="C2079" t="s">
        <v>22</v>
      </c>
      <c r="D2079" s="2" t="s">
        <f>=HYPERLINK("https://main.knesset.gov.il/APPS/legislation/main/bills/2227024", "הצעת חוק העברת הודעת פטירה, התשפ""ה-2025")</f>
        <v>4341</v>
      </c>
      <c r="E2079" t="s">
        <v>4341</v>
      </c>
      <c r="F2079" t="s">
        <v>4342</v>
      </c>
      <c r="G2079" t="s">
        <v>14</v>
      </c>
      <c r="H2079">
             </c>
      <c r="I2079" t="s">
        <v>14</v>
      </c>
      <c r="J2079" t="s">
        <v>141</v>
      </c>
      <c r="K2079" t="s">
        <v>14</v>
      </c>
      <c r="L2079" t="s">
        <v>20</v>
      </c>
      <c r="M2079" t="s">
        <v>4322</v>
      </c>
      <c r="N2079" t="s">
        <v>14</v>
      </c>
    </row>
    <row r="2080" x14ac:dyDescent="0.25">
      <c r="A2080" t="n">
        <v>25</v>
      </c>
      <c r="B2080" t="s">
        <v>14</v>
      </c>
      <c r="C2080" t="s">
        <v>22</v>
      </c>
      <c r="D2080" s="2" t="s">
        <f>=HYPERLINK("https://main.knesset.gov.il/APPS/legislation/main/bills/2225201", "הצעת חוק האזנת סתר (תיקון - האזנת סתר באמצעות כלים טכנולוגיים), התשפ""ה-2025")</f>
        <v>4343</v>
      </c>
      <c r="E2080" t="s">
        <v>4343</v>
      </c>
      <c r="F2080" t="s">
        <v>4344</v>
      </c>
      <c r="G2080" t="s">
        <v>14</v>
      </c>
      <c r="H2080">
             </c>
      <c r="I2080" t="s">
        <v>14</v>
      </c>
      <c r="J2080" t="s">
        <v>141</v>
      </c>
      <c r="K2080" t="s">
        <v>14</v>
      </c>
      <c r="L2080" t="s">
        <v>20</v>
      </c>
      <c r="M2080" t="s">
        <v>4322</v>
      </c>
      <c r="N2080" t="s">
        <v>14</v>
      </c>
    </row>
    <row r="2081" x14ac:dyDescent="0.25">
      <c r="A2081" t="n">
        <v>25</v>
      </c>
      <c r="B2081" t="s">
        <v>14</v>
      </c>
      <c r="C2081" t="s">
        <v>22</v>
      </c>
      <c r="D2081" s="2" t="s">
        <f>=HYPERLINK("https://main.knesset.gov.il/APPS/legislation/main/bills/2226062", "הצעת חוק קיום תפילה ומצוות דת בידי אסירים ועצירים (תיקוני חקיקה), התשפ""ה-2025")</f>
        <v>4345</v>
      </c>
      <c r="E2081" t="s">
        <v>4345</v>
      </c>
      <c r="F2081" t="s">
        <v>4346</v>
      </c>
      <c r="G2081" t="s">
        <v>14</v>
      </c>
      <c r="H2081">
             </c>
      <c r="I2081" t="s">
        <v>14</v>
      </c>
      <c r="J2081" t="s">
        <v>141</v>
      </c>
      <c r="K2081" t="s">
        <v>14</v>
      </c>
      <c r="L2081" t="s">
        <v>20</v>
      </c>
      <c r="M2081" t="s">
        <v>4322</v>
      </c>
      <c r="N2081" t="s">
        <v>14</v>
      </c>
    </row>
    <row r="2082" x14ac:dyDescent="0.25">
      <c r="A2082" t="n">
        <v>25</v>
      </c>
      <c r="B2082" t="s">
        <v>14</v>
      </c>
      <c r="C2082" t="s">
        <v>22</v>
      </c>
      <c r="D2082" s="2" t="s">
        <f>=HYPERLINK("https://main.knesset.gov.il/APPS/legislation/main/bills/2226096", "הצעת חוק הפיקוח על יצוא ביטחוני (תיקון - מניעת יצוא ושיווק ביטחוני בשל הטלת אמברגו נשק על ישראל), התשפ""ה-2025")</f>
        <v>4347</v>
      </c>
      <c r="E2082" t="s">
        <v>4347</v>
      </c>
      <c r="F2082" t="s">
        <v>4348</v>
      </c>
      <c r="G2082" t="s">
        <v>14</v>
      </c>
      <c r="H2082">
             </c>
      <c r="I2082" t="s">
        <v>14</v>
      </c>
      <c r="J2082" t="s">
        <v>141</v>
      </c>
      <c r="K2082" t="s">
        <v>14</v>
      </c>
      <c r="L2082" t="s">
        <v>20</v>
      </c>
      <c r="M2082" t="s">
        <v>4322</v>
      </c>
      <c r="N2082" t="s">
        <v>14</v>
      </c>
    </row>
    <row r="2083" x14ac:dyDescent="0.25">
      <c r="A2083" t="n">
        <v>25</v>
      </c>
      <c r="B2083" t="s">
        <v>14</v>
      </c>
      <c r="C2083" t="s">
        <v>22</v>
      </c>
      <c r="D2083" s="2" t="s">
        <f>=HYPERLINK("https://main.knesset.gov.il/APPS/legislation/main/bills/2226915", "הצעת חוק הבנקאות (שירות ללקוח) (תיקון - מסירת מידע על עמלות וריביות בשל פירעון מוקדם של הלוואה), התשפ""ה-2025")</f>
        <v>2539</v>
      </c>
      <c r="E2083" t="s">
        <v>2539</v>
      </c>
      <c r="F2083" t="s">
        <v>4349</v>
      </c>
      <c r="G2083" t="s">
        <v>14</v>
      </c>
      <c r="H2083">
             </c>
      <c r="I2083" t="s">
        <v>14</v>
      </c>
      <c r="J2083" t="s">
        <v>141</v>
      </c>
      <c r="K2083" t="s">
        <v>14</v>
      </c>
      <c r="L2083" t="s">
        <v>20</v>
      </c>
      <c r="M2083" t="s">
        <v>4322</v>
      </c>
      <c r="N2083" t="s">
        <v>14</v>
      </c>
    </row>
    <row r="2084" x14ac:dyDescent="0.25">
      <c r="A2084" t="n">
        <v>25</v>
      </c>
      <c r="B2084" t="s">
        <v>14</v>
      </c>
      <c r="C2084" t="s">
        <v>22</v>
      </c>
      <c r="D2084" s="2" t="s">
        <f>=HYPERLINK("https://main.knesset.gov.il/APPS/legislation/main/bills/2222357", "הצעת חוק קידום התחרות בענפי המזון והפארם (תיקון - שידור נתוני מכר למאגר), התשפ""ה-2025")</f>
        <v>4350</v>
      </c>
      <c r="E2084" t="s">
        <v>4350</v>
      </c>
      <c r="F2084" t="s">
        <v>4351</v>
      </c>
      <c r="G2084" t="s">
        <v>14</v>
      </c>
      <c r="H2084">
             </c>
      <c r="I2084" t="s">
        <v>14</v>
      </c>
      <c r="J2084" t="s">
        <v>141</v>
      </c>
      <c r="K2084" t="s">
        <v>14</v>
      </c>
      <c r="L2084" t="s">
        <v>20</v>
      </c>
      <c r="M2084" t="s">
        <v>4322</v>
      </c>
      <c r="N2084" t="s">
        <v>14</v>
      </c>
    </row>
    <row r="2085" x14ac:dyDescent="0.25">
      <c r="A2085" t="n">
        <v>25</v>
      </c>
      <c r="B2085" t="s">
        <v>14</v>
      </c>
      <c r="C2085" t="s">
        <v>22</v>
      </c>
      <c r="D2085" s="2" t="s">
        <f>=HYPERLINK("https://main.knesset.gov.il/APPS/legislation/main/bills/2226996", "הצעת חוק התגמולים לנפגעי פעולות איבה (תיקון - זכאויות לבני משפחה נוספים), התשפ""ה-2025")</f>
        <v>4352</v>
      </c>
      <c r="E2085" t="s">
        <v>4352</v>
      </c>
      <c r="F2085" t="s">
        <v>4353</v>
      </c>
      <c r="G2085" t="s">
        <v>14</v>
      </c>
      <c r="H2085">
             </c>
      <c r="I2085" t="s">
        <v>14</v>
      </c>
      <c r="J2085" t="s">
        <v>141</v>
      </c>
      <c r="K2085" t="s">
        <v>14</v>
      </c>
      <c r="L2085" t="s">
        <v>20</v>
      </c>
      <c r="M2085" t="s">
        <v>4322</v>
      </c>
      <c r="N2085" t="s">
        <v>14</v>
      </c>
    </row>
    <row r="2086" x14ac:dyDescent="0.25">
      <c r="A2086" t="n">
        <v>25</v>
      </c>
      <c r="B2086" t="s">
        <v>14</v>
      </c>
      <c r="C2086" t="s">
        <v>22</v>
      </c>
      <c r="D2086" s="2" t="s">
        <f>=HYPERLINK("https://main.knesset.gov.il/APPS/legislation/main/bills/2227026", "הצעת חוק להגבלת השיווק של גז קצפות לצרכן, התשפ""ה-2025")</f>
        <v>3396</v>
      </c>
      <c r="E2086" t="s">
        <v>3396</v>
      </c>
      <c r="F2086" t="s">
        <v>4354</v>
      </c>
      <c r="G2086" t="s">
        <v>14</v>
      </c>
      <c r="H2086">
             </c>
      <c r="I2086" t="s">
        <v>14</v>
      </c>
      <c r="J2086" t="s">
        <v>141</v>
      </c>
      <c r="K2086" t="s">
        <v>14</v>
      </c>
      <c r="L2086" t="s">
        <v>20</v>
      </c>
      <c r="M2086" t="s">
        <v>4322</v>
      </c>
      <c r="N2086" t="s">
        <v>14</v>
      </c>
    </row>
    <row r="2087" x14ac:dyDescent="0.25">
      <c r="A2087" t="n">
        <v>25</v>
      </c>
      <c r="B2087" t="s">
        <v>14</v>
      </c>
      <c r="C2087" t="s">
        <v>22</v>
      </c>
      <c r="D2087" s="2" t="s">
        <f>=HYPERLINK("https://main.knesset.gov.il/APPS/legislation/main/bills/2226178", "הצעת חוק סיוע למשפחות נרצחי מאורעות 7 באוקטובר, התשפ""ה-2025")</f>
        <v>4286</v>
      </c>
      <c r="E2087" t="s">
        <v>4286</v>
      </c>
      <c r="F2087" t="s">
        <v>4355</v>
      </c>
      <c r="G2087" t="s">
        <v>14</v>
      </c>
      <c r="H2087">
             </c>
      <c r="I2087" t="s">
        <v>14</v>
      </c>
      <c r="J2087" t="s">
        <v>141</v>
      </c>
      <c r="K2087" t="s">
        <v>14</v>
      </c>
      <c r="L2087" t="s">
        <v>20</v>
      </c>
      <c r="M2087" t="s">
        <v>4322</v>
      </c>
      <c r="N2087" t="s">
        <v>14</v>
      </c>
    </row>
    <row r="2088" x14ac:dyDescent="0.25">
      <c r="A2088" t="n">
        <v>25</v>
      </c>
      <c r="B2088" t="s">
        <v>14</v>
      </c>
      <c r="C2088" t="s">
        <v>22</v>
      </c>
      <c r="D2088" s="2" t="s">
        <f>=HYPERLINK("https://main.knesset.gov.il/APPS/legislation/main/bills/2226949", "הצעת חוק גיל פרישה (תיקון - ביטול גיל פרישת חובה), התשפ""ה-2025")</f>
        <v>4356</v>
      </c>
      <c r="E2088" t="s">
        <v>4356</v>
      </c>
      <c r="F2088" t="s">
        <v>4357</v>
      </c>
      <c r="G2088" t="s">
        <v>14</v>
      </c>
      <c r="H2088">
             </c>
      <c r="I2088" t="s">
        <v>14</v>
      </c>
      <c r="J2088" t="s">
        <v>141</v>
      </c>
      <c r="K2088" t="s">
        <v>14</v>
      </c>
      <c r="L2088" t="s">
        <v>20</v>
      </c>
      <c r="M2088" t="s">
        <v>4322</v>
      </c>
      <c r="N2088" t="s">
        <v>14</v>
      </c>
    </row>
    <row r="2089" x14ac:dyDescent="0.25">
      <c r="A2089" t="n">
        <v>25</v>
      </c>
      <c r="B2089" t="s">
        <v>14</v>
      </c>
      <c r="C2089" t="s">
        <v>22</v>
      </c>
      <c r="D2089" s="2" t="s">
        <f>=HYPERLINK("https://main.knesset.gov.il/APPS/legislation/main/bills/2226058", "הצעת חוק העונשין (תיקון - ביטול עבירת מעשה סדום ושינוי מושגי בעבירות בעילה), התשפ""ה-2025")</f>
        <v>4358</v>
      </c>
      <c r="E2089" t="s">
        <v>4358</v>
      </c>
      <c r="F2089" t="s">
        <v>4359</v>
      </c>
      <c r="G2089" t="s">
        <v>14</v>
      </c>
      <c r="H2089">
             </c>
      <c r="I2089" t="s">
        <v>14</v>
      </c>
      <c r="J2089" t="s">
        <v>343</v>
      </c>
      <c r="K2089" t="s">
        <v>14</v>
      </c>
      <c r="L2089" t="s">
        <v>20</v>
      </c>
      <c r="M2089" t="s">
        <v>4322</v>
      </c>
      <c r="N2089" t="s">
        <v>14</v>
      </c>
    </row>
    <row r="2090" x14ac:dyDescent="0.25">
      <c r="A2090" t="n">
        <v>25</v>
      </c>
      <c r="B2090" t="s">
        <v>14</v>
      </c>
      <c r="C2090" t="s">
        <v>22</v>
      </c>
      <c r="D2090" s="2" t="s">
        <f>=HYPERLINK("https://main.knesset.gov.il/APPS/legislation/main/bills/2227025", "הצעת חוק הגנת הצרכן (תיקון - איסור התניית תשלום בכרטיס אשראי בסכום רכישה מזערי), התשפ""ה-2025")</f>
        <v>4360</v>
      </c>
      <c r="E2090" t="s">
        <v>4360</v>
      </c>
      <c r="F2090" t="s">
        <v>4361</v>
      </c>
      <c r="G2090" t="s">
        <v>14</v>
      </c>
      <c r="H2090">
             </c>
      <c r="I2090" t="s">
        <v>14</v>
      </c>
      <c r="J2090" t="s">
        <v>141</v>
      </c>
      <c r="K2090" t="s">
        <v>14</v>
      </c>
      <c r="L2090" t="s">
        <v>20</v>
      </c>
      <c r="M2090" t="s">
        <v>4322</v>
      </c>
      <c r="N2090" t="s">
        <v>14</v>
      </c>
    </row>
    <row r="2091" x14ac:dyDescent="0.25">
      <c r="A2091" t="n">
        <v>25</v>
      </c>
      <c r="B2091" t="s">
        <v>14</v>
      </c>
      <c r="C2091" t="s">
        <v>22</v>
      </c>
      <c r="D2091" s="2" t="s">
        <f>=HYPERLINK("https://main.knesset.gov.il/APPS/legislation/main/bills/2226647", "הצעת חוק לעידוד השקעות הון (תיקון - פעילות ייצורית הכוללת אריזה), התשפ""ה-2025")</f>
        <v>4167</v>
      </c>
      <c r="E2091" t="s">
        <v>4167</v>
      </c>
      <c r="F2091" t="s">
        <v>4362</v>
      </c>
      <c r="G2091" t="s">
        <v>14</v>
      </c>
      <c r="H2091">
             </c>
      <c r="I2091" t="s">
        <v>14</v>
      </c>
      <c r="J2091" t="s">
        <v>141</v>
      </c>
      <c r="K2091" t="s">
        <v>14</v>
      </c>
      <c r="L2091" t="s">
        <v>20</v>
      </c>
      <c r="M2091" t="s">
        <v>4322</v>
      </c>
      <c r="N2091" t="s">
        <v>14</v>
      </c>
    </row>
    <row r="2092" x14ac:dyDescent="0.25">
      <c r="A2092" t="n">
        <v>25</v>
      </c>
      <c r="B2092" t="s">
        <v>14</v>
      </c>
      <c r="C2092" t="s">
        <v>22</v>
      </c>
      <c r="D2092" s="2" t="s">
        <f>=HYPERLINK("https://main.knesset.gov.il/APPS/legislation/main/bills/2198415", "הצעת חוק-יסוד: השפיטה (תיקון - בחירת נשיא בית המשפט העליון בידי הכנסת)")</f>
        <v>4363</v>
      </c>
      <c r="E2092" t="s">
        <v>4363</v>
      </c>
      <c r="F2092" t="s">
        <v>4364</v>
      </c>
      <c r="G2092" t="s">
        <v>14</v>
      </c>
      <c r="H2092">
             </c>
      <c r="I2092" t="s">
        <v>14</v>
      </c>
      <c r="J2092" t="s">
        <v>141</v>
      </c>
      <c r="K2092" t="s">
        <v>14</v>
      </c>
      <c r="L2092" t="s">
        <v>20</v>
      </c>
      <c r="M2092" t="s">
        <v>4322</v>
      </c>
      <c r="N2092" t="s">
        <v>14</v>
      </c>
    </row>
    <row r="2093" x14ac:dyDescent="0.25">
      <c r="A2093" t="n">
        <v>25</v>
      </c>
      <c r="B2093" t="s">
        <v>14</v>
      </c>
      <c r="C2093" t="s">
        <v>22</v>
      </c>
      <c r="D2093" s="2" t="s">
        <f>=HYPERLINK("https://main.knesset.gov.il/APPS/legislation/main/bills/2221361", "הצעת חוק לחיזוק ריבונותה ועצמאותה של מערכת הבריאות הישראלית ביחס לתקנות ארגון הבריאות העולמי, התשפ""ה-2025")</f>
        <v>4365</v>
      </c>
      <c r="E2093" t="s">
        <v>4365</v>
      </c>
      <c r="F2093" t="s">
        <v>4366</v>
      </c>
      <c r="G2093" t="s">
        <v>14</v>
      </c>
      <c r="H2093">
             </c>
      <c r="I2093" t="s">
        <v>14</v>
      </c>
      <c r="J2093" t="s">
        <v>141</v>
      </c>
      <c r="K2093" t="s">
        <v>14</v>
      </c>
      <c r="L2093" t="s">
        <v>20</v>
      </c>
      <c r="M2093" t="s">
        <v>4322</v>
      </c>
      <c r="N2093" t="s">
        <v>14</v>
      </c>
    </row>
    <row r="2094" x14ac:dyDescent="0.25">
      <c r="A2094" t="n">
        <v>25</v>
      </c>
      <c r="B2094" t="s">
        <v>14</v>
      </c>
      <c r="C2094" t="s">
        <v>22</v>
      </c>
      <c r="D2094" s="2" t="s">
        <f>=HYPERLINK("https://main.knesset.gov.il/APPS/legislation/main/bills/2227039", "הצעת חוק לתיקון פקודת מס הכנסה (פטור ממס על תגמול מילואים ונקודות זיכוי מס למשרת מילואים פעיל), התשפ""ה-2025")</f>
        <v>4367</v>
      </c>
      <c r="E2094" t="s">
        <v>4367</v>
      </c>
      <c r="F2094" t="s">
        <v>4368</v>
      </c>
      <c r="G2094" t="s">
        <v>14</v>
      </c>
      <c r="H2094">
             </c>
      <c r="I2094" t="s">
        <v>14</v>
      </c>
      <c r="J2094" t="s">
        <v>141</v>
      </c>
      <c r="K2094" t="s">
        <v>14</v>
      </c>
      <c r="L2094" t="s">
        <v>20</v>
      </c>
      <c r="M2094" t="s">
        <v>4322</v>
      </c>
      <c r="N2094" t="s">
        <v>14</v>
      </c>
    </row>
    <row r="2095" x14ac:dyDescent="0.25">
      <c r="A2095" t="n">
        <v>25</v>
      </c>
      <c r="B2095" t="s">
        <v>14</v>
      </c>
      <c r="C2095" t="s">
        <v>22</v>
      </c>
      <c r="D2095" s="2" t="s">
        <f>=HYPERLINK("https://main.knesset.gov.il/APPS/legislation/main/bills/2226947", "הצעת חוק לשכת עורכי הדין (תיקון - הורדת סף המעבר בבחינת ההתמחות של מועד דצמבר 2024), התשפ""ה-2025")</f>
        <v>4369</v>
      </c>
      <c r="E2095" t="s">
        <v>4369</v>
      </c>
      <c r="F2095" t="s">
        <v>4370</v>
      </c>
      <c r="G2095" t="s">
        <v>14</v>
      </c>
      <c r="H2095">
             </c>
      <c r="I2095" t="s">
        <v>14</v>
      </c>
      <c r="J2095" t="s">
        <v>141</v>
      </c>
      <c r="K2095" t="s">
        <v>14</v>
      </c>
      <c r="L2095" t="s">
        <v>20</v>
      </c>
      <c r="M2095" t="s">
        <v>4322</v>
      </c>
      <c r="N2095" t="s">
        <v>14</v>
      </c>
    </row>
    <row r="2096" x14ac:dyDescent="0.25">
      <c r="A2096" t="n">
        <v>25</v>
      </c>
      <c r="B2096" t="s">
        <v>14</v>
      </c>
      <c r="C2096" t="s">
        <v>22</v>
      </c>
      <c r="D2096" s="2" t="s">
        <f>=HYPERLINK("https://main.knesset.gov.il/APPS/legislation/main/bills/2226776", "הצעת חוק המתווכים במקרקעין (תיקון - הגבלת דמי תיווך), התשפ""ה-2025")</f>
        <v>4371</v>
      </c>
      <c r="E2096" t="s">
        <v>4371</v>
      </c>
      <c r="F2096" t="s">
        <v>4372</v>
      </c>
      <c r="G2096" t="s">
        <v>14</v>
      </c>
      <c r="H2096">
             </c>
      <c r="I2096" t="s">
        <v>14</v>
      </c>
      <c r="J2096" t="s">
        <v>141</v>
      </c>
      <c r="K2096" t="s">
        <v>14</v>
      </c>
      <c r="L2096" t="s">
        <v>20</v>
      </c>
      <c r="M2096" t="s">
        <v>4322</v>
      </c>
      <c r="N2096" t="s">
        <v>14</v>
      </c>
    </row>
    <row r="2097" x14ac:dyDescent="0.25">
      <c r="A2097" t="n">
        <v>25</v>
      </c>
      <c r="B2097" t="s">
        <v>14</v>
      </c>
      <c r="C2097" t="s">
        <v>22</v>
      </c>
      <c r="D2097" s="2" t="s">
        <f>=HYPERLINK("https://main.knesset.gov.il/APPS/legislation/main/bills/2226682", "הצעת חוק הפיקוח על שירותים פיננסיים (קופות גמל) (תיקון - מתן שיקול דעת לחברה מנהלת בהשתתפות ובהצבעה באסיפה של חברה דואלית), התשפ""ה-2025")</f>
        <v>4373</v>
      </c>
      <c r="E2097" t="s">
        <v>4373</v>
      </c>
      <c r="F2097" t="s">
        <v>4374</v>
      </c>
      <c r="G2097" t="s">
        <v>14</v>
      </c>
      <c r="H2097">
             </c>
      <c r="I2097" t="s">
        <v>14</v>
      </c>
      <c r="J2097" t="s">
        <v>141</v>
      </c>
      <c r="K2097" t="s">
        <v>14</v>
      </c>
      <c r="L2097" t="s">
        <v>20</v>
      </c>
      <c r="M2097" t="s">
        <v>4322</v>
      </c>
      <c r="N2097" t="s">
        <v>14</v>
      </c>
    </row>
    <row r="2098" x14ac:dyDescent="0.25">
      <c r="A2098" t="n">
        <v>25</v>
      </c>
      <c r="B2098" t="s">
        <v>14</v>
      </c>
      <c r="C2098" t="s">
        <v>22</v>
      </c>
      <c r="D2098" s="2" t="s">
        <f>=HYPERLINK("https://main.knesset.gov.il/APPS/legislation/main/bills/2226681", "הצעת חוק ניירות ערך (תיקון - קביעת חלופת הגשת דוח חצי שנתי לתאגיד קטן), התשפ""ה-2025")</f>
        <v>4375</v>
      </c>
      <c r="E2098" t="s">
        <v>4375</v>
      </c>
      <c r="F2098" t="s">
        <v>4376</v>
      </c>
      <c r="G2098" t="s">
        <v>14</v>
      </c>
      <c r="H2098">
             </c>
      <c r="I2098" t="s">
        <v>14</v>
      </c>
      <c r="J2098" t="s">
        <v>141</v>
      </c>
      <c r="K2098" t="s">
        <v>14</v>
      </c>
      <c r="L2098" t="s">
        <v>20</v>
      </c>
      <c r="M2098" t="s">
        <v>4322</v>
      </c>
      <c r="N2098" t="s">
        <v>14</v>
      </c>
    </row>
    <row r="2099" x14ac:dyDescent="0.25">
      <c r="A2099" t="n">
        <v>25</v>
      </c>
      <c r="B2099" t="s">
        <v>14</v>
      </c>
      <c r="C2099" t="s">
        <v>22</v>
      </c>
      <c r="D2099" s="2" t="s">
        <f>=HYPERLINK("https://main.knesset.gov.il/APPS/legislation/main/bills/2227000", "הצעת חוק התכנון והבנייה (תיקון - פטור מהיתר בנייה למעלית לנגישות), התשפ""ה-2025")</f>
        <v>4377</v>
      </c>
      <c r="E2099" t="s">
        <v>4377</v>
      </c>
      <c r="F2099" t="s">
        <v>4378</v>
      </c>
      <c r="G2099" t="s">
        <v>14</v>
      </c>
      <c r="H2099">
             </c>
      <c r="I2099" t="s">
        <v>14</v>
      </c>
      <c r="J2099" t="s">
        <v>141</v>
      </c>
      <c r="K2099" t="s">
        <v>14</v>
      </c>
      <c r="L2099" t="s">
        <v>20</v>
      </c>
      <c r="M2099" t="s">
        <v>4322</v>
      </c>
      <c r="N2099" t="s">
        <v>14</v>
      </c>
    </row>
    <row r="2100" x14ac:dyDescent="0.25">
      <c r="A2100" t="n">
        <v>25</v>
      </c>
      <c r="B2100" t="s">
        <v>14</v>
      </c>
      <c r="C2100" t="s">
        <v>22</v>
      </c>
      <c r="D2100" s="2" t="s">
        <f>=HYPERLINK("https://main.knesset.gov.il/APPS/legislation/main/bills/2226753", "הצעת חוק בנק ישראל (תיקון - הרחבת שיקול הדעת של הוועדה המוניטרית), התשפ""ה-2025")</f>
        <v>4379</v>
      </c>
      <c r="E2100" t="s">
        <v>4379</v>
      </c>
      <c r="F2100" t="s">
        <v>4380</v>
      </c>
      <c r="G2100" t="s">
        <v>14</v>
      </c>
      <c r="H2100">
             </c>
      <c r="I2100" t="s">
        <v>14</v>
      </c>
      <c r="J2100" t="s">
        <v>141</v>
      </c>
      <c r="K2100" t="s">
        <v>14</v>
      </c>
      <c r="L2100" t="s">
        <v>20</v>
      </c>
      <c r="M2100" t="s">
        <v>4322</v>
      </c>
      <c r="N2100" t="s">
        <v>14</v>
      </c>
    </row>
    <row r="2101" x14ac:dyDescent="0.25">
      <c r="A2101" t="n">
        <v>25</v>
      </c>
      <c r="B2101" t="s">
        <v>14</v>
      </c>
      <c r="C2101" t="s">
        <v>22</v>
      </c>
      <c r="D2101" s="2" t="s">
        <f>=HYPERLINK("https://main.knesset.gov.il/APPS/legislation/main/bills/2226625", "הצעת חוק הרשות הלאומית לרפואה משפטית, התשפ""ה-2025")</f>
        <v>4381</v>
      </c>
      <c r="E2101" t="s">
        <v>4381</v>
      </c>
      <c r="F2101" t="s">
        <v>4382</v>
      </c>
      <c r="G2101" t="s">
        <v>14</v>
      </c>
      <c r="H2101">
             </c>
      <c r="I2101" t="s">
        <v>14</v>
      </c>
      <c r="J2101" t="s">
        <v>141</v>
      </c>
      <c r="K2101" t="s">
        <v>14</v>
      </c>
      <c r="L2101" t="s">
        <v>20</v>
      </c>
      <c r="M2101" t="s">
        <v>4322</v>
      </c>
      <c r="N2101" t="s">
        <v>14</v>
      </c>
    </row>
    <row r="2102" x14ac:dyDescent="0.25">
      <c r="A2102" t="n">
        <v>25</v>
      </c>
      <c r="B2102" t="s">
        <v>14</v>
      </c>
      <c r="C2102" t="s">
        <v>22</v>
      </c>
      <c r="D2102" s="2" t="s">
        <f>=HYPERLINK("https://main.knesset.gov.il/APPS/legislation/main/bills/2198601", "הצעת חוק עקרונות האסדרה (תיקון) (בחינה תקופתית של אסדרה ואי-הטלת אחריות בשל אי-פרסום אסדרה), התשפ''ד–2024")</f>
        <v>4383</v>
      </c>
      <c r="E2102" t="s">
        <v>4383</v>
      </c>
      <c r="F2102" t="s">
        <v>4384</v>
      </c>
      <c r="G2102" t="s">
        <v>4385</v>
      </c>
      <c r="H2102">
             </c>
      <c r="I2102" t="s">
        <v>26</v>
      </c>
      <c r="J2102" t="s">
        <v>18</v>
      </c>
      <c r="K2102" t="s">
        <v>27</v>
      </c>
      <c r="L2102" t="s">
        <v>20</v>
      </c>
      <c r="M2102" t="s">
        <v>4322</v>
      </c>
      <c r="N2102" t="s">
        <v>14</v>
      </c>
    </row>
    <row r="2103" x14ac:dyDescent="0.25">
      <c r="A2103" t="n">
        <v>25</v>
      </c>
      <c r="B2103" t="s">
        <v>14</v>
      </c>
      <c r="C2103" t="s">
        <v>22</v>
      </c>
      <c r="D2103" s="2" t="s">
        <f>=HYPERLINK("https://main.knesset.gov.il/APPS/legislation/main/bills/2222144", "הצעת חוק הביטוח הלאומי (תיקון - תגמול מילואים לעובד עצמאי) (הוראת שעה - חרבות ברזל), התשפ""ה-2024")</f>
        <v>4386</v>
      </c>
      <c r="E2103" t="s">
        <v>4386</v>
      </c>
      <c r="F2103" t="s">
        <v>4387</v>
      </c>
      <c r="G2103" t="s">
        <v>14</v>
      </c>
      <c r="H2103">
             </c>
      <c r="I2103" t="s">
        <v>14</v>
      </c>
      <c r="J2103" t="s">
        <v>99</v>
      </c>
      <c r="K2103" t="s">
        <v>127</v>
      </c>
      <c r="L2103" t="s">
        <v>20</v>
      </c>
      <c r="M2103" t="s">
        <v>4388</v>
      </c>
      <c r="N2103" t="s">
        <v>14</v>
      </c>
    </row>
    <row r="2104" x14ac:dyDescent="0.25">
      <c r="A2104" t="n">
        <v>25</v>
      </c>
      <c r="B2104" t="s">
        <v>14</v>
      </c>
      <c r="C2104" t="s">
        <v>22</v>
      </c>
      <c r="D2104" s="2" t="s">
        <f>=HYPERLINK("https://main.knesset.gov.il/APPS/legislation/main/bills/2197948", "הצעת חוק רשות מקרקעי ישראל (תיקון - הקצאת קרקעות בנגב ובגליל לחיילים משוחררים), התשפ""ג-2022")</f>
        <v>4389</v>
      </c>
      <c r="E2104" t="s">
        <v>4389</v>
      </c>
      <c r="F2104" t="s">
        <v>4390</v>
      </c>
      <c r="G2104" t="s">
        <v>14</v>
      </c>
      <c r="H2104">
             </c>
      <c r="I2104" t="s">
        <v>14</v>
      </c>
      <c r="J2104" t="s">
        <v>31</v>
      </c>
      <c r="K2104" t="s">
        <v>114</v>
      </c>
      <c r="L2104" t="s">
        <v>20</v>
      </c>
      <c r="M2104" t="s">
        <v>4388</v>
      </c>
      <c r="N2104" t="s">
        <v>14</v>
      </c>
    </row>
    <row r="2105" x14ac:dyDescent="0.25">
      <c r="A2105" t="n">
        <v>25</v>
      </c>
      <c r="B2105" t="s">
        <v>14</v>
      </c>
      <c r="C2105" t="s">
        <v>22</v>
      </c>
      <c r="D2105" s="2" t="s">
        <f>=HYPERLINK("https://main.knesset.gov.il/APPS/legislation/main/bills/2196852", "הצעת חוק רשות מקרקעי ישראל (תיקון - הקצאת קרקעות בנגב ובגליל לחיילים משוחררים ומשרתי שירות לאומי-אזרחי), התשפ""ג-2022")</f>
        <v>4391</v>
      </c>
      <c r="E2105" t="s">
        <v>4391</v>
      </c>
      <c r="F2105" t="s">
        <v>4392</v>
      </c>
      <c r="G2105" t="s">
        <v>14</v>
      </c>
      <c r="H2105">
             </c>
      <c r="I2105" t="s">
        <v>14</v>
      </c>
      <c r="J2105" t="s">
        <v>31</v>
      </c>
      <c r="K2105" t="s">
        <v>114</v>
      </c>
      <c r="L2105" t="s">
        <v>20</v>
      </c>
      <c r="M2105" t="s">
        <v>4388</v>
      </c>
      <c r="N2105" t="s">
        <v>14</v>
      </c>
    </row>
    <row r="2106" x14ac:dyDescent="0.25">
      <c r="A2106" t="n">
        <v>25</v>
      </c>
      <c r="B2106" t="s">
        <v>14</v>
      </c>
      <c r="C2106" t="s">
        <v>22</v>
      </c>
      <c r="D2106" s="2" t="s">
        <f>=HYPERLINK("https://main.knesset.gov.il/APPS/legislation/main/bills/2197603", "הצעת חוק איסור לשון הרע (תיקון - חשיפת פרטי מידע של מנוי ברשת תקשורת אלקטרונית), התשפ""ג-2022")</f>
        <v>4393</v>
      </c>
      <c r="E2106" t="s">
        <v>4393</v>
      </c>
      <c r="F2106" t="s">
        <v>4394</v>
      </c>
      <c r="G2106" t="s">
        <v>14</v>
      </c>
      <c r="H2106">
             </c>
      <c r="I2106" t="s">
        <v>14</v>
      </c>
      <c r="J2106" t="s">
        <v>31</v>
      </c>
      <c r="K2106" t="s">
        <v>27</v>
      </c>
      <c r="L2106" t="s">
        <v>20</v>
      </c>
      <c r="M2106" t="s">
        <v>4388</v>
      </c>
      <c r="N2106" t="s">
        <v>14</v>
      </c>
    </row>
    <row r="2107" x14ac:dyDescent="0.25">
      <c r="A2107" t="n">
        <v>25</v>
      </c>
      <c r="B2107" t="s">
        <v>14</v>
      </c>
      <c r="C2107" t="s">
        <v>22</v>
      </c>
      <c r="D2107" s="2" t="s">
        <f>=HYPERLINK("https://main.knesset.gov.il/APPS/legislation/main/bills/2196837", "הצעת חוק הפרטת תאגיד השידור הציבורי הישראלי, התשפ""ג-2022")</f>
        <v>4395</v>
      </c>
      <c r="E2107" t="s">
        <v>4395</v>
      </c>
      <c r="F2107" t="s">
        <v>4396</v>
      </c>
      <c r="G2107" t="s">
        <v>14</v>
      </c>
      <c r="H2107">
             </c>
      <c r="I2107" t="s">
        <v>14</v>
      </c>
      <c r="J2107" t="s">
        <v>31</v>
      </c>
      <c r="K2107" t="s">
        <v>19</v>
      </c>
      <c r="L2107" t="s">
        <v>20</v>
      </c>
      <c r="M2107" t="s">
        <v>4388</v>
      </c>
      <c r="N2107" t="s">
        <v>14</v>
      </c>
    </row>
    <row r="2108" x14ac:dyDescent="0.25">
      <c r="A2108" t="n">
        <v>25</v>
      </c>
      <c r="B2108" t="s">
        <v>14</v>
      </c>
      <c r="C2108" t="s">
        <v>15</v>
      </c>
      <c r="D2108" s="2" t="s">
        <f>=HYPERLINK("https://main.knesset.gov.il/APPS/legislation/main/bills/2224906", "הצעת חוק התוכנית הכלכלית (תיקוני חקיקה ליישום המדיניות הכלכלית לשנת התקציב 2025), התשפ""ה-2024 ")</f>
        <v>4397</v>
      </c>
      <c r="E2108" t="s">
        <v>4397</v>
      </c>
      <c r="F2108" t="s">
        <v>14</v>
      </c>
      <c r="G2108" t="s">
        <v>43</v>
      </c>
      <c r="H2108">
             </c>
      <c r="I2108" t="s">
        <v>14</v>
      </c>
      <c r="J2108" t="s">
        <v>99</v>
      </c>
      <c r="K2108" t="s">
        <v>121</v>
      </c>
      <c r="L2108" t="s">
        <v>20</v>
      </c>
      <c r="M2108" t="s">
        <v>4388</v>
      </c>
      <c r="N2108" t="s">
        <v>14</v>
      </c>
    </row>
    <row r="2109" x14ac:dyDescent="0.25">
      <c r="A2109" t="n">
        <v>25</v>
      </c>
      <c r="B2109" t="s">
        <v>14</v>
      </c>
      <c r="C2109" t="s">
        <v>22</v>
      </c>
      <c r="D2109" s="2" t="s">
        <f>=HYPERLINK("https://main.knesset.gov.il/APPS/legislation/main/bills/2217149", "חוק שירותי הדת היהודיים (תיקון מס' 27), התשפ""ה–2025")</f>
        <v>4398</v>
      </c>
      <c r="E2109" t="s">
        <v>4398</v>
      </c>
      <c r="F2109" t="s">
        <v>4399</v>
      </c>
      <c r="G2109" t="s">
        <v>4400</v>
      </c>
      <c r="H2109" t="n">
        <v>3353</v>
      </c>
      <c r="I2109" t="s">
        <v>14</v>
      </c>
      <c r="J2109" t="s">
        <v>91</v>
      </c>
      <c r="K2109" t="s">
        <v>27</v>
      </c>
      <c r="L2109" t="s">
        <v>20</v>
      </c>
      <c r="M2109" t="s">
        <v>4388</v>
      </c>
      <c r="N2109" t="s">
        <v>4401</v>
      </c>
    </row>
    <row r="2110" x14ac:dyDescent="0.25">
      <c r="A2110" t="n">
        <v>25</v>
      </c>
      <c r="B2110" t="s">
        <v>14</v>
      </c>
      <c r="C2110" t="s">
        <v>15</v>
      </c>
      <c r="D2110" s="2" t="s">
        <f>=HYPERLINK("https://main.knesset.gov.il/APPS/legislation/main/bills/2224340", "חוק לתיקון פקודת התעבורה (מס' 137), התשפ""ה-2025")</f>
        <v>4402</v>
      </c>
      <c r="E2110" t="s">
        <v>4402</v>
      </c>
      <c r="F2110" t="s">
        <v>14</v>
      </c>
      <c r="G2110" t="s">
        <v>4403</v>
      </c>
      <c r="H2110" t="n">
        <v>3352</v>
      </c>
      <c r="I2110" t="s">
        <v>14</v>
      </c>
      <c r="J2110" t="s">
        <v>91</v>
      </c>
      <c r="K2110" t="s">
        <v>19</v>
      </c>
      <c r="L2110" t="s">
        <v>20</v>
      </c>
      <c r="M2110" t="s">
        <v>4388</v>
      </c>
      <c r="N2110" t="s">
        <v>4404</v>
      </c>
    </row>
    <row r="2111" x14ac:dyDescent="0.25">
      <c r="A2111" t="n">
        <v>25</v>
      </c>
      <c r="B2111" t="s">
        <v>14</v>
      </c>
      <c r="C2111" t="s">
        <v>22</v>
      </c>
      <c r="D2111" s="2" t="s">
        <f>=HYPERLINK("https://main.knesset.gov.il/APPS/legislation/main/bills/2210823", "הצעת חוק הקלות בבחינות לתלמידים וסטודנטים בעת מצב מיוחד בעורף או בשעת התקפה (תיקוני חקיקה), התשפ""ד-2024")</f>
        <v>4405</v>
      </c>
      <c r="E2111" t="s">
        <v>4405</v>
      </c>
      <c r="F2111" t="s">
        <v>4406</v>
      </c>
      <c r="G2111" t="s">
        <v>14</v>
      </c>
      <c r="H2111">
             </c>
      <c r="I2111" t="s">
        <v>14</v>
      </c>
      <c r="J2111" t="s">
        <v>55</v>
      </c>
      <c r="K2111" t="s">
        <v>14</v>
      </c>
      <c r="L2111" t="s">
        <v>20</v>
      </c>
      <c r="M2111" t="s">
        <v>4388</v>
      </c>
      <c r="N2111" t="s">
        <v>14</v>
      </c>
    </row>
    <row r="2112" x14ac:dyDescent="0.25">
      <c r="A2112" t="n">
        <v>25</v>
      </c>
      <c r="B2112" t="s">
        <v>14</v>
      </c>
      <c r="C2112" t="s">
        <v>22</v>
      </c>
      <c r="D2112" s="2" t="s">
        <f>=HYPERLINK("https://main.knesset.gov.il/APPS/legislation/main/bills/2213836", "הצעת חוק דחיית מועדים (הוראת שעה - חרבות ברזל) (חוזה, פסק דין או תשלום לרשות) (תיקון - דחיית תשלום משכנתה למשרת מילואים), התשפ""ד-2024")</f>
        <v>4407</v>
      </c>
      <c r="E2112" t="s">
        <v>4407</v>
      </c>
      <c r="F2112" t="s">
        <v>4408</v>
      </c>
      <c r="G2112" t="s">
        <v>14</v>
      </c>
      <c r="H2112">
             </c>
      <c r="I2112" t="s">
        <v>14</v>
      </c>
      <c r="J2112" t="s">
        <v>55</v>
      </c>
      <c r="K2112" t="s">
        <v>14</v>
      </c>
      <c r="L2112" t="s">
        <v>20</v>
      </c>
      <c r="M2112" t="s">
        <v>4388</v>
      </c>
      <c r="N2112" t="s">
        <v>14</v>
      </c>
    </row>
    <row r="2113" x14ac:dyDescent="0.25">
      <c r="A2113" t="n">
        <v>25</v>
      </c>
      <c r="B2113" t="s">
        <v>14</v>
      </c>
      <c r="C2113" t="s">
        <v>22</v>
      </c>
      <c r="D2113" s="2" t="s">
        <f>=HYPERLINK("https://main.knesset.gov.il/APPS/legislation/main/bills/2206821", "הצעת חוק הבנקאות (שירות ללקוח) (תיקון - כללים לעניין שיעורי ריבית ללקוחות), התשפ""ג-2023")</f>
        <v>4409</v>
      </c>
      <c r="E2113" t="s">
        <v>4409</v>
      </c>
      <c r="F2113" t="s">
        <v>4410</v>
      </c>
      <c r="G2113" t="s">
        <v>14</v>
      </c>
      <c r="H2113">
             </c>
      <c r="I2113" t="s">
        <v>14</v>
      </c>
      <c r="J2113" t="s">
        <v>343</v>
      </c>
      <c r="K2113" t="s">
        <v>14</v>
      </c>
      <c r="L2113" t="s">
        <v>20</v>
      </c>
      <c r="M2113" t="s">
        <v>4388</v>
      </c>
      <c r="N2113" t="s">
        <v>14</v>
      </c>
    </row>
    <row r="2114" x14ac:dyDescent="0.25">
      <c r="A2114" t="n">
        <v>25</v>
      </c>
      <c r="B2114" t="s">
        <v>14</v>
      </c>
      <c r="C2114" t="s">
        <v>22</v>
      </c>
      <c r="D2114" s="2" t="s">
        <f>=HYPERLINK("https://main.knesset.gov.il/APPS/legislation/main/bills/2203774", "הצעת חוק הגנה על ישראלים מפני מוסדות בין-לאומיים עוינים, התשפ""ג-2023")</f>
        <v>4411</v>
      </c>
      <c r="E2114" t="s">
        <v>4411</v>
      </c>
      <c r="F2114" t="s">
        <v>4412</v>
      </c>
      <c r="G2114" t="s">
        <v>14</v>
      </c>
      <c r="H2114">
             </c>
      <c r="I2114" t="s">
        <v>14</v>
      </c>
      <c r="J2114" t="s">
        <v>55</v>
      </c>
      <c r="K2114" t="s">
        <v>14</v>
      </c>
      <c r="L2114" t="s">
        <v>20</v>
      </c>
      <c r="M2114" t="s">
        <v>4388</v>
      </c>
      <c r="N2114" t="s">
        <v>14</v>
      </c>
    </row>
    <row r="2115" x14ac:dyDescent="0.25">
      <c r="A2115" t="n">
        <v>25</v>
      </c>
      <c r="B2115" t="s">
        <v>14</v>
      </c>
      <c r="C2115" t="s">
        <v>22</v>
      </c>
      <c r="D2115" s="2" t="s">
        <f>=HYPERLINK("https://main.knesset.gov.il/APPS/legislation/main/bills/2199419", "הצעת חוק לימוד חובה (תיקון - חובת דיווח על היעדרות תלמיד), התשפ""ג-2023")</f>
        <v>4413</v>
      </c>
      <c r="E2115" t="s">
        <v>4413</v>
      </c>
      <c r="F2115" t="s">
        <v>4414</v>
      </c>
      <c r="G2115" t="s">
        <v>14</v>
      </c>
      <c r="H2115">
             </c>
      <c r="I2115" t="s">
        <v>14</v>
      </c>
      <c r="J2115" t="s">
        <v>55</v>
      </c>
      <c r="K2115" t="s">
        <v>14</v>
      </c>
      <c r="L2115" t="s">
        <v>20</v>
      </c>
      <c r="M2115" t="s">
        <v>4388</v>
      </c>
      <c r="N2115" t="s">
        <v>14</v>
      </c>
    </row>
    <row r="2116" x14ac:dyDescent="0.25">
      <c r="A2116" t="n">
        <v>25</v>
      </c>
      <c r="B2116" t="s">
        <v>14</v>
      </c>
      <c r="C2116" t="s">
        <v>22</v>
      </c>
      <c r="D2116" s="2" t="s">
        <f>=HYPERLINK("https://main.knesset.gov.il/APPS/legislation/main/bills/2220950", "הצעת חוק משפחות חיילים שנספו במערכה (תגמולים ושיקום) (תיקון - איסור פיטורים של בן משפחה בשנת השכול הראשונה), התשפ""ד-2024")</f>
        <v>4415</v>
      </c>
      <c r="E2116" t="s">
        <v>4415</v>
      </c>
      <c r="F2116" t="s">
        <v>4416</v>
      </c>
      <c r="G2116" t="s">
        <v>14</v>
      </c>
      <c r="H2116">
             </c>
      <c r="I2116" t="s">
        <v>14</v>
      </c>
      <c r="J2116" t="s">
        <v>99</v>
      </c>
      <c r="K2116" t="s">
        <v>127</v>
      </c>
      <c r="L2116" t="s">
        <v>20</v>
      </c>
      <c r="M2116" t="s">
        <v>4417</v>
      </c>
      <c r="N2116" t="s">
        <v>14</v>
      </c>
    </row>
    <row r="2117" x14ac:dyDescent="0.25">
      <c r="A2117" t="n">
        <v>25</v>
      </c>
      <c r="B2117" t="s">
        <v>14</v>
      </c>
      <c r="C2117" t="s">
        <v>22</v>
      </c>
      <c r="D2117" s="2" t="s">
        <f>=HYPERLINK("https://main.knesset.gov.il/APPS/legislation/main/bills/2222170", "הצעת חוק הביטוח הלאומי (תיקון - תגמול מילואים לעובד עצמאי) (הוראת שעה - חרבות ברזל), התשפ''ה-2024")</f>
        <v>4418</v>
      </c>
      <c r="E2117" t="s">
        <v>4418</v>
      </c>
      <c r="F2117" t="s">
        <v>4419</v>
      </c>
      <c r="G2117" t="s">
        <v>14</v>
      </c>
      <c r="H2117">
             </c>
      <c r="I2117" t="s">
        <v>14</v>
      </c>
      <c r="J2117" t="s">
        <v>99</v>
      </c>
      <c r="K2117" t="s">
        <v>127</v>
      </c>
      <c r="L2117" t="s">
        <v>20</v>
      </c>
      <c r="M2117" t="s">
        <v>4417</v>
      </c>
      <c r="N2117" t="s">
        <v>14</v>
      </c>
    </row>
    <row r="2118" x14ac:dyDescent="0.25">
      <c r="A2118" t="n">
        <v>25</v>
      </c>
      <c r="B2118" t="s">
        <v>14</v>
      </c>
      <c r="C2118" t="s">
        <v>22</v>
      </c>
      <c r="D2118" s="2" t="s">
        <f>=HYPERLINK("https://main.knesset.gov.il/APPS/legislation/main/bills/2198658", "חוק להנצחת זכרו של הרב חיים דרוקמן, התשפ""ה–2025")</f>
        <v>4420</v>
      </c>
      <c r="E2118" t="s">
        <v>4420</v>
      </c>
      <c r="F2118" t="s">
        <v>4421</v>
      </c>
      <c r="G2118" t="s">
        <v>4422</v>
      </c>
      <c r="H2118" t="n">
        <v>3354</v>
      </c>
      <c r="I2118" t="s">
        <v>14</v>
      </c>
      <c r="J2118" t="s">
        <v>91</v>
      </c>
      <c r="K2118" t="s">
        <v>34</v>
      </c>
      <c r="L2118" t="s">
        <v>20</v>
      </c>
      <c r="M2118" t="s">
        <v>4417</v>
      </c>
      <c r="N2118" t="s">
        <v>4423</v>
      </c>
    </row>
    <row r="2119" x14ac:dyDescent="0.25">
      <c r="A2119" t="n">
        <v>25</v>
      </c>
      <c r="B2119" t="s">
        <v>14</v>
      </c>
      <c r="C2119" t="s">
        <v>22</v>
      </c>
      <c r="D2119" s="2" t="s">
        <f>=HYPERLINK("https://main.knesset.gov.il/APPS/legislation/main/bills/2197231", "חוק עבודת נשים (תיקון מס' 65), התשפ""ה–2025")</f>
        <v>4424</v>
      </c>
      <c r="E2119" t="s">
        <v>4424</v>
      </c>
      <c r="F2119" t="s">
        <v>4425</v>
      </c>
      <c r="G2119" t="s">
        <v>4426</v>
      </c>
      <c r="H2119" t="n">
        <v>3351</v>
      </c>
      <c r="I2119" t="s">
        <v>14</v>
      </c>
      <c r="J2119" t="s">
        <v>91</v>
      </c>
      <c r="K2119" t="s">
        <v>127</v>
      </c>
      <c r="L2119" t="s">
        <v>20</v>
      </c>
      <c r="M2119" t="s">
        <v>4417</v>
      </c>
      <c r="N2119" t="s">
        <v>4427</v>
      </c>
    </row>
    <row r="2120" x14ac:dyDescent="0.25">
      <c r="A2120" t="n">
        <v>25</v>
      </c>
      <c r="B2120" t="s">
        <v>14</v>
      </c>
      <c r="C2120" t="s">
        <v>22</v>
      </c>
      <c r="D2120" s="2" t="s">
        <f>=HYPERLINK("https://main.knesset.gov.il/APPS/legislation/main/bills/2208574", "חוק שירות הקבע בצבא הגנה לישראל (גמלאות) (תיקון מס' 35), התשפ""ה-2025")</f>
        <v>4428</v>
      </c>
      <c r="E2120" t="s">
        <v>4428</v>
      </c>
      <c r="F2120" t="s">
        <v>4429</v>
      </c>
      <c r="G2120" t="s">
        <v>4430</v>
      </c>
      <c r="H2120" t="n">
        <v>3350</v>
      </c>
      <c r="I2120" t="s">
        <v>14</v>
      </c>
      <c r="J2120" t="s">
        <v>91</v>
      </c>
      <c r="K2120" t="s">
        <v>127</v>
      </c>
      <c r="L2120" t="s">
        <v>20</v>
      </c>
      <c r="M2120" t="s">
        <v>4417</v>
      </c>
      <c r="N2120" t="s">
        <v>4431</v>
      </c>
    </row>
    <row r="2121" x14ac:dyDescent="0.25">
      <c r="A2121" t="n">
        <v>25</v>
      </c>
      <c r="B2121" t="s">
        <v>14</v>
      </c>
      <c r="C2121" t="s">
        <v>22</v>
      </c>
      <c r="D2121" s="2" t="s">
        <f>=HYPERLINK("https://main.knesset.gov.il/APPS/legislation/main/bills/2218395", "הצעת חוק-יסוד: הממשלה (תיקון - ביטול ממשלת חילופים)")</f>
        <v>4432</v>
      </c>
      <c r="E2121" t="s">
        <v>4432</v>
      </c>
      <c r="F2121" t="s">
        <v>4433</v>
      </c>
      <c r="G2121" t="s">
        <v>14</v>
      </c>
      <c r="H2121">
             </c>
      <c r="I2121" t="s">
        <v>14</v>
      </c>
      <c r="J2121" t="s">
        <v>99</v>
      </c>
      <c r="K2121" t="s">
        <v>27</v>
      </c>
      <c r="L2121" t="s">
        <v>20</v>
      </c>
      <c r="M2121" t="s">
        <v>4434</v>
      </c>
      <c r="N2121" t="s">
        <v>14</v>
      </c>
    </row>
    <row r="2122" x14ac:dyDescent="0.25">
      <c r="A2122" t="n">
        <v>25</v>
      </c>
      <c r="B2122" t="s">
        <v>14</v>
      </c>
      <c r="C2122" t="s">
        <v>22</v>
      </c>
      <c r="D2122" s="2" t="s">
        <f>=HYPERLINK("https://main.knesset.gov.il/APPS/legislation/main/bills/2198577", "הצעת חוק-יסוד: ביטול ממשלת החילופים (תיקוני חקיקה)")</f>
        <v>4435</v>
      </c>
      <c r="E2122" t="s">
        <v>4435</v>
      </c>
      <c r="F2122" t="s">
        <v>4436</v>
      </c>
      <c r="G2122" t="s">
        <v>14</v>
      </c>
      <c r="H2122">
             </c>
      <c r="I2122" t="s">
        <v>14</v>
      </c>
      <c r="J2122" t="s">
        <v>99</v>
      </c>
      <c r="K2122" t="s">
        <v>27</v>
      </c>
      <c r="L2122" t="s">
        <v>20</v>
      </c>
      <c r="M2122" t="s">
        <v>4434</v>
      </c>
      <c r="N2122" t="s">
        <v>14</v>
      </c>
    </row>
    <row r="2123" x14ac:dyDescent="0.25">
      <c r="A2123" t="n">
        <v>25</v>
      </c>
      <c r="B2123" t="s">
        <v>14</v>
      </c>
      <c r="C2123" t="s">
        <v>15</v>
      </c>
      <c r="D2123" s="2" t="s">
        <f>=HYPERLINK("https://main.knesset.gov.il/APPS/legislation/main/bills/2224454", "חוק הביטוח הלאומי (תיקון מס' 252 והוראת שעה), התשפ""ה–2025")</f>
        <v>4437</v>
      </c>
      <c r="E2123" t="s">
        <v>4437</v>
      </c>
      <c r="F2123" t="s">
        <v>14</v>
      </c>
      <c r="G2123" t="s">
        <v>4438</v>
      </c>
      <c r="H2123" t="n">
        <v>3347</v>
      </c>
      <c r="I2123" t="s">
        <v>14</v>
      </c>
      <c r="J2123" t="s">
        <v>91</v>
      </c>
      <c r="K2123" t="s">
        <v>127</v>
      </c>
      <c r="L2123" t="s">
        <v>20</v>
      </c>
      <c r="M2123" t="s">
        <v>4434</v>
      </c>
      <c r="N2123" t="s">
        <v>4439</v>
      </c>
    </row>
    <row r="2124" x14ac:dyDescent="0.25">
      <c r="A2124" t="n">
        <v>25</v>
      </c>
      <c r="B2124" t="s">
        <v>14</v>
      </c>
      <c r="C2124" t="s">
        <v>15</v>
      </c>
      <c r="D2124" s="2" t="s">
        <f>=HYPERLINK("https://main.knesset.gov.il/APPS/legislation/main/bills/2224349", "חוק ביטוח בריאות ממלכתי (תיקון מס' 72 והוראת שעה), התשפ""ה-2025")</f>
        <v>4440</v>
      </c>
      <c r="E2124" t="s">
        <v>4440</v>
      </c>
      <c r="F2124" t="s">
        <v>14</v>
      </c>
      <c r="G2124" t="s">
        <v>4441</v>
      </c>
      <c r="H2124" t="n">
        <v>3348</v>
      </c>
      <c r="I2124" t="s">
        <v>14</v>
      </c>
      <c r="J2124" t="s">
        <v>91</v>
      </c>
      <c r="K2124" t="s">
        <v>480</v>
      </c>
      <c r="L2124" t="s">
        <v>20</v>
      </c>
      <c r="M2124" t="s">
        <v>4434</v>
      </c>
      <c r="N2124" t="s">
        <v>4442</v>
      </c>
    </row>
    <row r="2125" x14ac:dyDescent="0.25">
      <c r="A2125" t="n">
        <v>25</v>
      </c>
      <c r="B2125" t="s">
        <v>14</v>
      </c>
      <c r="C2125" t="s">
        <v>22</v>
      </c>
      <c r="D2125" s="2" t="s">
        <f>=HYPERLINK("https://main.knesset.gov.il/APPS/legislation/main/bills/2226356", "הצעת חוק התכנון והבנייה (תיקון - פטור מהיתר בנייה למעלית לנגישות), התשפ""ה-2025")</f>
        <v>4377</v>
      </c>
      <c r="E2125" t="s">
        <v>4377</v>
      </c>
      <c r="F2125" t="s">
        <v>4443</v>
      </c>
      <c r="G2125" t="s">
        <v>14</v>
      </c>
      <c r="H2125">
             </c>
      <c r="I2125" t="s">
        <v>14</v>
      </c>
      <c r="J2125" t="s">
        <v>141</v>
      </c>
      <c r="K2125" t="s">
        <v>14</v>
      </c>
      <c r="L2125" t="s">
        <v>20</v>
      </c>
      <c r="M2125" t="s">
        <v>4434</v>
      </c>
      <c r="N2125" t="s">
        <v>14</v>
      </c>
    </row>
    <row r="2126" x14ac:dyDescent="0.25">
      <c r="A2126" t="n">
        <v>25</v>
      </c>
      <c r="B2126" t="s">
        <v>14</v>
      </c>
      <c r="C2126" t="s">
        <v>22</v>
      </c>
      <c r="D2126" s="2" t="s">
        <f>=HYPERLINK("https://main.knesset.gov.il/APPS/legislation/main/bills/2225392", "הצעת חוק הפיקוח הפרלמנטרי, התשפ""ה-2025")</f>
        <v>4176</v>
      </c>
      <c r="E2126" t="s">
        <v>4176</v>
      </c>
      <c r="F2126" t="s">
        <v>4444</v>
      </c>
      <c r="G2126" t="s">
        <v>14</v>
      </c>
      <c r="H2126">
             </c>
      <c r="I2126" t="s">
        <v>14</v>
      </c>
      <c r="J2126" t="s">
        <v>141</v>
      </c>
      <c r="K2126" t="s">
        <v>14</v>
      </c>
      <c r="L2126" t="s">
        <v>20</v>
      </c>
      <c r="M2126" t="s">
        <v>4434</v>
      </c>
      <c r="N2126" t="s">
        <v>14</v>
      </c>
    </row>
    <row r="2127" x14ac:dyDescent="0.25">
      <c r="A2127" t="n">
        <v>25</v>
      </c>
      <c r="B2127" t="s">
        <v>14</v>
      </c>
      <c r="C2127" t="s">
        <v>22</v>
      </c>
      <c r="D2127" s="2" t="s">
        <f>=HYPERLINK("https://main.knesset.gov.il/APPS/legislation/main/bills/2226595", "הצעת חוק פיצוי נפגעי אסון טבע (פיצוי בשל נזקים לתשתיות לחקלאות) (תיקון - פיצוי בשל אסונות מעשה ידי אדם), התשפ""ה-2025")</f>
        <v>3647</v>
      </c>
      <c r="E2127" t="s">
        <v>3647</v>
      </c>
      <c r="F2127" t="s">
        <v>4445</v>
      </c>
      <c r="G2127" t="s">
        <v>14</v>
      </c>
      <c r="H2127">
             </c>
      <c r="I2127" t="s">
        <v>14</v>
      </c>
      <c r="J2127" t="s">
        <v>141</v>
      </c>
      <c r="K2127" t="s">
        <v>14</v>
      </c>
      <c r="L2127" t="s">
        <v>20</v>
      </c>
      <c r="M2127" t="s">
        <v>4434</v>
      </c>
      <c r="N2127" t="s">
        <v>14</v>
      </c>
    </row>
    <row r="2128" x14ac:dyDescent="0.25">
      <c r="A2128" t="n">
        <v>25</v>
      </c>
      <c r="B2128" t="s">
        <v>14</v>
      </c>
      <c r="C2128" t="s">
        <v>22</v>
      </c>
      <c r="D2128" s="2" t="s">
        <f>=HYPERLINK("https://main.knesset.gov.il/APPS/legislation/main/bills/2225698", "הצעת חוק איסור לשון הרע (תיקון - פיצוי בגין האשמות שווא בדבר פשעי מלחמה), התשפ""ה-2025")</f>
        <v>4186</v>
      </c>
      <c r="E2128" t="s">
        <v>4186</v>
      </c>
      <c r="F2128" t="s">
        <v>4446</v>
      </c>
      <c r="G2128" t="s">
        <v>14</v>
      </c>
      <c r="H2128">
             </c>
      <c r="I2128" t="s">
        <v>14</v>
      </c>
      <c r="J2128" t="s">
        <v>141</v>
      </c>
      <c r="K2128" t="s">
        <v>14</v>
      </c>
      <c r="L2128" t="s">
        <v>20</v>
      </c>
      <c r="M2128" t="s">
        <v>4434</v>
      </c>
      <c r="N2128" t="s">
        <v>14</v>
      </c>
    </row>
    <row r="2129" x14ac:dyDescent="0.25">
      <c r="A2129" t="n">
        <v>25</v>
      </c>
      <c r="B2129" t="s">
        <v>14</v>
      </c>
      <c r="C2129" t="s">
        <v>22</v>
      </c>
      <c r="D2129" s="2" t="s">
        <f>=HYPERLINK("https://main.knesset.gov.il/APPS/legislation/main/bills/2225788", "הצעת חוק-יסוד: הכנסת (תיקון - הזכות להיבחר)")</f>
        <v>1343</v>
      </c>
      <c r="E2129" t="s">
        <v>1343</v>
      </c>
      <c r="F2129" t="s">
        <v>4447</v>
      </c>
      <c r="G2129" t="s">
        <v>14</v>
      </c>
      <c r="H2129">
             </c>
      <c r="I2129" t="s">
        <v>14</v>
      </c>
      <c r="J2129" t="s">
        <v>343</v>
      </c>
      <c r="K2129" t="s">
        <v>14</v>
      </c>
      <c r="L2129" t="s">
        <v>20</v>
      </c>
      <c r="M2129" t="s">
        <v>4434</v>
      </c>
      <c r="N2129" t="s">
        <v>14</v>
      </c>
    </row>
    <row r="2130" x14ac:dyDescent="0.25">
      <c r="A2130" t="n">
        <v>25</v>
      </c>
      <c r="B2130" t="s">
        <v>14</v>
      </c>
      <c r="C2130" t="s">
        <v>22</v>
      </c>
      <c r="D2130" s="2" t="s">
        <f>=HYPERLINK("https://main.knesset.gov.il/APPS/legislation/main/bills/2226669", "הצעת חוק למניעת הסתננות (עבירות ושיפוט) (תיקון - מניעת שחרור בעירבון כספי), התשפ""ה-2025")</f>
        <v>4448</v>
      </c>
      <c r="E2130" t="s">
        <v>4448</v>
      </c>
      <c r="F2130" t="s">
        <v>4449</v>
      </c>
      <c r="G2130" t="s">
        <v>14</v>
      </c>
      <c r="H2130">
             </c>
      <c r="I2130" t="s">
        <v>14</v>
      </c>
      <c r="J2130" t="s">
        <v>141</v>
      </c>
      <c r="K2130" t="s">
        <v>14</v>
      </c>
      <c r="L2130" t="s">
        <v>20</v>
      </c>
      <c r="M2130" t="s">
        <v>4434</v>
      </c>
      <c r="N2130" t="s">
        <v>14</v>
      </c>
    </row>
    <row r="2131" x14ac:dyDescent="0.25">
      <c r="A2131" t="n">
        <v>25</v>
      </c>
      <c r="B2131" t="s">
        <v>14</v>
      </c>
      <c r="C2131" t="s">
        <v>22</v>
      </c>
      <c r="D2131" s="2" t="s">
        <f>=HYPERLINK("https://main.knesset.gov.il/APPS/legislation/main/bills/2226618", "הצעת חוק מס ערך מוסף (תיקון - סובסידיה בגני ילדים), התשפ""ה-2025")</f>
        <v>4450</v>
      </c>
      <c r="E2131" t="s">
        <v>4450</v>
      </c>
      <c r="F2131" t="s">
        <v>4451</v>
      </c>
      <c r="G2131" t="s">
        <v>14</v>
      </c>
      <c r="H2131">
             </c>
      <c r="I2131" t="s">
        <v>14</v>
      </c>
      <c r="J2131" t="s">
        <v>141</v>
      </c>
      <c r="K2131" t="s">
        <v>14</v>
      </c>
      <c r="L2131" t="s">
        <v>20</v>
      </c>
      <c r="M2131" t="s">
        <v>4434</v>
      </c>
      <c r="N2131" t="s">
        <v>14</v>
      </c>
    </row>
    <row r="2132" x14ac:dyDescent="0.25">
      <c r="A2132" t="n">
        <v>25</v>
      </c>
      <c r="B2132" t="s">
        <v>14</v>
      </c>
      <c r="C2132" t="s">
        <v>22</v>
      </c>
      <c r="D2132" s="2" t="s">
        <f>=HYPERLINK("https://main.knesset.gov.il/APPS/legislation/main/bills/2225645", "הצעת חוק שחרור על-תנאי ממאסר (תיקון - העברת הסמכות לדון בעבירות מין מהיחידה למאסרים קצרים לוועדת השחרורים), התשפ""ה-2025")</f>
        <v>4452</v>
      </c>
      <c r="E2132" t="s">
        <v>4452</v>
      </c>
      <c r="F2132" t="s">
        <v>4453</v>
      </c>
      <c r="G2132" t="s">
        <v>14</v>
      </c>
      <c r="H2132">
             </c>
      <c r="I2132" t="s">
        <v>14</v>
      </c>
      <c r="J2132" t="s">
        <v>141</v>
      </c>
      <c r="K2132" t="s">
        <v>14</v>
      </c>
      <c r="L2132" t="s">
        <v>20</v>
      </c>
      <c r="M2132" t="s">
        <v>4434</v>
      </c>
      <c r="N2132" t="s">
        <v>14</v>
      </c>
    </row>
    <row r="2133" x14ac:dyDescent="0.25">
      <c r="A2133" t="n">
        <v>25</v>
      </c>
      <c r="B2133" t="s">
        <v>14</v>
      </c>
      <c r="C2133" t="s">
        <v>22</v>
      </c>
      <c r="D2133" s="2" t="s">
        <f>=HYPERLINK("https://main.knesset.gov.il/APPS/legislation/main/bills/2226030", "הצעת חוק האזרחות (תיקון - אזרחות לבן משפחה של חייל), התשפ""ה-2025")</f>
        <v>4454</v>
      </c>
      <c r="E2133" t="s">
        <v>4454</v>
      </c>
      <c r="F2133" t="s">
        <v>4455</v>
      </c>
      <c r="G2133" t="s">
        <v>14</v>
      </c>
      <c r="H2133">
             </c>
      <c r="I2133" t="s">
        <v>14</v>
      </c>
      <c r="J2133" t="s">
        <v>141</v>
      </c>
      <c r="K2133" t="s">
        <v>14</v>
      </c>
      <c r="L2133" t="s">
        <v>20</v>
      </c>
      <c r="M2133" t="s">
        <v>4434</v>
      </c>
      <c r="N2133" t="s">
        <v>14</v>
      </c>
    </row>
    <row r="2134" x14ac:dyDescent="0.25">
      <c r="A2134" t="n">
        <v>25</v>
      </c>
      <c r="B2134" t="s">
        <v>14</v>
      </c>
      <c r="C2134" t="s">
        <v>22</v>
      </c>
      <c r="D2134" s="2" t="s">
        <f>=HYPERLINK("https://main.knesset.gov.il/APPS/legislation/main/bills/2226180", "הצעת חוק-יסוד: משאל עם (תיקון - משאל עם בעניין פינוי התיישבות חוקית באזור יהודה והשומרון)")</f>
        <v>4456</v>
      </c>
      <c r="E2134" t="s">
        <v>4456</v>
      </c>
      <c r="F2134" t="s">
        <v>4457</v>
      </c>
      <c r="G2134" t="s">
        <v>14</v>
      </c>
      <c r="H2134">
             </c>
      <c r="I2134" t="s">
        <v>14</v>
      </c>
      <c r="J2134" t="s">
        <v>141</v>
      </c>
      <c r="K2134" t="s">
        <v>14</v>
      </c>
      <c r="L2134" t="s">
        <v>20</v>
      </c>
      <c r="M2134" t="s">
        <v>4434</v>
      </c>
      <c r="N2134" t="s">
        <v>14</v>
      </c>
    </row>
    <row r="2135" x14ac:dyDescent="0.25">
      <c r="A2135" t="n">
        <v>25</v>
      </c>
      <c r="B2135" t="s">
        <v>14</v>
      </c>
      <c r="C2135" t="s">
        <v>22</v>
      </c>
      <c r="D2135" s="2" t="s">
        <f>=HYPERLINK("https://main.knesset.gov.il/APPS/legislation/main/bills/2226093", "הצעת חוק השכירות והשאילה (תיקון - הארכת הסכמי חכירה לדורות), התשפ""ה-2025")</f>
        <v>4458</v>
      </c>
      <c r="E2135" t="s">
        <v>4458</v>
      </c>
      <c r="F2135" t="s">
        <v>4459</v>
      </c>
      <c r="G2135" t="s">
        <v>14</v>
      </c>
      <c r="H2135">
             </c>
      <c r="I2135" t="s">
        <v>14</v>
      </c>
      <c r="J2135" t="s">
        <v>141</v>
      </c>
      <c r="K2135" t="s">
        <v>14</v>
      </c>
      <c r="L2135" t="s">
        <v>20</v>
      </c>
      <c r="M2135" t="s">
        <v>4434</v>
      </c>
      <c r="N2135" t="s">
        <v>14</v>
      </c>
    </row>
    <row r="2136" x14ac:dyDescent="0.25">
      <c r="A2136" t="n">
        <v>25</v>
      </c>
      <c r="B2136" t="s">
        <v>14</v>
      </c>
      <c r="C2136" t="s">
        <v>22</v>
      </c>
      <c r="D2136" s="2" t="s">
        <f>=HYPERLINK("https://main.knesset.gov.il/APPS/legislation/main/bills/2226207", "הצעת חוק ליווי בני משפחות של משרתים בגופי ביטחון ששלחו יד בנפשם, התשפ""ה-2025")</f>
        <v>4460</v>
      </c>
      <c r="E2136" t="s">
        <v>4460</v>
      </c>
      <c r="F2136" t="s">
        <v>4461</v>
      </c>
      <c r="G2136" t="s">
        <v>14</v>
      </c>
      <c r="H2136">
             </c>
      <c r="I2136" t="s">
        <v>14</v>
      </c>
      <c r="J2136" t="s">
        <v>141</v>
      </c>
      <c r="K2136" t="s">
        <v>14</v>
      </c>
      <c r="L2136" t="s">
        <v>20</v>
      </c>
      <c r="M2136" t="s">
        <v>4434</v>
      </c>
      <c r="N2136" t="s">
        <v>14</v>
      </c>
    </row>
    <row r="2137" x14ac:dyDescent="0.25">
      <c r="A2137" t="n">
        <v>25</v>
      </c>
      <c r="B2137" t="s">
        <v>14</v>
      </c>
      <c r="C2137" t="s">
        <v>22</v>
      </c>
      <c r="D2137" s="2" t="s">
        <f>=HYPERLINK("https://main.knesset.gov.il/APPS/legislation/main/bills/2225423", "הצעת חוק הממשלה (תיקון - ועדת שרים לענייני חקיקה), התשפ""ה-2025")</f>
        <v>4462</v>
      </c>
      <c r="E2137" t="s">
        <v>4462</v>
      </c>
      <c r="F2137" t="s">
        <v>4463</v>
      </c>
      <c r="G2137" t="s">
        <v>14</v>
      </c>
      <c r="H2137">
             </c>
      <c r="I2137" t="s">
        <v>14</v>
      </c>
      <c r="J2137" t="s">
        <v>141</v>
      </c>
      <c r="K2137" t="s">
        <v>14</v>
      </c>
      <c r="L2137" t="s">
        <v>20</v>
      </c>
      <c r="M2137" t="s">
        <v>4434</v>
      </c>
      <c r="N2137" t="s">
        <v>14</v>
      </c>
    </row>
    <row r="2138" x14ac:dyDescent="0.25">
      <c r="A2138" t="n">
        <v>25</v>
      </c>
      <c r="B2138" t="s">
        <v>14</v>
      </c>
      <c r="C2138" t="s">
        <v>22</v>
      </c>
      <c r="D2138" s="2" t="s">
        <f>=HYPERLINK("https://main.knesset.gov.il/APPS/legislation/main/bills/2226485", "הצעת חוק לשכת עורכי הדין (תיקון - הורדת סף המעבר בבחינת ההתמחות של מועד דצמבר 2024), התשפ""ה-2025")</f>
        <v>4369</v>
      </c>
      <c r="E2138" t="s">
        <v>4369</v>
      </c>
      <c r="F2138" t="s">
        <v>4464</v>
      </c>
      <c r="G2138" t="s">
        <v>14</v>
      </c>
      <c r="H2138">
             </c>
      <c r="I2138" t="s">
        <v>14</v>
      </c>
      <c r="J2138" t="s">
        <v>141</v>
      </c>
      <c r="K2138" t="s">
        <v>14</v>
      </c>
      <c r="L2138" t="s">
        <v>20</v>
      </c>
      <c r="M2138" t="s">
        <v>4434</v>
      </c>
      <c r="N2138" t="s">
        <v>14</v>
      </c>
    </row>
    <row r="2139" x14ac:dyDescent="0.25">
      <c r="A2139" t="n">
        <v>25</v>
      </c>
      <c r="B2139" t="s">
        <v>14</v>
      </c>
      <c r="C2139" t="s">
        <v>22</v>
      </c>
      <c r="D2139" s="2" t="s">
        <f>=HYPERLINK("https://main.knesset.gov.il/APPS/legislation/main/bills/2226237", "הצעת חוק קבלת ילד של משרת מילואים למעון יום והשתתפות המדינה בעלות שכר הלימוד בו, התשפ""ה-2025")</f>
        <v>1790</v>
      </c>
      <c r="E2139" t="s">
        <v>1790</v>
      </c>
      <c r="F2139" t="s">
        <v>4465</v>
      </c>
      <c r="G2139" t="s">
        <v>14</v>
      </c>
      <c r="H2139">
             </c>
      <c r="I2139" t="s">
        <v>14</v>
      </c>
      <c r="J2139" t="s">
        <v>141</v>
      </c>
      <c r="K2139" t="s">
        <v>14</v>
      </c>
      <c r="L2139" t="s">
        <v>20</v>
      </c>
      <c r="M2139" t="s">
        <v>4434</v>
      </c>
      <c r="N2139" t="s">
        <v>14</v>
      </c>
    </row>
    <row r="2140" x14ac:dyDescent="0.25">
      <c r="A2140" t="n">
        <v>25</v>
      </c>
      <c r="B2140" t="s">
        <v>14</v>
      </c>
      <c r="C2140" t="s">
        <v>22</v>
      </c>
      <c r="D2140" s="2" t="s">
        <f>=HYPERLINK("https://main.knesset.gov.il/APPS/legislation/main/bills/2225659", "הצעת חוק הדרכונים (תיקון - הנפקת דרכון או תעודת מעבר לקטין שמלאו לו 16 שנים), התשפ""ה-2025")</f>
        <v>4466</v>
      </c>
      <c r="E2140" t="s">
        <v>4466</v>
      </c>
      <c r="F2140" t="s">
        <v>4467</v>
      </c>
      <c r="G2140" t="s">
        <v>14</v>
      </c>
      <c r="H2140">
             </c>
      <c r="I2140" t="s">
        <v>14</v>
      </c>
      <c r="J2140" t="s">
        <v>141</v>
      </c>
      <c r="K2140" t="s">
        <v>14</v>
      </c>
      <c r="L2140" t="s">
        <v>20</v>
      </c>
      <c r="M2140" t="s">
        <v>4434</v>
      </c>
      <c r="N2140" t="s">
        <v>14</v>
      </c>
    </row>
    <row r="2141" x14ac:dyDescent="0.25">
      <c r="A2141" t="n">
        <v>25</v>
      </c>
      <c r="B2141" t="s">
        <v>14</v>
      </c>
      <c r="C2141" t="s">
        <v>22</v>
      </c>
      <c r="D2141" s="2" t="s">
        <f>=HYPERLINK("https://main.knesset.gov.il/APPS/legislation/main/bills/2226293", "הצעת חוק הכניסה לישראל (תיקון - תוקף צווי הגבלת שימוש במקום וסמכויות תפיסה וחילוט), התשפ""ה-2025")</f>
        <v>4468</v>
      </c>
      <c r="E2141" t="s">
        <v>4468</v>
      </c>
      <c r="F2141" t="s">
        <v>4469</v>
      </c>
      <c r="G2141" t="s">
        <v>14</v>
      </c>
      <c r="H2141">
             </c>
      <c r="I2141" t="s">
        <v>14</v>
      </c>
      <c r="J2141" t="s">
        <v>141</v>
      </c>
      <c r="K2141" t="s">
        <v>14</v>
      </c>
      <c r="L2141" t="s">
        <v>20</v>
      </c>
      <c r="M2141" t="s">
        <v>4434</v>
      </c>
      <c r="N2141" t="s">
        <v>14</v>
      </c>
    </row>
    <row r="2142" x14ac:dyDescent="0.25">
      <c r="A2142" t="n">
        <v>25</v>
      </c>
      <c r="B2142" t="s">
        <v>14</v>
      </c>
      <c r="C2142" t="s">
        <v>22</v>
      </c>
      <c r="D2142" s="2" t="s">
        <f>=HYPERLINK("https://main.knesset.gov.il/APPS/legislation/main/bills/2226414", "הצעת חוק הבנקאות (שירות ללקוח) (תיקון - מתן שירותי הפקדה בכל כספומט בנקאי), התשפ""ה-2025")</f>
        <v>2682</v>
      </c>
      <c r="E2142" t="s">
        <v>2682</v>
      </c>
      <c r="F2142" t="s">
        <v>4470</v>
      </c>
      <c r="G2142" t="s">
        <v>14</v>
      </c>
      <c r="H2142">
             </c>
      <c r="I2142" t="s">
        <v>14</v>
      </c>
      <c r="J2142" t="s">
        <v>141</v>
      </c>
      <c r="K2142" t="s">
        <v>14</v>
      </c>
      <c r="L2142" t="s">
        <v>20</v>
      </c>
      <c r="M2142" t="s">
        <v>4434</v>
      </c>
      <c r="N2142" t="s">
        <v>14</v>
      </c>
    </row>
    <row r="2143" x14ac:dyDescent="0.25">
      <c r="A2143" t="n">
        <v>25</v>
      </c>
      <c r="B2143" t="s">
        <v>14</v>
      </c>
      <c r="C2143" t="s">
        <v>22</v>
      </c>
      <c r="D2143" s="2" t="s">
        <f>=HYPERLINK("https://main.knesset.gov.il/APPS/legislation/main/bills/2226204", "הצעת חוק שעות עבודה ומנוחה (תיקון - הגבלת שעות העסקה של מתמחה ברפואה), התשפ""ה-2025")</f>
        <v>4471</v>
      </c>
      <c r="E2143" t="s">
        <v>4471</v>
      </c>
      <c r="F2143" t="s">
        <v>4472</v>
      </c>
      <c r="G2143" t="s">
        <v>14</v>
      </c>
      <c r="H2143">
             </c>
      <c r="I2143" t="s">
        <v>14</v>
      </c>
      <c r="J2143" t="s">
        <v>141</v>
      </c>
      <c r="K2143" t="s">
        <v>14</v>
      </c>
      <c r="L2143" t="s">
        <v>20</v>
      </c>
      <c r="M2143" t="s">
        <v>4434</v>
      </c>
      <c r="N2143" t="s">
        <v>14</v>
      </c>
    </row>
    <row r="2144" x14ac:dyDescent="0.25">
      <c r="A2144" t="n">
        <v>25</v>
      </c>
      <c r="B2144" t="s">
        <v>14</v>
      </c>
      <c r="C2144" t="s">
        <v>22</v>
      </c>
      <c r="D2144" s="2" t="s">
        <f>=HYPERLINK("https://main.knesset.gov.il/APPS/legislation/main/bills/2226597", "הצעת חוק הגנת השכר (תיקון - תלוש שכר אחיד בשירות המדינה), התשפ""ה-2025")</f>
        <v>4288</v>
      </c>
      <c r="E2144" t="s">
        <v>4288</v>
      </c>
      <c r="F2144" t="s">
        <v>4473</v>
      </c>
      <c r="G2144" t="s">
        <v>14</v>
      </c>
      <c r="H2144">
             </c>
      <c r="I2144" t="s">
        <v>14</v>
      </c>
      <c r="J2144" t="s">
        <v>141</v>
      </c>
      <c r="K2144" t="s">
        <v>14</v>
      </c>
      <c r="L2144" t="s">
        <v>20</v>
      </c>
      <c r="M2144" t="s">
        <v>4434</v>
      </c>
      <c r="N2144" t="s">
        <v>14</v>
      </c>
    </row>
    <row r="2145" x14ac:dyDescent="0.25">
      <c r="A2145" t="n">
        <v>25</v>
      </c>
      <c r="B2145" t="s">
        <v>14</v>
      </c>
      <c r="C2145" t="s">
        <v>22</v>
      </c>
      <c r="D2145" s="2" t="s">
        <f>=HYPERLINK("https://main.knesset.gov.il/APPS/legislation/main/bills/2226614", "הצעת חוק זכויות הסטודנט (תיקון - איסור הפליה מחמת מוגבלות), התשפ""ה-2025")</f>
        <v>4277</v>
      </c>
      <c r="E2145" t="s">
        <v>4277</v>
      </c>
      <c r="F2145" t="s">
        <v>4474</v>
      </c>
      <c r="G2145" t="s">
        <v>14</v>
      </c>
      <c r="H2145">
             </c>
      <c r="I2145" t="s">
        <v>14</v>
      </c>
      <c r="J2145" t="s">
        <v>141</v>
      </c>
      <c r="K2145" t="s">
        <v>14</v>
      </c>
      <c r="L2145" t="s">
        <v>20</v>
      </c>
      <c r="M2145" t="s">
        <v>4434</v>
      </c>
      <c r="N2145" t="s">
        <v>14</v>
      </c>
    </row>
    <row r="2146" x14ac:dyDescent="0.25">
      <c r="A2146" t="n">
        <v>25</v>
      </c>
      <c r="B2146" t="s">
        <v>14</v>
      </c>
      <c r="C2146" t="s">
        <v>22</v>
      </c>
      <c r="D2146" s="2" t="s">
        <f>=HYPERLINK("https://main.knesset.gov.il/APPS/legislation/main/bills/2226024", "הצעת חוק-יסוד: הכנסת (תיקון - הצבעה מרחוק ונבצרות)")</f>
        <v>4475</v>
      </c>
      <c r="E2146" t="s">
        <v>4475</v>
      </c>
      <c r="F2146" t="s">
        <v>4476</v>
      </c>
      <c r="G2146" t="s">
        <v>14</v>
      </c>
      <c r="H2146">
             </c>
      <c r="I2146" t="s">
        <v>14</v>
      </c>
      <c r="J2146" t="s">
        <v>141</v>
      </c>
      <c r="K2146" t="s">
        <v>14</v>
      </c>
      <c r="L2146" t="s">
        <v>20</v>
      </c>
      <c r="M2146" t="s">
        <v>4434</v>
      </c>
      <c r="N2146" t="s">
        <v>14</v>
      </c>
    </row>
    <row r="2147" x14ac:dyDescent="0.25">
      <c r="A2147" t="n">
        <v>25</v>
      </c>
      <c r="B2147" t="s">
        <v>14</v>
      </c>
      <c r="C2147" t="s">
        <v>22</v>
      </c>
      <c r="D2147" s="2" t="s">
        <f>=HYPERLINK("https://main.knesset.gov.il/APPS/legislation/main/bills/2226598", "הצעת חוק משק החשמל (תיקון - טעינת רכב חשמלי באמצעות יישומון תשלום אחוד), התשפ""ה-2025")</f>
        <v>3758</v>
      </c>
      <c r="E2147" t="s">
        <v>3758</v>
      </c>
      <c r="F2147" t="s">
        <v>4477</v>
      </c>
      <c r="G2147" t="s">
        <v>14</v>
      </c>
      <c r="H2147">
             </c>
      <c r="I2147" t="s">
        <v>14</v>
      </c>
      <c r="J2147" t="s">
        <v>141</v>
      </c>
      <c r="K2147" t="s">
        <v>14</v>
      </c>
      <c r="L2147" t="s">
        <v>20</v>
      </c>
      <c r="M2147" t="s">
        <v>4434</v>
      </c>
      <c r="N2147" t="s">
        <v>14</v>
      </c>
    </row>
    <row r="2148" x14ac:dyDescent="0.25">
      <c r="A2148" t="n">
        <v>25</v>
      </c>
      <c r="B2148" t="s">
        <v>14</v>
      </c>
      <c r="C2148" t="s">
        <v>22</v>
      </c>
      <c r="D2148" s="2" t="s">
        <f>=HYPERLINK("https://main.knesset.gov.il/APPS/legislation/main/bills/2226177", "הצעת חוק לתיקון פקודת מס הכנסה (קרן השתלמות לחקלאי שומר שמיטה), התשפ""ה-2025")</f>
        <v>3632</v>
      </c>
      <c r="E2148" t="s">
        <v>3632</v>
      </c>
      <c r="F2148" t="s">
        <v>4478</v>
      </c>
      <c r="G2148" t="s">
        <v>14</v>
      </c>
      <c r="H2148">
             </c>
      <c r="I2148" t="s">
        <v>14</v>
      </c>
      <c r="J2148" t="s">
        <v>141</v>
      </c>
      <c r="K2148" t="s">
        <v>14</v>
      </c>
      <c r="L2148" t="s">
        <v>20</v>
      </c>
      <c r="M2148" t="s">
        <v>4434</v>
      </c>
      <c r="N2148" t="s">
        <v>14</v>
      </c>
    </row>
    <row r="2149" x14ac:dyDescent="0.25">
      <c r="A2149" t="n">
        <v>25</v>
      </c>
      <c r="B2149" t="s">
        <v>14</v>
      </c>
      <c r="C2149" t="s">
        <v>22</v>
      </c>
      <c r="D2149" s="2" t="s">
        <f>=HYPERLINK("https://main.knesset.gov.il/APPS/legislation/main/bills/2225656", "הצעת חוק תרגום תעודות ציבוריות, התשפ""ה-2025")</f>
        <v>4479</v>
      </c>
      <c r="E2149" t="s">
        <v>4479</v>
      </c>
      <c r="F2149" t="s">
        <v>4480</v>
      </c>
      <c r="G2149" t="s">
        <v>14</v>
      </c>
      <c r="H2149">
             </c>
      <c r="I2149" t="s">
        <v>14</v>
      </c>
      <c r="J2149" t="s">
        <v>141</v>
      </c>
      <c r="K2149" t="s">
        <v>14</v>
      </c>
      <c r="L2149" t="s">
        <v>20</v>
      </c>
      <c r="M2149" t="s">
        <v>4434</v>
      </c>
      <c r="N2149" t="s">
        <v>14</v>
      </c>
    </row>
    <row r="2150" x14ac:dyDescent="0.25">
      <c r="A2150" t="n">
        <v>25</v>
      </c>
      <c r="B2150" t="s">
        <v>14</v>
      </c>
      <c r="C2150" t="s">
        <v>22</v>
      </c>
      <c r="D2150" s="2" t="s">
        <f>=HYPERLINK("https://main.knesset.gov.il/APPS/legislation/main/bills/2225366", "הצעת חוק מס ערך מוסף (תיקון - מס בשיעור אפס במכירת מזונות המסייעים לקידום בריאות הציבור והביטחון התזונתי), התשפ""ה-2025")</f>
        <v>4481</v>
      </c>
      <c r="E2150" t="s">
        <v>4481</v>
      </c>
      <c r="F2150" t="s">
        <v>4482</v>
      </c>
      <c r="G2150" t="s">
        <v>14</v>
      </c>
      <c r="H2150">
             </c>
      <c r="I2150" t="s">
        <v>14</v>
      </c>
      <c r="J2150" t="s">
        <v>141</v>
      </c>
      <c r="K2150" t="s">
        <v>14</v>
      </c>
      <c r="L2150" t="s">
        <v>20</v>
      </c>
      <c r="M2150" t="s">
        <v>4434</v>
      </c>
      <c r="N2150" t="s">
        <v>14</v>
      </c>
    </row>
    <row r="2151" x14ac:dyDescent="0.25">
      <c r="A2151" t="n">
        <v>25</v>
      </c>
      <c r="B2151" t="s">
        <v>14</v>
      </c>
      <c r="C2151" t="s">
        <v>22</v>
      </c>
      <c r="D2151" s="2" t="s">
        <f>=HYPERLINK("https://main.knesset.gov.il/APPS/legislation/main/bills/2225298", "הצעת חוק התגמולים לנפגעי פעולות איבה (תיקון - זכאויות לבני משפחה נוספים), התשפ""ה-2025")</f>
        <v>4352</v>
      </c>
      <c r="E2151" t="s">
        <v>4352</v>
      </c>
      <c r="F2151" t="s">
        <v>4483</v>
      </c>
      <c r="G2151" t="s">
        <v>14</v>
      </c>
      <c r="H2151">
             </c>
      <c r="I2151" t="s">
        <v>14</v>
      </c>
      <c r="J2151" t="s">
        <v>141</v>
      </c>
      <c r="K2151" t="s">
        <v>14</v>
      </c>
      <c r="L2151" t="s">
        <v>20</v>
      </c>
      <c r="M2151" t="s">
        <v>4434</v>
      </c>
      <c r="N2151" t="s">
        <v>14</v>
      </c>
    </row>
    <row r="2152" x14ac:dyDescent="0.25">
      <c r="A2152" t="n">
        <v>25</v>
      </c>
      <c r="B2152" t="s">
        <v>14</v>
      </c>
      <c r="C2152" t="s">
        <v>22</v>
      </c>
      <c r="D2152" s="2" t="s">
        <f>=HYPERLINK("https://main.knesset.gov.il/APPS/legislation/main/bills/2226434", "הצעת חוק-יסוד: ישראל - מדינת הלאום של העם היהודי (תיקון - הוספת מחויבות לשוויון זכויות)")</f>
        <v>4484</v>
      </c>
      <c r="E2152" t="s">
        <v>4484</v>
      </c>
      <c r="F2152" t="s">
        <v>4485</v>
      </c>
      <c r="G2152" t="s">
        <v>14</v>
      </c>
      <c r="H2152">
             </c>
      <c r="I2152" t="s">
        <v>14</v>
      </c>
      <c r="J2152" t="s">
        <v>141</v>
      </c>
      <c r="K2152" t="s">
        <v>14</v>
      </c>
      <c r="L2152" t="s">
        <v>20</v>
      </c>
      <c r="M2152" t="s">
        <v>4434</v>
      </c>
      <c r="N2152" t="s">
        <v>14</v>
      </c>
    </row>
    <row r="2153" x14ac:dyDescent="0.25">
      <c r="A2153" t="n">
        <v>25</v>
      </c>
      <c r="B2153" t="s">
        <v>14</v>
      </c>
      <c r="C2153" t="s">
        <v>22</v>
      </c>
      <c r="D2153" s="2" t="s">
        <f>=HYPERLINK("https://main.knesset.gov.il/APPS/legislation/main/bills/2226353", "הצעת חוק סדר הדין הפלילי (תיקון - הגבלת משך זמן החקירה המשטרתית וחקירת הפרקליטות), התשפ""ה-2025")</f>
        <v>4486</v>
      </c>
      <c r="E2153" t="s">
        <v>4486</v>
      </c>
      <c r="F2153" t="s">
        <v>4487</v>
      </c>
      <c r="G2153" t="s">
        <v>14</v>
      </c>
      <c r="H2153">
             </c>
      <c r="I2153" t="s">
        <v>14</v>
      </c>
      <c r="J2153" t="s">
        <v>141</v>
      </c>
      <c r="K2153" t="s">
        <v>14</v>
      </c>
      <c r="L2153" t="s">
        <v>20</v>
      </c>
      <c r="M2153" t="s">
        <v>4434</v>
      </c>
      <c r="N2153" t="s">
        <v>14</v>
      </c>
    </row>
    <row r="2154" x14ac:dyDescent="0.25">
      <c r="A2154" t="n">
        <v>25</v>
      </c>
      <c r="B2154" t="s">
        <v>14</v>
      </c>
      <c r="C2154" t="s">
        <v>15</v>
      </c>
      <c r="D2154" s="2" t="s">
        <f>=HYPERLINK("https://main.knesset.gov.il/APPS/legislation/main/bills/2195309", "חוק הסדרת העיסוק בעבודה במערכת קירור או מיזוג אוויר, התשפ""ה-2025")</f>
        <v>4488</v>
      </c>
      <c r="E2154" t="s">
        <v>4488</v>
      </c>
      <c r="F2154" t="s">
        <v>14</v>
      </c>
      <c r="G2154" t="s">
        <v>4489</v>
      </c>
      <c r="H2154" t="n">
        <v>3349</v>
      </c>
      <c r="I2154" t="s">
        <v>14</v>
      </c>
      <c r="J2154" t="s">
        <v>91</v>
      </c>
      <c r="K2154" t="s">
        <v>127</v>
      </c>
      <c r="L2154" t="s">
        <v>20</v>
      </c>
      <c r="M2154" t="s">
        <v>4490</v>
      </c>
      <c r="N2154" t="s">
        <v>4491</v>
      </c>
    </row>
    <row r="2155" x14ac:dyDescent="0.25">
      <c r="A2155" t="n">
        <v>25</v>
      </c>
      <c r="B2155" t="s">
        <v>14</v>
      </c>
      <c r="C2155" t="s">
        <v>15</v>
      </c>
      <c r="D2155" s="2" t="s">
        <f>=HYPERLINK("https://main.knesset.gov.il/APPS/legislation/main/bills/2224755", "חוק העונשין (תיקון מס' 140 – הוראת שעה) (תיקון), התשפ""ה-2025")</f>
        <v>4492</v>
      </c>
      <c r="E2155" t="s">
        <v>4492</v>
      </c>
      <c r="F2155" t="s">
        <v>14</v>
      </c>
      <c r="G2155" t="s">
        <v>4493</v>
      </c>
      <c r="H2155" t="n">
        <v>3346</v>
      </c>
      <c r="I2155" t="s">
        <v>14</v>
      </c>
      <c r="J2155" t="s">
        <v>91</v>
      </c>
      <c r="K2155" t="s">
        <v>27</v>
      </c>
      <c r="L2155" t="s">
        <v>20</v>
      </c>
      <c r="M2155" t="s">
        <v>4490</v>
      </c>
      <c r="N2155" t="s">
        <v>4494</v>
      </c>
    </row>
    <row r="2156" x14ac:dyDescent="0.25">
      <c r="A2156" t="n">
        <v>25</v>
      </c>
      <c r="B2156" t="s">
        <v>14</v>
      </c>
      <c r="C2156" t="s">
        <v>22</v>
      </c>
      <c r="D2156" s="2" t="s">
        <f>=HYPERLINK("https://main.knesset.gov.il/APPS/legislation/main/bills/2223856", "הצעת חוק לתיקון פקודת מס הכנסה (פטור ממס על תגמול מילואים ונקודות זיכוי מס למשרת מילואים פעיל), התשפ""ה-2024")</f>
        <v>4495</v>
      </c>
      <c r="E2156" t="s">
        <v>4495</v>
      </c>
      <c r="F2156" t="s">
        <v>4496</v>
      </c>
      <c r="G2156" t="s">
        <v>14</v>
      </c>
      <c r="H2156">
             </c>
      <c r="I2156" t="s">
        <v>14</v>
      </c>
      <c r="J2156" t="s">
        <v>55</v>
      </c>
      <c r="K2156" t="s">
        <v>14</v>
      </c>
      <c r="L2156" t="s">
        <v>20</v>
      </c>
      <c r="M2156" t="s">
        <v>4490</v>
      </c>
      <c r="N2156" t="s">
        <v>14</v>
      </c>
    </row>
    <row r="2157" x14ac:dyDescent="0.25">
      <c r="A2157" t="n">
        <v>25</v>
      </c>
      <c r="B2157" t="s">
        <v>14</v>
      </c>
      <c r="C2157" t="s">
        <v>22</v>
      </c>
      <c r="D2157" s="2" t="s">
        <f>=HYPERLINK("https://main.knesset.gov.il/APPS/legislation/main/bills/2223880", "הצעת חוק לתיקון פקודת מס הכנסה (נקודת זיכוי בעד שירות מילואים), התשפ""ה-2024")</f>
        <v>4497</v>
      </c>
      <c r="E2157" t="s">
        <v>4497</v>
      </c>
      <c r="F2157" t="s">
        <v>4498</v>
      </c>
      <c r="G2157" t="s">
        <v>14</v>
      </c>
      <c r="H2157">
             </c>
      <c r="I2157" t="s">
        <v>14</v>
      </c>
      <c r="J2157" t="s">
        <v>55</v>
      </c>
      <c r="K2157" t="s">
        <v>14</v>
      </c>
      <c r="L2157" t="s">
        <v>20</v>
      </c>
      <c r="M2157" t="s">
        <v>4490</v>
      </c>
      <c r="N2157" t="s">
        <v>14</v>
      </c>
    </row>
    <row r="2158" x14ac:dyDescent="0.25">
      <c r="A2158" t="n">
        <v>25</v>
      </c>
      <c r="B2158" t="s">
        <v>14</v>
      </c>
      <c r="C2158" t="s">
        <v>22</v>
      </c>
      <c r="D2158" s="2" t="s">
        <f>=HYPERLINK("https://main.knesset.gov.il/APPS/legislation/main/bills/2223092", "הצעת חוק-יסוד: הכנסת (תיקון - הזכות להיבחר) ")</f>
        <v>4499</v>
      </c>
      <c r="E2158" t="s">
        <v>4499</v>
      </c>
      <c r="F2158" t="s">
        <v>4500</v>
      </c>
      <c r="G2158" t="s">
        <v>14</v>
      </c>
      <c r="H2158">
             </c>
      <c r="I2158" t="s">
        <v>14</v>
      </c>
      <c r="J2158" t="s">
        <v>55</v>
      </c>
      <c r="K2158" t="s">
        <v>14</v>
      </c>
      <c r="L2158" t="s">
        <v>20</v>
      </c>
      <c r="M2158" t="s">
        <v>4490</v>
      </c>
      <c r="N2158" t="s">
        <v>14</v>
      </c>
    </row>
    <row r="2159" x14ac:dyDescent="0.25">
      <c r="A2159" t="n">
        <v>25</v>
      </c>
      <c r="B2159" t="s">
        <v>14</v>
      </c>
      <c r="C2159" t="s">
        <v>22</v>
      </c>
      <c r="D2159" s="2" t="s">
        <f>=HYPERLINK("https://main.knesset.gov.il/APPS/legislation/main/bills/2219479", "הצעת חוק הרשות הלאומית לרפואה משפטית, התשפ""ד-2024")</f>
        <v>4501</v>
      </c>
      <c r="E2159" t="s">
        <v>4501</v>
      </c>
      <c r="F2159" t="s">
        <v>4502</v>
      </c>
      <c r="G2159" t="s">
        <v>14</v>
      </c>
      <c r="H2159">
             </c>
      <c r="I2159" t="s">
        <v>14</v>
      </c>
      <c r="J2159" t="s">
        <v>55</v>
      </c>
      <c r="K2159" t="s">
        <v>14</v>
      </c>
      <c r="L2159" t="s">
        <v>20</v>
      </c>
      <c r="M2159" t="s">
        <v>4490</v>
      </c>
      <c r="N2159" t="s">
        <v>14</v>
      </c>
    </row>
    <row r="2160" x14ac:dyDescent="0.25">
      <c r="A2160" t="n">
        <v>25</v>
      </c>
      <c r="B2160" t="s">
        <v>14</v>
      </c>
      <c r="C2160" t="s">
        <v>22</v>
      </c>
      <c r="D2160" s="2" t="s">
        <f>=HYPERLINK("https://main.knesset.gov.il/APPS/legislation/main/bills/2213777", "הצעת חוק הרשות הלאומית למאבק בסמים ובשימוש לרעה באלכוהול, התשפ""ד-2024")</f>
        <v>4503</v>
      </c>
      <c r="E2160" t="s">
        <v>4503</v>
      </c>
      <c r="F2160" t="s">
        <v>4504</v>
      </c>
      <c r="G2160" t="s">
        <v>14</v>
      </c>
      <c r="H2160">
             </c>
      <c r="I2160" t="s">
        <v>14</v>
      </c>
      <c r="J2160" t="s">
        <v>55</v>
      </c>
      <c r="K2160" t="s">
        <v>14</v>
      </c>
      <c r="L2160" t="s">
        <v>20</v>
      </c>
      <c r="M2160" t="s">
        <v>4490</v>
      </c>
      <c r="N2160" t="s">
        <v>14</v>
      </c>
    </row>
    <row r="2161" x14ac:dyDescent="0.25">
      <c r="A2161" t="n">
        <v>25</v>
      </c>
      <c r="B2161" t="s">
        <v>14</v>
      </c>
      <c r="C2161" t="s">
        <v>22</v>
      </c>
      <c r="D2161" s="2" t="s">
        <f>=HYPERLINK("https://main.knesset.gov.il/APPS/legislation/main/bills/2208519", "הצעת חוק חינוך ממלכתי (תיקון - חינוך ממלכתי חרדי), התשפ""ג-2023")</f>
        <v>4505</v>
      </c>
      <c r="E2161" t="s">
        <v>4505</v>
      </c>
      <c r="F2161" t="s">
        <v>4506</v>
      </c>
      <c r="G2161" t="s">
        <v>14</v>
      </c>
      <c r="H2161">
             </c>
      <c r="I2161" t="s">
        <v>14</v>
      </c>
      <c r="J2161" t="s">
        <v>55</v>
      </c>
      <c r="K2161" t="s">
        <v>14</v>
      </c>
      <c r="L2161" t="s">
        <v>20</v>
      </c>
      <c r="M2161" t="s">
        <v>4490</v>
      </c>
      <c r="N2161" t="s">
        <v>14</v>
      </c>
    </row>
    <row r="2162" x14ac:dyDescent="0.25">
      <c r="A2162" t="n">
        <v>25</v>
      </c>
      <c r="B2162" t="s">
        <v>14</v>
      </c>
      <c r="C2162" t="s">
        <v>22</v>
      </c>
      <c r="D2162" s="2" t="s">
        <f>=HYPERLINK("https://main.knesset.gov.il/APPS/legislation/main/bills/2198091", "הצעת חוק גנים לאומיים, שמורות טבע, אתרים לאומיים ואתרי הנצחה (תיקון - הגנה על סמלי הנצחה ומורשת), התשפ""ג-2023")</f>
        <v>4507</v>
      </c>
      <c r="E2162" t="s">
        <v>4507</v>
      </c>
      <c r="F2162" t="s">
        <v>4508</v>
      </c>
      <c r="G2162" t="s">
        <v>14</v>
      </c>
      <c r="H2162">
             </c>
      <c r="I2162" t="s">
        <v>14</v>
      </c>
      <c r="J2162" t="s">
        <v>31</v>
      </c>
      <c r="K2162" t="s">
        <v>114</v>
      </c>
      <c r="L2162" t="s">
        <v>20</v>
      </c>
      <c r="M2162" t="s">
        <v>4490</v>
      </c>
      <c r="N2162" t="s">
        <v>14</v>
      </c>
    </row>
    <row r="2163" x14ac:dyDescent="0.25">
      <c r="A2163" t="n">
        <v>25</v>
      </c>
      <c r="B2163" t="s">
        <v>14</v>
      </c>
      <c r="C2163" t="s">
        <v>22</v>
      </c>
      <c r="D2163" s="2" t="s">
        <f>=HYPERLINK("https://main.knesset.gov.il/APPS/legislation/main/bills/2202134", "הצעת חוק חובת המכרזים (תיקון - העדפה מתקנת לנכי צה""ל), התשפ""ג-2023")</f>
        <v>4509</v>
      </c>
      <c r="E2163" t="s">
        <v>4509</v>
      </c>
      <c r="F2163" t="s">
        <v>4510</v>
      </c>
      <c r="G2163" t="s">
        <v>14</v>
      </c>
      <c r="H2163">
             </c>
      <c r="I2163" t="s">
        <v>14</v>
      </c>
      <c r="J2163" t="s">
        <v>55</v>
      </c>
      <c r="K2163" t="s">
        <v>14</v>
      </c>
      <c r="L2163" t="s">
        <v>20</v>
      </c>
      <c r="M2163" t="s">
        <v>4490</v>
      </c>
      <c r="N2163" t="s">
        <v>14</v>
      </c>
    </row>
    <row r="2164" x14ac:dyDescent="0.25">
      <c r="A2164" t="n">
        <v>25</v>
      </c>
      <c r="B2164" t="s">
        <v>14</v>
      </c>
      <c r="C2164" t="s">
        <v>22</v>
      </c>
      <c r="D2164" s="2" t="s">
        <f>=HYPERLINK("https://main.knesset.gov.il/APPS/legislation/main/bills/2200526", "הצעת חוק החלת תקצוב מגדרי על תקציבים ציבוריים בישראל, התשפ""ג-2023")</f>
        <v>4511</v>
      </c>
      <c r="E2164" t="s">
        <v>4511</v>
      </c>
      <c r="F2164" t="s">
        <v>4512</v>
      </c>
      <c r="G2164" t="s">
        <v>14</v>
      </c>
      <c r="H2164">
             </c>
      <c r="I2164" t="s">
        <v>14</v>
      </c>
      <c r="J2164" t="s">
        <v>55</v>
      </c>
      <c r="K2164" t="s">
        <v>14</v>
      </c>
      <c r="L2164" t="s">
        <v>20</v>
      </c>
      <c r="M2164" t="s">
        <v>4490</v>
      </c>
      <c r="N2164" t="s">
        <v>14</v>
      </c>
    </row>
    <row r="2165" x14ac:dyDescent="0.25">
      <c r="A2165" t="n">
        <v>25</v>
      </c>
      <c r="B2165" t="s">
        <v>14</v>
      </c>
      <c r="C2165" t="s">
        <v>22</v>
      </c>
      <c r="D2165" s="2" t="s">
        <f>=HYPERLINK("https://main.knesset.gov.il/APPS/legislation/main/bills/2198745", "הצעת חוק מרשם האוכלוסין (תיקון - שינוי שם משפחה של קורבנות עבירת רצח שבוצעה על ידי בני משפחתם), התשפ""ג-2023")</f>
        <v>4513</v>
      </c>
      <c r="E2165" t="s">
        <v>4513</v>
      </c>
      <c r="F2165" t="s">
        <v>4514</v>
      </c>
      <c r="G2165" t="s">
        <v>14</v>
      </c>
      <c r="H2165">
             </c>
      <c r="I2165" t="s">
        <v>14</v>
      </c>
      <c r="J2165" t="s">
        <v>55</v>
      </c>
      <c r="K2165" t="s">
        <v>14</v>
      </c>
      <c r="L2165" t="s">
        <v>20</v>
      </c>
      <c r="M2165" t="s">
        <v>4490</v>
      </c>
      <c r="N2165" t="s">
        <v>14</v>
      </c>
    </row>
    <row r="2166" x14ac:dyDescent="0.25">
      <c r="A2166" t="n">
        <v>25</v>
      </c>
      <c r="B2166" t="s">
        <v>14</v>
      </c>
      <c r="C2166" t="s">
        <v>22</v>
      </c>
      <c r="D2166" s="2" t="s">
        <f>=HYPERLINK("https://main.knesset.gov.il/APPS/legislation/main/bills/2197756", "הצעת חוק שימוש בזרע של נפטר לשם הולדה, התשפ""ג-2022 ")</f>
        <v>4515</v>
      </c>
      <c r="E2166" t="s">
        <v>4515</v>
      </c>
      <c r="F2166" t="s">
        <v>4516</v>
      </c>
      <c r="G2166" t="s">
        <v>14</v>
      </c>
      <c r="H2166">
             </c>
      <c r="I2166" t="s">
        <v>14</v>
      </c>
      <c r="J2166" t="s">
        <v>31</v>
      </c>
      <c r="K2166" t="s">
        <v>121</v>
      </c>
      <c r="L2166" t="s">
        <v>20</v>
      </c>
      <c r="M2166" t="s">
        <v>4490</v>
      </c>
      <c r="N2166" t="s">
        <v>14</v>
      </c>
    </row>
    <row r="2167" x14ac:dyDescent="0.25">
      <c r="A2167" t="n">
        <v>25</v>
      </c>
      <c r="B2167" t="s">
        <v>14</v>
      </c>
      <c r="C2167" t="s">
        <v>22</v>
      </c>
      <c r="D2167" s="2" t="s">
        <f>=HYPERLINK("https://main.knesset.gov.il/APPS/legislation/main/bills/2196906", "הצעת חוק החלת תקצוב מגדרי על תקציבים ציבוריים בישראל, התשפ""ג-2022")</f>
        <v>4517</v>
      </c>
      <c r="E2167" t="s">
        <v>4517</v>
      </c>
      <c r="F2167" t="s">
        <v>4518</v>
      </c>
      <c r="G2167" t="s">
        <v>14</v>
      </c>
      <c r="H2167">
             </c>
      <c r="I2167" t="s">
        <v>14</v>
      </c>
      <c r="J2167" t="s">
        <v>55</v>
      </c>
      <c r="K2167" t="s">
        <v>14</v>
      </c>
      <c r="L2167" t="s">
        <v>20</v>
      </c>
      <c r="M2167" t="s">
        <v>4490</v>
      </c>
      <c r="N2167" t="s">
        <v>14</v>
      </c>
    </row>
    <row r="2168" x14ac:dyDescent="0.25">
      <c r="A2168" t="n">
        <v>25</v>
      </c>
      <c r="B2168" t="s">
        <v>14</v>
      </c>
      <c r="C2168" t="s">
        <v>22</v>
      </c>
      <c r="D2168" s="2" t="s">
        <f>=HYPERLINK("https://main.knesset.gov.il/APPS/legislation/main/bills/2211694", "הצעת חוק ההתגוננות האזרחית (תיקון - פיקוח על מקלטים משותפים), התשפ""ד-2024")</f>
        <v>4519</v>
      </c>
      <c r="E2168" t="s">
        <v>4519</v>
      </c>
      <c r="F2168" t="s">
        <v>4520</v>
      </c>
      <c r="G2168" t="s">
        <v>14</v>
      </c>
      <c r="H2168">
             </c>
      <c r="I2168" t="s">
        <v>14</v>
      </c>
      <c r="J2168" t="s">
        <v>31</v>
      </c>
      <c r="K2168" t="s">
        <v>46</v>
      </c>
      <c r="L2168" t="s">
        <v>20</v>
      </c>
      <c r="M2168" t="s">
        <v>4521</v>
      </c>
      <c r="N2168" t="s">
        <v>14</v>
      </c>
    </row>
    <row r="2169" x14ac:dyDescent="0.25">
      <c r="A2169" t="n">
        <v>25</v>
      </c>
      <c r="B2169" t="s">
        <v>14</v>
      </c>
      <c r="C2169" t="s">
        <v>15</v>
      </c>
      <c r="D2169" s="2" t="s">
        <f>=HYPERLINK("https://main.knesset.gov.il/APPS/legislation/main/bills/2224855", "חוק מרשם האוכלוסין (תיקון מס' 22), התשפ""ה-2025")</f>
        <v>4522</v>
      </c>
      <c r="E2169" t="s">
        <v>4522</v>
      </c>
      <c r="F2169" t="s">
        <v>14</v>
      </c>
      <c r="G2169" t="s">
        <v>4523</v>
      </c>
      <c r="H2169" t="n">
        <v>3345</v>
      </c>
      <c r="I2169" t="s">
        <v>14</v>
      </c>
      <c r="J2169" t="s">
        <v>91</v>
      </c>
      <c r="K2169" t="s">
        <v>46</v>
      </c>
      <c r="L2169" t="s">
        <v>20</v>
      </c>
      <c r="M2169" t="s">
        <v>4521</v>
      </c>
      <c r="N2169" t="s">
        <v>4524</v>
      </c>
    </row>
    <row r="2170" x14ac:dyDescent="0.25">
      <c r="A2170" t="n">
        <v>25</v>
      </c>
      <c r="B2170" t="s">
        <v>14</v>
      </c>
      <c r="C2170" t="s">
        <v>15</v>
      </c>
      <c r="D2170" s="2" t="s">
        <f>=HYPERLINK("https://main.knesset.gov.il/APPS/legislation/main/bills/2224368", "חוק שחרור על־תנאי ממאסר (תיקון מס' 17 – הוראת שעה) (תיקון מס' 4), התשפ""ה-2025 ")</f>
        <v>4525</v>
      </c>
      <c r="E2170" t="s">
        <v>4525</v>
      </c>
      <c r="F2170" t="s">
        <v>14</v>
      </c>
      <c r="G2170" t="s">
        <v>4526</v>
      </c>
      <c r="H2170" t="n">
        <v>3344</v>
      </c>
      <c r="I2170" t="s">
        <v>14</v>
      </c>
      <c r="J2170" t="s">
        <v>91</v>
      </c>
      <c r="K2170" t="s">
        <v>105</v>
      </c>
      <c r="L2170" t="s">
        <v>20</v>
      </c>
      <c r="M2170" t="s">
        <v>4527</v>
      </c>
      <c r="N2170" t="s">
        <v>4528</v>
      </c>
    </row>
    <row r="2171" x14ac:dyDescent="0.25">
      <c r="A2171" t="n">
        <v>25</v>
      </c>
      <c r="B2171" t="s">
        <v>14</v>
      </c>
      <c r="C2171" t="s">
        <v>22</v>
      </c>
      <c r="D2171" s="2" t="s">
        <f>=HYPERLINK("https://main.knesset.gov.il/APPS/legislation/main/bills/2222702", "הצעת חוק רישוי שירותים ומקצועות בענף הרכב (תיקון - קידום תחרות בשוק שירותי הרכב), התשפ""ה-2025")</f>
        <v>4529</v>
      </c>
      <c r="E2171" t="s">
        <v>4529</v>
      </c>
      <c r="F2171" t="s">
        <v>4530</v>
      </c>
      <c r="G2171" t="s">
        <v>14</v>
      </c>
      <c r="H2171">
             </c>
      <c r="I2171" t="s">
        <v>14</v>
      </c>
      <c r="J2171" t="s">
        <v>141</v>
      </c>
      <c r="K2171" t="s">
        <v>14</v>
      </c>
      <c r="L2171" t="s">
        <v>20</v>
      </c>
      <c r="M2171" t="s">
        <v>4527</v>
      </c>
      <c r="N2171" t="s">
        <v>14</v>
      </c>
    </row>
    <row r="2172" x14ac:dyDescent="0.25">
      <c r="A2172" t="n">
        <v>25</v>
      </c>
      <c r="B2172" t="s">
        <v>14</v>
      </c>
      <c r="C2172" t="s">
        <v>22</v>
      </c>
      <c r="D2172" s="2" t="s">
        <f>=HYPERLINK("https://main.knesset.gov.il/APPS/legislation/main/bills/2226288", "הצעת חוק חסינות חברי הכנסת, זכויותיהם וחובותיהם (תיקון - חובת גילוי של מסחר בניירות ערך לחבר בוועדת הכספים או הכלכלה של הכנסת), התשפ""ה-2025")</f>
        <v>4531</v>
      </c>
      <c r="E2172" t="s">
        <v>4531</v>
      </c>
      <c r="F2172" t="s">
        <v>4532</v>
      </c>
      <c r="G2172" t="s">
        <v>14</v>
      </c>
      <c r="H2172">
             </c>
      <c r="I2172" t="s">
        <v>14</v>
      </c>
      <c r="J2172" t="s">
        <v>141</v>
      </c>
      <c r="K2172" t="s">
        <v>14</v>
      </c>
      <c r="L2172" t="s">
        <v>20</v>
      </c>
      <c r="M2172" t="s">
        <v>4527</v>
      </c>
      <c r="N2172" t="s">
        <v>14</v>
      </c>
    </row>
    <row r="2173" x14ac:dyDescent="0.25">
      <c r="A2173" t="n">
        <v>25</v>
      </c>
      <c r="B2173" t="s">
        <v>14</v>
      </c>
      <c r="C2173" t="s">
        <v>22</v>
      </c>
      <c r="D2173" s="2" t="s">
        <f>=HYPERLINK("https://main.knesset.gov.il/APPS/legislation/main/bills/2225286", "הצעת חוק למניעת הסתננות (עבירות ושיפוט) (תיקון - מניעת שחרור בעירבון כספי), התשפ""ה-2025")</f>
        <v>4448</v>
      </c>
      <c r="E2173" t="s">
        <v>4448</v>
      </c>
      <c r="F2173" t="s">
        <v>4533</v>
      </c>
      <c r="G2173" t="s">
        <v>14</v>
      </c>
      <c r="H2173">
             </c>
      <c r="I2173" t="s">
        <v>14</v>
      </c>
      <c r="J2173" t="s">
        <v>141</v>
      </c>
      <c r="K2173" t="s">
        <v>14</v>
      </c>
      <c r="L2173" t="s">
        <v>20</v>
      </c>
      <c r="M2173" t="s">
        <v>4527</v>
      </c>
      <c r="N2173" t="s">
        <v>14</v>
      </c>
    </row>
    <row r="2174" x14ac:dyDescent="0.25">
      <c r="A2174" t="n">
        <v>25</v>
      </c>
      <c r="B2174" t="s">
        <v>14</v>
      </c>
      <c r="C2174" t="s">
        <v>22</v>
      </c>
      <c r="D2174" s="2" t="s">
        <f>=HYPERLINK("https://main.knesset.gov.il/APPS/legislation/main/bills/2225767", "הצעת חוק למניעת אלימות במשפחה (תיקון - מתן צו הגנה בהליך פלילי), התשפ""ה-2025")</f>
        <v>4534</v>
      </c>
      <c r="E2174" t="s">
        <v>4534</v>
      </c>
      <c r="F2174" t="s">
        <v>4535</v>
      </c>
      <c r="G2174" t="s">
        <v>14</v>
      </c>
      <c r="H2174">
             </c>
      <c r="I2174" t="s">
        <v>14</v>
      </c>
      <c r="J2174" t="s">
        <v>141</v>
      </c>
      <c r="K2174" t="s">
        <v>14</v>
      </c>
      <c r="L2174" t="s">
        <v>20</v>
      </c>
      <c r="M2174" t="s">
        <v>4527</v>
      </c>
      <c r="N2174" t="s">
        <v>14</v>
      </c>
    </row>
    <row r="2175" x14ac:dyDescent="0.25">
      <c r="A2175" t="n">
        <v>25</v>
      </c>
      <c r="B2175" t="s">
        <v>14</v>
      </c>
      <c r="C2175" t="s">
        <v>22</v>
      </c>
      <c r="D2175" s="2" t="s">
        <f>=HYPERLINK("https://main.knesset.gov.il/APPS/legislation/main/bills/2224175", "הצעת חוק סיירות ביטחון ברשויות המקומיות (הוראת שעה), התשפ""ה-2025")</f>
        <v>4536</v>
      </c>
      <c r="E2175" t="s">
        <v>4536</v>
      </c>
      <c r="F2175" t="s">
        <v>4537</v>
      </c>
      <c r="G2175" t="s">
        <v>14</v>
      </c>
      <c r="H2175">
             </c>
      <c r="I2175" t="s">
        <v>14</v>
      </c>
      <c r="J2175" t="s">
        <v>141</v>
      </c>
      <c r="K2175" t="s">
        <v>14</v>
      </c>
      <c r="L2175" t="s">
        <v>20</v>
      </c>
      <c r="M2175" t="s">
        <v>4527</v>
      </c>
      <c r="N2175" t="s">
        <v>14</v>
      </c>
    </row>
    <row r="2176" x14ac:dyDescent="0.25">
      <c r="A2176" t="n">
        <v>25</v>
      </c>
      <c r="B2176" t="s">
        <v>14</v>
      </c>
      <c r="C2176" t="s">
        <v>22</v>
      </c>
      <c r="D2176" s="2" t="s">
        <f>=HYPERLINK("https://main.knesset.gov.il/APPS/legislation/main/bills/2225560", "הצעת חוק הגנת השכר (תיקון - תלוש שכר אחיד בשירות המדינה), התשפ""ה-2025")</f>
        <v>4288</v>
      </c>
      <c r="E2176" t="s">
        <v>4288</v>
      </c>
      <c r="F2176" t="s">
        <v>4538</v>
      </c>
      <c r="G2176" t="s">
        <v>14</v>
      </c>
      <c r="H2176">
             </c>
      <c r="I2176" t="s">
        <v>14</v>
      </c>
      <c r="J2176" t="s">
        <v>141</v>
      </c>
      <c r="K2176" t="s">
        <v>14</v>
      </c>
      <c r="L2176" t="s">
        <v>20</v>
      </c>
      <c r="M2176" t="s">
        <v>4527</v>
      </c>
      <c r="N2176" t="s">
        <v>14</v>
      </c>
    </row>
    <row r="2177" x14ac:dyDescent="0.25">
      <c r="A2177" t="n">
        <v>25</v>
      </c>
      <c r="B2177" t="s">
        <v>14</v>
      </c>
      <c r="C2177" t="s">
        <v>22</v>
      </c>
      <c r="D2177" s="2" t="s">
        <f>=HYPERLINK("https://main.knesset.gov.il/APPS/legislation/main/bills/2226209", "הצעת חוק חינוך ממלכתי (תיקון - חינוך ממלכתי חרדי), התשפ""ה-2025")</f>
        <v>4539</v>
      </c>
      <c r="E2177" t="s">
        <v>4539</v>
      </c>
      <c r="F2177" t="s">
        <v>4540</v>
      </c>
      <c r="G2177" t="s">
        <v>14</v>
      </c>
      <c r="H2177">
             </c>
      <c r="I2177" t="s">
        <v>14</v>
      </c>
      <c r="J2177" t="s">
        <v>141</v>
      </c>
      <c r="K2177" t="s">
        <v>14</v>
      </c>
      <c r="L2177" t="s">
        <v>20</v>
      </c>
      <c r="M2177" t="s">
        <v>4527</v>
      </c>
      <c r="N2177" t="s">
        <v>14</v>
      </c>
    </row>
    <row r="2178" x14ac:dyDescent="0.25">
      <c r="A2178" t="n">
        <v>25</v>
      </c>
      <c r="B2178" t="s">
        <v>14</v>
      </c>
      <c r="C2178" t="s">
        <v>22</v>
      </c>
      <c r="D2178" s="2" t="s">
        <f>=HYPERLINK("https://main.knesset.gov.il/APPS/legislation/main/bills/2198587", "הצעת חוק העונשין (תיקון - עונש מינימום על החזקת נשק בלתי חוקי), התשפ''ה-2025")</f>
        <v>4541</v>
      </c>
      <c r="E2178" t="s">
        <v>4541</v>
      </c>
      <c r="F2178" t="s">
        <v>4542</v>
      </c>
      <c r="G2178" t="s">
        <v>14</v>
      </c>
      <c r="H2178">
             </c>
      <c r="I2178" t="s">
        <v>14</v>
      </c>
      <c r="J2178" t="s">
        <v>141</v>
      </c>
      <c r="K2178" t="s">
        <v>14</v>
      </c>
      <c r="L2178" t="s">
        <v>20</v>
      </c>
      <c r="M2178" t="s">
        <v>4527</v>
      </c>
      <c r="N2178" t="s">
        <v>14</v>
      </c>
    </row>
    <row r="2179" x14ac:dyDescent="0.25">
      <c r="A2179" t="n">
        <v>25</v>
      </c>
      <c r="B2179" t="s">
        <v>14</v>
      </c>
      <c r="C2179" t="s">
        <v>22</v>
      </c>
      <c r="D2179" s="2" t="s">
        <f>=HYPERLINK("https://main.knesset.gov.il/APPS/legislation/main/bills/2226264", "הצעת חוק הגנת הצרכן (תיקון - משלוח חשבונית ושובר זיכוי לצרכן בדרך מקוונת), התשפ""ה-2025")</f>
        <v>4543</v>
      </c>
      <c r="E2179" t="s">
        <v>4543</v>
      </c>
      <c r="F2179" t="s">
        <v>4544</v>
      </c>
      <c r="G2179" t="s">
        <v>14</v>
      </c>
      <c r="H2179">
             </c>
      <c r="I2179" t="s">
        <v>14</v>
      </c>
      <c r="J2179" t="s">
        <v>141</v>
      </c>
      <c r="K2179" t="s">
        <v>14</v>
      </c>
      <c r="L2179" t="s">
        <v>20</v>
      </c>
      <c r="M2179" t="s">
        <v>4527</v>
      </c>
      <c r="N2179" t="s">
        <v>14</v>
      </c>
    </row>
    <row r="2180" x14ac:dyDescent="0.25">
      <c r="A2180" t="n">
        <v>25</v>
      </c>
      <c r="B2180" t="s">
        <v>14</v>
      </c>
      <c r="C2180" t="s">
        <v>22</v>
      </c>
      <c r="D2180" s="2" t="s">
        <f>=HYPERLINK("https://main.knesset.gov.il/APPS/legislation/main/bills/2211244", "הצעת חוק-יסוד: ישראל - מדינת הלאום של העם היהודי (תיקון - עיגון מעמדה של העדה הדרוזית)")</f>
        <v>4545</v>
      </c>
      <c r="E2180" t="s">
        <v>4545</v>
      </c>
      <c r="F2180" t="s">
        <v>4546</v>
      </c>
      <c r="G2180" t="s">
        <v>14</v>
      </c>
      <c r="H2180">
             </c>
      <c r="I2180" t="s">
        <v>14</v>
      </c>
      <c r="J2180" t="s">
        <v>141</v>
      </c>
      <c r="K2180" t="s">
        <v>14</v>
      </c>
      <c r="L2180" t="s">
        <v>20</v>
      </c>
      <c r="M2180" t="s">
        <v>4527</v>
      </c>
      <c r="N2180" t="s">
        <v>14</v>
      </c>
    </row>
    <row r="2181" x14ac:dyDescent="0.25">
      <c r="A2181" t="n">
        <v>25</v>
      </c>
      <c r="B2181" t="s">
        <v>14</v>
      </c>
      <c r="C2181" t="s">
        <v>22</v>
      </c>
      <c r="D2181" s="2" t="s">
        <f>=HYPERLINK("https://main.knesset.gov.il/APPS/legislation/main/bills/2224654", "הצעת חוק חובת פרסום הודעות באינטרנט, התשפ""ה-2025 ")</f>
        <v>4547</v>
      </c>
      <c r="E2181" t="s">
        <v>4547</v>
      </c>
      <c r="F2181" t="s">
        <v>4548</v>
      </c>
      <c r="G2181" t="s">
        <v>14</v>
      </c>
      <c r="H2181">
             </c>
      <c r="I2181" t="s">
        <v>14</v>
      </c>
      <c r="J2181" t="s">
        <v>141</v>
      </c>
      <c r="K2181" t="s">
        <v>14</v>
      </c>
      <c r="L2181" t="s">
        <v>20</v>
      </c>
      <c r="M2181" t="s">
        <v>4527</v>
      </c>
      <c r="N2181" t="s">
        <v>14</v>
      </c>
    </row>
    <row r="2182" x14ac:dyDescent="0.25">
      <c r="A2182" t="n">
        <v>25</v>
      </c>
      <c r="B2182" t="s">
        <v>14</v>
      </c>
      <c r="C2182" t="s">
        <v>22</v>
      </c>
      <c r="D2182" s="2" t="s">
        <f>=HYPERLINK("https://main.knesset.gov.il/APPS/legislation/main/bills/2226205", "הצעת חוק הגנת הפרטיות (תיקון - איסור פרסום שמו של נפגע), התשפ""ה-2025")</f>
        <v>4549</v>
      </c>
      <c r="E2182" t="s">
        <v>4549</v>
      </c>
      <c r="F2182" t="s">
        <v>4550</v>
      </c>
      <c r="G2182" t="s">
        <v>14</v>
      </c>
      <c r="H2182">
             </c>
      <c r="I2182" t="s">
        <v>14</v>
      </c>
      <c r="J2182" t="s">
        <v>141</v>
      </c>
      <c r="K2182" t="s">
        <v>14</v>
      </c>
      <c r="L2182" t="s">
        <v>20</v>
      </c>
      <c r="M2182" t="s">
        <v>4527</v>
      </c>
      <c r="N2182" t="s">
        <v>14</v>
      </c>
    </row>
    <row r="2183" x14ac:dyDescent="0.25">
      <c r="A2183" t="n">
        <v>25</v>
      </c>
      <c r="B2183" t="s">
        <v>14</v>
      </c>
      <c r="C2183" t="s">
        <v>22</v>
      </c>
      <c r="D2183" s="2" t="s">
        <f>=HYPERLINK("https://main.knesset.gov.il/APPS/legislation/main/bills/2226203", "הצעת חוק הממשלה (תיקון - דיווח שר בדבר אי-התקנת תקנות במועד), התשפ""ה-2025")</f>
        <v>2575</v>
      </c>
      <c r="E2183" t="s">
        <v>2575</v>
      </c>
      <c r="F2183" t="s">
        <v>4551</v>
      </c>
      <c r="G2183" t="s">
        <v>14</v>
      </c>
      <c r="H2183">
             </c>
      <c r="I2183" t="s">
        <v>14</v>
      </c>
      <c r="J2183" t="s">
        <v>141</v>
      </c>
      <c r="K2183" t="s">
        <v>14</v>
      </c>
      <c r="L2183" t="s">
        <v>20</v>
      </c>
      <c r="M2183" t="s">
        <v>4527</v>
      </c>
      <c r="N2183" t="s">
        <v>14</v>
      </c>
    </row>
    <row r="2184" x14ac:dyDescent="0.25">
      <c r="A2184" t="n">
        <v>25</v>
      </c>
      <c r="B2184" t="s">
        <v>14</v>
      </c>
      <c r="C2184" t="s">
        <v>22</v>
      </c>
      <c r="D2184" s="2" t="s">
        <f>=HYPERLINK("https://main.knesset.gov.il/APPS/legislation/main/bills/2225840", "הצעת חוק מימון מפלגות (תיקון - ייצוג לנשים ברשימת המועמדים), התשפ""ה-2025")</f>
        <v>2565</v>
      </c>
      <c r="E2184" t="s">
        <v>2565</v>
      </c>
      <c r="F2184" t="s">
        <v>4552</v>
      </c>
      <c r="G2184" t="s">
        <v>14</v>
      </c>
      <c r="H2184">
             </c>
      <c r="I2184" t="s">
        <v>14</v>
      </c>
      <c r="J2184" t="s">
        <v>141</v>
      </c>
      <c r="K2184" t="s">
        <v>14</v>
      </c>
      <c r="L2184" t="s">
        <v>20</v>
      </c>
      <c r="M2184" t="s">
        <v>4527</v>
      </c>
      <c r="N2184" t="s">
        <v>14</v>
      </c>
    </row>
    <row r="2185" x14ac:dyDescent="0.25">
      <c r="A2185" t="n">
        <v>25</v>
      </c>
      <c r="B2185" t="s">
        <v>14</v>
      </c>
      <c r="C2185" t="s">
        <v>22</v>
      </c>
      <c r="D2185" s="2" t="s">
        <f>=HYPERLINK("https://main.knesset.gov.il/APPS/legislation/main/bills/2225558", "הצעת חוק בנק ישראל (תיקון - הרחבת שיקול הדעת של הוועדה המוניטרית), התשפ""ה-2025")</f>
        <v>4379</v>
      </c>
      <c r="E2185" t="s">
        <v>4379</v>
      </c>
      <c r="F2185" t="s">
        <v>4553</v>
      </c>
      <c r="G2185" t="s">
        <v>14</v>
      </c>
      <c r="H2185">
             </c>
      <c r="I2185" t="s">
        <v>14</v>
      </c>
      <c r="J2185" t="s">
        <v>141</v>
      </c>
      <c r="K2185" t="s">
        <v>14</v>
      </c>
      <c r="L2185" t="s">
        <v>20</v>
      </c>
      <c r="M2185" t="s">
        <v>4527</v>
      </c>
      <c r="N2185" t="s">
        <v>14</v>
      </c>
    </row>
    <row r="2186" x14ac:dyDescent="0.25">
      <c r="A2186" t="n">
        <v>25</v>
      </c>
      <c r="B2186" t="s">
        <v>14</v>
      </c>
      <c r="C2186" t="s">
        <v>22</v>
      </c>
      <c r="D2186" s="2" t="s">
        <f>=HYPERLINK("https://main.knesset.gov.il/APPS/legislation/main/bills/2221836", "הצעת חוק סדר הדין הפלילי (סמכויות אכיפה - מעצרים) (תיקון - מעצר עד תום ההליכים בגין עבירה של סחיטה באיומים), התשפ""ה-2025")</f>
        <v>4554</v>
      </c>
      <c r="E2186" t="s">
        <v>4554</v>
      </c>
      <c r="F2186" t="s">
        <v>4555</v>
      </c>
      <c r="G2186" t="s">
        <v>14</v>
      </c>
      <c r="H2186">
             </c>
      <c r="I2186" t="s">
        <v>14</v>
      </c>
      <c r="J2186" t="s">
        <v>141</v>
      </c>
      <c r="K2186" t="s">
        <v>14</v>
      </c>
      <c r="L2186" t="s">
        <v>20</v>
      </c>
      <c r="M2186" t="s">
        <v>4527</v>
      </c>
      <c r="N2186" t="s">
        <v>14</v>
      </c>
    </row>
    <row r="2187" x14ac:dyDescent="0.25">
      <c r="A2187" t="n">
        <v>25</v>
      </c>
      <c r="B2187" t="s">
        <v>14</v>
      </c>
      <c r="C2187" t="s">
        <v>22</v>
      </c>
      <c r="D2187" s="2" t="s">
        <f>=HYPERLINK("https://main.knesset.gov.il/APPS/legislation/main/bills/2224622", "הצעת חוק הביטוח הלאומי (תיקון - מענק חודשי לתושבי הצפון שלא פונו מבתיהם) (הוראת שעה), התשפ""ה-2025")</f>
        <v>4556</v>
      </c>
      <c r="E2187" t="s">
        <v>4556</v>
      </c>
      <c r="F2187" t="s">
        <v>4557</v>
      </c>
      <c r="G2187" t="s">
        <v>14</v>
      </c>
      <c r="H2187">
             </c>
      <c r="I2187" t="s">
        <v>14</v>
      </c>
      <c r="J2187" t="s">
        <v>141</v>
      </c>
      <c r="K2187" t="s">
        <v>14</v>
      </c>
      <c r="L2187" t="s">
        <v>20</v>
      </c>
      <c r="M2187" t="s">
        <v>4527</v>
      </c>
      <c r="N2187" t="s">
        <v>14</v>
      </c>
    </row>
    <row r="2188" x14ac:dyDescent="0.25">
      <c r="A2188" t="n">
        <v>25</v>
      </c>
      <c r="B2188" t="s">
        <v>14</v>
      </c>
      <c r="C2188" t="s">
        <v>22</v>
      </c>
      <c r="D2188" s="2" t="s">
        <f>=HYPERLINK("https://main.knesset.gov.il/APPS/legislation/main/bills/2216198", "הצעת חוק סמכויות שעת חירום (מעצרים) (תיקון - מעצרים מינהליים בגין חברות בארגון טרור), התשפ""ד-2024")</f>
        <v>4558</v>
      </c>
      <c r="E2188" t="s">
        <v>4558</v>
      </c>
      <c r="F2188" t="s">
        <v>4559</v>
      </c>
      <c r="G2188" t="s">
        <v>14</v>
      </c>
      <c r="H2188">
             </c>
      <c r="I2188" t="s">
        <v>14</v>
      </c>
      <c r="J2188" t="s">
        <v>31</v>
      </c>
      <c r="K2188" t="s">
        <v>27</v>
      </c>
      <c r="L2188" t="s">
        <v>20</v>
      </c>
      <c r="M2188" t="s">
        <v>4560</v>
      </c>
      <c r="N2188" t="s">
        <v>14</v>
      </c>
    </row>
    <row r="2189" x14ac:dyDescent="0.25">
      <c r="A2189" t="n">
        <v>25</v>
      </c>
      <c r="B2189" t="s">
        <v>14</v>
      </c>
      <c r="C2189" t="s">
        <v>22</v>
      </c>
      <c r="D2189" s="2" t="s">
        <f>=HYPERLINK("https://main.knesset.gov.il/APPS/legislation/main/bills/2222509", "הצעת חוק מעמד המשרת בשירות צבאי או לאומי, התשפ""ה-2024")</f>
        <v>4561</v>
      </c>
      <c r="E2189" t="s">
        <v>4561</v>
      </c>
      <c r="F2189" t="s">
        <v>4562</v>
      </c>
      <c r="G2189" t="s">
        <v>14</v>
      </c>
      <c r="H2189">
             </c>
      <c r="I2189" t="s">
        <v>14</v>
      </c>
      <c r="J2189" t="s">
        <v>55</v>
      </c>
      <c r="K2189" t="s">
        <v>14</v>
      </c>
      <c r="L2189" t="s">
        <v>20</v>
      </c>
      <c r="M2189" t="s">
        <v>4560</v>
      </c>
      <c r="N2189" t="s">
        <v>14</v>
      </c>
    </row>
    <row r="2190" x14ac:dyDescent="0.25">
      <c r="A2190" t="n">
        <v>25</v>
      </c>
      <c r="B2190" t="s">
        <v>14</v>
      </c>
      <c r="C2190" t="s">
        <v>22</v>
      </c>
      <c r="D2190" s="2" t="s">
        <f>=HYPERLINK("https://main.knesset.gov.il/APPS/legislation/main/bills/2222918", "הצעת חוק-יסוד: ישראל - מדינת הלאום של העם היהודי (תיקון - הוספת מחויבות לשוויון זכויות)")</f>
        <v>4484</v>
      </c>
      <c r="E2190" t="s">
        <v>4484</v>
      </c>
      <c r="F2190" t="s">
        <v>4563</v>
      </c>
      <c r="G2190" t="s">
        <v>14</v>
      </c>
      <c r="H2190">
             </c>
      <c r="I2190" t="s">
        <v>14</v>
      </c>
      <c r="J2190" t="s">
        <v>55</v>
      </c>
      <c r="K2190" t="s">
        <v>14</v>
      </c>
      <c r="L2190" t="s">
        <v>20</v>
      </c>
      <c r="M2190" t="s">
        <v>4560</v>
      </c>
      <c r="N2190" t="s">
        <v>14</v>
      </c>
    </row>
    <row r="2191" x14ac:dyDescent="0.25">
      <c r="A2191" t="n">
        <v>25</v>
      </c>
      <c r="B2191" t="s">
        <v>14</v>
      </c>
      <c r="C2191" t="s">
        <v>22</v>
      </c>
      <c r="D2191" s="2" t="s">
        <f>=HYPERLINK("https://main.knesset.gov.il/APPS/legislation/main/bills/2218701", "הצעת חוק רשות מקרקעי ישראל (תיקון - העדפת רכישת קרקע בפריפריה לחיילי מילואים), התשפ""ד-2024")</f>
        <v>810</v>
      </c>
      <c r="E2191" t="s">
        <v>810</v>
      </c>
      <c r="F2191" t="s">
        <v>4564</v>
      </c>
      <c r="G2191" t="s">
        <v>14</v>
      </c>
      <c r="H2191">
             </c>
      <c r="I2191" t="s">
        <v>14</v>
      </c>
      <c r="J2191" t="s">
        <v>55</v>
      </c>
      <c r="K2191" t="s">
        <v>14</v>
      </c>
      <c r="L2191" t="s">
        <v>20</v>
      </c>
      <c r="M2191" t="s">
        <v>4560</v>
      </c>
      <c r="N2191" t="s">
        <v>14</v>
      </c>
    </row>
    <row r="2192" x14ac:dyDescent="0.25">
      <c r="A2192" t="n">
        <v>25</v>
      </c>
      <c r="B2192" t="s">
        <v>14</v>
      </c>
      <c r="C2192" t="s">
        <v>22</v>
      </c>
      <c r="D2192" s="2" t="s">
        <f>=HYPERLINK("https://main.knesset.gov.il/APPS/legislation/main/bills/2213808", "הצעת חוק החיילים המשוחררים (החזרה לעבודה) (תיקון - הרחבת ההגנה מפני פיטורין), התשפ""ד-2024")</f>
        <v>4565</v>
      </c>
      <c r="E2192" t="s">
        <v>4565</v>
      </c>
      <c r="F2192" t="s">
        <v>4566</v>
      </c>
      <c r="G2192" t="s">
        <v>14</v>
      </c>
      <c r="H2192">
             </c>
      <c r="I2192" t="s">
        <v>14</v>
      </c>
      <c r="J2192" t="s">
        <v>343</v>
      </c>
      <c r="K2192" t="s">
        <v>14</v>
      </c>
      <c r="L2192" t="s">
        <v>20</v>
      </c>
      <c r="M2192" t="s">
        <v>4560</v>
      </c>
      <c r="N2192" t="s">
        <v>14</v>
      </c>
    </row>
    <row r="2193" x14ac:dyDescent="0.25">
      <c r="A2193" t="n">
        <v>25</v>
      </c>
      <c r="B2193" t="s">
        <v>14</v>
      </c>
      <c r="C2193" t="s">
        <v>22</v>
      </c>
      <c r="D2193" s="2" t="s">
        <f>=HYPERLINK("https://main.knesset.gov.il/APPS/legislation/main/bills/2208972", "הצעת חוק-יסוד: מניעת חקיקה למטרות יחיד או קבוצות קטנות")</f>
        <v>4567</v>
      </c>
      <c r="E2193" t="s">
        <v>4567</v>
      </c>
      <c r="F2193" t="s">
        <v>4568</v>
      </c>
      <c r="G2193" t="s">
        <v>14</v>
      </c>
      <c r="H2193">
             </c>
      <c r="I2193" t="s">
        <v>14</v>
      </c>
      <c r="J2193" t="s">
        <v>55</v>
      </c>
      <c r="K2193" t="s">
        <v>14</v>
      </c>
      <c r="L2193" t="s">
        <v>20</v>
      </c>
      <c r="M2193" t="s">
        <v>4560</v>
      </c>
      <c r="N2193" t="s">
        <v>14</v>
      </c>
    </row>
    <row r="2194" x14ac:dyDescent="0.25">
      <c r="A2194" t="n">
        <v>25</v>
      </c>
      <c r="B2194" t="s">
        <v>14</v>
      </c>
      <c r="C2194" t="s">
        <v>22</v>
      </c>
      <c r="D2194" s="2" t="s">
        <f>=HYPERLINK("https://main.knesset.gov.il/APPS/legislation/main/bills/2208955", "הצעת חוק חינוך ממלכתי (תיקון - חינוך פיננסי), התשפ""ג-2023")</f>
        <v>4569</v>
      </c>
      <c r="E2194" t="s">
        <v>4569</v>
      </c>
      <c r="F2194" t="s">
        <v>4570</v>
      </c>
      <c r="G2194" t="s">
        <v>14</v>
      </c>
      <c r="H2194">
             </c>
      <c r="I2194" t="s">
        <v>14</v>
      </c>
      <c r="J2194" t="s">
        <v>55</v>
      </c>
      <c r="K2194" t="s">
        <v>14</v>
      </c>
      <c r="L2194" t="s">
        <v>20</v>
      </c>
      <c r="M2194" t="s">
        <v>4560</v>
      </c>
      <c r="N2194" t="s">
        <v>14</v>
      </c>
    </row>
    <row r="2195" x14ac:dyDescent="0.25">
      <c r="A2195" t="n">
        <v>25</v>
      </c>
      <c r="B2195" t="s">
        <v>14</v>
      </c>
      <c r="C2195" t="s">
        <v>22</v>
      </c>
      <c r="D2195" s="2" t="s">
        <f>=HYPERLINK("https://main.knesset.gov.il/APPS/legislation/main/bills/2198801", "הצעת חוק הביטוח הלאומי (תיקון - השוואת קצבת אזרח ותיק וקצבת נכות לשכר מינימום), התשפ""ג-2023")</f>
        <v>4571</v>
      </c>
      <c r="E2195" t="s">
        <v>4571</v>
      </c>
      <c r="F2195" t="s">
        <v>4572</v>
      </c>
      <c r="G2195" t="s">
        <v>14</v>
      </c>
      <c r="H2195">
             </c>
      <c r="I2195" t="s">
        <v>14</v>
      </c>
      <c r="J2195" t="s">
        <v>343</v>
      </c>
      <c r="K2195" t="s">
        <v>14</v>
      </c>
      <c r="L2195" t="s">
        <v>20</v>
      </c>
      <c r="M2195" t="s">
        <v>4560</v>
      </c>
      <c r="N2195" t="s">
        <v>14</v>
      </c>
    </row>
    <row r="2196" x14ac:dyDescent="0.25">
      <c r="A2196" t="n">
        <v>25</v>
      </c>
      <c r="B2196" t="s">
        <v>14</v>
      </c>
      <c r="C2196" t="s">
        <v>15</v>
      </c>
      <c r="D2196" s="2" t="s">
        <f>=HYPERLINK("https://main.knesset.gov.il/APPS/legislation/main/bills/2223566", "חוק ההתייעלות הכלכלית (תיקוני חקיקה להשגת יעדי התקציב לשנת 2025) (מיסוי רווחים לא מחולקים), התשפ""ה-2024 ")</f>
        <v>4573</v>
      </c>
      <c r="E2196" t="s">
        <v>4573</v>
      </c>
      <c r="F2196" t="s">
        <v>14</v>
      </c>
      <c r="G2196" t="s">
        <v>4574</v>
      </c>
      <c r="H2196" t="n">
        <v>3343</v>
      </c>
      <c r="I2196" t="s">
        <v>14</v>
      </c>
      <c r="J2196" t="s">
        <v>91</v>
      </c>
      <c r="K2196" t="s">
        <v>85</v>
      </c>
      <c r="L2196" t="s">
        <v>20</v>
      </c>
      <c r="M2196" t="s">
        <v>4575</v>
      </c>
      <c r="N2196" t="s">
        <v>4576</v>
      </c>
    </row>
    <row r="2197" x14ac:dyDescent="0.25">
      <c r="A2197" t="n">
        <v>25</v>
      </c>
      <c r="B2197" t="s">
        <v>14</v>
      </c>
      <c r="C2197" t="s">
        <v>22</v>
      </c>
      <c r="D2197" s="2" t="s">
        <f>=HYPERLINK("https://main.knesset.gov.il/APPS/legislation/main/bills/2225581", "הצעת חוק העונשין (תיקון - עונש מינימום על עבירת אונס וביטול סייג הקלה מטעמים מיוחדים), התשפ""ה-2024")</f>
        <v>4577</v>
      </c>
      <c r="E2197" t="s">
        <v>4577</v>
      </c>
      <c r="F2197" t="s">
        <v>4578</v>
      </c>
      <c r="G2197" t="s">
        <v>14</v>
      </c>
      <c r="H2197">
             </c>
      <c r="I2197" t="s">
        <v>14</v>
      </c>
      <c r="J2197" t="s">
        <v>141</v>
      </c>
      <c r="K2197" t="s">
        <v>14</v>
      </c>
      <c r="L2197" t="s">
        <v>20</v>
      </c>
      <c r="M2197" t="s">
        <v>4579</v>
      </c>
      <c r="N2197" t="s">
        <v>14</v>
      </c>
    </row>
    <row r="2198" x14ac:dyDescent="0.25">
      <c r="A2198" t="n">
        <v>25</v>
      </c>
      <c r="B2198" t="s">
        <v>14</v>
      </c>
      <c r="C2198" t="s">
        <v>22</v>
      </c>
      <c r="D2198" s="2" t="s">
        <f>=HYPERLINK("https://main.knesset.gov.il/APPS/legislation/main/bills/2225586", "הצעת חוק חסינות חברי הכנסת, זכויותיהם וחובותיהם (תיקון - ביקור במוסדות ובמתקנים סגורים ותחולה באזור), התשפ""ה-2024")</f>
        <v>4580</v>
      </c>
      <c r="E2198" t="s">
        <v>4580</v>
      </c>
      <c r="F2198" t="s">
        <v>4581</v>
      </c>
      <c r="G2198" t="s">
        <v>14</v>
      </c>
      <c r="H2198">
             </c>
      <c r="I2198" t="s">
        <v>14</v>
      </c>
      <c r="J2198" t="s">
        <v>141</v>
      </c>
      <c r="K2198" t="s">
        <v>14</v>
      </c>
      <c r="L2198" t="s">
        <v>20</v>
      </c>
      <c r="M2198" t="s">
        <v>4579</v>
      </c>
      <c r="N2198" t="s">
        <v>14</v>
      </c>
    </row>
    <row r="2199" x14ac:dyDescent="0.25">
      <c r="A2199" t="n">
        <v>25</v>
      </c>
      <c r="B2199" t="s">
        <v>14</v>
      </c>
      <c r="C2199" t="s">
        <v>22</v>
      </c>
      <c r="D2199" s="2" t="s">
        <f>=HYPERLINK("https://main.knesset.gov.il/APPS/legislation/main/bills/2222216", "הצעת חוק זיהוי קורבנות אסון (זק""א), התשפ""ה-2024")</f>
        <v>4582</v>
      </c>
      <c r="E2199" t="s">
        <v>4582</v>
      </c>
      <c r="F2199" t="s">
        <v>4583</v>
      </c>
      <c r="G2199" t="s">
        <v>14</v>
      </c>
      <c r="H2199">
             </c>
      <c r="I2199" t="s">
        <v>14</v>
      </c>
      <c r="J2199" t="s">
        <v>141</v>
      </c>
      <c r="K2199" t="s">
        <v>14</v>
      </c>
      <c r="L2199" t="s">
        <v>20</v>
      </c>
      <c r="M2199" t="s">
        <v>4579</v>
      </c>
      <c r="N2199" t="s">
        <v>14</v>
      </c>
    </row>
    <row r="2200" x14ac:dyDescent="0.25">
      <c r="A2200" t="n">
        <v>25</v>
      </c>
      <c r="B2200" t="s">
        <v>14</v>
      </c>
      <c r="C2200" t="s">
        <v>22</v>
      </c>
      <c r="D2200" s="2" t="s">
        <f>=HYPERLINK("https://main.knesset.gov.il/APPS/legislation/main/bills/2223639", "הצעת חוק האזורים הימיים, התשפ""ה-2024")</f>
        <v>4584</v>
      </c>
      <c r="E2200" t="s">
        <v>4584</v>
      </c>
      <c r="F2200" t="s">
        <v>4585</v>
      </c>
      <c r="G2200" t="s">
        <v>14</v>
      </c>
      <c r="H2200">
             </c>
      <c r="I2200" t="s">
        <v>14</v>
      </c>
      <c r="J2200" t="s">
        <v>141</v>
      </c>
      <c r="K2200" t="s">
        <v>14</v>
      </c>
      <c r="L2200" t="s">
        <v>20</v>
      </c>
      <c r="M2200" t="s">
        <v>4579</v>
      </c>
      <c r="N2200" t="s">
        <v>14</v>
      </c>
    </row>
    <row r="2201" x14ac:dyDescent="0.25">
      <c r="A2201" t="n">
        <v>25</v>
      </c>
      <c r="B2201" t="s">
        <v>14</v>
      </c>
      <c r="C2201" t="s">
        <v>22</v>
      </c>
      <c r="D2201" s="2" t="s">
        <f>=HYPERLINK("https://main.knesset.gov.il/APPS/legislation/main/bills/2225465", "הצעת חוק מרכזי חירום ושליטה ביישובים סמוכי גבול, התשפ""ה-2024")</f>
        <v>4586</v>
      </c>
      <c r="E2201" t="s">
        <v>4586</v>
      </c>
      <c r="F2201" t="s">
        <v>4587</v>
      </c>
      <c r="G2201" t="s">
        <v>14</v>
      </c>
      <c r="H2201">
             </c>
      <c r="I2201" t="s">
        <v>14</v>
      </c>
      <c r="J2201" t="s">
        <v>141</v>
      </c>
      <c r="K2201" t="s">
        <v>14</v>
      </c>
      <c r="L2201" t="s">
        <v>20</v>
      </c>
      <c r="M2201" t="s">
        <v>4579</v>
      </c>
      <c r="N2201" t="s">
        <v>14</v>
      </c>
    </row>
    <row r="2202" x14ac:dyDescent="0.25">
      <c r="A2202" t="n">
        <v>25</v>
      </c>
      <c r="B2202" t="s">
        <v>14</v>
      </c>
      <c r="C2202" t="s">
        <v>22</v>
      </c>
      <c r="D2202" s="2" t="s">
        <f>=HYPERLINK("https://main.knesset.gov.il/APPS/legislation/main/bills/2224939", "הצעת חוק שירות המילואים (תיקון - חייל מילואים בודד), התשפ""ה-2024")</f>
        <v>4588</v>
      </c>
      <c r="E2202" t="s">
        <v>4588</v>
      </c>
      <c r="F2202" t="s">
        <v>4589</v>
      </c>
      <c r="G2202" t="s">
        <v>14</v>
      </c>
      <c r="H2202">
             </c>
      <c r="I2202" t="s">
        <v>14</v>
      </c>
      <c r="J2202" t="s">
        <v>141</v>
      </c>
      <c r="K2202" t="s">
        <v>14</v>
      </c>
      <c r="L2202" t="s">
        <v>20</v>
      </c>
      <c r="M2202" t="s">
        <v>4579</v>
      </c>
      <c r="N2202" t="s">
        <v>14</v>
      </c>
    </row>
    <row r="2203" x14ac:dyDescent="0.25">
      <c r="A2203" t="n">
        <v>25</v>
      </c>
      <c r="B2203" t="s">
        <v>14</v>
      </c>
      <c r="C2203" t="s">
        <v>22</v>
      </c>
      <c r="D2203" s="2" t="s">
        <f>=HYPERLINK("https://main.knesset.gov.il/APPS/legislation/main/bills/2198586", "הצעת חוק הדחת נציג ציבור התומך במאבק מזוין נגד מדינת ישראל (תיקוני חקיקה), התשפ''ה-2024 ")</f>
        <v>4590</v>
      </c>
      <c r="E2203" t="s">
        <v>4590</v>
      </c>
      <c r="F2203" t="s">
        <v>4591</v>
      </c>
      <c r="G2203" t="s">
        <v>14</v>
      </c>
      <c r="H2203">
             </c>
      <c r="I2203" t="s">
        <v>14</v>
      </c>
      <c r="J2203" t="s">
        <v>141</v>
      </c>
      <c r="K2203" t="s">
        <v>14</v>
      </c>
      <c r="L2203" t="s">
        <v>20</v>
      </c>
      <c r="M2203" t="s">
        <v>4579</v>
      </c>
      <c r="N2203" t="s">
        <v>14</v>
      </c>
    </row>
    <row r="2204" x14ac:dyDescent="0.25">
      <c r="A2204" t="n">
        <v>25</v>
      </c>
      <c r="B2204" t="s">
        <v>14</v>
      </c>
      <c r="C2204" t="s">
        <v>22</v>
      </c>
      <c r="D2204" s="2" t="s">
        <f>=HYPERLINK("https://main.knesset.gov.il/APPS/legislation/main/bills/2224779", "הצעת חוק שלילת הטבות מבכירים במערכת הביטחון, התשפ""ה-2024 ")</f>
        <v>4592</v>
      </c>
      <c r="E2204" t="s">
        <v>4592</v>
      </c>
      <c r="F2204" t="s">
        <v>4593</v>
      </c>
      <c r="G2204" t="s">
        <v>14</v>
      </c>
      <c r="H2204">
             </c>
      <c r="I2204" t="s">
        <v>14</v>
      </c>
      <c r="J2204" t="s">
        <v>141</v>
      </c>
      <c r="K2204" t="s">
        <v>14</v>
      </c>
      <c r="L2204" t="s">
        <v>20</v>
      </c>
      <c r="M2204" t="s">
        <v>4579</v>
      </c>
      <c r="N2204" t="s">
        <v>14</v>
      </c>
    </row>
    <row r="2205" x14ac:dyDescent="0.25">
      <c r="A2205" t="n">
        <v>25</v>
      </c>
      <c r="B2205" t="s">
        <v>14</v>
      </c>
      <c r="C2205" t="s">
        <v>22</v>
      </c>
      <c r="D2205" s="2" t="s">
        <f>=HYPERLINK("https://main.knesset.gov.il/APPS/legislation/main/bills/2225467", "הצעת חוק שירות המילואים (תיקון - הפחתת שיעור המס שחל על תגמולים למשרתי מילואים), התשפ""ה-2024")</f>
        <v>4594</v>
      </c>
      <c r="E2205" t="s">
        <v>4594</v>
      </c>
      <c r="F2205" t="s">
        <v>4595</v>
      </c>
      <c r="G2205" t="s">
        <v>14</v>
      </c>
      <c r="H2205">
             </c>
      <c r="I2205" t="s">
        <v>14</v>
      </c>
      <c r="J2205" t="s">
        <v>141</v>
      </c>
      <c r="K2205" t="s">
        <v>14</v>
      </c>
      <c r="L2205" t="s">
        <v>20</v>
      </c>
      <c r="M2205" t="s">
        <v>4579</v>
      </c>
      <c r="N2205" t="s">
        <v>14</v>
      </c>
    </row>
    <row r="2206" x14ac:dyDescent="0.25">
      <c r="A2206" t="n">
        <v>25</v>
      </c>
      <c r="B2206" t="s">
        <v>14</v>
      </c>
      <c r="C2206" t="s">
        <v>22</v>
      </c>
      <c r="D2206" s="2" t="s">
        <f>=HYPERLINK("https://main.knesset.gov.il/APPS/legislation/main/bills/2225525", "הצעת חוק הרשות הארצית לכבאות והצלה (תיקון - איסור התארגנות), התשפ""ה-2024 ")</f>
        <v>4596</v>
      </c>
      <c r="E2206" t="s">
        <v>4596</v>
      </c>
      <c r="F2206" t="s">
        <v>4597</v>
      </c>
      <c r="G2206" t="s">
        <v>14</v>
      </c>
      <c r="H2206">
             </c>
      <c r="I2206" t="s">
        <v>14</v>
      </c>
      <c r="J2206" t="s">
        <v>141</v>
      </c>
      <c r="K2206" t="s">
        <v>14</v>
      </c>
      <c r="L2206" t="s">
        <v>20</v>
      </c>
      <c r="M2206" t="s">
        <v>4579</v>
      </c>
      <c r="N2206" t="s">
        <v>14</v>
      </c>
    </row>
    <row r="2207" x14ac:dyDescent="0.25">
      <c r="A2207" t="n">
        <v>25</v>
      </c>
      <c r="B2207" t="s">
        <v>14</v>
      </c>
      <c r="C2207" t="s">
        <v>22</v>
      </c>
      <c r="D2207" s="2" t="s">
        <f>=HYPERLINK("https://main.knesset.gov.il/APPS/legislation/main/bills/2225290", "הצעת חוק להגדלת היצע הדיור ברשויות מקומיות (תיקוני חקיקה), התשפ""ה-2024")</f>
        <v>4598</v>
      </c>
      <c r="E2207" t="s">
        <v>4598</v>
      </c>
      <c r="F2207" t="s">
        <v>4599</v>
      </c>
      <c r="G2207" t="s">
        <v>14</v>
      </c>
      <c r="H2207">
             </c>
      <c r="I2207" t="s">
        <v>14</v>
      </c>
      <c r="J2207" t="s">
        <v>141</v>
      </c>
      <c r="K2207" t="s">
        <v>14</v>
      </c>
      <c r="L2207" t="s">
        <v>20</v>
      </c>
      <c r="M2207" t="s">
        <v>4579</v>
      </c>
      <c r="N2207" t="s">
        <v>14</v>
      </c>
    </row>
    <row r="2208" x14ac:dyDescent="0.25">
      <c r="A2208" t="n">
        <v>25</v>
      </c>
      <c r="B2208" t="s">
        <v>14</v>
      </c>
      <c r="C2208" t="s">
        <v>22</v>
      </c>
      <c r="D2208" s="2" t="s">
        <f>=HYPERLINK("https://main.knesset.gov.il/APPS/legislation/main/bills/2225835", "הצעת חוק-יסוד: משאל עם (תיקון - חובת אישור החלת ריבונות במשאל עם)")</f>
        <v>4600</v>
      </c>
      <c r="E2208" t="s">
        <v>4600</v>
      </c>
      <c r="F2208" t="s">
        <v>4601</v>
      </c>
      <c r="G2208" t="s">
        <v>14</v>
      </c>
      <c r="H2208">
             </c>
      <c r="I2208" t="s">
        <v>14</v>
      </c>
      <c r="J2208" t="s">
        <v>141</v>
      </c>
      <c r="K2208" t="s">
        <v>14</v>
      </c>
      <c r="L2208" t="s">
        <v>20</v>
      </c>
      <c r="M2208" t="s">
        <v>4579</v>
      </c>
      <c r="N2208" t="s">
        <v>14</v>
      </c>
    </row>
    <row r="2209" x14ac:dyDescent="0.25">
      <c r="A2209" t="n">
        <v>25</v>
      </c>
      <c r="B2209" t="s">
        <v>14</v>
      </c>
      <c r="C2209" t="s">
        <v>22</v>
      </c>
      <c r="D2209" s="2" t="s">
        <f>=HYPERLINK("https://main.knesset.gov.il/APPS/legislation/main/bills/2226026", "הצעת חוק גירוש מיידי של מסתננים התומכים במשטר מדינתם, התשפ""ה-2024")</f>
        <v>4602</v>
      </c>
      <c r="E2209" t="s">
        <v>4602</v>
      </c>
      <c r="F2209" t="s">
        <v>4603</v>
      </c>
      <c r="G2209" t="s">
        <v>14</v>
      </c>
      <c r="H2209">
             </c>
      <c r="I2209" t="s">
        <v>14</v>
      </c>
      <c r="J2209" t="s">
        <v>141</v>
      </c>
      <c r="K2209" t="s">
        <v>14</v>
      </c>
      <c r="L2209" t="s">
        <v>20</v>
      </c>
      <c r="M2209" t="s">
        <v>4579</v>
      </c>
      <c r="N2209" t="s">
        <v>14</v>
      </c>
    </row>
    <row r="2210" x14ac:dyDescent="0.25">
      <c r="A2210" t="n">
        <v>25</v>
      </c>
      <c r="B2210" t="s">
        <v>14</v>
      </c>
      <c r="C2210" t="s">
        <v>22</v>
      </c>
      <c r="D2210" s="2" t="s">
        <f>=HYPERLINK("https://main.knesset.gov.il/APPS/legislation/main/bills/2225700", "הצעת חוק העונשין (תיקון - תקיפת עיתונאי או איש תקשורת), התשפ""ה-2024")</f>
        <v>4604</v>
      </c>
      <c r="E2210" t="s">
        <v>4604</v>
      </c>
      <c r="F2210" t="s">
        <v>4605</v>
      </c>
      <c r="G2210" t="s">
        <v>14</v>
      </c>
      <c r="H2210">
             </c>
      <c r="I2210" t="s">
        <v>14</v>
      </c>
      <c r="J2210" t="s">
        <v>141</v>
      </c>
      <c r="K2210" t="s">
        <v>14</v>
      </c>
      <c r="L2210" t="s">
        <v>20</v>
      </c>
      <c r="M2210" t="s">
        <v>4579</v>
      </c>
      <c r="N2210" t="s">
        <v>14</v>
      </c>
    </row>
    <row r="2211" x14ac:dyDescent="0.25">
      <c r="A2211" t="n">
        <v>25</v>
      </c>
      <c r="B2211" t="s">
        <v>14</v>
      </c>
      <c r="C2211" t="s">
        <v>22</v>
      </c>
      <c r="D2211" s="2" t="s">
        <f>=HYPERLINK("https://main.knesset.gov.il/APPS/legislation/main/bills/2225488", "הצעת חוק שירות המדינה (מינויים) (תיקון - שקיפות בתהליך קבלה לעבודה), התשפ""ה-2024")</f>
        <v>4606</v>
      </c>
      <c r="E2211" t="s">
        <v>4606</v>
      </c>
      <c r="F2211" t="s">
        <v>4607</v>
      </c>
      <c r="G2211" t="s">
        <v>14</v>
      </c>
      <c r="H2211">
             </c>
      <c r="I2211" t="s">
        <v>14</v>
      </c>
      <c r="J2211" t="s">
        <v>141</v>
      </c>
      <c r="K2211" t="s">
        <v>14</v>
      </c>
      <c r="L2211" t="s">
        <v>20</v>
      </c>
      <c r="M2211" t="s">
        <v>4579</v>
      </c>
      <c r="N2211" t="s">
        <v>14</v>
      </c>
    </row>
    <row r="2212" x14ac:dyDescent="0.25">
      <c r="A2212" t="n">
        <v>25</v>
      </c>
      <c r="B2212" t="s">
        <v>14</v>
      </c>
      <c r="C2212" t="s">
        <v>22</v>
      </c>
      <c r="D2212" s="2" t="s">
        <f>=HYPERLINK("https://main.knesset.gov.il/APPS/legislation/main/bills/2224134", "הצעת חוק האפוטרופוס הכללי (תיקון - ניהול נכסי מקרקעין), התשפ""ה-2024 ")</f>
        <v>4608</v>
      </c>
      <c r="E2212" t="s">
        <v>4608</v>
      </c>
      <c r="F2212" t="s">
        <v>4609</v>
      </c>
      <c r="G2212" t="s">
        <v>14</v>
      </c>
      <c r="H2212">
             </c>
      <c r="I2212" t="s">
        <v>14</v>
      </c>
      <c r="J2212" t="s">
        <v>141</v>
      </c>
      <c r="K2212" t="s">
        <v>14</v>
      </c>
      <c r="L2212" t="s">
        <v>20</v>
      </c>
      <c r="M2212" t="s">
        <v>4579</v>
      </c>
      <c r="N2212" t="s">
        <v>14</v>
      </c>
    </row>
    <row r="2213" x14ac:dyDescent="0.25">
      <c r="A2213" t="n">
        <v>25</v>
      </c>
      <c r="B2213" t="s">
        <v>14</v>
      </c>
      <c r="C2213" t="s">
        <v>22</v>
      </c>
      <c r="D2213" s="2" t="s">
        <f>=HYPERLINK("https://main.knesset.gov.il/APPS/legislation/main/bills/2225420", "הצעת חוק שוויון יישובים דרוזיים וצ'רקסיים, התשפ""ה-2024")</f>
        <v>4610</v>
      </c>
      <c r="E2213" t="s">
        <v>4610</v>
      </c>
      <c r="F2213" t="s">
        <v>4611</v>
      </c>
      <c r="G2213" t="s">
        <v>14</v>
      </c>
      <c r="H2213">
             </c>
      <c r="I2213" t="s">
        <v>14</v>
      </c>
      <c r="J2213" t="s">
        <v>141</v>
      </c>
      <c r="K2213" t="s">
        <v>14</v>
      </c>
      <c r="L2213" t="s">
        <v>20</v>
      </c>
      <c r="M2213" t="s">
        <v>4579</v>
      </c>
      <c r="N2213" t="s">
        <v>14</v>
      </c>
    </row>
    <row r="2214" x14ac:dyDescent="0.25">
      <c r="A2214" t="n">
        <v>25</v>
      </c>
      <c r="B2214" t="s">
        <v>14</v>
      </c>
      <c r="C2214" t="s">
        <v>22</v>
      </c>
      <c r="D2214" s="2" t="s">
        <f>=HYPERLINK("https://main.knesset.gov.il/APPS/legislation/main/bills/2225629", "הצעת חוק התובע הכללי, התשפ""ה-2024")</f>
        <v>4612</v>
      </c>
      <c r="E2214" t="s">
        <v>4612</v>
      </c>
      <c r="F2214" t="s">
        <v>4613</v>
      </c>
      <c r="G2214" t="s">
        <v>14</v>
      </c>
      <c r="H2214">
             </c>
      <c r="I2214" t="s">
        <v>14</v>
      </c>
      <c r="J2214" t="s">
        <v>141</v>
      </c>
      <c r="K2214" t="s">
        <v>14</v>
      </c>
      <c r="L2214" t="s">
        <v>20</v>
      </c>
      <c r="M2214" t="s">
        <v>4579</v>
      </c>
      <c r="N2214" t="s">
        <v>14</v>
      </c>
    </row>
    <row r="2215" x14ac:dyDescent="0.25">
      <c r="A2215" t="n">
        <v>25</v>
      </c>
      <c r="B2215" t="s">
        <v>14</v>
      </c>
      <c r="C2215" t="s">
        <v>22</v>
      </c>
      <c r="D2215" s="2" t="s">
        <f>=HYPERLINK("https://main.knesset.gov.il/APPS/legislation/main/bills/2226120", "הצעת חוק הבנקאות (שירות ללקוח) (תיקון - ניוד פקדונות ללקוחות הבנקים ללא העברת חשבון בנק), התשפ""ה-2024")</f>
        <v>4614</v>
      </c>
      <c r="E2215" t="s">
        <v>4614</v>
      </c>
      <c r="F2215" t="s">
        <v>4615</v>
      </c>
      <c r="G2215" t="s">
        <v>14</v>
      </c>
      <c r="H2215">
             </c>
      <c r="I2215" t="s">
        <v>14</v>
      </c>
      <c r="J2215" t="s">
        <v>141</v>
      </c>
      <c r="K2215" t="s">
        <v>14</v>
      </c>
      <c r="L2215" t="s">
        <v>20</v>
      </c>
      <c r="M2215" t="s">
        <v>4579</v>
      </c>
      <c r="N2215" t="s">
        <v>14</v>
      </c>
    </row>
    <row r="2216" x14ac:dyDescent="0.25">
      <c r="A2216" t="n">
        <v>25</v>
      </c>
      <c r="B2216" t="s">
        <v>14</v>
      </c>
      <c r="C2216" t="s">
        <v>22</v>
      </c>
      <c r="D2216" s="2" t="s">
        <f>=HYPERLINK("https://main.knesset.gov.il/APPS/legislation/main/bills/2224516", "הצעת חוק צער בעלי חיים (הגנה על בעלי חיים) (תיקון - המעמד המשפטי של בעלי חיים), התשפ""ה-2024")</f>
        <v>4616</v>
      </c>
      <c r="E2216" t="s">
        <v>4616</v>
      </c>
      <c r="F2216" t="s">
        <v>4617</v>
      </c>
      <c r="G2216" t="s">
        <v>14</v>
      </c>
      <c r="H2216">
             </c>
      <c r="I2216" t="s">
        <v>14</v>
      </c>
      <c r="J2216" t="s">
        <v>141</v>
      </c>
      <c r="K2216" t="s">
        <v>14</v>
      </c>
      <c r="L2216" t="s">
        <v>20</v>
      </c>
      <c r="M2216" t="s">
        <v>4579</v>
      </c>
      <c r="N2216" t="s">
        <v>14</v>
      </c>
    </row>
    <row r="2217" x14ac:dyDescent="0.25">
      <c r="A2217" t="n">
        <v>25</v>
      </c>
      <c r="B2217" t="s">
        <v>14</v>
      </c>
      <c r="C2217" t="s">
        <v>22</v>
      </c>
      <c r="D2217" s="2" t="s">
        <f>=HYPERLINK("https://main.knesset.gov.il/APPS/legislation/main/bills/2225646", "הצעת חוק תשלומים לפדויי שבי ולחטופים ששוחררו (תיקון - החזר הוצאות לקרוב של פדוי שבי מאושפז או של פדוי שבי שנדרש להשגחה צמודה), התשפ""ה-2024")</f>
        <v>4618</v>
      </c>
      <c r="E2217" t="s">
        <v>4618</v>
      </c>
      <c r="F2217" t="s">
        <v>4619</v>
      </c>
      <c r="G2217" t="s">
        <v>14</v>
      </c>
      <c r="H2217">
             </c>
      <c r="I2217" t="s">
        <v>14</v>
      </c>
      <c r="J2217" t="s">
        <v>141</v>
      </c>
      <c r="K2217" t="s">
        <v>14</v>
      </c>
      <c r="L2217" t="s">
        <v>20</v>
      </c>
      <c r="M2217" t="s">
        <v>4579</v>
      </c>
      <c r="N2217" t="s">
        <v>14</v>
      </c>
    </row>
    <row r="2218" x14ac:dyDescent="0.25">
      <c r="A2218" t="n">
        <v>25</v>
      </c>
      <c r="B2218" t="s">
        <v>14</v>
      </c>
      <c r="C2218" t="s">
        <v>22</v>
      </c>
      <c r="D2218" s="2" t="s">
        <f>=HYPERLINK("https://main.knesset.gov.il/APPS/legislation/main/bills/2226017", "הצעת חוק התגמולים לנפגעי פעולות איבה (תיקון - משפחה מלווה ליתומים בגירים), התשפ""ה-2024")</f>
        <v>4620</v>
      </c>
      <c r="E2218" t="s">
        <v>4620</v>
      </c>
      <c r="F2218" t="s">
        <v>4621</v>
      </c>
      <c r="G2218" t="s">
        <v>14</v>
      </c>
      <c r="H2218">
             </c>
      <c r="I2218" t="s">
        <v>14</v>
      </c>
      <c r="J2218" t="s">
        <v>141</v>
      </c>
      <c r="K2218" t="s">
        <v>14</v>
      </c>
      <c r="L2218" t="s">
        <v>20</v>
      </c>
      <c r="M2218" t="s">
        <v>4579</v>
      </c>
      <c r="N2218" t="s">
        <v>14</v>
      </c>
    </row>
    <row r="2219" x14ac:dyDescent="0.25">
      <c r="A2219" t="n">
        <v>25</v>
      </c>
      <c r="B2219" t="s">
        <v>14</v>
      </c>
      <c r="C2219" t="s">
        <v>22</v>
      </c>
      <c r="D2219" s="2" t="s">
        <f>=HYPERLINK("https://main.knesset.gov.il/APPS/legislation/main/bills/2225125", "הצעת חוק תקשורת דיגיטלית עם גופים ציבוריים (תיקון - אישור קבלה ועדכון על מצב הטיפול בפנייה), התשפ""ה-2024 ")</f>
        <v>4622</v>
      </c>
      <c r="E2219" t="s">
        <v>4622</v>
      </c>
      <c r="F2219" t="s">
        <v>4623</v>
      </c>
      <c r="G2219" t="s">
        <v>14</v>
      </c>
      <c r="H2219">
             </c>
      <c r="I2219" t="s">
        <v>14</v>
      </c>
      <c r="J2219" t="s">
        <v>141</v>
      </c>
      <c r="K2219" t="s">
        <v>14</v>
      </c>
      <c r="L2219" t="s">
        <v>20</v>
      </c>
      <c r="M2219" t="s">
        <v>4579</v>
      </c>
      <c r="N2219" t="s">
        <v>14</v>
      </c>
    </row>
    <row r="2220" x14ac:dyDescent="0.25">
      <c r="A2220" t="n">
        <v>25</v>
      </c>
      <c r="B2220" t="s">
        <v>14</v>
      </c>
      <c r="C2220" t="s">
        <v>22</v>
      </c>
      <c r="D2220" s="2" t="s">
        <f>=HYPERLINK("https://main.knesset.gov.il/APPS/legislation/main/bills/2225839", "הצעת חוק הבחירות לכנסת (תיקון - הצבעה על ידי אזרחים בחוץ לארץ), התשפ""ה-2024")</f>
        <v>4624</v>
      </c>
      <c r="E2220" t="s">
        <v>4624</v>
      </c>
      <c r="F2220" t="s">
        <v>4625</v>
      </c>
      <c r="G2220" t="s">
        <v>14</v>
      </c>
      <c r="H2220">
             </c>
      <c r="I2220" t="s">
        <v>14</v>
      </c>
      <c r="J2220" t="s">
        <v>141</v>
      </c>
      <c r="K2220" t="s">
        <v>14</v>
      </c>
      <c r="L2220" t="s">
        <v>20</v>
      </c>
      <c r="M2220" t="s">
        <v>4579</v>
      </c>
      <c r="N2220" t="s">
        <v>14</v>
      </c>
    </row>
    <row r="2221" x14ac:dyDescent="0.25">
      <c r="A2221" t="n">
        <v>25</v>
      </c>
      <c r="B2221" t="s">
        <v>14</v>
      </c>
      <c r="C2221" t="s">
        <v>22</v>
      </c>
      <c r="D2221" s="2" t="s">
        <f>=HYPERLINK("https://main.knesset.gov.il/APPS/legislation/main/bills/2226089", "הצעת חוק הקמת שדה תעופה בנבטים, התשפ""ה-2024")</f>
        <v>3862</v>
      </c>
      <c r="E2221" t="s">
        <v>3862</v>
      </c>
      <c r="F2221" t="s">
        <v>4626</v>
      </c>
      <c r="G2221" t="s">
        <v>14</v>
      </c>
      <c r="H2221">
             </c>
      <c r="I2221" t="s">
        <v>14</v>
      </c>
      <c r="J2221" t="s">
        <v>141</v>
      </c>
      <c r="K2221" t="s">
        <v>14</v>
      </c>
      <c r="L2221" t="s">
        <v>20</v>
      </c>
      <c r="M2221" t="s">
        <v>4579</v>
      </c>
      <c r="N2221" t="s">
        <v>14</v>
      </c>
    </row>
    <row r="2222" x14ac:dyDescent="0.25">
      <c r="A2222" t="n">
        <v>25</v>
      </c>
      <c r="B2222" t="s">
        <v>14</v>
      </c>
      <c r="C2222" t="s">
        <v>22</v>
      </c>
      <c r="D2222" s="2" t="s">
        <f>=HYPERLINK("https://main.knesset.gov.il/APPS/legislation/main/bills/2224793", "הצעת חוק למתן הטבות למשרתים במילואים (קדימות בתור לטיפולי בריאות הפה והשיניים - הוראת שעה - חרבות ברזל), התשפ""ה-2024 ")</f>
        <v>4627</v>
      </c>
      <c r="E2222" t="s">
        <v>4627</v>
      </c>
      <c r="F2222" t="s">
        <v>4628</v>
      </c>
      <c r="G2222" t="s">
        <v>14</v>
      </c>
      <c r="H2222">
             </c>
      <c r="I2222" t="s">
        <v>14</v>
      </c>
      <c r="J2222" t="s">
        <v>141</v>
      </c>
      <c r="K2222" t="s">
        <v>14</v>
      </c>
      <c r="L2222" t="s">
        <v>20</v>
      </c>
      <c r="M2222" t="s">
        <v>4579</v>
      </c>
      <c r="N2222" t="s">
        <v>14</v>
      </c>
    </row>
    <row r="2223" x14ac:dyDescent="0.25">
      <c r="A2223" t="n">
        <v>25</v>
      </c>
      <c r="B2223" t="s">
        <v>14</v>
      </c>
      <c r="C2223" t="s">
        <v>22</v>
      </c>
      <c r="D2223" s="2" t="s">
        <f>=HYPERLINK("https://main.knesset.gov.il/APPS/legislation/main/bills/2225221", "הצעת חוק לידה שקטה (תיקוני חקיקה), התשפ""ה-2024")</f>
        <v>4629</v>
      </c>
      <c r="E2223" t="s">
        <v>4629</v>
      </c>
      <c r="F2223" t="s">
        <v>4630</v>
      </c>
      <c r="G2223" t="s">
        <v>14</v>
      </c>
      <c r="H2223">
             </c>
      <c r="I2223" t="s">
        <v>14</v>
      </c>
      <c r="J2223" t="s">
        <v>141</v>
      </c>
      <c r="K2223" t="s">
        <v>14</v>
      </c>
      <c r="L2223" t="s">
        <v>20</v>
      </c>
      <c r="M2223" t="s">
        <v>4579</v>
      </c>
      <c r="N2223" t="s">
        <v>14</v>
      </c>
    </row>
    <row r="2224" x14ac:dyDescent="0.25">
      <c r="A2224" t="n">
        <v>25</v>
      </c>
      <c r="B2224" t="s">
        <v>14</v>
      </c>
      <c r="C2224" t="s">
        <v>22</v>
      </c>
      <c r="D2224" s="2" t="s">
        <f>=HYPERLINK("https://main.knesset.gov.il/APPS/legislation/main/bills/2225168", "הצעת חוק זכויות הסטודנט (תיקון - הקלות בקבלה ללימודים אקדמיים למי ששירת כלוחם), התשפ""ה-2024")</f>
        <v>4631</v>
      </c>
      <c r="E2224" t="s">
        <v>4631</v>
      </c>
      <c r="F2224" t="s">
        <v>4632</v>
      </c>
      <c r="G2224" t="s">
        <v>14</v>
      </c>
      <c r="H2224">
             </c>
      <c r="I2224" t="s">
        <v>14</v>
      </c>
      <c r="J2224" t="s">
        <v>141</v>
      </c>
      <c r="K2224" t="s">
        <v>14</v>
      </c>
      <c r="L2224" t="s">
        <v>20</v>
      </c>
      <c r="M2224" t="s">
        <v>4579</v>
      </c>
      <c r="N2224" t="s">
        <v>14</v>
      </c>
    </row>
    <row r="2225" x14ac:dyDescent="0.25">
      <c r="A2225" t="n">
        <v>25</v>
      </c>
      <c r="B2225" t="s">
        <v>14</v>
      </c>
      <c r="C2225" t="s">
        <v>22</v>
      </c>
      <c r="D2225" s="2" t="s">
        <f>=HYPERLINK("https://main.knesset.gov.il/APPS/legislation/main/bills/2224604", "הצעת חוק שירות המילואים (תיקון - הקצאת מקומות למשרתי מילואים באירועי תרבות וספורט), התשפ""ה-2024")</f>
        <v>4633</v>
      </c>
      <c r="E2225" t="s">
        <v>4633</v>
      </c>
      <c r="F2225" t="s">
        <v>4634</v>
      </c>
      <c r="G2225" t="s">
        <v>14</v>
      </c>
      <c r="H2225">
             </c>
      <c r="I2225" t="s">
        <v>14</v>
      </c>
      <c r="J2225" t="s">
        <v>141</v>
      </c>
      <c r="K2225" t="s">
        <v>14</v>
      </c>
      <c r="L2225" t="s">
        <v>20</v>
      </c>
      <c r="M2225" t="s">
        <v>4579</v>
      </c>
      <c r="N2225" t="s">
        <v>14</v>
      </c>
    </row>
    <row r="2226" x14ac:dyDescent="0.25">
      <c r="A2226" t="n">
        <v>25</v>
      </c>
      <c r="B2226" t="s">
        <v>14</v>
      </c>
      <c r="C2226" t="s">
        <v>22</v>
      </c>
      <c r="D2226" s="2" t="s">
        <f>=HYPERLINK("https://main.knesset.gov.il/APPS/legislation/main/bills/2225222", "הצעת חוק לתיקון פקודת התעבורה (חובת הפעלת קווי תחבורה ציבורית ישירים לבתי חולים), התשפ""ה-2024")</f>
        <v>4635</v>
      </c>
      <c r="E2226" t="s">
        <v>4635</v>
      </c>
      <c r="F2226" t="s">
        <v>4636</v>
      </c>
      <c r="G2226" t="s">
        <v>14</v>
      </c>
      <c r="H2226">
             </c>
      <c r="I2226" t="s">
        <v>14</v>
      </c>
      <c r="J2226" t="s">
        <v>141</v>
      </c>
      <c r="K2226" t="s">
        <v>14</v>
      </c>
      <c r="L2226" t="s">
        <v>20</v>
      </c>
      <c r="M2226" t="s">
        <v>4579</v>
      </c>
      <c r="N2226" t="s">
        <v>14</v>
      </c>
    </row>
    <row r="2227" x14ac:dyDescent="0.25">
      <c r="A2227" t="n">
        <v>25</v>
      </c>
      <c r="B2227" t="s">
        <v>14</v>
      </c>
      <c r="C2227" t="s">
        <v>22</v>
      </c>
      <c r="D2227" s="2" t="s">
        <f>=HYPERLINK("https://main.knesset.gov.il/APPS/legislation/main/bills/2225573", "הצעת חוק הבנקאות (שירות ללקוח) (תיקון - מתן שירותי הפקדה בכל כספומט בנקאי), התשפ""ה-2024")</f>
        <v>4637</v>
      </c>
      <c r="E2227" t="s">
        <v>4637</v>
      </c>
      <c r="F2227" t="s">
        <v>4638</v>
      </c>
      <c r="G2227" t="s">
        <v>14</v>
      </c>
      <c r="H2227">
             </c>
      <c r="I2227" t="s">
        <v>14</v>
      </c>
      <c r="J2227" t="s">
        <v>141</v>
      </c>
      <c r="K2227" t="s">
        <v>14</v>
      </c>
      <c r="L2227" t="s">
        <v>20</v>
      </c>
      <c r="M2227" t="s">
        <v>4579</v>
      </c>
      <c r="N2227" t="s">
        <v>14</v>
      </c>
    </row>
    <row r="2228" x14ac:dyDescent="0.25">
      <c r="A2228" t="n">
        <v>25</v>
      </c>
      <c r="B2228" t="s">
        <v>14</v>
      </c>
      <c r="C2228" t="s">
        <v>22</v>
      </c>
      <c r="D2228" s="2" t="s">
        <f>=HYPERLINK("https://main.knesset.gov.il/APPS/legislation/main/bills/2223128", "הצעת חוק קבלת ילד של משרת מילואים למעון יום והשתתפות המדינה בעלות שכר הלימוד בו, התשפ""ה-2024")</f>
        <v>4639</v>
      </c>
      <c r="E2228" t="s">
        <v>4639</v>
      </c>
      <c r="F2228" t="s">
        <v>4640</v>
      </c>
      <c r="G2228" t="s">
        <v>14</v>
      </c>
      <c r="H2228">
             </c>
      <c r="I2228" t="s">
        <v>14</v>
      </c>
      <c r="J2228" t="s">
        <v>55</v>
      </c>
      <c r="K2228" t="s">
        <v>14</v>
      </c>
      <c r="L2228" t="s">
        <v>20</v>
      </c>
      <c r="M2228" t="s">
        <v>4641</v>
      </c>
      <c r="N2228" t="s">
        <v>14</v>
      </c>
    </row>
    <row r="2229" x14ac:dyDescent="0.25">
      <c r="A2229" t="n">
        <v>25</v>
      </c>
      <c r="B2229" t="s">
        <v>14</v>
      </c>
      <c r="C2229" t="s">
        <v>22</v>
      </c>
      <c r="D2229" s="2" t="s">
        <f>=HYPERLINK("https://main.knesset.gov.il/APPS/legislation/main/bills/2223113", "הצעת חוק קבלת ילד של משרת מילואים למעון יום והשתתפות המדינה בעלות שכר הלימוד בו, התשפ""ה-2024")</f>
        <v>4639</v>
      </c>
      <c r="E2229" t="s">
        <v>4639</v>
      </c>
      <c r="F2229" t="s">
        <v>4642</v>
      </c>
      <c r="G2229" t="s">
        <v>14</v>
      </c>
      <c r="H2229">
             </c>
      <c r="I2229" t="s">
        <v>14</v>
      </c>
      <c r="J2229" t="s">
        <v>55</v>
      </c>
      <c r="K2229" t="s">
        <v>14</v>
      </c>
      <c r="L2229" t="s">
        <v>20</v>
      </c>
      <c r="M2229" t="s">
        <v>4641</v>
      </c>
      <c r="N2229" t="s">
        <v>14</v>
      </c>
    </row>
    <row r="2230" x14ac:dyDescent="0.25">
      <c r="A2230" t="n">
        <v>25</v>
      </c>
      <c r="B2230" t="s">
        <v>14</v>
      </c>
      <c r="C2230" t="s">
        <v>22</v>
      </c>
      <c r="D2230" s="2" t="s">
        <f>=HYPERLINK("https://main.knesset.gov.il/APPS/legislation/main/bills/2222431", "הצעת חוק העונשין (תיקון - פריצה למיתקן ביטחוני), התשפ""ה-2024")</f>
        <v>4643</v>
      </c>
      <c r="E2230" t="s">
        <v>4643</v>
      </c>
      <c r="F2230" t="s">
        <v>4644</v>
      </c>
      <c r="G2230" t="s">
        <v>14</v>
      </c>
      <c r="H2230">
             </c>
      <c r="I2230" t="s">
        <v>14</v>
      </c>
      <c r="J2230" t="s">
        <v>55</v>
      </c>
      <c r="K2230" t="s">
        <v>14</v>
      </c>
      <c r="L2230" t="s">
        <v>20</v>
      </c>
      <c r="M2230" t="s">
        <v>4641</v>
      </c>
      <c r="N2230" t="s">
        <v>14</v>
      </c>
    </row>
    <row r="2231" x14ac:dyDescent="0.25">
      <c r="A2231" t="n">
        <v>25</v>
      </c>
      <c r="B2231" t="s">
        <v>14</v>
      </c>
      <c r="C2231" t="s">
        <v>22</v>
      </c>
      <c r="D2231" s="2" t="s">
        <f>=HYPERLINK("https://main.knesset.gov.il/APPS/legislation/main/bills/2202188", "הצעת חוק הביטוח הלאומי (תיקון - משלוח הודעה בדבר זכאות המבוטח), התשפ""ג-2023")</f>
        <v>4645</v>
      </c>
      <c r="E2231" t="s">
        <v>4645</v>
      </c>
      <c r="F2231" t="s">
        <v>4646</v>
      </c>
      <c r="G2231" t="s">
        <v>14</v>
      </c>
      <c r="H2231">
             </c>
      <c r="I2231" t="s">
        <v>14</v>
      </c>
      <c r="J2231" t="s">
        <v>55</v>
      </c>
      <c r="K2231" t="s">
        <v>14</v>
      </c>
      <c r="L2231" t="s">
        <v>20</v>
      </c>
      <c r="M2231" t="s">
        <v>4641</v>
      </c>
      <c r="N2231" t="s">
        <v>14</v>
      </c>
    </row>
    <row r="2232" x14ac:dyDescent="0.25">
      <c r="A2232" t="n">
        <v>25</v>
      </c>
      <c r="B2232" t="s">
        <v>14</v>
      </c>
      <c r="C2232" t="s">
        <v>22</v>
      </c>
      <c r="D2232" s="2" t="s">
        <f>=HYPERLINK("https://main.knesset.gov.il/APPS/legislation/main/bills/2197177", "הצעת חוק-יסוד: הכנסת (תיקון - הרחבת העילות למניעת השתתפות בבחירות)")</f>
        <v>2473</v>
      </c>
      <c r="E2232" t="s">
        <v>2473</v>
      </c>
      <c r="F2232" t="s">
        <v>4647</v>
      </c>
      <c r="G2232" t="s">
        <v>14</v>
      </c>
      <c r="H2232">
             </c>
      <c r="I2232" t="s">
        <v>14</v>
      </c>
      <c r="J2232" t="s">
        <v>31</v>
      </c>
      <c r="K2232" t="s">
        <v>121</v>
      </c>
      <c r="L2232" t="s">
        <v>20</v>
      </c>
      <c r="M2232" t="s">
        <v>4648</v>
      </c>
      <c r="N2232" t="s">
        <v>14</v>
      </c>
    </row>
    <row r="2233" x14ac:dyDescent="0.25">
      <c r="A2233" t="n">
        <v>25</v>
      </c>
      <c r="B2233" t="s">
        <v>14</v>
      </c>
      <c r="C2233" t="s">
        <v>15</v>
      </c>
      <c r="D2233" s="2" t="s">
        <f>=HYPERLINK("https://main.knesset.gov.il/APPS/legislation/main/bills/2223234", "חוק ההתייעלות הכלכלית (תיקוני חקיקה להשגת יעדי התקציב לשנת התקציב 2025) (הקפאת עדכוני מס ומס יסף), התשפ""ה-2024")</f>
        <v>4649</v>
      </c>
      <c r="E2233" t="s">
        <v>4649</v>
      </c>
      <c r="F2233" t="s">
        <v>14</v>
      </c>
      <c r="G2233" t="s">
        <v>4230</v>
      </c>
      <c r="H2233" t="n">
        <v>3342</v>
      </c>
      <c r="I2233" t="s">
        <v>14</v>
      </c>
      <c r="J2233" t="s">
        <v>91</v>
      </c>
      <c r="K2233" t="s">
        <v>85</v>
      </c>
      <c r="L2233" t="s">
        <v>20</v>
      </c>
      <c r="M2233" t="s">
        <v>4648</v>
      </c>
      <c r="N2233" t="s">
        <v>4650</v>
      </c>
    </row>
    <row r="2234" x14ac:dyDescent="0.25">
      <c r="A2234" t="n">
        <v>25</v>
      </c>
      <c r="B2234" t="s">
        <v>14</v>
      </c>
      <c r="C2234" t="s">
        <v>15</v>
      </c>
      <c r="D2234" s="2" t="s">
        <f>=HYPERLINK("https://main.knesset.gov.il/APPS/legislation/main/bills/2225476", "חוק הסמכת צבא הגנה לישראל ושירות הביטחון הכללי לביצוע חדירה לחומר מחשב המשמש להפעלת מצלמה נייחת ופעולה בו (הוראת שעה – חרבות ברזל) (תיקון מס' 3), התשפ""ה-2024")</f>
        <v>4651</v>
      </c>
      <c r="E2234" t="s">
        <v>4651</v>
      </c>
      <c r="F2234" t="s">
        <v>14</v>
      </c>
      <c r="G2234" t="s">
        <v>4652</v>
      </c>
      <c r="H2234" t="n">
        <v>3340</v>
      </c>
      <c r="I2234" t="s">
        <v>14</v>
      </c>
      <c r="J2234" t="s">
        <v>91</v>
      </c>
      <c r="K2234" t="s">
        <v>114</v>
      </c>
      <c r="L2234" t="s">
        <v>20</v>
      </c>
      <c r="M2234" t="s">
        <v>4648</v>
      </c>
      <c r="N2234" t="s">
        <v>4653</v>
      </c>
    </row>
    <row r="2235" x14ac:dyDescent="0.25">
      <c r="A2235" t="n">
        <v>25</v>
      </c>
      <c r="B2235" t="s">
        <v>14</v>
      </c>
      <c r="C2235" t="s">
        <v>15</v>
      </c>
      <c r="D2235" s="2" t="s">
        <f>=HYPERLINK("https://main.knesset.gov.il/APPS/legislation/main/bills/2225486", "חוק לתיקון פקודת בתי הסוהר (מס' 64 – הוראת שעה – חרבות ברזל) (מצב חירום כליאתי) (תיקון מס' 3), התשפ""ה-2024 ")</f>
        <v>4654</v>
      </c>
      <c r="E2235" t="s">
        <v>4654</v>
      </c>
      <c r="F2235" t="s">
        <v>14</v>
      </c>
      <c r="G2235" t="s">
        <v>4655</v>
      </c>
      <c r="H2235" t="n">
        <v>3341</v>
      </c>
      <c r="I2235" t="s">
        <v>14</v>
      </c>
      <c r="J2235" t="s">
        <v>91</v>
      </c>
      <c r="K2235" t="s">
        <v>105</v>
      </c>
      <c r="L2235" t="s">
        <v>20</v>
      </c>
      <c r="M2235" t="s">
        <v>4648</v>
      </c>
      <c r="N2235" t="s">
        <v>4656</v>
      </c>
    </row>
    <row r="2236" x14ac:dyDescent="0.25">
      <c r="A2236" t="n">
        <v>25</v>
      </c>
      <c r="B2236" t="s">
        <v>14</v>
      </c>
      <c r="C2236" t="s">
        <v>15</v>
      </c>
      <c r="D2236" s="2" t="s">
        <f>=HYPERLINK("https://main.knesset.gov.il/APPS/legislation/main/bills/2224341", "חוק הפחתת הגירעון והגבלת ההוצאה התקציבית (תיקון מס' 27), התשפ""ה-2024")</f>
        <v>4657</v>
      </c>
      <c r="E2236" t="s">
        <v>4657</v>
      </c>
      <c r="F2236" t="s">
        <v>14</v>
      </c>
      <c r="G2236" t="s">
        <v>4658</v>
      </c>
      <c r="H2236" t="n">
        <v>3339</v>
      </c>
      <c r="I2236" t="s">
        <v>14</v>
      </c>
      <c r="J2236" t="s">
        <v>91</v>
      </c>
      <c r="K2236" t="s">
        <v>85</v>
      </c>
      <c r="L2236" t="s">
        <v>20</v>
      </c>
      <c r="M2236" t="s">
        <v>4659</v>
      </c>
      <c r="N2236" t="s">
        <v>4660</v>
      </c>
    </row>
    <row r="2237" x14ac:dyDescent="0.25">
      <c r="A2237" t="n">
        <v>25</v>
      </c>
      <c r="B2237" t="s">
        <v>14</v>
      </c>
      <c r="C2237" t="s">
        <v>15</v>
      </c>
      <c r="D2237" s="2" t="s">
        <f>=HYPERLINK("https://main.knesset.gov.il/APPS/legislation/main/bills/2224519", "חוק תקציב נוסף לשנת הכספים 2024 (מס' 3), התשפ""ה-2024")</f>
        <v>4661</v>
      </c>
      <c r="E2237" t="s">
        <v>4661</v>
      </c>
      <c r="F2237" t="s">
        <v>14</v>
      </c>
      <c r="G2237" t="s">
        <v>4662</v>
      </c>
      <c r="H2237" t="n">
        <v>3338</v>
      </c>
      <c r="I2237" t="s">
        <v>14</v>
      </c>
      <c r="J2237" t="s">
        <v>91</v>
      </c>
      <c r="K2237" t="s">
        <v>85</v>
      </c>
      <c r="L2237" t="s">
        <v>20</v>
      </c>
      <c r="M2237" t="s">
        <v>4659</v>
      </c>
      <c r="N2237" t="s">
        <v>4663</v>
      </c>
    </row>
    <row r="2238" x14ac:dyDescent="0.25">
      <c r="A2238" t="n">
        <v>25</v>
      </c>
      <c r="B2238" t="s">
        <v>14</v>
      </c>
      <c r="C2238" t="s">
        <v>22</v>
      </c>
      <c r="D2238" s="2" t="s">
        <f>=HYPERLINK("https://main.knesset.gov.il/APPS/legislation/main/bills/2221933", "הצעת חוק הפיקוח על שירותים פיננסיים (ביטוח) (תיקון - חברות זרות), התשפ""ה-2024")</f>
        <v>4664</v>
      </c>
      <c r="E2238" t="s">
        <v>4664</v>
      </c>
      <c r="F2238" t="s">
        <v>4665</v>
      </c>
      <c r="G2238" t="s">
        <v>14</v>
      </c>
      <c r="H2238">
             </c>
      <c r="I2238" t="s">
        <v>14</v>
      </c>
      <c r="J2238" t="s">
        <v>141</v>
      </c>
      <c r="K2238" t="s">
        <v>14</v>
      </c>
      <c r="L2238" t="s">
        <v>20</v>
      </c>
      <c r="M2238" t="s">
        <v>4659</v>
      </c>
      <c r="N2238" t="s">
        <v>14</v>
      </c>
    </row>
    <row r="2239" x14ac:dyDescent="0.25">
      <c r="A2239" t="n">
        <v>25</v>
      </c>
      <c r="B2239" t="s">
        <v>14</v>
      </c>
      <c r="C2239" t="s">
        <v>22</v>
      </c>
      <c r="D2239" s="2" t="s">
        <f>=HYPERLINK("https://main.knesset.gov.il/APPS/legislation/main/bills/2224717", "הצעת חוק הצמדת שכר שוטרים וסוהרים לשכר משרתי קבע בצה""ל (תיקוני חקיקה), התשפ""ה-2024")</f>
        <v>4666</v>
      </c>
      <c r="E2239" t="s">
        <v>4666</v>
      </c>
      <c r="F2239" t="s">
        <v>4667</v>
      </c>
      <c r="G2239" t="s">
        <v>14</v>
      </c>
      <c r="H2239">
             </c>
      <c r="I2239" t="s">
        <v>14</v>
      </c>
      <c r="J2239" t="s">
        <v>141</v>
      </c>
      <c r="K2239" t="s">
        <v>14</v>
      </c>
      <c r="L2239" t="s">
        <v>20</v>
      </c>
      <c r="M2239" t="s">
        <v>4659</v>
      </c>
      <c r="N2239" t="s">
        <v>14</v>
      </c>
    </row>
    <row r="2240" x14ac:dyDescent="0.25">
      <c r="A2240" t="n">
        <v>25</v>
      </c>
      <c r="B2240" t="s">
        <v>14</v>
      </c>
      <c r="C2240" t="s">
        <v>22</v>
      </c>
      <c r="D2240" s="2" t="s">
        <f>=HYPERLINK("https://main.knesset.gov.il/APPS/legislation/main/bills/2225421", "הצעת חוק הממשלה (תיקון - ביצוע בדיקת פוליגרף לחברי ועדת השרים לענייני ביטחון לאומי), התשפ""ה-2024")</f>
        <v>4668</v>
      </c>
      <c r="E2240" t="s">
        <v>4668</v>
      </c>
      <c r="F2240" t="s">
        <v>4669</v>
      </c>
      <c r="G2240" t="s">
        <v>14</v>
      </c>
      <c r="H2240">
             </c>
      <c r="I2240" t="s">
        <v>14</v>
      </c>
      <c r="J2240" t="s">
        <v>141</v>
      </c>
      <c r="K2240" t="s">
        <v>14</v>
      </c>
      <c r="L2240" t="s">
        <v>20</v>
      </c>
      <c r="M2240" t="s">
        <v>4659</v>
      </c>
      <c r="N2240" t="s">
        <v>14</v>
      </c>
    </row>
    <row r="2241" x14ac:dyDescent="0.25">
      <c r="A2241" t="n">
        <v>25</v>
      </c>
      <c r="B2241" t="s">
        <v>14</v>
      </c>
      <c r="C2241" t="s">
        <v>22</v>
      </c>
      <c r="D2241" s="2" t="s">
        <f>=HYPERLINK("https://main.knesset.gov.il/APPS/legislation/main/bills/2224233", "הצעת חוק גנים לאומיים, שמורות טבע, אתרים לאומיים ואתרי הנצחה (תיקון - כניסת חתן וכלה ללא תשלום), התשפ""ה-2024")</f>
        <v>4670</v>
      </c>
      <c r="E2241" t="s">
        <v>4670</v>
      </c>
      <c r="F2241" t="s">
        <v>4671</v>
      </c>
      <c r="G2241" t="s">
        <v>14</v>
      </c>
      <c r="H2241">
             </c>
      <c r="I2241" t="s">
        <v>14</v>
      </c>
      <c r="J2241" t="s">
        <v>141</v>
      </c>
      <c r="K2241" t="s">
        <v>14</v>
      </c>
      <c r="L2241" t="s">
        <v>20</v>
      </c>
      <c r="M2241" t="s">
        <v>4659</v>
      </c>
      <c r="N2241" t="s">
        <v>14</v>
      </c>
    </row>
    <row r="2242" x14ac:dyDescent="0.25">
      <c r="A2242" t="n">
        <v>25</v>
      </c>
      <c r="B2242" t="s">
        <v>14</v>
      </c>
      <c r="C2242" t="s">
        <v>22</v>
      </c>
      <c r="D2242" s="2" t="s">
        <f>=HYPERLINK("https://main.knesset.gov.il/APPS/legislation/main/bills/2225424", "הצעת חוק מסירת מידע לחברי הכנסת ולוועדות הכנסת (תיקוני חקיקה), התשפ""ה-2024")</f>
        <v>4672</v>
      </c>
      <c r="E2242" t="s">
        <v>4672</v>
      </c>
      <c r="F2242" t="s">
        <v>4673</v>
      </c>
      <c r="G2242" t="s">
        <v>14</v>
      </c>
      <c r="H2242">
             </c>
      <c r="I2242" t="s">
        <v>14</v>
      </c>
      <c r="J2242" t="s">
        <v>141</v>
      </c>
      <c r="K2242" t="s">
        <v>14</v>
      </c>
      <c r="L2242" t="s">
        <v>20</v>
      </c>
      <c r="M2242" t="s">
        <v>4659</v>
      </c>
      <c r="N2242" t="s">
        <v>14</v>
      </c>
    </row>
    <row r="2243" x14ac:dyDescent="0.25">
      <c r="A2243" t="n">
        <v>25</v>
      </c>
      <c r="B2243" t="s">
        <v>14</v>
      </c>
      <c r="C2243" t="s">
        <v>22</v>
      </c>
      <c r="D2243" s="2" t="s">
        <f>=HYPERLINK("https://main.knesset.gov.il/APPS/legislation/main/bills/2223879", "הצעת חוק שירות המדינה (מינויים) (תיקון - מניעת העסקת קרובי משפחה בשירות הציבורי), התשפ""ה-2024")</f>
        <v>4674</v>
      </c>
      <c r="E2243" t="s">
        <v>4674</v>
      </c>
      <c r="F2243" t="s">
        <v>4675</v>
      </c>
      <c r="G2243" t="s">
        <v>14</v>
      </c>
      <c r="H2243">
             </c>
      <c r="I2243" t="s">
        <v>14</v>
      </c>
      <c r="J2243" t="s">
        <v>141</v>
      </c>
      <c r="K2243" t="s">
        <v>14</v>
      </c>
      <c r="L2243" t="s">
        <v>20</v>
      </c>
      <c r="M2243" t="s">
        <v>4659</v>
      </c>
      <c r="N2243" t="s">
        <v>14</v>
      </c>
    </row>
    <row r="2244" x14ac:dyDescent="0.25">
      <c r="A2244" t="n">
        <v>25</v>
      </c>
      <c r="B2244" t="s">
        <v>14</v>
      </c>
      <c r="C2244" t="s">
        <v>22</v>
      </c>
      <c r="D2244" s="2" t="s">
        <f>=HYPERLINK("https://main.knesset.gov.il/APPS/legislation/main/bills/2224878", "הצעת חוק קידום התחרות בענפי המזון והפארם (תיקון - עדכון הגדרת קמעונאי גדול), התשפ""ה-2024")</f>
        <v>4676</v>
      </c>
      <c r="E2244" t="s">
        <v>4676</v>
      </c>
      <c r="F2244" t="s">
        <v>4677</v>
      </c>
      <c r="G2244" t="s">
        <v>14</v>
      </c>
      <c r="H2244">
             </c>
      <c r="I2244" t="s">
        <v>14</v>
      </c>
      <c r="J2244" t="s">
        <v>141</v>
      </c>
      <c r="K2244" t="s">
        <v>14</v>
      </c>
      <c r="L2244" t="s">
        <v>20</v>
      </c>
      <c r="M2244" t="s">
        <v>4659</v>
      </c>
      <c r="N2244" t="s">
        <v>14</v>
      </c>
    </row>
    <row r="2245" x14ac:dyDescent="0.25">
      <c r="A2245" t="n">
        <v>25</v>
      </c>
      <c r="B2245" t="s">
        <v>14</v>
      </c>
      <c r="C2245" t="s">
        <v>22</v>
      </c>
      <c r="D2245" s="2" t="s">
        <f>=HYPERLINK("https://main.knesset.gov.il/APPS/legislation/main/bills/2225662", "הצעת חוק הנגישות הלשונית, התשפ""ה-2024")</f>
        <v>4678</v>
      </c>
      <c r="E2245" t="s">
        <v>4678</v>
      </c>
      <c r="F2245" t="s">
        <v>4679</v>
      </c>
      <c r="G2245" t="s">
        <v>14</v>
      </c>
      <c r="H2245">
             </c>
      <c r="I2245" t="s">
        <v>14</v>
      </c>
      <c r="J2245" t="s">
        <v>141</v>
      </c>
      <c r="K2245" t="s">
        <v>14</v>
      </c>
      <c r="L2245" t="s">
        <v>20</v>
      </c>
      <c r="M2245" t="s">
        <v>4659</v>
      </c>
      <c r="N2245" t="s">
        <v>14</v>
      </c>
    </row>
    <row r="2246" x14ac:dyDescent="0.25">
      <c r="A2246" t="n">
        <v>25</v>
      </c>
      <c r="B2246" t="s">
        <v>14</v>
      </c>
      <c r="C2246" t="s">
        <v>22</v>
      </c>
      <c r="D2246" s="2" t="s">
        <f>=HYPERLINK("https://main.knesset.gov.il/APPS/legislation/main/bills/2224771", "הצעת חוק הדגל, הסמל והמנון המדינה (תיקון - הצבת דגל המדינה בכל כיתות הלימוד בבתי הספר היסודיים והתיכוניים במדינת ישראל), התשפ""ה-2024")</f>
        <v>4680</v>
      </c>
      <c r="E2246" t="s">
        <v>4680</v>
      </c>
      <c r="F2246" t="s">
        <v>4681</v>
      </c>
      <c r="G2246" t="s">
        <v>14</v>
      </c>
      <c r="H2246">
             </c>
      <c r="I2246" t="s">
        <v>14</v>
      </c>
      <c r="J2246" t="s">
        <v>141</v>
      </c>
      <c r="K2246" t="s">
        <v>14</v>
      </c>
      <c r="L2246" t="s">
        <v>20</v>
      </c>
      <c r="M2246" t="s">
        <v>4659</v>
      </c>
      <c r="N2246" t="s">
        <v>14</v>
      </c>
    </row>
    <row r="2247" x14ac:dyDescent="0.25">
      <c r="A2247" t="n">
        <v>25</v>
      </c>
      <c r="B2247" t="s">
        <v>14</v>
      </c>
      <c r="C2247" t="s">
        <v>22</v>
      </c>
      <c r="D2247" s="2" t="s">
        <f>=HYPERLINK("https://main.knesset.gov.il/APPS/legislation/main/bills/2223956", "הצעת חוק העונשין (תיקון - איסור מכירה והחזקה של צעצועים מסוכנים), התשפ""ה-2024")</f>
        <v>4682</v>
      </c>
      <c r="E2247" t="s">
        <v>4682</v>
      </c>
      <c r="F2247" t="s">
        <v>4683</v>
      </c>
      <c r="G2247" t="s">
        <v>14</v>
      </c>
      <c r="H2247">
             </c>
      <c r="I2247" t="s">
        <v>14</v>
      </c>
      <c r="J2247" t="s">
        <v>141</v>
      </c>
      <c r="K2247" t="s">
        <v>14</v>
      </c>
      <c r="L2247" t="s">
        <v>20</v>
      </c>
      <c r="M2247" t="s">
        <v>4659</v>
      </c>
      <c r="N2247" t="s">
        <v>14</v>
      </c>
    </row>
    <row r="2248" x14ac:dyDescent="0.25">
      <c r="A2248" t="n">
        <v>25</v>
      </c>
      <c r="B2248" t="s">
        <v>14</v>
      </c>
      <c r="C2248" t="s">
        <v>22</v>
      </c>
      <c r="D2248" s="2" t="s">
        <f>=HYPERLINK("https://main.knesset.gov.il/APPS/legislation/main/bills/2225690", "הצעת חוק-יסוד: השפיטה (תיקון - סמכויות שיפוט ותקנות סדרי דין באישור ועדה)")</f>
        <v>1901</v>
      </c>
      <c r="E2248" t="s">
        <v>1901</v>
      </c>
      <c r="F2248" t="s">
        <v>4684</v>
      </c>
      <c r="G2248" t="s">
        <v>14</v>
      </c>
      <c r="H2248">
             </c>
      <c r="I2248" t="s">
        <v>14</v>
      </c>
      <c r="J2248" t="s">
        <v>141</v>
      </c>
      <c r="K2248" t="s">
        <v>14</v>
      </c>
      <c r="L2248" t="s">
        <v>20</v>
      </c>
      <c r="M2248" t="s">
        <v>4659</v>
      </c>
      <c r="N2248" t="s">
        <v>14</v>
      </c>
    </row>
    <row r="2249" x14ac:dyDescent="0.25">
      <c r="A2249" t="n">
        <v>25</v>
      </c>
      <c r="B2249" t="s">
        <v>14</v>
      </c>
      <c r="C2249" t="s">
        <v>22</v>
      </c>
      <c r="D2249" s="2" t="s">
        <f>=HYPERLINK("https://main.knesset.gov.il/APPS/legislation/main/bills/2225464", "הצעת חוק הביטוח הלאומי (תיקון - דמי ביטוח מופחתים למעסיק קולט עלייה), התשפ""ה-2024")</f>
        <v>4685</v>
      </c>
      <c r="E2249" t="s">
        <v>4685</v>
      </c>
      <c r="F2249" t="s">
        <v>4686</v>
      </c>
      <c r="G2249" t="s">
        <v>14</v>
      </c>
      <c r="H2249">
             </c>
      <c r="I2249" t="s">
        <v>14</v>
      </c>
      <c r="J2249" t="s">
        <v>141</v>
      </c>
      <c r="K2249" t="s">
        <v>14</v>
      </c>
      <c r="L2249" t="s">
        <v>20</v>
      </c>
      <c r="M2249" t="s">
        <v>4659</v>
      </c>
      <c r="N2249" t="s">
        <v>14</v>
      </c>
    </row>
    <row r="2250" x14ac:dyDescent="0.25">
      <c r="A2250" t="n">
        <v>25</v>
      </c>
      <c r="B2250" t="s">
        <v>14</v>
      </c>
      <c r="C2250" t="s">
        <v>22</v>
      </c>
      <c r="D2250" s="2" t="s">
        <f>=HYPERLINK("https://main.knesset.gov.il/APPS/legislation/main/bills/2225345", "הצעת חוק הביטוח הלאומי (תיקון - הקלות בניידות), התשפ""ה-2024")</f>
        <v>4687</v>
      </c>
      <c r="E2250" t="s">
        <v>4687</v>
      </c>
      <c r="F2250" t="s">
        <v>4688</v>
      </c>
      <c r="G2250" t="s">
        <v>14</v>
      </c>
      <c r="H2250">
             </c>
      <c r="I2250" t="s">
        <v>14</v>
      </c>
      <c r="J2250" t="s">
        <v>141</v>
      </c>
      <c r="K2250" t="s">
        <v>14</v>
      </c>
      <c r="L2250" t="s">
        <v>20</v>
      </c>
      <c r="M2250" t="s">
        <v>4659</v>
      </c>
      <c r="N2250" t="s">
        <v>14</v>
      </c>
    </row>
    <row r="2251" x14ac:dyDescent="0.25">
      <c r="A2251" t="n">
        <v>25</v>
      </c>
      <c r="B2251" t="s">
        <v>14</v>
      </c>
      <c r="C2251" t="s">
        <v>22</v>
      </c>
      <c r="D2251" s="2" t="s">
        <f>=HYPERLINK("https://main.knesset.gov.il/APPS/legislation/main/bills/2225626", "הצעת חוק הסיוע המשפטי (תיקון - סיוע משפטי למטופל סיעודי), התשפ""ה-2024")</f>
        <v>4689</v>
      </c>
      <c r="E2251" t="s">
        <v>4689</v>
      </c>
      <c r="F2251" t="s">
        <v>4690</v>
      </c>
      <c r="G2251" t="s">
        <v>14</v>
      </c>
      <c r="H2251">
             </c>
      <c r="I2251" t="s">
        <v>14</v>
      </c>
      <c r="J2251" t="s">
        <v>141</v>
      </c>
      <c r="K2251" t="s">
        <v>14</v>
      </c>
      <c r="L2251" t="s">
        <v>20</v>
      </c>
      <c r="M2251" t="s">
        <v>4659</v>
      </c>
      <c r="N2251" t="s">
        <v>14</v>
      </c>
    </row>
    <row r="2252" x14ac:dyDescent="0.25">
      <c r="A2252" t="n">
        <v>25</v>
      </c>
      <c r="B2252" t="s">
        <v>14</v>
      </c>
      <c r="C2252" t="s">
        <v>22</v>
      </c>
      <c r="D2252" s="2" t="s">
        <f>=HYPERLINK("https://main.knesset.gov.il/APPS/legislation/main/bills/2225203", "הצעת חוק הקמת שדה תעופה בנבטים, התשפ""ה-2024")</f>
        <v>3862</v>
      </c>
      <c r="E2252" t="s">
        <v>3862</v>
      </c>
      <c r="F2252" t="s">
        <v>4691</v>
      </c>
      <c r="G2252" t="s">
        <v>14</v>
      </c>
      <c r="H2252">
             </c>
      <c r="I2252" t="s">
        <v>14</v>
      </c>
      <c r="J2252" t="s">
        <v>141</v>
      </c>
      <c r="K2252" t="s">
        <v>14</v>
      </c>
      <c r="L2252" t="s">
        <v>20</v>
      </c>
      <c r="M2252" t="s">
        <v>4659</v>
      </c>
      <c r="N2252" t="s">
        <v>14</v>
      </c>
    </row>
    <row r="2253" x14ac:dyDescent="0.25">
      <c r="A2253" t="n">
        <v>25</v>
      </c>
      <c r="B2253" t="s">
        <v>14</v>
      </c>
      <c r="C2253" t="s">
        <v>22</v>
      </c>
      <c r="D2253" s="2" t="s">
        <f>=HYPERLINK("https://main.knesset.gov.il/APPS/legislation/main/bills/2224582", "הצעת חוק חינוך טכנולוגי חובה, התשפ""ה-2024")</f>
        <v>4692</v>
      </c>
      <c r="E2253" t="s">
        <v>4692</v>
      </c>
      <c r="F2253" t="s">
        <v>4693</v>
      </c>
      <c r="G2253" t="s">
        <v>14</v>
      </c>
      <c r="H2253">
             </c>
      <c r="I2253" t="s">
        <v>14</v>
      </c>
      <c r="J2253" t="s">
        <v>141</v>
      </c>
      <c r="K2253" t="s">
        <v>14</v>
      </c>
      <c r="L2253" t="s">
        <v>20</v>
      </c>
      <c r="M2253" t="s">
        <v>4659</v>
      </c>
      <c r="N2253" t="s">
        <v>14</v>
      </c>
    </row>
    <row r="2254" x14ac:dyDescent="0.25">
      <c r="A2254" t="n">
        <v>25</v>
      </c>
      <c r="B2254" t="s">
        <v>14</v>
      </c>
      <c r="C2254" t="s">
        <v>22</v>
      </c>
      <c r="D2254" s="2" t="s">
        <f>=HYPERLINK("https://main.knesset.gov.il/APPS/legislation/main/bills/2225000", "הצעת חוק חינוך חינם לילדים חולים (תיקון - חלופות אשפוז), התשפ""ה-2024")</f>
        <v>4694</v>
      </c>
      <c r="E2254" t="s">
        <v>4694</v>
      </c>
      <c r="F2254" t="s">
        <v>4695</v>
      </c>
      <c r="G2254" t="s">
        <v>14</v>
      </c>
      <c r="H2254">
             </c>
      <c r="I2254" t="s">
        <v>14</v>
      </c>
      <c r="J2254" t="s">
        <v>141</v>
      </c>
      <c r="K2254" t="s">
        <v>14</v>
      </c>
      <c r="L2254" t="s">
        <v>20</v>
      </c>
      <c r="M2254" t="s">
        <v>4659</v>
      </c>
      <c r="N2254" t="s">
        <v>14</v>
      </c>
    </row>
    <row r="2255" x14ac:dyDescent="0.25">
      <c r="A2255" t="n">
        <v>25</v>
      </c>
      <c r="B2255" t="s">
        <v>14</v>
      </c>
      <c r="C2255" t="s">
        <v>22</v>
      </c>
      <c r="D2255" s="2" t="s">
        <f>=HYPERLINK("https://main.knesset.gov.il/APPS/legislation/main/bills/2223372", "הצעת חוק הביטוח הלאומי (תיקון - תיאום דמי ביטוח), התשפ""ה-2024")</f>
        <v>4696</v>
      </c>
      <c r="E2255" t="s">
        <v>4696</v>
      </c>
      <c r="F2255" t="s">
        <v>4697</v>
      </c>
      <c r="G2255" t="s">
        <v>14</v>
      </c>
      <c r="H2255">
             </c>
      <c r="I2255" t="s">
        <v>14</v>
      </c>
      <c r="J2255" t="s">
        <v>141</v>
      </c>
      <c r="K2255" t="s">
        <v>14</v>
      </c>
      <c r="L2255" t="s">
        <v>20</v>
      </c>
      <c r="M2255" t="s">
        <v>4659</v>
      </c>
      <c r="N2255" t="s">
        <v>14</v>
      </c>
    </row>
    <row r="2256" x14ac:dyDescent="0.25">
      <c r="A2256" t="n">
        <v>25</v>
      </c>
      <c r="B2256" t="s">
        <v>14</v>
      </c>
      <c r="C2256" t="s">
        <v>22</v>
      </c>
      <c r="D2256" s="2" t="s">
        <f>=HYPERLINK("https://main.knesset.gov.il/APPS/legislation/main/bills/2215370", "הצעת חוק הכניסה לישראל (תיקון - הרחקת מבצעי עבירת פשע), התשפ""ה-2024")</f>
        <v>4698</v>
      </c>
      <c r="E2256" t="s">
        <v>4698</v>
      </c>
      <c r="F2256" t="s">
        <v>4699</v>
      </c>
      <c r="G2256" t="s">
        <v>14</v>
      </c>
      <c r="H2256">
             </c>
      <c r="I2256" t="s">
        <v>14</v>
      </c>
      <c r="J2256" t="s">
        <v>141</v>
      </c>
      <c r="K2256" t="s">
        <v>14</v>
      </c>
      <c r="L2256" t="s">
        <v>20</v>
      </c>
      <c r="M2256" t="s">
        <v>4659</v>
      </c>
      <c r="N2256" t="s">
        <v>14</v>
      </c>
    </row>
    <row r="2257" x14ac:dyDescent="0.25">
      <c r="A2257" t="n">
        <v>25</v>
      </c>
      <c r="B2257" t="s">
        <v>14</v>
      </c>
      <c r="C2257" t="s">
        <v>22</v>
      </c>
      <c r="D2257" s="2" t="s">
        <f>=HYPERLINK("https://main.knesset.gov.il/APPS/legislation/main/bills/2224219", "הצעת חוק פיקוח על מחירי מצרכים ושירותים (תיקון - פיקוח על מחיר מלח מועשר ביוד), התשפ""ה-2024")</f>
        <v>4700</v>
      </c>
      <c r="E2257" t="s">
        <v>4700</v>
      </c>
      <c r="F2257" t="s">
        <v>4701</v>
      </c>
      <c r="G2257" t="s">
        <v>14</v>
      </c>
      <c r="H2257">
             </c>
      <c r="I2257" t="s">
        <v>14</v>
      </c>
      <c r="J2257" t="s">
        <v>141</v>
      </c>
      <c r="K2257" t="s">
        <v>14</v>
      </c>
      <c r="L2257" t="s">
        <v>20</v>
      </c>
      <c r="M2257" t="s">
        <v>4659</v>
      </c>
      <c r="N2257" t="s">
        <v>14</v>
      </c>
    </row>
    <row r="2258" x14ac:dyDescent="0.25">
      <c r="A2258" t="n">
        <v>25</v>
      </c>
      <c r="B2258" t="s">
        <v>14</v>
      </c>
      <c r="C2258" t="s">
        <v>22</v>
      </c>
      <c r="D2258" s="2" t="s">
        <f>=HYPERLINK("https://main.knesset.gov.il/APPS/legislation/main/bills/2225368", "הצעת חוק פטור מאגרה ללוחמים בשירות מילואים בנסיעה בכבישי אגרה ובנתיבים מהירים (תיקוני חקיקה), התשפ""ה-2024 ")</f>
        <v>4702</v>
      </c>
      <c r="E2258" t="s">
        <v>4702</v>
      </c>
      <c r="F2258" t="s">
        <v>4703</v>
      </c>
      <c r="G2258" t="s">
        <v>14</v>
      </c>
      <c r="H2258">
             </c>
      <c r="I2258" t="s">
        <v>14</v>
      </c>
      <c r="J2258" t="s">
        <v>141</v>
      </c>
      <c r="K2258" t="s">
        <v>14</v>
      </c>
      <c r="L2258" t="s">
        <v>20</v>
      </c>
      <c r="M2258" t="s">
        <v>4659</v>
      </c>
      <c r="N2258" t="s">
        <v>14</v>
      </c>
    </row>
    <row r="2259" x14ac:dyDescent="0.25">
      <c r="A2259" t="n">
        <v>25</v>
      </c>
      <c r="B2259" t="s">
        <v>14</v>
      </c>
      <c r="C2259" t="s">
        <v>22</v>
      </c>
      <c r="D2259" s="2" t="s">
        <f>=HYPERLINK("https://main.knesset.gov.il/APPS/legislation/main/bills/2225121", "הצעת חוק פיקוח על רווחי שיווק בתוצרת חקלאית, התשפ""ה-2024")</f>
        <v>4704</v>
      </c>
      <c r="E2259" t="s">
        <v>4704</v>
      </c>
      <c r="F2259" t="s">
        <v>4705</v>
      </c>
      <c r="G2259" t="s">
        <v>14</v>
      </c>
      <c r="H2259">
             </c>
      <c r="I2259" t="s">
        <v>14</v>
      </c>
      <c r="J2259" t="s">
        <v>141</v>
      </c>
      <c r="K2259" t="s">
        <v>14</v>
      </c>
      <c r="L2259" t="s">
        <v>20</v>
      </c>
      <c r="M2259" t="s">
        <v>4659</v>
      </c>
      <c r="N2259" t="s">
        <v>14</v>
      </c>
    </row>
    <row r="2260" x14ac:dyDescent="0.25">
      <c r="A2260" t="n">
        <v>25</v>
      </c>
      <c r="B2260" t="s">
        <v>14</v>
      </c>
      <c r="C2260" t="s">
        <v>22</v>
      </c>
      <c r="D2260" s="2" t="s">
        <f>=HYPERLINK("https://main.knesset.gov.il/APPS/legislation/main/bills/2225528", "הצעת חוק מסירת מידע לחברי הכנסת ולוועדות הכנסת (תיקוני חקיקה), התשפ""ה-2024")</f>
        <v>4672</v>
      </c>
      <c r="E2260" t="s">
        <v>4672</v>
      </c>
      <c r="F2260" t="s">
        <v>4706</v>
      </c>
      <c r="G2260" t="s">
        <v>14</v>
      </c>
      <c r="H2260">
             </c>
      <c r="I2260" t="s">
        <v>14</v>
      </c>
      <c r="J2260" t="s">
        <v>141</v>
      </c>
      <c r="K2260" t="s">
        <v>14</v>
      </c>
      <c r="L2260" t="s">
        <v>20</v>
      </c>
      <c r="M2260" t="s">
        <v>4659</v>
      </c>
      <c r="N2260" t="s">
        <v>14</v>
      </c>
    </row>
    <row r="2261" x14ac:dyDescent="0.25">
      <c r="A2261" t="n">
        <v>25</v>
      </c>
      <c r="B2261" t="s">
        <v>14</v>
      </c>
      <c r="C2261" t="s">
        <v>22</v>
      </c>
      <c r="D2261" s="2" t="s">
        <f>=HYPERLINK("https://main.knesset.gov.il/APPS/legislation/main/bills/2224019", "הצעת חוק פיקוח על מחירי מצרכים ושירותים (תיקון - פיקוח על מחיר מלח מועשר ביוד), התשפ""ה-2024")</f>
        <v>4700</v>
      </c>
      <c r="E2261" t="s">
        <v>4700</v>
      </c>
      <c r="F2261" t="s">
        <v>4707</v>
      </c>
      <c r="G2261" t="s">
        <v>14</v>
      </c>
      <c r="H2261">
             </c>
      <c r="I2261" t="s">
        <v>14</v>
      </c>
      <c r="J2261" t="s">
        <v>141</v>
      </c>
      <c r="K2261" t="s">
        <v>14</v>
      </c>
      <c r="L2261" t="s">
        <v>20</v>
      </c>
      <c r="M2261" t="s">
        <v>4659</v>
      </c>
      <c r="N2261" t="s">
        <v>14</v>
      </c>
    </row>
    <row r="2262" x14ac:dyDescent="0.25">
      <c r="A2262" t="n">
        <v>25</v>
      </c>
      <c r="B2262" t="s">
        <v>14</v>
      </c>
      <c r="C2262" t="s">
        <v>15</v>
      </c>
      <c r="D2262" s="2" t="s">
        <f>=HYPERLINK("https://main.knesset.gov.il/APPS/legislation/main/bills/2223826", "חוק ההתייעלות הכלכלית (תיקוני חקיקה להשגת יעדי התקציב לשנת התקציב 2025) (הקפאת שכר נושאי משרה ברשויות השלטון וברשויות מקומיות בשנת 2025), התשפ""ה–2024")</f>
        <v>4708</v>
      </c>
      <c r="E2262" t="s">
        <v>4708</v>
      </c>
      <c r="F2262" t="s">
        <v>14</v>
      </c>
      <c r="G2262" t="s">
        <v>4438</v>
      </c>
      <c r="H2262" t="n">
        <v>3337</v>
      </c>
      <c r="I2262" t="s">
        <v>14</v>
      </c>
      <c r="J2262" t="s">
        <v>91</v>
      </c>
      <c r="K2262" t="s">
        <v>85</v>
      </c>
      <c r="L2262" t="s">
        <v>20</v>
      </c>
      <c r="M2262" t="s">
        <v>4709</v>
      </c>
      <c r="N2262" t="s">
        <v>4710</v>
      </c>
    </row>
    <row r="2263" x14ac:dyDescent="0.25">
      <c r="A2263" t="n">
        <v>25</v>
      </c>
      <c r="B2263" t="s">
        <v>14</v>
      </c>
      <c r="C2263" t="s">
        <v>15</v>
      </c>
      <c r="D2263" s="2" t="s">
        <f>=HYPERLINK("https://main.knesset.gov.il/APPS/legislation/main/bills/2225386", "חוק לתיקון פקודת מס הכנסה (מס' 275), התשפ""ה–2024")</f>
        <v>4711</v>
      </c>
      <c r="E2263" t="s">
        <v>4711</v>
      </c>
      <c r="F2263" t="s">
        <v>14</v>
      </c>
      <c r="G2263" t="s">
        <v>4230</v>
      </c>
      <c r="H2263" t="n">
        <v>3336</v>
      </c>
      <c r="I2263" t="s">
        <v>14</v>
      </c>
      <c r="J2263" t="s">
        <v>91</v>
      </c>
      <c r="K2263" t="s">
        <v>85</v>
      </c>
      <c r="L2263" t="s">
        <v>20</v>
      </c>
      <c r="M2263" t="s">
        <v>4709</v>
      </c>
      <c r="N2263" t="s">
        <v>4712</v>
      </c>
    </row>
    <row r="2264" x14ac:dyDescent="0.25">
      <c r="A2264" t="n">
        <v>25</v>
      </c>
      <c r="B2264" t="s">
        <v>14</v>
      </c>
      <c r="C2264" t="s">
        <v>15</v>
      </c>
      <c r="D2264" s="2" t="s">
        <f>=HYPERLINK("https://main.knesset.gov.il/APPS/legislation/main/bills/2225247", "חוק לייעול האכיפה והפיקוח העירוניים ברשויות המקומיות (הוראת שעה) (תיקון מס' 14), התשפ""ה-2024")</f>
        <v>4713</v>
      </c>
      <c r="E2264" t="s">
        <v>4713</v>
      </c>
      <c r="F2264" t="s">
        <v>14</v>
      </c>
      <c r="G2264" t="s">
        <v>2634</v>
      </c>
      <c r="H2264" t="n">
        <v>3335</v>
      </c>
      <c r="I2264" t="s">
        <v>14</v>
      </c>
      <c r="J2264" t="s">
        <v>91</v>
      </c>
      <c r="K2264" t="s">
        <v>105</v>
      </c>
      <c r="L2264" t="s">
        <v>20</v>
      </c>
      <c r="M2264" t="s">
        <v>4709</v>
      </c>
      <c r="N2264" t="s">
        <v>4714</v>
      </c>
    </row>
    <row r="2265" x14ac:dyDescent="0.25">
      <c r="A2265" t="n">
        <v>25</v>
      </c>
      <c r="B2265" t="s">
        <v>14</v>
      </c>
      <c r="C2265" t="s">
        <v>22</v>
      </c>
      <c r="D2265" s="2" t="s">
        <f>=HYPERLINK("https://main.knesset.gov.il/APPS/legislation/main/bills/2219982", "הצעת חוק מעמד המשרת בשירות סדיר או בשירות אזרחי, התשפ""ד-2024")</f>
        <v>4715</v>
      </c>
      <c r="E2265" t="s">
        <v>4715</v>
      </c>
      <c r="F2265" t="s">
        <v>4716</v>
      </c>
      <c r="G2265" t="s">
        <v>14</v>
      </c>
      <c r="H2265">
             </c>
      <c r="I2265" t="s">
        <v>14</v>
      </c>
      <c r="J2265" t="s">
        <v>99</v>
      </c>
      <c r="K2265" t="s">
        <v>121</v>
      </c>
      <c r="L2265" t="s">
        <v>20</v>
      </c>
      <c r="M2265" t="s">
        <v>4709</v>
      </c>
      <c r="N2265" t="s">
        <v>14</v>
      </c>
    </row>
    <row r="2266" x14ac:dyDescent="0.25">
      <c r="A2266" t="n">
        <v>25</v>
      </c>
      <c r="B2266" t="s">
        <v>14</v>
      </c>
      <c r="C2266" t="s">
        <v>22</v>
      </c>
      <c r="D2266" s="2" t="s">
        <f>=HYPERLINK("https://main.knesset.gov.il/APPS/legislation/main/bills/2218723", "הצעת חוק מעמד המשרת בשירות צבאי או לאומי, התשפ""ד-2024")</f>
        <v>4717</v>
      </c>
      <c r="E2266" t="s">
        <v>4717</v>
      </c>
      <c r="F2266" t="s">
        <v>4718</v>
      </c>
      <c r="G2266" t="s">
        <v>14</v>
      </c>
      <c r="H2266">
             </c>
      <c r="I2266" t="s">
        <v>14</v>
      </c>
      <c r="J2266" t="s">
        <v>99</v>
      </c>
      <c r="K2266" t="s">
        <v>121</v>
      </c>
      <c r="L2266" t="s">
        <v>20</v>
      </c>
      <c r="M2266" t="s">
        <v>4709</v>
      </c>
      <c r="N2266" t="s">
        <v>14</v>
      </c>
    </row>
    <row r="2267" x14ac:dyDescent="0.25">
      <c r="A2267" t="n">
        <v>25</v>
      </c>
      <c r="B2267" t="s">
        <v>14</v>
      </c>
      <c r="C2267" t="s">
        <v>22</v>
      </c>
      <c r="D2267" s="2" t="s">
        <f>=HYPERLINK("https://main.knesset.gov.il/APPS/legislation/main/bills/2214799", "הצעת חוק קדימות בתור לחיילים, התשפ""ד-2024 ")</f>
        <v>4719</v>
      </c>
      <c r="E2267" t="s">
        <v>4719</v>
      </c>
      <c r="F2267" t="s">
        <v>4720</v>
      </c>
      <c r="G2267" t="s">
        <v>14</v>
      </c>
      <c r="H2267">
             </c>
      <c r="I2267" t="s">
        <v>14</v>
      </c>
      <c r="J2267" t="s">
        <v>99</v>
      </c>
      <c r="K2267" t="s">
        <v>121</v>
      </c>
      <c r="L2267" t="s">
        <v>20</v>
      </c>
      <c r="M2267" t="s">
        <v>4709</v>
      </c>
      <c r="N2267" t="s">
        <v>14</v>
      </c>
    </row>
    <row r="2268" x14ac:dyDescent="0.25">
      <c r="A2268" t="n">
        <v>25</v>
      </c>
      <c r="B2268" t="s">
        <v>14</v>
      </c>
      <c r="C2268" t="s">
        <v>22</v>
      </c>
      <c r="D2268" s="2" t="s">
        <f>=HYPERLINK("https://main.knesset.gov.il/APPS/legislation/main/bills/2202135", "הצעת חוק שירות המדינה (מינויים) (תיקון - מתן העדפה למשרתים בהעדפה מתקנת), התשפ""ג-2023")</f>
        <v>4721</v>
      </c>
      <c r="E2268" t="s">
        <v>4721</v>
      </c>
      <c r="F2268" t="s">
        <v>4722</v>
      </c>
      <c r="G2268" t="s">
        <v>14</v>
      </c>
      <c r="H2268">
             </c>
      <c r="I2268" t="s">
        <v>14</v>
      </c>
      <c r="J2268" t="s">
        <v>99</v>
      </c>
      <c r="K2268" t="s">
        <v>121</v>
      </c>
      <c r="L2268" t="s">
        <v>20</v>
      </c>
      <c r="M2268" t="s">
        <v>4709</v>
      </c>
      <c r="N2268" t="s">
        <v>14</v>
      </c>
    </row>
    <row r="2269" x14ac:dyDescent="0.25">
      <c r="A2269" t="n">
        <v>25</v>
      </c>
      <c r="B2269" t="s">
        <v>14</v>
      </c>
      <c r="C2269" t="s">
        <v>22</v>
      </c>
      <c r="D2269" s="2" t="s">
        <f>=HYPERLINK("https://main.knesset.gov.il/APPS/legislation/main/bills/2198088", "הצעת חוק זכויות התורמים למדינה, התשפ""ג-2023")</f>
        <v>4723</v>
      </c>
      <c r="E2269" t="s">
        <v>4723</v>
      </c>
      <c r="F2269" t="s">
        <v>4724</v>
      </c>
      <c r="G2269" t="s">
        <v>14</v>
      </c>
      <c r="H2269">
             </c>
      <c r="I2269" t="s">
        <v>14</v>
      </c>
      <c r="J2269" t="s">
        <v>99</v>
      </c>
      <c r="K2269" t="s">
        <v>121</v>
      </c>
      <c r="L2269" t="s">
        <v>20</v>
      </c>
      <c r="M2269" t="s">
        <v>4709</v>
      </c>
      <c r="N2269" t="s">
        <v>14</v>
      </c>
    </row>
    <row r="2270" x14ac:dyDescent="0.25">
      <c r="A2270" t="n">
        <v>25</v>
      </c>
      <c r="B2270" t="s">
        <v>14</v>
      </c>
      <c r="C2270" t="s">
        <v>22</v>
      </c>
      <c r="D2270" s="2" t="s">
        <f>=HYPERLINK("https://main.knesset.gov.il/APPS/legislation/main/bills/2197013", "הצעת חוק למתן הטבות למשרתים במילואים, התשפ""ה-2024")</f>
        <v>4725</v>
      </c>
      <c r="E2270" t="s">
        <v>4725</v>
      </c>
      <c r="F2270" t="s">
        <v>1554</v>
      </c>
      <c r="G2270" t="s">
        <v>14</v>
      </c>
      <c r="H2270">
             </c>
      <c r="I2270" t="s">
        <v>26</v>
      </c>
      <c r="J2270" t="s">
        <v>31</v>
      </c>
      <c r="K2270" t="s">
        <v>121</v>
      </c>
      <c r="L2270" t="s">
        <v>20</v>
      </c>
      <c r="M2270" t="s">
        <v>4709</v>
      </c>
      <c r="N2270" t="s">
        <v>14</v>
      </c>
    </row>
    <row r="2271" x14ac:dyDescent="0.25">
      <c r="A2271" t="n">
        <v>25</v>
      </c>
      <c r="B2271" t="s">
        <v>14</v>
      </c>
      <c r="C2271" t="s">
        <v>22</v>
      </c>
      <c r="D2271" s="2" t="s">
        <f>=HYPERLINK("https://main.knesset.gov.il/APPS/legislation/main/bills/2210667", "הצעת חוק לימוד חובה (תיקון - ביטול גביית תשלומי הורים והשתתפות עצמית), התשפ""ד-2024")</f>
        <v>4726</v>
      </c>
      <c r="E2271" t="s">
        <v>4726</v>
      </c>
      <c r="F2271" t="s">
        <v>4727</v>
      </c>
      <c r="G2271" t="s">
        <v>14</v>
      </c>
      <c r="H2271">
             </c>
      <c r="I2271" t="s">
        <v>14</v>
      </c>
      <c r="J2271" t="s">
        <v>55</v>
      </c>
      <c r="K2271" t="s">
        <v>14</v>
      </c>
      <c r="L2271" t="s">
        <v>20</v>
      </c>
      <c r="M2271" t="s">
        <v>4709</v>
      </c>
      <c r="N2271" t="s">
        <v>14</v>
      </c>
    </row>
    <row r="2272" x14ac:dyDescent="0.25">
      <c r="A2272" t="n">
        <v>25</v>
      </c>
      <c r="B2272" t="s">
        <v>14</v>
      </c>
      <c r="C2272" t="s">
        <v>22</v>
      </c>
      <c r="D2272" s="2" t="s">
        <f>=HYPERLINK("https://main.knesset.gov.il/APPS/legislation/main/bills/2215899", "הצעת חוק העונשין (תיקון - איסור מכירה והחזקה של צעצועים מסוכנים), התשפ""ד-2024")</f>
        <v>4728</v>
      </c>
      <c r="E2272" t="s">
        <v>4728</v>
      </c>
      <c r="F2272" t="s">
        <v>4729</v>
      </c>
      <c r="G2272" t="s">
        <v>14</v>
      </c>
      <c r="H2272">
             </c>
      <c r="I2272" t="s">
        <v>14</v>
      </c>
      <c r="J2272" t="s">
        <v>31</v>
      </c>
      <c r="K2272" t="s">
        <v>27</v>
      </c>
      <c r="L2272" t="s">
        <v>20</v>
      </c>
      <c r="M2272" t="s">
        <v>4709</v>
      </c>
      <c r="N2272" t="s">
        <v>14</v>
      </c>
    </row>
    <row r="2273" x14ac:dyDescent="0.25">
      <c r="A2273" t="n">
        <v>25</v>
      </c>
      <c r="B2273" t="s">
        <v>14</v>
      </c>
      <c r="C2273" t="s">
        <v>22</v>
      </c>
      <c r="D2273" s="2" t="s">
        <f>=HYPERLINK("https://main.knesset.gov.il/APPS/legislation/main/bills/2206220", "הצעת חוק חינוך ממלכתי (תיקון - מועצה לחינוך ממלכתי כללי), התשפ""ד-2024")</f>
        <v>4730</v>
      </c>
      <c r="E2273" t="s">
        <v>4730</v>
      </c>
      <c r="F2273" t="s">
        <v>4731</v>
      </c>
      <c r="G2273" t="s">
        <v>14</v>
      </c>
      <c r="H2273">
             </c>
      <c r="I2273" t="s">
        <v>14</v>
      </c>
      <c r="J2273" t="s">
        <v>55</v>
      </c>
      <c r="K2273" t="s">
        <v>14</v>
      </c>
      <c r="L2273" t="s">
        <v>20</v>
      </c>
      <c r="M2273" t="s">
        <v>4709</v>
      </c>
      <c r="N2273" t="s">
        <v>14</v>
      </c>
    </row>
    <row r="2274" x14ac:dyDescent="0.25">
      <c r="A2274" t="n">
        <v>25</v>
      </c>
      <c r="B2274" t="s">
        <v>14</v>
      </c>
      <c r="C2274" t="s">
        <v>22</v>
      </c>
      <c r="D2274" s="2" t="s">
        <f>=HYPERLINK("https://main.knesset.gov.il/APPS/legislation/main/bills/2198155", "הצעת חוק-יסוד: ישראל - מדינת הלאום של העם היהודי (תיקון - ביטול החוק)")</f>
        <v>4732</v>
      </c>
      <c r="E2274" t="s">
        <v>4732</v>
      </c>
      <c r="F2274" t="s">
        <v>4733</v>
      </c>
      <c r="G2274" t="s">
        <v>14</v>
      </c>
      <c r="H2274">
             </c>
      <c r="I2274" t="s">
        <v>14</v>
      </c>
      <c r="J2274" t="s">
        <v>55</v>
      </c>
      <c r="K2274" t="s">
        <v>14</v>
      </c>
      <c r="L2274" t="s">
        <v>20</v>
      </c>
      <c r="M2274" t="s">
        <v>4709</v>
      </c>
      <c r="N2274" t="s">
        <v>14</v>
      </c>
    </row>
    <row r="2275" x14ac:dyDescent="0.25">
      <c r="A2275" t="n">
        <v>25</v>
      </c>
      <c r="B2275" t="s">
        <v>14</v>
      </c>
      <c r="C2275" t="s">
        <v>22</v>
      </c>
      <c r="D2275" s="2" t="s">
        <f>=HYPERLINK("https://main.knesset.gov.il/APPS/legislation/main/bills/2197961", "הצעת חוק זכויות התלמיד (תיקון - הנפקת תעודות בגרות), התשפ""ג-2022")</f>
        <v>4734</v>
      </c>
      <c r="E2275" t="s">
        <v>4734</v>
      </c>
      <c r="F2275" t="s">
        <v>4735</v>
      </c>
      <c r="G2275" t="s">
        <v>14</v>
      </c>
      <c r="H2275">
             </c>
      <c r="I2275" t="s">
        <v>14</v>
      </c>
      <c r="J2275" t="s">
        <v>55</v>
      </c>
      <c r="K2275" t="s">
        <v>14</v>
      </c>
      <c r="L2275" t="s">
        <v>20</v>
      </c>
      <c r="M2275" t="s">
        <v>4709</v>
      </c>
      <c r="N2275" t="s">
        <v>14</v>
      </c>
    </row>
    <row r="2276" x14ac:dyDescent="0.25">
      <c r="A2276" t="n">
        <v>25</v>
      </c>
      <c r="B2276" t="s">
        <v>14</v>
      </c>
      <c r="C2276" t="s">
        <v>22</v>
      </c>
      <c r="D2276" s="2" t="s">
        <f>=HYPERLINK("https://main.knesset.gov.il/APPS/legislation/main/bills/2206768", "הצעת חוק איסור לכידת בעלי חיים באמצעות מלכודות, התשפ""ג-2023")</f>
        <v>4736</v>
      </c>
      <c r="E2276" t="s">
        <v>4736</v>
      </c>
      <c r="F2276" t="s">
        <v>4737</v>
      </c>
      <c r="G2276" t="s">
        <v>14</v>
      </c>
      <c r="H2276">
             </c>
      <c r="I2276" t="s">
        <v>14</v>
      </c>
      <c r="J2276" t="s">
        <v>99</v>
      </c>
      <c r="K2276" t="s">
        <v>34</v>
      </c>
      <c r="L2276" t="s">
        <v>20</v>
      </c>
      <c r="M2276" t="s">
        <v>4738</v>
      </c>
      <c r="N2276" t="s">
        <v>14</v>
      </c>
    </row>
    <row r="2277" x14ac:dyDescent="0.25">
      <c r="A2277" t="n">
        <v>25</v>
      </c>
      <c r="B2277" t="s">
        <v>14</v>
      </c>
      <c r="C2277" t="s">
        <v>22</v>
      </c>
      <c r="D2277" s="2" t="s">
        <f>=HYPERLINK("https://main.knesset.gov.il/APPS/legislation/main/bills/2219934", "חוק משפחות חיילים שנספו במערכה (תגמולים ושיקום) (תיקון מס' 45), התשפ""ה–2024")</f>
        <v>4739</v>
      </c>
      <c r="E2277" t="s">
        <v>4739</v>
      </c>
      <c r="F2277" t="s">
        <v>4740</v>
      </c>
      <c r="G2277" t="s">
        <v>4741</v>
      </c>
      <c r="H2277" t="n">
        <v>3334</v>
      </c>
      <c r="I2277" t="s">
        <v>14</v>
      </c>
      <c r="J2277" t="s">
        <v>91</v>
      </c>
      <c r="K2277" t="s">
        <v>127</v>
      </c>
      <c r="L2277" t="s">
        <v>20</v>
      </c>
      <c r="M2277" t="s">
        <v>4738</v>
      </c>
      <c r="N2277" t="s">
        <v>4742</v>
      </c>
    </row>
    <row r="2278" x14ac:dyDescent="0.25">
      <c r="A2278" t="n">
        <v>25</v>
      </c>
      <c r="B2278" t="s">
        <v>14</v>
      </c>
      <c r="C2278" t="s">
        <v>22</v>
      </c>
      <c r="D2278" s="2" t="s">
        <f>=HYPERLINK("https://main.knesset.gov.il/APPS/legislation/main/bills/2224081", "הצעת חוק מס ערך מוסף (תיקון - סובסידיה בגני ילדים), התשפ""ה-2024")</f>
        <v>4743</v>
      </c>
      <c r="E2278" t="s">
        <v>4743</v>
      </c>
      <c r="F2278" t="s">
        <v>4744</v>
      </c>
      <c r="G2278" t="s">
        <v>14</v>
      </c>
      <c r="H2278">
             </c>
      <c r="I2278" t="s">
        <v>14</v>
      </c>
      <c r="J2278" t="s">
        <v>141</v>
      </c>
      <c r="K2278" t="s">
        <v>14</v>
      </c>
      <c r="L2278" t="s">
        <v>20</v>
      </c>
      <c r="M2278" t="s">
        <v>4745</v>
      </c>
      <c r="N2278" t="s">
        <v>14</v>
      </c>
    </row>
    <row r="2279" x14ac:dyDescent="0.25">
      <c r="A2279" t="n">
        <v>25</v>
      </c>
      <c r="B2279" t="s">
        <v>14</v>
      </c>
      <c r="C2279" t="s">
        <v>22</v>
      </c>
      <c r="D2279" s="2" t="s">
        <f>=HYPERLINK("https://main.knesset.gov.il/APPS/legislation/main/bills/2224431", "הצעת חוק רשות מקרקעי ישראל (תיקון - הקצאת קרקע בלא תמורה באזורי עדיפות לאומית לחיילים וחיילות בתפקידי לוחמה ולמשרתי מילואים), התשפ""ה-2024")</f>
        <v>4746</v>
      </c>
      <c r="E2279" t="s">
        <v>4746</v>
      </c>
      <c r="F2279" t="s">
        <v>4747</v>
      </c>
      <c r="G2279" t="s">
        <v>14</v>
      </c>
      <c r="H2279">
             </c>
      <c r="I2279" t="s">
        <v>14</v>
      </c>
      <c r="J2279" t="s">
        <v>141</v>
      </c>
      <c r="K2279" t="s">
        <v>14</v>
      </c>
      <c r="L2279" t="s">
        <v>20</v>
      </c>
      <c r="M2279" t="s">
        <v>4745</v>
      </c>
      <c r="N2279" t="s">
        <v>14</v>
      </c>
    </row>
    <row r="2280" x14ac:dyDescent="0.25">
      <c r="A2280" t="n">
        <v>25</v>
      </c>
      <c r="B2280" t="s">
        <v>14</v>
      </c>
      <c r="C2280" t="s">
        <v>22</v>
      </c>
      <c r="D2280" s="2" t="s">
        <f>=HYPERLINK("https://main.knesset.gov.il/APPS/legislation/main/bills/2224557", "הצעת חוק חינוך פיננסי חובה, התשפ""ה-2024")</f>
        <v>4748</v>
      </c>
      <c r="E2280" t="s">
        <v>4748</v>
      </c>
      <c r="F2280" t="s">
        <v>4749</v>
      </c>
      <c r="G2280" t="s">
        <v>14</v>
      </c>
      <c r="H2280">
             </c>
      <c r="I2280" t="s">
        <v>14</v>
      </c>
      <c r="J2280" t="s">
        <v>141</v>
      </c>
      <c r="K2280" t="s">
        <v>14</v>
      </c>
      <c r="L2280" t="s">
        <v>20</v>
      </c>
      <c r="M2280" t="s">
        <v>4745</v>
      </c>
      <c r="N2280" t="s">
        <v>14</v>
      </c>
    </row>
    <row r="2281" x14ac:dyDescent="0.25">
      <c r="A2281" t="n">
        <v>25</v>
      </c>
      <c r="B2281" t="s">
        <v>14</v>
      </c>
      <c r="C2281" t="s">
        <v>22</v>
      </c>
      <c r="D2281" s="2" t="s">
        <f>=HYPERLINK("https://main.knesset.gov.il/APPS/legislation/main/bills/2224164", "הצעת חוק מגבלות על חזרתו של מורשע בעבירת אלימות חמורה לסביבת נפגעי העבירה, התשפ""ה-2024")</f>
        <v>4750</v>
      </c>
      <c r="E2281" t="s">
        <v>4750</v>
      </c>
      <c r="F2281" t="s">
        <v>4751</v>
      </c>
      <c r="G2281" t="s">
        <v>14</v>
      </c>
      <c r="H2281">
             </c>
      <c r="I2281" t="s">
        <v>14</v>
      </c>
      <c r="J2281" t="s">
        <v>141</v>
      </c>
      <c r="K2281" t="s">
        <v>14</v>
      </c>
      <c r="L2281" t="s">
        <v>20</v>
      </c>
      <c r="M2281" t="s">
        <v>4745</v>
      </c>
      <c r="N2281" t="s">
        <v>14</v>
      </c>
    </row>
    <row r="2282" x14ac:dyDescent="0.25">
      <c r="A2282" t="n">
        <v>25</v>
      </c>
      <c r="B2282" t="s">
        <v>14</v>
      </c>
      <c r="C2282" t="s">
        <v>22</v>
      </c>
      <c r="D2282" s="2" t="s">
        <f>=HYPERLINK("https://main.knesset.gov.il/APPS/legislation/main/bills/2224471", "הצעת חוק מסירת מידע סודי לראש הממשלה ולשרים (תיקוני חקיקה), התשפ""ה-2024")</f>
        <v>1395</v>
      </c>
      <c r="E2282" t="s">
        <v>1395</v>
      </c>
      <c r="F2282" t="s">
        <v>4752</v>
      </c>
      <c r="G2282" t="s">
        <v>14</v>
      </c>
      <c r="H2282">
             </c>
      <c r="I2282" t="s">
        <v>14</v>
      </c>
      <c r="J2282" t="s">
        <v>141</v>
      </c>
      <c r="K2282" t="s">
        <v>14</v>
      </c>
      <c r="L2282" t="s">
        <v>20</v>
      </c>
      <c r="M2282" t="s">
        <v>4745</v>
      </c>
      <c r="N2282" t="s">
        <v>14</v>
      </c>
    </row>
    <row r="2283" x14ac:dyDescent="0.25">
      <c r="A2283" t="n">
        <v>25</v>
      </c>
      <c r="B2283" t="s">
        <v>14</v>
      </c>
      <c r="C2283" t="s">
        <v>22</v>
      </c>
      <c r="D2283" s="2" t="s">
        <f>=HYPERLINK("https://main.knesset.gov.il/APPS/legislation/main/bills/2224616", "הצעת חוק רשות מקרקעי ישראל (תיקון - הקצאת קרקע בלא תמורה בנגב או בגליל למשרת מילואים), התשפ""ה-2024")</f>
        <v>4753</v>
      </c>
      <c r="E2283" t="s">
        <v>4753</v>
      </c>
      <c r="F2283" t="s">
        <v>4754</v>
      </c>
      <c r="G2283" t="s">
        <v>14</v>
      </c>
      <c r="H2283">
             </c>
      <c r="I2283" t="s">
        <v>14</v>
      </c>
      <c r="J2283" t="s">
        <v>141</v>
      </c>
      <c r="K2283" t="s">
        <v>14</v>
      </c>
      <c r="L2283" t="s">
        <v>20</v>
      </c>
      <c r="M2283" t="s">
        <v>4745</v>
      </c>
      <c r="N2283" t="s">
        <v>14</v>
      </c>
    </row>
    <row r="2284" x14ac:dyDescent="0.25">
      <c r="A2284" t="n">
        <v>25</v>
      </c>
      <c r="B2284" t="s">
        <v>14</v>
      </c>
      <c r="C2284" t="s">
        <v>22</v>
      </c>
      <c r="D2284" s="2" t="s">
        <f>=HYPERLINK("https://main.knesset.gov.il/APPS/legislation/main/bills/2224676", "הצעת חוק המאבק בטרור (תיקון - העלאת רף ענישה לנותני שירות או מידע לארגוני טרור או מדינות אויב המממנות פעילויות טרור), התשפ""ה-2024")</f>
        <v>4755</v>
      </c>
      <c r="E2284" t="s">
        <v>4755</v>
      </c>
      <c r="F2284" t="s">
        <v>4756</v>
      </c>
      <c r="G2284" t="s">
        <v>14</v>
      </c>
      <c r="H2284">
             </c>
      <c r="I2284" t="s">
        <v>14</v>
      </c>
      <c r="J2284" t="s">
        <v>141</v>
      </c>
      <c r="K2284" t="s">
        <v>14</v>
      </c>
      <c r="L2284" t="s">
        <v>20</v>
      </c>
      <c r="M2284" t="s">
        <v>4745</v>
      </c>
      <c r="N2284" t="s">
        <v>14</v>
      </c>
    </row>
    <row r="2285" x14ac:dyDescent="0.25">
      <c r="A2285" t="n">
        <v>25</v>
      </c>
      <c r="B2285" t="s">
        <v>14</v>
      </c>
      <c r="C2285" t="s">
        <v>22</v>
      </c>
      <c r="D2285" s="2" t="s">
        <f>=HYPERLINK("https://main.knesset.gov.il/APPS/legislation/main/bills/2223032", "הצעת חוק העונשין (תיקון - עונש מנימום והחמרת הענישה בעבירת הסתה לגזענות שנעברה בידי עובד ציבור), התשפ""ה-2024")</f>
        <v>4757</v>
      </c>
      <c r="E2285" t="s">
        <v>4757</v>
      </c>
      <c r="F2285" t="s">
        <v>4758</v>
      </c>
      <c r="G2285" t="s">
        <v>14</v>
      </c>
      <c r="H2285">
             </c>
      <c r="I2285" t="s">
        <v>14</v>
      </c>
      <c r="J2285" t="s">
        <v>141</v>
      </c>
      <c r="K2285" t="s">
        <v>14</v>
      </c>
      <c r="L2285" t="s">
        <v>20</v>
      </c>
      <c r="M2285" t="s">
        <v>4745</v>
      </c>
      <c r="N2285" t="s">
        <v>14</v>
      </c>
    </row>
    <row r="2286" x14ac:dyDescent="0.25">
      <c r="A2286" t="n">
        <v>25</v>
      </c>
      <c r="B2286" t="s">
        <v>14</v>
      </c>
      <c r="C2286" t="s">
        <v>22</v>
      </c>
      <c r="D2286" s="2" t="s">
        <f>=HYPERLINK("https://main.knesset.gov.il/APPS/legislation/main/bills/2224246", "הצעת חוק המאבק בטרור (תיקון - החמרת ענישה), התשפ""ה-2024")</f>
        <v>4759</v>
      </c>
      <c r="E2286" t="s">
        <v>4759</v>
      </c>
      <c r="F2286" t="s">
        <v>4760</v>
      </c>
      <c r="G2286" t="s">
        <v>14</v>
      </c>
      <c r="H2286">
             </c>
      <c r="I2286" t="s">
        <v>14</v>
      </c>
      <c r="J2286" t="s">
        <v>141</v>
      </c>
      <c r="K2286" t="s">
        <v>14</v>
      </c>
      <c r="L2286" t="s">
        <v>20</v>
      </c>
      <c r="M2286" t="s">
        <v>4745</v>
      </c>
      <c r="N2286" t="s">
        <v>14</v>
      </c>
    </row>
    <row r="2287" x14ac:dyDescent="0.25">
      <c r="A2287" t="n">
        <v>25</v>
      </c>
      <c r="B2287" t="s">
        <v>14</v>
      </c>
      <c r="C2287" t="s">
        <v>22</v>
      </c>
      <c r="D2287" s="2" t="s">
        <f>=HYPERLINK("https://main.knesset.gov.il/APPS/legislation/main/bills/2225223", "הצעת חוק פטור מאגרה ללוחמים בשירות מילואים בנסיעה בכבישי אגרה ובנתיבים מהירים (תיקוני חקיקה), התשפ""ה-2024 ")</f>
        <v>4702</v>
      </c>
      <c r="E2287" t="s">
        <v>4702</v>
      </c>
      <c r="F2287" t="s">
        <v>4761</v>
      </c>
      <c r="G2287" t="s">
        <v>14</v>
      </c>
      <c r="H2287">
             </c>
      <c r="I2287" t="s">
        <v>14</v>
      </c>
      <c r="J2287" t="s">
        <v>141</v>
      </c>
      <c r="K2287" t="s">
        <v>14</v>
      </c>
      <c r="L2287" t="s">
        <v>20</v>
      </c>
      <c r="M2287" t="s">
        <v>4745</v>
      </c>
      <c r="N2287" t="s">
        <v>14</v>
      </c>
    </row>
    <row r="2288" x14ac:dyDescent="0.25">
      <c r="A2288" t="n">
        <v>25</v>
      </c>
      <c r="B2288" t="s">
        <v>14</v>
      </c>
      <c r="C2288" t="s">
        <v>22</v>
      </c>
      <c r="D2288" s="2" t="s">
        <f>=HYPERLINK("https://main.knesset.gov.il/APPS/legislation/main/bills/2225250", "הצעת חוק הבנקאות (שירות ללקוח) (תיקון - מסירת מידע על פוליסות ביטוח), התשפ""ה-2024")</f>
        <v>4762</v>
      </c>
      <c r="E2288" t="s">
        <v>4762</v>
      </c>
      <c r="F2288" t="s">
        <v>4763</v>
      </c>
      <c r="G2288" t="s">
        <v>14</v>
      </c>
      <c r="H2288">
             </c>
      <c r="I2288" t="s">
        <v>14</v>
      </c>
      <c r="J2288" t="s">
        <v>141</v>
      </c>
      <c r="K2288" t="s">
        <v>14</v>
      </c>
      <c r="L2288" t="s">
        <v>20</v>
      </c>
      <c r="M2288" t="s">
        <v>4745</v>
      </c>
      <c r="N2288" t="s">
        <v>14</v>
      </c>
    </row>
    <row r="2289" x14ac:dyDescent="0.25">
      <c r="A2289" t="n">
        <v>25</v>
      </c>
      <c r="B2289" t="s">
        <v>14</v>
      </c>
      <c r="C2289" t="s">
        <v>22</v>
      </c>
      <c r="D2289" s="2" t="s">
        <f>=HYPERLINK("https://main.knesset.gov.il/APPS/legislation/main/bills/2225049", "הצעת חוק עוסק בכלכלת הפלטפורמה, התשפ""ה-2024")</f>
        <v>4764</v>
      </c>
      <c r="E2289" t="s">
        <v>4764</v>
      </c>
      <c r="F2289" t="s">
        <v>4765</v>
      </c>
      <c r="G2289" t="s">
        <v>14</v>
      </c>
      <c r="H2289">
             </c>
      <c r="I2289" t="s">
        <v>14</v>
      </c>
      <c r="J2289" t="s">
        <v>141</v>
      </c>
      <c r="K2289" t="s">
        <v>14</v>
      </c>
      <c r="L2289" t="s">
        <v>20</v>
      </c>
      <c r="M2289" t="s">
        <v>4745</v>
      </c>
      <c r="N2289" t="s">
        <v>14</v>
      </c>
    </row>
    <row r="2290" x14ac:dyDescent="0.25">
      <c r="A2290" t="n">
        <v>25</v>
      </c>
      <c r="B2290" t="s">
        <v>14</v>
      </c>
      <c r="C2290" t="s">
        <v>22</v>
      </c>
      <c r="D2290" s="2" t="s">
        <f>=HYPERLINK("https://main.knesset.gov.il/APPS/legislation/main/bills/2225248", "הצעת חוק שיקים ללא כיסוי (תיקון - הודעה על אי-כיבוד הרשאה לחיוב חשבון), התשפ""ה-2024")</f>
        <v>4766</v>
      </c>
      <c r="E2290" t="s">
        <v>4766</v>
      </c>
      <c r="F2290" t="s">
        <v>4767</v>
      </c>
      <c r="G2290" t="s">
        <v>14</v>
      </c>
      <c r="H2290">
             </c>
      <c r="I2290" t="s">
        <v>14</v>
      </c>
      <c r="J2290" t="s">
        <v>141</v>
      </c>
      <c r="K2290" t="s">
        <v>14</v>
      </c>
      <c r="L2290" t="s">
        <v>20</v>
      </c>
      <c r="M2290" t="s">
        <v>4745</v>
      </c>
      <c r="N2290" t="s">
        <v>14</v>
      </c>
    </row>
    <row r="2291" x14ac:dyDescent="0.25">
      <c r="A2291" t="n">
        <v>25</v>
      </c>
      <c r="B2291" t="s">
        <v>14</v>
      </c>
      <c r="C2291" t="s">
        <v>22</v>
      </c>
      <c r="D2291" s="2" t="s">
        <f>=HYPERLINK("https://main.knesset.gov.il/APPS/legislation/main/bills/2222525", "הצעת חוק הבנקאות (שירות ללקוח) (תיקון - מסירת מידע על עמלות וריביות בשל פירעון מוקדם של הלוואה), התשפ""ה-2024")</f>
        <v>4768</v>
      </c>
      <c r="E2291" t="s">
        <v>4768</v>
      </c>
      <c r="F2291" t="s">
        <v>4769</v>
      </c>
      <c r="G2291" t="s">
        <v>14</v>
      </c>
      <c r="H2291">
             </c>
      <c r="I2291" t="s">
        <v>14</v>
      </c>
      <c r="J2291" t="s">
        <v>141</v>
      </c>
      <c r="K2291" t="s">
        <v>14</v>
      </c>
      <c r="L2291" t="s">
        <v>20</v>
      </c>
      <c r="M2291" t="s">
        <v>4745</v>
      </c>
      <c r="N2291" t="s">
        <v>14</v>
      </c>
    </row>
    <row r="2292" x14ac:dyDescent="0.25">
      <c r="A2292" t="n">
        <v>25</v>
      </c>
      <c r="B2292" t="s">
        <v>14</v>
      </c>
      <c r="C2292" t="s">
        <v>22</v>
      </c>
      <c r="D2292" s="2" t="s">
        <f>=HYPERLINK("https://main.knesset.gov.il/APPS/legislation/main/bills/2224487", "הצעת חוק שירות המילואים (תיקון - ביטוח פנסיוני), התשפ""ה-2024")</f>
        <v>4770</v>
      </c>
      <c r="E2292" t="s">
        <v>4770</v>
      </c>
      <c r="F2292" t="s">
        <v>4771</v>
      </c>
      <c r="G2292" t="s">
        <v>14</v>
      </c>
      <c r="H2292">
             </c>
      <c r="I2292" t="s">
        <v>14</v>
      </c>
      <c r="J2292" t="s">
        <v>141</v>
      </c>
      <c r="K2292" t="s">
        <v>14</v>
      </c>
      <c r="L2292" t="s">
        <v>20</v>
      </c>
      <c r="M2292" t="s">
        <v>4745</v>
      </c>
      <c r="N2292" t="s">
        <v>14</v>
      </c>
    </row>
    <row r="2293" x14ac:dyDescent="0.25">
      <c r="A2293" t="n">
        <v>25</v>
      </c>
      <c r="B2293" t="s">
        <v>14</v>
      </c>
      <c r="C2293" t="s">
        <v>22</v>
      </c>
      <c r="D2293" s="2" t="s">
        <f>=HYPERLINK("https://main.knesset.gov.il/APPS/legislation/main/bills/2225244", "הצעת חוק הביטוח הלאומי (תיקון - מסלול ברירת מחדל בהפקדות לחיסכון ארוך טווח לילד), התשפ""ה-2024")</f>
        <v>4772</v>
      </c>
      <c r="E2293" t="s">
        <v>4772</v>
      </c>
      <c r="F2293" t="s">
        <v>4773</v>
      </c>
      <c r="G2293" t="s">
        <v>14</v>
      </c>
      <c r="H2293">
             </c>
      <c r="I2293" t="s">
        <v>14</v>
      </c>
      <c r="J2293" t="s">
        <v>141</v>
      </c>
      <c r="K2293" t="s">
        <v>14</v>
      </c>
      <c r="L2293" t="s">
        <v>20</v>
      </c>
      <c r="M2293" t="s">
        <v>4745</v>
      </c>
      <c r="N2293" t="s">
        <v>14</v>
      </c>
    </row>
    <row r="2294" x14ac:dyDescent="0.25">
      <c r="A2294" t="n">
        <v>25</v>
      </c>
      <c r="B2294" t="s">
        <v>14</v>
      </c>
      <c r="C2294" t="s">
        <v>22</v>
      </c>
      <c r="D2294" s="2" t="s">
        <f>=HYPERLINK("https://main.knesset.gov.il/APPS/legislation/main/bills/2224473", "הצעת חוק ההתנתקות והפיצויים לנפגעיה (תיקון - נוכחות וחופש תנועה לישראלים בחבל עזה), התשפ""ה-2024 ")</f>
        <v>4774</v>
      </c>
      <c r="E2294" t="s">
        <v>4774</v>
      </c>
      <c r="F2294" t="s">
        <v>4775</v>
      </c>
      <c r="G2294" t="s">
        <v>14</v>
      </c>
      <c r="H2294">
             </c>
      <c r="I2294" t="s">
        <v>14</v>
      </c>
      <c r="J2294" t="s">
        <v>141</v>
      </c>
      <c r="K2294" t="s">
        <v>14</v>
      </c>
      <c r="L2294" t="s">
        <v>20</v>
      </c>
      <c r="M2294" t="s">
        <v>4745</v>
      </c>
      <c r="N2294" t="s">
        <v>14</v>
      </c>
    </row>
    <row r="2295" x14ac:dyDescent="0.25">
      <c r="A2295" t="n">
        <v>25</v>
      </c>
      <c r="B2295" t="s">
        <v>14</v>
      </c>
      <c r="C2295" t="s">
        <v>22</v>
      </c>
      <c r="D2295" s="2" t="s">
        <f>=HYPERLINK("https://main.knesset.gov.il/APPS/legislation/main/bills/2224403", "הצעת חוק מס ערך מוסף (תיקון - העברת חובות לתשלום מס ערך מוסף בייבוא שירותים דיגיטליים), התשפ""ה-2024")</f>
        <v>4776</v>
      </c>
      <c r="E2295" t="s">
        <v>4776</v>
      </c>
      <c r="F2295" t="s">
        <v>4777</v>
      </c>
      <c r="G2295" t="s">
        <v>14</v>
      </c>
      <c r="H2295">
             </c>
      <c r="I2295" t="s">
        <v>14</v>
      </c>
      <c r="J2295" t="s">
        <v>141</v>
      </c>
      <c r="K2295" t="s">
        <v>14</v>
      </c>
      <c r="L2295" t="s">
        <v>20</v>
      </c>
      <c r="M2295" t="s">
        <v>4745</v>
      </c>
      <c r="N2295" t="s">
        <v>14</v>
      </c>
    </row>
    <row r="2296" x14ac:dyDescent="0.25">
      <c r="A2296" t="n">
        <v>25</v>
      </c>
      <c r="B2296" t="s">
        <v>14</v>
      </c>
      <c r="C2296" t="s">
        <v>22</v>
      </c>
      <c r="D2296" s="2" t="s">
        <f>=HYPERLINK("https://main.knesset.gov.il/APPS/legislation/main/bills/2225246", "הצעת חוק טיפול בפעוט עם מוגבלות (תיקוני חקיקה), התשפ""ה-2024")</f>
        <v>4778</v>
      </c>
      <c r="E2296" t="s">
        <v>4778</v>
      </c>
      <c r="F2296" t="s">
        <v>4779</v>
      </c>
      <c r="G2296" t="s">
        <v>14</v>
      </c>
      <c r="H2296">
             </c>
      <c r="I2296" t="s">
        <v>14</v>
      </c>
      <c r="J2296" t="s">
        <v>141</v>
      </c>
      <c r="K2296" t="s">
        <v>14</v>
      </c>
      <c r="L2296" t="s">
        <v>20</v>
      </c>
      <c r="M2296" t="s">
        <v>4745</v>
      </c>
      <c r="N2296" t="s">
        <v>14</v>
      </c>
    </row>
    <row r="2297" x14ac:dyDescent="0.25">
      <c r="A2297" t="n">
        <v>25</v>
      </c>
      <c r="B2297" t="s">
        <v>14</v>
      </c>
      <c r="C2297" t="s">
        <v>22</v>
      </c>
      <c r="D2297" s="2" t="s">
        <f>=HYPERLINK("https://main.knesset.gov.il/APPS/legislation/main/bills/2225066", "הצעת חוק פיתוח והתחדשות של יישובים באזור חבל תקומה (תיקוני חקיקה, פיצויים, הטבות, הנצחה והוראת שעה), התשפ""ה-2024")</f>
        <v>4780</v>
      </c>
      <c r="E2297" t="s">
        <v>4780</v>
      </c>
      <c r="F2297" t="s">
        <v>4781</v>
      </c>
      <c r="G2297" t="s">
        <v>14</v>
      </c>
      <c r="H2297">
             </c>
      <c r="I2297" t="s">
        <v>14</v>
      </c>
      <c r="J2297" t="s">
        <v>141</v>
      </c>
      <c r="K2297" t="s">
        <v>14</v>
      </c>
      <c r="L2297" t="s">
        <v>20</v>
      </c>
      <c r="M2297" t="s">
        <v>4745</v>
      </c>
      <c r="N2297" t="s">
        <v>14</v>
      </c>
    </row>
    <row r="2298" x14ac:dyDescent="0.25">
      <c r="A2298" t="n">
        <v>25</v>
      </c>
      <c r="B2298" t="s">
        <v>14</v>
      </c>
      <c r="C2298" t="s">
        <v>22</v>
      </c>
      <c r="D2298" s="2" t="s">
        <f>=HYPERLINK("https://main.knesset.gov.il/APPS/legislation/main/bills/2225119", "הצעת חוק תקצוב מיוחד לרשויות חינוך מקומיות מרוחקות, התשפ""ה-2024")</f>
        <v>4782</v>
      </c>
      <c r="E2298" t="s">
        <v>4782</v>
      </c>
      <c r="F2298" t="s">
        <v>4783</v>
      </c>
      <c r="G2298" t="s">
        <v>14</v>
      </c>
      <c r="H2298">
             </c>
      <c r="I2298" t="s">
        <v>14</v>
      </c>
      <c r="J2298" t="s">
        <v>141</v>
      </c>
      <c r="K2298" t="s">
        <v>14</v>
      </c>
      <c r="L2298" t="s">
        <v>20</v>
      </c>
      <c r="M2298" t="s">
        <v>4745</v>
      </c>
      <c r="N2298" t="s">
        <v>14</v>
      </c>
    </row>
    <row r="2299" x14ac:dyDescent="0.25">
      <c r="A2299" t="n">
        <v>25</v>
      </c>
      <c r="B2299" t="s">
        <v>14</v>
      </c>
      <c r="C2299" t="s">
        <v>22</v>
      </c>
      <c r="D2299" s="2" t="s">
        <f>=HYPERLINK("https://main.knesset.gov.il/APPS/legislation/main/bills/2224145", "הצעת חוק הרשות לגיל הרך, התשפ""ה-2024")</f>
        <v>4784</v>
      </c>
      <c r="E2299" t="s">
        <v>4784</v>
      </c>
      <c r="F2299" t="s">
        <v>4785</v>
      </c>
      <c r="G2299" t="s">
        <v>14</v>
      </c>
      <c r="H2299">
             </c>
      <c r="I2299" t="s">
        <v>14</v>
      </c>
      <c r="J2299" t="s">
        <v>141</v>
      </c>
      <c r="K2299" t="s">
        <v>14</v>
      </c>
      <c r="L2299" t="s">
        <v>20</v>
      </c>
      <c r="M2299" t="s">
        <v>4745</v>
      </c>
      <c r="N2299" t="s">
        <v>14</v>
      </c>
    </row>
    <row r="2300" x14ac:dyDescent="0.25">
      <c r="A2300" t="n">
        <v>25</v>
      </c>
      <c r="B2300" t="s">
        <v>14</v>
      </c>
      <c r="C2300" t="s">
        <v>22</v>
      </c>
      <c r="D2300" s="2" t="s">
        <f>=HYPERLINK("https://main.knesset.gov.il/APPS/legislation/main/bills/2225279", "הצעת חוק חינוך ממלכתי (תיקון - חינוך פיננסי), התשפ""ה-2024")</f>
        <v>4786</v>
      </c>
      <c r="E2300" t="s">
        <v>4786</v>
      </c>
      <c r="F2300" t="s">
        <v>4787</v>
      </c>
      <c r="G2300" t="s">
        <v>14</v>
      </c>
      <c r="H2300">
             </c>
      <c r="I2300" t="s">
        <v>14</v>
      </c>
      <c r="J2300" t="s">
        <v>141</v>
      </c>
      <c r="K2300" t="s">
        <v>14</v>
      </c>
      <c r="L2300" t="s">
        <v>20</v>
      </c>
      <c r="M2300" t="s">
        <v>4745</v>
      </c>
      <c r="N2300" t="s">
        <v>14</v>
      </c>
    </row>
    <row r="2301" x14ac:dyDescent="0.25">
      <c r="A2301" t="n">
        <v>25</v>
      </c>
      <c r="B2301" t="s">
        <v>14</v>
      </c>
      <c r="C2301" t="s">
        <v>22</v>
      </c>
      <c r="D2301" s="2" t="s">
        <f>=HYPERLINK("https://main.knesset.gov.il/APPS/legislation/main/bills/2224485", "הצעת חוק לתיקון פקודת מס הכנסה (זיכוי למעסיק שעובדיו משרתים במילואים), התשפ""ה-2024")</f>
        <v>4788</v>
      </c>
      <c r="E2301" t="s">
        <v>4788</v>
      </c>
      <c r="F2301" t="s">
        <v>4789</v>
      </c>
      <c r="G2301" t="s">
        <v>14</v>
      </c>
      <c r="H2301">
             </c>
      <c r="I2301" t="s">
        <v>14</v>
      </c>
      <c r="J2301" t="s">
        <v>343</v>
      </c>
      <c r="K2301" t="s">
        <v>14</v>
      </c>
      <c r="L2301" t="s">
        <v>20</v>
      </c>
      <c r="M2301" t="s">
        <v>4745</v>
      </c>
      <c r="N2301" t="s">
        <v>14</v>
      </c>
    </row>
    <row r="2302" x14ac:dyDescent="0.25">
      <c r="A2302" t="n">
        <v>25</v>
      </c>
      <c r="B2302" t="s">
        <v>14</v>
      </c>
      <c r="C2302" t="s">
        <v>22</v>
      </c>
      <c r="D2302" s="2" t="s">
        <f>=HYPERLINK("https://main.knesset.gov.il/APPS/legislation/main/bills/2224765", "הצעת חוק החברות (תיקון - פרסום דוחות כספיים של מונופול), התשפ""ה-2024")</f>
        <v>4790</v>
      </c>
      <c r="E2302" t="s">
        <v>4790</v>
      </c>
      <c r="F2302" t="s">
        <v>4791</v>
      </c>
      <c r="G2302" t="s">
        <v>14</v>
      </c>
      <c r="H2302">
             </c>
      <c r="I2302" t="s">
        <v>14</v>
      </c>
      <c r="J2302" t="s">
        <v>141</v>
      </c>
      <c r="K2302" t="s">
        <v>14</v>
      </c>
      <c r="L2302" t="s">
        <v>20</v>
      </c>
      <c r="M2302" t="s">
        <v>4745</v>
      </c>
      <c r="N2302" t="s">
        <v>14</v>
      </c>
    </row>
    <row r="2303" x14ac:dyDescent="0.25">
      <c r="A2303" t="n">
        <v>25</v>
      </c>
      <c r="B2303" t="s">
        <v>14</v>
      </c>
      <c r="C2303" t="s">
        <v>22</v>
      </c>
      <c r="D2303" s="2" t="s">
        <f>=HYPERLINK("https://main.knesset.gov.il/APPS/legislation/main/bills/2225110", "הצעת חוק אסדרת שוק הקנאביס לצריכה עצמית, התשפ""ה-2024")</f>
        <v>4792</v>
      </c>
      <c r="E2303" t="s">
        <v>4792</v>
      </c>
      <c r="F2303" t="s">
        <v>4793</v>
      </c>
      <c r="G2303" t="s">
        <v>14</v>
      </c>
      <c r="H2303">
             </c>
      <c r="I2303" t="s">
        <v>14</v>
      </c>
      <c r="J2303" t="s">
        <v>141</v>
      </c>
      <c r="K2303" t="s">
        <v>14</v>
      </c>
      <c r="L2303" t="s">
        <v>20</v>
      </c>
      <c r="M2303" t="s">
        <v>4745</v>
      </c>
      <c r="N2303" t="s">
        <v>14</v>
      </c>
    </row>
    <row r="2304" x14ac:dyDescent="0.25">
      <c r="A2304" t="n">
        <v>25</v>
      </c>
      <c r="B2304" t="s">
        <v>14</v>
      </c>
      <c r="C2304" t="s">
        <v>22</v>
      </c>
      <c r="D2304" s="2" t="s">
        <f>=HYPERLINK("https://main.knesset.gov.il/APPS/legislation/main/bills/2223720", "הצעת חוק הרשות לפיתוח הנגב (תיקון - הגדרת הנגב), התשפ""ה-2024")</f>
        <v>4794</v>
      </c>
      <c r="E2304" t="s">
        <v>4794</v>
      </c>
      <c r="F2304" t="s">
        <v>4795</v>
      </c>
      <c r="G2304" t="s">
        <v>14</v>
      </c>
      <c r="H2304">
             </c>
      <c r="I2304" t="s">
        <v>14</v>
      </c>
      <c r="J2304" t="s">
        <v>141</v>
      </c>
      <c r="K2304" t="s">
        <v>14</v>
      </c>
      <c r="L2304" t="s">
        <v>20</v>
      </c>
      <c r="M2304" t="s">
        <v>4745</v>
      </c>
      <c r="N2304" t="s">
        <v>14</v>
      </c>
    </row>
    <row r="2305" x14ac:dyDescent="0.25">
      <c r="A2305" t="n">
        <v>25</v>
      </c>
      <c r="B2305" t="s">
        <v>14</v>
      </c>
      <c r="C2305" t="s">
        <v>22</v>
      </c>
      <c r="D2305" s="2" t="s">
        <f>=HYPERLINK("https://main.knesset.gov.il/APPS/legislation/main/bills/2225012", "הצעת חוק הסיוע המשפטי (תיקון - סיוע משפטי למטופל סיעודי), התשפ""ה-2024")</f>
        <v>4689</v>
      </c>
      <c r="E2305" t="s">
        <v>4689</v>
      </c>
      <c r="F2305" t="s">
        <v>4796</v>
      </c>
      <c r="G2305" t="s">
        <v>14</v>
      </c>
      <c r="H2305">
             </c>
      <c r="I2305" t="s">
        <v>14</v>
      </c>
      <c r="J2305" t="s">
        <v>141</v>
      </c>
      <c r="K2305" t="s">
        <v>14</v>
      </c>
      <c r="L2305" t="s">
        <v>20</v>
      </c>
      <c r="M2305" t="s">
        <v>4745</v>
      </c>
      <c r="N2305" t="s">
        <v>14</v>
      </c>
    </row>
    <row r="2306" x14ac:dyDescent="0.25">
      <c r="A2306" t="n">
        <v>25</v>
      </c>
      <c r="B2306" t="s">
        <v>14</v>
      </c>
      <c r="C2306" t="s">
        <v>22</v>
      </c>
      <c r="D2306" s="2" t="s">
        <f>=HYPERLINK("https://main.knesset.gov.il/APPS/legislation/main/bills/2224617", "הצעת חוק חסינות חברי הכנסת, זכויותיהם וחובותיהם (תיקון - התנהגות חברי הכנסת במליאה ובוועדות), התשפ""ה-2024")</f>
        <v>4797</v>
      </c>
      <c r="E2306" t="s">
        <v>4797</v>
      </c>
      <c r="F2306" t="s">
        <v>4798</v>
      </c>
      <c r="G2306" t="s">
        <v>14</v>
      </c>
      <c r="H2306">
             </c>
      <c r="I2306" t="s">
        <v>14</v>
      </c>
      <c r="J2306" t="s">
        <v>141</v>
      </c>
      <c r="K2306" t="s">
        <v>14</v>
      </c>
      <c r="L2306" t="s">
        <v>20</v>
      </c>
      <c r="M2306" t="s">
        <v>4745</v>
      </c>
      <c r="N2306" t="s">
        <v>14</v>
      </c>
    </row>
    <row r="2307" x14ac:dyDescent="0.25">
      <c r="A2307" t="n">
        <v>25</v>
      </c>
      <c r="B2307" t="s">
        <v>14</v>
      </c>
      <c r="C2307" t="s">
        <v>22</v>
      </c>
      <c r="D2307" s="2" t="s">
        <f>=HYPERLINK("https://main.knesset.gov.il/APPS/legislation/main/bills/2225153", "הצעת חוק חינוך ממלכתי (תיקון - חינוך פיננסי), התשפ""ה-2024")</f>
        <v>4786</v>
      </c>
      <c r="E2307" t="s">
        <v>4786</v>
      </c>
      <c r="F2307" t="s">
        <v>4799</v>
      </c>
      <c r="G2307" t="s">
        <v>14</v>
      </c>
      <c r="H2307">
             </c>
      <c r="I2307" t="s">
        <v>14</v>
      </c>
      <c r="J2307" t="s">
        <v>141</v>
      </c>
      <c r="K2307" t="s">
        <v>14</v>
      </c>
      <c r="L2307" t="s">
        <v>20</v>
      </c>
      <c r="M2307" t="s">
        <v>4745</v>
      </c>
      <c r="N2307" t="s">
        <v>14</v>
      </c>
    </row>
    <row r="2308" x14ac:dyDescent="0.25">
      <c r="A2308" t="n">
        <v>25</v>
      </c>
      <c r="B2308" t="s">
        <v>14</v>
      </c>
      <c r="C2308" t="s">
        <v>22</v>
      </c>
      <c r="D2308" s="2" t="s">
        <f>=HYPERLINK("https://main.knesset.gov.il/APPS/legislation/main/bills/2225048", "הצעת חוק חינוך ממלכתי (תיקון - חינוך פיננסי), התשפ""ה-2024")</f>
        <v>4786</v>
      </c>
      <c r="E2308" t="s">
        <v>4786</v>
      </c>
      <c r="F2308" t="s">
        <v>4800</v>
      </c>
      <c r="G2308" t="s">
        <v>14</v>
      </c>
      <c r="H2308">
             </c>
      <c r="I2308" t="s">
        <v>14</v>
      </c>
      <c r="J2308" t="s">
        <v>141</v>
      </c>
      <c r="K2308" t="s">
        <v>14</v>
      </c>
      <c r="L2308" t="s">
        <v>20</v>
      </c>
      <c r="M2308" t="s">
        <v>4745</v>
      </c>
      <c r="N2308" t="s">
        <v>14</v>
      </c>
    </row>
    <row r="2309" x14ac:dyDescent="0.25">
      <c r="A2309" t="n">
        <v>25</v>
      </c>
      <c r="B2309" t="s">
        <v>14</v>
      </c>
      <c r="C2309" t="s">
        <v>22</v>
      </c>
      <c r="D2309" s="2" t="s">
        <f>=HYPERLINK("https://main.knesset.gov.il/APPS/legislation/main/bills/2223787", "הצעת חוק צער בעלי חיים (הגנה על בעלי חיים) (תיקון - איסור שימוש בבעלי חיים במוסד חינוך או תרבות), התשפ""ה-2024")</f>
        <v>4801</v>
      </c>
      <c r="E2309" t="s">
        <v>4801</v>
      </c>
      <c r="F2309" t="s">
        <v>4802</v>
      </c>
      <c r="G2309" t="s">
        <v>14</v>
      </c>
      <c r="H2309">
             </c>
      <c r="I2309" t="s">
        <v>14</v>
      </c>
      <c r="J2309" t="s">
        <v>141</v>
      </c>
      <c r="K2309" t="s">
        <v>14</v>
      </c>
      <c r="L2309" t="s">
        <v>20</v>
      </c>
      <c r="M2309" t="s">
        <v>4745</v>
      </c>
      <c r="N2309" t="s">
        <v>14</v>
      </c>
    </row>
    <row r="2310" x14ac:dyDescent="0.25">
      <c r="A2310" t="n">
        <v>25</v>
      </c>
      <c r="B2310" t="s">
        <v>14</v>
      </c>
      <c r="C2310" t="s">
        <v>22</v>
      </c>
      <c r="D2310" s="2" t="s">
        <f>=HYPERLINK("https://main.knesset.gov.il/APPS/legislation/main/bills/2218124", "הצעת חוק הרשויות המקומיות (בחירת ראש הרשות וסגניו וכהונתם) (תיקון מס' 40), התשפ""ה-2024")</f>
        <v>4803</v>
      </c>
      <c r="E2310" t="s">
        <v>4803</v>
      </c>
      <c r="F2310" t="s">
        <v>4804</v>
      </c>
      <c r="G2310" t="s">
        <v>4805</v>
      </c>
      <c r="H2310">
             </c>
      <c r="I2310" t="s">
        <v>14</v>
      </c>
      <c r="J2310" t="s">
        <v>289</v>
      </c>
      <c r="K2310" t="s">
        <v>46</v>
      </c>
      <c r="L2310" t="s">
        <v>20</v>
      </c>
      <c r="M2310" t="s">
        <v>4745</v>
      </c>
      <c r="N2310" t="s">
        <v>14</v>
      </c>
    </row>
    <row r="2311" x14ac:dyDescent="0.25">
      <c r="A2311" t="n">
        <v>25</v>
      </c>
      <c r="B2311" t="s">
        <v>14</v>
      </c>
      <c r="C2311" t="s">
        <v>22</v>
      </c>
      <c r="D2311" s="2" t="s">
        <f>=HYPERLINK("https://main.knesset.gov.il/APPS/legislation/main/bills/2214419", "חוק הגנה על הציבור מפני ארגוני פשיעה, התשפ""ה-2024")</f>
        <v>4806</v>
      </c>
      <c r="E2311" t="s">
        <v>4806</v>
      </c>
      <c r="F2311" t="s">
        <v>4807</v>
      </c>
      <c r="G2311" t="s">
        <v>4808</v>
      </c>
      <c r="H2311" t="n">
        <v>3333</v>
      </c>
      <c r="I2311" t="s">
        <v>14</v>
      </c>
      <c r="J2311" t="s">
        <v>91</v>
      </c>
      <c r="K2311" t="s">
        <v>105</v>
      </c>
      <c r="L2311" t="s">
        <v>20</v>
      </c>
      <c r="M2311" t="s">
        <v>4809</v>
      </c>
      <c r="N2311" t="s">
        <v>4810</v>
      </c>
    </row>
    <row r="2312" x14ac:dyDescent="0.25">
      <c r="A2312" t="n">
        <v>25</v>
      </c>
      <c r="B2312" t="s">
        <v>14</v>
      </c>
      <c r="C2312" t="s">
        <v>22</v>
      </c>
      <c r="D2312" s="2" t="s">
        <f>=HYPERLINK("https://main.knesset.gov.il/APPS/legislation/main/bills/2211439", "חוק מניעת מימון לייצוג משפטי בידי מדינת ישראל (חשוד, נאשם או מורשע בעבירת ביטחון - חרבות ברזל), התשפ""ה–2024")</f>
        <v>4811</v>
      </c>
      <c r="E2312" t="s">
        <v>4811</v>
      </c>
      <c r="F2312" t="s">
        <v>4812</v>
      </c>
      <c r="G2312" t="s">
        <v>4813</v>
      </c>
      <c r="H2312" t="n">
        <v>3332</v>
      </c>
      <c r="I2312" t="s">
        <v>14</v>
      </c>
      <c r="J2312" t="s">
        <v>91</v>
      </c>
      <c r="K2312" t="s">
        <v>27</v>
      </c>
      <c r="L2312" t="s">
        <v>20</v>
      </c>
      <c r="M2312" t="s">
        <v>4809</v>
      </c>
      <c r="N2312" t="s">
        <v>4814</v>
      </c>
    </row>
    <row r="2313" x14ac:dyDescent="0.25">
      <c r="A2313" t="n">
        <v>25</v>
      </c>
      <c r="B2313" t="s">
        <v>14</v>
      </c>
      <c r="C2313" t="s">
        <v>22</v>
      </c>
      <c r="D2313" s="2" t="s">
        <f>=HYPERLINK("https://main.knesset.gov.il/APPS/legislation/main/bills/2217793", "הצעת חוק הכניסה לישראל (תיקון - אי-מתן אשרה ורישיון ישיבה לקורא להשמדתה של מדינת ישראל או אזרחיה), התשפ""ד-2024")</f>
        <v>4815</v>
      </c>
      <c r="E2313" t="s">
        <v>4815</v>
      </c>
      <c r="F2313" t="s">
        <v>4816</v>
      </c>
      <c r="G2313" t="s">
        <v>14</v>
      </c>
      <c r="H2313">
             </c>
      <c r="I2313" t="s">
        <v>14</v>
      </c>
      <c r="J2313" t="s">
        <v>343</v>
      </c>
      <c r="K2313" t="s">
        <v>14</v>
      </c>
      <c r="L2313" t="s">
        <v>20</v>
      </c>
      <c r="M2313" t="s">
        <v>4809</v>
      </c>
      <c r="N2313" t="s">
        <v>14</v>
      </c>
    </row>
    <row r="2314" x14ac:dyDescent="0.25">
      <c r="A2314" t="n">
        <v>25</v>
      </c>
      <c r="B2314" t="s">
        <v>14</v>
      </c>
      <c r="C2314" t="s">
        <v>22</v>
      </c>
      <c r="D2314" s="2" t="s">
        <f>=HYPERLINK("https://main.knesset.gov.il/APPS/legislation/main/bills/2213778", "הצעת חוק דמי מחלה (היעדרות בשל מחלת ילד) (תיקון - ימי מחלה נוספים בשל מחלת ילד לבני זוג של משרתי מילואים), התשפ""ד-2024")</f>
        <v>4817</v>
      </c>
      <c r="E2314" t="s">
        <v>4817</v>
      </c>
      <c r="F2314" t="s">
        <v>4818</v>
      </c>
      <c r="G2314" t="s">
        <v>14</v>
      </c>
      <c r="H2314">
             </c>
      <c r="I2314" t="s">
        <v>14</v>
      </c>
      <c r="J2314" t="s">
        <v>55</v>
      </c>
      <c r="K2314" t="s">
        <v>14</v>
      </c>
      <c r="L2314" t="s">
        <v>20</v>
      </c>
      <c r="M2314" t="s">
        <v>4809</v>
      </c>
      <c r="N2314" t="s">
        <v>14</v>
      </c>
    </row>
    <row r="2315" x14ac:dyDescent="0.25">
      <c r="A2315" t="n">
        <v>25</v>
      </c>
      <c r="B2315" t="s">
        <v>14</v>
      </c>
      <c r="C2315" t="s">
        <v>22</v>
      </c>
      <c r="D2315" s="2" t="s">
        <f>=HYPERLINK("https://main.knesset.gov.il/APPS/legislation/main/bills/2209742", "הצעת חוק לתיקון פקודת מס הכנסה (נקודות זיכוי להורי חיילים), התשפ""ד-2023")</f>
        <v>4819</v>
      </c>
      <c r="E2315" t="s">
        <v>4819</v>
      </c>
      <c r="F2315" t="s">
        <v>4820</v>
      </c>
      <c r="G2315" t="s">
        <v>14</v>
      </c>
      <c r="H2315">
             </c>
      <c r="I2315" t="s">
        <v>14</v>
      </c>
      <c r="J2315" t="s">
        <v>55</v>
      </c>
      <c r="K2315" t="s">
        <v>14</v>
      </c>
      <c r="L2315" t="s">
        <v>20</v>
      </c>
      <c r="M2315" t="s">
        <v>4809</v>
      </c>
      <c r="N2315" t="s">
        <v>14</v>
      </c>
    </row>
    <row r="2316" x14ac:dyDescent="0.25">
      <c r="A2316" t="n">
        <v>25</v>
      </c>
      <c r="B2316" t="s">
        <v>14</v>
      </c>
      <c r="C2316" t="s">
        <v>22</v>
      </c>
      <c r="D2316" s="2" t="s">
        <f>=HYPERLINK("https://main.knesset.gov.il/APPS/legislation/main/bills/2201102", "הצעת חוק בתי המשפט (תיקון - שקיפות בארגונים נתמכים), התשפ""ג-2023")</f>
        <v>4821</v>
      </c>
      <c r="E2316" t="s">
        <v>4821</v>
      </c>
      <c r="F2316" t="s">
        <v>4822</v>
      </c>
      <c r="G2316" t="s">
        <v>14</v>
      </c>
      <c r="H2316">
             </c>
      <c r="I2316" t="s">
        <v>14</v>
      </c>
      <c r="J2316" t="s">
        <v>31</v>
      </c>
      <c r="K2316" t="s">
        <v>27</v>
      </c>
      <c r="L2316" t="s">
        <v>20</v>
      </c>
      <c r="M2316" t="s">
        <v>4809</v>
      </c>
      <c r="N2316" t="s">
        <v>14</v>
      </c>
    </row>
    <row r="2317" x14ac:dyDescent="0.25">
      <c r="A2317" t="n">
        <v>25</v>
      </c>
      <c r="B2317" t="s">
        <v>14</v>
      </c>
      <c r="C2317" t="s">
        <v>22</v>
      </c>
      <c r="D2317" s="2" t="s">
        <f>=HYPERLINK("https://main.knesset.gov.il/APPS/legislation/main/bills/2201638", "הצעת חוק איסור הפליה במוצרים, בשירותים ובכניסה למקומות בידור ולמקומות ציבוריים (תיקון - הגדלת סכום הפיצוי בלא הוכחת נזק), התשפ""ג-2023")</f>
        <v>4823</v>
      </c>
      <c r="E2317" t="s">
        <v>4823</v>
      </c>
      <c r="F2317" t="s">
        <v>4824</v>
      </c>
      <c r="G2317" t="s">
        <v>14</v>
      </c>
      <c r="H2317">
             </c>
      <c r="I2317" t="s">
        <v>14</v>
      </c>
      <c r="J2317" t="s">
        <v>55</v>
      </c>
      <c r="K2317" t="s">
        <v>14</v>
      </c>
      <c r="L2317" t="s">
        <v>20</v>
      </c>
      <c r="M2317" t="s">
        <v>4809</v>
      </c>
      <c r="N2317" t="s">
        <v>14</v>
      </c>
    </row>
    <row r="2318" x14ac:dyDescent="0.25">
      <c r="A2318" t="n">
        <v>25</v>
      </c>
      <c r="B2318" t="s">
        <v>14</v>
      </c>
      <c r="C2318" t="s">
        <v>22</v>
      </c>
      <c r="D2318" s="2" t="s">
        <f>=HYPERLINK("https://main.knesset.gov.il/APPS/legislation/main/bills/2200149", "הצעת חוק לתיקון פקודת תעריף המכס והפטורים (העלאת רף הפטור ממכס על חפצים ל-400 דולר), התשפ""ג-2023")</f>
        <v>4825</v>
      </c>
      <c r="E2318" t="s">
        <v>4825</v>
      </c>
      <c r="F2318" t="s">
        <v>4826</v>
      </c>
      <c r="G2318" t="s">
        <v>14</v>
      </c>
      <c r="H2318">
             </c>
      <c r="I2318" t="s">
        <v>14</v>
      </c>
      <c r="J2318" t="s">
        <v>343</v>
      </c>
      <c r="K2318" t="s">
        <v>14</v>
      </c>
      <c r="L2318" t="s">
        <v>20</v>
      </c>
      <c r="M2318" t="s">
        <v>4809</v>
      </c>
      <c r="N2318" t="s">
        <v>14</v>
      </c>
    </row>
    <row r="2319" x14ac:dyDescent="0.25">
      <c r="A2319" t="n">
        <v>25</v>
      </c>
      <c r="B2319" t="s">
        <v>14</v>
      </c>
      <c r="C2319" t="s">
        <v>22</v>
      </c>
      <c r="D2319" s="2" t="s">
        <f>=HYPERLINK("https://main.knesset.gov.il/APPS/legislation/main/bills/2196827", "הצעת חוק המאבק בטרור (תיקון - אי-החזרת גופות מחבלים), התשפ""ג-2023")</f>
        <v>4827</v>
      </c>
      <c r="E2319" t="s">
        <v>4827</v>
      </c>
      <c r="F2319" t="s">
        <v>4828</v>
      </c>
      <c r="G2319" t="s">
        <v>14</v>
      </c>
      <c r="H2319">
             </c>
      <c r="I2319" t="s">
        <v>14</v>
      </c>
      <c r="J2319" t="s">
        <v>31</v>
      </c>
      <c r="K2319" t="s">
        <v>114</v>
      </c>
      <c r="L2319" t="s">
        <v>20</v>
      </c>
      <c r="M2319" t="s">
        <v>4809</v>
      </c>
      <c r="N2319" t="s">
        <v>14</v>
      </c>
    </row>
    <row r="2320" x14ac:dyDescent="0.25">
      <c r="A2320" t="n">
        <v>25</v>
      </c>
      <c r="B2320" t="s">
        <v>14</v>
      </c>
      <c r="C2320" t="s">
        <v>22</v>
      </c>
      <c r="D2320" s="2" t="s">
        <f>=HYPERLINK("https://main.knesset.gov.il/APPS/legislation/main/bills/2217236", "הצעת חוק-יסוד: שירות מילואים")</f>
        <v>4829</v>
      </c>
      <c r="E2320" t="s">
        <v>4829</v>
      </c>
      <c r="F2320" t="s">
        <v>4830</v>
      </c>
      <c r="G2320" t="s">
        <v>14</v>
      </c>
      <c r="H2320">
             </c>
      <c r="I2320" t="s">
        <v>14</v>
      </c>
      <c r="J2320" t="s">
        <v>31</v>
      </c>
      <c r="K2320" t="s">
        <v>114</v>
      </c>
      <c r="L2320" t="s">
        <v>20</v>
      </c>
      <c r="M2320" t="s">
        <v>4831</v>
      </c>
      <c r="N2320" t="s">
        <v>14</v>
      </c>
    </row>
    <row r="2321" x14ac:dyDescent="0.25">
      <c r="A2321" t="n">
        <v>25</v>
      </c>
      <c r="B2321" t="s">
        <v>14</v>
      </c>
      <c r="C2321" t="s">
        <v>22</v>
      </c>
      <c r="D2321" s="2" t="s">
        <f>=HYPERLINK("https://main.knesset.gov.il/APPS/legislation/main/bills/2214928", "הצעת חוק הקפאת כספים ששילמה הרשות הפלסטינית בזיקה לטרור מהכספים המועברים אליה מממשלת ישראל (תיקון - חילוט הכספים וניהולם), התשפ""ד-2024")</f>
        <v>4832</v>
      </c>
      <c r="E2321" t="s">
        <v>4832</v>
      </c>
      <c r="F2321" t="s">
        <v>4833</v>
      </c>
      <c r="G2321" t="s">
        <v>14</v>
      </c>
      <c r="H2321">
             </c>
      <c r="I2321" t="s">
        <v>14</v>
      </c>
      <c r="J2321" t="s">
        <v>31</v>
      </c>
      <c r="K2321" t="s">
        <v>114</v>
      </c>
      <c r="L2321" t="s">
        <v>20</v>
      </c>
      <c r="M2321" t="s">
        <v>4831</v>
      </c>
      <c r="N2321" t="s">
        <v>14</v>
      </c>
    </row>
    <row r="2322" x14ac:dyDescent="0.25">
      <c r="A2322" t="n">
        <v>25</v>
      </c>
      <c r="B2322" t="s">
        <v>14</v>
      </c>
      <c r="C2322" t="s">
        <v>22</v>
      </c>
      <c r="D2322" s="2" t="s">
        <f>=HYPERLINK("https://main.knesset.gov.il/APPS/legislation/main/bills/2201437", "הצעת חוק הקפאת כספים ששילמה הרשות הפלסטינית בזיקה לטרור מהכספים המועברים אליה מממשלת ישראל (תיקון - חילוט הכספים וניהולם), התשפ""ג-2023")</f>
        <v>4834</v>
      </c>
      <c r="E2322" t="s">
        <v>4834</v>
      </c>
      <c r="F2322" t="s">
        <v>4835</v>
      </c>
      <c r="G2322" t="s">
        <v>14</v>
      </c>
      <c r="H2322">
             </c>
      <c r="I2322" t="s">
        <v>14</v>
      </c>
      <c r="J2322" t="s">
        <v>31</v>
      </c>
      <c r="K2322" t="s">
        <v>114</v>
      </c>
      <c r="L2322" t="s">
        <v>20</v>
      </c>
      <c r="M2322" t="s">
        <v>4831</v>
      </c>
      <c r="N2322" t="s">
        <v>14</v>
      </c>
    </row>
    <row r="2323" x14ac:dyDescent="0.25">
      <c r="A2323" t="n">
        <v>25</v>
      </c>
      <c r="B2323" t="s">
        <v>14</v>
      </c>
      <c r="C2323" t="s">
        <v>15</v>
      </c>
      <c r="D2323" s="2" t="s">
        <f>=HYPERLINK("https://main.knesset.gov.il/APPS/legislation/main/bills/2221133", "חוק רישום קבלנים לעבודות הנדסה בנאיות (תיקון מס' 8), התשפ""ה-2024")</f>
        <v>4836</v>
      </c>
      <c r="E2323" t="s">
        <v>4836</v>
      </c>
      <c r="F2323" t="s">
        <v>14</v>
      </c>
      <c r="G2323" t="s">
        <v>4837</v>
      </c>
      <c r="H2323" t="n">
        <v>3331</v>
      </c>
      <c r="I2323" t="s">
        <v>14</v>
      </c>
      <c r="J2323" t="s">
        <v>91</v>
      </c>
      <c r="K2323" t="s">
        <v>46</v>
      </c>
      <c r="L2323" t="s">
        <v>20</v>
      </c>
      <c r="M2323" t="s">
        <v>4838</v>
      </c>
      <c r="N2323" t="s">
        <v>4839</v>
      </c>
    </row>
    <row r="2324" x14ac:dyDescent="0.25">
      <c r="A2324" t="n">
        <v>25</v>
      </c>
      <c r="B2324" t="s">
        <v>14</v>
      </c>
      <c r="C2324" t="s">
        <v>15</v>
      </c>
      <c r="D2324" s="2" t="s">
        <f>=HYPERLINK("https://main.knesset.gov.il/APPS/legislation/main/bills/2224337", "חוק להסדרת הפיקוח על כלבים (תיקון מס' 6 – הוראת שעה – חרבות ברזל) (תיקון), התשפ""ה-2024")</f>
        <v>4840</v>
      </c>
      <c r="E2324" t="s">
        <v>4840</v>
      </c>
      <c r="F2324" t="s">
        <v>14</v>
      </c>
      <c r="G2324" t="s">
        <v>4841</v>
      </c>
      <c r="H2324" t="n">
        <v>3330</v>
      </c>
      <c r="I2324" t="s">
        <v>14</v>
      </c>
      <c r="J2324" t="s">
        <v>91</v>
      </c>
      <c r="K2324" t="s">
        <v>19</v>
      </c>
      <c r="L2324" t="s">
        <v>20</v>
      </c>
      <c r="M2324" t="s">
        <v>4838</v>
      </c>
      <c r="N2324" t="s">
        <v>4842</v>
      </c>
    </row>
    <row r="2325" x14ac:dyDescent="0.25">
      <c r="A2325" t="n">
        <v>25</v>
      </c>
      <c r="B2325" t="s">
        <v>14</v>
      </c>
      <c r="C2325" t="s">
        <v>22</v>
      </c>
      <c r="D2325" s="2" t="s">
        <f>=HYPERLINK("https://main.knesset.gov.il/APPS/legislation/main/bills/2224733", "הצעת חוק-יסוד: השפיטה (תיקון - מינוי נשיא לבית המשפט העליון)")</f>
        <v>4843</v>
      </c>
      <c r="E2325" t="s">
        <v>4843</v>
      </c>
      <c r="F2325" t="s">
        <v>4844</v>
      </c>
      <c r="G2325" t="s">
        <v>14</v>
      </c>
      <c r="H2325">
             </c>
      <c r="I2325" t="s">
        <v>14</v>
      </c>
      <c r="J2325" t="s">
        <v>141</v>
      </c>
      <c r="K2325" t="s">
        <v>14</v>
      </c>
      <c r="L2325" t="s">
        <v>20</v>
      </c>
      <c r="M2325" t="s">
        <v>4838</v>
      </c>
      <c r="N2325" t="s">
        <v>14</v>
      </c>
    </row>
    <row r="2326" x14ac:dyDescent="0.25">
      <c r="A2326" t="n">
        <v>25</v>
      </c>
      <c r="B2326" t="s">
        <v>14</v>
      </c>
      <c r="C2326" t="s">
        <v>22</v>
      </c>
      <c r="D2326" s="2" t="s">
        <f>=HYPERLINK("https://main.knesset.gov.il/APPS/legislation/main/bills/2224399", "הצעת חוק משפחות חיילים שנספו במערכה (תגמולים ושיקום) (תיקון - פטור מתשלום בתחבורה ציבורית), התשפ""ה-2024")</f>
        <v>4845</v>
      </c>
      <c r="E2326" t="s">
        <v>4845</v>
      </c>
      <c r="F2326" t="s">
        <v>4846</v>
      </c>
      <c r="G2326" t="s">
        <v>14</v>
      </c>
      <c r="H2326">
             </c>
      <c r="I2326" t="s">
        <v>14</v>
      </c>
      <c r="J2326" t="s">
        <v>141</v>
      </c>
      <c r="K2326" t="s">
        <v>14</v>
      </c>
      <c r="L2326" t="s">
        <v>20</v>
      </c>
      <c r="M2326" t="s">
        <v>4838</v>
      </c>
      <c r="N2326" t="s">
        <v>14</v>
      </c>
    </row>
    <row r="2327" x14ac:dyDescent="0.25">
      <c r="A2327" t="n">
        <v>25</v>
      </c>
      <c r="B2327" t="s">
        <v>14</v>
      </c>
      <c r="C2327" t="s">
        <v>22</v>
      </c>
      <c r="D2327" s="2" t="s">
        <f>=HYPERLINK("https://main.knesset.gov.il/APPS/legislation/main/bills/2208999", "הצעת חוק התכנון והבנייה (תיקון - האצת פיתוח תשתיות מלונאות) (הוראת שעה), התשפ""ה-2024")</f>
        <v>4847</v>
      </c>
      <c r="E2327" t="s">
        <v>4847</v>
      </c>
      <c r="F2327" t="s">
        <v>4848</v>
      </c>
      <c r="G2327" t="s">
        <v>14</v>
      </c>
      <c r="H2327">
             </c>
      <c r="I2327" t="s">
        <v>14</v>
      </c>
      <c r="J2327" t="s">
        <v>141</v>
      </c>
      <c r="K2327" t="s">
        <v>14</v>
      </c>
      <c r="L2327" t="s">
        <v>20</v>
      </c>
      <c r="M2327" t="s">
        <v>4838</v>
      </c>
      <c r="N2327" t="s">
        <v>14</v>
      </c>
    </row>
    <row r="2328" x14ac:dyDescent="0.25">
      <c r="A2328" t="n">
        <v>25</v>
      </c>
      <c r="B2328" t="s">
        <v>14</v>
      </c>
      <c r="C2328" t="s">
        <v>22</v>
      </c>
      <c r="D2328" s="2" t="s">
        <f>=HYPERLINK("https://main.knesset.gov.il/APPS/legislation/main/bills/2223518", "הצעת חוק-יסוד: הממשלה (תיקון - ייצוג הממשלה בערכאות משפטיות)")</f>
        <v>4849</v>
      </c>
      <c r="E2328" t="s">
        <v>4849</v>
      </c>
      <c r="F2328" t="s">
        <v>4850</v>
      </c>
      <c r="G2328" t="s">
        <v>14</v>
      </c>
      <c r="H2328">
             </c>
      <c r="I2328" t="s">
        <v>14</v>
      </c>
      <c r="J2328" t="s">
        <v>141</v>
      </c>
      <c r="K2328" t="s">
        <v>14</v>
      </c>
      <c r="L2328" t="s">
        <v>20</v>
      </c>
      <c r="M2328" t="s">
        <v>4838</v>
      </c>
      <c r="N2328" t="s">
        <v>14</v>
      </c>
    </row>
    <row r="2329" x14ac:dyDescent="0.25">
      <c r="A2329" t="n">
        <v>25</v>
      </c>
      <c r="B2329" t="s">
        <v>14</v>
      </c>
      <c r="C2329" t="s">
        <v>22</v>
      </c>
      <c r="D2329" s="2" t="s">
        <f>=HYPERLINK("https://main.knesset.gov.il/APPS/legislation/main/bills/2224184", "הצעת חוק לייעול הפיקוח של ועדת החוץ והביטחון של הכנסת, התשפ""ה-2024")</f>
        <v>4851</v>
      </c>
      <c r="E2329" t="s">
        <v>4851</v>
      </c>
      <c r="F2329" t="s">
        <v>4852</v>
      </c>
      <c r="G2329" t="s">
        <v>14</v>
      </c>
      <c r="H2329">
             </c>
      <c r="I2329" t="s">
        <v>14</v>
      </c>
      <c r="J2329" t="s">
        <v>141</v>
      </c>
      <c r="K2329" t="s">
        <v>14</v>
      </c>
      <c r="L2329" t="s">
        <v>20</v>
      </c>
      <c r="M2329" t="s">
        <v>4838</v>
      </c>
      <c r="N2329" t="s">
        <v>14</v>
      </c>
    </row>
    <row r="2330" x14ac:dyDescent="0.25">
      <c r="A2330" t="n">
        <v>25</v>
      </c>
      <c r="B2330" t="s">
        <v>14</v>
      </c>
      <c r="C2330" t="s">
        <v>22</v>
      </c>
      <c r="D2330" s="2" t="s">
        <f>=HYPERLINK("https://main.knesset.gov.il/APPS/legislation/main/bills/2223917", "הצעת חוק שירות המילואים (תיקון - חובת יידוע חיילי מילואים בלתי מועסקים בדבר אחריות להפקדות פנסיוניות), התשפ""ה-2024")</f>
        <v>4853</v>
      </c>
      <c r="E2330" t="s">
        <v>4853</v>
      </c>
      <c r="F2330" t="s">
        <v>4854</v>
      </c>
      <c r="G2330" t="s">
        <v>14</v>
      </c>
      <c r="H2330">
             </c>
      <c r="I2330" t="s">
        <v>14</v>
      </c>
      <c r="J2330" t="s">
        <v>141</v>
      </c>
      <c r="K2330" t="s">
        <v>14</v>
      </c>
      <c r="L2330" t="s">
        <v>20</v>
      </c>
      <c r="M2330" t="s">
        <v>4838</v>
      </c>
      <c r="N2330" t="s">
        <v>14</v>
      </c>
    </row>
    <row r="2331" x14ac:dyDescent="0.25">
      <c r="A2331" t="n">
        <v>25</v>
      </c>
      <c r="B2331" t="s">
        <v>14</v>
      </c>
      <c r="C2331" t="s">
        <v>22</v>
      </c>
      <c r="D2331" s="2" t="s">
        <f>=HYPERLINK("https://main.knesset.gov.il/APPS/legislation/main/bills/2223966", "הצעת חוק הסדרים במשק המדינה (תיקוני חקיקה להשגת יעדי התקציב) (תיקון - זכאות כפולה להנחה בארנונה למשרת מילואים שהוא הורה לילד נכה), התשפ""ה-2024")</f>
        <v>4855</v>
      </c>
      <c r="E2331" t="s">
        <v>4855</v>
      </c>
      <c r="F2331" t="s">
        <v>4856</v>
      </c>
      <c r="G2331" t="s">
        <v>14</v>
      </c>
      <c r="H2331">
             </c>
      <c r="I2331" t="s">
        <v>14</v>
      </c>
      <c r="J2331" t="s">
        <v>141</v>
      </c>
      <c r="K2331" t="s">
        <v>14</v>
      </c>
      <c r="L2331" t="s">
        <v>20</v>
      </c>
      <c r="M2331" t="s">
        <v>4838</v>
      </c>
      <c r="N2331" t="s">
        <v>14</v>
      </c>
    </row>
    <row r="2332" x14ac:dyDescent="0.25">
      <c r="A2332" t="n">
        <v>25</v>
      </c>
      <c r="B2332" t="s">
        <v>14</v>
      </c>
      <c r="C2332" t="s">
        <v>22</v>
      </c>
      <c r="D2332" s="2" t="s">
        <f>=HYPERLINK("https://main.knesset.gov.il/APPS/legislation/main/bills/2224061", "הצעת חוק הממשלה (תיקון - ועדת שרים לענייני ביטחון לאומי), התשפ""ה-2024")</f>
        <v>4857</v>
      </c>
      <c r="E2332" t="s">
        <v>4857</v>
      </c>
      <c r="F2332" t="s">
        <v>4858</v>
      </c>
      <c r="G2332" t="s">
        <v>14</v>
      </c>
      <c r="H2332">
             </c>
      <c r="I2332" t="s">
        <v>14</v>
      </c>
      <c r="J2332" t="s">
        <v>141</v>
      </c>
      <c r="K2332" t="s">
        <v>14</v>
      </c>
      <c r="L2332" t="s">
        <v>20</v>
      </c>
      <c r="M2332" t="s">
        <v>4838</v>
      </c>
      <c r="N2332" t="s">
        <v>14</v>
      </c>
    </row>
    <row r="2333" x14ac:dyDescent="0.25">
      <c r="A2333" t="n">
        <v>25</v>
      </c>
      <c r="B2333" t="s">
        <v>14</v>
      </c>
      <c r="C2333" t="s">
        <v>22</v>
      </c>
      <c r="D2333" s="2" t="s">
        <f>=HYPERLINK("https://main.knesset.gov.il/APPS/legislation/main/bills/2224877", "הצעת חוק תגמול למשרתים בשירות צבאי או אזרחי באקדמיה, התשפ""ה-2024")</f>
        <v>883</v>
      </c>
      <c r="E2333" t="s">
        <v>883</v>
      </c>
      <c r="F2333" t="s">
        <v>4859</v>
      </c>
      <c r="G2333" t="s">
        <v>14</v>
      </c>
      <c r="H2333">
             </c>
      <c r="I2333" t="s">
        <v>14</v>
      </c>
      <c r="J2333" t="s">
        <v>141</v>
      </c>
      <c r="K2333" t="s">
        <v>14</v>
      </c>
      <c r="L2333" t="s">
        <v>20</v>
      </c>
      <c r="M2333" t="s">
        <v>4838</v>
      </c>
      <c r="N2333" t="s">
        <v>14</v>
      </c>
    </row>
    <row r="2334" x14ac:dyDescent="0.25">
      <c r="A2334" t="n">
        <v>25</v>
      </c>
      <c r="B2334" t="s">
        <v>14</v>
      </c>
      <c r="C2334" t="s">
        <v>22</v>
      </c>
      <c r="D2334" s="2" t="s">
        <f>=HYPERLINK("https://main.knesset.gov.il/APPS/legislation/main/bills/2221751", "הצעת חוק התקשורת (בזק ושידורים) (תיקון - איסור על שליחת מסרוני פלאש), התשפ""ה-2024")</f>
        <v>4860</v>
      </c>
      <c r="E2334" t="s">
        <v>4860</v>
      </c>
      <c r="F2334" t="s">
        <v>4861</v>
      </c>
      <c r="G2334" t="s">
        <v>14</v>
      </c>
      <c r="H2334">
             </c>
      <c r="I2334" t="s">
        <v>14</v>
      </c>
      <c r="J2334" t="s">
        <v>141</v>
      </c>
      <c r="K2334" t="s">
        <v>14</v>
      </c>
      <c r="L2334" t="s">
        <v>20</v>
      </c>
      <c r="M2334" t="s">
        <v>4838</v>
      </c>
      <c r="N2334" t="s">
        <v>14</v>
      </c>
    </row>
    <row r="2335" x14ac:dyDescent="0.25">
      <c r="A2335" t="n">
        <v>25</v>
      </c>
      <c r="B2335" t="s">
        <v>14</v>
      </c>
      <c r="C2335" t="s">
        <v>22</v>
      </c>
      <c r="D2335" s="2" t="s">
        <f>=HYPERLINK("https://main.knesset.gov.il/APPS/legislation/main/bills/2220462", "הצעת חוק שיקים ללא כיסוי (תיקון - הודעה על אי-כיבוד הרשאה לחיוב חשבון), התשפ""ה-2024")</f>
        <v>4766</v>
      </c>
      <c r="E2335" t="s">
        <v>4766</v>
      </c>
      <c r="F2335" t="s">
        <v>4862</v>
      </c>
      <c r="G2335" t="s">
        <v>14</v>
      </c>
      <c r="H2335">
             </c>
      <c r="I2335" t="s">
        <v>14</v>
      </c>
      <c r="J2335" t="s">
        <v>141</v>
      </c>
      <c r="K2335" t="s">
        <v>14</v>
      </c>
      <c r="L2335" t="s">
        <v>20</v>
      </c>
      <c r="M2335" t="s">
        <v>4838</v>
      </c>
      <c r="N2335" t="s">
        <v>14</v>
      </c>
    </row>
    <row r="2336" x14ac:dyDescent="0.25">
      <c r="A2336" t="n">
        <v>25</v>
      </c>
      <c r="B2336" t="s">
        <v>14</v>
      </c>
      <c r="C2336" t="s">
        <v>22</v>
      </c>
      <c r="D2336" s="2" t="s">
        <f>=HYPERLINK("https://main.knesset.gov.il/APPS/legislation/main/bills/2221934", "הצעת חוק מסירת מידע לחברי הכנסת ולוועדות הכנסת (תיקוני חקיקה), התשפ""ה-2024")</f>
        <v>4672</v>
      </c>
      <c r="E2336" t="s">
        <v>4672</v>
      </c>
      <c r="F2336" t="s">
        <v>4863</v>
      </c>
      <c r="G2336" t="s">
        <v>14</v>
      </c>
      <c r="H2336">
             </c>
      <c r="I2336" t="s">
        <v>14</v>
      </c>
      <c r="J2336" t="s">
        <v>141</v>
      </c>
      <c r="K2336" t="s">
        <v>14</v>
      </c>
      <c r="L2336" t="s">
        <v>20</v>
      </c>
      <c r="M2336" t="s">
        <v>4838</v>
      </c>
      <c r="N2336" t="s">
        <v>14</v>
      </c>
    </row>
    <row r="2337" x14ac:dyDescent="0.25">
      <c r="A2337" t="n">
        <v>25</v>
      </c>
      <c r="B2337" t="s">
        <v>14</v>
      </c>
      <c r="C2337" t="s">
        <v>22</v>
      </c>
      <c r="D2337" s="2" t="s">
        <f>=HYPERLINK("https://main.knesset.gov.il/APPS/legislation/main/bills/2224721", "הצעת חוק-יסוד: הכנסת (תיקון - סמכויות ועדת חקירה פרלמנטרית)")</f>
        <v>4864</v>
      </c>
      <c r="E2337" t="s">
        <v>4864</v>
      </c>
      <c r="F2337" t="s">
        <v>4865</v>
      </c>
      <c r="G2337" t="s">
        <v>14</v>
      </c>
      <c r="H2337">
             </c>
      <c r="I2337" t="s">
        <v>14</v>
      </c>
      <c r="J2337" t="s">
        <v>141</v>
      </c>
      <c r="K2337" t="s">
        <v>14</v>
      </c>
      <c r="L2337" t="s">
        <v>20</v>
      </c>
      <c r="M2337" t="s">
        <v>4838</v>
      </c>
      <c r="N2337" t="s">
        <v>14</v>
      </c>
    </row>
    <row r="2338" x14ac:dyDescent="0.25">
      <c r="A2338" t="n">
        <v>25</v>
      </c>
      <c r="B2338" t="s">
        <v>14</v>
      </c>
      <c r="C2338" t="s">
        <v>22</v>
      </c>
      <c r="D2338" s="2" t="s">
        <f>=HYPERLINK("https://main.knesset.gov.il/APPS/legislation/main/bills/2222706", "הצעת חוק הפצת שידורים באמצעות תחנות שידור ספרתיות (תיקון מס' 7 - הוראת שעה) (תיקון - הארכת הוראת השעה), התשפ""ה-2024")</f>
        <v>4866</v>
      </c>
      <c r="E2338" t="s">
        <v>4866</v>
      </c>
      <c r="F2338" t="s">
        <v>4867</v>
      </c>
      <c r="G2338" t="s">
        <v>14</v>
      </c>
      <c r="H2338">
             </c>
      <c r="I2338" t="s">
        <v>14</v>
      </c>
      <c r="J2338" t="s">
        <v>141</v>
      </c>
      <c r="K2338" t="s">
        <v>14</v>
      </c>
      <c r="L2338" t="s">
        <v>20</v>
      </c>
      <c r="M2338" t="s">
        <v>4838</v>
      </c>
      <c r="N2338" t="s">
        <v>14</v>
      </c>
    </row>
    <row r="2339" x14ac:dyDescent="0.25">
      <c r="A2339" t="n">
        <v>25</v>
      </c>
      <c r="B2339" t="s">
        <v>14</v>
      </c>
      <c r="C2339" t="s">
        <v>22</v>
      </c>
      <c r="D2339" s="2" t="s">
        <f>=HYPERLINK("https://main.knesset.gov.il/APPS/legislation/main/bills/2224645", "הצעת חוק הביטוח הלאומי (תיקון מס' 231) (תיקון - הפיכת הוראת השעה לעניין תשלום דמי ביטוח לסטודנטים הלומדים בחוץ לארץ להוראת קבע), התשפ""ה-2024")</f>
        <v>4868</v>
      </c>
      <c r="E2339" t="s">
        <v>4868</v>
      </c>
      <c r="F2339" t="s">
        <v>4869</v>
      </c>
      <c r="G2339" t="s">
        <v>14</v>
      </c>
      <c r="H2339">
             </c>
      <c r="I2339" t="s">
        <v>14</v>
      </c>
      <c r="J2339" t="s">
        <v>141</v>
      </c>
      <c r="K2339" t="s">
        <v>14</v>
      </c>
      <c r="L2339" t="s">
        <v>20</v>
      </c>
      <c r="M2339" t="s">
        <v>4838</v>
      </c>
      <c r="N2339" t="s">
        <v>14</v>
      </c>
    </row>
    <row r="2340" x14ac:dyDescent="0.25">
      <c r="A2340" t="n">
        <v>25</v>
      </c>
      <c r="B2340" t="s">
        <v>14</v>
      </c>
      <c r="C2340" t="s">
        <v>22</v>
      </c>
      <c r="D2340" s="2" t="s">
        <f>=HYPERLINK("https://main.knesset.gov.il/APPS/legislation/main/bills/2222047", "הצעת חוק-יסוד: הממשלה (תיקון - חובת מינוי ממלא מקום ראש הממשלה)")</f>
        <v>2485</v>
      </c>
      <c r="E2340" t="s">
        <v>2485</v>
      </c>
      <c r="F2340" t="s">
        <v>4870</v>
      </c>
      <c r="G2340" t="s">
        <v>14</v>
      </c>
      <c r="H2340">
             </c>
      <c r="I2340" t="s">
        <v>14</v>
      </c>
      <c r="J2340" t="s">
        <v>141</v>
      </c>
      <c r="K2340" t="s">
        <v>14</v>
      </c>
      <c r="L2340" t="s">
        <v>20</v>
      </c>
      <c r="M2340" t="s">
        <v>4838</v>
      </c>
      <c r="N2340" t="s">
        <v>14</v>
      </c>
    </row>
    <row r="2341" x14ac:dyDescent="0.25">
      <c r="A2341" t="n">
        <v>25</v>
      </c>
      <c r="B2341" t="s">
        <v>14</v>
      </c>
      <c r="C2341" t="s">
        <v>22</v>
      </c>
      <c r="D2341" s="2" t="s">
        <f>=HYPERLINK("https://main.knesset.gov.il/APPS/legislation/main/bills/2224180", "הצעת חוק בתי קברות צבאיים (תיקון מס' 5) (תיקון - תחולה למפרע), התשפ""ה-2024")</f>
        <v>2599</v>
      </c>
      <c r="E2341" t="s">
        <v>2599</v>
      </c>
      <c r="F2341" t="s">
        <v>4871</v>
      </c>
      <c r="G2341" t="s">
        <v>14</v>
      </c>
      <c r="H2341">
             </c>
      <c r="I2341" t="s">
        <v>14</v>
      </c>
      <c r="J2341" t="s">
        <v>141</v>
      </c>
      <c r="K2341" t="s">
        <v>14</v>
      </c>
      <c r="L2341" t="s">
        <v>20</v>
      </c>
      <c r="M2341" t="s">
        <v>4838</v>
      </c>
      <c r="N2341" t="s">
        <v>14</v>
      </c>
    </row>
    <row r="2342" x14ac:dyDescent="0.25">
      <c r="A2342" t="n">
        <v>25</v>
      </c>
      <c r="B2342" t="s">
        <v>14</v>
      </c>
      <c r="C2342" t="s">
        <v>22</v>
      </c>
      <c r="D2342" s="2" t="s">
        <f>=HYPERLINK("https://main.knesset.gov.il/APPS/legislation/main/bills/2223444", "הצעת חוק פטור מאגרה ללוחמים בשירות מילואים בנסיעה בכבישי אגרה ובנתיבים מהירים (תיקוני חקיקה), התשפ""ה-2024 ")</f>
        <v>4702</v>
      </c>
      <c r="E2342" t="s">
        <v>4702</v>
      </c>
      <c r="F2342" t="s">
        <v>4872</v>
      </c>
      <c r="G2342" t="s">
        <v>14</v>
      </c>
      <c r="H2342">
             </c>
      <c r="I2342" t="s">
        <v>14</v>
      </c>
      <c r="J2342" t="s">
        <v>141</v>
      </c>
      <c r="K2342" t="s">
        <v>14</v>
      </c>
      <c r="L2342" t="s">
        <v>20</v>
      </c>
      <c r="M2342" t="s">
        <v>4838</v>
      </c>
      <c r="N2342" t="s">
        <v>14</v>
      </c>
    </row>
    <row r="2343" x14ac:dyDescent="0.25">
      <c r="A2343" t="n">
        <v>25</v>
      </c>
      <c r="B2343" t="s">
        <v>14</v>
      </c>
      <c r="C2343" t="s">
        <v>22</v>
      </c>
      <c r="D2343" s="2" t="s">
        <f>=HYPERLINK("https://main.knesset.gov.il/APPS/legislation/main/bills/2223703", "הצעת חוק האזרחות והכניסה לישראל (הוראת שעה) (תיקון - הפיכת הוראת השעה להוראת קבע), התשפ""ה-2024 ")</f>
        <v>4873</v>
      </c>
      <c r="E2343" t="s">
        <v>4873</v>
      </c>
      <c r="F2343" t="s">
        <v>4874</v>
      </c>
      <c r="G2343" t="s">
        <v>14</v>
      </c>
      <c r="H2343">
             </c>
      <c r="I2343" t="s">
        <v>14</v>
      </c>
      <c r="J2343" t="s">
        <v>141</v>
      </c>
      <c r="K2343" t="s">
        <v>14</v>
      </c>
      <c r="L2343" t="s">
        <v>20</v>
      </c>
      <c r="M2343" t="s">
        <v>4838</v>
      </c>
      <c r="N2343" t="s">
        <v>14</v>
      </c>
    </row>
    <row r="2344" x14ac:dyDescent="0.25">
      <c r="A2344" t="n">
        <v>25</v>
      </c>
      <c r="B2344" t="s">
        <v>14</v>
      </c>
      <c r="C2344" t="s">
        <v>22</v>
      </c>
      <c r="D2344" s="2" t="s">
        <f>=HYPERLINK("https://main.knesset.gov.il/APPS/legislation/main/bills/2223949", "הצעת חוק סיירות ביטחון ברשויות המקומיות (הוראת שעה), התשפ""ה-2024")</f>
        <v>4875</v>
      </c>
      <c r="E2344" t="s">
        <v>4875</v>
      </c>
      <c r="F2344" t="s">
        <v>4876</v>
      </c>
      <c r="G2344" t="s">
        <v>14</v>
      </c>
      <c r="H2344">
             </c>
      <c r="I2344" t="s">
        <v>14</v>
      </c>
      <c r="J2344" t="s">
        <v>141</v>
      </c>
      <c r="K2344" t="s">
        <v>14</v>
      </c>
      <c r="L2344" t="s">
        <v>20</v>
      </c>
      <c r="M2344" t="s">
        <v>4838</v>
      </c>
      <c r="N2344" t="s">
        <v>14</v>
      </c>
    </row>
    <row r="2345" x14ac:dyDescent="0.25">
      <c r="A2345" t="n">
        <v>25</v>
      </c>
      <c r="B2345" t="s">
        <v>14</v>
      </c>
      <c r="C2345" t="s">
        <v>22</v>
      </c>
      <c r="D2345" s="2" t="s">
        <f>=HYPERLINK("https://main.knesset.gov.il/APPS/legislation/main/bills/2223745", "הצעת חוק לתיקון פקודת התעבורה (אישור שימוש לרכב מנועי דו-גלגלי בנתיב תחבורה ציבורית), התשפ""ה-2024")</f>
        <v>4877</v>
      </c>
      <c r="E2345" t="s">
        <v>4877</v>
      </c>
      <c r="F2345" t="s">
        <v>4878</v>
      </c>
      <c r="G2345" t="s">
        <v>14</v>
      </c>
      <c r="H2345">
             </c>
      <c r="I2345" t="s">
        <v>14</v>
      </c>
      <c r="J2345" t="s">
        <v>141</v>
      </c>
      <c r="K2345" t="s">
        <v>14</v>
      </c>
      <c r="L2345" t="s">
        <v>20</v>
      </c>
      <c r="M2345" t="s">
        <v>4838</v>
      </c>
      <c r="N2345" t="s">
        <v>14</v>
      </c>
    </row>
    <row r="2346" x14ac:dyDescent="0.25">
      <c r="A2346" t="n">
        <v>25</v>
      </c>
      <c r="B2346" t="s">
        <v>14</v>
      </c>
      <c r="C2346" t="s">
        <v>22</v>
      </c>
      <c r="D2346" s="2" t="s">
        <f>=HYPERLINK("https://main.knesset.gov.il/APPS/legislation/main/bills/2223229", "הצעת חוק לתיקון פקודת הרופאים (תנאים לקבלה ללימודי רפואה בעיר אילת), התשפ""ה-2024")</f>
        <v>4879</v>
      </c>
      <c r="E2346" t="s">
        <v>4879</v>
      </c>
      <c r="F2346" t="s">
        <v>4880</v>
      </c>
      <c r="G2346" t="s">
        <v>14</v>
      </c>
      <c r="H2346">
             </c>
      <c r="I2346" t="s">
        <v>14</v>
      </c>
      <c r="J2346" t="s">
        <v>141</v>
      </c>
      <c r="K2346" t="s">
        <v>14</v>
      </c>
      <c r="L2346" t="s">
        <v>20</v>
      </c>
      <c r="M2346" t="s">
        <v>4838</v>
      </c>
      <c r="N2346" t="s">
        <v>14</v>
      </c>
    </row>
    <row r="2347" x14ac:dyDescent="0.25">
      <c r="A2347" t="n">
        <v>25</v>
      </c>
      <c r="B2347" t="s">
        <v>14</v>
      </c>
      <c r="C2347" t="s">
        <v>22</v>
      </c>
      <c r="D2347" s="2" t="s">
        <f>=HYPERLINK("https://main.knesset.gov.il/APPS/legislation/main/bills/2222349", "הצעת חוק פיקוח על מחירי מצרכים ושירותים (תיקון - הוספת נציגי משרד הבריאות לוועדה לפיקוח על המחירים), התשפ""ה-2024 ")</f>
        <v>4881</v>
      </c>
      <c r="E2347" t="s">
        <v>4881</v>
      </c>
      <c r="F2347" t="s">
        <v>4882</v>
      </c>
      <c r="G2347" t="s">
        <v>14</v>
      </c>
      <c r="H2347">
             </c>
      <c r="I2347" t="s">
        <v>14</v>
      </c>
      <c r="J2347" t="s">
        <v>141</v>
      </c>
      <c r="K2347" t="s">
        <v>14</v>
      </c>
      <c r="L2347" t="s">
        <v>20</v>
      </c>
      <c r="M2347" t="s">
        <v>4838</v>
      </c>
      <c r="N2347" t="s">
        <v>14</v>
      </c>
    </row>
    <row r="2348" x14ac:dyDescent="0.25">
      <c r="A2348" t="n">
        <v>25</v>
      </c>
      <c r="B2348" t="s">
        <v>14</v>
      </c>
      <c r="C2348" t="s">
        <v>22</v>
      </c>
      <c r="D2348" s="2" t="s">
        <f>=HYPERLINK("https://main.knesset.gov.il/APPS/legislation/main/bills/2224715", "הצעת חוק שירות המדינה (מינויים) (תיקון - ייצוג הולם ללוחמים), התשפ""ה-2024")</f>
        <v>4883</v>
      </c>
      <c r="E2348" t="s">
        <v>4883</v>
      </c>
      <c r="F2348" t="s">
        <v>4884</v>
      </c>
      <c r="G2348" t="s">
        <v>14</v>
      </c>
      <c r="H2348">
             </c>
      <c r="I2348" t="s">
        <v>14</v>
      </c>
      <c r="J2348" t="s">
        <v>141</v>
      </c>
      <c r="K2348" t="s">
        <v>14</v>
      </c>
      <c r="L2348" t="s">
        <v>20</v>
      </c>
      <c r="M2348" t="s">
        <v>4838</v>
      </c>
      <c r="N2348" t="s">
        <v>14</v>
      </c>
    </row>
    <row r="2349" x14ac:dyDescent="0.25">
      <c r="A2349" t="n">
        <v>25</v>
      </c>
      <c r="B2349" t="s">
        <v>14</v>
      </c>
      <c r="C2349" t="s">
        <v>22</v>
      </c>
      <c r="D2349" s="2" t="s">
        <f>=HYPERLINK("https://main.knesset.gov.il/APPS/legislation/main/bills/2224043", "הצעת חוק-יסוד: ישראל - מדינת הלאום של העם היהודי (תיקון - קביעת מעמד מגילת העצמאות)")</f>
        <v>4885</v>
      </c>
      <c r="E2349" t="s">
        <v>4885</v>
      </c>
      <c r="F2349" t="s">
        <v>4886</v>
      </c>
      <c r="G2349" t="s">
        <v>14</v>
      </c>
      <c r="H2349">
             </c>
      <c r="I2349" t="s">
        <v>14</v>
      </c>
      <c r="J2349" t="s">
        <v>141</v>
      </c>
      <c r="K2349" t="s">
        <v>14</v>
      </c>
      <c r="L2349" t="s">
        <v>20</v>
      </c>
      <c r="M2349" t="s">
        <v>4838</v>
      </c>
      <c r="N2349" t="s">
        <v>14</v>
      </c>
    </row>
    <row r="2350" x14ac:dyDescent="0.25">
      <c r="A2350" t="n">
        <v>25</v>
      </c>
      <c r="B2350" t="s">
        <v>14</v>
      </c>
      <c r="C2350" t="s">
        <v>22</v>
      </c>
      <c r="D2350" s="2" t="s">
        <f>=HYPERLINK("https://main.knesset.gov.il/APPS/legislation/main/bills/2224667", "הצעת חוק לתיקון פקודת המסים (גבייה) (חובת איתור חייבים), התשפ""ה-2024")</f>
        <v>4887</v>
      </c>
      <c r="E2350" t="s">
        <v>4887</v>
      </c>
      <c r="F2350" t="s">
        <v>4888</v>
      </c>
      <c r="G2350" t="s">
        <v>14</v>
      </c>
      <c r="H2350">
             </c>
      <c r="I2350" t="s">
        <v>14</v>
      </c>
      <c r="J2350" t="s">
        <v>141</v>
      </c>
      <c r="K2350" t="s">
        <v>14</v>
      </c>
      <c r="L2350" t="s">
        <v>20</v>
      </c>
      <c r="M2350" t="s">
        <v>4838</v>
      </c>
      <c r="N2350" t="s">
        <v>14</v>
      </c>
    </row>
    <row r="2351" x14ac:dyDescent="0.25">
      <c r="A2351" t="n">
        <v>25</v>
      </c>
      <c r="B2351" t="s">
        <v>14</v>
      </c>
      <c r="C2351" t="s">
        <v>22</v>
      </c>
      <c r="D2351" s="2" t="s">
        <f>=HYPERLINK("https://main.knesset.gov.il/APPS/legislation/main/bills/2224511", "הצעת חוק תאגידי מים וביוב (תיקון - פטור ממס חברות, מס דיבידנד ומס ריבית על הלוואה לשנים 2024 עד 2026), התשפ""ה-2024")</f>
        <v>4889</v>
      </c>
      <c r="E2351" t="s">
        <v>4889</v>
      </c>
      <c r="F2351" t="s">
        <v>4890</v>
      </c>
      <c r="G2351" t="s">
        <v>14</v>
      </c>
      <c r="H2351">
             </c>
      <c r="I2351" t="s">
        <v>14</v>
      </c>
      <c r="J2351" t="s">
        <v>141</v>
      </c>
      <c r="K2351" t="s">
        <v>14</v>
      </c>
      <c r="L2351" t="s">
        <v>20</v>
      </c>
      <c r="M2351" t="s">
        <v>4838</v>
      </c>
      <c r="N2351" t="s">
        <v>14</v>
      </c>
    </row>
    <row r="2352" x14ac:dyDescent="0.25">
      <c r="A2352" t="n">
        <v>25</v>
      </c>
      <c r="B2352" t="s">
        <v>14</v>
      </c>
      <c r="C2352" t="s">
        <v>22</v>
      </c>
      <c r="D2352" s="2" t="s">
        <f>=HYPERLINK("https://main.knesset.gov.il/APPS/legislation/main/bills/2224050", "הצעת חוק הפרטת תאגיד השידור הציבורי הישראלי, התשפ""ה-2024")</f>
        <v>4891</v>
      </c>
      <c r="E2352" t="s">
        <v>4891</v>
      </c>
      <c r="F2352" t="s">
        <v>4892</v>
      </c>
      <c r="G2352" t="s">
        <v>14</v>
      </c>
      <c r="H2352">
             </c>
      <c r="I2352" t="s">
        <v>14</v>
      </c>
      <c r="J2352" t="s">
        <v>141</v>
      </c>
      <c r="K2352" t="s">
        <v>14</v>
      </c>
      <c r="L2352" t="s">
        <v>20</v>
      </c>
      <c r="M2352" t="s">
        <v>4838</v>
      </c>
      <c r="N2352" t="s">
        <v>14</v>
      </c>
    </row>
    <row r="2353" x14ac:dyDescent="0.25">
      <c r="A2353" t="n">
        <v>25</v>
      </c>
      <c r="B2353" t="s">
        <v>14</v>
      </c>
      <c r="C2353" t="s">
        <v>22</v>
      </c>
      <c r="D2353" s="2" t="s">
        <f>=HYPERLINK("https://main.knesset.gov.il/APPS/legislation/main/bills/2224078", "הצעת חוק הפרטת גלי צה""ל, התשפ""ה-2024")</f>
        <v>4893</v>
      </c>
      <c r="E2353" t="s">
        <v>4893</v>
      </c>
      <c r="F2353" t="s">
        <v>4894</v>
      </c>
      <c r="G2353" t="s">
        <v>14</v>
      </c>
      <c r="H2353">
             </c>
      <c r="I2353" t="s">
        <v>14</v>
      </c>
      <c r="J2353" t="s">
        <v>141</v>
      </c>
      <c r="K2353" t="s">
        <v>14</v>
      </c>
      <c r="L2353" t="s">
        <v>20</v>
      </c>
      <c r="M2353" t="s">
        <v>4838</v>
      </c>
      <c r="N2353" t="s">
        <v>14</v>
      </c>
    </row>
    <row r="2354" x14ac:dyDescent="0.25">
      <c r="A2354" t="n">
        <v>25</v>
      </c>
      <c r="B2354" t="s">
        <v>14</v>
      </c>
      <c r="C2354" t="s">
        <v>22</v>
      </c>
      <c r="D2354" s="2" t="s">
        <f>=HYPERLINK("https://main.knesset.gov.il/APPS/legislation/main/bills/2224879", "הצעת חוק התגמולים לנפגעי פעולות איבה (תיקון - משפחה מלווה ליתומים בגירים), התשפ""ה-2024")</f>
        <v>4620</v>
      </c>
      <c r="E2354" t="s">
        <v>4620</v>
      </c>
      <c r="F2354" t="s">
        <v>4895</v>
      </c>
      <c r="G2354" t="s">
        <v>14</v>
      </c>
      <c r="H2354">
             </c>
      <c r="I2354" t="s">
        <v>14</v>
      </c>
      <c r="J2354" t="s">
        <v>141</v>
      </c>
      <c r="K2354" t="s">
        <v>14</v>
      </c>
      <c r="L2354" t="s">
        <v>20</v>
      </c>
      <c r="M2354" t="s">
        <v>4838</v>
      </c>
      <c r="N2354" t="s">
        <v>14</v>
      </c>
    </row>
    <row r="2355" x14ac:dyDescent="0.25">
      <c r="A2355" t="n">
        <v>25</v>
      </c>
      <c r="B2355" t="s">
        <v>14</v>
      </c>
      <c r="C2355" t="s">
        <v>22</v>
      </c>
      <c r="D2355" s="2" t="s">
        <f>=HYPERLINK("https://main.knesset.gov.il/APPS/legislation/main/bills/2222122", "הצעת חוק הגנה על עובדים בשעת חירום (תיקון - זכות לשכר בהיעדרות בשעת חירום), התשפ""ה-2024")</f>
        <v>4896</v>
      </c>
      <c r="E2355" t="s">
        <v>4896</v>
      </c>
      <c r="F2355" t="s">
        <v>4897</v>
      </c>
      <c r="G2355" t="s">
        <v>14</v>
      </c>
      <c r="H2355">
             </c>
      <c r="I2355" t="s">
        <v>14</v>
      </c>
      <c r="J2355" t="s">
        <v>343</v>
      </c>
      <c r="K2355" t="s">
        <v>14</v>
      </c>
      <c r="L2355" t="s">
        <v>20</v>
      </c>
      <c r="M2355" t="s">
        <v>4838</v>
      </c>
      <c r="N2355" t="s">
        <v>14</v>
      </c>
    </row>
    <row r="2356" x14ac:dyDescent="0.25">
      <c r="A2356" t="n">
        <v>25</v>
      </c>
      <c r="B2356" t="s">
        <v>14</v>
      </c>
      <c r="C2356" t="s">
        <v>22</v>
      </c>
      <c r="D2356" s="2" t="s">
        <f>=HYPERLINK("https://main.knesset.gov.il/APPS/legislation/main/bills/2224281", "הצעת חוק שירות אזרחי (תיקון - מתנדב בודד או חסר עורף משפחתי), התשפ""ה-2024")</f>
        <v>4898</v>
      </c>
      <c r="E2356" t="s">
        <v>4898</v>
      </c>
      <c r="F2356" t="s">
        <v>4899</v>
      </c>
      <c r="G2356" t="s">
        <v>14</v>
      </c>
      <c r="H2356">
             </c>
      <c r="I2356" t="s">
        <v>14</v>
      </c>
      <c r="J2356" t="s">
        <v>141</v>
      </c>
      <c r="K2356" t="s">
        <v>14</v>
      </c>
      <c r="L2356" t="s">
        <v>20</v>
      </c>
      <c r="M2356" t="s">
        <v>4838</v>
      </c>
      <c r="N2356" t="s">
        <v>14</v>
      </c>
    </row>
    <row r="2357" x14ac:dyDescent="0.25">
      <c r="A2357" t="n">
        <v>25</v>
      </c>
      <c r="B2357" t="s">
        <v>14</v>
      </c>
      <c r="C2357" t="s">
        <v>22</v>
      </c>
      <c r="D2357" s="2" t="s">
        <f>=HYPERLINK("https://main.knesset.gov.il/APPS/legislation/main/bills/2224638", "הצעת חוק לתיקון פקודת מס הכנסה (פטור ממס על תגמול מילואים ונקודות זיכוי מס למשרת מילואים פעיל), התשפ""ה-2024")</f>
        <v>4495</v>
      </c>
      <c r="E2357" t="s">
        <v>4495</v>
      </c>
      <c r="F2357" t="s">
        <v>4900</v>
      </c>
      <c r="G2357" t="s">
        <v>14</v>
      </c>
      <c r="H2357">
             </c>
      <c r="I2357" t="s">
        <v>14</v>
      </c>
      <c r="J2357" t="s">
        <v>141</v>
      </c>
      <c r="K2357" t="s">
        <v>14</v>
      </c>
      <c r="L2357" t="s">
        <v>20</v>
      </c>
      <c r="M2357" t="s">
        <v>4838</v>
      </c>
      <c r="N2357" t="s">
        <v>14</v>
      </c>
    </row>
    <row r="2358" x14ac:dyDescent="0.25">
      <c r="A2358" t="n">
        <v>25</v>
      </c>
      <c r="B2358" t="s">
        <v>14</v>
      </c>
      <c r="C2358" t="s">
        <v>22</v>
      </c>
      <c r="D2358" s="2" t="s">
        <f>=HYPERLINK("https://main.knesset.gov.il/APPS/legislation/main/bills/2223337", "הצעת חוק זכויות הסטודנט (תיקון - שוויון בתקציב מלגות לסטודנטים במוסדות), התשפ""ה-2024")</f>
        <v>4901</v>
      </c>
      <c r="E2358" t="s">
        <v>4901</v>
      </c>
      <c r="F2358" t="s">
        <v>4902</v>
      </c>
      <c r="G2358" t="s">
        <v>14</v>
      </c>
      <c r="H2358">
             </c>
      <c r="I2358" t="s">
        <v>14</v>
      </c>
      <c r="J2358" t="s">
        <v>141</v>
      </c>
      <c r="K2358" t="s">
        <v>14</v>
      </c>
      <c r="L2358" t="s">
        <v>20</v>
      </c>
      <c r="M2358" t="s">
        <v>4838</v>
      </c>
      <c r="N2358" t="s">
        <v>14</v>
      </c>
    </row>
    <row r="2359" x14ac:dyDescent="0.25">
      <c r="A2359" t="n">
        <v>25</v>
      </c>
      <c r="B2359" t="s">
        <v>14</v>
      </c>
      <c r="C2359" t="s">
        <v>22</v>
      </c>
      <c r="D2359" s="2" t="s">
        <f>=HYPERLINK("https://main.knesset.gov.il/APPS/legislation/main/bills/2224659", "הצעת חוק ליישוב תחת איום מיידי (הוראת שעה), התשפ""ה-2024")</f>
        <v>4903</v>
      </c>
      <c r="E2359" t="s">
        <v>4903</v>
      </c>
      <c r="F2359" t="s">
        <v>4904</v>
      </c>
      <c r="G2359" t="s">
        <v>14</v>
      </c>
      <c r="H2359">
             </c>
      <c r="I2359" t="s">
        <v>14</v>
      </c>
      <c r="J2359" t="s">
        <v>141</v>
      </c>
      <c r="K2359" t="s">
        <v>14</v>
      </c>
      <c r="L2359" t="s">
        <v>20</v>
      </c>
      <c r="M2359" t="s">
        <v>4838</v>
      </c>
      <c r="N2359" t="s">
        <v>14</v>
      </c>
    </row>
    <row r="2360" x14ac:dyDescent="0.25">
      <c r="A2360" t="n">
        <v>25</v>
      </c>
      <c r="B2360" t="s">
        <v>14</v>
      </c>
      <c r="C2360" t="s">
        <v>22</v>
      </c>
      <c r="D2360" s="2" t="s">
        <f>=HYPERLINK("https://main.knesset.gov.il/APPS/legislation/main/bills/2224641", "הצעת חוק העונשין (תיקון - החמרת ענישה על סיוע לאויב במלחמה), התשפ""ה-2024")</f>
        <v>1848</v>
      </c>
      <c r="E2360" t="s">
        <v>1848</v>
      </c>
      <c r="F2360" t="s">
        <v>4905</v>
      </c>
      <c r="G2360" t="s">
        <v>14</v>
      </c>
      <c r="H2360">
             </c>
      <c r="I2360" t="s">
        <v>14</v>
      </c>
      <c r="J2360" t="s">
        <v>141</v>
      </c>
      <c r="K2360" t="s">
        <v>14</v>
      </c>
      <c r="L2360" t="s">
        <v>20</v>
      </c>
      <c r="M2360" t="s">
        <v>4838</v>
      </c>
      <c r="N2360" t="s">
        <v>14</v>
      </c>
    </row>
    <row r="2361" x14ac:dyDescent="0.25">
      <c r="A2361" t="n">
        <v>25</v>
      </c>
      <c r="B2361" t="s">
        <v>14</v>
      </c>
      <c r="C2361" t="s">
        <v>22</v>
      </c>
      <c r="D2361" s="2" t="s">
        <f>=HYPERLINK("https://main.knesset.gov.il/APPS/legislation/main/bills/2224639", "הצעת חוק לתיקון פקודת מס הכנסה (נקודת זיכוי בעד שירות מילואים), התשפ""ה-2024")</f>
        <v>4497</v>
      </c>
      <c r="E2361" t="s">
        <v>4497</v>
      </c>
      <c r="F2361" t="s">
        <v>4906</v>
      </c>
      <c r="G2361" t="s">
        <v>14</v>
      </c>
      <c r="H2361">
             </c>
      <c r="I2361" t="s">
        <v>14</v>
      </c>
      <c r="J2361" t="s">
        <v>141</v>
      </c>
      <c r="K2361" t="s">
        <v>14</v>
      </c>
      <c r="L2361" t="s">
        <v>20</v>
      </c>
      <c r="M2361" t="s">
        <v>4838</v>
      </c>
      <c r="N2361" t="s">
        <v>14</v>
      </c>
    </row>
    <row r="2362" x14ac:dyDescent="0.25">
      <c r="A2362" t="n">
        <v>25</v>
      </c>
      <c r="B2362" t="s">
        <v>14</v>
      </c>
      <c r="C2362" t="s">
        <v>22</v>
      </c>
      <c r="D2362" s="2" t="s">
        <f>=HYPERLINK("https://main.knesset.gov.il/APPS/legislation/main/bills/2224637", "הצעת חוק זכויות הסטודנט (תיקון - העדפה מתקנת ללוחמים), התשפ""ה-2024")</f>
        <v>4907</v>
      </c>
      <c r="E2362" t="s">
        <v>4907</v>
      </c>
      <c r="F2362" t="s">
        <v>4908</v>
      </c>
      <c r="G2362" t="s">
        <v>14</v>
      </c>
      <c r="H2362">
             </c>
      <c r="I2362" t="s">
        <v>14</v>
      </c>
      <c r="J2362" t="s">
        <v>141</v>
      </c>
      <c r="K2362" t="s">
        <v>14</v>
      </c>
      <c r="L2362" t="s">
        <v>20</v>
      </c>
      <c r="M2362" t="s">
        <v>4838</v>
      </c>
      <c r="N2362" t="s">
        <v>14</v>
      </c>
    </row>
    <row r="2363" x14ac:dyDescent="0.25">
      <c r="A2363" t="n">
        <v>25</v>
      </c>
      <c r="B2363" t="s">
        <v>14</v>
      </c>
      <c r="C2363" t="s">
        <v>22</v>
      </c>
      <c r="D2363" s="2" t="s">
        <f>=HYPERLINK("https://main.knesset.gov.il/APPS/legislation/main/bills/2224631", "הצעת חוק להקמת אוניברסיטה בעיר אשדוד, התשפ""ה-2024")</f>
        <v>4909</v>
      </c>
      <c r="E2363" t="s">
        <v>4909</v>
      </c>
      <c r="F2363" t="s">
        <v>4910</v>
      </c>
      <c r="G2363" t="s">
        <v>14</v>
      </c>
      <c r="H2363">
             </c>
      <c r="I2363" t="s">
        <v>14</v>
      </c>
      <c r="J2363" t="s">
        <v>141</v>
      </c>
      <c r="K2363" t="s">
        <v>14</v>
      </c>
      <c r="L2363" t="s">
        <v>20</v>
      </c>
      <c r="M2363" t="s">
        <v>4838</v>
      </c>
      <c r="N2363" t="s">
        <v>14</v>
      </c>
    </row>
    <row r="2364" x14ac:dyDescent="0.25">
      <c r="A2364" t="n">
        <v>25</v>
      </c>
      <c r="B2364" t="s">
        <v>14</v>
      </c>
      <c r="C2364" t="s">
        <v>22</v>
      </c>
      <c r="D2364" s="2" t="s">
        <f>=HYPERLINK("https://main.knesset.gov.il/APPS/legislation/main/bills/2224513", "הצעת חוק הביטוח הלאומי (תיקון - חישוב התגמול למשרתים במילואים), התשפ""ה-2024")</f>
        <v>4911</v>
      </c>
      <c r="E2364" t="s">
        <v>4911</v>
      </c>
      <c r="F2364" t="s">
        <v>4912</v>
      </c>
      <c r="G2364" t="s">
        <v>14</v>
      </c>
      <c r="H2364">
             </c>
      <c r="I2364" t="s">
        <v>14</v>
      </c>
      <c r="J2364" t="s">
        <v>141</v>
      </c>
      <c r="K2364" t="s">
        <v>14</v>
      </c>
      <c r="L2364" t="s">
        <v>20</v>
      </c>
      <c r="M2364" t="s">
        <v>4838</v>
      </c>
      <c r="N2364" t="s">
        <v>14</v>
      </c>
    </row>
    <row r="2365" x14ac:dyDescent="0.25">
      <c r="A2365" t="n">
        <v>25</v>
      </c>
      <c r="B2365" t="s">
        <v>14</v>
      </c>
      <c r="C2365" t="s">
        <v>22</v>
      </c>
      <c r="D2365" s="2" t="s">
        <f>=HYPERLINK("https://main.knesset.gov.il/APPS/legislation/main/bills/2224432", "הצעת חוק לתיקון פקודת מס הכנסה (מס למשתכרים בשכר נמוך), התשפ""ה-2024")</f>
        <v>4913</v>
      </c>
      <c r="E2365" t="s">
        <v>4913</v>
      </c>
      <c r="F2365" t="s">
        <v>4914</v>
      </c>
      <c r="G2365" t="s">
        <v>14</v>
      </c>
      <c r="H2365">
             </c>
      <c r="I2365" t="s">
        <v>14</v>
      </c>
      <c r="J2365" t="s">
        <v>141</v>
      </c>
      <c r="K2365" t="s">
        <v>14</v>
      </c>
      <c r="L2365" t="s">
        <v>20</v>
      </c>
      <c r="M2365" t="s">
        <v>4838</v>
      </c>
      <c r="N2365" t="s">
        <v>14</v>
      </c>
    </row>
    <row r="2366" x14ac:dyDescent="0.25">
      <c r="A2366" t="n">
        <v>25</v>
      </c>
      <c r="B2366" t="s">
        <v>14</v>
      </c>
      <c r="C2366" t="s">
        <v>22</v>
      </c>
      <c r="D2366" s="2" t="s">
        <f>=HYPERLINK("https://main.knesset.gov.il/APPS/legislation/main/bills/2224665", "הצעת חוק שירות התעסוקה (תיקון - הקמת לשכות תעסוקה), התשפ""ה-2024")</f>
        <v>4915</v>
      </c>
      <c r="E2366" t="s">
        <v>4915</v>
      </c>
      <c r="F2366" t="s">
        <v>4916</v>
      </c>
      <c r="G2366" t="s">
        <v>14</v>
      </c>
      <c r="H2366">
             </c>
      <c r="I2366" t="s">
        <v>14</v>
      </c>
      <c r="J2366" t="s">
        <v>141</v>
      </c>
      <c r="K2366" t="s">
        <v>14</v>
      </c>
      <c r="L2366" t="s">
        <v>20</v>
      </c>
      <c r="M2366" t="s">
        <v>4838</v>
      </c>
      <c r="N2366" t="s">
        <v>14</v>
      </c>
    </row>
    <row r="2367" x14ac:dyDescent="0.25">
      <c r="A2367" t="n">
        <v>25</v>
      </c>
      <c r="B2367" t="s">
        <v>14</v>
      </c>
      <c r="C2367" t="s">
        <v>22</v>
      </c>
      <c r="D2367" s="2" t="s">
        <f>=HYPERLINK("https://main.knesset.gov.il/APPS/legislation/main/bills/2224720", "הצעת חוק יסודות התקציב (תיקון - תקציב המשטרה), התשפ""ה-2024")</f>
        <v>4917</v>
      </c>
      <c r="E2367" t="s">
        <v>4917</v>
      </c>
      <c r="F2367" t="s">
        <v>4918</v>
      </c>
      <c r="G2367" t="s">
        <v>14</v>
      </c>
      <c r="H2367">
             </c>
      <c r="I2367" t="s">
        <v>14</v>
      </c>
      <c r="J2367" t="s">
        <v>141</v>
      </c>
      <c r="K2367" t="s">
        <v>14</v>
      </c>
      <c r="L2367" t="s">
        <v>20</v>
      </c>
      <c r="M2367" t="s">
        <v>4838</v>
      </c>
      <c r="N2367" t="s">
        <v>14</v>
      </c>
    </row>
    <row r="2368" x14ac:dyDescent="0.25">
      <c r="A2368" t="n">
        <v>25</v>
      </c>
      <c r="B2368" t="s">
        <v>14</v>
      </c>
      <c r="C2368" t="s">
        <v>22</v>
      </c>
      <c r="D2368" s="2" t="s">
        <f>=HYPERLINK("https://main.knesset.gov.il/APPS/legislation/main/bills/2224798", "הצעת חוק העברת הודעת פטירה, התשפ""ה-2024")</f>
        <v>4919</v>
      </c>
      <c r="E2368" t="s">
        <v>4919</v>
      </c>
      <c r="F2368" t="s">
        <v>4920</v>
      </c>
      <c r="G2368" t="s">
        <v>14</v>
      </c>
      <c r="H2368">
             </c>
      <c r="I2368" t="s">
        <v>14</v>
      </c>
      <c r="J2368" t="s">
        <v>141</v>
      </c>
      <c r="K2368" t="s">
        <v>14</v>
      </c>
      <c r="L2368" t="s">
        <v>20</v>
      </c>
      <c r="M2368" t="s">
        <v>4838</v>
      </c>
      <c r="N2368" t="s">
        <v>14</v>
      </c>
    </row>
    <row r="2369" x14ac:dyDescent="0.25">
      <c r="A2369" t="n">
        <v>25</v>
      </c>
      <c r="B2369" t="s">
        <v>14</v>
      </c>
      <c r="C2369" t="s">
        <v>22</v>
      </c>
      <c r="D2369" s="2" t="s">
        <f>=HYPERLINK("https://main.knesset.gov.il/APPS/legislation/main/bills/2223299", "הצעת חוק טיפול בפעוט עם מוגבלות (תיקוני חקיקה), התשפ""ה-2024")</f>
        <v>4778</v>
      </c>
      <c r="E2369" t="s">
        <v>4778</v>
      </c>
      <c r="F2369" t="s">
        <v>4921</v>
      </c>
      <c r="G2369" t="s">
        <v>14</v>
      </c>
      <c r="H2369">
             </c>
      <c r="I2369" t="s">
        <v>14</v>
      </c>
      <c r="J2369" t="s">
        <v>141</v>
      </c>
      <c r="K2369" t="s">
        <v>14</v>
      </c>
      <c r="L2369" t="s">
        <v>20</v>
      </c>
      <c r="M2369" t="s">
        <v>4838</v>
      </c>
      <c r="N2369" t="s">
        <v>14</v>
      </c>
    </row>
    <row r="2370" x14ac:dyDescent="0.25">
      <c r="A2370" t="n">
        <v>25</v>
      </c>
      <c r="B2370" t="s">
        <v>14</v>
      </c>
      <c r="C2370" t="s">
        <v>22</v>
      </c>
      <c r="D2370" s="2" t="s">
        <f>=HYPERLINK("https://main.knesset.gov.il/APPS/legislation/main/bills/2220189", "הצעת חוק המרכז לגביית קנסות, אגרות והוצאות (תיקון - פיצויים שהוטלו על ידי בית משפט צבאי), התשפ""ד-2024")</f>
        <v>4922</v>
      </c>
      <c r="E2370" t="s">
        <v>4922</v>
      </c>
      <c r="F2370" t="s">
        <v>4923</v>
      </c>
      <c r="G2370" t="s">
        <v>14</v>
      </c>
      <c r="H2370">
             </c>
      <c r="I2370" t="s">
        <v>14</v>
      </c>
      <c r="J2370" t="s">
        <v>99</v>
      </c>
      <c r="K2370" t="s">
        <v>27</v>
      </c>
      <c r="L2370" t="s">
        <v>20</v>
      </c>
      <c r="M2370" t="s">
        <v>4924</v>
      </c>
      <c r="N2370" t="s">
        <v>14</v>
      </c>
    </row>
    <row r="2371" x14ac:dyDescent="0.25">
      <c r="A2371" t="n">
        <v>25</v>
      </c>
      <c r="B2371" t="s">
        <v>14</v>
      </c>
      <c r="C2371" t="s">
        <v>22</v>
      </c>
      <c r="D2371" s="2" t="s">
        <f>=HYPERLINK("https://main.knesset.gov.il/APPS/legislation/main/bills/2218838", "הצעת חוק המים (תיקון - קביעת תעריפי מים לחקלאות), התשפ""ד-2024")</f>
        <v>4925</v>
      </c>
      <c r="E2371" t="s">
        <v>4925</v>
      </c>
      <c r="F2371" t="s">
        <v>4926</v>
      </c>
      <c r="G2371" t="s">
        <v>14</v>
      </c>
      <c r="H2371">
             </c>
      <c r="I2371" t="s">
        <v>14</v>
      </c>
      <c r="J2371" t="s">
        <v>99</v>
      </c>
      <c r="K2371" t="s">
        <v>19</v>
      </c>
      <c r="L2371" t="s">
        <v>20</v>
      </c>
      <c r="M2371" t="s">
        <v>4924</v>
      </c>
      <c r="N2371" t="s">
        <v>14</v>
      </c>
    </row>
    <row r="2372" x14ac:dyDescent="0.25">
      <c r="A2372" t="n">
        <v>25</v>
      </c>
      <c r="B2372" t="s">
        <v>14</v>
      </c>
      <c r="C2372" t="s">
        <v>22</v>
      </c>
      <c r="D2372" s="2" t="s">
        <f>=HYPERLINK("https://main.knesset.gov.il/APPS/legislation/main/bills/2216305", "הצעת חוק המים (תיקון - קביעת תעריפי מים לחקלאות), התשפ""ד-2024")</f>
        <v>4925</v>
      </c>
      <c r="E2372" t="s">
        <v>4925</v>
      </c>
      <c r="F2372" t="s">
        <v>4927</v>
      </c>
      <c r="G2372" t="s">
        <v>14</v>
      </c>
      <c r="H2372">
             </c>
      <c r="I2372" t="s">
        <v>14</v>
      </c>
      <c r="J2372" t="s">
        <v>99</v>
      </c>
      <c r="K2372" t="s">
        <v>19</v>
      </c>
      <c r="L2372" t="s">
        <v>20</v>
      </c>
      <c r="M2372" t="s">
        <v>4924</v>
      </c>
      <c r="N2372" t="s">
        <v>14</v>
      </c>
    </row>
    <row r="2373" x14ac:dyDescent="0.25">
      <c r="A2373" t="n">
        <v>25</v>
      </c>
      <c r="B2373" t="s">
        <v>14</v>
      </c>
      <c r="C2373" t="s">
        <v>15</v>
      </c>
      <c r="D2373" s="2" t="s">
        <f>=HYPERLINK("https://main.knesset.gov.il/APPS/legislation/main/bills/2223611", "חוק התכנון והבנייה (תיקון מס' 159), התשפ""ה-2024 ")</f>
        <v>4928</v>
      </c>
      <c r="E2373" t="s">
        <v>4928</v>
      </c>
      <c r="F2373" t="s">
        <v>14</v>
      </c>
      <c r="G2373" t="s">
        <v>4929</v>
      </c>
      <c r="H2373" t="n">
        <v>3328</v>
      </c>
      <c r="I2373" t="s">
        <v>14</v>
      </c>
      <c r="J2373" t="s">
        <v>91</v>
      </c>
      <c r="K2373" t="s">
        <v>46</v>
      </c>
      <c r="L2373" t="s">
        <v>20</v>
      </c>
      <c r="M2373" t="s">
        <v>4924</v>
      </c>
      <c r="N2373" t="s">
        <v>4930</v>
      </c>
    </row>
    <row r="2374" x14ac:dyDescent="0.25">
      <c r="A2374" t="n">
        <v>25</v>
      </c>
      <c r="B2374" t="s">
        <v>14</v>
      </c>
      <c r="C2374" t="s">
        <v>15</v>
      </c>
      <c r="D2374" s="2" t="s">
        <f>=HYPERLINK("https://main.knesset.gov.il/APPS/legislation/main/bills/2222384", "חוק הרבנות הראשית לישראל (תיקון מס' 8), התשפ""ה-2024")</f>
        <v>4931</v>
      </c>
      <c r="E2374" t="s">
        <v>4931</v>
      </c>
      <c r="F2374" t="s">
        <v>14</v>
      </c>
      <c r="G2374" t="s">
        <v>4932</v>
      </c>
      <c r="H2374" t="n">
        <v>3327</v>
      </c>
      <c r="I2374" t="s">
        <v>14</v>
      </c>
      <c r="J2374" t="s">
        <v>91</v>
      </c>
      <c r="K2374" t="s">
        <v>27</v>
      </c>
      <c r="L2374" t="s">
        <v>20</v>
      </c>
      <c r="M2374" t="s">
        <v>4924</v>
      </c>
      <c r="N2374" t="s">
        <v>4933</v>
      </c>
    </row>
    <row r="2375" x14ac:dyDescent="0.25">
      <c r="A2375" t="n">
        <v>25</v>
      </c>
      <c r="B2375" t="s">
        <v>14</v>
      </c>
      <c r="C2375" t="s">
        <v>22</v>
      </c>
      <c r="D2375" s="2" t="s">
        <f>=HYPERLINK("https://main.knesset.gov.il/APPS/legislation/main/bills/2219609", "הצעת חוק מנהלת מילואים, התשפ""ד-2024")</f>
        <v>4934</v>
      </c>
      <c r="E2375" t="s">
        <v>4934</v>
      </c>
      <c r="F2375" t="s">
        <v>4935</v>
      </c>
      <c r="G2375" t="s">
        <v>14</v>
      </c>
      <c r="H2375">
             </c>
      <c r="I2375" t="s">
        <v>14</v>
      </c>
      <c r="J2375" t="s">
        <v>55</v>
      </c>
      <c r="K2375" t="s">
        <v>14</v>
      </c>
      <c r="L2375" t="s">
        <v>20</v>
      </c>
      <c r="M2375" t="s">
        <v>4924</v>
      </c>
      <c r="N2375" t="s">
        <v>14</v>
      </c>
    </row>
    <row r="2376" x14ac:dyDescent="0.25">
      <c r="A2376" t="n">
        <v>25</v>
      </c>
      <c r="B2376" t="s">
        <v>14</v>
      </c>
      <c r="C2376" t="s">
        <v>22</v>
      </c>
      <c r="D2376" s="2" t="s">
        <f>=HYPERLINK("https://main.knesset.gov.il/APPS/legislation/main/bills/2215479", "הצעת חוק סנקציות על תומכי טרור, התשפ""ד-2024")</f>
        <v>4936</v>
      </c>
      <c r="E2376" t="s">
        <v>4936</v>
      </c>
      <c r="F2376" t="s">
        <v>4937</v>
      </c>
      <c r="G2376" t="s">
        <v>14</v>
      </c>
      <c r="H2376">
             </c>
      <c r="I2376" t="s">
        <v>14</v>
      </c>
      <c r="J2376" t="s">
        <v>31</v>
      </c>
      <c r="K2376" t="s">
        <v>114</v>
      </c>
      <c r="L2376" t="s">
        <v>20</v>
      </c>
      <c r="M2376" t="s">
        <v>4924</v>
      </c>
      <c r="N2376" t="s">
        <v>14</v>
      </c>
    </row>
    <row r="2377" x14ac:dyDescent="0.25">
      <c r="A2377" t="n">
        <v>25</v>
      </c>
      <c r="B2377" t="s">
        <v>14</v>
      </c>
      <c r="C2377" t="s">
        <v>22</v>
      </c>
      <c r="D2377" s="2" t="s">
        <f>=HYPERLINK("https://main.knesset.gov.il/APPS/legislation/main/bills/2213786", "הצעת חוק הרשויות המקומיות (פטור חיילים, נפגעי מלחמה ושוטרים מארנונה) (תיקון - הנחה בארנונה למשרת בשירות מילואים פעיל) (הוראת שעה), התשפ""ד-2024")</f>
        <v>4938</v>
      </c>
      <c r="E2377" t="s">
        <v>4938</v>
      </c>
      <c r="F2377" t="s">
        <v>4939</v>
      </c>
      <c r="G2377" t="s">
        <v>14</v>
      </c>
      <c r="H2377">
             </c>
      <c r="I2377" t="s">
        <v>14</v>
      </c>
      <c r="J2377" t="s">
        <v>55</v>
      </c>
      <c r="K2377" t="s">
        <v>14</v>
      </c>
      <c r="L2377" t="s">
        <v>20</v>
      </c>
      <c r="M2377" t="s">
        <v>4924</v>
      </c>
      <c r="N2377" t="s">
        <v>14</v>
      </c>
    </row>
    <row r="2378" x14ac:dyDescent="0.25">
      <c r="A2378" t="n">
        <v>25</v>
      </c>
      <c r="B2378" t="s">
        <v>14</v>
      </c>
      <c r="C2378" t="s">
        <v>22</v>
      </c>
      <c r="D2378" s="2" t="s">
        <f>=HYPERLINK("https://main.knesset.gov.il/APPS/legislation/main/bills/2211449", "הצעת חוק הביטוח הלאומי (תיקון - עבודה מועדפת ביישובי עוטף הגבול הדרומי והצפוני) (הוראת שעה), התשפ""ד-2024")</f>
        <v>4940</v>
      </c>
      <c r="E2378" t="s">
        <v>4940</v>
      </c>
      <c r="F2378" t="s">
        <v>4941</v>
      </c>
      <c r="G2378" t="s">
        <v>14</v>
      </c>
      <c r="H2378">
             </c>
      <c r="I2378" t="s">
        <v>14</v>
      </c>
      <c r="J2378" t="s">
        <v>55</v>
      </c>
      <c r="K2378" t="s">
        <v>14</v>
      </c>
      <c r="L2378" t="s">
        <v>20</v>
      </c>
      <c r="M2378" t="s">
        <v>4924</v>
      </c>
      <c r="N2378" t="s">
        <v>14</v>
      </c>
    </row>
    <row r="2379" x14ac:dyDescent="0.25">
      <c r="A2379" t="n">
        <v>25</v>
      </c>
      <c r="B2379" t="s">
        <v>14</v>
      </c>
      <c r="C2379" t="s">
        <v>22</v>
      </c>
      <c r="D2379" s="2" t="s">
        <f>=HYPERLINK("https://main.knesset.gov.il/APPS/legislation/main/bills/2211580", "הצעת חוק התגמולים לנפגעי פעולות איבה (תיקון - תגמול לכל החיים ליתום מהורה אחד), התשפ""ד-2023")</f>
        <v>4942</v>
      </c>
      <c r="E2379" t="s">
        <v>4942</v>
      </c>
      <c r="F2379" t="s">
        <v>4943</v>
      </c>
      <c r="G2379" t="s">
        <v>14</v>
      </c>
      <c r="H2379">
             </c>
      <c r="I2379" t="s">
        <v>14</v>
      </c>
      <c r="J2379" t="s">
        <v>55</v>
      </c>
      <c r="K2379" t="s">
        <v>14</v>
      </c>
      <c r="L2379" t="s">
        <v>20</v>
      </c>
      <c r="M2379" t="s">
        <v>4924</v>
      </c>
      <c r="N2379" t="s">
        <v>14</v>
      </c>
    </row>
    <row r="2380" x14ac:dyDescent="0.25">
      <c r="A2380" t="n">
        <v>25</v>
      </c>
      <c r="B2380" t="s">
        <v>14</v>
      </c>
      <c r="C2380" t="s">
        <v>22</v>
      </c>
      <c r="D2380" s="2" t="s">
        <f>=HYPERLINK("https://main.knesset.gov.il/APPS/legislation/main/bills/2203427", "הצעת חוק לעידוד השקעות הון (תיקון - תחולה על מפעל תעשייתי ביישובים הסמוכים לגבול העימות בצפון, בשדרות וביישובי עוטף עזה), התשפ""ג-2023")</f>
        <v>4944</v>
      </c>
      <c r="E2380" t="s">
        <v>4944</v>
      </c>
      <c r="F2380" t="s">
        <v>4945</v>
      </c>
      <c r="G2380" t="s">
        <v>14</v>
      </c>
      <c r="H2380">
             </c>
      <c r="I2380" t="s">
        <v>14</v>
      </c>
      <c r="J2380" t="s">
        <v>55</v>
      </c>
      <c r="K2380" t="s">
        <v>14</v>
      </c>
      <c r="L2380" t="s">
        <v>20</v>
      </c>
      <c r="M2380" t="s">
        <v>4924</v>
      </c>
      <c r="N2380" t="s">
        <v>14</v>
      </c>
    </row>
    <row r="2381" x14ac:dyDescent="0.25">
      <c r="A2381" t="n">
        <v>25</v>
      </c>
      <c r="B2381" t="s">
        <v>14</v>
      </c>
      <c r="C2381" t="s">
        <v>15</v>
      </c>
      <c r="D2381" s="2" t="s">
        <f>=HYPERLINK("https://main.knesset.gov.il/APPS/legislation/main/bills/2216841", "הצעת חוק האקלים, התשפ""ד-2024")</f>
        <v>4946</v>
      </c>
      <c r="E2381" t="s">
        <v>4946</v>
      </c>
      <c r="F2381" t="s">
        <v>14</v>
      </c>
      <c r="G2381" t="s">
        <v>4947</v>
      </c>
      <c r="H2381">
             </c>
      <c r="I2381" t="s">
        <v>14</v>
      </c>
      <c r="J2381" t="s">
        <v>18</v>
      </c>
      <c r="K2381" t="s">
        <v>46</v>
      </c>
      <c r="L2381" t="s">
        <v>20</v>
      </c>
      <c r="M2381" t="s">
        <v>4948</v>
      </c>
      <c r="N2381" t="s">
        <v>14</v>
      </c>
    </row>
    <row r="2382" x14ac:dyDescent="0.25">
      <c r="A2382" t="n">
        <v>25</v>
      </c>
      <c r="B2382" t="s">
        <v>14</v>
      </c>
      <c r="C2382" t="s">
        <v>15</v>
      </c>
      <c r="D2382" s="2" t="s">
        <f>=HYPERLINK("https://main.knesset.gov.il/APPS/legislation/main/bills/2222778", "חוק מכוני כושר (רישוי ופיקוח) (תיקון מס' 4), התשפ""ה-2024")</f>
        <v>4949</v>
      </c>
      <c r="E2382" t="s">
        <v>4949</v>
      </c>
      <c r="F2382" t="s">
        <v>14</v>
      </c>
      <c r="G2382" t="s">
        <v>4950</v>
      </c>
      <c r="H2382" t="n">
        <v>3329</v>
      </c>
      <c r="I2382" t="s">
        <v>14</v>
      </c>
      <c r="J2382" t="s">
        <v>91</v>
      </c>
      <c r="K2382" t="s">
        <v>34</v>
      </c>
      <c r="L2382" t="s">
        <v>20</v>
      </c>
      <c r="M2382" t="s">
        <v>4951</v>
      </c>
      <c r="N2382" t="s">
        <v>4952</v>
      </c>
    </row>
    <row r="2383" x14ac:dyDescent="0.25">
      <c r="A2383" t="n">
        <v>25</v>
      </c>
      <c r="B2383" t="s">
        <v>14</v>
      </c>
      <c r="C2383" t="s">
        <v>22</v>
      </c>
      <c r="D2383" s="2" t="s">
        <f>=HYPERLINK("https://main.knesset.gov.il/APPS/legislation/main/bills/2222860", "הצעת חוק חידוש ופיתוח חבל התקומה (תיקוני חקיקה) (הוראת שעה), התשפ""ה-2024 ")</f>
        <v>4953</v>
      </c>
      <c r="E2383" t="s">
        <v>4953</v>
      </c>
      <c r="F2383" t="s">
        <v>4954</v>
      </c>
      <c r="G2383" t="s">
        <v>14</v>
      </c>
      <c r="H2383">
             </c>
      <c r="I2383" t="s">
        <v>14</v>
      </c>
      <c r="J2383" t="s">
        <v>141</v>
      </c>
      <c r="K2383" t="s">
        <v>14</v>
      </c>
      <c r="L2383" t="s">
        <v>20</v>
      </c>
      <c r="M2383" t="s">
        <v>4951</v>
      </c>
      <c r="N2383" t="s">
        <v>14</v>
      </c>
    </row>
    <row r="2384" x14ac:dyDescent="0.25">
      <c r="A2384" t="n">
        <v>25</v>
      </c>
      <c r="B2384" t="s">
        <v>14</v>
      </c>
      <c r="C2384" t="s">
        <v>22</v>
      </c>
      <c r="D2384" s="2" t="s">
        <f>=HYPERLINK("https://main.knesset.gov.il/APPS/legislation/main/bills/2222530", "הצעת חוק חידוש ופיתוח חבל התקומה, התשפ""ה-2024")</f>
        <v>4955</v>
      </c>
      <c r="E2384" t="s">
        <v>4955</v>
      </c>
      <c r="F2384" t="s">
        <v>4956</v>
      </c>
      <c r="G2384" t="s">
        <v>14</v>
      </c>
      <c r="H2384">
             </c>
      <c r="I2384" t="s">
        <v>14</v>
      </c>
      <c r="J2384" t="s">
        <v>141</v>
      </c>
      <c r="K2384" t="s">
        <v>14</v>
      </c>
      <c r="L2384" t="s">
        <v>20</v>
      </c>
      <c r="M2384" t="s">
        <v>4951</v>
      </c>
      <c r="N2384" t="s">
        <v>14</v>
      </c>
    </row>
    <row r="2385" x14ac:dyDescent="0.25">
      <c r="A2385" t="n">
        <v>25</v>
      </c>
      <c r="B2385" t="s">
        <v>14</v>
      </c>
      <c r="C2385" t="s">
        <v>22</v>
      </c>
      <c r="D2385" s="2" t="s">
        <f>=HYPERLINK("https://main.knesset.gov.il/APPS/legislation/main/bills/2220569", "הצעת חוק הבנקאות (שירות ללקוח) (תיקון - מסירת מידע על פוליסות ביטוח), התשפ""ה-2024")</f>
        <v>4762</v>
      </c>
      <c r="E2385" t="s">
        <v>4762</v>
      </c>
      <c r="F2385" t="s">
        <v>4957</v>
      </c>
      <c r="G2385" t="s">
        <v>14</v>
      </c>
      <c r="H2385">
             </c>
      <c r="I2385" t="s">
        <v>14</v>
      </c>
      <c r="J2385" t="s">
        <v>141</v>
      </c>
      <c r="K2385" t="s">
        <v>14</v>
      </c>
      <c r="L2385" t="s">
        <v>20</v>
      </c>
      <c r="M2385" t="s">
        <v>4951</v>
      </c>
      <c r="N2385" t="s">
        <v>14</v>
      </c>
    </row>
    <row r="2386" x14ac:dyDescent="0.25">
      <c r="A2386" t="n">
        <v>25</v>
      </c>
      <c r="B2386" t="s">
        <v>14</v>
      </c>
      <c r="C2386" t="s">
        <v>22</v>
      </c>
      <c r="D2386" s="2" t="s">
        <f>=HYPERLINK("https://main.knesset.gov.il/APPS/legislation/main/bills/2223435", "הצעת חוק מתן עדיפות בהשכרה לטווח ארוך למשרתי מילואים פעילים בתפקידי לחימה (תיקוני חקיקה), התשפ""ה-2024")</f>
        <v>4958</v>
      </c>
      <c r="E2386" t="s">
        <v>4958</v>
      </c>
      <c r="F2386" t="s">
        <v>4959</v>
      </c>
      <c r="G2386" t="s">
        <v>14</v>
      </c>
      <c r="H2386">
             </c>
      <c r="I2386" t="s">
        <v>14</v>
      </c>
      <c r="J2386" t="s">
        <v>141</v>
      </c>
      <c r="K2386" t="s">
        <v>14</v>
      </c>
      <c r="L2386" t="s">
        <v>20</v>
      </c>
      <c r="M2386" t="s">
        <v>4951</v>
      </c>
      <c r="N2386" t="s">
        <v>14</v>
      </c>
    </row>
    <row r="2387" x14ac:dyDescent="0.25">
      <c r="A2387" t="n">
        <v>25</v>
      </c>
      <c r="B2387" t="s">
        <v>14</v>
      </c>
      <c r="C2387" t="s">
        <v>22</v>
      </c>
      <c r="D2387" s="2" t="s">
        <f>=HYPERLINK("https://main.knesset.gov.il/APPS/legislation/main/bills/2223816", "הצעת חוק התאמות בבחינת השתתפות המדינה בעלות שכר הלימוד במעון יום למשרתי מילואים, התשפ""ה-2024")</f>
        <v>4960</v>
      </c>
      <c r="E2387" t="s">
        <v>4960</v>
      </c>
      <c r="F2387" t="s">
        <v>4961</v>
      </c>
      <c r="G2387" t="s">
        <v>14</v>
      </c>
      <c r="H2387">
             </c>
      <c r="I2387" t="s">
        <v>14</v>
      </c>
      <c r="J2387" t="s">
        <v>141</v>
      </c>
      <c r="K2387" t="s">
        <v>14</v>
      </c>
      <c r="L2387" t="s">
        <v>20</v>
      </c>
      <c r="M2387" t="s">
        <v>4951</v>
      </c>
      <c r="N2387" t="s">
        <v>14</v>
      </c>
    </row>
    <row r="2388" x14ac:dyDescent="0.25">
      <c r="A2388" t="n">
        <v>25</v>
      </c>
      <c r="B2388" t="s">
        <v>14</v>
      </c>
      <c r="C2388" t="s">
        <v>22</v>
      </c>
      <c r="D2388" s="2" t="s">
        <f>=HYPERLINK("https://main.knesset.gov.il/APPS/legislation/main/bills/2224115", "הצעת חוק-יסוד: הממשלה (תיקון - התפטרות ראש הממשלה או שר עקב הגשת כתב אישום)")</f>
        <v>4962</v>
      </c>
      <c r="E2388" t="s">
        <v>4962</v>
      </c>
      <c r="F2388" t="s">
        <v>4963</v>
      </c>
      <c r="G2388" t="s">
        <v>14</v>
      </c>
      <c r="H2388">
             </c>
      <c r="I2388" t="s">
        <v>14</v>
      </c>
      <c r="J2388" t="s">
        <v>141</v>
      </c>
      <c r="K2388" t="s">
        <v>14</v>
      </c>
      <c r="L2388" t="s">
        <v>20</v>
      </c>
      <c r="M2388" t="s">
        <v>4951</v>
      </c>
      <c r="N2388" t="s">
        <v>14</v>
      </c>
    </row>
    <row r="2389" x14ac:dyDescent="0.25">
      <c r="A2389" t="n">
        <v>25</v>
      </c>
      <c r="B2389" t="s">
        <v>14</v>
      </c>
      <c r="C2389" t="s">
        <v>22</v>
      </c>
      <c r="D2389" s="2" t="s">
        <f>=HYPERLINK("https://main.knesset.gov.il/APPS/legislation/main/bills/2222698", "הצעת חוק הנגישות הלשונית, התשפ""ה-2024")</f>
        <v>4678</v>
      </c>
      <c r="E2389" t="s">
        <v>4678</v>
      </c>
      <c r="F2389" t="s">
        <v>4964</v>
      </c>
      <c r="G2389" t="s">
        <v>14</v>
      </c>
      <c r="H2389">
             </c>
      <c r="I2389" t="s">
        <v>14</v>
      </c>
      <c r="J2389" t="s">
        <v>141</v>
      </c>
      <c r="K2389" t="s">
        <v>14</v>
      </c>
      <c r="L2389" t="s">
        <v>20</v>
      </c>
      <c r="M2389" t="s">
        <v>4951</v>
      </c>
      <c r="N2389" t="s">
        <v>14</v>
      </c>
    </row>
    <row r="2390" x14ac:dyDescent="0.25">
      <c r="A2390" t="n">
        <v>25</v>
      </c>
      <c r="B2390" t="s">
        <v>14</v>
      </c>
      <c r="C2390" t="s">
        <v>22</v>
      </c>
      <c r="D2390" s="2" t="s">
        <f>=HYPERLINK("https://main.knesset.gov.il/APPS/legislation/main/bills/2223717", "הצעת חוק הטבות למשרתים בשירות צבאי או אזרחי, התשפ""ה-2024")</f>
        <v>4965</v>
      </c>
      <c r="E2390" t="s">
        <v>4965</v>
      </c>
      <c r="F2390" t="s">
        <v>4966</v>
      </c>
      <c r="G2390" t="s">
        <v>14</v>
      </c>
      <c r="H2390">
             </c>
      <c r="I2390" t="s">
        <v>14</v>
      </c>
      <c r="J2390" t="s">
        <v>141</v>
      </c>
      <c r="K2390" t="s">
        <v>14</v>
      </c>
      <c r="L2390" t="s">
        <v>20</v>
      </c>
      <c r="M2390" t="s">
        <v>4951</v>
      </c>
      <c r="N2390" t="s">
        <v>14</v>
      </c>
    </row>
    <row r="2391" x14ac:dyDescent="0.25">
      <c r="A2391" t="n">
        <v>25</v>
      </c>
      <c r="B2391" t="s">
        <v>14</v>
      </c>
      <c r="C2391" t="s">
        <v>22</v>
      </c>
      <c r="D2391" s="2" t="s">
        <f>=HYPERLINK("https://main.knesset.gov.il/APPS/legislation/main/bills/2223688", "הצעת חוק להקפאת קצבאות שמשולמות לפעיל טרור ומשפחתו מקופת המדינה, התשפ""ה-2024")</f>
        <v>4967</v>
      </c>
      <c r="E2391" t="s">
        <v>4967</v>
      </c>
      <c r="F2391" t="s">
        <v>4968</v>
      </c>
      <c r="G2391" t="s">
        <v>14</v>
      </c>
      <c r="H2391">
             </c>
      <c r="I2391" t="s">
        <v>14</v>
      </c>
      <c r="J2391" t="s">
        <v>141</v>
      </c>
      <c r="K2391" t="s">
        <v>14</v>
      </c>
      <c r="L2391" t="s">
        <v>20</v>
      </c>
      <c r="M2391" t="s">
        <v>4951</v>
      </c>
      <c r="N2391" t="s">
        <v>14</v>
      </c>
    </row>
    <row r="2392" x14ac:dyDescent="0.25">
      <c r="A2392" t="n">
        <v>25</v>
      </c>
      <c r="B2392" t="s">
        <v>14</v>
      </c>
      <c r="C2392" t="s">
        <v>22</v>
      </c>
      <c r="D2392" s="2" t="s">
        <f>=HYPERLINK("https://main.knesset.gov.il/APPS/legislation/main/bills/2223175", "הצעת חוק להסדר ההימורים בספורט (תיקון - שימוש ביתרת ההכנסות על ידי המועצה), התשפ""ה-2024")</f>
        <v>4969</v>
      </c>
      <c r="E2392" t="s">
        <v>4969</v>
      </c>
      <c r="F2392" t="s">
        <v>4970</v>
      </c>
      <c r="G2392" t="s">
        <v>14</v>
      </c>
      <c r="H2392">
             </c>
      <c r="I2392" t="s">
        <v>14</v>
      </c>
      <c r="J2392" t="s">
        <v>141</v>
      </c>
      <c r="K2392" t="s">
        <v>14</v>
      </c>
      <c r="L2392" t="s">
        <v>20</v>
      </c>
      <c r="M2392" t="s">
        <v>4951</v>
      </c>
      <c r="N2392" t="s">
        <v>14</v>
      </c>
    </row>
    <row r="2393" x14ac:dyDescent="0.25">
      <c r="A2393" t="n">
        <v>25</v>
      </c>
      <c r="B2393" t="s">
        <v>14</v>
      </c>
      <c r="C2393" t="s">
        <v>22</v>
      </c>
      <c r="D2393" s="2" t="s">
        <f>=HYPERLINK("https://main.knesset.gov.il/APPS/legislation/main/bills/2223726", "הצעת חוק התגמולים לנפגעי פעולות איבה (תיקון - משפחה מלווה ליתומים בגירים), התשפ""ה-2024")</f>
        <v>4620</v>
      </c>
      <c r="E2393" t="s">
        <v>4620</v>
      </c>
      <c r="F2393" t="s">
        <v>4971</v>
      </c>
      <c r="G2393" t="s">
        <v>14</v>
      </c>
      <c r="H2393">
             </c>
      <c r="I2393" t="s">
        <v>14</v>
      </c>
      <c r="J2393" t="s">
        <v>141</v>
      </c>
      <c r="K2393" t="s">
        <v>14</v>
      </c>
      <c r="L2393" t="s">
        <v>20</v>
      </c>
      <c r="M2393" t="s">
        <v>4951</v>
      </c>
      <c r="N2393" t="s">
        <v>14</v>
      </c>
    </row>
    <row r="2394" x14ac:dyDescent="0.25">
      <c r="A2394" t="n">
        <v>25</v>
      </c>
      <c r="B2394" t="s">
        <v>14</v>
      </c>
      <c r="C2394" t="s">
        <v>22</v>
      </c>
      <c r="D2394" s="2" t="s">
        <f>=HYPERLINK("https://main.knesset.gov.il/APPS/legislation/main/bills/2224510", "הצעת חוק מס ערך מוסף (תיקון - פטור ממס על בניית מרחב מוגן ביישוב צמוד גדר), התשפ""ה-2024")</f>
        <v>4972</v>
      </c>
      <c r="E2394" t="s">
        <v>4972</v>
      </c>
      <c r="F2394" t="s">
        <v>4973</v>
      </c>
      <c r="G2394" t="s">
        <v>14</v>
      </c>
      <c r="H2394">
             </c>
      <c r="I2394" t="s">
        <v>14</v>
      </c>
      <c r="J2394" t="s">
        <v>141</v>
      </c>
      <c r="K2394" t="s">
        <v>14</v>
      </c>
      <c r="L2394" t="s">
        <v>20</v>
      </c>
      <c r="M2394" t="s">
        <v>4951</v>
      </c>
      <c r="N2394" t="s">
        <v>14</v>
      </c>
    </row>
    <row r="2395" x14ac:dyDescent="0.25">
      <c r="A2395" t="n">
        <v>25</v>
      </c>
      <c r="B2395" t="s">
        <v>14</v>
      </c>
      <c r="C2395" t="s">
        <v>22</v>
      </c>
      <c r="D2395" s="2" t="s">
        <f>=HYPERLINK("https://main.knesset.gov.il/APPS/legislation/main/bills/2224483", "הצעת חוק הצבת מכשירי החייאה במקומות ציבוריים (תיקון - הוספת רכבת לתוספת), התשפ""ה-2024")</f>
        <v>4974</v>
      </c>
      <c r="E2395" t="s">
        <v>4974</v>
      </c>
      <c r="F2395" t="s">
        <v>4975</v>
      </c>
      <c r="G2395" t="s">
        <v>14</v>
      </c>
      <c r="H2395">
             </c>
      <c r="I2395" t="s">
        <v>14</v>
      </c>
      <c r="J2395" t="s">
        <v>141</v>
      </c>
      <c r="K2395" t="s">
        <v>14</v>
      </c>
      <c r="L2395" t="s">
        <v>20</v>
      </c>
      <c r="M2395" t="s">
        <v>4951</v>
      </c>
      <c r="N2395" t="s">
        <v>14</v>
      </c>
    </row>
    <row r="2396" x14ac:dyDescent="0.25">
      <c r="A2396" t="n">
        <v>25</v>
      </c>
      <c r="B2396" t="s">
        <v>14</v>
      </c>
      <c r="C2396" t="s">
        <v>22</v>
      </c>
      <c r="D2396" s="2" t="s">
        <f>=HYPERLINK("https://main.knesset.gov.il/APPS/legislation/main/bills/2224480", "הצעת חוק האזרחים הוותיקים (תיקון - הנחה בארנונה לאזרח ותיק המתגורר בדירה שאינה בהחזקתו), התשפ""ה-2024")</f>
        <v>4976</v>
      </c>
      <c r="E2396" t="s">
        <v>4976</v>
      </c>
      <c r="F2396" t="s">
        <v>4977</v>
      </c>
      <c r="G2396" t="s">
        <v>14</v>
      </c>
      <c r="H2396">
             </c>
      <c r="I2396" t="s">
        <v>14</v>
      </c>
      <c r="J2396" t="s">
        <v>141</v>
      </c>
      <c r="K2396" t="s">
        <v>14</v>
      </c>
      <c r="L2396" t="s">
        <v>20</v>
      </c>
      <c r="M2396" t="s">
        <v>4951</v>
      </c>
      <c r="N2396" t="s">
        <v>14</v>
      </c>
    </row>
    <row r="2397" x14ac:dyDescent="0.25">
      <c r="A2397" t="n">
        <v>25</v>
      </c>
      <c r="B2397" t="s">
        <v>14</v>
      </c>
      <c r="C2397" t="s">
        <v>22</v>
      </c>
      <c r="D2397" s="2" t="s">
        <f>=HYPERLINK("https://main.knesset.gov.il/APPS/legislation/main/bills/2224179", "הצעת חוק לתיקון פקודת מס הכנסה (פטור ממס למשרת מילואים פעיל) (הוראת שעה - חרבות ברזל), התשפ""ה-2024")</f>
        <v>4978</v>
      </c>
      <c r="E2397" t="s">
        <v>4978</v>
      </c>
      <c r="F2397" t="s">
        <v>4979</v>
      </c>
      <c r="G2397" t="s">
        <v>14</v>
      </c>
      <c r="H2397">
             </c>
      <c r="I2397" t="s">
        <v>14</v>
      </c>
      <c r="J2397" t="s">
        <v>141</v>
      </c>
      <c r="K2397" t="s">
        <v>14</v>
      </c>
      <c r="L2397" t="s">
        <v>20</v>
      </c>
      <c r="M2397" t="s">
        <v>4951</v>
      </c>
      <c r="N2397" t="s">
        <v>14</v>
      </c>
    </row>
    <row r="2398" x14ac:dyDescent="0.25">
      <c r="A2398" t="n">
        <v>25</v>
      </c>
      <c r="B2398" t="s">
        <v>14</v>
      </c>
      <c r="C2398" t="s">
        <v>22</v>
      </c>
      <c r="D2398" s="2" t="s">
        <f>=HYPERLINK("https://main.knesset.gov.il/APPS/legislation/main/bills/2224176", "הצעת חוק עידוד שירות צבאי, לאומי או לאומי-אזרחי במוסדות להשכלה גבוהה, התשפ""ה-2024")</f>
        <v>885</v>
      </c>
      <c r="E2398" t="s">
        <v>885</v>
      </c>
      <c r="F2398" t="s">
        <v>4980</v>
      </c>
      <c r="G2398" t="s">
        <v>14</v>
      </c>
      <c r="H2398">
             </c>
      <c r="I2398" t="s">
        <v>14</v>
      </c>
      <c r="J2398" t="s">
        <v>141</v>
      </c>
      <c r="K2398" t="s">
        <v>14</v>
      </c>
      <c r="L2398" t="s">
        <v>20</v>
      </c>
      <c r="M2398" t="s">
        <v>4951</v>
      </c>
      <c r="N2398" t="s">
        <v>14</v>
      </c>
    </row>
    <row r="2399" x14ac:dyDescent="0.25">
      <c r="A2399" t="n">
        <v>25</v>
      </c>
      <c r="B2399" t="s">
        <v>14</v>
      </c>
      <c r="C2399" t="s">
        <v>22</v>
      </c>
      <c r="D2399" s="2" t="s">
        <f>=HYPERLINK("https://main.knesset.gov.il/APPS/legislation/main/bills/2224247", "הצעת חוק-יסוד: השפיטה (תיקון - שלילת זכות עמידה למתגמל טרור)")</f>
        <v>4981</v>
      </c>
      <c r="E2399" t="s">
        <v>4981</v>
      </c>
      <c r="F2399" t="s">
        <v>4982</v>
      </c>
      <c r="G2399" t="s">
        <v>14</v>
      </c>
      <c r="H2399">
             </c>
      <c r="I2399" t="s">
        <v>14</v>
      </c>
      <c r="J2399" t="s">
        <v>141</v>
      </c>
      <c r="K2399" t="s">
        <v>14</v>
      </c>
      <c r="L2399" t="s">
        <v>20</v>
      </c>
      <c r="M2399" t="s">
        <v>4951</v>
      </c>
      <c r="N2399" t="s">
        <v>14</v>
      </c>
    </row>
    <row r="2400" x14ac:dyDescent="0.25">
      <c r="A2400" t="n">
        <v>25</v>
      </c>
      <c r="B2400" t="s">
        <v>14</v>
      </c>
      <c r="C2400" t="s">
        <v>22</v>
      </c>
      <c r="D2400" s="2" t="s">
        <f>=HYPERLINK("https://main.knesset.gov.il/APPS/legislation/main/bills/2223995", "הצעת חוק הגבלת השימוש ורישום פעולות בחלקי רכב משומשים (מניעת גניבות) (תיקון - חובות החלות בעת רכישה או מכירה של רכב ניזוק), התשפ""ה-2024")</f>
        <v>4983</v>
      </c>
      <c r="E2400" t="s">
        <v>4983</v>
      </c>
      <c r="F2400" t="s">
        <v>4984</v>
      </c>
      <c r="G2400" t="s">
        <v>14</v>
      </c>
      <c r="H2400">
             </c>
      <c r="I2400" t="s">
        <v>14</v>
      </c>
      <c r="J2400" t="s">
        <v>141</v>
      </c>
      <c r="K2400" t="s">
        <v>14</v>
      </c>
      <c r="L2400" t="s">
        <v>20</v>
      </c>
      <c r="M2400" t="s">
        <v>4951</v>
      </c>
      <c r="N2400" t="s">
        <v>14</v>
      </c>
    </row>
    <row r="2401" x14ac:dyDescent="0.25">
      <c r="A2401" t="n">
        <v>25</v>
      </c>
      <c r="B2401" t="s">
        <v>14</v>
      </c>
      <c r="C2401" t="s">
        <v>22</v>
      </c>
      <c r="D2401" s="2" t="s">
        <f>=HYPERLINK("https://main.knesset.gov.il/APPS/legislation/main/bills/2223986", "הצעת חוק לתיקון פקודת הדיג (איסור דיג מכמורת), התשפ""ה-2024")</f>
        <v>4985</v>
      </c>
      <c r="E2401" t="s">
        <v>4985</v>
      </c>
      <c r="F2401" t="s">
        <v>4986</v>
      </c>
      <c r="G2401" t="s">
        <v>14</v>
      </c>
      <c r="H2401">
             </c>
      <c r="I2401" t="s">
        <v>14</v>
      </c>
      <c r="J2401" t="s">
        <v>141</v>
      </c>
      <c r="K2401" t="s">
        <v>14</v>
      </c>
      <c r="L2401" t="s">
        <v>20</v>
      </c>
      <c r="M2401" t="s">
        <v>4951</v>
      </c>
      <c r="N2401" t="s">
        <v>14</v>
      </c>
    </row>
    <row r="2402" x14ac:dyDescent="0.25">
      <c r="A2402" t="n">
        <v>25</v>
      </c>
      <c r="B2402" t="s">
        <v>14</v>
      </c>
      <c r="C2402" t="s">
        <v>22</v>
      </c>
      <c r="D2402" s="2" t="s">
        <f>=HYPERLINK("https://main.knesset.gov.il/APPS/legislation/main/bills/2224168", "הצעת חוק הביטוח הלאומי (תיקון - חישוב התגמול לעצמאים בשירות מילואים), התשפ""ה-2024")</f>
        <v>4987</v>
      </c>
      <c r="E2402" t="s">
        <v>4987</v>
      </c>
      <c r="F2402" t="s">
        <v>4988</v>
      </c>
      <c r="G2402" t="s">
        <v>14</v>
      </c>
      <c r="H2402">
             </c>
      <c r="I2402" t="s">
        <v>14</v>
      </c>
      <c r="J2402" t="s">
        <v>141</v>
      </c>
      <c r="K2402" t="s">
        <v>14</v>
      </c>
      <c r="L2402" t="s">
        <v>20</v>
      </c>
      <c r="M2402" t="s">
        <v>4951</v>
      </c>
      <c r="N2402" t="s">
        <v>14</v>
      </c>
    </row>
    <row r="2403" x14ac:dyDescent="0.25">
      <c r="A2403" t="n">
        <v>25</v>
      </c>
      <c r="B2403" t="s">
        <v>14</v>
      </c>
      <c r="C2403" t="s">
        <v>22</v>
      </c>
      <c r="D2403" s="2" t="s">
        <f>=HYPERLINK("https://main.knesset.gov.il/APPS/legislation/main/bills/2222549", "הצעת חוק לתיקון פקודת העיריות (עובדים משטחי הרשות הפלסטינית), התשפ""ה-2024")</f>
        <v>4989</v>
      </c>
      <c r="E2403" t="s">
        <v>4989</v>
      </c>
      <c r="F2403" t="s">
        <v>4990</v>
      </c>
      <c r="G2403" t="s">
        <v>14</v>
      </c>
      <c r="H2403">
             </c>
      <c r="I2403" t="s">
        <v>14</v>
      </c>
      <c r="J2403" t="s">
        <v>141</v>
      </c>
      <c r="K2403" t="s">
        <v>14</v>
      </c>
      <c r="L2403" t="s">
        <v>20</v>
      </c>
      <c r="M2403" t="s">
        <v>4951</v>
      </c>
      <c r="N2403" t="s">
        <v>14</v>
      </c>
    </row>
    <row r="2404" x14ac:dyDescent="0.25">
      <c r="A2404" t="n">
        <v>25</v>
      </c>
      <c r="B2404" t="s">
        <v>14</v>
      </c>
      <c r="C2404" t="s">
        <v>22</v>
      </c>
      <c r="D2404" s="2" t="s">
        <f>=HYPERLINK("https://main.knesset.gov.il/APPS/legislation/main/bills/2223841", "הצעת חוק קרן פיצויים לנזקי הפשיעה החקלאית, התשפ""ה-2024")</f>
        <v>4991</v>
      </c>
      <c r="E2404" t="s">
        <v>4991</v>
      </c>
      <c r="F2404" t="s">
        <v>4992</v>
      </c>
      <c r="G2404" t="s">
        <v>14</v>
      </c>
      <c r="H2404">
             </c>
      <c r="I2404" t="s">
        <v>14</v>
      </c>
      <c r="J2404" t="s">
        <v>141</v>
      </c>
      <c r="K2404" t="s">
        <v>14</v>
      </c>
      <c r="L2404" t="s">
        <v>20</v>
      </c>
      <c r="M2404" t="s">
        <v>4951</v>
      </c>
      <c r="N2404" t="s">
        <v>14</v>
      </c>
    </row>
    <row r="2405" x14ac:dyDescent="0.25">
      <c r="A2405" t="n">
        <v>25</v>
      </c>
      <c r="B2405" t="s">
        <v>14</v>
      </c>
      <c r="C2405" t="s">
        <v>22</v>
      </c>
      <c r="D2405" s="2" t="s">
        <f>=HYPERLINK("https://main.knesset.gov.il/APPS/legislation/main/bills/2223997", "הצעת חוק פיקוח על מחירי מצרכים ושירותים (תיקון - פיקוח על מוצרי מזון בריא בסיסיים), התשפ""ה-2024 ")</f>
        <v>4993</v>
      </c>
      <c r="E2405" t="s">
        <v>4993</v>
      </c>
      <c r="F2405" t="s">
        <v>4994</v>
      </c>
      <c r="G2405" t="s">
        <v>14</v>
      </c>
      <c r="H2405">
             </c>
      <c r="I2405" t="s">
        <v>14</v>
      </c>
      <c r="J2405" t="s">
        <v>141</v>
      </c>
      <c r="K2405" t="s">
        <v>14</v>
      </c>
      <c r="L2405" t="s">
        <v>20</v>
      </c>
      <c r="M2405" t="s">
        <v>4951</v>
      </c>
      <c r="N2405" t="s">
        <v>14</v>
      </c>
    </row>
    <row r="2406" x14ac:dyDescent="0.25">
      <c r="A2406" t="n">
        <v>25</v>
      </c>
      <c r="B2406" t="s">
        <v>14</v>
      </c>
      <c r="C2406" t="s">
        <v>22</v>
      </c>
      <c r="D2406" s="2" t="s">
        <f>=HYPERLINK("https://main.knesset.gov.il/APPS/legislation/main/bills/2215702", "חוק העונשין (תיקון מס' 151), התשפ""ה–2024")</f>
        <v>4995</v>
      </c>
      <c r="E2406" t="s">
        <v>4995</v>
      </c>
      <c r="F2406" t="s">
        <v>4996</v>
      </c>
      <c r="G2406" t="s">
        <v>4997</v>
      </c>
      <c r="H2406" t="n">
        <v>3325</v>
      </c>
      <c r="I2406" t="s">
        <v>14</v>
      </c>
      <c r="J2406" t="s">
        <v>91</v>
      </c>
      <c r="K2406" t="s">
        <v>27</v>
      </c>
      <c r="L2406" t="s">
        <v>20</v>
      </c>
      <c r="M2406" t="s">
        <v>4998</v>
      </c>
      <c r="N2406" t="s">
        <v>4999</v>
      </c>
    </row>
    <row r="2407" x14ac:dyDescent="0.25">
      <c r="A2407" t="n">
        <v>25</v>
      </c>
      <c r="B2407" t="s">
        <v>14</v>
      </c>
      <c r="C2407" t="s">
        <v>22</v>
      </c>
      <c r="D2407" s="2" t="s">
        <f>=HYPERLINK("https://main.knesset.gov.il/APPS/legislation/main/bills/2198458", "חוק שוויון ההזדמנויות בעבודה (תיקון מס' 27), התשפ""ה–2024")</f>
        <v>5000</v>
      </c>
      <c r="E2407" t="s">
        <v>5000</v>
      </c>
      <c r="F2407" t="s">
        <v>5001</v>
      </c>
      <c r="G2407" t="s">
        <v>5002</v>
      </c>
      <c r="H2407" t="n">
        <v>3324</v>
      </c>
      <c r="I2407" t="s">
        <v>14</v>
      </c>
      <c r="J2407" t="s">
        <v>91</v>
      </c>
      <c r="K2407" t="s">
        <v>127</v>
      </c>
      <c r="L2407" t="s">
        <v>20</v>
      </c>
      <c r="M2407" t="s">
        <v>4998</v>
      </c>
      <c r="N2407" t="s">
        <v>5003</v>
      </c>
    </row>
    <row r="2408" x14ac:dyDescent="0.25">
      <c r="A2408" t="n">
        <v>25</v>
      </c>
      <c r="B2408" t="s">
        <v>14</v>
      </c>
      <c r="C2408" t="s">
        <v>15</v>
      </c>
      <c r="D2408" s="2" t="s">
        <f>=HYPERLINK("https://main.knesset.gov.il/APPS/legislation/main/bills/2223550", "חוק לתיקון פקודת בתי הסוהר (מס' 67 והוראת שעה), התשפ""ה-2024 ")</f>
        <v>5004</v>
      </c>
      <c r="E2408" t="s">
        <v>5004</v>
      </c>
      <c r="F2408" t="s">
        <v>14</v>
      </c>
      <c r="G2408" t="s">
        <v>5005</v>
      </c>
      <c r="H2408" t="n">
        <v>3323</v>
      </c>
      <c r="I2408" t="s">
        <v>14</v>
      </c>
      <c r="J2408" t="s">
        <v>91</v>
      </c>
      <c r="K2408" t="s">
        <v>105</v>
      </c>
      <c r="L2408" t="s">
        <v>20</v>
      </c>
      <c r="M2408" t="s">
        <v>4998</v>
      </c>
      <c r="N2408" t="s">
        <v>5006</v>
      </c>
    </row>
    <row r="2409" x14ac:dyDescent="0.25">
      <c r="A2409" t="n">
        <v>25</v>
      </c>
      <c r="B2409" t="s">
        <v>14</v>
      </c>
      <c r="C2409" t="s">
        <v>15</v>
      </c>
      <c r="D2409" s="2" t="s">
        <f>=HYPERLINK("https://main.knesset.gov.il/APPS/legislation/main/bills/2223864", "חוק כליאתם של לוחמים בלתי חוקיים (תיקון מס' 4 והוראת שעה – חרבות ברזל) (תיקון מס' 3), התשפ""ה-2024")</f>
        <v>5007</v>
      </c>
      <c r="E2409" t="s">
        <v>5007</v>
      </c>
      <c r="F2409" t="s">
        <v>14</v>
      </c>
      <c r="G2409" t="s">
        <v>5008</v>
      </c>
      <c r="H2409" t="n">
        <v>3322</v>
      </c>
      <c r="I2409" t="s">
        <v>14</v>
      </c>
      <c r="J2409" t="s">
        <v>91</v>
      </c>
      <c r="K2409" t="s">
        <v>114</v>
      </c>
      <c r="L2409" t="s">
        <v>20</v>
      </c>
      <c r="M2409" t="s">
        <v>4998</v>
      </c>
      <c r="N2409" t="s">
        <v>5009</v>
      </c>
    </row>
    <row r="2410" x14ac:dyDescent="0.25">
      <c r="A2410" t="n">
        <v>25</v>
      </c>
      <c r="B2410" t="s">
        <v>14</v>
      </c>
      <c r="C2410" t="s">
        <v>22</v>
      </c>
      <c r="D2410" s="2" t="s">
        <f>=HYPERLINK("https://main.knesset.gov.il/APPS/legislation/main/bills/2215203", "הצעת חוק הרשויות המקומיות (פטור חיילים, נפגעי מלחמה ושוטרים מארנונה) (תיקון - הנחה בארנונה למשרת בשירות מילואים פעיל) (הוראת שעה), התשפ""ד-2024")</f>
        <v>4938</v>
      </c>
      <c r="E2410" t="s">
        <v>4938</v>
      </c>
      <c r="F2410" t="s">
        <v>5010</v>
      </c>
      <c r="G2410" t="s">
        <v>14</v>
      </c>
      <c r="H2410">
             </c>
      <c r="I2410" t="s">
        <v>14</v>
      </c>
      <c r="J2410" t="s">
        <v>55</v>
      </c>
      <c r="K2410" t="s">
        <v>14</v>
      </c>
      <c r="L2410" t="s">
        <v>20</v>
      </c>
      <c r="M2410" t="s">
        <v>4998</v>
      </c>
      <c r="N2410" t="s">
        <v>14</v>
      </c>
    </row>
    <row r="2411" x14ac:dyDescent="0.25">
      <c r="A2411" t="n">
        <v>25</v>
      </c>
      <c r="B2411" t="s">
        <v>14</v>
      </c>
      <c r="C2411" t="s">
        <v>22</v>
      </c>
      <c r="D2411" s="2" t="s">
        <f>=HYPERLINK("https://main.knesset.gov.il/APPS/legislation/main/bills/2213395", "הצעת חוק הממשלה (תיקון - ביצוע בדיקת פוליגרף לחברי ועדת השרים לענייני ביטחון לאומי), התשפ""ד-2024")</f>
        <v>5011</v>
      </c>
      <c r="E2411" t="s">
        <v>5011</v>
      </c>
      <c r="F2411" t="s">
        <v>5012</v>
      </c>
      <c r="G2411" t="s">
        <v>14</v>
      </c>
      <c r="H2411">
             </c>
      <c r="I2411" t="s">
        <v>14</v>
      </c>
      <c r="J2411" t="s">
        <v>55</v>
      </c>
      <c r="K2411" t="s">
        <v>14</v>
      </c>
      <c r="L2411" t="s">
        <v>20</v>
      </c>
      <c r="M2411" t="s">
        <v>4998</v>
      </c>
      <c r="N2411" t="s">
        <v>14</v>
      </c>
    </row>
    <row r="2412" x14ac:dyDescent="0.25">
      <c r="A2412" t="n">
        <v>25</v>
      </c>
      <c r="B2412" t="s">
        <v>14</v>
      </c>
      <c r="C2412" t="s">
        <v>22</v>
      </c>
      <c r="D2412" s="2" t="s">
        <f>=HYPERLINK("https://main.knesset.gov.il/APPS/legislation/main/bills/2202192", "הצעת חוק ביטוח בריאות ממלכתי (תיקון - סבסוד מחוללי חמצן ניידים), התשפ""ג-2023")</f>
        <v>5013</v>
      </c>
      <c r="E2412" t="s">
        <v>5013</v>
      </c>
      <c r="F2412" t="s">
        <v>5014</v>
      </c>
      <c r="G2412" t="s">
        <v>14</v>
      </c>
      <c r="H2412">
             </c>
      <c r="I2412" t="s">
        <v>14</v>
      </c>
      <c r="J2412" t="s">
        <v>55</v>
      </c>
      <c r="K2412" t="s">
        <v>14</v>
      </c>
      <c r="L2412" t="s">
        <v>20</v>
      </c>
      <c r="M2412" t="s">
        <v>4998</v>
      </c>
      <c r="N2412" t="s">
        <v>14</v>
      </c>
    </row>
    <row r="2413" x14ac:dyDescent="0.25">
      <c r="A2413" t="n">
        <v>25</v>
      </c>
      <c r="B2413" t="s">
        <v>14</v>
      </c>
      <c r="C2413" t="s">
        <v>15</v>
      </c>
      <c r="D2413" s="2" t="s">
        <f>=HYPERLINK("https://main.knesset.gov.il/APPS/legislation/main/bills/2223553", "הצעת חוק ההוצאה לפועל (תיקון מס' 78) (דיין הוצאה לפועל), התשפ""ה-2024 ")</f>
        <v>5015</v>
      </c>
      <c r="E2413" t="s">
        <v>5015</v>
      </c>
      <c r="F2413" t="s">
        <v>14</v>
      </c>
      <c r="G2413" t="s">
        <v>5016</v>
      </c>
      <c r="H2413">
             </c>
      <c r="I2413" t="s">
        <v>14</v>
      </c>
      <c r="J2413" t="s">
        <v>18</v>
      </c>
      <c r="K2413" t="s">
        <v>27</v>
      </c>
      <c r="L2413" t="s">
        <v>20</v>
      </c>
      <c r="M2413" t="s">
        <v>5017</v>
      </c>
      <c r="N2413" t="s">
        <v>14</v>
      </c>
    </row>
    <row r="2414" x14ac:dyDescent="0.25">
      <c r="A2414" t="n">
        <v>25</v>
      </c>
      <c r="B2414" t="s">
        <v>14</v>
      </c>
      <c r="C2414" t="s">
        <v>22</v>
      </c>
      <c r="D2414" s="2" t="s">
        <f>=HYPERLINK("https://main.knesset.gov.il/APPS/legislation/main/bills/2221692", "הצעת חוק הקמת מחלקה לגיבוש תפיסת מודיעין חלופית (""איפכא מסתברא"") מגופי המודיעין, התשפ""ה-2024")</f>
        <v>5018</v>
      </c>
      <c r="E2414" t="s">
        <v>5018</v>
      </c>
      <c r="F2414" t="s">
        <v>5019</v>
      </c>
      <c r="G2414" t="s">
        <v>14</v>
      </c>
      <c r="H2414">
             </c>
      <c r="I2414" t="s">
        <v>14</v>
      </c>
      <c r="J2414" t="s">
        <v>31</v>
      </c>
      <c r="K2414" t="s">
        <v>114</v>
      </c>
      <c r="L2414" t="s">
        <v>20</v>
      </c>
      <c r="M2414" t="s">
        <v>5020</v>
      </c>
      <c r="N2414" t="s">
        <v>14</v>
      </c>
    </row>
    <row r="2415" x14ac:dyDescent="0.25">
      <c r="A2415" t="n">
        <v>25</v>
      </c>
      <c r="B2415" t="s">
        <v>14</v>
      </c>
      <c r="C2415" t="s">
        <v>22</v>
      </c>
      <c r="D2415" s="2" t="s">
        <f>=HYPERLINK("https://main.knesset.gov.il/APPS/legislation/main/bills/2198381", "חוק עידוד תרומות מזון (תיקון), התשפ""ה–2024")</f>
        <v>5021</v>
      </c>
      <c r="E2415" t="s">
        <v>5021</v>
      </c>
      <c r="F2415" t="s">
        <v>5022</v>
      </c>
      <c r="G2415" t="s">
        <v>5023</v>
      </c>
      <c r="H2415" t="n">
        <v>3321</v>
      </c>
      <c r="I2415" t="s">
        <v>14</v>
      </c>
      <c r="J2415" t="s">
        <v>91</v>
      </c>
      <c r="K2415" t="s">
        <v>127</v>
      </c>
      <c r="L2415" t="s">
        <v>20</v>
      </c>
      <c r="M2415" t="s">
        <v>5020</v>
      </c>
      <c r="N2415" t="s">
        <v>5024</v>
      </c>
    </row>
    <row r="2416" x14ac:dyDescent="0.25">
      <c r="A2416" t="n">
        <v>25</v>
      </c>
      <c r="B2416" t="s">
        <v>14</v>
      </c>
      <c r="C2416" t="s">
        <v>15</v>
      </c>
      <c r="D2416" s="2" t="s">
        <f>=HYPERLINK("https://main.knesset.gov.il/APPS/legislation/main/bills/2192014", "חוק הטיס (תיקון מס' 6), התשפ""ה-2024 ")</f>
        <v>5025</v>
      </c>
      <c r="E2416" t="s">
        <v>5025</v>
      </c>
      <c r="F2416" t="s">
        <v>14</v>
      </c>
      <c r="G2416" t="s">
        <v>5026</v>
      </c>
      <c r="H2416" t="n">
        <v>3320</v>
      </c>
      <c r="I2416" t="s">
        <v>14</v>
      </c>
      <c r="J2416" t="s">
        <v>91</v>
      </c>
      <c r="K2416" t="s">
        <v>19</v>
      </c>
      <c r="L2416" t="s">
        <v>20</v>
      </c>
      <c r="M2416" t="s">
        <v>5020</v>
      </c>
      <c r="N2416" t="s">
        <v>5027</v>
      </c>
    </row>
    <row r="2417" x14ac:dyDescent="0.25">
      <c r="A2417" t="n">
        <v>25</v>
      </c>
      <c r="B2417" t="s">
        <v>14</v>
      </c>
      <c r="C2417" t="s">
        <v>22</v>
      </c>
      <c r="D2417" s="2" t="s">
        <f>=HYPERLINK("https://main.knesset.gov.il/APPS/legislation/main/bills/2221109", "הצעת חוק הנוער (שפיטה, ענישה ודרכי טיפול) (תיקון - דלתיים סגורות), התשפ""ה-2024")</f>
        <v>5028</v>
      </c>
      <c r="E2417" t="s">
        <v>5028</v>
      </c>
      <c r="F2417" t="s">
        <v>5029</v>
      </c>
      <c r="G2417" t="s">
        <v>14</v>
      </c>
      <c r="H2417">
             </c>
      <c r="I2417" t="s">
        <v>14</v>
      </c>
      <c r="J2417" t="s">
        <v>141</v>
      </c>
      <c r="K2417" t="s">
        <v>14</v>
      </c>
      <c r="L2417" t="s">
        <v>20</v>
      </c>
      <c r="M2417" t="s">
        <v>5020</v>
      </c>
      <c r="N2417" t="s">
        <v>14</v>
      </c>
    </row>
    <row r="2418" x14ac:dyDescent="0.25">
      <c r="A2418" t="n">
        <v>25</v>
      </c>
      <c r="B2418" t="s">
        <v>14</v>
      </c>
      <c r="C2418" t="s">
        <v>22</v>
      </c>
      <c r="D2418" s="2" t="s">
        <f>=HYPERLINK("https://main.knesset.gov.il/APPS/legislation/main/bills/2223721", "הצעת חוק-יסוד: שירות מילואים")</f>
        <v>4829</v>
      </c>
      <c r="E2418" t="s">
        <v>4829</v>
      </c>
      <c r="F2418" t="s">
        <v>5030</v>
      </c>
      <c r="G2418" t="s">
        <v>14</v>
      </c>
      <c r="H2418">
             </c>
      <c r="I2418" t="s">
        <v>14</v>
      </c>
      <c r="J2418" t="s">
        <v>141</v>
      </c>
      <c r="K2418" t="s">
        <v>14</v>
      </c>
      <c r="L2418" t="s">
        <v>20</v>
      </c>
      <c r="M2418" t="s">
        <v>5020</v>
      </c>
      <c r="N2418" t="s">
        <v>14</v>
      </c>
    </row>
    <row r="2419" x14ac:dyDescent="0.25">
      <c r="A2419" t="n">
        <v>25</v>
      </c>
      <c r="B2419" t="s">
        <v>14</v>
      </c>
      <c r="C2419" t="s">
        <v>22</v>
      </c>
      <c r="D2419" s="2" t="s">
        <f>=HYPERLINK("https://main.knesset.gov.il/APPS/legislation/main/bills/2223612", "הצעת חוק להקפאת כספים ששילמה הרשות הפלסטינית בזיקה לטרור מהכספים המועברים אליה מממשלת ישראל (תיקון - הקפאת כספי הרשות הפלסטינית בגין טיפולים רפואיים לאסיר ביטחוני), התשפ""ה-2024")</f>
        <v>5031</v>
      </c>
      <c r="E2419" t="s">
        <v>5031</v>
      </c>
      <c r="F2419" t="s">
        <v>5032</v>
      </c>
      <c r="G2419" t="s">
        <v>14</v>
      </c>
      <c r="H2419">
             </c>
      <c r="I2419" t="s">
        <v>14</v>
      </c>
      <c r="J2419" t="s">
        <v>141</v>
      </c>
      <c r="K2419" t="s">
        <v>14</v>
      </c>
      <c r="L2419" t="s">
        <v>20</v>
      </c>
      <c r="M2419" t="s">
        <v>5020</v>
      </c>
      <c r="N2419" t="s">
        <v>14</v>
      </c>
    </row>
    <row r="2420" x14ac:dyDescent="0.25">
      <c r="A2420" t="n">
        <v>25</v>
      </c>
      <c r="B2420" t="s">
        <v>14</v>
      </c>
      <c r="C2420" t="s">
        <v>22</v>
      </c>
      <c r="D2420" s="2" t="s">
        <f>=HYPERLINK("https://main.knesset.gov.il/APPS/legislation/main/bills/2222645", "הצעת חוק להקפאת כספים ששילמה הרשות הפלסטינית בזיקה לטרור מהכספים המועברים אליה מממשלת ישראל (תיקון - קיזוז עלויות טיפולים רפואיים במחבלים), התשפ""ה-2024")</f>
        <v>5033</v>
      </c>
      <c r="E2420" t="s">
        <v>5033</v>
      </c>
      <c r="F2420" t="s">
        <v>5034</v>
      </c>
      <c r="G2420" t="s">
        <v>14</v>
      </c>
      <c r="H2420">
             </c>
      <c r="I2420" t="s">
        <v>14</v>
      </c>
      <c r="J2420" t="s">
        <v>141</v>
      </c>
      <c r="K2420" t="s">
        <v>14</v>
      </c>
      <c r="L2420" t="s">
        <v>20</v>
      </c>
      <c r="M2420" t="s">
        <v>5020</v>
      </c>
      <c r="N2420" t="s">
        <v>14</v>
      </c>
    </row>
    <row r="2421" x14ac:dyDescent="0.25">
      <c r="A2421" t="n">
        <v>25</v>
      </c>
      <c r="B2421" t="s">
        <v>14</v>
      </c>
      <c r="C2421" t="s">
        <v>22</v>
      </c>
      <c r="D2421" s="2" t="s">
        <f>=HYPERLINK("https://main.knesset.gov.il/APPS/legislation/main/bills/2221079", "הצעת חוק זכות יוצרים (תיקון - תשלום תמלוגים), התשפ""ה-2024")</f>
        <v>5035</v>
      </c>
      <c r="E2421" t="s">
        <v>5035</v>
      </c>
      <c r="F2421" t="s">
        <v>5036</v>
      </c>
      <c r="G2421" t="s">
        <v>14</v>
      </c>
      <c r="H2421">
             </c>
      <c r="I2421" t="s">
        <v>14</v>
      </c>
      <c r="J2421" t="s">
        <v>141</v>
      </c>
      <c r="K2421" t="s">
        <v>14</v>
      </c>
      <c r="L2421" t="s">
        <v>20</v>
      </c>
      <c r="M2421" t="s">
        <v>5020</v>
      </c>
      <c r="N2421" t="s">
        <v>14</v>
      </c>
    </row>
    <row r="2422" x14ac:dyDescent="0.25">
      <c r="A2422" t="n">
        <v>25</v>
      </c>
      <c r="B2422" t="s">
        <v>14</v>
      </c>
      <c r="C2422" t="s">
        <v>22</v>
      </c>
      <c r="D2422" s="2" t="s">
        <f>=HYPERLINK("https://main.knesset.gov.il/APPS/legislation/main/bills/2222367", "הצעת חוק סמכויות להתמודדות עם כלי טיס בלתי מאויש, התשפ""ה-2024")</f>
        <v>5037</v>
      </c>
      <c r="E2422" t="s">
        <v>5037</v>
      </c>
      <c r="F2422" t="s">
        <v>5038</v>
      </c>
      <c r="G2422" t="s">
        <v>14</v>
      </c>
      <c r="H2422">
             </c>
      <c r="I2422" t="s">
        <v>14</v>
      </c>
      <c r="J2422" t="s">
        <v>141</v>
      </c>
      <c r="K2422" t="s">
        <v>14</v>
      </c>
      <c r="L2422" t="s">
        <v>20</v>
      </c>
      <c r="M2422" t="s">
        <v>5020</v>
      </c>
      <c r="N2422" t="s">
        <v>14</v>
      </c>
    </row>
    <row r="2423" x14ac:dyDescent="0.25">
      <c r="A2423" t="n">
        <v>25</v>
      </c>
      <c r="B2423" t="s">
        <v>14</v>
      </c>
      <c r="C2423" t="s">
        <v>22</v>
      </c>
      <c r="D2423" s="2" t="s">
        <f>=HYPERLINK("https://main.knesset.gov.il/APPS/legislation/main/bills/2223641", "הצעת חוק הכניסה לישראל (תיקון - תוקף צווי הגבלת שימוש במקום וסמכויות תפיסה וחילוט), התשפ""ה-2024")</f>
        <v>5039</v>
      </c>
      <c r="E2423" t="s">
        <v>5039</v>
      </c>
      <c r="F2423" t="s">
        <v>5040</v>
      </c>
      <c r="G2423" t="s">
        <v>14</v>
      </c>
      <c r="H2423">
             </c>
      <c r="I2423" t="s">
        <v>14</v>
      </c>
      <c r="J2423" t="s">
        <v>141</v>
      </c>
      <c r="K2423" t="s">
        <v>14</v>
      </c>
      <c r="L2423" t="s">
        <v>20</v>
      </c>
      <c r="M2423" t="s">
        <v>5020</v>
      </c>
      <c r="N2423" t="s">
        <v>14</v>
      </c>
    </row>
    <row r="2424" x14ac:dyDescent="0.25">
      <c r="A2424" t="n">
        <v>25</v>
      </c>
      <c r="B2424" t="s">
        <v>14</v>
      </c>
      <c r="C2424" t="s">
        <v>22</v>
      </c>
      <c r="D2424" s="2" t="s">
        <f>=HYPERLINK("https://main.knesset.gov.il/APPS/legislation/main/bills/2223724", "הצעת חוק לתיקון פקודת בתי הסוהר (שלילת ביקורים מאסירים המשתייכים לארגון טרור), התשפ""ה-2024 ")</f>
        <v>5041</v>
      </c>
      <c r="E2424" t="s">
        <v>5041</v>
      </c>
      <c r="F2424" t="s">
        <v>5042</v>
      </c>
      <c r="G2424" t="s">
        <v>14</v>
      </c>
      <c r="H2424">
             </c>
      <c r="I2424" t="s">
        <v>14</v>
      </c>
      <c r="J2424" t="s">
        <v>141</v>
      </c>
      <c r="K2424" t="s">
        <v>14</v>
      </c>
      <c r="L2424" t="s">
        <v>20</v>
      </c>
      <c r="M2424" t="s">
        <v>5020</v>
      </c>
      <c r="N2424" t="s">
        <v>14</v>
      </c>
    </row>
    <row r="2425" x14ac:dyDescent="0.25">
      <c r="A2425" t="n">
        <v>25</v>
      </c>
      <c r="B2425" t="s">
        <v>14</v>
      </c>
      <c r="C2425" t="s">
        <v>22</v>
      </c>
      <c r="D2425" s="2" t="s">
        <f>=HYPERLINK("https://main.knesset.gov.il/APPS/legislation/main/bills/2223622", "הצעת חוק הקמת מחלקה לגיבוש תפיסת מודיעין חלופית (""איפכא מסתברא"") מגופי המודיעין, התשפ""ה-2024")</f>
        <v>5018</v>
      </c>
      <c r="E2425" t="s">
        <v>5018</v>
      </c>
      <c r="F2425" t="s">
        <v>5043</v>
      </c>
      <c r="G2425" t="s">
        <v>14</v>
      </c>
      <c r="H2425">
             </c>
      <c r="I2425" t="s">
        <v>14</v>
      </c>
      <c r="J2425" t="s">
        <v>141</v>
      </c>
      <c r="K2425" t="s">
        <v>14</v>
      </c>
      <c r="L2425" t="s">
        <v>20</v>
      </c>
      <c r="M2425" t="s">
        <v>5020</v>
      </c>
      <c r="N2425" t="s">
        <v>14</v>
      </c>
    </row>
    <row r="2426" x14ac:dyDescent="0.25">
      <c r="A2426" t="n">
        <v>25</v>
      </c>
      <c r="B2426" t="s">
        <v>14</v>
      </c>
      <c r="C2426" t="s">
        <v>22</v>
      </c>
      <c r="D2426" s="2" t="s">
        <f>=HYPERLINK("https://main.knesset.gov.il/APPS/legislation/main/bills/2223351", "הצעת חוק הביטוח הלאומי (תיקון - פטור מהשבת תשלום ביתר של תגמול מילואים לעצמאי) (הוראת שעה - חרבות ברזל), התשפ""ה-2024")</f>
        <v>5044</v>
      </c>
      <c r="E2426" t="s">
        <v>5044</v>
      </c>
      <c r="F2426" t="s">
        <v>5045</v>
      </c>
      <c r="G2426" t="s">
        <v>14</v>
      </c>
      <c r="H2426">
             </c>
      <c r="I2426" t="s">
        <v>14</v>
      </c>
      <c r="J2426" t="s">
        <v>141</v>
      </c>
      <c r="K2426" t="s">
        <v>14</v>
      </c>
      <c r="L2426" t="s">
        <v>20</v>
      </c>
      <c r="M2426" t="s">
        <v>5020</v>
      </c>
      <c r="N2426" t="s">
        <v>14</v>
      </c>
    </row>
    <row r="2427" x14ac:dyDescent="0.25">
      <c r="A2427" t="n">
        <v>25</v>
      </c>
      <c r="B2427" t="s">
        <v>14</v>
      </c>
      <c r="C2427" t="s">
        <v>22</v>
      </c>
      <c r="D2427" s="2" t="s">
        <f>=HYPERLINK("https://main.knesset.gov.il/APPS/legislation/main/bills/2221268", "הצעת חוק התגמולים לנפגעי פעולות איבה (תיקון - משפחה מלווה ליתומים בגירים), התשפ""ה-2024")</f>
        <v>4620</v>
      </c>
      <c r="E2427" t="s">
        <v>4620</v>
      </c>
      <c r="F2427" t="s">
        <v>5046</v>
      </c>
      <c r="G2427" t="s">
        <v>14</v>
      </c>
      <c r="H2427">
             </c>
      <c r="I2427" t="s">
        <v>14</v>
      </c>
      <c r="J2427" t="s">
        <v>141</v>
      </c>
      <c r="K2427" t="s">
        <v>14</v>
      </c>
      <c r="L2427" t="s">
        <v>20</v>
      </c>
      <c r="M2427" t="s">
        <v>5020</v>
      </c>
      <c r="N2427" t="s">
        <v>14</v>
      </c>
    </row>
    <row r="2428" x14ac:dyDescent="0.25">
      <c r="A2428" t="n">
        <v>25</v>
      </c>
      <c r="B2428" t="s">
        <v>14</v>
      </c>
      <c r="C2428" t="s">
        <v>22</v>
      </c>
      <c r="D2428" s="2" t="s">
        <f>=HYPERLINK("https://main.knesset.gov.il/APPS/legislation/main/bills/2223428", "הצעת חוק תאגידי מים וביוב (תיקון - פטור ממס חברות, מס דיבידנד ומס ריבית על הלוואה לשנים 2024 עד 2026), התשפ""ה-2024")</f>
        <v>4889</v>
      </c>
      <c r="E2428" t="s">
        <v>4889</v>
      </c>
      <c r="F2428" t="s">
        <v>5047</v>
      </c>
      <c r="G2428" t="s">
        <v>14</v>
      </c>
      <c r="H2428">
             </c>
      <c r="I2428" t="s">
        <v>14</v>
      </c>
      <c r="J2428" t="s">
        <v>141</v>
      </c>
      <c r="K2428" t="s">
        <v>14</v>
      </c>
      <c r="L2428" t="s">
        <v>20</v>
      </c>
      <c r="M2428" t="s">
        <v>5020</v>
      </c>
      <c r="N2428" t="s">
        <v>14</v>
      </c>
    </row>
    <row r="2429" x14ac:dyDescent="0.25">
      <c r="A2429" t="n">
        <v>25</v>
      </c>
      <c r="B2429" t="s">
        <v>14</v>
      </c>
      <c r="C2429" t="s">
        <v>22</v>
      </c>
      <c r="D2429" s="2" t="s">
        <f>=HYPERLINK("https://main.knesset.gov.il/APPS/legislation/main/bills/2219407", "הצעת חוק למניעת העסקה של עברייני מין במוסדות מסוימים (תיקון - איסור העסקה במוסד אקדמי), התשפ""ה-2024 ")</f>
        <v>5048</v>
      </c>
      <c r="E2429" t="s">
        <v>5048</v>
      </c>
      <c r="F2429" t="s">
        <v>5049</v>
      </c>
      <c r="G2429" t="s">
        <v>14</v>
      </c>
      <c r="H2429">
             </c>
      <c r="I2429" t="s">
        <v>14</v>
      </c>
      <c r="J2429" t="s">
        <v>141</v>
      </c>
      <c r="K2429" t="s">
        <v>14</v>
      </c>
      <c r="L2429" t="s">
        <v>20</v>
      </c>
      <c r="M2429" t="s">
        <v>5020</v>
      </c>
      <c r="N2429" t="s">
        <v>14</v>
      </c>
    </row>
    <row r="2430" x14ac:dyDescent="0.25">
      <c r="A2430" t="n">
        <v>25</v>
      </c>
      <c r="B2430" t="s">
        <v>14</v>
      </c>
      <c r="C2430" t="s">
        <v>22</v>
      </c>
      <c r="D2430" s="2" t="s">
        <f>=HYPERLINK("https://main.knesset.gov.il/APPS/legislation/main/bills/2223718", "הצעת חוק זכויות הסטודנט (תיקון - העדפה מתקנת ללוחמים), התשפ""ה-2024")</f>
        <v>4907</v>
      </c>
      <c r="E2430" t="s">
        <v>4907</v>
      </c>
      <c r="F2430" t="s">
        <v>5050</v>
      </c>
      <c r="G2430" t="s">
        <v>14</v>
      </c>
      <c r="H2430">
             </c>
      <c r="I2430" t="s">
        <v>14</v>
      </c>
      <c r="J2430" t="s">
        <v>141</v>
      </c>
      <c r="K2430" t="s">
        <v>14</v>
      </c>
      <c r="L2430" t="s">
        <v>20</v>
      </c>
      <c r="M2430" t="s">
        <v>5020</v>
      </c>
      <c r="N2430" t="s">
        <v>14</v>
      </c>
    </row>
    <row r="2431" x14ac:dyDescent="0.25">
      <c r="A2431" t="n">
        <v>25</v>
      </c>
      <c r="B2431" t="s">
        <v>14</v>
      </c>
      <c r="C2431" t="s">
        <v>22</v>
      </c>
      <c r="D2431" s="2" t="s">
        <f>=HYPERLINK("https://main.knesset.gov.il/APPS/legislation/main/bills/2224087", "הצעת חוק העונשין (תיקון - החמרת ענישה על החזקת מכשיר לשיבוש תדרי קליטה), התשפ""ה-2024")</f>
        <v>5051</v>
      </c>
      <c r="E2431" t="s">
        <v>5051</v>
      </c>
      <c r="F2431" t="s">
        <v>5052</v>
      </c>
      <c r="G2431" t="s">
        <v>14</v>
      </c>
      <c r="H2431">
             </c>
      <c r="I2431" t="s">
        <v>14</v>
      </c>
      <c r="J2431" t="s">
        <v>141</v>
      </c>
      <c r="K2431" t="s">
        <v>14</v>
      </c>
      <c r="L2431" t="s">
        <v>20</v>
      </c>
      <c r="M2431" t="s">
        <v>5020</v>
      </c>
      <c r="N2431" t="s">
        <v>14</v>
      </c>
    </row>
    <row r="2432" x14ac:dyDescent="0.25">
      <c r="A2432" t="n">
        <v>25</v>
      </c>
      <c r="B2432" t="s">
        <v>14</v>
      </c>
      <c r="C2432" t="s">
        <v>22</v>
      </c>
      <c r="D2432" s="2" t="s">
        <f>=HYPERLINK("https://main.knesset.gov.il/APPS/legislation/main/bills/2223412", "הצעת חוק הביטוח הלאומי (תיקון - שלילת קצבאות ממחבלים), התשפ""ה-2024")</f>
        <v>5053</v>
      </c>
      <c r="E2432" t="s">
        <v>5053</v>
      </c>
      <c r="F2432" t="s">
        <v>5054</v>
      </c>
      <c r="G2432" t="s">
        <v>14</v>
      </c>
      <c r="H2432">
             </c>
      <c r="I2432" t="s">
        <v>14</v>
      </c>
      <c r="J2432" t="s">
        <v>141</v>
      </c>
      <c r="K2432" t="s">
        <v>14</v>
      </c>
      <c r="L2432" t="s">
        <v>20</v>
      </c>
      <c r="M2432" t="s">
        <v>5020</v>
      </c>
      <c r="N2432" t="s">
        <v>14</v>
      </c>
    </row>
    <row r="2433" x14ac:dyDescent="0.25">
      <c r="A2433" t="n">
        <v>25</v>
      </c>
      <c r="B2433" t="s">
        <v>14</v>
      </c>
      <c r="C2433" t="s">
        <v>22</v>
      </c>
      <c r="D2433" s="2" t="s">
        <f>=HYPERLINK("https://main.knesset.gov.il/APPS/legislation/main/bills/2224092", "הצעת חוק משפחות חיילים שנספו במערכה (תגמולים ושיקום) (תיקון - הכרה במי שנספה בפגיעת איבה כחייל שנספה במערכה) (הוראת שעה - חרבות ברזל), התשפ""ה-2024")</f>
        <v>5055</v>
      </c>
      <c r="E2433" t="s">
        <v>5055</v>
      </c>
      <c r="F2433" t="s">
        <v>5056</v>
      </c>
      <c r="G2433" t="s">
        <v>14</v>
      </c>
      <c r="H2433">
             </c>
      <c r="I2433" t="s">
        <v>14</v>
      </c>
      <c r="J2433" t="s">
        <v>141</v>
      </c>
      <c r="K2433" t="s">
        <v>14</v>
      </c>
      <c r="L2433" t="s">
        <v>20</v>
      </c>
      <c r="M2433" t="s">
        <v>5020</v>
      </c>
      <c r="N2433" t="s">
        <v>14</v>
      </c>
    </row>
    <row r="2434" x14ac:dyDescent="0.25">
      <c r="A2434" t="n">
        <v>25</v>
      </c>
      <c r="B2434" t="s">
        <v>14</v>
      </c>
      <c r="C2434" t="s">
        <v>22</v>
      </c>
      <c r="D2434" s="2" t="s">
        <f>=HYPERLINK("https://main.knesset.gov.il/APPS/legislation/main/bills/2224093", "הצעת חוק הביטוח הלאומי (תיקון - חישוב תגמול מילואים למשוחרר משירות קבע או לפורש ממנו) (הוראת שעה - חרבות ברזל), התשפ""ה-2024")</f>
        <v>5057</v>
      </c>
      <c r="E2434" t="s">
        <v>5057</v>
      </c>
      <c r="F2434" t="s">
        <v>5058</v>
      </c>
      <c r="G2434" t="s">
        <v>14</v>
      </c>
      <c r="H2434">
             </c>
      <c r="I2434" t="s">
        <v>14</v>
      </c>
      <c r="J2434" t="s">
        <v>141</v>
      </c>
      <c r="K2434" t="s">
        <v>14</v>
      </c>
      <c r="L2434" t="s">
        <v>20</v>
      </c>
      <c r="M2434" t="s">
        <v>5020</v>
      </c>
      <c r="N2434" t="s">
        <v>14</v>
      </c>
    </row>
    <row r="2435" x14ac:dyDescent="0.25">
      <c r="A2435" t="n">
        <v>25</v>
      </c>
      <c r="B2435" t="s">
        <v>14</v>
      </c>
      <c r="C2435" t="s">
        <v>22</v>
      </c>
      <c r="D2435" s="2" t="s">
        <f>=HYPERLINK("https://main.knesset.gov.il/APPS/legislation/main/bills/2223642", "הצעת חוק מס ערך מוסף (תיקון - פטור ממס על בניית מרחב מוגן ביישוב צמוד גדר), התשפ""ה-2024")</f>
        <v>4972</v>
      </c>
      <c r="E2435" t="s">
        <v>4972</v>
      </c>
      <c r="F2435" t="s">
        <v>5059</v>
      </c>
      <c r="G2435" t="s">
        <v>14</v>
      </c>
      <c r="H2435">
             </c>
      <c r="I2435" t="s">
        <v>14</v>
      </c>
      <c r="J2435" t="s">
        <v>141</v>
      </c>
      <c r="K2435" t="s">
        <v>14</v>
      </c>
      <c r="L2435" t="s">
        <v>20</v>
      </c>
      <c r="M2435" t="s">
        <v>5020</v>
      </c>
      <c r="N2435" t="s">
        <v>14</v>
      </c>
    </row>
    <row r="2436" x14ac:dyDescent="0.25">
      <c r="A2436" t="n">
        <v>25</v>
      </c>
      <c r="B2436" t="s">
        <v>14</v>
      </c>
      <c r="C2436" t="s">
        <v>22</v>
      </c>
      <c r="D2436" s="2" t="s">
        <f>=HYPERLINK("https://main.knesset.gov.il/APPS/legislation/main/bills/2223698", "הצעת חוק שיפוט בתי דין דתיים (בוררות), התשפ""ה-2024")</f>
        <v>5060</v>
      </c>
      <c r="E2436" t="s">
        <v>5060</v>
      </c>
      <c r="F2436" t="s">
        <v>5061</v>
      </c>
      <c r="G2436" t="s">
        <v>14</v>
      </c>
      <c r="H2436">
             </c>
      <c r="I2436" t="s">
        <v>14</v>
      </c>
      <c r="J2436" t="s">
        <v>141</v>
      </c>
      <c r="K2436" t="s">
        <v>14</v>
      </c>
      <c r="L2436" t="s">
        <v>20</v>
      </c>
      <c r="M2436" t="s">
        <v>5020</v>
      </c>
      <c r="N2436" t="s">
        <v>14</v>
      </c>
    </row>
    <row r="2437" x14ac:dyDescent="0.25">
      <c r="A2437" t="n">
        <v>25</v>
      </c>
      <c r="B2437" t="s">
        <v>14</v>
      </c>
      <c r="C2437" t="s">
        <v>22</v>
      </c>
      <c r="D2437" s="2" t="s">
        <f>=HYPERLINK("https://main.knesset.gov.il/APPS/legislation/main/bills/2223715", "הצעת חוק פיקוח על מחירי מצרכים ושירותים (תיקון - פיקוח על מוצרי מזון בריא בסיסיים), התשפ""ה-2024 ")</f>
        <v>4993</v>
      </c>
      <c r="E2437" t="s">
        <v>4993</v>
      </c>
      <c r="F2437" t="s">
        <v>5062</v>
      </c>
      <c r="G2437" t="s">
        <v>14</v>
      </c>
      <c r="H2437">
             </c>
      <c r="I2437" t="s">
        <v>14</v>
      </c>
      <c r="J2437" t="s">
        <v>141</v>
      </c>
      <c r="K2437" t="s">
        <v>14</v>
      </c>
      <c r="L2437" t="s">
        <v>20</v>
      </c>
      <c r="M2437" t="s">
        <v>5020</v>
      </c>
      <c r="N2437" t="s">
        <v>14</v>
      </c>
    </row>
    <row r="2438" x14ac:dyDescent="0.25">
      <c r="A2438" t="n">
        <v>25</v>
      </c>
      <c r="B2438" t="s">
        <v>14</v>
      </c>
      <c r="C2438" t="s">
        <v>22</v>
      </c>
      <c r="D2438" s="2" t="s">
        <f>=HYPERLINK("https://main.knesset.gov.il/APPS/legislation/main/bills/2223697", "הצעת חוק לביטול ההתיישנות בעבירות מין (תיקוני חקיקה), התשפ""ה-2024")</f>
        <v>5063</v>
      </c>
      <c r="E2438" t="s">
        <v>5063</v>
      </c>
      <c r="F2438" t="s">
        <v>5064</v>
      </c>
      <c r="G2438" t="s">
        <v>14</v>
      </c>
      <c r="H2438">
             </c>
      <c r="I2438" t="s">
        <v>14</v>
      </c>
      <c r="J2438" t="s">
        <v>141</v>
      </c>
      <c r="K2438" t="s">
        <v>14</v>
      </c>
      <c r="L2438" t="s">
        <v>20</v>
      </c>
      <c r="M2438" t="s">
        <v>5020</v>
      </c>
      <c r="N2438" t="s">
        <v>14</v>
      </c>
    </row>
    <row r="2439" x14ac:dyDescent="0.25">
      <c r="A2439" t="n">
        <v>25</v>
      </c>
      <c r="B2439" t="s">
        <v>14</v>
      </c>
      <c r="C2439" t="s">
        <v>22</v>
      </c>
      <c r="D2439" s="2" t="s">
        <f>=HYPERLINK("https://main.knesset.gov.il/APPS/legislation/main/bills/2223633", "הצעת חוק הגבלת השימוש ורישום פעולות בחלקי רכב משומשים (מניעת גניבות) (תיקון - חובות החלות בעת רכישה או מכירה של רכב ניזוק), התשפ""ה-2024")</f>
        <v>4983</v>
      </c>
      <c r="E2439" t="s">
        <v>4983</v>
      </c>
      <c r="F2439" t="s">
        <v>5065</v>
      </c>
      <c r="G2439" t="s">
        <v>14</v>
      </c>
      <c r="H2439">
             </c>
      <c r="I2439" t="s">
        <v>14</v>
      </c>
      <c r="J2439" t="s">
        <v>141</v>
      </c>
      <c r="K2439" t="s">
        <v>14</v>
      </c>
      <c r="L2439" t="s">
        <v>20</v>
      </c>
      <c r="M2439" t="s">
        <v>5020</v>
      </c>
      <c r="N2439" t="s">
        <v>14</v>
      </c>
    </row>
    <row r="2440" x14ac:dyDescent="0.25">
      <c r="A2440" t="n">
        <v>25</v>
      </c>
      <c r="B2440" t="s">
        <v>14</v>
      </c>
      <c r="C2440" t="s">
        <v>22</v>
      </c>
      <c r="D2440" s="2" t="s">
        <f>=HYPERLINK("https://main.knesset.gov.il/APPS/legislation/main/bills/2222336", "הצעת חוק הפרטת גלי צה""ל, התשפ""ה-2024")</f>
        <v>4893</v>
      </c>
      <c r="E2440" t="s">
        <v>4893</v>
      </c>
      <c r="F2440" t="s">
        <v>5066</v>
      </c>
      <c r="G2440" t="s">
        <v>14</v>
      </c>
      <c r="H2440">
             </c>
      <c r="I2440" t="s">
        <v>14</v>
      </c>
      <c r="J2440" t="s">
        <v>141</v>
      </c>
      <c r="K2440" t="s">
        <v>14</v>
      </c>
      <c r="L2440" t="s">
        <v>20</v>
      </c>
      <c r="M2440" t="s">
        <v>5020</v>
      </c>
      <c r="N2440" t="s">
        <v>14</v>
      </c>
    </row>
    <row r="2441" x14ac:dyDescent="0.25">
      <c r="A2441" t="n">
        <v>25</v>
      </c>
      <c r="B2441" t="s">
        <v>14</v>
      </c>
      <c r="C2441" t="s">
        <v>22</v>
      </c>
      <c r="D2441" s="2" t="s">
        <f>=HYPERLINK("https://main.knesset.gov.il/APPS/legislation/main/bills/2223690", "הצעת חוק העונשין (תיקון - איסור הנפת דגל של ישות עוינת), התשפ""ה-2024")</f>
        <v>5067</v>
      </c>
      <c r="E2441" t="s">
        <v>5067</v>
      </c>
      <c r="F2441" t="s">
        <v>5068</v>
      </c>
      <c r="G2441" t="s">
        <v>14</v>
      </c>
      <c r="H2441">
             </c>
      <c r="I2441" t="s">
        <v>14</v>
      </c>
      <c r="J2441" t="s">
        <v>141</v>
      </c>
      <c r="K2441" t="s">
        <v>14</v>
      </c>
      <c r="L2441" t="s">
        <v>20</v>
      </c>
      <c r="M2441" t="s">
        <v>5020</v>
      </c>
      <c r="N2441" t="s">
        <v>14</v>
      </c>
    </row>
    <row r="2442" x14ac:dyDescent="0.25">
      <c r="A2442" t="n">
        <v>25</v>
      </c>
      <c r="B2442" t="s">
        <v>14</v>
      </c>
      <c r="C2442" t="s">
        <v>22</v>
      </c>
      <c r="D2442" s="2" t="s">
        <f>=HYPERLINK("https://main.knesset.gov.il/APPS/legislation/main/bills/2223950", "הצעת חוק המרכז לגביית קנסות, אגרות והוצאות (תיקון - חובת איתור חייבים), התשפ""ה-2024")</f>
        <v>4115</v>
      </c>
      <c r="E2442" t="s">
        <v>4115</v>
      </c>
      <c r="F2442" t="s">
        <v>5069</v>
      </c>
      <c r="G2442" t="s">
        <v>14</v>
      </c>
      <c r="H2442">
             </c>
      <c r="I2442" t="s">
        <v>14</v>
      </c>
      <c r="J2442" t="s">
        <v>141</v>
      </c>
      <c r="K2442" t="s">
        <v>14</v>
      </c>
      <c r="L2442" t="s">
        <v>20</v>
      </c>
      <c r="M2442" t="s">
        <v>5020</v>
      </c>
      <c r="N2442" t="s">
        <v>14</v>
      </c>
    </row>
    <row r="2443" x14ac:dyDescent="0.25">
      <c r="A2443" t="n">
        <v>25</v>
      </c>
      <c r="B2443" t="s">
        <v>14</v>
      </c>
      <c r="C2443" t="s">
        <v>22</v>
      </c>
      <c r="D2443" s="2" t="s">
        <f>=HYPERLINK("https://main.knesset.gov.il/APPS/legislation/main/bills/2223689", "הצעת חוק לחילוט תקבולי עבירה בשווי בעבירת גניבה חקלאית ובעבירות הגורמות נזק לרכוש חקלאי, התשפ""ה-2024")</f>
        <v>5070</v>
      </c>
      <c r="E2443" t="s">
        <v>5070</v>
      </c>
      <c r="F2443" t="s">
        <v>5071</v>
      </c>
      <c r="G2443" t="s">
        <v>14</v>
      </c>
      <c r="H2443">
             </c>
      <c r="I2443" t="s">
        <v>14</v>
      </c>
      <c r="J2443" t="s">
        <v>141</v>
      </c>
      <c r="K2443" t="s">
        <v>14</v>
      </c>
      <c r="L2443" t="s">
        <v>20</v>
      </c>
      <c r="M2443" t="s">
        <v>5020</v>
      </c>
      <c r="N2443" t="s">
        <v>14</v>
      </c>
    </row>
    <row r="2444" x14ac:dyDescent="0.25">
      <c r="A2444" t="n">
        <v>25</v>
      </c>
      <c r="B2444" t="s">
        <v>14</v>
      </c>
      <c r="C2444" t="s">
        <v>22</v>
      </c>
      <c r="D2444" s="2" t="s">
        <f>=HYPERLINK("https://main.knesset.gov.il/APPS/legislation/main/bills/2216076", "הצעת חוק לשכת עורכי הדין (תיקון מס' 45) (אימון שני מתמחים), התשפ""ה–2024")</f>
        <v>5072</v>
      </c>
      <c r="E2444" t="s">
        <v>5072</v>
      </c>
      <c r="F2444" t="s">
        <v>5073</v>
      </c>
      <c r="G2444" t="s">
        <v>5074</v>
      </c>
      <c r="H2444">
             </c>
      <c r="I2444" t="s">
        <v>14</v>
      </c>
      <c r="J2444" t="s">
        <v>18</v>
      </c>
      <c r="K2444" t="s">
        <v>27</v>
      </c>
      <c r="L2444" t="s">
        <v>20</v>
      </c>
      <c r="M2444" t="s">
        <v>5020</v>
      </c>
      <c r="N2444" t="s">
        <v>14</v>
      </c>
    </row>
    <row r="2445" x14ac:dyDescent="0.25">
      <c r="A2445" t="n">
        <v>25</v>
      </c>
      <c r="B2445" t="s">
        <v>14</v>
      </c>
      <c r="C2445" t="s">
        <v>22</v>
      </c>
      <c r="D2445" s="2" t="s">
        <f>=HYPERLINK("https://main.knesset.gov.il/APPS/legislation/main/bills/2197969", "הצעת חוק אומנה לילדים (תיקון - הזכות לחינוך לילדים בהשמה חוץ-ביתית), התשפ""ג-2023")</f>
        <v>5075</v>
      </c>
      <c r="E2445" t="s">
        <v>5075</v>
      </c>
      <c r="F2445" t="s">
        <v>5076</v>
      </c>
      <c r="G2445" t="s">
        <v>14</v>
      </c>
      <c r="H2445">
             </c>
      <c r="I2445" t="s">
        <v>14</v>
      </c>
      <c r="J2445" t="s">
        <v>99</v>
      </c>
      <c r="K2445" t="s">
        <v>127</v>
      </c>
      <c r="L2445" t="s">
        <v>20</v>
      </c>
      <c r="M2445" t="s">
        <v>5077</v>
      </c>
      <c r="N2445" t="s">
        <v>14</v>
      </c>
    </row>
    <row r="2446" x14ac:dyDescent="0.25">
      <c r="A2446" t="n">
        <v>25</v>
      </c>
      <c r="B2446" t="s">
        <v>14</v>
      </c>
      <c r="C2446" t="s">
        <v>22</v>
      </c>
      <c r="D2446" s="2" t="s">
        <f>=HYPERLINK("https://main.knesset.gov.il/APPS/legislation/main/bills/2216827", "חוק מגבלות על חזרתו של עבריין מין לסביבת נפגע העבירה (תיקון מס' 10), התשפ""ה–2024 ")</f>
        <v>5078</v>
      </c>
      <c r="E2446" t="s">
        <v>5078</v>
      </c>
      <c r="F2446" t="s">
        <v>5079</v>
      </c>
      <c r="G2446" t="s">
        <v>5080</v>
      </c>
      <c r="H2446" t="n">
        <v>3319</v>
      </c>
      <c r="I2446" t="s">
        <v>14</v>
      </c>
      <c r="J2446" t="s">
        <v>91</v>
      </c>
      <c r="K2446" t="s">
        <v>105</v>
      </c>
      <c r="L2446" t="s">
        <v>20</v>
      </c>
      <c r="M2446" t="s">
        <v>5077</v>
      </c>
      <c r="N2446" t="s">
        <v>5081</v>
      </c>
    </row>
    <row r="2447" x14ac:dyDescent="0.25">
      <c r="A2447" t="n">
        <v>25</v>
      </c>
      <c r="B2447" t="s">
        <v>14</v>
      </c>
      <c r="C2447" t="s">
        <v>15</v>
      </c>
      <c r="D2447" s="2" t="s">
        <f>=HYPERLINK("https://main.knesset.gov.il/APPS/legislation/main/bills/2223554", "חוק מניעת פגיעת גוף שידורים זר בביטחון המדינה (הוראת שעה – חרבות ברזל) (תיקון מס' 2), התשפ""ה-2024 ")</f>
        <v>5082</v>
      </c>
      <c r="E2447" t="s">
        <v>5082</v>
      </c>
      <c r="F2447" t="s">
        <v>14</v>
      </c>
      <c r="G2447" t="s">
        <v>5083</v>
      </c>
      <c r="H2447" t="n">
        <v>3318</v>
      </c>
      <c r="I2447" t="s">
        <v>14</v>
      </c>
      <c r="J2447" t="s">
        <v>91</v>
      </c>
      <c r="K2447" t="s">
        <v>105</v>
      </c>
      <c r="L2447" t="s">
        <v>20</v>
      </c>
      <c r="M2447" t="s">
        <v>5077</v>
      </c>
      <c r="N2447" t="s">
        <v>5084</v>
      </c>
    </row>
    <row r="2448" x14ac:dyDescent="0.25">
      <c r="A2448" t="n">
        <v>25</v>
      </c>
      <c r="B2448" t="s">
        <v>14</v>
      </c>
      <c r="C2448" t="s">
        <v>22</v>
      </c>
      <c r="D2448" s="2" t="s">
        <f>=HYPERLINK("https://main.knesset.gov.il/APPS/legislation/main/bills/2220907", "הצעת חוק קליטת חיילים משוחררים (תיקון - זכאות משרתי צבא ההגנה לישראל מקרן ""ממדים ללימודים""), התשפ""ד-2024")</f>
        <v>5085</v>
      </c>
      <c r="E2448" t="s">
        <v>5085</v>
      </c>
      <c r="F2448" t="s">
        <v>5086</v>
      </c>
      <c r="G2448" t="s">
        <v>14</v>
      </c>
      <c r="H2448">
             </c>
      <c r="I2448" t="s">
        <v>14</v>
      </c>
      <c r="J2448" t="s">
        <v>55</v>
      </c>
      <c r="K2448" t="s">
        <v>14</v>
      </c>
      <c r="L2448" t="s">
        <v>20</v>
      </c>
      <c r="M2448" t="s">
        <v>5077</v>
      </c>
      <c r="N2448" t="s">
        <v>14</v>
      </c>
    </row>
    <row r="2449" x14ac:dyDescent="0.25">
      <c r="A2449" t="n">
        <v>25</v>
      </c>
      <c r="B2449" t="s">
        <v>14</v>
      </c>
      <c r="C2449" t="s">
        <v>22</v>
      </c>
      <c r="D2449" s="2" t="s">
        <f>=HYPERLINK("https://main.knesset.gov.il/APPS/legislation/main/bills/2220847", "הצעת חוק כלי הירייה (תיקון - זכאות לרישיון כלי ירייה ללוחם שסיים את שירותו עקב פציעה בפעילות מבצעית), התשפ""ד-2024")</f>
        <v>5087</v>
      </c>
      <c r="E2449" t="s">
        <v>5087</v>
      </c>
      <c r="F2449" t="s">
        <v>5088</v>
      </c>
      <c r="G2449" t="s">
        <v>14</v>
      </c>
      <c r="H2449">
             </c>
      <c r="I2449" t="s">
        <v>14</v>
      </c>
      <c r="J2449" t="s">
        <v>31</v>
      </c>
      <c r="K2449" t="s">
        <v>105</v>
      </c>
      <c r="L2449" t="s">
        <v>20</v>
      </c>
      <c r="M2449" t="s">
        <v>5077</v>
      </c>
      <c r="N2449" t="s">
        <v>14</v>
      </c>
    </row>
    <row r="2450" x14ac:dyDescent="0.25">
      <c r="A2450" t="n">
        <v>25</v>
      </c>
      <c r="B2450" t="s">
        <v>14</v>
      </c>
      <c r="C2450" t="s">
        <v>22</v>
      </c>
      <c r="D2450" s="2" t="s">
        <f>=HYPERLINK("https://main.knesset.gov.il/APPS/legislation/main/bills/2216747", "הצעת חוק הפיקוח על שירותים פיננסיים (שירותים פיננסיים מוסדרים) (תיקון - מסירת מידע על עמלות וריביות בידי נותן שירותים פיננסיים), התשפ""ד-2024")</f>
        <v>5089</v>
      </c>
      <c r="E2450" t="s">
        <v>5089</v>
      </c>
      <c r="F2450" t="s">
        <v>5090</v>
      </c>
      <c r="G2450" t="s">
        <v>14</v>
      </c>
      <c r="H2450">
             </c>
      <c r="I2450" t="s">
        <v>14</v>
      </c>
      <c r="J2450" t="s">
        <v>31</v>
      </c>
      <c r="K2450" t="s">
        <v>19</v>
      </c>
      <c r="L2450" t="s">
        <v>20</v>
      </c>
      <c r="M2450" t="s">
        <v>5077</v>
      </c>
      <c r="N2450" t="s">
        <v>14</v>
      </c>
    </row>
    <row r="2451" x14ac:dyDescent="0.25">
      <c r="A2451" t="n">
        <v>25</v>
      </c>
      <c r="B2451" t="s">
        <v>14</v>
      </c>
      <c r="C2451" t="s">
        <v>22</v>
      </c>
      <c r="D2451" s="2" t="s">
        <f>=HYPERLINK("https://main.knesset.gov.il/APPS/legislation/main/bills/2198851", "הצעת חוק שירות ביטחון (תיקון - סיוע טיפולי לבוגרי השירות הצבאי), התשפ""ג-2023")</f>
        <v>5091</v>
      </c>
      <c r="E2451" t="s">
        <v>5091</v>
      </c>
      <c r="F2451" t="s">
        <v>5092</v>
      </c>
      <c r="G2451" t="s">
        <v>14</v>
      </c>
      <c r="H2451">
             </c>
      <c r="I2451" t="s">
        <v>14</v>
      </c>
      <c r="J2451" t="s">
        <v>55</v>
      </c>
      <c r="K2451" t="s">
        <v>14</v>
      </c>
      <c r="L2451" t="s">
        <v>20</v>
      </c>
      <c r="M2451" t="s">
        <v>5077</v>
      </c>
      <c r="N2451" t="s">
        <v>14</v>
      </c>
    </row>
    <row r="2452" x14ac:dyDescent="0.25">
      <c r="A2452" t="n">
        <v>25</v>
      </c>
      <c r="B2452" t="s">
        <v>14</v>
      </c>
      <c r="C2452" t="s">
        <v>22</v>
      </c>
      <c r="D2452" s="2" t="s">
        <f>=HYPERLINK("https://main.knesset.gov.il/APPS/legislation/main/bills/2199035", "הצעת חוק עידוד שירות צבאי, לאומי או לאומי-אזרחי, התשפ""ג-2023")</f>
        <v>5093</v>
      </c>
      <c r="E2452" t="s">
        <v>5093</v>
      </c>
      <c r="F2452" t="s">
        <v>5094</v>
      </c>
      <c r="G2452" t="s">
        <v>14</v>
      </c>
      <c r="H2452">
             </c>
      <c r="I2452" t="s">
        <v>14</v>
      </c>
      <c r="J2452" t="s">
        <v>55</v>
      </c>
      <c r="K2452" t="s">
        <v>14</v>
      </c>
      <c r="L2452" t="s">
        <v>20</v>
      </c>
      <c r="M2452" t="s">
        <v>5077</v>
      </c>
      <c r="N2452" t="s">
        <v>14</v>
      </c>
    </row>
    <row r="2453" x14ac:dyDescent="0.25">
      <c r="A2453" t="n">
        <v>25</v>
      </c>
      <c r="B2453" t="s">
        <v>14</v>
      </c>
      <c r="C2453" t="s">
        <v>22</v>
      </c>
      <c r="D2453" s="2" t="s">
        <f>=HYPERLINK("https://main.knesset.gov.il/APPS/legislation/main/bills/2220960", "הצעת חוק שירות המדינה (מינויים) (תיקון - ייצוג הולם ללוחמים), התשפ""ד-2024")</f>
        <v>5095</v>
      </c>
      <c r="E2453" t="s">
        <v>5095</v>
      </c>
      <c r="F2453" t="s">
        <v>5096</v>
      </c>
      <c r="G2453" t="s">
        <v>14</v>
      </c>
      <c r="H2453">
             </c>
      <c r="I2453" t="s">
        <v>14</v>
      </c>
      <c r="J2453" t="s">
        <v>99</v>
      </c>
      <c r="K2453" t="s">
        <v>27</v>
      </c>
      <c r="L2453" t="s">
        <v>20</v>
      </c>
      <c r="M2453" t="s">
        <v>5097</v>
      </c>
      <c r="N2453" t="s">
        <v>14</v>
      </c>
    </row>
    <row r="2454" x14ac:dyDescent="0.25">
      <c r="A2454" t="n">
        <v>25</v>
      </c>
      <c r="B2454" t="s">
        <v>14</v>
      </c>
      <c r="C2454" t="s">
        <v>22</v>
      </c>
      <c r="D2454" s="2" t="s">
        <f>=HYPERLINK("https://main.knesset.gov.il/APPS/legislation/main/bills/2217086", "חוק העונשין (תיקון מס' 150), התשפ""ה-2024")</f>
        <v>5098</v>
      </c>
      <c r="E2454" t="s">
        <v>5098</v>
      </c>
      <c r="F2454" t="s">
        <v>5099</v>
      </c>
      <c r="G2454" t="s">
        <v>5100</v>
      </c>
      <c r="H2454" t="n">
        <v>3317</v>
      </c>
      <c r="I2454" t="s">
        <v>14</v>
      </c>
      <c r="J2454" t="s">
        <v>91</v>
      </c>
      <c r="K2454" t="s">
        <v>27</v>
      </c>
      <c r="L2454" t="s">
        <v>20</v>
      </c>
      <c r="M2454" t="s">
        <v>5097</v>
      </c>
      <c r="N2454" t="s">
        <v>5101</v>
      </c>
    </row>
    <row r="2455" x14ac:dyDescent="0.25">
      <c r="A2455" t="n">
        <v>25</v>
      </c>
      <c r="B2455" t="s">
        <v>14</v>
      </c>
      <c r="C2455" t="s">
        <v>22</v>
      </c>
      <c r="D2455" s="2" t="s">
        <f>=HYPERLINK("https://main.knesset.gov.il/APPS/legislation/main/bills/2213768", "חוק הביטוח הלאומי (תיקון מס' 251), התשפ""ה–2024")</f>
        <v>5102</v>
      </c>
      <c r="E2455" t="s">
        <v>5102</v>
      </c>
      <c r="F2455" t="s">
        <v>5103</v>
      </c>
      <c r="G2455" t="s">
        <v>5104</v>
      </c>
      <c r="H2455" t="n">
        <v>3316</v>
      </c>
      <c r="I2455" t="s">
        <v>14</v>
      </c>
      <c r="J2455" t="s">
        <v>91</v>
      </c>
      <c r="K2455" t="s">
        <v>127</v>
      </c>
      <c r="L2455" t="s">
        <v>20</v>
      </c>
      <c r="M2455" t="s">
        <v>5097</v>
      </c>
      <c r="N2455" t="s">
        <v>5105</v>
      </c>
    </row>
    <row r="2456" x14ac:dyDescent="0.25">
      <c r="A2456" t="n">
        <v>25</v>
      </c>
      <c r="B2456" t="s">
        <v>14</v>
      </c>
      <c r="C2456" t="s">
        <v>22</v>
      </c>
      <c r="D2456" s="2" t="s">
        <f>=HYPERLINK("https://main.knesset.gov.il/APPS/legislation/main/bills/2218862", "חוק הביטוח הלאומי (תיקון מס' 250), התשפ""ה–2024")</f>
        <v>5106</v>
      </c>
      <c r="E2456" t="s">
        <v>5106</v>
      </c>
      <c r="F2456" t="s">
        <v>5107</v>
      </c>
      <c r="G2456" t="s">
        <v>5108</v>
      </c>
      <c r="H2456" t="n">
        <v>3315</v>
      </c>
      <c r="I2456" t="s">
        <v>14</v>
      </c>
      <c r="J2456" t="s">
        <v>91</v>
      </c>
      <c r="K2456" t="s">
        <v>127</v>
      </c>
      <c r="L2456" t="s">
        <v>20</v>
      </c>
      <c r="M2456" t="s">
        <v>5097</v>
      </c>
      <c r="N2456" t="s">
        <v>5109</v>
      </c>
    </row>
    <row r="2457" x14ac:dyDescent="0.25">
      <c r="A2457" t="n">
        <v>25</v>
      </c>
      <c r="B2457" t="s">
        <v>14</v>
      </c>
      <c r="C2457" t="s">
        <v>22</v>
      </c>
      <c r="D2457" s="2" t="s">
        <f>=HYPERLINK("https://main.knesset.gov.il/APPS/legislation/main/bills/2220848", "הצעת חוק יסוד: השפיטה (תיקון - שלילת זכות עמידה למתגמל טרור)")</f>
        <v>5110</v>
      </c>
      <c r="E2457" t="s">
        <v>5110</v>
      </c>
      <c r="F2457" t="s">
        <v>5111</v>
      </c>
      <c r="G2457" t="s">
        <v>14</v>
      </c>
      <c r="H2457">
             </c>
      <c r="I2457" t="s">
        <v>14</v>
      </c>
      <c r="J2457" t="s">
        <v>31</v>
      </c>
      <c r="K2457" t="s">
        <v>27</v>
      </c>
      <c r="L2457" t="s">
        <v>20</v>
      </c>
      <c r="M2457" t="s">
        <v>5112</v>
      </c>
      <c r="N2457" t="s">
        <v>14</v>
      </c>
    </row>
    <row r="2458" x14ac:dyDescent="0.25">
      <c r="A2458" t="n">
        <v>25</v>
      </c>
      <c r="B2458" t="s">
        <v>14</v>
      </c>
      <c r="C2458" t="s">
        <v>15</v>
      </c>
      <c r="D2458" s="2" t="s">
        <f>=HYPERLINK("https://main.knesset.gov.il/APPS/legislation/main/bills/2223236", "חוק לתיקון פקודת בתי הסוהר (תיקון מס' 66 – הוראת שעה – חרבות ברזל) (חופשה מיוחדת לאסיר) (תיקון מס' 2), התשפ""ה-2024")</f>
        <v>5113</v>
      </c>
      <c r="E2458" t="s">
        <v>5113</v>
      </c>
      <c r="F2458" t="s">
        <v>14</v>
      </c>
      <c r="G2458" t="s">
        <v>5114</v>
      </c>
      <c r="H2458" t="n">
        <v>3314</v>
      </c>
      <c r="I2458" t="s">
        <v>14</v>
      </c>
      <c r="J2458" t="s">
        <v>91</v>
      </c>
      <c r="K2458" t="s">
        <v>105</v>
      </c>
      <c r="L2458" t="s">
        <v>20</v>
      </c>
      <c r="M2458" t="s">
        <v>5112</v>
      </c>
      <c r="N2458" t="s">
        <v>5115</v>
      </c>
    </row>
    <row r="2459" x14ac:dyDescent="0.25">
      <c r="A2459" t="n">
        <v>25</v>
      </c>
      <c r="B2459" t="s">
        <v>14</v>
      </c>
      <c r="C2459" t="s">
        <v>22</v>
      </c>
      <c r="D2459" s="2" t="s">
        <f>=HYPERLINK("https://main.knesset.gov.il/APPS/legislation/main/bills/2223451", "הצעת חוק-יסוד: הכנסת (תיקון - מניעת התמודדות בבחירות של תומכי ומעודדי טרור)")</f>
        <v>5116</v>
      </c>
      <c r="E2459" t="s">
        <v>5116</v>
      </c>
      <c r="F2459" t="s">
        <v>5117</v>
      </c>
      <c r="G2459" t="s">
        <v>14</v>
      </c>
      <c r="H2459">
             </c>
      <c r="I2459" t="s">
        <v>14</v>
      </c>
      <c r="J2459" t="s">
        <v>343</v>
      </c>
      <c r="K2459" t="s">
        <v>14</v>
      </c>
      <c r="L2459" t="s">
        <v>20</v>
      </c>
      <c r="M2459" t="s">
        <v>5112</v>
      </c>
      <c r="N2459" t="s">
        <v>14</v>
      </c>
    </row>
    <row r="2460" x14ac:dyDescent="0.25">
      <c r="A2460" t="n">
        <v>25</v>
      </c>
      <c r="B2460" t="s">
        <v>14</v>
      </c>
      <c r="C2460" t="s">
        <v>22</v>
      </c>
      <c r="D2460" s="2" t="s">
        <f>=HYPERLINK("https://main.knesset.gov.il/APPS/legislation/main/bills/2214711", "הצעת חוק הרשות לקידום הורות טובה ומיטיבה ותפקוד הורי ומשפחתי בריא, התשפ""ה-2024")</f>
        <v>5118</v>
      </c>
      <c r="E2460" t="s">
        <v>5118</v>
      </c>
      <c r="F2460" t="s">
        <v>5119</v>
      </c>
      <c r="G2460" t="s">
        <v>14</v>
      </c>
      <c r="H2460">
             </c>
      <c r="I2460" t="s">
        <v>14</v>
      </c>
      <c r="J2460" t="s">
        <v>141</v>
      </c>
      <c r="K2460" t="s">
        <v>14</v>
      </c>
      <c r="L2460" t="s">
        <v>20</v>
      </c>
      <c r="M2460" t="s">
        <v>5112</v>
      </c>
      <c r="N2460" t="s">
        <v>14</v>
      </c>
    </row>
    <row r="2461" x14ac:dyDescent="0.25">
      <c r="A2461" t="n">
        <v>25</v>
      </c>
      <c r="B2461" t="s">
        <v>14</v>
      </c>
      <c r="C2461" t="s">
        <v>22</v>
      </c>
      <c r="D2461" s="2" t="s">
        <f>=HYPERLINK("https://main.knesset.gov.il/APPS/legislation/main/bills/2221059", "הצעת חוק סדר הדין הפלילי (סמכויות אכיפה - נתוני תקשורת) (תיקון - צו לקבלת נתוני מנוי ונתוני תקשורת ממקור אחר), התשפ""ה-2024")</f>
        <v>5120</v>
      </c>
      <c r="E2461" t="s">
        <v>5120</v>
      </c>
      <c r="F2461" t="s">
        <v>5121</v>
      </c>
      <c r="G2461" t="s">
        <v>14</v>
      </c>
      <c r="H2461">
             </c>
      <c r="I2461" t="s">
        <v>14</v>
      </c>
      <c r="J2461" t="s">
        <v>141</v>
      </c>
      <c r="K2461" t="s">
        <v>14</v>
      </c>
      <c r="L2461" t="s">
        <v>20</v>
      </c>
      <c r="M2461" t="s">
        <v>5112</v>
      </c>
      <c r="N2461" t="s">
        <v>14</v>
      </c>
    </row>
    <row r="2462" x14ac:dyDescent="0.25">
      <c r="A2462" t="n">
        <v>25</v>
      </c>
      <c r="B2462" t="s">
        <v>14</v>
      </c>
      <c r="C2462" t="s">
        <v>22</v>
      </c>
      <c r="D2462" s="2" t="s">
        <f>=HYPERLINK("https://main.knesset.gov.il/APPS/legislation/main/bills/2221015", "הצעת חוק להנגשת מזון בריא לציבור, התשפ""ה-2024")</f>
        <v>5122</v>
      </c>
      <c r="E2462" t="s">
        <v>5122</v>
      </c>
      <c r="F2462" t="s">
        <v>5123</v>
      </c>
      <c r="G2462" t="s">
        <v>14</v>
      </c>
      <c r="H2462">
             </c>
      <c r="I2462" t="s">
        <v>14</v>
      </c>
      <c r="J2462" t="s">
        <v>141</v>
      </c>
      <c r="K2462" t="s">
        <v>14</v>
      </c>
      <c r="L2462" t="s">
        <v>20</v>
      </c>
      <c r="M2462" t="s">
        <v>5112</v>
      </c>
      <c r="N2462" t="s">
        <v>14</v>
      </c>
    </row>
    <row r="2463" x14ac:dyDescent="0.25">
      <c r="A2463" t="n">
        <v>25</v>
      </c>
      <c r="B2463" t="s">
        <v>14</v>
      </c>
      <c r="C2463" t="s">
        <v>22</v>
      </c>
      <c r="D2463" s="2" t="s">
        <f>=HYPERLINK("https://main.knesset.gov.il/APPS/legislation/main/bills/2223432", "הצעת חוק מעמד המשרת בשירות צבאי או לאומי, התשפ""ה-2024")</f>
        <v>4561</v>
      </c>
      <c r="E2463" t="s">
        <v>4561</v>
      </c>
      <c r="F2463" t="s">
        <v>5124</v>
      </c>
      <c r="G2463" t="s">
        <v>14</v>
      </c>
      <c r="H2463">
             </c>
      <c r="I2463" t="s">
        <v>14</v>
      </c>
      <c r="J2463" t="s">
        <v>141</v>
      </c>
      <c r="K2463" t="s">
        <v>14</v>
      </c>
      <c r="L2463" t="s">
        <v>20</v>
      </c>
      <c r="M2463" t="s">
        <v>5112</v>
      </c>
      <c r="N2463" t="s">
        <v>14</v>
      </c>
    </row>
    <row r="2464" x14ac:dyDescent="0.25">
      <c r="A2464" t="n">
        <v>25</v>
      </c>
      <c r="B2464" t="s">
        <v>14</v>
      </c>
      <c r="C2464" t="s">
        <v>22</v>
      </c>
      <c r="D2464" s="2" t="s">
        <f>=HYPERLINK("https://main.knesset.gov.il/APPS/legislation/main/bills/2222883", "הצעת חוק להקפאת כספים ששילמה הרשות הפלסטינית בזיקה לטרור מהכספים המועברים אליה מממשלת ישראל (תיקון - קיזוז דוחות תעבורה), התשפ""ה-2024 ")</f>
        <v>5125</v>
      </c>
      <c r="E2464" t="s">
        <v>5125</v>
      </c>
      <c r="F2464" t="s">
        <v>5126</v>
      </c>
      <c r="G2464" t="s">
        <v>14</v>
      </c>
      <c r="H2464">
             </c>
      <c r="I2464" t="s">
        <v>14</v>
      </c>
      <c r="J2464" t="s">
        <v>141</v>
      </c>
      <c r="K2464" t="s">
        <v>14</v>
      </c>
      <c r="L2464" t="s">
        <v>20</v>
      </c>
      <c r="M2464" t="s">
        <v>5112</v>
      </c>
      <c r="N2464" t="s">
        <v>14</v>
      </c>
    </row>
    <row r="2465" x14ac:dyDescent="0.25">
      <c r="A2465" t="n">
        <v>25</v>
      </c>
      <c r="B2465" t="s">
        <v>14</v>
      </c>
      <c r="C2465" t="s">
        <v>22</v>
      </c>
      <c r="D2465" s="2" t="s">
        <f>=HYPERLINK("https://main.knesset.gov.il/APPS/legislation/main/bills/2222705", "הצעת חוק איסור הפליה במוצרים, בשירותים ובכניסה למקומות בידור ולמקומות ציבוריים (תיקון - הסמכת בית משפט למתן צו מניעה או צו עשה), התשפ""ה-2024")</f>
        <v>5127</v>
      </c>
      <c r="E2465" t="s">
        <v>5127</v>
      </c>
      <c r="F2465" t="s">
        <v>5128</v>
      </c>
      <c r="G2465" t="s">
        <v>14</v>
      </c>
      <c r="H2465">
             </c>
      <c r="I2465" t="s">
        <v>14</v>
      </c>
      <c r="J2465" t="s">
        <v>141</v>
      </c>
      <c r="K2465" t="s">
        <v>14</v>
      </c>
      <c r="L2465" t="s">
        <v>20</v>
      </c>
      <c r="M2465" t="s">
        <v>5112</v>
      </c>
      <c r="N2465" t="s">
        <v>14</v>
      </c>
    </row>
    <row r="2466" x14ac:dyDescent="0.25">
      <c r="A2466" t="n">
        <v>25</v>
      </c>
      <c r="B2466" t="s">
        <v>14</v>
      </c>
      <c r="C2466" t="s">
        <v>22</v>
      </c>
      <c r="D2466" s="2" t="s">
        <f>=HYPERLINK("https://main.knesset.gov.il/APPS/legislation/main/bills/2222540", "הצעת חוק למניעת אלימות במשפחה (תיקון - הגדרת אלימות במשפחה), התשפ""ה-2024")</f>
        <v>5129</v>
      </c>
      <c r="E2466" t="s">
        <v>5129</v>
      </c>
      <c r="F2466" t="s">
        <v>5130</v>
      </c>
      <c r="G2466" t="s">
        <v>14</v>
      </c>
      <c r="H2466">
             </c>
      <c r="I2466" t="s">
        <v>14</v>
      </c>
      <c r="J2466" t="s">
        <v>141</v>
      </c>
      <c r="K2466" t="s">
        <v>14</v>
      </c>
      <c r="L2466" t="s">
        <v>20</v>
      </c>
      <c r="M2466" t="s">
        <v>5112</v>
      </c>
      <c r="N2466" t="s">
        <v>14</v>
      </c>
    </row>
    <row r="2467" x14ac:dyDescent="0.25">
      <c r="A2467" t="n">
        <v>25</v>
      </c>
      <c r="B2467" t="s">
        <v>14</v>
      </c>
      <c r="C2467" t="s">
        <v>22</v>
      </c>
      <c r="D2467" s="2" t="s">
        <f>=HYPERLINK("https://main.knesset.gov.il/APPS/legislation/main/bills/2223499", "הצעת חוק הרבנות הראשית לישראל (תיקון - הגדלת הייצוג הנשי באסיפה הבוחרת ובחירת נציגים מיהודה והשומרון), התשפ""ה-2024")</f>
        <v>5131</v>
      </c>
      <c r="E2467" t="s">
        <v>5131</v>
      </c>
      <c r="F2467" t="s">
        <v>5132</v>
      </c>
      <c r="G2467" t="s">
        <v>14</v>
      </c>
      <c r="H2467">
             </c>
      <c r="I2467" t="s">
        <v>14</v>
      </c>
      <c r="J2467" t="s">
        <v>141</v>
      </c>
      <c r="K2467" t="s">
        <v>14</v>
      </c>
      <c r="L2467" t="s">
        <v>20</v>
      </c>
      <c r="M2467" t="s">
        <v>5112</v>
      </c>
      <c r="N2467" t="s">
        <v>14</v>
      </c>
    </row>
    <row r="2468" x14ac:dyDescent="0.25">
      <c r="A2468" t="n">
        <v>25</v>
      </c>
      <c r="B2468" t="s">
        <v>14</v>
      </c>
      <c r="C2468" t="s">
        <v>22</v>
      </c>
      <c r="D2468" s="2" t="s">
        <f>=HYPERLINK("https://main.knesset.gov.il/APPS/legislation/main/bills/2223693", "הצעת חוק הביטוח הלאומי (תיקון - תגמול מילואים לעובד עצמאי) (הוראת שעה - חרבות ברזל), התשפ''ה-2024")</f>
        <v>4418</v>
      </c>
      <c r="E2468" t="s">
        <v>4418</v>
      </c>
      <c r="F2468" t="s">
        <v>5133</v>
      </c>
      <c r="G2468" t="s">
        <v>14</v>
      </c>
      <c r="H2468">
             </c>
      <c r="I2468" t="s">
        <v>14</v>
      </c>
      <c r="J2468" t="s">
        <v>141</v>
      </c>
      <c r="K2468" t="s">
        <v>14</v>
      </c>
      <c r="L2468" t="s">
        <v>20</v>
      </c>
      <c r="M2468" t="s">
        <v>5112</v>
      </c>
      <c r="N2468" t="s">
        <v>14</v>
      </c>
    </row>
    <row r="2469" x14ac:dyDescent="0.25">
      <c r="A2469" t="n">
        <v>25</v>
      </c>
      <c r="B2469" t="s">
        <v>14</v>
      </c>
      <c r="C2469" t="s">
        <v>22</v>
      </c>
      <c r="D2469" s="2" t="s">
        <f>=HYPERLINK("https://main.knesset.gov.il/APPS/legislation/main/bills/2222701", "הצעת חוק התכנון והבנייה (הוראות מיוחדות לעניין אכיפה ביישובי מיעוטים ללא תוכנית) (הוראת שעה), התשפ""ה-2024")</f>
        <v>5134</v>
      </c>
      <c r="E2469" t="s">
        <v>5134</v>
      </c>
      <c r="F2469" t="s">
        <v>5135</v>
      </c>
      <c r="G2469" t="s">
        <v>14</v>
      </c>
      <c r="H2469">
             </c>
      <c r="I2469" t="s">
        <v>14</v>
      </c>
      <c r="J2469" t="s">
        <v>141</v>
      </c>
      <c r="K2469" t="s">
        <v>14</v>
      </c>
      <c r="L2469" t="s">
        <v>20</v>
      </c>
      <c r="M2469" t="s">
        <v>5112</v>
      </c>
      <c r="N2469" t="s">
        <v>14</v>
      </c>
    </row>
    <row r="2470" x14ac:dyDescent="0.25">
      <c r="A2470" t="n">
        <v>25</v>
      </c>
      <c r="B2470" t="s">
        <v>14</v>
      </c>
      <c r="C2470" t="s">
        <v>22</v>
      </c>
      <c r="D2470" s="2" t="s">
        <f>=HYPERLINK("https://main.knesset.gov.il/APPS/legislation/main/bills/2223640", "הצעת חוק הביטוח הלאומי (תיקון - חישוב התגמול לעצמאים בשירות מילואים), התשפ""ה-2024")</f>
        <v>4987</v>
      </c>
      <c r="E2470" t="s">
        <v>4987</v>
      </c>
      <c r="F2470" t="s">
        <v>5136</v>
      </c>
      <c r="G2470" t="s">
        <v>14</v>
      </c>
      <c r="H2470">
             </c>
      <c r="I2470" t="s">
        <v>14</v>
      </c>
      <c r="J2470" t="s">
        <v>141</v>
      </c>
      <c r="K2470" t="s">
        <v>14</v>
      </c>
      <c r="L2470" t="s">
        <v>20</v>
      </c>
      <c r="M2470" t="s">
        <v>5112</v>
      </c>
      <c r="N2470" t="s">
        <v>14</v>
      </c>
    </row>
    <row r="2471" x14ac:dyDescent="0.25">
      <c r="A2471" t="n">
        <v>25</v>
      </c>
      <c r="B2471" t="s">
        <v>14</v>
      </c>
      <c r="C2471" t="s">
        <v>22</v>
      </c>
      <c r="D2471" s="2" t="s">
        <f>=HYPERLINK("https://main.knesset.gov.il/APPS/legislation/main/bills/2223619", "הצעת חוק הביטוח הלאומי (תיקון - חישוב תגמול מילואים למשוחרר משירות קבע או לפורש ממנו) (הוראת שעה - חרבות ברזל), התשפ""ה-2024")</f>
        <v>5057</v>
      </c>
      <c r="E2471" t="s">
        <v>5057</v>
      </c>
      <c r="F2471" t="s">
        <v>5137</v>
      </c>
      <c r="G2471" t="s">
        <v>14</v>
      </c>
      <c r="H2471">
             </c>
      <c r="I2471" t="s">
        <v>14</v>
      </c>
      <c r="J2471" t="s">
        <v>141</v>
      </c>
      <c r="K2471" t="s">
        <v>14</v>
      </c>
      <c r="L2471" t="s">
        <v>20</v>
      </c>
      <c r="M2471" t="s">
        <v>5112</v>
      </c>
      <c r="N2471" t="s">
        <v>14</v>
      </c>
    </row>
    <row r="2472" x14ac:dyDescent="0.25">
      <c r="A2472" t="n">
        <v>25</v>
      </c>
      <c r="B2472" t="s">
        <v>14</v>
      </c>
      <c r="C2472" t="s">
        <v>22</v>
      </c>
      <c r="D2472" s="2" t="s">
        <f>=HYPERLINK("https://main.knesset.gov.il/APPS/legislation/main/bills/2222939", "הצעת חוק לתיקון פקודת מס הכנסה (משיכת כספי קרן השתלמות) (הוראת שעה - חרבות ברזל), התשפ""ה-2024")</f>
        <v>5138</v>
      </c>
      <c r="E2472" t="s">
        <v>5138</v>
      </c>
      <c r="F2472" t="s">
        <v>5139</v>
      </c>
      <c r="G2472" t="s">
        <v>14</v>
      </c>
      <c r="H2472">
             </c>
      <c r="I2472" t="s">
        <v>14</v>
      </c>
      <c r="J2472" t="s">
        <v>141</v>
      </c>
      <c r="K2472" t="s">
        <v>14</v>
      </c>
      <c r="L2472" t="s">
        <v>20</v>
      </c>
      <c r="M2472" t="s">
        <v>5112</v>
      </c>
      <c r="N2472" t="s">
        <v>14</v>
      </c>
    </row>
    <row r="2473" x14ac:dyDescent="0.25">
      <c r="A2473" t="n">
        <v>25</v>
      </c>
      <c r="B2473" t="s">
        <v>14</v>
      </c>
      <c r="C2473" t="s">
        <v>22</v>
      </c>
      <c r="D2473" s="2" t="s">
        <f>=HYPERLINK("https://main.knesset.gov.il/APPS/legislation/main/bills/2223704", "הצעת חוק מס ערך מוסף (תיקון - פטור ממס על תשר), התשפ""ה-2024")</f>
        <v>4294</v>
      </c>
      <c r="E2473" t="s">
        <v>4294</v>
      </c>
      <c r="F2473" t="s">
        <v>5140</v>
      </c>
      <c r="G2473" t="s">
        <v>14</v>
      </c>
      <c r="H2473">
             </c>
      <c r="I2473" t="s">
        <v>14</v>
      </c>
      <c r="J2473" t="s">
        <v>141</v>
      </c>
      <c r="K2473" t="s">
        <v>14</v>
      </c>
      <c r="L2473" t="s">
        <v>20</v>
      </c>
      <c r="M2473" t="s">
        <v>5112</v>
      </c>
      <c r="N2473" t="s">
        <v>14</v>
      </c>
    </row>
    <row r="2474" x14ac:dyDescent="0.25">
      <c r="A2474" t="n">
        <v>25</v>
      </c>
      <c r="B2474" t="s">
        <v>14</v>
      </c>
      <c r="C2474" t="s">
        <v>22</v>
      </c>
      <c r="D2474" s="2" t="s">
        <f>=HYPERLINK("https://main.knesset.gov.il/APPS/legislation/main/bills/2223389", "הצעת חוק זיכרון אירועי הטרור של כ""ב בתשרי (7 באוקטובר) ומלחמת חרבות ברזל, התשפ""ה-2024")</f>
        <v>1011</v>
      </c>
      <c r="E2474" t="s">
        <v>1011</v>
      </c>
      <c r="F2474" t="s">
        <v>5141</v>
      </c>
      <c r="G2474" t="s">
        <v>14</v>
      </c>
      <c r="H2474">
             </c>
      <c r="I2474" t="s">
        <v>14</v>
      </c>
      <c r="J2474" t="s">
        <v>141</v>
      </c>
      <c r="K2474" t="s">
        <v>14</v>
      </c>
      <c r="L2474" t="s">
        <v>20</v>
      </c>
      <c r="M2474" t="s">
        <v>5112</v>
      </c>
      <c r="N2474" t="s">
        <v>14</v>
      </c>
    </row>
    <row r="2475" x14ac:dyDescent="0.25">
      <c r="A2475" t="n">
        <v>25</v>
      </c>
      <c r="B2475" t="s">
        <v>14</v>
      </c>
      <c r="C2475" t="s">
        <v>22</v>
      </c>
      <c r="D2475" s="2" t="s">
        <f>=HYPERLINK("https://main.knesset.gov.il/APPS/legislation/main/bills/2223625", "הצעת חוק רשות מקרקעי ישראל (תיקון - הקצאת קרקעות בנגב ובגליל לחיילים משוחררים ומשרתי שירות לאומי-אזרחי), התשפ""ה-2024")</f>
        <v>5142</v>
      </c>
      <c r="E2475" t="s">
        <v>5142</v>
      </c>
      <c r="F2475" t="s">
        <v>5143</v>
      </c>
      <c r="G2475" t="s">
        <v>14</v>
      </c>
      <c r="H2475">
             </c>
      <c r="I2475" t="s">
        <v>14</v>
      </c>
      <c r="J2475" t="s">
        <v>141</v>
      </c>
      <c r="K2475" t="s">
        <v>14</v>
      </c>
      <c r="L2475" t="s">
        <v>20</v>
      </c>
      <c r="M2475" t="s">
        <v>5112</v>
      </c>
      <c r="N2475" t="s">
        <v>14</v>
      </c>
    </row>
    <row r="2476" x14ac:dyDescent="0.25">
      <c r="A2476" t="n">
        <v>25</v>
      </c>
      <c r="B2476" t="s">
        <v>14</v>
      </c>
      <c r="C2476" t="s">
        <v>22</v>
      </c>
      <c r="D2476" s="2" t="s">
        <f>=HYPERLINK("https://main.knesset.gov.il/APPS/legislation/main/bills/2223585", "הצעת חוק משפחות חיילים שנספו במערכה (תגמולים ושיקום) (תיקון - ביטול מגבלת גיל להכרה ביתומי צה""ל וכוחות הביטחון), התשפ""ה-2024")</f>
        <v>5144</v>
      </c>
      <c r="E2476" t="s">
        <v>5144</v>
      </c>
      <c r="F2476" t="s">
        <v>5145</v>
      </c>
      <c r="G2476" t="s">
        <v>14</v>
      </c>
      <c r="H2476">
             </c>
      <c r="I2476" t="s">
        <v>14</v>
      </c>
      <c r="J2476" t="s">
        <v>141</v>
      </c>
      <c r="K2476" t="s">
        <v>14</v>
      </c>
      <c r="L2476" t="s">
        <v>20</v>
      </c>
      <c r="M2476" t="s">
        <v>5112</v>
      </c>
      <c r="N2476" t="s">
        <v>14</v>
      </c>
    </row>
    <row r="2477" x14ac:dyDescent="0.25">
      <c r="A2477" t="n">
        <v>25</v>
      </c>
      <c r="B2477" t="s">
        <v>14</v>
      </c>
      <c r="C2477" t="s">
        <v>22</v>
      </c>
      <c r="D2477" s="2" t="s">
        <f>=HYPERLINK("https://main.knesset.gov.il/APPS/legislation/main/bills/2223247", "הצעת חוק צער בעלי חיים (הגנה על בעלי חיים) (תיקון - המעמד המשפטי של בעלי חיים), התשפ""ה-2024")</f>
        <v>4616</v>
      </c>
      <c r="E2477" t="s">
        <v>4616</v>
      </c>
      <c r="F2477" t="s">
        <v>5146</v>
      </c>
      <c r="G2477" t="s">
        <v>14</v>
      </c>
      <c r="H2477">
             </c>
      <c r="I2477" t="s">
        <v>14</v>
      </c>
      <c r="J2477" t="s">
        <v>141</v>
      </c>
      <c r="K2477" t="s">
        <v>14</v>
      </c>
      <c r="L2477" t="s">
        <v>20</v>
      </c>
      <c r="M2477" t="s">
        <v>5112</v>
      </c>
      <c r="N2477" t="s">
        <v>14</v>
      </c>
    </row>
    <row r="2478" x14ac:dyDescent="0.25">
      <c r="A2478" t="n">
        <v>25</v>
      </c>
      <c r="B2478" t="s">
        <v>14</v>
      </c>
      <c r="C2478" t="s">
        <v>22</v>
      </c>
      <c r="D2478" s="2" t="s">
        <f>=HYPERLINK("https://main.knesset.gov.il/APPS/legislation/main/bills/2223593", "הצעת חוק משפחות חיילים שנספו במערכה (תגמולים ושיקום) (תיקון - תגמולי הורים, יתומים ואחים שכולים), התשפ""ה-2024")</f>
        <v>5147</v>
      </c>
      <c r="E2478" t="s">
        <v>5147</v>
      </c>
      <c r="F2478" t="s">
        <v>5148</v>
      </c>
      <c r="G2478" t="s">
        <v>14</v>
      </c>
      <c r="H2478">
             </c>
      <c r="I2478" t="s">
        <v>14</v>
      </c>
      <c r="J2478" t="s">
        <v>141</v>
      </c>
      <c r="K2478" t="s">
        <v>14</v>
      </c>
      <c r="L2478" t="s">
        <v>20</v>
      </c>
      <c r="M2478" t="s">
        <v>5112</v>
      </c>
      <c r="N2478" t="s">
        <v>14</v>
      </c>
    </row>
    <row r="2479" x14ac:dyDescent="0.25">
      <c r="A2479" t="n">
        <v>25</v>
      </c>
      <c r="B2479" t="s">
        <v>14</v>
      </c>
      <c r="C2479" t="s">
        <v>22</v>
      </c>
      <c r="D2479" s="2" t="s">
        <f>=HYPERLINK("https://main.knesset.gov.il/APPS/legislation/main/bills/2223632", "הצעת חוק העונשין (תיקון - שימוש במשבש תדרים), התשפ""ה-2024")</f>
        <v>3148</v>
      </c>
      <c r="E2479" t="s">
        <v>3148</v>
      </c>
      <c r="F2479" t="s">
        <v>5149</v>
      </c>
      <c r="G2479" t="s">
        <v>14</v>
      </c>
      <c r="H2479">
             </c>
      <c r="I2479" t="s">
        <v>14</v>
      </c>
      <c r="J2479" t="s">
        <v>141</v>
      </c>
      <c r="K2479" t="s">
        <v>14</v>
      </c>
      <c r="L2479" t="s">
        <v>20</v>
      </c>
      <c r="M2479" t="s">
        <v>5112</v>
      </c>
      <c r="N2479" t="s">
        <v>14</v>
      </c>
    </row>
    <row r="2480" x14ac:dyDescent="0.25">
      <c r="A2480" t="n">
        <v>25</v>
      </c>
      <c r="B2480" t="s">
        <v>14</v>
      </c>
      <c r="C2480" t="s">
        <v>22</v>
      </c>
      <c r="D2480" s="2" t="s">
        <f>=HYPERLINK("https://main.knesset.gov.il/APPS/legislation/main/bills/2223498", "הצעת חוק משפחות חיילים שנספו במערכה (תגמולים ושיקום) (תיקון - הכרה במי שנספה בפגיעת איבה כחייל שנספה במערכה) (הוראת שעה - חרבות ברזל), התשפ""ה-2024")</f>
        <v>5055</v>
      </c>
      <c r="E2480" t="s">
        <v>5055</v>
      </c>
      <c r="F2480" t="s">
        <v>5150</v>
      </c>
      <c r="G2480" t="s">
        <v>14</v>
      </c>
      <c r="H2480">
             </c>
      <c r="I2480" t="s">
        <v>14</v>
      </c>
      <c r="J2480" t="s">
        <v>141</v>
      </c>
      <c r="K2480" t="s">
        <v>14</v>
      </c>
      <c r="L2480" t="s">
        <v>20</v>
      </c>
      <c r="M2480" t="s">
        <v>5112</v>
      </c>
      <c r="N2480" t="s">
        <v>14</v>
      </c>
    </row>
    <row r="2481" x14ac:dyDescent="0.25">
      <c r="A2481" t="n">
        <v>25</v>
      </c>
      <c r="B2481" t="s">
        <v>14</v>
      </c>
      <c r="C2481" t="s">
        <v>22</v>
      </c>
      <c r="D2481" s="2" t="s">
        <f>=HYPERLINK("https://main.knesset.gov.il/APPS/legislation/main/bills/2223618", "הצעת חוק יום לציון עליית יהודי תימן ולזכר הנספים בדרך לישראל, התשפ""ה-2024")</f>
        <v>5151</v>
      </c>
      <c r="E2481" t="s">
        <v>5151</v>
      </c>
      <c r="F2481" t="s">
        <v>5152</v>
      </c>
      <c r="G2481" t="s">
        <v>14</v>
      </c>
      <c r="H2481">
             </c>
      <c r="I2481" t="s">
        <v>14</v>
      </c>
      <c r="J2481" t="s">
        <v>141</v>
      </c>
      <c r="K2481" t="s">
        <v>14</v>
      </c>
      <c r="L2481" t="s">
        <v>20</v>
      </c>
      <c r="M2481" t="s">
        <v>5112</v>
      </c>
      <c r="N2481" t="s">
        <v>14</v>
      </c>
    </row>
    <row r="2482" x14ac:dyDescent="0.25">
      <c r="A2482" t="n">
        <v>25</v>
      </c>
      <c r="B2482" t="s">
        <v>14</v>
      </c>
      <c r="C2482" t="s">
        <v>22</v>
      </c>
      <c r="D2482" s="2" t="s">
        <f>=HYPERLINK("https://main.knesset.gov.il/APPS/legislation/main/bills/2222925", "הצעת חוק הביטוח הלאומי (תיקון - תגמול מילואים לעובד עצמאי) (הוראת שעה - חרבות ברזל), התשפ""ה-2024")</f>
        <v>4386</v>
      </c>
      <c r="E2482" t="s">
        <v>4386</v>
      </c>
      <c r="F2482" t="s">
        <v>5153</v>
      </c>
      <c r="G2482" t="s">
        <v>14</v>
      </c>
      <c r="H2482">
             </c>
      <c r="I2482" t="s">
        <v>14</v>
      </c>
      <c r="J2482" t="s">
        <v>141</v>
      </c>
      <c r="K2482" t="s">
        <v>14</v>
      </c>
      <c r="L2482" t="s">
        <v>20</v>
      </c>
      <c r="M2482" t="s">
        <v>5112</v>
      </c>
      <c r="N2482" t="s">
        <v>14</v>
      </c>
    </row>
    <row r="2483" x14ac:dyDescent="0.25">
      <c r="A2483" t="n">
        <v>25</v>
      </c>
      <c r="B2483" t="s">
        <v>14</v>
      </c>
      <c r="C2483" t="s">
        <v>22</v>
      </c>
      <c r="D2483" s="2" t="s">
        <f>=HYPERLINK("https://main.knesset.gov.il/APPS/legislation/main/bills/2223059", "הצעת חוק משפחות חיילים שנספו במערכה (תגמולים ושיקום) (תיקון - תגמול לגרושות), התשפ""ה-2024")</f>
        <v>5154</v>
      </c>
      <c r="E2483" t="s">
        <v>5154</v>
      </c>
      <c r="F2483" t="s">
        <v>5155</v>
      </c>
      <c r="G2483" t="s">
        <v>14</v>
      </c>
      <c r="H2483">
             </c>
      <c r="I2483" t="s">
        <v>14</v>
      </c>
      <c r="J2483" t="s">
        <v>141</v>
      </c>
      <c r="K2483" t="s">
        <v>14</v>
      </c>
      <c r="L2483" t="s">
        <v>20</v>
      </c>
      <c r="M2483" t="s">
        <v>5112</v>
      </c>
      <c r="N2483" t="s">
        <v>14</v>
      </c>
    </row>
    <row r="2484" x14ac:dyDescent="0.25">
      <c r="A2484" t="n">
        <v>25</v>
      </c>
      <c r="B2484" t="s">
        <v>14</v>
      </c>
      <c r="C2484" t="s">
        <v>22</v>
      </c>
      <c r="D2484" s="2" t="s">
        <f>=HYPERLINK("https://main.knesset.gov.il/APPS/legislation/main/bills/2200387", "חוק כביש אגרה (כביש ארצי לישראל) (תיקון מס' 5), התשפ""ה–2024")</f>
        <v>5156</v>
      </c>
      <c r="E2484" t="s">
        <v>5156</v>
      </c>
      <c r="F2484" t="s">
        <v>5157</v>
      </c>
      <c r="G2484" t="s">
        <v>5158</v>
      </c>
      <c r="H2484" t="n">
        <v>3313</v>
      </c>
      <c r="I2484" t="s">
        <v>14</v>
      </c>
      <c r="J2484" t="s">
        <v>91</v>
      </c>
      <c r="K2484" t="s">
        <v>19</v>
      </c>
      <c r="L2484" t="s">
        <v>20</v>
      </c>
      <c r="M2484" t="s">
        <v>5159</v>
      </c>
      <c r="N2484" t="s">
        <v>5160</v>
      </c>
    </row>
    <row r="2485" x14ac:dyDescent="0.25">
      <c r="A2485" t="n">
        <v>25</v>
      </c>
      <c r="B2485" t="s">
        <v>14</v>
      </c>
      <c r="C2485" t="s">
        <v>22</v>
      </c>
      <c r="D2485" s="2" t="s">
        <f>=HYPERLINK("https://main.knesset.gov.il/APPS/legislation/main/bills/2219225", "הצעת חוק המשטרה (חדירה לחומר מחשב), התשפ""ד-2024")</f>
        <v>5161</v>
      </c>
      <c r="E2485" t="s">
        <v>5161</v>
      </c>
      <c r="F2485" t="s">
        <v>5162</v>
      </c>
      <c r="G2485" t="s">
        <v>14</v>
      </c>
      <c r="H2485">
             </c>
      <c r="I2485" t="s">
        <v>14</v>
      </c>
      <c r="J2485" t="s">
        <v>60</v>
      </c>
      <c r="K2485" t="s">
        <v>14</v>
      </c>
      <c r="L2485" t="s">
        <v>20</v>
      </c>
      <c r="M2485" t="s">
        <v>5159</v>
      </c>
      <c r="N2485" t="s">
        <v>14</v>
      </c>
    </row>
    <row r="2486" x14ac:dyDescent="0.25">
      <c r="A2486" t="n">
        <v>25</v>
      </c>
      <c r="B2486" t="s">
        <v>14</v>
      </c>
      <c r="C2486" t="s">
        <v>22</v>
      </c>
      <c r="D2486" s="2" t="s">
        <f>=HYPERLINK("https://main.knesset.gov.il/APPS/legislation/main/bills/2214304", "הצעת חוק מס הכנסה (פטור ממס על הכנסה מהשכרת דירת מגורים) (תיקון - אי-תחולת הפטור ממס על מי שהשכיר דירת מגורים לשוהים שלא כדין), התשפ""ד-2024")</f>
        <v>5163</v>
      </c>
      <c r="E2486" t="s">
        <v>5163</v>
      </c>
      <c r="F2486" t="s">
        <v>5164</v>
      </c>
      <c r="G2486" t="s">
        <v>14</v>
      </c>
      <c r="H2486">
             </c>
      <c r="I2486" t="s">
        <v>14</v>
      </c>
      <c r="J2486" t="s">
        <v>343</v>
      </c>
      <c r="K2486" t="s">
        <v>14</v>
      </c>
      <c r="L2486" t="s">
        <v>20</v>
      </c>
      <c r="M2486" t="s">
        <v>5159</v>
      </c>
      <c r="N2486" t="s">
        <v>14</v>
      </c>
    </row>
    <row r="2487" x14ac:dyDescent="0.25">
      <c r="A2487" t="n">
        <v>25</v>
      </c>
      <c r="B2487" t="s">
        <v>14</v>
      </c>
      <c r="C2487" t="s">
        <v>22</v>
      </c>
      <c r="D2487" s="2" t="s">
        <f>=HYPERLINK("https://main.knesset.gov.il/APPS/legislation/main/bills/2213237", "הצעת חוק הרשות הארצית לכבאות והצלה (תיקון - תגמולים לכבאים ועובדים), התשפ""ד-2024")</f>
        <v>5165</v>
      </c>
      <c r="E2487" t="s">
        <v>5165</v>
      </c>
      <c r="F2487" t="s">
        <v>5166</v>
      </c>
      <c r="G2487" t="s">
        <v>14</v>
      </c>
      <c r="H2487">
             </c>
      <c r="I2487" t="s">
        <v>14</v>
      </c>
      <c r="J2487" t="s">
        <v>343</v>
      </c>
      <c r="K2487" t="s">
        <v>14</v>
      </c>
      <c r="L2487" t="s">
        <v>20</v>
      </c>
      <c r="M2487" t="s">
        <v>5159</v>
      </c>
      <c r="N2487" t="s">
        <v>14</v>
      </c>
    </row>
    <row r="2488" x14ac:dyDescent="0.25">
      <c r="A2488" t="n">
        <v>25</v>
      </c>
      <c r="B2488" t="s">
        <v>14</v>
      </c>
      <c r="C2488" t="s">
        <v>22</v>
      </c>
      <c r="D2488" s="2" t="s">
        <f>=HYPERLINK("https://main.knesset.gov.il/APPS/legislation/main/bills/2202092", "הצעת חוק גמול לחיילים בשירות סדיר, התשפ""ג-2023")</f>
        <v>5167</v>
      </c>
      <c r="E2488" t="s">
        <v>5167</v>
      </c>
      <c r="F2488" t="s">
        <v>5168</v>
      </c>
      <c r="G2488" t="s">
        <v>14</v>
      </c>
      <c r="H2488">
             </c>
      <c r="I2488" t="s">
        <v>14</v>
      </c>
      <c r="J2488" t="s">
        <v>55</v>
      </c>
      <c r="K2488" t="s">
        <v>14</v>
      </c>
      <c r="L2488" t="s">
        <v>20</v>
      </c>
      <c r="M2488" t="s">
        <v>5159</v>
      </c>
      <c r="N2488" t="s">
        <v>14</v>
      </c>
    </row>
    <row r="2489" x14ac:dyDescent="0.25">
      <c r="A2489" t="n">
        <v>25</v>
      </c>
      <c r="B2489" t="s">
        <v>14</v>
      </c>
      <c r="C2489" t="s">
        <v>22</v>
      </c>
      <c r="D2489" s="2" t="s">
        <f>=HYPERLINK("https://main.knesset.gov.il/APPS/legislation/main/bills/2195713", "הצעת חוק ביטוח סיעוד ממלכתי (תיקוני חקיקה), התשפ""ג-2023")</f>
        <v>5169</v>
      </c>
      <c r="E2489" t="s">
        <v>5169</v>
      </c>
      <c r="F2489" t="s">
        <v>5170</v>
      </c>
      <c r="G2489" t="s">
        <v>14</v>
      </c>
      <c r="H2489">
             </c>
      <c r="I2489" t="s">
        <v>14</v>
      </c>
      <c r="J2489" t="s">
        <v>55</v>
      </c>
      <c r="K2489" t="s">
        <v>14</v>
      </c>
      <c r="L2489" t="s">
        <v>20</v>
      </c>
      <c r="M2489" t="s">
        <v>5159</v>
      </c>
      <c r="N2489" t="s">
        <v>14</v>
      </c>
    </row>
    <row r="2490" x14ac:dyDescent="0.25">
      <c r="A2490" t="n">
        <v>25</v>
      </c>
      <c r="B2490" t="s">
        <v>14</v>
      </c>
      <c r="C2490" t="s">
        <v>22</v>
      </c>
      <c r="D2490" s="2" t="s">
        <f>=HYPERLINK("https://main.knesset.gov.il/APPS/legislation/main/bills/2199480", "הצעת חוק-יסוד: ישראל - מדינת הלאום של העם היהודי (תיקון - שוויון ברוח עקרונות הכרזת העצמאות של מדינת ישראל)")</f>
        <v>5171</v>
      </c>
      <c r="E2490" t="s">
        <v>5171</v>
      </c>
      <c r="F2490" t="s">
        <v>5172</v>
      </c>
      <c r="G2490" t="s">
        <v>14</v>
      </c>
      <c r="H2490">
             </c>
      <c r="I2490" t="s">
        <v>14</v>
      </c>
      <c r="J2490" t="s">
        <v>55</v>
      </c>
      <c r="K2490" t="s">
        <v>14</v>
      </c>
      <c r="L2490" t="s">
        <v>20</v>
      </c>
      <c r="M2490" t="s">
        <v>5159</v>
      </c>
      <c r="N2490" t="s">
        <v>14</v>
      </c>
    </row>
    <row r="2491" x14ac:dyDescent="0.25">
      <c r="A2491" t="n">
        <v>25</v>
      </c>
      <c r="B2491" t="s">
        <v>14</v>
      </c>
      <c r="C2491" t="s">
        <v>22</v>
      </c>
      <c r="D2491" s="2" t="s">
        <f>=HYPERLINK("https://main.knesset.gov.il/APPS/legislation/main/bills/2222646", "חוק לתיקון דיני הבחירות לרשויות המקומיות (הוראת שעה), התשפ""ה-2024")</f>
        <v>5173</v>
      </c>
      <c r="E2491" t="s">
        <v>5173</v>
      </c>
      <c r="F2491" t="s">
        <v>5174</v>
      </c>
      <c r="G2491" t="s">
        <v>5175</v>
      </c>
      <c r="H2491" t="n">
        <v>3309</v>
      </c>
      <c r="I2491" t="s">
        <v>14</v>
      </c>
      <c r="J2491" t="s">
        <v>91</v>
      </c>
      <c r="K2491" t="s">
        <v>46</v>
      </c>
      <c r="L2491" t="s">
        <v>20</v>
      </c>
      <c r="M2491" t="s">
        <v>5176</v>
      </c>
      <c r="N2491" t="s">
        <v>5177</v>
      </c>
    </row>
    <row r="2492" x14ac:dyDescent="0.25">
      <c r="A2492" t="n">
        <v>25</v>
      </c>
      <c r="B2492" t="s">
        <v>14</v>
      </c>
      <c r="C2492" t="s">
        <v>22</v>
      </c>
      <c r="D2492" s="2" t="s">
        <f>=HYPERLINK("https://main.knesset.gov.il/APPS/legislation/main/bills/2222870", "הצעת חוק לתיקון דיני הבחירות לרשויות המקומיות (הוראת שעה), התשפ""ה-2024")</f>
        <v>5178</v>
      </c>
      <c r="E2492" t="s">
        <v>5178</v>
      </c>
      <c r="F2492" t="s">
        <v>5179</v>
      </c>
      <c r="G2492" t="s">
        <v>14</v>
      </c>
      <c r="H2492">
             </c>
      <c r="I2492" t="s">
        <v>14</v>
      </c>
      <c r="J2492" t="s">
        <v>99</v>
      </c>
      <c r="K2492" t="s">
        <v>46</v>
      </c>
      <c r="L2492" t="s">
        <v>20</v>
      </c>
      <c r="M2492" t="s">
        <v>5176</v>
      </c>
      <c r="N2492" t="s">
        <v>14</v>
      </c>
    </row>
    <row r="2493" x14ac:dyDescent="0.25">
      <c r="A2493" t="n">
        <v>25</v>
      </c>
      <c r="B2493" t="s">
        <v>14</v>
      </c>
      <c r="C2493" t="s">
        <v>22</v>
      </c>
      <c r="D2493" s="2" t="s">
        <f>=HYPERLINK("https://main.knesset.gov.il/APPS/legislation/main/bills/2200722", "הצעת חוק לתיקון פקודת מס הכנסה (ניכוי הוצאות הנפקה), התשפ""ג-2023")</f>
        <v>5180</v>
      </c>
      <c r="E2493" t="s">
        <v>5180</v>
      </c>
      <c r="F2493" t="s">
        <v>5181</v>
      </c>
      <c r="G2493" t="s">
        <v>14</v>
      </c>
      <c r="H2493">
             </c>
      <c r="I2493" t="s">
        <v>14</v>
      </c>
      <c r="J2493" t="s">
        <v>31</v>
      </c>
      <c r="K2493" t="s">
        <v>85</v>
      </c>
      <c r="L2493" t="s">
        <v>20</v>
      </c>
      <c r="M2493" t="s">
        <v>5176</v>
      </c>
      <c r="N2493" t="s">
        <v>14</v>
      </c>
    </row>
    <row r="2494" x14ac:dyDescent="0.25">
      <c r="A2494" t="n">
        <v>25</v>
      </c>
      <c r="B2494" t="s">
        <v>14</v>
      </c>
      <c r="C2494" t="s">
        <v>22</v>
      </c>
      <c r="D2494" s="2" t="s">
        <f>=HYPERLINK("https://main.knesset.gov.il/APPS/legislation/main/bills/2198049", "הצעת חוק לתיקון פקודת מס הכנסה (ניכוי הוצאות הנפקה), התשפ""ג-2023")</f>
        <v>5180</v>
      </c>
      <c r="E2494" t="s">
        <v>5180</v>
      </c>
      <c r="F2494" t="s">
        <v>5182</v>
      </c>
      <c r="G2494" t="s">
        <v>14</v>
      </c>
      <c r="H2494">
             </c>
      <c r="I2494" t="s">
        <v>14</v>
      </c>
      <c r="J2494" t="s">
        <v>31</v>
      </c>
      <c r="K2494" t="s">
        <v>85</v>
      </c>
      <c r="L2494" t="s">
        <v>20</v>
      </c>
      <c r="M2494" t="s">
        <v>5176</v>
      </c>
      <c r="N2494" t="s">
        <v>14</v>
      </c>
    </row>
    <row r="2495" x14ac:dyDescent="0.25">
      <c r="A2495" t="n">
        <v>25</v>
      </c>
      <c r="B2495" t="s">
        <v>14</v>
      </c>
      <c r="C2495" t="s">
        <v>22</v>
      </c>
      <c r="D2495" s="2" t="s">
        <f>=HYPERLINK("https://main.knesset.gov.il/APPS/legislation/main/bills/2202863", "חוק התקנת מצלמות לשם הגנה על פעוטות במעונות יום לפעוטות (תיקון), התשפ""ה–2024")</f>
        <v>5183</v>
      </c>
      <c r="E2495" t="s">
        <v>5183</v>
      </c>
      <c r="F2495" t="s">
        <v>5184</v>
      </c>
      <c r="G2495" t="s">
        <v>5185</v>
      </c>
      <c r="H2495" t="n">
        <v>3312</v>
      </c>
      <c r="I2495" t="s">
        <v>14</v>
      </c>
      <c r="J2495" t="s">
        <v>91</v>
      </c>
      <c r="K2495" t="s">
        <v>34</v>
      </c>
      <c r="L2495" t="s">
        <v>20</v>
      </c>
      <c r="M2495" t="s">
        <v>5176</v>
      </c>
      <c r="N2495" t="s">
        <v>5186</v>
      </c>
    </row>
    <row r="2496" x14ac:dyDescent="0.25">
      <c r="A2496" t="n">
        <v>25</v>
      </c>
      <c r="B2496" t="s">
        <v>14</v>
      </c>
      <c r="C2496" t="s">
        <v>22</v>
      </c>
      <c r="D2496" s="2" t="s">
        <f>=HYPERLINK("https://main.knesset.gov.il/APPS/legislation/main/bills/2197027", "חוק שירותי הובלה (תיקון מס' 3), התשפ""ה–2024")</f>
        <v>5187</v>
      </c>
      <c r="E2496" t="s">
        <v>5187</v>
      </c>
      <c r="F2496" t="s">
        <v>5188</v>
      </c>
      <c r="G2496" t="s">
        <v>5189</v>
      </c>
      <c r="H2496" t="n">
        <v>3311</v>
      </c>
      <c r="I2496" t="s">
        <v>14</v>
      </c>
      <c r="J2496" t="s">
        <v>91</v>
      </c>
      <c r="K2496" t="s">
        <v>19</v>
      </c>
      <c r="L2496" t="s">
        <v>20</v>
      </c>
      <c r="M2496" t="s">
        <v>5176</v>
      </c>
      <c r="N2496" t="s">
        <v>5190</v>
      </c>
    </row>
    <row r="2497" x14ac:dyDescent="0.25">
      <c r="A2497" t="n">
        <v>25</v>
      </c>
      <c r="B2497" t="s">
        <v>14</v>
      </c>
      <c r="C2497" t="s">
        <v>22</v>
      </c>
      <c r="D2497" s="2" t="s">
        <f>=HYPERLINK("https://main.knesset.gov.il/APPS/legislation/main/bills/2205431", "חוק סדר הדין הפלילי (סמכויות אכיפה – נתוני תקשורת) (תיקון מס' 3), התשפ""ה–2024")</f>
        <v>5191</v>
      </c>
      <c r="E2497" t="s">
        <v>5191</v>
      </c>
      <c r="F2497" t="s">
        <v>5192</v>
      </c>
      <c r="G2497" t="s">
        <v>5193</v>
      </c>
      <c r="H2497" t="n">
        <v>3310</v>
      </c>
      <c r="I2497" t="s">
        <v>14</v>
      </c>
      <c r="J2497" t="s">
        <v>91</v>
      </c>
      <c r="K2497" t="s">
        <v>27</v>
      </c>
      <c r="L2497" t="s">
        <v>20</v>
      </c>
      <c r="M2497" t="s">
        <v>5176</v>
      </c>
      <c r="N2497" t="s">
        <v>5194</v>
      </c>
    </row>
    <row r="2498" x14ac:dyDescent="0.25">
      <c r="A2498" t="n">
        <v>25</v>
      </c>
      <c r="B2498" t="s">
        <v>14</v>
      </c>
      <c r="C2498" t="s">
        <v>15</v>
      </c>
      <c r="D2498" s="2" t="s">
        <f>=HYPERLINK("https://main.knesset.gov.il/APPS/legislation/main/bills/2222786", "חוק לתיקון ולהארכת תוקפן של תקנות שעת חירום (חרבות ברזל) (פגישה עם עורך דין של עצור בעבירת ביטחון) (תיקון מס' 4), התשפ""ה-2024")</f>
        <v>5195</v>
      </c>
      <c r="E2498" t="s">
        <v>5195</v>
      </c>
      <c r="F2498" t="s">
        <v>14</v>
      </c>
      <c r="G2498" t="s">
        <v>5196</v>
      </c>
      <c r="H2498" t="n">
        <v>3307</v>
      </c>
      <c r="I2498" t="s">
        <v>14</v>
      </c>
      <c r="J2498" t="s">
        <v>91</v>
      </c>
      <c r="K2498" t="s">
        <v>27</v>
      </c>
      <c r="L2498" t="s">
        <v>20</v>
      </c>
      <c r="M2498" t="s">
        <v>5176</v>
      </c>
      <c r="N2498" t="s">
        <v>5197</v>
      </c>
    </row>
    <row r="2499" x14ac:dyDescent="0.25">
      <c r="A2499" t="n">
        <v>25</v>
      </c>
      <c r="B2499" t="s">
        <v>14</v>
      </c>
      <c r="C2499" t="s">
        <v>15</v>
      </c>
      <c r="D2499" s="2" t="s">
        <f>=HYPERLINK("https://main.knesset.gov.il/APPS/legislation/main/bills/2222785", "חוק לתיקון ולהארכת תוקפן של תקנות שעת חירום (חרבות ברזל) (הארכת מעצר לחשוד בעבירת ביטחון) (תיקון מס' 4), התשפ""ה-2024")</f>
        <v>5198</v>
      </c>
      <c r="E2499" t="s">
        <v>5198</v>
      </c>
      <c r="F2499" t="s">
        <v>14</v>
      </c>
      <c r="G2499" t="s">
        <v>5199</v>
      </c>
      <c r="H2499" t="n">
        <v>3306</v>
      </c>
      <c r="I2499" t="s">
        <v>14</v>
      </c>
      <c r="J2499" t="s">
        <v>91</v>
      </c>
      <c r="K2499" t="s">
        <v>27</v>
      </c>
      <c r="L2499" t="s">
        <v>20</v>
      </c>
      <c r="M2499" t="s">
        <v>5176</v>
      </c>
      <c r="N2499" t="s">
        <v>5200</v>
      </c>
    </row>
    <row r="2500" x14ac:dyDescent="0.25">
      <c r="A2500" t="n">
        <v>25</v>
      </c>
      <c r="B2500" t="s">
        <v>14</v>
      </c>
      <c r="C2500" t="s">
        <v>22</v>
      </c>
      <c r="D2500" s="2" t="s">
        <f>=HYPERLINK("https://main.knesset.gov.il/APPS/legislation/main/bills/2212041", "חוק התכנון והבנייה (תיקון מס' 158), התשפ""ה-2024")</f>
        <v>5201</v>
      </c>
      <c r="E2500" t="s">
        <v>5201</v>
      </c>
      <c r="F2500" t="s">
        <v>5202</v>
      </c>
      <c r="G2500" t="s">
        <v>4212</v>
      </c>
      <c r="H2500" t="n">
        <v>3308</v>
      </c>
      <c r="I2500" t="s">
        <v>14</v>
      </c>
      <c r="J2500" t="s">
        <v>91</v>
      </c>
      <c r="K2500" t="s">
        <v>46</v>
      </c>
      <c r="L2500" t="s">
        <v>20</v>
      </c>
      <c r="M2500" t="s">
        <v>5203</v>
      </c>
      <c r="N2500" t="s">
        <v>5204</v>
      </c>
    </row>
    <row r="2501" x14ac:dyDescent="0.25">
      <c r="A2501" t="n">
        <v>25</v>
      </c>
      <c r="B2501" t="s">
        <v>14</v>
      </c>
      <c r="C2501" t="s">
        <v>22</v>
      </c>
      <c r="D2501" s="2" t="s">
        <f>=HYPERLINK("https://main.knesset.gov.il/APPS/legislation/main/bills/2222198", "הצעת חוק חימוש כל אדם מכוחות הביטחון המוצב בקו עימות או סמוך אליו, התשפ""ה-2024")</f>
        <v>5205</v>
      </c>
      <c r="E2501" t="s">
        <v>5205</v>
      </c>
      <c r="F2501" t="s">
        <v>5206</v>
      </c>
      <c r="G2501" t="s">
        <v>14</v>
      </c>
      <c r="H2501">
             </c>
      <c r="I2501" t="s">
        <v>14</v>
      </c>
      <c r="J2501" t="s">
        <v>141</v>
      </c>
      <c r="K2501" t="s">
        <v>14</v>
      </c>
      <c r="L2501" t="s">
        <v>20</v>
      </c>
      <c r="M2501" t="s">
        <v>5203</v>
      </c>
      <c r="N2501" t="s">
        <v>14</v>
      </c>
    </row>
    <row r="2502" x14ac:dyDescent="0.25">
      <c r="A2502" t="n">
        <v>25</v>
      </c>
      <c r="B2502" t="s">
        <v>14</v>
      </c>
      <c r="C2502" t="s">
        <v>22</v>
      </c>
      <c r="D2502" s="2" t="s">
        <f>=HYPERLINK("https://main.knesset.gov.il/APPS/legislation/main/bills/2221210", "הצעת חוק תשלומי פיצוי על כניסת מוצרים שאינם סיוע הומניטרי, התשפ""ה-2024 ")</f>
        <v>5207</v>
      </c>
      <c r="E2502" t="s">
        <v>5207</v>
      </c>
      <c r="F2502" t="s">
        <v>5208</v>
      </c>
      <c r="G2502" t="s">
        <v>14</v>
      </c>
      <c r="H2502">
             </c>
      <c r="I2502" t="s">
        <v>14</v>
      </c>
      <c r="J2502" t="s">
        <v>141</v>
      </c>
      <c r="K2502" t="s">
        <v>14</v>
      </c>
      <c r="L2502" t="s">
        <v>20</v>
      </c>
      <c r="M2502" t="s">
        <v>5203</v>
      </c>
      <c r="N2502" t="s">
        <v>14</v>
      </c>
    </row>
    <row r="2503" x14ac:dyDescent="0.25">
      <c r="A2503" t="n">
        <v>25</v>
      </c>
      <c r="B2503" t="s">
        <v>14</v>
      </c>
      <c r="C2503" t="s">
        <v>22</v>
      </c>
      <c r="D2503" s="2" t="s">
        <f>=HYPERLINK("https://main.knesset.gov.il/APPS/legislation/main/bills/2222700", "הצעת חוק העברת אמצעי לחימה רוסיים שנתפסו בלבנון וברשות הפלסטינית לטובת חימוש אוקראינה, התשפ""ה-2024")</f>
        <v>5209</v>
      </c>
      <c r="E2503" t="s">
        <v>5209</v>
      </c>
      <c r="F2503" t="s">
        <v>5210</v>
      </c>
      <c r="G2503" t="s">
        <v>14</v>
      </c>
      <c r="H2503">
             </c>
      <c r="I2503" t="s">
        <v>14</v>
      </c>
      <c r="J2503" t="s">
        <v>141</v>
      </c>
      <c r="K2503" t="s">
        <v>14</v>
      </c>
      <c r="L2503" t="s">
        <v>20</v>
      </c>
      <c r="M2503" t="s">
        <v>5203</v>
      </c>
      <c r="N2503" t="s">
        <v>14</v>
      </c>
    </row>
    <row r="2504" x14ac:dyDescent="0.25">
      <c r="A2504" t="n">
        <v>25</v>
      </c>
      <c r="B2504" t="s">
        <v>14</v>
      </c>
      <c r="C2504" t="s">
        <v>22</v>
      </c>
      <c r="D2504" s="2" t="s">
        <f>=HYPERLINK("https://main.knesset.gov.il/APPS/legislation/main/bills/2222199", "הצעת חוק כלי הירייה (תיקון - חימוש אזרחים בנשק ארוך בשעת חירום), התשפ""ה-2024")</f>
        <v>5211</v>
      </c>
      <c r="E2504" t="s">
        <v>5211</v>
      </c>
      <c r="F2504" t="s">
        <v>5212</v>
      </c>
      <c r="G2504" t="s">
        <v>14</v>
      </c>
      <c r="H2504">
             </c>
      <c r="I2504" t="s">
        <v>14</v>
      </c>
      <c r="J2504" t="s">
        <v>141</v>
      </c>
      <c r="K2504" t="s">
        <v>14</v>
      </c>
      <c r="L2504" t="s">
        <v>20</v>
      </c>
      <c r="M2504" t="s">
        <v>5203</v>
      </c>
      <c r="N2504" t="s">
        <v>14</v>
      </c>
    </row>
    <row r="2505" x14ac:dyDescent="0.25">
      <c r="A2505" t="n">
        <v>25</v>
      </c>
      <c r="B2505" t="s">
        <v>14</v>
      </c>
      <c r="C2505" t="s">
        <v>22</v>
      </c>
      <c r="D2505" s="2" t="s">
        <f>=HYPERLINK("https://main.knesset.gov.il/APPS/legislation/main/bills/2222862", "הצעת חוק לידה שקטה (תיקוני חקיקה), התשפ""ה-2024")</f>
        <v>4629</v>
      </c>
      <c r="E2505" t="s">
        <v>4629</v>
      </c>
      <c r="F2505" t="s">
        <v>5213</v>
      </c>
      <c r="G2505" t="s">
        <v>14</v>
      </c>
      <c r="H2505">
             </c>
      <c r="I2505" t="s">
        <v>14</v>
      </c>
      <c r="J2505" t="s">
        <v>141</v>
      </c>
      <c r="K2505" t="s">
        <v>14</v>
      </c>
      <c r="L2505" t="s">
        <v>20</v>
      </c>
      <c r="M2505" t="s">
        <v>5203</v>
      </c>
      <c r="N2505" t="s">
        <v>14</v>
      </c>
    </row>
    <row r="2506" x14ac:dyDescent="0.25">
      <c r="A2506" t="n">
        <v>25</v>
      </c>
      <c r="B2506" t="s">
        <v>14</v>
      </c>
      <c r="C2506" t="s">
        <v>22</v>
      </c>
      <c r="D2506" s="2" t="s">
        <f>=HYPERLINK("https://main.knesset.gov.il/APPS/legislation/main/bills/2222959", "הצעת חוק הטבות למשרתים בשירות צבאי או אזרחי, התשפ""ה-2024")</f>
        <v>4965</v>
      </c>
      <c r="E2506" t="s">
        <v>4965</v>
      </c>
      <c r="F2506" t="s">
        <v>5214</v>
      </c>
      <c r="G2506" t="s">
        <v>14</v>
      </c>
      <c r="H2506">
             </c>
      <c r="I2506" t="s">
        <v>14</v>
      </c>
      <c r="J2506" t="s">
        <v>141</v>
      </c>
      <c r="K2506" t="s">
        <v>14</v>
      </c>
      <c r="L2506" t="s">
        <v>20</v>
      </c>
      <c r="M2506" t="s">
        <v>5203</v>
      </c>
      <c r="N2506" t="s">
        <v>14</v>
      </c>
    </row>
    <row r="2507" x14ac:dyDescent="0.25">
      <c r="A2507" t="n">
        <v>25</v>
      </c>
      <c r="B2507" t="s">
        <v>14</v>
      </c>
      <c r="C2507" t="s">
        <v>22</v>
      </c>
      <c r="D2507" s="2" t="s">
        <f>=HYPERLINK("https://main.knesset.gov.il/APPS/legislation/main/bills/2223053", "הצעת חוק הרבנות הראשית לישראל (תיקון - הגדלת הייצוג הנשי באסיפה הבוחרת), התשפ""ה-2024")</f>
        <v>5215</v>
      </c>
      <c r="E2507" t="s">
        <v>5215</v>
      </c>
      <c r="F2507" t="s">
        <v>5216</v>
      </c>
      <c r="G2507" t="s">
        <v>14</v>
      </c>
      <c r="H2507">
             </c>
      <c r="I2507" t="s">
        <v>14</v>
      </c>
      <c r="J2507" t="s">
        <v>141</v>
      </c>
      <c r="K2507" t="s">
        <v>14</v>
      </c>
      <c r="L2507" t="s">
        <v>20</v>
      </c>
      <c r="M2507" t="s">
        <v>5203</v>
      </c>
      <c r="N2507" t="s">
        <v>14</v>
      </c>
    </row>
    <row r="2508" x14ac:dyDescent="0.25">
      <c r="A2508" t="n">
        <v>25</v>
      </c>
      <c r="B2508" t="s">
        <v>14</v>
      </c>
      <c r="C2508" t="s">
        <v>22</v>
      </c>
      <c r="D2508" s="2" t="s">
        <f>=HYPERLINK("https://main.knesset.gov.il/APPS/legislation/main/bills/2221110", "הצעת חוק התכנון והבנייה (תיקון - הקלת רגולציה במסגרת שיקום עוטף עזה ויישובי הגדר בקו העימות הצפוני), התשפ""ה-2024")</f>
        <v>5217</v>
      </c>
      <c r="E2508" t="s">
        <v>5217</v>
      </c>
      <c r="F2508" t="s">
        <v>5218</v>
      </c>
      <c r="G2508" t="s">
        <v>14</v>
      </c>
      <c r="H2508">
             </c>
      <c r="I2508" t="s">
        <v>14</v>
      </c>
      <c r="J2508" t="s">
        <v>141</v>
      </c>
      <c r="K2508" t="s">
        <v>14</v>
      </c>
      <c r="L2508" t="s">
        <v>20</v>
      </c>
      <c r="M2508" t="s">
        <v>5203</v>
      </c>
      <c r="N2508" t="s">
        <v>14</v>
      </c>
    </row>
    <row r="2509" x14ac:dyDescent="0.25">
      <c r="A2509" t="n">
        <v>25</v>
      </c>
      <c r="B2509" t="s">
        <v>14</v>
      </c>
      <c r="C2509" t="s">
        <v>22</v>
      </c>
      <c r="D2509" s="2" t="s">
        <f>=HYPERLINK("https://main.knesset.gov.il/APPS/legislation/main/bills/2221943", "הצעת חוק איסור שיתוף פעולה עם סנקציות של מדינות זרות על אזרחי ישראל, התשפ”ה-2024")</f>
        <v>5219</v>
      </c>
      <c r="E2509" t="s">
        <v>5219</v>
      </c>
      <c r="F2509" t="s">
        <v>5220</v>
      </c>
      <c r="G2509" t="s">
        <v>14</v>
      </c>
      <c r="H2509">
             </c>
      <c r="I2509" t="s">
        <v>14</v>
      </c>
      <c r="J2509" t="s">
        <v>141</v>
      </c>
      <c r="K2509" t="s">
        <v>14</v>
      </c>
      <c r="L2509" t="s">
        <v>20</v>
      </c>
      <c r="M2509" t="s">
        <v>5203</v>
      </c>
      <c r="N2509" t="s">
        <v>14</v>
      </c>
    </row>
    <row r="2510" x14ac:dyDescent="0.25">
      <c r="A2510" t="n">
        <v>25</v>
      </c>
      <c r="B2510" t="s">
        <v>14</v>
      </c>
      <c r="C2510" t="s">
        <v>22</v>
      </c>
      <c r="D2510" s="2" t="s">
        <f>=HYPERLINK("https://main.knesset.gov.il/APPS/legislation/main/bills/2223203", "הצעת חוק השתתפות המדינה בעלות שכר הלימוד במעון יום למשרתי מילואים וקדימות בקבלה למעון, התשפ""ה-2024")</f>
        <v>5221</v>
      </c>
      <c r="E2510" t="s">
        <v>5221</v>
      </c>
      <c r="F2510" t="s">
        <v>5222</v>
      </c>
      <c r="G2510" t="s">
        <v>14</v>
      </c>
      <c r="H2510">
             </c>
      <c r="I2510" t="s">
        <v>14</v>
      </c>
      <c r="J2510" t="s">
        <v>141</v>
      </c>
      <c r="K2510" t="s">
        <v>14</v>
      </c>
      <c r="L2510" t="s">
        <v>20</v>
      </c>
      <c r="M2510" t="s">
        <v>5203</v>
      </c>
      <c r="N2510" t="s">
        <v>14</v>
      </c>
    </row>
    <row r="2511" x14ac:dyDescent="0.25">
      <c r="A2511" t="n">
        <v>25</v>
      </c>
      <c r="B2511" t="s">
        <v>14</v>
      </c>
      <c r="C2511" t="s">
        <v>22</v>
      </c>
      <c r="D2511" s="2" t="s">
        <f>=HYPERLINK("https://main.knesset.gov.il/APPS/legislation/main/bills/2221049", "הצעת חוק עוסק בכלכלת הפלטפורמה, התשפ""ה-2024")</f>
        <v>4764</v>
      </c>
      <c r="E2511" t="s">
        <v>4764</v>
      </c>
      <c r="F2511" t="s">
        <v>5223</v>
      </c>
      <c r="G2511" t="s">
        <v>14</v>
      </c>
      <c r="H2511">
             </c>
      <c r="I2511" t="s">
        <v>14</v>
      </c>
      <c r="J2511" t="s">
        <v>141</v>
      </c>
      <c r="K2511" t="s">
        <v>14</v>
      </c>
      <c r="L2511" t="s">
        <v>20</v>
      </c>
      <c r="M2511" t="s">
        <v>5203</v>
      </c>
      <c r="N2511" t="s">
        <v>14</v>
      </c>
    </row>
    <row r="2512" x14ac:dyDescent="0.25">
      <c r="A2512" t="n">
        <v>25</v>
      </c>
      <c r="B2512" t="s">
        <v>14</v>
      </c>
      <c r="C2512" t="s">
        <v>22</v>
      </c>
      <c r="D2512" s="2" t="s">
        <f>=HYPERLINK("https://main.knesset.gov.il/APPS/legislation/main/bills/2221030", "הצעת חוק עוסק בכלכלת הפלטפורמה, התשפ""ה-2024")</f>
        <v>4764</v>
      </c>
      <c r="E2512" t="s">
        <v>4764</v>
      </c>
      <c r="F2512" t="s">
        <v>5224</v>
      </c>
      <c r="G2512" t="s">
        <v>14</v>
      </c>
      <c r="H2512">
             </c>
      <c r="I2512" t="s">
        <v>14</v>
      </c>
      <c r="J2512" t="s">
        <v>141</v>
      </c>
      <c r="K2512" t="s">
        <v>14</v>
      </c>
      <c r="L2512" t="s">
        <v>20</v>
      </c>
      <c r="M2512" t="s">
        <v>5203</v>
      </c>
      <c r="N2512" t="s">
        <v>14</v>
      </c>
    </row>
    <row r="2513" x14ac:dyDescent="0.25">
      <c r="A2513" t="n">
        <v>25</v>
      </c>
      <c r="B2513" t="s">
        <v>14</v>
      </c>
      <c r="C2513" t="s">
        <v>22</v>
      </c>
      <c r="D2513" s="2" t="s">
        <f>=HYPERLINK("https://main.knesset.gov.il/APPS/legislation/main/bills/2222351", "הצעת חוק פיקוח על מחירי מצרכים ושירותים (תיקון - פיקוח על מוצרי מזון בריא בסיסיים), התשפ""ה-2024 ")</f>
        <v>4993</v>
      </c>
      <c r="E2513" t="s">
        <v>4993</v>
      </c>
      <c r="F2513" t="s">
        <v>5225</v>
      </c>
      <c r="G2513" t="s">
        <v>14</v>
      </c>
      <c r="H2513">
             </c>
      <c r="I2513" t="s">
        <v>14</v>
      </c>
      <c r="J2513" t="s">
        <v>141</v>
      </c>
      <c r="K2513" t="s">
        <v>14</v>
      </c>
      <c r="L2513" t="s">
        <v>20</v>
      </c>
      <c r="M2513" t="s">
        <v>5203</v>
      </c>
      <c r="N2513" t="s">
        <v>14</v>
      </c>
    </row>
    <row r="2514" x14ac:dyDescent="0.25">
      <c r="A2514" t="n">
        <v>25</v>
      </c>
      <c r="B2514" t="s">
        <v>14</v>
      </c>
      <c r="C2514" t="s">
        <v>22</v>
      </c>
      <c r="D2514" s="2" t="s">
        <f>=HYPERLINK("https://main.knesset.gov.il/APPS/legislation/main/bills/2222699", "הצעת חוק העברת מידע בין רשויות, התשפ""ה-2024")</f>
        <v>5226</v>
      </c>
      <c r="E2514" t="s">
        <v>5226</v>
      </c>
      <c r="F2514" t="s">
        <v>5227</v>
      </c>
      <c r="G2514" t="s">
        <v>14</v>
      </c>
      <c r="H2514">
             </c>
      <c r="I2514" t="s">
        <v>14</v>
      </c>
      <c r="J2514" t="s">
        <v>141</v>
      </c>
      <c r="K2514" t="s">
        <v>14</v>
      </c>
      <c r="L2514" t="s">
        <v>20</v>
      </c>
      <c r="M2514" t="s">
        <v>5203</v>
      </c>
      <c r="N2514" t="s">
        <v>14</v>
      </c>
    </row>
    <row r="2515" x14ac:dyDescent="0.25">
      <c r="A2515" t="n">
        <v>25</v>
      </c>
      <c r="B2515" t="s">
        <v>14</v>
      </c>
      <c r="C2515" t="s">
        <v>22</v>
      </c>
      <c r="D2515" s="2" t="s">
        <f>=HYPERLINK("https://main.knesset.gov.il/APPS/legislation/main/bills/2222951", "הצעת חוק לימוד חובה (תיקון - איסור על גביית תשלומי הורים), התשפ""ה-2024")</f>
        <v>5228</v>
      </c>
      <c r="E2515" t="s">
        <v>5228</v>
      </c>
      <c r="F2515" t="s">
        <v>5229</v>
      </c>
      <c r="G2515" t="s">
        <v>14</v>
      </c>
      <c r="H2515">
             </c>
      <c r="I2515" t="s">
        <v>14</v>
      </c>
      <c r="J2515" t="s">
        <v>141</v>
      </c>
      <c r="K2515" t="s">
        <v>14</v>
      </c>
      <c r="L2515" t="s">
        <v>20</v>
      </c>
      <c r="M2515" t="s">
        <v>5203</v>
      </c>
      <c r="N2515" t="s">
        <v>14</v>
      </c>
    </row>
    <row r="2516" x14ac:dyDescent="0.25">
      <c r="A2516" t="n">
        <v>25</v>
      </c>
      <c r="B2516" t="s">
        <v>14</v>
      </c>
      <c r="C2516" t="s">
        <v>22</v>
      </c>
      <c r="D2516" s="2" t="s">
        <f>=HYPERLINK("https://main.knesset.gov.il/APPS/legislation/main/bills/2222050", "הצעת חוק חובת המכרזים (תיקון - הגדרת קווי העימות) (הוראת שעה), התשפ""ה-2024")</f>
        <v>5230</v>
      </c>
      <c r="E2516" t="s">
        <v>5230</v>
      </c>
      <c r="F2516" t="s">
        <v>5231</v>
      </c>
      <c r="G2516" t="s">
        <v>14</v>
      </c>
      <c r="H2516">
             </c>
      <c r="I2516" t="s">
        <v>14</v>
      </c>
      <c r="J2516" t="s">
        <v>141</v>
      </c>
      <c r="K2516" t="s">
        <v>14</v>
      </c>
      <c r="L2516" t="s">
        <v>20</v>
      </c>
      <c r="M2516" t="s">
        <v>5203</v>
      </c>
      <c r="N2516" t="s">
        <v>14</v>
      </c>
    </row>
    <row r="2517" x14ac:dyDescent="0.25">
      <c r="A2517" t="n">
        <v>25</v>
      </c>
      <c r="B2517" t="s">
        <v>14</v>
      </c>
      <c r="C2517" t="s">
        <v>22</v>
      </c>
      <c r="D2517" s="2" t="s">
        <f>=HYPERLINK("https://main.knesset.gov.il/APPS/legislation/main/bills/2222804", "הצעת חוק הקמת מחלקה לגיבוש תפיסת מודיעין חלופית (""איפכא מסתברא"") מגופי המודיעין, התשפ""ה-2024")</f>
        <v>5018</v>
      </c>
      <c r="E2517" t="s">
        <v>5018</v>
      </c>
      <c r="F2517" t="s">
        <v>5232</v>
      </c>
      <c r="G2517" t="s">
        <v>14</v>
      </c>
      <c r="H2517">
             </c>
      <c r="I2517" t="s">
        <v>14</v>
      </c>
      <c r="J2517" t="s">
        <v>141</v>
      </c>
      <c r="K2517" t="s">
        <v>14</v>
      </c>
      <c r="L2517" t="s">
        <v>20</v>
      </c>
      <c r="M2517" t="s">
        <v>5203</v>
      </c>
      <c r="N2517" t="s">
        <v>14</v>
      </c>
    </row>
    <row r="2518" x14ac:dyDescent="0.25">
      <c r="A2518" t="n">
        <v>25</v>
      </c>
      <c r="B2518" t="s">
        <v>14</v>
      </c>
      <c r="C2518" t="s">
        <v>22</v>
      </c>
      <c r="D2518" s="2" t="s">
        <f>=HYPERLINK("https://main.knesset.gov.il/APPS/legislation/main/bills/2220856", "הצעת חוק תשלומי פיצוי על כניסת מוצרים שאינם סיוע הומניטרי, התשפ""ה-2024 ")</f>
        <v>5207</v>
      </c>
      <c r="E2518" t="s">
        <v>5207</v>
      </c>
      <c r="F2518" t="s">
        <v>5233</v>
      </c>
      <c r="G2518" t="s">
        <v>14</v>
      </c>
      <c r="H2518">
             </c>
      <c r="I2518" t="s">
        <v>14</v>
      </c>
      <c r="J2518" t="s">
        <v>141</v>
      </c>
      <c r="K2518" t="s">
        <v>14</v>
      </c>
      <c r="L2518" t="s">
        <v>20</v>
      </c>
      <c r="M2518" t="s">
        <v>5203</v>
      </c>
      <c r="N2518" t="s">
        <v>14</v>
      </c>
    </row>
    <row r="2519" x14ac:dyDescent="0.25">
      <c r="A2519" t="n">
        <v>25</v>
      </c>
      <c r="B2519" t="s">
        <v>14</v>
      </c>
      <c r="C2519" t="s">
        <v>22</v>
      </c>
      <c r="D2519" s="2" t="s">
        <f>=HYPERLINK("https://main.knesset.gov.il/APPS/legislation/main/bills/2223010", "הצעת חוק-יסוד: ישראל - מדינת הלאום של העם היהודי (תיקון - הוספת ערך השוויון ברוח עקרונות הכרזת העצמאות)")</f>
        <v>5234</v>
      </c>
      <c r="E2519" t="s">
        <v>5234</v>
      </c>
      <c r="F2519" t="s">
        <v>5235</v>
      </c>
      <c r="G2519" t="s">
        <v>14</v>
      </c>
      <c r="H2519">
             </c>
      <c r="I2519" t="s">
        <v>14</v>
      </c>
      <c r="J2519" t="s">
        <v>141</v>
      </c>
      <c r="K2519" t="s">
        <v>14</v>
      </c>
      <c r="L2519" t="s">
        <v>20</v>
      </c>
      <c r="M2519" t="s">
        <v>5203</v>
      </c>
      <c r="N2519" t="s">
        <v>14</v>
      </c>
    </row>
    <row r="2520" x14ac:dyDescent="0.25">
      <c r="A2520" t="n">
        <v>25</v>
      </c>
      <c r="B2520" t="s">
        <v>14</v>
      </c>
      <c r="C2520" t="s">
        <v>22</v>
      </c>
      <c r="D2520" s="2" t="s">
        <f>=HYPERLINK("https://main.knesset.gov.il/APPS/legislation/main/bills/2222586", "הצעת חוק הביטוח הלאומי (תיקון - גמלה בשל דיכאון סב לידתי), התשפ""ה-2024")</f>
        <v>5236</v>
      </c>
      <c r="E2520" t="s">
        <v>5236</v>
      </c>
      <c r="F2520" t="s">
        <v>5237</v>
      </c>
      <c r="G2520" t="s">
        <v>14</v>
      </c>
      <c r="H2520">
             </c>
      <c r="I2520" t="s">
        <v>14</v>
      </c>
      <c r="J2520" t="s">
        <v>141</v>
      </c>
      <c r="K2520" t="s">
        <v>14</v>
      </c>
      <c r="L2520" t="s">
        <v>20</v>
      </c>
      <c r="M2520" t="s">
        <v>5203</v>
      </c>
      <c r="N2520" t="s">
        <v>14</v>
      </c>
    </row>
    <row r="2521" x14ac:dyDescent="0.25">
      <c r="A2521" t="n">
        <v>25</v>
      </c>
      <c r="B2521" t="s">
        <v>14</v>
      </c>
      <c r="C2521" t="s">
        <v>22</v>
      </c>
      <c r="D2521" s="2" t="s">
        <f>=HYPERLINK("https://main.knesset.gov.il/APPS/legislation/main/bills/2219708", "הצעת חוק מרשם האוכלוסין (תיקון - הוספת לאום ארמי), התשפ""ה-2024 ")</f>
        <v>5238</v>
      </c>
      <c r="E2521" t="s">
        <v>5238</v>
      </c>
      <c r="F2521" t="s">
        <v>5239</v>
      </c>
      <c r="G2521" t="s">
        <v>14</v>
      </c>
      <c r="H2521">
             </c>
      <c r="I2521" t="s">
        <v>14</v>
      </c>
      <c r="J2521" t="s">
        <v>141</v>
      </c>
      <c r="K2521" t="s">
        <v>14</v>
      </c>
      <c r="L2521" t="s">
        <v>20</v>
      </c>
      <c r="M2521" t="s">
        <v>5203</v>
      </c>
      <c r="N2521" t="s">
        <v>14</v>
      </c>
    </row>
    <row r="2522" x14ac:dyDescent="0.25">
      <c r="A2522" t="n">
        <v>25</v>
      </c>
      <c r="B2522" t="s">
        <v>14</v>
      </c>
      <c r="C2522" t="s">
        <v>22</v>
      </c>
      <c r="D2522" s="2" t="s">
        <f>=HYPERLINK("https://main.knesset.gov.il/APPS/legislation/main/bills/2222021", "הצעת חוק התכנון והבנייה (תיקון - פרסום שומות היטל השבחה), התשפ""ה-2024")</f>
        <v>5240</v>
      </c>
      <c r="E2522" t="s">
        <v>5240</v>
      </c>
      <c r="F2522" t="s">
        <v>5241</v>
      </c>
      <c r="G2522" t="s">
        <v>14</v>
      </c>
      <c r="H2522">
             </c>
      <c r="I2522" t="s">
        <v>14</v>
      </c>
      <c r="J2522" t="s">
        <v>141</v>
      </c>
      <c r="K2522" t="s">
        <v>14</v>
      </c>
      <c r="L2522" t="s">
        <v>20</v>
      </c>
      <c r="M2522" t="s">
        <v>5203</v>
      </c>
      <c r="N2522" t="s">
        <v>14</v>
      </c>
    </row>
    <row r="2523" x14ac:dyDescent="0.25">
      <c r="A2523" t="n">
        <v>25</v>
      </c>
      <c r="B2523" t="s">
        <v>14</v>
      </c>
      <c r="C2523" t="s">
        <v>22</v>
      </c>
      <c r="D2523" s="2" t="s">
        <f>=HYPERLINK("https://main.knesset.gov.il/APPS/legislation/main/bills/2222513", "הצעת חוק לתיקון פקודת מס הכנסה (מס מופחת לנושאים בנטל), התשפ""ה-2024")</f>
        <v>5242</v>
      </c>
      <c r="E2523" t="s">
        <v>5242</v>
      </c>
      <c r="F2523" t="s">
        <v>5243</v>
      </c>
      <c r="G2523" t="s">
        <v>14</v>
      </c>
      <c r="H2523">
             </c>
      <c r="I2523" t="s">
        <v>14</v>
      </c>
      <c r="J2523" t="s">
        <v>141</v>
      </c>
      <c r="K2523" t="s">
        <v>14</v>
      </c>
      <c r="L2523" t="s">
        <v>20</v>
      </c>
      <c r="M2523" t="s">
        <v>5203</v>
      </c>
      <c r="N2523" t="s">
        <v>14</v>
      </c>
    </row>
    <row r="2524" x14ac:dyDescent="0.25">
      <c r="A2524" t="n">
        <v>25</v>
      </c>
      <c r="B2524" t="s">
        <v>14</v>
      </c>
      <c r="C2524" t="s">
        <v>22</v>
      </c>
      <c r="D2524" s="2" t="s">
        <f>=HYPERLINK("https://main.knesset.gov.il/APPS/legislation/main/bills/2222485", "הצעת חוק הבנקאות (שירות ללקוח) (תיקון - הודעה ללקוח על אודות יתרה בחשבון עובר ושב שאינה נושאת ריבית), התשפ""ה-2024")</f>
        <v>5244</v>
      </c>
      <c r="E2524" t="s">
        <v>5244</v>
      </c>
      <c r="F2524" t="s">
        <v>5245</v>
      </c>
      <c r="G2524" t="s">
        <v>14</v>
      </c>
      <c r="H2524">
             </c>
      <c r="I2524" t="s">
        <v>14</v>
      </c>
      <c r="J2524" t="s">
        <v>141</v>
      </c>
      <c r="K2524" t="s">
        <v>14</v>
      </c>
      <c r="L2524" t="s">
        <v>20</v>
      </c>
      <c r="M2524" t="s">
        <v>5203</v>
      </c>
      <c r="N2524" t="s">
        <v>14</v>
      </c>
    </row>
    <row r="2525" x14ac:dyDescent="0.25">
      <c r="A2525" t="n">
        <v>25</v>
      </c>
      <c r="B2525" t="s">
        <v>14</v>
      </c>
      <c r="C2525" t="s">
        <v>22</v>
      </c>
      <c r="D2525" s="2" t="s">
        <f>=HYPERLINK("https://main.knesset.gov.il/APPS/legislation/main/bills/2221545", "הצעת חוק מס ערך מוסף (תיקון - פטור ממס על תשר), התשפ""ה-2024")</f>
        <v>4294</v>
      </c>
      <c r="E2525" t="s">
        <v>4294</v>
      </c>
      <c r="F2525" t="s">
        <v>5246</v>
      </c>
      <c r="G2525" t="s">
        <v>14</v>
      </c>
      <c r="H2525">
             </c>
      <c r="I2525" t="s">
        <v>14</v>
      </c>
      <c r="J2525" t="s">
        <v>141</v>
      </c>
      <c r="K2525" t="s">
        <v>14</v>
      </c>
      <c r="L2525" t="s">
        <v>20</v>
      </c>
      <c r="M2525" t="s">
        <v>5203</v>
      </c>
      <c r="N2525" t="s">
        <v>14</v>
      </c>
    </row>
    <row r="2526" x14ac:dyDescent="0.25">
      <c r="A2526" t="n">
        <v>25</v>
      </c>
      <c r="B2526" t="s">
        <v>14</v>
      </c>
      <c r="C2526" t="s">
        <v>22</v>
      </c>
      <c r="D2526" s="2" t="s">
        <f>=HYPERLINK("https://main.knesset.gov.il/APPS/legislation/main/bills/2222531", "הצעת חוק הממשלה (תיקון - חובת עריכת הסכמים בכתב), התשפ""ה-2024")</f>
        <v>5247</v>
      </c>
      <c r="E2526" t="s">
        <v>5247</v>
      </c>
      <c r="F2526" t="s">
        <v>5248</v>
      </c>
      <c r="G2526" t="s">
        <v>14</v>
      </c>
      <c r="H2526">
             </c>
      <c r="I2526" t="s">
        <v>14</v>
      </c>
      <c r="J2526" t="s">
        <v>343</v>
      </c>
      <c r="K2526" t="s">
        <v>14</v>
      </c>
      <c r="L2526" t="s">
        <v>20</v>
      </c>
      <c r="M2526" t="s">
        <v>5203</v>
      </c>
      <c r="N2526" t="s">
        <v>14</v>
      </c>
    </row>
    <row r="2527" x14ac:dyDescent="0.25">
      <c r="A2527" t="n">
        <v>25</v>
      </c>
      <c r="B2527" t="s">
        <v>14</v>
      </c>
      <c r="C2527" t="s">
        <v>22</v>
      </c>
      <c r="D2527" s="2" t="s">
        <f>=HYPERLINK("https://main.knesset.gov.il/APPS/legislation/main/bills/2222980", "הצעת חוק לתיקון פקודת מס הכנסה (פטור ממס למשרת מילואים פעיל) (הוראת שעה - חרבות ברזל), התשפ""ה-2024")</f>
        <v>4978</v>
      </c>
      <c r="E2527" t="s">
        <v>4978</v>
      </c>
      <c r="F2527" t="s">
        <v>5249</v>
      </c>
      <c r="G2527" t="s">
        <v>14</v>
      </c>
      <c r="H2527">
             </c>
      <c r="I2527" t="s">
        <v>14</v>
      </c>
      <c r="J2527" t="s">
        <v>141</v>
      </c>
      <c r="K2527" t="s">
        <v>14</v>
      </c>
      <c r="L2527" t="s">
        <v>20</v>
      </c>
      <c r="M2527" t="s">
        <v>5203</v>
      </c>
      <c r="N2527" t="s">
        <v>14</v>
      </c>
    </row>
    <row r="2528" x14ac:dyDescent="0.25">
      <c r="A2528" t="n">
        <v>25</v>
      </c>
      <c r="B2528" t="s">
        <v>14</v>
      </c>
      <c r="C2528" t="s">
        <v>22</v>
      </c>
      <c r="D2528" s="2" t="s">
        <f>=HYPERLINK("https://main.knesset.gov.il/APPS/legislation/main/bills/2197840", "חוק גירוש משפחות מחבלים, התשפ""ה–2024")</f>
        <v>5250</v>
      </c>
      <c r="E2528" t="s">
        <v>5250</v>
      </c>
      <c r="F2528" t="s">
        <v>5251</v>
      </c>
      <c r="G2528" t="s">
        <v>5252</v>
      </c>
      <c r="H2528" t="n">
        <v>3305</v>
      </c>
      <c r="I2528" t="s">
        <v>14</v>
      </c>
      <c r="J2528" t="s">
        <v>91</v>
      </c>
      <c r="K2528" t="s">
        <v>121</v>
      </c>
      <c r="L2528" t="s">
        <v>20</v>
      </c>
      <c r="M2528" t="s">
        <v>5253</v>
      </c>
      <c r="N2528" t="s">
        <v>5254</v>
      </c>
    </row>
    <row r="2529" x14ac:dyDescent="0.25">
      <c r="A2529" t="n">
        <v>25</v>
      </c>
      <c r="B2529" t="s">
        <v>14</v>
      </c>
      <c r="C2529" t="s">
        <v>22</v>
      </c>
      <c r="D2529" s="2" t="s">
        <f>=HYPERLINK("https://main.knesset.gov.il/APPS/legislation/main/bills/2202644", "חוק הנוער (שפיטה, ענישה ודרכי טיפול) (תיקון מס' 25 - הוראות שעה), התשפ""ד–2024")</f>
        <v>5255</v>
      </c>
      <c r="E2529" t="s">
        <v>5255</v>
      </c>
      <c r="F2529" t="s">
        <v>5256</v>
      </c>
      <c r="G2529" t="s">
        <v>5257</v>
      </c>
      <c r="H2529" t="n">
        <v>3304</v>
      </c>
      <c r="I2529" t="s">
        <v>14</v>
      </c>
      <c r="J2529" t="s">
        <v>91</v>
      </c>
      <c r="K2529" t="s">
        <v>27</v>
      </c>
      <c r="L2529" t="s">
        <v>20</v>
      </c>
      <c r="M2529" t="s">
        <v>5253</v>
      </c>
      <c r="N2529" t="s">
        <v>5258</v>
      </c>
    </row>
    <row r="2530" x14ac:dyDescent="0.25">
      <c r="A2530" t="n">
        <v>25</v>
      </c>
      <c r="B2530" t="s">
        <v>14</v>
      </c>
      <c r="C2530" t="s">
        <v>22</v>
      </c>
      <c r="D2530" s="2" t="s">
        <f>=HYPERLINK("https://main.knesset.gov.il/APPS/legislation/main/bills/2219293", "הצעת חוק שירותי הדת היהודיים (תיקון - הכרזה על בית עלמין סגור), התשפ""ד-2024")</f>
        <v>5259</v>
      </c>
      <c r="E2530" t="s">
        <v>5259</v>
      </c>
      <c r="F2530" t="s">
        <v>5260</v>
      </c>
      <c r="G2530" t="s">
        <v>14</v>
      </c>
      <c r="H2530">
             </c>
      <c r="I2530" t="s">
        <v>14</v>
      </c>
      <c r="J2530" t="s">
        <v>31</v>
      </c>
      <c r="K2530" t="s">
        <v>46</v>
      </c>
      <c r="L2530" t="s">
        <v>20</v>
      </c>
      <c r="M2530" t="s">
        <v>5253</v>
      </c>
      <c r="N2530" t="s">
        <v>14</v>
      </c>
    </row>
    <row r="2531" x14ac:dyDescent="0.25">
      <c r="A2531" t="n">
        <v>25</v>
      </c>
      <c r="B2531" t="s">
        <v>14</v>
      </c>
      <c r="C2531" t="s">
        <v>22</v>
      </c>
      <c r="D2531" s="2" t="s">
        <f>=HYPERLINK("https://main.knesset.gov.il/APPS/legislation/main/bills/2219696", "הצעת חוק הביטוח הלאומי (תיקון - זכאות לדמי לידה עבור משרתות מילואים), התשפ""ד-2024")</f>
        <v>5261</v>
      </c>
      <c r="E2531" t="s">
        <v>5261</v>
      </c>
      <c r="F2531" t="s">
        <v>5262</v>
      </c>
      <c r="G2531" t="s">
        <v>14</v>
      </c>
      <c r="H2531">
             </c>
      <c r="I2531" t="s">
        <v>14</v>
      </c>
      <c r="J2531" t="s">
        <v>55</v>
      </c>
      <c r="K2531" t="s">
        <v>14</v>
      </c>
      <c r="L2531" t="s">
        <v>20</v>
      </c>
      <c r="M2531" t="s">
        <v>5253</v>
      </c>
      <c r="N2531" t="s">
        <v>14</v>
      </c>
    </row>
    <row r="2532" x14ac:dyDescent="0.25">
      <c r="A2532" t="n">
        <v>25</v>
      </c>
      <c r="B2532" t="s">
        <v>14</v>
      </c>
      <c r="C2532" t="s">
        <v>22</v>
      </c>
      <c r="D2532" s="2" t="s">
        <f>=HYPERLINK("https://main.knesset.gov.il/APPS/legislation/main/bills/2214652", "הצעת חוק לייצוב מחירי מצרכים בעת חירום, התשפ""ד-2024")</f>
        <v>5263</v>
      </c>
      <c r="E2532" t="s">
        <v>5263</v>
      </c>
      <c r="F2532" t="s">
        <v>5264</v>
      </c>
      <c r="G2532" t="s">
        <v>14</v>
      </c>
      <c r="H2532">
             </c>
      <c r="I2532" t="s">
        <v>14</v>
      </c>
      <c r="J2532" t="s">
        <v>343</v>
      </c>
      <c r="K2532" t="s">
        <v>14</v>
      </c>
      <c r="L2532" t="s">
        <v>20</v>
      </c>
      <c r="M2532" t="s">
        <v>5253</v>
      </c>
      <c r="N2532" t="s">
        <v>14</v>
      </c>
    </row>
    <row r="2533" x14ac:dyDescent="0.25">
      <c r="A2533" t="n">
        <v>25</v>
      </c>
      <c r="B2533" t="s">
        <v>14</v>
      </c>
      <c r="C2533" t="s">
        <v>22</v>
      </c>
      <c r="D2533" s="2" t="s">
        <f>=HYPERLINK("https://main.knesset.gov.il/APPS/legislation/main/bills/2201653", "הצעת חוק לימוד חובה (תיקון - עובד סוציאלי או פסיכולוג חינוכי במוסד חינוכי ביישוב סמוך גבול), התשפ""ג-2023")</f>
        <v>5265</v>
      </c>
      <c r="E2533" t="s">
        <v>5265</v>
      </c>
      <c r="F2533" t="s">
        <v>5266</v>
      </c>
      <c r="G2533" t="s">
        <v>14</v>
      </c>
      <c r="H2533">
             </c>
      <c r="I2533" t="s">
        <v>14</v>
      </c>
      <c r="J2533" t="s">
        <v>55</v>
      </c>
      <c r="K2533" t="s">
        <v>14</v>
      </c>
      <c r="L2533" t="s">
        <v>20</v>
      </c>
      <c r="M2533" t="s">
        <v>5253</v>
      </c>
      <c r="N2533" t="s">
        <v>14</v>
      </c>
    </row>
    <row r="2534" x14ac:dyDescent="0.25">
      <c r="A2534" t="n">
        <v>25</v>
      </c>
      <c r="B2534" t="s">
        <v>14</v>
      </c>
      <c r="C2534" t="s">
        <v>22</v>
      </c>
      <c r="D2534" s="2" t="s">
        <f>=HYPERLINK("https://main.knesset.gov.il/APPS/legislation/main/bills/2196755", "הצעת חוק הנצחת זכרם של קורבנות הטבח בכפר קאסם, התשפ""ג-2022")</f>
        <v>5267</v>
      </c>
      <c r="E2534" t="s">
        <v>5267</v>
      </c>
      <c r="F2534" t="s">
        <v>5268</v>
      </c>
      <c r="G2534" t="s">
        <v>14</v>
      </c>
      <c r="H2534">
             </c>
      <c r="I2534" t="s">
        <v>14</v>
      </c>
      <c r="J2534" t="s">
        <v>55</v>
      </c>
      <c r="K2534" t="s">
        <v>14</v>
      </c>
      <c r="L2534" t="s">
        <v>20</v>
      </c>
      <c r="M2534" t="s">
        <v>5253</v>
      </c>
      <c r="N2534" t="s">
        <v>14</v>
      </c>
    </row>
    <row r="2535" x14ac:dyDescent="0.25">
      <c r="A2535" t="n">
        <v>25</v>
      </c>
      <c r="B2535" t="s">
        <v>14</v>
      </c>
      <c r="C2535" t="s">
        <v>22</v>
      </c>
      <c r="D2535" s="2" t="s">
        <f>=HYPERLINK("https://main.knesset.gov.il/APPS/legislation/main/bills/2216128", "הצעת חוק זכויות הסטודנט (תיקון - העדפה מתקנת למשרתי מילואים), התשפ""ד-2024")</f>
        <v>5269</v>
      </c>
      <c r="E2535" t="s">
        <v>5269</v>
      </c>
      <c r="F2535" t="s">
        <v>5270</v>
      </c>
      <c r="G2535" t="s">
        <v>14</v>
      </c>
      <c r="H2535">
             </c>
      <c r="I2535" t="s">
        <v>14</v>
      </c>
      <c r="J2535" t="s">
        <v>99</v>
      </c>
      <c r="K2535" t="s">
        <v>34</v>
      </c>
      <c r="L2535" t="s">
        <v>20</v>
      </c>
      <c r="M2535" t="s">
        <v>5271</v>
      </c>
      <c r="N2535" t="s">
        <v>14</v>
      </c>
    </row>
    <row r="2536" x14ac:dyDescent="0.25">
      <c r="A2536" t="n">
        <v>25</v>
      </c>
      <c r="B2536" t="s">
        <v>14</v>
      </c>
      <c r="C2536" t="s">
        <v>22</v>
      </c>
      <c r="D2536" s="2" t="s">
        <f>=HYPERLINK("https://main.knesset.gov.il/APPS/legislation/main/bills/2215371", "הצעת חוק זכויות הסטודנט (תיקון - הקלות בתנאי קבלה ללוחמים ולמשרתי מילואים), התשפ""ד-2024")</f>
        <v>5272</v>
      </c>
      <c r="E2536" t="s">
        <v>5272</v>
      </c>
      <c r="F2536" t="s">
        <v>5273</v>
      </c>
      <c r="G2536" t="s">
        <v>14</v>
      </c>
      <c r="H2536">
             </c>
      <c r="I2536" t="s">
        <v>14</v>
      </c>
      <c r="J2536" t="s">
        <v>99</v>
      </c>
      <c r="K2536" t="s">
        <v>34</v>
      </c>
      <c r="L2536" t="s">
        <v>20</v>
      </c>
      <c r="M2536" t="s">
        <v>5271</v>
      </c>
      <c r="N2536" t="s">
        <v>14</v>
      </c>
    </row>
    <row r="2537" x14ac:dyDescent="0.25">
      <c r="A2537" t="n">
        <v>25</v>
      </c>
      <c r="B2537" t="s">
        <v>14</v>
      </c>
      <c r="C2537" t="s">
        <v>22</v>
      </c>
      <c r="D2537" s="2" t="s">
        <f>=HYPERLINK("https://main.knesset.gov.il/APPS/legislation/main/bills/2212965", "הצעת חוק זכויות הסטודנט (תיקון - העדפה מתקנת ללוחמים), התשפ""ד-2024")</f>
        <v>5274</v>
      </c>
      <c r="E2537" t="s">
        <v>5274</v>
      </c>
      <c r="F2537" t="s">
        <v>5275</v>
      </c>
      <c r="G2537" t="s">
        <v>14</v>
      </c>
      <c r="H2537">
             </c>
      <c r="I2537" t="s">
        <v>14</v>
      </c>
      <c r="J2537" t="s">
        <v>99</v>
      </c>
      <c r="K2537" t="s">
        <v>34</v>
      </c>
      <c r="L2537" t="s">
        <v>20</v>
      </c>
      <c r="M2537" t="s">
        <v>5271</v>
      </c>
      <c r="N2537" t="s">
        <v>14</v>
      </c>
    </row>
    <row r="2538" x14ac:dyDescent="0.25">
      <c r="A2538" t="n">
        <v>25</v>
      </c>
      <c r="B2538" t="s">
        <v>14</v>
      </c>
      <c r="C2538" t="s">
        <v>22</v>
      </c>
      <c r="D2538" s="2" t="s">
        <f>=HYPERLINK("https://main.knesset.gov.il/APPS/legislation/main/bills/2202133", "הצעת חוק זכויות הסטודנט (תיקון - העדפה מתקנת ללוחמים), התשפ""ג-2023")</f>
        <v>5276</v>
      </c>
      <c r="E2538" t="s">
        <v>5276</v>
      </c>
      <c r="F2538" t="s">
        <v>5277</v>
      </c>
      <c r="G2538" t="s">
        <v>14</v>
      </c>
      <c r="H2538">
             </c>
      <c r="I2538" t="s">
        <v>14</v>
      </c>
      <c r="J2538" t="s">
        <v>99</v>
      </c>
      <c r="K2538" t="s">
        <v>34</v>
      </c>
      <c r="L2538" t="s">
        <v>20</v>
      </c>
      <c r="M2538" t="s">
        <v>5271</v>
      </c>
      <c r="N2538" t="s">
        <v>14</v>
      </c>
    </row>
    <row r="2539" x14ac:dyDescent="0.25">
      <c r="A2539" t="n">
        <v>25</v>
      </c>
      <c r="B2539" t="s">
        <v>14</v>
      </c>
      <c r="C2539" t="s">
        <v>22</v>
      </c>
      <c r="D2539" s="2" t="s">
        <f>=HYPERLINK("https://main.knesset.gov.il/APPS/legislation/main/bills/2196182", "חוק התכנון והבנייה (תיקון מס' 157), התשפ""ה–2024")</f>
        <v>5278</v>
      </c>
      <c r="E2539" t="s">
        <v>5278</v>
      </c>
      <c r="F2539" t="s">
        <v>5279</v>
      </c>
      <c r="G2539" t="s">
        <v>5280</v>
      </c>
      <c r="H2539" t="n">
        <v>3303</v>
      </c>
      <c r="I2539" t="s">
        <v>14</v>
      </c>
      <c r="J2539" t="s">
        <v>91</v>
      </c>
      <c r="K2539" t="s">
        <v>46</v>
      </c>
      <c r="L2539" t="s">
        <v>20</v>
      </c>
      <c r="M2539" t="s">
        <v>5271</v>
      </c>
      <c r="N2539" t="s">
        <v>5281</v>
      </c>
    </row>
    <row r="2540" x14ac:dyDescent="0.25">
      <c r="A2540" t="n">
        <v>25</v>
      </c>
      <c r="B2540" t="s">
        <v>14</v>
      </c>
      <c r="C2540" t="s">
        <v>22</v>
      </c>
      <c r="D2540" s="2" t="s">
        <f>=HYPERLINK("https://main.knesset.gov.il/APPS/legislation/main/bills/2215082", "חוק חובת המכרזים (תיקון מס' 26), התשפ""ה–2024")</f>
        <v>5282</v>
      </c>
      <c r="E2540" t="s">
        <v>5282</v>
      </c>
      <c r="F2540" t="s">
        <v>5283</v>
      </c>
      <c r="G2540" t="s">
        <v>5284</v>
      </c>
      <c r="H2540" t="n">
        <v>3302</v>
      </c>
      <c r="I2540" t="s">
        <v>14</v>
      </c>
      <c r="J2540" t="s">
        <v>91</v>
      </c>
      <c r="K2540" t="s">
        <v>19</v>
      </c>
      <c r="L2540" t="s">
        <v>20</v>
      </c>
      <c r="M2540" t="s">
        <v>5271</v>
      </c>
      <c r="N2540" t="s">
        <v>5285</v>
      </c>
    </row>
    <row r="2541" x14ac:dyDescent="0.25">
      <c r="A2541" t="n">
        <v>25</v>
      </c>
      <c r="B2541" t="s">
        <v>14</v>
      </c>
      <c r="C2541" t="s">
        <v>22</v>
      </c>
      <c r="D2541" s="2" t="s">
        <f>=HYPERLINK("https://main.knesset.gov.il/APPS/legislation/main/bills/2202412", "הצעת חוק לתיקון פקודת מס הכנסה (פטור ממס במכירת מטבעות דיגיטליים לתושבי חוץ ובהקצאת מטבעות דיגיטליים לעובדים), התשפ""ג-2023")</f>
        <v>5286</v>
      </c>
      <c r="E2541" t="s">
        <v>5286</v>
      </c>
      <c r="F2541" t="s">
        <v>5287</v>
      </c>
      <c r="G2541" t="s">
        <v>14</v>
      </c>
      <c r="H2541">
             </c>
      <c r="I2541" t="s">
        <v>14</v>
      </c>
      <c r="J2541" t="s">
        <v>31</v>
      </c>
      <c r="K2541" t="s">
        <v>85</v>
      </c>
      <c r="L2541" t="s">
        <v>20</v>
      </c>
      <c r="M2541" t="s">
        <v>5288</v>
      </c>
      <c r="N2541" t="s">
        <v>14</v>
      </c>
    </row>
    <row r="2542" x14ac:dyDescent="0.25">
      <c r="A2542" t="n">
        <v>25</v>
      </c>
      <c r="B2542" t="s">
        <v>14</v>
      </c>
      <c r="C2542" t="s">
        <v>22</v>
      </c>
      <c r="D2542" s="2" t="s">
        <f>=HYPERLINK("https://main.knesset.gov.il/APPS/legislation/main/bills/2201949", "הצעת חוק לתיקון פקודת התעבורה (סימון מקום חניה לרכב חשמלי), התשפ""ג-2023")</f>
        <v>5289</v>
      </c>
      <c r="E2542" t="s">
        <v>5289</v>
      </c>
      <c r="F2542" t="s">
        <v>5290</v>
      </c>
      <c r="G2542" t="s">
        <v>14</v>
      </c>
      <c r="H2542">
             </c>
      <c r="I2542" t="s">
        <v>14</v>
      </c>
      <c r="J2542" t="s">
        <v>31</v>
      </c>
      <c r="K2542" t="s">
        <v>19</v>
      </c>
      <c r="L2542" t="s">
        <v>20</v>
      </c>
      <c r="M2542" t="s">
        <v>5288</v>
      </c>
      <c r="N2542" t="s">
        <v>14</v>
      </c>
    </row>
    <row r="2543" x14ac:dyDescent="0.25">
      <c r="A2543" t="n">
        <v>25</v>
      </c>
      <c r="B2543" t="s">
        <v>14</v>
      </c>
      <c r="C2543" t="s">
        <v>22</v>
      </c>
      <c r="D2543" s="2" t="s">
        <f>=HYPERLINK("https://main.knesset.gov.il/APPS/legislation/main/bills/2200735", "חוק איסור העסקת עובדי הוראה ושלילת תקציב ממוסדות חינוך עקב הזדהות עם מעשה טרור או עם ארגון טרור (תיקוני חקיקה), התשפ""ה–2024")</f>
        <v>5291</v>
      </c>
      <c r="E2543" t="s">
        <v>5291</v>
      </c>
      <c r="F2543" t="s">
        <v>5292</v>
      </c>
      <c r="G2543" t="s">
        <v>5293</v>
      </c>
      <c r="H2543" t="n">
        <v>3301</v>
      </c>
      <c r="I2543" t="s">
        <v>14</v>
      </c>
      <c r="J2543" t="s">
        <v>91</v>
      </c>
      <c r="K2543" t="s">
        <v>34</v>
      </c>
      <c r="L2543" t="s">
        <v>20</v>
      </c>
      <c r="M2543" t="s">
        <v>5288</v>
      </c>
      <c r="N2543" t="s">
        <v>5294</v>
      </c>
    </row>
    <row r="2544" x14ac:dyDescent="0.25">
      <c r="A2544" t="n">
        <v>25</v>
      </c>
      <c r="B2544" t="s">
        <v>14</v>
      </c>
      <c r="C2544" t="s">
        <v>22</v>
      </c>
      <c r="D2544" s="2" t="s">
        <f>=HYPERLINK("https://main.knesset.gov.il/APPS/legislation/main/bills/2222446", "הצעת חוק להקמת אוניברסיטה בעיר אשדוד, התשפ""ה-2024")</f>
        <v>4909</v>
      </c>
      <c r="E2544" t="s">
        <v>4909</v>
      </c>
      <c r="F2544" t="s">
        <v>5295</v>
      </c>
      <c r="G2544" t="s">
        <v>14</v>
      </c>
      <c r="H2544">
             </c>
      <c r="I2544" t="s">
        <v>14</v>
      </c>
      <c r="J2544" t="s">
        <v>343</v>
      </c>
      <c r="K2544" t="s">
        <v>14</v>
      </c>
      <c r="L2544" t="s">
        <v>20</v>
      </c>
      <c r="M2544" t="s">
        <v>5288</v>
      </c>
      <c r="N2544" t="s">
        <v>14</v>
      </c>
    </row>
    <row r="2545" x14ac:dyDescent="0.25">
      <c r="A2545" t="n">
        <v>25</v>
      </c>
      <c r="B2545" t="s">
        <v>14</v>
      </c>
      <c r="C2545" t="s">
        <v>22</v>
      </c>
      <c r="D2545" s="2" t="s">
        <f>=HYPERLINK("https://main.knesset.gov.il/APPS/legislation/main/bills/2220891", "הצעת חוק בנק ישראל (תיקון - חשבון חלופי ללקוח שהוטלו עליו עיצומים כלכליים על ידי מדינה זרה או חבר מדינות זרות), התשפ""ה-2024")</f>
        <v>5296</v>
      </c>
      <c r="E2545" t="s">
        <v>5296</v>
      </c>
      <c r="F2545" t="s">
        <v>5297</v>
      </c>
      <c r="G2545" t="s">
        <v>14</v>
      </c>
      <c r="H2545">
             </c>
      <c r="I2545" t="s">
        <v>14</v>
      </c>
      <c r="J2545" t="s">
        <v>141</v>
      </c>
      <c r="K2545" t="s">
        <v>14</v>
      </c>
      <c r="L2545" t="s">
        <v>20</v>
      </c>
      <c r="M2545" t="s">
        <v>5288</v>
      </c>
      <c r="N2545" t="s">
        <v>14</v>
      </c>
    </row>
    <row r="2546" x14ac:dyDescent="0.25">
      <c r="A2546" t="n">
        <v>25</v>
      </c>
      <c r="B2546" t="s">
        <v>14</v>
      </c>
      <c r="C2546" t="s">
        <v>22</v>
      </c>
      <c r="D2546" s="2" t="s">
        <f>=HYPERLINK("https://main.knesset.gov.il/APPS/legislation/main/bills/2222429", "הצעת חוק קליטת חיילים משוחררים (תיקון - השקעת הפיקדון הצבאי בחסכון ארוך טווח), התשפ""ה-2024")</f>
        <v>5298</v>
      </c>
      <c r="E2546" t="s">
        <v>5298</v>
      </c>
      <c r="F2546" t="s">
        <v>5299</v>
      </c>
      <c r="G2546" t="s">
        <v>14</v>
      </c>
      <c r="H2546">
             </c>
      <c r="I2546" t="s">
        <v>14</v>
      </c>
      <c r="J2546" t="s">
        <v>141</v>
      </c>
      <c r="K2546" t="s">
        <v>14</v>
      </c>
      <c r="L2546" t="s">
        <v>20</v>
      </c>
      <c r="M2546" t="s">
        <v>5288</v>
      </c>
      <c r="N2546" t="s">
        <v>14</v>
      </c>
    </row>
    <row r="2547" x14ac:dyDescent="0.25">
      <c r="A2547" t="n">
        <v>25</v>
      </c>
      <c r="B2547" t="s">
        <v>14</v>
      </c>
      <c r="C2547" t="s">
        <v>22</v>
      </c>
      <c r="D2547" s="2" t="s">
        <f>=HYPERLINK("https://main.knesset.gov.il/APPS/legislation/main/bills/2222049", "הצעת חוק-יסוד: הממשלה (תיקון - הפסקת כהונה של ראש הממשלה או שר מחמת הגשת כתב אישום)")</f>
        <v>5300</v>
      </c>
      <c r="E2547" t="s">
        <v>5300</v>
      </c>
      <c r="F2547" t="s">
        <v>5301</v>
      </c>
      <c r="G2547" t="s">
        <v>14</v>
      </c>
      <c r="H2547">
             </c>
      <c r="I2547" t="s">
        <v>14</v>
      </c>
      <c r="J2547" t="s">
        <v>141</v>
      </c>
      <c r="K2547" t="s">
        <v>14</v>
      </c>
      <c r="L2547" t="s">
        <v>20</v>
      </c>
      <c r="M2547" t="s">
        <v>5288</v>
      </c>
      <c r="N2547" t="s">
        <v>14</v>
      </c>
    </row>
    <row r="2548" x14ac:dyDescent="0.25">
      <c r="A2548" t="n">
        <v>25</v>
      </c>
      <c r="B2548" t="s">
        <v>14</v>
      </c>
      <c r="C2548" t="s">
        <v>22</v>
      </c>
      <c r="D2548" s="2" t="s">
        <f>=HYPERLINK("https://main.knesset.gov.il/APPS/legislation/main/bills/2222444", "הצעת חוק אסטרטגיית הביטחון הלאומי, התשפ""ה-2024")</f>
        <v>5302</v>
      </c>
      <c r="E2548" t="s">
        <v>5302</v>
      </c>
      <c r="F2548" t="s">
        <v>5303</v>
      </c>
      <c r="G2548" t="s">
        <v>14</v>
      </c>
      <c r="H2548">
             </c>
      <c r="I2548" t="s">
        <v>14</v>
      </c>
      <c r="J2548" t="s">
        <v>141</v>
      </c>
      <c r="K2548" t="s">
        <v>14</v>
      </c>
      <c r="L2548" t="s">
        <v>20</v>
      </c>
      <c r="M2548" t="s">
        <v>5288</v>
      </c>
      <c r="N2548" t="s">
        <v>14</v>
      </c>
    </row>
    <row r="2549" x14ac:dyDescent="0.25">
      <c r="A2549" t="n">
        <v>25</v>
      </c>
      <c r="B2549" t="s">
        <v>14</v>
      </c>
      <c r="C2549" t="s">
        <v>22</v>
      </c>
      <c r="D2549" s="2" t="s">
        <f>=HYPERLINK("https://main.knesset.gov.il/APPS/legislation/main/bills/2222707", "הצעת חוק הסיוע המשפטי (תיקון - סיוע משפטי לתובע בגין הפליה), התשפ""ה-2024")</f>
        <v>5304</v>
      </c>
      <c r="E2549" t="s">
        <v>5304</v>
      </c>
      <c r="F2549" t="s">
        <v>5305</v>
      </c>
      <c r="G2549" t="s">
        <v>14</v>
      </c>
      <c r="H2549">
             </c>
      <c r="I2549" t="s">
        <v>14</v>
      </c>
      <c r="J2549" t="s">
        <v>141</v>
      </c>
      <c r="K2549" t="s">
        <v>14</v>
      </c>
      <c r="L2549" t="s">
        <v>20</v>
      </c>
      <c r="M2549" t="s">
        <v>5288</v>
      </c>
      <c r="N2549" t="s">
        <v>14</v>
      </c>
    </row>
    <row r="2550" x14ac:dyDescent="0.25">
      <c r="A2550" t="n">
        <v>25</v>
      </c>
      <c r="B2550" t="s">
        <v>14</v>
      </c>
      <c r="C2550" t="s">
        <v>22</v>
      </c>
      <c r="D2550" s="2" t="s">
        <f>=HYPERLINK("https://main.knesset.gov.il/APPS/legislation/main/bills/2222508", "הצעת חוק יישובים ושכונות בהליכי הסדרה, התשפ""ה-2024")</f>
        <v>5306</v>
      </c>
      <c r="E2550" t="s">
        <v>5306</v>
      </c>
      <c r="F2550" t="s">
        <v>5307</v>
      </c>
      <c r="G2550" t="s">
        <v>14</v>
      </c>
      <c r="H2550">
             </c>
      <c r="I2550" t="s">
        <v>14</v>
      </c>
      <c r="J2550" t="s">
        <v>141</v>
      </c>
      <c r="K2550" t="s">
        <v>14</v>
      </c>
      <c r="L2550" t="s">
        <v>20</v>
      </c>
      <c r="M2550" t="s">
        <v>5288</v>
      </c>
      <c r="N2550" t="s">
        <v>14</v>
      </c>
    </row>
    <row r="2551" x14ac:dyDescent="0.25">
      <c r="A2551" t="n">
        <v>25</v>
      </c>
      <c r="B2551" t="s">
        <v>14</v>
      </c>
      <c r="C2551" t="s">
        <v>22</v>
      </c>
      <c r="D2551" s="2" t="s">
        <f>=HYPERLINK("https://main.knesset.gov.il/APPS/legislation/main/bills/2222708", "הצעת חוק בתי המשפט (תיקון - פרסום פסיקה בענייני משפחה), התשפ""ה-2024")</f>
        <v>5308</v>
      </c>
      <c r="E2551" t="s">
        <v>5308</v>
      </c>
      <c r="F2551" t="s">
        <v>5309</v>
      </c>
      <c r="G2551" t="s">
        <v>14</v>
      </c>
      <c r="H2551">
             </c>
      <c r="I2551" t="s">
        <v>14</v>
      </c>
      <c r="J2551" t="s">
        <v>343</v>
      </c>
      <c r="K2551" t="s">
        <v>14</v>
      </c>
      <c r="L2551" t="s">
        <v>20</v>
      </c>
      <c r="M2551" t="s">
        <v>5288</v>
      </c>
      <c r="N2551" t="s">
        <v>14</v>
      </c>
    </row>
    <row r="2552" x14ac:dyDescent="0.25">
      <c r="A2552" t="n">
        <v>25</v>
      </c>
      <c r="B2552" t="s">
        <v>14</v>
      </c>
      <c r="C2552" t="s">
        <v>22</v>
      </c>
      <c r="D2552" s="2" t="s">
        <f>=HYPERLINK("https://main.knesset.gov.il/APPS/legislation/main/bills/2222927", "הצעת חוק הרבנות הראשית לישראל (תיקון - הגדלת הייצוג הנשי באסיפה הבוחרת), התשפ""ה-2024")</f>
        <v>5215</v>
      </c>
      <c r="E2552" t="s">
        <v>5215</v>
      </c>
      <c r="F2552" t="s">
        <v>5310</v>
      </c>
      <c r="G2552" t="s">
        <v>14</v>
      </c>
      <c r="H2552">
             </c>
      <c r="I2552" t="s">
        <v>14</v>
      </c>
      <c r="J2552" t="s">
        <v>141</v>
      </c>
      <c r="K2552" t="s">
        <v>14</v>
      </c>
      <c r="L2552" t="s">
        <v>20</v>
      </c>
      <c r="M2552" t="s">
        <v>5288</v>
      </c>
      <c r="N2552" t="s">
        <v>14</v>
      </c>
    </row>
    <row r="2553" x14ac:dyDescent="0.25">
      <c r="A2553" t="n">
        <v>25</v>
      </c>
      <c r="B2553" t="s">
        <v>14</v>
      </c>
      <c r="C2553" t="s">
        <v>22</v>
      </c>
      <c r="D2553" s="2" t="s">
        <f>=HYPERLINK("https://main.knesset.gov.il/APPS/legislation/main/bills/2222853", "הצעת חוק הביטוח הלאומי (תיקון - מניין הימים לעניין מבוטח בשירות מילואים בנסיבות חירום), התשפ""ה-2024 ")</f>
        <v>5311</v>
      </c>
      <c r="E2553" t="s">
        <v>5311</v>
      </c>
      <c r="F2553" t="s">
        <v>5312</v>
      </c>
      <c r="G2553" t="s">
        <v>14</v>
      </c>
      <c r="H2553">
             </c>
      <c r="I2553" t="s">
        <v>14</v>
      </c>
      <c r="J2553" t="s">
        <v>141</v>
      </c>
      <c r="K2553" t="s">
        <v>14</v>
      </c>
      <c r="L2553" t="s">
        <v>20</v>
      </c>
      <c r="M2553" t="s">
        <v>5288</v>
      </c>
      <c r="N2553" t="s">
        <v>14</v>
      </c>
    </row>
    <row r="2554" x14ac:dyDescent="0.25">
      <c r="A2554" t="n">
        <v>25</v>
      </c>
      <c r="B2554" t="s">
        <v>14</v>
      </c>
      <c r="C2554" t="s">
        <v>22</v>
      </c>
      <c r="D2554" s="2" t="s">
        <f>=HYPERLINK("https://main.knesset.gov.il/APPS/legislation/main/bills/2221277", "הצעת חוק מס ערך מוסף (תיקון - פטור ממס במכירת תרופות לזכאים לקצבת אזרח ותיק), התשפ""ה-2024")</f>
        <v>5313</v>
      </c>
      <c r="E2554" t="s">
        <v>5313</v>
      </c>
      <c r="F2554" t="s">
        <v>5314</v>
      </c>
      <c r="G2554" t="s">
        <v>14</v>
      </c>
      <c r="H2554">
             </c>
      <c r="I2554" t="s">
        <v>14</v>
      </c>
      <c r="J2554" t="s">
        <v>141</v>
      </c>
      <c r="K2554" t="s">
        <v>14</v>
      </c>
      <c r="L2554" t="s">
        <v>20</v>
      </c>
      <c r="M2554" t="s">
        <v>5288</v>
      </c>
      <c r="N2554" t="s">
        <v>14</v>
      </c>
    </row>
    <row r="2555" x14ac:dyDescent="0.25">
      <c r="A2555" t="n">
        <v>25</v>
      </c>
      <c r="B2555" t="s">
        <v>14</v>
      </c>
      <c r="C2555" t="s">
        <v>22</v>
      </c>
      <c r="D2555" s="2" t="s">
        <f>=HYPERLINK("https://main.knesset.gov.il/APPS/legislation/main/bills/2222538", "הצעת חוק פרעות התשפ""ד, התשפ""ה-2024")</f>
        <v>5315</v>
      </c>
      <c r="E2555" t="s">
        <v>5315</v>
      </c>
      <c r="F2555" t="s">
        <v>5316</v>
      </c>
      <c r="G2555" t="s">
        <v>14</v>
      </c>
      <c r="H2555">
             </c>
      <c r="I2555" t="s">
        <v>14</v>
      </c>
      <c r="J2555" t="s">
        <v>141</v>
      </c>
      <c r="K2555" t="s">
        <v>14</v>
      </c>
      <c r="L2555" t="s">
        <v>20</v>
      </c>
      <c r="M2555" t="s">
        <v>5288</v>
      </c>
      <c r="N2555" t="s">
        <v>14</v>
      </c>
    </row>
    <row r="2556" x14ac:dyDescent="0.25">
      <c r="A2556" t="n">
        <v>25</v>
      </c>
      <c r="B2556" t="s">
        <v>14</v>
      </c>
      <c r="C2556" t="s">
        <v>22</v>
      </c>
      <c r="D2556" s="2" t="s">
        <f>=HYPERLINK("https://main.knesset.gov.il/APPS/legislation/main/bills/2209534", "הצעת חוק לתיקון פקודת המשטרה (תוקף סמכות שוטר לתת הוראות לציבור), התשפ""ה-2024")</f>
        <v>5317</v>
      </c>
      <c r="E2556" t="s">
        <v>5317</v>
      </c>
      <c r="F2556" t="s">
        <v>5318</v>
      </c>
      <c r="G2556" t="s">
        <v>14</v>
      </c>
      <c r="H2556">
             </c>
      <c r="I2556" t="s">
        <v>14</v>
      </c>
      <c r="J2556" t="s">
        <v>141</v>
      </c>
      <c r="K2556" t="s">
        <v>14</v>
      </c>
      <c r="L2556" t="s">
        <v>20</v>
      </c>
      <c r="M2556" t="s">
        <v>5288</v>
      </c>
      <c r="N2556" t="s">
        <v>14</v>
      </c>
    </row>
    <row r="2557" x14ac:dyDescent="0.25">
      <c r="A2557" t="n">
        <v>25</v>
      </c>
      <c r="B2557" t="s">
        <v>14</v>
      </c>
      <c r="C2557" t="s">
        <v>22</v>
      </c>
      <c r="D2557" s="2" t="s">
        <f>=HYPERLINK("https://main.knesset.gov.il/APPS/legislation/main/bills/2221837", "הצעת חוק איסור הלבנת הון (תיקון - מתן סמכות פיקוח לרשות לאיסור הלבנת הון ומימון טרור על נותני שירותים פיננסיים), התשפ""ה-2024")</f>
        <v>5319</v>
      </c>
      <c r="E2557" t="s">
        <v>5319</v>
      </c>
      <c r="F2557" t="s">
        <v>5320</v>
      </c>
      <c r="G2557" t="s">
        <v>14</v>
      </c>
      <c r="H2557">
             </c>
      <c r="I2557" t="s">
        <v>14</v>
      </c>
      <c r="J2557" t="s">
        <v>141</v>
      </c>
      <c r="K2557" t="s">
        <v>14</v>
      </c>
      <c r="L2557" t="s">
        <v>20</v>
      </c>
      <c r="M2557" t="s">
        <v>5288</v>
      </c>
      <c r="N2557" t="s">
        <v>14</v>
      </c>
    </row>
    <row r="2558" x14ac:dyDescent="0.25">
      <c r="A2558" t="n">
        <v>25</v>
      </c>
      <c r="B2558" t="s">
        <v>14</v>
      </c>
      <c r="C2558" t="s">
        <v>22</v>
      </c>
      <c r="D2558" s="2" t="s">
        <f>=HYPERLINK("https://main.knesset.gov.il/APPS/legislation/main/bills/2222704", "הצעת חוק שירות המדינה (מינויים) (תיקון - תקופת צינון במעבר מהמגזר הפרטי לשירות המדינה), התשפ""ה-2024")</f>
        <v>5321</v>
      </c>
      <c r="E2558" t="s">
        <v>5321</v>
      </c>
      <c r="F2558" t="s">
        <v>5322</v>
      </c>
      <c r="G2558" t="s">
        <v>14</v>
      </c>
      <c r="H2558">
             </c>
      <c r="I2558" t="s">
        <v>14</v>
      </c>
      <c r="J2558" t="s">
        <v>141</v>
      </c>
      <c r="K2558" t="s">
        <v>14</v>
      </c>
      <c r="L2558" t="s">
        <v>20</v>
      </c>
      <c r="M2558" t="s">
        <v>5288</v>
      </c>
      <c r="N2558" t="s">
        <v>14</v>
      </c>
    </row>
    <row r="2559" x14ac:dyDescent="0.25">
      <c r="A2559" t="n">
        <v>25</v>
      </c>
      <c r="B2559" t="s">
        <v>14</v>
      </c>
      <c r="C2559" t="s">
        <v>15</v>
      </c>
      <c r="D2559" s="2" t="s">
        <f>=HYPERLINK("https://main.knesset.gov.il/APPS/legislation/main/bills/2222789", "חוק לייעול האכיפה והפיקוח העירוניים ברשויות המקומיות (הוראת שעה) (תיקון מס' 13), התשפ""ה-2024")</f>
        <v>5323</v>
      </c>
      <c r="E2559" t="s">
        <v>5323</v>
      </c>
      <c r="F2559" t="s">
        <v>14</v>
      </c>
      <c r="G2559" t="s">
        <v>5324</v>
      </c>
      <c r="H2559" t="n">
        <v>3300</v>
      </c>
      <c r="I2559" t="s">
        <v>14</v>
      </c>
      <c r="J2559" t="s">
        <v>91</v>
      </c>
      <c r="K2559" t="s">
        <v>105</v>
      </c>
      <c r="L2559" t="s">
        <v>20</v>
      </c>
      <c r="M2559" t="s">
        <v>5325</v>
      </c>
      <c r="N2559" t="s">
        <v>5326</v>
      </c>
    </row>
    <row r="2560" x14ac:dyDescent="0.25">
      <c r="A2560" t="n">
        <v>25</v>
      </c>
      <c r="B2560" t="s">
        <v>14</v>
      </c>
      <c r="C2560" t="s">
        <v>22</v>
      </c>
      <c r="D2560" s="2" t="s">
        <f>=HYPERLINK("https://main.knesset.gov.il/APPS/legislation/main/bills/2220999", "הצעת חוק-יסוד: הכרה במדינה פלסטינית")</f>
        <v>2110</v>
      </c>
      <c r="E2560" t="s">
        <v>2110</v>
      </c>
      <c r="F2560" t="s">
        <v>5327</v>
      </c>
      <c r="G2560" t="s">
        <v>14</v>
      </c>
      <c r="H2560">
             </c>
      <c r="I2560" t="s">
        <v>14</v>
      </c>
      <c r="J2560" t="s">
        <v>55</v>
      </c>
      <c r="K2560" t="s">
        <v>14</v>
      </c>
      <c r="L2560" t="s">
        <v>20</v>
      </c>
      <c r="M2560" t="s">
        <v>5325</v>
      </c>
      <c r="N2560" t="s">
        <v>14</v>
      </c>
    </row>
    <row r="2561" x14ac:dyDescent="0.25">
      <c r="A2561" t="n">
        <v>25</v>
      </c>
      <c r="B2561" t="s">
        <v>14</v>
      </c>
      <c r="C2561" t="s">
        <v>22</v>
      </c>
      <c r="D2561" s="2" t="s">
        <f>=HYPERLINK("https://main.knesset.gov.il/APPS/legislation/main/bills/2211374", "הצעת חוק הממשלה (תיקון - קיום מסיבת עיתונאים עיתית לגופי התקשורת בישראל), התשפ""ד-2024")</f>
        <v>5328</v>
      </c>
      <c r="E2561" t="s">
        <v>5328</v>
      </c>
      <c r="F2561" t="s">
        <v>5329</v>
      </c>
      <c r="G2561" t="s">
        <v>14</v>
      </c>
      <c r="H2561">
             </c>
      <c r="I2561" t="s">
        <v>14</v>
      </c>
      <c r="J2561" t="s">
        <v>55</v>
      </c>
      <c r="K2561" t="s">
        <v>14</v>
      </c>
      <c r="L2561" t="s">
        <v>20</v>
      </c>
      <c r="M2561" t="s">
        <v>5325</v>
      </c>
      <c r="N2561" t="s">
        <v>14</v>
      </c>
    </row>
    <row r="2562" x14ac:dyDescent="0.25">
      <c r="A2562" t="n">
        <v>25</v>
      </c>
      <c r="B2562" t="s">
        <v>14</v>
      </c>
      <c r="C2562" t="s">
        <v>22</v>
      </c>
      <c r="D2562" s="2" t="s">
        <f>=HYPERLINK("https://main.knesset.gov.il/APPS/legislation/main/bills/2219400", "הצעת חוק סגירה מוחלטת של מעברי הגבול לרצועת עזה (תיקוני חקיקה), התשפ""ד-2024 ")</f>
        <v>5330</v>
      </c>
      <c r="E2562" t="s">
        <v>5330</v>
      </c>
      <c r="F2562" t="s">
        <v>5331</v>
      </c>
      <c r="G2562" t="s">
        <v>14</v>
      </c>
      <c r="H2562">
             </c>
      <c r="I2562" t="s">
        <v>14</v>
      </c>
      <c r="J2562" t="s">
        <v>55</v>
      </c>
      <c r="K2562" t="s">
        <v>14</v>
      </c>
      <c r="L2562" t="s">
        <v>20</v>
      </c>
      <c r="M2562" t="s">
        <v>5325</v>
      </c>
      <c r="N2562" t="s">
        <v>14</v>
      </c>
    </row>
    <row r="2563" x14ac:dyDescent="0.25">
      <c r="A2563" t="n">
        <v>25</v>
      </c>
      <c r="B2563" t="s">
        <v>14</v>
      </c>
      <c r="C2563" t="s">
        <v>22</v>
      </c>
      <c r="D2563" s="2" t="s">
        <f>=HYPERLINK("https://main.knesset.gov.il/APPS/legislation/main/bills/2215713", "הצעת חוק העונשין (תיקון - נשק לפגיעה המונית), התשפ""ד-2024")</f>
        <v>5332</v>
      </c>
      <c r="E2563" t="s">
        <v>5332</v>
      </c>
      <c r="F2563" t="s">
        <v>5333</v>
      </c>
      <c r="G2563" t="s">
        <v>14</v>
      </c>
      <c r="H2563">
             </c>
      <c r="I2563" t="s">
        <v>14</v>
      </c>
      <c r="J2563" t="s">
        <v>31</v>
      </c>
      <c r="K2563" t="s">
        <v>27</v>
      </c>
      <c r="L2563" t="s">
        <v>20</v>
      </c>
      <c r="M2563" t="s">
        <v>5325</v>
      </c>
      <c r="N2563" t="s">
        <v>14</v>
      </c>
    </row>
    <row r="2564" x14ac:dyDescent="0.25">
      <c r="A2564" t="n">
        <v>25</v>
      </c>
      <c r="B2564" t="s">
        <v>14</v>
      </c>
      <c r="C2564" t="s">
        <v>22</v>
      </c>
      <c r="D2564" s="2" t="s">
        <f>=HYPERLINK("https://main.knesset.gov.il/APPS/legislation/main/bills/2215999", "הצעת חוק שנת שירות, התשפ""ד-2024")</f>
        <v>5334</v>
      </c>
      <c r="E2564" t="s">
        <v>5334</v>
      </c>
      <c r="F2564" t="s">
        <v>5335</v>
      </c>
      <c r="G2564" t="s">
        <v>14</v>
      </c>
      <c r="H2564">
             </c>
      <c r="I2564" t="s">
        <v>14</v>
      </c>
      <c r="J2564" t="s">
        <v>55</v>
      </c>
      <c r="K2564" t="s">
        <v>14</v>
      </c>
      <c r="L2564" t="s">
        <v>20</v>
      </c>
      <c r="M2564" t="s">
        <v>5325</v>
      </c>
      <c r="N2564" t="s">
        <v>14</v>
      </c>
    </row>
    <row r="2565" x14ac:dyDescent="0.25">
      <c r="A2565" t="n">
        <v>25</v>
      </c>
      <c r="B2565" t="s">
        <v>14</v>
      </c>
      <c r="C2565" t="s">
        <v>22</v>
      </c>
      <c r="D2565" s="2" t="s">
        <f>=HYPERLINK("https://main.knesset.gov.il/APPS/legislation/main/bills/2214912", "הצעת חוק כליאתם של לוחמים בלתי חוקיים (תיקון - החלפת המונח לוחמים בלתי חוקיים), התשפ""ד-2024 ")</f>
        <v>5336</v>
      </c>
      <c r="E2565" t="s">
        <v>5336</v>
      </c>
      <c r="F2565" t="s">
        <v>5337</v>
      </c>
      <c r="G2565" t="s">
        <v>14</v>
      </c>
      <c r="H2565">
             </c>
      <c r="I2565" t="s">
        <v>14</v>
      </c>
      <c r="J2565" t="s">
        <v>31</v>
      </c>
      <c r="K2565" t="s">
        <v>114</v>
      </c>
      <c r="L2565" t="s">
        <v>20</v>
      </c>
      <c r="M2565" t="s">
        <v>5325</v>
      </c>
      <c r="N2565" t="s">
        <v>14</v>
      </c>
    </row>
    <row r="2566" x14ac:dyDescent="0.25">
      <c r="A2566" t="n">
        <v>25</v>
      </c>
      <c r="B2566" t="s">
        <v>14</v>
      </c>
      <c r="C2566" t="s">
        <v>22</v>
      </c>
      <c r="D2566" s="2" t="s">
        <f>=HYPERLINK("https://main.knesset.gov.il/APPS/legislation/main/bills/2213122", "הצעת חוק הפיקוח על מעונות יום לפעוטות (תיקון - חובת מרחב מוגן כתנאי לרישיון), התשפ""ד-2024 ")</f>
        <v>5338</v>
      </c>
      <c r="E2566" t="s">
        <v>5338</v>
      </c>
      <c r="F2566" t="s">
        <v>5339</v>
      </c>
      <c r="G2566" t="s">
        <v>14</v>
      </c>
      <c r="H2566">
             </c>
      <c r="I2566" t="s">
        <v>14</v>
      </c>
      <c r="J2566" t="s">
        <v>55</v>
      </c>
      <c r="K2566" t="s">
        <v>14</v>
      </c>
      <c r="L2566" t="s">
        <v>20</v>
      </c>
      <c r="M2566" t="s">
        <v>5325</v>
      </c>
      <c r="N2566" t="s">
        <v>14</v>
      </c>
    </row>
    <row r="2567" x14ac:dyDescent="0.25">
      <c r="A2567" t="n">
        <v>25</v>
      </c>
      <c r="B2567" t="s">
        <v>14</v>
      </c>
      <c r="C2567" t="s">
        <v>22</v>
      </c>
      <c r="D2567" s="2" t="s">
        <f>=HYPERLINK("https://main.knesset.gov.il/APPS/legislation/main/bills/2202787", "הצעת חוק הגנת הצרכן (תיקון - מענה אנושי בשירות טלפוני לאזרח ותיק), התשפ""ג-2023")</f>
        <v>5340</v>
      </c>
      <c r="E2567" t="s">
        <v>5340</v>
      </c>
      <c r="F2567" t="s">
        <v>5341</v>
      </c>
      <c r="G2567" t="s">
        <v>14</v>
      </c>
      <c r="H2567">
             </c>
      <c r="I2567" t="s">
        <v>14</v>
      </c>
      <c r="J2567" t="s">
        <v>55</v>
      </c>
      <c r="K2567" t="s">
        <v>14</v>
      </c>
      <c r="L2567" t="s">
        <v>20</v>
      </c>
      <c r="M2567" t="s">
        <v>5325</v>
      </c>
      <c r="N2567" t="s">
        <v>14</v>
      </c>
    </row>
    <row r="2568" x14ac:dyDescent="0.25">
      <c r="A2568" t="n">
        <v>25</v>
      </c>
      <c r="B2568" t="s">
        <v>14</v>
      </c>
      <c r="C2568" t="s">
        <v>22</v>
      </c>
      <c r="D2568" s="2" t="s">
        <f>=HYPERLINK("https://main.knesset.gov.il/APPS/legislation/main/bills/2201428", "חוק-יסוד: ירושלים בירת ישראל (תיקון מס' 3) ")</f>
        <v>5342</v>
      </c>
      <c r="E2568" t="s">
        <v>5342</v>
      </c>
      <c r="F2568" t="s">
        <v>5343</v>
      </c>
      <c r="G2568" t="s">
        <v>5344</v>
      </c>
      <c r="H2568" t="n">
        <v>3299</v>
      </c>
      <c r="I2568" t="s">
        <v>14</v>
      </c>
      <c r="J2568" t="s">
        <v>91</v>
      </c>
      <c r="K2568" t="s">
        <v>27</v>
      </c>
      <c r="L2568" t="s">
        <v>20</v>
      </c>
      <c r="M2568" t="s">
        <v>5345</v>
      </c>
      <c r="N2568" t="s">
        <v>5346</v>
      </c>
    </row>
    <row r="2569" x14ac:dyDescent="0.25">
      <c r="A2569" t="n">
        <v>25</v>
      </c>
      <c r="B2569" t="s">
        <v>14</v>
      </c>
      <c r="C2569" t="s">
        <v>15</v>
      </c>
      <c r="D2569" s="2" t="s">
        <f>=HYPERLINK("https://main.knesset.gov.il/APPS/legislation/main/bills/2208200", "חוק הסיוע המשפטי (תיקון מס' 27 – הוראת שעה), התשפ""ה–2024")</f>
        <v>5347</v>
      </c>
      <c r="E2569" t="s">
        <v>5347</v>
      </c>
      <c r="F2569" t="s">
        <v>14</v>
      </c>
      <c r="G2569" t="s">
        <v>5348</v>
      </c>
      <c r="H2569" t="n">
        <v>3298</v>
      </c>
      <c r="I2569" t="s">
        <v>14</v>
      </c>
      <c r="J2569" t="s">
        <v>91</v>
      </c>
      <c r="K2569" t="s">
        <v>27</v>
      </c>
      <c r="L2569" t="s">
        <v>20</v>
      </c>
      <c r="M2569" t="s">
        <v>5345</v>
      </c>
      <c r="N2569" t="s">
        <v>5349</v>
      </c>
    </row>
    <row r="2570" x14ac:dyDescent="0.25">
      <c r="A2570" t="n">
        <v>25</v>
      </c>
      <c r="B2570" t="s">
        <v>14</v>
      </c>
      <c r="C2570" t="s">
        <v>22</v>
      </c>
      <c r="D2570" s="2" t="s">
        <f>=HYPERLINK("https://main.knesset.gov.il/APPS/legislation/main/bills/2202462", "הצעת חוק החברות הממשלתיות (תיקון - חובת תרומת מזון עודף), התשפ""ג-2023")</f>
        <v>5350</v>
      </c>
      <c r="E2570" t="s">
        <v>5350</v>
      </c>
      <c r="F2570" t="s">
        <v>5351</v>
      </c>
      <c r="G2570" t="s">
        <v>14</v>
      </c>
      <c r="H2570">
             </c>
      <c r="I2570" t="s">
        <v>14</v>
      </c>
      <c r="J2570" t="s">
        <v>99</v>
      </c>
      <c r="K2570" t="s">
        <v>127</v>
      </c>
      <c r="L2570" t="s">
        <v>20</v>
      </c>
      <c r="M2570" t="s">
        <v>5352</v>
      </c>
      <c r="N2570" t="s">
        <v>14</v>
      </c>
    </row>
    <row r="2571" x14ac:dyDescent="0.25">
      <c r="A2571" t="n">
        <v>25</v>
      </c>
      <c r="B2571" t="s">
        <v>14</v>
      </c>
      <c r="C2571" t="s">
        <v>22</v>
      </c>
      <c r="D2571" s="2" t="s">
        <f>=HYPERLINK("https://main.knesset.gov.il/APPS/legislation/main/bills/2216261", "הצעת חוק שירות המדינה (מינויים) (תיקון - עדיפות למשרת מילואים פעיל), התשפ""ד-2024")</f>
        <v>5353</v>
      </c>
      <c r="E2571" t="s">
        <v>5353</v>
      </c>
      <c r="F2571" t="s">
        <v>5354</v>
      </c>
      <c r="G2571" t="s">
        <v>14</v>
      </c>
      <c r="H2571">
             </c>
      <c r="I2571" t="s">
        <v>14</v>
      </c>
      <c r="J2571" t="s">
        <v>99</v>
      </c>
      <c r="K2571" t="s">
        <v>27</v>
      </c>
      <c r="L2571" t="s">
        <v>20</v>
      </c>
      <c r="M2571" t="s">
        <v>5352</v>
      </c>
      <c r="N2571" t="s">
        <v>14</v>
      </c>
    </row>
    <row r="2572" x14ac:dyDescent="0.25">
      <c r="A2572" t="n">
        <v>25</v>
      </c>
      <c r="B2572" t="s">
        <v>14</v>
      </c>
      <c r="C2572" t="s">
        <v>22</v>
      </c>
      <c r="D2572" s="2" t="s">
        <f>=HYPERLINK("https://main.knesset.gov.il/APPS/legislation/main/bills/2214856", "הצעת חוק שירות המדינה (מינויים) (תיקון - עדיפות למשרת מילואים פעיל), התשפ""ד-2024")</f>
        <v>5353</v>
      </c>
      <c r="E2572" t="s">
        <v>5353</v>
      </c>
      <c r="F2572" t="s">
        <v>5355</v>
      </c>
      <c r="G2572" t="s">
        <v>14</v>
      </c>
      <c r="H2572">
             </c>
      <c r="I2572" t="s">
        <v>14</v>
      </c>
      <c r="J2572" t="s">
        <v>99</v>
      </c>
      <c r="K2572" t="s">
        <v>27</v>
      </c>
      <c r="L2572" t="s">
        <v>20</v>
      </c>
      <c r="M2572" t="s">
        <v>5352</v>
      </c>
      <c r="N2572" t="s">
        <v>14</v>
      </c>
    </row>
    <row r="2573" x14ac:dyDescent="0.25">
      <c r="A2573" t="n">
        <v>25</v>
      </c>
      <c r="B2573" t="s">
        <v>14</v>
      </c>
      <c r="C2573" t="s">
        <v>15</v>
      </c>
      <c r="D2573" s="2" t="s">
        <f>=HYPERLINK("https://main.knesset.gov.il/APPS/legislation/main/bills/2221641", "חוק הסכמים קיבוציים (תיקון מס' 11 – הוראת שעה – חרבות ברזל) (הוראות מיוחדות לעניין הרחבת הסכם קיבוצי כללי שנעשה בשל פעולות האיבה או פעולות המלחמה) (תיקון), התשפ""ד-2024")</f>
        <v>5356</v>
      </c>
      <c r="E2573" t="s">
        <v>5356</v>
      </c>
      <c r="F2573" t="s">
        <v>14</v>
      </c>
      <c r="G2573" t="s">
        <v>5357</v>
      </c>
      <c r="H2573" t="n">
        <v>3297</v>
      </c>
      <c r="I2573" t="s">
        <v>14</v>
      </c>
      <c r="J2573" t="s">
        <v>91</v>
      </c>
      <c r="K2573" t="s">
        <v>127</v>
      </c>
      <c r="L2573" t="s">
        <v>20</v>
      </c>
      <c r="M2573" t="s">
        <v>5352</v>
      </c>
      <c r="N2573" t="s">
        <v>5358</v>
      </c>
    </row>
    <row r="2574" x14ac:dyDescent="0.25">
      <c r="A2574" t="n">
        <v>25</v>
      </c>
      <c r="B2574" t="s">
        <v>14</v>
      </c>
      <c r="C2574" t="s">
        <v>22</v>
      </c>
      <c r="D2574" s="2" t="s">
        <f>=HYPERLINK("https://main.knesset.gov.il/APPS/legislation/main/bills/2214465", "חוק להפסקת פעילות אונר""א, התשפ""ה-2024")</f>
        <v>5359</v>
      </c>
      <c r="E2574" t="s">
        <v>5359</v>
      </c>
      <c r="F2574" t="s">
        <v>5360</v>
      </c>
      <c r="G2574" t="s">
        <v>5361</v>
      </c>
      <c r="H2574" t="n">
        <v>3296</v>
      </c>
      <c r="I2574" t="s">
        <v>14</v>
      </c>
      <c r="J2574" t="s">
        <v>91</v>
      </c>
      <c r="K2574" t="s">
        <v>114</v>
      </c>
      <c r="L2574" t="s">
        <v>20</v>
      </c>
      <c r="M2574" t="s">
        <v>5352</v>
      </c>
      <c r="N2574" t="s">
        <v>5362</v>
      </c>
    </row>
    <row r="2575" x14ac:dyDescent="0.25">
      <c r="A2575" t="n">
        <v>25</v>
      </c>
      <c r="B2575" t="s">
        <v>14</v>
      </c>
      <c r="C2575" t="s">
        <v>22</v>
      </c>
      <c r="D2575" s="2" t="s">
        <f>=HYPERLINK("https://main.knesset.gov.il/APPS/legislation/main/bills/2198188", "חוק להפסקת פעילות אונר""א בשטח מדינת ישראל, התשפ""ה-2024")</f>
        <v>5363</v>
      </c>
      <c r="E2575" t="s">
        <v>5363</v>
      </c>
      <c r="F2575" t="s">
        <v>5364</v>
      </c>
      <c r="G2575" t="s">
        <v>5361</v>
      </c>
      <c r="H2575" t="n">
        <v>3295</v>
      </c>
      <c r="I2575" t="s">
        <v>14</v>
      </c>
      <c r="J2575" t="s">
        <v>91</v>
      </c>
      <c r="K2575" t="s">
        <v>114</v>
      </c>
      <c r="L2575" t="s">
        <v>20</v>
      </c>
      <c r="M2575" t="s">
        <v>5352</v>
      </c>
      <c r="N2575" t="s">
        <v>5365</v>
      </c>
    </row>
    <row r="2576" x14ac:dyDescent="0.25">
      <c r="A2576" t="n">
        <v>25</v>
      </c>
      <c r="B2576" t="s">
        <v>14</v>
      </c>
      <c r="C2576" t="s">
        <v>22</v>
      </c>
      <c r="D2576" s="2" t="s">
        <f>=HYPERLINK("https://main.knesset.gov.il/APPS/legislation/main/bills/2222665", "הצעת חוק יום לציון המאבק בגזענות, התשפ""ה-2024")</f>
        <v>5366</v>
      </c>
      <c r="E2576" t="s">
        <v>5366</v>
      </c>
      <c r="F2576" t="s">
        <v>5367</v>
      </c>
      <c r="G2576" t="s">
        <v>14</v>
      </c>
      <c r="H2576">
             </c>
      <c r="I2576" t="s">
        <v>14</v>
      </c>
      <c r="J2576" t="s">
        <v>141</v>
      </c>
      <c r="K2576" t="s">
        <v>14</v>
      </c>
      <c r="L2576" t="s">
        <v>20</v>
      </c>
      <c r="M2576" t="s">
        <v>5352</v>
      </c>
      <c r="N2576" t="s">
        <v>14</v>
      </c>
    </row>
    <row r="2577" x14ac:dyDescent="0.25">
      <c r="A2577" t="n">
        <v>25</v>
      </c>
      <c r="B2577" t="s">
        <v>14</v>
      </c>
      <c r="C2577" t="s">
        <v>22</v>
      </c>
      <c r="D2577" s="2" t="s">
        <f>=HYPERLINK("https://main.knesset.gov.il/APPS/legislation/main/bills/2221136", "הצעת חוק העונשין (תיקון – נשיאת מאסר במשמורת בקהילה), התשפ""ה–2024")</f>
        <v>5368</v>
      </c>
      <c r="E2577" t="s">
        <v>5368</v>
      </c>
      <c r="F2577" t="s">
        <v>5369</v>
      </c>
      <c r="G2577" t="s">
        <v>14</v>
      </c>
      <c r="H2577">
             </c>
      <c r="I2577" t="s">
        <v>14</v>
      </c>
      <c r="J2577" t="s">
        <v>141</v>
      </c>
      <c r="K2577" t="s">
        <v>14</v>
      </c>
      <c r="L2577" t="s">
        <v>20</v>
      </c>
      <c r="M2577" t="s">
        <v>5352</v>
      </c>
      <c r="N2577" t="s">
        <v>14</v>
      </c>
    </row>
    <row r="2578" x14ac:dyDescent="0.25">
      <c r="A2578" t="n">
        <v>25</v>
      </c>
      <c r="B2578" t="s">
        <v>14</v>
      </c>
      <c r="C2578" t="s">
        <v>22</v>
      </c>
      <c r="D2578" s="2" t="s">
        <f>=HYPERLINK("https://main.knesset.gov.il/APPS/legislation/main/bills/2221835", "הצעת חוק מס ערך מוסף (תיקון - תשלום המס במתן שירותי כוח אדם ועבודות בנייה), התשפ""ה-2024")</f>
        <v>5370</v>
      </c>
      <c r="E2578" t="s">
        <v>5370</v>
      </c>
      <c r="F2578" t="s">
        <v>5371</v>
      </c>
      <c r="G2578" t="s">
        <v>14</v>
      </c>
      <c r="H2578">
             </c>
      <c r="I2578" t="s">
        <v>14</v>
      </c>
      <c r="J2578" t="s">
        <v>141</v>
      </c>
      <c r="K2578" t="s">
        <v>14</v>
      </c>
      <c r="L2578" t="s">
        <v>20</v>
      </c>
      <c r="M2578" t="s">
        <v>5352</v>
      </c>
      <c r="N2578" t="s">
        <v>14</v>
      </c>
    </row>
    <row r="2579" x14ac:dyDescent="0.25">
      <c r="A2579" t="n">
        <v>25</v>
      </c>
      <c r="B2579" t="s">
        <v>14</v>
      </c>
      <c r="C2579" t="s">
        <v>22</v>
      </c>
      <c r="D2579" s="2" t="s">
        <f>=HYPERLINK("https://main.knesset.gov.il/APPS/legislation/main/bills/2219079", "הצעת חוק כינון בית משפט צבאי מיוחד לשיפוט פשעים נגד העם היהודי, אזרחי ישראל ותושביה, התשפ""ה-2024")</f>
        <v>5372</v>
      </c>
      <c r="E2579" t="s">
        <v>5372</v>
      </c>
      <c r="F2579" t="s">
        <v>5373</v>
      </c>
      <c r="G2579" t="s">
        <v>14</v>
      </c>
      <c r="H2579">
             </c>
      <c r="I2579" t="s">
        <v>14</v>
      </c>
      <c r="J2579" t="s">
        <v>141</v>
      </c>
      <c r="K2579" t="s">
        <v>14</v>
      </c>
      <c r="L2579" t="s">
        <v>20</v>
      </c>
      <c r="M2579" t="s">
        <v>5352</v>
      </c>
      <c r="N2579" t="s">
        <v>14</v>
      </c>
    </row>
    <row r="2580" x14ac:dyDescent="0.25">
      <c r="A2580" t="n">
        <v>25</v>
      </c>
      <c r="B2580" t="s">
        <v>14</v>
      </c>
      <c r="C2580" t="s">
        <v>22</v>
      </c>
      <c r="D2580" s="2" t="s">
        <f>=HYPERLINK("https://main.knesset.gov.il/APPS/legislation/main/bills/2221181", "הצעת חוק לקידום תשתיות לאומיות (תיקון - תחולה באזור), התשפ""ה-2024 ")</f>
        <v>5374</v>
      </c>
      <c r="E2580" t="s">
        <v>5374</v>
      </c>
      <c r="F2580" t="s">
        <v>5375</v>
      </c>
      <c r="G2580" t="s">
        <v>14</v>
      </c>
      <c r="H2580">
             </c>
      <c r="I2580" t="s">
        <v>14</v>
      </c>
      <c r="J2580" t="s">
        <v>141</v>
      </c>
      <c r="K2580" t="s">
        <v>14</v>
      </c>
      <c r="L2580" t="s">
        <v>20</v>
      </c>
      <c r="M2580" t="s">
        <v>5352</v>
      </c>
      <c r="N2580" t="s">
        <v>14</v>
      </c>
    </row>
    <row r="2581" x14ac:dyDescent="0.25">
      <c r="A2581" t="n">
        <v>25</v>
      </c>
      <c r="B2581" t="s">
        <v>14</v>
      </c>
      <c r="C2581" t="s">
        <v>22</v>
      </c>
      <c r="D2581" s="2" t="s">
        <f>=HYPERLINK("https://main.knesset.gov.il/APPS/legislation/main/bills/2222424", "הצעת חוק תשלומים לפדויי שבי ולחטופים ששוחררו (תיקון - החזר הוצאות לקרוב של פדוי שבי מאושפז או של פדוי שבי שנדרש להשגחה צמודה), התשפ""ה-2024")</f>
        <v>4618</v>
      </c>
      <c r="E2581" t="s">
        <v>4618</v>
      </c>
      <c r="F2581" t="s">
        <v>5376</v>
      </c>
      <c r="G2581" t="s">
        <v>14</v>
      </c>
      <c r="H2581">
             </c>
      <c r="I2581" t="s">
        <v>14</v>
      </c>
      <c r="J2581" t="s">
        <v>343</v>
      </c>
      <c r="K2581" t="s">
        <v>14</v>
      </c>
      <c r="L2581" t="s">
        <v>20</v>
      </c>
      <c r="M2581" t="s">
        <v>5352</v>
      </c>
      <c r="N2581" t="s">
        <v>14</v>
      </c>
    </row>
    <row r="2582" x14ac:dyDescent="0.25">
      <c r="A2582" t="n">
        <v>25</v>
      </c>
      <c r="B2582" t="s">
        <v>14</v>
      </c>
      <c r="C2582" t="s">
        <v>22</v>
      </c>
      <c r="D2582" s="2" t="s">
        <f>=HYPERLINK("https://main.knesset.gov.il/APPS/legislation/main/bills/2220980", "הצעת חוק ביטוח בריאות ממלכתי (תיקון - הוספת מכשירי ניידות ממונעים לתוספת השנייה), התשפ""ה-2024")</f>
        <v>5377</v>
      </c>
      <c r="E2582" t="s">
        <v>5377</v>
      </c>
      <c r="F2582" t="s">
        <v>5378</v>
      </c>
      <c r="G2582" t="s">
        <v>14</v>
      </c>
      <c r="H2582">
             </c>
      <c r="I2582" t="s">
        <v>14</v>
      </c>
      <c r="J2582" t="s">
        <v>141</v>
      </c>
      <c r="K2582" t="s">
        <v>14</v>
      </c>
      <c r="L2582" t="s">
        <v>20</v>
      </c>
      <c r="M2582" t="s">
        <v>5352</v>
      </c>
      <c r="N2582" t="s">
        <v>14</v>
      </c>
    </row>
    <row r="2583" x14ac:dyDescent="0.25">
      <c r="A2583" t="n">
        <v>25</v>
      </c>
      <c r="B2583" t="s">
        <v>14</v>
      </c>
      <c r="C2583" t="s">
        <v>22</v>
      </c>
      <c r="D2583" s="2" t="s">
        <f>=HYPERLINK("https://main.knesset.gov.il/APPS/legislation/main/bills/2222110", "הצעת חוק משפחות חיילים שנספו במערכה (תגמולים ושיקום) (הוראת שעה - חרבות ברזל) (תיקון - הכרה במי שנספה בפגיעת איבה כחייל שנספה במערכה), התשפ""ה-2024")</f>
        <v>5379</v>
      </c>
      <c r="E2583" t="s">
        <v>5379</v>
      </c>
      <c r="F2583" t="s">
        <v>5380</v>
      </c>
      <c r="G2583" t="s">
        <v>14</v>
      </c>
      <c r="H2583">
             </c>
      <c r="I2583" t="s">
        <v>14</v>
      </c>
      <c r="J2583" t="s">
        <v>343</v>
      </c>
      <c r="K2583" t="s">
        <v>14</v>
      </c>
      <c r="L2583" t="s">
        <v>20</v>
      </c>
      <c r="M2583" t="s">
        <v>5352</v>
      </c>
      <c r="N2583" t="s">
        <v>14</v>
      </c>
    </row>
    <row r="2584" x14ac:dyDescent="0.25">
      <c r="A2584" t="n">
        <v>25</v>
      </c>
      <c r="B2584" t="s">
        <v>14</v>
      </c>
      <c r="C2584" t="s">
        <v>22</v>
      </c>
      <c r="D2584" s="2" t="s">
        <f>=HYPERLINK("https://main.knesset.gov.il/APPS/legislation/main/bills/2221865", "הצעת חוק משפחות חיילים שנספו במערכה (תגמולים ושיקום) (הוראת שעה - חרבות ברזל) (תיקון - הכרה במי שנספה בפגיעת איבה כחייל שנספה במערכה), התשפ""ה-2024")</f>
        <v>5379</v>
      </c>
      <c r="E2584" t="s">
        <v>5379</v>
      </c>
      <c r="F2584" t="s">
        <v>5381</v>
      </c>
      <c r="G2584" t="s">
        <v>14</v>
      </c>
      <c r="H2584">
             </c>
      <c r="I2584" t="s">
        <v>14</v>
      </c>
      <c r="J2584" t="s">
        <v>343</v>
      </c>
      <c r="K2584" t="s">
        <v>14</v>
      </c>
      <c r="L2584" t="s">
        <v>20</v>
      </c>
      <c r="M2584" t="s">
        <v>5352</v>
      </c>
      <c r="N2584" t="s">
        <v>14</v>
      </c>
    </row>
    <row r="2585" x14ac:dyDescent="0.25">
      <c r="A2585" t="n">
        <v>25</v>
      </c>
      <c r="B2585" t="s">
        <v>14</v>
      </c>
      <c r="C2585" t="s">
        <v>22</v>
      </c>
      <c r="D2585" s="2" t="s">
        <f>=HYPERLINK("https://main.knesset.gov.il/APPS/legislation/main/bills/2221823", "הצעת חוק-יסוד: הצבא (תיקון - שמירה על אורח חיים דתי)")</f>
        <v>4062</v>
      </c>
      <c r="E2585" t="s">
        <v>4062</v>
      </c>
      <c r="F2585" t="s">
        <v>5382</v>
      </c>
      <c r="G2585" t="s">
        <v>14</v>
      </c>
      <c r="H2585">
             </c>
      <c r="I2585" t="s">
        <v>14</v>
      </c>
      <c r="J2585" t="s">
        <v>141</v>
      </c>
      <c r="K2585" t="s">
        <v>14</v>
      </c>
      <c r="L2585" t="s">
        <v>20</v>
      </c>
      <c r="M2585" t="s">
        <v>5352</v>
      </c>
      <c r="N2585" t="s">
        <v>14</v>
      </c>
    </row>
    <row r="2586" x14ac:dyDescent="0.25">
      <c r="A2586" t="n">
        <v>25</v>
      </c>
      <c r="B2586" t="s">
        <v>14</v>
      </c>
      <c r="C2586" t="s">
        <v>22</v>
      </c>
      <c r="D2586" s="2" t="s">
        <f>=HYPERLINK("https://main.knesset.gov.il/APPS/legislation/main/bills/2222056", "הצעת חוק סדר הדין הפלילי (תיקון - הגשת קובלנה בעבירות הקשורות לסדר הציבורי), התשפ״ה-2024 ")</f>
        <v>5383</v>
      </c>
      <c r="E2586" t="s">
        <v>5383</v>
      </c>
      <c r="F2586" t="s">
        <v>5384</v>
      </c>
      <c r="G2586" t="s">
        <v>14</v>
      </c>
      <c r="H2586">
             </c>
      <c r="I2586" t="s">
        <v>14</v>
      </c>
      <c r="J2586" t="s">
        <v>141</v>
      </c>
      <c r="K2586" t="s">
        <v>14</v>
      </c>
      <c r="L2586" t="s">
        <v>20</v>
      </c>
      <c r="M2586" t="s">
        <v>5352</v>
      </c>
      <c r="N2586" t="s">
        <v>14</v>
      </c>
    </row>
    <row r="2587" x14ac:dyDescent="0.25">
      <c r="A2587" t="n">
        <v>25</v>
      </c>
      <c r="B2587" t="s">
        <v>14</v>
      </c>
      <c r="C2587" t="s">
        <v>22</v>
      </c>
      <c r="D2587" s="2" t="s">
        <f>=HYPERLINK("https://main.knesset.gov.il/APPS/legislation/main/bills/2222440", "הצעת חוק שיקום שכונות דרום תל-אביב (תמריצים לפיזור גיאוגרפי של מסתננים) (הוראת שעה), התשפ""ה-2024")</f>
        <v>5385</v>
      </c>
      <c r="E2587" t="s">
        <v>5385</v>
      </c>
      <c r="F2587" t="s">
        <v>5386</v>
      </c>
      <c r="G2587" t="s">
        <v>14</v>
      </c>
      <c r="H2587">
             </c>
      <c r="I2587" t="s">
        <v>14</v>
      </c>
      <c r="J2587" t="s">
        <v>141</v>
      </c>
      <c r="K2587" t="s">
        <v>14</v>
      </c>
      <c r="L2587" t="s">
        <v>20</v>
      </c>
      <c r="M2587" t="s">
        <v>5352</v>
      </c>
      <c r="N2587" t="s">
        <v>14</v>
      </c>
    </row>
    <row r="2588" x14ac:dyDescent="0.25">
      <c r="A2588" t="n">
        <v>25</v>
      </c>
      <c r="B2588" t="s">
        <v>14</v>
      </c>
      <c r="C2588" t="s">
        <v>22</v>
      </c>
      <c r="D2588" s="2" t="s">
        <f>=HYPERLINK("https://main.knesset.gov.il/APPS/legislation/main/bills/2222434", "הצעת חוק לתיקון פקודת העיריות (קביעת שירותי תחבורה ציבורית בתחומי הרשות המקומית), התשפ""ה-2024")</f>
        <v>5387</v>
      </c>
      <c r="E2588" t="s">
        <v>5387</v>
      </c>
      <c r="F2588" t="s">
        <v>5388</v>
      </c>
      <c r="G2588" t="s">
        <v>14</v>
      </c>
      <c r="H2588">
             </c>
      <c r="I2588" t="s">
        <v>14</v>
      </c>
      <c r="J2588" t="s">
        <v>141</v>
      </c>
      <c r="K2588" t="s">
        <v>14</v>
      </c>
      <c r="L2588" t="s">
        <v>20</v>
      </c>
      <c r="M2588" t="s">
        <v>5352</v>
      </c>
      <c r="N2588" t="s">
        <v>14</v>
      </c>
    </row>
    <row r="2589" x14ac:dyDescent="0.25">
      <c r="A2589" t="n">
        <v>25</v>
      </c>
      <c r="B2589" t="s">
        <v>14</v>
      </c>
      <c r="C2589" t="s">
        <v>22</v>
      </c>
      <c r="D2589" s="2" t="s">
        <f>=HYPERLINK("https://main.knesset.gov.il/APPS/legislation/main/bills/2222486", "הצעת חוק אומנה לילדים (תיקון - הזכות לחינוך לילדים בהשמה חוץ-ביתית), התשפ""ה-2024")</f>
        <v>5389</v>
      </c>
      <c r="E2589" t="s">
        <v>5389</v>
      </c>
      <c r="F2589" t="s">
        <v>5390</v>
      </c>
      <c r="G2589" t="s">
        <v>14</v>
      </c>
      <c r="H2589">
             </c>
      <c r="I2589" t="s">
        <v>14</v>
      </c>
      <c r="J2589" t="s">
        <v>141</v>
      </c>
      <c r="K2589" t="s">
        <v>14</v>
      </c>
      <c r="L2589" t="s">
        <v>20</v>
      </c>
      <c r="M2589" t="s">
        <v>5352</v>
      </c>
      <c r="N2589" t="s">
        <v>14</v>
      </c>
    </row>
    <row r="2590" x14ac:dyDescent="0.25">
      <c r="A2590" t="n">
        <v>25</v>
      </c>
      <c r="B2590" t="s">
        <v>14</v>
      </c>
      <c r="C2590" t="s">
        <v>22</v>
      </c>
      <c r="D2590" s="2" t="s">
        <f>=HYPERLINK("https://main.knesset.gov.il/APPS/legislation/main/bills/2222420", "הצעת חוק הרבנות הראשית לישראל (תיקון - כשירות רב ראשי והרכב האסיפה הבוחרת), התשפ""ה-2024")</f>
        <v>5391</v>
      </c>
      <c r="E2590" t="s">
        <v>5391</v>
      </c>
      <c r="F2590" t="s">
        <v>5392</v>
      </c>
      <c r="G2590" t="s">
        <v>14</v>
      </c>
      <c r="H2590">
             </c>
      <c r="I2590" t="s">
        <v>14</v>
      </c>
      <c r="J2590" t="s">
        <v>141</v>
      </c>
      <c r="K2590" t="s">
        <v>14</v>
      </c>
      <c r="L2590" t="s">
        <v>20</v>
      </c>
      <c r="M2590" t="s">
        <v>5352</v>
      </c>
      <c r="N2590" t="s">
        <v>14</v>
      </c>
    </row>
    <row r="2591" x14ac:dyDescent="0.25">
      <c r="A2591" t="n">
        <v>25</v>
      </c>
      <c r="B2591" t="s">
        <v>14</v>
      </c>
      <c r="C2591" t="s">
        <v>22</v>
      </c>
      <c r="D2591" s="2" t="s">
        <f>=HYPERLINK("https://main.knesset.gov.il/APPS/legislation/main/bills/2221177", "הצעת חוק התכנון והבנייה (תיקון - הארכת הסמכות של ועדות מקומיות בגליל ובנגב), התשפ""ה-2024")</f>
        <v>5393</v>
      </c>
      <c r="E2591" t="s">
        <v>5393</v>
      </c>
      <c r="F2591" t="s">
        <v>5394</v>
      </c>
      <c r="G2591" t="s">
        <v>14</v>
      </c>
      <c r="H2591">
             </c>
      <c r="I2591" t="s">
        <v>14</v>
      </c>
      <c r="J2591" t="s">
        <v>141</v>
      </c>
      <c r="K2591" t="s">
        <v>14</v>
      </c>
      <c r="L2591" t="s">
        <v>20</v>
      </c>
      <c r="M2591" t="s">
        <v>5352</v>
      </c>
      <c r="N2591" t="s">
        <v>14</v>
      </c>
    </row>
    <row r="2592" x14ac:dyDescent="0.25">
      <c r="A2592" t="n">
        <v>25</v>
      </c>
      <c r="B2592" t="s">
        <v>14</v>
      </c>
      <c r="C2592" t="s">
        <v>22</v>
      </c>
      <c r="D2592" s="2" t="s">
        <f>=HYPERLINK("https://main.knesset.gov.il/APPS/legislation/main/bills/2221471", "הצעת חוק התכנון והבנייה (תיקון מס' 116) (תיקון - ביטול החוק), התשפ""ה-2024")</f>
        <v>5395</v>
      </c>
      <c r="E2592" t="s">
        <v>5395</v>
      </c>
      <c r="F2592" t="s">
        <v>5396</v>
      </c>
      <c r="G2592" t="s">
        <v>14</v>
      </c>
      <c r="H2592">
             </c>
      <c r="I2592" t="s">
        <v>14</v>
      </c>
      <c r="J2592" t="s">
        <v>141</v>
      </c>
      <c r="K2592" t="s">
        <v>14</v>
      </c>
      <c r="L2592" t="s">
        <v>20</v>
      </c>
      <c r="M2592" t="s">
        <v>5352</v>
      </c>
      <c r="N2592" t="s">
        <v>14</v>
      </c>
    </row>
    <row r="2593" x14ac:dyDescent="0.25">
      <c r="A2593" t="n">
        <v>25</v>
      </c>
      <c r="B2593" t="s">
        <v>14</v>
      </c>
      <c r="C2593" t="s">
        <v>22</v>
      </c>
      <c r="D2593" s="2" t="s">
        <f>=HYPERLINK("https://main.knesset.gov.il/APPS/legislation/main/bills/2222488", "הצעת חוק הביטוח הלאומי (תיקון - מועדי תשלום דמי לידה), התשפ""ה-2024")</f>
        <v>5397</v>
      </c>
      <c r="E2593" t="s">
        <v>5397</v>
      </c>
      <c r="F2593" t="s">
        <v>5398</v>
      </c>
      <c r="G2593" t="s">
        <v>14</v>
      </c>
      <c r="H2593">
             </c>
      <c r="I2593" t="s">
        <v>14</v>
      </c>
      <c r="J2593" t="s">
        <v>141</v>
      </c>
      <c r="K2593" t="s">
        <v>14</v>
      </c>
      <c r="L2593" t="s">
        <v>20</v>
      </c>
      <c r="M2593" t="s">
        <v>5352</v>
      </c>
      <c r="N2593" t="s">
        <v>14</v>
      </c>
    </row>
    <row r="2594" x14ac:dyDescent="0.25">
      <c r="A2594" t="n">
        <v>25</v>
      </c>
      <c r="B2594" t="s">
        <v>14</v>
      </c>
      <c r="C2594" t="s">
        <v>22</v>
      </c>
      <c r="D2594" s="2" t="s">
        <f>=HYPERLINK("https://main.knesset.gov.il/APPS/legislation/main/bills/2222450", "הצעת חוק רישוי עסקים (תיקון - פטור מרישוי עסק לקייטנה לתנועות ולארגוני נוער), התשפ""ה-2024 ")</f>
        <v>5399</v>
      </c>
      <c r="E2594" t="s">
        <v>5399</v>
      </c>
      <c r="F2594" t="s">
        <v>5400</v>
      </c>
      <c r="G2594" t="s">
        <v>14</v>
      </c>
      <c r="H2594">
             </c>
      <c r="I2594" t="s">
        <v>14</v>
      </c>
      <c r="J2594" t="s">
        <v>141</v>
      </c>
      <c r="K2594" t="s">
        <v>14</v>
      </c>
      <c r="L2594" t="s">
        <v>20</v>
      </c>
      <c r="M2594" t="s">
        <v>5352</v>
      </c>
      <c r="N2594" t="s">
        <v>14</v>
      </c>
    </row>
    <row r="2595" x14ac:dyDescent="0.25">
      <c r="A2595" t="n">
        <v>25</v>
      </c>
      <c r="B2595" t="s">
        <v>14</v>
      </c>
      <c r="C2595" t="s">
        <v>22</v>
      </c>
      <c r="D2595" s="2" t="s">
        <f>=HYPERLINK("https://main.knesset.gov.il/APPS/legislation/main/bills/2221689", "הצעת חוק-יסוד: השפיטה (תיקון - זכות עמידה בבית המשפט הגבוה לצדק)")</f>
        <v>5401</v>
      </c>
      <c r="E2595" t="s">
        <v>5401</v>
      </c>
      <c r="F2595" t="s">
        <v>5402</v>
      </c>
      <c r="G2595" t="s">
        <v>14</v>
      </c>
      <c r="H2595">
             </c>
      <c r="I2595" t="s">
        <v>14</v>
      </c>
      <c r="J2595" t="s">
        <v>141</v>
      </c>
      <c r="K2595" t="s">
        <v>14</v>
      </c>
      <c r="L2595" t="s">
        <v>20</v>
      </c>
      <c r="M2595" t="s">
        <v>5352</v>
      </c>
      <c r="N2595" t="s">
        <v>14</v>
      </c>
    </row>
    <row r="2596" x14ac:dyDescent="0.25">
      <c r="A2596" t="n">
        <v>25</v>
      </c>
      <c r="B2596" t="s">
        <v>14</v>
      </c>
      <c r="C2596" t="s">
        <v>22</v>
      </c>
      <c r="D2596" s="2" t="s">
        <f>=HYPERLINK("https://main.knesset.gov.il/APPS/legislation/main/bills/2221549", "הצעת חוק לעשיית דין במחבלי החמאס ובעוזריהם, התשפ""ה-2024")</f>
        <v>5403</v>
      </c>
      <c r="E2596" t="s">
        <v>5403</v>
      </c>
      <c r="F2596" t="s">
        <v>5404</v>
      </c>
      <c r="G2596" t="s">
        <v>14</v>
      </c>
      <c r="H2596">
             </c>
      <c r="I2596" t="s">
        <v>14</v>
      </c>
      <c r="J2596" t="s">
        <v>141</v>
      </c>
      <c r="K2596" t="s">
        <v>14</v>
      </c>
      <c r="L2596" t="s">
        <v>20</v>
      </c>
      <c r="M2596" t="s">
        <v>5352</v>
      </c>
      <c r="N2596" t="s">
        <v>14</v>
      </c>
    </row>
    <row r="2597" x14ac:dyDescent="0.25">
      <c r="A2597" t="n">
        <v>25</v>
      </c>
      <c r="B2597" t="s">
        <v>14</v>
      </c>
      <c r="C2597" t="s">
        <v>22</v>
      </c>
      <c r="D2597" s="2" t="s">
        <f>=HYPERLINK("https://main.knesset.gov.il/APPS/legislation/main/bills/2215751", "הצעת חוק כלי הירייה (תיקון - איסור השתתפות בהתארגנות חמושה אסורה), התשפ""ה-2024")</f>
        <v>5405</v>
      </c>
      <c r="E2597" t="s">
        <v>5405</v>
      </c>
      <c r="F2597" t="s">
        <v>5406</v>
      </c>
      <c r="G2597" t="s">
        <v>14</v>
      </c>
      <c r="H2597">
             </c>
      <c r="I2597" t="s">
        <v>14</v>
      </c>
      <c r="J2597" t="s">
        <v>141</v>
      </c>
      <c r="K2597" t="s">
        <v>14</v>
      </c>
      <c r="L2597" t="s">
        <v>20</v>
      </c>
      <c r="M2597" t="s">
        <v>5352</v>
      </c>
      <c r="N2597" t="s">
        <v>14</v>
      </c>
    </row>
    <row r="2598" x14ac:dyDescent="0.25">
      <c r="A2598" t="n">
        <v>25</v>
      </c>
      <c r="B2598" t="s">
        <v>14</v>
      </c>
      <c r="C2598" t="s">
        <v>22</v>
      </c>
      <c r="D2598" s="2" t="s">
        <f>=HYPERLINK("https://main.knesset.gov.il/APPS/legislation/main/bills/2221334", "הצעת חוק המרכז לזכר אירועי 7 באוקטובר ומלחמת חרבות ברזל, התשפ""ה-2024")</f>
        <v>5407</v>
      </c>
      <c r="E2598" t="s">
        <v>5407</v>
      </c>
      <c r="F2598" t="s">
        <v>5408</v>
      </c>
      <c r="G2598" t="s">
        <v>14</v>
      </c>
      <c r="H2598">
             </c>
      <c r="I2598" t="s">
        <v>14</v>
      </c>
      <c r="J2598" t="s">
        <v>141</v>
      </c>
      <c r="K2598" t="s">
        <v>14</v>
      </c>
      <c r="L2598" t="s">
        <v>20</v>
      </c>
      <c r="M2598" t="s">
        <v>5352</v>
      </c>
      <c r="N2598" t="s">
        <v>14</v>
      </c>
    </row>
    <row r="2599" x14ac:dyDescent="0.25">
      <c r="A2599" t="n">
        <v>25</v>
      </c>
      <c r="B2599" t="s">
        <v>14</v>
      </c>
      <c r="C2599" t="s">
        <v>22</v>
      </c>
      <c r="D2599" s="2" t="s">
        <f>=HYPERLINK("https://main.knesset.gov.il/APPS/legislation/main/bills/2221742", "הצעת חוק הבנקאות (שירות ללקוח) (תיקון - איסור על תפעול הנפקה והסכמי הפצת כרטיסי אשראי), התשפ""ה-2024")</f>
        <v>5409</v>
      </c>
      <c r="E2599" t="s">
        <v>5409</v>
      </c>
      <c r="F2599" t="s">
        <v>5410</v>
      </c>
      <c r="G2599" t="s">
        <v>14</v>
      </c>
      <c r="H2599">
             </c>
      <c r="I2599" t="s">
        <v>14</v>
      </c>
      <c r="J2599" t="s">
        <v>141</v>
      </c>
      <c r="K2599" t="s">
        <v>14</v>
      </c>
      <c r="L2599" t="s">
        <v>20</v>
      </c>
      <c r="M2599" t="s">
        <v>5352</v>
      </c>
      <c r="N2599" t="s">
        <v>14</v>
      </c>
    </row>
    <row r="2600" x14ac:dyDescent="0.25">
      <c r="A2600" t="n">
        <v>25</v>
      </c>
      <c r="B2600" t="s">
        <v>14</v>
      </c>
      <c r="C2600" t="s">
        <v>22</v>
      </c>
      <c r="D2600" s="2" t="s">
        <f>=HYPERLINK("https://main.knesset.gov.il/APPS/legislation/main/bills/2222487", "הצעת חוק הפיקוח על שירותים פיננסיים (קופות גמל) (תיקון - הגדלת הסכום המרבי להפקדה בקופות גמל להשקעה), התשפ""ה-2024")</f>
        <v>5411</v>
      </c>
      <c r="E2600" t="s">
        <v>5411</v>
      </c>
      <c r="F2600" t="s">
        <v>5412</v>
      </c>
      <c r="G2600" t="s">
        <v>14</v>
      </c>
      <c r="H2600">
             </c>
      <c r="I2600" t="s">
        <v>14</v>
      </c>
      <c r="J2600" t="s">
        <v>141</v>
      </c>
      <c r="K2600" t="s">
        <v>14</v>
      </c>
      <c r="L2600" t="s">
        <v>20</v>
      </c>
      <c r="M2600" t="s">
        <v>5352</v>
      </c>
      <c r="N2600" t="s">
        <v>14</v>
      </c>
    </row>
    <row r="2601" x14ac:dyDescent="0.25">
      <c r="A2601" t="n">
        <v>25</v>
      </c>
      <c r="B2601" t="s">
        <v>14</v>
      </c>
      <c r="C2601" t="s">
        <v>22</v>
      </c>
      <c r="D2601" s="2" t="s">
        <f>=HYPERLINK("https://main.knesset.gov.il/APPS/legislation/main/bills/2222135", "הצעת חוק לתיקון פקודת התעבורה (חניית נשים בהריון והורה לתינוק), התשפ""ה-2024")</f>
        <v>5413</v>
      </c>
      <c r="E2601" t="s">
        <v>5413</v>
      </c>
      <c r="F2601" t="s">
        <v>5414</v>
      </c>
      <c r="G2601" t="s">
        <v>14</v>
      </c>
      <c r="H2601">
             </c>
      <c r="I2601" t="s">
        <v>14</v>
      </c>
      <c r="J2601" t="s">
        <v>141</v>
      </c>
      <c r="K2601" t="s">
        <v>14</v>
      </c>
      <c r="L2601" t="s">
        <v>20</v>
      </c>
      <c r="M2601" t="s">
        <v>5352</v>
      </c>
      <c r="N2601" t="s">
        <v>14</v>
      </c>
    </row>
    <row r="2602" x14ac:dyDescent="0.25">
      <c r="A2602" t="n">
        <v>25</v>
      </c>
      <c r="B2602" t="s">
        <v>14</v>
      </c>
      <c r="C2602" t="s">
        <v>22</v>
      </c>
      <c r="D2602" s="2" t="s">
        <f>=HYPERLINK("https://main.knesset.gov.il/APPS/legislation/main/bills/2221001", "הצעת חוק בתי דין רבניים (קיום פסקי דין של גירושין) (תיקון - שלילת זכאות לסיוע משפטי לסרבני גט), התשפ""ה-2024 ")</f>
        <v>5415</v>
      </c>
      <c r="E2602" t="s">
        <v>5415</v>
      </c>
      <c r="F2602" t="s">
        <v>5416</v>
      </c>
      <c r="G2602" t="s">
        <v>14</v>
      </c>
      <c r="H2602">
             </c>
      <c r="I2602" t="s">
        <v>14</v>
      </c>
      <c r="J2602" t="s">
        <v>141</v>
      </c>
      <c r="K2602" t="s">
        <v>14</v>
      </c>
      <c r="L2602" t="s">
        <v>20</v>
      </c>
      <c r="M2602" t="s">
        <v>5352</v>
      </c>
      <c r="N2602" t="s">
        <v>14</v>
      </c>
    </row>
    <row r="2603" x14ac:dyDescent="0.25">
      <c r="A2603" t="n">
        <v>25</v>
      </c>
      <c r="B2603" t="s">
        <v>14</v>
      </c>
      <c r="C2603" t="s">
        <v>22</v>
      </c>
      <c r="D2603" s="2" t="s">
        <f>=HYPERLINK("https://main.knesset.gov.il/APPS/legislation/main/bills/2222053", "הצעת חוק אשראי הוגן (תיקון - ריבית מקסימלית על הלוואה), התשפ""ה-2024")</f>
        <v>5417</v>
      </c>
      <c r="E2603" t="s">
        <v>5417</v>
      </c>
      <c r="F2603" t="s">
        <v>5418</v>
      </c>
      <c r="G2603" t="s">
        <v>14</v>
      </c>
      <c r="H2603">
             </c>
      <c r="I2603" t="s">
        <v>14</v>
      </c>
      <c r="J2603" t="s">
        <v>141</v>
      </c>
      <c r="K2603" t="s">
        <v>14</v>
      </c>
      <c r="L2603" t="s">
        <v>20</v>
      </c>
      <c r="M2603" t="s">
        <v>5352</v>
      </c>
      <c r="N2603" t="s">
        <v>14</v>
      </c>
    </row>
    <row r="2604" x14ac:dyDescent="0.25">
      <c r="A2604" t="n">
        <v>25</v>
      </c>
      <c r="B2604" t="s">
        <v>14</v>
      </c>
      <c r="C2604" t="s">
        <v>22</v>
      </c>
      <c r="D2604" s="2" t="s">
        <f>=HYPERLINK("https://main.knesset.gov.il/APPS/legislation/main/bills/2221356", "הצעת חוק לתיקון פקודת מס הכנסה (פטור ממס למשרת מילואים פעיל) (הוראת שעה - חרבות ברזל), התשפ""ה-2024")</f>
        <v>4978</v>
      </c>
      <c r="E2604" t="s">
        <v>4978</v>
      </c>
      <c r="F2604" t="s">
        <v>5419</v>
      </c>
      <c r="G2604" t="s">
        <v>14</v>
      </c>
      <c r="H2604">
             </c>
      <c r="I2604" t="s">
        <v>14</v>
      </c>
      <c r="J2604" t="s">
        <v>141</v>
      </c>
      <c r="K2604" t="s">
        <v>14</v>
      </c>
      <c r="L2604" t="s">
        <v>20</v>
      </c>
      <c r="M2604" t="s">
        <v>5352</v>
      </c>
      <c r="N2604" t="s">
        <v>14</v>
      </c>
    </row>
    <row r="2605" x14ac:dyDescent="0.25">
      <c r="A2605" t="n">
        <v>25</v>
      </c>
      <c r="B2605" t="s">
        <v>14</v>
      </c>
      <c r="C2605" t="s">
        <v>22</v>
      </c>
      <c r="D2605" s="2" t="s">
        <f>=HYPERLINK("https://main.knesset.gov.il/APPS/legislation/main/bills/2221986", "הצעת חוק בתי המשפט (תיקון - רוב מיוחד לבחירת נשיא בית המשפט העליון), התשפ""ה-2024")</f>
        <v>5420</v>
      </c>
      <c r="E2605" t="s">
        <v>5420</v>
      </c>
      <c r="F2605" t="s">
        <v>5421</v>
      </c>
      <c r="G2605" t="s">
        <v>14</v>
      </c>
      <c r="H2605">
             </c>
      <c r="I2605" t="s">
        <v>14</v>
      </c>
      <c r="J2605" t="s">
        <v>141</v>
      </c>
      <c r="K2605" t="s">
        <v>14</v>
      </c>
      <c r="L2605" t="s">
        <v>20</v>
      </c>
      <c r="M2605" t="s">
        <v>5352</v>
      </c>
      <c r="N2605" t="s">
        <v>14</v>
      </c>
    </row>
    <row r="2606" x14ac:dyDescent="0.25">
      <c r="A2606" t="n">
        <v>25</v>
      </c>
      <c r="B2606" t="s">
        <v>14</v>
      </c>
      <c r="C2606" t="s">
        <v>22</v>
      </c>
      <c r="D2606" s="2" t="s">
        <f>=HYPERLINK("https://main.knesset.gov.il/APPS/legislation/main/bills/2221681", "הצעת חוק התגמולים לנפגעי פעולות איבה (תיקון - זכויות למי שמתגורר אצלו יתום ששני הוריו נפטרו כתוצאה מפעולות איבה) (הוראת שעה), התשפ""ה-2024")</f>
        <v>5422</v>
      </c>
      <c r="E2606" t="s">
        <v>5422</v>
      </c>
      <c r="F2606" t="s">
        <v>5423</v>
      </c>
      <c r="G2606" t="s">
        <v>14</v>
      </c>
      <c r="H2606">
             </c>
      <c r="I2606" t="s">
        <v>14</v>
      </c>
      <c r="J2606" t="s">
        <v>343</v>
      </c>
      <c r="K2606" t="s">
        <v>14</v>
      </c>
      <c r="L2606" t="s">
        <v>20</v>
      </c>
      <c r="M2606" t="s">
        <v>5352</v>
      </c>
      <c r="N2606" t="s">
        <v>14</v>
      </c>
    </row>
    <row r="2607" x14ac:dyDescent="0.25">
      <c r="A2607" t="n">
        <v>25</v>
      </c>
      <c r="B2607" t="s">
        <v>14</v>
      </c>
      <c r="C2607" t="s">
        <v>22</v>
      </c>
      <c r="D2607" s="2" t="s">
        <f>=HYPERLINK("https://main.knesset.gov.il/APPS/legislation/main/bills/2220976", "הצעת חוק האזרחות (תיקון - אזרחות לבן משפחה של חלל), התשפ""ה-2024")</f>
        <v>5424</v>
      </c>
      <c r="E2607" t="s">
        <v>5424</v>
      </c>
      <c r="F2607" t="s">
        <v>5425</v>
      </c>
      <c r="G2607" t="s">
        <v>14</v>
      </c>
      <c r="H2607">
             </c>
      <c r="I2607" t="s">
        <v>14</v>
      </c>
      <c r="J2607" t="s">
        <v>141</v>
      </c>
      <c r="K2607" t="s">
        <v>14</v>
      </c>
      <c r="L2607" t="s">
        <v>20</v>
      </c>
      <c r="M2607" t="s">
        <v>5352</v>
      </c>
      <c r="N2607" t="s">
        <v>14</v>
      </c>
    </row>
    <row r="2608" x14ac:dyDescent="0.25">
      <c r="A2608" t="n">
        <v>25</v>
      </c>
      <c r="B2608" t="s">
        <v>14</v>
      </c>
      <c r="C2608" t="s">
        <v>22</v>
      </c>
      <c r="D2608" s="2" t="s">
        <f>=HYPERLINK("https://main.knesset.gov.il/APPS/legislation/main/bills/2222346", "הצעת חוק משפחות חיילים שנספו במערכה (תגמולים ושיקום) (תיקון - סיוע בתשלום ביטוח רכב ואגרת רישיון לשכול), התשפ""ה-2024")</f>
        <v>5426</v>
      </c>
      <c r="E2608" t="s">
        <v>5426</v>
      </c>
      <c r="F2608" t="s">
        <v>5427</v>
      </c>
      <c r="G2608" t="s">
        <v>14</v>
      </c>
      <c r="H2608">
             </c>
      <c r="I2608" t="s">
        <v>14</v>
      </c>
      <c r="J2608" t="s">
        <v>141</v>
      </c>
      <c r="K2608" t="s">
        <v>14</v>
      </c>
      <c r="L2608" t="s">
        <v>20</v>
      </c>
      <c r="M2608" t="s">
        <v>5352</v>
      </c>
      <c r="N2608" t="s">
        <v>14</v>
      </c>
    </row>
    <row r="2609" x14ac:dyDescent="0.25">
      <c r="A2609" t="n">
        <v>25</v>
      </c>
      <c r="B2609" t="s">
        <v>14</v>
      </c>
      <c r="C2609" t="s">
        <v>22</v>
      </c>
      <c r="D2609" s="2" t="s">
        <f>=HYPERLINK("https://main.knesset.gov.il/APPS/legislation/main/bills/2221170", "הצעת חוק הרבנות הראשית לישראל (תיקון - מינוי רבנים שהוסמכו לרבנות על ידי מועצת הרבנות הראשית לישראל), התשפ""ה-2024")</f>
        <v>5428</v>
      </c>
      <c r="E2609" t="s">
        <v>5428</v>
      </c>
      <c r="F2609" t="s">
        <v>5429</v>
      </c>
      <c r="G2609" t="s">
        <v>14</v>
      </c>
      <c r="H2609">
             </c>
      <c r="I2609" t="s">
        <v>14</v>
      </c>
      <c r="J2609" t="s">
        <v>141</v>
      </c>
      <c r="K2609" t="s">
        <v>14</v>
      </c>
      <c r="L2609" t="s">
        <v>20</v>
      </c>
      <c r="M2609" t="s">
        <v>5352</v>
      </c>
      <c r="N2609" t="s">
        <v>14</v>
      </c>
    </row>
    <row r="2610" x14ac:dyDescent="0.25">
      <c r="A2610" t="n">
        <v>25</v>
      </c>
      <c r="B2610" t="s">
        <v>14</v>
      </c>
      <c r="C2610" t="s">
        <v>22</v>
      </c>
      <c r="D2610" s="2" t="s">
        <f>=HYPERLINK("https://main.knesset.gov.il/APPS/legislation/main/bills/2222436", "הצעת חוק התפזרות הכנסת העשרים וחמש, התשפ""ה-2024")</f>
        <v>5430</v>
      </c>
      <c r="E2610" t="s">
        <v>5430</v>
      </c>
      <c r="F2610" t="s">
        <v>5431</v>
      </c>
      <c r="G2610" t="s">
        <v>14</v>
      </c>
      <c r="H2610">
             </c>
      <c r="I2610" t="s">
        <v>14</v>
      </c>
      <c r="J2610" t="s">
        <v>141</v>
      </c>
      <c r="K2610" t="s">
        <v>14</v>
      </c>
      <c r="L2610" t="s">
        <v>20</v>
      </c>
      <c r="M2610" t="s">
        <v>5352</v>
      </c>
      <c r="N2610" t="s">
        <v>14</v>
      </c>
    </row>
    <row r="2611" x14ac:dyDescent="0.25">
      <c r="A2611" t="n">
        <v>25</v>
      </c>
      <c r="B2611" t="s">
        <v>14</v>
      </c>
      <c r="C2611" t="s">
        <v>22</v>
      </c>
      <c r="D2611" s="2" t="s">
        <f>=HYPERLINK("https://main.knesset.gov.il/APPS/legislation/main/bills/2222290", "הצעת חוק משפחות חיילים שנספו במערכה (תגמולים ושיקום) (תיקון - תוספת תגמול להורים שכולים בגיל 60), התשפ""ה-2024")</f>
        <v>5432</v>
      </c>
      <c r="E2611" t="s">
        <v>5432</v>
      </c>
      <c r="F2611" t="s">
        <v>5433</v>
      </c>
      <c r="G2611" t="s">
        <v>14</v>
      </c>
      <c r="H2611">
             </c>
      <c r="I2611" t="s">
        <v>14</v>
      </c>
      <c r="J2611" t="s">
        <v>141</v>
      </c>
      <c r="K2611" t="s">
        <v>14</v>
      </c>
      <c r="L2611" t="s">
        <v>20</v>
      </c>
      <c r="M2611" t="s">
        <v>5352</v>
      </c>
      <c r="N2611" t="s">
        <v>14</v>
      </c>
    </row>
    <row r="2612" x14ac:dyDescent="0.25">
      <c r="A2612" t="n">
        <v>25</v>
      </c>
      <c r="B2612" t="s">
        <v>14</v>
      </c>
      <c r="C2612" t="s">
        <v>22</v>
      </c>
      <c r="D2612" s="2" t="s">
        <f>=HYPERLINK("https://main.knesset.gov.il/APPS/legislation/main/bills/2221106", "הצעת חוק חסינות מפני אחריות פלילית בגין אירועי 7 באוקטובר, התשפ""ה-2024")</f>
        <v>5434</v>
      </c>
      <c r="E2612" t="s">
        <v>5434</v>
      </c>
      <c r="F2612" t="s">
        <v>5435</v>
      </c>
      <c r="G2612" t="s">
        <v>14</v>
      </c>
      <c r="H2612">
             </c>
      <c r="I2612" t="s">
        <v>14</v>
      </c>
      <c r="J2612" t="s">
        <v>141</v>
      </c>
      <c r="K2612" t="s">
        <v>14</v>
      </c>
      <c r="L2612" t="s">
        <v>20</v>
      </c>
      <c r="M2612" t="s">
        <v>5352</v>
      </c>
      <c r="N2612" t="s">
        <v>14</v>
      </c>
    </row>
    <row r="2613" x14ac:dyDescent="0.25">
      <c r="A2613" t="n">
        <v>25</v>
      </c>
      <c r="B2613" t="s">
        <v>14</v>
      </c>
      <c r="C2613" t="s">
        <v>22</v>
      </c>
      <c r="D2613" s="2" t="s">
        <f>=HYPERLINK("https://main.knesset.gov.il/APPS/legislation/main/bills/2222439", "הצעת חוק האזרחים הוותיקים (תיקון - הנחה בארנונה), התשפ""ה-2024")</f>
        <v>5436</v>
      </c>
      <c r="E2613" t="s">
        <v>5436</v>
      </c>
      <c r="F2613" t="s">
        <v>5437</v>
      </c>
      <c r="G2613" t="s">
        <v>14</v>
      </c>
      <c r="H2613">
             </c>
      <c r="I2613" t="s">
        <v>14</v>
      </c>
      <c r="J2613" t="s">
        <v>141</v>
      </c>
      <c r="K2613" t="s">
        <v>14</v>
      </c>
      <c r="L2613" t="s">
        <v>20</v>
      </c>
      <c r="M2613" t="s">
        <v>5352</v>
      </c>
      <c r="N2613" t="s">
        <v>14</v>
      </c>
    </row>
    <row r="2614" x14ac:dyDescent="0.25">
      <c r="A2614" t="n">
        <v>25</v>
      </c>
      <c r="B2614" t="s">
        <v>14</v>
      </c>
      <c r="C2614" t="s">
        <v>22</v>
      </c>
      <c r="D2614" s="2" t="s">
        <f>=HYPERLINK("https://main.knesset.gov.il/APPS/legislation/main/bills/2222249", "הצעת חוק עיקול מידתי של נכסים המוחזקים בידי צד שלישי (תיקוני חקיקה), התשפ""ה-2024")</f>
        <v>5438</v>
      </c>
      <c r="E2614" t="s">
        <v>5438</v>
      </c>
      <c r="F2614" t="s">
        <v>5439</v>
      </c>
      <c r="G2614" t="s">
        <v>14</v>
      </c>
      <c r="H2614">
             </c>
      <c r="I2614" t="s">
        <v>14</v>
      </c>
      <c r="J2614" t="s">
        <v>141</v>
      </c>
      <c r="K2614" t="s">
        <v>14</v>
      </c>
      <c r="L2614" t="s">
        <v>20</v>
      </c>
      <c r="M2614" t="s">
        <v>5352</v>
      </c>
      <c r="N2614" t="s">
        <v>14</v>
      </c>
    </row>
    <row r="2615" x14ac:dyDescent="0.25">
      <c r="A2615" t="n">
        <v>25</v>
      </c>
      <c r="B2615" t="s">
        <v>14</v>
      </c>
      <c r="C2615" t="s">
        <v>22</v>
      </c>
      <c r="D2615" s="2" t="s">
        <f>=HYPERLINK("https://main.knesset.gov.il/APPS/legislation/main/bills/2221467", "הצעת חוק-יסוד: ישראל - מדינת הלאום של העם היהודי (תיקון - הוספת עקרון השוויון בפני החוק ועיגון מעמדה של מגילת העצמאות)")</f>
        <v>5440</v>
      </c>
      <c r="E2615" t="s">
        <v>5440</v>
      </c>
      <c r="F2615" t="s">
        <v>5441</v>
      </c>
      <c r="G2615" t="s">
        <v>14</v>
      </c>
      <c r="H2615">
             </c>
      <c r="I2615" t="s">
        <v>14</v>
      </c>
      <c r="J2615" t="s">
        <v>141</v>
      </c>
      <c r="K2615" t="s">
        <v>14</v>
      </c>
      <c r="L2615" t="s">
        <v>20</v>
      </c>
      <c r="M2615" t="s">
        <v>5352</v>
      </c>
      <c r="N2615" t="s">
        <v>14</v>
      </c>
    </row>
    <row r="2616" x14ac:dyDescent="0.25">
      <c r="A2616" t="n">
        <v>25</v>
      </c>
      <c r="B2616" t="s">
        <v>14</v>
      </c>
      <c r="C2616" t="s">
        <v>22</v>
      </c>
      <c r="D2616" s="2" t="s">
        <f>=HYPERLINK("https://main.knesset.gov.il/APPS/legislation/main/bills/2221688", "הצעת חוק-יסוד: השפיטה (תיקון - הגבלת ערעורים של המדינה על פסקי דין פליליים)")</f>
        <v>5442</v>
      </c>
      <c r="E2616" t="s">
        <v>5442</v>
      </c>
      <c r="F2616" t="s">
        <v>5443</v>
      </c>
      <c r="G2616" t="s">
        <v>14</v>
      </c>
      <c r="H2616">
             </c>
      <c r="I2616" t="s">
        <v>14</v>
      </c>
      <c r="J2616" t="s">
        <v>141</v>
      </c>
      <c r="K2616" t="s">
        <v>14</v>
      </c>
      <c r="L2616" t="s">
        <v>20</v>
      </c>
      <c r="M2616" t="s">
        <v>5352</v>
      </c>
      <c r="N2616" t="s">
        <v>14</v>
      </c>
    </row>
    <row r="2617" x14ac:dyDescent="0.25">
      <c r="A2617" t="n">
        <v>25</v>
      </c>
      <c r="B2617" t="s">
        <v>14</v>
      </c>
      <c r="C2617" t="s">
        <v>22</v>
      </c>
      <c r="D2617" s="2" t="s">
        <f>=HYPERLINK("https://main.knesset.gov.il/APPS/legislation/main/bills/2221546", "הצעת חוק שירות ביטחון (תיקון - הסדרי פטור משירות), התשפ""ה-2024")</f>
        <v>5444</v>
      </c>
      <c r="E2617" t="s">
        <v>5444</v>
      </c>
      <c r="F2617" t="s">
        <v>5445</v>
      </c>
      <c r="G2617" t="s">
        <v>14</v>
      </c>
      <c r="H2617">
             </c>
      <c r="I2617" t="s">
        <v>14</v>
      </c>
      <c r="J2617" t="s">
        <v>141</v>
      </c>
      <c r="K2617" t="s">
        <v>14</v>
      </c>
      <c r="L2617" t="s">
        <v>20</v>
      </c>
      <c r="M2617" t="s">
        <v>5352</v>
      </c>
      <c r="N2617" t="s">
        <v>14</v>
      </c>
    </row>
    <row r="2618" x14ac:dyDescent="0.25">
      <c r="A2618" t="n">
        <v>25</v>
      </c>
      <c r="B2618" t="s">
        <v>14</v>
      </c>
      <c r="C2618" t="s">
        <v>22</v>
      </c>
      <c r="D2618" s="2" t="s">
        <f>=HYPERLINK("https://main.knesset.gov.il/APPS/legislation/main/bills/2221489", "הצעת חוק כליאתם של לוחמים בלתי חוקיים (תיקון - החלפת המונח לוחמים בלתי חוקיים), התשפ""ה-2024 ")</f>
        <v>5446</v>
      </c>
      <c r="E2618" t="s">
        <v>5446</v>
      </c>
      <c r="F2618" t="s">
        <v>5447</v>
      </c>
      <c r="G2618" t="s">
        <v>14</v>
      </c>
      <c r="H2618">
             </c>
      <c r="I2618" t="s">
        <v>14</v>
      </c>
      <c r="J2618" t="s">
        <v>141</v>
      </c>
      <c r="K2618" t="s">
        <v>14</v>
      </c>
      <c r="L2618" t="s">
        <v>20</v>
      </c>
      <c r="M2618" t="s">
        <v>5352</v>
      </c>
      <c r="N2618" t="s">
        <v>14</v>
      </c>
    </row>
    <row r="2619" x14ac:dyDescent="0.25">
      <c r="A2619" t="n">
        <v>25</v>
      </c>
      <c r="B2619" t="s">
        <v>14</v>
      </c>
      <c r="C2619" t="s">
        <v>22</v>
      </c>
      <c r="D2619" s="2" t="s">
        <f>=HYPERLINK("https://main.knesset.gov.il/APPS/legislation/main/bills/2218871", "הצעת חוק ההתנתקות והפיצויים לנפגעיה (תיקון - נוכחות וחופש תנועה לישראלים בחבל עזה), התשפ""ה-2024")</f>
        <v>5448</v>
      </c>
      <c r="E2619" t="s">
        <v>5448</v>
      </c>
      <c r="F2619" t="s">
        <v>5449</v>
      </c>
      <c r="G2619" t="s">
        <v>14</v>
      </c>
      <c r="H2619">
             </c>
      <c r="I2619" t="s">
        <v>14</v>
      </c>
      <c r="J2619" t="s">
        <v>141</v>
      </c>
      <c r="K2619" t="s">
        <v>14</v>
      </c>
      <c r="L2619" t="s">
        <v>20</v>
      </c>
      <c r="M2619" t="s">
        <v>5352</v>
      </c>
      <c r="N2619" t="s">
        <v>14</v>
      </c>
    </row>
    <row r="2620" x14ac:dyDescent="0.25">
      <c r="A2620" t="n">
        <v>25</v>
      </c>
      <c r="B2620" t="s">
        <v>14</v>
      </c>
      <c r="C2620" t="s">
        <v>22</v>
      </c>
      <c r="D2620" s="2" t="s">
        <f>=HYPERLINK("https://main.knesset.gov.il/APPS/legislation/main/bills/2221162", "הצעת חוק הגנת הצרכן (תיקון - חובת הצגת מחיר מומלץ של ירקות), התשפ""ה-2024")</f>
        <v>5450</v>
      </c>
      <c r="E2620" t="s">
        <v>5450</v>
      </c>
      <c r="F2620" t="s">
        <v>5451</v>
      </c>
      <c r="G2620" t="s">
        <v>14</v>
      </c>
      <c r="H2620">
             </c>
      <c r="I2620" t="s">
        <v>14</v>
      </c>
      <c r="J2620" t="s">
        <v>141</v>
      </c>
      <c r="K2620" t="s">
        <v>14</v>
      </c>
      <c r="L2620" t="s">
        <v>20</v>
      </c>
      <c r="M2620" t="s">
        <v>5352</v>
      </c>
      <c r="N2620" t="s">
        <v>14</v>
      </c>
    </row>
    <row r="2621" x14ac:dyDescent="0.25">
      <c r="A2621" t="n">
        <v>25</v>
      </c>
      <c r="B2621" t="s">
        <v>14</v>
      </c>
      <c r="C2621" t="s">
        <v>22</v>
      </c>
      <c r="D2621" s="2" t="s">
        <f>=HYPERLINK("https://main.knesset.gov.il/APPS/legislation/main/bills/2221690", "הצעת חוק הביטוח הלאומי (תיקון - ביטוח שאירים לאלמן), התשפ""ה-2024")</f>
        <v>5452</v>
      </c>
      <c r="E2621" t="s">
        <v>5452</v>
      </c>
      <c r="F2621" t="s">
        <v>5453</v>
      </c>
      <c r="G2621" t="s">
        <v>14</v>
      </c>
      <c r="H2621">
             </c>
      <c r="I2621" t="s">
        <v>14</v>
      </c>
      <c r="J2621" t="s">
        <v>141</v>
      </c>
      <c r="K2621" t="s">
        <v>14</v>
      </c>
      <c r="L2621" t="s">
        <v>20</v>
      </c>
      <c r="M2621" t="s">
        <v>5352</v>
      </c>
      <c r="N2621" t="s">
        <v>14</v>
      </c>
    </row>
    <row r="2622" x14ac:dyDescent="0.25">
      <c r="A2622" t="n">
        <v>25</v>
      </c>
      <c r="B2622" t="s">
        <v>14</v>
      </c>
      <c r="C2622" t="s">
        <v>22</v>
      </c>
      <c r="D2622" s="2" t="s">
        <f>=HYPERLINK("https://main.knesset.gov.il/APPS/legislation/main/bills/2221364", "הצעת חוק שירות הציבור (הגבלות לאחר פרישה) (תיקון - תקופת צינון לעובד ציבור ברשויות פיננסיות), התשפ""ה-2024")</f>
        <v>5454</v>
      </c>
      <c r="E2622" t="s">
        <v>5454</v>
      </c>
      <c r="F2622" t="s">
        <v>5455</v>
      </c>
      <c r="G2622" t="s">
        <v>14</v>
      </c>
      <c r="H2622">
             </c>
      <c r="I2622" t="s">
        <v>14</v>
      </c>
      <c r="J2622" t="s">
        <v>141</v>
      </c>
      <c r="K2622" t="s">
        <v>14</v>
      </c>
      <c r="L2622" t="s">
        <v>20</v>
      </c>
      <c r="M2622" t="s">
        <v>5352</v>
      </c>
      <c r="N2622" t="s">
        <v>14</v>
      </c>
    </row>
    <row r="2623" x14ac:dyDescent="0.25">
      <c r="A2623" t="n">
        <v>25</v>
      </c>
      <c r="B2623" t="s">
        <v>14</v>
      </c>
      <c r="C2623" t="s">
        <v>22</v>
      </c>
      <c r="D2623" s="2" t="s">
        <f>=HYPERLINK("https://main.knesset.gov.il/APPS/legislation/main/bills/2221540", "הצעת חוק מס ערך מוסף (תיקון - פטור ממס על תשר), התשפ""ה-2024")</f>
        <v>4294</v>
      </c>
      <c r="E2623" t="s">
        <v>4294</v>
      </c>
      <c r="F2623" t="s">
        <v>5456</v>
      </c>
      <c r="G2623" t="s">
        <v>14</v>
      </c>
      <c r="H2623">
             </c>
      <c r="I2623" t="s">
        <v>14</v>
      </c>
      <c r="J2623" t="s">
        <v>141</v>
      </c>
      <c r="K2623" t="s">
        <v>14</v>
      </c>
      <c r="L2623" t="s">
        <v>20</v>
      </c>
      <c r="M2623" t="s">
        <v>5352</v>
      </c>
      <c r="N2623" t="s">
        <v>14</v>
      </c>
    </row>
    <row r="2624" x14ac:dyDescent="0.25">
      <c r="A2624" t="n">
        <v>25</v>
      </c>
      <c r="B2624" t="s">
        <v>14</v>
      </c>
      <c r="C2624" t="s">
        <v>22</v>
      </c>
      <c r="D2624" s="2" t="s">
        <f>=HYPERLINK("https://main.knesset.gov.il/APPS/legislation/main/bills/2221140", "הצעת חוק זיכרון אירועי הטרור של כ""ב בתשרי (7 באוקטובר) ומלחמת חרבות ברזל, התשפ""ה-2024")</f>
        <v>1011</v>
      </c>
      <c r="E2624" t="s">
        <v>1011</v>
      </c>
      <c r="F2624" t="s">
        <v>5457</v>
      </c>
      <c r="G2624" t="s">
        <v>14</v>
      </c>
      <c r="H2624">
             </c>
      <c r="I2624" t="s">
        <v>14</v>
      </c>
      <c r="J2624" t="s">
        <v>141</v>
      </c>
      <c r="K2624" t="s">
        <v>14</v>
      </c>
      <c r="L2624" t="s">
        <v>20</v>
      </c>
      <c r="M2624" t="s">
        <v>5352</v>
      </c>
      <c r="N2624" t="s">
        <v>14</v>
      </c>
    </row>
    <row r="2625" x14ac:dyDescent="0.25">
      <c r="A2625" t="n">
        <v>25</v>
      </c>
      <c r="B2625" t="s">
        <v>14</v>
      </c>
      <c r="C2625" t="s">
        <v>22</v>
      </c>
      <c r="D2625" s="2" t="s">
        <f>=HYPERLINK("https://main.knesset.gov.il/APPS/legislation/main/bills/2221841", "הצעת חוק להקמת פקולטה בין-לאומית ללימודי רפואה בעיר אילת, התשפ""ה-2024 ")</f>
        <v>5458</v>
      </c>
      <c r="E2625" t="s">
        <v>5458</v>
      </c>
      <c r="F2625" t="s">
        <v>5459</v>
      </c>
      <c r="G2625" t="s">
        <v>14</v>
      </c>
      <c r="H2625">
             </c>
      <c r="I2625" t="s">
        <v>14</v>
      </c>
      <c r="J2625" t="s">
        <v>141</v>
      </c>
      <c r="K2625" t="s">
        <v>14</v>
      </c>
      <c r="L2625" t="s">
        <v>20</v>
      </c>
      <c r="M2625" t="s">
        <v>5352</v>
      </c>
      <c r="N2625" t="s">
        <v>14</v>
      </c>
    </row>
    <row r="2626" x14ac:dyDescent="0.25">
      <c r="A2626" t="n">
        <v>25</v>
      </c>
      <c r="B2626" t="s">
        <v>14</v>
      </c>
      <c r="C2626" t="s">
        <v>22</v>
      </c>
      <c r="D2626" s="2" t="s">
        <f>=HYPERLINK("https://main.knesset.gov.il/APPS/legislation/main/bills/2221208", "הצעת חוק עיטור הפציעה הקרבית, התשפ""ה-2024")</f>
        <v>5460</v>
      </c>
      <c r="E2626" t="s">
        <v>5460</v>
      </c>
      <c r="F2626" t="s">
        <v>5461</v>
      </c>
      <c r="G2626" t="s">
        <v>14</v>
      </c>
      <c r="H2626">
             </c>
      <c r="I2626" t="s">
        <v>14</v>
      </c>
      <c r="J2626" t="s">
        <v>141</v>
      </c>
      <c r="K2626" t="s">
        <v>14</v>
      </c>
      <c r="L2626" t="s">
        <v>20</v>
      </c>
      <c r="M2626" t="s">
        <v>5352</v>
      </c>
      <c r="N2626" t="s">
        <v>14</v>
      </c>
    </row>
    <row r="2627" x14ac:dyDescent="0.25">
      <c r="A2627" t="n">
        <v>25</v>
      </c>
      <c r="B2627" t="s">
        <v>14</v>
      </c>
      <c r="C2627" t="s">
        <v>22</v>
      </c>
      <c r="D2627" s="2" t="s">
        <f>=HYPERLINK("https://main.knesset.gov.il/APPS/legislation/main/bills/2221174", "הצעת חוק לתיקון פקודת מס הכנסה (הגדלת מספר התושבים ביישוב מוטב), התשפ""ה-2024")</f>
        <v>5462</v>
      </c>
      <c r="E2627" t="s">
        <v>5462</v>
      </c>
      <c r="F2627" t="s">
        <v>5463</v>
      </c>
      <c r="G2627" t="s">
        <v>14</v>
      </c>
      <c r="H2627">
             </c>
      <c r="I2627" t="s">
        <v>14</v>
      </c>
      <c r="J2627" t="s">
        <v>141</v>
      </c>
      <c r="K2627" t="s">
        <v>14</v>
      </c>
      <c r="L2627" t="s">
        <v>20</v>
      </c>
      <c r="M2627" t="s">
        <v>5352</v>
      </c>
      <c r="N2627" t="s">
        <v>14</v>
      </c>
    </row>
    <row r="2628" x14ac:dyDescent="0.25">
      <c r="A2628" t="n">
        <v>25</v>
      </c>
      <c r="B2628" t="s">
        <v>14</v>
      </c>
      <c r="C2628" t="s">
        <v>22</v>
      </c>
      <c r="D2628" s="2" t="s">
        <f>=HYPERLINK("https://main.knesset.gov.il/APPS/legislation/main/bills/2220396", "הצעת חוק משפחות חיילים שנספו במערכה (תגמולים ושיקום) (תיקון - הגדלת הטבות להנצחה), התשפ""ה-2024")</f>
        <v>5464</v>
      </c>
      <c r="E2628" t="s">
        <v>5464</v>
      </c>
      <c r="F2628" t="s">
        <v>5465</v>
      </c>
      <c r="G2628" t="s">
        <v>14</v>
      </c>
      <c r="H2628">
             </c>
      <c r="I2628" t="s">
        <v>14</v>
      </c>
      <c r="J2628" t="s">
        <v>141</v>
      </c>
      <c r="K2628" t="s">
        <v>14</v>
      </c>
      <c r="L2628" t="s">
        <v>20</v>
      </c>
      <c r="M2628" t="s">
        <v>5352</v>
      </c>
      <c r="N2628" t="s">
        <v>14</v>
      </c>
    </row>
    <row r="2629" x14ac:dyDescent="0.25">
      <c r="A2629" t="n">
        <v>25</v>
      </c>
      <c r="B2629" t="s">
        <v>14</v>
      </c>
      <c r="C2629" t="s">
        <v>22</v>
      </c>
      <c r="D2629" s="2" t="s">
        <f>=HYPERLINK("https://main.knesset.gov.il/APPS/legislation/main/bills/2221161", "הצעת חוק עידוד תרומות מזון (תיקון - הצלת מזון), התשפ""ה-2024")</f>
        <v>5466</v>
      </c>
      <c r="E2629" t="s">
        <v>5466</v>
      </c>
      <c r="F2629" t="s">
        <v>5467</v>
      </c>
      <c r="G2629" t="s">
        <v>14</v>
      </c>
      <c r="H2629">
             </c>
      <c r="I2629" t="s">
        <v>14</v>
      </c>
      <c r="J2629" t="s">
        <v>141</v>
      </c>
      <c r="K2629" t="s">
        <v>14</v>
      </c>
      <c r="L2629" t="s">
        <v>20</v>
      </c>
      <c r="M2629" t="s">
        <v>5352</v>
      </c>
      <c r="N2629" t="s">
        <v>14</v>
      </c>
    </row>
    <row r="2630" x14ac:dyDescent="0.25">
      <c r="A2630" t="n">
        <v>25</v>
      </c>
      <c r="B2630" t="s">
        <v>14</v>
      </c>
      <c r="C2630" t="s">
        <v>15</v>
      </c>
      <c r="D2630" s="2" t="s">
        <f>=HYPERLINK("https://main.knesset.gov.il/APPS/legislation/main/bills/2222373", "חוק הגנה על עובדים בשעת חירום (תיקון מס' 5 והוראת שעה - חרבות ברזל) (תיקון מס' 2), התשפ""ד-2024")</f>
        <v>5468</v>
      </c>
      <c r="E2630" t="s">
        <v>5468</v>
      </c>
      <c r="F2630" t="s">
        <v>14</v>
      </c>
      <c r="G2630" t="s">
        <v>5469</v>
      </c>
      <c r="H2630" t="n">
        <v>3294</v>
      </c>
      <c r="I2630" t="s">
        <v>14</v>
      </c>
      <c r="J2630" t="s">
        <v>91</v>
      </c>
      <c r="K2630" t="s">
        <v>127</v>
      </c>
      <c r="L2630" t="s">
        <v>20</v>
      </c>
      <c r="M2630" t="s">
        <v>5470</v>
      </c>
      <c r="N2630" t="s">
        <v>5471</v>
      </c>
    </row>
    <row r="2631" x14ac:dyDescent="0.25">
      <c r="A2631" t="n">
        <v>25</v>
      </c>
      <c r="B2631" t="s">
        <v>14</v>
      </c>
      <c r="C2631" t="s">
        <v>22</v>
      </c>
      <c r="D2631" s="2" t="s">
        <f>=HYPERLINK("https://main.knesset.gov.il/APPS/legislation/main/bills/2214645", "הצעת חוק להפסקת יחסי מדינת ישראל עם סוכנות הסעד והתעסוקה של האו""ם לפליטי פלסטין במזרח הקרוב (אונר""א) והכרזה עליה כארגון טרור, התשפ""ד-2024")</f>
        <v>5472</v>
      </c>
      <c r="E2631" t="s">
        <v>5472</v>
      </c>
      <c r="F2631" t="s">
        <v>5473</v>
      </c>
      <c r="G2631" t="s">
        <v>5361</v>
      </c>
      <c r="H2631">
             </c>
      <c r="I2631" t="s">
        <v>14</v>
      </c>
      <c r="J2631" t="s">
        <v>99</v>
      </c>
      <c r="K2631" t="s">
        <v>114</v>
      </c>
      <c r="L2631" t="s">
        <v>20</v>
      </c>
      <c r="M2631" t="s">
        <v>5474</v>
      </c>
      <c r="N2631" t="s">
        <v>14</v>
      </c>
    </row>
    <row r="2632" x14ac:dyDescent="0.25">
      <c r="A2632" t="n">
        <v>25</v>
      </c>
      <c r="B2632" t="s">
        <v>14</v>
      </c>
      <c r="C2632" t="s">
        <v>15</v>
      </c>
      <c r="D2632" s="2" t="s">
        <f>=HYPERLINK("https://main.knesset.gov.il/APPS/legislation/main/bills/2221953", "חוק הרבנות הראשית לישראל (הארכת כהונה של הרבנים הראשיים לישראל ושל חברי מועצת הרבנות הראשית לישראל והוראות נוספות) (הוראת שעה) (תיקון מס' 2), התשפ""ד-2024")</f>
        <v>5475</v>
      </c>
      <c r="E2632" t="s">
        <v>5475</v>
      </c>
      <c r="F2632" t="s">
        <v>14</v>
      </c>
      <c r="G2632" t="s">
        <v>5476</v>
      </c>
      <c r="H2632" t="n">
        <v>3293</v>
      </c>
      <c r="I2632" t="s">
        <v>14</v>
      </c>
      <c r="J2632" t="s">
        <v>91</v>
      </c>
      <c r="K2632" t="s">
        <v>27</v>
      </c>
      <c r="L2632" t="s">
        <v>20</v>
      </c>
      <c r="M2632" t="s">
        <v>5474</v>
      </c>
      <c r="N2632" t="s">
        <v>5477</v>
      </c>
    </row>
    <row r="2633" x14ac:dyDescent="0.25">
      <c r="A2633" t="n">
        <v>25</v>
      </c>
      <c r="B2633" t="s">
        <v>14</v>
      </c>
      <c r="C2633" t="s">
        <v>15</v>
      </c>
      <c r="D2633" s="2" t="s">
        <f>=HYPERLINK("https://main.knesset.gov.il/APPS/legislation/main/bills/2222023", "חוק תקציב נוסף לשנת הכספים 2024 (מס' 2), התשפ""ד-2024")</f>
        <v>5478</v>
      </c>
      <c r="E2633" t="s">
        <v>5478</v>
      </c>
      <c r="F2633" t="s">
        <v>14</v>
      </c>
      <c r="G2633" t="s">
        <v>5479</v>
      </c>
      <c r="H2633" t="n">
        <v>3292</v>
      </c>
      <c r="I2633" t="s">
        <v>14</v>
      </c>
      <c r="J2633" t="s">
        <v>91</v>
      </c>
      <c r="K2633" t="s">
        <v>85</v>
      </c>
      <c r="L2633" t="s">
        <v>20</v>
      </c>
      <c r="M2633" t="s">
        <v>5474</v>
      </c>
      <c r="N2633" t="s">
        <v>5480</v>
      </c>
    </row>
    <row r="2634" x14ac:dyDescent="0.25">
      <c r="A2634" t="n">
        <v>25</v>
      </c>
      <c r="B2634" t="s">
        <v>14</v>
      </c>
      <c r="C2634" t="s">
        <v>15</v>
      </c>
      <c r="D2634" s="2" t="s">
        <f>=HYPERLINK("https://main.knesset.gov.il/APPS/legislation/main/bills/2221978", "חוק הפחתת הגירעון והגבלת ההוצאה התקציבית (תיקון מס' 26), התשפ""ד-2024")</f>
        <v>5481</v>
      </c>
      <c r="E2634" t="s">
        <v>5481</v>
      </c>
      <c r="F2634" t="s">
        <v>14</v>
      </c>
      <c r="G2634" t="s">
        <v>5482</v>
      </c>
      <c r="H2634" t="n">
        <v>3291</v>
      </c>
      <c r="I2634" t="s">
        <v>14</v>
      </c>
      <c r="J2634" t="s">
        <v>91</v>
      </c>
      <c r="K2634" t="s">
        <v>85</v>
      </c>
      <c r="L2634" t="s">
        <v>20</v>
      </c>
      <c r="M2634" t="s">
        <v>5474</v>
      </c>
      <c r="N2634" t="s">
        <v>5483</v>
      </c>
    </row>
    <row r="2635" x14ac:dyDescent="0.25">
      <c r="A2635" t="n">
        <v>25</v>
      </c>
      <c r="B2635" t="s">
        <v>14</v>
      </c>
      <c r="C2635" t="s">
        <v>22</v>
      </c>
      <c r="D2635" s="2" t="s">
        <f>=HYPERLINK("https://main.knesset.gov.il/APPS/legislation/main/bills/2218161", "הצעת חוק זיכרון אירועי הטרור של כ""ב בתשרי (ה-7 באוקטובר) ומלחמת חרבות ברזל, התשפ""ד-2024")</f>
        <v>5484</v>
      </c>
      <c r="E2635" t="s">
        <v>5484</v>
      </c>
      <c r="F2635" t="s">
        <v>5485</v>
      </c>
      <c r="G2635" t="s">
        <v>14</v>
      </c>
      <c r="H2635">
             </c>
      <c r="I2635" t="s">
        <v>14</v>
      </c>
      <c r="J2635" t="s">
        <v>99</v>
      </c>
      <c r="K2635" t="s">
        <v>34</v>
      </c>
      <c r="L2635" t="s">
        <v>20</v>
      </c>
      <c r="M2635" t="s">
        <v>5486</v>
      </c>
      <c r="N2635" t="s">
        <v>14</v>
      </c>
    </row>
    <row r="2636" x14ac:dyDescent="0.25">
      <c r="A2636" t="n">
        <v>25</v>
      </c>
      <c r="B2636" t="s">
        <v>14</v>
      </c>
      <c r="C2636" t="s">
        <v>22</v>
      </c>
      <c r="D2636" s="2" t="s">
        <f>=HYPERLINK("https://main.knesset.gov.il/APPS/legislation/main/bills/2218306", "הצעת חוק זיכרון אירועי הטרור של כ""ב בתשרי (ה-7 באוקטובר) ומלחמת חרבות ברזל, התשפ""ד-2024")</f>
        <v>5484</v>
      </c>
      <c r="E2636" t="s">
        <v>5484</v>
      </c>
      <c r="F2636" t="s">
        <v>5487</v>
      </c>
      <c r="G2636" t="s">
        <v>14</v>
      </c>
      <c r="H2636">
             </c>
      <c r="I2636" t="s">
        <v>14</v>
      </c>
      <c r="J2636" t="s">
        <v>99</v>
      </c>
      <c r="K2636" t="s">
        <v>34</v>
      </c>
      <c r="L2636" t="s">
        <v>20</v>
      </c>
      <c r="M2636" t="s">
        <v>5486</v>
      </c>
      <c r="N2636" t="s">
        <v>14</v>
      </c>
    </row>
    <row r="2637" x14ac:dyDescent="0.25">
      <c r="A2637" t="n">
        <v>25</v>
      </c>
      <c r="B2637" t="s">
        <v>14</v>
      </c>
      <c r="C2637" t="s">
        <v>22</v>
      </c>
      <c r="D2637" s="2" t="s">
        <f>=HYPERLINK("https://main.knesset.gov.il/APPS/legislation/main/bills/2217833", "הצעת חוק זיכרון אירועי הטרור של כ""ב בתשרי (ה-7 באוקטובר) ומלחמת חרבות ברזל, התשפ""ד-2024")</f>
        <v>5484</v>
      </c>
      <c r="E2637" t="s">
        <v>5484</v>
      </c>
      <c r="F2637" t="s">
        <v>5488</v>
      </c>
      <c r="G2637" t="s">
        <v>14</v>
      </c>
      <c r="H2637">
             </c>
      <c r="I2637" t="s">
        <v>14</v>
      </c>
      <c r="J2637" t="s">
        <v>99</v>
      </c>
      <c r="K2637" t="s">
        <v>34</v>
      </c>
      <c r="L2637" t="s">
        <v>20</v>
      </c>
      <c r="M2637" t="s">
        <v>5486</v>
      </c>
      <c r="N2637" t="s">
        <v>14</v>
      </c>
    </row>
    <row r="2638" x14ac:dyDescent="0.25">
      <c r="A2638" t="n">
        <v>25</v>
      </c>
      <c r="B2638" t="s">
        <v>14</v>
      </c>
      <c r="C2638" t="s">
        <v>22</v>
      </c>
      <c r="D2638" s="2" t="s">
        <f>=HYPERLINK("https://main.knesset.gov.il/APPS/legislation/main/bills/2211021", "הצעת חוק זיכרון טבח ה-7 באוקטובר - יד עוטף ישראל, התשפ""ד-2023")</f>
        <v>5489</v>
      </c>
      <c r="E2638" t="s">
        <v>5489</v>
      </c>
      <c r="F2638" t="s">
        <v>5490</v>
      </c>
      <c r="G2638" t="s">
        <v>14</v>
      </c>
      <c r="H2638">
             </c>
      <c r="I2638" t="s">
        <v>14</v>
      </c>
      <c r="J2638" t="s">
        <v>99</v>
      </c>
      <c r="K2638" t="s">
        <v>34</v>
      </c>
      <c r="L2638" t="s">
        <v>20</v>
      </c>
      <c r="M2638" t="s">
        <v>5486</v>
      </c>
      <c r="N2638" t="s">
        <v>14</v>
      </c>
    </row>
    <row r="2639" x14ac:dyDescent="0.25">
      <c r="A2639" t="n">
        <v>25</v>
      </c>
      <c r="B2639" t="s">
        <v>14</v>
      </c>
      <c r="C2639" t="s">
        <v>22</v>
      </c>
      <c r="D2639" s="2" t="s">
        <f>=HYPERLINK("https://main.knesset.gov.il/APPS/legislation/main/bills/2201639", "הצעת חוק הסיוע המשפטי (תיקון - סיוע משפטי לתובע בהליך אזרחי), התשפ""ג-2023")</f>
        <v>5491</v>
      </c>
      <c r="E2639" t="s">
        <v>5491</v>
      </c>
      <c r="F2639" t="s">
        <v>5492</v>
      </c>
      <c r="G2639" t="s">
        <v>14</v>
      </c>
      <c r="H2639">
             </c>
      <c r="I2639" t="s">
        <v>14</v>
      </c>
      <c r="J2639" t="s">
        <v>99</v>
      </c>
      <c r="K2639" t="s">
        <v>27</v>
      </c>
      <c r="L2639" t="s">
        <v>20</v>
      </c>
      <c r="M2639" t="s">
        <v>5493</v>
      </c>
      <c r="N2639" t="s">
        <v>14</v>
      </c>
    </row>
    <row r="2640" x14ac:dyDescent="0.25">
      <c r="A2640" t="n">
        <v>25</v>
      </c>
      <c r="B2640" t="s">
        <v>14</v>
      </c>
      <c r="C2640" t="s">
        <v>22</v>
      </c>
      <c r="D2640" s="2" t="s">
        <f>=HYPERLINK("https://main.knesset.gov.il/APPS/legislation/main/bills/2213335", "הצעת חוק התכנון והבנייה (תיקון - הכללת בתים מאזנים בהיתר מגורים לחוסים), התשפ""ד-2024")</f>
        <v>5494</v>
      </c>
      <c r="E2640" t="s">
        <v>5494</v>
      </c>
      <c r="F2640" t="s">
        <v>5495</v>
      </c>
      <c r="G2640" t="s">
        <v>14</v>
      </c>
      <c r="H2640">
             </c>
      <c r="I2640" t="s">
        <v>14</v>
      </c>
      <c r="J2640" t="s">
        <v>99</v>
      </c>
      <c r="K2640" t="s">
        <v>46</v>
      </c>
      <c r="L2640" t="s">
        <v>20</v>
      </c>
      <c r="M2640" t="s">
        <v>5496</v>
      </c>
      <c r="N2640" t="s">
        <v>14</v>
      </c>
    </row>
    <row r="2641" x14ac:dyDescent="0.25">
      <c r="A2641" t="n">
        <v>25</v>
      </c>
      <c r="B2641" t="s">
        <v>14</v>
      </c>
      <c r="C2641" t="s">
        <v>15</v>
      </c>
      <c r="D2641" s="2" t="s">
        <f>=HYPERLINK("https://main.knesset.gov.il/APPS/legislation/main/bills/2221642", "הצעת חוק לתיקון פקודת מס הכנסה (מס' 274), התשפ""ד-2024")</f>
        <v>5497</v>
      </c>
      <c r="E2641" t="s">
        <v>5497</v>
      </c>
      <c r="F2641" t="s">
        <v>14</v>
      </c>
      <c r="G2641" t="s">
        <v>5498</v>
      </c>
      <c r="H2641">
             </c>
      <c r="I2641" t="s">
        <v>14</v>
      </c>
      <c r="J2641" t="s">
        <v>18</v>
      </c>
      <c r="K2641" t="s">
        <v>85</v>
      </c>
      <c r="L2641" t="s">
        <v>20</v>
      </c>
      <c r="M2641" t="s">
        <v>5499</v>
      </c>
      <c r="N2641" t="s">
        <v>14</v>
      </c>
    </row>
    <row r="2642" x14ac:dyDescent="0.25">
      <c r="A2642" t="n">
        <v>25</v>
      </c>
      <c r="B2642" t="s">
        <v>14</v>
      </c>
      <c r="C2642" t="s">
        <v>15</v>
      </c>
      <c r="D2642" s="2" t="s">
        <f>=HYPERLINK("https://main.knesset.gov.il/APPS/legislation/main/bills/2215020", "חוק החברות (תיקון מס' 37), התשפ""ד-2024")</f>
        <v>5500</v>
      </c>
      <c r="E2642" t="s">
        <v>5500</v>
      </c>
      <c r="F2642" t="s">
        <v>14</v>
      </c>
      <c r="G2642" t="s">
        <v>5501</v>
      </c>
      <c r="H2642" t="n">
        <v>3290</v>
      </c>
      <c r="I2642" t="s">
        <v>14</v>
      </c>
      <c r="J2642" t="s">
        <v>91</v>
      </c>
      <c r="K2642" t="s">
        <v>27</v>
      </c>
      <c r="L2642" t="s">
        <v>20</v>
      </c>
      <c r="M2642" t="s">
        <v>5502</v>
      </c>
      <c r="N2642" t="s">
        <v>5503</v>
      </c>
    </row>
    <row r="2643" x14ac:dyDescent="0.25">
      <c r="A2643" t="n">
        <v>25</v>
      </c>
      <c r="B2643" t="s">
        <v>14</v>
      </c>
      <c r="C2643" t="s">
        <v>22</v>
      </c>
      <c r="D2643" s="2" t="s">
        <f>=HYPERLINK("https://main.knesset.gov.il/APPS/legislation/main/bills/2210642", "חוק לתיקון פקודת בריאות העם (מס' 43), התשפ""ד–2024")</f>
        <v>5504</v>
      </c>
      <c r="E2643" t="s">
        <v>5504</v>
      </c>
      <c r="F2643" t="s">
        <v>5505</v>
      </c>
      <c r="G2643" t="s">
        <v>5506</v>
      </c>
      <c r="H2643" t="n">
        <v>3289</v>
      </c>
      <c r="I2643" t="s">
        <v>14</v>
      </c>
      <c r="J2643" t="s">
        <v>91</v>
      </c>
      <c r="K2643" t="s">
        <v>480</v>
      </c>
      <c r="L2643" t="s">
        <v>20</v>
      </c>
      <c r="M2643" t="s">
        <v>5502</v>
      </c>
      <c r="N2643" t="s">
        <v>5507</v>
      </c>
    </row>
    <row r="2644" x14ac:dyDescent="0.25">
      <c r="A2644" t="n">
        <v>25</v>
      </c>
      <c r="B2644" t="s">
        <v>14</v>
      </c>
      <c r="C2644" t="s">
        <v>15</v>
      </c>
      <c r="D2644" s="2" t="s">
        <f>=HYPERLINK("https://main.knesset.gov.il/APPS/legislation/main/bills/2219511", "חוק ההוצאה לפועל (תיקון מס' 77), התשפ""ד-2024 ")</f>
        <v>5508</v>
      </c>
      <c r="E2644" t="s">
        <v>5508</v>
      </c>
      <c r="F2644" t="s">
        <v>14</v>
      </c>
      <c r="G2644" t="s">
        <v>5509</v>
      </c>
      <c r="H2644" t="n">
        <v>3288</v>
      </c>
      <c r="I2644" t="s">
        <v>14</v>
      </c>
      <c r="J2644" t="s">
        <v>91</v>
      </c>
      <c r="K2644" t="s">
        <v>27</v>
      </c>
      <c r="L2644" t="s">
        <v>20</v>
      </c>
      <c r="M2644" t="s">
        <v>5502</v>
      </c>
      <c r="N2644" t="s">
        <v>5510</v>
      </c>
    </row>
    <row r="2645" x14ac:dyDescent="0.25">
      <c r="A2645" t="n">
        <v>25</v>
      </c>
      <c r="B2645" t="s">
        <v>14</v>
      </c>
      <c r="C2645" t="s">
        <v>15</v>
      </c>
      <c r="D2645" s="2" t="s">
        <f>=HYPERLINK("https://main.knesset.gov.il/APPS/legislation/main/bills/2167379", "הצעת חוק שירות לאומי-אזרחי (תיקון מס' 4), התשפ""ב-2021 ")</f>
        <v>5511</v>
      </c>
      <c r="E2645" t="s">
        <v>5511</v>
      </c>
      <c r="F2645" t="s">
        <v>14</v>
      </c>
      <c r="G2645" t="s">
        <v>5512</v>
      </c>
      <c r="H2645">
             </c>
      <c r="I2645" t="s">
        <v>379</v>
      </c>
      <c r="J2645" t="s">
        <v>18</v>
      </c>
      <c r="K2645" t="s">
        <v>114</v>
      </c>
      <c r="L2645" t="s">
        <v>20</v>
      </c>
      <c r="M2645" t="s">
        <v>5513</v>
      </c>
      <c r="N2645" t="s">
        <v>14</v>
      </c>
    </row>
    <row r="2646" x14ac:dyDescent="0.25">
      <c r="A2646" t="n">
        <v>25</v>
      </c>
      <c r="B2646" t="s">
        <v>14</v>
      </c>
      <c r="C2646" t="s">
        <v>15</v>
      </c>
      <c r="D2646" s="2" t="s">
        <f>=HYPERLINK("https://main.knesset.gov.il/APPS/legislation/main/bills/2221065", "הצעת חוק לתיקון פקודת התעבורה (מס' 136), התשפ""ד-2024")</f>
        <v>5514</v>
      </c>
      <c r="E2646" t="s">
        <v>5514</v>
      </c>
      <c r="F2646" t="s">
        <v>14</v>
      </c>
      <c r="G2646" t="s">
        <v>5515</v>
      </c>
      <c r="H2646">
             </c>
      <c r="I2646" t="s">
        <v>14</v>
      </c>
      <c r="J2646" t="s">
        <v>5516</v>
      </c>
      <c r="K2646" t="s">
        <v>14</v>
      </c>
      <c r="L2646" t="s">
        <v>20</v>
      </c>
      <c r="M2646" t="s">
        <v>5517</v>
      </c>
      <c r="N2646" t="s">
        <v>14</v>
      </c>
    </row>
    <row r="2647" x14ac:dyDescent="0.25">
      <c r="A2647" t="n">
        <v>25</v>
      </c>
      <c r="B2647" t="s">
        <v>14</v>
      </c>
      <c r="C2647" t="s">
        <v>22</v>
      </c>
      <c r="D2647" s="2" t="s">
        <f>=HYPERLINK("https://main.knesset.gov.il/APPS/legislation/main/bills/2207777", "חוק הפצת שידורים באמצעות תחנות שידור ספרתיות (תיקון מס' 7 - הוראת שעה), התשפ""ד–2024")</f>
        <v>5518</v>
      </c>
      <c r="E2647" t="s">
        <v>5518</v>
      </c>
      <c r="F2647" t="s">
        <v>5519</v>
      </c>
      <c r="G2647" t="s">
        <v>5520</v>
      </c>
      <c r="H2647" t="n">
        <v>3285</v>
      </c>
      <c r="I2647" t="s">
        <v>14</v>
      </c>
      <c r="J2647" t="s">
        <v>91</v>
      </c>
      <c r="K2647" t="s">
        <v>19</v>
      </c>
      <c r="L2647" t="s">
        <v>20</v>
      </c>
      <c r="M2647" t="s">
        <v>5521</v>
      </c>
      <c r="N2647" t="s">
        <v>5522</v>
      </c>
    </row>
    <row r="2648" x14ac:dyDescent="0.25">
      <c r="A2648" t="n">
        <v>25</v>
      </c>
      <c r="B2648" t="s">
        <v>14</v>
      </c>
      <c r="C2648" t="s">
        <v>15</v>
      </c>
      <c r="D2648" s="2" t="s">
        <f>=HYPERLINK("https://main.knesset.gov.il/APPS/legislation/main/bills/2167975", "חוק הגנת הפרטיות (תיקון מס' 13), התשפ""ד-2024")</f>
        <v>5523</v>
      </c>
      <c r="E2648" t="s">
        <v>5523</v>
      </c>
      <c r="F2648" t="s">
        <v>14</v>
      </c>
      <c r="G2648" t="s">
        <v>5524</v>
      </c>
      <c r="H2648" t="n">
        <v>3287</v>
      </c>
      <c r="I2648" t="s">
        <v>14</v>
      </c>
      <c r="J2648" t="s">
        <v>91</v>
      </c>
      <c r="K2648" t="s">
        <v>27</v>
      </c>
      <c r="L2648" t="s">
        <v>20</v>
      </c>
      <c r="M2648" t="s">
        <v>5525</v>
      </c>
      <c r="N2648" t="s">
        <v>5526</v>
      </c>
    </row>
    <row r="2649" x14ac:dyDescent="0.25">
      <c r="A2649" t="n">
        <v>25</v>
      </c>
      <c r="B2649" t="s">
        <v>14</v>
      </c>
      <c r="C2649" t="s">
        <v>15</v>
      </c>
      <c r="D2649" s="2" t="s">
        <f>=HYPERLINK("https://main.knesset.gov.il/APPS/legislation/main/bills/2217172", "חוק התקנים (תיקון מס' 19), התשפ""ד-2024")</f>
        <v>5527</v>
      </c>
      <c r="E2649" t="s">
        <v>5527</v>
      </c>
      <c r="F2649" t="s">
        <v>14</v>
      </c>
      <c r="G2649" t="s">
        <v>5528</v>
      </c>
      <c r="H2649" t="n">
        <v>3286</v>
      </c>
      <c r="I2649" t="s">
        <v>14</v>
      </c>
      <c r="J2649" t="s">
        <v>91</v>
      </c>
      <c r="K2649" t="s">
        <v>19</v>
      </c>
      <c r="L2649" t="s">
        <v>20</v>
      </c>
      <c r="M2649" t="s">
        <v>5525</v>
      </c>
      <c r="N2649" t="s">
        <v>5529</v>
      </c>
    </row>
    <row r="2650" x14ac:dyDescent="0.25">
      <c r="A2650" t="n">
        <v>25</v>
      </c>
      <c r="B2650" t="s">
        <v>14</v>
      </c>
      <c r="C2650" t="s">
        <v>15</v>
      </c>
      <c r="D2650" s="2" t="s">
        <f>=HYPERLINK("https://main.knesset.gov.il/APPS/legislation/main/bills/2219131", "חוק הכשרות המשפטית והאפוטרופסות (תיקון מס' 21), התשפ""ד-2024")</f>
        <v>5530</v>
      </c>
      <c r="E2650" t="s">
        <v>5530</v>
      </c>
      <c r="F2650" t="s">
        <v>14</v>
      </c>
      <c r="G2650" t="s">
        <v>5531</v>
      </c>
      <c r="H2650" t="n">
        <v>3284</v>
      </c>
      <c r="I2650" t="s">
        <v>14</v>
      </c>
      <c r="J2650" t="s">
        <v>91</v>
      </c>
      <c r="K2650" t="s">
        <v>27</v>
      </c>
      <c r="L2650" t="s">
        <v>20</v>
      </c>
      <c r="M2650" t="s">
        <v>5525</v>
      </c>
      <c r="N2650" t="s">
        <v>5532</v>
      </c>
    </row>
    <row r="2651" x14ac:dyDescent="0.25">
      <c r="A2651" t="n">
        <v>25</v>
      </c>
      <c r="B2651" t="s">
        <v>14</v>
      </c>
      <c r="C2651" t="s">
        <v>15</v>
      </c>
      <c r="D2651" s="2" t="s">
        <f>=HYPERLINK("https://main.knesset.gov.il/APPS/legislation/main/bills/2206205", "חוק בתי דין רבניים (קיום פסקי דין של גירושין) (תיקון מס' 9), התשפ""ד-2024")</f>
        <v>5533</v>
      </c>
      <c r="E2651" t="s">
        <v>5533</v>
      </c>
      <c r="F2651" t="s">
        <v>14</v>
      </c>
      <c r="G2651" t="s">
        <v>5534</v>
      </c>
      <c r="H2651" t="n">
        <v>3283</v>
      </c>
      <c r="I2651" t="s">
        <v>14</v>
      </c>
      <c r="J2651" t="s">
        <v>91</v>
      </c>
      <c r="K2651" t="s">
        <v>27</v>
      </c>
      <c r="L2651" t="s">
        <v>20</v>
      </c>
      <c r="M2651" t="s">
        <v>5525</v>
      </c>
      <c r="N2651" t="s">
        <v>5535</v>
      </c>
    </row>
    <row r="2652" x14ac:dyDescent="0.25">
      <c r="A2652" t="n">
        <v>25</v>
      </c>
      <c r="B2652" t="s">
        <v>14</v>
      </c>
      <c r="C2652" t="s">
        <v>22</v>
      </c>
      <c r="D2652" s="2" t="s">
        <f>=HYPERLINK("https://main.knesset.gov.il/APPS/legislation/main/bills/2208571", "חוק לשכת עורכי הדין (תיקון מס' 44), התשפ""ד–2024")</f>
        <v>5536</v>
      </c>
      <c r="E2652" t="s">
        <v>5536</v>
      </c>
      <c r="F2652" t="s">
        <v>5537</v>
      </c>
      <c r="G2652" t="s">
        <v>5538</v>
      </c>
      <c r="H2652" t="n">
        <v>3282</v>
      </c>
      <c r="I2652" t="s">
        <v>14</v>
      </c>
      <c r="J2652" t="s">
        <v>91</v>
      </c>
      <c r="K2652" t="s">
        <v>27</v>
      </c>
      <c r="L2652" t="s">
        <v>20</v>
      </c>
      <c r="M2652" t="s">
        <v>5525</v>
      </c>
      <c r="N2652" t="s">
        <v>5539</v>
      </c>
    </row>
    <row r="2653" x14ac:dyDescent="0.25">
      <c r="A2653" t="n">
        <v>25</v>
      </c>
      <c r="B2653" t="s">
        <v>14</v>
      </c>
      <c r="C2653" t="s">
        <v>15</v>
      </c>
      <c r="D2653" s="2" t="s">
        <f>=HYPERLINK("https://main.knesset.gov.il/APPS/legislation/main/bills/2219355", "חוק התכנון והבנייה (תיקון מס' 156 - הוראת שעה), התשפ""ד-2024 ")</f>
        <v>5540</v>
      </c>
      <c r="E2653" t="s">
        <v>5540</v>
      </c>
      <c r="F2653" t="s">
        <v>14</v>
      </c>
      <c r="G2653" t="s">
        <v>5541</v>
      </c>
      <c r="H2653" t="n">
        <v>3281</v>
      </c>
      <c r="I2653" t="s">
        <v>14</v>
      </c>
      <c r="J2653" t="s">
        <v>91</v>
      </c>
      <c r="K2653" t="s">
        <v>46</v>
      </c>
      <c r="L2653" t="s">
        <v>20</v>
      </c>
      <c r="M2653" t="s">
        <v>5525</v>
      </c>
      <c r="N2653" t="s">
        <v>5542</v>
      </c>
    </row>
    <row r="2654" x14ac:dyDescent="0.25">
      <c r="A2654" t="n">
        <v>25</v>
      </c>
      <c r="B2654" t="s">
        <v>14</v>
      </c>
      <c r="C2654" t="s">
        <v>15</v>
      </c>
      <c r="D2654" s="2" t="s">
        <f>=HYPERLINK("https://main.knesset.gov.il/APPS/legislation/main/bills/2217762", "חוק פיצויי פיטורים (תיקון מס' 34 – הוראת שעה – חרבות ברזל), התשפ""ד-2024")</f>
        <v>5543</v>
      </c>
      <c r="E2654" t="s">
        <v>5543</v>
      </c>
      <c r="F2654" t="s">
        <v>14</v>
      </c>
      <c r="G2654" t="s">
        <v>5544</v>
      </c>
      <c r="H2654" t="n">
        <v>3280</v>
      </c>
      <c r="I2654" t="s">
        <v>14</v>
      </c>
      <c r="J2654" t="s">
        <v>91</v>
      </c>
      <c r="K2654" t="s">
        <v>127</v>
      </c>
      <c r="L2654" t="s">
        <v>20</v>
      </c>
      <c r="M2654" t="s">
        <v>5525</v>
      </c>
      <c r="N2654" t="s">
        <v>5545</v>
      </c>
    </row>
    <row r="2655" x14ac:dyDescent="0.25">
      <c r="A2655" t="n">
        <v>25</v>
      </c>
      <c r="B2655" t="s">
        <v>14</v>
      </c>
      <c r="C2655" t="s">
        <v>15</v>
      </c>
      <c r="D2655" s="2" t="s">
        <f>=HYPERLINK("https://main.knesset.gov.il/APPS/legislation/main/bills/2204246", "חוק התכנון והבנייה (תיקון מס' 155), התשפ""ד-2024")</f>
        <v>5546</v>
      </c>
      <c r="E2655" t="s">
        <v>5546</v>
      </c>
      <c r="F2655" t="s">
        <v>14</v>
      </c>
      <c r="G2655" t="s">
        <v>110</v>
      </c>
      <c r="H2655" t="n">
        <v>3279</v>
      </c>
      <c r="I2655" t="s">
        <v>14</v>
      </c>
      <c r="J2655" t="s">
        <v>91</v>
      </c>
      <c r="K2655" t="s">
        <v>46</v>
      </c>
      <c r="L2655" t="s">
        <v>20</v>
      </c>
      <c r="M2655" t="s">
        <v>5525</v>
      </c>
      <c r="N2655" t="s">
        <v>5547</v>
      </c>
    </row>
    <row r="2656" x14ac:dyDescent="0.25">
      <c r="A2656" t="n">
        <v>25</v>
      </c>
      <c r="B2656" t="s">
        <v>14</v>
      </c>
      <c r="C2656" t="s">
        <v>20</v>
      </c>
      <c r="D2656" s="2" t="s">
        <f>=HYPERLINK("https://main.knesset.gov.il/APPS/legislation/main/bills/2219307", "הצעת חוק-יסוד: הממשלה (תיקון מס' 17) (ביטול ממשלת חילופים)")</f>
        <v>5548</v>
      </c>
      <c r="E2656" t="s">
        <v>5548</v>
      </c>
      <c r="F2656" t="s">
        <v>14</v>
      </c>
      <c r="G2656" t="s">
        <v>3300</v>
      </c>
      <c r="H2656">
             </c>
      <c r="I2656" t="s">
        <v>14</v>
      </c>
      <c r="J2656" t="s">
        <v>1141</v>
      </c>
      <c r="K2656" t="s">
        <v>27</v>
      </c>
      <c r="L2656" t="s">
        <v>20</v>
      </c>
      <c r="M2656" t="s">
        <v>5525</v>
      </c>
      <c r="N2656" t="s">
        <v>14</v>
      </c>
    </row>
    <row r="2657" x14ac:dyDescent="0.25">
      <c r="A2657" t="n">
        <v>25</v>
      </c>
      <c r="B2657" t="s">
        <v>14</v>
      </c>
      <c r="C2657" t="s">
        <v>15</v>
      </c>
      <c r="D2657" s="2" t="s">
        <f>=HYPERLINK("https://main.knesset.gov.il/APPS/legislation/main/bills/2208658", "חוק סיוע לסטודנטים ששירתו במילואים (תיקוני חקיקה והוראת שעה), התשפ""ד-2024")</f>
        <v>5549</v>
      </c>
      <c r="E2657" t="s">
        <v>5549</v>
      </c>
      <c r="F2657" t="s">
        <v>14</v>
      </c>
      <c r="G2657" t="s">
        <v>5550</v>
      </c>
      <c r="H2657" t="n">
        <v>3196</v>
      </c>
      <c r="I2657" t="s">
        <v>14</v>
      </c>
      <c r="J2657" t="s">
        <v>91</v>
      </c>
      <c r="K2657" t="s">
        <v>34</v>
      </c>
      <c r="L2657" t="s">
        <v>20</v>
      </c>
      <c r="M2657" t="s">
        <v>5551</v>
      </c>
      <c r="N2657" t="s">
        <v>5552</v>
      </c>
    </row>
    <row r="2658" x14ac:dyDescent="0.25">
      <c r="A2658" t="n">
        <v>25</v>
      </c>
      <c r="B2658" t="s">
        <v>14</v>
      </c>
      <c r="C2658" t="s">
        <v>15</v>
      </c>
      <c r="D2658" s="2" t="s">
        <f>=HYPERLINK("https://main.knesset.gov.il/APPS/legislation/main/bills/2221017", "חוק כליאתם של לוחמים בלתי חוקיים (תיקון מס' 4 והוראת שעה – חרבות ברזל) (תיקון מס' 2), התשפ""ד-2024")</f>
        <v>5553</v>
      </c>
      <c r="E2658" t="s">
        <v>5553</v>
      </c>
      <c r="F2658" t="s">
        <v>14</v>
      </c>
      <c r="G2658" t="s">
        <v>5554</v>
      </c>
      <c r="H2658" t="n">
        <v>3273</v>
      </c>
      <c r="I2658" t="s">
        <v>14</v>
      </c>
      <c r="J2658" t="s">
        <v>91</v>
      </c>
      <c r="K2658" t="s">
        <v>114</v>
      </c>
      <c r="L2658" t="s">
        <v>20</v>
      </c>
      <c r="M2658" t="s">
        <v>5555</v>
      </c>
      <c r="N2658" t="s">
        <v>5556</v>
      </c>
    </row>
    <row r="2659" x14ac:dyDescent="0.25">
      <c r="A2659" t="n">
        <v>25</v>
      </c>
      <c r="B2659" t="s">
        <v>14</v>
      </c>
      <c r="C2659" t="s">
        <v>15</v>
      </c>
      <c r="D2659" s="2" t="s">
        <f>=HYPERLINK("https://main.knesset.gov.il/APPS/legislation/main/bills/2221130", "חוק לתיקון פקודת בתי הסוהר (הוראת שעה), התשפ""ד-2024")</f>
        <v>5557</v>
      </c>
      <c r="E2659" t="s">
        <v>5557</v>
      </c>
      <c r="F2659" t="s">
        <v>14</v>
      </c>
      <c r="G2659" t="s">
        <v>5558</v>
      </c>
      <c r="H2659" t="n">
        <v>3272</v>
      </c>
      <c r="I2659" t="s">
        <v>14</v>
      </c>
      <c r="J2659" t="s">
        <v>91</v>
      </c>
      <c r="K2659" t="s">
        <v>105</v>
      </c>
      <c r="L2659" t="s">
        <v>20</v>
      </c>
      <c r="M2659" t="s">
        <v>5555</v>
      </c>
      <c r="N2659" t="s">
        <v>5559</v>
      </c>
    </row>
    <row r="2660" x14ac:dyDescent="0.25">
      <c r="A2660" t="n">
        <v>25</v>
      </c>
      <c r="B2660" t="s">
        <v>14</v>
      </c>
      <c r="C2660" t="s">
        <v>15</v>
      </c>
      <c r="D2660" s="2" t="s">
        <f>=HYPERLINK("https://main.knesset.gov.il/APPS/legislation/main/bills/2221064", "חוק הביטוח הלאומי (תיקון מס' 248), התשפ""ד-2024")</f>
        <v>5560</v>
      </c>
      <c r="E2660" t="s">
        <v>5560</v>
      </c>
      <c r="F2660" t="s">
        <v>14</v>
      </c>
      <c r="G2660" t="s">
        <v>5561</v>
      </c>
      <c r="H2660" t="n">
        <v>3271</v>
      </c>
      <c r="I2660" t="s">
        <v>14</v>
      </c>
      <c r="J2660" t="s">
        <v>91</v>
      </c>
      <c r="K2660" t="s">
        <v>127</v>
      </c>
      <c r="L2660" t="s">
        <v>20</v>
      </c>
      <c r="M2660" t="s">
        <v>5555</v>
      </c>
      <c r="N2660" t="s">
        <v>5562</v>
      </c>
    </row>
    <row r="2661" x14ac:dyDescent="0.25">
      <c r="A2661" t="n">
        <v>25</v>
      </c>
      <c r="B2661" t="s">
        <v>14</v>
      </c>
      <c r="C2661" t="s">
        <v>15</v>
      </c>
      <c r="D2661" s="2" t="s">
        <f>=HYPERLINK("https://main.knesset.gov.il/APPS/legislation/main/bills/2165824", "חוק הפרות תעבורה מינהליות, התשפ""ד-2024")</f>
        <v>5563</v>
      </c>
      <c r="E2661" t="s">
        <v>5563</v>
      </c>
      <c r="F2661" t="s">
        <v>14</v>
      </c>
      <c r="G2661" t="s">
        <v>5564</v>
      </c>
      <c r="H2661" t="n">
        <v>3278</v>
      </c>
      <c r="I2661" t="s">
        <v>14</v>
      </c>
      <c r="J2661" t="s">
        <v>91</v>
      </c>
      <c r="K2661" t="s">
        <v>19</v>
      </c>
      <c r="L2661" t="s">
        <v>20</v>
      </c>
      <c r="M2661" t="s">
        <v>5565</v>
      </c>
      <c r="N2661" t="s">
        <v>5566</v>
      </c>
    </row>
    <row r="2662" x14ac:dyDescent="0.25">
      <c r="A2662" t="n">
        <v>25</v>
      </c>
      <c r="B2662" t="s">
        <v>14</v>
      </c>
      <c r="C2662" t="s">
        <v>15</v>
      </c>
      <c r="D2662" s="2" t="s">
        <f>=HYPERLINK("https://main.knesset.gov.il/APPS/legislation/main/bills/2162982", "חוק רכבת תחתית (מטרו) (תיקון מס' 4), התשפ""ד-2024 ")</f>
        <v>5567</v>
      </c>
      <c r="E2662" t="s">
        <v>5567</v>
      </c>
      <c r="F2662" t="s">
        <v>14</v>
      </c>
      <c r="G2662" t="s">
        <v>5568</v>
      </c>
      <c r="H2662" t="n">
        <v>3277</v>
      </c>
      <c r="I2662" t="s">
        <v>14</v>
      </c>
      <c r="J2662" t="s">
        <v>91</v>
      </c>
      <c r="K2662" t="s">
        <v>46</v>
      </c>
      <c r="L2662" t="s">
        <v>20</v>
      </c>
      <c r="M2662" t="s">
        <v>5565</v>
      </c>
      <c r="N2662" t="s">
        <v>5569</v>
      </c>
    </row>
    <row r="2663" x14ac:dyDescent="0.25">
      <c r="A2663" t="n">
        <v>25</v>
      </c>
      <c r="B2663" t="s">
        <v>14</v>
      </c>
      <c r="C2663" t="s">
        <v>15</v>
      </c>
      <c r="D2663" s="2" t="s">
        <f>=HYPERLINK("https://main.knesset.gov.il/APPS/legislation/main/bills/2217171", "חוק הגנה על בריאות הציבור (מזון) (תיקון מס' 10 והוראת שעה), התשפ""ד-2024")</f>
        <v>5570</v>
      </c>
      <c r="E2663" t="s">
        <v>5570</v>
      </c>
      <c r="F2663" t="s">
        <v>14</v>
      </c>
      <c r="G2663" t="s">
        <v>5571</v>
      </c>
      <c r="H2663" t="n">
        <v>3276</v>
      </c>
      <c r="I2663" t="s">
        <v>14</v>
      </c>
      <c r="J2663" t="s">
        <v>91</v>
      </c>
      <c r="K2663" t="s">
        <v>480</v>
      </c>
      <c r="L2663" t="s">
        <v>20</v>
      </c>
      <c r="M2663" t="s">
        <v>5565</v>
      </c>
      <c r="N2663" t="s">
        <v>5572</v>
      </c>
    </row>
    <row r="2664" x14ac:dyDescent="0.25">
      <c r="A2664" t="n">
        <v>25</v>
      </c>
      <c r="B2664" t="s">
        <v>14</v>
      </c>
      <c r="C2664" t="s">
        <v>15</v>
      </c>
      <c r="D2664" s="2" t="s">
        <f>=HYPERLINK("https://main.knesset.gov.il/APPS/legislation/main/bills/2218977", "חוק לתיקון פקודת הרוקחים (תיקון מס' 37), התשפ""ד-2024")</f>
        <v>5573</v>
      </c>
      <c r="E2664" t="s">
        <v>5573</v>
      </c>
      <c r="F2664" t="s">
        <v>14</v>
      </c>
      <c r="G2664" t="s">
        <v>5574</v>
      </c>
      <c r="H2664" t="n">
        <v>3275</v>
      </c>
      <c r="I2664" t="s">
        <v>14</v>
      </c>
      <c r="J2664" t="s">
        <v>91</v>
      </c>
      <c r="K2664" t="s">
        <v>480</v>
      </c>
      <c r="L2664" t="s">
        <v>20</v>
      </c>
      <c r="M2664" t="s">
        <v>5565</v>
      </c>
      <c r="N2664" t="s">
        <v>5575</v>
      </c>
    </row>
    <row r="2665" x14ac:dyDescent="0.25">
      <c r="A2665" t="n">
        <v>25</v>
      </c>
      <c r="B2665" t="s">
        <v>14</v>
      </c>
      <c r="C2665" t="s">
        <v>15</v>
      </c>
      <c r="D2665" s="2" t="s">
        <f>=HYPERLINK("https://main.knesset.gov.il/APPS/legislation/main/bills/2169199", "חוק הסיוע המשפטי (תיקון מס' 26 והוראת שעה), התשפ""ד-2024")</f>
        <v>5576</v>
      </c>
      <c r="E2665" t="s">
        <v>5576</v>
      </c>
      <c r="F2665" t="s">
        <v>14</v>
      </c>
      <c r="G2665" t="s">
        <v>5577</v>
      </c>
      <c r="H2665" t="n">
        <v>3274</v>
      </c>
      <c r="I2665" t="s">
        <v>14</v>
      </c>
      <c r="J2665" t="s">
        <v>91</v>
      </c>
      <c r="K2665" t="s">
        <v>27</v>
      </c>
      <c r="L2665" t="s">
        <v>20</v>
      </c>
      <c r="M2665" t="s">
        <v>5565</v>
      </c>
      <c r="N2665" t="s">
        <v>5578</v>
      </c>
    </row>
    <row r="2666" x14ac:dyDescent="0.25">
      <c r="A2666" t="n">
        <v>25</v>
      </c>
      <c r="B2666" t="s">
        <v>14</v>
      </c>
      <c r="C2666" t="s">
        <v>22</v>
      </c>
      <c r="D2666" s="2" t="s">
        <f>=HYPERLINK("https://main.knesset.gov.il/APPS/legislation/main/bills/2189724", "חוק התקשורת (בזק ושידורים) (תיקון מס' 79), התשפ""ד–2024")</f>
        <v>5579</v>
      </c>
      <c r="E2666" t="s">
        <v>5579</v>
      </c>
      <c r="F2666" t="s">
        <v>5580</v>
      </c>
      <c r="G2666" t="s">
        <v>5581</v>
      </c>
      <c r="H2666" t="n">
        <v>3270</v>
      </c>
      <c r="I2666" t="s">
        <v>14</v>
      </c>
      <c r="J2666" t="s">
        <v>91</v>
      </c>
      <c r="K2666" t="s">
        <v>19</v>
      </c>
      <c r="L2666" t="s">
        <v>20</v>
      </c>
      <c r="M2666" t="s">
        <v>5565</v>
      </c>
      <c r="N2666" t="s">
        <v>5582</v>
      </c>
    </row>
    <row r="2667" x14ac:dyDescent="0.25">
      <c r="A2667" t="n">
        <v>25</v>
      </c>
      <c r="B2667" t="s">
        <v>14</v>
      </c>
      <c r="C2667" t="s">
        <v>15</v>
      </c>
      <c r="D2667" s="2" t="s">
        <f>=HYPERLINK("https://main.knesset.gov.il/APPS/legislation/main/bills/2219315", "חוק הספריות הציבוריות, התשפ""ד-2024 ")</f>
        <v>5583</v>
      </c>
      <c r="E2667" t="s">
        <v>5583</v>
      </c>
      <c r="F2667" t="s">
        <v>14</v>
      </c>
      <c r="G2667" t="s">
        <v>5584</v>
      </c>
      <c r="H2667" t="n">
        <v>3269</v>
      </c>
      <c r="I2667" t="s">
        <v>14</v>
      </c>
      <c r="J2667" t="s">
        <v>91</v>
      </c>
      <c r="K2667" t="s">
        <v>34</v>
      </c>
      <c r="L2667" t="s">
        <v>20</v>
      </c>
      <c r="M2667" t="s">
        <v>5565</v>
      </c>
      <c r="N2667" t="s">
        <v>5585</v>
      </c>
    </row>
    <row r="2668" x14ac:dyDescent="0.25">
      <c r="A2668" t="n">
        <v>25</v>
      </c>
      <c r="B2668" t="s">
        <v>14</v>
      </c>
      <c r="C2668" t="s">
        <v>15</v>
      </c>
      <c r="D2668" s="2" t="s">
        <f>=HYPERLINK("https://main.knesset.gov.il/APPS/legislation/main/bills/2220811", "חוק הרשות השנייה לטלוויזיה ורדיו (תיקון מס' 49), התשפ""ד-2024")</f>
        <v>5586</v>
      </c>
      <c r="E2668" t="s">
        <v>5586</v>
      </c>
      <c r="F2668" t="s">
        <v>14</v>
      </c>
      <c r="G2668" t="s">
        <v>5587</v>
      </c>
      <c r="H2668" t="n">
        <v>3268</v>
      </c>
      <c r="I2668" t="s">
        <v>14</v>
      </c>
      <c r="J2668" t="s">
        <v>91</v>
      </c>
      <c r="K2668" t="s">
        <v>19</v>
      </c>
      <c r="L2668" t="s">
        <v>20</v>
      </c>
      <c r="M2668" t="s">
        <v>5565</v>
      </c>
      <c r="N2668" t="s">
        <v>5588</v>
      </c>
    </row>
    <row r="2669" x14ac:dyDescent="0.25">
      <c r="A2669" t="n">
        <v>25</v>
      </c>
      <c r="B2669" t="s">
        <v>14</v>
      </c>
      <c r="C2669" t="s">
        <v>22</v>
      </c>
      <c r="D2669" s="2" t="s">
        <f>=HYPERLINK("https://main.knesset.gov.il/APPS/legislation/main/bills/2220911", "הצעת חוק שירות ביטחון (תיקון - תגמול לחיילים סדירים בסוף שירותם בתנאי קבע) (הוראת שעה), התשפ""ד-2024")</f>
        <v>5589</v>
      </c>
      <c r="E2669" t="s">
        <v>5589</v>
      </c>
      <c r="F2669" t="s">
        <v>5590</v>
      </c>
      <c r="G2669" t="s">
        <v>14</v>
      </c>
      <c r="H2669">
             </c>
      <c r="I2669" t="s">
        <v>14</v>
      </c>
      <c r="J2669" t="s">
        <v>141</v>
      </c>
      <c r="K2669" t="s">
        <v>14</v>
      </c>
      <c r="L2669" t="s">
        <v>20</v>
      </c>
      <c r="M2669" t="s">
        <v>5565</v>
      </c>
      <c r="N2669" t="s">
        <v>14</v>
      </c>
    </row>
    <row r="2670" x14ac:dyDescent="0.25">
      <c r="A2670" t="n">
        <v>25</v>
      </c>
      <c r="B2670" t="s">
        <v>14</v>
      </c>
      <c r="C2670" t="s">
        <v>22</v>
      </c>
      <c r="D2670" s="2" t="s">
        <f>=HYPERLINK("https://main.knesset.gov.il/APPS/legislation/main/bills/2220813", "הצעת חוק לתיקון פקודת המסים (גבייה) (חובת איתור חייבים), התשפ""ד-2024")</f>
        <v>5591</v>
      </c>
      <c r="E2670" t="s">
        <v>5591</v>
      </c>
      <c r="F2670" t="s">
        <v>5592</v>
      </c>
      <c r="G2670" t="s">
        <v>14</v>
      </c>
      <c r="H2670">
             </c>
      <c r="I2670" t="s">
        <v>14</v>
      </c>
      <c r="J2670" t="s">
        <v>141</v>
      </c>
      <c r="K2670" t="s">
        <v>14</v>
      </c>
      <c r="L2670" t="s">
        <v>20</v>
      </c>
      <c r="M2670" t="s">
        <v>5565</v>
      </c>
      <c r="N2670" t="s">
        <v>14</v>
      </c>
    </row>
    <row r="2671" x14ac:dyDescent="0.25">
      <c r="A2671" t="n">
        <v>25</v>
      </c>
      <c r="B2671" t="s">
        <v>14</v>
      </c>
      <c r="C2671" t="s">
        <v>22</v>
      </c>
      <c r="D2671" s="2" t="s">
        <f>=HYPERLINK("https://main.knesset.gov.il/APPS/legislation/main/bills/2220957", "הצעת חוק להטמעת מורשת יהדות ספרד והמזרח במערכת החינוך וההשכלה הגבוהה, התשפ""ד-2024")</f>
        <v>5593</v>
      </c>
      <c r="E2671" t="s">
        <v>5593</v>
      </c>
      <c r="F2671" t="s">
        <v>5594</v>
      </c>
      <c r="G2671" t="s">
        <v>14</v>
      </c>
      <c r="H2671">
             </c>
      <c r="I2671" t="s">
        <v>14</v>
      </c>
      <c r="J2671" t="s">
        <v>141</v>
      </c>
      <c r="K2671" t="s">
        <v>14</v>
      </c>
      <c r="L2671" t="s">
        <v>20</v>
      </c>
      <c r="M2671" t="s">
        <v>5565</v>
      </c>
      <c r="N2671" t="s">
        <v>14</v>
      </c>
    </row>
    <row r="2672" x14ac:dyDescent="0.25">
      <c r="A2672" t="n">
        <v>25</v>
      </c>
      <c r="B2672" t="s">
        <v>14</v>
      </c>
      <c r="C2672" t="s">
        <v>22</v>
      </c>
      <c r="D2672" s="2" t="s">
        <f>=HYPERLINK("https://main.knesset.gov.il/APPS/legislation/main/bills/2220954", "הצעת חוק זכויות הסטודנט (תיקון - הרחקת סטודנטים תומכי טרור ממוסד לימוד ופירוק תאים תומכי טרור), התשפ""ד-2024")</f>
        <v>5595</v>
      </c>
      <c r="E2672" t="s">
        <v>5595</v>
      </c>
      <c r="F2672" t="s">
        <v>5596</v>
      </c>
      <c r="G2672" t="s">
        <v>14</v>
      </c>
      <c r="H2672">
             </c>
      <c r="I2672" t="s">
        <v>14</v>
      </c>
      <c r="J2672" t="s">
        <v>141</v>
      </c>
      <c r="K2672" t="s">
        <v>14</v>
      </c>
      <c r="L2672" t="s">
        <v>20</v>
      </c>
      <c r="M2672" t="s">
        <v>5565</v>
      </c>
      <c r="N2672" t="s">
        <v>14</v>
      </c>
    </row>
    <row r="2673" x14ac:dyDescent="0.25">
      <c r="A2673" t="n">
        <v>25</v>
      </c>
      <c r="B2673" t="s">
        <v>14</v>
      </c>
      <c r="C2673" t="s">
        <v>22</v>
      </c>
      <c r="D2673" s="2" t="s">
        <f>=HYPERLINK("https://main.knesset.gov.il/APPS/legislation/main/bills/2221115", "הצעת חוק מגבלות על חזרתו של עבריין מין לסביבת נפגע העבירה (תיקון - הגדרת גילו של העבריין), התשפ""ד-2024")</f>
        <v>5597</v>
      </c>
      <c r="E2673" t="s">
        <v>5597</v>
      </c>
      <c r="F2673" t="s">
        <v>5598</v>
      </c>
      <c r="G2673" t="s">
        <v>14</v>
      </c>
      <c r="H2673">
             </c>
      <c r="I2673" t="s">
        <v>14</v>
      </c>
      <c r="J2673" t="s">
        <v>141</v>
      </c>
      <c r="K2673" t="s">
        <v>14</v>
      </c>
      <c r="L2673" t="s">
        <v>20</v>
      </c>
      <c r="M2673" t="s">
        <v>5565</v>
      </c>
      <c r="N2673" t="s">
        <v>14</v>
      </c>
    </row>
    <row r="2674" x14ac:dyDescent="0.25">
      <c r="A2674" t="n">
        <v>25</v>
      </c>
      <c r="B2674" t="s">
        <v>14</v>
      </c>
      <c r="C2674" t="s">
        <v>22</v>
      </c>
      <c r="D2674" s="2" t="s">
        <f>=HYPERLINK("https://main.knesset.gov.il/APPS/legislation/main/bills/2220951", "הצעת חוק זכויות הסטודנט (תיקון - העדפה מתקנת ללוחמים), התשפ""ד-2024")</f>
        <v>5274</v>
      </c>
      <c r="E2674" t="s">
        <v>5274</v>
      </c>
      <c r="F2674" t="s">
        <v>5599</v>
      </c>
      <c r="G2674" t="s">
        <v>14</v>
      </c>
      <c r="H2674">
             </c>
      <c r="I2674" t="s">
        <v>14</v>
      </c>
      <c r="J2674" t="s">
        <v>141</v>
      </c>
      <c r="K2674" t="s">
        <v>14</v>
      </c>
      <c r="L2674" t="s">
        <v>20</v>
      </c>
      <c r="M2674" t="s">
        <v>5565</v>
      </c>
      <c r="N2674" t="s">
        <v>14</v>
      </c>
    </row>
    <row r="2675" x14ac:dyDescent="0.25">
      <c r="A2675" t="n">
        <v>25</v>
      </c>
      <c r="B2675" t="s">
        <v>14</v>
      </c>
      <c r="C2675" t="s">
        <v>22</v>
      </c>
      <c r="D2675" s="2" t="s">
        <f>=HYPERLINK("https://main.knesset.gov.il/APPS/legislation/main/bills/2220609", "הצעת חוק מניעת ייצוג משפטי של מדינת ישראל ממחבלים זרים (תיקוני חקיקה), התשפ""ד-2024")</f>
        <v>5600</v>
      </c>
      <c r="E2675" t="s">
        <v>5600</v>
      </c>
      <c r="F2675" t="s">
        <v>5601</v>
      </c>
      <c r="G2675" t="s">
        <v>14</v>
      </c>
      <c r="H2675">
             </c>
      <c r="I2675" t="s">
        <v>14</v>
      </c>
      <c r="J2675" t="s">
        <v>141</v>
      </c>
      <c r="K2675" t="s">
        <v>14</v>
      </c>
      <c r="L2675" t="s">
        <v>20</v>
      </c>
      <c r="M2675" t="s">
        <v>5565</v>
      </c>
      <c r="N2675" t="s">
        <v>14</v>
      </c>
    </row>
    <row r="2676" x14ac:dyDescent="0.25">
      <c r="A2676" t="n">
        <v>25</v>
      </c>
      <c r="B2676" t="s">
        <v>14</v>
      </c>
      <c r="C2676" t="s">
        <v>22</v>
      </c>
      <c r="D2676" s="2" t="s">
        <f>=HYPERLINK("https://main.knesset.gov.il/APPS/legislation/main/bills/2209420", "הצעת חוק דרישת פירוט מקורות רכוש בלתי מוסבר מאדם הפעיל בארגון פשיעה, התשפ״ד-2024")</f>
        <v>5602</v>
      </c>
      <c r="E2676" t="s">
        <v>5602</v>
      </c>
      <c r="F2676" t="s">
        <v>5603</v>
      </c>
      <c r="G2676" t="s">
        <v>14</v>
      </c>
      <c r="H2676">
             </c>
      <c r="I2676" t="s">
        <v>14</v>
      </c>
      <c r="J2676" t="s">
        <v>141</v>
      </c>
      <c r="K2676" t="s">
        <v>14</v>
      </c>
      <c r="L2676" t="s">
        <v>20</v>
      </c>
      <c r="M2676" t="s">
        <v>5565</v>
      </c>
      <c r="N2676" t="s">
        <v>14</v>
      </c>
    </row>
    <row r="2677" x14ac:dyDescent="0.25">
      <c r="A2677" t="n">
        <v>25</v>
      </c>
      <c r="B2677" t="s">
        <v>14</v>
      </c>
      <c r="C2677" t="s">
        <v>22</v>
      </c>
      <c r="D2677" s="2" t="s">
        <f>=HYPERLINK("https://main.knesset.gov.il/APPS/legislation/main/bills/2221013", "הצעת חוק הנוער (טיפול והשגחה) (תיקון - טיפול בבריחה ממשמורת), התשפ""ד-2024")</f>
        <v>5604</v>
      </c>
      <c r="E2677" t="s">
        <v>5604</v>
      </c>
      <c r="F2677" t="s">
        <v>5605</v>
      </c>
      <c r="G2677" t="s">
        <v>14</v>
      </c>
      <c r="H2677">
             </c>
      <c r="I2677" t="s">
        <v>14</v>
      </c>
      <c r="J2677" t="s">
        <v>141</v>
      </c>
      <c r="K2677" t="s">
        <v>14</v>
      </c>
      <c r="L2677" t="s">
        <v>20</v>
      </c>
      <c r="M2677" t="s">
        <v>5565</v>
      </c>
      <c r="N2677" t="s">
        <v>14</v>
      </c>
    </row>
    <row r="2678" x14ac:dyDescent="0.25">
      <c r="A2678" t="n">
        <v>25</v>
      </c>
      <c r="B2678" t="s">
        <v>14</v>
      </c>
      <c r="C2678" t="s">
        <v>22</v>
      </c>
      <c r="D2678" s="2" t="s">
        <f>=HYPERLINK("https://main.knesset.gov.il/APPS/legislation/main/bills/2221024", "הצעת חוק הרבנות הראשית לישראל (תיקון - שינוי הרכב האסיפה הבוחרת והגדלת הייצוג הנשי בה), התשפ""ד-2024")</f>
        <v>5606</v>
      </c>
      <c r="E2678" t="s">
        <v>5606</v>
      </c>
      <c r="F2678" t="s">
        <v>5607</v>
      </c>
      <c r="G2678" t="s">
        <v>14</v>
      </c>
      <c r="H2678">
             </c>
      <c r="I2678" t="s">
        <v>14</v>
      </c>
      <c r="J2678" t="s">
        <v>141</v>
      </c>
      <c r="K2678" t="s">
        <v>14</v>
      </c>
      <c r="L2678" t="s">
        <v>20</v>
      </c>
      <c r="M2678" t="s">
        <v>5565</v>
      </c>
      <c r="N2678" t="s">
        <v>14</v>
      </c>
    </row>
    <row r="2679" x14ac:dyDescent="0.25">
      <c r="A2679" t="n">
        <v>25</v>
      </c>
      <c r="B2679" t="s">
        <v>14</v>
      </c>
      <c r="C2679" t="s">
        <v>22</v>
      </c>
      <c r="D2679" s="2" t="s">
        <f>=HYPERLINK("https://main.knesset.gov.il/APPS/legislation/main/bills/2221011", "הצעת חוק הרבנות הראשית לישראל (תיקון - הגדלת הייצוג הנשי באסיפה הבוחרת), התשפ""ד-2024")</f>
        <v>5608</v>
      </c>
      <c r="E2679" t="s">
        <v>5608</v>
      </c>
      <c r="F2679" t="s">
        <v>5609</v>
      </c>
      <c r="G2679" t="s">
        <v>14</v>
      </c>
      <c r="H2679">
             </c>
      <c r="I2679" t="s">
        <v>14</v>
      </c>
      <c r="J2679" t="s">
        <v>141</v>
      </c>
      <c r="K2679" t="s">
        <v>14</v>
      </c>
      <c r="L2679" t="s">
        <v>20</v>
      </c>
      <c r="M2679" t="s">
        <v>5565</v>
      </c>
      <c r="N2679" t="s">
        <v>14</v>
      </c>
    </row>
    <row r="2680" x14ac:dyDescent="0.25">
      <c r="A2680" t="n">
        <v>25</v>
      </c>
      <c r="B2680" t="s">
        <v>14</v>
      </c>
      <c r="C2680" t="s">
        <v>22</v>
      </c>
      <c r="D2680" s="2" t="s">
        <f>=HYPERLINK("https://main.knesset.gov.il/APPS/legislation/main/bills/2221252", "הצעת חוק שירות ביטחון (תיקון - הסדרי פטור משירות), התשפ""ד-2024")</f>
        <v>5610</v>
      </c>
      <c r="E2680" t="s">
        <v>5610</v>
      </c>
      <c r="F2680" t="s">
        <v>5611</v>
      </c>
      <c r="G2680" t="s">
        <v>14</v>
      </c>
      <c r="H2680">
             </c>
      <c r="I2680" t="s">
        <v>14</v>
      </c>
      <c r="J2680" t="s">
        <v>141</v>
      </c>
      <c r="K2680" t="s">
        <v>14</v>
      </c>
      <c r="L2680" t="s">
        <v>20</v>
      </c>
      <c r="M2680" t="s">
        <v>5565</v>
      </c>
      <c r="N2680" t="s">
        <v>14</v>
      </c>
    </row>
    <row r="2681" x14ac:dyDescent="0.25">
      <c r="A2681" t="n">
        <v>25</v>
      </c>
      <c r="B2681" t="s">
        <v>14</v>
      </c>
      <c r="C2681" t="s">
        <v>22</v>
      </c>
      <c r="D2681" s="2" t="s">
        <f>=HYPERLINK("https://main.knesset.gov.il/APPS/legislation/main/bills/2218645", "הצעת חוק העונשין (תיקון - עבירות אלימות במתחם הר הבית), התשפ""ד-2024")</f>
        <v>5612</v>
      </c>
      <c r="E2681" t="s">
        <v>5612</v>
      </c>
      <c r="F2681" t="s">
        <v>5613</v>
      </c>
      <c r="G2681" t="s">
        <v>14</v>
      </c>
      <c r="H2681">
             </c>
      <c r="I2681" t="s">
        <v>14</v>
      </c>
      <c r="J2681" t="s">
        <v>141</v>
      </c>
      <c r="K2681" t="s">
        <v>14</v>
      </c>
      <c r="L2681" t="s">
        <v>20</v>
      </c>
      <c r="M2681" t="s">
        <v>5565</v>
      </c>
      <c r="N2681" t="s">
        <v>14</v>
      </c>
    </row>
    <row r="2682" x14ac:dyDescent="0.25">
      <c r="A2682" t="n">
        <v>25</v>
      </c>
      <c r="B2682" t="s">
        <v>14</v>
      </c>
      <c r="C2682" t="s">
        <v>22</v>
      </c>
      <c r="D2682" s="2" t="s">
        <f>=HYPERLINK("https://main.knesset.gov.il/APPS/legislation/main/bills/2220841", "הצעת חוק המרכז לגביית קנסות, אגרות והוצאות (תיקון - חובת איתור חייבים), התשפ""ד-2024")</f>
        <v>5614</v>
      </c>
      <c r="E2682" t="s">
        <v>5614</v>
      </c>
      <c r="F2682" t="s">
        <v>5615</v>
      </c>
      <c r="G2682" t="s">
        <v>14</v>
      </c>
      <c r="H2682">
             </c>
      <c r="I2682" t="s">
        <v>14</v>
      </c>
      <c r="J2682" t="s">
        <v>141</v>
      </c>
      <c r="K2682" t="s">
        <v>14</v>
      </c>
      <c r="L2682" t="s">
        <v>20</v>
      </c>
      <c r="M2682" t="s">
        <v>5565</v>
      </c>
      <c r="N2682" t="s">
        <v>14</v>
      </c>
    </row>
    <row r="2683" x14ac:dyDescent="0.25">
      <c r="A2683" t="n">
        <v>25</v>
      </c>
      <c r="B2683" t="s">
        <v>14</v>
      </c>
      <c r="C2683" t="s">
        <v>22</v>
      </c>
      <c r="D2683" s="2" t="s">
        <f>=HYPERLINK("https://main.knesset.gov.il/APPS/legislation/main/bills/2220468", "הצעת חוק לשכת עורכי הדין (תיקון - מתן הקלות במבחני לשכה למשרתי מילואים) (הוראת שעה), התשפ""ד-2024 ")</f>
        <v>5616</v>
      </c>
      <c r="E2683" t="s">
        <v>5616</v>
      </c>
      <c r="F2683" t="s">
        <v>5617</v>
      </c>
      <c r="G2683" t="s">
        <v>14</v>
      </c>
      <c r="H2683">
             </c>
      <c r="I2683" t="s">
        <v>14</v>
      </c>
      <c r="J2683" t="s">
        <v>141</v>
      </c>
      <c r="K2683" t="s">
        <v>14</v>
      </c>
      <c r="L2683" t="s">
        <v>20</v>
      </c>
      <c r="M2683" t="s">
        <v>5565</v>
      </c>
      <c r="N2683" t="s">
        <v>14</v>
      </c>
    </row>
    <row r="2684" x14ac:dyDescent="0.25">
      <c r="A2684" t="n">
        <v>25</v>
      </c>
      <c r="B2684" t="s">
        <v>14</v>
      </c>
      <c r="C2684" t="s">
        <v>22</v>
      </c>
      <c r="D2684" s="2" t="s">
        <f>=HYPERLINK("https://main.knesset.gov.il/APPS/legislation/main/bills/2220431", "הצעת חוק החברות הממשלתיות (תיקון - הוועדה לבדיקת מינויים ושינוי מבנה הרשות), התשפ""ד-2024")</f>
        <v>5618</v>
      </c>
      <c r="E2684" t="s">
        <v>5618</v>
      </c>
      <c r="F2684" t="s">
        <v>5619</v>
      </c>
      <c r="G2684" t="s">
        <v>14</v>
      </c>
      <c r="H2684">
             </c>
      <c r="I2684" t="s">
        <v>14</v>
      </c>
      <c r="J2684" t="s">
        <v>141</v>
      </c>
      <c r="K2684" t="s">
        <v>14</v>
      </c>
      <c r="L2684" t="s">
        <v>20</v>
      </c>
      <c r="M2684" t="s">
        <v>5565</v>
      </c>
      <c r="N2684" t="s">
        <v>14</v>
      </c>
    </row>
    <row r="2685" x14ac:dyDescent="0.25">
      <c r="A2685" t="n">
        <v>25</v>
      </c>
      <c r="B2685" t="s">
        <v>14</v>
      </c>
      <c r="C2685" t="s">
        <v>22</v>
      </c>
      <c r="D2685" s="2" t="s">
        <f>=HYPERLINK("https://main.knesset.gov.il/APPS/legislation/main/bills/2220895", "הצעת חוק הכשרות המשפטית והאפוטרופסות (תיקון - צמצום סמכותו של בית המשפט להטיל את ההכרעה בעניינו של קטין על עובד סוציאלי וגורמים אחרים), התשפ""ד-2024")</f>
        <v>5620</v>
      </c>
      <c r="E2685" t="s">
        <v>5620</v>
      </c>
      <c r="F2685" t="s">
        <v>5621</v>
      </c>
      <c r="G2685" t="s">
        <v>14</v>
      </c>
      <c r="H2685">
             </c>
      <c r="I2685" t="s">
        <v>14</v>
      </c>
      <c r="J2685" t="s">
        <v>141</v>
      </c>
      <c r="K2685" t="s">
        <v>14</v>
      </c>
      <c r="L2685" t="s">
        <v>20</v>
      </c>
      <c r="M2685" t="s">
        <v>5565</v>
      </c>
      <c r="N2685" t="s">
        <v>14</v>
      </c>
    </row>
    <row r="2686" x14ac:dyDescent="0.25">
      <c r="A2686" t="n">
        <v>25</v>
      </c>
      <c r="B2686" t="s">
        <v>14</v>
      </c>
      <c r="C2686" t="s">
        <v>22</v>
      </c>
      <c r="D2686" s="2" t="s">
        <f>=HYPERLINK("https://main.knesset.gov.il/APPS/legislation/main/bills/2216828", "הצעת חוק קרן פיצויים לנזקי הפשיעה החקלאית, התשפ""ד-2024")</f>
        <v>5622</v>
      </c>
      <c r="E2686" t="s">
        <v>5622</v>
      </c>
      <c r="F2686" t="s">
        <v>5623</v>
      </c>
      <c r="G2686" t="s">
        <v>14</v>
      </c>
      <c r="H2686">
             </c>
      <c r="I2686" t="s">
        <v>14</v>
      </c>
      <c r="J2686" t="s">
        <v>141</v>
      </c>
      <c r="K2686" t="s">
        <v>14</v>
      </c>
      <c r="L2686" t="s">
        <v>20</v>
      </c>
      <c r="M2686" t="s">
        <v>5565</v>
      </c>
      <c r="N2686" t="s">
        <v>14</v>
      </c>
    </row>
    <row r="2687" x14ac:dyDescent="0.25">
      <c r="A2687" t="n">
        <v>25</v>
      </c>
      <c r="B2687" t="s">
        <v>14</v>
      </c>
      <c r="C2687" t="s">
        <v>22</v>
      </c>
      <c r="D2687" s="2" t="s">
        <f>=HYPERLINK("https://main.knesset.gov.il/APPS/legislation/main/bills/2218383", "הצעת חוק המרכז למורשת יהדות קווקז, תשפ""ד-2024")</f>
        <v>5624</v>
      </c>
      <c r="E2687" t="s">
        <v>5624</v>
      </c>
      <c r="F2687" t="s">
        <v>5625</v>
      </c>
      <c r="G2687" t="s">
        <v>14</v>
      </c>
      <c r="H2687">
             </c>
      <c r="I2687" t="s">
        <v>14</v>
      </c>
      <c r="J2687" t="s">
        <v>343</v>
      </c>
      <c r="K2687" t="s">
        <v>14</v>
      </c>
      <c r="L2687" t="s">
        <v>20</v>
      </c>
      <c r="M2687" t="s">
        <v>5565</v>
      </c>
      <c r="N2687" t="s">
        <v>14</v>
      </c>
    </row>
    <row r="2688" x14ac:dyDescent="0.25">
      <c r="A2688" t="n">
        <v>25</v>
      </c>
      <c r="B2688" t="s">
        <v>14</v>
      </c>
      <c r="C2688" t="s">
        <v>22</v>
      </c>
      <c r="D2688" s="2" t="s">
        <f>=HYPERLINK("https://main.knesset.gov.il/APPS/legislation/main/bills/2216609", "הצעת חוק הרשויות המקומיות (אזורי פיתוח אקלימיים) (הוראת שעה), התשפ""ד-2024 ")</f>
        <v>5626</v>
      </c>
      <c r="E2688" t="s">
        <v>5626</v>
      </c>
      <c r="F2688" t="s">
        <v>5627</v>
      </c>
      <c r="G2688" t="s">
        <v>14</v>
      </c>
      <c r="H2688">
             </c>
      <c r="I2688" t="s">
        <v>14</v>
      </c>
      <c r="J2688" t="s">
        <v>141</v>
      </c>
      <c r="K2688" t="s">
        <v>14</v>
      </c>
      <c r="L2688" t="s">
        <v>20</v>
      </c>
      <c r="M2688" t="s">
        <v>5565</v>
      </c>
      <c r="N2688" t="s">
        <v>14</v>
      </c>
    </row>
    <row r="2689" x14ac:dyDescent="0.25">
      <c r="A2689" t="n">
        <v>25</v>
      </c>
      <c r="B2689" t="s">
        <v>14</v>
      </c>
      <c r="C2689" t="s">
        <v>22</v>
      </c>
      <c r="D2689" s="2" t="s">
        <f>=HYPERLINK("https://main.knesset.gov.il/APPS/legislation/main/bills/2220968", "הצעת חוק זכויות הסטודנט (תיקון - הקלות בתנאי קבלה למשרתי מילואים), התשפ""ד-2024")</f>
        <v>5628</v>
      </c>
      <c r="E2689" t="s">
        <v>5628</v>
      </c>
      <c r="F2689" t="s">
        <v>5629</v>
      </c>
      <c r="G2689" t="s">
        <v>14</v>
      </c>
      <c r="H2689">
             </c>
      <c r="I2689" t="s">
        <v>14</v>
      </c>
      <c r="J2689" t="s">
        <v>141</v>
      </c>
      <c r="K2689" t="s">
        <v>14</v>
      </c>
      <c r="L2689" t="s">
        <v>20</v>
      </c>
      <c r="M2689" t="s">
        <v>5565</v>
      </c>
      <c r="N2689" t="s">
        <v>14</v>
      </c>
    </row>
    <row r="2690" x14ac:dyDescent="0.25">
      <c r="A2690" t="n">
        <v>25</v>
      </c>
      <c r="B2690" t="s">
        <v>14</v>
      </c>
      <c r="C2690" t="s">
        <v>22</v>
      </c>
      <c r="D2690" s="2" t="s">
        <f>=HYPERLINK("https://main.knesset.gov.il/APPS/legislation/main/bills/2220964", "הצעת חוק להפסקת יחסי מדינת ישראל עם סוכנות הסעד והתעסוקה של האו""ם לפליטי פלסטין במזרח הקרוב (אונר""א) והכרזתה כארגון טרור, התשפ""ד-2024")</f>
        <v>5630</v>
      </c>
      <c r="E2690" t="s">
        <v>5630</v>
      </c>
      <c r="F2690" t="s">
        <v>5631</v>
      </c>
      <c r="G2690" t="s">
        <v>14</v>
      </c>
      <c r="H2690">
             </c>
      <c r="I2690" t="s">
        <v>14</v>
      </c>
      <c r="J2690" t="s">
        <v>141</v>
      </c>
      <c r="K2690" t="s">
        <v>14</v>
      </c>
      <c r="L2690" t="s">
        <v>20</v>
      </c>
      <c r="M2690" t="s">
        <v>5565</v>
      </c>
      <c r="N2690" t="s">
        <v>14</v>
      </c>
    </row>
    <row r="2691" x14ac:dyDescent="0.25">
      <c r="A2691" t="n">
        <v>25</v>
      </c>
      <c r="B2691" t="s">
        <v>14</v>
      </c>
      <c r="C2691" t="s">
        <v>22</v>
      </c>
      <c r="D2691" s="2" t="s">
        <f>=HYPERLINK("https://main.knesset.gov.il/APPS/legislation/main/bills/2219162", "הצעת חוק חובת התקנת מתקנים פוטו-וולטאיים ומתקני אגירת אנרגיה בבתי חולים ציבוריים כלליים, התשפ״ד-2024")</f>
        <v>5632</v>
      </c>
      <c r="E2691" t="s">
        <v>5632</v>
      </c>
      <c r="F2691" t="s">
        <v>5633</v>
      </c>
      <c r="G2691" t="s">
        <v>14</v>
      </c>
      <c r="H2691">
             </c>
      <c r="I2691" t="s">
        <v>14</v>
      </c>
      <c r="J2691" t="s">
        <v>141</v>
      </c>
      <c r="K2691" t="s">
        <v>14</v>
      </c>
      <c r="L2691" t="s">
        <v>20</v>
      </c>
      <c r="M2691" t="s">
        <v>5565</v>
      </c>
      <c r="N2691" t="s">
        <v>14</v>
      </c>
    </row>
    <row r="2692" x14ac:dyDescent="0.25">
      <c r="A2692" t="n">
        <v>25</v>
      </c>
      <c r="B2692" t="s">
        <v>14</v>
      </c>
      <c r="C2692" t="s">
        <v>22</v>
      </c>
      <c r="D2692" s="2" t="s">
        <f>=HYPERLINK("https://main.knesset.gov.il/APPS/legislation/main/bills/2220839", "הצעת חוק לתיקון פקודת העיריות (חובת איתור חייבים), התשפ""ד-2024")</f>
        <v>5634</v>
      </c>
      <c r="E2692" t="s">
        <v>5634</v>
      </c>
      <c r="F2692" t="s">
        <v>5635</v>
      </c>
      <c r="G2692" t="s">
        <v>14</v>
      </c>
      <c r="H2692">
             </c>
      <c r="I2692" t="s">
        <v>14</v>
      </c>
      <c r="J2692" t="s">
        <v>141</v>
      </c>
      <c r="K2692" t="s">
        <v>14</v>
      </c>
      <c r="L2692" t="s">
        <v>20</v>
      </c>
      <c r="M2692" t="s">
        <v>5565</v>
      </c>
      <c r="N2692" t="s">
        <v>14</v>
      </c>
    </row>
    <row r="2693" x14ac:dyDescent="0.25">
      <c r="A2693" t="n">
        <v>25</v>
      </c>
      <c r="B2693" t="s">
        <v>14</v>
      </c>
      <c r="C2693" t="s">
        <v>22</v>
      </c>
      <c r="D2693" s="2" t="s">
        <f>=HYPERLINK("https://main.knesset.gov.il/APPS/legislation/main/bills/2216590", "הצעת חוק עידוד תרומות עודפי תוצרת חקלאית, התשפ""ד-2024")</f>
        <v>5636</v>
      </c>
      <c r="E2693" t="s">
        <v>5636</v>
      </c>
      <c r="F2693" t="s">
        <v>5637</v>
      </c>
      <c r="G2693" t="s">
        <v>14</v>
      </c>
      <c r="H2693">
             </c>
      <c r="I2693" t="s">
        <v>14</v>
      </c>
      <c r="J2693" t="s">
        <v>141</v>
      </c>
      <c r="K2693" t="s">
        <v>14</v>
      </c>
      <c r="L2693" t="s">
        <v>20</v>
      </c>
      <c r="M2693" t="s">
        <v>5565</v>
      </c>
      <c r="N2693" t="s">
        <v>14</v>
      </c>
    </row>
    <row r="2694" x14ac:dyDescent="0.25">
      <c r="A2694" t="n">
        <v>25</v>
      </c>
      <c r="B2694" t="s">
        <v>14</v>
      </c>
      <c r="C2694" t="s">
        <v>22</v>
      </c>
      <c r="D2694" s="2" t="s">
        <f>=HYPERLINK("https://main.knesset.gov.il/APPS/legislation/main/bills/2219164", "הצעת חוק העברת עודפי מזון שנותר ברשות בית חולים ציבורי כללי לארגון לחלוקת מזון, התשפ""ד-2024")</f>
        <v>5638</v>
      </c>
      <c r="E2694" t="s">
        <v>5638</v>
      </c>
      <c r="F2694" t="s">
        <v>5639</v>
      </c>
      <c r="G2694" t="s">
        <v>14</v>
      </c>
      <c r="H2694">
             </c>
      <c r="I2694" t="s">
        <v>14</v>
      </c>
      <c r="J2694" t="s">
        <v>141</v>
      </c>
      <c r="K2694" t="s">
        <v>14</v>
      </c>
      <c r="L2694" t="s">
        <v>20</v>
      </c>
      <c r="M2694" t="s">
        <v>5565</v>
      </c>
      <c r="N2694" t="s">
        <v>14</v>
      </c>
    </row>
    <row r="2695" x14ac:dyDescent="0.25">
      <c r="A2695" t="n">
        <v>25</v>
      </c>
      <c r="B2695" t="s">
        <v>14</v>
      </c>
      <c r="C2695" t="s">
        <v>22</v>
      </c>
      <c r="D2695" s="2" t="s">
        <f>=HYPERLINK("https://main.knesset.gov.il/APPS/legislation/main/bills/2217047", "הצעת חוק שכר חיילים לוחמים בשירות סדיר, התשפ""ד-2024")</f>
        <v>5640</v>
      </c>
      <c r="E2695" t="s">
        <v>5640</v>
      </c>
      <c r="F2695" t="s">
        <v>5641</v>
      </c>
      <c r="G2695" t="s">
        <v>14</v>
      </c>
      <c r="H2695">
             </c>
      <c r="I2695" t="s">
        <v>14</v>
      </c>
      <c r="J2695" t="s">
        <v>141</v>
      </c>
      <c r="K2695" t="s">
        <v>14</v>
      </c>
      <c r="L2695" t="s">
        <v>20</v>
      </c>
      <c r="M2695" t="s">
        <v>5565</v>
      </c>
      <c r="N2695" t="s">
        <v>14</v>
      </c>
    </row>
    <row r="2696" x14ac:dyDescent="0.25">
      <c r="A2696" t="n">
        <v>25</v>
      </c>
      <c r="B2696" t="s">
        <v>14</v>
      </c>
      <c r="C2696" t="s">
        <v>22</v>
      </c>
      <c r="D2696" s="2" t="s">
        <f>=HYPERLINK("https://main.knesset.gov.il/APPS/legislation/main/bills/2217737", "הצעת חוק הבנקאות (שירות ללקוח) (תיקון - הלוואה לדיור לחסרי דיור לרכישת זכות מקרקעין בדירה ראשונה), התשפ""ד-2024")</f>
        <v>5642</v>
      </c>
      <c r="E2696" t="s">
        <v>5642</v>
      </c>
      <c r="F2696" t="s">
        <v>5643</v>
      </c>
      <c r="G2696" t="s">
        <v>14</v>
      </c>
      <c r="H2696">
             </c>
      <c r="I2696" t="s">
        <v>14</v>
      </c>
      <c r="J2696" t="s">
        <v>141</v>
      </c>
      <c r="K2696" t="s">
        <v>14</v>
      </c>
      <c r="L2696" t="s">
        <v>20</v>
      </c>
      <c r="M2696" t="s">
        <v>5565</v>
      </c>
      <c r="N2696" t="s">
        <v>14</v>
      </c>
    </row>
    <row r="2697" x14ac:dyDescent="0.25">
      <c r="A2697" t="n">
        <v>25</v>
      </c>
      <c r="B2697" t="s">
        <v>14</v>
      </c>
      <c r="C2697" t="s">
        <v>22</v>
      </c>
      <c r="D2697" s="2" t="s">
        <f>=HYPERLINK("https://main.knesset.gov.il/APPS/legislation/main/bills/2220963", "הצעת חוק לתיקון פקודת החסינויות וזכויות-היתר של האומות המאוחדות (ביטול החסינויות וזכויות-היתר של סוכנות הסעד והתעסוקה של האו""ם לפליטי פלסטין במזרח הקרוב (אונר""א)), התשפ""ד-2024")</f>
        <v>5644</v>
      </c>
      <c r="E2697" t="s">
        <v>5644</v>
      </c>
      <c r="F2697" t="s">
        <v>5645</v>
      </c>
      <c r="G2697" t="s">
        <v>14</v>
      </c>
      <c r="H2697">
             </c>
      <c r="I2697" t="s">
        <v>14</v>
      </c>
      <c r="J2697" t="s">
        <v>141</v>
      </c>
      <c r="K2697" t="s">
        <v>14</v>
      </c>
      <c r="L2697" t="s">
        <v>20</v>
      </c>
      <c r="M2697" t="s">
        <v>5565</v>
      </c>
      <c r="N2697" t="s">
        <v>14</v>
      </c>
    </row>
    <row r="2698" x14ac:dyDescent="0.25">
      <c r="A2698" t="n">
        <v>25</v>
      </c>
      <c r="B2698" t="s">
        <v>14</v>
      </c>
      <c r="C2698" t="s">
        <v>22</v>
      </c>
      <c r="D2698" s="2" t="s">
        <f>=HYPERLINK("https://main.knesset.gov.il/APPS/legislation/main/bills/2220437", "הצעת חוק הבנקאות (שירות ללקוח) (תיקון - מחיקת חוב בנקאי לעסקים זעירים, קטנים, בינוניים ואזרחים חדלי פירעון), התשפ""ד-2024")</f>
        <v>5646</v>
      </c>
      <c r="E2698" t="s">
        <v>5646</v>
      </c>
      <c r="F2698" t="s">
        <v>5647</v>
      </c>
      <c r="G2698" t="s">
        <v>14</v>
      </c>
      <c r="H2698">
             </c>
      <c r="I2698" t="s">
        <v>14</v>
      </c>
      <c r="J2698" t="s">
        <v>343</v>
      </c>
      <c r="K2698" t="s">
        <v>14</v>
      </c>
      <c r="L2698" t="s">
        <v>20</v>
      </c>
      <c r="M2698" t="s">
        <v>5565</v>
      </c>
      <c r="N2698" t="s">
        <v>14</v>
      </c>
    </row>
    <row r="2699" x14ac:dyDescent="0.25">
      <c r="A2699" t="n">
        <v>25</v>
      </c>
      <c r="B2699" t="s">
        <v>14</v>
      </c>
      <c r="C2699" t="s">
        <v>22</v>
      </c>
      <c r="D2699" s="2" t="s">
        <f>=HYPERLINK("https://main.knesset.gov.il/APPS/legislation/main/bills/2221003", "הצעת חוק מרשם האוכלוסין (תיקון - לאום ארמי), התשפ""ד-2024")</f>
        <v>5648</v>
      </c>
      <c r="E2699" t="s">
        <v>5648</v>
      </c>
      <c r="F2699" t="s">
        <v>5649</v>
      </c>
      <c r="G2699" t="s">
        <v>14</v>
      </c>
      <c r="H2699">
             </c>
      <c r="I2699" t="s">
        <v>14</v>
      </c>
      <c r="J2699" t="s">
        <v>141</v>
      </c>
      <c r="K2699" t="s">
        <v>14</v>
      </c>
      <c r="L2699" t="s">
        <v>20</v>
      </c>
      <c r="M2699" t="s">
        <v>5565</v>
      </c>
      <c r="N2699" t="s">
        <v>14</v>
      </c>
    </row>
    <row r="2700" x14ac:dyDescent="0.25">
      <c r="A2700" t="n">
        <v>25</v>
      </c>
      <c r="B2700" t="s">
        <v>14</v>
      </c>
      <c r="C2700" t="s">
        <v>22</v>
      </c>
      <c r="D2700" s="2" t="s">
        <f>=HYPERLINK("https://main.knesset.gov.il/APPS/legislation/main/bills/2219562", "הצעת חוק שירותי תעופה (פיצוי וסיוע בשל ביטול טיסה או שינוי בתנאיה) (תיקון - החלת החוק על מחלקת תיירים פרימיום), התשפ""ד-2024")</f>
        <v>5650</v>
      </c>
      <c r="E2700" t="s">
        <v>5650</v>
      </c>
      <c r="F2700" t="s">
        <v>5651</v>
      </c>
      <c r="G2700" t="s">
        <v>14</v>
      </c>
      <c r="H2700">
             </c>
      <c r="I2700" t="s">
        <v>14</v>
      </c>
      <c r="J2700" t="s">
        <v>343</v>
      </c>
      <c r="K2700" t="s">
        <v>14</v>
      </c>
      <c r="L2700" t="s">
        <v>20</v>
      </c>
      <c r="M2700" t="s">
        <v>5565</v>
      </c>
      <c r="N2700" t="s">
        <v>14</v>
      </c>
    </row>
    <row r="2701" x14ac:dyDescent="0.25">
      <c r="A2701" t="n">
        <v>25</v>
      </c>
      <c r="B2701" t="s">
        <v>14</v>
      </c>
      <c r="C2701" t="s">
        <v>22</v>
      </c>
      <c r="D2701" s="2" t="s">
        <f>=HYPERLINK("https://main.knesset.gov.il/APPS/legislation/main/bills/2220649", "הצעת חוק הבחירות לכנסת (תיקון - כתובת לצורכי בחירות), התשפ״ד-2024")</f>
        <v>5652</v>
      </c>
      <c r="E2701" t="s">
        <v>5652</v>
      </c>
      <c r="F2701" t="s">
        <v>5653</v>
      </c>
      <c r="G2701" t="s">
        <v>14</v>
      </c>
      <c r="H2701">
             </c>
      <c r="I2701" t="s">
        <v>14</v>
      </c>
      <c r="J2701" t="s">
        <v>343</v>
      </c>
      <c r="K2701" t="s">
        <v>14</v>
      </c>
      <c r="L2701" t="s">
        <v>20</v>
      </c>
      <c r="M2701" t="s">
        <v>5565</v>
      </c>
      <c r="N2701" t="s">
        <v>14</v>
      </c>
    </row>
    <row r="2702" x14ac:dyDescent="0.25">
      <c r="A2702" t="n">
        <v>25</v>
      </c>
      <c r="B2702" t="s">
        <v>14</v>
      </c>
      <c r="C2702" t="s">
        <v>22</v>
      </c>
      <c r="D2702" s="2" t="s">
        <f>=HYPERLINK("https://main.knesset.gov.il/APPS/legislation/main/bills/2220975", "הצעת חוק תעריפי התחבורה הציבורית (תיקון - הגבלת תעריפי תחבורה ציבורית), התשפ""ד-2024")</f>
        <v>5654</v>
      </c>
      <c r="E2702" t="s">
        <v>5654</v>
      </c>
      <c r="F2702" t="s">
        <v>5655</v>
      </c>
      <c r="G2702" t="s">
        <v>14</v>
      </c>
      <c r="H2702">
             </c>
      <c r="I2702" t="s">
        <v>14</v>
      </c>
      <c r="J2702" t="s">
        <v>141</v>
      </c>
      <c r="K2702" t="s">
        <v>14</v>
      </c>
      <c r="L2702" t="s">
        <v>20</v>
      </c>
      <c r="M2702" t="s">
        <v>5565</v>
      </c>
      <c r="N2702" t="s">
        <v>14</v>
      </c>
    </row>
    <row r="2703" x14ac:dyDescent="0.25">
      <c r="A2703" t="n">
        <v>25</v>
      </c>
      <c r="B2703" t="s">
        <v>14</v>
      </c>
      <c r="C2703" t="s">
        <v>22</v>
      </c>
      <c r="D2703" s="2" t="s">
        <f>=HYPERLINK("https://main.knesset.gov.il/APPS/legislation/main/bills/2217693", "הצעת חוק המים (תיקון - קביעת תעריפי מים לתעשיית עיבוד תוצרת חקלאית הגדלה בישראל), התשפ""ד-2024")</f>
        <v>5656</v>
      </c>
      <c r="E2703" t="s">
        <v>5656</v>
      </c>
      <c r="F2703" t="s">
        <v>5657</v>
      </c>
      <c r="G2703" t="s">
        <v>14</v>
      </c>
      <c r="H2703">
             </c>
      <c r="I2703" t="s">
        <v>14</v>
      </c>
      <c r="J2703" t="s">
        <v>141</v>
      </c>
      <c r="K2703" t="s">
        <v>14</v>
      </c>
      <c r="L2703" t="s">
        <v>20</v>
      </c>
      <c r="M2703" t="s">
        <v>5565</v>
      </c>
      <c r="N2703" t="s">
        <v>14</v>
      </c>
    </row>
    <row r="2704" x14ac:dyDescent="0.25">
      <c r="A2704" t="n">
        <v>25</v>
      </c>
      <c r="B2704" t="s">
        <v>14</v>
      </c>
      <c r="C2704" t="s">
        <v>22</v>
      </c>
      <c r="D2704" s="2" t="s">
        <f>=HYPERLINK("https://main.knesset.gov.il/APPS/legislation/main/bills/2218703", "הצעת חוק שחרור על-תנאי ממאסר (תיקון - המרת עונש מאסר עולם), התשפ""ד-2024")</f>
        <v>5658</v>
      </c>
      <c r="E2704" t="s">
        <v>5658</v>
      </c>
      <c r="F2704" t="s">
        <v>5659</v>
      </c>
      <c r="G2704" t="s">
        <v>14</v>
      </c>
      <c r="H2704">
             </c>
      <c r="I2704" t="s">
        <v>14</v>
      </c>
      <c r="J2704" t="s">
        <v>141</v>
      </c>
      <c r="K2704" t="s">
        <v>14</v>
      </c>
      <c r="L2704" t="s">
        <v>20</v>
      </c>
      <c r="M2704" t="s">
        <v>5565</v>
      </c>
      <c r="N2704" t="s">
        <v>14</v>
      </c>
    </row>
    <row r="2705" x14ac:dyDescent="0.25">
      <c r="A2705" t="n">
        <v>25</v>
      </c>
      <c r="B2705" t="s">
        <v>14</v>
      </c>
      <c r="C2705" t="s">
        <v>22</v>
      </c>
      <c r="D2705" s="2" t="s">
        <f>=HYPERLINK("https://main.knesset.gov.il/APPS/legislation/main/bills/2220969", "הצעת חוק המים (תיקון - קביעת תעריפי מים לחקלאות), התשפ""ד-2024")</f>
        <v>4925</v>
      </c>
      <c r="E2705" t="s">
        <v>4925</v>
      </c>
      <c r="F2705" t="s">
        <v>5660</v>
      </c>
      <c r="G2705" t="s">
        <v>14</v>
      </c>
      <c r="H2705">
             </c>
      <c r="I2705" t="s">
        <v>14</v>
      </c>
      <c r="J2705" t="s">
        <v>343</v>
      </c>
      <c r="K2705" t="s">
        <v>14</v>
      </c>
      <c r="L2705" t="s">
        <v>20</v>
      </c>
      <c r="M2705" t="s">
        <v>5565</v>
      </c>
      <c r="N2705" t="s">
        <v>14</v>
      </c>
    </row>
    <row r="2706" x14ac:dyDescent="0.25">
      <c r="A2706" t="n">
        <v>25</v>
      </c>
      <c r="B2706" t="s">
        <v>14</v>
      </c>
      <c r="C2706" t="s">
        <v>22</v>
      </c>
      <c r="D2706" s="2" t="s">
        <f>=HYPERLINK("https://main.knesset.gov.il/APPS/legislation/main/bills/2220510", "הצעת חוק למאבק באלימות משטרתית (תיקוני חקיקה), התשפ""ד-2024")</f>
        <v>5661</v>
      </c>
      <c r="E2706" t="s">
        <v>5661</v>
      </c>
      <c r="F2706" t="s">
        <v>5662</v>
      </c>
      <c r="G2706" t="s">
        <v>14</v>
      </c>
      <c r="H2706">
             </c>
      <c r="I2706" t="s">
        <v>14</v>
      </c>
      <c r="J2706" t="s">
        <v>141</v>
      </c>
      <c r="K2706" t="s">
        <v>14</v>
      </c>
      <c r="L2706" t="s">
        <v>20</v>
      </c>
      <c r="M2706" t="s">
        <v>5565</v>
      </c>
      <c r="N2706" t="s">
        <v>14</v>
      </c>
    </row>
    <row r="2707" x14ac:dyDescent="0.25">
      <c r="A2707" t="n">
        <v>25</v>
      </c>
      <c r="B2707" t="s">
        <v>14</v>
      </c>
      <c r="C2707" t="s">
        <v>22</v>
      </c>
      <c r="D2707" s="2" t="s">
        <f>=HYPERLINK("https://main.knesset.gov.il/APPS/legislation/main/bills/2220961", "הצעת חוק לתיקון פקודת הבנקאות (חובת איתור בעלי חשבונות ללא תנועה), התשפ""ד-2024")</f>
        <v>5663</v>
      </c>
      <c r="E2707" t="s">
        <v>5663</v>
      </c>
      <c r="F2707" t="s">
        <v>5664</v>
      </c>
      <c r="G2707" t="s">
        <v>14</v>
      </c>
      <c r="H2707">
             </c>
      <c r="I2707" t="s">
        <v>14</v>
      </c>
      <c r="J2707" t="s">
        <v>141</v>
      </c>
      <c r="K2707" t="s">
        <v>14</v>
      </c>
      <c r="L2707" t="s">
        <v>20</v>
      </c>
      <c r="M2707" t="s">
        <v>5565</v>
      </c>
      <c r="N2707" t="s">
        <v>14</v>
      </c>
    </row>
    <row r="2708" x14ac:dyDescent="0.25">
      <c r="A2708" t="n">
        <v>25</v>
      </c>
      <c r="B2708" t="s">
        <v>14</v>
      </c>
      <c r="C2708" t="s">
        <v>22</v>
      </c>
      <c r="D2708" s="2" t="s">
        <f>=HYPERLINK("https://main.knesset.gov.il/APPS/legislation/main/bills/2221012", "הצעת חוק הבנקאות (שירות ללקוח) (תיקון - הודעה ללקוח על אודות יתרה בחשבון עובר ושב שאינה נושאת ריבית), התשפ""ד-2024")</f>
        <v>5665</v>
      </c>
      <c r="E2708" t="s">
        <v>5665</v>
      </c>
      <c r="F2708" t="s">
        <v>5666</v>
      </c>
      <c r="G2708" t="s">
        <v>14</v>
      </c>
      <c r="H2708">
             </c>
      <c r="I2708" t="s">
        <v>14</v>
      </c>
      <c r="J2708" t="s">
        <v>141</v>
      </c>
      <c r="K2708" t="s">
        <v>14</v>
      </c>
      <c r="L2708" t="s">
        <v>20</v>
      </c>
      <c r="M2708" t="s">
        <v>5565</v>
      </c>
      <c r="N2708" t="s">
        <v>14</v>
      </c>
    </row>
    <row r="2709" x14ac:dyDescent="0.25">
      <c r="A2709" t="n">
        <v>25</v>
      </c>
      <c r="B2709" t="s">
        <v>14</v>
      </c>
      <c r="C2709" t="s">
        <v>22</v>
      </c>
      <c r="D2709" s="2" t="s">
        <f>=HYPERLINK("https://main.knesset.gov.il/APPS/legislation/main/bills/2219734", "הצעת חוק משפחות חיילים שנספו במערכה (תגמולים ושיקום) (תיקון – סיוע בתשלום ביטוח רכב ואגרת רישיון לשכול), התשפ""ד–2024")</f>
        <v>5667</v>
      </c>
      <c r="E2709" t="s">
        <v>5667</v>
      </c>
      <c r="F2709" t="s">
        <v>5668</v>
      </c>
      <c r="G2709" t="s">
        <v>14</v>
      </c>
      <c r="H2709">
             </c>
      <c r="I2709" t="s">
        <v>14</v>
      </c>
      <c r="J2709" t="s">
        <v>141</v>
      </c>
      <c r="K2709" t="s">
        <v>14</v>
      </c>
      <c r="L2709" t="s">
        <v>20</v>
      </c>
      <c r="M2709" t="s">
        <v>5565</v>
      </c>
      <c r="N2709" t="s">
        <v>14</v>
      </c>
    </row>
    <row r="2710" x14ac:dyDescent="0.25">
      <c r="A2710" t="n">
        <v>25</v>
      </c>
      <c r="B2710" t="s">
        <v>14</v>
      </c>
      <c r="C2710" t="s">
        <v>22</v>
      </c>
      <c r="D2710" s="2" t="s">
        <f>=HYPERLINK("https://main.knesset.gov.il/APPS/legislation/main/bills/2220893", "הצעת חוק מגן דוד אדום (תיקון - חיזוק הפיקוח הפרלמנטרי על האגודה), התשפ""ד-2024")</f>
        <v>5669</v>
      </c>
      <c r="E2710" t="s">
        <v>5669</v>
      </c>
      <c r="F2710" t="s">
        <v>5670</v>
      </c>
      <c r="G2710" t="s">
        <v>14</v>
      </c>
      <c r="H2710">
             </c>
      <c r="I2710" t="s">
        <v>14</v>
      </c>
      <c r="J2710" t="s">
        <v>141</v>
      </c>
      <c r="K2710" t="s">
        <v>14</v>
      </c>
      <c r="L2710" t="s">
        <v>20</v>
      </c>
      <c r="M2710" t="s">
        <v>5565</v>
      </c>
      <c r="N2710" t="s">
        <v>14</v>
      </c>
    </row>
    <row r="2711" x14ac:dyDescent="0.25">
      <c r="A2711" t="n">
        <v>25</v>
      </c>
      <c r="B2711" t="s">
        <v>14</v>
      </c>
      <c r="C2711" t="s">
        <v>22</v>
      </c>
      <c r="D2711" s="2" t="s">
        <f>=HYPERLINK("https://main.knesset.gov.il/APPS/legislation/main/bills/2219198", "הצעת חוק-יסוד: הממשלה (תיקון - הכרה בערך הציונות)")</f>
        <v>5671</v>
      </c>
      <c r="E2711" t="s">
        <v>5671</v>
      </c>
      <c r="F2711" t="s">
        <v>5672</v>
      </c>
      <c r="G2711" t="s">
        <v>14</v>
      </c>
      <c r="H2711">
             </c>
      <c r="I2711" t="s">
        <v>14</v>
      </c>
      <c r="J2711" t="s">
        <v>141</v>
      </c>
      <c r="K2711" t="s">
        <v>14</v>
      </c>
      <c r="L2711" t="s">
        <v>20</v>
      </c>
      <c r="M2711" t="s">
        <v>5565</v>
      </c>
      <c r="N2711" t="s">
        <v>14</v>
      </c>
    </row>
    <row r="2712" x14ac:dyDescent="0.25">
      <c r="A2712" t="n">
        <v>25</v>
      </c>
      <c r="B2712" t="s">
        <v>14</v>
      </c>
      <c r="C2712" t="s">
        <v>22</v>
      </c>
      <c r="D2712" s="2" t="s">
        <f>=HYPERLINK("https://main.knesset.gov.il/APPS/legislation/main/bills/2220442", "הצעת חוק העברת הודעת פטירה, התשפ""ד-2024")</f>
        <v>5673</v>
      </c>
      <c r="E2712" t="s">
        <v>5673</v>
      </c>
      <c r="F2712" t="s">
        <v>5674</v>
      </c>
      <c r="G2712" t="s">
        <v>14</v>
      </c>
      <c r="H2712">
             </c>
      <c r="I2712" t="s">
        <v>14</v>
      </c>
      <c r="J2712" t="s">
        <v>141</v>
      </c>
      <c r="K2712" t="s">
        <v>14</v>
      </c>
      <c r="L2712" t="s">
        <v>20</v>
      </c>
      <c r="M2712" t="s">
        <v>5565</v>
      </c>
      <c r="N2712" t="s">
        <v>14</v>
      </c>
    </row>
    <row r="2713" x14ac:dyDescent="0.25">
      <c r="A2713" t="n">
        <v>25</v>
      </c>
      <c r="B2713" t="s">
        <v>14</v>
      </c>
      <c r="C2713" t="s">
        <v>22</v>
      </c>
      <c r="D2713" s="2" t="s">
        <f>=HYPERLINK("https://main.knesset.gov.il/APPS/legislation/main/bills/2213921", "הצעת חוק ביטוח סיעודי ממלכתי (תיקוני חקיקה), התשפ""ד-2024")</f>
        <v>5675</v>
      </c>
      <c r="E2713" t="s">
        <v>5675</v>
      </c>
      <c r="F2713" t="s">
        <v>5676</v>
      </c>
      <c r="G2713" t="s">
        <v>14</v>
      </c>
      <c r="H2713">
             </c>
      <c r="I2713" t="s">
        <v>14</v>
      </c>
      <c r="J2713" t="s">
        <v>141</v>
      </c>
      <c r="K2713" t="s">
        <v>14</v>
      </c>
      <c r="L2713" t="s">
        <v>20</v>
      </c>
      <c r="M2713" t="s">
        <v>5565</v>
      </c>
      <c r="N2713" t="s">
        <v>14</v>
      </c>
    </row>
    <row r="2714" x14ac:dyDescent="0.25">
      <c r="A2714" t="n">
        <v>25</v>
      </c>
      <c r="B2714" t="s">
        <v>14</v>
      </c>
      <c r="C2714" t="s">
        <v>22</v>
      </c>
      <c r="D2714" s="2" t="s">
        <f>=HYPERLINK("https://main.knesset.gov.il/APPS/legislation/main/bills/2219641", "הצעת חוק איסור ניהול חשבון ביישומון החשוף לשליטת מדינה זרה, התשפ""ד-2024")</f>
        <v>5677</v>
      </c>
      <c r="E2714" t="s">
        <v>5677</v>
      </c>
      <c r="F2714" t="s">
        <v>5678</v>
      </c>
      <c r="G2714" t="s">
        <v>14</v>
      </c>
      <c r="H2714">
             </c>
      <c r="I2714" t="s">
        <v>14</v>
      </c>
      <c r="J2714" t="s">
        <v>141</v>
      </c>
      <c r="K2714" t="s">
        <v>14</v>
      </c>
      <c r="L2714" t="s">
        <v>20</v>
      </c>
      <c r="M2714" t="s">
        <v>5565</v>
      </c>
      <c r="N2714" t="s">
        <v>14</v>
      </c>
    </row>
    <row r="2715" x14ac:dyDescent="0.25">
      <c r="A2715" t="n">
        <v>25</v>
      </c>
      <c r="B2715" t="s">
        <v>14</v>
      </c>
      <c r="C2715" t="s">
        <v>22</v>
      </c>
      <c r="D2715" s="2" t="s">
        <f>=HYPERLINK("https://main.knesset.gov.il/APPS/legislation/main/bills/2220366", "הצעת חוק הביטוח הלאומי (תיקון - חישוב תגמול עבור שירות מילואים), התשפ""ד-2024")</f>
        <v>5679</v>
      </c>
      <c r="E2715" t="s">
        <v>5679</v>
      </c>
      <c r="F2715" t="s">
        <v>5680</v>
      </c>
      <c r="G2715" t="s">
        <v>14</v>
      </c>
      <c r="H2715">
             </c>
      <c r="I2715" t="s">
        <v>14</v>
      </c>
      <c r="J2715" t="s">
        <v>141</v>
      </c>
      <c r="K2715" t="s">
        <v>14</v>
      </c>
      <c r="L2715" t="s">
        <v>20</v>
      </c>
      <c r="M2715" t="s">
        <v>5565</v>
      </c>
      <c r="N2715" t="s">
        <v>14</v>
      </c>
    </row>
    <row r="2716" x14ac:dyDescent="0.25">
      <c r="A2716" t="n">
        <v>25</v>
      </c>
      <c r="B2716" t="s">
        <v>14</v>
      </c>
      <c r="C2716" t="s">
        <v>22</v>
      </c>
      <c r="D2716" s="2" t="s">
        <f>=HYPERLINK("https://main.knesset.gov.il/APPS/legislation/main/bills/2219626", "הצעת חוק התכנון והבנייה (תיקון - חלף היטל השבחה), התשפ""ד-2024")</f>
        <v>5681</v>
      </c>
      <c r="E2716" t="s">
        <v>5681</v>
      </c>
      <c r="F2716" t="s">
        <v>5682</v>
      </c>
      <c r="G2716" t="s">
        <v>14</v>
      </c>
      <c r="H2716">
             </c>
      <c r="I2716" t="s">
        <v>14</v>
      </c>
      <c r="J2716" t="s">
        <v>141</v>
      </c>
      <c r="K2716" t="s">
        <v>14</v>
      </c>
      <c r="L2716" t="s">
        <v>20</v>
      </c>
      <c r="M2716" t="s">
        <v>5565</v>
      </c>
      <c r="N2716" t="s">
        <v>14</v>
      </c>
    </row>
    <row r="2717" x14ac:dyDescent="0.25">
      <c r="A2717" t="n">
        <v>25</v>
      </c>
      <c r="B2717" t="s">
        <v>14</v>
      </c>
      <c r="C2717" t="s">
        <v>22</v>
      </c>
      <c r="D2717" s="2" t="s">
        <f>=HYPERLINK("https://main.knesset.gov.il/APPS/legislation/main/bills/2219166", "הצעת חוק דמי נסיעה לעובדי בתי חולים ציבוריים כלליים בתחבורה ציבורית (תיקוני חקיקה), התשפ""ד-2024")</f>
        <v>5683</v>
      </c>
      <c r="E2717" t="s">
        <v>5683</v>
      </c>
      <c r="F2717" t="s">
        <v>5684</v>
      </c>
      <c r="G2717" t="s">
        <v>14</v>
      </c>
      <c r="H2717">
             </c>
      <c r="I2717" t="s">
        <v>14</v>
      </c>
      <c r="J2717" t="s">
        <v>141</v>
      </c>
      <c r="K2717" t="s">
        <v>14</v>
      </c>
      <c r="L2717" t="s">
        <v>20</v>
      </c>
      <c r="M2717" t="s">
        <v>5565</v>
      </c>
      <c r="N2717" t="s">
        <v>14</v>
      </c>
    </row>
    <row r="2718" x14ac:dyDescent="0.25">
      <c r="A2718" t="n">
        <v>25</v>
      </c>
      <c r="B2718" t="s">
        <v>14</v>
      </c>
      <c r="C2718" t="s">
        <v>22</v>
      </c>
      <c r="D2718" s="2" t="s">
        <f>=HYPERLINK("https://main.knesset.gov.il/APPS/legislation/main/bills/2219926", "הצעת חוק אומנה לילדים (תיקון - המשך השמה באומנה לבגיר והעלאת גיל אומן), התשפ""ד-2024")</f>
        <v>5685</v>
      </c>
      <c r="E2718" t="s">
        <v>5685</v>
      </c>
      <c r="F2718" t="s">
        <v>5686</v>
      </c>
      <c r="G2718" t="s">
        <v>14</v>
      </c>
      <c r="H2718">
             </c>
      <c r="I2718" t="s">
        <v>14</v>
      </c>
      <c r="J2718" t="s">
        <v>141</v>
      </c>
      <c r="K2718" t="s">
        <v>14</v>
      </c>
      <c r="L2718" t="s">
        <v>20</v>
      </c>
      <c r="M2718" t="s">
        <v>5565</v>
      </c>
      <c r="N2718" t="s">
        <v>14</v>
      </c>
    </row>
    <row r="2719" x14ac:dyDescent="0.25">
      <c r="A2719" t="n">
        <v>25</v>
      </c>
      <c r="B2719" t="s">
        <v>14</v>
      </c>
      <c r="C2719" t="s">
        <v>22</v>
      </c>
      <c r="D2719" s="2" t="s">
        <f>=HYPERLINK("https://main.knesset.gov.il/APPS/legislation/main/bills/2220426", "הצעת חוק מס להפחתת גודש התנועה באזור גוש דן (תיקון - תנאים להחלת המס), התשפ""ד-2024")</f>
        <v>5687</v>
      </c>
      <c r="E2719" t="s">
        <v>5687</v>
      </c>
      <c r="F2719" t="s">
        <v>5688</v>
      </c>
      <c r="G2719" t="s">
        <v>14</v>
      </c>
      <c r="H2719">
             </c>
      <c r="I2719" t="s">
        <v>14</v>
      </c>
      <c r="J2719" t="s">
        <v>141</v>
      </c>
      <c r="K2719" t="s">
        <v>14</v>
      </c>
      <c r="L2719" t="s">
        <v>20</v>
      </c>
      <c r="M2719" t="s">
        <v>5565</v>
      </c>
      <c r="N2719" t="s">
        <v>14</v>
      </c>
    </row>
    <row r="2720" x14ac:dyDescent="0.25">
      <c r="A2720" t="n">
        <v>25</v>
      </c>
      <c r="B2720" t="s">
        <v>14</v>
      </c>
      <c r="C2720" t="s">
        <v>22</v>
      </c>
      <c r="D2720" s="2" t="s">
        <f>=HYPERLINK("https://main.knesset.gov.il/APPS/legislation/main/bills/2220817", "הצעת חוק זכויות העיוור, התשפ""ד-2024")</f>
        <v>5689</v>
      </c>
      <c r="E2720" t="s">
        <v>5689</v>
      </c>
      <c r="F2720" t="s">
        <v>5690</v>
      </c>
      <c r="G2720" t="s">
        <v>14</v>
      </c>
      <c r="H2720">
             </c>
      <c r="I2720" t="s">
        <v>14</v>
      </c>
      <c r="J2720" t="s">
        <v>141</v>
      </c>
      <c r="K2720" t="s">
        <v>14</v>
      </c>
      <c r="L2720" t="s">
        <v>20</v>
      </c>
      <c r="M2720" t="s">
        <v>5565</v>
      </c>
      <c r="N2720" t="s">
        <v>14</v>
      </c>
    </row>
    <row r="2721" x14ac:dyDescent="0.25">
      <c r="A2721" t="n">
        <v>25</v>
      </c>
      <c r="B2721" t="s">
        <v>14</v>
      </c>
      <c r="C2721" t="s">
        <v>22</v>
      </c>
      <c r="D2721" s="2" t="s">
        <f>=HYPERLINK("https://main.knesset.gov.il/APPS/legislation/main/bills/2219195", "הצעת חוק הסדרת העיסוק במקצועות הבריאות (תיקון - הסדרת מקצוע הליצנות הרפואית), התשפ""ד-2024")</f>
        <v>5691</v>
      </c>
      <c r="E2721" t="s">
        <v>5691</v>
      </c>
      <c r="F2721" t="s">
        <v>5692</v>
      </c>
      <c r="G2721" t="s">
        <v>14</v>
      </c>
      <c r="H2721">
             </c>
      <c r="I2721" t="s">
        <v>14</v>
      </c>
      <c r="J2721" t="s">
        <v>141</v>
      </c>
      <c r="K2721" t="s">
        <v>14</v>
      </c>
      <c r="L2721" t="s">
        <v>20</v>
      </c>
      <c r="M2721" t="s">
        <v>5565</v>
      </c>
      <c r="N2721" t="s">
        <v>14</v>
      </c>
    </row>
    <row r="2722" x14ac:dyDescent="0.25">
      <c r="A2722" t="n">
        <v>25</v>
      </c>
      <c r="B2722" t="s">
        <v>14</v>
      </c>
      <c r="C2722" t="s">
        <v>22</v>
      </c>
      <c r="D2722" s="2" t="s">
        <f>=HYPERLINK("https://main.knesset.gov.il/APPS/legislation/main/bills/2220547", "הצעת חוק משפחות חיילים שנספו במערכה (תגמולים ושיקום) (תיקון - הכרה בסבו וסבתו של הנספה), התשפ""ד-2024")</f>
        <v>5693</v>
      </c>
      <c r="E2722" t="s">
        <v>5693</v>
      </c>
      <c r="F2722" t="s">
        <v>5694</v>
      </c>
      <c r="G2722" t="s">
        <v>14</v>
      </c>
      <c r="H2722">
             </c>
      <c r="I2722" t="s">
        <v>14</v>
      </c>
      <c r="J2722" t="s">
        <v>343</v>
      </c>
      <c r="K2722" t="s">
        <v>14</v>
      </c>
      <c r="L2722" t="s">
        <v>20</v>
      </c>
      <c r="M2722" t="s">
        <v>5565</v>
      </c>
      <c r="N2722" t="s">
        <v>14</v>
      </c>
    </row>
    <row r="2723" x14ac:dyDescent="0.25">
      <c r="A2723" t="n">
        <v>25</v>
      </c>
      <c r="B2723" t="s">
        <v>14</v>
      </c>
      <c r="C2723" t="s">
        <v>22</v>
      </c>
      <c r="D2723" s="2" t="s">
        <f>=HYPERLINK("https://main.knesset.gov.il/APPS/legislation/main/bills/2220367", "הצעת חוק הסיוע המשפטי (תיקון - סיוע משפטי לנכי צה""ל ולנפגעי פעולות איבה), התשפ""ד-2024 ")</f>
        <v>5695</v>
      </c>
      <c r="E2723" t="s">
        <v>5695</v>
      </c>
      <c r="F2723" t="s">
        <v>5696</v>
      </c>
      <c r="G2723" t="s">
        <v>14</v>
      </c>
      <c r="H2723">
             </c>
      <c r="I2723" t="s">
        <v>14</v>
      </c>
      <c r="J2723" t="s">
        <v>141</v>
      </c>
      <c r="K2723" t="s">
        <v>14</v>
      </c>
      <c r="L2723" t="s">
        <v>20</v>
      </c>
      <c r="M2723" t="s">
        <v>5565</v>
      </c>
      <c r="N2723" t="s">
        <v>14</v>
      </c>
    </row>
    <row r="2724" x14ac:dyDescent="0.25">
      <c r="A2724" t="n">
        <v>25</v>
      </c>
      <c r="B2724" t="s">
        <v>14</v>
      </c>
      <c r="C2724" t="s">
        <v>22</v>
      </c>
      <c r="D2724" s="2" t="s">
        <f>=HYPERLINK("https://main.knesset.gov.il/APPS/legislation/main/bills/2218643", "הצעת חוק הגנה על מתחם הר הבית, התשפ""ד-2024")</f>
        <v>5697</v>
      </c>
      <c r="E2724" t="s">
        <v>5697</v>
      </c>
      <c r="F2724" t="s">
        <v>5698</v>
      </c>
      <c r="G2724" t="s">
        <v>14</v>
      </c>
      <c r="H2724">
             </c>
      <c r="I2724" t="s">
        <v>14</v>
      </c>
      <c r="J2724" t="s">
        <v>141</v>
      </c>
      <c r="K2724" t="s">
        <v>14</v>
      </c>
      <c r="L2724" t="s">
        <v>20</v>
      </c>
      <c r="M2724" t="s">
        <v>5565</v>
      </c>
      <c r="N2724" t="s">
        <v>14</v>
      </c>
    </row>
    <row r="2725" x14ac:dyDescent="0.25">
      <c r="A2725" t="n">
        <v>25</v>
      </c>
      <c r="B2725" t="s">
        <v>14</v>
      </c>
      <c r="C2725" t="s">
        <v>22</v>
      </c>
      <c r="D2725" s="2" t="s">
        <f>=HYPERLINK("https://main.knesset.gov.il/APPS/legislation/main/bills/2219485", "הצעת חוק עידוד העסקת קציני ים ישראלים (הוראת שעה), התשפ""ד-2024")</f>
        <v>5699</v>
      </c>
      <c r="E2725" t="s">
        <v>5699</v>
      </c>
      <c r="F2725" t="s">
        <v>5700</v>
      </c>
      <c r="G2725" t="s">
        <v>14</v>
      </c>
      <c r="H2725">
             </c>
      <c r="I2725" t="s">
        <v>14</v>
      </c>
      <c r="J2725" t="s">
        <v>141</v>
      </c>
      <c r="K2725" t="s">
        <v>14</v>
      </c>
      <c r="L2725" t="s">
        <v>20</v>
      </c>
      <c r="M2725" t="s">
        <v>5565</v>
      </c>
      <c r="N2725" t="s">
        <v>14</v>
      </c>
    </row>
    <row r="2726" x14ac:dyDescent="0.25">
      <c r="A2726" t="n">
        <v>25</v>
      </c>
      <c r="B2726" t="s">
        <v>14</v>
      </c>
      <c r="C2726" t="s">
        <v>22</v>
      </c>
      <c r="D2726" s="2" t="s">
        <f>=HYPERLINK("https://main.knesset.gov.il/APPS/legislation/main/bills/2219207", "הצעת חוק להגברת הפיקוח על תהליכי אסדרה של מפוקחי רשות שוק ההון, התשפ""ד-2024")</f>
        <v>5701</v>
      </c>
      <c r="E2726" t="s">
        <v>5701</v>
      </c>
      <c r="F2726" t="s">
        <v>5702</v>
      </c>
      <c r="G2726" t="s">
        <v>14</v>
      </c>
      <c r="H2726">
             </c>
      <c r="I2726" t="s">
        <v>14</v>
      </c>
      <c r="J2726" t="s">
        <v>141</v>
      </c>
      <c r="K2726" t="s">
        <v>14</v>
      </c>
      <c r="L2726" t="s">
        <v>20</v>
      </c>
      <c r="M2726" t="s">
        <v>5565</v>
      </c>
      <c r="N2726" t="s">
        <v>14</v>
      </c>
    </row>
    <row r="2727" x14ac:dyDescent="0.25">
      <c r="A2727" t="n">
        <v>25</v>
      </c>
      <c r="B2727" t="s">
        <v>14</v>
      </c>
      <c r="C2727" t="s">
        <v>22</v>
      </c>
      <c r="D2727" s="2" t="s">
        <f>=HYPERLINK("https://main.knesset.gov.il/APPS/legislation/main/bills/2220988", "הצעת חוק להגברת הפיקוח על אסדרת גופים פיננסיים (תיקוני חקיקה), התשפ""ד-2024")</f>
        <v>5703</v>
      </c>
      <c r="E2727" t="s">
        <v>5703</v>
      </c>
      <c r="F2727" t="s">
        <v>5704</v>
      </c>
      <c r="G2727" t="s">
        <v>14</v>
      </c>
      <c r="H2727">
             </c>
      <c r="I2727" t="s">
        <v>14</v>
      </c>
      <c r="J2727" t="s">
        <v>141</v>
      </c>
      <c r="K2727" t="s">
        <v>14</v>
      </c>
      <c r="L2727" t="s">
        <v>20</v>
      </c>
      <c r="M2727" t="s">
        <v>5565</v>
      </c>
      <c r="N2727" t="s">
        <v>14</v>
      </c>
    </row>
    <row r="2728" x14ac:dyDescent="0.25">
      <c r="A2728" t="n">
        <v>25</v>
      </c>
      <c r="B2728" t="s">
        <v>14</v>
      </c>
      <c r="C2728" t="s">
        <v>22</v>
      </c>
      <c r="D2728" s="2" t="s">
        <f>=HYPERLINK("https://main.knesset.gov.il/APPS/legislation/main/bills/2220574", "הצעת חוק שירות התעסוקה (תיקון - הקמת לשכות תעסוקה), התשפ""ד-2024")</f>
        <v>5705</v>
      </c>
      <c r="E2728" t="s">
        <v>5705</v>
      </c>
      <c r="F2728" t="s">
        <v>5706</v>
      </c>
      <c r="G2728" t="s">
        <v>14</v>
      </c>
      <c r="H2728">
             </c>
      <c r="I2728" t="s">
        <v>14</v>
      </c>
      <c r="J2728" t="s">
        <v>141</v>
      </c>
      <c r="K2728" t="s">
        <v>14</v>
      </c>
      <c r="L2728" t="s">
        <v>20</v>
      </c>
      <c r="M2728" t="s">
        <v>5565</v>
      </c>
      <c r="N2728" t="s">
        <v>14</v>
      </c>
    </row>
    <row r="2729" x14ac:dyDescent="0.25">
      <c r="A2729" t="n">
        <v>25</v>
      </c>
      <c r="B2729" t="s">
        <v>14</v>
      </c>
      <c r="C2729" t="s">
        <v>22</v>
      </c>
      <c r="D2729" s="2" t="s">
        <f>=HYPERLINK("https://main.knesset.gov.il/APPS/legislation/main/bills/2220330", "הצעת חוק שירות התעסוקה (תיקון - הקמת לשכות תעסוקה), התשפ""ד-2024")</f>
        <v>5705</v>
      </c>
      <c r="E2729" t="s">
        <v>5705</v>
      </c>
      <c r="F2729" t="s">
        <v>5707</v>
      </c>
      <c r="G2729" t="s">
        <v>14</v>
      </c>
      <c r="H2729">
             </c>
      <c r="I2729" t="s">
        <v>14</v>
      </c>
      <c r="J2729" t="s">
        <v>141</v>
      </c>
      <c r="K2729" t="s">
        <v>14</v>
      </c>
      <c r="L2729" t="s">
        <v>20</v>
      </c>
      <c r="M2729" t="s">
        <v>5565</v>
      </c>
      <c r="N2729" t="s">
        <v>14</v>
      </c>
    </row>
    <row r="2730" x14ac:dyDescent="0.25">
      <c r="A2730" t="n">
        <v>25</v>
      </c>
      <c r="B2730" t="s">
        <v>14</v>
      </c>
      <c r="C2730" t="s">
        <v>22</v>
      </c>
      <c r="D2730" s="2" t="s">
        <f>=HYPERLINK("https://main.knesset.gov.il/APPS/legislation/main/bills/2204484", "הצעת חוק העונשין (תיקון מס' 153) (החזקה, נשיאה והובלה של כמה כלי נשק), התשפ""ד–2024")</f>
        <v>5708</v>
      </c>
      <c r="E2730" t="s">
        <v>5708</v>
      </c>
      <c r="F2730" t="s">
        <v>5709</v>
      </c>
      <c r="G2730" t="s">
        <v>5710</v>
      </c>
      <c r="H2730">
             </c>
      <c r="I2730" t="s">
        <v>26</v>
      </c>
      <c r="J2730" t="s">
        <v>69</v>
      </c>
      <c r="K2730" t="s">
        <v>27</v>
      </c>
      <c r="L2730" t="s">
        <v>20</v>
      </c>
      <c r="M2730" t="s">
        <v>5565</v>
      </c>
      <c r="N2730" t="s">
        <v>14</v>
      </c>
    </row>
    <row r="2731" x14ac:dyDescent="0.25">
      <c r="A2731" t="n">
        <v>25</v>
      </c>
      <c r="B2731" t="s">
        <v>14</v>
      </c>
      <c r="C2731" t="s">
        <v>22</v>
      </c>
      <c r="D2731" s="2" t="s">
        <f>=HYPERLINK("https://main.knesset.gov.il/APPS/legislation/main/bills/2205309", "חוק לתיקון סדרי הדין (חקירת עדים) (תיקון מס' 10), התשפ""ד–2024")</f>
        <v>5711</v>
      </c>
      <c r="E2731" t="s">
        <v>5711</v>
      </c>
      <c r="F2731" t="s">
        <v>5712</v>
      </c>
      <c r="G2731" t="s">
        <v>5713</v>
      </c>
      <c r="H2731" t="n">
        <v>3267</v>
      </c>
      <c r="I2731" t="s">
        <v>14</v>
      </c>
      <c r="J2731" t="s">
        <v>91</v>
      </c>
      <c r="K2731" t="s">
        <v>27</v>
      </c>
      <c r="L2731" t="s">
        <v>20</v>
      </c>
      <c r="M2731" t="s">
        <v>5714</v>
      </c>
      <c r="N2731" t="s">
        <v>5715</v>
      </c>
    </row>
    <row r="2732" x14ac:dyDescent="0.25">
      <c r="A2732" t="n">
        <v>25</v>
      </c>
      <c r="B2732" t="s">
        <v>14</v>
      </c>
      <c r="C2732" t="s">
        <v>22</v>
      </c>
      <c r="D2732" s="2" t="s">
        <f>=HYPERLINK("https://main.knesset.gov.il/APPS/legislation/main/bills/2210404", "חוק לתיקון פקודת הנמלים (מס' 6), התשפ""ד–2024")</f>
        <v>5716</v>
      </c>
      <c r="E2732" t="s">
        <v>5716</v>
      </c>
      <c r="F2732" t="s">
        <v>5717</v>
      </c>
      <c r="G2732" t="s">
        <v>5718</v>
      </c>
      <c r="H2732" t="n">
        <v>3266</v>
      </c>
      <c r="I2732" t="s">
        <v>14</v>
      </c>
      <c r="J2732" t="s">
        <v>91</v>
      </c>
      <c r="K2732" t="s">
        <v>19</v>
      </c>
      <c r="L2732" t="s">
        <v>20</v>
      </c>
      <c r="M2732" t="s">
        <v>5714</v>
      </c>
      <c r="N2732" t="s">
        <v>5719</v>
      </c>
    </row>
    <row r="2733" x14ac:dyDescent="0.25">
      <c r="A2733" t="n">
        <v>25</v>
      </c>
      <c r="B2733" t="s">
        <v>14</v>
      </c>
      <c r="C2733" t="s">
        <v>22</v>
      </c>
      <c r="D2733" s="2" t="s">
        <f>=HYPERLINK("https://main.knesset.gov.il/APPS/legislation/main/bills/2215357", "חוק זכויות הסטודנט (תיקון מס' 9 – הוראת שעה – חרבות ברזל), התשפ""ד–2024")</f>
        <v>5720</v>
      </c>
      <c r="E2733" t="s">
        <v>5720</v>
      </c>
      <c r="F2733" t="s">
        <v>5721</v>
      </c>
      <c r="G2733" t="s">
        <v>5722</v>
      </c>
      <c r="H2733" t="n">
        <v>3264</v>
      </c>
      <c r="I2733" t="s">
        <v>14</v>
      </c>
      <c r="J2733" t="s">
        <v>91</v>
      </c>
      <c r="K2733" t="s">
        <v>34</v>
      </c>
      <c r="L2733" t="s">
        <v>20</v>
      </c>
      <c r="M2733" t="s">
        <v>5714</v>
      </c>
      <c r="N2733" t="s">
        <v>5723</v>
      </c>
    </row>
    <row r="2734" x14ac:dyDescent="0.25">
      <c r="A2734" t="n">
        <v>25</v>
      </c>
      <c r="B2734" t="s">
        <v>14</v>
      </c>
      <c r="C2734" t="s">
        <v>22</v>
      </c>
      <c r="D2734" s="2" t="s">
        <f>=HYPERLINK("https://main.knesset.gov.il/APPS/legislation/main/bills/2200867", "חוק הבנקאות (רישוי) (תיקון מס' 32), התשפ""ד–2024")</f>
        <v>5724</v>
      </c>
      <c r="E2734" t="s">
        <v>5724</v>
      </c>
      <c r="F2734" t="s">
        <v>5725</v>
      </c>
      <c r="G2734" t="s">
        <v>5726</v>
      </c>
      <c r="H2734" t="n">
        <v>3263</v>
      </c>
      <c r="I2734" t="s">
        <v>14</v>
      </c>
      <c r="J2734" t="s">
        <v>91</v>
      </c>
      <c r="K2734" t="s">
        <v>19</v>
      </c>
      <c r="L2734" t="s">
        <v>20</v>
      </c>
      <c r="M2734" t="s">
        <v>5714</v>
      </c>
      <c r="N2734" t="s">
        <v>5727</v>
      </c>
    </row>
    <row r="2735" x14ac:dyDescent="0.25">
      <c r="A2735" t="n">
        <v>25</v>
      </c>
      <c r="B2735" t="s">
        <v>14</v>
      </c>
      <c r="C2735" t="s">
        <v>22</v>
      </c>
      <c r="D2735" s="2" t="s">
        <f>=HYPERLINK("https://main.knesset.gov.il/APPS/legislation/main/bills/2214546", "חוק לתיקון פקודת מס הכנסה (מס' 273), התשפ""ד–2024")</f>
        <v>5728</v>
      </c>
      <c r="E2735" t="s">
        <v>5728</v>
      </c>
      <c r="F2735" t="s">
        <v>5729</v>
      </c>
      <c r="G2735" t="s">
        <v>5730</v>
      </c>
      <c r="H2735" t="n">
        <v>3262</v>
      </c>
      <c r="I2735" t="s">
        <v>14</v>
      </c>
      <c r="J2735" t="s">
        <v>91</v>
      </c>
      <c r="K2735" t="s">
        <v>85</v>
      </c>
      <c r="L2735" t="s">
        <v>20</v>
      </c>
      <c r="M2735" t="s">
        <v>5714</v>
      </c>
      <c r="N2735" t="s">
        <v>5731</v>
      </c>
    </row>
    <row r="2736" x14ac:dyDescent="0.25">
      <c r="A2736" t="n">
        <v>25</v>
      </c>
      <c r="B2736" t="s">
        <v>14</v>
      </c>
      <c r="C2736" t="s">
        <v>22</v>
      </c>
      <c r="D2736" s="2" t="s">
        <f>=HYPERLINK("https://main.knesset.gov.il/APPS/legislation/main/bills/2201297", "חוק למניעת הטרדה מינית (תיקון מס' 16), התשפ""ד–2024")</f>
        <v>5732</v>
      </c>
      <c r="E2736" t="s">
        <v>5732</v>
      </c>
      <c r="F2736" t="s">
        <v>5733</v>
      </c>
      <c r="G2736" t="s">
        <v>5734</v>
      </c>
      <c r="H2736" t="n">
        <v>3261</v>
      </c>
      <c r="I2736" t="s">
        <v>14</v>
      </c>
      <c r="J2736" t="s">
        <v>91</v>
      </c>
      <c r="K2736" t="s">
        <v>5735</v>
      </c>
      <c r="L2736" t="s">
        <v>20</v>
      </c>
      <c r="M2736" t="s">
        <v>5714</v>
      </c>
      <c r="N2736" t="s">
        <v>14</v>
      </c>
    </row>
    <row r="2737" x14ac:dyDescent="0.25">
      <c r="A2737" t="n">
        <v>25</v>
      </c>
      <c r="B2737" t="s">
        <v>14</v>
      </c>
      <c r="C2737" t="s">
        <v>22</v>
      </c>
      <c r="D2737" s="2" t="s">
        <f>=HYPERLINK("https://main.knesset.gov.il/APPS/legislation/main/bills/2197953", "חוק הקמת מאגר מידע גנטי של כלבים, התשפ""ד–2024")</f>
        <v>5736</v>
      </c>
      <c r="E2737" t="s">
        <v>5736</v>
      </c>
      <c r="F2737" t="s">
        <v>5737</v>
      </c>
      <c r="G2737" t="s">
        <v>5738</v>
      </c>
      <c r="H2737" t="n">
        <v>3260</v>
      </c>
      <c r="I2737" t="s">
        <v>14</v>
      </c>
      <c r="J2737" t="s">
        <v>91</v>
      </c>
      <c r="K2737" t="s">
        <v>19</v>
      </c>
      <c r="L2737" t="s">
        <v>20</v>
      </c>
      <c r="M2737" t="s">
        <v>5714</v>
      </c>
      <c r="N2737" t="s">
        <v>5739</v>
      </c>
    </row>
    <row r="2738" x14ac:dyDescent="0.25">
      <c r="A2738" t="n">
        <v>25</v>
      </c>
      <c r="B2738" t="s">
        <v>14</v>
      </c>
      <c r="C2738" t="s">
        <v>22</v>
      </c>
      <c r="D2738" s="2" t="s">
        <f>=HYPERLINK("https://main.knesset.gov.il/APPS/legislation/main/bills/2195806", "חוק יום בריאות הנפש, התשפ""ד-2024")</f>
        <v>5740</v>
      </c>
      <c r="E2738" t="s">
        <v>5740</v>
      </c>
      <c r="F2738" t="s">
        <v>5741</v>
      </c>
      <c r="G2738" t="s">
        <v>5742</v>
      </c>
      <c r="H2738" t="n">
        <v>3259</v>
      </c>
      <c r="I2738" t="s">
        <v>14</v>
      </c>
      <c r="J2738" t="s">
        <v>91</v>
      </c>
      <c r="K2738" t="s">
        <v>34</v>
      </c>
      <c r="L2738" t="s">
        <v>20</v>
      </c>
      <c r="M2738" t="s">
        <v>5714</v>
      </c>
      <c r="N2738" t="s">
        <v>5743</v>
      </c>
    </row>
    <row r="2739" x14ac:dyDescent="0.25">
      <c r="A2739" t="n">
        <v>25</v>
      </c>
      <c r="B2739" t="s">
        <v>14</v>
      </c>
      <c r="C2739" t="s">
        <v>15</v>
      </c>
      <c r="D2739" s="2" t="s">
        <f>=HYPERLINK("https://main.knesset.gov.il/APPS/legislation/main/bills/2164124", "חוק נטילת אמצעי זיהוי ביומטריים מזרים, הפקת נתוני זיהוי ביומטריים ומאגר מידע, התשפ""ד-2024")</f>
        <v>5744</v>
      </c>
      <c r="E2739" t="s">
        <v>5744</v>
      </c>
      <c r="F2739" t="s">
        <v>14</v>
      </c>
      <c r="G2739" t="s">
        <v>5745</v>
      </c>
      <c r="H2739" t="n">
        <v>3265</v>
      </c>
      <c r="I2739" t="s">
        <v>14</v>
      </c>
      <c r="J2739" t="s">
        <v>91</v>
      </c>
      <c r="K2739" t="s">
        <v>46</v>
      </c>
      <c r="L2739" t="s">
        <v>20</v>
      </c>
      <c r="M2739" t="s">
        <v>5746</v>
      </c>
      <c r="N2739" t="s">
        <v>5747</v>
      </c>
    </row>
    <row r="2740" x14ac:dyDescent="0.25">
      <c r="A2740" t="n">
        <v>25</v>
      </c>
      <c r="B2740" t="s">
        <v>14</v>
      </c>
      <c r="C2740" t="s">
        <v>22</v>
      </c>
      <c r="D2740" s="2" t="s">
        <f>=HYPERLINK("https://main.knesset.gov.il/APPS/legislation/main/bills/2197450", "חוק ניוד מידע רפואי, התשפ""ד-2024")</f>
        <v>5748</v>
      </c>
      <c r="E2740" t="s">
        <v>5748</v>
      </c>
      <c r="F2740" t="s">
        <v>5749</v>
      </c>
      <c r="G2740" t="s">
        <v>5750</v>
      </c>
      <c r="H2740" t="n">
        <v>3258</v>
      </c>
      <c r="I2740" t="s">
        <v>14</v>
      </c>
      <c r="J2740" t="s">
        <v>91</v>
      </c>
      <c r="K2740" t="s">
        <v>480</v>
      </c>
      <c r="L2740" t="s">
        <v>20</v>
      </c>
      <c r="M2740" t="s">
        <v>5746</v>
      </c>
      <c r="N2740" t="s">
        <v>5751</v>
      </c>
    </row>
    <row r="2741" x14ac:dyDescent="0.25">
      <c r="A2741" t="n">
        <v>25</v>
      </c>
      <c r="B2741" t="s">
        <v>14</v>
      </c>
      <c r="C2741" t="s">
        <v>15</v>
      </c>
      <c r="D2741" s="2" t="s">
        <f>=HYPERLINK("https://main.knesset.gov.il/APPS/legislation/main/bills/2217130", "חוק הבנקאות (רישוי) (תיקון מס' 31), התשפ""ד-2024")</f>
        <v>5752</v>
      </c>
      <c r="E2741" t="s">
        <v>5752</v>
      </c>
      <c r="F2741" t="s">
        <v>14</v>
      </c>
      <c r="G2741" t="s">
        <v>5753</v>
      </c>
      <c r="H2741" t="n">
        <v>3257</v>
      </c>
      <c r="I2741" t="s">
        <v>14</v>
      </c>
      <c r="J2741" t="s">
        <v>91</v>
      </c>
      <c r="K2741" t="s">
        <v>19</v>
      </c>
      <c r="L2741" t="s">
        <v>20</v>
      </c>
      <c r="M2741" t="s">
        <v>5746</v>
      </c>
      <c r="N2741" t="s">
        <v>5754</v>
      </c>
    </row>
    <row r="2742" x14ac:dyDescent="0.25">
      <c r="A2742" t="n">
        <v>25</v>
      </c>
      <c r="B2742" t="s">
        <v>14</v>
      </c>
      <c r="C2742" t="s">
        <v>22</v>
      </c>
      <c r="D2742" s="2" t="s">
        <f>=HYPERLINK("https://main.knesset.gov.il/APPS/legislation/main/bills/2212439", "חוק הגישה לתוכן דיגיטלי לאחר פטירתו של אדם, התשפ""ד–2024")</f>
        <v>5755</v>
      </c>
      <c r="E2742" t="s">
        <v>5755</v>
      </c>
      <c r="F2742" t="s">
        <v>5756</v>
      </c>
      <c r="G2742" t="s">
        <v>5757</v>
      </c>
      <c r="H2742" t="n">
        <v>3256</v>
      </c>
      <c r="I2742" t="s">
        <v>14</v>
      </c>
      <c r="J2742" t="s">
        <v>91</v>
      </c>
      <c r="K2742" t="s">
        <v>27</v>
      </c>
      <c r="L2742" t="s">
        <v>20</v>
      </c>
      <c r="M2742" t="s">
        <v>5746</v>
      </c>
      <c r="N2742" t="s">
        <v>5758</v>
      </c>
    </row>
    <row r="2743" x14ac:dyDescent="0.25">
      <c r="A2743" t="n">
        <v>25</v>
      </c>
      <c r="B2743" t="s">
        <v>14</v>
      </c>
      <c r="C2743" t="s">
        <v>15</v>
      </c>
      <c r="D2743" s="2" t="s">
        <f>=HYPERLINK("https://main.knesset.gov.il/APPS/legislation/main/bills/2207375", "חוק בתי המשפט (תיקון מס' 103), התשפ""ד–2024")</f>
        <v>5759</v>
      </c>
      <c r="E2743" t="s">
        <v>5759</v>
      </c>
      <c r="F2743" t="s">
        <v>14</v>
      </c>
      <c r="G2743" t="s">
        <v>5760</v>
      </c>
      <c r="H2743" t="n">
        <v>3255</v>
      </c>
      <c r="I2743" t="s">
        <v>14</v>
      </c>
      <c r="J2743" t="s">
        <v>91</v>
      </c>
      <c r="K2743" t="s">
        <v>27</v>
      </c>
      <c r="L2743" t="s">
        <v>20</v>
      </c>
      <c r="M2743" t="s">
        <v>5746</v>
      </c>
      <c r="N2743" t="s">
        <v>5761</v>
      </c>
    </row>
    <row r="2744" x14ac:dyDescent="0.25">
      <c r="A2744" t="n">
        <v>25</v>
      </c>
      <c r="B2744" t="s">
        <v>14</v>
      </c>
      <c r="C2744" t="s">
        <v>15</v>
      </c>
      <c r="D2744" s="2" t="s">
        <f>=HYPERLINK("https://main.knesset.gov.il/APPS/legislation/main/bills/2218539", "חוק התמודדות עם תקיפות סייבר חמורות במגזר השירותים הדיגיטליים ושירותי האחסון (הוראת שעה – חרבות ברזל) (תיקון), התשפ""ד-2024")</f>
        <v>5762</v>
      </c>
      <c r="E2744" t="s">
        <v>5762</v>
      </c>
      <c r="F2744" t="s">
        <v>14</v>
      </c>
      <c r="G2744" t="s">
        <v>5763</v>
      </c>
      <c r="H2744" t="n">
        <v>3254</v>
      </c>
      <c r="I2744" t="s">
        <v>14</v>
      </c>
      <c r="J2744" t="s">
        <v>91</v>
      </c>
      <c r="K2744" t="s">
        <v>114</v>
      </c>
      <c r="L2744" t="s">
        <v>20</v>
      </c>
      <c r="M2744" t="s">
        <v>5746</v>
      </c>
      <c r="N2744" t="s">
        <v>5764</v>
      </c>
    </row>
    <row r="2745" x14ac:dyDescent="0.25">
      <c r="A2745" t="n">
        <v>25</v>
      </c>
      <c r="B2745" t="s">
        <v>14</v>
      </c>
      <c r="C2745" t="s">
        <v>22</v>
      </c>
      <c r="D2745" s="2" t="s">
        <f>=HYPERLINK("https://main.knesset.gov.il/APPS/legislation/main/bills/2220966", "הצעת חוק הקפאת כספים ששילמה הרשות הפלסטינית בזיקה לטרור מהכספים המועברים אליה מממשלת ישראל (תיקון - חילוט הכספים וניהולם), התשפ""ד-2024")</f>
        <v>4832</v>
      </c>
      <c r="E2745" t="s">
        <v>4832</v>
      </c>
      <c r="F2745" t="s">
        <v>5765</v>
      </c>
      <c r="G2745" t="s">
        <v>14</v>
      </c>
      <c r="H2745">
             </c>
      <c r="I2745" t="s">
        <v>14</v>
      </c>
      <c r="J2745" t="s">
        <v>141</v>
      </c>
      <c r="K2745" t="s">
        <v>14</v>
      </c>
      <c r="L2745" t="s">
        <v>20</v>
      </c>
      <c r="M2745" t="s">
        <v>5746</v>
      </c>
      <c r="N2745" t="s">
        <v>14</v>
      </c>
    </row>
    <row r="2746" x14ac:dyDescent="0.25">
      <c r="A2746" t="n">
        <v>25</v>
      </c>
      <c r="B2746" t="s">
        <v>14</v>
      </c>
      <c r="C2746" t="s">
        <v>22</v>
      </c>
      <c r="D2746" s="2" t="s">
        <f>=HYPERLINK("https://main.knesset.gov.il/APPS/legislation/main/bills/2220527", "הצעת חוק הנחה לחיילי צה""ל לוחמים בתחבורה ציבורית, התשפ""ד-2024")</f>
        <v>5766</v>
      </c>
      <c r="E2746" t="s">
        <v>5766</v>
      </c>
      <c r="F2746" t="s">
        <v>5767</v>
      </c>
      <c r="G2746" t="s">
        <v>14</v>
      </c>
      <c r="H2746">
             </c>
      <c r="I2746" t="s">
        <v>14</v>
      </c>
      <c r="J2746" t="s">
        <v>141</v>
      </c>
      <c r="K2746" t="s">
        <v>14</v>
      </c>
      <c r="L2746" t="s">
        <v>20</v>
      </c>
      <c r="M2746" t="s">
        <v>5746</v>
      </c>
      <c r="N2746" t="s">
        <v>14</v>
      </c>
    </row>
    <row r="2747" x14ac:dyDescent="0.25">
      <c r="A2747" t="n">
        <v>25</v>
      </c>
      <c r="B2747" t="s">
        <v>14</v>
      </c>
      <c r="C2747" t="s">
        <v>22</v>
      </c>
      <c r="D2747" s="2" t="s">
        <f>=HYPERLINK("https://main.knesset.gov.il/APPS/legislation/main/bills/2220528", "הצעת חוק ליווי בני משפחות של משרתים בגופי ביטחון ששלחו יד בנפשם, התשפ""ד-2024")</f>
        <v>5768</v>
      </c>
      <c r="E2747" t="s">
        <v>5768</v>
      </c>
      <c r="F2747" t="s">
        <v>5769</v>
      </c>
      <c r="G2747" t="s">
        <v>14</v>
      </c>
      <c r="H2747">
             </c>
      <c r="I2747" t="s">
        <v>14</v>
      </c>
      <c r="J2747" t="s">
        <v>141</v>
      </c>
      <c r="K2747" t="s">
        <v>14</v>
      </c>
      <c r="L2747" t="s">
        <v>20</v>
      </c>
      <c r="M2747" t="s">
        <v>5746</v>
      </c>
      <c r="N2747" t="s">
        <v>14</v>
      </c>
    </row>
    <row r="2748" x14ac:dyDescent="0.25">
      <c r="A2748" t="n">
        <v>25</v>
      </c>
      <c r="B2748" t="s">
        <v>14</v>
      </c>
      <c r="C2748" t="s">
        <v>22</v>
      </c>
      <c r="D2748" s="2" t="s">
        <f>=HYPERLINK("https://main.knesset.gov.il/APPS/legislation/main/bills/2219735", "הצעת חוק משפחות חיילים שנספו במערכה (תגמולים ושיקום) (תיקון - תגמולים לשכול שאין לו בן זוג שכול), התשפ""ד-2024")</f>
        <v>5770</v>
      </c>
      <c r="E2748" t="s">
        <v>5770</v>
      </c>
      <c r="F2748" t="s">
        <v>5771</v>
      </c>
      <c r="G2748" t="s">
        <v>14</v>
      </c>
      <c r="H2748">
             </c>
      <c r="I2748" t="s">
        <v>14</v>
      </c>
      <c r="J2748" t="s">
        <v>141</v>
      </c>
      <c r="K2748" t="s">
        <v>14</v>
      </c>
      <c r="L2748" t="s">
        <v>20</v>
      </c>
      <c r="M2748" t="s">
        <v>5746</v>
      </c>
      <c r="N2748" t="s">
        <v>14</v>
      </c>
    </row>
    <row r="2749" x14ac:dyDescent="0.25">
      <c r="A2749" t="n">
        <v>25</v>
      </c>
      <c r="B2749" t="s">
        <v>14</v>
      </c>
      <c r="C2749" t="s">
        <v>22</v>
      </c>
      <c r="D2749" s="2" t="s">
        <f>=HYPERLINK("https://main.knesset.gov.il/APPS/legislation/main/bills/2220453", "הצעת חוק הכרה בתרומתם של כלבים בשירות ביטחון, התשפ""ד-2024")</f>
        <v>5772</v>
      </c>
      <c r="E2749" t="s">
        <v>5772</v>
      </c>
      <c r="F2749" t="s">
        <v>5773</v>
      </c>
      <c r="G2749" t="s">
        <v>14</v>
      </c>
      <c r="H2749">
             </c>
      <c r="I2749" t="s">
        <v>14</v>
      </c>
      <c r="J2749" t="s">
        <v>141</v>
      </c>
      <c r="K2749" t="s">
        <v>14</v>
      </c>
      <c r="L2749" t="s">
        <v>20</v>
      </c>
      <c r="M2749" t="s">
        <v>5746</v>
      </c>
      <c r="N2749" t="s">
        <v>14</v>
      </c>
    </row>
    <row r="2750" x14ac:dyDescent="0.25">
      <c r="A2750" t="n">
        <v>25</v>
      </c>
      <c r="B2750" t="s">
        <v>14</v>
      </c>
      <c r="C2750" t="s">
        <v>22</v>
      </c>
      <c r="D2750" s="2" t="s">
        <f>=HYPERLINK("https://main.knesset.gov.il/APPS/legislation/main/bills/2220908", "הצעת חוק משפחות חיילים שנספו במערכה (תגמולים ושיקום) (תיקון - תוספת תגמול להורים שכולים מבוגרים), התשפ""ד-2024")</f>
        <v>5774</v>
      </c>
      <c r="E2750" t="s">
        <v>5774</v>
      </c>
      <c r="F2750" t="s">
        <v>5775</v>
      </c>
      <c r="G2750" t="s">
        <v>14</v>
      </c>
      <c r="H2750">
             </c>
      <c r="I2750" t="s">
        <v>14</v>
      </c>
      <c r="J2750" t="s">
        <v>141</v>
      </c>
      <c r="K2750" t="s">
        <v>14</v>
      </c>
      <c r="L2750" t="s">
        <v>20</v>
      </c>
      <c r="M2750" t="s">
        <v>5746</v>
      </c>
      <c r="N2750" t="s">
        <v>14</v>
      </c>
    </row>
    <row r="2751" x14ac:dyDescent="0.25">
      <c r="A2751" t="n">
        <v>25</v>
      </c>
      <c r="B2751" t="s">
        <v>14</v>
      </c>
      <c r="C2751" t="s">
        <v>22</v>
      </c>
      <c r="D2751" s="2" t="s">
        <f>=HYPERLINK("https://main.knesset.gov.il/APPS/legislation/main/bills/2220387", "הצעת חוק שירות חובה לכל, התשפ""ד-2024")</f>
        <v>5776</v>
      </c>
      <c r="E2751" t="s">
        <v>5776</v>
      </c>
      <c r="F2751" t="s">
        <v>5777</v>
      </c>
      <c r="G2751" t="s">
        <v>14</v>
      </c>
      <c r="H2751">
             </c>
      <c r="I2751" t="s">
        <v>14</v>
      </c>
      <c r="J2751" t="s">
        <v>141</v>
      </c>
      <c r="K2751" t="s">
        <v>14</v>
      </c>
      <c r="L2751" t="s">
        <v>20</v>
      </c>
      <c r="M2751" t="s">
        <v>5746</v>
      </c>
      <c r="N2751" t="s">
        <v>14</v>
      </c>
    </row>
    <row r="2752" x14ac:dyDescent="0.25">
      <c r="A2752" t="n">
        <v>25</v>
      </c>
      <c r="B2752" t="s">
        <v>14</v>
      </c>
      <c r="C2752" t="s">
        <v>22</v>
      </c>
      <c r="D2752" s="2" t="s">
        <f>=HYPERLINK("https://main.knesset.gov.il/APPS/legislation/main/bills/2201957", "הצעת חוק נציבות תלונות אסירים, התשפ""ד-2024")</f>
        <v>5778</v>
      </c>
      <c r="E2752" t="s">
        <v>5778</v>
      </c>
      <c r="F2752" t="s">
        <v>5779</v>
      </c>
      <c r="G2752" t="s">
        <v>14</v>
      </c>
      <c r="H2752">
             </c>
      <c r="I2752" t="s">
        <v>14</v>
      </c>
      <c r="J2752" t="s">
        <v>141</v>
      </c>
      <c r="K2752" t="s">
        <v>14</v>
      </c>
      <c r="L2752" t="s">
        <v>20</v>
      </c>
      <c r="M2752" t="s">
        <v>5746</v>
      </c>
      <c r="N2752" t="s">
        <v>14</v>
      </c>
    </row>
    <row r="2753" x14ac:dyDescent="0.25">
      <c r="A2753" t="n">
        <v>25</v>
      </c>
      <c r="B2753" t="s">
        <v>14</v>
      </c>
      <c r="C2753" t="s">
        <v>22</v>
      </c>
      <c r="D2753" s="2" t="s">
        <f>=HYPERLINK("https://main.knesset.gov.il/APPS/legislation/main/bills/2220537", "הצעת חוק מימון שכר לימוד לסטודנטים באזורי מלחמה ועימות (הוראת שעה - חרבות ברזל), התשפ""ד-2024")</f>
        <v>5780</v>
      </c>
      <c r="E2753" t="s">
        <v>5780</v>
      </c>
      <c r="F2753" t="s">
        <v>5781</v>
      </c>
      <c r="G2753" t="s">
        <v>14</v>
      </c>
      <c r="H2753">
             </c>
      <c r="I2753" t="s">
        <v>14</v>
      </c>
      <c r="J2753" t="s">
        <v>141</v>
      </c>
      <c r="K2753" t="s">
        <v>14</v>
      </c>
      <c r="L2753" t="s">
        <v>20</v>
      </c>
      <c r="M2753" t="s">
        <v>5746</v>
      </c>
      <c r="N2753" t="s">
        <v>14</v>
      </c>
    </row>
    <row r="2754" x14ac:dyDescent="0.25">
      <c r="A2754" t="n">
        <v>25</v>
      </c>
      <c r="B2754" t="s">
        <v>14</v>
      </c>
      <c r="C2754" t="s">
        <v>22</v>
      </c>
      <c r="D2754" s="2" t="s">
        <f>=HYPERLINK("https://main.knesset.gov.il/APPS/legislation/main/bills/2220188", "הצעת חוק מרשם האוכלוסין (תיקון - לאום ארמי), התשפ""ד-2024 ")</f>
        <v>5782</v>
      </c>
      <c r="E2754" t="s">
        <v>5782</v>
      </c>
      <c r="F2754" t="s">
        <v>5783</v>
      </c>
      <c r="G2754" t="s">
        <v>14</v>
      </c>
      <c r="H2754">
             </c>
      <c r="I2754" t="s">
        <v>14</v>
      </c>
      <c r="J2754" t="s">
        <v>141</v>
      </c>
      <c r="K2754" t="s">
        <v>14</v>
      </c>
      <c r="L2754" t="s">
        <v>20</v>
      </c>
      <c r="M2754" t="s">
        <v>5746</v>
      </c>
      <c r="N2754" t="s">
        <v>14</v>
      </c>
    </row>
    <row r="2755" x14ac:dyDescent="0.25">
      <c r="A2755" t="n">
        <v>25</v>
      </c>
      <c r="B2755" t="s">
        <v>14</v>
      </c>
      <c r="C2755" t="s">
        <v>22</v>
      </c>
      <c r="D2755" s="2" t="s">
        <f>=HYPERLINK("https://main.knesset.gov.il/APPS/legislation/main/bills/2220955", "הצעת חוק הפיקוח על שירותים פיננסיים (קופות גמל) (תיקון - הגדלת הסכום המרבי להפקדה בקופות גמל להשקעה), התשפ""ד-2024")</f>
        <v>5784</v>
      </c>
      <c r="E2755" t="s">
        <v>5784</v>
      </c>
      <c r="F2755" t="s">
        <v>5785</v>
      </c>
      <c r="G2755" t="s">
        <v>14</v>
      </c>
      <c r="H2755">
             </c>
      <c r="I2755" t="s">
        <v>14</v>
      </c>
      <c r="J2755" t="s">
        <v>141</v>
      </c>
      <c r="K2755" t="s">
        <v>14</v>
      </c>
      <c r="L2755" t="s">
        <v>20</v>
      </c>
      <c r="M2755" t="s">
        <v>5746</v>
      </c>
      <c r="N2755" t="s">
        <v>14</v>
      </c>
    </row>
    <row r="2756" x14ac:dyDescent="0.25">
      <c r="A2756" t="n">
        <v>25</v>
      </c>
      <c r="B2756" t="s">
        <v>14</v>
      </c>
      <c r="C2756" t="s">
        <v>22</v>
      </c>
      <c r="D2756" s="2" t="s">
        <f>=HYPERLINK("https://main.knesset.gov.il/APPS/legislation/main/bills/2220970", "הצעת חוק הביטוח הלאומי (תיקון - שלילת קצבאות שמשולמות לפעילי טרור ובני משפחותיהם מחוץ לישראל), התשפ""ד-2024")</f>
        <v>5786</v>
      </c>
      <c r="E2756" t="s">
        <v>5786</v>
      </c>
      <c r="F2756" t="s">
        <v>5787</v>
      </c>
      <c r="G2756" t="s">
        <v>14</v>
      </c>
      <c r="H2756">
             </c>
      <c r="I2756" t="s">
        <v>14</v>
      </c>
      <c r="J2756" t="s">
        <v>141</v>
      </c>
      <c r="K2756" t="s">
        <v>14</v>
      </c>
      <c r="L2756" t="s">
        <v>20</v>
      </c>
      <c r="M2756" t="s">
        <v>5746</v>
      </c>
      <c r="N2756" t="s">
        <v>14</v>
      </c>
    </row>
    <row r="2757" x14ac:dyDescent="0.25">
      <c r="A2757" t="n">
        <v>25</v>
      </c>
      <c r="B2757" t="s">
        <v>14</v>
      </c>
      <c r="C2757" t="s">
        <v>22</v>
      </c>
      <c r="D2757" s="2" t="s">
        <f>=HYPERLINK("https://main.knesset.gov.il/APPS/legislation/main/bills/2220959", "הצעת חוק הביטוח הלאומי (תיקון - הגבלת שכר טרחה עבור טיפול בתביעה לנפגעי איבה), התשפ""ד-2024")</f>
        <v>5788</v>
      </c>
      <c r="E2757" t="s">
        <v>5788</v>
      </c>
      <c r="F2757" t="s">
        <v>5789</v>
      </c>
      <c r="G2757" t="s">
        <v>14</v>
      </c>
      <c r="H2757">
             </c>
      <c r="I2757" t="s">
        <v>14</v>
      </c>
      <c r="J2757" t="s">
        <v>141</v>
      </c>
      <c r="K2757" t="s">
        <v>14</v>
      </c>
      <c r="L2757" t="s">
        <v>20</v>
      </c>
      <c r="M2757" t="s">
        <v>5746</v>
      </c>
      <c r="N2757" t="s">
        <v>14</v>
      </c>
    </row>
    <row r="2758" x14ac:dyDescent="0.25">
      <c r="A2758" t="n">
        <v>25</v>
      </c>
      <c r="B2758" t="s">
        <v>14</v>
      </c>
      <c r="C2758" t="s">
        <v>22</v>
      </c>
      <c r="D2758" s="2" t="s">
        <f>=HYPERLINK("https://main.knesset.gov.il/APPS/legislation/main/bills/2209289", "הצעת חוק ביטוח סיעוד ממלכתי (תיקוני חקיקה), התשפ""ד-2024")</f>
        <v>5790</v>
      </c>
      <c r="E2758" t="s">
        <v>5790</v>
      </c>
      <c r="F2758" t="s">
        <v>5791</v>
      </c>
      <c r="G2758" t="s">
        <v>14</v>
      </c>
      <c r="H2758">
             </c>
      <c r="I2758" t="s">
        <v>14</v>
      </c>
      <c r="J2758" t="s">
        <v>141</v>
      </c>
      <c r="K2758" t="s">
        <v>14</v>
      </c>
      <c r="L2758" t="s">
        <v>20</v>
      </c>
      <c r="M2758" t="s">
        <v>5746</v>
      </c>
      <c r="N2758" t="s">
        <v>14</v>
      </c>
    </row>
    <row r="2759" x14ac:dyDescent="0.25">
      <c r="A2759" t="n">
        <v>25</v>
      </c>
      <c r="B2759" t="s">
        <v>14</v>
      </c>
      <c r="C2759" t="s">
        <v>22</v>
      </c>
      <c r="D2759" s="2" t="s">
        <f>=HYPERLINK("https://main.knesset.gov.il/APPS/legislation/main/bills/2220958", "הצעת חוק הרשות הלאומית למאבק בעוני, התשפ""ד-2024")</f>
        <v>5792</v>
      </c>
      <c r="E2759" t="s">
        <v>5792</v>
      </c>
      <c r="F2759" t="s">
        <v>5793</v>
      </c>
      <c r="G2759" t="s">
        <v>14</v>
      </c>
      <c r="H2759">
             </c>
      <c r="I2759" t="s">
        <v>14</v>
      </c>
      <c r="J2759" t="s">
        <v>141</v>
      </c>
      <c r="K2759" t="s">
        <v>14</v>
      </c>
      <c r="L2759" t="s">
        <v>20</v>
      </c>
      <c r="M2759" t="s">
        <v>5746</v>
      </c>
      <c r="N2759" t="s">
        <v>14</v>
      </c>
    </row>
    <row r="2760" x14ac:dyDescent="0.25">
      <c r="A2760" t="n">
        <v>25</v>
      </c>
      <c r="B2760" t="s">
        <v>14</v>
      </c>
      <c r="C2760" t="s">
        <v>22</v>
      </c>
      <c r="D2760" s="2" t="s">
        <f>=HYPERLINK("https://main.knesset.gov.il/APPS/legislation/main/bills/2219055", "הצעת חוק היקף עבודה במתכונת חודשית, התשפ""ד-2024")</f>
        <v>5794</v>
      </c>
      <c r="E2760" t="s">
        <v>5794</v>
      </c>
      <c r="F2760" t="s">
        <v>5795</v>
      </c>
      <c r="G2760" t="s">
        <v>14</v>
      </c>
      <c r="H2760">
             </c>
      <c r="I2760" t="s">
        <v>14</v>
      </c>
      <c r="J2760" t="s">
        <v>141</v>
      </c>
      <c r="K2760" t="s">
        <v>14</v>
      </c>
      <c r="L2760" t="s">
        <v>20</v>
      </c>
      <c r="M2760" t="s">
        <v>5746</v>
      </c>
      <c r="N2760" t="s">
        <v>14</v>
      </c>
    </row>
    <row r="2761" x14ac:dyDescent="0.25">
      <c r="A2761" t="n">
        <v>25</v>
      </c>
      <c r="B2761" t="s">
        <v>14</v>
      </c>
      <c r="C2761" t="s">
        <v>22</v>
      </c>
      <c r="D2761" s="2" t="s">
        <f>=HYPERLINK("https://main.knesset.gov.il/APPS/legislation/main/bills/2220956", "הצעת חוק העונשין (תיקון - מאבק בפשיעה החקלאית), התשפ""ד-2024 ")</f>
        <v>5796</v>
      </c>
      <c r="E2761" t="s">
        <v>5796</v>
      </c>
      <c r="F2761" t="s">
        <v>5797</v>
      </c>
      <c r="G2761" t="s">
        <v>14</v>
      </c>
      <c r="H2761">
             </c>
      <c r="I2761" t="s">
        <v>14</v>
      </c>
      <c r="J2761" t="s">
        <v>141</v>
      </c>
      <c r="K2761" t="s">
        <v>14</v>
      </c>
      <c r="L2761" t="s">
        <v>20</v>
      </c>
      <c r="M2761" t="s">
        <v>5746</v>
      </c>
      <c r="N2761" t="s">
        <v>14</v>
      </c>
    </row>
    <row r="2762" x14ac:dyDescent="0.25">
      <c r="A2762" t="n">
        <v>25</v>
      </c>
      <c r="B2762" t="s">
        <v>14</v>
      </c>
      <c r="C2762" t="s">
        <v>22</v>
      </c>
      <c r="D2762" s="2" t="s">
        <f>=HYPERLINK("https://main.knesset.gov.il/APPS/legislation/main/bills/2220553", "הצעת חוק לתיקון פקודת מס הכנסה (הוראת שעה - חרבות ברזל) (נקודות זיכוי בעד בן זוג במילואים), התשפ""ד-2024")</f>
        <v>5798</v>
      </c>
      <c r="E2762" t="s">
        <v>5798</v>
      </c>
      <c r="F2762" t="s">
        <v>5799</v>
      </c>
      <c r="G2762" t="s">
        <v>14</v>
      </c>
      <c r="H2762">
             </c>
      <c r="I2762" t="s">
        <v>14</v>
      </c>
      <c r="J2762" t="s">
        <v>141</v>
      </c>
      <c r="K2762" t="s">
        <v>14</v>
      </c>
      <c r="L2762" t="s">
        <v>20</v>
      </c>
      <c r="M2762" t="s">
        <v>5746</v>
      </c>
      <c r="N2762" t="s">
        <v>14</v>
      </c>
    </row>
    <row r="2763" x14ac:dyDescent="0.25">
      <c r="A2763" t="n">
        <v>25</v>
      </c>
      <c r="B2763" t="s">
        <v>14</v>
      </c>
      <c r="C2763" t="s">
        <v>22</v>
      </c>
      <c r="D2763" s="2" t="s">
        <f>=HYPERLINK("https://main.knesset.gov.il/APPS/legislation/main/bills/2220953", "הצעת חוק הסיוע המשפטי (תיקון - נפגעי עבירות מין), התשפ""ד-2024")</f>
        <v>5800</v>
      </c>
      <c r="E2763" t="s">
        <v>5800</v>
      </c>
      <c r="F2763" t="s">
        <v>5801</v>
      </c>
      <c r="G2763" t="s">
        <v>14</v>
      </c>
      <c r="H2763">
             </c>
      <c r="I2763" t="s">
        <v>14</v>
      </c>
      <c r="J2763" t="s">
        <v>141</v>
      </c>
      <c r="K2763" t="s">
        <v>14</v>
      </c>
      <c r="L2763" t="s">
        <v>20</v>
      </c>
      <c r="M2763" t="s">
        <v>5746</v>
      </c>
      <c r="N2763" t="s">
        <v>14</v>
      </c>
    </row>
    <row r="2764" x14ac:dyDescent="0.25">
      <c r="A2764" t="n">
        <v>25</v>
      </c>
      <c r="B2764" t="s">
        <v>14</v>
      </c>
      <c r="C2764" t="s">
        <v>22</v>
      </c>
      <c r="D2764" s="2" t="s">
        <f>=HYPERLINK("https://main.knesset.gov.il/APPS/legislation/main/bills/2220434", "הצעת חוק סל הקליטה (תיקון - זכאות בני משפחה של עולה), התשפ""ד-2024")</f>
        <v>5802</v>
      </c>
      <c r="E2764" t="s">
        <v>5802</v>
      </c>
      <c r="F2764" t="s">
        <v>5803</v>
      </c>
      <c r="G2764" t="s">
        <v>14</v>
      </c>
      <c r="H2764">
             </c>
      <c r="I2764" t="s">
        <v>14</v>
      </c>
      <c r="J2764" t="s">
        <v>141</v>
      </c>
      <c r="K2764" t="s">
        <v>14</v>
      </c>
      <c r="L2764" t="s">
        <v>20</v>
      </c>
      <c r="M2764" t="s">
        <v>5746</v>
      </c>
      <c r="N2764" t="s">
        <v>14</v>
      </c>
    </row>
    <row r="2765" x14ac:dyDescent="0.25">
      <c r="A2765" t="n">
        <v>25</v>
      </c>
      <c r="B2765" t="s">
        <v>14</v>
      </c>
      <c r="C2765" t="s">
        <v>22</v>
      </c>
      <c r="D2765" s="2" t="s">
        <f>=HYPERLINK("https://main.knesset.gov.il/APPS/legislation/main/bills/2219085", "הצעת חוק הביטוח הלאומי (תיקון - מענק לכיסוי הוצאות בלידת בית), התשפ""ד-2024")</f>
        <v>5804</v>
      </c>
      <c r="E2765" t="s">
        <v>5804</v>
      </c>
      <c r="F2765" t="s">
        <v>5805</v>
      </c>
      <c r="G2765" t="s">
        <v>14</v>
      </c>
      <c r="H2765">
             </c>
      <c r="I2765" t="s">
        <v>14</v>
      </c>
      <c r="J2765" t="s">
        <v>141</v>
      </c>
      <c r="K2765" t="s">
        <v>14</v>
      </c>
      <c r="L2765" t="s">
        <v>20</v>
      </c>
      <c r="M2765" t="s">
        <v>5746</v>
      </c>
      <c r="N2765" t="s">
        <v>14</v>
      </c>
    </row>
    <row r="2766" x14ac:dyDescent="0.25">
      <c r="A2766" t="n">
        <v>25</v>
      </c>
      <c r="B2766" t="s">
        <v>14</v>
      </c>
      <c r="C2766" t="s">
        <v>22</v>
      </c>
      <c r="D2766" s="2" t="s">
        <f>=HYPERLINK("https://main.knesset.gov.il/APPS/legislation/main/bills/2220432", "הצעת חוק לשכת עורכי הדין (תיקון - התמחות ומבחני הסמכה), התשפ""ד-2024")</f>
        <v>5806</v>
      </c>
      <c r="E2766" t="s">
        <v>5806</v>
      </c>
      <c r="F2766" t="s">
        <v>5807</v>
      </c>
      <c r="G2766" t="s">
        <v>14</v>
      </c>
      <c r="H2766">
             </c>
      <c r="I2766" t="s">
        <v>14</v>
      </c>
      <c r="J2766" t="s">
        <v>141</v>
      </c>
      <c r="K2766" t="s">
        <v>14</v>
      </c>
      <c r="L2766" t="s">
        <v>20</v>
      </c>
      <c r="M2766" t="s">
        <v>5746</v>
      </c>
      <c r="N2766" t="s">
        <v>14</v>
      </c>
    </row>
    <row r="2767" x14ac:dyDescent="0.25">
      <c r="A2767" t="n">
        <v>25</v>
      </c>
      <c r="B2767" t="s">
        <v>14</v>
      </c>
      <c r="C2767" t="s">
        <v>22</v>
      </c>
      <c r="D2767" s="2" t="s">
        <f>=HYPERLINK("https://main.knesset.gov.il/APPS/legislation/main/bills/2220901", "הצעת חוק משפחות חיילים שנספו במערכה (תגמולים ושיקום) (תיקון - תגמולים ושיקום לאישה שהיא הורה ליתומיו של נספה), התשפ""ד-2024")</f>
        <v>5808</v>
      </c>
      <c r="E2767" t="s">
        <v>5808</v>
      </c>
      <c r="F2767" t="s">
        <v>5809</v>
      </c>
      <c r="G2767" t="s">
        <v>14</v>
      </c>
      <c r="H2767">
             </c>
      <c r="I2767" t="s">
        <v>14</v>
      </c>
      <c r="J2767" t="s">
        <v>141</v>
      </c>
      <c r="K2767" t="s">
        <v>14</v>
      </c>
      <c r="L2767" t="s">
        <v>20</v>
      </c>
      <c r="M2767" t="s">
        <v>5746</v>
      </c>
      <c r="N2767" t="s">
        <v>14</v>
      </c>
    </row>
    <row r="2768" x14ac:dyDescent="0.25">
      <c r="A2768" t="n">
        <v>25</v>
      </c>
      <c r="B2768" t="s">
        <v>14</v>
      </c>
      <c r="C2768" t="s">
        <v>22</v>
      </c>
      <c r="D2768" s="2" t="s">
        <f>=HYPERLINK("https://main.knesset.gov.il/APPS/legislation/main/bills/2220532", "הצעת חוק התאמת לוח חופשות הלימודים לשעות העבודה והמנוחה במשק (תיקוני חקיקה), התשפ""ד-2024")</f>
        <v>5810</v>
      </c>
      <c r="E2768" t="s">
        <v>5810</v>
      </c>
      <c r="F2768" t="s">
        <v>5811</v>
      </c>
      <c r="G2768" t="s">
        <v>14</v>
      </c>
      <c r="H2768">
             </c>
      <c r="I2768" t="s">
        <v>14</v>
      </c>
      <c r="J2768" t="s">
        <v>141</v>
      </c>
      <c r="K2768" t="s">
        <v>14</v>
      </c>
      <c r="L2768" t="s">
        <v>20</v>
      </c>
      <c r="M2768" t="s">
        <v>5746</v>
      </c>
      <c r="N2768" t="s">
        <v>14</v>
      </c>
    </row>
    <row r="2769" x14ac:dyDescent="0.25">
      <c r="A2769" t="n">
        <v>25</v>
      </c>
      <c r="B2769" t="s">
        <v>14</v>
      </c>
      <c r="C2769" t="s">
        <v>22</v>
      </c>
      <c r="D2769" s="2" t="s">
        <f>=HYPERLINK("https://main.knesset.gov.il/APPS/legislation/main/bills/2220571", "הצעת חוק הפיקוח על מעונות יום לפעוטות (תיקון - סמכות משרד החינוך), התשפ""ד-2024")</f>
        <v>5812</v>
      </c>
      <c r="E2769" t="s">
        <v>5812</v>
      </c>
      <c r="F2769" t="s">
        <v>5813</v>
      </c>
      <c r="G2769" t="s">
        <v>14</v>
      </c>
      <c r="H2769">
             </c>
      <c r="I2769" t="s">
        <v>14</v>
      </c>
      <c r="J2769" t="s">
        <v>141</v>
      </c>
      <c r="K2769" t="s">
        <v>14</v>
      </c>
      <c r="L2769" t="s">
        <v>20</v>
      </c>
      <c r="M2769" t="s">
        <v>5746</v>
      </c>
      <c r="N2769" t="s">
        <v>14</v>
      </c>
    </row>
    <row r="2770" x14ac:dyDescent="0.25">
      <c r="A2770" t="n">
        <v>25</v>
      </c>
      <c r="B2770" t="s">
        <v>14</v>
      </c>
      <c r="C2770" t="s">
        <v>22</v>
      </c>
      <c r="D2770" s="2" t="s">
        <f>=HYPERLINK("https://main.knesset.gov.il/APPS/legislation/main/bills/2220962", "הצעת חוק המאבק בטרור (תיקון - סנקציות על מוסדות פיננסיים), התשפ""ד-2024")</f>
        <v>5814</v>
      </c>
      <c r="E2770" t="s">
        <v>5814</v>
      </c>
      <c r="F2770" t="s">
        <v>5815</v>
      </c>
      <c r="G2770" t="s">
        <v>14</v>
      </c>
      <c r="H2770">
             </c>
      <c r="I2770" t="s">
        <v>14</v>
      </c>
      <c r="J2770" t="s">
        <v>141</v>
      </c>
      <c r="K2770" t="s">
        <v>14</v>
      </c>
      <c r="L2770" t="s">
        <v>20</v>
      </c>
      <c r="M2770" t="s">
        <v>5746</v>
      </c>
      <c r="N2770" t="s">
        <v>14</v>
      </c>
    </row>
    <row r="2771" x14ac:dyDescent="0.25">
      <c r="A2771" t="n">
        <v>25</v>
      </c>
      <c r="B2771" t="s">
        <v>14</v>
      </c>
      <c r="C2771" t="s">
        <v>22</v>
      </c>
      <c r="D2771" s="2" t="s">
        <f>=HYPERLINK("https://main.knesset.gov.il/APPS/legislation/main/bills/2218280", "הצעת חוק מוכנות ותגובה לתקריות של זיהום הים והסביבה החופית בשמן, התשפ""ד-2024")</f>
        <v>5816</v>
      </c>
      <c r="E2771" t="s">
        <v>5816</v>
      </c>
      <c r="F2771" t="s">
        <v>5817</v>
      </c>
      <c r="G2771" t="s">
        <v>14</v>
      </c>
      <c r="H2771">
             </c>
      <c r="I2771" t="s">
        <v>14</v>
      </c>
      <c r="J2771" t="s">
        <v>141</v>
      </c>
      <c r="K2771" t="s">
        <v>14</v>
      </c>
      <c r="L2771" t="s">
        <v>20</v>
      </c>
      <c r="M2771" t="s">
        <v>5746</v>
      </c>
      <c r="N2771" t="s">
        <v>14</v>
      </c>
    </row>
    <row r="2772" x14ac:dyDescent="0.25">
      <c r="A2772" t="n">
        <v>25</v>
      </c>
      <c r="B2772" t="s">
        <v>14</v>
      </c>
      <c r="C2772" t="s">
        <v>22</v>
      </c>
      <c r="D2772" s="2" t="s">
        <f>=HYPERLINK("https://main.knesset.gov.il/APPS/legislation/main/bills/2220542", "הצעת חוק הנכים (תגמולים ושיקום) (תיקון - פצועים בשירות סדיר), התשפ""ד-2024")</f>
        <v>5818</v>
      </c>
      <c r="E2772" t="s">
        <v>5818</v>
      </c>
      <c r="F2772" t="s">
        <v>5819</v>
      </c>
      <c r="G2772" t="s">
        <v>14</v>
      </c>
      <c r="H2772">
             </c>
      <c r="I2772" t="s">
        <v>14</v>
      </c>
      <c r="J2772" t="s">
        <v>141</v>
      </c>
      <c r="K2772" t="s">
        <v>14</v>
      </c>
      <c r="L2772" t="s">
        <v>20</v>
      </c>
      <c r="M2772" t="s">
        <v>5746</v>
      </c>
      <c r="N2772" t="s">
        <v>14</v>
      </c>
    </row>
    <row r="2773" x14ac:dyDescent="0.25">
      <c r="A2773" t="n">
        <v>25</v>
      </c>
      <c r="B2773" t="s">
        <v>14</v>
      </c>
      <c r="C2773" t="s">
        <v>22</v>
      </c>
      <c r="D2773" s="2" t="s">
        <f>=HYPERLINK("https://main.knesset.gov.il/APPS/legislation/main/bills/2220640", "הצעת חוק התכנון והבנייה (תיקון - חובת הקמת מערכת סולארית לייצור חשמל במבנים), התשפ""ד-2024")</f>
        <v>5820</v>
      </c>
      <c r="E2773" t="s">
        <v>5820</v>
      </c>
      <c r="F2773" t="s">
        <v>5821</v>
      </c>
      <c r="G2773" t="s">
        <v>14</v>
      </c>
      <c r="H2773">
             </c>
      <c r="I2773" t="s">
        <v>14</v>
      </c>
      <c r="J2773" t="s">
        <v>141</v>
      </c>
      <c r="K2773" t="s">
        <v>14</v>
      </c>
      <c r="L2773" t="s">
        <v>20</v>
      </c>
      <c r="M2773" t="s">
        <v>5746</v>
      </c>
      <c r="N2773" t="s">
        <v>14</v>
      </c>
    </row>
    <row r="2774" x14ac:dyDescent="0.25">
      <c r="A2774" t="n">
        <v>25</v>
      </c>
      <c r="B2774" t="s">
        <v>14</v>
      </c>
      <c r="C2774" t="s">
        <v>22</v>
      </c>
      <c r="D2774" s="2" t="s">
        <f>=HYPERLINK("https://main.knesset.gov.il/APPS/legislation/main/bills/2220539", "הצעת חוק חובת המכרזים (תיקון - עידוד עסקים קטנים ובינוניים בשליטת משרתי מילואים), התשפ""ד-2024")</f>
        <v>5822</v>
      </c>
      <c r="E2774" t="s">
        <v>5822</v>
      </c>
      <c r="F2774" t="s">
        <v>5823</v>
      </c>
      <c r="G2774" t="s">
        <v>14</v>
      </c>
      <c r="H2774">
             </c>
      <c r="I2774" t="s">
        <v>14</v>
      </c>
      <c r="J2774" t="s">
        <v>141</v>
      </c>
      <c r="K2774" t="s">
        <v>14</v>
      </c>
      <c r="L2774" t="s">
        <v>20</v>
      </c>
      <c r="M2774" t="s">
        <v>5746</v>
      </c>
      <c r="N2774" t="s">
        <v>14</v>
      </c>
    </row>
    <row r="2775" x14ac:dyDescent="0.25">
      <c r="A2775" t="n">
        <v>25</v>
      </c>
      <c r="B2775" t="s">
        <v>14</v>
      </c>
      <c r="C2775" t="s">
        <v>22</v>
      </c>
      <c r="D2775" s="2" t="s">
        <f>=HYPERLINK("https://main.knesset.gov.il/APPS/legislation/main/bills/2220544", "הצעת חוק הרשויות המקומיות (פטור חיילים, נפגעי מלחמה ושוטרים מארנונה) (תיקון - פטור מארנונה לבית עסק של משרת בשירות מילואים פעיל), התשפ""ד-2024")</f>
        <v>5824</v>
      </c>
      <c r="E2775" t="s">
        <v>5824</v>
      </c>
      <c r="F2775" t="s">
        <v>5825</v>
      </c>
      <c r="G2775" t="s">
        <v>14</v>
      </c>
      <c r="H2775">
             </c>
      <c r="I2775" t="s">
        <v>14</v>
      </c>
      <c r="J2775" t="s">
        <v>141</v>
      </c>
      <c r="K2775" t="s">
        <v>14</v>
      </c>
      <c r="L2775" t="s">
        <v>20</v>
      </c>
      <c r="M2775" t="s">
        <v>5746</v>
      </c>
      <c r="N2775" t="s">
        <v>14</v>
      </c>
    </row>
    <row r="2776" x14ac:dyDescent="0.25">
      <c r="A2776" t="n">
        <v>25</v>
      </c>
      <c r="B2776" t="s">
        <v>14</v>
      </c>
      <c r="C2776" t="s">
        <v>22</v>
      </c>
      <c r="D2776" s="2" t="s">
        <f>=HYPERLINK("https://main.knesset.gov.il/APPS/legislation/main/bills/2220536", "הצעת חוק החיילים המשוחררים (החזרה לעבודה) (תיקון - הרחבת תקופת הגנה מפני פיטורים למשרתים במילואים), התשפ""ד-2024")</f>
        <v>5826</v>
      </c>
      <c r="E2776" t="s">
        <v>5826</v>
      </c>
      <c r="F2776" t="s">
        <v>5827</v>
      </c>
      <c r="G2776" t="s">
        <v>14</v>
      </c>
      <c r="H2776">
             </c>
      <c r="I2776" t="s">
        <v>14</v>
      </c>
      <c r="J2776" t="s">
        <v>141</v>
      </c>
      <c r="K2776" t="s">
        <v>14</v>
      </c>
      <c r="L2776" t="s">
        <v>20</v>
      </c>
      <c r="M2776" t="s">
        <v>5746</v>
      </c>
      <c r="N2776" t="s">
        <v>14</v>
      </c>
    </row>
    <row r="2777" x14ac:dyDescent="0.25">
      <c r="A2777" t="n">
        <v>25</v>
      </c>
      <c r="B2777" t="s">
        <v>14</v>
      </c>
      <c r="C2777" t="s">
        <v>22</v>
      </c>
      <c r="D2777" s="2" t="s">
        <f>=HYPERLINK("https://main.knesset.gov.il/APPS/legislation/main/bills/2220653", "הצעת חוק-יסוד: הממשלה (תיקון - תקופת כהונה מרבית בתפקיד ראש הממשלה)")</f>
        <v>5828</v>
      </c>
      <c r="E2777" t="s">
        <v>5828</v>
      </c>
      <c r="F2777" t="s">
        <v>5829</v>
      </c>
      <c r="G2777" t="s">
        <v>14</v>
      </c>
      <c r="H2777">
             </c>
      <c r="I2777" t="s">
        <v>14</v>
      </c>
      <c r="J2777" t="s">
        <v>141</v>
      </c>
      <c r="K2777" t="s">
        <v>14</v>
      </c>
      <c r="L2777" t="s">
        <v>20</v>
      </c>
      <c r="M2777" t="s">
        <v>5746</v>
      </c>
      <c r="N2777" t="s">
        <v>14</v>
      </c>
    </row>
    <row r="2778" x14ac:dyDescent="0.25">
      <c r="A2778" t="n">
        <v>25</v>
      </c>
      <c r="B2778" t="s">
        <v>14</v>
      </c>
      <c r="C2778" t="s">
        <v>22</v>
      </c>
      <c r="D2778" s="2" t="s">
        <f>=HYPERLINK("https://main.knesset.gov.il/APPS/legislation/main/bills/2220666", "הצעת חוק תחנות טיפת חלב, התשפ''ד-2024")</f>
        <v>5830</v>
      </c>
      <c r="E2778" t="s">
        <v>5830</v>
      </c>
      <c r="F2778" t="s">
        <v>5831</v>
      </c>
      <c r="G2778" t="s">
        <v>14</v>
      </c>
      <c r="H2778">
             </c>
      <c r="I2778" t="s">
        <v>14</v>
      </c>
      <c r="J2778" t="s">
        <v>141</v>
      </c>
      <c r="K2778" t="s">
        <v>14</v>
      </c>
      <c r="L2778" t="s">
        <v>20</v>
      </c>
      <c r="M2778" t="s">
        <v>5746</v>
      </c>
      <c r="N2778" t="s">
        <v>14</v>
      </c>
    </row>
    <row r="2779" x14ac:dyDescent="0.25">
      <c r="A2779" t="n">
        <v>25</v>
      </c>
      <c r="B2779" t="s">
        <v>14</v>
      </c>
      <c r="C2779" t="s">
        <v>22</v>
      </c>
      <c r="D2779" s="2" t="s">
        <f>=HYPERLINK("https://main.knesset.gov.il/APPS/legislation/main/bills/2220543", "הצעת חוק תחנות טיפת חלב, התשפ''ד-2024")</f>
        <v>5830</v>
      </c>
      <c r="E2779" t="s">
        <v>5830</v>
      </c>
      <c r="F2779" t="s">
        <v>5832</v>
      </c>
      <c r="G2779" t="s">
        <v>14</v>
      </c>
      <c r="H2779">
             </c>
      <c r="I2779" t="s">
        <v>14</v>
      </c>
      <c r="J2779" t="s">
        <v>141</v>
      </c>
      <c r="K2779" t="s">
        <v>14</v>
      </c>
      <c r="L2779" t="s">
        <v>20</v>
      </c>
      <c r="M2779" t="s">
        <v>5746</v>
      </c>
      <c r="N2779" t="s">
        <v>14</v>
      </c>
    </row>
    <row r="2780" x14ac:dyDescent="0.25">
      <c r="A2780" t="n">
        <v>25</v>
      </c>
      <c r="B2780" t="s">
        <v>14</v>
      </c>
      <c r="C2780" t="s">
        <v>22</v>
      </c>
      <c r="D2780" s="2" t="s">
        <f>=HYPERLINK("https://main.knesset.gov.il/APPS/legislation/main/bills/2220680", "הצעת חוק הכנסת (תיקון – חובת התייצבות בפני ועדות הכנסת), התשפ""ד–2024")</f>
        <v>5833</v>
      </c>
      <c r="E2780" t="s">
        <v>5833</v>
      </c>
      <c r="F2780" t="s">
        <v>5834</v>
      </c>
      <c r="G2780" t="s">
        <v>14</v>
      </c>
      <c r="H2780">
             </c>
      <c r="I2780" t="s">
        <v>14</v>
      </c>
      <c r="J2780" t="s">
        <v>141</v>
      </c>
      <c r="K2780" t="s">
        <v>14</v>
      </c>
      <c r="L2780" t="s">
        <v>20</v>
      </c>
      <c r="M2780" t="s">
        <v>5746</v>
      </c>
      <c r="N2780" t="s">
        <v>14</v>
      </c>
    </row>
    <row r="2781" x14ac:dyDescent="0.25">
      <c r="A2781" t="n">
        <v>25</v>
      </c>
      <c r="B2781" t="s">
        <v>14</v>
      </c>
      <c r="C2781" t="s">
        <v>22</v>
      </c>
      <c r="D2781" s="2" t="s">
        <f>=HYPERLINK("https://main.knesset.gov.il/APPS/legislation/main/bills/2220658", "הצעת חוק זיכרון השואה והגבורה - יד ושם (תיקון - הנצחת גבורתם ופעילותם של יהודים שחרפו נפשם על מנת להציל את בני עמם בשטחים הכבושים על ידי הנאצים), התשפ""ד-2024")</f>
        <v>5835</v>
      </c>
      <c r="E2781" t="s">
        <v>5835</v>
      </c>
      <c r="F2781" t="s">
        <v>5836</v>
      </c>
      <c r="G2781" t="s">
        <v>14</v>
      </c>
      <c r="H2781">
             </c>
      <c r="I2781" t="s">
        <v>14</v>
      </c>
      <c r="J2781" t="s">
        <v>141</v>
      </c>
      <c r="K2781" t="s">
        <v>14</v>
      </c>
      <c r="L2781" t="s">
        <v>20</v>
      </c>
      <c r="M2781" t="s">
        <v>5746</v>
      </c>
      <c r="N2781" t="s">
        <v>14</v>
      </c>
    </row>
    <row r="2782" x14ac:dyDescent="0.25">
      <c r="A2782" t="n">
        <v>25</v>
      </c>
      <c r="B2782" t="s">
        <v>14</v>
      </c>
      <c r="C2782" t="s">
        <v>22</v>
      </c>
      <c r="D2782" s="2" t="s">
        <f>=HYPERLINK("https://main.knesset.gov.il/APPS/legislation/main/bills/2220535", "הצעת חוק החיילים המשוחררים (החזרה לעבודה) (תיקון - צבירת חופשה למשרתים במילואים), התשפ""ד-2024")</f>
        <v>5837</v>
      </c>
      <c r="E2782" t="s">
        <v>5837</v>
      </c>
      <c r="F2782" t="s">
        <v>5838</v>
      </c>
      <c r="G2782" t="s">
        <v>14</v>
      </c>
      <c r="H2782">
             </c>
      <c r="I2782" t="s">
        <v>14</v>
      </c>
      <c r="J2782" t="s">
        <v>141</v>
      </c>
      <c r="K2782" t="s">
        <v>14</v>
      </c>
      <c r="L2782" t="s">
        <v>20</v>
      </c>
      <c r="M2782" t="s">
        <v>5746</v>
      </c>
      <c r="N2782" t="s">
        <v>14</v>
      </c>
    </row>
    <row r="2783" x14ac:dyDescent="0.25">
      <c r="A2783" t="n">
        <v>25</v>
      </c>
      <c r="B2783" t="s">
        <v>14</v>
      </c>
      <c r="C2783" t="s">
        <v>22</v>
      </c>
      <c r="D2783" s="2" t="s">
        <f>=HYPERLINK("https://main.knesset.gov.il/APPS/legislation/main/bills/2197154", "הצעת חוק להפסקת פעילות סוכנות הסעד והתעסוקה של האו""ם לפליטי פלסטין במזרח הקרוב (אונר""א), התשפ""ג-2022")</f>
        <v>5839</v>
      </c>
      <c r="E2783" t="s">
        <v>5839</v>
      </c>
      <c r="F2783" t="s">
        <v>5840</v>
      </c>
      <c r="G2783" t="s">
        <v>14</v>
      </c>
      <c r="H2783">
             </c>
      <c r="I2783" t="s">
        <v>14</v>
      </c>
      <c r="J2783" t="s">
        <v>99</v>
      </c>
      <c r="K2783" t="s">
        <v>114</v>
      </c>
      <c r="L2783" t="s">
        <v>20</v>
      </c>
      <c r="M2783" t="s">
        <v>5746</v>
      </c>
      <c r="N2783" t="s">
        <v>14</v>
      </c>
    </row>
    <row r="2784" x14ac:dyDescent="0.25">
      <c r="A2784" t="n">
        <v>25</v>
      </c>
      <c r="B2784" t="s">
        <v>14</v>
      </c>
      <c r="C2784" t="s">
        <v>22</v>
      </c>
      <c r="D2784" s="2" t="s">
        <f>=HYPERLINK("https://main.knesset.gov.il/APPS/legislation/main/bills/2207619", "הצעת חוק העונשין (תיקון - חזקת סוחר בכלי נשק), התשפ""ג-2023")</f>
        <v>5841</v>
      </c>
      <c r="E2784" t="s">
        <v>5841</v>
      </c>
      <c r="F2784" t="s">
        <v>5842</v>
      </c>
      <c r="G2784" t="s">
        <v>14</v>
      </c>
      <c r="H2784">
             </c>
      <c r="I2784" t="s">
        <v>14</v>
      </c>
      <c r="J2784" t="s">
        <v>99</v>
      </c>
      <c r="K2784" t="s">
        <v>27</v>
      </c>
      <c r="L2784" t="s">
        <v>20</v>
      </c>
      <c r="M2784" t="s">
        <v>5843</v>
      </c>
      <c r="N2784" t="s">
        <v>14</v>
      </c>
    </row>
    <row r="2785" x14ac:dyDescent="0.25">
      <c r="A2785" t="n">
        <v>25</v>
      </c>
      <c r="B2785" t="s">
        <v>14</v>
      </c>
      <c r="C2785" t="s">
        <v>22</v>
      </c>
      <c r="D2785" s="2" t="s">
        <f>=HYPERLINK("https://main.knesset.gov.il/APPS/legislation/main/bills/2200153", "הצעת חוק הסיוע המשפטי (תיקון - נפגעי עבירות מין), התשפ""ג-2023")</f>
        <v>5844</v>
      </c>
      <c r="E2785" t="s">
        <v>5844</v>
      </c>
      <c r="F2785" t="s">
        <v>5845</v>
      </c>
      <c r="G2785" t="s">
        <v>14</v>
      </c>
      <c r="H2785">
             </c>
      <c r="I2785" t="s">
        <v>14</v>
      </c>
      <c r="J2785" t="s">
        <v>99</v>
      </c>
      <c r="K2785" t="s">
        <v>27</v>
      </c>
      <c r="L2785" t="s">
        <v>20</v>
      </c>
      <c r="M2785" t="s">
        <v>5843</v>
      </c>
      <c r="N2785" t="s">
        <v>14</v>
      </c>
    </row>
    <row r="2786" x14ac:dyDescent="0.25">
      <c r="A2786" t="n">
        <v>25</v>
      </c>
      <c r="B2786" t="s">
        <v>14</v>
      </c>
      <c r="C2786" t="s">
        <v>22</v>
      </c>
      <c r="D2786" s="2" t="s">
        <f>=HYPERLINK("https://main.knesset.gov.il/APPS/legislation/main/bills/2197036", "הצעת חוק צער בעלי חיים (הגנה על בעלי חיים) (תיקון מס' 12) (איסור עיסוק ברבייה ובמכירה של כלבים ללא היתר), התשפ""ד–2024")</f>
        <v>5846</v>
      </c>
      <c r="E2786" t="s">
        <v>5846</v>
      </c>
      <c r="F2786" t="s">
        <v>5847</v>
      </c>
      <c r="G2786" t="s">
        <v>5848</v>
      </c>
      <c r="H2786">
             </c>
      <c r="I2786" t="s">
        <v>26</v>
      </c>
      <c r="J2786" t="s">
        <v>18</v>
      </c>
      <c r="K2786" t="s">
        <v>34</v>
      </c>
      <c r="L2786" t="s">
        <v>20</v>
      </c>
      <c r="M2786" t="s">
        <v>5849</v>
      </c>
      <c r="N2786" t="s">
        <v>14</v>
      </c>
    </row>
    <row r="2787" x14ac:dyDescent="0.25">
      <c r="A2787" t="n">
        <v>25</v>
      </c>
      <c r="B2787" t="s">
        <v>14</v>
      </c>
      <c r="C2787" t="s">
        <v>22</v>
      </c>
      <c r="D2787" s="2" t="s">
        <f>=HYPERLINK("https://main.knesset.gov.il/APPS/legislation/main/bills/2217565", "הצעת חוק ביטוח בריאות ממלכתי (תיקון - מתן מענה מנומק על ידי קופת החולים), התשפ""ד-2024")</f>
        <v>5850</v>
      </c>
      <c r="E2787" t="s">
        <v>5850</v>
      </c>
      <c r="F2787" t="s">
        <v>5851</v>
      </c>
      <c r="G2787" t="s">
        <v>14</v>
      </c>
      <c r="H2787">
             </c>
      <c r="I2787" t="s">
        <v>14</v>
      </c>
      <c r="J2787" t="s">
        <v>31</v>
      </c>
      <c r="K2787" t="s">
        <v>480</v>
      </c>
      <c r="L2787" t="s">
        <v>20</v>
      </c>
      <c r="M2787" t="s">
        <v>5849</v>
      </c>
      <c r="N2787" t="s">
        <v>14</v>
      </c>
    </row>
    <row r="2788" x14ac:dyDescent="0.25">
      <c r="A2788" t="n">
        <v>25</v>
      </c>
      <c r="B2788" t="s">
        <v>14</v>
      </c>
      <c r="C2788" t="s">
        <v>22</v>
      </c>
      <c r="D2788" s="2" t="s">
        <f>=HYPERLINK("https://main.knesset.gov.il/APPS/legislation/main/bills/2215076", "הצעת חוק ביטוח בריאות ממלכתי (תיקון - מתן מענה מנומק על ידי קופת החולים), התשפ""ד-2024")</f>
        <v>5850</v>
      </c>
      <c r="E2788" t="s">
        <v>5850</v>
      </c>
      <c r="F2788" t="s">
        <v>5852</v>
      </c>
      <c r="G2788" t="s">
        <v>14</v>
      </c>
      <c r="H2788">
             </c>
      <c r="I2788" t="s">
        <v>14</v>
      </c>
      <c r="J2788" t="s">
        <v>31</v>
      </c>
      <c r="K2788" t="s">
        <v>480</v>
      </c>
      <c r="L2788" t="s">
        <v>20</v>
      </c>
      <c r="M2788" t="s">
        <v>5849</v>
      </c>
      <c r="N2788" t="s">
        <v>14</v>
      </c>
    </row>
    <row r="2789" x14ac:dyDescent="0.25">
      <c r="A2789" t="n">
        <v>25</v>
      </c>
      <c r="B2789" t="s">
        <v>14</v>
      </c>
      <c r="C2789" t="s">
        <v>22</v>
      </c>
      <c r="D2789" s="2" t="s">
        <f>=HYPERLINK("https://main.knesset.gov.il/APPS/legislation/main/bills/2213398", "הצעת חוק ביטוח בריאות ממלכתי (תיקון מס' 70) (מענה מנומק על אי-אישור קבלת שירות בריאות מקופת חולים), התשפ""ד–2024")</f>
        <v>5853</v>
      </c>
      <c r="E2789" t="s">
        <v>5853</v>
      </c>
      <c r="F2789" t="s">
        <v>5854</v>
      </c>
      <c r="G2789" t="s">
        <v>5855</v>
      </c>
      <c r="H2789">
             </c>
      <c r="I2789" t="s">
        <v>14</v>
      </c>
      <c r="J2789" t="s">
        <v>18</v>
      </c>
      <c r="K2789" t="s">
        <v>480</v>
      </c>
      <c r="L2789" t="s">
        <v>20</v>
      </c>
      <c r="M2789" t="s">
        <v>5849</v>
      </c>
      <c r="N2789" t="s">
        <v>14</v>
      </c>
    </row>
    <row r="2790" x14ac:dyDescent="0.25">
      <c r="A2790" t="n">
        <v>25</v>
      </c>
      <c r="B2790" t="s">
        <v>14</v>
      </c>
      <c r="C2790" t="s">
        <v>22</v>
      </c>
      <c r="D2790" s="2" t="s">
        <f>=HYPERLINK("https://main.knesset.gov.il/APPS/legislation/main/bills/2208047", "הצעת חוק הכשרות המשפטית והאפוטרופסות (תיקון - סמכויות האפוטרופוס), התשפ""ג-2023")</f>
        <v>5856</v>
      </c>
      <c r="E2790" t="s">
        <v>5856</v>
      </c>
      <c r="F2790" t="s">
        <v>5857</v>
      </c>
      <c r="G2790" t="s">
        <v>14</v>
      </c>
      <c r="H2790">
             </c>
      <c r="I2790" t="s">
        <v>14</v>
      </c>
      <c r="J2790" t="s">
        <v>99</v>
      </c>
      <c r="K2790" t="s">
        <v>27</v>
      </c>
      <c r="L2790" t="s">
        <v>20</v>
      </c>
      <c r="M2790" t="s">
        <v>5849</v>
      </c>
      <c r="N2790" t="s">
        <v>14</v>
      </c>
    </row>
    <row r="2791" x14ac:dyDescent="0.25">
      <c r="A2791" t="n">
        <v>25</v>
      </c>
      <c r="B2791" t="s">
        <v>14</v>
      </c>
      <c r="C2791" t="s">
        <v>22</v>
      </c>
      <c r="D2791" s="2" t="s">
        <f>=HYPERLINK("https://main.knesset.gov.il/APPS/legislation/main/bills/2200510", "הצעת חוק עקרונות האסדרה (תיקון - פקיעת אסדרה), התשפ""ג-2023")</f>
        <v>5858</v>
      </c>
      <c r="E2791" t="s">
        <v>5858</v>
      </c>
      <c r="F2791" t="s">
        <v>5859</v>
      </c>
      <c r="G2791" t="s">
        <v>14</v>
      </c>
      <c r="H2791">
             </c>
      <c r="I2791" t="s">
        <v>14</v>
      </c>
      <c r="J2791" t="s">
        <v>99</v>
      </c>
      <c r="K2791" t="s">
        <v>27</v>
      </c>
      <c r="L2791" t="s">
        <v>20</v>
      </c>
      <c r="M2791" t="s">
        <v>5860</v>
      </c>
      <c r="N2791" t="s">
        <v>14</v>
      </c>
    </row>
    <row r="2792" x14ac:dyDescent="0.25">
      <c r="A2792" t="n">
        <v>25</v>
      </c>
      <c r="B2792" t="s">
        <v>14</v>
      </c>
      <c r="C2792" t="s">
        <v>22</v>
      </c>
      <c r="D2792" s="2" t="s">
        <f>=HYPERLINK("https://main.knesset.gov.il/APPS/legislation/main/bills/2218845", "הצעת חוק המועצה להשכלה גבוהה (תיקון - פיטורי סגל אקדמי בשל הסתה או תמיכה בטרור והפחתת תקציב), התשפ""ד-2024")</f>
        <v>5861</v>
      </c>
      <c r="E2792" t="s">
        <v>5861</v>
      </c>
      <c r="F2792" t="s">
        <v>5862</v>
      </c>
      <c r="G2792" t="s">
        <v>14</v>
      </c>
      <c r="H2792">
             </c>
      <c r="I2792" t="s">
        <v>14</v>
      </c>
      <c r="J2792" t="s">
        <v>31</v>
      </c>
      <c r="K2792" t="s">
        <v>34</v>
      </c>
      <c r="L2792" t="s">
        <v>20</v>
      </c>
      <c r="M2792" t="s">
        <v>5860</v>
      </c>
      <c r="N2792" t="s">
        <v>14</v>
      </c>
    </row>
    <row r="2793" x14ac:dyDescent="0.25">
      <c r="A2793" t="n">
        <v>25</v>
      </c>
      <c r="B2793" t="s">
        <v>14</v>
      </c>
      <c r="C2793" t="s">
        <v>15</v>
      </c>
      <c r="D2793" s="2" t="s">
        <f>=HYPERLINK("https://main.knesset.gov.il/APPS/legislation/main/bills/2220380", "חוק מניעת פגיעת גוף שידורים זר בביטחון המדינה (הוראת שעה – חרבות ברזל) (תיקון), התשפ""ד–2024")</f>
        <v>5863</v>
      </c>
      <c r="E2793" t="s">
        <v>5863</v>
      </c>
      <c r="F2793" t="s">
        <v>14</v>
      </c>
      <c r="G2793" t="s">
        <v>5864</v>
      </c>
      <c r="H2793" t="n">
        <v>3253</v>
      </c>
      <c r="I2793" t="s">
        <v>14</v>
      </c>
      <c r="J2793" t="s">
        <v>91</v>
      </c>
      <c r="K2793" t="s">
        <v>105</v>
      </c>
      <c r="L2793" t="s">
        <v>20</v>
      </c>
      <c r="M2793" t="s">
        <v>5860</v>
      </c>
      <c r="N2793" t="s">
        <v>5865</v>
      </c>
    </row>
    <row r="2794" x14ac:dyDescent="0.25">
      <c r="A2794" t="n">
        <v>25</v>
      </c>
      <c r="B2794" t="s">
        <v>14</v>
      </c>
      <c r="C2794" t="s">
        <v>22</v>
      </c>
      <c r="D2794" s="2" t="s">
        <f>=HYPERLINK("https://main.knesset.gov.il/APPS/legislation/main/bills/2218628", "הצעת חוק הקמת ועדת חקירה ממלכתית לאירועי 7 באוקטובר ומלחמת חרבות ברזל, התשפ""ד-2024")</f>
        <v>5866</v>
      </c>
      <c r="E2794" t="s">
        <v>5866</v>
      </c>
      <c r="F2794" t="s">
        <v>5867</v>
      </c>
      <c r="G2794" t="s">
        <v>14</v>
      </c>
      <c r="H2794">
             </c>
      <c r="I2794" t="s">
        <v>14</v>
      </c>
      <c r="J2794" t="s">
        <v>55</v>
      </c>
      <c r="K2794" t="s">
        <v>14</v>
      </c>
      <c r="L2794" t="s">
        <v>20</v>
      </c>
      <c r="M2794" t="s">
        <v>5860</v>
      </c>
      <c r="N2794" t="s">
        <v>14</v>
      </c>
    </row>
    <row r="2795" x14ac:dyDescent="0.25">
      <c r="A2795" t="n">
        <v>25</v>
      </c>
      <c r="B2795" t="s">
        <v>14</v>
      </c>
      <c r="C2795" t="s">
        <v>22</v>
      </c>
      <c r="D2795" s="2" t="s">
        <f>=HYPERLINK("https://main.knesset.gov.il/APPS/legislation/main/bills/2218567", "הצעת חוק הקמת ועדת חקירה ממלכתית לאירועי 7 באוקטובר, התשפ""ד-2024")</f>
        <v>5868</v>
      </c>
      <c r="E2795" t="s">
        <v>5868</v>
      </c>
      <c r="F2795" t="s">
        <v>5869</v>
      </c>
      <c r="G2795" t="s">
        <v>14</v>
      </c>
      <c r="H2795">
             </c>
      <c r="I2795" t="s">
        <v>14</v>
      </c>
      <c r="J2795" t="s">
        <v>55</v>
      </c>
      <c r="K2795" t="s">
        <v>14</v>
      </c>
      <c r="L2795" t="s">
        <v>20</v>
      </c>
      <c r="M2795" t="s">
        <v>5860</v>
      </c>
      <c r="N2795" t="s">
        <v>14</v>
      </c>
    </row>
    <row r="2796" x14ac:dyDescent="0.25">
      <c r="A2796" t="n">
        <v>25</v>
      </c>
      <c r="B2796" t="s">
        <v>14</v>
      </c>
      <c r="C2796" t="s">
        <v>22</v>
      </c>
      <c r="D2796" s="2" t="s">
        <f>=HYPERLINK("https://main.knesset.gov.il/APPS/legislation/main/bills/2212318", "הצעת חוק היחידה המיוחדת לחילופי מידע של גופי הביטחון והרשויות האזרחיות, התשפ""ד-2024 ")</f>
        <v>5870</v>
      </c>
      <c r="E2796" t="s">
        <v>5870</v>
      </c>
      <c r="F2796" t="s">
        <v>5871</v>
      </c>
      <c r="G2796" t="s">
        <v>14</v>
      </c>
      <c r="H2796">
             </c>
      <c r="I2796" t="s">
        <v>14</v>
      </c>
      <c r="J2796" t="s">
        <v>55</v>
      </c>
      <c r="K2796" t="s">
        <v>14</v>
      </c>
      <c r="L2796" t="s">
        <v>20</v>
      </c>
      <c r="M2796" t="s">
        <v>5860</v>
      </c>
      <c r="N2796" t="s">
        <v>14</v>
      </c>
    </row>
    <row r="2797" x14ac:dyDescent="0.25">
      <c r="A2797" t="n">
        <v>25</v>
      </c>
      <c r="B2797" t="s">
        <v>14</v>
      </c>
      <c r="C2797" t="s">
        <v>22</v>
      </c>
      <c r="D2797" s="2" t="s">
        <f>=HYPERLINK("https://main.knesset.gov.il/APPS/legislation/main/bills/2212839", "הצעת חוק הביטוח הלאומי (תיקון - החשבת תקופת מילואים לעניין עבודה מועדפת), התשפ""ד-2024")</f>
        <v>5872</v>
      </c>
      <c r="E2797" t="s">
        <v>5872</v>
      </c>
      <c r="F2797" t="s">
        <v>5873</v>
      </c>
      <c r="G2797" t="s">
        <v>14</v>
      </c>
      <c r="H2797">
             </c>
      <c r="I2797" t="s">
        <v>14</v>
      </c>
      <c r="J2797" t="s">
        <v>343</v>
      </c>
      <c r="K2797" t="s">
        <v>14</v>
      </c>
      <c r="L2797" t="s">
        <v>20</v>
      </c>
      <c r="M2797" t="s">
        <v>5860</v>
      </c>
      <c r="N2797" t="s">
        <v>14</v>
      </c>
    </row>
    <row r="2798" x14ac:dyDescent="0.25">
      <c r="A2798" t="n">
        <v>25</v>
      </c>
      <c r="B2798" t="s">
        <v>14</v>
      </c>
      <c r="C2798" t="s">
        <v>22</v>
      </c>
      <c r="D2798" s="2" t="s">
        <f>=HYPERLINK("https://main.knesset.gov.il/APPS/legislation/main/bills/2211486", "הצעת חוק הביטוח הלאומי (תיקון - הארכת תקופת הזכאות למענק עבודה מועדפת בחקלאות ובבנייה) (הוראת שעה), התשפ""ד-2024")</f>
        <v>5874</v>
      </c>
      <c r="E2798" t="s">
        <v>5874</v>
      </c>
      <c r="F2798" t="s">
        <v>5875</v>
      </c>
      <c r="G2798" t="s">
        <v>14</v>
      </c>
      <c r="H2798">
             </c>
      <c r="I2798" t="s">
        <v>14</v>
      </c>
      <c r="J2798" t="s">
        <v>343</v>
      </c>
      <c r="K2798" t="s">
        <v>14</v>
      </c>
      <c r="L2798" t="s">
        <v>20</v>
      </c>
      <c r="M2798" t="s">
        <v>5860</v>
      </c>
      <c r="N2798" t="s">
        <v>14</v>
      </c>
    </row>
    <row r="2799" x14ac:dyDescent="0.25">
      <c r="A2799" t="n">
        <v>25</v>
      </c>
      <c r="B2799" t="s">
        <v>14</v>
      </c>
      <c r="C2799" t="s">
        <v>22</v>
      </c>
      <c r="D2799" s="2" t="s">
        <f>=HYPERLINK("https://main.knesset.gov.il/APPS/legislation/main/bills/2211050", "הצעת חוק יום הזיכרון לטבח שמחת תורה, התשפ""ד-2023")</f>
        <v>5876</v>
      </c>
      <c r="E2799" t="s">
        <v>5876</v>
      </c>
      <c r="F2799" t="s">
        <v>5877</v>
      </c>
      <c r="G2799" t="s">
        <v>14</v>
      </c>
      <c r="H2799">
             </c>
      <c r="I2799" t="s">
        <v>14</v>
      </c>
      <c r="J2799" t="s">
        <v>55</v>
      </c>
      <c r="K2799" t="s">
        <v>14</v>
      </c>
      <c r="L2799" t="s">
        <v>20</v>
      </c>
      <c r="M2799" t="s">
        <v>5860</v>
      </c>
      <c r="N2799" t="s">
        <v>14</v>
      </c>
    </row>
    <row r="2800" x14ac:dyDescent="0.25">
      <c r="A2800" t="n">
        <v>25</v>
      </c>
      <c r="B2800" t="s">
        <v>14</v>
      </c>
      <c r="C2800" t="s">
        <v>22</v>
      </c>
      <c r="D2800" s="2" t="s">
        <f>=HYPERLINK("https://main.knesset.gov.il/APPS/legislation/main/bills/2205846", "הצעת חוק הביטוח הלאומי (תיקון - עבודה במסגרות טיפוליות), התשפ""ג-2023")</f>
        <v>5878</v>
      </c>
      <c r="E2800" t="s">
        <v>5878</v>
      </c>
      <c r="F2800" t="s">
        <v>5879</v>
      </c>
      <c r="G2800" t="s">
        <v>14</v>
      </c>
      <c r="H2800">
             </c>
      <c r="I2800" t="s">
        <v>14</v>
      </c>
      <c r="J2800" t="s">
        <v>343</v>
      </c>
      <c r="K2800" t="s">
        <v>14</v>
      </c>
      <c r="L2800" t="s">
        <v>20</v>
      </c>
      <c r="M2800" t="s">
        <v>5860</v>
      </c>
      <c r="N2800" t="s">
        <v>14</v>
      </c>
    </row>
    <row r="2801" x14ac:dyDescent="0.25">
      <c r="A2801" t="n">
        <v>25</v>
      </c>
      <c r="B2801" t="s">
        <v>14</v>
      </c>
      <c r="C2801" t="s">
        <v>22</v>
      </c>
      <c r="D2801" s="2" t="s">
        <f>=HYPERLINK("https://main.knesset.gov.il/APPS/legislation/main/bills/2199467", "הצעת חוק להענקת זכויות במקרקעין ביישוב מיעוטים למי שנבצר ממנו להשלים את שירותו הצבאי ולאלמנות צה""ל (תיקוני חקיקה), התשפ""ג-2023")</f>
        <v>5880</v>
      </c>
      <c r="E2801" t="s">
        <v>5880</v>
      </c>
      <c r="F2801" t="s">
        <v>5881</v>
      </c>
      <c r="G2801" t="s">
        <v>14</v>
      </c>
      <c r="H2801">
             </c>
      <c r="I2801" t="s">
        <v>14</v>
      </c>
      <c r="J2801" t="s">
        <v>31</v>
      </c>
      <c r="K2801" t="s">
        <v>114</v>
      </c>
      <c r="L2801" t="s">
        <v>20</v>
      </c>
      <c r="M2801" t="s">
        <v>5860</v>
      </c>
      <c r="N2801" t="s">
        <v>14</v>
      </c>
    </row>
    <row r="2802" x14ac:dyDescent="0.25">
      <c r="A2802" t="n">
        <v>25</v>
      </c>
      <c r="B2802" t="s">
        <v>14</v>
      </c>
      <c r="C2802" t="s">
        <v>22</v>
      </c>
      <c r="D2802" s="2" t="s">
        <f>=HYPERLINK("https://main.knesset.gov.il/APPS/legislation/main/bills/2196989", "הצעת חוק סדר הדין הפלילי (סמכויות אכיפה - מעצרים) (תיקון - הגדרת מסוכנות של פוגעים בבעלי חיים), התשפ""ג-2023")</f>
        <v>5882</v>
      </c>
      <c r="E2802" t="s">
        <v>5882</v>
      </c>
      <c r="F2802" t="s">
        <v>5883</v>
      </c>
      <c r="G2802" t="s">
        <v>14</v>
      </c>
      <c r="H2802">
             </c>
      <c r="I2802" t="s">
        <v>14</v>
      </c>
      <c r="J2802" t="s">
        <v>55</v>
      </c>
      <c r="K2802" t="s">
        <v>14</v>
      </c>
      <c r="L2802" t="s">
        <v>20</v>
      </c>
      <c r="M2802" t="s">
        <v>5860</v>
      </c>
      <c r="N2802" t="s">
        <v>14</v>
      </c>
    </row>
    <row r="2803" x14ac:dyDescent="0.25">
      <c r="A2803" t="n">
        <v>25</v>
      </c>
      <c r="B2803" t="s">
        <v>14</v>
      </c>
      <c r="C2803" t="s">
        <v>22</v>
      </c>
      <c r="D2803" s="2" t="s">
        <f>=HYPERLINK("https://main.knesset.gov.il/APPS/legislation/main/bills/2198712", "הצעת חוק הביטוח הלאומי (תיקון - עבודה מועדפת בענף המסעדנות), התשפ""ג-2023")</f>
        <v>5884</v>
      </c>
      <c r="E2803" t="s">
        <v>5884</v>
      </c>
      <c r="F2803" t="s">
        <v>5885</v>
      </c>
      <c r="G2803" t="s">
        <v>14</v>
      </c>
      <c r="H2803">
             </c>
      <c r="I2803" t="s">
        <v>14</v>
      </c>
      <c r="J2803" t="s">
        <v>55</v>
      </c>
      <c r="K2803" t="s">
        <v>14</v>
      </c>
      <c r="L2803" t="s">
        <v>20</v>
      </c>
      <c r="M2803" t="s">
        <v>5860</v>
      </c>
      <c r="N2803" t="s">
        <v>14</v>
      </c>
    </row>
    <row r="2804" x14ac:dyDescent="0.25">
      <c r="A2804" t="n">
        <v>25</v>
      </c>
      <c r="B2804" t="s">
        <v>14</v>
      </c>
      <c r="C2804" t="s">
        <v>22</v>
      </c>
      <c r="D2804" s="2" t="s">
        <f>=HYPERLINK("https://main.knesset.gov.il/APPS/legislation/main/bills/2198081", "הצעת חוק רכזי ביטחון שוטף צבאיים, התשפ''ג-2023")</f>
        <v>5886</v>
      </c>
      <c r="E2804" t="s">
        <v>5886</v>
      </c>
      <c r="F2804" t="s">
        <v>5887</v>
      </c>
      <c r="G2804" t="s">
        <v>14</v>
      </c>
      <c r="H2804">
             </c>
      <c r="I2804" t="s">
        <v>14</v>
      </c>
      <c r="J2804" t="s">
        <v>55</v>
      </c>
      <c r="K2804" t="s">
        <v>14</v>
      </c>
      <c r="L2804" t="s">
        <v>20</v>
      </c>
      <c r="M2804" t="s">
        <v>5860</v>
      </c>
      <c r="N2804" t="s">
        <v>14</v>
      </c>
    </row>
    <row r="2805" x14ac:dyDescent="0.25">
      <c r="A2805" t="n">
        <v>25</v>
      </c>
      <c r="B2805" t="s">
        <v>14</v>
      </c>
      <c r="C2805" t="s">
        <v>22</v>
      </c>
      <c r="D2805" s="2" t="s">
        <f>=HYPERLINK("https://main.knesset.gov.il/APPS/legislation/main/bills/2196717", "הצעת חוק הרשות לטיפול בנפגעי הלם קרב, התשפ""ג-2022")</f>
        <v>5888</v>
      </c>
      <c r="E2805" t="s">
        <v>5888</v>
      </c>
      <c r="F2805" t="s">
        <v>5889</v>
      </c>
      <c r="G2805" t="s">
        <v>14</v>
      </c>
      <c r="H2805">
             </c>
      <c r="I2805" t="s">
        <v>14</v>
      </c>
      <c r="J2805" t="s">
        <v>55</v>
      </c>
      <c r="K2805" t="s">
        <v>14</v>
      </c>
      <c r="L2805" t="s">
        <v>20</v>
      </c>
      <c r="M2805" t="s">
        <v>5860</v>
      </c>
      <c r="N2805" t="s">
        <v>14</v>
      </c>
    </row>
    <row r="2806" x14ac:dyDescent="0.25">
      <c r="A2806" t="n">
        <v>25</v>
      </c>
      <c r="B2806" t="s">
        <v>14</v>
      </c>
      <c r="C2806" t="s">
        <v>22</v>
      </c>
      <c r="D2806" s="2" t="s">
        <f>=HYPERLINK("https://main.knesset.gov.il/APPS/legislation/main/bills/2197660", "הצעת חוק מס ערך מוסף (תיקון - מס בשיעור אפס על ספרי לימוד), התשפ""ג-2022")</f>
        <v>5890</v>
      </c>
      <c r="E2806" t="s">
        <v>5890</v>
      </c>
      <c r="F2806" t="s">
        <v>5891</v>
      </c>
      <c r="G2806" t="s">
        <v>14</v>
      </c>
      <c r="H2806">
             </c>
      <c r="I2806" t="s">
        <v>14</v>
      </c>
      <c r="J2806" t="s">
        <v>55</v>
      </c>
      <c r="K2806" t="s">
        <v>14</v>
      </c>
      <c r="L2806" t="s">
        <v>20</v>
      </c>
      <c r="M2806" t="s">
        <v>5860</v>
      </c>
      <c r="N2806" t="s">
        <v>14</v>
      </c>
    </row>
    <row r="2807" x14ac:dyDescent="0.25">
      <c r="A2807" t="n">
        <v>25</v>
      </c>
      <c r="B2807" t="s">
        <v>14</v>
      </c>
      <c r="C2807" t="s">
        <v>22</v>
      </c>
      <c r="D2807" s="2" t="s">
        <f>=HYPERLINK("https://main.knesset.gov.il/APPS/legislation/main/bills/2197010", "הצעת חוק רכזי ביטחון שוטף צבאיים, התשפ""ג-2022")</f>
        <v>5892</v>
      </c>
      <c r="E2807" t="s">
        <v>5892</v>
      </c>
      <c r="F2807" t="s">
        <v>5893</v>
      </c>
      <c r="G2807" t="s">
        <v>14</v>
      </c>
      <c r="H2807">
             </c>
      <c r="I2807" t="s">
        <v>14</v>
      </c>
      <c r="J2807" t="s">
        <v>55</v>
      </c>
      <c r="K2807" t="s">
        <v>14</v>
      </c>
      <c r="L2807" t="s">
        <v>20</v>
      </c>
      <c r="M2807" t="s">
        <v>5860</v>
      </c>
      <c r="N2807" t="s">
        <v>14</v>
      </c>
    </row>
    <row r="2808" x14ac:dyDescent="0.25">
      <c r="A2808" t="n">
        <v>25</v>
      </c>
      <c r="B2808" t="s">
        <v>14</v>
      </c>
      <c r="C2808" t="s">
        <v>22</v>
      </c>
      <c r="D2808" s="2" t="s">
        <f>=HYPERLINK("https://main.knesset.gov.il/APPS/legislation/main/bills/2195787", "הצעת חוק העונשין (תיקון - השחתת מודעות על רקע מגדר), התשפ""ג-2022")</f>
        <v>5894</v>
      </c>
      <c r="E2808" t="s">
        <v>5894</v>
      </c>
      <c r="F2808" t="s">
        <v>5895</v>
      </c>
      <c r="G2808" t="s">
        <v>14</v>
      </c>
      <c r="H2808">
             </c>
      <c r="I2808" t="s">
        <v>14</v>
      </c>
      <c r="J2808" t="s">
        <v>55</v>
      </c>
      <c r="K2808" t="s">
        <v>14</v>
      </c>
      <c r="L2808" t="s">
        <v>20</v>
      </c>
      <c r="M2808" t="s">
        <v>5860</v>
      </c>
      <c r="N2808" t="s">
        <v>14</v>
      </c>
    </row>
    <row r="2809" x14ac:dyDescent="0.25">
      <c r="A2809" t="n">
        <v>25</v>
      </c>
      <c r="B2809" t="s">
        <v>14</v>
      </c>
      <c r="C2809" t="s">
        <v>22</v>
      </c>
      <c r="D2809" s="2" t="s">
        <f>=HYPERLINK("https://main.knesset.gov.il/APPS/legislation/main/bills/2195890", "הצעת חוק ההוצאה לפועל (תיקון - טלפונים ניידים ומחשבים אישיים), התשפ""ג-2022")</f>
        <v>5896</v>
      </c>
      <c r="E2809" t="s">
        <v>5896</v>
      </c>
      <c r="F2809" t="s">
        <v>5897</v>
      </c>
      <c r="G2809" t="s">
        <v>14</v>
      </c>
      <c r="H2809">
             </c>
      <c r="I2809" t="s">
        <v>14</v>
      </c>
      <c r="J2809" t="s">
        <v>99</v>
      </c>
      <c r="K2809" t="s">
        <v>27</v>
      </c>
      <c r="L2809" t="s">
        <v>20</v>
      </c>
      <c r="M2809" t="s">
        <v>5898</v>
      </c>
      <c r="N2809" t="s">
        <v>14</v>
      </c>
    </row>
    <row r="2810" x14ac:dyDescent="0.25">
      <c r="A2810" t="n">
        <v>25</v>
      </c>
      <c r="B2810" t="s">
        <v>14</v>
      </c>
      <c r="C2810" t="s">
        <v>22</v>
      </c>
      <c r="D2810" s="2" t="s">
        <f>=HYPERLINK("https://main.knesset.gov.il/APPS/legislation/main/bills/2205959", "הצעת חוק לתיקון פקודת מסי העירייה ומסי הממשלה (פטורין) (פטור מארנונה למצללה), התשפ""ג-2023 ")</f>
        <v>5899</v>
      </c>
      <c r="E2810" t="s">
        <v>5899</v>
      </c>
      <c r="F2810" t="s">
        <v>5900</v>
      </c>
      <c r="G2810" t="s">
        <v>14</v>
      </c>
      <c r="H2810">
             </c>
      <c r="I2810" t="s">
        <v>14</v>
      </c>
      <c r="J2810" t="s">
        <v>31</v>
      </c>
      <c r="K2810" t="s">
        <v>85</v>
      </c>
      <c r="L2810" t="s">
        <v>20</v>
      </c>
      <c r="M2810" t="s">
        <v>5898</v>
      </c>
      <c r="N2810" t="s">
        <v>14</v>
      </c>
    </row>
    <row r="2811" x14ac:dyDescent="0.25">
      <c r="A2811" t="n">
        <v>25</v>
      </c>
      <c r="B2811" t="s">
        <v>14</v>
      </c>
      <c r="C2811" t="s">
        <v>22</v>
      </c>
      <c r="D2811" s="2" t="s">
        <f>=HYPERLINK("https://main.knesset.gov.il/APPS/legislation/main/bills/2215274", "הצעת חוק לתיקון פקודת בריאות העם (הנגשת מידע ופנקס חיסונים למחוסן), התשפ""ד-2024")</f>
        <v>5901</v>
      </c>
      <c r="E2811" t="s">
        <v>5901</v>
      </c>
      <c r="F2811" t="s">
        <v>5902</v>
      </c>
      <c r="G2811" t="s">
        <v>14</v>
      </c>
      <c r="H2811">
             </c>
      <c r="I2811" t="s">
        <v>14</v>
      </c>
      <c r="J2811" t="s">
        <v>99</v>
      </c>
      <c r="K2811" t="s">
        <v>480</v>
      </c>
      <c r="L2811" t="s">
        <v>20</v>
      </c>
      <c r="M2811" t="s">
        <v>5898</v>
      </c>
      <c r="N2811" t="s">
        <v>14</v>
      </c>
    </row>
    <row r="2812" x14ac:dyDescent="0.25">
      <c r="A2812" t="n">
        <v>25</v>
      </c>
      <c r="B2812" t="s">
        <v>14</v>
      </c>
      <c r="C2812" t="s">
        <v>22</v>
      </c>
      <c r="D2812" s="2" t="s">
        <f>=HYPERLINK("https://main.knesset.gov.il/APPS/legislation/main/bills/2209394", "חוק מחיקת רישומים פליליים ומשטרתיים של יוצאי אתיופיה, התשפ""ד–2024")</f>
        <v>5903</v>
      </c>
      <c r="E2812" t="s">
        <v>5903</v>
      </c>
      <c r="F2812" t="s">
        <v>5904</v>
      </c>
      <c r="G2812" t="s">
        <v>5905</v>
      </c>
      <c r="H2812" t="n">
        <v>3252</v>
      </c>
      <c r="I2812" t="s">
        <v>14</v>
      </c>
      <c r="J2812" t="s">
        <v>91</v>
      </c>
      <c r="K2812" t="s">
        <v>27</v>
      </c>
      <c r="L2812" t="s">
        <v>20</v>
      </c>
      <c r="M2812" t="s">
        <v>5898</v>
      </c>
      <c r="N2812" t="s">
        <v>5906</v>
      </c>
    </row>
    <row r="2813" x14ac:dyDescent="0.25">
      <c r="A2813" t="n">
        <v>25</v>
      </c>
      <c r="B2813" t="s">
        <v>14</v>
      </c>
      <c r="C2813" t="s">
        <v>22</v>
      </c>
      <c r="D2813" s="2" t="s">
        <f>=HYPERLINK("https://main.knesset.gov.il/APPS/legislation/main/bills/2213647", "חוק שיקום נכי נפש בקהילה (תיקון מס' 2), התשפ""ד-2024")</f>
        <v>5907</v>
      </c>
      <c r="E2813" t="s">
        <v>5907</v>
      </c>
      <c r="F2813" t="s">
        <v>5908</v>
      </c>
      <c r="G2813" t="s">
        <v>5909</v>
      </c>
      <c r="H2813" t="n">
        <v>3251</v>
      </c>
      <c r="I2813" t="s">
        <v>14</v>
      </c>
      <c r="J2813" t="s">
        <v>91</v>
      </c>
      <c r="K2813" t="s">
        <v>127</v>
      </c>
      <c r="L2813" t="s">
        <v>20</v>
      </c>
      <c r="M2813" t="s">
        <v>5898</v>
      </c>
      <c r="N2813" t="s">
        <v>5910</v>
      </c>
    </row>
    <row r="2814" x14ac:dyDescent="0.25">
      <c r="A2814" t="n">
        <v>25</v>
      </c>
      <c r="B2814" t="s">
        <v>14</v>
      </c>
      <c r="C2814" t="s">
        <v>22</v>
      </c>
      <c r="D2814" s="2" t="s">
        <f>=HYPERLINK("https://main.knesset.gov.il/APPS/legislation/main/bills/2196745", "חוק הגנה על זכויות בדירת המשפחה של ילד שהורהו הומת בידי בן זוגו, התשפ""ד-2024")</f>
        <v>5911</v>
      </c>
      <c r="E2814" t="s">
        <v>5911</v>
      </c>
      <c r="F2814" t="s">
        <v>5912</v>
      </c>
      <c r="G2814" t="s">
        <v>5913</v>
      </c>
      <c r="H2814" t="n">
        <v>3250</v>
      </c>
      <c r="I2814" t="s">
        <v>14</v>
      </c>
      <c r="J2814" t="s">
        <v>91</v>
      </c>
      <c r="K2814" t="s">
        <v>27</v>
      </c>
      <c r="L2814" t="s">
        <v>20</v>
      </c>
      <c r="M2814" t="s">
        <v>5898</v>
      </c>
      <c r="N2814" t="s">
        <v>5914</v>
      </c>
    </row>
    <row r="2815" x14ac:dyDescent="0.25">
      <c r="A2815" t="n">
        <v>25</v>
      </c>
      <c r="B2815" t="s">
        <v>14</v>
      </c>
      <c r="C2815" t="s">
        <v>22</v>
      </c>
      <c r="D2815" s="2" t="s">
        <f>=HYPERLINK("https://main.knesset.gov.il/APPS/legislation/main/bills/2200991", "הצעת חוק להסדרת המגורים בשטחי מרעה, התשפ""ג-2023")</f>
        <v>4040</v>
      </c>
      <c r="E2815" t="s">
        <v>4040</v>
      </c>
      <c r="F2815" t="s">
        <v>5915</v>
      </c>
      <c r="G2815" t="s">
        <v>14</v>
      </c>
      <c r="H2815">
             </c>
      <c r="I2815" t="s">
        <v>14</v>
      </c>
      <c r="J2815" t="s">
        <v>99</v>
      </c>
      <c r="K2815" t="s">
        <v>46</v>
      </c>
      <c r="L2815" t="s">
        <v>20</v>
      </c>
      <c r="M2815" t="s">
        <v>5916</v>
      </c>
      <c r="N2815" t="s">
        <v>14</v>
      </c>
    </row>
    <row r="2816" x14ac:dyDescent="0.25">
      <c r="A2816" t="n">
        <v>25</v>
      </c>
      <c r="B2816" t="s">
        <v>14</v>
      </c>
      <c r="C2816" t="s">
        <v>22</v>
      </c>
      <c r="D2816" s="2" t="s">
        <f>=HYPERLINK("https://main.knesset.gov.il/APPS/legislation/main/bills/2200934", "הצעת חוק להסדרת המגורים בשטחי מרעה, התשפ""ג-2023")</f>
        <v>4040</v>
      </c>
      <c r="E2816" t="s">
        <v>4040</v>
      </c>
      <c r="F2816" t="s">
        <v>5917</v>
      </c>
      <c r="G2816" t="s">
        <v>14</v>
      </c>
      <c r="H2816">
             </c>
      <c r="I2816" t="s">
        <v>14</v>
      </c>
      <c r="J2816" t="s">
        <v>99</v>
      </c>
      <c r="K2816" t="s">
        <v>46</v>
      </c>
      <c r="L2816" t="s">
        <v>20</v>
      </c>
      <c r="M2816" t="s">
        <v>5916</v>
      </c>
      <c r="N2816" t="s">
        <v>14</v>
      </c>
    </row>
    <row r="2817" x14ac:dyDescent="0.25">
      <c r="A2817" t="n">
        <v>25</v>
      </c>
      <c r="B2817" t="s">
        <v>14</v>
      </c>
      <c r="C2817" t="s">
        <v>22</v>
      </c>
      <c r="D2817" s="2" t="s">
        <f>=HYPERLINK("https://main.knesset.gov.il/APPS/legislation/main/bills/2200920", "הצעת חוק להסדרת המגורים בשטחי מרעה, התשפ""ג-2023")</f>
        <v>4040</v>
      </c>
      <c r="E2817" t="s">
        <v>4040</v>
      </c>
      <c r="F2817" t="s">
        <v>5918</v>
      </c>
      <c r="G2817" t="s">
        <v>14</v>
      </c>
      <c r="H2817">
             </c>
      <c r="I2817" t="s">
        <v>14</v>
      </c>
      <c r="J2817" t="s">
        <v>99</v>
      </c>
      <c r="K2817" t="s">
        <v>46</v>
      </c>
      <c r="L2817" t="s">
        <v>20</v>
      </c>
      <c r="M2817" t="s">
        <v>5916</v>
      </c>
      <c r="N2817" t="s">
        <v>14</v>
      </c>
    </row>
    <row r="2818" x14ac:dyDescent="0.25">
      <c r="A2818" t="n">
        <v>25</v>
      </c>
      <c r="B2818" t="s">
        <v>14</v>
      </c>
      <c r="C2818" t="s">
        <v>22</v>
      </c>
      <c r="D2818" s="2" t="s">
        <f>=HYPERLINK("https://main.knesset.gov.il/APPS/legislation/main/bills/2200965", "הצעת חוק להסדרת המגורים בשטחי מרעה, התשפ""ג-2023")</f>
        <v>4040</v>
      </c>
      <c r="E2818" t="s">
        <v>4040</v>
      </c>
      <c r="F2818" t="s">
        <v>5919</v>
      </c>
      <c r="G2818" t="s">
        <v>14</v>
      </c>
      <c r="H2818">
             </c>
      <c r="I2818" t="s">
        <v>14</v>
      </c>
      <c r="J2818" t="s">
        <v>99</v>
      </c>
      <c r="K2818" t="s">
        <v>46</v>
      </c>
      <c r="L2818" t="s">
        <v>20</v>
      </c>
      <c r="M2818" t="s">
        <v>5916</v>
      </c>
      <c r="N2818" t="s">
        <v>14</v>
      </c>
    </row>
    <row r="2819" x14ac:dyDescent="0.25">
      <c r="A2819" t="n">
        <v>25</v>
      </c>
      <c r="B2819" t="s">
        <v>14</v>
      </c>
      <c r="C2819" t="s">
        <v>15</v>
      </c>
      <c r="D2819" s="2" t="s">
        <f>=HYPERLINK("https://main.knesset.gov.il/APPS/legislation/main/bills/2207736", "חוק שוויון זכויות לאנשים עם מוגבלות (תיקון מס' 22 והוראת שעה) (תיקון), התשפ""ד-2024")</f>
        <v>5920</v>
      </c>
      <c r="E2819" t="s">
        <v>5920</v>
      </c>
      <c r="F2819" t="s">
        <v>14</v>
      </c>
      <c r="G2819" t="s">
        <v>5921</v>
      </c>
      <c r="H2819" t="n">
        <v>3249</v>
      </c>
      <c r="I2819" t="s">
        <v>14</v>
      </c>
      <c r="J2819" t="s">
        <v>91</v>
      </c>
      <c r="K2819" t="s">
        <v>127</v>
      </c>
      <c r="L2819" t="s">
        <v>20</v>
      </c>
      <c r="M2819" t="s">
        <v>5916</v>
      </c>
      <c r="N2819" t="s">
        <v>5922</v>
      </c>
    </row>
    <row r="2820" x14ac:dyDescent="0.25">
      <c r="A2820" t="n">
        <v>25</v>
      </c>
      <c r="B2820" t="s">
        <v>14</v>
      </c>
      <c r="C2820" t="s">
        <v>22</v>
      </c>
      <c r="D2820" s="2" t="s">
        <f>=HYPERLINK("https://main.knesset.gov.il/APPS/legislation/main/bills/2203869", "חוק סמכויות לשם שמירה על ביטחון הציבור (תיקון מס' 8), התשפ""ד–2024")</f>
        <v>5923</v>
      </c>
      <c r="E2820" t="s">
        <v>5923</v>
      </c>
      <c r="F2820" t="s">
        <v>2631</v>
      </c>
      <c r="G2820" t="s">
        <v>5924</v>
      </c>
      <c r="H2820" t="n">
        <v>3248</v>
      </c>
      <c r="I2820" t="s">
        <v>14</v>
      </c>
      <c r="J2820" t="s">
        <v>91</v>
      </c>
      <c r="K2820" t="s">
        <v>105</v>
      </c>
      <c r="L2820" t="s">
        <v>20</v>
      </c>
      <c r="M2820" t="s">
        <v>5916</v>
      </c>
      <c r="N2820" t="s">
        <v>5925</v>
      </c>
    </row>
    <row r="2821" x14ac:dyDescent="0.25">
      <c r="A2821" t="n">
        <v>25</v>
      </c>
      <c r="B2821" t="s">
        <v>14</v>
      </c>
      <c r="C2821" t="s">
        <v>15</v>
      </c>
      <c r="D2821" s="2" t="s">
        <f>=HYPERLINK("https://main.knesset.gov.il/APPS/legislation/main/bills/2217170", "חוק מקורות אנרגיה (תיקון מס' 5), התשפ""ד-2024")</f>
        <v>5926</v>
      </c>
      <c r="E2821" t="s">
        <v>5926</v>
      </c>
      <c r="F2821" t="s">
        <v>14</v>
      </c>
      <c r="G2821" t="s">
        <v>5927</v>
      </c>
      <c r="H2821" t="n">
        <v>3247</v>
      </c>
      <c r="I2821" t="s">
        <v>14</v>
      </c>
      <c r="J2821" t="s">
        <v>91</v>
      </c>
      <c r="K2821" t="s">
        <v>19</v>
      </c>
      <c r="L2821" t="s">
        <v>20</v>
      </c>
      <c r="M2821" t="s">
        <v>5916</v>
      </c>
      <c r="N2821" t="s">
        <v>5928</v>
      </c>
    </row>
    <row r="2822" x14ac:dyDescent="0.25">
      <c r="A2822" t="n">
        <v>25</v>
      </c>
      <c r="B2822" t="s">
        <v>14</v>
      </c>
      <c r="C2822" t="s">
        <v>22</v>
      </c>
      <c r="D2822" s="2" t="s">
        <f>=HYPERLINK("https://main.knesset.gov.il/APPS/legislation/main/bills/2156160", "חוק הביטוח הלאומי (תיקון מס' 247), התשפ""ד–2024")</f>
        <v>5929</v>
      </c>
      <c r="E2822" t="s">
        <v>5929</v>
      </c>
      <c r="F2822" t="s">
        <v>5930</v>
      </c>
      <c r="G2822" t="s">
        <v>5931</v>
      </c>
      <c r="H2822" t="n">
        <v>3246</v>
      </c>
      <c r="I2822" t="s">
        <v>14</v>
      </c>
      <c r="J2822" t="s">
        <v>91</v>
      </c>
      <c r="K2822" t="s">
        <v>85</v>
      </c>
      <c r="L2822" t="s">
        <v>20</v>
      </c>
      <c r="M2822" t="s">
        <v>5916</v>
      </c>
      <c r="N2822" t="s">
        <v>5932</v>
      </c>
    </row>
    <row r="2823" x14ac:dyDescent="0.25">
      <c r="A2823" t="n">
        <v>25</v>
      </c>
      <c r="B2823" t="s">
        <v>14</v>
      </c>
      <c r="C2823" t="s">
        <v>15</v>
      </c>
      <c r="D2823" s="2" t="s">
        <f>=HYPERLINK("https://main.knesset.gov.il/APPS/legislation/main/bills/2220055", "חוק לתיקון ולהארכת תוקפן של תקנות שעת חירום (חרבות ברזל) (פגישה עם עורך דין של עצור בעבירת ביטחון) (תיקון מס' 3), התשפ""ד-2024")</f>
        <v>5933</v>
      </c>
      <c r="E2823" t="s">
        <v>5933</v>
      </c>
      <c r="F2823" t="s">
        <v>14</v>
      </c>
      <c r="G2823" t="s">
        <v>5934</v>
      </c>
      <c r="H2823" t="n">
        <v>3245</v>
      </c>
      <c r="I2823" t="s">
        <v>14</v>
      </c>
      <c r="J2823" t="s">
        <v>91</v>
      </c>
      <c r="K2823" t="s">
        <v>27</v>
      </c>
      <c r="L2823" t="s">
        <v>20</v>
      </c>
      <c r="M2823" t="s">
        <v>5916</v>
      </c>
      <c r="N2823" t="s">
        <v>5935</v>
      </c>
    </row>
    <row r="2824" x14ac:dyDescent="0.25">
      <c r="A2824" t="n">
        <v>25</v>
      </c>
      <c r="B2824" t="s">
        <v>14</v>
      </c>
      <c r="C2824" t="s">
        <v>15</v>
      </c>
      <c r="D2824" s="2" t="s">
        <f>=HYPERLINK("https://main.knesset.gov.il/APPS/legislation/main/bills/2220054", "חוק לתיקון ולהארכת תוקפן של תקנות שעת חירום (חרבות ברזל) (הארכת מעצר לחשוד בעבירת ביטחון) (תיקון מס' 3), התשפ""ד-2024")</f>
        <v>5936</v>
      </c>
      <c r="E2824" t="s">
        <v>5936</v>
      </c>
      <c r="F2824" t="s">
        <v>14</v>
      </c>
      <c r="G2824" t="s">
        <v>5937</v>
      </c>
      <c r="H2824" t="n">
        <v>3244</v>
      </c>
      <c r="I2824" t="s">
        <v>14</v>
      </c>
      <c r="J2824" t="s">
        <v>91</v>
      </c>
      <c r="K2824" t="s">
        <v>27</v>
      </c>
      <c r="L2824" t="s">
        <v>20</v>
      </c>
      <c r="M2824" t="s">
        <v>5916</v>
      </c>
      <c r="N2824" t="s">
        <v>5938</v>
      </c>
    </row>
    <row r="2825" x14ac:dyDescent="0.25">
      <c r="A2825" t="n">
        <v>25</v>
      </c>
      <c r="B2825" t="s">
        <v>14</v>
      </c>
      <c r="C2825" t="s">
        <v>22</v>
      </c>
      <c r="D2825" s="2" t="s">
        <f>=HYPERLINK("https://main.knesset.gov.il/APPS/legislation/main/bills/2220433", "הצעת חוק הכנסת (תיקון - אמירת אמת והתייצבות בפני ועדות הכנסת), התשפ""ד-2024")</f>
        <v>5939</v>
      </c>
      <c r="E2825" t="s">
        <v>5939</v>
      </c>
      <c r="F2825" t="s">
        <v>5940</v>
      </c>
      <c r="G2825" t="s">
        <v>14</v>
      </c>
      <c r="H2825">
             </c>
      <c r="I2825" t="s">
        <v>14</v>
      </c>
      <c r="J2825" t="s">
        <v>141</v>
      </c>
      <c r="K2825" t="s">
        <v>14</v>
      </c>
      <c r="L2825" t="s">
        <v>20</v>
      </c>
      <c r="M2825" t="s">
        <v>5916</v>
      </c>
      <c r="N2825" t="s">
        <v>14</v>
      </c>
    </row>
    <row r="2826" x14ac:dyDescent="0.25">
      <c r="A2826" t="n">
        <v>25</v>
      </c>
      <c r="B2826" t="s">
        <v>14</v>
      </c>
      <c r="C2826" t="s">
        <v>22</v>
      </c>
      <c r="D2826" s="2" t="s">
        <f>=HYPERLINK("https://main.knesset.gov.il/APPS/legislation/main/bills/2219889", "הצעת חוק יסודות התקציב (תיקון - אישור תוספת שכרית לגוף ביטחוני והעברת תקציב בין תוכניות ובין משרדים - הוראת שעה), התשפ""ד-2024")</f>
        <v>5941</v>
      </c>
      <c r="E2826" t="s">
        <v>5941</v>
      </c>
      <c r="F2826" t="s">
        <v>5942</v>
      </c>
      <c r="G2826" t="s">
        <v>14</v>
      </c>
      <c r="H2826">
             </c>
      <c r="I2826" t="s">
        <v>14</v>
      </c>
      <c r="J2826" t="s">
        <v>343</v>
      </c>
      <c r="K2826" t="s">
        <v>14</v>
      </c>
      <c r="L2826" t="s">
        <v>20</v>
      </c>
      <c r="M2826" t="s">
        <v>5916</v>
      </c>
      <c r="N2826" t="s">
        <v>14</v>
      </c>
    </row>
    <row r="2827" x14ac:dyDescent="0.25">
      <c r="A2827" t="n">
        <v>25</v>
      </c>
      <c r="B2827" t="s">
        <v>14</v>
      </c>
      <c r="C2827" t="s">
        <v>22</v>
      </c>
      <c r="D2827" s="2" t="s">
        <f>=HYPERLINK("https://main.knesset.gov.il/APPS/legislation/main/bills/2220533", "הצעת חוק הביטוח הלאומי (תיקון - עבודה מועדפת ביישובי עוטף הגבול הדרומי והצפוני) (הוראת שעה), התשפ""ד-2024")</f>
        <v>4940</v>
      </c>
      <c r="E2827" t="s">
        <v>4940</v>
      </c>
      <c r="F2827" t="s">
        <v>5943</v>
      </c>
      <c r="G2827" t="s">
        <v>14</v>
      </c>
      <c r="H2827">
             </c>
      <c r="I2827" t="s">
        <v>14</v>
      </c>
      <c r="J2827" t="s">
        <v>141</v>
      </c>
      <c r="K2827" t="s">
        <v>14</v>
      </c>
      <c r="L2827" t="s">
        <v>20</v>
      </c>
      <c r="M2827" t="s">
        <v>5916</v>
      </c>
      <c r="N2827" t="s">
        <v>14</v>
      </c>
    </row>
    <row r="2828" x14ac:dyDescent="0.25">
      <c r="A2828" t="n">
        <v>25</v>
      </c>
      <c r="B2828" t="s">
        <v>14</v>
      </c>
      <c r="C2828" t="s">
        <v>22</v>
      </c>
      <c r="D2828" s="2" t="s">
        <f>=HYPERLINK("https://main.knesset.gov.il/APPS/legislation/main/bills/2220529", "הצעת חוק התחשבנות בין בתי חולים לקופות חולים לשנים 2021 עד 2025 (התחשבנות בעד שירותי בריאות בבתי חולים ציבוריים כלליים) (תיקון - מועד התשלום לבית חולים ציבורי כללי עצמאי), התשפ""ד-2024")</f>
        <v>5944</v>
      </c>
      <c r="E2828" t="s">
        <v>5944</v>
      </c>
      <c r="F2828" t="s">
        <v>5945</v>
      </c>
      <c r="G2828" t="s">
        <v>14</v>
      </c>
      <c r="H2828">
             </c>
      <c r="I2828" t="s">
        <v>14</v>
      </c>
      <c r="J2828" t="s">
        <v>141</v>
      </c>
      <c r="K2828" t="s">
        <v>14</v>
      </c>
      <c r="L2828" t="s">
        <v>20</v>
      </c>
      <c r="M2828" t="s">
        <v>5916</v>
      </c>
      <c r="N2828" t="s">
        <v>14</v>
      </c>
    </row>
    <row r="2829" x14ac:dyDescent="0.25">
      <c r="A2829" t="n">
        <v>25</v>
      </c>
      <c r="B2829" t="s">
        <v>14</v>
      </c>
      <c r="C2829" t="s">
        <v>22</v>
      </c>
      <c r="D2829" s="2" t="s">
        <f>=HYPERLINK("https://main.knesset.gov.il/APPS/legislation/main/bills/2218084", "הצעת חוק עיטור הפציעה הקרבית, התשפ""ד-2024 ")</f>
        <v>5946</v>
      </c>
      <c r="E2829" t="s">
        <v>5946</v>
      </c>
      <c r="F2829" t="s">
        <v>5947</v>
      </c>
      <c r="G2829" t="s">
        <v>14</v>
      </c>
      <c r="H2829">
             </c>
      <c r="I2829" t="s">
        <v>14</v>
      </c>
      <c r="J2829" t="s">
        <v>141</v>
      </c>
      <c r="K2829" t="s">
        <v>14</v>
      </c>
      <c r="L2829" t="s">
        <v>20</v>
      </c>
      <c r="M2829" t="s">
        <v>5916</v>
      </c>
      <c r="N2829" t="s">
        <v>14</v>
      </c>
    </row>
    <row r="2830" x14ac:dyDescent="0.25">
      <c r="A2830" t="n">
        <v>25</v>
      </c>
      <c r="B2830" t="s">
        <v>14</v>
      </c>
      <c r="C2830" t="s">
        <v>22</v>
      </c>
      <c r="D2830" s="2" t="s">
        <f>=HYPERLINK("https://main.knesset.gov.il/APPS/legislation/main/bills/2219766", "הצעת חוק העונשין (תיקון מס' 140 - הוראת שעה) (תיקון - הארכת תוקף ושינוי הוועדה המפקחת), התשפ""ד-2024")</f>
        <v>5948</v>
      </c>
      <c r="E2830" t="s">
        <v>5948</v>
      </c>
      <c r="F2830" t="s">
        <v>5949</v>
      </c>
      <c r="G2830" t="s">
        <v>14</v>
      </c>
      <c r="H2830">
             </c>
      <c r="I2830" t="s">
        <v>14</v>
      </c>
      <c r="J2830" t="s">
        <v>141</v>
      </c>
      <c r="K2830" t="s">
        <v>14</v>
      </c>
      <c r="L2830" t="s">
        <v>20</v>
      </c>
      <c r="M2830" t="s">
        <v>5916</v>
      </c>
      <c r="N2830" t="s">
        <v>14</v>
      </c>
    </row>
    <row r="2831" x14ac:dyDescent="0.25">
      <c r="A2831" t="n">
        <v>25</v>
      </c>
      <c r="B2831" t="s">
        <v>14</v>
      </c>
      <c r="C2831" t="s">
        <v>22</v>
      </c>
      <c r="D2831" s="2" t="s">
        <f>=HYPERLINK("https://main.knesset.gov.il/APPS/legislation/main/bills/2220198", "הצעת חוק יום לציון אסון יהודי תימן (גירוש מוזע), התשפ""ד-2024")</f>
        <v>5950</v>
      </c>
      <c r="E2831" t="s">
        <v>5950</v>
      </c>
      <c r="F2831" t="s">
        <v>5951</v>
      </c>
      <c r="G2831" t="s">
        <v>14</v>
      </c>
      <c r="H2831">
             </c>
      <c r="I2831" t="s">
        <v>14</v>
      </c>
      <c r="J2831" t="s">
        <v>141</v>
      </c>
      <c r="K2831" t="s">
        <v>14</v>
      </c>
      <c r="L2831" t="s">
        <v>20</v>
      </c>
      <c r="M2831" t="s">
        <v>5916</v>
      </c>
      <c r="N2831" t="s">
        <v>14</v>
      </c>
    </row>
    <row r="2832" x14ac:dyDescent="0.25">
      <c r="A2832" t="n">
        <v>25</v>
      </c>
      <c r="B2832" t="s">
        <v>14</v>
      </c>
      <c r="C2832" t="s">
        <v>22</v>
      </c>
      <c r="D2832" s="2" t="s">
        <f>=HYPERLINK("https://main.knesset.gov.il/APPS/legislation/main/bills/2219746", "הצעת חוק משפחות חיילים שנספו במערכה (תגמולים ושיקום) (תיקון - תגמולים ושיקום לאישה שהיא הורה ליתומיו של נספה), התשפ""ד-2024")</f>
        <v>5808</v>
      </c>
      <c r="E2832" t="s">
        <v>5808</v>
      </c>
      <c r="F2832" t="s">
        <v>5952</v>
      </c>
      <c r="G2832" t="s">
        <v>14</v>
      </c>
      <c r="H2832">
             </c>
      <c r="I2832" t="s">
        <v>14</v>
      </c>
      <c r="J2832" t="s">
        <v>141</v>
      </c>
      <c r="K2832" t="s">
        <v>14</v>
      </c>
      <c r="L2832" t="s">
        <v>20</v>
      </c>
      <c r="M2832" t="s">
        <v>5916</v>
      </c>
      <c r="N2832" t="s">
        <v>14</v>
      </c>
    </row>
    <row r="2833" x14ac:dyDescent="0.25">
      <c r="A2833" t="n">
        <v>25</v>
      </c>
      <c r="B2833" t="s">
        <v>14</v>
      </c>
      <c r="C2833" t="s">
        <v>22</v>
      </c>
      <c r="D2833" s="2" t="s">
        <f>=HYPERLINK("https://main.knesset.gov.il/APPS/legislation/main/bills/2220526", "הצעת חוק זכויות החולה (תיקון - קבלת חוות דעת נוספת על מצב רפואי), התשפ""ד-2024")</f>
        <v>5953</v>
      </c>
      <c r="E2833" t="s">
        <v>5953</v>
      </c>
      <c r="F2833" t="s">
        <v>5954</v>
      </c>
      <c r="G2833" t="s">
        <v>14</v>
      </c>
      <c r="H2833">
             </c>
      <c r="I2833" t="s">
        <v>14</v>
      </c>
      <c r="J2833" t="s">
        <v>141</v>
      </c>
      <c r="K2833" t="s">
        <v>14</v>
      </c>
      <c r="L2833" t="s">
        <v>20</v>
      </c>
      <c r="M2833" t="s">
        <v>5916</v>
      </c>
      <c r="N2833" t="s">
        <v>14</v>
      </c>
    </row>
    <row r="2834" x14ac:dyDescent="0.25">
      <c r="A2834" t="n">
        <v>25</v>
      </c>
      <c r="B2834" t="s">
        <v>14</v>
      </c>
      <c r="C2834" t="s">
        <v>22</v>
      </c>
      <c r="D2834" s="2" t="s">
        <f>=HYPERLINK("https://main.knesset.gov.il/APPS/legislation/main/bills/2220364", "הצעת חוק הירושה (תיקון - זכאות מתמודד נפש לרשת), התשפ""ד-2024")</f>
        <v>5955</v>
      </c>
      <c r="E2834" t="s">
        <v>5955</v>
      </c>
      <c r="F2834" t="s">
        <v>5956</v>
      </c>
      <c r="G2834" t="s">
        <v>14</v>
      </c>
      <c r="H2834">
             </c>
      <c r="I2834" t="s">
        <v>14</v>
      </c>
      <c r="J2834" t="s">
        <v>141</v>
      </c>
      <c r="K2834" t="s">
        <v>14</v>
      </c>
      <c r="L2834" t="s">
        <v>20</v>
      </c>
      <c r="M2834" t="s">
        <v>5916</v>
      </c>
      <c r="N2834" t="s">
        <v>14</v>
      </c>
    </row>
    <row r="2835" x14ac:dyDescent="0.25">
      <c r="A2835" t="n">
        <v>25</v>
      </c>
      <c r="B2835" t="s">
        <v>14</v>
      </c>
      <c r="C2835" t="s">
        <v>22</v>
      </c>
      <c r="D2835" s="2" t="s">
        <f>=HYPERLINK("https://main.knesset.gov.il/APPS/legislation/main/bills/2220525", "הצעת חוק הנצחת זכרם וגבורתם של נופלי ושורדי מלחמת עוטף ישראל, התשפ""ד-2024")</f>
        <v>5957</v>
      </c>
      <c r="E2835" t="s">
        <v>5957</v>
      </c>
      <c r="F2835" t="s">
        <v>5958</v>
      </c>
      <c r="G2835" t="s">
        <v>14</v>
      </c>
      <c r="H2835">
             </c>
      <c r="I2835" t="s">
        <v>14</v>
      </c>
      <c r="J2835" t="s">
        <v>141</v>
      </c>
      <c r="K2835" t="s">
        <v>14</v>
      </c>
      <c r="L2835" t="s">
        <v>20</v>
      </c>
      <c r="M2835" t="s">
        <v>5916</v>
      </c>
      <c r="N2835" t="s">
        <v>14</v>
      </c>
    </row>
    <row r="2836" x14ac:dyDescent="0.25">
      <c r="A2836" t="n">
        <v>25</v>
      </c>
      <c r="B2836" t="s">
        <v>14</v>
      </c>
      <c r="C2836" t="s">
        <v>22</v>
      </c>
      <c r="D2836" s="2" t="s">
        <f>=HYPERLINK("https://main.knesset.gov.il/APPS/legislation/main/bills/2219758", "הצעת חוק להטמעת מורשת יהדות צפון אפריקה במערכת החינוך וההשכלה הגבוהה, התשפ""ד-2024")</f>
        <v>5959</v>
      </c>
      <c r="E2836" t="s">
        <v>5959</v>
      </c>
      <c r="F2836" t="s">
        <v>5960</v>
      </c>
      <c r="G2836" t="s">
        <v>14</v>
      </c>
      <c r="H2836">
             </c>
      <c r="I2836" t="s">
        <v>14</v>
      </c>
      <c r="J2836" t="s">
        <v>141</v>
      </c>
      <c r="K2836" t="s">
        <v>14</v>
      </c>
      <c r="L2836" t="s">
        <v>20</v>
      </c>
      <c r="M2836" t="s">
        <v>5916</v>
      </c>
      <c r="N2836" t="s">
        <v>14</v>
      </c>
    </row>
    <row r="2837" x14ac:dyDescent="0.25">
      <c r="A2837" t="n">
        <v>25</v>
      </c>
      <c r="B2837" t="s">
        <v>14</v>
      </c>
      <c r="C2837" t="s">
        <v>22</v>
      </c>
      <c r="D2837" s="2" t="s">
        <f>=HYPERLINK("https://main.knesset.gov.il/APPS/legislation/main/bills/2219559", "הצעת חוק צער בעלי חיים (הגנה על בעלי חיים) (תיקון - המעמד המשפטי של בעל חיים כיצור חי בעל תחושות ורגשות), התשפ""ד-2024")</f>
        <v>5961</v>
      </c>
      <c r="E2837" t="s">
        <v>5961</v>
      </c>
      <c r="F2837" t="s">
        <v>5962</v>
      </c>
      <c r="G2837" t="s">
        <v>14</v>
      </c>
      <c r="H2837">
             </c>
      <c r="I2837" t="s">
        <v>14</v>
      </c>
      <c r="J2837" t="s">
        <v>141</v>
      </c>
      <c r="K2837" t="s">
        <v>14</v>
      </c>
      <c r="L2837" t="s">
        <v>20</v>
      </c>
      <c r="M2837" t="s">
        <v>5916</v>
      </c>
      <c r="N2837" t="s">
        <v>14</v>
      </c>
    </row>
    <row r="2838" x14ac:dyDescent="0.25">
      <c r="A2838" t="n">
        <v>25</v>
      </c>
      <c r="B2838" t="s">
        <v>14</v>
      </c>
      <c r="C2838" t="s">
        <v>22</v>
      </c>
      <c r="D2838" s="2" t="s">
        <f>=HYPERLINK("https://main.knesset.gov.il/APPS/legislation/main/bills/2219450", "הצעת חוק התגמולים לנפגעי פעולות איבה (תיקון - קבורה בחלקה לבחירת המשפחה), התשפ""ד-2024")</f>
        <v>5963</v>
      </c>
      <c r="E2838" t="s">
        <v>5963</v>
      </c>
      <c r="F2838" t="s">
        <v>5964</v>
      </c>
      <c r="G2838" t="s">
        <v>14</v>
      </c>
      <c r="H2838">
             </c>
      <c r="I2838" t="s">
        <v>14</v>
      </c>
      <c r="J2838" t="s">
        <v>141</v>
      </c>
      <c r="K2838" t="s">
        <v>14</v>
      </c>
      <c r="L2838" t="s">
        <v>20</v>
      </c>
      <c r="M2838" t="s">
        <v>5916</v>
      </c>
      <c r="N2838" t="s">
        <v>14</v>
      </c>
    </row>
    <row r="2839" x14ac:dyDescent="0.25">
      <c r="A2839" t="n">
        <v>25</v>
      </c>
      <c r="B2839" t="s">
        <v>14</v>
      </c>
      <c r="C2839" t="s">
        <v>22</v>
      </c>
      <c r="D2839" s="2" t="s">
        <f>=HYPERLINK("https://main.knesset.gov.il/APPS/legislation/main/bills/2220530", "הצעת חוק שוויון זכויות לאנשים עם מוגבלות (תיקון - הנפקת תעודות לבעלי מוגבלות בראיה), התשפ""ד-2024")</f>
        <v>5965</v>
      </c>
      <c r="E2839" t="s">
        <v>5965</v>
      </c>
      <c r="F2839" t="s">
        <v>5966</v>
      </c>
      <c r="G2839" t="s">
        <v>14</v>
      </c>
      <c r="H2839">
             </c>
      <c r="I2839" t="s">
        <v>14</v>
      </c>
      <c r="J2839" t="s">
        <v>141</v>
      </c>
      <c r="K2839" t="s">
        <v>14</v>
      </c>
      <c r="L2839" t="s">
        <v>20</v>
      </c>
      <c r="M2839" t="s">
        <v>5916</v>
      </c>
      <c r="N2839" t="s">
        <v>14</v>
      </c>
    </row>
    <row r="2840" x14ac:dyDescent="0.25">
      <c r="A2840" t="n">
        <v>25</v>
      </c>
      <c r="B2840" t="s">
        <v>14</v>
      </c>
      <c r="C2840" t="s">
        <v>22</v>
      </c>
      <c r="D2840" s="2" t="s">
        <f>=HYPERLINK("https://main.knesset.gov.il/APPS/legislation/main/bills/2220203", "הצעת חוק שוויון זכויות לאנשים עם מוגבלות (תיקון - הנפקת תעודות לבעלי מוגבלות בראיה), התשפ""ד-2024")</f>
        <v>5965</v>
      </c>
      <c r="E2840" t="s">
        <v>5965</v>
      </c>
      <c r="F2840" t="s">
        <v>5967</v>
      </c>
      <c r="G2840" t="s">
        <v>14</v>
      </c>
      <c r="H2840">
             </c>
      <c r="I2840" t="s">
        <v>14</v>
      </c>
      <c r="J2840" t="s">
        <v>141</v>
      </c>
      <c r="K2840" t="s">
        <v>14</v>
      </c>
      <c r="L2840" t="s">
        <v>20</v>
      </c>
      <c r="M2840" t="s">
        <v>5916</v>
      </c>
      <c r="N2840" t="s">
        <v>14</v>
      </c>
    </row>
    <row r="2841" x14ac:dyDescent="0.25">
      <c r="A2841" t="n">
        <v>25</v>
      </c>
      <c r="B2841" t="s">
        <v>14</v>
      </c>
      <c r="C2841" t="s">
        <v>22</v>
      </c>
      <c r="D2841" s="2" t="s">
        <f>=HYPERLINK("https://main.knesset.gov.il/APPS/legislation/main/bills/2219104", "הצעת חוק הבנקאות (שירות ללקוח) (תיקון - סירוב בלתי סביר למתן שירות בנקאי בשל הטלת עיצומים מצד מדינה זרה), התשפ""ד-2024")</f>
        <v>5968</v>
      </c>
      <c r="E2841" t="s">
        <v>5968</v>
      </c>
      <c r="F2841" t="s">
        <v>5969</v>
      </c>
      <c r="G2841" t="s">
        <v>14</v>
      </c>
      <c r="H2841">
             </c>
      <c r="I2841" t="s">
        <v>14</v>
      </c>
      <c r="J2841" t="s">
        <v>343</v>
      </c>
      <c r="K2841" t="s">
        <v>14</v>
      </c>
      <c r="L2841" t="s">
        <v>20</v>
      </c>
      <c r="M2841" t="s">
        <v>5916</v>
      </c>
      <c r="N2841" t="s">
        <v>14</v>
      </c>
    </row>
    <row r="2842" x14ac:dyDescent="0.25">
      <c r="A2842" t="n">
        <v>25</v>
      </c>
      <c r="B2842" t="s">
        <v>14</v>
      </c>
      <c r="C2842" t="s">
        <v>22</v>
      </c>
      <c r="D2842" s="2" t="s">
        <f>=HYPERLINK("https://main.knesset.gov.il/APPS/legislation/main/bills/2220205", "הצעת חוק הגבלת השימוש ורישום פעולות בחלקי רכב משומשים (מניעת גניבות) (תיקון - חובות החלות בעת רכישה או מכירה של רכב ניזוק), התשפ""ד-2024")</f>
        <v>5970</v>
      </c>
      <c r="E2842" t="s">
        <v>5970</v>
      </c>
      <c r="F2842" t="s">
        <v>5971</v>
      </c>
      <c r="G2842" t="s">
        <v>14</v>
      </c>
      <c r="H2842">
             </c>
      <c r="I2842" t="s">
        <v>14</v>
      </c>
      <c r="J2842" t="s">
        <v>141</v>
      </c>
      <c r="K2842" t="s">
        <v>14</v>
      </c>
      <c r="L2842" t="s">
        <v>20</v>
      </c>
      <c r="M2842" t="s">
        <v>5916</v>
      </c>
      <c r="N2842" t="s">
        <v>14</v>
      </c>
    </row>
    <row r="2843" x14ac:dyDescent="0.25">
      <c r="A2843" t="n">
        <v>25</v>
      </c>
      <c r="B2843" t="s">
        <v>14</v>
      </c>
      <c r="C2843" t="s">
        <v>22</v>
      </c>
      <c r="D2843" s="2" t="s">
        <f>=HYPERLINK("https://main.knesset.gov.il/APPS/legislation/main/bills/2220213", "הצעת חוק הכשרות המשפטית והאפוטרופסות (תיקון - קבלת אישור מראש לביצוע עסקה), התשפ""ד-2024")</f>
        <v>5972</v>
      </c>
      <c r="E2843" t="s">
        <v>5972</v>
      </c>
      <c r="F2843" t="s">
        <v>5973</v>
      </c>
      <c r="G2843" t="s">
        <v>14</v>
      </c>
      <c r="H2843">
             </c>
      <c r="I2843" t="s">
        <v>14</v>
      </c>
      <c r="J2843" t="s">
        <v>141</v>
      </c>
      <c r="K2843" t="s">
        <v>14</v>
      </c>
      <c r="L2843" t="s">
        <v>20</v>
      </c>
      <c r="M2843" t="s">
        <v>5916</v>
      </c>
      <c r="N2843" t="s">
        <v>14</v>
      </c>
    </row>
    <row r="2844" x14ac:dyDescent="0.25">
      <c r="A2844" t="n">
        <v>25</v>
      </c>
      <c r="B2844" t="s">
        <v>14</v>
      </c>
      <c r="C2844" t="s">
        <v>22</v>
      </c>
      <c r="D2844" s="2" t="s">
        <f>=HYPERLINK("https://main.knesset.gov.il/APPS/legislation/main/bills/2220089", "הצעת חוק התקשורת (בזק ושידורים) (תיקון - הקפאת שימוש במספר טלפון של חייל שנספה במערכה או אדם שנספה בפעולת איבה), התשפ""ד-2024")</f>
        <v>5974</v>
      </c>
      <c r="E2844" t="s">
        <v>5974</v>
      </c>
      <c r="F2844" t="s">
        <v>5975</v>
      </c>
      <c r="G2844" t="s">
        <v>14</v>
      </c>
      <c r="H2844">
             </c>
      <c r="I2844" t="s">
        <v>14</v>
      </c>
      <c r="J2844" t="s">
        <v>343</v>
      </c>
      <c r="K2844" t="s">
        <v>14</v>
      </c>
      <c r="L2844" t="s">
        <v>20</v>
      </c>
      <c r="M2844" t="s">
        <v>5916</v>
      </c>
      <c r="N2844" t="s">
        <v>14</v>
      </c>
    </row>
    <row r="2845" x14ac:dyDescent="0.25">
      <c r="A2845" t="n">
        <v>25</v>
      </c>
      <c r="B2845" t="s">
        <v>14</v>
      </c>
      <c r="C2845" t="s">
        <v>22</v>
      </c>
      <c r="D2845" s="2" t="s">
        <f>=HYPERLINK("https://main.knesset.gov.il/APPS/legislation/main/bills/2196054", "הצעת חוק הסיוע המשפטי (תיקון - סיוע משפטי לנפגעי עבירות), התשפ""ג-2022")</f>
        <v>5976</v>
      </c>
      <c r="E2845" t="s">
        <v>5976</v>
      </c>
      <c r="F2845" t="s">
        <v>5977</v>
      </c>
      <c r="G2845" t="s">
        <v>14</v>
      </c>
      <c r="H2845">
             </c>
      <c r="I2845" t="s">
        <v>14</v>
      </c>
      <c r="J2845" t="s">
        <v>99</v>
      </c>
      <c r="K2845" t="s">
        <v>27</v>
      </c>
      <c r="L2845" t="s">
        <v>20</v>
      </c>
      <c r="M2845" t="s">
        <v>5978</v>
      </c>
      <c r="N2845" t="s">
        <v>14</v>
      </c>
    </row>
    <row r="2846" x14ac:dyDescent="0.25">
      <c r="A2846" t="n">
        <v>25</v>
      </c>
      <c r="B2846" t="s">
        <v>14</v>
      </c>
      <c r="C2846" t="s">
        <v>22</v>
      </c>
      <c r="D2846" s="2" t="s">
        <f>=HYPERLINK("https://main.knesset.gov.il/APPS/legislation/main/bills/2215240", "הצעת חוק פיקוח על מחירי מצרכים ושירותים (תיקון - פיקוח על מוצרי מזון בריא בסיסיים), התשפ""ד-2024 ")</f>
        <v>5979</v>
      </c>
      <c r="E2846" t="s">
        <v>5979</v>
      </c>
      <c r="F2846" t="s">
        <v>5980</v>
      </c>
      <c r="G2846" t="s">
        <v>14</v>
      </c>
      <c r="H2846">
             </c>
      <c r="I2846" t="s">
        <v>14</v>
      </c>
      <c r="J2846" t="s">
        <v>343</v>
      </c>
      <c r="K2846" t="s">
        <v>14</v>
      </c>
      <c r="L2846" t="s">
        <v>20</v>
      </c>
      <c r="M2846" t="s">
        <v>5981</v>
      </c>
      <c r="N2846" t="s">
        <v>14</v>
      </c>
    </row>
    <row r="2847" x14ac:dyDescent="0.25">
      <c r="A2847" t="n">
        <v>25</v>
      </c>
      <c r="B2847" t="s">
        <v>14</v>
      </c>
      <c r="C2847" t="s">
        <v>22</v>
      </c>
      <c r="D2847" s="2" t="s">
        <f>=HYPERLINK("https://main.knesset.gov.il/APPS/legislation/main/bills/2215925", "הצעת חוק חניה לנכים (תיקון - זכאות תג נכה לצמיתות), התשפ""ד-2024")</f>
        <v>5982</v>
      </c>
      <c r="E2847" t="s">
        <v>5982</v>
      </c>
      <c r="F2847" t="s">
        <v>5983</v>
      </c>
      <c r="G2847" t="s">
        <v>14</v>
      </c>
      <c r="H2847">
             </c>
      <c r="I2847" t="s">
        <v>14</v>
      </c>
      <c r="J2847" t="s">
        <v>343</v>
      </c>
      <c r="K2847" t="s">
        <v>14</v>
      </c>
      <c r="L2847" t="s">
        <v>20</v>
      </c>
      <c r="M2847" t="s">
        <v>5981</v>
      </c>
      <c r="N2847" t="s">
        <v>14</v>
      </c>
    </row>
    <row r="2848" x14ac:dyDescent="0.25">
      <c r="A2848" t="n">
        <v>25</v>
      </c>
      <c r="B2848" t="s">
        <v>14</v>
      </c>
      <c r="C2848" t="s">
        <v>22</v>
      </c>
      <c r="D2848" s="2" t="s">
        <f>=HYPERLINK("https://main.knesset.gov.il/APPS/legislation/main/bills/2211338", "הצעת חוק-יסוד: ישראל - מדינת הלאום של העם היהודי (תיקון - הוספת עקרון השוויון בפני החוק ועיגון מעמדה של מגילת העצמאות)")</f>
        <v>5440</v>
      </c>
      <c r="E2848" t="s">
        <v>5440</v>
      </c>
      <c r="F2848" t="s">
        <v>5984</v>
      </c>
      <c r="G2848" t="s">
        <v>14</v>
      </c>
      <c r="H2848">
             </c>
      <c r="I2848" t="s">
        <v>14</v>
      </c>
      <c r="J2848" t="s">
        <v>55</v>
      </c>
      <c r="K2848" t="s">
        <v>14</v>
      </c>
      <c r="L2848" t="s">
        <v>20</v>
      </c>
      <c r="M2848" t="s">
        <v>5981</v>
      </c>
      <c r="N2848" t="s">
        <v>14</v>
      </c>
    </row>
    <row r="2849" x14ac:dyDescent="0.25">
      <c r="A2849" t="n">
        <v>25</v>
      </c>
      <c r="B2849" t="s">
        <v>14</v>
      </c>
      <c r="C2849" t="s">
        <v>22</v>
      </c>
      <c r="D2849" s="2" t="s">
        <f>=HYPERLINK("https://main.knesset.gov.il/APPS/legislation/main/bills/2198751", "הצעת חוק פיקוח על מחירי מצרכים ושירותים (תיקון - פיקוח על מוצרי מזון בריא בסיסיים), התשפ""ג-2023 ")</f>
        <v>5985</v>
      </c>
      <c r="E2849" t="s">
        <v>5985</v>
      </c>
      <c r="F2849" t="s">
        <v>5986</v>
      </c>
      <c r="G2849" t="s">
        <v>14</v>
      </c>
      <c r="H2849">
             </c>
      <c r="I2849" t="s">
        <v>14</v>
      </c>
      <c r="J2849" t="s">
        <v>343</v>
      </c>
      <c r="K2849" t="s">
        <v>14</v>
      </c>
      <c r="L2849" t="s">
        <v>20</v>
      </c>
      <c r="M2849" t="s">
        <v>5981</v>
      </c>
      <c r="N2849" t="s">
        <v>14</v>
      </c>
    </row>
    <row r="2850" x14ac:dyDescent="0.25">
      <c r="A2850" t="n">
        <v>25</v>
      </c>
      <c r="B2850" t="s">
        <v>14</v>
      </c>
      <c r="C2850" t="s">
        <v>22</v>
      </c>
      <c r="D2850" s="2" t="s">
        <f>=HYPERLINK("https://main.knesset.gov.il/APPS/legislation/main/bills/2198326", "הצעת חוק זכויות הסטודנט (תיקון - התאמות לאוכלוסייה הערבית - חגים), התשפ""ג-2023")</f>
        <v>5987</v>
      </c>
      <c r="E2850" t="s">
        <v>5987</v>
      </c>
      <c r="F2850" t="s">
        <v>5988</v>
      </c>
      <c r="G2850" t="s">
        <v>14</v>
      </c>
      <c r="H2850">
             </c>
      <c r="I2850" t="s">
        <v>14</v>
      </c>
      <c r="J2850" t="s">
        <v>55</v>
      </c>
      <c r="K2850" t="s">
        <v>14</v>
      </c>
      <c r="L2850" t="s">
        <v>20</v>
      </c>
      <c r="M2850" t="s">
        <v>5981</v>
      </c>
      <c r="N2850" t="s">
        <v>14</v>
      </c>
    </row>
    <row r="2851" x14ac:dyDescent="0.25">
      <c r="A2851" t="n">
        <v>25</v>
      </c>
      <c r="B2851" t="s">
        <v>14</v>
      </c>
      <c r="C2851" t="s">
        <v>22</v>
      </c>
      <c r="D2851" s="2" t="s">
        <f>=HYPERLINK("https://main.knesset.gov.il/APPS/legislation/main/bills/2197974", "הצעת חוק התכנון והבנייה (תיקון - ביטול התניית חיבור לחשמל, מים וטלפון באישור תאגיד המים), התשפ""ג-2022")</f>
        <v>5989</v>
      </c>
      <c r="E2851" t="s">
        <v>5989</v>
      </c>
      <c r="F2851" t="s">
        <v>5990</v>
      </c>
      <c r="G2851" t="s">
        <v>14</v>
      </c>
      <c r="H2851">
             </c>
      <c r="I2851" t="s">
        <v>14</v>
      </c>
      <c r="J2851" t="s">
        <v>55</v>
      </c>
      <c r="K2851" t="s">
        <v>14</v>
      </c>
      <c r="L2851" t="s">
        <v>20</v>
      </c>
      <c r="M2851" t="s">
        <v>5981</v>
      </c>
      <c r="N2851" t="s">
        <v>14</v>
      </c>
    </row>
    <row r="2852" x14ac:dyDescent="0.25">
      <c r="A2852" t="n">
        <v>25</v>
      </c>
      <c r="B2852" t="s">
        <v>14</v>
      </c>
      <c r="C2852" t="s">
        <v>22</v>
      </c>
      <c r="D2852" s="2" t="s">
        <f>=HYPERLINK("https://main.knesset.gov.il/APPS/legislation/main/bills/2196689", "הצעת חוק עבודת נשים (תיקון - תקופת לידה והורות להורה יחיד), התשפ""ג-2022")</f>
        <v>5991</v>
      </c>
      <c r="E2852" t="s">
        <v>5991</v>
      </c>
      <c r="F2852" t="s">
        <v>5992</v>
      </c>
      <c r="G2852" t="s">
        <v>14</v>
      </c>
      <c r="H2852">
             </c>
      <c r="I2852" t="s">
        <v>14</v>
      </c>
      <c r="J2852" t="s">
        <v>31</v>
      </c>
      <c r="K2852" t="s">
        <v>127</v>
      </c>
      <c r="L2852" t="s">
        <v>20</v>
      </c>
      <c r="M2852" t="s">
        <v>5981</v>
      </c>
      <c r="N2852" t="s">
        <v>14</v>
      </c>
    </row>
    <row r="2853" x14ac:dyDescent="0.25">
      <c r="A2853" t="n">
        <v>25</v>
      </c>
      <c r="B2853" t="s">
        <v>14</v>
      </c>
      <c r="C2853" t="s">
        <v>22</v>
      </c>
      <c r="D2853" s="2" t="s">
        <f>=HYPERLINK("https://main.knesset.gov.il/APPS/legislation/main/bills/2198905", "הצעת חוק הסדרים במשק המדינה (תיקוני חקיקה להשגת יעדי התקציב) (תיקון - חישוב עליית מחירי הארנונה), התשפ""ג-2023")</f>
        <v>5993</v>
      </c>
      <c r="E2853" t="s">
        <v>5993</v>
      </c>
      <c r="F2853" t="s">
        <v>5994</v>
      </c>
      <c r="G2853" t="s">
        <v>14</v>
      </c>
      <c r="H2853">
             </c>
      <c r="I2853" t="s">
        <v>14</v>
      </c>
      <c r="J2853" t="s">
        <v>31</v>
      </c>
      <c r="K2853" t="s">
        <v>85</v>
      </c>
      <c r="L2853" t="s">
        <v>20</v>
      </c>
      <c r="M2853" t="s">
        <v>5995</v>
      </c>
      <c r="N2853" t="s">
        <v>14</v>
      </c>
    </row>
    <row r="2854" x14ac:dyDescent="0.25">
      <c r="A2854" t="n">
        <v>25</v>
      </c>
      <c r="B2854" t="s">
        <v>14</v>
      </c>
      <c r="C2854" t="s">
        <v>22</v>
      </c>
      <c r="D2854" s="2" t="s">
        <f>=HYPERLINK("https://main.knesset.gov.il/APPS/legislation/main/bills/2214518", "הצעת חוק לתיקון פקודת החסינות וזכויות-היתר של האומות המאוחדות (ביטול החסינויות וזכויות-היתר של סוכנות הסעד והתעסוקה של האו""ם לפליטי פלסטין במזרח הקרוב (אונר""א)), התשפ""ד-2024")</f>
        <v>5996</v>
      </c>
      <c r="E2854" t="s">
        <v>5996</v>
      </c>
      <c r="F2854" t="s">
        <v>5997</v>
      </c>
      <c r="G2854" t="s">
        <v>14</v>
      </c>
      <c r="H2854">
             </c>
      <c r="I2854" t="s">
        <v>14</v>
      </c>
      <c r="J2854" t="s">
        <v>99</v>
      </c>
      <c r="K2854" t="s">
        <v>114</v>
      </c>
      <c r="L2854" t="s">
        <v>20</v>
      </c>
      <c r="M2854" t="s">
        <v>5995</v>
      </c>
      <c r="N2854" t="s">
        <v>14</v>
      </c>
    </row>
    <row r="2855" x14ac:dyDescent="0.25">
      <c r="A2855" t="n">
        <v>25</v>
      </c>
      <c r="B2855" t="s">
        <v>14</v>
      </c>
      <c r="C2855" t="s">
        <v>22</v>
      </c>
      <c r="D2855" s="2" t="s">
        <f>=HYPERLINK("https://main.knesset.gov.il/APPS/legislation/main/bills/2207137", "הצעת חוק-יסוד: ירושלים בירת ישראל (תיקון - איסור על פתיחת נציגות דיפלומטית זרה)")</f>
        <v>5998</v>
      </c>
      <c r="E2855" t="s">
        <v>5998</v>
      </c>
      <c r="F2855" t="s">
        <v>5999</v>
      </c>
      <c r="G2855" t="s">
        <v>14</v>
      </c>
      <c r="H2855">
             </c>
      <c r="I2855" t="s">
        <v>14</v>
      </c>
      <c r="J2855" t="s">
        <v>99</v>
      </c>
      <c r="K2855" t="s">
        <v>27</v>
      </c>
      <c r="L2855" t="s">
        <v>20</v>
      </c>
      <c r="M2855" t="s">
        <v>5995</v>
      </c>
      <c r="N2855" t="s">
        <v>14</v>
      </c>
    </row>
    <row r="2856" x14ac:dyDescent="0.25">
      <c r="A2856" t="n">
        <v>25</v>
      </c>
      <c r="B2856" t="s">
        <v>14</v>
      </c>
      <c r="C2856" t="s">
        <v>22</v>
      </c>
      <c r="D2856" s="2" t="s">
        <f>=HYPERLINK("https://main.knesset.gov.il/APPS/legislation/main/bills/2199051", "הצעת חוק שוויון ההזדמנויות בעבודה (תיקון - הארכת תקופת ההתיישנות), התשפ""ג-2023")</f>
        <v>6000</v>
      </c>
      <c r="E2856" t="s">
        <v>6000</v>
      </c>
      <c r="F2856" t="s">
        <v>6001</v>
      </c>
      <c r="G2856" t="s">
        <v>14</v>
      </c>
      <c r="H2856">
             </c>
      <c r="I2856" t="s">
        <v>14</v>
      </c>
      <c r="J2856" t="s">
        <v>99</v>
      </c>
      <c r="K2856" t="s">
        <v>127</v>
      </c>
      <c r="L2856" t="s">
        <v>20</v>
      </c>
      <c r="M2856" t="s">
        <v>6002</v>
      </c>
      <c r="N2856" t="s">
        <v>14</v>
      </c>
    </row>
    <row r="2857" x14ac:dyDescent="0.25">
      <c r="A2857" t="n">
        <v>25</v>
      </c>
      <c r="B2857" t="s">
        <v>14</v>
      </c>
      <c r="C2857" t="s">
        <v>22</v>
      </c>
      <c r="D2857" s="2" t="s">
        <f>=HYPERLINK("https://main.knesset.gov.il/APPS/legislation/main/bills/2198001", "הצעת חוק שוויון ההזדמנויות בעבודה (תיקון - הארכת תקופת ההתיישנות), התשפ""ג-2023")</f>
        <v>6000</v>
      </c>
      <c r="E2857" t="s">
        <v>6000</v>
      </c>
      <c r="F2857" t="s">
        <v>6003</v>
      </c>
      <c r="G2857" t="s">
        <v>14</v>
      </c>
      <c r="H2857">
             </c>
      <c r="I2857" t="s">
        <v>14</v>
      </c>
      <c r="J2857" t="s">
        <v>99</v>
      </c>
      <c r="K2857" t="s">
        <v>127</v>
      </c>
      <c r="L2857" t="s">
        <v>20</v>
      </c>
      <c r="M2857" t="s">
        <v>6002</v>
      </c>
      <c r="N2857" t="s">
        <v>14</v>
      </c>
    </row>
    <row r="2858" x14ac:dyDescent="0.25">
      <c r="A2858" t="n">
        <v>25</v>
      </c>
      <c r="B2858" t="s">
        <v>14</v>
      </c>
      <c r="C2858" t="s">
        <v>15</v>
      </c>
      <c r="D2858" s="2" t="s">
        <f>=HYPERLINK("https://main.knesset.gov.il/APPS/legislation/main/bills/2204242", "פרק ז' (רכבת תחתית (מטרו) – רכיב למימון) מתוך הצעת חוק ההתייעלות הכלכלית (תיקוני חקיקה להשגת יעדי התקציב לשנות התקציב 2023 ו-2024), התשפ""ג-2023 [פוצלה לפי סעיף 84(ב) לתקנון]")</f>
        <v>6004</v>
      </c>
      <c r="E2858" t="s">
        <v>6004</v>
      </c>
      <c r="F2858" t="s">
        <v>14</v>
      </c>
      <c r="G2858" t="s">
        <v>110</v>
      </c>
      <c r="H2858">
             </c>
      <c r="I2858" t="s">
        <v>14</v>
      </c>
      <c r="J2858" t="s">
        <v>99</v>
      </c>
      <c r="K2858" t="s">
        <v>46</v>
      </c>
      <c r="L2858" t="s">
        <v>20</v>
      </c>
      <c r="M2858" t="s">
        <v>6002</v>
      </c>
      <c r="N2858" t="s">
        <v>14</v>
      </c>
    </row>
    <row r="2859" x14ac:dyDescent="0.25">
      <c r="A2859" t="n">
        <v>25</v>
      </c>
      <c r="B2859" t="s">
        <v>14</v>
      </c>
      <c r="C2859" t="s">
        <v>22</v>
      </c>
      <c r="D2859" s="2" t="s">
        <f>=HYPERLINK("https://main.knesset.gov.il/APPS/legislation/main/bills/2219446", "הצעת חוק תחנות טיפת חלב, התשפ''ד-2024")</f>
        <v>5830</v>
      </c>
      <c r="E2859" t="s">
        <v>5830</v>
      </c>
      <c r="F2859" t="s">
        <v>6005</v>
      </c>
      <c r="G2859" t="s">
        <v>14</v>
      </c>
      <c r="H2859">
             </c>
      <c r="I2859" t="s">
        <v>14</v>
      </c>
      <c r="J2859" t="s">
        <v>141</v>
      </c>
      <c r="K2859" t="s">
        <v>14</v>
      </c>
      <c r="L2859" t="s">
        <v>20</v>
      </c>
      <c r="M2859" t="s">
        <v>6002</v>
      </c>
      <c r="N2859" t="s">
        <v>14</v>
      </c>
    </row>
    <row r="2860" x14ac:dyDescent="0.25">
      <c r="A2860" t="n">
        <v>25</v>
      </c>
      <c r="B2860" t="s">
        <v>14</v>
      </c>
      <c r="C2860" t="s">
        <v>22</v>
      </c>
      <c r="D2860" s="2" t="s">
        <f>=HYPERLINK("https://main.knesset.gov.il/APPS/legislation/main/bills/2220142", "הצעת חוק המועצה לענף הלול (ייצור ושיווק) (תיקון - סימון ביצים), התשפ""ד-2024")</f>
        <v>6006</v>
      </c>
      <c r="E2860" t="s">
        <v>6006</v>
      </c>
      <c r="F2860" t="s">
        <v>6007</v>
      </c>
      <c r="G2860" t="s">
        <v>14</v>
      </c>
      <c r="H2860">
             </c>
      <c r="I2860" t="s">
        <v>14</v>
      </c>
      <c r="J2860" t="s">
        <v>141</v>
      </c>
      <c r="K2860" t="s">
        <v>14</v>
      </c>
      <c r="L2860" t="s">
        <v>20</v>
      </c>
      <c r="M2860" t="s">
        <v>6002</v>
      </c>
      <c r="N2860" t="s">
        <v>14</v>
      </c>
    </row>
    <row r="2861" x14ac:dyDescent="0.25">
      <c r="A2861" t="n">
        <v>25</v>
      </c>
      <c r="B2861" t="s">
        <v>14</v>
      </c>
      <c r="C2861" t="s">
        <v>22</v>
      </c>
      <c r="D2861" s="2" t="s">
        <f>=HYPERLINK("https://main.knesset.gov.il/APPS/legislation/main/bills/2220245", "הצעת חוק שירות המדינה (מינויים) (תיקון - מינוי נציב שירות המדינה ומינויים באמצעות ועדת איתור), התשפ""ד-2024")</f>
        <v>6008</v>
      </c>
      <c r="E2861" t="s">
        <v>6008</v>
      </c>
      <c r="F2861" t="s">
        <v>6009</v>
      </c>
      <c r="G2861" t="s">
        <v>14</v>
      </c>
      <c r="H2861">
             </c>
      <c r="I2861" t="s">
        <v>14</v>
      </c>
      <c r="J2861" t="s">
        <v>141</v>
      </c>
      <c r="K2861" t="s">
        <v>14</v>
      </c>
      <c r="L2861" t="s">
        <v>20</v>
      </c>
      <c r="M2861" t="s">
        <v>6002</v>
      </c>
      <c r="N2861" t="s">
        <v>14</v>
      </c>
    </row>
    <row r="2862" x14ac:dyDescent="0.25">
      <c r="A2862" t="n">
        <v>25</v>
      </c>
      <c r="B2862" t="s">
        <v>14</v>
      </c>
      <c r="C2862" t="s">
        <v>22</v>
      </c>
      <c r="D2862" s="2" t="s">
        <f>=HYPERLINK("https://main.knesset.gov.il/APPS/legislation/main/bills/2216437", "הצעת חוק העונשין (תיקון - חיוב בהוצאות משפט שהוציא נפגע העבירה), התשפ""ד-2024")</f>
        <v>6010</v>
      </c>
      <c r="E2862" t="s">
        <v>6010</v>
      </c>
      <c r="F2862" t="s">
        <v>6011</v>
      </c>
      <c r="G2862" t="s">
        <v>14</v>
      </c>
      <c r="H2862">
             </c>
      <c r="I2862" t="s">
        <v>14</v>
      </c>
      <c r="J2862" t="s">
        <v>141</v>
      </c>
      <c r="K2862" t="s">
        <v>14</v>
      </c>
      <c r="L2862" t="s">
        <v>20</v>
      </c>
      <c r="M2862" t="s">
        <v>6002</v>
      </c>
      <c r="N2862" t="s">
        <v>14</v>
      </c>
    </row>
    <row r="2863" x14ac:dyDescent="0.25">
      <c r="A2863" t="n">
        <v>25</v>
      </c>
      <c r="B2863" t="s">
        <v>14</v>
      </c>
      <c r="C2863" t="s">
        <v>22</v>
      </c>
      <c r="D2863" s="2" t="s">
        <f>=HYPERLINK("https://main.knesset.gov.il/APPS/legislation/main/bills/2220143", "הצעת חוק מועדי כינוס הכנסת בתקופת מלחמת חרבות ברזל וביטול הפגרה (הוראת שעה), התשפ""ד-2024 ")</f>
        <v>6012</v>
      </c>
      <c r="E2863" t="s">
        <v>6012</v>
      </c>
      <c r="F2863" t="s">
        <v>6013</v>
      </c>
      <c r="G2863" t="s">
        <v>14</v>
      </c>
      <c r="H2863">
             </c>
      <c r="I2863" t="s">
        <v>14</v>
      </c>
      <c r="J2863" t="s">
        <v>141</v>
      </c>
      <c r="K2863" t="s">
        <v>14</v>
      </c>
      <c r="L2863" t="s">
        <v>20</v>
      </c>
      <c r="M2863" t="s">
        <v>6002</v>
      </c>
      <c r="N2863" t="s">
        <v>14</v>
      </c>
    </row>
    <row r="2864" x14ac:dyDescent="0.25">
      <c r="A2864" t="n">
        <v>25</v>
      </c>
      <c r="B2864" t="s">
        <v>14</v>
      </c>
      <c r="C2864" t="s">
        <v>22</v>
      </c>
      <c r="D2864" s="2" t="s">
        <f>=HYPERLINK("https://main.knesset.gov.il/APPS/legislation/main/bills/2220141", "הצעת חוק הכנסת (תיקון - כינוס הכנסת בעת מצב מיוחד בעורף או מצב מלחמה), התשפ""ד-2024")</f>
        <v>6014</v>
      </c>
      <c r="E2864" t="s">
        <v>6014</v>
      </c>
      <c r="F2864" t="s">
        <v>6015</v>
      </c>
      <c r="G2864" t="s">
        <v>14</v>
      </c>
      <c r="H2864">
             </c>
      <c r="I2864" t="s">
        <v>14</v>
      </c>
      <c r="J2864" t="s">
        <v>141</v>
      </c>
      <c r="K2864" t="s">
        <v>14</v>
      </c>
      <c r="L2864" t="s">
        <v>20</v>
      </c>
      <c r="M2864" t="s">
        <v>6002</v>
      </c>
      <c r="N2864" t="s">
        <v>14</v>
      </c>
    </row>
    <row r="2865" x14ac:dyDescent="0.25">
      <c r="A2865" t="n">
        <v>25</v>
      </c>
      <c r="B2865" t="s">
        <v>14</v>
      </c>
      <c r="C2865" t="s">
        <v>22</v>
      </c>
      <c r="D2865" s="2" t="s">
        <f>=HYPERLINK("https://main.knesset.gov.il/APPS/legislation/main/bills/2219398", "הצעת חוק לתיקון פקודת התעבורה (סימון אחיד להסדרי חניה), התשפ""ד-2024")</f>
        <v>6016</v>
      </c>
      <c r="E2865" t="s">
        <v>6016</v>
      </c>
      <c r="F2865" t="s">
        <v>6017</v>
      </c>
      <c r="G2865" t="s">
        <v>14</v>
      </c>
      <c r="H2865">
             </c>
      <c r="I2865" t="s">
        <v>14</v>
      </c>
      <c r="J2865" t="s">
        <v>141</v>
      </c>
      <c r="K2865" t="s">
        <v>14</v>
      </c>
      <c r="L2865" t="s">
        <v>20</v>
      </c>
      <c r="M2865" t="s">
        <v>6002</v>
      </c>
      <c r="N2865" t="s">
        <v>14</v>
      </c>
    </row>
    <row r="2866" x14ac:dyDescent="0.25">
      <c r="A2866" t="n">
        <v>25</v>
      </c>
      <c r="B2866" t="s">
        <v>14</v>
      </c>
      <c r="C2866" t="s">
        <v>22</v>
      </c>
      <c r="D2866" s="2" t="s">
        <f>=HYPERLINK("https://main.knesset.gov.il/APPS/legislation/main/bills/2220320", "הצעת חוק דמי הבראה, התשפ""ד-2024")</f>
        <v>6018</v>
      </c>
      <c r="E2866" t="s">
        <v>6018</v>
      </c>
      <c r="F2866" t="s">
        <v>6019</v>
      </c>
      <c r="G2866" t="s">
        <v>14</v>
      </c>
      <c r="H2866">
             </c>
      <c r="I2866" t="s">
        <v>14</v>
      </c>
      <c r="J2866" t="s">
        <v>1123</v>
      </c>
      <c r="K2866" t="s">
        <v>14</v>
      </c>
      <c r="L2866" t="s">
        <v>20</v>
      </c>
      <c r="M2866" t="s">
        <v>6002</v>
      </c>
      <c r="N2866" t="s">
        <v>14</v>
      </c>
    </row>
    <row r="2867" x14ac:dyDescent="0.25">
      <c r="A2867" t="n">
        <v>25</v>
      </c>
      <c r="B2867" t="s">
        <v>14</v>
      </c>
      <c r="C2867" t="s">
        <v>22</v>
      </c>
      <c r="D2867" s="2" t="s">
        <f>=HYPERLINK("https://main.knesset.gov.il/APPS/legislation/main/bills/2220212", "הצעת חוק המכר (דירות) (תיקון - חובת מסירת תוכניות הדירה לקונה), התשפ""ד-2024")</f>
        <v>6020</v>
      </c>
      <c r="E2867" t="s">
        <v>6020</v>
      </c>
      <c r="F2867" t="s">
        <v>6021</v>
      </c>
      <c r="G2867" t="s">
        <v>14</v>
      </c>
      <c r="H2867">
             </c>
      <c r="I2867" t="s">
        <v>14</v>
      </c>
      <c r="J2867" t="s">
        <v>141</v>
      </c>
      <c r="K2867" t="s">
        <v>14</v>
      </c>
      <c r="L2867" t="s">
        <v>20</v>
      </c>
      <c r="M2867" t="s">
        <v>6002</v>
      </c>
      <c r="N2867" t="s">
        <v>14</v>
      </c>
    </row>
    <row r="2868" x14ac:dyDescent="0.25">
      <c r="A2868" t="n">
        <v>25</v>
      </c>
      <c r="B2868" t="s">
        <v>14</v>
      </c>
      <c r="C2868" t="s">
        <v>22</v>
      </c>
      <c r="D2868" s="2" t="s">
        <f>=HYPERLINK("https://main.knesset.gov.il/APPS/legislation/main/bills/2220232", "הצעת חוק משפחות חיילים שנספו במערכה (תגמולים ושיקום) (תיקון - תגמולי יתומים, אלמנות וגרושות), התשפ""ד-2024")</f>
        <v>1381</v>
      </c>
      <c r="E2868" t="s">
        <v>1381</v>
      </c>
      <c r="F2868" t="s">
        <v>6022</v>
      </c>
      <c r="G2868" t="s">
        <v>14</v>
      </c>
      <c r="H2868">
             </c>
      <c r="I2868" t="s">
        <v>14</v>
      </c>
      <c r="J2868" t="s">
        <v>141</v>
      </c>
      <c r="K2868" t="s">
        <v>14</v>
      </c>
      <c r="L2868" t="s">
        <v>20</v>
      </c>
      <c r="M2868" t="s">
        <v>6002</v>
      </c>
      <c r="N2868" t="s">
        <v>14</v>
      </c>
    </row>
    <row r="2869" x14ac:dyDescent="0.25">
      <c r="A2869" t="n">
        <v>25</v>
      </c>
      <c r="B2869" t="s">
        <v>14</v>
      </c>
      <c r="C2869" t="s">
        <v>22</v>
      </c>
      <c r="D2869" s="2" t="s">
        <f>=HYPERLINK("https://main.knesset.gov.il/APPS/legislation/main/bills/2220206", "הצעת חוק משפחות חיילים שנספו במערכה (תגמולים ושיקום) (תיקון - תגמולי יתומים, אלמנות וגרושות), התשפ""ד-2024")</f>
        <v>1381</v>
      </c>
      <c r="E2869" t="s">
        <v>1381</v>
      </c>
      <c r="F2869" t="s">
        <v>6023</v>
      </c>
      <c r="G2869" t="s">
        <v>14</v>
      </c>
      <c r="H2869">
             </c>
      <c r="I2869" t="s">
        <v>14</v>
      </c>
      <c r="J2869" t="s">
        <v>141</v>
      </c>
      <c r="K2869" t="s">
        <v>14</v>
      </c>
      <c r="L2869" t="s">
        <v>20</v>
      </c>
      <c r="M2869" t="s">
        <v>6002</v>
      </c>
      <c r="N2869" t="s">
        <v>14</v>
      </c>
    </row>
    <row r="2870" x14ac:dyDescent="0.25">
      <c r="A2870" t="n">
        <v>25</v>
      </c>
      <c r="B2870" t="s">
        <v>14</v>
      </c>
      <c r="C2870" t="s">
        <v>22</v>
      </c>
      <c r="D2870" s="2" t="s">
        <f>=HYPERLINK("https://main.knesset.gov.il/APPS/legislation/main/bills/2196857", "חוק הירושה (תיקון מס' 21), התשפ""ד–2024")</f>
        <v>6024</v>
      </c>
      <c r="E2870" t="s">
        <v>6024</v>
      </c>
      <c r="F2870" t="s">
        <v>6025</v>
      </c>
      <c r="G2870" t="s">
        <v>5913</v>
      </c>
      <c r="H2870" t="n">
        <v>3243</v>
      </c>
      <c r="I2870" t="s">
        <v>14</v>
      </c>
      <c r="J2870" t="s">
        <v>91</v>
      </c>
      <c r="K2870" t="s">
        <v>27</v>
      </c>
      <c r="L2870" t="s">
        <v>20</v>
      </c>
      <c r="M2870" t="s">
        <v>6026</v>
      </c>
      <c r="N2870" t="s">
        <v>6027</v>
      </c>
    </row>
    <row r="2871" x14ac:dyDescent="0.25">
      <c r="A2871" t="n">
        <v>25</v>
      </c>
      <c r="B2871" t="s">
        <v>14</v>
      </c>
      <c r="C2871" t="s">
        <v>15</v>
      </c>
      <c r="D2871" s="2" t="s">
        <f>=HYPERLINK("https://main.knesset.gov.il/APPS/legislation/main/bills/2218798", "חוק לדחיית הבחירות הכלליות לרשויות המקומיות (תיקון מס' 2), התשפ""ד-2024")</f>
        <v>6028</v>
      </c>
      <c r="E2871" t="s">
        <v>6028</v>
      </c>
      <c r="F2871" t="s">
        <v>14</v>
      </c>
      <c r="G2871" t="s">
        <v>6029</v>
      </c>
      <c r="H2871" t="n">
        <v>3241</v>
      </c>
      <c r="I2871" t="s">
        <v>14</v>
      </c>
      <c r="J2871" t="s">
        <v>91</v>
      </c>
      <c r="K2871" t="s">
        <v>46</v>
      </c>
      <c r="L2871" t="s">
        <v>20</v>
      </c>
      <c r="M2871" t="s">
        <v>6026</v>
      </c>
      <c r="N2871" t="s">
        <v>6030</v>
      </c>
    </row>
    <row r="2872" x14ac:dyDescent="0.25">
      <c r="A2872" t="n">
        <v>25</v>
      </c>
      <c r="B2872" t="s">
        <v>14</v>
      </c>
      <c r="C2872" t="s">
        <v>20</v>
      </c>
      <c r="D2872" s="2" t="s">
        <f>=HYPERLINK("https://main.knesset.gov.il/APPS/legislation/main/bills/2216582", "חוק הכנסת (תיקון מס' 52), התשפ""ד–2024")</f>
        <v>6031</v>
      </c>
      <c r="E2872" t="s">
        <v>6031</v>
      </c>
      <c r="F2872" t="s">
        <v>14</v>
      </c>
      <c r="G2872" t="s">
        <v>6032</v>
      </c>
      <c r="H2872" t="n">
        <v>3240</v>
      </c>
      <c r="I2872" t="s">
        <v>14</v>
      </c>
      <c r="J2872" t="s">
        <v>91</v>
      </c>
      <c r="K2872" t="s">
        <v>121</v>
      </c>
      <c r="L2872" t="s">
        <v>20</v>
      </c>
      <c r="M2872" t="s">
        <v>6026</v>
      </c>
      <c r="N2872" t="s">
        <v>6033</v>
      </c>
    </row>
    <row r="2873" x14ac:dyDescent="0.25">
      <c r="A2873" t="n">
        <v>25</v>
      </c>
      <c r="B2873" t="s">
        <v>14</v>
      </c>
      <c r="C2873" t="s">
        <v>22</v>
      </c>
      <c r="D2873" s="2" t="s">
        <f>=HYPERLINK("https://main.knesset.gov.il/APPS/legislation/main/bills/2210306", "חוק העונשין (תיקון מס' 143 והוראת שעה) (תיקון), התשפ""ד–2024")</f>
        <v>6034</v>
      </c>
      <c r="E2873" t="s">
        <v>6034</v>
      </c>
      <c r="F2873" t="s">
        <v>6035</v>
      </c>
      <c r="G2873" t="s">
        <v>6036</v>
      </c>
      <c r="H2873" t="n">
        <v>3233</v>
      </c>
      <c r="I2873" t="s">
        <v>14</v>
      </c>
      <c r="J2873" t="s">
        <v>91</v>
      </c>
      <c r="K2873" t="s">
        <v>27</v>
      </c>
      <c r="L2873" t="s">
        <v>20</v>
      </c>
      <c r="M2873" t="s">
        <v>6026</v>
      </c>
      <c r="N2873" t="s">
        <v>6037</v>
      </c>
    </row>
    <row r="2874" x14ac:dyDescent="0.25">
      <c r="A2874" t="n">
        <v>25</v>
      </c>
      <c r="B2874" t="s">
        <v>14</v>
      </c>
      <c r="C2874" t="s">
        <v>15</v>
      </c>
      <c r="D2874" s="2" t="s">
        <f>=HYPERLINK("https://main.knesset.gov.il/APPS/legislation/main/bills/2204149", "חוק הגנת הסביבה (ייעול הליכי רישוי סביבתי) (תיקוני חקיקה), התשפ""ד-2024")</f>
        <v>6038</v>
      </c>
      <c r="E2874" t="s">
        <v>6038</v>
      </c>
      <c r="F2874" t="s">
        <v>14</v>
      </c>
      <c r="G2874" t="s">
        <v>110</v>
      </c>
      <c r="H2874" t="n">
        <v>3208</v>
      </c>
      <c r="I2874" t="s">
        <v>14</v>
      </c>
      <c r="J2874" t="s">
        <v>91</v>
      </c>
      <c r="K2874" t="s">
        <v>46</v>
      </c>
      <c r="L2874" t="s">
        <v>20</v>
      </c>
      <c r="M2874" t="s">
        <v>6026</v>
      </c>
      <c r="N2874" t="s">
        <v>6039</v>
      </c>
    </row>
    <row r="2875" x14ac:dyDescent="0.25">
      <c r="A2875" t="n">
        <v>25</v>
      </c>
      <c r="B2875" t="s">
        <v>14</v>
      </c>
      <c r="C2875" t="s">
        <v>22</v>
      </c>
      <c r="D2875" s="2" t="s">
        <f>=HYPERLINK("https://main.knesset.gov.il/APPS/legislation/main/bills/2215054", "הצעת חוק חיילים משוחררים (החזרה לעבודה) (תיקון - הרחבת תקופת הגנה מפני פיטורים למשרתים במילואים), התשפ""ד-2024")</f>
        <v>6040</v>
      </c>
      <c r="E2875" t="s">
        <v>6040</v>
      </c>
      <c r="F2875" t="s">
        <v>6041</v>
      </c>
      <c r="G2875" t="s">
        <v>14</v>
      </c>
      <c r="H2875">
             </c>
      <c r="I2875" t="s">
        <v>14</v>
      </c>
      <c r="J2875" t="s">
        <v>343</v>
      </c>
      <c r="K2875" t="s">
        <v>14</v>
      </c>
      <c r="L2875" t="s">
        <v>20</v>
      </c>
      <c r="M2875" t="s">
        <v>6026</v>
      </c>
      <c r="N2875" t="s">
        <v>14</v>
      </c>
    </row>
    <row r="2876" x14ac:dyDescent="0.25">
      <c r="A2876" t="n">
        <v>25</v>
      </c>
      <c r="B2876" t="s">
        <v>14</v>
      </c>
      <c r="C2876" t="s">
        <v>22</v>
      </c>
      <c r="D2876" s="2" t="s">
        <f>=HYPERLINK("https://main.knesset.gov.il/APPS/legislation/main/bills/2214293", "הצעת חוק הביטוח הלאומי (תיקון - זכאות לדמי לידה עבור משרתות מילואים), התשפ""ד-2024")</f>
        <v>5261</v>
      </c>
      <c r="E2876" t="s">
        <v>5261</v>
      </c>
      <c r="F2876" t="s">
        <v>6042</v>
      </c>
      <c r="G2876" t="s">
        <v>14</v>
      </c>
      <c r="H2876">
             </c>
      <c r="I2876" t="s">
        <v>14</v>
      </c>
      <c r="J2876" t="s">
        <v>31</v>
      </c>
      <c r="K2876" t="s">
        <v>127</v>
      </c>
      <c r="L2876" t="s">
        <v>20</v>
      </c>
      <c r="M2876" t="s">
        <v>6026</v>
      </c>
      <c r="N2876" t="s">
        <v>14</v>
      </c>
    </row>
    <row r="2877" x14ac:dyDescent="0.25">
      <c r="A2877" t="n">
        <v>25</v>
      </c>
      <c r="B2877" t="s">
        <v>14</v>
      </c>
      <c r="C2877" t="s">
        <v>22</v>
      </c>
      <c r="D2877" s="2" t="s">
        <f>=HYPERLINK("https://main.knesset.gov.il/APPS/legislation/main/bills/2211797", "הצעת חוק-יסוד: ישראל - מדינת הלאום של העם היהודי (תיקון - הוספת מחויבות לשוויון זכויות)")</f>
        <v>4484</v>
      </c>
      <c r="E2877" t="s">
        <v>4484</v>
      </c>
      <c r="F2877" t="s">
        <v>6043</v>
      </c>
      <c r="G2877" t="s">
        <v>14</v>
      </c>
      <c r="H2877">
             </c>
      <c r="I2877" t="s">
        <v>14</v>
      </c>
      <c r="J2877" t="s">
        <v>55</v>
      </c>
      <c r="K2877" t="s">
        <v>14</v>
      </c>
      <c r="L2877" t="s">
        <v>20</v>
      </c>
      <c r="M2877" t="s">
        <v>6026</v>
      </c>
      <c r="N2877" t="s">
        <v>14</v>
      </c>
    </row>
    <row r="2878" x14ac:dyDescent="0.25">
      <c r="A2878" t="n">
        <v>25</v>
      </c>
      <c r="B2878" t="s">
        <v>14</v>
      </c>
      <c r="C2878" t="s">
        <v>22</v>
      </c>
      <c r="D2878" s="2" t="s">
        <f>=HYPERLINK("https://main.knesset.gov.il/APPS/legislation/main/bills/2211709", "הצעת חוק-יסוד: ישראל - מדינת הלאום של העם היהודי (תיקון - הוספת ערך השוויון ברוח עקרונות הכרזת העצמאות)")</f>
        <v>5234</v>
      </c>
      <c r="E2878" t="s">
        <v>5234</v>
      </c>
      <c r="F2878" t="s">
        <v>6044</v>
      </c>
      <c r="G2878" t="s">
        <v>14</v>
      </c>
      <c r="H2878">
             </c>
      <c r="I2878" t="s">
        <v>14</v>
      </c>
      <c r="J2878" t="s">
        <v>55</v>
      </c>
      <c r="K2878" t="s">
        <v>14</v>
      </c>
      <c r="L2878" t="s">
        <v>20</v>
      </c>
      <c r="M2878" t="s">
        <v>6026</v>
      </c>
      <c r="N2878" t="s">
        <v>14</v>
      </c>
    </row>
    <row r="2879" x14ac:dyDescent="0.25">
      <c r="A2879" t="n">
        <v>25</v>
      </c>
      <c r="B2879" t="s">
        <v>14</v>
      </c>
      <c r="C2879" t="s">
        <v>22</v>
      </c>
      <c r="D2879" s="2" t="s">
        <f>=HYPERLINK("https://main.knesset.gov.il/APPS/legislation/main/bills/2208312", "הצעת חוק החברות (תיקון - מכסות ייצוג לנשים בדירקטוריונים של חברות ציבוריות), התשפ""ג-2023")</f>
        <v>6045</v>
      </c>
      <c r="E2879" t="s">
        <v>6045</v>
      </c>
      <c r="F2879" t="s">
        <v>6046</v>
      </c>
      <c r="G2879" t="s">
        <v>14</v>
      </c>
      <c r="H2879">
             </c>
      <c r="I2879" t="s">
        <v>14</v>
      </c>
      <c r="J2879" t="s">
        <v>55</v>
      </c>
      <c r="K2879" t="s">
        <v>14</v>
      </c>
      <c r="L2879" t="s">
        <v>20</v>
      </c>
      <c r="M2879" t="s">
        <v>6026</v>
      </c>
      <c r="N2879" t="s">
        <v>14</v>
      </c>
    </row>
    <row r="2880" x14ac:dyDescent="0.25">
      <c r="A2880" t="n">
        <v>25</v>
      </c>
      <c r="B2880" t="s">
        <v>14</v>
      </c>
      <c r="C2880" t="s">
        <v>22</v>
      </c>
      <c r="D2880" s="2" t="s">
        <f>=HYPERLINK("https://main.knesset.gov.il/APPS/legislation/main/bills/2205476", "הצעת חוק-יסוד: הממשלה (תיקון - הגבלת כהונת ראש הממשלה לשתי תקופות כהונה רצופות)")</f>
        <v>1247</v>
      </c>
      <c r="E2880" t="s">
        <v>1247</v>
      </c>
      <c r="F2880" t="s">
        <v>6047</v>
      </c>
      <c r="G2880" t="s">
        <v>14</v>
      </c>
      <c r="H2880">
             </c>
      <c r="I2880" t="s">
        <v>14</v>
      </c>
      <c r="J2880" t="s">
        <v>55</v>
      </c>
      <c r="K2880" t="s">
        <v>14</v>
      </c>
      <c r="L2880" t="s">
        <v>20</v>
      </c>
      <c r="M2880" t="s">
        <v>6026</v>
      </c>
      <c r="N2880" t="s">
        <v>14</v>
      </c>
    </row>
    <row r="2881" x14ac:dyDescent="0.25">
      <c r="A2881" t="n">
        <v>25</v>
      </c>
      <c r="B2881" t="s">
        <v>14</v>
      </c>
      <c r="C2881" t="s">
        <v>15</v>
      </c>
      <c r="D2881" s="2" t="s">
        <f>=HYPERLINK("https://main.knesset.gov.il/APPS/legislation/main/bills/2198282", "הצעת חוק העונשין (תיקון מס' 148) (תחולת הדין הישראלי על עבירת חוץ שנעברה בידי אזרח ישראלי או תושב ישראל), התשפ""ג-2022 ")</f>
        <v>6048</v>
      </c>
      <c r="E2881" t="s">
        <v>6048</v>
      </c>
      <c r="F2881" t="s">
        <v>14</v>
      </c>
      <c r="G2881" t="s">
        <v>6049</v>
      </c>
      <c r="H2881">
             </c>
      <c r="I2881" t="s">
        <v>14</v>
      </c>
      <c r="J2881" t="s">
        <v>18</v>
      </c>
      <c r="K2881" t="s">
        <v>27</v>
      </c>
      <c r="L2881" t="s">
        <v>20</v>
      </c>
      <c r="M2881" t="s">
        <v>6050</v>
      </c>
      <c r="N2881" t="s">
        <v>14</v>
      </c>
    </row>
    <row r="2882" x14ac:dyDescent="0.25">
      <c r="A2882" t="n">
        <v>25</v>
      </c>
      <c r="B2882" t="s">
        <v>14</v>
      </c>
      <c r="C2882" t="s">
        <v>22</v>
      </c>
      <c r="D2882" s="2" t="s">
        <f>=HYPERLINK("https://main.knesset.gov.il/APPS/legislation/main/bills/2215399", "הצעת חוק העסקת עובדים על ידי קבלני כוח אדם (תיקון - קבלן שירות בתחום הסיעוד), התשפ""ד-2024")</f>
        <v>6051</v>
      </c>
      <c r="E2882" t="s">
        <v>6051</v>
      </c>
      <c r="F2882" t="s">
        <v>6052</v>
      </c>
      <c r="G2882" t="s">
        <v>14</v>
      </c>
      <c r="H2882">
             </c>
      <c r="I2882" t="s">
        <v>14</v>
      </c>
      <c r="J2882" t="s">
        <v>31</v>
      </c>
      <c r="K2882" t="s">
        <v>127</v>
      </c>
      <c r="L2882" t="s">
        <v>20</v>
      </c>
      <c r="M2882" t="s">
        <v>6050</v>
      </c>
      <c r="N2882" t="s">
        <v>14</v>
      </c>
    </row>
    <row r="2883" x14ac:dyDescent="0.25">
      <c r="A2883" t="n">
        <v>25</v>
      </c>
      <c r="B2883" t="s">
        <v>14</v>
      </c>
      <c r="C2883" t="s">
        <v>22</v>
      </c>
      <c r="D2883" s="2" t="s">
        <f>=HYPERLINK("https://main.knesset.gov.il/APPS/legislation/main/bills/2209385", "הצעת חוק עובדים זרים (תיקון - אי־תחולת הסדר פנסיוני על עובד זר המועסק אצל יחיד בענף הסיעוד), התשפ""ג-2023")</f>
        <v>6053</v>
      </c>
      <c r="E2883" t="s">
        <v>6053</v>
      </c>
      <c r="F2883" t="s">
        <v>6054</v>
      </c>
      <c r="G2883" t="s">
        <v>14</v>
      </c>
      <c r="H2883">
             </c>
      <c r="I2883" t="s">
        <v>14</v>
      </c>
      <c r="J2883" t="s">
        <v>31</v>
      </c>
      <c r="K2883" t="s">
        <v>127</v>
      </c>
      <c r="L2883" t="s">
        <v>20</v>
      </c>
      <c r="M2883" t="s">
        <v>6050</v>
      </c>
      <c r="N2883" t="s">
        <v>14</v>
      </c>
    </row>
    <row r="2884" x14ac:dyDescent="0.25">
      <c r="A2884" t="n">
        <v>25</v>
      </c>
      <c r="B2884" t="s">
        <v>14</v>
      </c>
      <c r="C2884" t="s">
        <v>22</v>
      </c>
      <c r="D2884" s="2" t="s">
        <f>=HYPERLINK("https://main.knesset.gov.il/APPS/legislation/main/bills/2207498", "הצעת חוק עובדים זרים (תיקון - אי־תחולת הסדר פנסיוני על עובד זר המועסק אצל יחיד בענף הסיעוד), התשפ""ג-2023")</f>
        <v>6053</v>
      </c>
      <c r="E2884" t="s">
        <v>6053</v>
      </c>
      <c r="F2884" t="s">
        <v>6055</v>
      </c>
      <c r="G2884" t="s">
        <v>14</v>
      </c>
      <c r="H2884">
             </c>
      <c r="I2884" t="s">
        <v>14</v>
      </c>
      <c r="J2884" t="s">
        <v>31</v>
      </c>
      <c r="K2884" t="s">
        <v>127</v>
      </c>
      <c r="L2884" t="s">
        <v>20</v>
      </c>
      <c r="M2884" t="s">
        <v>6050</v>
      </c>
      <c r="N2884" t="s">
        <v>14</v>
      </c>
    </row>
    <row r="2885" x14ac:dyDescent="0.25">
      <c r="A2885" t="n">
        <v>25</v>
      </c>
      <c r="B2885" t="s">
        <v>14</v>
      </c>
      <c r="C2885" t="s">
        <v>22</v>
      </c>
      <c r="D2885" s="2" t="s">
        <f>=HYPERLINK("https://main.knesset.gov.il/APPS/legislation/main/bills/2202705", "הצעת חוק עובדים זרים (תיקון - אי-תחולת הסדר פנסיוני על עובד זר המועסק אצל יחיד בענף הסיעוד), התשפ""ג-2023")</f>
        <v>6056</v>
      </c>
      <c r="E2885" t="s">
        <v>6056</v>
      </c>
      <c r="F2885" t="s">
        <v>6057</v>
      </c>
      <c r="G2885" t="s">
        <v>14</v>
      </c>
      <c r="H2885">
             </c>
      <c r="I2885" t="s">
        <v>14</v>
      </c>
      <c r="J2885" t="s">
        <v>31</v>
      </c>
      <c r="K2885" t="s">
        <v>127</v>
      </c>
      <c r="L2885" t="s">
        <v>20</v>
      </c>
      <c r="M2885" t="s">
        <v>6050</v>
      </c>
      <c r="N2885" t="s">
        <v>14</v>
      </c>
    </row>
    <row r="2886" x14ac:dyDescent="0.25">
      <c r="A2886" t="n">
        <v>25</v>
      </c>
      <c r="B2886" t="s">
        <v>14</v>
      </c>
      <c r="C2886" t="s">
        <v>22</v>
      </c>
      <c r="D2886" s="2" t="s">
        <f>=HYPERLINK("https://main.knesset.gov.il/APPS/legislation/main/bills/2196791", "הצעת חוק עובדים זרים (תיקון - אי-תחולת הסדר פנסיוני על עובד זר המועסק אצל יחיד בענף הסיעוד), התשפ""ג-2022")</f>
        <v>6058</v>
      </c>
      <c r="E2886" t="s">
        <v>6058</v>
      </c>
      <c r="F2886" t="s">
        <v>6059</v>
      </c>
      <c r="G2886" t="s">
        <v>14</v>
      </c>
      <c r="H2886">
             </c>
      <c r="I2886" t="s">
        <v>14</v>
      </c>
      <c r="J2886" t="s">
        <v>31</v>
      </c>
      <c r="K2886" t="s">
        <v>127</v>
      </c>
      <c r="L2886" t="s">
        <v>20</v>
      </c>
      <c r="M2886" t="s">
        <v>6050</v>
      </c>
      <c r="N2886" t="s">
        <v>14</v>
      </c>
    </row>
    <row r="2887" x14ac:dyDescent="0.25">
      <c r="A2887" t="n">
        <v>25</v>
      </c>
      <c r="B2887" t="s">
        <v>14</v>
      </c>
      <c r="C2887" t="s">
        <v>15</v>
      </c>
      <c r="D2887" s="2" t="s">
        <f>=HYPERLINK("https://main.knesset.gov.il/APPS/legislation/main/bills/2194907", "הצעת חוק העונשין (תיקון מס' 146) (תקיפת עובד ציבור שהוא מטפל או ממלא תפקיד בארגון חירום והצלה טרום אשפוז או בחדר מיון), התשפ""ב-2022")</f>
        <v>6060</v>
      </c>
      <c r="E2887" t="s">
        <v>6060</v>
      </c>
      <c r="F2887" t="s">
        <v>14</v>
      </c>
      <c r="G2887" t="s">
        <v>6061</v>
      </c>
      <c r="H2887">
             </c>
      <c r="I2887" t="s">
        <v>6062</v>
      </c>
      <c r="J2887" t="s">
        <v>18</v>
      </c>
      <c r="K2887" t="s">
        <v>27</v>
      </c>
      <c r="L2887" t="s">
        <v>20</v>
      </c>
      <c r="M2887" t="s">
        <v>6050</v>
      </c>
      <c r="N2887" t="s">
        <v>14</v>
      </c>
    </row>
    <row r="2888" x14ac:dyDescent="0.25">
      <c r="A2888" t="n">
        <v>25</v>
      </c>
      <c r="B2888" t="s">
        <v>14</v>
      </c>
      <c r="C2888" t="s">
        <v>22</v>
      </c>
      <c r="D2888" s="2" t="s">
        <f>=HYPERLINK("https://main.knesset.gov.il/APPS/legislation/main/bills/2217179", "הצעת חוק נציב תלונות הציבור על רבנים, התשפ""ד-2024 ")</f>
        <v>6063</v>
      </c>
      <c r="E2888" t="s">
        <v>6063</v>
      </c>
      <c r="F2888" t="s">
        <v>6064</v>
      </c>
      <c r="G2888" t="s">
        <v>14</v>
      </c>
      <c r="H2888">
             </c>
      <c r="I2888" t="s">
        <v>14</v>
      </c>
      <c r="J2888" t="s">
        <v>31</v>
      </c>
      <c r="K2888" t="s">
        <v>27</v>
      </c>
      <c r="L2888" t="s">
        <v>20</v>
      </c>
      <c r="M2888" t="s">
        <v>6050</v>
      </c>
      <c r="N2888" t="s">
        <v>14</v>
      </c>
    </row>
    <row r="2889" x14ac:dyDescent="0.25">
      <c r="A2889" t="n">
        <v>25</v>
      </c>
      <c r="B2889" t="s">
        <v>14</v>
      </c>
      <c r="C2889" t="s">
        <v>22</v>
      </c>
      <c r="D2889" s="2" t="s">
        <f>=HYPERLINK("https://main.knesset.gov.il/APPS/legislation/main/bills/2196910", "חוק יום לציון אירועי הפרהוד, התשפ""ד–2024")</f>
        <v>6065</v>
      </c>
      <c r="E2889" t="s">
        <v>6065</v>
      </c>
      <c r="F2889" t="s">
        <v>6066</v>
      </c>
      <c r="G2889" t="s">
        <v>6067</v>
      </c>
      <c r="H2889" t="n">
        <v>3242</v>
      </c>
      <c r="I2889" t="s">
        <v>14</v>
      </c>
      <c r="J2889" t="s">
        <v>91</v>
      </c>
      <c r="K2889" t="s">
        <v>34</v>
      </c>
      <c r="L2889" t="s">
        <v>20</v>
      </c>
      <c r="M2889" t="s">
        <v>6050</v>
      </c>
      <c r="N2889" t="s">
        <v>6068</v>
      </c>
    </row>
    <row r="2890" x14ac:dyDescent="0.25">
      <c r="A2890" t="n">
        <v>25</v>
      </c>
      <c r="B2890" t="s">
        <v>14</v>
      </c>
      <c r="C2890" t="s">
        <v>22</v>
      </c>
      <c r="D2890" s="2" t="s">
        <f>=HYPERLINK("https://main.knesset.gov.il/APPS/legislation/main/bills/2199560", "חוק התקשורת (בזק ושידורים) (תיקון מס' 78), התשפ""ד–2024")</f>
        <v>6069</v>
      </c>
      <c r="E2890" t="s">
        <v>6069</v>
      </c>
      <c r="F2890" t="s">
        <v>6070</v>
      </c>
      <c r="G2890" t="s">
        <v>6071</v>
      </c>
      <c r="H2890" t="n">
        <v>3238</v>
      </c>
      <c r="I2890" t="s">
        <v>14</v>
      </c>
      <c r="J2890" t="s">
        <v>91</v>
      </c>
      <c r="K2890" t="s">
        <v>46</v>
      </c>
      <c r="L2890" t="s">
        <v>20</v>
      </c>
      <c r="M2890" t="s">
        <v>6050</v>
      </c>
      <c r="N2890" t="s">
        <v>6072</v>
      </c>
    </row>
    <row r="2891" x14ac:dyDescent="0.25">
      <c r="A2891" t="n">
        <v>25</v>
      </c>
      <c r="B2891" t="s">
        <v>14</v>
      </c>
      <c r="C2891" t="s">
        <v>22</v>
      </c>
      <c r="D2891" s="2" t="s">
        <f>=HYPERLINK("https://main.knesset.gov.il/APPS/legislation/main/bills/2206973", "חוק הרשויות המקומיות (ריבית והפרשי הצמדה על תשלומי חובה) (תיקון מס' 3), התשפ""ד–2024")</f>
        <v>6073</v>
      </c>
      <c r="E2891" t="s">
        <v>6073</v>
      </c>
      <c r="F2891" t="s">
        <v>6074</v>
      </c>
      <c r="G2891" t="s">
        <v>6075</v>
      </c>
      <c r="H2891" t="n">
        <v>3237</v>
      </c>
      <c r="I2891" t="s">
        <v>14</v>
      </c>
      <c r="J2891" t="s">
        <v>91</v>
      </c>
      <c r="K2891" t="s">
        <v>46</v>
      </c>
      <c r="L2891" t="s">
        <v>20</v>
      </c>
      <c r="M2891" t="s">
        <v>6050</v>
      </c>
      <c r="N2891" t="s">
        <v>6076</v>
      </c>
    </row>
    <row r="2892" x14ac:dyDescent="0.25">
      <c r="A2892" t="n">
        <v>25</v>
      </c>
      <c r="B2892" t="s">
        <v>14</v>
      </c>
      <c r="C2892" t="s">
        <v>22</v>
      </c>
      <c r="D2892" s="2" t="s">
        <f>=HYPERLINK("https://main.knesset.gov.il/APPS/legislation/main/bills/2201054", "חוק קידום התחרות בענף המזון (תיקון מס' 8 והוראת שעה), התשפ""ד–2024")</f>
        <v>6077</v>
      </c>
      <c r="E2892" t="s">
        <v>6077</v>
      </c>
      <c r="F2892" t="s">
        <v>6078</v>
      </c>
      <c r="G2892" t="s">
        <v>6079</v>
      </c>
      <c r="H2892" t="n">
        <v>3236</v>
      </c>
      <c r="I2892" t="s">
        <v>14</v>
      </c>
      <c r="J2892" t="s">
        <v>91</v>
      </c>
      <c r="K2892" t="s">
        <v>19</v>
      </c>
      <c r="L2892" t="s">
        <v>20</v>
      </c>
      <c r="M2892" t="s">
        <v>6080</v>
      </c>
      <c r="N2892" t="s">
        <v>6081</v>
      </c>
    </row>
    <row r="2893" x14ac:dyDescent="0.25">
      <c r="A2893" t="n">
        <v>25</v>
      </c>
      <c r="B2893" t="s">
        <v>14</v>
      </c>
      <c r="C2893" t="s">
        <v>15</v>
      </c>
      <c r="D2893" s="2" t="s">
        <f>=HYPERLINK("https://main.knesset.gov.il/APPS/legislation/main/bills/2216839", "חוק להגנה על הצרכן מפני עוסקים המבצעים הפרות בנסיבות מחמירות (תיקוני חקיקה), התשפ""ד-2024")</f>
        <v>6082</v>
      </c>
      <c r="E2893" t="s">
        <v>6082</v>
      </c>
      <c r="F2893" t="s">
        <v>14</v>
      </c>
      <c r="G2893" t="s">
        <v>6083</v>
      </c>
      <c r="H2893" t="n">
        <v>3235</v>
      </c>
      <c r="I2893" t="s">
        <v>14</v>
      </c>
      <c r="J2893" t="s">
        <v>91</v>
      </c>
      <c r="K2893" t="s">
        <v>19</v>
      </c>
      <c r="L2893" t="s">
        <v>20</v>
      </c>
      <c r="M2893" t="s">
        <v>6080</v>
      </c>
      <c r="N2893" t="s">
        <v>6084</v>
      </c>
    </row>
    <row r="2894" x14ac:dyDescent="0.25">
      <c r="A2894" t="n">
        <v>25</v>
      </c>
      <c r="B2894" t="s">
        <v>14</v>
      </c>
      <c r="C2894" t="s">
        <v>15</v>
      </c>
      <c r="D2894" s="2" t="s">
        <f>=HYPERLINK("https://main.knesset.gov.il/APPS/legislation/main/bills/2206949", "חוק הרשות לחקירה בטיחותית בתעופה, התשפ""ד-2024")</f>
        <v>6085</v>
      </c>
      <c r="E2894" t="s">
        <v>6085</v>
      </c>
      <c r="F2894" t="s">
        <v>14</v>
      </c>
      <c r="G2894" t="s">
        <v>6086</v>
      </c>
      <c r="H2894" t="n">
        <v>3234</v>
      </c>
      <c r="I2894" t="s">
        <v>14</v>
      </c>
      <c r="J2894" t="s">
        <v>91</v>
      </c>
      <c r="K2894" t="s">
        <v>19</v>
      </c>
      <c r="L2894" t="s">
        <v>20</v>
      </c>
      <c r="M2894" t="s">
        <v>6080</v>
      </c>
      <c r="N2894" t="s">
        <v>6087</v>
      </c>
    </row>
    <row r="2895" x14ac:dyDescent="0.25">
      <c r="A2895" t="n">
        <v>25</v>
      </c>
      <c r="B2895" t="s">
        <v>14</v>
      </c>
      <c r="C2895" t="s">
        <v>15</v>
      </c>
      <c r="D2895" s="2" t="s">
        <f>=HYPERLINK("https://main.knesset.gov.il/APPS/legislation/main/bills/2216840", "חוק השקעות משותפות בנאמנות (תיקון מס' 31), התשפ""ד-2024")</f>
        <v>6088</v>
      </c>
      <c r="E2895" t="s">
        <v>6088</v>
      </c>
      <c r="F2895" t="s">
        <v>14</v>
      </c>
      <c r="G2895" t="s">
        <v>6089</v>
      </c>
      <c r="H2895" t="n">
        <v>3232</v>
      </c>
      <c r="I2895" t="s">
        <v>14</v>
      </c>
      <c r="J2895" t="s">
        <v>91</v>
      </c>
      <c r="K2895" t="s">
        <v>85</v>
      </c>
      <c r="L2895" t="s">
        <v>20</v>
      </c>
      <c r="M2895" t="s">
        <v>6080</v>
      </c>
      <c r="N2895" t="s">
        <v>6090</v>
      </c>
    </row>
    <row r="2896" x14ac:dyDescent="0.25">
      <c r="A2896" t="n">
        <v>25</v>
      </c>
      <c r="B2896" t="s">
        <v>14</v>
      </c>
      <c r="C2896" t="s">
        <v>15</v>
      </c>
      <c r="D2896" s="2" t="s">
        <f>=HYPERLINK("https://main.knesset.gov.il/APPS/legislation/main/bills/2216814", "חוק הביטוח הלאומי (תיקון מס' 246 - הוראת שעה), התשפ""ד-2024")</f>
        <v>6091</v>
      </c>
      <c r="E2896" t="s">
        <v>6091</v>
      </c>
      <c r="F2896" t="s">
        <v>14</v>
      </c>
      <c r="G2896" t="s">
        <v>6092</v>
      </c>
      <c r="H2896" t="n">
        <v>3230</v>
      </c>
      <c r="I2896" t="s">
        <v>14</v>
      </c>
      <c r="J2896" t="s">
        <v>91</v>
      </c>
      <c r="K2896" t="s">
        <v>127</v>
      </c>
      <c r="L2896" t="s">
        <v>20</v>
      </c>
      <c r="M2896" t="s">
        <v>6080</v>
      </c>
      <c r="N2896" t="s">
        <v>6093</v>
      </c>
    </row>
    <row r="2897" x14ac:dyDescent="0.25">
      <c r="A2897" t="n">
        <v>25</v>
      </c>
      <c r="B2897" t="s">
        <v>14</v>
      </c>
      <c r="C2897" t="s">
        <v>22</v>
      </c>
      <c r="D2897" s="2" t="s">
        <f>=HYPERLINK("https://main.knesset.gov.il/APPS/legislation/main/bills/2219180", "הצעת חוק ליישוב תחת איום מיידי (הוראת שעה), התשפ""ד-2024")</f>
        <v>6094</v>
      </c>
      <c r="E2897" t="s">
        <v>6094</v>
      </c>
      <c r="F2897" t="s">
        <v>6095</v>
      </c>
      <c r="G2897" t="s">
        <v>14</v>
      </c>
      <c r="H2897">
             </c>
      <c r="I2897" t="s">
        <v>14</v>
      </c>
      <c r="J2897" t="s">
        <v>141</v>
      </c>
      <c r="K2897" t="s">
        <v>14</v>
      </c>
      <c r="L2897" t="s">
        <v>20</v>
      </c>
      <c r="M2897" t="s">
        <v>6080</v>
      </c>
      <c r="N2897" t="s">
        <v>14</v>
      </c>
    </row>
    <row r="2898" x14ac:dyDescent="0.25">
      <c r="A2898" t="n">
        <v>25</v>
      </c>
      <c r="B2898" t="s">
        <v>14</v>
      </c>
      <c r="C2898" t="s">
        <v>22</v>
      </c>
      <c r="D2898" s="2" t="s">
        <f>=HYPERLINK("https://main.knesset.gov.il/APPS/legislation/main/bills/2219371", "הצעת חוק הרשויות המקומיות (בחירות) (תיקון - קיצור תקופת הצינון למנהל כללי), התשפ""ד-2024")</f>
        <v>6096</v>
      </c>
      <c r="E2898" t="s">
        <v>6096</v>
      </c>
      <c r="F2898" t="s">
        <v>6097</v>
      </c>
      <c r="G2898" t="s">
        <v>14</v>
      </c>
      <c r="H2898">
             </c>
      <c r="I2898" t="s">
        <v>14</v>
      </c>
      <c r="J2898" t="s">
        <v>141</v>
      </c>
      <c r="K2898" t="s">
        <v>14</v>
      </c>
      <c r="L2898" t="s">
        <v>20</v>
      </c>
      <c r="M2898" t="s">
        <v>6080</v>
      </c>
      <c r="N2898" t="s">
        <v>14</v>
      </c>
    </row>
    <row r="2899" x14ac:dyDescent="0.25">
      <c r="A2899" t="n">
        <v>25</v>
      </c>
      <c r="B2899" t="s">
        <v>14</v>
      </c>
      <c r="C2899" t="s">
        <v>22</v>
      </c>
      <c r="D2899" s="2" t="s">
        <f>=HYPERLINK("https://main.knesset.gov.il/APPS/legislation/main/bills/2217032", "הצעת חוק הגבלת השימוש ורישום פעולות בחלקי רכב משומשים (מניעת גניבות) (תיקון - חובות החלות בעת רכישה או מכירה של רכב ניזוק), התשפ""ד-2024")</f>
        <v>5970</v>
      </c>
      <c r="E2899" t="s">
        <v>5970</v>
      </c>
      <c r="F2899" t="s">
        <v>6098</v>
      </c>
      <c r="G2899" t="s">
        <v>14</v>
      </c>
      <c r="H2899">
             </c>
      <c r="I2899" t="s">
        <v>14</v>
      </c>
      <c r="J2899" t="s">
        <v>343</v>
      </c>
      <c r="K2899" t="s">
        <v>14</v>
      </c>
      <c r="L2899" t="s">
        <v>20</v>
      </c>
      <c r="M2899" t="s">
        <v>6080</v>
      </c>
      <c r="N2899" t="s">
        <v>14</v>
      </c>
    </row>
    <row r="2900" x14ac:dyDescent="0.25">
      <c r="A2900" t="n">
        <v>25</v>
      </c>
      <c r="B2900" t="s">
        <v>14</v>
      </c>
      <c r="C2900" t="s">
        <v>22</v>
      </c>
      <c r="D2900" s="2" t="s">
        <f>=HYPERLINK("https://main.knesset.gov.il/APPS/legislation/main/bills/2219744", "הצעת חוק בתי קברות צבאיים (תיקון - הוספת ביטוי אישי בקדמת המצבה לבקשת קרוב משפחה של חייל שנפטר), התשפ""ד-2024")</f>
        <v>6099</v>
      </c>
      <c r="E2900" t="s">
        <v>6099</v>
      </c>
      <c r="F2900" t="s">
        <v>6100</v>
      </c>
      <c r="G2900" t="s">
        <v>14</v>
      </c>
      <c r="H2900">
             </c>
      <c r="I2900" t="s">
        <v>14</v>
      </c>
      <c r="J2900" t="s">
        <v>141</v>
      </c>
      <c r="K2900" t="s">
        <v>14</v>
      </c>
      <c r="L2900" t="s">
        <v>20</v>
      </c>
      <c r="M2900" t="s">
        <v>6080</v>
      </c>
      <c r="N2900" t="s">
        <v>14</v>
      </c>
    </row>
    <row r="2901" x14ac:dyDescent="0.25">
      <c r="A2901" t="n">
        <v>25</v>
      </c>
      <c r="B2901" t="s">
        <v>14</v>
      </c>
      <c r="C2901" t="s">
        <v>22</v>
      </c>
      <c r="D2901" s="2" t="s">
        <f>=HYPERLINK("https://main.knesset.gov.il/APPS/legislation/main/bills/2219669", "הצעת חוק בתי קברות צבאיים (תיקון - כתיבת האותיות הי""ד על מצבת חלל), התשפ""ד-2024")</f>
        <v>6101</v>
      </c>
      <c r="E2901" t="s">
        <v>6101</v>
      </c>
      <c r="F2901" t="s">
        <v>6102</v>
      </c>
      <c r="G2901" t="s">
        <v>14</v>
      </c>
      <c r="H2901">
             </c>
      <c r="I2901" t="s">
        <v>14</v>
      </c>
      <c r="J2901" t="s">
        <v>141</v>
      </c>
      <c r="K2901" t="s">
        <v>14</v>
      </c>
      <c r="L2901" t="s">
        <v>20</v>
      </c>
      <c r="M2901" t="s">
        <v>6080</v>
      </c>
      <c r="N2901" t="s">
        <v>14</v>
      </c>
    </row>
    <row r="2902" x14ac:dyDescent="0.25">
      <c r="A2902" t="n">
        <v>25</v>
      </c>
      <c r="B2902" t="s">
        <v>14</v>
      </c>
      <c r="C2902" t="s">
        <v>22</v>
      </c>
      <c r="D2902" s="2" t="s">
        <f>=HYPERLINK("https://main.knesset.gov.il/APPS/legislation/main/bills/2219780", "הצעת חוק שוויון זכויות לאנשים עם מוגבלות (תיקון - הנפקת תעודות לבעלי מוגבלות בראיה), התשפ""ד-2024")</f>
        <v>5965</v>
      </c>
      <c r="E2902" t="s">
        <v>5965</v>
      </c>
      <c r="F2902" t="s">
        <v>6103</v>
      </c>
      <c r="G2902" t="s">
        <v>14</v>
      </c>
      <c r="H2902">
             </c>
      <c r="I2902" t="s">
        <v>14</v>
      </c>
      <c r="J2902" t="s">
        <v>141</v>
      </c>
      <c r="K2902" t="s">
        <v>14</v>
      </c>
      <c r="L2902" t="s">
        <v>20</v>
      </c>
      <c r="M2902" t="s">
        <v>6080</v>
      </c>
      <c r="N2902" t="s">
        <v>14</v>
      </c>
    </row>
    <row r="2903" x14ac:dyDescent="0.25">
      <c r="A2903" t="n">
        <v>25</v>
      </c>
      <c r="B2903" t="s">
        <v>14</v>
      </c>
      <c r="C2903" t="s">
        <v>22</v>
      </c>
      <c r="D2903" s="2" t="s">
        <f>=HYPERLINK("https://main.knesset.gov.il/APPS/legislation/main/bills/2218944", "הצעת חוק הסדרים במשק המדינה (תיקוני חקיקה להשגת יעדי התקציב) (תיקון - חובת הענקת הנחה בארנונה לבעלי עסקים של תושבי אזור הצפון שנפגעו בעקבות מלחמת חרבות ברזל), התשפ""ד-2024")</f>
        <v>6104</v>
      </c>
      <c r="E2903" t="s">
        <v>6104</v>
      </c>
      <c r="F2903" t="s">
        <v>6105</v>
      </c>
      <c r="G2903" t="s">
        <v>14</v>
      </c>
      <c r="H2903">
             </c>
      <c r="I2903" t="s">
        <v>14</v>
      </c>
      <c r="J2903" t="s">
        <v>141</v>
      </c>
      <c r="K2903" t="s">
        <v>14</v>
      </c>
      <c r="L2903" t="s">
        <v>20</v>
      </c>
      <c r="M2903" t="s">
        <v>6080</v>
      </c>
      <c r="N2903" t="s">
        <v>14</v>
      </c>
    </row>
    <row r="2904" x14ac:dyDescent="0.25">
      <c r="A2904" t="n">
        <v>25</v>
      </c>
      <c r="B2904" t="s">
        <v>14</v>
      </c>
      <c r="C2904" t="s">
        <v>22</v>
      </c>
      <c r="D2904" s="2" t="s">
        <f>=HYPERLINK("https://main.knesset.gov.il/APPS/legislation/main/bills/2219680", "הצעת חוק עיקול מידתי של נכסים המוחזקים בידי צד שלישי (תיקוני חקיקה), התשפ""ד-2024")</f>
        <v>6106</v>
      </c>
      <c r="E2904" t="s">
        <v>6106</v>
      </c>
      <c r="F2904" t="s">
        <v>6107</v>
      </c>
      <c r="G2904" t="s">
        <v>14</v>
      </c>
      <c r="H2904">
             </c>
      <c r="I2904" t="s">
        <v>14</v>
      </c>
      <c r="J2904" t="s">
        <v>141</v>
      </c>
      <c r="K2904" t="s">
        <v>14</v>
      </c>
      <c r="L2904" t="s">
        <v>20</v>
      </c>
      <c r="M2904" t="s">
        <v>6080</v>
      </c>
      <c r="N2904" t="s">
        <v>14</v>
      </c>
    </row>
    <row r="2905" x14ac:dyDescent="0.25">
      <c r="A2905" t="n">
        <v>25</v>
      </c>
      <c r="B2905" t="s">
        <v>14</v>
      </c>
      <c r="C2905" t="s">
        <v>22</v>
      </c>
      <c r="D2905" s="2" t="s">
        <f>=HYPERLINK("https://main.knesset.gov.il/APPS/legislation/main/bills/2218881", "הצעת חוק הרשויות המקומיות (פטור חיילים, נפגעי מלחמה ושוטרים מארנונה) (תיקון - סיוע לחיילים בודדים), התשפ""ד-2024")</f>
        <v>6108</v>
      </c>
      <c r="E2905" t="s">
        <v>6108</v>
      </c>
      <c r="F2905" t="s">
        <v>6109</v>
      </c>
      <c r="G2905" t="s">
        <v>14</v>
      </c>
      <c r="H2905">
             </c>
      <c r="I2905" t="s">
        <v>14</v>
      </c>
      <c r="J2905" t="s">
        <v>141</v>
      </c>
      <c r="K2905" t="s">
        <v>14</v>
      </c>
      <c r="L2905" t="s">
        <v>20</v>
      </c>
      <c r="M2905" t="s">
        <v>6080</v>
      </c>
      <c r="N2905" t="s">
        <v>14</v>
      </c>
    </row>
    <row r="2906" x14ac:dyDescent="0.25">
      <c r="A2906" t="n">
        <v>25</v>
      </c>
      <c r="B2906" t="s">
        <v>14</v>
      </c>
      <c r="C2906" t="s">
        <v>22</v>
      </c>
      <c r="D2906" s="2" t="s">
        <f>=HYPERLINK("https://main.knesset.gov.il/APPS/legislation/main/bills/2219679", "הצעת חוק כביש אגרה (כביש ארצי לישראל) (תיקון - גביית קנסות ופיגורי תשלומים דרך המרכז לגביית קנסות), התשפ""ד-2024")</f>
        <v>6110</v>
      </c>
      <c r="E2906" t="s">
        <v>6110</v>
      </c>
      <c r="F2906" t="s">
        <v>6111</v>
      </c>
      <c r="G2906" t="s">
        <v>14</v>
      </c>
      <c r="H2906">
             </c>
      <c r="I2906" t="s">
        <v>14</v>
      </c>
      <c r="J2906" t="s">
        <v>141</v>
      </c>
      <c r="K2906" t="s">
        <v>14</v>
      </c>
      <c r="L2906" t="s">
        <v>20</v>
      </c>
      <c r="M2906" t="s">
        <v>6080</v>
      </c>
      <c r="N2906" t="s">
        <v>14</v>
      </c>
    </row>
    <row r="2907" x14ac:dyDescent="0.25">
      <c r="A2907" t="n">
        <v>25</v>
      </c>
      <c r="B2907" t="s">
        <v>14</v>
      </c>
      <c r="C2907" t="s">
        <v>22</v>
      </c>
      <c r="D2907" s="2" t="s">
        <f>=HYPERLINK("https://main.knesset.gov.il/APPS/legislation/main/bills/2219682", "הצעת חוק הפיקוח על שירותים פיננסיים (שירותים פיננסיים מוסדרים) (תיקון - מסירת מידע על עמלות וריביות בידי נותן שירותים פיננסיים), התשפ""ד-2024")</f>
        <v>5089</v>
      </c>
      <c r="E2907" t="s">
        <v>5089</v>
      </c>
      <c r="F2907" t="s">
        <v>6112</v>
      </c>
      <c r="G2907" t="s">
        <v>14</v>
      </c>
      <c r="H2907">
             </c>
      <c r="I2907" t="s">
        <v>14</v>
      </c>
      <c r="J2907" t="s">
        <v>141</v>
      </c>
      <c r="K2907" t="s">
        <v>14</v>
      </c>
      <c r="L2907" t="s">
        <v>20</v>
      </c>
      <c r="M2907" t="s">
        <v>6080</v>
      </c>
      <c r="N2907" t="s">
        <v>14</v>
      </c>
    </row>
    <row r="2908" x14ac:dyDescent="0.25">
      <c r="A2908" t="n">
        <v>25</v>
      </c>
      <c r="B2908" t="s">
        <v>14</v>
      </c>
      <c r="C2908" t="s">
        <v>22</v>
      </c>
      <c r="D2908" s="2" t="s">
        <f>=HYPERLINK("https://main.knesset.gov.il/APPS/legislation/main/bills/2219564", "הצעת חוק הסדרים במשק המדינה (תיקוני חקיקה להשגת יעדי התקציב) (תיקון - חישוב עליית מחירי הארנונה), התשפ""ד-2024")</f>
        <v>6113</v>
      </c>
      <c r="E2908" t="s">
        <v>6113</v>
      </c>
      <c r="F2908" t="s">
        <v>6114</v>
      </c>
      <c r="G2908" t="s">
        <v>14</v>
      </c>
      <c r="H2908">
             </c>
      <c r="I2908" t="s">
        <v>14</v>
      </c>
      <c r="J2908" t="s">
        <v>141</v>
      </c>
      <c r="K2908" t="s">
        <v>14</v>
      </c>
      <c r="L2908" t="s">
        <v>20</v>
      </c>
      <c r="M2908" t="s">
        <v>6080</v>
      </c>
      <c r="N2908" t="s">
        <v>14</v>
      </c>
    </row>
    <row r="2909" x14ac:dyDescent="0.25">
      <c r="A2909" t="n">
        <v>25</v>
      </c>
      <c r="B2909" t="s">
        <v>14</v>
      </c>
      <c r="C2909" t="s">
        <v>22</v>
      </c>
      <c r="D2909" s="2" t="s">
        <f>=HYPERLINK("https://main.knesset.gov.il/APPS/legislation/main/bills/2218704", "הצעת חוק העונשין (תיקון - עונש מינימום למתעלל בקטין או חסר ישע), התשפ""ד-2024")</f>
        <v>6115</v>
      </c>
      <c r="E2909" t="s">
        <v>6115</v>
      </c>
      <c r="F2909" t="s">
        <v>6116</v>
      </c>
      <c r="G2909" t="s">
        <v>14</v>
      </c>
      <c r="H2909">
             </c>
      <c r="I2909" t="s">
        <v>14</v>
      </c>
      <c r="J2909" t="s">
        <v>141</v>
      </c>
      <c r="K2909" t="s">
        <v>14</v>
      </c>
      <c r="L2909" t="s">
        <v>20</v>
      </c>
      <c r="M2909" t="s">
        <v>6080</v>
      </c>
      <c r="N2909" t="s">
        <v>14</v>
      </c>
    </row>
    <row r="2910" x14ac:dyDescent="0.25">
      <c r="A2910" t="n">
        <v>25</v>
      </c>
      <c r="B2910" t="s">
        <v>14</v>
      </c>
      <c r="C2910" t="s">
        <v>15</v>
      </c>
      <c r="D2910" s="2" t="s">
        <f>=HYPERLINK("https://main.knesset.gov.il/APPS/legislation/main/bills/2219664", "הצעת חוק שירות ביטחון (תיקון מס' 27) (העלאת גיל הפטור – חרבות ברזל – הארכת הוראת שעה), התשפ""ד-2024")</f>
        <v>6117</v>
      </c>
      <c r="E2910" t="s">
        <v>6117</v>
      </c>
      <c r="F2910" t="s">
        <v>14</v>
      </c>
      <c r="G2910" t="s">
        <v>6118</v>
      </c>
      <c r="H2910">
             </c>
      <c r="I2910" t="s">
        <v>14</v>
      </c>
      <c r="J2910" t="s">
        <v>18</v>
      </c>
      <c r="K2910" t="s">
        <v>114</v>
      </c>
      <c r="L2910" t="s">
        <v>20</v>
      </c>
      <c r="M2910" t="s">
        <v>6119</v>
      </c>
      <c r="N2910" t="s">
        <v>14</v>
      </c>
    </row>
    <row r="2911" x14ac:dyDescent="0.25">
      <c r="A2911" t="n">
        <v>25</v>
      </c>
      <c r="B2911" t="s">
        <v>14</v>
      </c>
      <c r="C2911" t="s">
        <v>22</v>
      </c>
      <c r="D2911" s="2" t="s">
        <f>=HYPERLINK("https://main.knesset.gov.il/APPS/legislation/main/bills/2217838", "חוק הרשויות המקומיות (מימון בחירות) (הוראת שעה), התשפ""ד–2024")</f>
        <v>6120</v>
      </c>
      <c r="E2911" t="s">
        <v>6120</v>
      </c>
      <c r="F2911" t="s">
        <v>6121</v>
      </c>
      <c r="G2911" t="s">
        <v>6122</v>
      </c>
      <c r="H2911" t="n">
        <v>3229</v>
      </c>
      <c r="I2911" t="s">
        <v>14</v>
      </c>
      <c r="J2911" t="s">
        <v>91</v>
      </c>
      <c r="K2911" t="s">
        <v>46</v>
      </c>
      <c r="L2911" t="s">
        <v>20</v>
      </c>
      <c r="M2911" t="s">
        <v>6119</v>
      </c>
      <c r="N2911" t="s">
        <v>6123</v>
      </c>
    </row>
    <row r="2912" x14ac:dyDescent="0.25">
      <c r="A2912" t="n">
        <v>25</v>
      </c>
      <c r="B2912" t="s">
        <v>14</v>
      </c>
      <c r="C2912" t="s">
        <v>15</v>
      </c>
      <c r="D2912" s="2" t="s">
        <f>=HYPERLINK("https://main.knesset.gov.il/APPS/legislation/main/bills/2219100", "חוק שירות לאומי-אזרחי (תיקון מס' 6), התשפ""ד-2024")</f>
        <v>6124</v>
      </c>
      <c r="E2912" t="s">
        <v>6124</v>
      </c>
      <c r="F2912" t="s">
        <v>14</v>
      </c>
      <c r="G2912" t="s">
        <v>6125</v>
      </c>
      <c r="H2912" t="n">
        <v>3228</v>
      </c>
      <c r="I2912" t="s">
        <v>14</v>
      </c>
      <c r="J2912" t="s">
        <v>91</v>
      </c>
      <c r="K2912" t="s">
        <v>114</v>
      </c>
      <c r="L2912" t="s">
        <v>20</v>
      </c>
      <c r="M2912" t="s">
        <v>6119</v>
      </c>
      <c r="N2912" t="s">
        <v>6126</v>
      </c>
    </row>
    <row r="2913" x14ac:dyDescent="0.25">
      <c r="A2913" t="n">
        <v>25</v>
      </c>
      <c r="B2913" t="s">
        <v>14</v>
      </c>
      <c r="C2913" t="s">
        <v>15</v>
      </c>
      <c r="D2913" s="2" t="s">
        <f>=HYPERLINK("https://main.knesset.gov.il/APPS/legislation/main/bills/2218799", "חוק לתיקון פקודת סדר הדין הפלילי (מעצר וחיפוש) (מס' 17), התשפ""ד–2024")</f>
        <v>6127</v>
      </c>
      <c r="E2913" t="s">
        <v>6127</v>
      </c>
      <c r="F2913" t="s">
        <v>14</v>
      </c>
      <c r="G2913" t="s">
        <v>6128</v>
      </c>
      <c r="H2913" t="n">
        <v>3227</v>
      </c>
      <c r="I2913" t="s">
        <v>14</v>
      </c>
      <c r="J2913" t="s">
        <v>91</v>
      </c>
      <c r="K2913" t="s">
        <v>105</v>
      </c>
      <c r="L2913" t="s">
        <v>20</v>
      </c>
      <c r="M2913" t="s">
        <v>6119</v>
      </c>
      <c r="N2913" t="s">
        <v>6129</v>
      </c>
    </row>
    <row r="2914" x14ac:dyDescent="0.25">
      <c r="A2914" t="n">
        <v>25</v>
      </c>
      <c r="B2914" t="s">
        <v>14</v>
      </c>
      <c r="C2914" t="s">
        <v>22</v>
      </c>
      <c r="D2914" s="2" t="s">
        <f>=HYPERLINK("https://main.knesset.gov.il/APPS/legislation/main/bills/2216397", "הצעת חוק שירות חובה לכל, התשפ""ד-2024")</f>
        <v>5776</v>
      </c>
      <c r="E2914" t="s">
        <v>5776</v>
      </c>
      <c r="F2914" t="s">
        <v>6130</v>
      </c>
      <c r="G2914" t="s">
        <v>14</v>
      </c>
      <c r="H2914">
             </c>
      <c r="I2914" t="s">
        <v>14</v>
      </c>
      <c r="J2914" t="s">
        <v>55</v>
      </c>
      <c r="K2914" t="s">
        <v>14</v>
      </c>
      <c r="L2914" t="s">
        <v>20</v>
      </c>
      <c r="M2914" t="s">
        <v>6119</v>
      </c>
      <c r="N2914" t="s">
        <v>14</v>
      </c>
    </row>
    <row r="2915" x14ac:dyDescent="0.25">
      <c r="A2915" t="n">
        <v>25</v>
      </c>
      <c r="B2915" t="s">
        <v>14</v>
      </c>
      <c r="C2915" t="s">
        <v>22</v>
      </c>
      <c r="D2915" s="2" t="s">
        <f>=HYPERLINK("https://main.knesset.gov.il/APPS/legislation/main/bills/2212233", "הצעת חוק הגנת הצרכן (תיקון - צמצום בזבוז מזון שתוקפו עומד לפוג ברשתות הקמעונאות הגדולות), התשפ""ד-2023")</f>
        <v>6131</v>
      </c>
      <c r="E2915" t="s">
        <v>6131</v>
      </c>
      <c r="F2915" t="s">
        <v>6132</v>
      </c>
      <c r="G2915" t="s">
        <v>14</v>
      </c>
      <c r="H2915">
             </c>
      <c r="I2915" t="s">
        <v>14</v>
      </c>
      <c r="J2915" t="s">
        <v>343</v>
      </c>
      <c r="K2915" t="s">
        <v>14</v>
      </c>
      <c r="L2915" t="s">
        <v>20</v>
      </c>
      <c r="M2915" t="s">
        <v>6119</v>
      </c>
      <c r="N2915" t="s">
        <v>14</v>
      </c>
    </row>
    <row r="2916" x14ac:dyDescent="0.25">
      <c r="A2916" t="n">
        <v>25</v>
      </c>
      <c r="B2916" t="s">
        <v>14</v>
      </c>
      <c r="C2916" t="s">
        <v>22</v>
      </c>
      <c r="D2916" s="2" t="s">
        <f>=HYPERLINK("https://main.knesset.gov.il/APPS/legislation/main/bills/2206680", "הצעת חוק ביטוח בריאות ממלכתי (תיקון - מתן שירותים במרפאה ביישוב קטן לחברי קופה אחרת), התשפ""ג-2023")</f>
        <v>6133</v>
      </c>
      <c r="E2916" t="s">
        <v>6133</v>
      </c>
      <c r="F2916" t="s">
        <v>6134</v>
      </c>
      <c r="G2916" t="s">
        <v>14</v>
      </c>
      <c r="H2916">
             </c>
      <c r="I2916" t="s">
        <v>14</v>
      </c>
      <c r="J2916" t="s">
        <v>343</v>
      </c>
      <c r="K2916" t="s">
        <v>14</v>
      </c>
      <c r="L2916" t="s">
        <v>20</v>
      </c>
      <c r="M2916" t="s">
        <v>6119</v>
      </c>
      <c r="N2916" t="s">
        <v>14</v>
      </c>
    </row>
    <row r="2917" x14ac:dyDescent="0.25">
      <c r="A2917" t="n">
        <v>25</v>
      </c>
      <c r="B2917" t="s">
        <v>14</v>
      </c>
      <c r="C2917" t="s">
        <v>22</v>
      </c>
      <c r="D2917" s="2" t="s">
        <f>=HYPERLINK("https://main.knesset.gov.il/APPS/legislation/main/bills/2212130", "הצעת חוק גירוש משפחות מחבלים, התשפ""ד-2023")</f>
        <v>6135</v>
      </c>
      <c r="E2917" t="s">
        <v>6135</v>
      </c>
      <c r="F2917" t="s">
        <v>6136</v>
      </c>
      <c r="G2917" t="s">
        <v>14</v>
      </c>
      <c r="H2917">
             </c>
      <c r="I2917" t="s">
        <v>14</v>
      </c>
      <c r="J2917" t="s">
        <v>99</v>
      </c>
      <c r="K2917" t="s">
        <v>121</v>
      </c>
      <c r="L2917" t="s">
        <v>20</v>
      </c>
      <c r="M2917" t="s">
        <v>6137</v>
      </c>
      <c r="N2917" t="s">
        <v>14</v>
      </c>
    </row>
    <row r="2918" x14ac:dyDescent="0.25">
      <c r="A2918" t="n">
        <v>25</v>
      </c>
      <c r="B2918" t="s">
        <v>14</v>
      </c>
      <c r="C2918" t="s">
        <v>22</v>
      </c>
      <c r="D2918" s="2" t="s">
        <f>=HYPERLINK("https://main.knesset.gov.il/APPS/legislation/main/bills/2198970", "הצעת חוק גירוש משפחות מחבלים, התשפ""ג-2023")</f>
        <v>6138</v>
      </c>
      <c r="E2918" t="s">
        <v>6138</v>
      </c>
      <c r="F2918" t="s">
        <v>6139</v>
      </c>
      <c r="G2918" t="s">
        <v>14</v>
      </c>
      <c r="H2918">
             </c>
      <c r="I2918" t="s">
        <v>14</v>
      </c>
      <c r="J2918" t="s">
        <v>99</v>
      </c>
      <c r="K2918" t="s">
        <v>121</v>
      </c>
      <c r="L2918" t="s">
        <v>20</v>
      </c>
      <c r="M2918" t="s">
        <v>6137</v>
      </c>
      <c r="N2918" t="s">
        <v>14</v>
      </c>
    </row>
    <row r="2919" x14ac:dyDescent="0.25">
      <c r="A2919" t="n">
        <v>25</v>
      </c>
      <c r="B2919" t="s">
        <v>14</v>
      </c>
      <c r="C2919" t="s">
        <v>22</v>
      </c>
      <c r="D2919" s="2" t="s">
        <f>=HYPERLINK("https://main.knesset.gov.il/APPS/legislation/main/bills/2197893", "הצעת חוק גירוש משפחות מחבלים, התשפ""ג-2023")</f>
        <v>6138</v>
      </c>
      <c r="E2919" t="s">
        <v>6138</v>
      </c>
      <c r="F2919" t="s">
        <v>6140</v>
      </c>
      <c r="G2919" t="s">
        <v>14</v>
      </c>
      <c r="H2919">
             </c>
      <c r="I2919" t="s">
        <v>14</v>
      </c>
      <c r="J2919" t="s">
        <v>99</v>
      </c>
      <c r="K2919" t="s">
        <v>121</v>
      </c>
      <c r="L2919" t="s">
        <v>20</v>
      </c>
      <c r="M2919" t="s">
        <v>6137</v>
      </c>
      <c r="N2919" t="s">
        <v>14</v>
      </c>
    </row>
    <row r="2920" x14ac:dyDescent="0.25">
      <c r="A2920" t="n">
        <v>25</v>
      </c>
      <c r="B2920" t="s">
        <v>14</v>
      </c>
      <c r="C2920" t="s">
        <v>22</v>
      </c>
      <c r="D2920" s="2" t="s">
        <f>=HYPERLINK("https://main.knesset.gov.il/APPS/legislation/main/bills/2200794", "הצעת חוק הפיקוח על שירותים פיננסיים (קופות גמל) (תיקון - הגדלת הסכום המרבי להפקדה בקופות גמל להשקעה), התשפ""ג-2023")</f>
        <v>6141</v>
      </c>
      <c r="E2920" t="s">
        <v>6141</v>
      </c>
      <c r="F2920" t="s">
        <v>6142</v>
      </c>
      <c r="G2920" t="s">
        <v>14</v>
      </c>
      <c r="H2920">
             </c>
      <c r="I2920" t="s">
        <v>14</v>
      </c>
      <c r="J2920" t="s">
        <v>31</v>
      </c>
      <c r="K2920" t="s">
        <v>85</v>
      </c>
      <c r="L2920" t="s">
        <v>20</v>
      </c>
      <c r="M2920" t="s">
        <v>6137</v>
      </c>
      <c r="N2920" t="s">
        <v>14</v>
      </c>
    </row>
    <row r="2921" x14ac:dyDescent="0.25">
      <c r="A2921" t="n">
        <v>25</v>
      </c>
      <c r="B2921" t="s">
        <v>14</v>
      </c>
      <c r="C2921" t="s">
        <v>22</v>
      </c>
      <c r="D2921" s="2" t="s">
        <f>=HYPERLINK("https://main.knesset.gov.il/APPS/legislation/main/bills/2198805", "הצעת חוק הפיקוח על שירותים פיננסיים (קופות גמל) (תיקון - הגדלת הסכום המרבי להפקדה בקופות גמל להשקעה), התשפ""ג-2023 ")</f>
        <v>6143</v>
      </c>
      <c r="E2921" t="s">
        <v>6143</v>
      </c>
      <c r="F2921" t="s">
        <v>6144</v>
      </c>
      <c r="G2921" t="s">
        <v>14</v>
      </c>
      <c r="H2921">
             </c>
      <c r="I2921" t="s">
        <v>14</v>
      </c>
      <c r="J2921" t="s">
        <v>31</v>
      </c>
      <c r="K2921" t="s">
        <v>85</v>
      </c>
      <c r="L2921" t="s">
        <v>20</v>
      </c>
      <c r="M2921" t="s">
        <v>6137</v>
      </c>
      <c r="N2921" t="s">
        <v>14</v>
      </c>
    </row>
    <row r="2922" x14ac:dyDescent="0.25">
      <c r="A2922" t="n">
        <v>25</v>
      </c>
      <c r="B2922" t="s">
        <v>14</v>
      </c>
      <c r="C2922" t="s">
        <v>22</v>
      </c>
      <c r="D2922" s="2" t="s">
        <f>=HYPERLINK("https://main.knesset.gov.il/APPS/legislation/main/bills/2201186", "הצעת חוק העונשין (תיקון - החמרת ענישה בשל תקיפת צוות רפואי), התשפ""ג-2023")</f>
        <v>6145</v>
      </c>
      <c r="E2922" t="s">
        <v>6145</v>
      </c>
      <c r="F2922" t="s">
        <v>6146</v>
      </c>
      <c r="G2922" t="s">
        <v>14</v>
      </c>
      <c r="H2922">
             </c>
      <c r="I2922" t="s">
        <v>14</v>
      </c>
      <c r="J2922" t="s">
        <v>99</v>
      </c>
      <c r="K2922" t="s">
        <v>27</v>
      </c>
      <c r="L2922" t="s">
        <v>20</v>
      </c>
      <c r="M2922" t="s">
        <v>6137</v>
      </c>
      <c r="N2922" t="s">
        <v>14</v>
      </c>
    </row>
    <row r="2923" x14ac:dyDescent="0.25">
      <c r="A2923" t="n">
        <v>25</v>
      </c>
      <c r="B2923" t="s">
        <v>14</v>
      </c>
      <c r="C2923" t="s">
        <v>22</v>
      </c>
      <c r="D2923" s="2" t="s">
        <f>=HYPERLINK("https://main.knesset.gov.il/APPS/legislation/main/bills/2198964", "הצעת חוק העונשין (תיקון - תקיפת עובד ציבור מטפל), התשפ""ג-2023")</f>
        <v>6147</v>
      </c>
      <c r="E2923" t="s">
        <v>6147</v>
      </c>
      <c r="F2923" t="s">
        <v>6148</v>
      </c>
      <c r="G2923" t="s">
        <v>14</v>
      </c>
      <c r="H2923">
             </c>
      <c r="I2923" t="s">
        <v>14</v>
      </c>
      <c r="J2923" t="s">
        <v>99</v>
      </c>
      <c r="K2923" t="s">
        <v>27</v>
      </c>
      <c r="L2923" t="s">
        <v>20</v>
      </c>
      <c r="M2923" t="s">
        <v>6137</v>
      </c>
      <c r="N2923" t="s">
        <v>14</v>
      </c>
    </row>
    <row r="2924" x14ac:dyDescent="0.25">
      <c r="A2924" t="n">
        <v>25</v>
      </c>
      <c r="B2924" t="s">
        <v>14</v>
      </c>
      <c r="C2924" t="s">
        <v>22</v>
      </c>
      <c r="D2924" s="2" t="s">
        <f>=HYPERLINK("https://main.knesset.gov.il/APPS/legislation/main/bills/2200264", "הצעת חוק העונשין (תיקון - החמרת הענישה על עבירות כלפי אנשי צוות רפואי), התשפ""ג-2023")</f>
        <v>6149</v>
      </c>
      <c r="E2924" t="s">
        <v>6149</v>
      </c>
      <c r="F2924" t="s">
        <v>6150</v>
      </c>
      <c r="G2924" t="s">
        <v>14</v>
      </c>
      <c r="H2924">
             </c>
      <c r="I2924" t="s">
        <v>14</v>
      </c>
      <c r="J2924" t="s">
        <v>99</v>
      </c>
      <c r="K2924" t="s">
        <v>27</v>
      </c>
      <c r="L2924" t="s">
        <v>20</v>
      </c>
      <c r="M2924" t="s">
        <v>6137</v>
      </c>
      <c r="N2924" t="s">
        <v>14</v>
      </c>
    </row>
    <row r="2925" x14ac:dyDescent="0.25">
      <c r="A2925" t="n">
        <v>25</v>
      </c>
      <c r="B2925" t="s">
        <v>14</v>
      </c>
      <c r="C2925" t="s">
        <v>22</v>
      </c>
      <c r="D2925" s="2" t="s">
        <f>=HYPERLINK("https://main.knesset.gov.il/APPS/legislation/main/bills/2196948", "הצעת חוק העונשין (תיקון - החמרת הענישה על עבירות כלפי אנשי צוות רפואי), התשפ""ג-2022")</f>
        <v>6151</v>
      </c>
      <c r="E2925" t="s">
        <v>6151</v>
      </c>
      <c r="F2925" t="s">
        <v>6152</v>
      </c>
      <c r="G2925" t="s">
        <v>14</v>
      </c>
      <c r="H2925">
             </c>
      <c r="I2925" t="s">
        <v>14</v>
      </c>
      <c r="J2925" t="s">
        <v>99</v>
      </c>
      <c r="K2925" t="s">
        <v>27</v>
      </c>
      <c r="L2925" t="s">
        <v>20</v>
      </c>
      <c r="M2925" t="s">
        <v>6137</v>
      </c>
      <c r="N2925" t="s">
        <v>14</v>
      </c>
    </row>
    <row r="2926" x14ac:dyDescent="0.25">
      <c r="A2926" t="n">
        <v>25</v>
      </c>
      <c r="B2926" t="s">
        <v>14</v>
      </c>
      <c r="C2926" t="s">
        <v>22</v>
      </c>
      <c r="D2926" s="2" t="s">
        <f>=HYPERLINK("https://main.knesset.gov.il/APPS/legislation/main/bills/2197162", "הצעת חוק העונשין (תיקון - החמרת ענישה בשל תקיפת צוות רפואי), התשפ""ג-2022")</f>
        <v>6153</v>
      </c>
      <c r="E2926" t="s">
        <v>6153</v>
      </c>
      <c r="F2926" t="s">
        <v>6154</v>
      </c>
      <c r="G2926" t="s">
        <v>14</v>
      </c>
      <c r="H2926">
             </c>
      <c r="I2926" t="s">
        <v>14</v>
      </c>
      <c r="J2926" t="s">
        <v>99</v>
      </c>
      <c r="K2926" t="s">
        <v>27</v>
      </c>
      <c r="L2926" t="s">
        <v>20</v>
      </c>
      <c r="M2926" t="s">
        <v>6137</v>
      </c>
      <c r="N2926" t="s">
        <v>14</v>
      </c>
    </row>
    <row r="2927" x14ac:dyDescent="0.25">
      <c r="A2927" t="n">
        <v>25</v>
      </c>
      <c r="B2927" t="s">
        <v>14</v>
      </c>
      <c r="C2927" t="s">
        <v>22</v>
      </c>
      <c r="D2927" s="2" t="s">
        <f>=HYPERLINK("https://main.knesset.gov.il/APPS/legislation/main/bills/2203239", "הצעת חוק ביטוח בריאות ממלכתי (תיקון - העברת מידע בין קופות החולים בעת מעבר תושב), התשפ""ג-2023")</f>
        <v>6155</v>
      </c>
      <c r="E2927" t="s">
        <v>6155</v>
      </c>
      <c r="F2927" t="s">
        <v>6156</v>
      </c>
      <c r="G2927" t="s">
        <v>14</v>
      </c>
      <c r="H2927">
             </c>
      <c r="I2927" t="s">
        <v>14</v>
      </c>
      <c r="J2927" t="s">
        <v>55</v>
      </c>
      <c r="K2927" t="s">
        <v>14</v>
      </c>
      <c r="L2927" t="s">
        <v>20</v>
      </c>
      <c r="M2927" t="s">
        <v>6137</v>
      </c>
      <c r="N2927" t="s">
        <v>14</v>
      </c>
    </row>
    <row r="2928" x14ac:dyDescent="0.25">
      <c r="A2928" t="n">
        <v>25</v>
      </c>
      <c r="B2928" t="s">
        <v>14</v>
      </c>
      <c r="C2928" t="s">
        <v>22</v>
      </c>
      <c r="D2928" s="2" t="s">
        <f>=HYPERLINK("https://main.knesset.gov.il/APPS/legislation/main/bills/2215060", "הצעת חוק המאבק בטרור (תיקון - הסתה לטרור ברשתות חברתיות), התשפ""ד-2024")</f>
        <v>6157</v>
      </c>
      <c r="E2928" t="s">
        <v>6157</v>
      </c>
      <c r="F2928" t="s">
        <v>6158</v>
      </c>
      <c r="G2928" t="s">
        <v>14</v>
      </c>
      <c r="H2928">
             </c>
      <c r="I2928" t="s">
        <v>14</v>
      </c>
      <c r="J2928" t="s">
        <v>99</v>
      </c>
      <c r="K2928" t="s">
        <v>27</v>
      </c>
      <c r="L2928" t="s">
        <v>20</v>
      </c>
      <c r="M2928" t="s">
        <v>6159</v>
      </c>
      <c r="N2928" t="s">
        <v>14</v>
      </c>
    </row>
    <row r="2929" x14ac:dyDescent="0.25">
      <c r="A2929" t="n">
        <v>25</v>
      </c>
      <c r="B2929" t="s">
        <v>14</v>
      </c>
      <c r="C2929" t="s">
        <v>22</v>
      </c>
      <c r="D2929" s="2" t="s">
        <f>=HYPERLINK("https://main.knesset.gov.il/APPS/legislation/main/bills/2211016", "הצעת חוק המאבק בטרור (תיקון - עבירת הזדהות עם ארגון טרור ופיצוי בגין פרסום דברי הסתה לטרור), התשפ""ד-2023")</f>
        <v>6160</v>
      </c>
      <c r="E2929" t="s">
        <v>6160</v>
      </c>
      <c r="F2929" t="s">
        <v>6161</v>
      </c>
      <c r="G2929" t="s">
        <v>14</v>
      </c>
      <c r="H2929">
             </c>
      <c r="I2929" t="s">
        <v>14</v>
      </c>
      <c r="J2929" t="s">
        <v>99</v>
      </c>
      <c r="K2929" t="s">
        <v>27</v>
      </c>
      <c r="L2929" t="s">
        <v>20</v>
      </c>
      <c r="M2929" t="s">
        <v>6159</v>
      </c>
      <c r="N2929" t="s">
        <v>14</v>
      </c>
    </row>
    <row r="2930" x14ac:dyDescent="0.25">
      <c r="A2930" t="n">
        <v>25</v>
      </c>
      <c r="B2930" t="s">
        <v>14</v>
      </c>
      <c r="C2930" t="s">
        <v>22</v>
      </c>
      <c r="D2930" s="2" t="s">
        <f>=HYPERLINK("https://main.knesset.gov.il/APPS/legislation/main/bills/2200620", "הצעת חוק המאבק בטרור (תיקון - מניעת הזדהות עם ארגון טרור), התשפ""ג-2023")</f>
        <v>6162</v>
      </c>
      <c r="E2930" t="s">
        <v>6162</v>
      </c>
      <c r="F2930" t="s">
        <v>6163</v>
      </c>
      <c r="G2930" t="s">
        <v>14</v>
      </c>
      <c r="H2930">
             </c>
      <c r="I2930" t="s">
        <v>14</v>
      </c>
      <c r="J2930" t="s">
        <v>99</v>
      </c>
      <c r="K2930" t="s">
        <v>27</v>
      </c>
      <c r="L2930" t="s">
        <v>20</v>
      </c>
      <c r="M2930" t="s">
        <v>6159</v>
      </c>
      <c r="N2930" t="s">
        <v>14</v>
      </c>
    </row>
    <row r="2931" x14ac:dyDescent="0.25">
      <c r="A2931" t="n">
        <v>25</v>
      </c>
      <c r="B2931" t="s">
        <v>14</v>
      </c>
      <c r="C2931" t="s">
        <v>15</v>
      </c>
      <c r="D2931" s="2" t="s">
        <f>=HYPERLINK("https://main.knesset.gov.il/APPS/legislation/main/bills/2192797", "חוק הספורט (תיקון מס' 17), התשפ""ד-2024 ")</f>
        <v>6164</v>
      </c>
      <c r="E2931" t="s">
        <v>6164</v>
      </c>
      <c r="F2931" t="s">
        <v>14</v>
      </c>
      <c r="G2931" t="s">
        <v>6165</v>
      </c>
      <c r="H2931" t="n">
        <v>3231</v>
      </c>
      <c r="I2931" t="s">
        <v>14</v>
      </c>
      <c r="J2931" t="s">
        <v>91</v>
      </c>
      <c r="K2931" t="s">
        <v>34</v>
      </c>
      <c r="L2931" t="s">
        <v>20</v>
      </c>
      <c r="M2931" t="s">
        <v>6159</v>
      </c>
      <c r="N2931" t="s">
        <v>6166</v>
      </c>
    </row>
    <row r="2932" x14ac:dyDescent="0.25">
      <c r="A2932" t="n">
        <v>25</v>
      </c>
      <c r="B2932" t="s">
        <v>14</v>
      </c>
      <c r="C2932" t="s">
        <v>22</v>
      </c>
      <c r="D2932" s="2" t="s">
        <f>=HYPERLINK("https://main.knesset.gov.il/APPS/legislation/main/bills/2219403", "הצעת חוק רכבת תחתית (מטרו) (תיקון), התשפ""ד-2024")</f>
        <v>6167</v>
      </c>
      <c r="E2932" t="s">
        <v>6167</v>
      </c>
      <c r="F2932" t="s">
        <v>6168</v>
      </c>
      <c r="G2932" t="s">
        <v>14</v>
      </c>
      <c r="H2932">
             </c>
      <c r="I2932" t="s">
        <v>14</v>
      </c>
      <c r="J2932" t="s">
        <v>141</v>
      </c>
      <c r="K2932" t="s">
        <v>14</v>
      </c>
      <c r="L2932" t="s">
        <v>20</v>
      </c>
      <c r="M2932" t="s">
        <v>6159</v>
      </c>
      <c r="N2932" t="s">
        <v>14</v>
      </c>
    </row>
    <row r="2933" x14ac:dyDescent="0.25">
      <c r="A2933" t="n">
        <v>25</v>
      </c>
      <c r="B2933" t="s">
        <v>14</v>
      </c>
      <c r="C2933" t="s">
        <v>22</v>
      </c>
      <c r="D2933" s="2" t="s">
        <f>=HYPERLINK("https://main.knesset.gov.il/APPS/legislation/main/bills/2218887", "הצעת חוק איסור שימוש בסוסים בפיזור אי-סדר ציבורי (תיקוני חקיקה), התשפ""ד-2024")</f>
        <v>6169</v>
      </c>
      <c r="E2933" t="s">
        <v>6169</v>
      </c>
      <c r="F2933" t="s">
        <v>6170</v>
      </c>
      <c r="G2933" t="s">
        <v>14</v>
      </c>
      <c r="H2933">
             </c>
      <c r="I2933" t="s">
        <v>14</v>
      </c>
      <c r="J2933" t="s">
        <v>141</v>
      </c>
      <c r="K2933" t="s">
        <v>14</v>
      </c>
      <c r="L2933" t="s">
        <v>20</v>
      </c>
      <c r="M2933" t="s">
        <v>6159</v>
      </c>
      <c r="N2933" t="s">
        <v>14</v>
      </c>
    </row>
    <row r="2934" x14ac:dyDescent="0.25">
      <c r="A2934" t="n">
        <v>25</v>
      </c>
      <c r="B2934" t="s">
        <v>14</v>
      </c>
      <c r="C2934" t="s">
        <v>22</v>
      </c>
      <c r="D2934" s="2" t="s">
        <f>=HYPERLINK("https://main.knesset.gov.il/APPS/legislation/main/bills/2218886", "הצעת חוק מתן פטור מתשלום חשבונות עבור שירותים חיוניים לחיילים בודדים, התשפ""ד-2024")</f>
        <v>6171</v>
      </c>
      <c r="E2934" t="s">
        <v>6171</v>
      </c>
      <c r="F2934" t="s">
        <v>6172</v>
      </c>
      <c r="G2934" t="s">
        <v>14</v>
      </c>
      <c r="H2934">
             </c>
      <c r="I2934" t="s">
        <v>14</v>
      </c>
      <c r="J2934" t="s">
        <v>141</v>
      </c>
      <c r="K2934" t="s">
        <v>14</v>
      </c>
      <c r="L2934" t="s">
        <v>20</v>
      </c>
      <c r="M2934" t="s">
        <v>6159</v>
      </c>
      <c r="N2934" t="s">
        <v>14</v>
      </c>
    </row>
    <row r="2935" x14ac:dyDescent="0.25">
      <c r="A2935" t="n">
        <v>25</v>
      </c>
      <c r="B2935" t="s">
        <v>14</v>
      </c>
      <c r="C2935" t="s">
        <v>22</v>
      </c>
      <c r="D2935" s="2" t="s">
        <f>=HYPERLINK("https://main.knesset.gov.il/APPS/legislation/main/bills/2218884", "הצעת חוק קליטת חיילים משוחררים (תיקון - סיוע בשכר דירה לחיילים בודדים), התשפ""ד-2024")</f>
        <v>6173</v>
      </c>
      <c r="E2935" t="s">
        <v>6173</v>
      </c>
      <c r="F2935" t="s">
        <v>6174</v>
      </c>
      <c r="G2935" t="s">
        <v>14</v>
      </c>
      <c r="H2935">
             </c>
      <c r="I2935" t="s">
        <v>14</v>
      </c>
      <c r="J2935" t="s">
        <v>141</v>
      </c>
      <c r="K2935" t="s">
        <v>14</v>
      </c>
      <c r="L2935" t="s">
        <v>20</v>
      </c>
      <c r="M2935" t="s">
        <v>6159</v>
      </c>
      <c r="N2935" t="s">
        <v>14</v>
      </c>
    </row>
    <row r="2936" x14ac:dyDescent="0.25">
      <c r="A2936" t="n">
        <v>25</v>
      </c>
      <c r="B2936" t="s">
        <v>14</v>
      </c>
      <c r="C2936" t="s">
        <v>22</v>
      </c>
      <c r="D2936" s="2" t="s">
        <f>=HYPERLINK("https://main.knesset.gov.il/APPS/legislation/main/bills/2218597", "הצעת חוק חיזוק הפיקוח על עבירות צער בעלי חיים (תיקוני חקיקה), התשפ""ד-2024")</f>
        <v>6175</v>
      </c>
      <c r="E2936" t="s">
        <v>6175</v>
      </c>
      <c r="F2936" t="s">
        <v>6176</v>
      </c>
      <c r="G2936" t="s">
        <v>14</v>
      </c>
      <c r="H2936">
             </c>
      <c r="I2936" t="s">
        <v>14</v>
      </c>
      <c r="J2936" t="s">
        <v>141</v>
      </c>
      <c r="K2936" t="s">
        <v>14</v>
      </c>
      <c r="L2936" t="s">
        <v>20</v>
      </c>
      <c r="M2936" t="s">
        <v>6159</v>
      </c>
      <c r="N2936" t="s">
        <v>14</v>
      </c>
    </row>
    <row r="2937" x14ac:dyDescent="0.25">
      <c r="A2937" t="n">
        <v>25</v>
      </c>
      <c r="B2937" t="s">
        <v>14</v>
      </c>
      <c r="C2937" t="s">
        <v>22</v>
      </c>
      <c r="D2937" s="2" t="s">
        <f>=HYPERLINK("https://main.knesset.gov.il/APPS/legislation/main/bills/2218176", "הצעת חוק הכשרות המשפטית והאפוטרופסות (תיקון - קבלת אישור מראש לביצוע עסקה), התשפ""ד-2024")</f>
        <v>5972</v>
      </c>
      <c r="E2937" t="s">
        <v>5972</v>
      </c>
      <c r="F2937" t="s">
        <v>6177</v>
      </c>
      <c r="G2937" t="s">
        <v>14</v>
      </c>
      <c r="H2937">
             </c>
      <c r="I2937" t="s">
        <v>14</v>
      </c>
      <c r="J2937" t="s">
        <v>141</v>
      </c>
      <c r="K2937" t="s">
        <v>14</v>
      </c>
      <c r="L2937" t="s">
        <v>20</v>
      </c>
      <c r="M2937" t="s">
        <v>6159</v>
      </c>
      <c r="N2937" t="s">
        <v>14</v>
      </c>
    </row>
    <row r="2938" x14ac:dyDescent="0.25">
      <c r="A2938" t="n">
        <v>25</v>
      </c>
      <c r="B2938" t="s">
        <v>14</v>
      </c>
      <c r="C2938" t="s">
        <v>22</v>
      </c>
      <c r="D2938" s="2" t="s">
        <f>=HYPERLINK("https://main.knesset.gov.il/APPS/legislation/main/bills/2211909", "הצעת חוק ייסוד כיתות כוננות ביישובים, התשפ""ד-2024")</f>
        <v>6178</v>
      </c>
      <c r="E2938" t="s">
        <v>6178</v>
      </c>
      <c r="F2938" t="s">
        <v>6179</v>
      </c>
      <c r="G2938" t="s">
        <v>14</v>
      </c>
      <c r="H2938">
             </c>
      <c r="I2938" t="s">
        <v>14</v>
      </c>
      <c r="J2938" t="s">
        <v>141</v>
      </c>
      <c r="K2938" t="s">
        <v>14</v>
      </c>
      <c r="L2938" t="s">
        <v>20</v>
      </c>
      <c r="M2938" t="s">
        <v>6159</v>
      </c>
      <c r="N2938" t="s">
        <v>14</v>
      </c>
    </row>
    <row r="2939" x14ac:dyDescent="0.25">
      <c r="A2939" t="n">
        <v>25</v>
      </c>
      <c r="B2939" t="s">
        <v>14</v>
      </c>
      <c r="C2939" t="s">
        <v>22</v>
      </c>
      <c r="D2939" s="2" t="s">
        <f>=HYPERLINK("https://main.knesset.gov.il/APPS/legislation/main/bills/2219270", "הצעת חוק הסדרת העיסוק במקצועות הבריאות (תיקון - הסדרת העיסוק בניתוח התנהגות), התשפ""ד-2024")</f>
        <v>6180</v>
      </c>
      <c r="E2939" t="s">
        <v>6180</v>
      </c>
      <c r="F2939" t="s">
        <v>6181</v>
      </c>
      <c r="G2939" t="s">
        <v>14</v>
      </c>
      <c r="H2939">
             </c>
      <c r="I2939" t="s">
        <v>14</v>
      </c>
      <c r="J2939" t="s">
        <v>141</v>
      </c>
      <c r="K2939" t="s">
        <v>14</v>
      </c>
      <c r="L2939" t="s">
        <v>20</v>
      </c>
      <c r="M2939" t="s">
        <v>6159</v>
      </c>
      <c r="N2939" t="s">
        <v>14</v>
      </c>
    </row>
    <row r="2940" x14ac:dyDescent="0.25">
      <c r="A2940" t="n">
        <v>25</v>
      </c>
      <c r="B2940" t="s">
        <v>14</v>
      </c>
      <c r="C2940" t="s">
        <v>22</v>
      </c>
      <c r="D2940" s="2" t="s">
        <f>=HYPERLINK("https://main.knesset.gov.il/APPS/legislation/main/bills/2219179", "הצעת חוק פיצוי מפונים בני רשות, התשפ""ד-2024")</f>
        <v>6182</v>
      </c>
      <c r="E2940" t="s">
        <v>6182</v>
      </c>
      <c r="F2940" t="s">
        <v>6183</v>
      </c>
      <c r="G2940" t="s">
        <v>14</v>
      </c>
      <c r="H2940">
             </c>
      <c r="I2940" t="s">
        <v>14</v>
      </c>
      <c r="J2940" t="s">
        <v>141</v>
      </c>
      <c r="K2940" t="s">
        <v>14</v>
      </c>
      <c r="L2940" t="s">
        <v>20</v>
      </c>
      <c r="M2940" t="s">
        <v>6159</v>
      </c>
      <c r="N2940" t="s">
        <v>14</v>
      </c>
    </row>
    <row r="2941" x14ac:dyDescent="0.25">
      <c r="A2941" t="n">
        <v>25</v>
      </c>
      <c r="B2941" t="s">
        <v>14</v>
      </c>
      <c r="C2941" t="s">
        <v>22</v>
      </c>
      <c r="D2941" s="2" t="s">
        <f>=HYPERLINK("https://main.knesset.gov.il/APPS/legislation/main/bills/2219321", "הצעת חוק הרשויות המקומיות (בחירות) (תיקון - קיצור תקופת הצינון למנהל כללי), התשפ""ד-2024")</f>
        <v>6096</v>
      </c>
      <c r="E2941" t="s">
        <v>6096</v>
      </c>
      <c r="F2941" t="s">
        <v>6184</v>
      </c>
      <c r="G2941" t="s">
        <v>14</v>
      </c>
      <c r="H2941">
             </c>
      <c r="I2941" t="s">
        <v>14</v>
      </c>
      <c r="J2941" t="s">
        <v>141</v>
      </c>
      <c r="K2941" t="s">
        <v>14</v>
      </c>
      <c r="L2941" t="s">
        <v>20</v>
      </c>
      <c r="M2941" t="s">
        <v>6159</v>
      </c>
      <c r="N2941" t="s">
        <v>14</v>
      </c>
    </row>
    <row r="2942" x14ac:dyDescent="0.25">
      <c r="A2942" t="n">
        <v>25</v>
      </c>
      <c r="B2942" t="s">
        <v>14</v>
      </c>
      <c r="C2942" t="s">
        <v>22</v>
      </c>
      <c r="D2942" s="2" t="s">
        <f>=HYPERLINK("https://main.knesset.gov.il/APPS/legislation/main/bills/2218678", "הצעת חוק לתיקון פקודת המשטרה (השעיית שוטר בגין תלונה על אלימות), התשפ""ד-2024")</f>
        <v>6185</v>
      </c>
      <c r="E2942" t="s">
        <v>6185</v>
      </c>
      <c r="F2942" t="s">
        <v>6186</v>
      </c>
      <c r="G2942" t="s">
        <v>14</v>
      </c>
      <c r="H2942">
             </c>
      <c r="I2942" t="s">
        <v>14</v>
      </c>
      <c r="J2942" t="s">
        <v>141</v>
      </c>
      <c r="K2942" t="s">
        <v>14</v>
      </c>
      <c r="L2942" t="s">
        <v>20</v>
      </c>
      <c r="M2942" t="s">
        <v>6159</v>
      </c>
      <c r="N2942" t="s">
        <v>14</v>
      </c>
    </row>
    <row r="2943" x14ac:dyDescent="0.25">
      <c r="A2943" t="n">
        <v>25</v>
      </c>
      <c r="B2943" t="s">
        <v>14</v>
      </c>
      <c r="C2943" t="s">
        <v>22</v>
      </c>
      <c r="D2943" s="2" t="s">
        <f>=HYPERLINK("https://main.knesset.gov.il/APPS/legislation/main/bills/2217262", "הצעת חוק המקרקעין (תיקון - מנגנון מכני לפתיחת דלת בשבת), התשפ""ד-2024")</f>
        <v>6187</v>
      </c>
      <c r="E2943" t="s">
        <v>6187</v>
      </c>
      <c r="F2943" t="s">
        <v>6188</v>
      </c>
      <c r="G2943" t="s">
        <v>14</v>
      </c>
      <c r="H2943">
             </c>
      <c r="I2943" t="s">
        <v>14</v>
      </c>
      <c r="J2943" t="s">
        <v>141</v>
      </c>
      <c r="K2943" t="s">
        <v>14</v>
      </c>
      <c r="L2943" t="s">
        <v>20</v>
      </c>
      <c r="M2943" t="s">
        <v>6159</v>
      </c>
      <c r="N2943" t="s">
        <v>14</v>
      </c>
    </row>
    <row r="2944" x14ac:dyDescent="0.25">
      <c r="A2944" t="n">
        <v>25</v>
      </c>
      <c r="B2944" t="s">
        <v>14</v>
      </c>
      <c r="C2944" t="s">
        <v>22</v>
      </c>
      <c r="D2944" s="2" t="s">
        <f>=HYPERLINK("https://main.knesset.gov.il/APPS/legislation/main/bills/2217416", "הצעת חוק זיהוי קורבנות אסון, התשפ""ד-2024")</f>
        <v>6189</v>
      </c>
      <c r="E2944" t="s">
        <v>6189</v>
      </c>
      <c r="F2944" t="s">
        <v>6190</v>
      </c>
      <c r="G2944" t="s">
        <v>14</v>
      </c>
      <c r="H2944">
             </c>
      <c r="I2944" t="s">
        <v>14</v>
      </c>
      <c r="J2944" t="s">
        <v>141</v>
      </c>
      <c r="K2944" t="s">
        <v>14</v>
      </c>
      <c r="L2944" t="s">
        <v>20</v>
      </c>
      <c r="M2944" t="s">
        <v>6159</v>
      </c>
      <c r="N2944" t="s">
        <v>14</v>
      </c>
    </row>
    <row r="2945" x14ac:dyDescent="0.25">
      <c r="A2945" t="n">
        <v>25</v>
      </c>
      <c r="B2945" t="s">
        <v>14</v>
      </c>
      <c r="C2945" t="s">
        <v>22</v>
      </c>
      <c r="D2945" s="2" t="s">
        <f>=HYPERLINK("https://main.knesset.gov.il/APPS/legislation/main/bills/2219210", "הצעת חוק לתיקון פקודת מס הכנסה (הגדלת מספר התושבים ביישוב מוטב), התשפ""ד-2024")</f>
        <v>6191</v>
      </c>
      <c r="E2945" t="s">
        <v>6191</v>
      </c>
      <c r="F2945" t="s">
        <v>6192</v>
      </c>
      <c r="G2945" t="s">
        <v>14</v>
      </c>
      <c r="H2945">
             </c>
      <c r="I2945" t="s">
        <v>14</v>
      </c>
      <c r="J2945" t="s">
        <v>141</v>
      </c>
      <c r="K2945" t="s">
        <v>14</v>
      </c>
      <c r="L2945" t="s">
        <v>20</v>
      </c>
      <c r="M2945" t="s">
        <v>6159</v>
      </c>
      <c r="N2945" t="s">
        <v>14</v>
      </c>
    </row>
    <row r="2946" x14ac:dyDescent="0.25">
      <c r="A2946" t="n">
        <v>25</v>
      </c>
      <c r="B2946" t="s">
        <v>14</v>
      </c>
      <c r="C2946" t="s">
        <v>22</v>
      </c>
      <c r="D2946" s="2" t="s">
        <f>=HYPERLINK("https://main.knesset.gov.il/APPS/legislation/main/bills/2218867", "הצעת חוק משפחות חיילים שנספו במערכה (תגמולים ושיקום) (תיקון - הסדרת הזכויות של יתומים בוגרים), התשפ""ד-2024")</f>
        <v>1389</v>
      </c>
      <c r="E2946" t="s">
        <v>1389</v>
      </c>
      <c r="F2946" t="s">
        <v>6193</v>
      </c>
      <c r="G2946" t="s">
        <v>14</v>
      </c>
      <c r="H2946">
             </c>
      <c r="I2946" t="s">
        <v>14</v>
      </c>
      <c r="J2946" t="s">
        <v>141</v>
      </c>
      <c r="K2946" t="s">
        <v>14</v>
      </c>
      <c r="L2946" t="s">
        <v>20</v>
      </c>
      <c r="M2946" t="s">
        <v>6159</v>
      </c>
      <c r="N2946" t="s">
        <v>14</v>
      </c>
    </row>
    <row r="2947" x14ac:dyDescent="0.25">
      <c r="A2947" t="n">
        <v>25</v>
      </c>
      <c r="B2947" t="s">
        <v>14</v>
      </c>
      <c r="C2947" t="s">
        <v>22</v>
      </c>
      <c r="D2947" s="2" t="s">
        <f>=HYPERLINK("https://main.knesset.gov.il/APPS/legislation/main/bills/2219203", "הצעת חוק המכר (דירות) (תיקון - חובת מסירת תוכניות הדירה לקונה), התשפ""ד-2024")</f>
        <v>6020</v>
      </c>
      <c r="E2947" t="s">
        <v>6020</v>
      </c>
      <c r="F2947" t="s">
        <v>6194</v>
      </c>
      <c r="G2947" t="s">
        <v>14</v>
      </c>
      <c r="H2947">
             </c>
      <c r="I2947" t="s">
        <v>14</v>
      </c>
      <c r="J2947" t="s">
        <v>141</v>
      </c>
      <c r="K2947" t="s">
        <v>14</v>
      </c>
      <c r="L2947" t="s">
        <v>20</v>
      </c>
      <c r="M2947" t="s">
        <v>6159</v>
      </c>
      <c r="N2947" t="s">
        <v>14</v>
      </c>
    </row>
    <row r="2948" x14ac:dyDescent="0.25">
      <c r="A2948" t="n">
        <v>25</v>
      </c>
      <c r="B2948" t="s">
        <v>14</v>
      </c>
      <c r="C2948" t="s">
        <v>22</v>
      </c>
      <c r="D2948" s="2" t="s">
        <f>=HYPERLINK("https://main.knesset.gov.il/APPS/legislation/main/bills/2219188", "הצעת חוק הביטוח הלאומי (תיקון - הגבלת קיזוז גמלת נכות לתשלום מזונות), התשפ״ד-2024")</f>
        <v>6195</v>
      </c>
      <c r="E2948" t="s">
        <v>6195</v>
      </c>
      <c r="F2948" t="s">
        <v>6196</v>
      </c>
      <c r="G2948" t="s">
        <v>14</v>
      </c>
      <c r="H2948">
             </c>
      <c r="I2948" t="s">
        <v>14</v>
      </c>
      <c r="J2948" t="s">
        <v>141</v>
      </c>
      <c r="K2948" t="s">
        <v>14</v>
      </c>
      <c r="L2948" t="s">
        <v>20</v>
      </c>
      <c r="M2948" t="s">
        <v>6159</v>
      </c>
      <c r="N2948" t="s">
        <v>14</v>
      </c>
    </row>
    <row r="2949" x14ac:dyDescent="0.25">
      <c r="A2949" t="n">
        <v>25</v>
      </c>
      <c r="B2949" t="s">
        <v>14</v>
      </c>
      <c r="C2949" t="s">
        <v>22</v>
      </c>
      <c r="D2949" s="2" t="s">
        <f>=HYPERLINK("https://main.knesset.gov.il/APPS/legislation/main/bills/2219272", "הצעת חוק ביטוח בריאות ממלכתי (תיקון - מתן מענה מנומק על ידי קופת החולים), התשפ""ד-2024")</f>
        <v>5850</v>
      </c>
      <c r="E2949" t="s">
        <v>5850</v>
      </c>
      <c r="F2949" t="s">
        <v>6197</v>
      </c>
      <c r="G2949" t="s">
        <v>14</v>
      </c>
      <c r="H2949">
             </c>
      <c r="I2949" t="s">
        <v>14</v>
      </c>
      <c r="J2949" t="s">
        <v>141</v>
      </c>
      <c r="K2949" t="s">
        <v>14</v>
      </c>
      <c r="L2949" t="s">
        <v>20</v>
      </c>
      <c r="M2949" t="s">
        <v>6159</v>
      </c>
      <c r="N2949" t="s">
        <v>14</v>
      </c>
    </row>
    <row r="2950" x14ac:dyDescent="0.25">
      <c r="A2950" t="n">
        <v>25</v>
      </c>
      <c r="B2950" t="s">
        <v>14</v>
      </c>
      <c r="C2950" t="s">
        <v>22</v>
      </c>
      <c r="D2950" s="2" t="s">
        <f>=HYPERLINK("https://main.knesset.gov.il/APPS/legislation/main/bills/2218151", "הצעת חוק הרשויות המקומיות (מנהל יחידת ספורט), התשפ""ד-2024")</f>
        <v>6198</v>
      </c>
      <c r="E2950" t="s">
        <v>6198</v>
      </c>
      <c r="F2950" t="s">
        <v>6199</v>
      </c>
      <c r="G2950" t="s">
        <v>14</v>
      </c>
      <c r="H2950">
             </c>
      <c r="I2950" t="s">
        <v>14</v>
      </c>
      <c r="J2950" t="s">
        <v>141</v>
      </c>
      <c r="K2950" t="s">
        <v>14</v>
      </c>
      <c r="L2950" t="s">
        <v>20</v>
      </c>
      <c r="M2950" t="s">
        <v>6159</v>
      </c>
      <c r="N2950" t="s">
        <v>14</v>
      </c>
    </row>
    <row r="2951" x14ac:dyDescent="0.25">
      <c r="A2951" t="n">
        <v>25</v>
      </c>
      <c r="B2951" t="s">
        <v>14</v>
      </c>
      <c r="C2951" t="s">
        <v>22</v>
      </c>
      <c r="D2951" s="2" t="s">
        <f>=HYPERLINK("https://main.knesset.gov.il/APPS/legislation/main/bills/2219454", "הצעת חוק הקמת ועדת חקירה ממלכתית לאירועי 7 באוקטובר ומלחמת חרבות ברזל, התשפ""ד-2024")</f>
        <v>5866</v>
      </c>
      <c r="E2951" t="s">
        <v>5866</v>
      </c>
      <c r="F2951" t="s">
        <v>6200</v>
      </c>
      <c r="G2951" t="s">
        <v>14</v>
      </c>
      <c r="H2951">
             </c>
      <c r="I2951" t="s">
        <v>14</v>
      </c>
      <c r="J2951" t="s">
        <v>141</v>
      </c>
      <c r="K2951" t="s">
        <v>14</v>
      </c>
      <c r="L2951" t="s">
        <v>20</v>
      </c>
      <c r="M2951" t="s">
        <v>6159</v>
      </c>
      <c r="N2951" t="s">
        <v>14</v>
      </c>
    </row>
    <row r="2952" x14ac:dyDescent="0.25">
      <c r="A2952" t="n">
        <v>25</v>
      </c>
      <c r="B2952" t="s">
        <v>14</v>
      </c>
      <c r="C2952" t="s">
        <v>22</v>
      </c>
      <c r="D2952" s="2" t="s">
        <f>=HYPERLINK("https://main.knesset.gov.il/APPS/legislation/main/bills/2219391", "הצעת חוק הקמת חדרי מיון קדמיים, התשפ""ד-2024 ")</f>
        <v>6201</v>
      </c>
      <c r="E2952" t="s">
        <v>6201</v>
      </c>
      <c r="F2952" t="s">
        <v>6202</v>
      </c>
      <c r="G2952" t="s">
        <v>14</v>
      </c>
      <c r="H2952">
             </c>
      <c r="I2952" t="s">
        <v>14</v>
      </c>
      <c r="J2952" t="s">
        <v>141</v>
      </c>
      <c r="K2952" t="s">
        <v>14</v>
      </c>
      <c r="L2952" t="s">
        <v>20</v>
      </c>
      <c r="M2952" t="s">
        <v>6159</v>
      </c>
      <c r="N2952" t="s">
        <v>14</v>
      </c>
    </row>
    <row r="2953" x14ac:dyDescent="0.25">
      <c r="A2953" t="n">
        <v>25</v>
      </c>
      <c r="B2953" t="s">
        <v>14</v>
      </c>
      <c r="C2953" t="s">
        <v>22</v>
      </c>
      <c r="D2953" s="2" t="s">
        <f>=HYPERLINK("https://main.knesset.gov.il/APPS/legislation/main/bills/2219302", "הצעת חוק הבחירות לכנסת (תיקון - אחוז החסימה), התשפ""ד-2024")</f>
        <v>6203</v>
      </c>
      <c r="E2953" t="s">
        <v>6203</v>
      </c>
      <c r="F2953" t="s">
        <v>6204</v>
      </c>
      <c r="G2953" t="s">
        <v>14</v>
      </c>
      <c r="H2953">
             </c>
      <c r="I2953" t="s">
        <v>14</v>
      </c>
      <c r="J2953" t="s">
        <v>141</v>
      </c>
      <c r="K2953" t="s">
        <v>14</v>
      </c>
      <c r="L2953" t="s">
        <v>20</v>
      </c>
      <c r="M2953" t="s">
        <v>6159</v>
      </c>
      <c r="N2953" t="s">
        <v>14</v>
      </c>
    </row>
    <row r="2954" x14ac:dyDescent="0.25">
      <c r="A2954" t="n">
        <v>25</v>
      </c>
      <c r="B2954" t="s">
        <v>14</v>
      </c>
      <c r="C2954" t="s">
        <v>22</v>
      </c>
      <c r="D2954" s="2" t="s">
        <f>=HYPERLINK("https://main.knesset.gov.il/APPS/legislation/main/bills/2219271", "הצעת חוק הביטוח הלאומי (תיקון - תשלום גמלה לשמירת היריון בעד כל התקופה), התשפ""ד-2024")</f>
        <v>6205</v>
      </c>
      <c r="E2954" t="s">
        <v>6205</v>
      </c>
      <c r="F2954" t="s">
        <v>6206</v>
      </c>
      <c r="G2954" t="s">
        <v>14</v>
      </c>
      <c r="H2954">
             </c>
      <c r="I2954" t="s">
        <v>14</v>
      </c>
      <c r="J2954" t="s">
        <v>141</v>
      </c>
      <c r="K2954" t="s">
        <v>14</v>
      </c>
      <c r="L2954" t="s">
        <v>20</v>
      </c>
      <c r="M2954" t="s">
        <v>6159</v>
      </c>
      <c r="N2954" t="s">
        <v>14</v>
      </c>
    </row>
    <row r="2955" x14ac:dyDescent="0.25">
      <c r="A2955" t="n">
        <v>25</v>
      </c>
      <c r="B2955" t="s">
        <v>14</v>
      </c>
      <c r="C2955" t="s">
        <v>22</v>
      </c>
      <c r="D2955" s="2" t="s">
        <f>=HYPERLINK("https://main.knesset.gov.il/APPS/legislation/main/bills/2197256", "חוק רישוי עסקים (תיקון מס' 38), התשפ""ד-2024")</f>
        <v>6207</v>
      </c>
      <c r="E2955" t="s">
        <v>6207</v>
      </c>
      <c r="F2955" t="s">
        <v>6208</v>
      </c>
      <c r="G2955" t="s">
        <v>6209</v>
      </c>
      <c r="H2955" t="n">
        <v>3226</v>
      </c>
      <c r="I2955" t="s">
        <v>14</v>
      </c>
      <c r="J2955" t="s">
        <v>91</v>
      </c>
      <c r="K2955" t="s">
        <v>46</v>
      </c>
      <c r="L2955" t="s">
        <v>20</v>
      </c>
      <c r="M2955" t="s">
        <v>6210</v>
      </c>
      <c r="N2955" t="s">
        <v>6211</v>
      </c>
    </row>
    <row r="2956" x14ac:dyDescent="0.25">
      <c r="A2956" t="n">
        <v>25</v>
      </c>
      <c r="B2956" t="s">
        <v>14</v>
      </c>
      <c r="C2956" t="s">
        <v>22</v>
      </c>
      <c r="D2956" s="2" t="s">
        <f>=HYPERLINK("https://main.knesset.gov.il/APPS/legislation/main/bills/2215860", "הצעת חוק התקשורת (בזק ושידורים) (תיקון - איסור על מסרוני פלאש), התשפ""ד-2024")</f>
        <v>6212</v>
      </c>
      <c r="E2956" t="s">
        <v>6212</v>
      </c>
      <c r="F2956" t="s">
        <v>6213</v>
      </c>
      <c r="G2956" t="s">
        <v>14</v>
      </c>
      <c r="H2956">
             </c>
      <c r="I2956" t="s">
        <v>14</v>
      </c>
      <c r="J2956" t="s">
        <v>55</v>
      </c>
      <c r="K2956" t="s">
        <v>14</v>
      </c>
      <c r="L2956" t="s">
        <v>20</v>
      </c>
      <c r="M2956" t="s">
        <v>6210</v>
      </c>
      <c r="N2956" t="s">
        <v>14</v>
      </c>
    </row>
    <row r="2957" x14ac:dyDescent="0.25">
      <c r="A2957" t="n">
        <v>25</v>
      </c>
      <c r="B2957" t="s">
        <v>14</v>
      </c>
      <c r="C2957" t="s">
        <v>22</v>
      </c>
      <c r="D2957" s="2" t="s">
        <f>=HYPERLINK("https://main.knesset.gov.il/APPS/legislation/main/bills/2213756", "הצעת חוק לתיקון פקודת מס הכנסה (הוראת שעה - חרבות ברזל) (נקודות זיכוי בעד בן זוג במילואים), התשפ""ד-2024")</f>
        <v>5798</v>
      </c>
      <c r="E2957" t="s">
        <v>5798</v>
      </c>
      <c r="F2957" t="s">
        <v>6214</v>
      </c>
      <c r="G2957" t="s">
        <v>14</v>
      </c>
      <c r="H2957">
             </c>
      <c r="I2957" t="s">
        <v>14</v>
      </c>
      <c r="J2957" t="s">
        <v>55</v>
      </c>
      <c r="K2957" t="s">
        <v>14</v>
      </c>
      <c r="L2957" t="s">
        <v>20</v>
      </c>
      <c r="M2957" t="s">
        <v>6210</v>
      </c>
      <c r="N2957" t="s">
        <v>14</v>
      </c>
    </row>
    <row r="2958" x14ac:dyDescent="0.25">
      <c r="A2958" t="n">
        <v>25</v>
      </c>
      <c r="B2958" t="s">
        <v>14</v>
      </c>
      <c r="C2958" t="s">
        <v>22</v>
      </c>
      <c r="D2958" s="2" t="s">
        <f>=HYPERLINK("https://main.knesset.gov.il/APPS/legislation/main/bills/2213482", "הצעת חוק הכרה בחטוף כנכה או כחלל צה""ל (תיקוני חקיקה), התשפ""ד-2024")</f>
        <v>6215</v>
      </c>
      <c r="E2958" t="s">
        <v>6215</v>
      </c>
      <c r="F2958" t="s">
        <v>6216</v>
      </c>
      <c r="G2958" t="s">
        <v>14</v>
      </c>
      <c r="H2958">
             </c>
      <c r="I2958" t="s">
        <v>14</v>
      </c>
      <c r="J2958" t="s">
        <v>343</v>
      </c>
      <c r="K2958" t="s">
        <v>14</v>
      </c>
      <c r="L2958" t="s">
        <v>20</v>
      </c>
      <c r="M2958" t="s">
        <v>6210</v>
      </c>
      <c r="N2958" t="s">
        <v>14</v>
      </c>
    </row>
    <row r="2959" x14ac:dyDescent="0.25">
      <c r="A2959" t="n">
        <v>25</v>
      </c>
      <c r="B2959" t="s">
        <v>14</v>
      </c>
      <c r="C2959" t="s">
        <v>22</v>
      </c>
      <c r="D2959" s="2" t="s">
        <f>=HYPERLINK("https://main.knesset.gov.il/APPS/legislation/main/bills/2202785", "הצעת חוק חובת המכרזים (תיקון - משרד החינוך), התשפ""ג-2023")</f>
        <v>6217</v>
      </c>
      <c r="E2959" t="s">
        <v>6217</v>
      </c>
      <c r="F2959" t="s">
        <v>6218</v>
      </c>
      <c r="G2959" t="s">
        <v>14</v>
      </c>
      <c r="H2959">
             </c>
      <c r="I2959" t="s">
        <v>14</v>
      </c>
      <c r="J2959" t="s">
        <v>31</v>
      </c>
      <c r="K2959" t="s">
        <v>27</v>
      </c>
      <c r="L2959" t="s">
        <v>20</v>
      </c>
      <c r="M2959" t="s">
        <v>6210</v>
      </c>
      <c r="N2959" t="s">
        <v>14</v>
      </c>
    </row>
    <row r="2960" x14ac:dyDescent="0.25">
      <c r="A2960" t="n">
        <v>25</v>
      </c>
      <c r="B2960" t="s">
        <v>14</v>
      </c>
      <c r="C2960" t="s">
        <v>22</v>
      </c>
      <c r="D2960" s="2" t="s">
        <f>=HYPERLINK("https://main.knesset.gov.il/APPS/legislation/main/bills/2203569", "הצעת חוק הפיקוח על מעונות יום לפעוטות (תיקון - העסקת עובד זר בתחזוקה וניקיון במעון היום), התשפ""ג-2023")</f>
        <v>6219</v>
      </c>
      <c r="E2960" t="s">
        <v>6219</v>
      </c>
      <c r="F2960" t="s">
        <v>6220</v>
      </c>
      <c r="G2960" t="s">
        <v>14</v>
      </c>
      <c r="H2960">
             </c>
      <c r="I2960" t="s">
        <v>14</v>
      </c>
      <c r="J2960" t="s">
        <v>343</v>
      </c>
      <c r="K2960" t="s">
        <v>14</v>
      </c>
      <c r="L2960" t="s">
        <v>20</v>
      </c>
      <c r="M2960" t="s">
        <v>6210</v>
      </c>
      <c r="N2960" t="s">
        <v>14</v>
      </c>
    </row>
    <row r="2961" x14ac:dyDescent="0.25">
      <c r="A2961" t="n">
        <v>25</v>
      </c>
      <c r="B2961" t="s">
        <v>14</v>
      </c>
      <c r="C2961" t="s">
        <v>22</v>
      </c>
      <c r="D2961" s="2" t="s">
        <f>=HYPERLINK("https://main.knesset.gov.il/APPS/legislation/main/bills/2205831", "הצעת חוק שירותי הדת היהודיים (בחירות רבני עיר, רבנים אזוריים, רבני יישוב ורבני שכונות), התשפ""ג-2023")</f>
        <v>6221</v>
      </c>
      <c r="E2961" t="s">
        <v>6221</v>
      </c>
      <c r="F2961" t="s">
        <v>6222</v>
      </c>
      <c r="G2961" t="s">
        <v>14</v>
      </c>
      <c r="H2961">
             </c>
      <c r="I2961" t="s">
        <v>14</v>
      </c>
      <c r="J2961" t="s">
        <v>31</v>
      </c>
      <c r="K2961" t="s">
        <v>27</v>
      </c>
      <c r="L2961" t="s">
        <v>20</v>
      </c>
      <c r="M2961" t="s">
        <v>6223</v>
      </c>
      <c r="N2961" t="s">
        <v>14</v>
      </c>
    </row>
    <row r="2962" x14ac:dyDescent="0.25">
      <c r="A2962" t="n">
        <v>25</v>
      </c>
      <c r="B2962" t="s">
        <v>14</v>
      </c>
      <c r="C2962" t="s">
        <v>22</v>
      </c>
      <c r="D2962" s="2" t="s">
        <f>=HYPERLINK("https://main.knesset.gov.il/APPS/legislation/main/bills/2209494", "הצעת חוק לתיקון פקודת מס הכנסה (העברת מידע לבקשת הנישום), התשפ""ד-2024")</f>
        <v>6224</v>
      </c>
      <c r="E2962" t="s">
        <v>6224</v>
      </c>
      <c r="F2962" t="s">
        <v>6225</v>
      </c>
      <c r="G2962" t="s">
        <v>14</v>
      </c>
      <c r="H2962">
             </c>
      <c r="I2962" t="s">
        <v>14</v>
      </c>
      <c r="J2962" t="s">
        <v>31</v>
      </c>
      <c r="K2962" t="s">
        <v>85</v>
      </c>
      <c r="L2962" t="s">
        <v>20</v>
      </c>
      <c r="M2962" t="s">
        <v>6223</v>
      </c>
      <c r="N2962" t="s">
        <v>14</v>
      </c>
    </row>
    <row r="2963" x14ac:dyDescent="0.25">
      <c r="A2963" t="n">
        <v>25</v>
      </c>
      <c r="B2963" t="s">
        <v>14</v>
      </c>
      <c r="C2963" t="s">
        <v>22</v>
      </c>
      <c r="D2963" s="2" t="s">
        <f>=HYPERLINK("https://main.knesset.gov.il/APPS/legislation/main/bills/2218183", "הצעת חוק הרשויות המקומיות (מימון בחירות) (הוראת שעה) (הארכת מועד לבקשת קבלת מימון), התשפ""ד-2024")</f>
        <v>6226</v>
      </c>
      <c r="E2963" t="s">
        <v>6226</v>
      </c>
      <c r="F2963" t="s">
        <v>6227</v>
      </c>
      <c r="G2963" t="s">
        <v>14</v>
      </c>
      <c r="H2963">
             </c>
      <c r="I2963" t="s">
        <v>14</v>
      </c>
      <c r="J2963" t="s">
        <v>99</v>
      </c>
      <c r="K2963" t="s">
        <v>46</v>
      </c>
      <c r="L2963" t="s">
        <v>20</v>
      </c>
      <c r="M2963" t="s">
        <v>6223</v>
      </c>
      <c r="N2963" t="s">
        <v>14</v>
      </c>
    </row>
    <row r="2964" x14ac:dyDescent="0.25">
      <c r="A2964" t="n">
        <v>25</v>
      </c>
      <c r="B2964" t="s">
        <v>14</v>
      </c>
      <c r="C2964" t="s">
        <v>22</v>
      </c>
      <c r="D2964" s="2" t="s">
        <f>=HYPERLINK("https://main.knesset.gov.il/APPS/legislation/main/bills/2218127", "הצעת חוק הרשויות המקומיות (מימון בחירות) (הוראת שעה) (הארכת מועד לבקשת קבלת מימון), התשפ""ד-2024")</f>
        <v>6226</v>
      </c>
      <c r="E2964" t="s">
        <v>6226</v>
      </c>
      <c r="F2964" t="s">
        <v>6228</v>
      </c>
      <c r="G2964" t="s">
        <v>14</v>
      </c>
      <c r="H2964">
             </c>
      <c r="I2964" t="s">
        <v>14</v>
      </c>
      <c r="J2964" t="s">
        <v>99</v>
      </c>
      <c r="K2964" t="s">
        <v>46</v>
      </c>
      <c r="L2964" t="s">
        <v>20</v>
      </c>
      <c r="M2964" t="s">
        <v>6223</v>
      </c>
      <c r="N2964" t="s">
        <v>14</v>
      </c>
    </row>
    <row r="2965" x14ac:dyDescent="0.25">
      <c r="A2965" t="n">
        <v>25</v>
      </c>
      <c r="B2965" t="s">
        <v>14</v>
      </c>
      <c r="C2965" t="s">
        <v>15</v>
      </c>
      <c r="D2965" s="2" t="s">
        <f>=HYPERLINK("https://main.knesset.gov.il/APPS/legislation/main/bills/2219130", "חוק לתיקון פקודת בתי הסוהר (תיקון מס' 66 – הוראת שעה – חרבות ברזל) (חופשה מיוחדת לאסיר) (תיקון), התשפ""ד–2024")</f>
        <v>6229</v>
      </c>
      <c r="E2965" t="s">
        <v>6229</v>
      </c>
      <c r="F2965" t="s">
        <v>14</v>
      </c>
      <c r="G2965" t="s">
        <v>6230</v>
      </c>
      <c r="H2965" t="n">
        <v>3225</v>
      </c>
      <c r="I2965" t="s">
        <v>14</v>
      </c>
      <c r="J2965" t="s">
        <v>91</v>
      </c>
      <c r="K2965" t="s">
        <v>105</v>
      </c>
      <c r="L2965" t="s">
        <v>20</v>
      </c>
      <c r="M2965" t="s">
        <v>6223</v>
      </c>
      <c r="N2965" t="s">
        <v>6231</v>
      </c>
    </row>
    <row r="2966" x14ac:dyDescent="0.25">
      <c r="A2966" t="n">
        <v>25</v>
      </c>
      <c r="B2966" t="s">
        <v>14</v>
      </c>
      <c r="C2966" t="s">
        <v>22</v>
      </c>
      <c r="D2966" s="2" t="s">
        <f>=HYPERLINK("https://main.knesset.gov.il/APPS/legislation/main/bills/2213938", "חוק זכויות נפגעי עבירה (תיקון מס' 18), התשפ""ד–2024")</f>
        <v>6232</v>
      </c>
      <c r="E2966" t="s">
        <v>6232</v>
      </c>
      <c r="F2966" t="s">
        <v>6233</v>
      </c>
      <c r="G2966" t="s">
        <v>6234</v>
      </c>
      <c r="H2966" t="n">
        <v>3224</v>
      </c>
      <c r="I2966" t="s">
        <v>14</v>
      </c>
      <c r="J2966" t="s">
        <v>91</v>
      </c>
      <c r="K2966" t="s">
        <v>27</v>
      </c>
      <c r="L2966" t="s">
        <v>20</v>
      </c>
      <c r="M2966" t="s">
        <v>6223</v>
      </c>
      <c r="N2966" t="s">
        <v>6235</v>
      </c>
    </row>
    <row r="2967" x14ac:dyDescent="0.25">
      <c r="A2967" t="n">
        <v>25</v>
      </c>
      <c r="B2967" t="s">
        <v>14</v>
      </c>
      <c r="C2967" t="s">
        <v>15</v>
      </c>
      <c r="D2967" s="2" t="s">
        <f>=HYPERLINK("https://main.knesset.gov.il/APPS/legislation/main/bills/2218801", "חוק לתיקון ולהארכת תוקפן של תקנות שעת חירום (חרבות ברזל) (הארכת מעצר לחשוד בעבירת ביטחון) (תיקון מס' 2), התשפ""ד-2024")</f>
        <v>6236</v>
      </c>
      <c r="E2967" t="s">
        <v>6236</v>
      </c>
      <c r="F2967" t="s">
        <v>14</v>
      </c>
      <c r="G2967" t="s">
        <v>6237</v>
      </c>
      <c r="H2967" t="n">
        <v>3223</v>
      </c>
      <c r="I2967" t="s">
        <v>14</v>
      </c>
      <c r="J2967" t="s">
        <v>91</v>
      </c>
      <c r="K2967" t="s">
        <v>27</v>
      </c>
      <c r="L2967" t="s">
        <v>20</v>
      </c>
      <c r="M2967" t="s">
        <v>6238</v>
      </c>
      <c r="N2967" t="s">
        <v>6239</v>
      </c>
    </row>
    <row r="2968" x14ac:dyDescent="0.25">
      <c r="A2968" t="n">
        <v>25</v>
      </c>
      <c r="B2968" t="s">
        <v>14</v>
      </c>
      <c r="C2968" t="s">
        <v>15</v>
      </c>
      <c r="D2968" s="2" t="s">
        <f>=HYPERLINK("https://main.knesset.gov.il/APPS/legislation/main/bills/2218800", "חוק לתיקון ולהארכת תוקפן של תקנות שעת חירום (חרבות ברזל) (פגישה עם עורך דין של עצור בעבירת ביטחון) (תיקון מס' 2), התשפ""ד-2024")</f>
        <v>6240</v>
      </c>
      <c r="E2968" t="s">
        <v>6240</v>
      </c>
      <c r="F2968" t="s">
        <v>14</v>
      </c>
      <c r="G2968" t="s">
        <v>6241</v>
      </c>
      <c r="H2968" t="n">
        <v>3222</v>
      </c>
      <c r="I2968" t="s">
        <v>14</v>
      </c>
      <c r="J2968" t="s">
        <v>91</v>
      </c>
      <c r="K2968" t="s">
        <v>27</v>
      </c>
      <c r="L2968" t="s">
        <v>20</v>
      </c>
      <c r="M2968" t="s">
        <v>6238</v>
      </c>
      <c r="N2968" t="s">
        <v>6242</v>
      </c>
    </row>
    <row r="2969" x14ac:dyDescent="0.25">
      <c r="A2969" t="n">
        <v>25</v>
      </c>
      <c r="B2969" t="s">
        <v>14</v>
      </c>
      <c r="C2969" t="s">
        <v>22</v>
      </c>
      <c r="D2969" s="2" t="s">
        <f>=HYPERLINK("https://main.knesset.gov.il/APPS/legislation/main/bills/2219268", "הצעת חוק העונשין (תיקון - ייצוא חומר הנחשב לסם מסוכן בחוץ לארץ), התשפ''ד-2024")</f>
        <v>6243</v>
      </c>
      <c r="E2969" t="s">
        <v>6243</v>
      </c>
      <c r="F2969" t="s">
        <v>6244</v>
      </c>
      <c r="G2969" t="s">
        <v>14</v>
      </c>
      <c r="H2969">
             </c>
      <c r="I2969" t="s">
        <v>14</v>
      </c>
      <c r="J2969" t="s">
        <v>141</v>
      </c>
      <c r="K2969" t="s">
        <v>14</v>
      </c>
      <c r="L2969" t="s">
        <v>20</v>
      </c>
      <c r="M2969" t="s">
        <v>6238</v>
      </c>
      <c r="N2969" t="s">
        <v>14</v>
      </c>
    </row>
    <row r="2970" x14ac:dyDescent="0.25">
      <c r="A2970" t="n">
        <v>25</v>
      </c>
      <c r="B2970" t="s">
        <v>14</v>
      </c>
      <c r="C2970" t="s">
        <v>22</v>
      </c>
      <c r="D2970" s="2" t="s">
        <f>=HYPERLINK("https://main.knesset.gov.il/APPS/legislation/main/bills/2218968", "הצעת חוק הסדרים במשק המדינה (תיקוני חקיקה להשגת יעדי התקציב) (תיקון - חישוב עליית מחירי הארנונה), התשפ""ד-2024")</f>
        <v>6113</v>
      </c>
      <c r="E2970" t="s">
        <v>6113</v>
      </c>
      <c r="F2970" t="s">
        <v>6245</v>
      </c>
      <c r="G2970" t="s">
        <v>14</v>
      </c>
      <c r="H2970">
             </c>
      <c r="I2970" t="s">
        <v>14</v>
      </c>
      <c r="J2970" t="s">
        <v>343</v>
      </c>
      <c r="K2970" t="s">
        <v>14</v>
      </c>
      <c r="L2970" t="s">
        <v>20</v>
      </c>
      <c r="M2970" t="s">
        <v>6238</v>
      </c>
      <c r="N2970" t="s">
        <v>14</v>
      </c>
    </row>
    <row r="2971" x14ac:dyDescent="0.25">
      <c r="A2971" t="n">
        <v>25</v>
      </c>
      <c r="B2971" t="s">
        <v>14</v>
      </c>
      <c r="C2971" t="s">
        <v>22</v>
      </c>
      <c r="D2971" s="2" t="s">
        <f>=HYPERLINK("https://main.knesset.gov.il/APPS/legislation/main/bills/2216783", "הצעת חוק עיקול מידתי של נכסים המוחזקים בידי צד שלישי (תיקוני חקיקה), התשפ""ד-2024")</f>
        <v>6106</v>
      </c>
      <c r="E2971" t="s">
        <v>6106</v>
      </c>
      <c r="F2971" t="s">
        <v>6246</v>
      </c>
      <c r="G2971" t="s">
        <v>14</v>
      </c>
      <c r="H2971">
             </c>
      <c r="I2971" t="s">
        <v>14</v>
      </c>
      <c r="J2971" t="s">
        <v>343</v>
      </c>
      <c r="K2971" t="s">
        <v>14</v>
      </c>
      <c r="L2971" t="s">
        <v>20</v>
      </c>
      <c r="M2971" t="s">
        <v>6238</v>
      </c>
      <c r="N2971" t="s">
        <v>14</v>
      </c>
    </row>
    <row r="2972" x14ac:dyDescent="0.25">
      <c r="A2972" t="n">
        <v>25</v>
      </c>
      <c r="B2972" t="s">
        <v>14</v>
      </c>
      <c r="C2972" t="s">
        <v>22</v>
      </c>
      <c r="D2972" s="2" t="s">
        <f>=HYPERLINK("https://main.knesset.gov.il/APPS/legislation/main/bills/2215656", "הצעת חוק התחדשות עירונית (הסכמים לארגון עסקאות) (תיקון - אסדרת עבודת עורך דין), התשפ""ד-2024")</f>
        <v>6247</v>
      </c>
      <c r="E2972" t="s">
        <v>6247</v>
      </c>
      <c r="F2972" t="s">
        <v>6248</v>
      </c>
      <c r="G2972" t="s">
        <v>14</v>
      </c>
      <c r="H2972">
             </c>
      <c r="I2972" t="s">
        <v>14</v>
      </c>
      <c r="J2972" t="s">
        <v>343</v>
      </c>
      <c r="K2972" t="s">
        <v>14</v>
      </c>
      <c r="L2972" t="s">
        <v>20</v>
      </c>
      <c r="M2972" t="s">
        <v>6238</v>
      </c>
      <c r="N2972" t="s">
        <v>14</v>
      </c>
    </row>
    <row r="2973" x14ac:dyDescent="0.25">
      <c r="A2973" t="n">
        <v>25</v>
      </c>
      <c r="B2973" t="s">
        <v>14</v>
      </c>
      <c r="C2973" t="s">
        <v>22</v>
      </c>
      <c r="D2973" s="2" t="s">
        <f>=HYPERLINK("https://main.knesset.gov.il/APPS/legislation/main/bills/2218690", "הצעת חוק הלוואות למיגון דירות, התשפ""ד-2024")</f>
        <v>6249</v>
      </c>
      <c r="E2973" t="s">
        <v>6249</v>
      </c>
      <c r="F2973" t="s">
        <v>6250</v>
      </c>
      <c r="G2973" t="s">
        <v>14</v>
      </c>
      <c r="H2973">
             </c>
      <c r="I2973" t="s">
        <v>14</v>
      </c>
      <c r="J2973" t="s">
        <v>141</v>
      </c>
      <c r="K2973" t="s">
        <v>14</v>
      </c>
      <c r="L2973" t="s">
        <v>20</v>
      </c>
      <c r="M2973" t="s">
        <v>6238</v>
      </c>
      <c r="N2973" t="s">
        <v>14</v>
      </c>
    </row>
    <row r="2974" x14ac:dyDescent="0.25">
      <c r="A2974" t="n">
        <v>25</v>
      </c>
      <c r="B2974" t="s">
        <v>14</v>
      </c>
      <c r="C2974" t="s">
        <v>22</v>
      </c>
      <c r="D2974" s="2" t="s">
        <f>=HYPERLINK("https://main.knesset.gov.il/APPS/legislation/main/bills/2217771", "הצעת חוק התפזרות הכנסת העשרים וחמש, התשפ""ד-2024")</f>
        <v>2991</v>
      </c>
      <c r="E2974" t="s">
        <v>2991</v>
      </c>
      <c r="F2974" t="s">
        <v>6251</v>
      </c>
      <c r="G2974" t="s">
        <v>14</v>
      </c>
      <c r="H2974">
             </c>
      <c r="I2974" t="s">
        <v>14</v>
      </c>
      <c r="J2974" t="s">
        <v>141</v>
      </c>
      <c r="K2974" t="s">
        <v>14</v>
      </c>
      <c r="L2974" t="s">
        <v>20</v>
      </c>
      <c r="M2974" t="s">
        <v>6238</v>
      </c>
      <c r="N2974" t="s">
        <v>14</v>
      </c>
    </row>
    <row r="2975" x14ac:dyDescent="0.25">
      <c r="A2975" t="n">
        <v>25</v>
      </c>
      <c r="B2975" t="s">
        <v>14</v>
      </c>
      <c r="C2975" t="s">
        <v>22</v>
      </c>
      <c r="D2975" s="2" t="s">
        <f>=HYPERLINK("https://main.knesset.gov.il/APPS/legislation/main/bills/2218943", "הצעת חוק אסדרת שוק הקנאביס לצריכה עצמית, התשפ""ד-2024")</f>
        <v>6252</v>
      </c>
      <c r="E2975" t="s">
        <v>6252</v>
      </c>
      <c r="F2975" t="s">
        <v>6253</v>
      </c>
      <c r="G2975" t="s">
        <v>14</v>
      </c>
      <c r="H2975">
             </c>
      <c r="I2975" t="s">
        <v>14</v>
      </c>
      <c r="J2975" t="s">
        <v>141</v>
      </c>
      <c r="K2975" t="s">
        <v>14</v>
      </c>
      <c r="L2975" t="s">
        <v>20</v>
      </c>
      <c r="M2975" t="s">
        <v>6238</v>
      </c>
      <c r="N2975" t="s">
        <v>14</v>
      </c>
    </row>
    <row r="2976" x14ac:dyDescent="0.25">
      <c r="A2976" t="n">
        <v>25</v>
      </c>
      <c r="B2976" t="s">
        <v>14</v>
      </c>
      <c r="C2976" t="s">
        <v>22</v>
      </c>
      <c r="D2976" s="2" t="s">
        <f>=HYPERLINK("https://main.knesset.gov.il/APPS/legislation/main/bills/2217241", "הצעת חוק פיקוח על מחירי מצרכים ושירותים (תיקון - פיקוח על מחירי ענף ביטוחי הרכב) (הוראת שעה), התשפ""ד-2024")</f>
        <v>6254</v>
      </c>
      <c r="E2976" t="s">
        <v>6254</v>
      </c>
      <c r="F2976" t="s">
        <v>6255</v>
      </c>
      <c r="G2976" t="s">
        <v>14</v>
      </c>
      <c r="H2976">
             </c>
      <c r="I2976" t="s">
        <v>14</v>
      </c>
      <c r="J2976" t="s">
        <v>141</v>
      </c>
      <c r="K2976" t="s">
        <v>14</v>
      </c>
      <c r="L2976" t="s">
        <v>20</v>
      </c>
      <c r="M2976" t="s">
        <v>6238</v>
      </c>
      <c r="N2976" t="s">
        <v>14</v>
      </c>
    </row>
    <row r="2977" x14ac:dyDescent="0.25">
      <c r="A2977" t="n">
        <v>25</v>
      </c>
      <c r="B2977" t="s">
        <v>14</v>
      </c>
      <c r="C2977" t="s">
        <v>22</v>
      </c>
      <c r="D2977" s="2" t="s">
        <f>=HYPERLINK("https://main.knesset.gov.il/APPS/legislation/main/bills/2210774", "הצעת חוק כביש אגרה (כביש ארצי לישראל) (תיקון - גביית קנסות ופיגורי תשלומים דרך המרכז לגביית קנסות), התשפ""ד-2024")</f>
        <v>6110</v>
      </c>
      <c r="E2977" t="s">
        <v>6110</v>
      </c>
      <c r="F2977" t="s">
        <v>6256</v>
      </c>
      <c r="G2977" t="s">
        <v>14</v>
      </c>
      <c r="H2977">
             </c>
      <c r="I2977" t="s">
        <v>14</v>
      </c>
      <c r="J2977" t="s">
        <v>141</v>
      </c>
      <c r="K2977" t="s">
        <v>14</v>
      </c>
      <c r="L2977" t="s">
        <v>20</v>
      </c>
      <c r="M2977" t="s">
        <v>6238</v>
      </c>
      <c r="N2977" t="s">
        <v>14</v>
      </c>
    </row>
    <row r="2978" x14ac:dyDescent="0.25">
      <c r="A2978" t="n">
        <v>25</v>
      </c>
      <c r="B2978" t="s">
        <v>14</v>
      </c>
      <c r="C2978" t="s">
        <v>15</v>
      </c>
      <c r="D2978" s="2" t="s">
        <f>=HYPERLINK("https://main.knesset.gov.il/APPS/legislation/main/bills/2219099", "הצעת חוק לתיקון פקודת השותפויות (מס' 6), התשפ""ד-2024")</f>
        <v>6257</v>
      </c>
      <c r="E2978" t="s">
        <v>6257</v>
      </c>
      <c r="F2978" t="s">
        <v>14</v>
      </c>
      <c r="G2978" t="s">
        <v>6258</v>
      </c>
      <c r="H2978">
             </c>
      <c r="I2978" t="s">
        <v>14</v>
      </c>
      <c r="J2978" t="s">
        <v>18</v>
      </c>
      <c r="K2978" t="s">
        <v>27</v>
      </c>
      <c r="L2978" t="s">
        <v>20</v>
      </c>
      <c r="M2978" t="s">
        <v>6238</v>
      </c>
      <c r="N2978" t="s">
        <v>14</v>
      </c>
    </row>
    <row r="2979" x14ac:dyDescent="0.25">
      <c r="A2979" t="n">
        <v>25</v>
      </c>
      <c r="B2979" t="s">
        <v>14</v>
      </c>
      <c r="C2979" t="s">
        <v>22</v>
      </c>
      <c r="D2979" s="2" t="s">
        <f>=HYPERLINK("https://main.knesset.gov.il/APPS/legislation/main/bills/2215984", "הצעת חוק הגנה על הציבור מפני ארגוני פשיעה, התשפ""ד-2024")</f>
        <v>6259</v>
      </c>
      <c r="E2979" t="s">
        <v>6259</v>
      </c>
      <c r="F2979" t="s">
        <v>6260</v>
      </c>
      <c r="G2979" t="s">
        <v>14</v>
      </c>
      <c r="H2979">
             </c>
      <c r="I2979" t="s">
        <v>14</v>
      </c>
      <c r="J2979" t="s">
        <v>99</v>
      </c>
      <c r="K2979" t="s">
        <v>105</v>
      </c>
      <c r="L2979" t="s">
        <v>20</v>
      </c>
      <c r="M2979" t="s">
        <v>6261</v>
      </c>
      <c r="N2979" t="s">
        <v>14</v>
      </c>
    </row>
    <row r="2980" x14ac:dyDescent="0.25">
      <c r="A2980" t="n">
        <v>25</v>
      </c>
      <c r="B2980" t="s">
        <v>14</v>
      </c>
      <c r="C2980" t="s">
        <v>22</v>
      </c>
      <c r="D2980" s="2" t="s">
        <f>=HYPERLINK("https://main.knesset.gov.il/APPS/legislation/main/bills/2218410", "הצעת חוק שירות ביטחון (תיקון - פטור זקן לחיילים), התשפ""ד-2024")</f>
        <v>6262</v>
      </c>
      <c r="E2980" t="s">
        <v>6262</v>
      </c>
      <c r="F2980" t="s">
        <v>6263</v>
      </c>
      <c r="G2980" t="s">
        <v>14</v>
      </c>
      <c r="H2980">
             </c>
      <c r="I2980" t="s">
        <v>14</v>
      </c>
      <c r="J2980" t="s">
        <v>141</v>
      </c>
      <c r="K2980" t="s">
        <v>14</v>
      </c>
      <c r="L2980" t="s">
        <v>20</v>
      </c>
      <c r="M2980" t="s">
        <v>6261</v>
      </c>
      <c r="N2980" t="s">
        <v>14</v>
      </c>
    </row>
    <row r="2981" x14ac:dyDescent="0.25">
      <c r="A2981" t="n">
        <v>25</v>
      </c>
      <c r="B2981" t="s">
        <v>14</v>
      </c>
      <c r="C2981" t="s">
        <v>22</v>
      </c>
      <c r="D2981" s="2" t="s">
        <f>=HYPERLINK("https://main.knesset.gov.il/APPS/legislation/main/bills/2218615", "הצעת חוק הרשויות המקומיות (בחירות) (תיקון - קיצור תקופת הצינון למנהל כללי), התשפ""ד-2024")</f>
        <v>6096</v>
      </c>
      <c r="E2981" t="s">
        <v>6096</v>
      </c>
      <c r="F2981" t="s">
        <v>6264</v>
      </c>
      <c r="G2981" t="s">
        <v>14</v>
      </c>
      <c r="H2981">
             </c>
      <c r="I2981" t="s">
        <v>14</v>
      </c>
      <c r="J2981" t="s">
        <v>141</v>
      </c>
      <c r="K2981" t="s">
        <v>14</v>
      </c>
      <c r="L2981" t="s">
        <v>20</v>
      </c>
      <c r="M2981" t="s">
        <v>6261</v>
      </c>
      <c r="N2981" t="s">
        <v>14</v>
      </c>
    </row>
    <row r="2982" x14ac:dyDescent="0.25">
      <c r="A2982" t="n">
        <v>25</v>
      </c>
      <c r="B2982" t="s">
        <v>14</v>
      </c>
      <c r="C2982" t="s">
        <v>22</v>
      </c>
      <c r="D2982" s="2" t="s">
        <f>=HYPERLINK("https://main.knesset.gov.il/APPS/legislation/main/bills/2218275", "הצעת חוק העונשין (תיקון - ייצוא חומר הנחשב לסם מסוכן בחוץ לארץ), התשפ""ד-2024")</f>
        <v>6265</v>
      </c>
      <c r="E2982" t="s">
        <v>6265</v>
      </c>
      <c r="F2982" t="s">
        <v>6266</v>
      </c>
      <c r="G2982" t="s">
        <v>14</v>
      </c>
      <c r="H2982">
             </c>
      <c r="I2982" t="s">
        <v>14</v>
      </c>
      <c r="J2982" t="s">
        <v>141</v>
      </c>
      <c r="K2982" t="s">
        <v>14</v>
      </c>
      <c r="L2982" t="s">
        <v>20</v>
      </c>
      <c r="M2982" t="s">
        <v>6261</v>
      </c>
      <c r="N2982" t="s">
        <v>14</v>
      </c>
    </row>
    <row r="2983" x14ac:dyDescent="0.25">
      <c r="A2983" t="n">
        <v>25</v>
      </c>
      <c r="B2983" t="s">
        <v>14</v>
      </c>
      <c r="C2983" t="s">
        <v>22</v>
      </c>
      <c r="D2983" s="2" t="s">
        <f>=HYPERLINK("https://main.knesset.gov.il/APPS/legislation/main/bills/2218837", "הצעת חוק הבחירות לכנסת (תיקון - הצבעה של אזרחים המשרתים שירות לאומי-אזרחי בחוץ לארץ), התשפ""ד-2024")</f>
        <v>6267</v>
      </c>
      <c r="E2983" t="s">
        <v>6267</v>
      </c>
      <c r="F2983" t="s">
        <v>6268</v>
      </c>
      <c r="G2983" t="s">
        <v>14</v>
      </c>
      <c r="H2983">
             </c>
      <c r="I2983" t="s">
        <v>14</v>
      </c>
      <c r="J2983" t="s">
        <v>141</v>
      </c>
      <c r="K2983" t="s">
        <v>14</v>
      </c>
      <c r="L2983" t="s">
        <v>20</v>
      </c>
      <c r="M2983" t="s">
        <v>6261</v>
      </c>
      <c r="N2983" t="s">
        <v>14</v>
      </c>
    </row>
    <row r="2984" x14ac:dyDescent="0.25">
      <c r="A2984" t="n">
        <v>25</v>
      </c>
      <c r="B2984" t="s">
        <v>14</v>
      </c>
      <c r="C2984" t="s">
        <v>22</v>
      </c>
      <c r="D2984" s="2" t="s">
        <f>=HYPERLINK("https://main.knesset.gov.il/APPS/legislation/main/bills/2218310", "הצעת חוק הכרה בוותק של עולים, התשפ""ד-2024")</f>
        <v>6269</v>
      </c>
      <c r="E2984" t="s">
        <v>6269</v>
      </c>
      <c r="F2984" t="s">
        <v>6270</v>
      </c>
      <c r="G2984" t="s">
        <v>14</v>
      </c>
      <c r="H2984">
             </c>
      <c r="I2984" t="s">
        <v>14</v>
      </c>
      <c r="J2984" t="s">
        <v>141</v>
      </c>
      <c r="K2984" t="s">
        <v>14</v>
      </c>
      <c r="L2984" t="s">
        <v>20</v>
      </c>
      <c r="M2984" t="s">
        <v>6261</v>
      </c>
      <c r="N2984" t="s">
        <v>14</v>
      </c>
    </row>
    <row r="2985" x14ac:dyDescent="0.25">
      <c r="A2985" t="n">
        <v>25</v>
      </c>
      <c r="B2985" t="s">
        <v>14</v>
      </c>
      <c r="C2985" t="s">
        <v>22</v>
      </c>
      <c r="D2985" s="2" t="s">
        <f>=HYPERLINK("https://main.knesset.gov.il/APPS/legislation/main/bills/2218888", "הצעת חוק הבנקאות (שירות ללקוח) (תיקון - הודעה ללקוח על אודות יתרה בחשבון עובר ושב שאינה נושאת ריבית), התשפ""ד-2024")</f>
        <v>5665</v>
      </c>
      <c r="E2985" t="s">
        <v>5665</v>
      </c>
      <c r="F2985" t="s">
        <v>6271</v>
      </c>
      <c r="G2985" t="s">
        <v>14</v>
      </c>
      <c r="H2985">
             </c>
      <c r="I2985" t="s">
        <v>14</v>
      </c>
      <c r="J2985" t="s">
        <v>141</v>
      </c>
      <c r="K2985" t="s">
        <v>14</v>
      </c>
      <c r="L2985" t="s">
        <v>20</v>
      </c>
      <c r="M2985" t="s">
        <v>6261</v>
      </c>
      <c r="N2985" t="s">
        <v>14</v>
      </c>
    </row>
    <row r="2986" x14ac:dyDescent="0.25">
      <c r="A2986" t="n">
        <v>25</v>
      </c>
      <c r="B2986" t="s">
        <v>14</v>
      </c>
      <c r="C2986" t="s">
        <v>22</v>
      </c>
      <c r="D2986" s="2" t="s">
        <f>=HYPERLINK("https://main.knesset.gov.il/APPS/legislation/main/bills/2217868", "הצעת חוק תקשורת דיגיטלית עם גופים ציבוריים (תיקון - אימות זהות באמצעות מסר קולי מוקלט), התשפ""ד-2024")</f>
        <v>6272</v>
      </c>
      <c r="E2986" t="s">
        <v>6272</v>
      </c>
      <c r="F2986" t="s">
        <v>6273</v>
      </c>
      <c r="G2986" t="s">
        <v>14</v>
      </c>
      <c r="H2986">
             </c>
      <c r="I2986" t="s">
        <v>14</v>
      </c>
      <c r="J2986" t="s">
        <v>141</v>
      </c>
      <c r="K2986" t="s">
        <v>14</v>
      </c>
      <c r="L2986" t="s">
        <v>20</v>
      </c>
      <c r="M2986" t="s">
        <v>6261</v>
      </c>
      <c r="N2986" t="s">
        <v>14</v>
      </c>
    </row>
    <row r="2987" x14ac:dyDescent="0.25">
      <c r="A2987" t="n">
        <v>25</v>
      </c>
      <c r="B2987" t="s">
        <v>14</v>
      </c>
      <c r="C2987" t="s">
        <v>22</v>
      </c>
      <c r="D2987" s="2" t="s">
        <f>=HYPERLINK("https://main.knesset.gov.il/APPS/legislation/main/bills/2217912", "הצעת חוק התפזרות הכנסת העשרים וחמש, התשפ""ד-2024")</f>
        <v>2991</v>
      </c>
      <c r="E2987" t="s">
        <v>2991</v>
      </c>
      <c r="F2987" t="s">
        <v>6274</v>
      </c>
      <c r="G2987" t="s">
        <v>14</v>
      </c>
      <c r="H2987">
             </c>
      <c r="I2987" t="s">
        <v>14</v>
      </c>
      <c r="J2987" t="s">
        <v>141</v>
      </c>
      <c r="K2987" t="s">
        <v>14</v>
      </c>
      <c r="L2987" t="s">
        <v>20</v>
      </c>
      <c r="M2987" t="s">
        <v>6261</v>
      </c>
      <c r="N2987" t="s">
        <v>14</v>
      </c>
    </row>
    <row r="2988" x14ac:dyDescent="0.25">
      <c r="A2988" t="n">
        <v>25</v>
      </c>
      <c r="B2988" t="s">
        <v>14</v>
      </c>
      <c r="C2988" t="s">
        <v>22</v>
      </c>
      <c r="D2988" s="2" t="s">
        <f>=HYPERLINK("https://main.knesset.gov.il/APPS/legislation/main/bills/2218748", "הצעת חוק הרשויות המקומיות (מימון בחירות) (הוראת שעה) (הארכת מועד לבקשת קבלת מימון), התשפ""ד-2024")</f>
        <v>6226</v>
      </c>
      <c r="E2988" t="s">
        <v>6226</v>
      </c>
      <c r="F2988" t="s">
        <v>6275</v>
      </c>
      <c r="G2988" t="s">
        <v>14</v>
      </c>
      <c r="H2988">
             </c>
      <c r="I2988" t="s">
        <v>14</v>
      </c>
      <c r="J2988" t="s">
        <v>141</v>
      </c>
      <c r="K2988" t="s">
        <v>14</v>
      </c>
      <c r="L2988" t="s">
        <v>20</v>
      </c>
      <c r="M2988" t="s">
        <v>6261</v>
      </c>
      <c r="N2988" t="s">
        <v>14</v>
      </c>
    </row>
    <row r="2989" x14ac:dyDescent="0.25">
      <c r="A2989" t="n">
        <v>25</v>
      </c>
      <c r="B2989" t="s">
        <v>14</v>
      </c>
      <c r="C2989" t="s">
        <v>22</v>
      </c>
      <c r="D2989" s="2" t="s">
        <f>=HYPERLINK("https://main.knesset.gov.il/APPS/legislation/main/bills/2218543", "הצעת חוק הסדרת העיסוק במקצועות הבריאות (תיקון - הסדרת העיסוק בניתוח התנהגות), התשפ""ד-2024")</f>
        <v>6180</v>
      </c>
      <c r="E2989" t="s">
        <v>6180</v>
      </c>
      <c r="F2989" t="s">
        <v>6276</v>
      </c>
      <c r="G2989" t="s">
        <v>14</v>
      </c>
      <c r="H2989">
             </c>
      <c r="I2989" t="s">
        <v>14</v>
      </c>
      <c r="J2989" t="s">
        <v>141</v>
      </c>
      <c r="K2989" t="s">
        <v>14</v>
      </c>
      <c r="L2989" t="s">
        <v>20</v>
      </c>
      <c r="M2989" t="s">
        <v>6261</v>
      </c>
      <c r="N2989" t="s">
        <v>14</v>
      </c>
    </row>
    <row r="2990" x14ac:dyDescent="0.25">
      <c r="A2990" t="n">
        <v>25</v>
      </c>
      <c r="B2990" t="s">
        <v>14</v>
      </c>
      <c r="C2990" t="s">
        <v>22</v>
      </c>
      <c r="D2990" s="2" t="s">
        <f>=HYPERLINK("https://main.knesset.gov.il/APPS/legislation/main/bills/2217155", "הצעת חוק-יסוד: הממשלה (תיקון - איסור מינוי אדם שהורשע בעבירת טרור לשר בעל אחריות ביטחונית)")</f>
        <v>6277</v>
      </c>
      <c r="E2990" t="s">
        <v>6277</v>
      </c>
      <c r="F2990" t="s">
        <v>6278</v>
      </c>
      <c r="G2990" t="s">
        <v>14</v>
      </c>
      <c r="H2990">
             </c>
      <c r="I2990" t="s">
        <v>14</v>
      </c>
      <c r="J2990" t="s">
        <v>141</v>
      </c>
      <c r="K2990" t="s">
        <v>14</v>
      </c>
      <c r="L2990" t="s">
        <v>20</v>
      </c>
      <c r="M2990" t="s">
        <v>6261</v>
      </c>
      <c r="N2990" t="s">
        <v>14</v>
      </c>
    </row>
    <row r="2991" x14ac:dyDescent="0.25">
      <c r="A2991" t="n">
        <v>25</v>
      </c>
      <c r="B2991" t="s">
        <v>14</v>
      </c>
      <c r="C2991" t="s">
        <v>22</v>
      </c>
      <c r="D2991" s="2" t="s">
        <f>=HYPERLINK("https://main.knesset.gov.il/APPS/legislation/main/bills/2218204", "הצעת חוק הסיוע המשפטי (תיקון - סיוע משפטי למטופל סיעודי), התשפ""ד-2024")</f>
        <v>6279</v>
      </c>
      <c r="E2991" t="s">
        <v>6279</v>
      </c>
      <c r="F2991" t="s">
        <v>6280</v>
      </c>
      <c r="G2991" t="s">
        <v>14</v>
      </c>
      <c r="H2991">
             </c>
      <c r="I2991" t="s">
        <v>14</v>
      </c>
      <c r="J2991" t="s">
        <v>141</v>
      </c>
      <c r="K2991" t="s">
        <v>14</v>
      </c>
      <c r="L2991" t="s">
        <v>20</v>
      </c>
      <c r="M2991" t="s">
        <v>6261</v>
      </c>
      <c r="N2991" t="s">
        <v>14</v>
      </c>
    </row>
    <row r="2992" x14ac:dyDescent="0.25">
      <c r="A2992" t="n">
        <v>25</v>
      </c>
      <c r="B2992" t="s">
        <v>14</v>
      </c>
      <c r="C2992" t="s">
        <v>22</v>
      </c>
      <c r="D2992" s="2" t="s">
        <f>=HYPERLINK("https://main.knesset.gov.il/APPS/legislation/main/bills/2219032", "הצעת חוק הביטוח הלאומי (תיקון - תשלום גמלה לשמירת היריון בעד כל התקופה), התשפ""ד-2024")</f>
        <v>6205</v>
      </c>
      <c r="E2992" t="s">
        <v>6205</v>
      </c>
      <c r="F2992" t="s">
        <v>6281</v>
      </c>
      <c r="G2992" t="s">
        <v>14</v>
      </c>
      <c r="H2992">
             </c>
      <c r="I2992" t="s">
        <v>14</v>
      </c>
      <c r="J2992" t="s">
        <v>141</v>
      </c>
      <c r="K2992" t="s">
        <v>14</v>
      </c>
      <c r="L2992" t="s">
        <v>20</v>
      </c>
      <c r="M2992" t="s">
        <v>6261</v>
      </c>
      <c r="N2992" t="s">
        <v>14</v>
      </c>
    </row>
    <row r="2993" x14ac:dyDescent="0.25">
      <c r="A2993" t="n">
        <v>25</v>
      </c>
      <c r="B2993" t="s">
        <v>14</v>
      </c>
      <c r="C2993" t="s">
        <v>22</v>
      </c>
      <c r="D2993" s="2" t="s">
        <f>=HYPERLINK("https://main.knesset.gov.il/APPS/legislation/main/bills/2217967", "הצעת חוק הביטוח הלאומי (תיקון - הגבלת קיזוז גמלת נכות לתשלום מזונות), התשפ״ד-2024")</f>
        <v>6195</v>
      </c>
      <c r="E2993" t="s">
        <v>6195</v>
      </c>
      <c r="F2993" t="s">
        <v>6282</v>
      </c>
      <c r="G2993" t="s">
        <v>14</v>
      </c>
      <c r="H2993">
             </c>
      <c r="I2993" t="s">
        <v>14</v>
      </c>
      <c r="J2993" t="s">
        <v>141</v>
      </c>
      <c r="K2993" t="s">
        <v>14</v>
      </c>
      <c r="L2993" t="s">
        <v>20</v>
      </c>
      <c r="M2993" t="s">
        <v>6261</v>
      </c>
      <c r="N2993" t="s">
        <v>14</v>
      </c>
    </row>
    <row r="2994" x14ac:dyDescent="0.25">
      <c r="A2994" t="n">
        <v>25</v>
      </c>
      <c r="B2994" t="s">
        <v>14</v>
      </c>
      <c r="C2994" t="s">
        <v>22</v>
      </c>
      <c r="D2994" s="2" t="s">
        <f>=HYPERLINK("https://main.knesset.gov.il/APPS/legislation/main/bills/2216652", "הצעת חוק החברות הממשלתיות (תיקון - ביטוי הולם בדירקטוריונים לתושבי יישובי הצפון והדרום), התשפ""ד-2024")</f>
        <v>6283</v>
      </c>
      <c r="E2994" t="s">
        <v>6283</v>
      </c>
      <c r="F2994" t="s">
        <v>6284</v>
      </c>
      <c r="G2994" t="s">
        <v>14</v>
      </c>
      <c r="H2994">
             </c>
      <c r="I2994" t="s">
        <v>14</v>
      </c>
      <c r="J2994" t="s">
        <v>141</v>
      </c>
      <c r="K2994" t="s">
        <v>14</v>
      </c>
      <c r="L2994" t="s">
        <v>20</v>
      </c>
      <c r="M2994" t="s">
        <v>6261</v>
      </c>
      <c r="N2994" t="s">
        <v>14</v>
      </c>
    </row>
    <row r="2995" x14ac:dyDescent="0.25">
      <c r="A2995" t="n">
        <v>25</v>
      </c>
      <c r="B2995" t="s">
        <v>14</v>
      </c>
      <c r="C2995" t="s">
        <v>22</v>
      </c>
      <c r="D2995" s="2" t="s">
        <f>=HYPERLINK("https://main.knesset.gov.il/APPS/legislation/main/bills/2217921", "הצעת חוק הבחירות לכנסת (תיקון - מועדים לעניין בחירות מוקדמות), התשפ""ד-2024")</f>
        <v>6285</v>
      </c>
      <c r="E2995" t="s">
        <v>6285</v>
      </c>
      <c r="F2995" t="s">
        <v>6286</v>
      </c>
      <c r="G2995" t="s">
        <v>14</v>
      </c>
      <c r="H2995">
             </c>
      <c r="I2995" t="s">
        <v>14</v>
      </c>
      <c r="J2995" t="s">
        <v>141</v>
      </c>
      <c r="K2995" t="s">
        <v>14</v>
      </c>
      <c r="L2995" t="s">
        <v>20</v>
      </c>
      <c r="M2995" t="s">
        <v>6261</v>
      </c>
      <c r="N2995" t="s">
        <v>14</v>
      </c>
    </row>
    <row r="2996" x14ac:dyDescent="0.25">
      <c r="A2996" t="n">
        <v>25</v>
      </c>
      <c r="B2996" t="s">
        <v>14</v>
      </c>
      <c r="C2996" t="s">
        <v>22</v>
      </c>
      <c r="D2996" s="2" t="s">
        <f>=HYPERLINK("https://main.knesset.gov.il/APPS/legislation/main/bills/2217920", "הצעת חוק-יסוד: קיצור תקופת הבחירות (תיקוני חקיקה)")</f>
        <v>6287</v>
      </c>
      <c r="E2996" t="s">
        <v>6287</v>
      </c>
      <c r="F2996" t="s">
        <v>6288</v>
      </c>
      <c r="G2996" t="s">
        <v>14</v>
      </c>
      <c r="H2996">
             </c>
      <c r="I2996" t="s">
        <v>14</v>
      </c>
      <c r="J2996" t="s">
        <v>141</v>
      </c>
      <c r="K2996" t="s">
        <v>14</v>
      </c>
      <c r="L2996" t="s">
        <v>20</v>
      </c>
      <c r="M2996" t="s">
        <v>6261</v>
      </c>
      <c r="N2996" t="s">
        <v>14</v>
      </c>
    </row>
    <row r="2997" x14ac:dyDescent="0.25">
      <c r="A2997" t="n">
        <v>25</v>
      </c>
      <c r="B2997" t="s">
        <v>14</v>
      </c>
      <c r="C2997" t="s">
        <v>22</v>
      </c>
      <c r="D2997" s="2" t="s">
        <f>=HYPERLINK("https://main.knesset.gov.il/APPS/legislation/main/bills/2218162", "הצעת חוק שירות המדינה (מינויים) (תיקון - ועדת איתור למינוי נציב שירות המדינה), התשפ""ד-2024")</f>
        <v>6289</v>
      </c>
      <c r="E2997" t="s">
        <v>6289</v>
      </c>
      <c r="F2997" t="s">
        <v>6290</v>
      </c>
      <c r="G2997" t="s">
        <v>14</v>
      </c>
      <c r="H2997">
             </c>
      <c r="I2997" t="s">
        <v>14</v>
      </c>
      <c r="J2997" t="s">
        <v>343</v>
      </c>
      <c r="K2997" t="s">
        <v>14</v>
      </c>
      <c r="L2997" t="s">
        <v>20</v>
      </c>
      <c r="M2997" t="s">
        <v>6261</v>
      </c>
      <c r="N2997" t="s">
        <v>14</v>
      </c>
    </row>
    <row r="2998" x14ac:dyDescent="0.25">
      <c r="A2998" t="n">
        <v>25</v>
      </c>
      <c r="B2998" t="s">
        <v>14</v>
      </c>
      <c r="C2998" t="s">
        <v>22</v>
      </c>
      <c r="D2998" s="2" t="s">
        <f>=HYPERLINK("https://main.knesset.gov.il/APPS/legislation/main/bills/2218879", "הצעת חוק מניעת פגיעת גוף שידורים זר בביטחון המדינה (הוראת שעה - חרבות ברזל) (תיקון - הארכת תוקף), התשפ""ד-2024")</f>
        <v>6291</v>
      </c>
      <c r="E2998" t="s">
        <v>6291</v>
      </c>
      <c r="F2998" t="s">
        <v>6292</v>
      </c>
      <c r="G2998" t="s">
        <v>14</v>
      </c>
      <c r="H2998">
             </c>
      <c r="I2998" t="s">
        <v>14</v>
      </c>
      <c r="J2998" t="s">
        <v>141</v>
      </c>
      <c r="K2998" t="s">
        <v>14</v>
      </c>
      <c r="L2998" t="s">
        <v>20</v>
      </c>
      <c r="M2998" t="s">
        <v>6261</v>
      </c>
      <c r="N2998" t="s">
        <v>14</v>
      </c>
    </row>
    <row r="2999" x14ac:dyDescent="0.25">
      <c r="A2999" t="n">
        <v>25</v>
      </c>
      <c r="B2999" t="s">
        <v>14</v>
      </c>
      <c r="C2999" t="s">
        <v>22</v>
      </c>
      <c r="D2999" s="2" t="s">
        <f>=HYPERLINK("https://main.knesset.gov.il/APPS/legislation/main/bills/2218573", "הצעת חוק משפחות חיילים שנספו במערכה (תגמולים ושיקום) (תיקון - מעטפת שיקומית לאחים שכולים), התשפ""ד-2024")</f>
        <v>6293</v>
      </c>
      <c r="E2999" t="s">
        <v>6293</v>
      </c>
      <c r="F2999" t="s">
        <v>6294</v>
      </c>
      <c r="G2999" t="s">
        <v>14</v>
      </c>
      <c r="H2999">
             </c>
      <c r="I2999" t="s">
        <v>14</v>
      </c>
      <c r="J2999" t="s">
        <v>141</v>
      </c>
      <c r="K2999" t="s">
        <v>14</v>
      </c>
      <c r="L2999" t="s">
        <v>20</v>
      </c>
      <c r="M2999" t="s">
        <v>6261</v>
      </c>
      <c r="N2999" t="s">
        <v>14</v>
      </c>
    </row>
    <row r="3000" x14ac:dyDescent="0.25">
      <c r="A3000" t="n">
        <v>25</v>
      </c>
      <c r="B3000" t="s">
        <v>14</v>
      </c>
      <c r="C3000" t="s">
        <v>22</v>
      </c>
      <c r="D3000" s="2" t="s">
        <f>=HYPERLINK("https://main.knesset.gov.il/APPS/legislation/main/bills/2218705", "הצעת חוק דמי מחלה (היעדרות בשל מחלת ילד) (תיקון - היעדרות בעקבות תקיפה או התעללות בילד), התשפ""ד-2024")</f>
        <v>6295</v>
      </c>
      <c r="E3000" t="s">
        <v>6295</v>
      </c>
      <c r="F3000" t="s">
        <v>6296</v>
      </c>
      <c r="G3000" t="s">
        <v>14</v>
      </c>
      <c r="H3000">
             </c>
      <c r="I3000" t="s">
        <v>14</v>
      </c>
      <c r="J3000" t="s">
        <v>141</v>
      </c>
      <c r="K3000" t="s">
        <v>14</v>
      </c>
      <c r="L3000" t="s">
        <v>20</v>
      </c>
      <c r="M3000" t="s">
        <v>6261</v>
      </c>
      <c r="N3000" t="s">
        <v>14</v>
      </c>
    </row>
    <row r="3001" x14ac:dyDescent="0.25">
      <c r="A3001" t="n">
        <v>25</v>
      </c>
      <c r="B3001" t="s">
        <v>14</v>
      </c>
      <c r="C3001" t="s">
        <v>22</v>
      </c>
      <c r="D3001" s="2" t="s">
        <f>=HYPERLINK("https://main.knesset.gov.il/APPS/legislation/main/bills/2197065", "הצעת חוק צער בעלי חיים (הגנה על בעלי חיים) (תיקון - איסור שימוש באביזרים חשמליים), התשפ""ד-2024")</f>
        <v>6297</v>
      </c>
      <c r="E3001" t="s">
        <v>6297</v>
      </c>
      <c r="F3001" t="s">
        <v>6298</v>
      </c>
      <c r="G3001" t="s">
        <v>14</v>
      </c>
      <c r="H3001">
             </c>
      <c r="I3001" t="s">
        <v>14</v>
      </c>
      <c r="J3001" t="s">
        <v>141</v>
      </c>
      <c r="K3001" t="s">
        <v>14</v>
      </c>
      <c r="L3001" t="s">
        <v>20</v>
      </c>
      <c r="M3001" t="s">
        <v>6261</v>
      </c>
      <c r="N3001" t="s">
        <v>14</v>
      </c>
    </row>
    <row r="3002" x14ac:dyDescent="0.25">
      <c r="A3002" t="n">
        <v>25</v>
      </c>
      <c r="B3002" t="s">
        <v>14</v>
      </c>
      <c r="C3002" t="s">
        <v>15</v>
      </c>
      <c r="D3002" s="2" t="s">
        <f>=HYPERLINK("https://main.knesset.gov.il/APPS/legislation/main/bills/2218088", "חוק הסמכת צבא הגנה לישראל ושירות הביטחון הכללי לביצוע חדירה לחומר מחשב המשמש להפעלת מצלמה נייחת ופעולה בו (הוראת שעה - חרבות ברזל) (תיקון), התשפ""ד-2024")</f>
        <v>6299</v>
      </c>
      <c r="E3002" t="s">
        <v>6299</v>
      </c>
      <c r="F3002" t="s">
        <v>14</v>
      </c>
      <c r="G3002" t="s">
        <v>6300</v>
      </c>
      <c r="H3002" t="n">
        <v>3219</v>
      </c>
      <c r="I3002" t="s">
        <v>14</v>
      </c>
      <c r="J3002" t="s">
        <v>91</v>
      </c>
      <c r="K3002" t="s">
        <v>114</v>
      </c>
      <c r="L3002" t="s">
        <v>20</v>
      </c>
      <c r="M3002" t="s">
        <v>6301</v>
      </c>
      <c r="N3002" t="s">
        <v>6302</v>
      </c>
    </row>
    <row r="3003" x14ac:dyDescent="0.25">
      <c r="A3003" t="n">
        <v>25</v>
      </c>
      <c r="B3003" t="s">
        <v>14</v>
      </c>
      <c r="C3003" t="s">
        <v>22</v>
      </c>
      <c r="D3003" s="2" t="s">
        <f>=HYPERLINK("https://main.knesset.gov.il/APPS/legislation/main/bills/2215192", "הצעת חוק-יסוד: הכנסת (תיקון - הצהרה בדבר זהותה של מדינת ישראל)")</f>
        <v>6303</v>
      </c>
      <c r="E3003" t="s">
        <v>6303</v>
      </c>
      <c r="F3003" t="s">
        <v>6304</v>
      </c>
      <c r="G3003" t="s">
        <v>14</v>
      </c>
      <c r="H3003">
             </c>
      <c r="I3003" t="s">
        <v>14</v>
      </c>
      <c r="J3003" t="s">
        <v>55</v>
      </c>
      <c r="K3003" t="s">
        <v>14</v>
      </c>
      <c r="L3003" t="s">
        <v>20</v>
      </c>
      <c r="M3003" t="s">
        <v>6301</v>
      </c>
      <c r="N3003" t="s">
        <v>14</v>
      </c>
    </row>
    <row r="3004" x14ac:dyDescent="0.25">
      <c r="A3004" t="n">
        <v>25</v>
      </c>
      <c r="B3004" t="s">
        <v>14</v>
      </c>
      <c r="C3004" t="s">
        <v>22</v>
      </c>
      <c r="D3004" s="2" t="s">
        <f>=HYPERLINK("https://main.knesset.gov.il/APPS/legislation/main/bills/2209033", "הצעת חוק לתיקון פקודת המשטרה (פתיחה בחקירה פלילית), התשפ""ג-2023")</f>
        <v>6305</v>
      </c>
      <c r="E3004" t="s">
        <v>6305</v>
      </c>
      <c r="F3004" t="s">
        <v>6306</v>
      </c>
      <c r="G3004" t="s">
        <v>14</v>
      </c>
      <c r="H3004">
             </c>
      <c r="I3004" t="s">
        <v>14</v>
      </c>
      <c r="J3004" t="s">
        <v>55</v>
      </c>
      <c r="K3004" t="s">
        <v>14</v>
      </c>
      <c r="L3004" t="s">
        <v>20</v>
      </c>
      <c r="M3004" t="s">
        <v>6301</v>
      </c>
      <c r="N3004" t="s">
        <v>14</v>
      </c>
    </row>
    <row r="3005" x14ac:dyDescent="0.25">
      <c r="A3005" t="n">
        <v>25</v>
      </c>
      <c r="B3005" t="s">
        <v>14</v>
      </c>
      <c r="C3005" t="s">
        <v>22</v>
      </c>
      <c r="D3005" s="2" t="s">
        <f>=HYPERLINK("https://main.knesset.gov.il/APPS/legislation/main/bills/2203644", "הצעת חוק הגנת הצרכן (תיקון - ביטול עסקת מכר מרחוק למתן שירותי תיירות בישראל), התשפ""ג-2023")</f>
        <v>6307</v>
      </c>
      <c r="E3005" t="s">
        <v>6307</v>
      </c>
      <c r="F3005" t="s">
        <v>6308</v>
      </c>
      <c r="G3005" t="s">
        <v>14</v>
      </c>
      <c r="H3005">
             </c>
      <c r="I3005" t="s">
        <v>14</v>
      </c>
      <c r="J3005" t="s">
        <v>31</v>
      </c>
      <c r="K3005" t="s">
        <v>19</v>
      </c>
      <c r="L3005" t="s">
        <v>20</v>
      </c>
      <c r="M3005" t="s">
        <v>6301</v>
      </c>
      <c r="N3005" t="s">
        <v>14</v>
      </c>
    </row>
    <row r="3006" x14ac:dyDescent="0.25">
      <c r="A3006" t="n">
        <v>25</v>
      </c>
      <c r="B3006" t="s">
        <v>14</v>
      </c>
      <c r="C3006" t="s">
        <v>22</v>
      </c>
      <c r="D3006" s="2" t="s">
        <f>=HYPERLINK("https://main.knesset.gov.il/APPS/legislation/main/bills/2204460", "הצעת חוק הגנת הצרכן (תיקון - ביטול עסקת מכר מרחוק למתן שירותי תיירות בישראל), התשפ""ג-2023")</f>
        <v>6307</v>
      </c>
      <c r="E3006" t="s">
        <v>6307</v>
      </c>
      <c r="F3006" t="s">
        <v>6309</v>
      </c>
      <c r="G3006" t="s">
        <v>14</v>
      </c>
      <c r="H3006">
             </c>
      <c r="I3006" t="s">
        <v>14</v>
      </c>
      <c r="J3006" t="s">
        <v>31</v>
      </c>
      <c r="K3006" t="s">
        <v>19</v>
      </c>
      <c r="L3006" t="s">
        <v>20</v>
      </c>
      <c r="M3006" t="s">
        <v>6301</v>
      </c>
      <c r="N3006" t="s">
        <v>14</v>
      </c>
    </row>
    <row r="3007" x14ac:dyDescent="0.25">
      <c r="A3007" t="n">
        <v>25</v>
      </c>
      <c r="B3007" t="s">
        <v>14</v>
      </c>
      <c r="C3007" t="s">
        <v>22</v>
      </c>
      <c r="D3007" s="2" t="s">
        <f>=HYPERLINK("https://main.knesset.gov.il/APPS/legislation/main/bills/2198606", "הצעת חוק לתיקון פקודת המשטרה (טיוב הטיפול בתלונות בגין אלימות משטרתית), התשפ""ג-2023")</f>
        <v>6310</v>
      </c>
      <c r="E3007" t="s">
        <v>6310</v>
      </c>
      <c r="F3007" t="s">
        <v>6311</v>
      </c>
      <c r="G3007" t="s">
        <v>14</v>
      </c>
      <c r="H3007">
             </c>
      <c r="I3007" t="s">
        <v>14</v>
      </c>
      <c r="J3007" t="s">
        <v>55</v>
      </c>
      <c r="K3007" t="s">
        <v>14</v>
      </c>
      <c r="L3007" t="s">
        <v>20</v>
      </c>
      <c r="M3007" t="s">
        <v>6301</v>
      </c>
      <c r="N3007" t="s">
        <v>14</v>
      </c>
    </row>
    <row r="3008" x14ac:dyDescent="0.25">
      <c r="A3008" t="n">
        <v>25</v>
      </c>
      <c r="B3008" t="s">
        <v>14</v>
      </c>
      <c r="C3008" t="s">
        <v>22</v>
      </c>
      <c r="D3008" s="2" t="s">
        <f>=HYPERLINK("https://main.knesset.gov.il/APPS/legislation/main/bills/2198672", "הצעת חוק הרשות הלאומית למאבק בעוני, התשפ""ג-2023")</f>
        <v>6312</v>
      </c>
      <c r="E3008" t="s">
        <v>6312</v>
      </c>
      <c r="F3008" t="s">
        <v>6313</v>
      </c>
      <c r="G3008" t="s">
        <v>14</v>
      </c>
      <c r="H3008">
             </c>
      <c r="I3008" t="s">
        <v>14</v>
      </c>
      <c r="J3008" t="s">
        <v>99</v>
      </c>
      <c r="K3008" t="s">
        <v>127</v>
      </c>
      <c r="L3008" t="s">
        <v>20</v>
      </c>
      <c r="M3008" t="s">
        <v>6314</v>
      </c>
      <c r="N3008" t="s">
        <v>14</v>
      </c>
    </row>
    <row r="3009" x14ac:dyDescent="0.25">
      <c r="A3009" t="n">
        <v>25</v>
      </c>
      <c r="B3009" t="s">
        <v>14</v>
      </c>
      <c r="C3009" t="s">
        <v>22</v>
      </c>
      <c r="D3009" s="2" t="s">
        <f>=HYPERLINK("https://main.knesset.gov.il/APPS/legislation/main/bills/2197560", "הצעת חוק הרשות הלאומית למאבק בעוני, התשפ""ג-2022")</f>
        <v>6315</v>
      </c>
      <c r="E3009" t="s">
        <v>6315</v>
      </c>
      <c r="F3009" t="s">
        <v>6316</v>
      </c>
      <c r="G3009" t="s">
        <v>14</v>
      </c>
      <c r="H3009">
             </c>
      <c r="I3009" t="s">
        <v>14</v>
      </c>
      <c r="J3009" t="s">
        <v>99</v>
      </c>
      <c r="K3009" t="s">
        <v>127</v>
      </c>
      <c r="L3009" t="s">
        <v>20</v>
      </c>
      <c r="M3009" t="s">
        <v>6314</v>
      </c>
      <c r="N3009" t="s">
        <v>14</v>
      </c>
    </row>
    <row r="3010" x14ac:dyDescent="0.25">
      <c r="A3010" t="n">
        <v>25</v>
      </c>
      <c r="B3010" t="s">
        <v>14</v>
      </c>
      <c r="C3010" t="s">
        <v>22</v>
      </c>
      <c r="D3010" s="2" t="s">
        <f>=HYPERLINK("https://main.knesset.gov.il/APPS/legislation/main/bills/2205912", "הצעת חוק העונשין (תיקון - מאבק בפשיעה החקלאית), התשפ""ג-2023 ")</f>
        <v>6317</v>
      </c>
      <c r="E3010" t="s">
        <v>6317</v>
      </c>
      <c r="F3010" t="s">
        <v>6318</v>
      </c>
      <c r="G3010" t="s">
        <v>14</v>
      </c>
      <c r="H3010">
             </c>
      <c r="I3010" t="s">
        <v>14</v>
      </c>
      <c r="J3010" t="s">
        <v>31</v>
      </c>
      <c r="K3010" t="s">
        <v>27</v>
      </c>
      <c r="L3010" t="s">
        <v>20</v>
      </c>
      <c r="M3010" t="s">
        <v>6314</v>
      </c>
      <c r="N3010" t="s">
        <v>14</v>
      </c>
    </row>
    <row r="3011" x14ac:dyDescent="0.25">
      <c r="A3011" t="n">
        <v>25</v>
      </c>
      <c r="B3011" t="s">
        <v>14</v>
      </c>
      <c r="C3011" t="s">
        <v>22</v>
      </c>
      <c r="D3011" s="2" t="s">
        <f>=HYPERLINK("https://main.knesset.gov.il/APPS/legislation/main/bills/2202866", "הצעת חוק הביטוח הלאומי (תיקון - פטור מכפל תשלום דמי ביטוח לאומי), התשפ""ג-2023")</f>
        <v>6319</v>
      </c>
      <c r="E3011" t="s">
        <v>6319</v>
      </c>
      <c r="F3011" t="s">
        <v>6320</v>
      </c>
      <c r="G3011" t="s">
        <v>14</v>
      </c>
      <c r="H3011">
             </c>
      <c r="I3011" t="s">
        <v>14</v>
      </c>
      <c r="J3011" t="s">
        <v>99</v>
      </c>
      <c r="K3011" t="s">
        <v>127</v>
      </c>
      <c r="L3011" t="s">
        <v>20</v>
      </c>
      <c r="M3011" t="s">
        <v>6314</v>
      </c>
      <c r="N3011" t="s">
        <v>14</v>
      </c>
    </row>
    <row r="3012" x14ac:dyDescent="0.25">
      <c r="A3012" t="n">
        <v>25</v>
      </c>
      <c r="B3012" t="s">
        <v>14</v>
      </c>
      <c r="C3012" t="s">
        <v>22</v>
      </c>
      <c r="D3012" s="2" t="s">
        <f>=HYPERLINK("https://main.knesset.gov.il/APPS/legislation/main/bills/2201411", "הצעת חוק הביטוח הלאומי (תיקון - פטור מכפל תשלום דמי ביטוח לאומי), התשפ""ג-2023")</f>
        <v>6319</v>
      </c>
      <c r="E3012" t="s">
        <v>6319</v>
      </c>
      <c r="F3012" t="s">
        <v>6321</v>
      </c>
      <c r="G3012" t="s">
        <v>14</v>
      </c>
      <c r="H3012">
             </c>
      <c r="I3012" t="s">
        <v>14</v>
      </c>
      <c r="J3012" t="s">
        <v>99</v>
      </c>
      <c r="K3012" t="s">
        <v>127</v>
      </c>
      <c r="L3012" t="s">
        <v>20</v>
      </c>
      <c r="M3012" t="s">
        <v>6314</v>
      </c>
      <c r="N3012" t="s">
        <v>14</v>
      </c>
    </row>
    <row r="3013" x14ac:dyDescent="0.25">
      <c r="A3013" t="n">
        <v>25</v>
      </c>
      <c r="B3013" t="s">
        <v>14</v>
      </c>
      <c r="C3013" t="s">
        <v>22</v>
      </c>
      <c r="D3013" s="2" t="s">
        <f>=HYPERLINK("https://main.knesset.gov.il/APPS/legislation/main/bills/2196835", "הצעת חוק הביטוח הלאומי (תיקון - פטור מכפל תשלום דמי ביטוח לאומי), התשפ""ג-2022")</f>
        <v>6322</v>
      </c>
      <c r="E3013" t="s">
        <v>6322</v>
      </c>
      <c r="F3013" t="s">
        <v>6323</v>
      </c>
      <c r="G3013" t="s">
        <v>14</v>
      </c>
      <c r="H3013">
             </c>
      <c r="I3013" t="s">
        <v>14</v>
      </c>
      <c r="J3013" t="s">
        <v>99</v>
      </c>
      <c r="K3013" t="s">
        <v>127</v>
      </c>
      <c r="L3013" t="s">
        <v>20</v>
      </c>
      <c r="M3013" t="s">
        <v>6314</v>
      </c>
      <c r="N3013" t="s">
        <v>14</v>
      </c>
    </row>
    <row r="3014" x14ac:dyDescent="0.25">
      <c r="A3014" t="n">
        <v>25</v>
      </c>
      <c r="B3014" t="s">
        <v>14</v>
      </c>
      <c r="C3014" t="s">
        <v>22</v>
      </c>
      <c r="D3014" s="2" t="s">
        <f>=HYPERLINK("https://main.knesset.gov.il/APPS/legislation/main/bills/2199169", "הצעת חוק לעידוד השקעות הון בחקלאות (תיקון - השוואת ההטבות בתעשייה להטבות בחקלאות), התשפ""ג-2023")</f>
        <v>6324</v>
      </c>
      <c r="E3014" t="s">
        <v>6324</v>
      </c>
      <c r="F3014" t="s">
        <v>6325</v>
      </c>
      <c r="G3014" t="s">
        <v>14</v>
      </c>
      <c r="H3014">
             </c>
      <c r="I3014" t="s">
        <v>14</v>
      </c>
      <c r="J3014" t="s">
        <v>31</v>
      </c>
      <c r="K3014" t="s">
        <v>85</v>
      </c>
      <c r="L3014" t="s">
        <v>20</v>
      </c>
      <c r="M3014" t="s">
        <v>6314</v>
      </c>
      <c r="N3014" t="s">
        <v>14</v>
      </c>
    </row>
    <row r="3015" x14ac:dyDescent="0.25">
      <c r="A3015" t="n">
        <v>25</v>
      </c>
      <c r="B3015" t="s">
        <v>14</v>
      </c>
      <c r="C3015" t="s">
        <v>22</v>
      </c>
      <c r="D3015" s="2" t="s">
        <f>=HYPERLINK("https://main.knesset.gov.il/APPS/legislation/main/bills/2198763", "הצעת חוק לעידוד השקעות הון בחקלאות (תיקון - השוואת ההטבות בתעשייה להטבות בחקלאות), התשפ""ג-2023")</f>
        <v>6324</v>
      </c>
      <c r="E3015" t="s">
        <v>6324</v>
      </c>
      <c r="F3015" t="s">
        <v>6326</v>
      </c>
      <c r="G3015" t="s">
        <v>14</v>
      </c>
      <c r="H3015">
             </c>
      <c r="I3015" t="s">
        <v>14</v>
      </c>
      <c r="J3015" t="s">
        <v>31</v>
      </c>
      <c r="K3015" t="s">
        <v>85</v>
      </c>
      <c r="L3015" t="s">
        <v>20</v>
      </c>
      <c r="M3015" t="s">
        <v>6314</v>
      </c>
      <c r="N3015" t="s">
        <v>14</v>
      </c>
    </row>
    <row r="3016" x14ac:dyDescent="0.25">
      <c r="A3016" t="n">
        <v>25</v>
      </c>
      <c r="B3016" t="s">
        <v>14</v>
      </c>
      <c r="C3016" t="s">
        <v>15</v>
      </c>
      <c r="D3016" s="2" t="s">
        <f>=HYPERLINK("https://main.knesset.gov.il/APPS/legislation/main/bills/2213407", "חוק יום האחדות, התשפ""ד-2024")</f>
        <v>6327</v>
      </c>
      <c r="E3016" t="s">
        <v>6327</v>
      </c>
      <c r="F3016" t="s">
        <v>14</v>
      </c>
      <c r="G3016" t="s">
        <v>6328</v>
      </c>
      <c r="H3016" t="n">
        <v>3221</v>
      </c>
      <c r="I3016" t="s">
        <v>14</v>
      </c>
      <c r="J3016" t="s">
        <v>91</v>
      </c>
      <c r="K3016" t="s">
        <v>34</v>
      </c>
      <c r="L3016" t="s">
        <v>20</v>
      </c>
      <c r="M3016" t="s">
        <v>6314</v>
      </c>
      <c r="N3016" t="s">
        <v>6329</v>
      </c>
    </row>
    <row r="3017" x14ac:dyDescent="0.25">
      <c r="A3017" t="n">
        <v>25</v>
      </c>
      <c r="B3017" t="s">
        <v>14</v>
      </c>
      <c r="C3017" t="s">
        <v>15</v>
      </c>
      <c r="D3017" s="2" t="s">
        <f>=HYPERLINK("https://main.knesset.gov.il/APPS/legislation/main/bills/2217770", "חוק תשלומים לפדויי שבי (תיקון מס' 6), התשפ""ד-2024")</f>
        <v>6330</v>
      </c>
      <c r="E3017" t="s">
        <v>6330</v>
      </c>
      <c r="F3017" t="s">
        <v>14</v>
      </c>
      <c r="G3017" t="s">
        <v>6331</v>
      </c>
      <c r="H3017" t="n">
        <v>3220</v>
      </c>
      <c r="I3017" t="s">
        <v>14</v>
      </c>
      <c r="J3017" t="s">
        <v>91</v>
      </c>
      <c r="K3017" t="s">
        <v>127</v>
      </c>
      <c r="L3017" t="s">
        <v>20</v>
      </c>
      <c r="M3017" t="s">
        <v>6314</v>
      </c>
      <c r="N3017" t="s">
        <v>6332</v>
      </c>
    </row>
    <row r="3018" x14ac:dyDescent="0.25">
      <c r="A3018" t="n">
        <v>25</v>
      </c>
      <c r="B3018" t="s">
        <v>14</v>
      </c>
      <c r="C3018" t="s">
        <v>22</v>
      </c>
      <c r="D3018" s="2" t="s">
        <f>=HYPERLINK("https://main.knesset.gov.il/APPS/legislation/main/bills/2207234", "הצעת חוק למניעת הטרדה מינית (תיקון - הרחבת תחולה על עובד של קבלן שירות המועסק אצל מזמין השירות), התשפ""ג-2023")</f>
        <v>6333</v>
      </c>
      <c r="E3018" t="s">
        <v>6333</v>
      </c>
      <c r="F3018" t="s">
        <v>6334</v>
      </c>
      <c r="G3018" t="s">
        <v>14</v>
      </c>
      <c r="H3018">
             </c>
      <c r="I3018" t="s">
        <v>14</v>
      </c>
      <c r="J3018" t="s">
        <v>99</v>
      </c>
      <c r="K3018" t="s">
        <v>5735</v>
      </c>
      <c r="L3018" t="s">
        <v>20</v>
      </c>
      <c r="M3018" t="s">
        <v>6335</v>
      </c>
      <c r="N3018" t="s">
        <v>14</v>
      </c>
    </row>
    <row r="3019" x14ac:dyDescent="0.25">
      <c r="A3019" t="n">
        <v>25</v>
      </c>
      <c r="B3019" t="s">
        <v>14</v>
      </c>
      <c r="C3019" t="s">
        <v>22</v>
      </c>
      <c r="D3019" s="2" t="s">
        <f>=HYPERLINK("https://main.knesset.gov.il/APPS/legislation/main/bills/2216181", "הצעת חוק ניוד מידע רפואי, התשפ""ד-2024")</f>
        <v>6336</v>
      </c>
      <c r="E3019" t="s">
        <v>6336</v>
      </c>
      <c r="F3019" t="s">
        <v>6337</v>
      </c>
      <c r="G3019" t="s">
        <v>14</v>
      </c>
      <c r="H3019">
             </c>
      <c r="I3019" t="s">
        <v>14</v>
      </c>
      <c r="J3019" t="s">
        <v>99</v>
      </c>
      <c r="K3019" t="s">
        <v>480</v>
      </c>
      <c r="L3019" t="s">
        <v>20</v>
      </c>
      <c r="M3019" t="s">
        <v>6335</v>
      </c>
      <c r="N3019" t="s">
        <v>14</v>
      </c>
    </row>
    <row r="3020" x14ac:dyDescent="0.25">
      <c r="A3020" t="n">
        <v>25</v>
      </c>
      <c r="B3020" t="s">
        <v>14</v>
      </c>
      <c r="C3020" t="s">
        <v>22</v>
      </c>
      <c r="D3020" s="2" t="s">
        <f>=HYPERLINK("https://main.knesset.gov.il/APPS/legislation/main/bills/2201621", "הצעת חוק ביטוח בריאות ממלכתי (תיקון - העברת מידע מלא בעת מעבר בין קופות החולים), התשפ""ג-2023")</f>
        <v>6338</v>
      </c>
      <c r="E3020" t="s">
        <v>6338</v>
      </c>
      <c r="F3020" t="s">
        <v>6339</v>
      </c>
      <c r="G3020" t="s">
        <v>14</v>
      </c>
      <c r="H3020">
             </c>
      <c r="I3020" t="s">
        <v>14</v>
      </c>
      <c r="J3020" t="s">
        <v>99</v>
      </c>
      <c r="K3020" t="s">
        <v>480</v>
      </c>
      <c r="L3020" t="s">
        <v>20</v>
      </c>
      <c r="M3020" t="s">
        <v>6335</v>
      </c>
      <c r="N3020" t="s">
        <v>14</v>
      </c>
    </row>
    <row r="3021" x14ac:dyDescent="0.25">
      <c r="A3021" t="n">
        <v>25</v>
      </c>
      <c r="B3021" t="s">
        <v>14</v>
      </c>
      <c r="C3021" t="s">
        <v>22</v>
      </c>
      <c r="D3021" s="2" t="s">
        <f>=HYPERLINK("https://main.knesset.gov.il/APPS/legislation/main/bills/2196841", "הצעת חוק בריאות ממלכתי (תיקון - העברת מידע מלא בעת מעבר בין קופות החולים), התשפ""ג-2022")</f>
        <v>6340</v>
      </c>
      <c r="E3021" t="s">
        <v>6340</v>
      </c>
      <c r="F3021" t="s">
        <v>6341</v>
      </c>
      <c r="G3021" t="s">
        <v>14</v>
      </c>
      <c r="H3021">
             </c>
      <c r="I3021" t="s">
        <v>14</v>
      </c>
      <c r="J3021" t="s">
        <v>99</v>
      </c>
      <c r="K3021" t="s">
        <v>480</v>
      </c>
      <c r="L3021" t="s">
        <v>20</v>
      </c>
      <c r="M3021" t="s">
        <v>6335</v>
      </c>
      <c r="N3021" t="s">
        <v>14</v>
      </c>
    </row>
    <row r="3022" x14ac:dyDescent="0.25">
      <c r="A3022" t="n">
        <v>25</v>
      </c>
      <c r="B3022" t="s">
        <v>14</v>
      </c>
      <c r="C3022" t="s">
        <v>15</v>
      </c>
      <c r="D3022" s="2" t="s">
        <f>=HYPERLINK("https://main.knesset.gov.il/APPS/legislation/main/bills/2217131", "חוק עדכון סכומי תגמולים לנכי רדיפות הנאצים ולנכי המלחמה בנאצים וביטול המרת תגמולים (תיקוני חקיקה), התשפ""ד-2024")</f>
        <v>6342</v>
      </c>
      <c r="E3022" t="s">
        <v>6342</v>
      </c>
      <c r="F3022" t="s">
        <v>14</v>
      </c>
      <c r="G3022" t="s">
        <v>6343</v>
      </c>
      <c r="H3022" t="n">
        <v>3218</v>
      </c>
      <c r="I3022" t="s">
        <v>14</v>
      </c>
      <c r="J3022" t="s">
        <v>91</v>
      </c>
      <c r="K3022" t="s">
        <v>85</v>
      </c>
      <c r="L3022" t="s">
        <v>20</v>
      </c>
      <c r="M3022" t="s">
        <v>6335</v>
      </c>
      <c r="N3022" t="s">
        <v>6344</v>
      </c>
    </row>
    <row r="3023" x14ac:dyDescent="0.25">
      <c r="A3023" t="n">
        <v>25</v>
      </c>
      <c r="B3023" t="s">
        <v>14</v>
      </c>
      <c r="C3023" t="s">
        <v>15</v>
      </c>
      <c r="D3023" s="2" t="s">
        <f>=HYPERLINK("https://main.knesset.gov.il/APPS/legislation/main/bills/2206948", "חוק עבודת הנוער (תיקון מס' 22), התשפ""ד-2024")</f>
        <v>6345</v>
      </c>
      <c r="E3023" t="s">
        <v>6345</v>
      </c>
      <c r="F3023" t="s">
        <v>14</v>
      </c>
      <c r="G3023" t="s">
        <v>6346</v>
      </c>
      <c r="H3023" t="n">
        <v>3217</v>
      </c>
      <c r="I3023" t="s">
        <v>14</v>
      </c>
      <c r="J3023" t="s">
        <v>91</v>
      </c>
      <c r="K3023" t="s">
        <v>127</v>
      </c>
      <c r="L3023" t="s">
        <v>20</v>
      </c>
      <c r="M3023" t="s">
        <v>6335</v>
      </c>
      <c r="N3023" t="s">
        <v>6347</v>
      </c>
    </row>
    <row r="3024" x14ac:dyDescent="0.25">
      <c r="A3024" t="n">
        <v>25</v>
      </c>
      <c r="B3024" t="s">
        <v>14</v>
      </c>
      <c r="C3024" t="s">
        <v>22</v>
      </c>
      <c r="D3024" s="2" t="s">
        <f>=HYPERLINK("https://main.knesset.gov.il/APPS/legislation/main/bills/2217201", "הצעת חוק להפסקת פעילות סוכנות הסעד והתעסוקה של האו""ם לפליטי פלסטין במזרח הקרוב (אונר""א), התשפ""ד-2024")</f>
        <v>6348</v>
      </c>
      <c r="E3024" t="s">
        <v>6348</v>
      </c>
      <c r="F3024" t="s">
        <v>6349</v>
      </c>
      <c r="G3024" t="s">
        <v>14</v>
      </c>
      <c r="H3024">
             </c>
      <c r="I3024" t="s">
        <v>14</v>
      </c>
      <c r="J3024" t="s">
        <v>141</v>
      </c>
      <c r="K3024" t="s">
        <v>14</v>
      </c>
      <c r="L3024" t="s">
        <v>20</v>
      </c>
      <c r="M3024" t="s">
        <v>6335</v>
      </c>
      <c r="N3024" t="s">
        <v>14</v>
      </c>
    </row>
    <row r="3025" x14ac:dyDescent="0.25">
      <c r="A3025" t="n">
        <v>25</v>
      </c>
      <c r="B3025" t="s">
        <v>14</v>
      </c>
      <c r="C3025" t="s">
        <v>22</v>
      </c>
      <c r="D3025" s="2" t="s">
        <f>=HYPERLINK("https://main.knesset.gov.il/APPS/legislation/main/bills/2218271", "הצעת חוק מניעת פגיעת גוף שידורים זר בביטחון המדינה (הוראת שעה - חרבות ברזל) (תיקון - אכיפה והארכת הוראת השעה), התשפ""ד-2024")</f>
        <v>6350</v>
      </c>
      <c r="E3025" t="s">
        <v>6350</v>
      </c>
      <c r="F3025" t="s">
        <v>6351</v>
      </c>
      <c r="G3025" t="s">
        <v>14</v>
      </c>
      <c r="H3025">
             </c>
      <c r="I3025" t="s">
        <v>14</v>
      </c>
      <c r="J3025" t="s">
        <v>141</v>
      </c>
      <c r="K3025" t="s">
        <v>14</v>
      </c>
      <c r="L3025" t="s">
        <v>20</v>
      </c>
      <c r="M3025" t="s">
        <v>6335</v>
      </c>
      <c r="N3025" t="s">
        <v>14</v>
      </c>
    </row>
    <row r="3026" x14ac:dyDescent="0.25">
      <c r="A3026" t="n">
        <v>25</v>
      </c>
      <c r="B3026" t="s">
        <v>14</v>
      </c>
      <c r="C3026" t="s">
        <v>22</v>
      </c>
      <c r="D3026" s="2" t="s">
        <f>=HYPERLINK("https://main.knesset.gov.il/APPS/legislation/main/bills/2218697", "הצעת חוק מס ערך מוסף (תיקון - מס בשיעור אפס על מרחבים מוגנים), התשפ""ד-2024")</f>
        <v>6352</v>
      </c>
      <c r="E3026" t="s">
        <v>6352</v>
      </c>
      <c r="F3026" t="s">
        <v>6353</v>
      </c>
      <c r="G3026" t="s">
        <v>14</v>
      </c>
      <c r="H3026">
             </c>
      <c r="I3026" t="s">
        <v>14</v>
      </c>
      <c r="J3026" t="s">
        <v>141</v>
      </c>
      <c r="K3026" t="s">
        <v>14</v>
      </c>
      <c r="L3026" t="s">
        <v>20</v>
      </c>
      <c r="M3026" t="s">
        <v>6335</v>
      </c>
      <c r="N3026" t="s">
        <v>14</v>
      </c>
    </row>
    <row r="3027" x14ac:dyDescent="0.25">
      <c r="A3027" t="n">
        <v>25</v>
      </c>
      <c r="B3027" t="s">
        <v>14</v>
      </c>
      <c r="C3027" t="s">
        <v>22</v>
      </c>
      <c r="D3027" s="2" t="s">
        <f>=HYPERLINK("https://main.knesset.gov.il/APPS/legislation/main/bills/2218159", "הצעת חוק להפסקת פעילות סוכנות הסעד והתעסוקה של האו""ם לפליטי פלסטין במזרח הקרוב (אונר""א), התשפ""ד-2024")</f>
        <v>6348</v>
      </c>
      <c r="E3027" t="s">
        <v>6348</v>
      </c>
      <c r="F3027" t="s">
        <v>6354</v>
      </c>
      <c r="G3027" t="s">
        <v>14</v>
      </c>
      <c r="H3027">
             </c>
      <c r="I3027" t="s">
        <v>14</v>
      </c>
      <c r="J3027" t="s">
        <v>141</v>
      </c>
      <c r="K3027" t="s">
        <v>14</v>
      </c>
      <c r="L3027" t="s">
        <v>20</v>
      </c>
      <c r="M3027" t="s">
        <v>6335</v>
      </c>
      <c r="N3027" t="s">
        <v>14</v>
      </c>
    </row>
    <row r="3028" x14ac:dyDescent="0.25">
      <c r="A3028" t="n">
        <v>25</v>
      </c>
      <c r="B3028" t="s">
        <v>14</v>
      </c>
      <c r="C3028" t="s">
        <v>22</v>
      </c>
      <c r="D3028" s="2" t="s">
        <f>=HYPERLINK("https://main.knesset.gov.il/APPS/legislation/main/bills/2218164", "הצעת חוק הבחירות לכנסת (תיקון - קיצור תקופת צינון לבכירים במערכת הביטחון), התשפ""ד-2024")</f>
        <v>6355</v>
      </c>
      <c r="E3028" t="s">
        <v>6355</v>
      </c>
      <c r="F3028" t="s">
        <v>6356</v>
      </c>
      <c r="G3028" t="s">
        <v>14</v>
      </c>
      <c r="H3028">
             </c>
      <c r="I3028" t="s">
        <v>14</v>
      </c>
      <c r="J3028" t="s">
        <v>141</v>
      </c>
      <c r="K3028" t="s">
        <v>14</v>
      </c>
      <c r="L3028" t="s">
        <v>20</v>
      </c>
      <c r="M3028" t="s">
        <v>6335</v>
      </c>
      <c r="N3028" t="s">
        <v>14</v>
      </c>
    </row>
    <row r="3029" x14ac:dyDescent="0.25">
      <c r="A3029" t="n">
        <v>25</v>
      </c>
      <c r="B3029" t="s">
        <v>14</v>
      </c>
      <c r="C3029" t="s">
        <v>22</v>
      </c>
      <c r="D3029" s="2" t="s">
        <f>=HYPERLINK("https://main.knesset.gov.il/APPS/legislation/main/bills/2217826", "הצעת חוק זיכרון השואה והגבורה - יד ושם (תיקון - זיכרון גבורת היהודים שהצילו את בני עמם), התשפ""ד-2024")</f>
        <v>6357</v>
      </c>
      <c r="E3029" t="s">
        <v>6357</v>
      </c>
      <c r="F3029" t="s">
        <v>6358</v>
      </c>
      <c r="G3029" t="s">
        <v>14</v>
      </c>
      <c r="H3029">
             </c>
      <c r="I3029" t="s">
        <v>14</v>
      </c>
      <c r="J3029" t="s">
        <v>141</v>
      </c>
      <c r="K3029" t="s">
        <v>14</v>
      </c>
      <c r="L3029" t="s">
        <v>20</v>
      </c>
      <c r="M3029" t="s">
        <v>6335</v>
      </c>
      <c r="N3029" t="s">
        <v>14</v>
      </c>
    </row>
    <row r="3030" x14ac:dyDescent="0.25">
      <c r="A3030" t="n">
        <v>25</v>
      </c>
      <c r="B3030" t="s">
        <v>14</v>
      </c>
      <c r="C3030" t="s">
        <v>22</v>
      </c>
      <c r="D3030" s="2" t="s">
        <f>=HYPERLINK("https://main.knesset.gov.il/APPS/legislation/main/bills/2217299", "הצעת חוק לתיקון פקודת היערות (הגברת ההגנה על עצים בוגרים), התשפ""ד-2024")</f>
        <v>6359</v>
      </c>
      <c r="E3030" t="s">
        <v>6359</v>
      </c>
      <c r="F3030" t="s">
        <v>6360</v>
      </c>
      <c r="G3030" t="s">
        <v>14</v>
      </c>
      <c r="H3030">
             </c>
      <c r="I3030" t="s">
        <v>14</v>
      </c>
      <c r="J3030" t="s">
        <v>141</v>
      </c>
      <c r="K3030" t="s">
        <v>14</v>
      </c>
      <c r="L3030" t="s">
        <v>20</v>
      </c>
      <c r="M3030" t="s">
        <v>6335</v>
      </c>
      <c r="N3030" t="s">
        <v>14</v>
      </c>
    </row>
    <row r="3031" x14ac:dyDescent="0.25">
      <c r="A3031" t="n">
        <v>25</v>
      </c>
      <c r="B3031" t="s">
        <v>14</v>
      </c>
      <c r="C3031" t="s">
        <v>22</v>
      </c>
      <c r="D3031" s="2" t="s">
        <f>=HYPERLINK("https://main.knesset.gov.il/APPS/legislation/main/bills/2218675", "הצעת חוק סדר הדין הפלילי (סמכויות אכיפה - מעצרים) (תיקון - פיצוי בשל מעצר), התשפ""ד-2024")</f>
        <v>6361</v>
      </c>
      <c r="E3031" t="s">
        <v>6361</v>
      </c>
      <c r="F3031" t="s">
        <v>6362</v>
      </c>
      <c r="G3031" t="s">
        <v>14</v>
      </c>
      <c r="H3031">
             </c>
      <c r="I3031" t="s">
        <v>14</v>
      </c>
      <c r="J3031" t="s">
        <v>141</v>
      </c>
      <c r="K3031" t="s">
        <v>14</v>
      </c>
      <c r="L3031" t="s">
        <v>20</v>
      </c>
      <c r="M3031" t="s">
        <v>6335</v>
      </c>
      <c r="N3031" t="s">
        <v>14</v>
      </c>
    </row>
    <row r="3032" x14ac:dyDescent="0.25">
      <c r="A3032" t="n">
        <v>25</v>
      </c>
      <c r="B3032" t="s">
        <v>14</v>
      </c>
      <c r="C3032" t="s">
        <v>22</v>
      </c>
      <c r="D3032" s="2" t="s">
        <f>=HYPERLINK("https://main.knesset.gov.il/APPS/legislation/main/bills/2218682", "הצעת חוק חסינות חברי הכנסת, זכויותיהם וחובותיהם (תיקון - חבר כנסת ערבי בוועדת האתיקה), התשפ""ד-2024")</f>
        <v>6363</v>
      </c>
      <c r="E3032" t="s">
        <v>6363</v>
      </c>
      <c r="F3032" t="s">
        <v>6364</v>
      </c>
      <c r="G3032" t="s">
        <v>14</v>
      </c>
      <c r="H3032">
             </c>
      <c r="I3032" t="s">
        <v>14</v>
      </c>
      <c r="J3032" t="s">
        <v>141</v>
      </c>
      <c r="K3032" t="s">
        <v>14</v>
      </c>
      <c r="L3032" t="s">
        <v>20</v>
      </c>
      <c r="M3032" t="s">
        <v>6335</v>
      </c>
      <c r="N3032" t="s">
        <v>14</v>
      </c>
    </row>
    <row r="3033" x14ac:dyDescent="0.25">
      <c r="A3033" t="n">
        <v>25</v>
      </c>
      <c r="B3033" t="s">
        <v>14</v>
      </c>
      <c r="C3033" t="s">
        <v>22</v>
      </c>
      <c r="D3033" s="2" t="s">
        <f>=HYPERLINK("https://main.knesset.gov.il/APPS/legislation/main/bills/2218302", "הצעת חוק שנת שירות, התשפ""ד-2024")</f>
        <v>5334</v>
      </c>
      <c r="E3033" t="s">
        <v>5334</v>
      </c>
      <c r="F3033" t="s">
        <v>6365</v>
      </c>
      <c r="G3033" t="s">
        <v>14</v>
      </c>
      <c r="H3033">
             </c>
      <c r="I3033" t="s">
        <v>14</v>
      </c>
      <c r="J3033" t="s">
        <v>141</v>
      </c>
      <c r="K3033" t="s">
        <v>14</v>
      </c>
      <c r="L3033" t="s">
        <v>20</v>
      </c>
      <c r="M3033" t="s">
        <v>6335</v>
      </c>
      <c r="N3033" t="s">
        <v>14</v>
      </c>
    </row>
    <row r="3034" x14ac:dyDescent="0.25">
      <c r="A3034" t="n">
        <v>25</v>
      </c>
      <c r="B3034" t="s">
        <v>14</v>
      </c>
      <c r="C3034" t="s">
        <v>22</v>
      </c>
      <c r="D3034" s="2" t="s">
        <f>=HYPERLINK("https://main.knesset.gov.il/APPS/legislation/main/bills/2218314", "הצעת חוק הטבות לניצולי שואה (תיקון - הטבות לניצולים שעלו לאחר שנת 1953), התשפ""ד-2024")</f>
        <v>6366</v>
      </c>
      <c r="E3034" t="s">
        <v>6366</v>
      </c>
      <c r="F3034" t="s">
        <v>6367</v>
      </c>
      <c r="G3034" t="s">
        <v>14</v>
      </c>
      <c r="H3034">
             </c>
      <c r="I3034" t="s">
        <v>14</v>
      </c>
      <c r="J3034" t="s">
        <v>141</v>
      </c>
      <c r="K3034" t="s">
        <v>14</v>
      </c>
      <c r="L3034" t="s">
        <v>20</v>
      </c>
      <c r="M3034" t="s">
        <v>6335</v>
      </c>
      <c r="N3034" t="s">
        <v>14</v>
      </c>
    </row>
    <row r="3035" x14ac:dyDescent="0.25">
      <c r="A3035" t="n">
        <v>25</v>
      </c>
      <c r="B3035" t="s">
        <v>14</v>
      </c>
      <c r="C3035" t="s">
        <v>22</v>
      </c>
      <c r="D3035" s="2" t="s">
        <f>=HYPERLINK("https://main.knesset.gov.il/APPS/legislation/main/bills/2218179", "הצעת חוק משפחות חיילים שנספו במערכה (תגמולים ושיקום) (תיקון - הסדרת זכויות יתומים בוגרים), התשפ""ד-2024")</f>
        <v>6368</v>
      </c>
      <c r="E3035" t="s">
        <v>6368</v>
      </c>
      <c r="F3035" t="s">
        <v>6369</v>
      </c>
      <c r="G3035" t="s">
        <v>14</v>
      </c>
      <c r="H3035">
             </c>
      <c r="I3035" t="s">
        <v>14</v>
      </c>
      <c r="J3035" t="s">
        <v>141</v>
      </c>
      <c r="K3035" t="s">
        <v>14</v>
      </c>
      <c r="L3035" t="s">
        <v>20</v>
      </c>
      <c r="M3035" t="s">
        <v>6335</v>
      </c>
      <c r="N3035" t="s">
        <v>14</v>
      </c>
    </row>
    <row r="3036" x14ac:dyDescent="0.25">
      <c r="A3036" t="n">
        <v>25</v>
      </c>
      <c r="B3036" t="s">
        <v>14</v>
      </c>
      <c r="C3036" t="s">
        <v>22</v>
      </c>
      <c r="D3036" s="2" t="s">
        <f>=HYPERLINK("https://main.knesset.gov.il/APPS/legislation/main/bills/2217293", "הצעת חוק צער בעלי חיים (הגנה על בעלי חיים) (תיקון - בעלי חיים כיצורים תחושתיים), התשפ""ד-2024")</f>
        <v>6370</v>
      </c>
      <c r="E3036" t="s">
        <v>6370</v>
      </c>
      <c r="F3036" t="s">
        <v>6371</v>
      </c>
      <c r="G3036" t="s">
        <v>14</v>
      </c>
      <c r="H3036">
             </c>
      <c r="I3036" t="s">
        <v>14</v>
      </c>
      <c r="J3036" t="s">
        <v>141</v>
      </c>
      <c r="K3036" t="s">
        <v>14</v>
      </c>
      <c r="L3036" t="s">
        <v>20</v>
      </c>
      <c r="M3036" t="s">
        <v>6335</v>
      </c>
      <c r="N3036" t="s">
        <v>14</v>
      </c>
    </row>
    <row r="3037" x14ac:dyDescent="0.25">
      <c r="A3037" t="n">
        <v>25</v>
      </c>
      <c r="B3037" t="s">
        <v>14</v>
      </c>
      <c r="C3037" t="s">
        <v>22</v>
      </c>
      <c r="D3037" s="2" t="s">
        <f>=HYPERLINK("https://main.knesset.gov.il/APPS/legislation/main/bills/2218305", "הצעת חוק הביטוח הלאומי (תיקון - מניין הימים לעניין מבוטח בשירות מילואים בנסיבות חירום), התשפ""ד-2024 ")</f>
        <v>6372</v>
      </c>
      <c r="E3037" t="s">
        <v>6372</v>
      </c>
      <c r="F3037" t="s">
        <v>6373</v>
      </c>
      <c r="G3037" t="s">
        <v>14</v>
      </c>
      <c r="H3037">
             </c>
      <c r="I3037" t="s">
        <v>14</v>
      </c>
      <c r="J3037" t="s">
        <v>141</v>
      </c>
      <c r="K3037" t="s">
        <v>14</v>
      </c>
      <c r="L3037" t="s">
        <v>20</v>
      </c>
      <c r="M3037" t="s">
        <v>6335</v>
      </c>
      <c r="N3037" t="s">
        <v>14</v>
      </c>
    </row>
    <row r="3038" x14ac:dyDescent="0.25">
      <c r="A3038" t="n">
        <v>25</v>
      </c>
      <c r="B3038" t="s">
        <v>14</v>
      </c>
      <c r="C3038" t="s">
        <v>22</v>
      </c>
      <c r="D3038" s="2" t="s">
        <f>=HYPERLINK("https://main.knesset.gov.il/APPS/legislation/main/bills/2217490", "הצעת חוק משפחות חיילים שנספו במערכה (תגמולים ושיקום) (תיקון - מלווה למימון הוצאות משק הבית לשכול ולאלמנה), התשפ״ד-2024")</f>
        <v>6374</v>
      </c>
      <c r="E3038" t="s">
        <v>6374</v>
      </c>
      <c r="F3038" t="s">
        <v>6375</v>
      </c>
      <c r="G3038" t="s">
        <v>14</v>
      </c>
      <c r="H3038">
             </c>
      <c r="I3038" t="s">
        <v>14</v>
      </c>
      <c r="J3038" t="s">
        <v>141</v>
      </c>
      <c r="K3038" t="s">
        <v>14</v>
      </c>
      <c r="L3038" t="s">
        <v>20</v>
      </c>
      <c r="M3038" t="s">
        <v>6335</v>
      </c>
      <c r="N3038" t="s">
        <v>14</v>
      </c>
    </row>
    <row r="3039" x14ac:dyDescent="0.25">
      <c r="A3039" t="n">
        <v>25</v>
      </c>
      <c r="B3039" t="s">
        <v>14</v>
      </c>
      <c r="C3039" t="s">
        <v>22</v>
      </c>
      <c r="D3039" s="2" t="s">
        <f>=HYPERLINK("https://main.knesset.gov.il/APPS/legislation/main/bills/2217286", "הצעת חוק החולה הנוטה למות (תיקון - תוקף ההנחיות המקדימות), התשפ""ד- 2024")</f>
        <v>6376</v>
      </c>
      <c r="E3039" t="s">
        <v>6376</v>
      </c>
      <c r="F3039" t="s">
        <v>6377</v>
      </c>
      <c r="G3039" t="s">
        <v>14</v>
      </c>
      <c r="H3039">
             </c>
      <c r="I3039" t="s">
        <v>14</v>
      </c>
      <c r="J3039" t="s">
        <v>141</v>
      </c>
      <c r="K3039" t="s">
        <v>14</v>
      </c>
      <c r="L3039" t="s">
        <v>20</v>
      </c>
      <c r="M3039" t="s">
        <v>6335</v>
      </c>
      <c r="N3039" t="s">
        <v>14</v>
      </c>
    </row>
    <row r="3040" x14ac:dyDescent="0.25">
      <c r="A3040" t="n">
        <v>25</v>
      </c>
      <c r="B3040" t="s">
        <v>14</v>
      </c>
      <c r="C3040" t="s">
        <v>22</v>
      </c>
      <c r="D3040" s="2" t="s">
        <f>=HYPERLINK("https://main.knesset.gov.il/APPS/legislation/main/bills/2218308", "הצעת חוק משפחות חיילים שנספו במערכה (תגמולים ושיקום) (תיקון - תגמולי הורים, יתומים ואחים שכולים), התשפ""ד-2024")</f>
        <v>1383</v>
      </c>
      <c r="E3040" t="s">
        <v>1383</v>
      </c>
      <c r="F3040" t="s">
        <v>6378</v>
      </c>
      <c r="G3040" t="s">
        <v>14</v>
      </c>
      <c r="H3040">
             </c>
      <c r="I3040" t="s">
        <v>14</v>
      </c>
      <c r="J3040" t="s">
        <v>141</v>
      </c>
      <c r="K3040" t="s">
        <v>14</v>
      </c>
      <c r="L3040" t="s">
        <v>20</v>
      </c>
      <c r="M3040" t="s">
        <v>6335</v>
      </c>
      <c r="N3040" t="s">
        <v>14</v>
      </c>
    </row>
    <row r="3041" x14ac:dyDescent="0.25">
      <c r="A3041" t="n">
        <v>25</v>
      </c>
      <c r="B3041" t="s">
        <v>14</v>
      </c>
      <c r="C3041" t="s">
        <v>22</v>
      </c>
      <c r="D3041" s="2" t="s">
        <f>=HYPERLINK("https://main.knesset.gov.il/APPS/legislation/main/bills/2215172", "הצעת חוק סדנה מורשית לשיפור כלי רכב, התשפ""ד-2024")</f>
        <v>6379</v>
      </c>
      <c r="E3041" t="s">
        <v>6379</v>
      </c>
      <c r="F3041" t="s">
        <v>6380</v>
      </c>
      <c r="G3041" t="s">
        <v>14</v>
      </c>
      <c r="H3041">
             </c>
      <c r="I3041" t="s">
        <v>14</v>
      </c>
      <c r="J3041" t="s">
        <v>31</v>
      </c>
      <c r="K3041" t="s">
        <v>19</v>
      </c>
      <c r="L3041" t="s">
        <v>20</v>
      </c>
      <c r="M3041" t="s">
        <v>6381</v>
      </c>
      <c r="N3041" t="s">
        <v>14</v>
      </c>
    </row>
    <row r="3042" x14ac:dyDescent="0.25">
      <c r="A3042" t="n">
        <v>25</v>
      </c>
      <c r="B3042" t="s">
        <v>14</v>
      </c>
      <c r="C3042" t="s">
        <v>22</v>
      </c>
      <c r="D3042" s="2" t="s">
        <f>=HYPERLINK("https://main.knesset.gov.il/APPS/legislation/main/bills/2213828", "הצעת חוק רשות מקרקעי ישראל (תיקון - העדפת רכישת קרקע בפריפריה לחיילי מילואים), התשפ""ד-2024")</f>
        <v>810</v>
      </c>
      <c r="E3042" t="s">
        <v>810</v>
      </c>
      <c r="F3042" t="s">
        <v>6382</v>
      </c>
      <c r="G3042" t="s">
        <v>14</v>
      </c>
      <c r="H3042">
             </c>
      <c r="I3042" t="s">
        <v>14</v>
      </c>
      <c r="J3042" t="s">
        <v>55</v>
      </c>
      <c r="K3042" t="s">
        <v>14</v>
      </c>
      <c r="L3042" t="s">
        <v>20</v>
      </c>
      <c r="M3042" t="s">
        <v>6381</v>
      </c>
      <c r="N3042" t="s">
        <v>14</v>
      </c>
    </row>
    <row r="3043" x14ac:dyDescent="0.25">
      <c r="A3043" t="n">
        <v>25</v>
      </c>
      <c r="B3043" t="s">
        <v>14</v>
      </c>
      <c r="C3043" t="s">
        <v>22</v>
      </c>
      <c r="D3043" s="2" t="s">
        <f>=HYPERLINK("https://main.knesset.gov.il/APPS/legislation/main/bills/2214308", "הצעת חוק המאבק בטרור (תיקון - סנקציות על מוסדות פיננסיים), התשפ""ד-2024")</f>
        <v>5814</v>
      </c>
      <c r="E3043" t="s">
        <v>5814</v>
      </c>
      <c r="F3043" t="s">
        <v>6383</v>
      </c>
      <c r="G3043" t="s">
        <v>14</v>
      </c>
      <c r="H3043">
             </c>
      <c r="I3043" t="s">
        <v>14</v>
      </c>
      <c r="J3043" t="s">
        <v>31</v>
      </c>
      <c r="K3043" t="s">
        <v>114</v>
      </c>
      <c r="L3043" t="s">
        <v>20</v>
      </c>
      <c r="M3043" t="s">
        <v>6381</v>
      </c>
      <c r="N3043" t="s">
        <v>14</v>
      </c>
    </row>
    <row r="3044" x14ac:dyDescent="0.25">
      <c r="A3044" t="n">
        <v>25</v>
      </c>
      <c r="B3044" t="s">
        <v>14</v>
      </c>
      <c r="C3044" t="s">
        <v>22</v>
      </c>
      <c r="D3044" s="2" t="s">
        <f>=HYPERLINK("https://main.knesset.gov.il/APPS/legislation/main/bills/2213796", "הצעת חוק הביטוח הלאומי (תיקון - תגמולים למשרתים במילואים) (הוראת שעה - חרבות ברזל), התשפ""ד-2024")</f>
        <v>6384</v>
      </c>
      <c r="E3044" t="s">
        <v>6384</v>
      </c>
      <c r="F3044" t="s">
        <v>6385</v>
      </c>
      <c r="G3044" t="s">
        <v>14</v>
      </c>
      <c r="H3044">
             </c>
      <c r="I3044" t="s">
        <v>14</v>
      </c>
      <c r="J3044" t="s">
        <v>55</v>
      </c>
      <c r="K3044" t="s">
        <v>14</v>
      </c>
      <c r="L3044" t="s">
        <v>20</v>
      </c>
      <c r="M3044" t="s">
        <v>6381</v>
      </c>
      <c r="N3044" t="s">
        <v>14</v>
      </c>
    </row>
    <row r="3045" x14ac:dyDescent="0.25">
      <c r="A3045" t="n">
        <v>25</v>
      </c>
      <c r="B3045" t="s">
        <v>14</v>
      </c>
      <c r="C3045" t="s">
        <v>22</v>
      </c>
      <c r="D3045" s="2" t="s">
        <f>=HYPERLINK("https://main.knesset.gov.il/APPS/legislation/main/bills/2202905", "הצעת חוק המאבק בטרור (תיקון - סנקציות על מוסדות פיננסיים), התשפ""ד-2024")</f>
        <v>5814</v>
      </c>
      <c r="E3045" t="s">
        <v>5814</v>
      </c>
      <c r="F3045" t="s">
        <v>6386</v>
      </c>
      <c r="G3045" t="s">
        <v>14</v>
      </c>
      <c r="H3045">
             </c>
      <c r="I3045" t="s">
        <v>14</v>
      </c>
      <c r="J3045" t="s">
        <v>31</v>
      </c>
      <c r="K3045" t="s">
        <v>114</v>
      </c>
      <c r="L3045" t="s">
        <v>20</v>
      </c>
      <c r="M3045" t="s">
        <v>6381</v>
      </c>
      <c r="N3045" t="s">
        <v>14</v>
      </c>
    </row>
    <row r="3046" x14ac:dyDescent="0.25">
      <c r="A3046" t="n">
        <v>25</v>
      </c>
      <c r="B3046" t="s">
        <v>14</v>
      </c>
      <c r="C3046" t="s">
        <v>22</v>
      </c>
      <c r="D3046" s="2" t="s">
        <f>=HYPERLINK("https://main.knesset.gov.il/APPS/legislation/main/bills/2212237", "הצעת חוק-יסוד: הממשלה (תיקון - חובת מינוי ממלא מקום ראש הממשלה)")</f>
        <v>2485</v>
      </c>
      <c r="E3046" t="s">
        <v>2485</v>
      </c>
      <c r="F3046" t="s">
        <v>6387</v>
      </c>
      <c r="G3046" t="s">
        <v>14</v>
      </c>
      <c r="H3046">
             </c>
      <c r="I3046" t="s">
        <v>14</v>
      </c>
      <c r="J3046" t="s">
        <v>55</v>
      </c>
      <c r="K3046" t="s">
        <v>14</v>
      </c>
      <c r="L3046" t="s">
        <v>20</v>
      </c>
      <c r="M3046" t="s">
        <v>6381</v>
      </c>
      <c r="N3046" t="s">
        <v>14</v>
      </c>
    </row>
    <row r="3047" x14ac:dyDescent="0.25">
      <c r="A3047" t="n">
        <v>25</v>
      </c>
      <c r="B3047" t="s">
        <v>14</v>
      </c>
      <c r="C3047" t="s">
        <v>22</v>
      </c>
      <c r="D3047" s="2" t="s">
        <f>=HYPERLINK("https://main.knesset.gov.il/APPS/legislation/main/bills/2203240", "הצעת חוק ביטוח בריאות ממלכתי (תיקון - בחירה מבין נותני השירותים), התשפ""ג-2023")</f>
        <v>6388</v>
      </c>
      <c r="E3047" t="s">
        <v>6388</v>
      </c>
      <c r="F3047" t="s">
        <v>6389</v>
      </c>
      <c r="G3047" t="s">
        <v>14</v>
      </c>
      <c r="H3047">
             </c>
      <c r="I3047" t="s">
        <v>14</v>
      </c>
      <c r="J3047" t="s">
        <v>55</v>
      </c>
      <c r="K3047" t="s">
        <v>14</v>
      </c>
      <c r="L3047" t="s">
        <v>20</v>
      </c>
      <c r="M3047" t="s">
        <v>6381</v>
      </c>
      <c r="N3047" t="s">
        <v>14</v>
      </c>
    </row>
    <row r="3048" x14ac:dyDescent="0.25">
      <c r="A3048" t="n">
        <v>25</v>
      </c>
      <c r="B3048" t="s">
        <v>14</v>
      </c>
      <c r="C3048" t="s">
        <v>22</v>
      </c>
      <c r="D3048" s="2" t="s">
        <f>=HYPERLINK("https://main.knesset.gov.il/APPS/legislation/main/bills/2199957", "הצעת חוק-יסוד: הממשלה (תיקון - חובת מינוי ממלא מקום ראש הממשלה)")</f>
        <v>2485</v>
      </c>
      <c r="E3048" t="s">
        <v>2485</v>
      </c>
      <c r="F3048" t="s">
        <v>6390</v>
      </c>
      <c r="G3048" t="s">
        <v>14</v>
      </c>
      <c r="H3048">
             </c>
      <c r="I3048" t="s">
        <v>14</v>
      </c>
      <c r="J3048" t="s">
        <v>55</v>
      </c>
      <c r="K3048" t="s">
        <v>14</v>
      </c>
      <c r="L3048" t="s">
        <v>20</v>
      </c>
      <c r="M3048" t="s">
        <v>6381</v>
      </c>
      <c r="N3048" t="s">
        <v>14</v>
      </c>
    </row>
    <row r="3049" x14ac:dyDescent="0.25">
      <c r="A3049" t="n">
        <v>25</v>
      </c>
      <c r="B3049" t="s">
        <v>14</v>
      </c>
      <c r="C3049" t="s">
        <v>22</v>
      </c>
      <c r="D3049" s="2" t="s">
        <f>=HYPERLINK("https://main.knesset.gov.il/APPS/legislation/main/bills/2201387", "הצעת חוק העונשין (תיקון - הגנה על בסיסי צה""ל, שטחי אש, תחנות משטרה ומתקנים ביטחוניים), התשפ""ג-2023 ")</f>
        <v>6391</v>
      </c>
      <c r="E3049" t="s">
        <v>6391</v>
      </c>
      <c r="F3049" t="s">
        <v>6392</v>
      </c>
      <c r="G3049" t="s">
        <v>14</v>
      </c>
      <c r="H3049">
             </c>
      <c r="I3049" t="s">
        <v>14</v>
      </c>
      <c r="J3049" t="s">
        <v>31</v>
      </c>
      <c r="K3049" t="s">
        <v>105</v>
      </c>
      <c r="L3049" t="s">
        <v>20</v>
      </c>
      <c r="M3049" t="s">
        <v>6393</v>
      </c>
      <c r="N3049" t="s">
        <v>14</v>
      </c>
    </row>
    <row r="3050" x14ac:dyDescent="0.25">
      <c r="A3050" t="n">
        <v>25</v>
      </c>
      <c r="B3050" t="s">
        <v>14</v>
      </c>
      <c r="C3050" t="s">
        <v>22</v>
      </c>
      <c r="D3050" s="2" t="s">
        <f>=HYPERLINK("https://main.knesset.gov.il/APPS/legislation/main/bills/2209485", "הצעת חוק התקנת מצלמות לשם הגנה על פעוטות במעונות יום לפעוטות (תיקון - החלה על גני ילדים והגברת האכיפה), התשפ""ד-2023")</f>
        <v>6394</v>
      </c>
      <c r="E3050" t="s">
        <v>6394</v>
      </c>
      <c r="F3050" t="s">
        <v>6395</v>
      </c>
      <c r="G3050" t="s">
        <v>14</v>
      </c>
      <c r="H3050">
             </c>
      <c r="I3050" t="s">
        <v>14</v>
      </c>
      <c r="J3050" t="s">
        <v>99</v>
      </c>
      <c r="K3050" t="s">
        <v>34</v>
      </c>
      <c r="L3050" t="s">
        <v>20</v>
      </c>
      <c r="M3050" t="s">
        <v>6393</v>
      </c>
      <c r="N3050" t="s">
        <v>14</v>
      </c>
    </row>
    <row r="3051" x14ac:dyDescent="0.25">
      <c r="A3051" t="n">
        <v>25</v>
      </c>
      <c r="B3051" t="s">
        <v>14</v>
      </c>
      <c r="C3051" t="s">
        <v>22</v>
      </c>
      <c r="D3051" s="2" t="s">
        <f>=HYPERLINK("https://main.knesset.gov.il/APPS/legislation/main/bills/2207037", "הצעת חוק התקנת מצלמות לשם הגנה על פעוטות במעונות יום לפעוטות (תיקון - החלה על גני ילדים והגברת האכיפה), התשפ""ג-2023")</f>
        <v>6396</v>
      </c>
      <c r="E3051" t="s">
        <v>6396</v>
      </c>
      <c r="F3051" t="s">
        <v>6397</v>
      </c>
      <c r="G3051" t="s">
        <v>14</v>
      </c>
      <c r="H3051">
             </c>
      <c r="I3051" t="s">
        <v>14</v>
      </c>
      <c r="J3051" t="s">
        <v>99</v>
      </c>
      <c r="K3051" t="s">
        <v>34</v>
      </c>
      <c r="L3051" t="s">
        <v>20</v>
      </c>
      <c r="M3051" t="s">
        <v>6393</v>
      </c>
      <c r="N3051" t="s">
        <v>14</v>
      </c>
    </row>
    <row r="3052" x14ac:dyDescent="0.25">
      <c r="A3052" t="n">
        <v>25</v>
      </c>
      <c r="B3052" t="s">
        <v>14</v>
      </c>
      <c r="C3052" t="s">
        <v>22</v>
      </c>
      <c r="D3052" s="2" t="s">
        <f>=HYPERLINK("https://main.knesset.gov.il/APPS/legislation/main/bills/2216636", "הצעת חוק תשלומים לפדויי שבי (תיקון - סכומי התשלומים ומועדיהם), התשפ""ד-2024")</f>
        <v>6398</v>
      </c>
      <c r="E3052" t="s">
        <v>6398</v>
      </c>
      <c r="F3052" t="s">
        <v>6399</v>
      </c>
      <c r="G3052" t="s">
        <v>14</v>
      </c>
      <c r="H3052">
             </c>
      <c r="I3052" t="s">
        <v>14</v>
      </c>
      <c r="J3052" t="s">
        <v>99</v>
      </c>
      <c r="K3052" t="s">
        <v>127</v>
      </c>
      <c r="L3052" t="s">
        <v>20</v>
      </c>
      <c r="M3052" t="s">
        <v>6393</v>
      </c>
      <c r="N3052" t="s">
        <v>14</v>
      </c>
    </row>
    <row r="3053" x14ac:dyDescent="0.25">
      <c r="A3053" t="n">
        <v>25</v>
      </c>
      <c r="B3053" t="s">
        <v>14</v>
      </c>
      <c r="C3053" t="s">
        <v>22</v>
      </c>
      <c r="D3053" s="2" t="s">
        <f>=HYPERLINK("https://main.knesset.gov.il/APPS/legislation/main/bills/2214910", "הצעת חוק הפסקת הליכים ומחיקת רישומים בעניין המחאה כנגד אלימות משטרתית כלפי יוצאי אתיופיה, התשפ""ד-2024")</f>
        <v>6400</v>
      </c>
      <c r="E3053" t="s">
        <v>6400</v>
      </c>
      <c r="F3053" t="s">
        <v>6401</v>
      </c>
      <c r="G3053" t="s">
        <v>14</v>
      </c>
      <c r="H3053">
             </c>
      <c r="I3053" t="s">
        <v>14</v>
      </c>
      <c r="J3053" t="s">
        <v>99</v>
      </c>
      <c r="K3053" t="s">
        <v>27</v>
      </c>
      <c r="L3053" t="s">
        <v>20</v>
      </c>
      <c r="M3053" t="s">
        <v>6393</v>
      </c>
      <c r="N3053" t="s">
        <v>14</v>
      </c>
    </row>
    <row r="3054" x14ac:dyDescent="0.25">
      <c r="A3054" t="n">
        <v>25</v>
      </c>
      <c r="B3054" t="s">
        <v>14</v>
      </c>
      <c r="C3054" t="s">
        <v>22</v>
      </c>
      <c r="D3054" s="2" t="s">
        <f>=HYPERLINK("https://main.knesset.gov.il/APPS/legislation/main/bills/2214950", "הצעת חוק הפסקת הליכים ומחיקת רישומים בעניין עבירה על רקע מחאות יוצאי אתיופיה, התשפ""ד-2024")</f>
        <v>6402</v>
      </c>
      <c r="E3054" t="s">
        <v>6402</v>
      </c>
      <c r="F3054" t="s">
        <v>6403</v>
      </c>
      <c r="G3054" t="s">
        <v>14</v>
      </c>
      <c r="H3054">
             </c>
      <c r="I3054" t="s">
        <v>14</v>
      </c>
      <c r="J3054" t="s">
        <v>99</v>
      </c>
      <c r="K3054" t="s">
        <v>27</v>
      </c>
      <c r="L3054" t="s">
        <v>20</v>
      </c>
      <c r="M3054" t="s">
        <v>6393</v>
      </c>
      <c r="N3054" t="s">
        <v>14</v>
      </c>
    </row>
    <row r="3055" x14ac:dyDescent="0.25">
      <c r="A3055" t="n">
        <v>25</v>
      </c>
      <c r="B3055" t="s">
        <v>14</v>
      </c>
      <c r="C3055" t="s">
        <v>22</v>
      </c>
      <c r="D3055" s="2" t="s">
        <f>=HYPERLINK("https://main.knesset.gov.il/APPS/legislation/main/bills/2214873", "חוק החיילים המשוחררים (החזרה לעבודה) (תיקון מס' 19 והוראת שעה), התשפ""ד–2024")</f>
        <v>6404</v>
      </c>
      <c r="E3055" t="s">
        <v>6404</v>
      </c>
      <c r="F3055" t="s">
        <v>6405</v>
      </c>
      <c r="G3055" t="s">
        <v>6406</v>
      </c>
      <c r="H3055" t="n">
        <v>3216</v>
      </c>
      <c r="I3055" t="s">
        <v>14</v>
      </c>
      <c r="J3055" t="s">
        <v>91</v>
      </c>
      <c r="K3055" t="s">
        <v>127</v>
      </c>
      <c r="L3055" t="s">
        <v>20</v>
      </c>
      <c r="M3055" t="s">
        <v>6393</v>
      </c>
      <c r="N3055" t="s">
        <v>6407</v>
      </c>
    </row>
    <row r="3056" x14ac:dyDescent="0.25">
      <c r="A3056" t="n">
        <v>25</v>
      </c>
      <c r="B3056" t="s">
        <v>14</v>
      </c>
      <c r="C3056" t="s">
        <v>15</v>
      </c>
      <c r="D3056" s="2" t="s">
        <f>=HYPERLINK("https://main.knesset.gov.il/APPS/legislation/main/bills/2218092", "חוק לתיקון פקודת בתי הסוהר (מס' 64 – הוראת שעה – חרבות ברזל) (מצב חירום כליאתי) (תיקון מס' 2), התשפ""ד–2024")</f>
        <v>6408</v>
      </c>
      <c r="E3056" t="s">
        <v>6408</v>
      </c>
      <c r="F3056" t="s">
        <v>14</v>
      </c>
      <c r="G3056" t="s">
        <v>6409</v>
      </c>
      <c r="H3056" t="n">
        <v>3215</v>
      </c>
      <c r="I3056" t="s">
        <v>14</v>
      </c>
      <c r="J3056" t="s">
        <v>91</v>
      </c>
      <c r="K3056" t="s">
        <v>105</v>
      </c>
      <c r="L3056" t="s">
        <v>20</v>
      </c>
      <c r="M3056" t="s">
        <v>6393</v>
      </c>
      <c r="N3056" t="s">
        <v>6410</v>
      </c>
    </row>
    <row r="3057" x14ac:dyDescent="0.25">
      <c r="A3057" t="n">
        <v>25</v>
      </c>
      <c r="B3057" t="s">
        <v>14</v>
      </c>
      <c r="C3057" t="s">
        <v>22</v>
      </c>
      <c r="D3057" s="2" t="s">
        <f>=HYPERLINK("https://main.knesset.gov.il/APPS/legislation/main/bills/2218205", "הצעת חוק משפחות חיילים שנספו במערכה (תגמולים ושיקום) (תיקון - מעטפת שיקומית לאחים שכולים), התשפ""ד-2024")</f>
        <v>6293</v>
      </c>
      <c r="E3057" t="s">
        <v>6293</v>
      </c>
      <c r="F3057" t="s">
        <v>6411</v>
      </c>
      <c r="G3057" t="s">
        <v>14</v>
      </c>
      <c r="H3057">
             </c>
      <c r="I3057" t="s">
        <v>14</v>
      </c>
      <c r="J3057" t="s">
        <v>141</v>
      </c>
      <c r="K3057" t="s">
        <v>14</v>
      </c>
      <c r="L3057" t="s">
        <v>20</v>
      </c>
      <c r="M3057" t="s">
        <v>6412</v>
      </c>
      <c r="N3057" t="s">
        <v>14</v>
      </c>
    </row>
    <row r="3058" x14ac:dyDescent="0.25">
      <c r="A3058" t="n">
        <v>25</v>
      </c>
      <c r="B3058" t="s">
        <v>14</v>
      </c>
      <c r="C3058" t="s">
        <v>22</v>
      </c>
      <c r="D3058" s="2" t="s">
        <f>=HYPERLINK("https://main.knesset.gov.il/APPS/legislation/main/bills/2213961", "חוק הכניסה לישראל (תיקון מס' 39), התשפ""ד–2024")</f>
        <v>6413</v>
      </c>
      <c r="E3058" t="s">
        <v>6413</v>
      </c>
      <c r="F3058" t="s">
        <v>6414</v>
      </c>
      <c r="G3058" t="s">
        <v>6415</v>
      </c>
      <c r="H3058" t="n">
        <v>3214</v>
      </c>
      <c r="I3058" t="s">
        <v>14</v>
      </c>
      <c r="J3058" t="s">
        <v>91</v>
      </c>
      <c r="K3058" t="s">
        <v>105</v>
      </c>
      <c r="L3058" t="s">
        <v>20</v>
      </c>
      <c r="M3058" t="s">
        <v>6416</v>
      </c>
      <c r="N3058" t="s">
        <v>6417</v>
      </c>
    </row>
    <row r="3059" x14ac:dyDescent="0.25">
      <c r="A3059" t="n">
        <v>25</v>
      </c>
      <c r="B3059" t="s">
        <v>14</v>
      </c>
      <c r="C3059" t="s">
        <v>22</v>
      </c>
      <c r="D3059" s="2" t="s">
        <f>=HYPERLINK("https://main.knesset.gov.il/APPS/legislation/main/bills/2214117", "הצעת חוק אספקת החשמל, התשפ""ד-2024")</f>
        <v>6418</v>
      </c>
      <c r="E3059" t="s">
        <v>6418</v>
      </c>
      <c r="F3059" t="s">
        <v>6419</v>
      </c>
      <c r="G3059" t="s">
        <v>14</v>
      </c>
      <c r="H3059">
             </c>
      <c r="I3059" t="s">
        <v>14</v>
      </c>
      <c r="J3059" t="s">
        <v>55</v>
      </c>
      <c r="K3059" t="s">
        <v>14</v>
      </c>
      <c r="L3059" t="s">
        <v>20</v>
      </c>
      <c r="M3059" t="s">
        <v>6416</v>
      </c>
      <c r="N3059" t="s">
        <v>14</v>
      </c>
    </row>
    <row r="3060" x14ac:dyDescent="0.25">
      <c r="A3060" t="n">
        <v>25</v>
      </c>
      <c r="B3060" t="s">
        <v>14</v>
      </c>
      <c r="C3060" t="s">
        <v>22</v>
      </c>
      <c r="D3060" s="2" t="s">
        <f>=HYPERLINK("https://main.knesset.gov.il/APPS/legislation/main/bills/2212239", "הצעת חוק-יסוד: הממשלה (תיקון - הפסקת כהונה של ראש הממשלה או שר מחמת הגשת כתב אישום)")</f>
        <v>5300</v>
      </c>
      <c r="E3060" t="s">
        <v>5300</v>
      </c>
      <c r="F3060" t="s">
        <v>6420</v>
      </c>
      <c r="G3060" t="s">
        <v>14</v>
      </c>
      <c r="H3060">
             </c>
      <c r="I3060" t="s">
        <v>14</v>
      </c>
      <c r="J3060" t="s">
        <v>55</v>
      </c>
      <c r="K3060" t="s">
        <v>14</v>
      </c>
      <c r="L3060" t="s">
        <v>20</v>
      </c>
      <c r="M3060" t="s">
        <v>6416</v>
      </c>
      <c r="N3060" t="s">
        <v>14</v>
      </c>
    </row>
    <row r="3061" x14ac:dyDescent="0.25">
      <c r="A3061" t="n">
        <v>25</v>
      </c>
      <c r="B3061" t="s">
        <v>14</v>
      </c>
      <c r="C3061" t="s">
        <v>22</v>
      </c>
      <c r="D3061" s="2" t="s">
        <f>=HYPERLINK("https://main.knesset.gov.il/APPS/legislation/main/bills/2209177", "הצעת חוק לחלוקה הוגנת של מזונות, התשפ""ג-2023")</f>
        <v>6421</v>
      </c>
      <c r="E3061" t="s">
        <v>6421</v>
      </c>
      <c r="F3061" t="s">
        <v>6422</v>
      </c>
      <c r="G3061" t="s">
        <v>14</v>
      </c>
      <c r="H3061">
             </c>
      <c r="I3061" t="s">
        <v>14</v>
      </c>
      <c r="J3061" t="s">
        <v>343</v>
      </c>
      <c r="K3061" t="s">
        <v>14</v>
      </c>
      <c r="L3061" t="s">
        <v>20</v>
      </c>
      <c r="M3061" t="s">
        <v>6416</v>
      </c>
      <c r="N3061" t="s">
        <v>14</v>
      </c>
    </row>
    <row r="3062" x14ac:dyDescent="0.25">
      <c r="A3062" t="n">
        <v>25</v>
      </c>
      <c r="B3062" t="s">
        <v>14</v>
      </c>
      <c r="C3062" t="s">
        <v>22</v>
      </c>
      <c r="D3062" s="2" t="s">
        <f>=HYPERLINK("https://main.knesset.gov.il/APPS/legislation/main/bills/2199128", "הצעת חוק הביטוח הלאומי (תיקון - תשלום קצבת ילדים לאחר גיל 18 בעד ילד המשרת בשירות צבאי, לאומי או אזרחי), התשפ""ג-2023")</f>
        <v>6423</v>
      </c>
      <c r="E3062" t="s">
        <v>6423</v>
      </c>
      <c r="F3062" t="s">
        <v>6424</v>
      </c>
      <c r="G3062" t="s">
        <v>14</v>
      </c>
      <c r="H3062">
             </c>
      <c r="I3062" t="s">
        <v>14</v>
      </c>
      <c r="J3062" t="s">
        <v>55</v>
      </c>
      <c r="K3062" t="s">
        <v>14</v>
      </c>
      <c r="L3062" t="s">
        <v>20</v>
      </c>
      <c r="M3062" t="s">
        <v>6416</v>
      </c>
      <c r="N3062" t="s">
        <v>14</v>
      </c>
    </row>
    <row r="3063" x14ac:dyDescent="0.25">
      <c r="A3063" t="n">
        <v>25</v>
      </c>
      <c r="B3063" t="s">
        <v>14</v>
      </c>
      <c r="C3063" t="s">
        <v>22</v>
      </c>
      <c r="D3063" s="2" t="s">
        <f>=HYPERLINK("https://main.knesset.gov.il/APPS/legislation/main/bills/2203085", "הצעת חוק הגנה על זכויות ילדים נפגעי עבירת המתה בדירת המשפחה, התשפ""ד-2024")</f>
        <v>6425</v>
      </c>
      <c r="E3063" t="s">
        <v>6425</v>
      </c>
      <c r="F3063" t="s">
        <v>6426</v>
      </c>
      <c r="G3063" t="s">
        <v>14</v>
      </c>
      <c r="H3063">
             </c>
      <c r="I3063" t="s">
        <v>14</v>
      </c>
      <c r="J3063" t="s">
        <v>99</v>
      </c>
      <c r="K3063" t="s">
        <v>27</v>
      </c>
      <c r="L3063" t="s">
        <v>20</v>
      </c>
      <c r="M3063" t="s">
        <v>6427</v>
      </c>
      <c r="N3063" t="s">
        <v>14</v>
      </c>
    </row>
    <row r="3064" x14ac:dyDescent="0.25">
      <c r="A3064" t="n">
        <v>25</v>
      </c>
      <c r="B3064" t="s">
        <v>14</v>
      </c>
      <c r="C3064" t="s">
        <v>22</v>
      </c>
      <c r="D3064" s="2" t="s">
        <f>=HYPERLINK("https://main.knesset.gov.il/APPS/legislation/main/bills/2198602", "הצעת חוק הירושה (תיקון - פסלות לרשת ומניעת עסקאות בזכות יורש שהמית את המוריש), התשפ""ג-2023")</f>
        <v>6428</v>
      </c>
      <c r="E3064" t="s">
        <v>6428</v>
      </c>
      <c r="F3064" t="s">
        <v>6429</v>
      </c>
      <c r="G3064" t="s">
        <v>14</v>
      </c>
      <c r="H3064">
             </c>
      <c r="I3064" t="s">
        <v>14</v>
      </c>
      <c r="J3064" t="s">
        <v>99</v>
      </c>
      <c r="K3064" t="s">
        <v>27</v>
      </c>
      <c r="L3064" t="s">
        <v>20</v>
      </c>
      <c r="M3064" t="s">
        <v>6427</v>
      </c>
      <c r="N3064" t="s">
        <v>14</v>
      </c>
    </row>
    <row r="3065" x14ac:dyDescent="0.25">
      <c r="A3065" t="n">
        <v>25</v>
      </c>
      <c r="B3065" t="s">
        <v>14</v>
      </c>
      <c r="C3065" t="s">
        <v>15</v>
      </c>
      <c r="D3065" s="2" t="s">
        <f>=HYPERLINK("https://main.knesset.gov.il/APPS/legislation/main/bills/2216512", "חוק הסדרת העיסוק במקצועות הבריאות (תיקון מס' 10), התשפ""ד-2024")</f>
        <v>6430</v>
      </c>
      <c r="E3065" t="s">
        <v>6430</v>
      </c>
      <c r="F3065" t="s">
        <v>14</v>
      </c>
      <c r="G3065" t="s">
        <v>6431</v>
      </c>
      <c r="H3065" t="n">
        <v>3213</v>
      </c>
      <c r="I3065" t="s">
        <v>14</v>
      </c>
      <c r="J3065" t="s">
        <v>91</v>
      </c>
      <c r="K3065" t="s">
        <v>480</v>
      </c>
      <c r="L3065" t="s">
        <v>20</v>
      </c>
      <c r="M3065" t="s">
        <v>6427</v>
      </c>
      <c r="N3065" t="s">
        <v>6432</v>
      </c>
    </row>
    <row r="3066" x14ac:dyDescent="0.25">
      <c r="A3066" t="n">
        <v>25</v>
      </c>
      <c r="B3066" t="s">
        <v>14</v>
      </c>
      <c r="C3066" t="s">
        <v>15</v>
      </c>
      <c r="D3066" s="2" t="s">
        <f>=HYPERLINK("https://main.knesset.gov.il/APPS/legislation/main/bills/2217542", "חוק להסדרת אירוע הילולת רבי שמעון בר יוחאי בהר מירון (הוראת שעה), התשפ""ד–2024 ")</f>
        <v>6433</v>
      </c>
      <c r="E3066" t="s">
        <v>6433</v>
      </c>
      <c r="F3066" t="s">
        <v>14</v>
      </c>
      <c r="G3066" t="s">
        <v>6434</v>
      </c>
      <c r="H3066" t="n">
        <v>3212</v>
      </c>
      <c r="I3066" t="s">
        <v>14</v>
      </c>
      <c r="J3066" t="s">
        <v>91</v>
      </c>
      <c r="K3066" t="s">
        <v>105</v>
      </c>
      <c r="L3066" t="s">
        <v>20</v>
      </c>
      <c r="M3066" t="s">
        <v>6427</v>
      </c>
      <c r="N3066" t="s">
        <v>6435</v>
      </c>
    </row>
    <row r="3067" x14ac:dyDescent="0.25">
      <c r="A3067" t="n">
        <v>25</v>
      </c>
      <c r="B3067" t="s">
        <v>14</v>
      </c>
      <c r="C3067" t="s">
        <v>22</v>
      </c>
      <c r="D3067" s="2" t="s">
        <f>=HYPERLINK("https://main.knesset.gov.il/APPS/legislation/main/bills/2215539", "הצעת חוק סיוע למשפחות נפגעי מאורעות ה-7 באוקטובר, התשפ""ד-2024")</f>
        <v>6436</v>
      </c>
      <c r="E3067" t="s">
        <v>6436</v>
      </c>
      <c r="F3067" t="s">
        <v>6437</v>
      </c>
      <c r="G3067" t="s">
        <v>14</v>
      </c>
      <c r="H3067">
             </c>
      <c r="I3067" t="s">
        <v>14</v>
      </c>
      <c r="J3067" t="s">
        <v>31</v>
      </c>
      <c r="K3067" t="s">
        <v>127</v>
      </c>
      <c r="L3067" t="s">
        <v>20</v>
      </c>
      <c r="M3067" t="s">
        <v>6438</v>
      </c>
      <c r="N3067" t="s">
        <v>14</v>
      </c>
    </row>
    <row r="3068" x14ac:dyDescent="0.25">
      <c r="A3068" t="n">
        <v>25</v>
      </c>
      <c r="B3068" t="s">
        <v>14</v>
      </c>
      <c r="C3068" t="s">
        <v>22</v>
      </c>
      <c r="D3068" s="2" t="s">
        <f>=HYPERLINK("https://main.knesset.gov.il/APPS/legislation/main/bills/2199476", "הצעת חוק יום בריאות הנפש, התשפ""ג-2023")</f>
        <v>6439</v>
      </c>
      <c r="E3068" t="s">
        <v>6439</v>
      </c>
      <c r="F3068" t="s">
        <v>6440</v>
      </c>
      <c r="G3068" t="s">
        <v>14</v>
      </c>
      <c r="H3068">
             </c>
      <c r="I3068" t="s">
        <v>14</v>
      </c>
      <c r="J3068" t="s">
        <v>99</v>
      </c>
      <c r="K3068" t="s">
        <v>34</v>
      </c>
      <c r="L3068" t="s">
        <v>20</v>
      </c>
      <c r="M3068" t="s">
        <v>6438</v>
      </c>
      <c r="N3068" t="s">
        <v>14</v>
      </c>
    </row>
    <row r="3069" x14ac:dyDescent="0.25">
      <c r="A3069" t="n">
        <v>25</v>
      </c>
      <c r="B3069" t="s">
        <v>14</v>
      </c>
      <c r="C3069" t="s">
        <v>22</v>
      </c>
      <c r="D3069" s="2" t="s">
        <f>=HYPERLINK("https://main.knesset.gov.il/APPS/legislation/main/bills/2216959", "הצעת חוק הנוער (טיפול והשגחה) (תיקון - תינוקות בודדים), התשפ""ד-2024")</f>
        <v>6441</v>
      </c>
      <c r="E3069" t="s">
        <v>6441</v>
      </c>
      <c r="F3069" t="s">
        <v>6442</v>
      </c>
      <c r="G3069" t="s">
        <v>14</v>
      </c>
      <c r="H3069">
             </c>
      <c r="I3069" t="s">
        <v>14</v>
      </c>
      <c r="J3069" t="s">
        <v>141</v>
      </c>
      <c r="K3069" t="s">
        <v>14</v>
      </c>
      <c r="L3069" t="s">
        <v>20</v>
      </c>
      <c r="M3069" t="s">
        <v>6438</v>
      </c>
      <c r="N3069" t="s">
        <v>14</v>
      </c>
    </row>
    <row r="3070" x14ac:dyDescent="0.25">
      <c r="A3070" t="n">
        <v>25</v>
      </c>
      <c r="B3070" t="s">
        <v>14</v>
      </c>
      <c r="C3070" t="s">
        <v>22</v>
      </c>
      <c r="D3070" s="2" t="s">
        <f>=HYPERLINK("https://main.knesset.gov.il/APPS/legislation/main/bills/2217247", "הצעת חוק משפחות חיילים שנספו במערכה (תגמולים ושיקום) (תיקון - תגמולי הורים, יתומים ואחים שכולים), התשפ""ד -2024")</f>
        <v>6443</v>
      </c>
      <c r="E3070" t="s">
        <v>6443</v>
      </c>
      <c r="F3070" t="s">
        <v>6444</v>
      </c>
      <c r="G3070" t="s">
        <v>14</v>
      </c>
      <c r="H3070">
             </c>
      <c r="I3070" t="s">
        <v>14</v>
      </c>
      <c r="J3070" t="s">
        <v>141</v>
      </c>
      <c r="K3070" t="s">
        <v>14</v>
      </c>
      <c r="L3070" t="s">
        <v>20</v>
      </c>
      <c r="M3070" t="s">
        <v>6438</v>
      </c>
      <c r="N3070" t="s">
        <v>14</v>
      </c>
    </row>
    <row r="3071" x14ac:dyDescent="0.25">
      <c r="A3071" t="n">
        <v>25</v>
      </c>
      <c r="B3071" t="s">
        <v>14</v>
      </c>
      <c r="C3071" t="s">
        <v>22</v>
      </c>
      <c r="D3071" s="2" t="s">
        <f>=HYPERLINK("https://main.knesset.gov.il/APPS/legislation/main/bills/2217295", "הצעת חוק לימוד חובה (תיקון - איסור על גביית תשלומי הורים), התשפ""ד-2024")</f>
        <v>6445</v>
      </c>
      <c r="E3071" t="s">
        <v>6445</v>
      </c>
      <c r="F3071" t="s">
        <v>6446</v>
      </c>
      <c r="G3071" t="s">
        <v>14</v>
      </c>
      <c r="H3071">
             </c>
      <c r="I3071" t="s">
        <v>14</v>
      </c>
      <c r="J3071" t="s">
        <v>141</v>
      </c>
      <c r="K3071" t="s">
        <v>14</v>
      </c>
      <c r="L3071" t="s">
        <v>20</v>
      </c>
      <c r="M3071" t="s">
        <v>6438</v>
      </c>
      <c r="N3071" t="s">
        <v>14</v>
      </c>
    </row>
    <row r="3072" x14ac:dyDescent="0.25">
      <c r="A3072" t="n">
        <v>25</v>
      </c>
      <c r="B3072" t="s">
        <v>14</v>
      </c>
      <c r="C3072" t="s">
        <v>22</v>
      </c>
      <c r="D3072" s="2" t="s">
        <f>=HYPERLINK("https://main.knesset.gov.il/APPS/legislation/main/bills/2217080", "הצעת חוק החלת הריבונות הישראלית על בקעת הירדן, התשפ""ד-2024")</f>
        <v>6447</v>
      </c>
      <c r="E3072" t="s">
        <v>6447</v>
      </c>
      <c r="F3072" t="s">
        <v>6448</v>
      </c>
      <c r="G3072" t="s">
        <v>14</v>
      </c>
      <c r="H3072">
             </c>
      <c r="I3072" t="s">
        <v>14</v>
      </c>
      <c r="J3072" t="s">
        <v>141</v>
      </c>
      <c r="K3072" t="s">
        <v>14</v>
      </c>
      <c r="L3072" t="s">
        <v>20</v>
      </c>
      <c r="M3072" t="s">
        <v>6438</v>
      </c>
      <c r="N3072" t="s">
        <v>14</v>
      </c>
    </row>
    <row r="3073" x14ac:dyDescent="0.25">
      <c r="A3073" t="n">
        <v>25</v>
      </c>
      <c r="B3073" t="s">
        <v>14</v>
      </c>
      <c r="C3073" t="s">
        <v>22</v>
      </c>
      <c r="D3073" s="2" t="s">
        <f>=HYPERLINK("https://main.knesset.gov.il/APPS/legislation/main/bills/2217011", "הצעת חוק לעידוד תחבורת אופניים (שילוב אופניים בתחבורה ציבורית ותמריצים לשימוש בהם), התשפ""ד-2024")</f>
        <v>6449</v>
      </c>
      <c r="E3073" t="s">
        <v>6449</v>
      </c>
      <c r="F3073" t="s">
        <v>6450</v>
      </c>
      <c r="G3073" t="s">
        <v>14</v>
      </c>
      <c r="H3073">
             </c>
      <c r="I3073" t="s">
        <v>14</v>
      </c>
      <c r="J3073" t="s">
        <v>141</v>
      </c>
      <c r="K3073" t="s">
        <v>14</v>
      </c>
      <c r="L3073" t="s">
        <v>20</v>
      </c>
      <c r="M3073" t="s">
        <v>6438</v>
      </c>
      <c r="N3073" t="s">
        <v>14</v>
      </c>
    </row>
    <row r="3074" x14ac:dyDescent="0.25">
      <c r="A3074" t="n">
        <v>25</v>
      </c>
      <c r="B3074" t="s">
        <v>14</v>
      </c>
      <c r="C3074" t="s">
        <v>22</v>
      </c>
      <c r="D3074" s="2" t="s">
        <f>=HYPERLINK("https://main.knesset.gov.il/APPS/legislation/main/bills/2217568", "הצעת חוק הכרה אזרחית בהכשרות צבאיות (תיקון - הכרה בניסיון פיקודי כניסיון ניהולי), התשפ""ד-2024")</f>
        <v>6451</v>
      </c>
      <c r="E3074" t="s">
        <v>6451</v>
      </c>
      <c r="F3074" t="s">
        <v>6452</v>
      </c>
      <c r="G3074" t="s">
        <v>14</v>
      </c>
      <c r="H3074">
             </c>
      <c r="I3074" t="s">
        <v>14</v>
      </c>
      <c r="J3074" t="s">
        <v>141</v>
      </c>
      <c r="K3074" t="s">
        <v>14</v>
      </c>
      <c r="L3074" t="s">
        <v>20</v>
      </c>
      <c r="M3074" t="s">
        <v>6438</v>
      </c>
      <c r="N3074" t="s">
        <v>14</v>
      </c>
    </row>
    <row r="3075" x14ac:dyDescent="0.25">
      <c r="A3075" t="n">
        <v>25</v>
      </c>
      <c r="B3075" t="s">
        <v>14</v>
      </c>
      <c r="C3075" t="s">
        <v>22</v>
      </c>
      <c r="D3075" s="2" t="s">
        <f>=HYPERLINK("https://main.knesset.gov.il/APPS/legislation/main/bills/2216984", "הצעת חוק התחרות הכלכלית (תיקון - הכרזה על קיום מונופולין ואיסור על מחיר מופרז וטורפני), התשפ""ד-2024")</f>
        <v>6453</v>
      </c>
      <c r="E3075" t="s">
        <v>6453</v>
      </c>
      <c r="F3075" t="s">
        <v>6454</v>
      </c>
      <c r="G3075" t="s">
        <v>14</v>
      </c>
      <c r="H3075">
             </c>
      <c r="I3075" t="s">
        <v>14</v>
      </c>
      <c r="J3075" t="s">
        <v>141</v>
      </c>
      <c r="K3075" t="s">
        <v>14</v>
      </c>
      <c r="L3075" t="s">
        <v>20</v>
      </c>
      <c r="M3075" t="s">
        <v>6438</v>
      </c>
      <c r="N3075" t="s">
        <v>14</v>
      </c>
    </row>
    <row r="3076" x14ac:dyDescent="0.25">
      <c r="A3076" t="n">
        <v>25</v>
      </c>
      <c r="B3076" t="s">
        <v>14</v>
      </c>
      <c r="C3076" t="s">
        <v>22</v>
      </c>
      <c r="D3076" s="2" t="s">
        <f>=HYPERLINK("https://main.knesset.gov.il/APPS/legislation/main/bills/2217569", "הצעת חוק עיטור הפציעה הקרבית, התשפ""ד-2024")</f>
        <v>6455</v>
      </c>
      <c r="E3076" t="s">
        <v>6455</v>
      </c>
      <c r="F3076" t="s">
        <v>6456</v>
      </c>
      <c r="G3076" t="s">
        <v>14</v>
      </c>
      <c r="H3076">
             </c>
      <c r="I3076" t="s">
        <v>14</v>
      </c>
      <c r="J3076" t="s">
        <v>141</v>
      </c>
      <c r="K3076" t="s">
        <v>14</v>
      </c>
      <c r="L3076" t="s">
        <v>20</v>
      </c>
      <c r="M3076" t="s">
        <v>6438</v>
      </c>
      <c r="N3076" t="s">
        <v>14</v>
      </c>
    </row>
    <row r="3077" x14ac:dyDescent="0.25">
      <c r="A3077" t="n">
        <v>25</v>
      </c>
      <c r="B3077" t="s">
        <v>14</v>
      </c>
      <c r="C3077" t="s">
        <v>22</v>
      </c>
      <c r="D3077" s="2" t="s">
        <f>=HYPERLINK("https://main.knesset.gov.il/APPS/legislation/main/bills/2217016", "הצעת חוק התחרות הכלכלית (תיקון - הגברת השקיפות של דיוני הוועדה לפטורים ולמיזוגים), התשפ""ד-2024")</f>
        <v>6457</v>
      </c>
      <c r="E3077" t="s">
        <v>6457</v>
      </c>
      <c r="F3077" t="s">
        <v>6458</v>
      </c>
      <c r="G3077" t="s">
        <v>14</v>
      </c>
      <c r="H3077">
             </c>
      <c r="I3077" t="s">
        <v>14</v>
      </c>
      <c r="J3077" t="s">
        <v>141</v>
      </c>
      <c r="K3077" t="s">
        <v>14</v>
      </c>
      <c r="L3077" t="s">
        <v>20</v>
      </c>
      <c r="M3077" t="s">
        <v>6438</v>
      </c>
      <c r="N3077" t="s">
        <v>14</v>
      </c>
    </row>
    <row r="3078" x14ac:dyDescent="0.25">
      <c r="A3078" t="n">
        <v>25</v>
      </c>
      <c r="B3078" t="s">
        <v>14</v>
      </c>
      <c r="C3078" t="s">
        <v>22</v>
      </c>
      <c r="D3078" s="2" t="s">
        <f>=HYPERLINK("https://main.knesset.gov.il/APPS/legislation/main/bills/2216985", "הצעת חוק שמירת הסביבה החופית (תיקון - התאמת תוכניות ישנות), התשפ""ד-2024")</f>
        <v>6459</v>
      </c>
      <c r="E3078" t="s">
        <v>6459</v>
      </c>
      <c r="F3078" t="s">
        <v>6460</v>
      </c>
      <c r="G3078" t="s">
        <v>14</v>
      </c>
      <c r="H3078">
             </c>
      <c r="I3078" t="s">
        <v>14</v>
      </c>
      <c r="J3078" t="s">
        <v>141</v>
      </c>
      <c r="K3078" t="s">
        <v>14</v>
      </c>
      <c r="L3078" t="s">
        <v>20</v>
      </c>
      <c r="M3078" t="s">
        <v>6438</v>
      </c>
      <c r="N3078" t="s">
        <v>14</v>
      </c>
    </row>
    <row r="3079" x14ac:dyDescent="0.25">
      <c r="A3079" t="n">
        <v>25</v>
      </c>
      <c r="B3079" t="s">
        <v>14</v>
      </c>
      <c r="C3079" t="s">
        <v>22</v>
      </c>
      <c r="D3079" s="2" t="s">
        <f>=HYPERLINK("https://main.knesset.gov.il/APPS/legislation/main/bills/2217209", "הצעת חוק מאבק בארגוני פשיעה (תיקון - הרחבת הנסיבה המחמירה לזיקה בארגון פשיעה), התשפ""ד-2024")</f>
        <v>6461</v>
      </c>
      <c r="E3079" t="s">
        <v>6461</v>
      </c>
      <c r="F3079" t="s">
        <v>6462</v>
      </c>
      <c r="G3079" t="s">
        <v>14</v>
      </c>
      <c r="H3079">
             </c>
      <c r="I3079" t="s">
        <v>14</v>
      </c>
      <c r="J3079" t="s">
        <v>141</v>
      </c>
      <c r="K3079" t="s">
        <v>14</v>
      </c>
      <c r="L3079" t="s">
        <v>20</v>
      </c>
      <c r="M3079" t="s">
        <v>6438</v>
      </c>
      <c r="N3079" t="s">
        <v>14</v>
      </c>
    </row>
    <row r="3080" x14ac:dyDescent="0.25">
      <c r="A3080" t="n">
        <v>25</v>
      </c>
      <c r="B3080" t="s">
        <v>14</v>
      </c>
      <c r="C3080" t="s">
        <v>22</v>
      </c>
      <c r="D3080" s="2" t="s">
        <f>=HYPERLINK("https://main.knesset.gov.il/APPS/legislation/main/bills/2217085", "הצעת חוק המתווכים במקרקעין (תיקון - הגבלת דמי תיווך), התשפ""ד-2024")</f>
        <v>6463</v>
      </c>
      <c r="E3080" t="s">
        <v>6463</v>
      </c>
      <c r="F3080" t="s">
        <v>6464</v>
      </c>
      <c r="G3080" t="s">
        <v>14</v>
      </c>
      <c r="H3080">
             </c>
      <c r="I3080" t="s">
        <v>14</v>
      </c>
      <c r="J3080" t="s">
        <v>141</v>
      </c>
      <c r="K3080" t="s">
        <v>14</v>
      </c>
      <c r="L3080" t="s">
        <v>20</v>
      </c>
      <c r="M3080" t="s">
        <v>6438</v>
      </c>
      <c r="N3080" t="s">
        <v>14</v>
      </c>
    </row>
    <row r="3081" x14ac:dyDescent="0.25">
      <c r="A3081" t="n">
        <v>25</v>
      </c>
      <c r="B3081" t="s">
        <v>14</v>
      </c>
      <c r="C3081" t="s">
        <v>22</v>
      </c>
      <c r="D3081" s="2" t="s">
        <f>=HYPERLINK("https://main.knesset.gov.il/APPS/legislation/main/bills/2217010", "הצעת חוק התכנון והבנייה (תיקון - תסקיר תחבורה ציבורית), התשפ""ד-2024")</f>
        <v>6465</v>
      </c>
      <c r="E3081" t="s">
        <v>6465</v>
      </c>
      <c r="F3081" t="s">
        <v>6466</v>
      </c>
      <c r="G3081" t="s">
        <v>14</v>
      </c>
      <c r="H3081">
             </c>
      <c r="I3081" t="s">
        <v>14</v>
      </c>
      <c r="J3081" t="s">
        <v>141</v>
      </c>
      <c r="K3081" t="s">
        <v>14</v>
      </c>
      <c r="L3081" t="s">
        <v>20</v>
      </c>
      <c r="M3081" t="s">
        <v>6438</v>
      </c>
      <c r="N3081" t="s">
        <v>14</v>
      </c>
    </row>
    <row r="3082" x14ac:dyDescent="0.25">
      <c r="A3082" t="n">
        <v>25</v>
      </c>
      <c r="B3082" t="s">
        <v>14</v>
      </c>
      <c r="C3082" t="s">
        <v>22</v>
      </c>
      <c r="D3082" s="2" t="s">
        <f>=HYPERLINK("https://main.knesset.gov.il/APPS/legislation/main/bills/2217429", "הצעת חוק הכנסת (תיקון - כינוס הכנסת במצב מלחמה), התשפ""ד-2024")</f>
        <v>6467</v>
      </c>
      <c r="E3082" t="s">
        <v>6467</v>
      </c>
      <c r="F3082" t="s">
        <v>6468</v>
      </c>
      <c r="G3082" t="s">
        <v>14</v>
      </c>
      <c r="H3082">
             </c>
      <c r="I3082" t="s">
        <v>14</v>
      </c>
      <c r="J3082" t="s">
        <v>141</v>
      </c>
      <c r="K3082" t="s">
        <v>14</v>
      </c>
      <c r="L3082" t="s">
        <v>20</v>
      </c>
      <c r="M3082" t="s">
        <v>6438</v>
      </c>
      <c r="N3082" t="s">
        <v>14</v>
      </c>
    </row>
    <row r="3083" x14ac:dyDescent="0.25">
      <c r="A3083" t="n">
        <v>25</v>
      </c>
      <c r="B3083" t="s">
        <v>14</v>
      </c>
      <c r="C3083" t="s">
        <v>22</v>
      </c>
      <c r="D3083" s="2" t="s">
        <f>=HYPERLINK("https://main.knesset.gov.il/APPS/legislation/main/bills/2216097", "הצעת חוק העונשין (תיקון - החמרת ענישה בעבירות ביזה) (הוראת שעה), התשפ""ד-2024")</f>
        <v>6469</v>
      </c>
      <c r="E3083" t="s">
        <v>6469</v>
      </c>
      <c r="F3083" t="s">
        <v>6470</v>
      </c>
      <c r="G3083" t="s">
        <v>14</v>
      </c>
      <c r="H3083">
             </c>
      <c r="I3083" t="s">
        <v>14</v>
      </c>
      <c r="J3083" t="s">
        <v>141</v>
      </c>
      <c r="K3083" t="s">
        <v>14</v>
      </c>
      <c r="L3083" t="s">
        <v>20</v>
      </c>
      <c r="M3083" t="s">
        <v>6438</v>
      </c>
      <c r="N3083" t="s">
        <v>14</v>
      </c>
    </row>
    <row r="3084" x14ac:dyDescent="0.25">
      <c r="A3084" t="n">
        <v>25</v>
      </c>
      <c r="B3084" t="s">
        <v>14</v>
      </c>
      <c r="C3084" t="s">
        <v>22</v>
      </c>
      <c r="D3084" s="2" t="s">
        <f>=HYPERLINK("https://main.knesset.gov.il/APPS/legislation/main/bills/2217252", "הצעת חוק זיכרון השואה והגבורה - יד ושם (תיקון - הנצחת גבורתם ופעילותם של יהודים שחרפו נפשם על מנת להציל את בני עמם בשטחים הכבושים על ידי הנאצים), התשפ""ד-2024")</f>
        <v>5835</v>
      </c>
      <c r="E3084" t="s">
        <v>5835</v>
      </c>
      <c r="F3084" t="s">
        <v>6471</v>
      </c>
      <c r="G3084" t="s">
        <v>14</v>
      </c>
      <c r="H3084">
             </c>
      <c r="I3084" t="s">
        <v>14</v>
      </c>
      <c r="J3084" t="s">
        <v>141</v>
      </c>
      <c r="K3084" t="s">
        <v>14</v>
      </c>
      <c r="L3084" t="s">
        <v>20</v>
      </c>
      <c r="M3084" t="s">
        <v>6438</v>
      </c>
      <c r="N3084" t="s">
        <v>14</v>
      </c>
    </row>
    <row r="3085" x14ac:dyDescent="0.25">
      <c r="A3085" t="n">
        <v>25</v>
      </c>
      <c r="B3085" t="s">
        <v>14</v>
      </c>
      <c r="C3085" t="s">
        <v>22</v>
      </c>
      <c r="D3085" s="2" t="s">
        <f>=HYPERLINK("https://main.knesset.gov.il/APPS/legislation/main/bills/2217178", "הצעת חוק מימון מפלגות (תיקון - שלילת מימון ממפלגה שקוראת להטלת חרם על מדינת ישראל), התשפ""ד-2024")</f>
        <v>6472</v>
      </c>
      <c r="E3085" t="s">
        <v>6472</v>
      </c>
      <c r="F3085" t="s">
        <v>6473</v>
      </c>
      <c r="G3085" t="s">
        <v>14</v>
      </c>
      <c r="H3085">
             </c>
      <c r="I3085" t="s">
        <v>14</v>
      </c>
      <c r="J3085" t="s">
        <v>141</v>
      </c>
      <c r="K3085" t="s">
        <v>14</v>
      </c>
      <c r="L3085" t="s">
        <v>20</v>
      </c>
      <c r="M3085" t="s">
        <v>6438</v>
      </c>
      <c r="N3085" t="s">
        <v>14</v>
      </c>
    </row>
    <row r="3086" x14ac:dyDescent="0.25">
      <c r="A3086" t="n">
        <v>25</v>
      </c>
      <c r="B3086" t="s">
        <v>14</v>
      </c>
      <c r="C3086" t="s">
        <v>22</v>
      </c>
      <c r="D3086" s="2" t="s">
        <f>=HYPERLINK("https://main.knesset.gov.il/APPS/legislation/main/bills/2217177", "הצעת חוק הביטוח הלאומי (תיקון - מניין הימים לעניין מבוטח בשירות מילואים בנסיבות חירום), התשפ""ד-2024")</f>
        <v>6474</v>
      </c>
      <c r="E3086" t="s">
        <v>6474</v>
      </c>
      <c r="F3086" t="s">
        <v>6475</v>
      </c>
      <c r="G3086" t="s">
        <v>14</v>
      </c>
      <c r="H3086">
             </c>
      <c r="I3086" t="s">
        <v>14</v>
      </c>
      <c r="J3086" t="s">
        <v>141</v>
      </c>
      <c r="K3086" t="s">
        <v>14</v>
      </c>
      <c r="L3086" t="s">
        <v>20</v>
      </c>
      <c r="M3086" t="s">
        <v>6438</v>
      </c>
      <c r="N3086" t="s">
        <v>14</v>
      </c>
    </row>
    <row r="3087" x14ac:dyDescent="0.25">
      <c r="A3087" t="n">
        <v>25</v>
      </c>
      <c r="B3087" t="s">
        <v>14</v>
      </c>
      <c r="C3087" t="s">
        <v>22</v>
      </c>
      <c r="D3087" s="2" t="s">
        <f>=HYPERLINK("https://main.knesset.gov.il/APPS/legislation/main/bills/2217337", "הצעת חוק שנת שירות, התשפ""ד-2024")</f>
        <v>5334</v>
      </c>
      <c r="E3087" t="s">
        <v>5334</v>
      </c>
      <c r="F3087" t="s">
        <v>6476</v>
      </c>
      <c r="G3087" t="s">
        <v>14</v>
      </c>
      <c r="H3087">
             </c>
      <c r="I3087" t="s">
        <v>14</v>
      </c>
      <c r="J3087" t="s">
        <v>343</v>
      </c>
      <c r="K3087" t="s">
        <v>14</v>
      </c>
      <c r="L3087" t="s">
        <v>20</v>
      </c>
      <c r="M3087" t="s">
        <v>6438</v>
      </c>
      <c r="N3087" t="s">
        <v>14</v>
      </c>
    </row>
    <row r="3088" x14ac:dyDescent="0.25">
      <c r="A3088" t="n">
        <v>25</v>
      </c>
      <c r="B3088" t="s">
        <v>14</v>
      </c>
      <c r="C3088" t="s">
        <v>22</v>
      </c>
      <c r="D3088" s="2" t="s">
        <f>=HYPERLINK("https://main.knesset.gov.il/APPS/legislation/main/bills/2217304", "הצעת חוק הכשרות לאנשי מקצוע בנושא זיהוי ודיווח על התעללות בילדים, התשפ""ד-2024")</f>
        <v>6477</v>
      </c>
      <c r="E3088" t="s">
        <v>6477</v>
      </c>
      <c r="F3088" t="s">
        <v>6478</v>
      </c>
      <c r="G3088" t="s">
        <v>14</v>
      </c>
      <c r="H3088">
             </c>
      <c r="I3088" t="s">
        <v>14</v>
      </c>
      <c r="J3088" t="s">
        <v>141</v>
      </c>
      <c r="K3088" t="s">
        <v>14</v>
      </c>
      <c r="L3088" t="s">
        <v>20</v>
      </c>
      <c r="M3088" t="s">
        <v>6438</v>
      </c>
      <c r="N3088" t="s">
        <v>14</v>
      </c>
    </row>
    <row r="3089" x14ac:dyDescent="0.25">
      <c r="A3089" t="n">
        <v>25</v>
      </c>
      <c r="B3089" t="s">
        <v>14</v>
      </c>
      <c r="C3089" t="s">
        <v>22</v>
      </c>
      <c r="D3089" s="2" t="s">
        <f>=HYPERLINK("https://main.knesset.gov.il/APPS/legislation/main/bills/2217261", "הצעת חוק עבודת נשים (תיקון - תקופת לידה והורות להורה אומנה), התשפ""ד-2024")</f>
        <v>6479</v>
      </c>
      <c r="E3089" t="s">
        <v>6479</v>
      </c>
      <c r="F3089" t="s">
        <v>6480</v>
      </c>
      <c r="G3089" t="s">
        <v>14</v>
      </c>
      <c r="H3089">
             </c>
      <c r="I3089" t="s">
        <v>14</v>
      </c>
      <c r="J3089" t="s">
        <v>141</v>
      </c>
      <c r="K3089" t="s">
        <v>14</v>
      </c>
      <c r="L3089" t="s">
        <v>20</v>
      </c>
      <c r="M3089" t="s">
        <v>6438</v>
      </c>
      <c r="N3089" t="s">
        <v>14</v>
      </c>
    </row>
    <row r="3090" x14ac:dyDescent="0.25">
      <c r="A3090" t="n">
        <v>25</v>
      </c>
      <c r="B3090" t="s">
        <v>14</v>
      </c>
      <c r="C3090" t="s">
        <v>22</v>
      </c>
      <c r="D3090" s="2" t="s">
        <f>=HYPERLINK("https://main.knesset.gov.il/APPS/legislation/main/bills/2216838", "הצעת חוק הסדרת העיסוק במקצועות הבריאות (תיקון - טיפול באמצעות בעלי חיים), התשפ""ד-2024")</f>
        <v>6481</v>
      </c>
      <c r="E3090" t="s">
        <v>6481</v>
      </c>
      <c r="F3090" t="s">
        <v>6482</v>
      </c>
      <c r="G3090" t="s">
        <v>14</v>
      </c>
      <c r="H3090">
             </c>
      <c r="I3090" t="s">
        <v>14</v>
      </c>
      <c r="J3090" t="s">
        <v>141</v>
      </c>
      <c r="K3090" t="s">
        <v>14</v>
      </c>
      <c r="L3090" t="s">
        <v>20</v>
      </c>
      <c r="M3090" t="s">
        <v>6438</v>
      </c>
      <c r="N3090" t="s">
        <v>14</v>
      </c>
    </row>
    <row r="3091" x14ac:dyDescent="0.25">
      <c r="A3091" t="n">
        <v>25</v>
      </c>
      <c r="B3091" t="s">
        <v>14</v>
      </c>
      <c r="C3091" t="s">
        <v>15</v>
      </c>
      <c r="D3091" s="2" t="s">
        <f>=HYPERLINK("https://main.knesset.gov.il/APPS/legislation/main/bills/2217526", "הצעת חוק הכניסה לישראל (תיקון מס' 40) (סמכויות קצין ביקורת הגבולות ופקח), התשפ""ד-2024")</f>
        <v>6483</v>
      </c>
      <c r="E3091" t="s">
        <v>6483</v>
      </c>
      <c r="F3091" t="s">
        <v>14</v>
      </c>
      <c r="G3091" t="s">
        <v>6484</v>
      </c>
      <c r="H3091">
             </c>
      <c r="I3091" t="s">
        <v>14</v>
      </c>
      <c r="J3091" t="s">
        <v>18</v>
      </c>
      <c r="K3091" t="s">
        <v>46</v>
      </c>
      <c r="L3091" t="s">
        <v>20</v>
      </c>
      <c r="M3091" t="s">
        <v>6438</v>
      </c>
      <c r="N3091" t="s">
        <v>14</v>
      </c>
    </row>
    <row r="3092" x14ac:dyDescent="0.25">
      <c r="A3092" t="n">
        <v>25</v>
      </c>
      <c r="B3092" t="s">
        <v>14</v>
      </c>
      <c r="C3092" t="s">
        <v>15</v>
      </c>
      <c r="D3092" s="2" t="s">
        <f>=HYPERLINK("https://main.knesset.gov.il/APPS/legislation/main/bills/2217783", "חוק לתיקון פקודת סדר הדין הפלילי (מעצר וחיפוש) (מס' 16), התשפ""ד–2024")</f>
        <v>6485</v>
      </c>
      <c r="E3092" t="s">
        <v>6485</v>
      </c>
      <c r="F3092" t="s">
        <v>14</v>
      </c>
      <c r="G3092" t="s">
        <v>6486</v>
      </c>
      <c r="H3092" t="n">
        <v>3211</v>
      </c>
      <c r="I3092" t="s">
        <v>14</v>
      </c>
      <c r="J3092" t="s">
        <v>91</v>
      </c>
      <c r="K3092" t="s">
        <v>105</v>
      </c>
      <c r="L3092" t="s">
        <v>20</v>
      </c>
      <c r="M3092" t="s">
        <v>6487</v>
      </c>
      <c r="N3092" t="s">
        <v>6488</v>
      </c>
    </row>
    <row r="3093" x14ac:dyDescent="0.25">
      <c r="A3093" t="n">
        <v>25</v>
      </c>
      <c r="B3093" t="s">
        <v>14</v>
      </c>
      <c r="C3093" t="s">
        <v>15</v>
      </c>
      <c r="D3093" s="2" t="s">
        <f>=HYPERLINK("https://main.knesset.gov.il/APPS/legislation/main/bills/2217541", "חוק כלי הירייה (תיקון מס' 24) (תיקון), התשפ""ד–2024")</f>
        <v>6489</v>
      </c>
      <c r="E3093" t="s">
        <v>6489</v>
      </c>
      <c r="F3093" t="s">
        <v>14</v>
      </c>
      <c r="G3093" t="s">
        <v>6490</v>
      </c>
      <c r="H3093" t="n">
        <v>3120</v>
      </c>
      <c r="I3093" t="s">
        <v>14</v>
      </c>
      <c r="J3093" t="s">
        <v>91</v>
      </c>
      <c r="K3093" t="s">
        <v>105</v>
      </c>
      <c r="L3093" t="s">
        <v>20</v>
      </c>
      <c r="M3093" t="s">
        <v>6487</v>
      </c>
      <c r="N3093" t="s">
        <v>6491</v>
      </c>
    </row>
    <row r="3094" x14ac:dyDescent="0.25">
      <c r="A3094" t="n">
        <v>25</v>
      </c>
      <c r="B3094" t="s">
        <v>14</v>
      </c>
      <c r="C3094" t="s">
        <v>15</v>
      </c>
      <c r="D3094" s="2" t="s">
        <f>=HYPERLINK("https://main.knesset.gov.il/APPS/legislation/main/bills/2217169", "חוק לייעול האכיפה והפיקוח העירוניים ברשויות המקומיות (הוראת שעה) (תיקון מס' 12), התשפ""ד-2024")</f>
        <v>6492</v>
      </c>
      <c r="E3094" t="s">
        <v>6492</v>
      </c>
      <c r="F3094" t="s">
        <v>14</v>
      </c>
      <c r="G3094" t="s">
        <v>6493</v>
      </c>
      <c r="H3094" t="n">
        <v>3209</v>
      </c>
      <c r="I3094" t="s">
        <v>14</v>
      </c>
      <c r="J3094" t="s">
        <v>91</v>
      </c>
      <c r="K3094" t="s">
        <v>105</v>
      </c>
      <c r="L3094" t="s">
        <v>20</v>
      </c>
      <c r="M3094" t="s">
        <v>6494</v>
      </c>
      <c r="N3094" t="s">
        <v>6495</v>
      </c>
    </row>
    <row r="3095" x14ac:dyDescent="0.25">
      <c r="A3095" t="n">
        <v>25</v>
      </c>
      <c r="B3095" t="s">
        <v>14</v>
      </c>
      <c r="C3095" t="s">
        <v>15</v>
      </c>
      <c r="D3095" s="2" t="s">
        <f>=HYPERLINK("https://main.knesset.gov.il/APPS/legislation/main/bills/2215710", "חוק שירותי הדת היהודיים (תיקון מס' 26), התשפ""ד-2024")</f>
        <v>6496</v>
      </c>
      <c r="E3095" t="s">
        <v>6496</v>
      </c>
      <c r="F3095" t="s">
        <v>14</v>
      </c>
      <c r="G3095" t="s">
        <v>6497</v>
      </c>
      <c r="H3095" t="n">
        <v>3206</v>
      </c>
      <c r="I3095" t="s">
        <v>14</v>
      </c>
      <c r="J3095" t="s">
        <v>91</v>
      </c>
      <c r="K3095" t="s">
        <v>85</v>
      </c>
      <c r="L3095" t="s">
        <v>20</v>
      </c>
      <c r="M3095" t="s">
        <v>6498</v>
      </c>
      <c r="N3095" t="s">
        <v>6499</v>
      </c>
    </row>
    <row r="3096" x14ac:dyDescent="0.25">
      <c r="A3096" t="n">
        <v>25</v>
      </c>
      <c r="B3096" t="s">
        <v>14</v>
      </c>
      <c r="C3096" t="s">
        <v>15</v>
      </c>
      <c r="D3096" s="2" t="s">
        <f>=HYPERLINK("https://main.knesset.gov.il/APPS/legislation/main/bills/2216638", "חוק כליאתם של לוחמים בלתי חוקיים (תיקון מס' 4 והוראת שעה – חרבות ברזל) (תיקון), התשפ""ד–2024")</f>
        <v>6500</v>
      </c>
      <c r="E3096" t="s">
        <v>6500</v>
      </c>
      <c r="F3096" t="s">
        <v>14</v>
      </c>
      <c r="G3096" t="s">
        <v>6501</v>
      </c>
      <c r="H3096" t="n">
        <v>3203</v>
      </c>
      <c r="I3096" t="s">
        <v>14</v>
      </c>
      <c r="J3096" t="s">
        <v>91</v>
      </c>
      <c r="K3096" t="s">
        <v>114</v>
      </c>
      <c r="L3096" t="s">
        <v>20</v>
      </c>
      <c r="M3096" t="s">
        <v>6498</v>
      </c>
      <c r="N3096" t="s">
        <v>6502</v>
      </c>
    </row>
    <row r="3097" x14ac:dyDescent="0.25">
      <c r="A3097" t="n">
        <v>25</v>
      </c>
      <c r="B3097" t="s">
        <v>14</v>
      </c>
      <c r="C3097" t="s">
        <v>22</v>
      </c>
      <c r="D3097" s="2" t="s">
        <f>=HYPERLINK("https://main.knesset.gov.il/APPS/legislation/main/bills/2216953", "הצעת חוק מעמדן של ההסתדרות הציונית העולמית ושל הסוכנות היהודית לארץ ישראל (תיקון - הסדרת מעמדה של החטיבה להתיישבות בקידום התיישבות כפרית ובעיירות פיתוח), התשפ""ד-2024")</f>
        <v>6503</v>
      </c>
      <c r="E3097" t="s">
        <v>6503</v>
      </c>
      <c r="F3097" t="s">
        <v>6504</v>
      </c>
      <c r="G3097" t="s">
        <v>14</v>
      </c>
      <c r="H3097">
             </c>
      <c r="I3097" t="s">
        <v>14</v>
      </c>
      <c r="J3097" t="s">
        <v>343</v>
      </c>
      <c r="K3097" t="s">
        <v>14</v>
      </c>
      <c r="L3097" t="s">
        <v>20</v>
      </c>
      <c r="M3097" t="s">
        <v>6498</v>
      </c>
      <c r="N3097" t="s">
        <v>14</v>
      </c>
    </row>
    <row r="3098" x14ac:dyDescent="0.25">
      <c r="A3098" t="n">
        <v>25</v>
      </c>
      <c r="B3098" t="s">
        <v>14</v>
      </c>
      <c r="C3098" t="s">
        <v>22</v>
      </c>
      <c r="D3098" s="2" t="s">
        <f>=HYPERLINK("https://main.knesset.gov.il/APPS/legislation/main/bills/2216632", "הצעת חוק מערך רפואה מונעת בגוף ביטחוני, התשפ""ד-2024")</f>
        <v>6505</v>
      </c>
      <c r="E3098" t="s">
        <v>6505</v>
      </c>
      <c r="F3098" t="s">
        <v>6506</v>
      </c>
      <c r="G3098" t="s">
        <v>14</v>
      </c>
      <c r="H3098">
             </c>
      <c r="I3098" t="s">
        <v>14</v>
      </c>
      <c r="J3098" t="s">
        <v>141</v>
      </c>
      <c r="K3098" t="s">
        <v>14</v>
      </c>
      <c r="L3098" t="s">
        <v>20</v>
      </c>
      <c r="M3098" t="s">
        <v>6498</v>
      </c>
      <c r="N3098" t="s">
        <v>14</v>
      </c>
    </row>
    <row r="3099" x14ac:dyDescent="0.25">
      <c r="A3099" t="n">
        <v>25</v>
      </c>
      <c r="B3099" t="s">
        <v>14</v>
      </c>
      <c r="C3099" t="s">
        <v>22</v>
      </c>
      <c r="D3099" s="2" t="s">
        <f>=HYPERLINK("https://main.knesset.gov.il/APPS/legislation/main/bills/2215901", "הצעת חוק ועדת חקירה לאירועים שקדמו למלחמת חרבות ברזל, התשפ""ד-2024")</f>
        <v>6507</v>
      </c>
      <c r="E3099" t="s">
        <v>6507</v>
      </c>
      <c r="F3099" t="s">
        <v>6508</v>
      </c>
      <c r="G3099" t="s">
        <v>14</v>
      </c>
      <c r="H3099">
             </c>
      <c r="I3099" t="s">
        <v>14</v>
      </c>
      <c r="J3099" t="s">
        <v>141</v>
      </c>
      <c r="K3099" t="s">
        <v>14</v>
      </c>
      <c r="L3099" t="s">
        <v>20</v>
      </c>
      <c r="M3099" t="s">
        <v>6498</v>
      </c>
      <c r="N3099" t="s">
        <v>14</v>
      </c>
    </row>
    <row r="3100" x14ac:dyDescent="0.25">
      <c r="A3100" t="n">
        <v>25</v>
      </c>
      <c r="B3100" t="s">
        <v>14</v>
      </c>
      <c r="C3100" t="s">
        <v>22</v>
      </c>
      <c r="D3100" s="2" t="s">
        <f>=HYPERLINK("https://main.knesset.gov.il/APPS/legislation/main/bills/2216960", "הצעת חוק זכאות לאבחון לקויות למידה לילדים ממשפחות מעוטות יכולת, התשפ""ד-2024")</f>
        <v>6509</v>
      </c>
      <c r="E3100" t="s">
        <v>6509</v>
      </c>
      <c r="F3100" t="s">
        <v>6510</v>
      </c>
      <c r="G3100" t="s">
        <v>14</v>
      </c>
      <c r="H3100">
             </c>
      <c r="I3100" t="s">
        <v>14</v>
      </c>
      <c r="J3100" t="s">
        <v>141</v>
      </c>
      <c r="K3100" t="s">
        <v>14</v>
      </c>
      <c r="L3100" t="s">
        <v>20</v>
      </c>
      <c r="M3100" t="s">
        <v>6498</v>
      </c>
      <c r="N3100" t="s">
        <v>14</v>
      </c>
    </row>
    <row r="3101" x14ac:dyDescent="0.25">
      <c r="A3101" t="n">
        <v>25</v>
      </c>
      <c r="B3101" t="s">
        <v>14</v>
      </c>
      <c r="C3101" t="s">
        <v>22</v>
      </c>
      <c r="D3101" s="2" t="s">
        <f>=HYPERLINK("https://main.knesset.gov.il/APPS/legislation/main/bills/2215813", "הצעת חוק העונשין (תיקון - החמרת ענישה על החזקת מכשיר לשיבוש תדרי קליטה), התשפ""ד-2024")</f>
        <v>6511</v>
      </c>
      <c r="E3101" t="s">
        <v>6511</v>
      </c>
      <c r="F3101" t="s">
        <v>6512</v>
      </c>
      <c r="G3101" t="s">
        <v>14</v>
      </c>
      <c r="H3101">
             </c>
      <c r="I3101" t="s">
        <v>14</v>
      </c>
      <c r="J3101" t="s">
        <v>141</v>
      </c>
      <c r="K3101" t="s">
        <v>14</v>
      </c>
      <c r="L3101" t="s">
        <v>20</v>
      </c>
      <c r="M3101" t="s">
        <v>6498</v>
      </c>
      <c r="N3101" t="s">
        <v>14</v>
      </c>
    </row>
    <row r="3102" x14ac:dyDescent="0.25">
      <c r="A3102" t="n">
        <v>25</v>
      </c>
      <c r="B3102" t="s">
        <v>14</v>
      </c>
      <c r="C3102" t="s">
        <v>22</v>
      </c>
      <c r="D3102" s="2" t="s">
        <f>=HYPERLINK("https://main.knesset.gov.il/APPS/legislation/main/bills/2215667", "הצעת חוק הבחירות (דרכי תעמולה) (תיקון - הגבלות על תעמולת בחירות שבה התייחסות לאנשים שהלכו לעולמם), התשפ""ד-2024")</f>
        <v>6513</v>
      </c>
      <c r="E3102" t="s">
        <v>6513</v>
      </c>
      <c r="F3102" t="s">
        <v>6514</v>
      </c>
      <c r="G3102" t="s">
        <v>14</v>
      </c>
      <c r="H3102">
             </c>
      <c r="I3102" t="s">
        <v>14</v>
      </c>
      <c r="J3102" t="s">
        <v>141</v>
      </c>
      <c r="K3102" t="s">
        <v>14</v>
      </c>
      <c r="L3102" t="s">
        <v>20</v>
      </c>
      <c r="M3102" t="s">
        <v>6498</v>
      </c>
      <c r="N3102" t="s">
        <v>14</v>
      </c>
    </row>
    <row r="3103" x14ac:dyDescent="0.25">
      <c r="A3103" t="n">
        <v>25</v>
      </c>
      <c r="B3103" t="s">
        <v>14</v>
      </c>
      <c r="C3103" t="s">
        <v>22</v>
      </c>
      <c r="D3103" s="2" t="s">
        <f>=HYPERLINK("https://main.knesset.gov.il/APPS/legislation/main/bills/2214514", "הצעת חוק העונשין (תיקון - עונש מוות על-תנאי למי שהורשע במעשה טרור של רצח בנסיבות מחמירות), התשפ""ד-2024")</f>
        <v>6515</v>
      </c>
      <c r="E3103" t="s">
        <v>6515</v>
      </c>
      <c r="F3103" t="s">
        <v>6516</v>
      </c>
      <c r="G3103" t="s">
        <v>14</v>
      </c>
      <c r="H3103">
             </c>
      <c r="I3103" t="s">
        <v>14</v>
      </c>
      <c r="J3103" t="s">
        <v>141</v>
      </c>
      <c r="K3103" t="s">
        <v>14</v>
      </c>
      <c r="L3103" t="s">
        <v>20</v>
      </c>
      <c r="M3103" t="s">
        <v>6498</v>
      </c>
      <c r="N3103" t="s">
        <v>14</v>
      </c>
    </row>
    <row r="3104" x14ac:dyDescent="0.25">
      <c r="A3104" t="n">
        <v>25</v>
      </c>
      <c r="B3104" t="s">
        <v>14</v>
      </c>
      <c r="C3104" t="s">
        <v>22</v>
      </c>
      <c r="D3104" s="2" t="s">
        <f>=HYPERLINK("https://main.knesset.gov.il/APPS/legislation/main/bills/2216979", "הצעת חוק הסדרת הטיפול בחולי נפש (תיקוני חקיקה), התשפ""ד-2024")</f>
        <v>6517</v>
      </c>
      <c r="E3104" t="s">
        <v>6517</v>
      </c>
      <c r="F3104" t="s">
        <v>6518</v>
      </c>
      <c r="G3104" t="s">
        <v>14</v>
      </c>
      <c r="H3104">
             </c>
      <c r="I3104" t="s">
        <v>14</v>
      </c>
      <c r="J3104" t="s">
        <v>141</v>
      </c>
      <c r="K3104" t="s">
        <v>14</v>
      </c>
      <c r="L3104" t="s">
        <v>20</v>
      </c>
      <c r="M3104" t="s">
        <v>6498</v>
      </c>
      <c r="N3104" t="s">
        <v>14</v>
      </c>
    </row>
    <row r="3105" x14ac:dyDescent="0.25">
      <c r="A3105" t="n">
        <v>25</v>
      </c>
      <c r="B3105" t="s">
        <v>14</v>
      </c>
      <c r="C3105" t="s">
        <v>22</v>
      </c>
      <c r="D3105" s="2" t="s">
        <f>=HYPERLINK("https://main.knesset.gov.il/APPS/legislation/main/bills/2216756", "הצעת חוק לתיקון פקודת מס הכנסה (משיכה מקרן השתלמות לתושבי יישובים מפונים) (הוראת שעה - חרבות הברזל), התשפ""ד-2024")</f>
        <v>6519</v>
      </c>
      <c r="E3105" t="s">
        <v>6519</v>
      </c>
      <c r="F3105" t="s">
        <v>6520</v>
      </c>
      <c r="G3105" t="s">
        <v>14</v>
      </c>
      <c r="H3105">
             </c>
      <c r="I3105" t="s">
        <v>14</v>
      </c>
      <c r="J3105" t="s">
        <v>141</v>
      </c>
      <c r="K3105" t="s">
        <v>14</v>
      </c>
      <c r="L3105" t="s">
        <v>20</v>
      </c>
      <c r="M3105" t="s">
        <v>6498</v>
      </c>
      <c r="N3105" t="s">
        <v>14</v>
      </c>
    </row>
    <row r="3106" x14ac:dyDescent="0.25">
      <c r="A3106" t="n">
        <v>25</v>
      </c>
      <c r="B3106" t="s">
        <v>14</v>
      </c>
      <c r="C3106" t="s">
        <v>22</v>
      </c>
      <c r="D3106" s="2" t="s">
        <f>=HYPERLINK("https://main.knesset.gov.il/APPS/legislation/main/bills/2217072", "הצעת חוק התקנת מצלמות לשם הגנה על פעוטות במעונות יום לפעוטות (תיקון - החלה על גני ילדים והגברת האכיפה), התשפ""ד-2024")</f>
        <v>6521</v>
      </c>
      <c r="E3106" t="s">
        <v>6521</v>
      </c>
      <c r="F3106" t="s">
        <v>6522</v>
      </c>
      <c r="G3106" t="s">
        <v>14</v>
      </c>
      <c r="H3106">
             </c>
      <c r="I3106" t="s">
        <v>14</v>
      </c>
      <c r="J3106" t="s">
        <v>141</v>
      </c>
      <c r="K3106" t="s">
        <v>14</v>
      </c>
      <c r="L3106" t="s">
        <v>20</v>
      </c>
      <c r="M3106" t="s">
        <v>6498</v>
      </c>
      <c r="N3106" t="s">
        <v>14</v>
      </c>
    </row>
    <row r="3107" x14ac:dyDescent="0.25">
      <c r="A3107" t="n">
        <v>25</v>
      </c>
      <c r="B3107" t="s">
        <v>14</v>
      </c>
      <c r="C3107" t="s">
        <v>22</v>
      </c>
      <c r="D3107" s="2" t="s">
        <f>=HYPERLINK("https://main.knesset.gov.il/APPS/legislation/main/bills/2215836", "הצעת חוק הגנה על בסיסי צה""ל (תיקוני חקיקה), התשפ""ד-2024 ")</f>
        <v>6523</v>
      </c>
      <c r="E3107" t="s">
        <v>6523</v>
      </c>
      <c r="F3107" t="s">
        <v>6524</v>
      </c>
      <c r="G3107" t="s">
        <v>14</v>
      </c>
      <c r="H3107">
             </c>
      <c r="I3107" t="s">
        <v>14</v>
      </c>
      <c r="J3107" t="s">
        <v>141</v>
      </c>
      <c r="K3107" t="s">
        <v>14</v>
      </c>
      <c r="L3107" t="s">
        <v>20</v>
      </c>
      <c r="M3107" t="s">
        <v>6498</v>
      </c>
      <c r="N3107" t="s">
        <v>14</v>
      </c>
    </row>
    <row r="3108" x14ac:dyDescent="0.25">
      <c r="A3108" t="n">
        <v>25</v>
      </c>
      <c r="B3108" t="s">
        <v>14</v>
      </c>
      <c r="C3108" t="s">
        <v>22</v>
      </c>
      <c r="D3108" s="2" t="s">
        <f>=HYPERLINK("https://main.knesset.gov.il/APPS/legislation/main/bills/2216421", "הצעת חוק הצבעת מתנדבי השירות האזרחי (תיקוני חקיקה), התשפ""ד-2024")</f>
        <v>6525</v>
      </c>
      <c r="E3108" t="s">
        <v>6525</v>
      </c>
      <c r="F3108" t="s">
        <v>6526</v>
      </c>
      <c r="G3108" t="s">
        <v>14</v>
      </c>
      <c r="H3108">
             </c>
      <c r="I3108" t="s">
        <v>14</v>
      </c>
      <c r="J3108" t="s">
        <v>141</v>
      </c>
      <c r="K3108" t="s">
        <v>14</v>
      </c>
      <c r="L3108" t="s">
        <v>20</v>
      </c>
      <c r="M3108" t="s">
        <v>6498</v>
      </c>
      <c r="N3108" t="s">
        <v>14</v>
      </c>
    </row>
    <row r="3109" x14ac:dyDescent="0.25">
      <c r="A3109" t="n">
        <v>25</v>
      </c>
      <c r="B3109" t="s">
        <v>14</v>
      </c>
      <c r="C3109" t="s">
        <v>22</v>
      </c>
      <c r="D3109" s="2" t="s">
        <f>=HYPERLINK("https://main.knesset.gov.il/APPS/legislation/main/bills/2216325", "הצעת חוק מניעת העסקה של עובד הוראה שהוכשר במוסד שנתמך על ידי ישות מדינית זרה תומכת טרור (תיקוני חקיקה), התשפ""ד-2024")</f>
        <v>6527</v>
      </c>
      <c r="E3109" t="s">
        <v>6527</v>
      </c>
      <c r="F3109" t="s">
        <v>6528</v>
      </c>
      <c r="G3109" t="s">
        <v>14</v>
      </c>
      <c r="H3109">
             </c>
      <c r="I3109" t="s">
        <v>14</v>
      </c>
      <c r="J3109" t="s">
        <v>141</v>
      </c>
      <c r="K3109" t="s">
        <v>14</v>
      </c>
      <c r="L3109" t="s">
        <v>20</v>
      </c>
      <c r="M3109" t="s">
        <v>6498</v>
      </c>
      <c r="N3109" t="s">
        <v>14</v>
      </c>
    </row>
    <row r="3110" x14ac:dyDescent="0.25">
      <c r="A3110" t="n">
        <v>25</v>
      </c>
      <c r="B3110" t="s">
        <v>14</v>
      </c>
      <c r="C3110" t="s">
        <v>22</v>
      </c>
      <c r="D3110" s="2" t="s">
        <f>=HYPERLINK("https://main.knesset.gov.il/APPS/legislation/main/bills/2215335", "הצעת חוק סיוע כלכלי לסטודנטים המשרתים במילואים (הוראת שעה - חרבות ברזל), התשפ""ד-2024")</f>
        <v>6529</v>
      </c>
      <c r="E3110" t="s">
        <v>6529</v>
      </c>
      <c r="F3110" t="s">
        <v>6530</v>
      </c>
      <c r="G3110" t="s">
        <v>14</v>
      </c>
      <c r="H3110">
             </c>
      <c r="I3110" t="s">
        <v>14</v>
      </c>
      <c r="J3110" t="s">
        <v>141</v>
      </c>
      <c r="K3110" t="s">
        <v>14</v>
      </c>
      <c r="L3110" t="s">
        <v>20</v>
      </c>
      <c r="M3110" t="s">
        <v>6498</v>
      </c>
      <c r="N3110" t="s">
        <v>14</v>
      </c>
    </row>
    <row r="3111" x14ac:dyDescent="0.25">
      <c r="A3111" t="n">
        <v>25</v>
      </c>
      <c r="B3111" t="s">
        <v>14</v>
      </c>
      <c r="C3111" t="s">
        <v>22</v>
      </c>
      <c r="D3111" s="2" t="s">
        <f>=HYPERLINK("https://main.knesset.gov.il/APPS/legislation/main/bills/2216968", "הצעת חוק לתיקון פקודת הרוקחים (תכשיר המכיל בנזודיאזפינים), התשפ""ד-2024")</f>
        <v>6531</v>
      </c>
      <c r="E3111" t="s">
        <v>6531</v>
      </c>
      <c r="F3111" t="s">
        <v>6532</v>
      </c>
      <c r="G3111" t="s">
        <v>14</v>
      </c>
      <c r="H3111">
             </c>
      <c r="I3111" t="s">
        <v>14</v>
      </c>
      <c r="J3111" t="s">
        <v>141</v>
      </c>
      <c r="K3111" t="s">
        <v>14</v>
      </c>
      <c r="L3111" t="s">
        <v>20</v>
      </c>
      <c r="M3111" t="s">
        <v>6498</v>
      </c>
      <c r="N3111" t="s">
        <v>14</v>
      </c>
    </row>
    <row r="3112" x14ac:dyDescent="0.25">
      <c r="A3112" t="n">
        <v>25</v>
      </c>
      <c r="B3112" t="s">
        <v>14</v>
      </c>
      <c r="C3112" t="s">
        <v>22</v>
      </c>
      <c r="D3112" s="2" t="s">
        <f>=HYPERLINK("https://main.knesset.gov.il/APPS/legislation/main/bills/2216745", "הצעת חוק חילוט תקבולי עבירה בפשיעה חקלאית, התשפ""ד-2024")</f>
        <v>6533</v>
      </c>
      <c r="E3112" t="s">
        <v>6533</v>
      </c>
      <c r="F3112" t="s">
        <v>6534</v>
      </c>
      <c r="G3112" t="s">
        <v>14</v>
      </c>
      <c r="H3112">
             </c>
      <c r="I3112" t="s">
        <v>14</v>
      </c>
      <c r="J3112" t="s">
        <v>141</v>
      </c>
      <c r="K3112" t="s">
        <v>14</v>
      </c>
      <c r="L3112" t="s">
        <v>20</v>
      </c>
      <c r="M3112" t="s">
        <v>6498</v>
      </c>
      <c r="N3112" t="s">
        <v>14</v>
      </c>
    </row>
    <row r="3113" x14ac:dyDescent="0.25">
      <c r="A3113" t="n">
        <v>25</v>
      </c>
      <c r="B3113" t="s">
        <v>14</v>
      </c>
      <c r="C3113" t="s">
        <v>22</v>
      </c>
      <c r="D3113" s="2" t="s">
        <f>=HYPERLINK("https://main.knesset.gov.il/APPS/legislation/main/bills/2216155", "הצעת חוק פרס ישראל, התשפ""ד-2024")</f>
        <v>6535</v>
      </c>
      <c r="E3113" t="s">
        <v>6535</v>
      </c>
      <c r="F3113" t="s">
        <v>6536</v>
      </c>
      <c r="G3113" t="s">
        <v>14</v>
      </c>
      <c r="H3113">
             </c>
      <c r="I3113" t="s">
        <v>14</v>
      </c>
      <c r="J3113" t="s">
        <v>141</v>
      </c>
      <c r="K3113" t="s">
        <v>14</v>
      </c>
      <c r="L3113" t="s">
        <v>20</v>
      </c>
      <c r="M3113" t="s">
        <v>6498</v>
      </c>
      <c r="N3113" t="s">
        <v>14</v>
      </c>
    </row>
    <row r="3114" x14ac:dyDescent="0.25">
      <c r="A3114" t="n">
        <v>25</v>
      </c>
      <c r="B3114" t="s">
        <v>14</v>
      </c>
      <c r="C3114" t="s">
        <v>22</v>
      </c>
      <c r="D3114" s="2" t="s">
        <f>=HYPERLINK("https://main.knesset.gov.il/APPS/legislation/main/bills/2217092", "הצעת חוק מימון קייטנות להורים עובדים בפריפריה, התשפ""ד-2024")</f>
        <v>6537</v>
      </c>
      <c r="E3114" t="s">
        <v>6537</v>
      </c>
      <c r="F3114" t="s">
        <v>6538</v>
      </c>
      <c r="G3114" t="s">
        <v>14</v>
      </c>
      <c r="H3114">
             </c>
      <c r="I3114" t="s">
        <v>14</v>
      </c>
      <c r="J3114" t="s">
        <v>141</v>
      </c>
      <c r="K3114" t="s">
        <v>14</v>
      </c>
      <c r="L3114" t="s">
        <v>20</v>
      </c>
      <c r="M3114" t="s">
        <v>6498</v>
      </c>
      <c r="N3114" t="s">
        <v>14</v>
      </c>
    </row>
    <row r="3115" x14ac:dyDescent="0.25">
      <c r="A3115" t="n">
        <v>25</v>
      </c>
      <c r="B3115" t="s">
        <v>14</v>
      </c>
      <c r="C3115" t="s">
        <v>22</v>
      </c>
      <c r="D3115" s="2" t="s">
        <f>=HYPERLINK("https://main.knesset.gov.il/APPS/legislation/main/bills/2216974", "הצעת חוק טיפול בחולי נפש (תיקון - בחירת מקום אשפוז), התשפ""ד-2024")</f>
        <v>6539</v>
      </c>
      <c r="E3115" t="s">
        <v>6539</v>
      </c>
      <c r="F3115" t="s">
        <v>6540</v>
      </c>
      <c r="G3115" t="s">
        <v>14</v>
      </c>
      <c r="H3115">
             </c>
      <c r="I3115" t="s">
        <v>14</v>
      </c>
      <c r="J3115" t="s">
        <v>141</v>
      </c>
      <c r="K3115" t="s">
        <v>14</v>
      </c>
      <c r="L3115" t="s">
        <v>20</v>
      </c>
      <c r="M3115" t="s">
        <v>6498</v>
      </c>
      <c r="N3115" t="s">
        <v>14</v>
      </c>
    </row>
    <row r="3116" x14ac:dyDescent="0.25">
      <c r="A3116" t="n">
        <v>25</v>
      </c>
      <c r="B3116" t="s">
        <v>14</v>
      </c>
      <c r="C3116" t="s">
        <v>22</v>
      </c>
      <c r="D3116" s="2" t="s">
        <f>=HYPERLINK("https://main.knesset.gov.il/APPS/legislation/main/bills/2216634", "הצעת חוק הנכים (תגמולים ושיקום) (תיקון - ליווי רפואי ומשפטי במהלך הליכי ההכרה כנכה וקביעת דרגת הנכות), התשפ""ד-2024")</f>
        <v>6541</v>
      </c>
      <c r="E3116" t="s">
        <v>6541</v>
      </c>
      <c r="F3116" t="s">
        <v>6542</v>
      </c>
      <c r="G3116" t="s">
        <v>14</v>
      </c>
      <c r="H3116">
             </c>
      <c r="I3116" t="s">
        <v>14</v>
      </c>
      <c r="J3116" t="s">
        <v>141</v>
      </c>
      <c r="K3116" t="s">
        <v>14</v>
      </c>
      <c r="L3116" t="s">
        <v>20</v>
      </c>
      <c r="M3116" t="s">
        <v>6498</v>
      </c>
      <c r="N3116" t="s">
        <v>14</v>
      </c>
    </row>
    <row r="3117" x14ac:dyDescent="0.25">
      <c r="A3117" t="n">
        <v>25</v>
      </c>
      <c r="B3117" t="s">
        <v>14</v>
      </c>
      <c r="C3117" t="s">
        <v>22</v>
      </c>
      <c r="D3117" s="2" t="s">
        <f>=HYPERLINK("https://main.knesset.gov.il/APPS/legislation/main/bills/2216336", "הצעת חוק התאמות בבחינות רישוי מקצועיות לחיילי מילואים (תיקוני חקיקה), התשפ""ד-2024")</f>
        <v>6543</v>
      </c>
      <c r="E3117" t="s">
        <v>6543</v>
      </c>
      <c r="F3117" t="s">
        <v>6544</v>
      </c>
      <c r="G3117" t="s">
        <v>14</v>
      </c>
      <c r="H3117">
             </c>
      <c r="I3117" t="s">
        <v>14</v>
      </c>
      <c r="J3117" t="s">
        <v>343</v>
      </c>
      <c r="K3117" t="s">
        <v>14</v>
      </c>
      <c r="L3117" t="s">
        <v>20</v>
      </c>
      <c r="M3117" t="s">
        <v>6498</v>
      </c>
      <c r="N3117" t="s">
        <v>14</v>
      </c>
    </row>
    <row r="3118" x14ac:dyDescent="0.25">
      <c r="A3118" t="n">
        <v>25</v>
      </c>
      <c r="B3118" t="s">
        <v>14</v>
      </c>
      <c r="C3118" t="s">
        <v>22</v>
      </c>
      <c r="D3118" s="2" t="s">
        <f>=HYPERLINK("https://main.knesset.gov.il/APPS/legislation/main/bills/2216265", "הצעת חוק הבטחת הכנסה (תיקון - ביטול הוראות מיוחדות לענין נכס שהוא רכב מנועי), התשפ""ד-2024")</f>
        <v>6545</v>
      </c>
      <c r="E3118" t="s">
        <v>6545</v>
      </c>
      <c r="F3118" t="s">
        <v>6546</v>
      </c>
      <c r="G3118" t="s">
        <v>14</v>
      </c>
      <c r="H3118">
             </c>
      <c r="I3118" t="s">
        <v>14</v>
      </c>
      <c r="J3118" t="s">
        <v>141</v>
      </c>
      <c r="K3118" t="s">
        <v>14</v>
      </c>
      <c r="L3118" t="s">
        <v>20</v>
      </c>
      <c r="M3118" t="s">
        <v>6498</v>
      </c>
      <c r="N3118" t="s">
        <v>14</v>
      </c>
    </row>
    <row r="3119" x14ac:dyDescent="0.25">
      <c r="A3119" t="n">
        <v>25</v>
      </c>
      <c r="B3119" t="s">
        <v>14</v>
      </c>
      <c r="C3119" t="s">
        <v>22</v>
      </c>
      <c r="D3119" s="2" t="s">
        <f>=HYPERLINK("https://main.knesset.gov.il/APPS/legislation/main/bills/2216972", "הצעת חוק-יסוד: הגנת הסביבה")</f>
        <v>6547</v>
      </c>
      <c r="E3119" t="s">
        <v>6547</v>
      </c>
      <c r="F3119" t="s">
        <v>6548</v>
      </c>
      <c r="G3119" t="s">
        <v>14</v>
      </c>
      <c r="H3119">
             </c>
      <c r="I3119" t="s">
        <v>14</v>
      </c>
      <c r="J3119" t="s">
        <v>141</v>
      </c>
      <c r="K3119" t="s">
        <v>14</v>
      </c>
      <c r="L3119" t="s">
        <v>20</v>
      </c>
      <c r="M3119" t="s">
        <v>6498</v>
      </c>
      <c r="N3119" t="s">
        <v>14</v>
      </c>
    </row>
    <row r="3120" x14ac:dyDescent="0.25">
      <c r="A3120" t="n">
        <v>25</v>
      </c>
      <c r="B3120" t="s">
        <v>14</v>
      </c>
      <c r="C3120" t="s">
        <v>22</v>
      </c>
      <c r="D3120" s="2" t="s">
        <f>=HYPERLINK("https://main.knesset.gov.il/APPS/legislation/main/bills/2215742", "הצעת חוק העונשין (תיקון - התארגנות חמושה אסורה), התשפ""ד-2024")</f>
        <v>6549</v>
      </c>
      <c r="E3120" t="s">
        <v>6549</v>
      </c>
      <c r="F3120" t="s">
        <v>6550</v>
      </c>
      <c r="G3120" t="s">
        <v>14</v>
      </c>
      <c r="H3120">
             </c>
      <c r="I3120" t="s">
        <v>14</v>
      </c>
      <c r="J3120" t="s">
        <v>141</v>
      </c>
      <c r="K3120" t="s">
        <v>14</v>
      </c>
      <c r="L3120" t="s">
        <v>20</v>
      </c>
      <c r="M3120" t="s">
        <v>6498</v>
      </c>
      <c r="N3120" t="s">
        <v>14</v>
      </c>
    </row>
    <row r="3121" x14ac:dyDescent="0.25">
      <c r="A3121" t="n">
        <v>25</v>
      </c>
      <c r="B3121" t="s">
        <v>14</v>
      </c>
      <c r="C3121" t="s">
        <v>22</v>
      </c>
      <c r="D3121" s="2" t="s">
        <f>=HYPERLINK("https://main.knesset.gov.il/APPS/legislation/main/bills/2216237", "הצעת חוק לתיקון פקודת התעבורה (הוראות לעניין סככות המתנה בתחנות אוטובוס), התשפ""ד-2024")</f>
        <v>6551</v>
      </c>
      <c r="E3121" t="s">
        <v>6551</v>
      </c>
      <c r="F3121" t="s">
        <v>6552</v>
      </c>
      <c r="G3121" t="s">
        <v>14</v>
      </c>
      <c r="H3121">
             </c>
      <c r="I3121" t="s">
        <v>14</v>
      </c>
      <c r="J3121" t="s">
        <v>141</v>
      </c>
      <c r="K3121" t="s">
        <v>14</v>
      </c>
      <c r="L3121" t="s">
        <v>20</v>
      </c>
      <c r="M3121" t="s">
        <v>6498</v>
      </c>
      <c r="N3121" t="s">
        <v>14</v>
      </c>
    </row>
    <row r="3122" x14ac:dyDescent="0.25">
      <c r="A3122" t="n">
        <v>25</v>
      </c>
      <c r="B3122" t="s">
        <v>14</v>
      </c>
      <c r="C3122" t="s">
        <v>22</v>
      </c>
      <c r="D3122" s="2" t="s">
        <f>=HYPERLINK("https://main.knesset.gov.il/APPS/legislation/main/bills/2217046", "הצעת חוק העונשין (תיקון - עונשי מינימום בעבירות בחוק העונשין), התשפ""ד-2024")</f>
        <v>6553</v>
      </c>
      <c r="E3122" t="s">
        <v>6553</v>
      </c>
      <c r="F3122" t="s">
        <v>6554</v>
      </c>
      <c r="G3122" t="s">
        <v>14</v>
      </c>
      <c r="H3122">
             </c>
      <c r="I3122" t="s">
        <v>14</v>
      </c>
      <c r="J3122" t="s">
        <v>141</v>
      </c>
      <c r="K3122" t="s">
        <v>14</v>
      </c>
      <c r="L3122" t="s">
        <v>20</v>
      </c>
      <c r="M3122" t="s">
        <v>6498</v>
      </c>
      <c r="N3122" t="s">
        <v>14</v>
      </c>
    </row>
    <row r="3123" x14ac:dyDescent="0.25">
      <c r="A3123" t="n">
        <v>25</v>
      </c>
      <c r="B3123" t="s">
        <v>14</v>
      </c>
      <c r="C3123" t="s">
        <v>22</v>
      </c>
      <c r="D3123" s="2" t="s">
        <f>=HYPERLINK("https://main.knesset.gov.il/APPS/legislation/main/bills/2216658", "הצעת חוק הביטוח הלאומי (תיקון - הצמדת קצבת אזרח ותיק לשכר הממוצע במשק והעלאת שיעור הגמלה), התשפ""ד-2024")</f>
        <v>6555</v>
      </c>
      <c r="E3123" t="s">
        <v>6555</v>
      </c>
      <c r="F3123" t="s">
        <v>6556</v>
      </c>
      <c r="G3123" t="s">
        <v>14</v>
      </c>
      <c r="H3123">
             </c>
      <c r="I3123" t="s">
        <v>14</v>
      </c>
      <c r="J3123" t="s">
        <v>141</v>
      </c>
      <c r="K3123" t="s">
        <v>14</v>
      </c>
      <c r="L3123" t="s">
        <v>20</v>
      </c>
      <c r="M3123" t="s">
        <v>6498</v>
      </c>
      <c r="N3123" t="s">
        <v>14</v>
      </c>
    </row>
    <row r="3124" x14ac:dyDescent="0.25">
      <c r="A3124" t="n">
        <v>25</v>
      </c>
      <c r="B3124" t="s">
        <v>14</v>
      </c>
      <c r="C3124" t="s">
        <v>22</v>
      </c>
      <c r="D3124" s="2" t="s">
        <f>=HYPERLINK("https://main.knesset.gov.il/APPS/legislation/main/bills/2213530", "הצעת חוק התקשורת (בזק ושידורים) (תיקון - הגנה על קטינים מפני תוכן פוגעני באינטרנט באמצעות אומדן גיל), התשפ""ד-2024")</f>
        <v>6557</v>
      </c>
      <c r="E3124" t="s">
        <v>6557</v>
      </c>
      <c r="F3124" t="s">
        <v>6558</v>
      </c>
      <c r="G3124" t="s">
        <v>14</v>
      </c>
      <c r="H3124">
             </c>
      <c r="I3124" t="s">
        <v>14</v>
      </c>
      <c r="J3124" t="s">
        <v>343</v>
      </c>
      <c r="K3124" t="s">
        <v>14</v>
      </c>
      <c r="L3124" t="s">
        <v>20</v>
      </c>
      <c r="M3124" t="s">
        <v>6498</v>
      </c>
      <c r="N3124" t="s">
        <v>14</v>
      </c>
    </row>
    <row r="3125" x14ac:dyDescent="0.25">
      <c r="A3125" t="n">
        <v>25</v>
      </c>
      <c r="B3125" t="s">
        <v>14</v>
      </c>
      <c r="C3125" t="s">
        <v>22</v>
      </c>
      <c r="D3125" s="2" t="s">
        <f>=HYPERLINK("https://main.knesset.gov.il/APPS/legislation/main/bills/2216633", "הצעת חוק הנכים (תגמולים ושיקום) (תיקון - הכרה בפדויי שבי), התשפ""ד-2024")</f>
        <v>6559</v>
      </c>
      <c r="E3125" t="s">
        <v>6559</v>
      </c>
      <c r="F3125" t="s">
        <v>6560</v>
      </c>
      <c r="G3125" t="s">
        <v>14</v>
      </c>
      <c r="H3125">
             </c>
      <c r="I3125" t="s">
        <v>14</v>
      </c>
      <c r="J3125" t="s">
        <v>141</v>
      </c>
      <c r="K3125" t="s">
        <v>14</v>
      </c>
      <c r="L3125" t="s">
        <v>20</v>
      </c>
      <c r="M3125" t="s">
        <v>6498</v>
      </c>
      <c r="N3125" t="s">
        <v>14</v>
      </c>
    </row>
    <row r="3126" x14ac:dyDescent="0.25">
      <c r="A3126" t="n">
        <v>25</v>
      </c>
      <c r="B3126" t="s">
        <v>14</v>
      </c>
      <c r="C3126" t="s">
        <v>22</v>
      </c>
      <c r="D3126" s="2" t="s">
        <f>=HYPERLINK("https://main.knesset.gov.il/APPS/legislation/main/bills/2212840", "הצעת חוק הספקת החשמל (הוראת שעה), התשפ""ד–2024")</f>
        <v>6561</v>
      </c>
      <c r="E3126" t="s">
        <v>6561</v>
      </c>
      <c r="F3126" t="s">
        <v>6562</v>
      </c>
      <c r="G3126" t="s">
        <v>6563</v>
      </c>
      <c r="H3126">
             </c>
      <c r="I3126" t="s">
        <v>14</v>
      </c>
      <c r="J3126" t="s">
        <v>1141</v>
      </c>
      <c r="K3126" t="s">
        <v>19</v>
      </c>
      <c r="L3126" t="s">
        <v>20</v>
      </c>
      <c r="M3126" t="s">
        <v>6498</v>
      </c>
      <c r="N3126" t="s">
        <v>14</v>
      </c>
    </row>
    <row r="3127" x14ac:dyDescent="0.25">
      <c r="A3127" t="n">
        <v>25</v>
      </c>
      <c r="B3127" t="s">
        <v>14</v>
      </c>
      <c r="C3127" t="s">
        <v>22</v>
      </c>
      <c r="D3127" s="2" t="s">
        <f>=HYPERLINK("https://main.knesset.gov.il/APPS/legislation/main/bills/2210739", "הצעת חוק חופשה שנתית (תיקון - אי-קיזוז ימי חופשה למתנדב במסגרת כוחות הביטחון וההצלה בשעת חירום), התשפ""ד-2023")</f>
        <v>6564</v>
      </c>
      <c r="E3127" t="s">
        <v>6564</v>
      </c>
      <c r="F3127" t="s">
        <v>6565</v>
      </c>
      <c r="G3127" t="s">
        <v>14</v>
      </c>
      <c r="H3127">
             </c>
      <c r="I3127" t="s">
        <v>14</v>
      </c>
      <c r="J3127" t="s">
        <v>31</v>
      </c>
      <c r="K3127" t="s">
        <v>127</v>
      </c>
      <c r="L3127" t="s">
        <v>20</v>
      </c>
      <c r="M3127" t="s">
        <v>6566</v>
      </c>
      <c r="N3127" t="s">
        <v>14</v>
      </c>
    </row>
    <row r="3128" x14ac:dyDescent="0.25">
      <c r="A3128" t="n">
        <v>25</v>
      </c>
      <c r="B3128" t="s">
        <v>14</v>
      </c>
      <c r="C3128" t="s">
        <v>22</v>
      </c>
      <c r="D3128" s="2" t="s">
        <f>=HYPERLINK("https://main.knesset.gov.il/APPS/legislation/main/bills/2211287", "הצעת חוק הביטוח הלאומי (תיקון - תגמול מתנדבי זק""א במלחמת חרבות ברזל), התשפ""ד-2023 ")</f>
        <v>6567</v>
      </c>
      <c r="E3128" t="s">
        <v>6567</v>
      </c>
      <c r="F3128" t="s">
        <v>6568</v>
      </c>
      <c r="G3128" t="s">
        <v>14</v>
      </c>
      <c r="H3128">
             </c>
      <c r="I3128" t="s">
        <v>14</v>
      </c>
      <c r="J3128" t="s">
        <v>31</v>
      </c>
      <c r="K3128" t="s">
        <v>127</v>
      </c>
      <c r="L3128" t="s">
        <v>20</v>
      </c>
      <c r="M3128" t="s">
        <v>6566</v>
      </c>
      <c r="N3128" t="s">
        <v>14</v>
      </c>
    </row>
    <row r="3129" x14ac:dyDescent="0.25">
      <c r="A3129" t="n">
        <v>25</v>
      </c>
      <c r="B3129" t="s">
        <v>14</v>
      </c>
      <c r="C3129" t="s">
        <v>22</v>
      </c>
      <c r="D3129" s="2" t="s">
        <f>=HYPERLINK("https://main.knesset.gov.il/APPS/legislation/main/bills/2204297", "הצעת חוק למניעת הוצאה של כספים מישראל על ידי מסתנן או נתין זר או עבורו, התשפ""ג-2023")</f>
        <v>6569</v>
      </c>
      <c r="E3129" t="s">
        <v>6569</v>
      </c>
      <c r="F3129" t="s">
        <v>6570</v>
      </c>
      <c r="G3129" t="s">
        <v>14</v>
      </c>
      <c r="H3129">
             </c>
      <c r="I3129" t="s">
        <v>14</v>
      </c>
      <c r="J3129" t="s">
        <v>31</v>
      </c>
      <c r="K3129" t="s">
        <v>46</v>
      </c>
      <c r="L3129" t="s">
        <v>20</v>
      </c>
      <c r="M3129" t="s">
        <v>6566</v>
      </c>
      <c r="N3129" t="s">
        <v>14</v>
      </c>
    </row>
    <row r="3130" x14ac:dyDescent="0.25">
      <c r="A3130" t="n">
        <v>25</v>
      </c>
      <c r="B3130" t="s">
        <v>14</v>
      </c>
      <c r="C3130" t="s">
        <v>22</v>
      </c>
      <c r="D3130" s="2" t="s">
        <f>=HYPERLINK("https://main.knesset.gov.il/APPS/legislation/main/bills/2214751", "הצעת חוק לתיקון סדרי הדין (חקירת עדים) (תיקון - עדות קטין בהליך אזרחי), התשפ""ד-2024")</f>
        <v>6571</v>
      </c>
      <c r="E3130" t="s">
        <v>6571</v>
      </c>
      <c r="F3130" t="s">
        <v>6572</v>
      </c>
      <c r="G3130" t="s">
        <v>14</v>
      </c>
      <c r="H3130">
             </c>
      <c r="I3130" t="s">
        <v>14</v>
      </c>
      <c r="J3130" t="s">
        <v>99</v>
      </c>
      <c r="K3130" t="s">
        <v>27</v>
      </c>
      <c r="L3130" t="s">
        <v>20</v>
      </c>
      <c r="M3130" t="s">
        <v>6566</v>
      </c>
      <c r="N3130" t="s">
        <v>14</v>
      </c>
    </row>
    <row r="3131" x14ac:dyDescent="0.25">
      <c r="A3131" t="n">
        <v>25</v>
      </c>
      <c r="B3131" t="s">
        <v>14</v>
      </c>
      <c r="C3131" t="s">
        <v>15</v>
      </c>
      <c r="D3131" s="2" t="s">
        <f>=HYPERLINK("https://main.knesset.gov.il/APPS/legislation/main/bills/2216026", "חוק לתיקון פקודת מס הכנסה (מס' 272), התשפ""ד–2024")</f>
        <v>6573</v>
      </c>
      <c r="E3131" t="s">
        <v>6573</v>
      </c>
      <c r="F3131" t="s">
        <v>14</v>
      </c>
      <c r="G3131" t="s">
        <v>6574</v>
      </c>
      <c r="H3131" t="n">
        <v>3205</v>
      </c>
      <c r="I3131" t="s">
        <v>14</v>
      </c>
      <c r="J3131" t="s">
        <v>91</v>
      </c>
      <c r="K3131" t="s">
        <v>85</v>
      </c>
      <c r="L3131" t="s">
        <v>20</v>
      </c>
      <c r="M3131" t="s">
        <v>6566</v>
      </c>
      <c r="N3131" t="s">
        <v>6575</v>
      </c>
    </row>
    <row r="3132" x14ac:dyDescent="0.25">
      <c r="A3132" t="n">
        <v>25</v>
      </c>
      <c r="B3132" t="s">
        <v>14</v>
      </c>
      <c r="C3132" t="s">
        <v>15</v>
      </c>
      <c r="D3132" s="2" t="s">
        <f>=HYPERLINK("https://main.knesset.gov.il/APPS/legislation/main/bills/2207737", "חוק שוויון זכויות לאנשים עם מוגבלות (תיקון מס' 25), התשפ""ד-2024")</f>
        <v>6576</v>
      </c>
      <c r="E3132" t="s">
        <v>6576</v>
      </c>
      <c r="F3132" t="s">
        <v>14</v>
      </c>
      <c r="G3132" t="s">
        <v>6577</v>
      </c>
      <c r="H3132" t="n">
        <v>3204</v>
      </c>
      <c r="I3132" t="s">
        <v>14</v>
      </c>
      <c r="J3132" t="s">
        <v>91</v>
      </c>
      <c r="K3132" t="s">
        <v>127</v>
      </c>
      <c r="L3132" t="s">
        <v>20</v>
      </c>
      <c r="M3132" t="s">
        <v>6566</v>
      </c>
      <c r="N3132" t="s">
        <v>6578</v>
      </c>
    </row>
    <row r="3133" x14ac:dyDescent="0.25">
      <c r="A3133" t="n">
        <v>25</v>
      </c>
      <c r="B3133" t="s">
        <v>14</v>
      </c>
      <c r="C3133" t="s">
        <v>15</v>
      </c>
      <c r="D3133" s="2" t="s">
        <f>=HYPERLINK("https://main.knesset.gov.il/APPS/legislation/main/bills/2217043", "חוק לתיקון ולהארכת תוקפן של תקנות שעת חירום (חרבות ברזל) (פגישה עם עורך דין של עצור בעבירת ביטחון) (תיקון), התשפ""ד-2024")</f>
        <v>6579</v>
      </c>
      <c r="E3133" t="s">
        <v>6579</v>
      </c>
      <c r="F3133" t="s">
        <v>14</v>
      </c>
      <c r="G3133" t="s">
        <v>6580</v>
      </c>
      <c r="H3133" t="n">
        <v>3199</v>
      </c>
      <c r="I3133" t="s">
        <v>14</v>
      </c>
      <c r="J3133" t="s">
        <v>91</v>
      </c>
      <c r="K3133" t="s">
        <v>27</v>
      </c>
      <c r="L3133" t="s">
        <v>20</v>
      </c>
      <c r="M3133" t="s">
        <v>6566</v>
      </c>
      <c r="N3133" t="s">
        <v>6581</v>
      </c>
    </row>
    <row r="3134" x14ac:dyDescent="0.25">
      <c r="A3134" t="n">
        <v>25</v>
      </c>
      <c r="B3134" t="s">
        <v>14</v>
      </c>
      <c r="C3134" t="s">
        <v>22</v>
      </c>
      <c r="D3134" s="2" t="s">
        <f>=HYPERLINK("https://main.knesset.gov.il/APPS/legislation/main/bills/2212155", "הצעת חוק חובת מיגון לנכים, לקשישים, לאלו שידם אינה משגת, לאזרחים שיש בידם דירת מגורים אחת בלבד ולמתגוררים ביישובי קו העימות, התשפ""ד-2023")</f>
        <v>6582</v>
      </c>
      <c r="E3134" t="s">
        <v>6582</v>
      </c>
      <c r="F3134" t="s">
        <v>6583</v>
      </c>
      <c r="G3134" t="s">
        <v>14</v>
      </c>
      <c r="H3134">
             </c>
      <c r="I3134" t="s">
        <v>14</v>
      </c>
      <c r="J3134" t="s">
        <v>31</v>
      </c>
      <c r="K3134" t="s">
        <v>46</v>
      </c>
      <c r="L3134" t="s">
        <v>20</v>
      </c>
      <c r="M3134" t="s">
        <v>6584</v>
      </c>
      <c r="N3134" t="s">
        <v>14</v>
      </c>
    </row>
    <row r="3135" x14ac:dyDescent="0.25">
      <c r="A3135" t="n">
        <v>25</v>
      </c>
      <c r="B3135" t="s">
        <v>14</v>
      </c>
      <c r="C3135" t="s">
        <v>22</v>
      </c>
      <c r="D3135" s="2" t="s">
        <f>=HYPERLINK("https://main.knesset.gov.il/APPS/legislation/main/bills/2199056", "הצעת חוק למניעת פגיעה כלכלית בצרכן (תיקוני חקיקה), התשפ""ד-2024")</f>
        <v>6585</v>
      </c>
      <c r="E3135" t="s">
        <v>6585</v>
      </c>
      <c r="F3135" t="s">
        <v>6586</v>
      </c>
      <c r="G3135" t="s">
        <v>14</v>
      </c>
      <c r="H3135">
             </c>
      <c r="I3135" t="s">
        <v>14</v>
      </c>
      <c r="J3135" t="s">
        <v>99</v>
      </c>
      <c r="K3135" t="s">
        <v>19</v>
      </c>
      <c r="L3135" t="s">
        <v>20</v>
      </c>
      <c r="M3135" t="s">
        <v>6584</v>
      </c>
      <c r="N3135" t="s">
        <v>14</v>
      </c>
    </row>
    <row r="3136" x14ac:dyDescent="0.25">
      <c r="A3136" t="n">
        <v>25</v>
      </c>
      <c r="B3136" t="s">
        <v>14</v>
      </c>
      <c r="C3136" t="s">
        <v>22</v>
      </c>
      <c r="D3136" s="2" t="s">
        <f>=HYPERLINK("https://main.knesset.gov.il/APPS/legislation/main/bills/2198482", "חוק מגבלות על חזרתו של מורשע במעשה טרור לסביבת נפגעי העבירה, התשפ""ד-2024")</f>
        <v>6587</v>
      </c>
      <c r="E3136" t="s">
        <v>6587</v>
      </c>
      <c r="F3136" t="s">
        <v>6588</v>
      </c>
      <c r="G3136" t="s">
        <v>6589</v>
      </c>
      <c r="H3136" t="n">
        <v>3202</v>
      </c>
      <c r="I3136" t="s">
        <v>14</v>
      </c>
      <c r="J3136" t="s">
        <v>91</v>
      </c>
      <c r="K3136" t="s">
        <v>105</v>
      </c>
      <c r="L3136" t="s">
        <v>20</v>
      </c>
      <c r="M3136" t="s">
        <v>6584</v>
      </c>
      <c r="N3136" t="s">
        <v>6590</v>
      </c>
    </row>
    <row r="3137" x14ac:dyDescent="0.25">
      <c r="A3137" t="n">
        <v>25</v>
      </c>
      <c r="B3137" t="s">
        <v>14</v>
      </c>
      <c r="C3137" t="s">
        <v>22</v>
      </c>
      <c r="D3137" s="2" t="s">
        <f>=HYPERLINK("https://main.knesset.gov.il/APPS/legislation/main/bills/2203535", "חוק לתיקון פקודת העיריות (מס' 157) , התשפ""ד–2024")</f>
        <v>6591</v>
      </c>
      <c r="E3137" t="s">
        <v>6591</v>
      </c>
      <c r="F3137" t="s">
        <v>6592</v>
      </c>
      <c r="G3137" t="s">
        <v>6593</v>
      </c>
      <c r="H3137" t="n">
        <v>3201</v>
      </c>
      <c r="I3137" t="s">
        <v>14</v>
      </c>
      <c r="J3137" t="s">
        <v>91</v>
      </c>
      <c r="K3137" t="s">
        <v>46</v>
      </c>
      <c r="L3137" t="s">
        <v>20</v>
      </c>
      <c r="M3137" t="s">
        <v>6584</v>
      </c>
      <c r="N3137" t="s">
        <v>6594</v>
      </c>
    </row>
    <row r="3138" x14ac:dyDescent="0.25">
      <c r="A3138" t="n">
        <v>25</v>
      </c>
      <c r="B3138" t="s">
        <v>14</v>
      </c>
      <c r="C3138" t="s">
        <v>15</v>
      </c>
      <c r="D3138" s="2" t="s">
        <f>=HYPERLINK("https://main.knesset.gov.il/APPS/legislation/main/bills/2215932", "חוק להסדרת הפיקוח על כלבים (תיקון מס' 6 – הוראת שעה – חרבות ברזל), התשפ""ד–2024 ")</f>
        <v>6595</v>
      </c>
      <c r="E3138" t="s">
        <v>6595</v>
      </c>
      <c r="F3138" t="s">
        <v>14</v>
      </c>
      <c r="G3138" t="s">
        <v>6596</v>
      </c>
      <c r="H3138" t="n">
        <v>3200</v>
      </c>
      <c r="I3138" t="s">
        <v>14</v>
      </c>
      <c r="J3138" t="s">
        <v>91</v>
      </c>
      <c r="K3138" t="s">
        <v>19</v>
      </c>
      <c r="L3138" t="s">
        <v>20</v>
      </c>
      <c r="M3138" t="s">
        <v>6584</v>
      </c>
      <c r="N3138" t="s">
        <v>6597</v>
      </c>
    </row>
    <row r="3139" x14ac:dyDescent="0.25">
      <c r="A3139" t="n">
        <v>25</v>
      </c>
      <c r="B3139" t="s">
        <v>14</v>
      </c>
      <c r="C3139" t="s">
        <v>15</v>
      </c>
      <c r="D3139" s="2" t="s">
        <f>=HYPERLINK("https://main.knesset.gov.il/APPS/legislation/main/bills/2215077", "חוק מניעת פגיעת גוף שידורים זר בביטחון המדינה (הוראת שעה – חרבות ברזל), התשפ""ד-2024")</f>
        <v>6598</v>
      </c>
      <c r="E3139" t="s">
        <v>6598</v>
      </c>
      <c r="F3139" t="s">
        <v>14</v>
      </c>
      <c r="G3139" t="s">
        <v>6599</v>
      </c>
      <c r="H3139" t="n">
        <v>3198</v>
      </c>
      <c r="I3139" t="s">
        <v>14</v>
      </c>
      <c r="J3139" t="s">
        <v>91</v>
      </c>
      <c r="K3139" t="s">
        <v>105</v>
      </c>
      <c r="L3139" t="s">
        <v>20</v>
      </c>
      <c r="M3139" t="s">
        <v>6584</v>
      </c>
      <c r="N3139" t="s">
        <v>6600</v>
      </c>
    </row>
    <row r="3140" x14ac:dyDescent="0.25">
      <c r="A3140" t="n">
        <v>25</v>
      </c>
      <c r="B3140" t="s">
        <v>14</v>
      </c>
      <c r="C3140" t="s">
        <v>22</v>
      </c>
      <c r="D3140" s="2" t="s">
        <f>=HYPERLINK("https://main.knesset.gov.il/APPS/legislation/main/bills/2216443", "הצעת חוק עבודת נשים (תיקון - זכות להיעדר מעבודה בעת שירות מילואים של בן הזוג), התשפ""ד-2024")</f>
        <v>6601</v>
      </c>
      <c r="E3140" t="s">
        <v>6601</v>
      </c>
      <c r="F3140" t="s">
        <v>6602</v>
      </c>
      <c r="G3140" t="s">
        <v>14</v>
      </c>
      <c r="H3140">
             </c>
      <c r="I3140" t="s">
        <v>14</v>
      </c>
      <c r="J3140" t="s">
        <v>141</v>
      </c>
      <c r="K3140" t="s">
        <v>14</v>
      </c>
      <c r="L3140" t="s">
        <v>20</v>
      </c>
      <c r="M3140" t="s">
        <v>6584</v>
      </c>
      <c r="N3140" t="s">
        <v>14</v>
      </c>
    </row>
    <row r="3141" x14ac:dyDescent="0.25">
      <c r="A3141" t="n">
        <v>25</v>
      </c>
      <c r="B3141" t="s">
        <v>14</v>
      </c>
      <c r="C3141" t="s">
        <v>22</v>
      </c>
      <c r="D3141" s="2" t="s">
        <f>=HYPERLINK("https://main.knesset.gov.il/APPS/legislation/main/bills/2217089", "הצעת חוק הביטוח הלאומי (תיקון - עדכון לוח ח'), התשפ""ד-2024")</f>
        <v>6603</v>
      </c>
      <c r="E3141" t="s">
        <v>6603</v>
      </c>
      <c r="F3141" t="s">
        <v>6604</v>
      </c>
      <c r="G3141" t="s">
        <v>14</v>
      </c>
      <c r="H3141">
             </c>
      <c r="I3141" t="s">
        <v>14</v>
      </c>
      <c r="J3141" t="s">
        <v>141</v>
      </c>
      <c r="K3141" t="s">
        <v>14</v>
      </c>
      <c r="L3141" t="s">
        <v>20</v>
      </c>
      <c r="M3141" t="s">
        <v>6584</v>
      </c>
      <c r="N3141" t="s">
        <v>14</v>
      </c>
    </row>
    <row r="3142" x14ac:dyDescent="0.25">
      <c r="A3142" t="n">
        <v>25</v>
      </c>
      <c r="B3142" t="s">
        <v>14</v>
      </c>
      <c r="C3142" t="s">
        <v>22</v>
      </c>
      <c r="D3142" s="2" t="s">
        <f>=HYPERLINK("https://main.knesset.gov.il/APPS/legislation/main/bills/2217068", "הצעת חוק לתיקון פקודת בריאות העם (הנגשת מידע ופנקס חיסונים למחוסן), התשפ""ד-2024")</f>
        <v>5901</v>
      </c>
      <c r="E3142" t="s">
        <v>5901</v>
      </c>
      <c r="F3142" t="s">
        <v>6605</v>
      </c>
      <c r="G3142" t="s">
        <v>14</v>
      </c>
      <c r="H3142">
             </c>
      <c r="I3142" t="s">
        <v>14</v>
      </c>
      <c r="J3142" t="s">
        <v>141</v>
      </c>
      <c r="K3142" t="s">
        <v>14</v>
      </c>
      <c r="L3142" t="s">
        <v>20</v>
      </c>
      <c r="M3142" t="s">
        <v>6584</v>
      </c>
      <c r="N3142" t="s">
        <v>14</v>
      </c>
    </row>
    <row r="3143" x14ac:dyDescent="0.25">
      <c r="A3143" t="n">
        <v>25</v>
      </c>
      <c r="B3143" t="s">
        <v>14</v>
      </c>
      <c r="C3143" t="s">
        <v>22</v>
      </c>
      <c r="D3143" s="2" t="s">
        <f>=HYPERLINK("https://main.knesset.gov.il/APPS/legislation/main/bills/2216381", "הצעת חוק האזרחים הוותיקים (תיקון - תור שנקבע בתיאום מראש), התשפ""ד-2024")</f>
        <v>6606</v>
      </c>
      <c r="E3143" t="s">
        <v>6606</v>
      </c>
      <c r="F3143" t="s">
        <v>6607</v>
      </c>
      <c r="G3143" t="s">
        <v>14</v>
      </c>
      <c r="H3143">
             </c>
      <c r="I3143" t="s">
        <v>14</v>
      </c>
      <c r="J3143" t="s">
        <v>141</v>
      </c>
      <c r="K3143" t="s">
        <v>14</v>
      </c>
      <c r="L3143" t="s">
        <v>20</v>
      </c>
      <c r="M3143" t="s">
        <v>6584</v>
      </c>
      <c r="N3143" t="s">
        <v>14</v>
      </c>
    </row>
    <row r="3144" x14ac:dyDescent="0.25">
      <c r="A3144" t="n">
        <v>25</v>
      </c>
      <c r="B3144" t="s">
        <v>14</v>
      </c>
      <c r="C3144" t="s">
        <v>22</v>
      </c>
      <c r="D3144" s="2" t="s">
        <f>=HYPERLINK("https://main.knesset.gov.il/APPS/legislation/main/bills/2209067", "הצעת חוק לעידוד השקעות הון (תיקון - השכרה לטווח ארוך במסלול זכאות לרכישה), התשפ""ד-2024")</f>
        <v>6608</v>
      </c>
      <c r="E3144" t="s">
        <v>6608</v>
      </c>
      <c r="F3144" t="s">
        <v>6609</v>
      </c>
      <c r="G3144" t="s">
        <v>14</v>
      </c>
      <c r="H3144">
             </c>
      <c r="I3144" t="s">
        <v>14</v>
      </c>
      <c r="J3144" t="s">
        <v>141</v>
      </c>
      <c r="K3144" t="s">
        <v>14</v>
      </c>
      <c r="L3144" t="s">
        <v>20</v>
      </c>
      <c r="M3144" t="s">
        <v>6584</v>
      </c>
      <c r="N3144" t="s">
        <v>14</v>
      </c>
    </row>
    <row r="3145" x14ac:dyDescent="0.25">
      <c r="A3145" t="n">
        <v>25</v>
      </c>
      <c r="B3145" t="s">
        <v>14</v>
      </c>
      <c r="C3145" t="s">
        <v>22</v>
      </c>
      <c r="D3145" s="2" t="s">
        <f>=HYPERLINK("https://main.knesset.gov.il/APPS/legislation/main/bills/2217090", "הצעת חוק גיל פרישה (הורה שילדו נפטר) (הוראת שעה) (תיקון - הפיכת הוראת שעה להוראה קבועה), התשפ""ד-2024")</f>
        <v>4135</v>
      </c>
      <c r="E3145" t="s">
        <v>4135</v>
      </c>
      <c r="F3145" t="s">
        <v>6610</v>
      </c>
      <c r="G3145" t="s">
        <v>14</v>
      </c>
      <c r="H3145">
             </c>
      <c r="I3145" t="s">
        <v>14</v>
      </c>
      <c r="J3145" t="s">
        <v>141</v>
      </c>
      <c r="K3145" t="s">
        <v>14</v>
      </c>
      <c r="L3145" t="s">
        <v>20</v>
      </c>
      <c r="M3145" t="s">
        <v>6584</v>
      </c>
      <c r="N3145" t="s">
        <v>14</v>
      </c>
    </row>
    <row r="3146" x14ac:dyDescent="0.25">
      <c r="A3146" t="n">
        <v>25</v>
      </c>
      <c r="B3146" t="s">
        <v>14</v>
      </c>
      <c r="C3146" t="s">
        <v>22</v>
      </c>
      <c r="D3146" s="2" t="s">
        <f>=HYPERLINK("https://main.knesset.gov.il/APPS/legislation/main/bills/2217036", "הצעת חוק משפחות חיילים שנספו במערכה (תגמולים ושיקום) (תיקון - זכויות הסתגלות לאחים שכולים), התשפ""ד-2024")</f>
        <v>3692</v>
      </c>
      <c r="E3146" t="s">
        <v>3692</v>
      </c>
      <c r="F3146" t="s">
        <v>6611</v>
      </c>
      <c r="G3146" t="s">
        <v>14</v>
      </c>
      <c r="H3146">
             </c>
      <c r="I3146" t="s">
        <v>14</v>
      </c>
      <c r="J3146" t="s">
        <v>141</v>
      </c>
      <c r="K3146" t="s">
        <v>14</v>
      </c>
      <c r="L3146" t="s">
        <v>20</v>
      </c>
      <c r="M3146" t="s">
        <v>6584</v>
      </c>
      <c r="N3146" t="s">
        <v>14</v>
      </c>
    </row>
    <row r="3147" x14ac:dyDescent="0.25">
      <c r="A3147" t="n">
        <v>25</v>
      </c>
      <c r="B3147" t="s">
        <v>14</v>
      </c>
      <c r="C3147" t="s">
        <v>22</v>
      </c>
      <c r="D3147" s="2" t="s">
        <f>=HYPERLINK("https://main.knesset.gov.il/APPS/legislation/main/bills/2217091", "הצעת חוק הביטוח הלאומי (תיקון - זכאות לקצבת אזרח ותיק לנכה), התשפ""ד-2024")</f>
        <v>6612</v>
      </c>
      <c r="E3147" t="s">
        <v>6612</v>
      </c>
      <c r="F3147" t="s">
        <v>6613</v>
      </c>
      <c r="G3147" t="s">
        <v>14</v>
      </c>
      <c r="H3147">
             </c>
      <c r="I3147" t="s">
        <v>14</v>
      </c>
      <c r="J3147" t="s">
        <v>343</v>
      </c>
      <c r="K3147" t="s">
        <v>14</v>
      </c>
      <c r="L3147" t="s">
        <v>20</v>
      </c>
      <c r="M3147" t="s">
        <v>6584</v>
      </c>
      <c r="N3147" t="s">
        <v>14</v>
      </c>
    </row>
    <row r="3148" x14ac:dyDescent="0.25">
      <c r="A3148" t="n">
        <v>25</v>
      </c>
      <c r="B3148" t="s">
        <v>14</v>
      </c>
      <c r="C3148" t="s">
        <v>22</v>
      </c>
      <c r="D3148" s="2" t="s">
        <f>=HYPERLINK("https://main.knesset.gov.il/APPS/legislation/main/bills/2216982", "הצעת חוק לתיקון פקודת העיריות (קביעת שירותי תחבורה ציבורית בתחומי הרשות המקומית), התשפ""ד-2024")</f>
        <v>6614</v>
      </c>
      <c r="E3148" t="s">
        <v>6614</v>
      </c>
      <c r="F3148" t="s">
        <v>6615</v>
      </c>
      <c r="G3148" t="s">
        <v>14</v>
      </c>
      <c r="H3148">
             </c>
      <c r="I3148" t="s">
        <v>14</v>
      </c>
      <c r="J3148" t="s">
        <v>141</v>
      </c>
      <c r="K3148" t="s">
        <v>14</v>
      </c>
      <c r="L3148" t="s">
        <v>20</v>
      </c>
      <c r="M3148" t="s">
        <v>6584</v>
      </c>
      <c r="N3148" t="s">
        <v>14</v>
      </c>
    </row>
    <row r="3149" x14ac:dyDescent="0.25">
      <c r="A3149" t="n">
        <v>25</v>
      </c>
      <c r="B3149" t="s">
        <v>14</v>
      </c>
      <c r="C3149" t="s">
        <v>22</v>
      </c>
      <c r="D3149" s="2" t="s">
        <f>=HYPERLINK("https://main.knesset.gov.il/APPS/legislation/main/bills/2216674", "הצעת חוק הביטוח הלאומי (תיקון - דמי ביטוח מופחתים למעסיק קולט עלייה), התשפ""ד-2024")</f>
        <v>6616</v>
      </c>
      <c r="E3149" t="s">
        <v>6616</v>
      </c>
      <c r="F3149" t="s">
        <v>6617</v>
      </c>
      <c r="G3149" t="s">
        <v>14</v>
      </c>
      <c r="H3149">
             </c>
      <c r="I3149" t="s">
        <v>14</v>
      </c>
      <c r="J3149" t="s">
        <v>141</v>
      </c>
      <c r="K3149" t="s">
        <v>14</v>
      </c>
      <c r="L3149" t="s">
        <v>20</v>
      </c>
      <c r="M3149" t="s">
        <v>6584</v>
      </c>
      <c r="N3149" t="s">
        <v>14</v>
      </c>
    </row>
    <row r="3150" x14ac:dyDescent="0.25">
      <c r="A3150" t="n">
        <v>25</v>
      </c>
      <c r="B3150" t="s">
        <v>14</v>
      </c>
      <c r="C3150" t="s">
        <v>22</v>
      </c>
      <c r="D3150" s="2" t="s">
        <f>=HYPERLINK("https://main.knesset.gov.il/APPS/legislation/main/bills/2216726", "הצעת חוק ביטול מאסר חלף קנס (תיקוני חקיקה), התשפ""ד-2024")</f>
        <v>6618</v>
      </c>
      <c r="E3150" t="s">
        <v>6618</v>
      </c>
      <c r="F3150" t="s">
        <v>6619</v>
      </c>
      <c r="G3150" t="s">
        <v>14</v>
      </c>
      <c r="H3150">
             </c>
      <c r="I3150" t="s">
        <v>14</v>
      </c>
      <c r="J3150" t="s">
        <v>141</v>
      </c>
      <c r="K3150" t="s">
        <v>14</v>
      </c>
      <c r="L3150" t="s">
        <v>20</v>
      </c>
      <c r="M3150" t="s">
        <v>6584</v>
      </c>
      <c r="N3150" t="s">
        <v>14</v>
      </c>
    </row>
    <row r="3151" x14ac:dyDescent="0.25">
      <c r="A3151" t="n">
        <v>25</v>
      </c>
      <c r="B3151" t="s">
        <v>14</v>
      </c>
      <c r="C3151" t="s">
        <v>22</v>
      </c>
      <c r="D3151" s="2" t="s">
        <f>=HYPERLINK("https://main.knesset.gov.il/APPS/legislation/main/bills/2217012", "הצעת חוק חובת המכרזים (תיקון - עידוד אגודות שיתופיות ותאגידים שחל עליהם הסכם קיבוצי מיוחד), התשפ""ד-2024")</f>
        <v>6620</v>
      </c>
      <c r="E3151" t="s">
        <v>6620</v>
      </c>
      <c r="F3151" t="s">
        <v>6621</v>
      </c>
      <c r="G3151" t="s">
        <v>14</v>
      </c>
      <c r="H3151">
             </c>
      <c r="I3151" t="s">
        <v>14</v>
      </c>
      <c r="J3151" t="s">
        <v>141</v>
      </c>
      <c r="K3151" t="s">
        <v>14</v>
      </c>
      <c r="L3151" t="s">
        <v>20</v>
      </c>
      <c r="M3151" t="s">
        <v>6584</v>
      </c>
      <c r="N3151" t="s">
        <v>14</v>
      </c>
    </row>
    <row r="3152" x14ac:dyDescent="0.25">
      <c r="A3152" t="n">
        <v>25</v>
      </c>
      <c r="B3152" t="s">
        <v>14</v>
      </c>
      <c r="C3152" t="s">
        <v>22</v>
      </c>
      <c r="D3152" s="2" t="s">
        <f>=HYPERLINK("https://main.knesset.gov.il/APPS/legislation/main/bills/2216967", "הצעת חוק העונשין (תיקון - מרחק סביר משוטר בעת מילוי תפקידו), התשפ""ד-2024 ")</f>
        <v>6622</v>
      </c>
      <c r="E3152" t="s">
        <v>6622</v>
      </c>
      <c r="F3152" t="s">
        <v>6623</v>
      </c>
      <c r="G3152" t="s">
        <v>14</v>
      </c>
      <c r="H3152">
             </c>
      <c r="I3152" t="s">
        <v>14</v>
      </c>
      <c r="J3152" t="s">
        <v>141</v>
      </c>
      <c r="K3152" t="s">
        <v>14</v>
      </c>
      <c r="L3152" t="s">
        <v>20</v>
      </c>
      <c r="M3152" t="s">
        <v>6584</v>
      </c>
      <c r="N3152" t="s">
        <v>14</v>
      </c>
    </row>
    <row r="3153" x14ac:dyDescent="0.25">
      <c r="A3153" t="n">
        <v>25</v>
      </c>
      <c r="B3153" t="s">
        <v>14</v>
      </c>
      <c r="C3153" t="s">
        <v>22</v>
      </c>
      <c r="D3153" s="2" t="s">
        <f>=HYPERLINK("https://main.knesset.gov.il/APPS/legislation/main/bills/2215358", "הצעת חוק הרשות הלאומית לעידוד הגירה ומאבק במסתננים מארצות אסיה ואפריקה, התשפ""ד-2024")</f>
        <v>6624</v>
      </c>
      <c r="E3153" t="s">
        <v>6624</v>
      </c>
      <c r="F3153" t="s">
        <v>6625</v>
      </c>
      <c r="G3153" t="s">
        <v>14</v>
      </c>
      <c r="H3153">
             </c>
      <c r="I3153" t="s">
        <v>14</v>
      </c>
      <c r="J3153" t="s">
        <v>141</v>
      </c>
      <c r="K3153" t="s">
        <v>14</v>
      </c>
      <c r="L3153" t="s">
        <v>20</v>
      </c>
      <c r="M3153" t="s">
        <v>6584</v>
      </c>
      <c r="N3153" t="s">
        <v>14</v>
      </c>
    </row>
    <row r="3154" x14ac:dyDescent="0.25">
      <c r="A3154" t="n">
        <v>25</v>
      </c>
      <c r="B3154" t="s">
        <v>14</v>
      </c>
      <c r="C3154" t="s">
        <v>22</v>
      </c>
      <c r="D3154" s="2" t="s">
        <f>=HYPERLINK("https://main.knesset.gov.il/APPS/legislation/main/bills/2213548", "הצעת חוק ערבויות מטעם המדינה (תיקון - חיוב תאגיד בנקאי במתן הלוואה), התשפ""ד-2024")</f>
        <v>6626</v>
      </c>
      <c r="E3154" t="s">
        <v>6626</v>
      </c>
      <c r="F3154" t="s">
        <v>6627</v>
      </c>
      <c r="G3154" t="s">
        <v>14</v>
      </c>
      <c r="H3154">
             </c>
      <c r="I3154" t="s">
        <v>14</v>
      </c>
      <c r="J3154" t="s">
        <v>141</v>
      </c>
      <c r="K3154" t="s">
        <v>14</v>
      </c>
      <c r="L3154" t="s">
        <v>20</v>
      </c>
      <c r="M3154" t="s">
        <v>6584</v>
      </c>
      <c r="N3154" t="s">
        <v>14</v>
      </c>
    </row>
    <row r="3155" x14ac:dyDescent="0.25">
      <c r="A3155" t="n">
        <v>25</v>
      </c>
      <c r="B3155" t="s">
        <v>14</v>
      </c>
      <c r="C3155" t="s">
        <v>22</v>
      </c>
      <c r="D3155" s="2" t="s">
        <f>=HYPERLINK("https://main.knesset.gov.il/APPS/legislation/main/bills/2215762", "הצעת חוק הגבלת אספקת שירותים ומוצרים לגורמי ביטחון, התשפ""ד-2024")</f>
        <v>6628</v>
      </c>
      <c r="E3155" t="s">
        <v>6628</v>
      </c>
      <c r="F3155" t="s">
        <v>6629</v>
      </c>
      <c r="G3155" t="s">
        <v>14</v>
      </c>
      <c r="H3155">
             </c>
      <c r="I3155" t="s">
        <v>14</v>
      </c>
      <c r="J3155" t="s">
        <v>343</v>
      </c>
      <c r="K3155" t="s">
        <v>14</v>
      </c>
      <c r="L3155" t="s">
        <v>20</v>
      </c>
      <c r="M3155" t="s">
        <v>6584</v>
      </c>
      <c r="N3155" t="s">
        <v>14</v>
      </c>
    </row>
    <row r="3156" x14ac:dyDescent="0.25">
      <c r="A3156" t="n">
        <v>25</v>
      </c>
      <c r="B3156" t="s">
        <v>14</v>
      </c>
      <c r="C3156" t="s">
        <v>22</v>
      </c>
      <c r="D3156" s="2" t="s">
        <f>=HYPERLINK("https://main.knesset.gov.il/APPS/legislation/main/bills/2216672", "הצעת חוק החברות (תיקון - פרסום דוחות כספיים של מונופול), התשפ""ד-2024")</f>
        <v>4119</v>
      </c>
      <c r="E3156" t="s">
        <v>4119</v>
      </c>
      <c r="F3156" t="s">
        <v>6630</v>
      </c>
      <c r="G3156" t="s">
        <v>14</v>
      </c>
      <c r="H3156">
             </c>
      <c r="I3156" t="s">
        <v>14</v>
      </c>
      <c r="J3156" t="s">
        <v>141</v>
      </c>
      <c r="K3156" t="s">
        <v>14</v>
      </c>
      <c r="L3156" t="s">
        <v>20</v>
      </c>
      <c r="M3156" t="s">
        <v>6584</v>
      </c>
      <c r="N3156" t="s">
        <v>14</v>
      </c>
    </row>
    <row r="3157" x14ac:dyDescent="0.25">
      <c r="A3157" t="n">
        <v>25</v>
      </c>
      <c r="B3157" t="s">
        <v>14</v>
      </c>
      <c r="C3157" t="s">
        <v>22</v>
      </c>
      <c r="D3157" s="2" t="s">
        <f>=HYPERLINK("https://main.knesset.gov.il/APPS/legislation/main/bills/2215336", "הצעת חוק פיתוח והתחדשות של יישובים באזור חבל תקומה (הוראת שעה), התשפ""ד-2024")</f>
        <v>6631</v>
      </c>
      <c r="E3157" t="s">
        <v>6631</v>
      </c>
      <c r="F3157" t="s">
        <v>6632</v>
      </c>
      <c r="G3157" t="s">
        <v>14</v>
      </c>
      <c r="H3157">
             </c>
      <c r="I3157" t="s">
        <v>14</v>
      </c>
      <c r="J3157" t="s">
        <v>141</v>
      </c>
      <c r="K3157" t="s">
        <v>14</v>
      </c>
      <c r="L3157" t="s">
        <v>20</v>
      </c>
      <c r="M3157" t="s">
        <v>6584</v>
      </c>
      <c r="N3157" t="s">
        <v>14</v>
      </c>
    </row>
    <row r="3158" x14ac:dyDescent="0.25">
      <c r="A3158" t="n">
        <v>25</v>
      </c>
      <c r="B3158" t="s">
        <v>14</v>
      </c>
      <c r="C3158" t="s">
        <v>22</v>
      </c>
      <c r="D3158" s="2" t="s">
        <f>=HYPERLINK("https://main.knesset.gov.il/APPS/legislation/main/bills/2216758", "הצעת חוק התחשבנות בין בתי חולים לקופות חולים לשנים 2021 עד 2025 (התחשבנות בעד שירותי בריאות בבתי חולים ציבוריים כלליים) (תיקון - מועד התשלום לבית חולים ציבורי כללי עצמאי), התשפ""ד-2024")</f>
        <v>5944</v>
      </c>
      <c r="E3158" t="s">
        <v>5944</v>
      </c>
      <c r="F3158" t="s">
        <v>6633</v>
      </c>
      <c r="G3158" t="s">
        <v>14</v>
      </c>
      <c r="H3158">
             </c>
      <c r="I3158" t="s">
        <v>14</v>
      </c>
      <c r="J3158" t="s">
        <v>141</v>
      </c>
      <c r="K3158" t="s">
        <v>14</v>
      </c>
      <c r="L3158" t="s">
        <v>20</v>
      </c>
      <c r="M3158" t="s">
        <v>6584</v>
      </c>
      <c r="N3158" t="s">
        <v>14</v>
      </c>
    </row>
    <row r="3159" x14ac:dyDescent="0.25">
      <c r="A3159" t="n">
        <v>25</v>
      </c>
      <c r="B3159" t="s">
        <v>14</v>
      </c>
      <c r="C3159" t="s">
        <v>22</v>
      </c>
      <c r="D3159" s="2" t="s">
        <f>=HYPERLINK("https://main.knesset.gov.il/APPS/legislation/main/bills/2214554", "הצעת חוק ביטוח בריאות ממלכתי (תיקון - ניטור זמינות שירותי רפואה), התשפ""ד-2024")</f>
        <v>6634</v>
      </c>
      <c r="E3159" t="s">
        <v>6634</v>
      </c>
      <c r="F3159" t="s">
        <v>6635</v>
      </c>
      <c r="G3159" t="s">
        <v>14</v>
      </c>
      <c r="H3159">
             </c>
      <c r="I3159" t="s">
        <v>14</v>
      </c>
      <c r="J3159" t="s">
        <v>343</v>
      </c>
      <c r="K3159" t="s">
        <v>14</v>
      </c>
      <c r="L3159" t="s">
        <v>20</v>
      </c>
      <c r="M3159" t="s">
        <v>6584</v>
      </c>
      <c r="N3159" t="s">
        <v>14</v>
      </c>
    </row>
    <row r="3160" x14ac:dyDescent="0.25">
      <c r="A3160" t="n">
        <v>25</v>
      </c>
      <c r="B3160" t="s">
        <v>14</v>
      </c>
      <c r="C3160" t="s">
        <v>22</v>
      </c>
      <c r="D3160" s="2" t="s">
        <f>=HYPERLINK("https://main.knesset.gov.il/APPS/legislation/main/bills/2216448", "הצעת חוק לתיקון פקודת המשטרה (המחלקה לחקירת שוטרים), התשפ""ד-2024")</f>
        <v>6636</v>
      </c>
      <c r="E3160" t="s">
        <v>6636</v>
      </c>
      <c r="F3160" t="s">
        <v>6637</v>
      </c>
      <c r="G3160" t="s">
        <v>14</v>
      </c>
      <c r="H3160">
             </c>
      <c r="I3160" t="s">
        <v>14</v>
      </c>
      <c r="J3160" t="s">
        <v>141</v>
      </c>
      <c r="K3160" t="s">
        <v>14</v>
      </c>
      <c r="L3160" t="s">
        <v>20</v>
      </c>
      <c r="M3160" t="s">
        <v>6584</v>
      </c>
      <c r="N3160" t="s">
        <v>14</v>
      </c>
    </row>
    <row r="3161" x14ac:dyDescent="0.25">
      <c r="A3161" t="n">
        <v>25</v>
      </c>
      <c r="B3161" t="s">
        <v>14</v>
      </c>
      <c r="C3161" t="s">
        <v>22</v>
      </c>
      <c r="D3161" s="2" t="s">
        <f>=HYPERLINK("https://main.knesset.gov.il/APPS/legislation/main/bills/2216635", "הצעת חוק הנכים (תגמולים ושיקום) (תיקון - קביעת מועד להחלטה בבקשות הכרה ולקביעת דרגת נכות), התשפ""ד-2024")</f>
        <v>6638</v>
      </c>
      <c r="E3161" t="s">
        <v>6638</v>
      </c>
      <c r="F3161" t="s">
        <v>6639</v>
      </c>
      <c r="G3161" t="s">
        <v>14</v>
      </c>
      <c r="H3161">
             </c>
      <c r="I3161" t="s">
        <v>14</v>
      </c>
      <c r="J3161" t="s">
        <v>141</v>
      </c>
      <c r="K3161" t="s">
        <v>14</v>
      </c>
      <c r="L3161" t="s">
        <v>20</v>
      </c>
      <c r="M3161" t="s">
        <v>6584</v>
      </c>
      <c r="N3161" t="s">
        <v>14</v>
      </c>
    </row>
    <row r="3162" x14ac:dyDescent="0.25">
      <c r="A3162" t="n">
        <v>25</v>
      </c>
      <c r="B3162" t="s">
        <v>14</v>
      </c>
      <c r="C3162" t="s">
        <v>22</v>
      </c>
      <c r="D3162" s="2" t="s">
        <f>=HYPERLINK("https://main.knesset.gov.il/APPS/legislation/main/bills/2216978", "הצעת חוק משק החשמל (תיקון - סקירת השפעות על הסביבה), התשפ""ד-2024")</f>
        <v>6640</v>
      </c>
      <c r="E3162" t="s">
        <v>6640</v>
      </c>
      <c r="F3162" t="s">
        <v>6641</v>
      </c>
      <c r="G3162" t="s">
        <v>14</v>
      </c>
      <c r="H3162">
             </c>
      <c r="I3162" t="s">
        <v>14</v>
      </c>
      <c r="J3162" t="s">
        <v>141</v>
      </c>
      <c r="K3162" t="s">
        <v>14</v>
      </c>
      <c r="L3162" t="s">
        <v>20</v>
      </c>
      <c r="M3162" t="s">
        <v>6584</v>
      </c>
      <c r="N3162" t="s">
        <v>14</v>
      </c>
    </row>
    <row r="3163" x14ac:dyDescent="0.25">
      <c r="A3163" t="n">
        <v>25</v>
      </c>
      <c r="B3163" t="s">
        <v>14</v>
      </c>
      <c r="C3163" t="s">
        <v>22</v>
      </c>
      <c r="D3163" s="2" t="s">
        <f>=HYPERLINK("https://main.knesset.gov.il/APPS/legislation/main/bills/2200440", "הצעת חוק העונשין (תיקון - מאבק בפשיעה חקלאית), התשפ""ד -2024 ")</f>
        <v>6642</v>
      </c>
      <c r="E3163" t="s">
        <v>6642</v>
      </c>
      <c r="F3163" t="s">
        <v>6643</v>
      </c>
      <c r="G3163" t="s">
        <v>14</v>
      </c>
      <c r="H3163">
             </c>
      <c r="I3163" t="s">
        <v>14</v>
      </c>
      <c r="J3163" t="s">
        <v>141</v>
      </c>
      <c r="K3163" t="s">
        <v>14</v>
      </c>
      <c r="L3163" t="s">
        <v>20</v>
      </c>
      <c r="M3163" t="s">
        <v>6584</v>
      </c>
      <c r="N3163" t="s">
        <v>14</v>
      </c>
    </row>
    <row r="3164" x14ac:dyDescent="0.25">
      <c r="A3164" t="n">
        <v>25</v>
      </c>
      <c r="B3164" t="s">
        <v>14</v>
      </c>
      <c r="C3164" t="s">
        <v>22</v>
      </c>
      <c r="D3164" s="2" t="s">
        <f>=HYPERLINK("https://main.knesset.gov.il/APPS/legislation/main/bills/2216963", "הצעת חוק ההתיישנות (תיקון - הרחבת הזכות לתביעה בגין עבירות שהוגש בהם כתב אישום), התשפ""ד-2024")</f>
        <v>6644</v>
      </c>
      <c r="E3164" t="s">
        <v>6644</v>
      </c>
      <c r="F3164" t="s">
        <v>6645</v>
      </c>
      <c r="G3164" t="s">
        <v>14</v>
      </c>
      <c r="H3164">
             </c>
      <c r="I3164" t="s">
        <v>14</v>
      </c>
      <c r="J3164" t="s">
        <v>141</v>
      </c>
      <c r="K3164" t="s">
        <v>14</v>
      </c>
      <c r="L3164" t="s">
        <v>20</v>
      </c>
      <c r="M3164" t="s">
        <v>6584</v>
      </c>
      <c r="N3164" t="s">
        <v>14</v>
      </c>
    </row>
    <row r="3165" x14ac:dyDescent="0.25">
      <c r="A3165" t="n">
        <v>25</v>
      </c>
      <c r="B3165" t="s">
        <v>14</v>
      </c>
      <c r="C3165" t="s">
        <v>22</v>
      </c>
      <c r="D3165" s="2" t="s">
        <f>=HYPERLINK("https://main.knesset.gov.il/APPS/legislation/main/bills/2214249", "הצעת חוק לתיקון פקודת התעבורה (איסור התניית שכר לנציג בעל רישיון להפעלת קו אוטובוס כנגד מתן קנס לנוסע בלא כרטיס), התשפ""ד-2024")</f>
        <v>6646</v>
      </c>
      <c r="E3165" t="s">
        <v>6646</v>
      </c>
      <c r="F3165" t="s">
        <v>6647</v>
      </c>
      <c r="G3165" t="s">
        <v>14</v>
      </c>
      <c r="H3165">
             </c>
      <c r="I3165" t="s">
        <v>14</v>
      </c>
      <c r="J3165" t="s">
        <v>141</v>
      </c>
      <c r="K3165" t="s">
        <v>14</v>
      </c>
      <c r="L3165" t="s">
        <v>20</v>
      </c>
      <c r="M3165" t="s">
        <v>6584</v>
      </c>
      <c r="N3165" t="s">
        <v>14</v>
      </c>
    </row>
    <row r="3166" x14ac:dyDescent="0.25">
      <c r="A3166" t="n">
        <v>25</v>
      </c>
      <c r="B3166" t="s">
        <v>14</v>
      </c>
      <c r="C3166" t="s">
        <v>22</v>
      </c>
      <c r="D3166" s="2" t="s">
        <f>=HYPERLINK("https://main.knesset.gov.il/APPS/legislation/main/bills/2215378", "הצעת חוק הגנת הצרכן (תיקון - מענה אנושי בשירות טלפוני לאזרח ותיק), התשפ""ד-2024")</f>
        <v>6648</v>
      </c>
      <c r="E3166" t="s">
        <v>6648</v>
      </c>
      <c r="F3166" t="s">
        <v>6649</v>
      </c>
      <c r="G3166" t="s">
        <v>14</v>
      </c>
      <c r="H3166">
             </c>
      <c r="I3166" t="s">
        <v>14</v>
      </c>
      <c r="J3166" t="s">
        <v>141</v>
      </c>
      <c r="K3166" t="s">
        <v>14</v>
      </c>
      <c r="L3166" t="s">
        <v>20</v>
      </c>
      <c r="M3166" t="s">
        <v>6584</v>
      </c>
      <c r="N3166" t="s">
        <v>14</v>
      </c>
    </row>
    <row r="3167" x14ac:dyDescent="0.25">
      <c r="A3167" t="n">
        <v>25</v>
      </c>
      <c r="B3167" t="s">
        <v>14</v>
      </c>
      <c r="C3167" t="s">
        <v>22</v>
      </c>
      <c r="D3167" s="2" t="s">
        <f>=HYPERLINK("https://main.knesset.gov.il/APPS/legislation/main/bills/2215761", "הצעת חוק הרשויות המקומיות (בחירת ראש הרשות וסגניו וכהונתם) (תיקון - הגבלת כהונה שלישית לראש רשות), התשפ""ד-2024")</f>
        <v>6650</v>
      </c>
      <c r="E3167" t="s">
        <v>6650</v>
      </c>
      <c r="F3167" t="s">
        <v>6651</v>
      </c>
      <c r="G3167" t="s">
        <v>14</v>
      </c>
      <c r="H3167">
             </c>
      <c r="I3167" t="s">
        <v>14</v>
      </c>
      <c r="J3167" t="s">
        <v>141</v>
      </c>
      <c r="K3167" t="s">
        <v>14</v>
      </c>
      <c r="L3167" t="s">
        <v>20</v>
      </c>
      <c r="M3167" t="s">
        <v>6584</v>
      </c>
      <c r="N3167" t="s">
        <v>14</v>
      </c>
    </row>
    <row r="3168" x14ac:dyDescent="0.25">
      <c r="A3168" t="n">
        <v>25</v>
      </c>
      <c r="B3168" t="s">
        <v>14</v>
      </c>
      <c r="C3168" t="s">
        <v>22</v>
      </c>
      <c r="D3168" s="2" t="s">
        <f>=HYPERLINK("https://main.knesset.gov.il/APPS/legislation/main/bills/2216064", "הצעת חוק הגנה על בריאות הציבור (מזון) (תיקון - שאריות חומרי הדברה במזון), התשפ""ד-2024")</f>
        <v>6652</v>
      </c>
      <c r="E3168" t="s">
        <v>6652</v>
      </c>
      <c r="F3168" t="s">
        <v>6653</v>
      </c>
      <c r="G3168" t="s">
        <v>14</v>
      </c>
      <c r="H3168">
             </c>
      <c r="I3168" t="s">
        <v>14</v>
      </c>
      <c r="J3168" t="s">
        <v>141</v>
      </c>
      <c r="K3168" t="s">
        <v>14</v>
      </c>
      <c r="L3168" t="s">
        <v>20</v>
      </c>
      <c r="M3168" t="s">
        <v>6584</v>
      </c>
      <c r="N3168" t="s">
        <v>14</v>
      </c>
    </row>
    <row r="3169" x14ac:dyDescent="0.25">
      <c r="A3169" t="n">
        <v>25</v>
      </c>
      <c r="B3169" t="s">
        <v>14</v>
      </c>
      <c r="C3169" t="s">
        <v>22</v>
      </c>
      <c r="D3169" s="2" t="s">
        <f>=HYPERLINK("https://main.knesset.gov.il/APPS/legislation/main/bills/2216627", "הצעת חוק הנכים (תגמולים ושיקום) (תיקון - אחריות תקציבית), התשפ""ד-2024")</f>
        <v>6654</v>
      </c>
      <c r="E3169" t="s">
        <v>6654</v>
      </c>
      <c r="F3169" t="s">
        <v>6655</v>
      </c>
      <c r="G3169" t="s">
        <v>14</v>
      </c>
      <c r="H3169">
             </c>
      <c r="I3169" t="s">
        <v>14</v>
      </c>
      <c r="J3169" t="s">
        <v>141</v>
      </c>
      <c r="K3169" t="s">
        <v>14</v>
      </c>
      <c r="L3169" t="s">
        <v>20</v>
      </c>
      <c r="M3169" t="s">
        <v>6584</v>
      </c>
      <c r="N3169" t="s">
        <v>14</v>
      </c>
    </row>
    <row r="3170" x14ac:dyDescent="0.25">
      <c r="A3170" t="n">
        <v>25</v>
      </c>
      <c r="B3170" t="s">
        <v>14</v>
      </c>
      <c r="C3170" t="s">
        <v>22</v>
      </c>
      <c r="D3170" s="2" t="s">
        <f>=HYPERLINK("https://main.knesset.gov.il/APPS/legislation/main/bills/2216023", "הצעת חוק סל הקליטה (תיקון - זכאות לדיור ציבורי), התשפ""ד-2024")</f>
        <v>6656</v>
      </c>
      <c r="E3170" t="s">
        <v>6656</v>
      </c>
      <c r="F3170" t="s">
        <v>6657</v>
      </c>
      <c r="G3170" t="s">
        <v>14</v>
      </c>
      <c r="H3170">
             </c>
      <c r="I3170" t="s">
        <v>14</v>
      </c>
      <c r="J3170" t="s">
        <v>141</v>
      </c>
      <c r="K3170" t="s">
        <v>14</v>
      </c>
      <c r="L3170" t="s">
        <v>20</v>
      </c>
      <c r="M3170" t="s">
        <v>6584</v>
      </c>
      <c r="N3170" t="s">
        <v>14</v>
      </c>
    </row>
    <row r="3171" x14ac:dyDescent="0.25">
      <c r="A3171" t="n">
        <v>25</v>
      </c>
      <c r="B3171" t="s">
        <v>14</v>
      </c>
      <c r="C3171" t="s">
        <v>22</v>
      </c>
      <c r="D3171" s="2" t="s">
        <f>=HYPERLINK("https://main.knesset.gov.il/APPS/legislation/main/bills/2216629", "הצעת חוק הנכים (תגמולים ושיקום) (תיקון - ראש אגף שיקום נכים), התשפ""ד-2024")</f>
        <v>6658</v>
      </c>
      <c r="E3171" t="s">
        <v>6658</v>
      </c>
      <c r="F3171" t="s">
        <v>6659</v>
      </c>
      <c r="G3171" t="s">
        <v>14</v>
      </c>
      <c r="H3171">
             </c>
      <c r="I3171" t="s">
        <v>14</v>
      </c>
      <c r="J3171" t="s">
        <v>141</v>
      </c>
      <c r="K3171" t="s">
        <v>14</v>
      </c>
      <c r="L3171" t="s">
        <v>20</v>
      </c>
      <c r="M3171" t="s">
        <v>6584</v>
      </c>
      <c r="N3171" t="s">
        <v>14</v>
      </c>
    </row>
    <row r="3172" x14ac:dyDescent="0.25">
      <c r="A3172" t="n">
        <v>25</v>
      </c>
      <c r="B3172" t="s">
        <v>14</v>
      </c>
      <c r="C3172" t="s">
        <v>22</v>
      </c>
      <c r="D3172" s="2" t="s">
        <f>=HYPERLINK("https://main.knesset.gov.il/APPS/legislation/main/bills/2216816", "הצעת חוק הנכים (תגמולים ושיקום) (תיקון - העברת תגמולים וזכאויות לבן משפחה של נכה), התשפ""ד-2024")</f>
        <v>6660</v>
      </c>
      <c r="E3172" t="s">
        <v>6660</v>
      </c>
      <c r="F3172" t="s">
        <v>6661</v>
      </c>
      <c r="G3172" t="s">
        <v>14</v>
      </c>
      <c r="H3172">
             </c>
      <c r="I3172" t="s">
        <v>14</v>
      </c>
      <c r="J3172" t="s">
        <v>141</v>
      </c>
      <c r="K3172" t="s">
        <v>14</v>
      </c>
      <c r="L3172" t="s">
        <v>20</v>
      </c>
      <c r="M3172" t="s">
        <v>6584</v>
      </c>
      <c r="N3172" t="s">
        <v>14</v>
      </c>
    </row>
    <row r="3173" x14ac:dyDescent="0.25">
      <c r="A3173" t="n">
        <v>25</v>
      </c>
      <c r="B3173" t="s">
        <v>14</v>
      </c>
      <c r="C3173" t="s">
        <v>22</v>
      </c>
      <c r="D3173" s="2" t="s">
        <f>=HYPERLINK("https://main.knesset.gov.il/APPS/legislation/main/bills/2213956", "הצעת חוק הכניסה לישראל (תיקון - החמרת הענישה בעבירות של הסעה, הלנה והעסקה שלא כדין של שוהים בלתי חוקיים), התשפ""ד-2024")</f>
        <v>6662</v>
      </c>
      <c r="E3173" t="s">
        <v>6662</v>
      </c>
      <c r="F3173" t="s">
        <v>6663</v>
      </c>
      <c r="G3173" t="s">
        <v>14</v>
      </c>
      <c r="H3173">
             </c>
      <c r="I3173" t="s">
        <v>14</v>
      </c>
      <c r="J3173" t="s">
        <v>99</v>
      </c>
      <c r="K3173" t="s">
        <v>105</v>
      </c>
      <c r="L3173" t="s">
        <v>20</v>
      </c>
      <c r="M3173" t="s">
        <v>6664</v>
      </c>
      <c r="N3173" t="s">
        <v>14</v>
      </c>
    </row>
    <row r="3174" x14ac:dyDescent="0.25">
      <c r="A3174" t="n">
        <v>25</v>
      </c>
      <c r="B3174" t="s">
        <v>14</v>
      </c>
      <c r="C3174" t="s">
        <v>22</v>
      </c>
      <c r="D3174" s="2" t="s">
        <f>=HYPERLINK("https://main.knesset.gov.il/APPS/legislation/main/bills/2203626", "הצעת חוק הבחירות לכנסת (תיקון - הצבעה של אזרחים המשרתים שירות לאומי אזרחי בחוץ לארץ), התשפ""ג-2023")</f>
        <v>6665</v>
      </c>
      <c r="E3174" t="s">
        <v>6665</v>
      </c>
      <c r="F3174" t="s">
        <v>6666</v>
      </c>
      <c r="G3174" t="s">
        <v>14</v>
      </c>
      <c r="H3174">
             </c>
      <c r="I3174" t="s">
        <v>14</v>
      </c>
      <c r="J3174" t="s">
        <v>31</v>
      </c>
      <c r="K3174" t="s">
        <v>27</v>
      </c>
      <c r="L3174" t="s">
        <v>20</v>
      </c>
      <c r="M3174" t="s">
        <v>6667</v>
      </c>
      <c r="N3174" t="s">
        <v>14</v>
      </c>
    </row>
    <row r="3175" x14ac:dyDescent="0.25">
      <c r="A3175" t="n">
        <v>25</v>
      </c>
      <c r="B3175" t="s">
        <v>14</v>
      </c>
      <c r="C3175" t="s">
        <v>22</v>
      </c>
      <c r="D3175" s="2" t="s">
        <f>=HYPERLINK("https://main.knesset.gov.il/APPS/legislation/main/bills/2200077", "חוק העונשין (תיקון מס' 149), התשפ""ד–2024")</f>
        <v>6668</v>
      </c>
      <c r="E3175" t="s">
        <v>6668</v>
      </c>
      <c r="F3175" t="s">
        <v>6669</v>
      </c>
      <c r="G3175" t="s">
        <v>6670</v>
      </c>
      <c r="H3175" t="n">
        <v>3197</v>
      </c>
      <c r="I3175" t="s">
        <v>14</v>
      </c>
      <c r="J3175" t="s">
        <v>91</v>
      </c>
      <c r="K3175" t="s">
        <v>27</v>
      </c>
      <c r="L3175" t="s">
        <v>20</v>
      </c>
      <c r="M3175" t="s">
        <v>6671</v>
      </c>
      <c r="N3175" t="s">
        <v>6672</v>
      </c>
    </row>
    <row r="3176" x14ac:dyDescent="0.25">
      <c r="A3176" t="n">
        <v>25</v>
      </c>
      <c r="B3176" t="s">
        <v>14</v>
      </c>
      <c r="C3176" t="s">
        <v>22</v>
      </c>
      <c r="D3176" s="2" t="s">
        <f>=HYPERLINK("https://main.knesset.gov.il/APPS/legislation/main/bills/2212174", "הצעת חוק איסור ביזוי אנשי כוחות הביטחון ופגיעה בכבודם, התשפ""ד-2023")</f>
        <v>6673</v>
      </c>
      <c r="E3176" t="s">
        <v>6673</v>
      </c>
      <c r="F3176" t="s">
        <v>6674</v>
      </c>
      <c r="G3176" t="s">
        <v>14</v>
      </c>
      <c r="H3176">
             </c>
      <c r="I3176" t="s">
        <v>14</v>
      </c>
      <c r="J3176" t="s">
        <v>343</v>
      </c>
      <c r="K3176" t="s">
        <v>14</v>
      </c>
      <c r="L3176" t="s">
        <v>20</v>
      </c>
      <c r="M3176" t="s">
        <v>6671</v>
      </c>
      <c r="N3176" t="s">
        <v>14</v>
      </c>
    </row>
    <row r="3177" x14ac:dyDescent="0.25">
      <c r="A3177" t="n">
        <v>25</v>
      </c>
      <c r="B3177" t="s">
        <v>14</v>
      </c>
      <c r="C3177" t="s">
        <v>22</v>
      </c>
      <c r="D3177" s="2" t="s">
        <f>=HYPERLINK("https://main.knesset.gov.il/APPS/legislation/main/bills/2208713", "הצעת חוק למניעת חרם חברתי בבתי ספר, התשפ""ג-2023")</f>
        <v>6675</v>
      </c>
      <c r="E3177" t="s">
        <v>6675</v>
      </c>
      <c r="F3177" t="s">
        <v>6676</v>
      </c>
      <c r="G3177" t="s">
        <v>14</v>
      </c>
      <c r="H3177">
             </c>
      <c r="I3177" t="s">
        <v>14</v>
      </c>
      <c r="J3177" t="s">
        <v>31</v>
      </c>
      <c r="K3177" t="s">
        <v>34</v>
      </c>
      <c r="L3177" t="s">
        <v>20</v>
      </c>
      <c r="M3177" t="s">
        <v>6671</v>
      </c>
      <c r="N3177" t="s">
        <v>14</v>
      </c>
    </row>
    <row r="3178" x14ac:dyDescent="0.25">
      <c r="A3178" t="n">
        <v>25</v>
      </c>
      <c r="B3178" t="s">
        <v>14</v>
      </c>
      <c r="C3178" t="s">
        <v>22</v>
      </c>
      <c r="D3178" s="2" t="s">
        <f>=HYPERLINK("https://main.knesset.gov.il/APPS/legislation/main/bills/2214049", "הצעת חוק לתיקון פקודת הבנקאות (חובת איתור בעלי חשבונות ללא תנועה), התשפ""ד-2024")</f>
        <v>5663</v>
      </c>
      <c r="E3178" t="s">
        <v>5663</v>
      </c>
      <c r="F3178" t="s">
        <v>6677</v>
      </c>
      <c r="G3178" t="s">
        <v>14</v>
      </c>
      <c r="H3178">
             </c>
      <c r="I3178" t="s">
        <v>14</v>
      </c>
      <c r="J3178" t="s">
        <v>31</v>
      </c>
      <c r="K3178" t="s">
        <v>19</v>
      </c>
      <c r="L3178" t="s">
        <v>20</v>
      </c>
      <c r="M3178" t="s">
        <v>6678</v>
      </c>
      <c r="N3178" t="s">
        <v>14</v>
      </c>
    </row>
    <row r="3179" x14ac:dyDescent="0.25">
      <c r="A3179" t="n">
        <v>25</v>
      </c>
      <c r="B3179" t="s">
        <v>14</v>
      </c>
      <c r="C3179" t="s">
        <v>15</v>
      </c>
      <c r="D3179" s="2" t="s">
        <f>=HYPERLINK("https://main.knesset.gov.il/APPS/legislation/main/bills/2216225", "חוק לתיקון פקודת העיריות (מס' 156 – הוראת שעה – החלטה על הטלת ארנונה כללית לגבי שנת הכספים 2024), התשפ""ד–2024")</f>
        <v>6679</v>
      </c>
      <c r="E3179" t="s">
        <v>6679</v>
      </c>
      <c r="F3179" t="s">
        <v>14</v>
      </c>
      <c r="G3179" t="s">
        <v>6680</v>
      </c>
      <c r="H3179" t="n">
        <v>3195</v>
      </c>
      <c r="I3179" t="s">
        <v>14</v>
      </c>
      <c r="J3179" t="s">
        <v>91</v>
      </c>
      <c r="K3179" t="s">
        <v>46</v>
      </c>
      <c r="L3179" t="s">
        <v>20</v>
      </c>
      <c r="M3179" t="s">
        <v>6678</v>
      </c>
      <c r="N3179" t="s">
        <v>6681</v>
      </c>
    </row>
    <row r="3180" x14ac:dyDescent="0.25">
      <c r="A3180" t="n">
        <v>25</v>
      </c>
      <c r="B3180" t="s">
        <v>14</v>
      </c>
      <c r="C3180" t="s">
        <v>15</v>
      </c>
      <c r="D3180" s="2" t="s">
        <f>=HYPERLINK("https://main.knesset.gov.il/APPS/legislation/main/bills/2215339", "חוק איסור התערבות גנטית (שיבוט אדם ושינוי גנטי בתאי רבייה) (תיקון מס' 5), התשפ""ד-2024")</f>
        <v>6682</v>
      </c>
      <c r="E3180" t="s">
        <v>6682</v>
      </c>
      <c r="F3180" t="s">
        <v>14</v>
      </c>
      <c r="G3180" t="s">
        <v>6683</v>
      </c>
      <c r="H3180" t="n">
        <v>3194</v>
      </c>
      <c r="I3180" t="s">
        <v>14</v>
      </c>
      <c r="J3180" t="s">
        <v>91</v>
      </c>
      <c r="K3180" t="s">
        <v>1292</v>
      </c>
      <c r="L3180" t="s">
        <v>20</v>
      </c>
      <c r="M3180" t="s">
        <v>6678</v>
      </c>
      <c r="N3180" t="s">
        <v>6684</v>
      </c>
    </row>
    <row r="3181" x14ac:dyDescent="0.25">
      <c r="A3181" t="n">
        <v>25</v>
      </c>
      <c r="B3181" t="s">
        <v>14</v>
      </c>
      <c r="C3181" t="s">
        <v>22</v>
      </c>
      <c r="D3181" s="2" t="s">
        <f>=HYPERLINK("https://main.knesset.gov.il/APPS/legislation/main/bills/2215003", "חוק לשכת עורכי הדין (תיקון מס' 43), התשפ""ד–2024")</f>
        <v>6685</v>
      </c>
      <c r="E3181" t="s">
        <v>6685</v>
      </c>
      <c r="F3181" t="s">
        <v>6686</v>
      </c>
      <c r="G3181" t="s">
        <v>6687</v>
      </c>
      <c r="H3181" t="n">
        <v>3193</v>
      </c>
      <c r="I3181" t="s">
        <v>14</v>
      </c>
      <c r="J3181" t="s">
        <v>91</v>
      </c>
      <c r="K3181" t="s">
        <v>27</v>
      </c>
      <c r="L3181" t="s">
        <v>20</v>
      </c>
      <c r="M3181" t="s">
        <v>6678</v>
      </c>
      <c r="N3181" t="s">
        <v>6688</v>
      </c>
    </row>
    <row r="3182" x14ac:dyDescent="0.25">
      <c r="A3182" t="n">
        <v>25</v>
      </c>
      <c r="B3182" t="s">
        <v>14</v>
      </c>
      <c r="C3182" t="s">
        <v>15</v>
      </c>
      <c r="D3182" s="2" t="s">
        <f>=HYPERLINK("https://main.knesset.gov.il/APPS/legislation/main/bills/2206093", "חוק תובענות ייצוגיות (תיקון מס' 15), התשפ""ד-2024")</f>
        <v>6689</v>
      </c>
      <c r="E3182" t="s">
        <v>6689</v>
      </c>
      <c r="F3182" t="s">
        <v>14</v>
      </c>
      <c r="G3182" t="s">
        <v>6690</v>
      </c>
      <c r="H3182" t="n">
        <v>3193</v>
      </c>
      <c r="I3182" t="s">
        <v>14</v>
      </c>
      <c r="J3182" t="s">
        <v>91</v>
      </c>
      <c r="K3182" t="s">
        <v>27</v>
      </c>
      <c r="L3182" t="s">
        <v>20</v>
      </c>
      <c r="M3182" t="s">
        <v>6678</v>
      </c>
      <c r="N3182" t="s">
        <v>6691</v>
      </c>
    </row>
    <row r="3183" x14ac:dyDescent="0.25">
      <c r="A3183" t="n">
        <v>25</v>
      </c>
      <c r="B3183" t="s">
        <v>14</v>
      </c>
      <c r="C3183" t="s">
        <v>22</v>
      </c>
      <c r="D3183" s="2" t="s">
        <f>=HYPERLINK("https://main.knesset.gov.il/APPS/legislation/main/bills/2206272", "חוק איסור פרסומת והגבלת השיווק של מוצרי טבק ועישון (תיקון מס' 9), התשפ""ד–2024")</f>
        <v>6692</v>
      </c>
      <c r="E3183" t="s">
        <v>6692</v>
      </c>
      <c r="F3183" t="s">
        <v>6693</v>
      </c>
      <c r="G3183" t="s">
        <v>6694</v>
      </c>
      <c r="H3183" t="n">
        <v>3192</v>
      </c>
      <c r="I3183" t="s">
        <v>14</v>
      </c>
      <c r="J3183" t="s">
        <v>91</v>
      </c>
      <c r="K3183" t="s">
        <v>19</v>
      </c>
      <c r="L3183" t="s">
        <v>20</v>
      </c>
      <c r="M3183" t="s">
        <v>6678</v>
      </c>
      <c r="N3183" t="s">
        <v>6695</v>
      </c>
    </row>
    <row r="3184" x14ac:dyDescent="0.25">
      <c r="A3184" t="n">
        <v>25</v>
      </c>
      <c r="B3184" t="s">
        <v>14</v>
      </c>
      <c r="C3184" t="s">
        <v>15</v>
      </c>
      <c r="D3184" s="2" t="s">
        <f>=HYPERLINK("https://main.knesset.gov.il/APPS/legislation/main/bills/2212869", "חוק התגמולים לנפגעי פעולות איבה (תיקון מס' 44), התשפ""ד-2024")</f>
        <v>6696</v>
      </c>
      <c r="E3184" t="s">
        <v>6696</v>
      </c>
      <c r="F3184" t="s">
        <v>14</v>
      </c>
      <c r="G3184" t="s">
        <v>6697</v>
      </c>
      <c r="H3184" t="n">
        <v>3191</v>
      </c>
      <c r="I3184" t="s">
        <v>14</v>
      </c>
      <c r="J3184" t="s">
        <v>91</v>
      </c>
      <c r="K3184" t="s">
        <v>127</v>
      </c>
      <c r="L3184" t="s">
        <v>20</v>
      </c>
      <c r="M3184" t="s">
        <v>6678</v>
      </c>
      <c r="N3184" t="s">
        <v>6698</v>
      </c>
    </row>
    <row r="3185" x14ac:dyDescent="0.25">
      <c r="A3185" t="n">
        <v>25</v>
      </c>
      <c r="B3185" t="s">
        <v>14</v>
      </c>
      <c r="C3185" t="s">
        <v>22</v>
      </c>
      <c r="D3185" s="2" t="s">
        <f>=HYPERLINK("https://main.knesset.gov.il/APPS/legislation/main/bills/2196667", "חוק התגמולים לנפגעי פעולות איבה (תיקון מס' 43), התשפ""ד-2024")</f>
        <v>6699</v>
      </c>
      <c r="E3185" t="s">
        <v>6699</v>
      </c>
      <c r="F3185" t="s">
        <v>6700</v>
      </c>
      <c r="G3185" t="s">
        <v>6701</v>
      </c>
      <c r="H3185" t="n">
        <v>3190</v>
      </c>
      <c r="I3185" t="s">
        <v>14</v>
      </c>
      <c r="J3185" t="s">
        <v>91</v>
      </c>
      <c r="K3185" t="s">
        <v>127</v>
      </c>
      <c r="L3185" t="s">
        <v>20</v>
      </c>
      <c r="M3185" t="s">
        <v>6678</v>
      </c>
      <c r="N3185" t="s">
        <v>6702</v>
      </c>
    </row>
    <row r="3186" x14ac:dyDescent="0.25">
      <c r="A3186" t="n">
        <v>25</v>
      </c>
      <c r="B3186" t="s">
        <v>14</v>
      </c>
      <c r="C3186" t="s">
        <v>22</v>
      </c>
      <c r="D3186" s="2" t="s">
        <f>=HYPERLINK("https://main.knesset.gov.il/APPS/legislation/main/bills/2214757", "הצעת חוק הביטוח הלאומי (תיקון - חישוב התגמול למשרתים במילואים), התשפ""ד-2024")</f>
        <v>6703</v>
      </c>
      <c r="E3186" t="s">
        <v>6703</v>
      </c>
      <c r="F3186" t="s">
        <v>6704</v>
      </c>
      <c r="G3186" t="s">
        <v>14</v>
      </c>
      <c r="H3186">
             </c>
      <c r="I3186" t="s">
        <v>14</v>
      </c>
      <c r="J3186" t="s">
        <v>141</v>
      </c>
      <c r="K3186" t="s">
        <v>14</v>
      </c>
      <c r="L3186" t="s">
        <v>20</v>
      </c>
      <c r="M3186" t="s">
        <v>6678</v>
      </c>
      <c r="N3186" t="s">
        <v>14</v>
      </c>
    </row>
    <row r="3187" x14ac:dyDescent="0.25">
      <c r="A3187" t="n">
        <v>25</v>
      </c>
      <c r="B3187" t="s">
        <v>14</v>
      </c>
      <c r="C3187" t="s">
        <v>22</v>
      </c>
      <c r="D3187" s="2" t="s">
        <f>=HYPERLINK("https://main.knesset.gov.il/APPS/legislation/main/bills/2216621", "הצעת חוק הביטוח הלאומי (תיקון - זכאות לקצבת אזרח ותיק לנכה), התשפ""ד-2024")</f>
        <v>6612</v>
      </c>
      <c r="E3187" t="s">
        <v>6612</v>
      </c>
      <c r="F3187" t="s">
        <v>6705</v>
      </c>
      <c r="G3187" t="s">
        <v>14</v>
      </c>
      <c r="H3187">
             </c>
      <c r="I3187" t="s">
        <v>14</v>
      </c>
      <c r="J3187" t="s">
        <v>343</v>
      </c>
      <c r="K3187" t="s">
        <v>14</v>
      </c>
      <c r="L3187" t="s">
        <v>20</v>
      </c>
      <c r="M3187" t="s">
        <v>6678</v>
      </c>
      <c r="N3187" t="s">
        <v>14</v>
      </c>
    </row>
    <row r="3188" x14ac:dyDescent="0.25">
      <c r="A3188" t="n">
        <v>25</v>
      </c>
      <c r="B3188" t="s">
        <v>14</v>
      </c>
      <c r="C3188" t="s">
        <v>22</v>
      </c>
      <c r="D3188" s="2" t="s">
        <f>=HYPERLINK("https://main.knesset.gov.il/APPS/legislation/main/bills/2215699", "הצעת חוק החברות הממשלתיות (תיקון - פעילות פוליטית של דירקטור בחברה ממשלתית ציבורית), התשפ""ד-2024")</f>
        <v>6706</v>
      </c>
      <c r="E3188" t="s">
        <v>6706</v>
      </c>
      <c r="F3188" t="s">
        <v>6707</v>
      </c>
      <c r="G3188" t="s">
        <v>14</v>
      </c>
      <c r="H3188">
             </c>
      <c r="I3188" t="s">
        <v>14</v>
      </c>
      <c r="J3188" t="s">
        <v>141</v>
      </c>
      <c r="K3188" t="s">
        <v>14</v>
      </c>
      <c r="L3188" t="s">
        <v>20</v>
      </c>
      <c r="M3188" t="s">
        <v>6678</v>
      </c>
      <c r="N3188" t="s">
        <v>14</v>
      </c>
    </row>
    <row r="3189" x14ac:dyDescent="0.25">
      <c r="A3189" t="n">
        <v>25</v>
      </c>
      <c r="B3189" t="s">
        <v>14</v>
      </c>
      <c r="C3189" t="s">
        <v>22</v>
      </c>
      <c r="D3189" s="2" t="s">
        <f>=HYPERLINK("https://main.knesset.gov.il/APPS/legislation/main/bills/2209281", "הצעת חוק האזנת סתר (תיקון - אחריות של הורה לקטין שטרם מלאו לו 10 שנים), התשפ""ד-2024 ")</f>
        <v>6708</v>
      </c>
      <c r="E3189" t="s">
        <v>6708</v>
      </c>
      <c r="F3189" t="s">
        <v>6709</v>
      </c>
      <c r="G3189" t="s">
        <v>14</v>
      </c>
      <c r="H3189">
             </c>
      <c r="I3189" t="s">
        <v>14</v>
      </c>
      <c r="J3189" t="s">
        <v>141</v>
      </c>
      <c r="K3189" t="s">
        <v>14</v>
      </c>
      <c r="L3189" t="s">
        <v>20</v>
      </c>
      <c r="M3189" t="s">
        <v>6678</v>
      </c>
      <c r="N3189" t="s">
        <v>14</v>
      </c>
    </row>
    <row r="3190" x14ac:dyDescent="0.25">
      <c r="A3190" t="n">
        <v>25</v>
      </c>
      <c r="B3190" t="s">
        <v>14</v>
      </c>
      <c r="C3190" t="s">
        <v>22</v>
      </c>
      <c r="D3190" s="2" t="s">
        <f>=HYPERLINK("https://main.knesset.gov.il/APPS/legislation/main/bills/2216630", "הצעת חוק הנכים (תגמולים ושיקום) (תיקון - תגמול לנכה שאינו מסוגל להשתכר למחייתו), התשפ""ד-2024")</f>
        <v>6710</v>
      </c>
      <c r="E3190" t="s">
        <v>6710</v>
      </c>
      <c r="F3190" t="s">
        <v>6711</v>
      </c>
      <c r="G3190" t="s">
        <v>14</v>
      </c>
      <c r="H3190">
             </c>
      <c r="I3190" t="s">
        <v>14</v>
      </c>
      <c r="J3190" t="s">
        <v>141</v>
      </c>
      <c r="K3190" t="s">
        <v>14</v>
      </c>
      <c r="L3190" t="s">
        <v>20</v>
      </c>
      <c r="M3190" t="s">
        <v>6678</v>
      </c>
      <c r="N3190" t="s">
        <v>14</v>
      </c>
    </row>
    <row r="3191" x14ac:dyDescent="0.25">
      <c r="A3191" t="n">
        <v>25</v>
      </c>
      <c r="B3191" t="s">
        <v>14</v>
      </c>
      <c r="C3191" t="s">
        <v>22</v>
      </c>
      <c r="D3191" s="2" t="s">
        <f>=HYPERLINK("https://main.knesset.gov.il/APPS/legislation/main/bills/2213984", "הצעת חוק הדיור הציבורי (הגדלת המלאי), התשפ""ד-2024")</f>
        <v>6712</v>
      </c>
      <c r="E3191" t="s">
        <v>6712</v>
      </c>
      <c r="F3191" t="s">
        <v>6713</v>
      </c>
      <c r="G3191" t="s">
        <v>14</v>
      </c>
      <c r="H3191">
             </c>
      <c r="I3191" t="s">
        <v>14</v>
      </c>
      <c r="J3191" t="s">
        <v>141</v>
      </c>
      <c r="K3191" t="s">
        <v>14</v>
      </c>
      <c r="L3191" t="s">
        <v>20</v>
      </c>
      <c r="M3191" t="s">
        <v>6678</v>
      </c>
      <c r="N3191" t="s">
        <v>14</v>
      </c>
    </row>
    <row r="3192" x14ac:dyDescent="0.25">
      <c r="A3192" t="n">
        <v>25</v>
      </c>
      <c r="B3192" t="s">
        <v>14</v>
      </c>
      <c r="C3192" t="s">
        <v>22</v>
      </c>
      <c r="D3192" s="2" t="s">
        <f>=HYPERLINK("https://main.knesset.gov.il/APPS/legislation/main/bills/2210076", "הצעת חוק ההוצאה לפועל (תיקון - הגבלת סכום חוב פסוק מינימלי), התשפ""ד-2024")</f>
        <v>6714</v>
      </c>
      <c r="E3192" t="s">
        <v>6714</v>
      </c>
      <c r="F3192" t="s">
        <v>6715</v>
      </c>
      <c r="G3192" t="s">
        <v>14</v>
      </c>
      <c r="H3192">
             </c>
      <c r="I3192" t="s">
        <v>14</v>
      </c>
      <c r="J3192" t="s">
        <v>141</v>
      </c>
      <c r="K3192" t="s">
        <v>14</v>
      </c>
      <c r="L3192" t="s">
        <v>20</v>
      </c>
      <c r="M3192" t="s">
        <v>6678</v>
      </c>
      <c r="N3192" t="s">
        <v>14</v>
      </c>
    </row>
    <row r="3193" x14ac:dyDescent="0.25">
      <c r="A3193" t="n">
        <v>25</v>
      </c>
      <c r="B3193" t="s">
        <v>14</v>
      </c>
      <c r="C3193" t="s">
        <v>22</v>
      </c>
      <c r="D3193" s="2" t="s">
        <f>=HYPERLINK("https://main.knesset.gov.il/APPS/legislation/main/bills/2216663", "הצעת חוק סדר הדין הפלילי (חקירת חשודים) (תיקון - נוכחות עורך דין בחקירת חשוד), התשפ""ד-2024")</f>
        <v>6716</v>
      </c>
      <c r="E3193" t="s">
        <v>6716</v>
      </c>
      <c r="F3193" t="s">
        <v>6717</v>
      </c>
      <c r="G3193" t="s">
        <v>14</v>
      </c>
      <c r="H3193">
             </c>
      <c r="I3193" t="s">
        <v>14</v>
      </c>
      <c r="J3193" t="s">
        <v>141</v>
      </c>
      <c r="K3193" t="s">
        <v>14</v>
      </c>
      <c r="L3193" t="s">
        <v>20</v>
      </c>
      <c r="M3193" t="s">
        <v>6678</v>
      </c>
      <c r="N3193" t="s">
        <v>14</v>
      </c>
    </row>
    <row r="3194" x14ac:dyDescent="0.25">
      <c r="A3194" t="n">
        <v>25</v>
      </c>
      <c r="B3194" t="s">
        <v>14</v>
      </c>
      <c r="C3194" t="s">
        <v>22</v>
      </c>
      <c r="D3194" s="2" t="s">
        <f>=HYPERLINK("https://main.knesset.gov.il/APPS/legislation/main/bills/2215578", "הצעת חוק החברות הממשלתיות (תיקון - רציפות כהונת דירקטורים מקרב העובדים), התשפ""ד-2024")</f>
        <v>6718</v>
      </c>
      <c r="E3194" t="s">
        <v>6718</v>
      </c>
      <c r="F3194" t="s">
        <v>6719</v>
      </c>
      <c r="G3194" t="s">
        <v>14</v>
      </c>
      <c r="H3194">
             </c>
      <c r="I3194" t="s">
        <v>14</v>
      </c>
      <c r="J3194" t="s">
        <v>141</v>
      </c>
      <c r="K3194" t="s">
        <v>14</v>
      </c>
      <c r="L3194" t="s">
        <v>20</v>
      </c>
      <c r="M3194" t="s">
        <v>6678</v>
      </c>
      <c r="N3194" t="s">
        <v>14</v>
      </c>
    </row>
    <row r="3195" x14ac:dyDescent="0.25">
      <c r="A3195" t="n">
        <v>25</v>
      </c>
      <c r="B3195" t="s">
        <v>14</v>
      </c>
      <c r="C3195" t="s">
        <v>22</v>
      </c>
      <c r="D3195" s="2" t="s">
        <f>=HYPERLINK("https://main.knesset.gov.il/APPS/legislation/main/bills/2215511", "הצעת חוק החברות הממשלתיות (תיקון - קציבת זמן לוועדה למסירת ממצאים), התשפ""ד-2024")</f>
        <v>6720</v>
      </c>
      <c r="E3195" t="s">
        <v>6720</v>
      </c>
      <c r="F3195" t="s">
        <v>6721</v>
      </c>
      <c r="G3195" t="s">
        <v>14</v>
      </c>
      <c r="H3195">
             </c>
      <c r="I3195" t="s">
        <v>14</v>
      </c>
      <c r="J3195" t="s">
        <v>141</v>
      </c>
      <c r="K3195" t="s">
        <v>14</v>
      </c>
      <c r="L3195" t="s">
        <v>20</v>
      </c>
      <c r="M3195" t="s">
        <v>6678</v>
      </c>
      <c r="N3195" t="s">
        <v>14</v>
      </c>
    </row>
    <row r="3196" x14ac:dyDescent="0.25">
      <c r="A3196" t="n">
        <v>25</v>
      </c>
      <c r="B3196" t="s">
        <v>14</v>
      </c>
      <c r="C3196" t="s">
        <v>22</v>
      </c>
      <c r="D3196" s="2" t="s">
        <f>=HYPERLINK("https://main.knesset.gov.il/APPS/legislation/main/bills/2215997", "הצעת חוק סדר הדין הפלילי (סמכויות אכיפה - מעצרים) (תיקון - שיפוט משמעתי של עצורים), התשפ""ד-2024")</f>
        <v>6722</v>
      </c>
      <c r="E3196" t="s">
        <v>6722</v>
      </c>
      <c r="F3196" t="s">
        <v>6723</v>
      </c>
      <c r="G3196" t="s">
        <v>14</v>
      </c>
      <c r="H3196">
             </c>
      <c r="I3196" t="s">
        <v>14</v>
      </c>
      <c r="J3196" t="s">
        <v>141</v>
      </c>
      <c r="K3196" t="s">
        <v>14</v>
      </c>
      <c r="L3196" t="s">
        <v>20</v>
      </c>
      <c r="M3196" t="s">
        <v>6678</v>
      </c>
      <c r="N3196" t="s">
        <v>14</v>
      </c>
    </row>
    <row r="3197" x14ac:dyDescent="0.25">
      <c r="A3197" t="n">
        <v>25</v>
      </c>
      <c r="B3197" t="s">
        <v>14</v>
      </c>
      <c r="C3197" t="s">
        <v>22</v>
      </c>
      <c r="D3197" s="2" t="s">
        <f>=HYPERLINK("https://main.knesset.gov.il/APPS/legislation/main/bills/2216392", "הצעת חוק-יסוד: הממשלה (תיקון - הגבלת מספר שרים וסגני שרים)")</f>
        <v>3098</v>
      </c>
      <c r="E3197" t="s">
        <v>3098</v>
      </c>
      <c r="F3197" t="s">
        <v>6724</v>
      </c>
      <c r="G3197" t="s">
        <v>14</v>
      </c>
      <c r="H3197">
             </c>
      <c r="I3197" t="s">
        <v>14</v>
      </c>
      <c r="J3197" t="s">
        <v>141</v>
      </c>
      <c r="K3197" t="s">
        <v>14</v>
      </c>
      <c r="L3197" t="s">
        <v>20</v>
      </c>
      <c r="M3197" t="s">
        <v>6678</v>
      </c>
      <c r="N3197" t="s">
        <v>14</v>
      </c>
    </row>
    <row r="3198" x14ac:dyDescent="0.25">
      <c r="A3198" t="n">
        <v>25</v>
      </c>
      <c r="B3198" t="s">
        <v>14</v>
      </c>
      <c r="C3198" t="s">
        <v>22</v>
      </c>
      <c r="D3198" s="2" t="s">
        <f>=HYPERLINK("https://main.knesset.gov.il/APPS/legislation/main/bills/2210078", "הצעת חוק העונשין (תיקון - סיוג חסינות נושא משרה שיפוטית מפני אחריות פלילית), התשפ""ד-2024")</f>
        <v>6725</v>
      </c>
      <c r="E3198" t="s">
        <v>6725</v>
      </c>
      <c r="F3198" t="s">
        <v>6726</v>
      </c>
      <c r="G3198" t="s">
        <v>14</v>
      </c>
      <c r="H3198">
             </c>
      <c r="I3198" t="s">
        <v>14</v>
      </c>
      <c r="J3198" t="s">
        <v>141</v>
      </c>
      <c r="K3198" t="s">
        <v>14</v>
      </c>
      <c r="L3198" t="s">
        <v>20</v>
      </c>
      <c r="M3198" t="s">
        <v>6678</v>
      </c>
      <c r="N3198" t="s">
        <v>14</v>
      </c>
    </row>
    <row r="3199" x14ac:dyDescent="0.25">
      <c r="A3199" t="n">
        <v>25</v>
      </c>
      <c r="B3199" t="s">
        <v>14</v>
      </c>
      <c r="C3199" t="s">
        <v>22</v>
      </c>
      <c r="D3199" s="2" t="s">
        <f>=HYPERLINK("https://main.knesset.gov.il/APPS/legislation/main/bills/2215852", "הצעת חוק מס ערך מוסף (תיקון - מס בשיעור אפס על תרכובת מזון לתינוקות), התשפ""ד-2024")</f>
        <v>6727</v>
      </c>
      <c r="E3199" t="s">
        <v>6727</v>
      </c>
      <c r="F3199" t="s">
        <v>6728</v>
      </c>
      <c r="G3199" t="s">
        <v>14</v>
      </c>
      <c r="H3199">
             </c>
      <c r="I3199" t="s">
        <v>14</v>
      </c>
      <c r="J3199" t="s">
        <v>141</v>
      </c>
      <c r="K3199" t="s">
        <v>14</v>
      </c>
      <c r="L3199" t="s">
        <v>20</v>
      </c>
      <c r="M3199" t="s">
        <v>6678</v>
      </c>
      <c r="N3199" t="s">
        <v>14</v>
      </c>
    </row>
    <row r="3200" x14ac:dyDescent="0.25">
      <c r="A3200" t="n">
        <v>25</v>
      </c>
      <c r="B3200" t="s">
        <v>14</v>
      </c>
      <c r="C3200" t="s">
        <v>22</v>
      </c>
      <c r="D3200" s="2" t="s">
        <f>=HYPERLINK("https://main.knesset.gov.il/APPS/legislation/main/bills/2216631", "הצעת חוק הנכים (תגמולים ושיקום) (תיקון - ועדה רפואית), התשפ""ד-2024")</f>
        <v>6729</v>
      </c>
      <c r="E3200" t="s">
        <v>6729</v>
      </c>
      <c r="F3200" t="s">
        <v>6730</v>
      </c>
      <c r="G3200" t="s">
        <v>14</v>
      </c>
      <c r="H3200">
             </c>
      <c r="I3200" t="s">
        <v>14</v>
      </c>
      <c r="J3200" t="s">
        <v>141</v>
      </c>
      <c r="K3200" t="s">
        <v>14</v>
      </c>
      <c r="L3200" t="s">
        <v>20</v>
      </c>
      <c r="M3200" t="s">
        <v>6678</v>
      </c>
      <c r="N3200" t="s">
        <v>14</v>
      </c>
    </row>
    <row r="3201" x14ac:dyDescent="0.25">
      <c r="A3201" t="n">
        <v>25</v>
      </c>
      <c r="B3201" t="s">
        <v>14</v>
      </c>
      <c r="C3201" t="s">
        <v>22</v>
      </c>
      <c r="D3201" s="2" t="s">
        <f>=HYPERLINK("https://main.knesset.gov.il/APPS/legislation/main/bills/2215485", "הצעת חוק שכר ביום בחירות (תיקוני חקיקה), התשפ""ד-2024")</f>
        <v>6731</v>
      </c>
      <c r="E3201" t="s">
        <v>6731</v>
      </c>
      <c r="F3201" t="s">
        <v>6732</v>
      </c>
      <c r="G3201" t="s">
        <v>14</v>
      </c>
      <c r="H3201">
             </c>
      <c r="I3201" t="s">
        <v>14</v>
      </c>
      <c r="J3201" t="s">
        <v>141</v>
      </c>
      <c r="K3201" t="s">
        <v>14</v>
      </c>
      <c r="L3201" t="s">
        <v>20</v>
      </c>
      <c r="M3201" t="s">
        <v>6678</v>
      </c>
      <c r="N3201" t="s">
        <v>14</v>
      </c>
    </row>
    <row r="3202" x14ac:dyDescent="0.25">
      <c r="A3202" t="n">
        <v>25</v>
      </c>
      <c r="B3202" t="s">
        <v>14</v>
      </c>
      <c r="C3202" t="s">
        <v>22</v>
      </c>
      <c r="D3202" s="2" t="s">
        <f>=HYPERLINK("https://main.knesset.gov.il/APPS/legislation/main/bills/2216310", "הצעת חוק להחלפת המונח שיקום נכה נפש (תיקוני חקיקה), התשפ""ד-2024")</f>
        <v>6733</v>
      </c>
      <c r="E3202" t="s">
        <v>6733</v>
      </c>
      <c r="F3202" t="s">
        <v>6734</v>
      </c>
      <c r="G3202" t="s">
        <v>14</v>
      </c>
      <c r="H3202">
             </c>
      <c r="I3202" t="s">
        <v>14</v>
      </c>
      <c r="J3202" t="s">
        <v>141</v>
      </c>
      <c r="K3202" t="s">
        <v>14</v>
      </c>
      <c r="L3202" t="s">
        <v>20</v>
      </c>
      <c r="M3202" t="s">
        <v>6678</v>
      </c>
      <c r="N3202" t="s">
        <v>14</v>
      </c>
    </row>
    <row r="3203" x14ac:dyDescent="0.25">
      <c r="A3203" t="n">
        <v>25</v>
      </c>
      <c r="B3203" t="s">
        <v>14</v>
      </c>
      <c r="C3203" t="s">
        <v>22</v>
      </c>
      <c r="D3203" s="2" t="s">
        <f>=HYPERLINK("https://main.knesset.gov.il/APPS/legislation/main/bills/2216446", "הצעת חוק הרשויות המקומיות (פטור חיילים, נפגעי מלחמה ושוטרים מארנונה) (תיקון - הנחה בארנונה למשרת בשירות מילואים פעיל), התשפ""ד-2024")</f>
        <v>6735</v>
      </c>
      <c r="E3203" t="s">
        <v>6735</v>
      </c>
      <c r="F3203" t="s">
        <v>6736</v>
      </c>
      <c r="G3203" t="s">
        <v>14</v>
      </c>
      <c r="H3203">
             </c>
      <c r="I3203" t="s">
        <v>14</v>
      </c>
      <c r="J3203" t="s">
        <v>141</v>
      </c>
      <c r="K3203" t="s">
        <v>14</v>
      </c>
      <c r="L3203" t="s">
        <v>20</v>
      </c>
      <c r="M3203" t="s">
        <v>6678</v>
      </c>
      <c r="N3203" t="s">
        <v>14</v>
      </c>
    </row>
    <row r="3204" x14ac:dyDescent="0.25">
      <c r="A3204" t="n">
        <v>25</v>
      </c>
      <c r="B3204" t="s">
        <v>14</v>
      </c>
      <c r="C3204" t="s">
        <v>22</v>
      </c>
      <c r="D3204" s="2" t="s">
        <f>=HYPERLINK("https://main.knesset.gov.il/APPS/legislation/main/bills/2216442", "הצעת חוק לתיקון פקודת מס הכנסה (נקודת זיכוי בעד בן זוג במילואים), התשפ""ד-2024")</f>
        <v>6737</v>
      </c>
      <c r="E3204" t="s">
        <v>6737</v>
      </c>
      <c r="F3204" t="s">
        <v>6738</v>
      </c>
      <c r="G3204" t="s">
        <v>14</v>
      </c>
      <c r="H3204">
             </c>
      <c r="I3204" t="s">
        <v>14</v>
      </c>
      <c r="J3204" t="s">
        <v>141</v>
      </c>
      <c r="K3204" t="s">
        <v>14</v>
      </c>
      <c r="L3204" t="s">
        <v>20</v>
      </c>
      <c r="M3204" t="s">
        <v>6678</v>
      </c>
      <c r="N3204" t="s">
        <v>14</v>
      </c>
    </row>
    <row r="3205" x14ac:dyDescent="0.25">
      <c r="A3205" t="n">
        <v>25</v>
      </c>
      <c r="B3205" t="s">
        <v>14</v>
      </c>
      <c r="C3205" t="s">
        <v>22</v>
      </c>
      <c r="D3205" s="2" t="s">
        <f>=HYPERLINK("https://main.knesset.gov.il/APPS/legislation/main/bills/2216628", "הצעת חוק הנכים (תגמולים ושיקום) (תיקון - הוראות לגבי אישה נכה), התשפ""ד-2024")</f>
        <v>6739</v>
      </c>
      <c r="E3205" t="s">
        <v>6739</v>
      </c>
      <c r="F3205" t="s">
        <v>6740</v>
      </c>
      <c r="G3205" t="s">
        <v>14</v>
      </c>
      <c r="H3205">
             </c>
      <c r="I3205" t="s">
        <v>14</v>
      </c>
      <c r="J3205" t="s">
        <v>141</v>
      </c>
      <c r="K3205" t="s">
        <v>14</v>
      </c>
      <c r="L3205" t="s">
        <v>20</v>
      </c>
      <c r="M3205" t="s">
        <v>6678</v>
      </c>
      <c r="N3205" t="s">
        <v>14</v>
      </c>
    </row>
    <row r="3206" x14ac:dyDescent="0.25">
      <c r="A3206" t="n">
        <v>25</v>
      </c>
      <c r="B3206" t="s">
        <v>14</v>
      </c>
      <c r="C3206" t="s">
        <v>22</v>
      </c>
      <c r="D3206" s="2" t="s">
        <f>=HYPERLINK("https://main.knesset.gov.il/APPS/legislation/main/bills/2215888", "הצעת חוק הביטוח הלאומי (תיקון - תשלום דמי אבטלה לנשים שיצאו לחופשה ללא תשלום לאחר לידה מסיבות מוצדקות), התשפ""ד-2024")</f>
        <v>6741</v>
      </c>
      <c r="E3206" t="s">
        <v>6741</v>
      </c>
      <c r="F3206" t="s">
        <v>6742</v>
      </c>
      <c r="G3206" t="s">
        <v>14</v>
      </c>
      <c r="H3206">
             </c>
      <c r="I3206" t="s">
        <v>14</v>
      </c>
      <c r="J3206" t="s">
        <v>141</v>
      </c>
      <c r="K3206" t="s">
        <v>14</v>
      </c>
      <c r="L3206" t="s">
        <v>20</v>
      </c>
      <c r="M3206" t="s">
        <v>6678</v>
      </c>
      <c r="N3206" t="s">
        <v>14</v>
      </c>
    </row>
    <row r="3207" x14ac:dyDescent="0.25">
      <c r="A3207" t="n">
        <v>25</v>
      </c>
      <c r="B3207" t="s">
        <v>14</v>
      </c>
      <c r="C3207" t="s">
        <v>22</v>
      </c>
      <c r="D3207" s="2" t="s">
        <f>=HYPERLINK("https://main.knesset.gov.il/APPS/legislation/main/bills/2209262", "הצעת חוק התגמולים לנפגעי פעולות איבה (תיקון - הנצחת אזרחי ישראל חללי פעולות איבה), התשפ""ד-2024")</f>
        <v>6743</v>
      </c>
      <c r="E3207" t="s">
        <v>6743</v>
      </c>
      <c r="F3207" t="s">
        <v>6744</v>
      </c>
      <c r="G3207" t="s">
        <v>14</v>
      </c>
      <c r="H3207">
             </c>
      <c r="I3207" t="s">
        <v>14</v>
      </c>
      <c r="J3207" t="s">
        <v>141</v>
      </c>
      <c r="K3207" t="s">
        <v>14</v>
      </c>
      <c r="L3207" t="s">
        <v>20</v>
      </c>
      <c r="M3207" t="s">
        <v>6678</v>
      </c>
      <c r="N3207" t="s">
        <v>14</v>
      </c>
    </row>
    <row r="3208" x14ac:dyDescent="0.25">
      <c r="A3208" t="n">
        <v>25</v>
      </c>
      <c r="B3208" t="s">
        <v>14</v>
      </c>
      <c r="C3208" t="s">
        <v>22</v>
      </c>
      <c r="D3208" s="2" t="s">
        <f>=HYPERLINK("https://main.knesset.gov.il/APPS/legislation/main/bills/2216671", "הצעת חוק האזרחים הוותיקים (תיקון - הקצאת מקומות חניה במקום ציבורי לאזרח ותיק), התשפ""ד-2024")</f>
        <v>6745</v>
      </c>
      <c r="E3208" t="s">
        <v>6745</v>
      </c>
      <c r="F3208" t="s">
        <v>6746</v>
      </c>
      <c r="G3208" t="s">
        <v>14</v>
      </c>
      <c r="H3208">
             </c>
      <c r="I3208" t="s">
        <v>14</v>
      </c>
      <c r="J3208" t="s">
        <v>141</v>
      </c>
      <c r="K3208" t="s">
        <v>14</v>
      </c>
      <c r="L3208" t="s">
        <v>20</v>
      </c>
      <c r="M3208" t="s">
        <v>6678</v>
      </c>
      <c r="N3208" t="s">
        <v>14</v>
      </c>
    </row>
    <row r="3209" x14ac:dyDescent="0.25">
      <c r="A3209" t="n">
        <v>25</v>
      </c>
      <c r="B3209" t="s">
        <v>14</v>
      </c>
      <c r="C3209" t="s">
        <v>22</v>
      </c>
      <c r="D3209" s="2" t="s">
        <f>=HYPERLINK("https://main.knesset.gov.il/APPS/legislation/main/bills/2216317", "הצעת חוק זכויות החולה (תיקון - קבלת חוות דעת נוספת על מצב רפואי), התשפ""ד-2024")</f>
        <v>5953</v>
      </c>
      <c r="E3209" t="s">
        <v>5953</v>
      </c>
      <c r="F3209" t="s">
        <v>6747</v>
      </c>
      <c r="G3209" t="s">
        <v>14</v>
      </c>
      <c r="H3209">
             </c>
      <c r="I3209" t="s">
        <v>14</v>
      </c>
      <c r="J3209" t="s">
        <v>141</v>
      </c>
      <c r="K3209" t="s">
        <v>14</v>
      </c>
      <c r="L3209" t="s">
        <v>20</v>
      </c>
      <c r="M3209" t="s">
        <v>6678</v>
      </c>
      <c r="N3209" t="s">
        <v>14</v>
      </c>
    </row>
    <row r="3210" x14ac:dyDescent="0.25">
      <c r="A3210" t="n">
        <v>25</v>
      </c>
      <c r="B3210" t="s">
        <v>14</v>
      </c>
      <c r="C3210" t="s">
        <v>22</v>
      </c>
      <c r="D3210" s="2" t="s">
        <f>=HYPERLINK("https://main.knesset.gov.il/APPS/legislation/main/bills/2216444", "הצעת חוק הביטוח הלאומי (תיקון - פטור מתשלומי חובה בעד תגמול מילואים), התשפ""ד-2024")</f>
        <v>6748</v>
      </c>
      <c r="E3210" t="s">
        <v>6748</v>
      </c>
      <c r="F3210" t="s">
        <v>6749</v>
      </c>
      <c r="G3210" t="s">
        <v>14</v>
      </c>
      <c r="H3210">
             </c>
      <c r="I3210" t="s">
        <v>14</v>
      </c>
      <c r="J3210" t="s">
        <v>141</v>
      </c>
      <c r="K3210" t="s">
        <v>14</v>
      </c>
      <c r="L3210" t="s">
        <v>20</v>
      </c>
      <c r="M3210" t="s">
        <v>6678</v>
      </c>
      <c r="N3210" t="s">
        <v>14</v>
      </c>
    </row>
    <row r="3211" x14ac:dyDescent="0.25">
      <c r="A3211" t="n">
        <v>25</v>
      </c>
      <c r="B3211" t="s">
        <v>14</v>
      </c>
      <c r="C3211" t="s">
        <v>22</v>
      </c>
      <c r="D3211" s="2" t="s">
        <f>=HYPERLINK("https://main.knesset.gov.il/APPS/legislation/main/bills/2216670", "הצעת חוק הביטוח הלאומי (תיקון - זכאות לקצבת אזרח ותיק לנכה), התשפ""ד-2024 ")</f>
        <v>6750</v>
      </c>
      <c r="E3211" t="s">
        <v>6750</v>
      </c>
      <c r="F3211" t="s">
        <v>6751</v>
      </c>
      <c r="G3211" t="s">
        <v>14</v>
      </c>
      <c r="H3211">
             </c>
      <c r="I3211" t="s">
        <v>14</v>
      </c>
      <c r="J3211" t="s">
        <v>343</v>
      </c>
      <c r="K3211" t="s">
        <v>14</v>
      </c>
      <c r="L3211" t="s">
        <v>20</v>
      </c>
      <c r="M3211" t="s">
        <v>6678</v>
      </c>
      <c r="N3211" t="s">
        <v>14</v>
      </c>
    </row>
    <row r="3212" x14ac:dyDescent="0.25">
      <c r="A3212" t="n">
        <v>25</v>
      </c>
      <c r="B3212" t="s">
        <v>14</v>
      </c>
      <c r="C3212" t="s">
        <v>15</v>
      </c>
      <c r="D3212" s="2" t="s">
        <f>=HYPERLINK("https://main.knesset.gov.il/APPS/legislation/main/bills/2209059", "הצעת חוק לתיקון פקודת הרוקחים (מס' 35), התשפ""ג-2023")</f>
        <v>6752</v>
      </c>
      <c r="E3212" t="s">
        <v>6752</v>
      </c>
      <c r="F3212" t="s">
        <v>14</v>
      </c>
      <c r="G3212" t="s">
        <v>6753</v>
      </c>
      <c r="H3212">
             </c>
      <c r="I3212" t="s">
        <v>14</v>
      </c>
      <c r="J3212" t="s">
        <v>18</v>
      </c>
      <c r="K3212" t="s">
        <v>480</v>
      </c>
      <c r="L3212" t="s">
        <v>20</v>
      </c>
      <c r="M3212" t="s">
        <v>6754</v>
      </c>
      <c r="N3212" t="s">
        <v>14</v>
      </c>
    </row>
    <row r="3213" x14ac:dyDescent="0.25">
      <c r="A3213" t="n">
        <v>25</v>
      </c>
      <c r="B3213" t="s">
        <v>14</v>
      </c>
      <c r="C3213" t="s">
        <v>22</v>
      </c>
      <c r="D3213" s="2" t="s">
        <f>=HYPERLINK("https://main.knesset.gov.il/APPS/legislation/main/bills/2202287", "חוק בתי קברות צבאיים (תיקון מס' 5), התשפ""ד–2024")</f>
        <v>6755</v>
      </c>
      <c r="E3213" t="s">
        <v>6755</v>
      </c>
      <c r="F3213" t="s">
        <v>6756</v>
      </c>
      <c r="G3213" t="s">
        <v>6757</v>
      </c>
      <c r="H3213" t="n">
        <v>3189</v>
      </c>
      <c r="I3213" t="s">
        <v>14</v>
      </c>
      <c r="J3213" t="s">
        <v>91</v>
      </c>
      <c r="K3213" t="s">
        <v>105</v>
      </c>
      <c r="L3213" t="s">
        <v>20</v>
      </c>
      <c r="M3213" t="s">
        <v>6754</v>
      </c>
      <c r="N3213" t="s">
        <v>6758</v>
      </c>
    </row>
    <row r="3214" x14ac:dyDescent="0.25">
      <c r="A3214" t="n">
        <v>25</v>
      </c>
      <c r="B3214" t="s">
        <v>14</v>
      </c>
      <c r="C3214" t="s">
        <v>22</v>
      </c>
      <c r="D3214" s="2" t="s">
        <f>=HYPERLINK("https://main.knesset.gov.il/APPS/legislation/main/bills/2213472", "הצעת חוק מס ערך מוסף (תיקון - תשלום המס במתן שירותי כוח אדם ועבודות בנייה), התשפ""ד-2024")</f>
        <v>6759</v>
      </c>
      <c r="E3214" t="s">
        <v>6759</v>
      </c>
      <c r="F3214" t="s">
        <v>6760</v>
      </c>
      <c r="G3214" t="s">
        <v>14</v>
      </c>
      <c r="H3214">
             </c>
      <c r="I3214" t="s">
        <v>14</v>
      </c>
      <c r="J3214" t="s">
        <v>55</v>
      </c>
      <c r="K3214" t="s">
        <v>14</v>
      </c>
      <c r="L3214" t="s">
        <v>20</v>
      </c>
      <c r="M3214" t="s">
        <v>6754</v>
      </c>
      <c r="N3214" t="s">
        <v>14</v>
      </c>
    </row>
    <row r="3215" x14ac:dyDescent="0.25">
      <c r="A3215" t="n">
        <v>25</v>
      </c>
      <c r="B3215" t="s">
        <v>14</v>
      </c>
      <c r="C3215" t="s">
        <v>22</v>
      </c>
      <c r="D3215" s="2" t="s">
        <f>=HYPERLINK("https://main.knesset.gov.il/APPS/legislation/main/bills/2211481", "הצעת חוק שירות הקבע בצבא הגנה לישראל (גמלאות) (תיקון - ביטול ניכוי מקצבה), התשפ""ד-2023")</f>
        <v>6761</v>
      </c>
      <c r="E3215" t="s">
        <v>6761</v>
      </c>
      <c r="F3215" t="s">
        <v>6762</v>
      </c>
      <c r="G3215" t="s">
        <v>14</v>
      </c>
      <c r="H3215">
             </c>
      <c r="I3215" t="s">
        <v>14</v>
      </c>
      <c r="J3215" t="s">
        <v>31</v>
      </c>
      <c r="K3215" t="s">
        <v>127</v>
      </c>
      <c r="L3215" t="s">
        <v>20</v>
      </c>
      <c r="M3215" t="s">
        <v>6754</v>
      </c>
      <c r="N3215" t="s">
        <v>14</v>
      </c>
    </row>
    <row r="3216" x14ac:dyDescent="0.25">
      <c r="A3216" t="n">
        <v>25</v>
      </c>
      <c r="B3216" t="s">
        <v>14</v>
      </c>
      <c r="C3216" t="s">
        <v>22</v>
      </c>
      <c r="D3216" s="2" t="s">
        <f>=HYPERLINK("https://main.knesset.gov.il/APPS/legislation/main/bills/2208597", "הצעת חוק האזרחים הוותיקים (תיקון - הקצאת מקומות חניה במקום ציבורי לאזרח ותיק), התשפ""ג-2023")</f>
        <v>6763</v>
      </c>
      <c r="E3216" t="s">
        <v>6763</v>
      </c>
      <c r="F3216" t="s">
        <v>6764</v>
      </c>
      <c r="G3216" t="s">
        <v>14</v>
      </c>
      <c r="H3216">
             </c>
      <c r="I3216" t="s">
        <v>14</v>
      </c>
      <c r="J3216" t="s">
        <v>343</v>
      </c>
      <c r="K3216" t="s">
        <v>14</v>
      </c>
      <c r="L3216" t="s">
        <v>20</v>
      </c>
      <c r="M3216" t="s">
        <v>6754</v>
      </c>
      <c r="N3216" t="s">
        <v>14</v>
      </c>
    </row>
    <row r="3217" x14ac:dyDescent="0.25">
      <c r="A3217" t="n">
        <v>25</v>
      </c>
      <c r="B3217" t="s">
        <v>14</v>
      </c>
      <c r="C3217" t="s">
        <v>22</v>
      </c>
      <c r="D3217" s="2" t="s">
        <f>=HYPERLINK("https://main.knesset.gov.il/APPS/legislation/main/bills/2207111", "הצעת חוק סדר הדין הפלילי (סמכויות אכיפה - מעצרים) (תיקון - מעצר עד תום ההליכים בגין עבירה של סחיטה באיומים), התשפ""ג-2023")</f>
        <v>6765</v>
      </c>
      <c r="E3217" t="s">
        <v>6765</v>
      </c>
      <c r="F3217" t="s">
        <v>6766</v>
      </c>
      <c r="G3217" t="s">
        <v>14</v>
      </c>
      <c r="H3217">
             </c>
      <c r="I3217" t="s">
        <v>14</v>
      </c>
      <c r="J3217" t="s">
        <v>55</v>
      </c>
      <c r="K3217" t="s">
        <v>14</v>
      </c>
      <c r="L3217" t="s">
        <v>20</v>
      </c>
      <c r="M3217" t="s">
        <v>6754</v>
      </c>
      <c r="N3217" t="s">
        <v>14</v>
      </c>
    </row>
    <row r="3218" x14ac:dyDescent="0.25">
      <c r="A3218" t="n">
        <v>25</v>
      </c>
      <c r="B3218" t="s">
        <v>14</v>
      </c>
      <c r="C3218" t="s">
        <v>22</v>
      </c>
      <c r="D3218" s="2" t="s">
        <f>=HYPERLINK("https://main.knesset.gov.il/APPS/legislation/main/bills/2199807", "הצעת חוק איסור הלבנת הון (תיקון - מתן סמכות פיקוח לרשות לאיסור הלבנת הון ומימון טרור על נותני שירותים פיננסיים), התשפ""ג-2023")</f>
        <v>6767</v>
      </c>
      <c r="E3218" t="s">
        <v>6767</v>
      </c>
      <c r="F3218" t="s">
        <v>6768</v>
      </c>
      <c r="G3218" t="s">
        <v>14</v>
      </c>
      <c r="H3218">
             </c>
      <c r="I3218" t="s">
        <v>14</v>
      </c>
      <c r="J3218" t="s">
        <v>55</v>
      </c>
      <c r="K3218" t="s">
        <v>14</v>
      </c>
      <c r="L3218" t="s">
        <v>20</v>
      </c>
      <c r="M3218" t="s">
        <v>6754</v>
      </c>
      <c r="N3218" t="s">
        <v>14</v>
      </c>
    </row>
    <row r="3219" x14ac:dyDescent="0.25">
      <c r="A3219" t="n">
        <v>25</v>
      </c>
      <c r="B3219" t="s">
        <v>14</v>
      </c>
      <c r="C3219" t="s">
        <v>22</v>
      </c>
      <c r="D3219" s="2" t="s">
        <f>=HYPERLINK("https://main.knesset.gov.il/APPS/legislation/main/bills/2199930", "הצעת חוק שירות ביטחון (תיקון - השוואת תהליכי המיון, השיבוץ, התקינה וההכשרה, המסלולים המקצועיים ואופקי הקידום לנשים וגברים), התשפ""ג-2023")</f>
        <v>6769</v>
      </c>
      <c r="E3219" t="s">
        <v>6769</v>
      </c>
      <c r="F3219" t="s">
        <v>6770</v>
      </c>
      <c r="G3219" t="s">
        <v>14</v>
      </c>
      <c r="H3219">
             </c>
      <c r="I3219" t="s">
        <v>14</v>
      </c>
      <c r="J3219" t="s">
        <v>55</v>
      </c>
      <c r="K3219" t="s">
        <v>14</v>
      </c>
      <c r="L3219" t="s">
        <v>20</v>
      </c>
      <c r="M3219" t="s">
        <v>6754</v>
      </c>
      <c r="N3219" t="s">
        <v>14</v>
      </c>
    </row>
    <row r="3220" x14ac:dyDescent="0.25">
      <c r="A3220" t="n">
        <v>25</v>
      </c>
      <c r="B3220" t="s">
        <v>14</v>
      </c>
      <c r="C3220" t="s">
        <v>22</v>
      </c>
      <c r="D3220" s="2" t="s">
        <f>=HYPERLINK("https://main.knesset.gov.il/APPS/legislation/main/bills/2198747", "הצעת חוק הבנקאות (שירות ללקוח) (תיקון - הגבלת עמלת ערבות בנקאית שמובטחת בפיקדון כספי מסוים), התשפ""ג-2023")</f>
        <v>6771</v>
      </c>
      <c r="E3220" t="s">
        <v>6771</v>
      </c>
      <c r="F3220" t="s">
        <v>6772</v>
      </c>
      <c r="G3220" t="s">
        <v>14</v>
      </c>
      <c r="H3220">
             </c>
      <c r="I3220" t="s">
        <v>14</v>
      </c>
      <c r="J3220" t="s">
        <v>31</v>
      </c>
      <c r="K3220" t="s">
        <v>19</v>
      </c>
      <c r="L3220" t="s">
        <v>20</v>
      </c>
      <c r="M3220" t="s">
        <v>6754</v>
      </c>
      <c r="N3220" t="s">
        <v>14</v>
      </c>
    </row>
    <row r="3221" x14ac:dyDescent="0.25">
      <c r="A3221" t="n">
        <v>25</v>
      </c>
      <c r="B3221" t="s">
        <v>14</v>
      </c>
      <c r="C3221" t="s">
        <v>22</v>
      </c>
      <c r="D3221" s="2" t="s">
        <f>=HYPERLINK("https://main.knesset.gov.il/APPS/legislation/main/bills/2196821", "הצעת חוק הבנקאות (שירות ללקוח) (תיקון - הגבלת עמלת ערבות בנקאית שמובטחת בפיקדון כספי מסוים), התשפ""ג-2022")</f>
        <v>6773</v>
      </c>
      <c r="E3221" t="s">
        <v>6773</v>
      </c>
      <c r="F3221" t="s">
        <v>6774</v>
      </c>
      <c r="G3221" t="s">
        <v>14</v>
      </c>
      <c r="H3221">
             </c>
      <c r="I3221" t="s">
        <v>14</v>
      </c>
      <c r="J3221" t="s">
        <v>31</v>
      </c>
      <c r="K3221" t="s">
        <v>19</v>
      </c>
      <c r="L3221" t="s">
        <v>20</v>
      </c>
      <c r="M3221" t="s">
        <v>6754</v>
      </c>
      <c r="N3221" t="s">
        <v>14</v>
      </c>
    </row>
    <row r="3222" x14ac:dyDescent="0.25">
      <c r="A3222" t="n">
        <v>25</v>
      </c>
      <c r="B3222" t="s">
        <v>14</v>
      </c>
      <c r="C3222" t="s">
        <v>22</v>
      </c>
      <c r="D3222" s="2" t="s">
        <f>=HYPERLINK("https://main.knesset.gov.il/APPS/legislation/main/bills/2211025", "חוק משפחות חיילים שנספו במערכה (תגמולים ושיקום) (תיקון מס' 43), התשפ""ד–2024")</f>
        <v>6775</v>
      </c>
      <c r="E3222" t="s">
        <v>6775</v>
      </c>
      <c r="F3222" t="s">
        <v>6776</v>
      </c>
      <c r="G3222" t="s">
        <v>6777</v>
      </c>
      <c r="H3222" t="n">
        <v>3185</v>
      </c>
      <c r="I3222" t="s">
        <v>14</v>
      </c>
      <c r="J3222" t="s">
        <v>91</v>
      </c>
      <c r="K3222" t="s">
        <v>127</v>
      </c>
      <c r="L3222" t="s">
        <v>20</v>
      </c>
      <c r="M3222" t="s">
        <v>6778</v>
      </c>
      <c r="N3222" t="s">
        <v>6779</v>
      </c>
    </row>
    <row r="3223" x14ac:dyDescent="0.25">
      <c r="A3223" t="n">
        <v>25</v>
      </c>
      <c r="B3223" t="s">
        <v>14</v>
      </c>
      <c r="C3223" t="s">
        <v>15</v>
      </c>
      <c r="D3223" s="2" t="s">
        <f>=HYPERLINK("https://main.knesset.gov.il/APPS/legislation/main/bills/2216209", "חוק לתיקון ולהארכת תוקפן של תקנות שעת חירום (חרבות ברזל) (הארכת מעצר לחשוד בעבירת ביטחון) (תיקון), התשפ""ד-2024")</f>
        <v>6780</v>
      </c>
      <c r="E3223" t="s">
        <v>6780</v>
      </c>
      <c r="F3223" t="s">
        <v>14</v>
      </c>
      <c r="G3223" t="s">
        <v>6781</v>
      </c>
      <c r="H3223" t="n">
        <v>3183</v>
      </c>
      <c r="I3223" t="s">
        <v>14</v>
      </c>
      <c r="J3223" t="s">
        <v>91</v>
      </c>
      <c r="K3223" t="s">
        <v>27</v>
      </c>
      <c r="L3223" t="s">
        <v>20</v>
      </c>
      <c r="M3223" t="s">
        <v>6778</v>
      </c>
      <c r="N3223" t="s">
        <v>6782</v>
      </c>
    </row>
    <row r="3224" x14ac:dyDescent="0.25">
      <c r="A3224" t="n">
        <v>25</v>
      </c>
      <c r="B3224" t="s">
        <v>14</v>
      </c>
      <c r="C3224" t="s">
        <v>22</v>
      </c>
      <c r="D3224" s="2" t="s">
        <f>=HYPERLINK("https://main.knesset.gov.il/APPS/legislation/main/bills/2213476", "הצעת חוק משפחות חיילים שנספו במערכה (תגמולים ושיקום) (תיקון - הכרה בארוסות חיילים שנספו במערכה), התשפ""ד-2024")</f>
        <v>6783</v>
      </c>
      <c r="E3224" t="s">
        <v>6783</v>
      </c>
      <c r="F3224" t="s">
        <v>6784</v>
      </c>
      <c r="G3224" t="s">
        <v>14</v>
      </c>
      <c r="H3224">
             </c>
      <c r="I3224" t="s">
        <v>14</v>
      </c>
      <c r="J3224" t="s">
        <v>99</v>
      </c>
      <c r="K3224" t="s">
        <v>127</v>
      </c>
      <c r="L3224" t="s">
        <v>20</v>
      </c>
      <c r="M3224" t="s">
        <v>6778</v>
      </c>
      <c r="N3224" t="s">
        <v>14</v>
      </c>
    </row>
    <row r="3225" x14ac:dyDescent="0.25">
      <c r="A3225" t="n">
        <v>25</v>
      </c>
      <c r="B3225" t="s">
        <v>14</v>
      </c>
      <c r="C3225" t="s">
        <v>15</v>
      </c>
      <c r="D3225" s="2" t="s">
        <f>=HYPERLINK("https://main.knesset.gov.il/APPS/legislation/main/bills/2216042", "חוק הכללת אמצעי זיהוי ביומטריים ונתוני זיהוי ביומטריים במסמכי זיהוי ובמאגר מידע (תיקון מס' 4 – הוראת שעה), התשפ""ד–2024")</f>
        <v>6785</v>
      </c>
      <c r="E3225" t="s">
        <v>6785</v>
      </c>
      <c r="F3225" t="s">
        <v>14</v>
      </c>
      <c r="G3225" t="s">
        <v>6786</v>
      </c>
      <c r="H3225" t="n">
        <v>3187</v>
      </c>
      <c r="I3225" t="s">
        <v>14</v>
      </c>
      <c r="J3225" t="s">
        <v>91</v>
      </c>
      <c r="K3225" t="s">
        <v>14</v>
      </c>
      <c r="L3225" t="s">
        <v>20</v>
      </c>
      <c r="M3225" t="s">
        <v>6778</v>
      </c>
      <c r="N3225" t="s">
        <v>6787</v>
      </c>
    </row>
    <row r="3226" x14ac:dyDescent="0.25">
      <c r="A3226" t="n">
        <v>25</v>
      </c>
      <c r="B3226" t="s">
        <v>14</v>
      </c>
      <c r="C3226" t="s">
        <v>22</v>
      </c>
      <c r="D3226" s="2" t="s">
        <f>=HYPERLINK("https://main.knesset.gov.il/APPS/legislation/main/bills/2197217", "חוק יום משפחות היתומים בישראל, התשפ""ד–2024")</f>
        <v>6788</v>
      </c>
      <c r="E3226" t="s">
        <v>6788</v>
      </c>
      <c r="F3226" t="s">
        <v>6789</v>
      </c>
      <c r="G3226" t="s">
        <v>6790</v>
      </c>
      <c r="H3226" t="n">
        <v>3186</v>
      </c>
      <c r="I3226" t="s">
        <v>14</v>
      </c>
      <c r="J3226" t="s">
        <v>91</v>
      </c>
      <c r="K3226" t="s">
        <v>34</v>
      </c>
      <c r="L3226" t="s">
        <v>20</v>
      </c>
      <c r="M3226" t="s">
        <v>6778</v>
      </c>
      <c r="N3226" t="s">
        <v>6791</v>
      </c>
    </row>
    <row r="3227" x14ac:dyDescent="0.25">
      <c r="A3227" t="n">
        <v>25</v>
      </c>
      <c r="B3227" t="s">
        <v>14</v>
      </c>
      <c r="C3227" t="s">
        <v>22</v>
      </c>
      <c r="D3227" s="2" t="s">
        <f>=HYPERLINK("https://main.knesset.gov.il/APPS/legislation/main/bills/2197106", "הצעת חוק התגמולים לנפגעי פעולות איבה (תיקון - תביעה נגד מפגע), התשפ""ג-2022 ")</f>
        <v>6792</v>
      </c>
      <c r="E3227" t="s">
        <v>6792</v>
      </c>
      <c r="F3227" t="s">
        <v>6793</v>
      </c>
      <c r="G3227" t="s">
        <v>14</v>
      </c>
      <c r="H3227">
             </c>
      <c r="I3227" t="s">
        <v>14</v>
      </c>
      <c r="J3227" t="s">
        <v>99</v>
      </c>
      <c r="K3227" t="s">
        <v>127</v>
      </c>
      <c r="L3227" t="s">
        <v>20</v>
      </c>
      <c r="M3227" t="s">
        <v>6794</v>
      </c>
      <c r="N3227" t="s">
        <v>14</v>
      </c>
    </row>
    <row r="3228" x14ac:dyDescent="0.25">
      <c r="A3228" t="n">
        <v>25</v>
      </c>
      <c r="B3228" t="s">
        <v>14</v>
      </c>
      <c r="C3228" t="s">
        <v>15</v>
      </c>
      <c r="D3228" s="2" t="s">
        <f>=HYPERLINK("https://main.knesset.gov.il/APPS/legislation/main/bills/2214721", "חוק סיוע להורים לילדים עד גיל שלוש (תיקוני חקיקה), התשפ""ד-2024")</f>
        <v>6795</v>
      </c>
      <c r="E3228" t="s">
        <v>6795</v>
      </c>
      <c r="F3228" t="s">
        <v>14</v>
      </c>
      <c r="G3228" t="s">
        <v>6796</v>
      </c>
      <c r="H3228" t="n">
        <v>3184</v>
      </c>
      <c r="I3228" t="s">
        <v>14</v>
      </c>
      <c r="J3228" t="s">
        <v>91</v>
      </c>
      <c r="K3228" t="s">
        <v>85</v>
      </c>
      <c r="L3228" t="s">
        <v>20</v>
      </c>
      <c r="M3228" t="s">
        <v>6794</v>
      </c>
      <c r="N3228" t="s">
        <v>6797</v>
      </c>
    </row>
    <row r="3229" x14ac:dyDescent="0.25">
      <c r="A3229" t="n">
        <v>25</v>
      </c>
      <c r="B3229" t="s">
        <v>14</v>
      </c>
      <c r="C3229" t="s">
        <v>15</v>
      </c>
      <c r="D3229" s="2" t="s">
        <f>=HYPERLINK("https://main.knesset.gov.il/APPS/legislation/main/bills/2202796", "חוק התכנון והבנייה (תיקון מס' 151), התשפ""ד-2024")</f>
        <v>6798</v>
      </c>
      <c r="E3229" t="s">
        <v>6798</v>
      </c>
      <c r="F3229" t="s">
        <v>14</v>
      </c>
      <c r="G3229" t="s">
        <v>6799</v>
      </c>
      <c r="H3229" t="n">
        <v>3182</v>
      </c>
      <c r="I3229" t="s">
        <v>14</v>
      </c>
      <c r="J3229" t="s">
        <v>91</v>
      </c>
      <c r="K3229" t="s">
        <v>46</v>
      </c>
      <c r="L3229" t="s">
        <v>20</v>
      </c>
      <c r="M3229" t="s">
        <v>6794</v>
      </c>
      <c r="N3229" t="s">
        <v>6800</v>
      </c>
    </row>
    <row r="3230" x14ac:dyDescent="0.25">
      <c r="A3230" t="n">
        <v>25</v>
      </c>
      <c r="B3230" t="s">
        <v>14</v>
      </c>
      <c r="C3230" t="s">
        <v>15</v>
      </c>
      <c r="D3230" s="2" t="s">
        <f>=HYPERLINK("https://main.knesset.gov.il/APPS/legislation/main/bills/2203070", "חוק התכנון והבנייה (תיקון מס' 152), התשפ""ד-2024")</f>
        <v>6801</v>
      </c>
      <c r="E3230" t="s">
        <v>6801</v>
      </c>
      <c r="F3230" t="s">
        <v>14</v>
      </c>
      <c r="G3230" t="s">
        <v>6802</v>
      </c>
      <c r="H3230" t="n">
        <v>3182</v>
      </c>
      <c r="I3230" t="s">
        <v>14</v>
      </c>
      <c r="J3230" t="s">
        <v>91</v>
      </c>
      <c r="K3230" t="s">
        <v>46</v>
      </c>
      <c r="L3230" t="s">
        <v>20</v>
      </c>
      <c r="M3230" t="s">
        <v>6794</v>
      </c>
      <c r="N3230" t="s">
        <v>6803</v>
      </c>
    </row>
    <row r="3231" x14ac:dyDescent="0.25">
      <c r="A3231" t="n">
        <v>25</v>
      </c>
      <c r="B3231" t="s">
        <v>14</v>
      </c>
      <c r="C3231" t="s">
        <v>15</v>
      </c>
      <c r="D3231" s="2" t="s">
        <f>=HYPERLINK("https://main.knesset.gov.il/APPS/legislation/main/bills/2215018", "חוק הסיוע המשפטי (תיקון מס' 25), התשפ""ד–2024")</f>
        <v>6804</v>
      </c>
      <c r="E3231" t="s">
        <v>6804</v>
      </c>
      <c r="F3231" t="s">
        <v>14</v>
      </c>
      <c r="G3231" t="s">
        <v>6805</v>
      </c>
      <c r="H3231" t="n">
        <v>3181</v>
      </c>
      <c r="I3231" t="s">
        <v>14</v>
      </c>
      <c r="J3231" t="s">
        <v>91</v>
      </c>
      <c r="K3231" t="s">
        <v>27</v>
      </c>
      <c r="L3231" t="s">
        <v>20</v>
      </c>
      <c r="M3231" t="s">
        <v>6794</v>
      </c>
      <c r="N3231" t="s">
        <v>6806</v>
      </c>
    </row>
    <row r="3232" x14ac:dyDescent="0.25">
      <c r="A3232" t="n">
        <v>25</v>
      </c>
      <c r="B3232" t="s">
        <v>14</v>
      </c>
      <c r="C3232" t="s">
        <v>22</v>
      </c>
      <c r="D3232" s="2" t="s">
        <f>=HYPERLINK("https://main.knesset.gov.il/APPS/legislation/main/bills/2215662", "הצעת חוק המסייעים לנטרול תוצאות אסון צ'רנוביל (תיקון - ציון יום המסייעים), התשפ""ד-2024")</f>
        <v>6807</v>
      </c>
      <c r="E3232" t="s">
        <v>6807</v>
      </c>
      <c r="F3232" t="s">
        <v>6808</v>
      </c>
      <c r="G3232" t="s">
        <v>14</v>
      </c>
      <c r="H3232">
             </c>
      <c r="I3232" t="s">
        <v>14</v>
      </c>
      <c r="J3232" t="s">
        <v>141</v>
      </c>
      <c r="K3232" t="s">
        <v>14</v>
      </c>
      <c r="L3232" t="s">
        <v>20</v>
      </c>
      <c r="M3232" t="s">
        <v>6794</v>
      </c>
      <c r="N3232" t="s">
        <v>14</v>
      </c>
    </row>
    <row r="3233" x14ac:dyDescent="0.25">
      <c r="A3233" t="n">
        <v>25</v>
      </c>
      <c r="B3233" t="s">
        <v>14</v>
      </c>
      <c r="C3233" t="s">
        <v>22</v>
      </c>
      <c r="D3233" s="2" t="s">
        <f>=HYPERLINK("https://main.knesset.gov.il/APPS/legislation/main/bills/2214630", "הצעת חוק מימון שכר לימוד לסטודנטים באזורי מלחמה ועימות (הוראת שעה - חרבות ברזל), התשפ""ד-2024")</f>
        <v>5780</v>
      </c>
      <c r="E3233" t="s">
        <v>5780</v>
      </c>
      <c r="F3233" t="s">
        <v>6809</v>
      </c>
      <c r="G3233" t="s">
        <v>14</v>
      </c>
      <c r="H3233">
             </c>
      <c r="I3233" t="s">
        <v>14</v>
      </c>
      <c r="J3233" t="s">
        <v>141</v>
      </c>
      <c r="K3233" t="s">
        <v>14</v>
      </c>
      <c r="L3233" t="s">
        <v>20</v>
      </c>
      <c r="M3233" t="s">
        <v>6794</v>
      </c>
      <c r="N3233" t="s">
        <v>14</v>
      </c>
    </row>
    <row r="3234" x14ac:dyDescent="0.25">
      <c r="A3234" t="n">
        <v>25</v>
      </c>
      <c r="B3234" t="s">
        <v>14</v>
      </c>
      <c r="C3234" t="s">
        <v>22</v>
      </c>
      <c r="D3234" s="2" t="s">
        <f>=HYPERLINK("https://main.knesset.gov.il/APPS/legislation/main/bills/2215871", "הצעת חוק החומרים המסוכנים (תיקון - פרטי התקשרות למרכז רעלים), התשפ""ד-2024")</f>
        <v>6810</v>
      </c>
      <c r="E3234" t="s">
        <v>6810</v>
      </c>
      <c r="F3234" t="s">
        <v>6811</v>
      </c>
      <c r="G3234" t="s">
        <v>14</v>
      </c>
      <c r="H3234">
             </c>
      <c r="I3234" t="s">
        <v>14</v>
      </c>
      <c r="J3234" t="s">
        <v>141</v>
      </c>
      <c r="K3234" t="s">
        <v>14</v>
      </c>
      <c r="L3234" t="s">
        <v>20</v>
      </c>
      <c r="M3234" t="s">
        <v>6794</v>
      </c>
      <c r="N3234" t="s">
        <v>14</v>
      </c>
    </row>
    <row r="3235" x14ac:dyDescent="0.25">
      <c r="A3235" t="n">
        <v>25</v>
      </c>
      <c r="B3235" t="s">
        <v>14</v>
      </c>
      <c r="C3235" t="s">
        <v>22</v>
      </c>
      <c r="D3235" s="2" t="s">
        <f>=HYPERLINK("https://main.knesset.gov.il/APPS/legislation/main/bills/2215414", "הצעת חוק הביטוח הלאומי (תיקון - מניין הימים לעניין מבוטח בשירות מילואים בנסיבות חירום), התשפ""ד-2024 ")</f>
        <v>6372</v>
      </c>
      <c r="E3235" t="s">
        <v>6372</v>
      </c>
      <c r="F3235" t="s">
        <v>6812</v>
      </c>
      <c r="G3235" t="s">
        <v>14</v>
      </c>
      <c r="H3235">
             </c>
      <c r="I3235" t="s">
        <v>14</v>
      </c>
      <c r="J3235" t="s">
        <v>141</v>
      </c>
      <c r="K3235" t="s">
        <v>14</v>
      </c>
      <c r="L3235" t="s">
        <v>20</v>
      </c>
      <c r="M3235" t="s">
        <v>6794</v>
      </c>
      <c r="N3235" t="s">
        <v>14</v>
      </c>
    </row>
    <row r="3236" x14ac:dyDescent="0.25">
      <c r="A3236" t="n">
        <v>25</v>
      </c>
      <c r="B3236" t="s">
        <v>14</v>
      </c>
      <c r="C3236" t="s">
        <v>22</v>
      </c>
      <c r="D3236" s="2" t="s">
        <f>=HYPERLINK("https://main.knesset.gov.il/APPS/legislation/main/bills/2215976", "הצעת חוק דמי מחלה (תיקון - חישוב היעדרות לעובד המצוי בסיכון מוגבר לחלות במחלה ממארת), התשפ""ד-2024")</f>
        <v>6813</v>
      </c>
      <c r="E3236" t="s">
        <v>6813</v>
      </c>
      <c r="F3236" t="s">
        <v>6814</v>
      </c>
      <c r="G3236" t="s">
        <v>14</v>
      </c>
      <c r="H3236">
             </c>
      <c r="I3236" t="s">
        <v>14</v>
      </c>
      <c r="J3236" t="s">
        <v>141</v>
      </c>
      <c r="K3236" t="s">
        <v>14</v>
      </c>
      <c r="L3236" t="s">
        <v>20</v>
      </c>
      <c r="M3236" t="s">
        <v>6794</v>
      </c>
      <c r="N3236" t="s">
        <v>14</v>
      </c>
    </row>
    <row r="3237" x14ac:dyDescent="0.25">
      <c r="A3237" t="n">
        <v>25</v>
      </c>
      <c r="B3237" t="s">
        <v>14</v>
      </c>
      <c r="C3237" t="s">
        <v>22</v>
      </c>
      <c r="D3237" s="2" t="s">
        <f>=HYPERLINK("https://main.knesset.gov.il/APPS/legislation/main/bills/2215937", "הצעת חוק פנייה לגופים ציבוריים באמצעי קשר דיגיטליים (תיקון - קביעת תור באמצעות האינטרנט), התשפ""ד-2024")</f>
        <v>6815</v>
      </c>
      <c r="E3237" t="s">
        <v>6815</v>
      </c>
      <c r="F3237" t="s">
        <v>6816</v>
      </c>
      <c r="G3237" t="s">
        <v>14</v>
      </c>
      <c r="H3237">
             </c>
      <c r="I3237" t="s">
        <v>14</v>
      </c>
      <c r="J3237" t="s">
        <v>141</v>
      </c>
      <c r="K3237" t="s">
        <v>14</v>
      </c>
      <c r="L3237" t="s">
        <v>20</v>
      </c>
      <c r="M3237" t="s">
        <v>6794</v>
      </c>
      <c r="N3237" t="s">
        <v>14</v>
      </c>
    </row>
    <row r="3238" x14ac:dyDescent="0.25">
      <c r="A3238" t="n">
        <v>25</v>
      </c>
      <c r="B3238" t="s">
        <v>14</v>
      </c>
      <c r="C3238" t="s">
        <v>22</v>
      </c>
      <c r="D3238" s="2" t="s">
        <f>=HYPERLINK("https://main.knesset.gov.il/APPS/legislation/main/bills/2215361", "הצעת חוק הרשות הלאומית לתרבות של יהודים דוברי רוסית, התשפ""ד-2024")</f>
        <v>6817</v>
      </c>
      <c r="E3238" t="s">
        <v>6817</v>
      </c>
      <c r="F3238" t="s">
        <v>6818</v>
      </c>
      <c r="G3238" t="s">
        <v>14</v>
      </c>
      <c r="H3238">
             </c>
      <c r="I3238" t="s">
        <v>14</v>
      </c>
      <c r="J3238" t="s">
        <v>141</v>
      </c>
      <c r="K3238" t="s">
        <v>14</v>
      </c>
      <c r="L3238" t="s">
        <v>20</v>
      </c>
      <c r="M3238" t="s">
        <v>6794</v>
      </c>
      <c r="N3238" t="s">
        <v>14</v>
      </c>
    </row>
    <row r="3239" x14ac:dyDescent="0.25">
      <c r="A3239" t="n">
        <v>25</v>
      </c>
      <c r="B3239" t="s">
        <v>14</v>
      </c>
      <c r="C3239" t="s">
        <v>22</v>
      </c>
      <c r="D3239" s="2" t="s">
        <f>=HYPERLINK("https://main.knesset.gov.il/APPS/legislation/main/bills/2215784", "הצעת חוק הוועדה לטיפול במשפחות נעדרים אזרחיים, התשפ""ד-2024")</f>
        <v>600</v>
      </c>
      <c r="E3239" t="s">
        <v>600</v>
      </c>
      <c r="F3239" t="s">
        <v>6819</v>
      </c>
      <c r="G3239" t="s">
        <v>14</v>
      </c>
      <c r="H3239">
             </c>
      <c r="I3239" t="s">
        <v>14</v>
      </c>
      <c r="J3239" t="s">
        <v>141</v>
      </c>
      <c r="K3239" t="s">
        <v>14</v>
      </c>
      <c r="L3239" t="s">
        <v>20</v>
      </c>
      <c r="M3239" t="s">
        <v>6794</v>
      </c>
      <c r="N3239" t="s">
        <v>14</v>
      </c>
    </row>
    <row r="3240" x14ac:dyDescent="0.25">
      <c r="A3240" t="n">
        <v>25</v>
      </c>
      <c r="B3240" t="s">
        <v>14</v>
      </c>
      <c r="C3240" t="s">
        <v>22</v>
      </c>
      <c r="D3240" s="2" t="s">
        <f>=HYPERLINK("https://main.knesset.gov.il/APPS/legislation/main/bills/2216020", "הצעת חוק מימון מפלגות (תיקון - שלילת מימון ממפלגה שקוראת להטלת חרם על מדינת ישראל), התשפ""ד-2024")</f>
        <v>6472</v>
      </c>
      <c r="E3240" t="s">
        <v>6472</v>
      </c>
      <c r="F3240" t="s">
        <v>6820</v>
      </c>
      <c r="G3240" t="s">
        <v>14</v>
      </c>
      <c r="H3240">
             </c>
      <c r="I3240" t="s">
        <v>14</v>
      </c>
      <c r="J3240" t="s">
        <v>141</v>
      </c>
      <c r="K3240" t="s">
        <v>14</v>
      </c>
      <c r="L3240" t="s">
        <v>20</v>
      </c>
      <c r="M3240" t="s">
        <v>6794</v>
      </c>
      <c r="N3240" t="s">
        <v>14</v>
      </c>
    </row>
    <row r="3241" x14ac:dyDescent="0.25">
      <c r="A3241" t="n">
        <v>25</v>
      </c>
      <c r="B3241" t="s">
        <v>14</v>
      </c>
      <c r="C3241" t="s">
        <v>22</v>
      </c>
      <c r="D3241" s="2" t="s">
        <f>=HYPERLINK("https://main.knesset.gov.il/APPS/legislation/main/bills/2213832", "הצעת חוק עידוד מעורבות סטודנטים בפעילות חברתית וקהילתית (תיקון - הכרה בנקודות זכות בשל שירות מילואים ממושך בנסיבות חירום), התשפ""ד-2024")</f>
        <v>6821</v>
      </c>
      <c r="E3241" t="s">
        <v>6821</v>
      </c>
      <c r="F3241" t="s">
        <v>6822</v>
      </c>
      <c r="G3241" t="s">
        <v>14</v>
      </c>
      <c r="H3241">
             </c>
      <c r="I3241" t="s">
        <v>14</v>
      </c>
      <c r="J3241" t="s">
        <v>141</v>
      </c>
      <c r="K3241" t="s">
        <v>14</v>
      </c>
      <c r="L3241" t="s">
        <v>20</v>
      </c>
      <c r="M3241" t="s">
        <v>6794</v>
      </c>
      <c r="N3241" t="s">
        <v>14</v>
      </c>
    </row>
    <row r="3242" x14ac:dyDescent="0.25">
      <c r="A3242" t="n">
        <v>25</v>
      </c>
      <c r="B3242" t="s">
        <v>14</v>
      </c>
      <c r="C3242" t="s">
        <v>22</v>
      </c>
      <c r="D3242" s="2" t="s">
        <f>=HYPERLINK("https://main.knesset.gov.il/APPS/legislation/main/bills/2216177", "הצעת חוק הרבנות הראשית לישראל (תיקון - רב ראשי אחד), התשפ""ד-2024")</f>
        <v>6823</v>
      </c>
      <c r="E3242" t="s">
        <v>6823</v>
      </c>
      <c r="F3242" t="s">
        <v>6824</v>
      </c>
      <c r="G3242" t="s">
        <v>14</v>
      </c>
      <c r="H3242">
             </c>
      <c r="I3242" t="s">
        <v>14</v>
      </c>
      <c r="J3242" t="s">
        <v>141</v>
      </c>
      <c r="K3242" t="s">
        <v>14</v>
      </c>
      <c r="L3242" t="s">
        <v>20</v>
      </c>
      <c r="M3242" t="s">
        <v>6794</v>
      </c>
      <c r="N3242" t="s">
        <v>14</v>
      </c>
    </row>
    <row r="3243" x14ac:dyDescent="0.25">
      <c r="A3243" t="n">
        <v>25</v>
      </c>
      <c r="B3243" t="s">
        <v>14</v>
      </c>
      <c r="C3243" t="s">
        <v>22</v>
      </c>
      <c r="D3243" s="2" t="s">
        <f>=HYPERLINK("https://main.knesset.gov.il/APPS/legislation/main/bills/2214997", "הצעת חוק ההוצאה לפועל (תיקון - החלת אגרה על החייב בהליך של נפגע פעולות איבה), התשפ""ד-2024 ")</f>
        <v>6825</v>
      </c>
      <c r="E3243" t="s">
        <v>6825</v>
      </c>
      <c r="F3243" t="s">
        <v>6826</v>
      </c>
      <c r="G3243" t="s">
        <v>14</v>
      </c>
      <c r="H3243">
             </c>
      <c r="I3243" t="s">
        <v>14</v>
      </c>
      <c r="J3243" t="s">
        <v>141</v>
      </c>
      <c r="K3243" t="s">
        <v>14</v>
      </c>
      <c r="L3243" t="s">
        <v>20</v>
      </c>
      <c r="M3243" t="s">
        <v>6794</v>
      </c>
      <c r="N3243" t="s">
        <v>14</v>
      </c>
    </row>
    <row r="3244" x14ac:dyDescent="0.25">
      <c r="A3244" t="n">
        <v>25</v>
      </c>
      <c r="B3244" t="s">
        <v>14</v>
      </c>
      <c r="C3244" t="s">
        <v>22</v>
      </c>
      <c r="D3244" s="2" t="s">
        <f>=HYPERLINK("https://main.knesset.gov.il/APPS/legislation/main/bills/2213838", "הצעת חוק עקרונות האסדרה (תיקון - הוראה בעניין מסים), התשפ""ד-2024")</f>
        <v>6827</v>
      </c>
      <c r="E3244" t="s">
        <v>6827</v>
      </c>
      <c r="F3244" t="s">
        <v>6828</v>
      </c>
      <c r="G3244" t="s">
        <v>14</v>
      </c>
      <c r="H3244">
             </c>
      <c r="I3244" t="s">
        <v>14</v>
      </c>
      <c r="J3244" t="s">
        <v>141</v>
      </c>
      <c r="K3244" t="s">
        <v>14</v>
      </c>
      <c r="L3244" t="s">
        <v>20</v>
      </c>
      <c r="M3244" t="s">
        <v>6794</v>
      </c>
      <c r="N3244" t="s">
        <v>14</v>
      </c>
    </row>
    <row r="3245" x14ac:dyDescent="0.25">
      <c r="A3245" t="n">
        <v>25</v>
      </c>
      <c r="B3245" t="s">
        <v>14</v>
      </c>
      <c r="C3245" t="s">
        <v>22</v>
      </c>
      <c r="D3245" s="2" t="s">
        <f>=HYPERLINK("https://main.knesset.gov.il/APPS/legislation/main/bills/2216346", "הצעת חוק סיוע למשפחות נפגעי מאורעות ה-7 באוקטובר, התשפ""ד-2024")</f>
        <v>6436</v>
      </c>
      <c r="E3245" t="s">
        <v>6436</v>
      </c>
      <c r="F3245" t="s">
        <v>6829</v>
      </c>
      <c r="G3245" t="s">
        <v>14</v>
      </c>
      <c r="H3245">
             </c>
      <c r="I3245" t="s">
        <v>14</v>
      </c>
      <c r="J3245" t="s">
        <v>141</v>
      </c>
      <c r="K3245" t="s">
        <v>14</v>
      </c>
      <c r="L3245" t="s">
        <v>20</v>
      </c>
      <c r="M3245" t="s">
        <v>6794</v>
      </c>
      <c r="N3245" t="s">
        <v>14</v>
      </c>
    </row>
    <row r="3246" x14ac:dyDescent="0.25">
      <c r="A3246" t="n">
        <v>25</v>
      </c>
      <c r="B3246" t="s">
        <v>14</v>
      </c>
      <c r="C3246" t="s">
        <v>22</v>
      </c>
      <c r="D3246" s="2" t="s">
        <f>=HYPERLINK("https://main.knesset.gov.il/APPS/legislation/main/bills/2215753", "הצעת חוק דוד בן-גוריון (תיקון - מינוי נציגי יד בן-גוריון למכון), התשפ""ד-2024")</f>
        <v>6830</v>
      </c>
      <c r="E3246" t="s">
        <v>6830</v>
      </c>
      <c r="F3246" t="s">
        <v>6831</v>
      </c>
      <c r="G3246" t="s">
        <v>14</v>
      </c>
      <c r="H3246">
             </c>
      <c r="I3246" t="s">
        <v>14</v>
      </c>
      <c r="J3246" t="s">
        <v>141</v>
      </c>
      <c r="K3246" t="s">
        <v>14</v>
      </c>
      <c r="L3246" t="s">
        <v>20</v>
      </c>
      <c r="M3246" t="s">
        <v>6794</v>
      </c>
      <c r="N3246" t="s">
        <v>14</v>
      </c>
    </row>
    <row r="3247" x14ac:dyDescent="0.25">
      <c r="A3247" t="n">
        <v>25</v>
      </c>
      <c r="B3247" t="s">
        <v>14</v>
      </c>
      <c r="C3247" t="s">
        <v>22</v>
      </c>
      <c r="D3247" s="2" t="s">
        <f>=HYPERLINK("https://main.knesset.gov.il/APPS/legislation/main/bills/2214426", "הצעת חוק מינהלת תקומה בצפון, התשפ""ד-2024")</f>
        <v>6832</v>
      </c>
      <c r="E3247" t="s">
        <v>6832</v>
      </c>
      <c r="F3247" t="s">
        <v>6833</v>
      </c>
      <c r="G3247" t="s">
        <v>14</v>
      </c>
      <c r="H3247">
             </c>
      <c r="I3247" t="s">
        <v>14</v>
      </c>
      <c r="J3247" t="s">
        <v>141</v>
      </c>
      <c r="K3247" t="s">
        <v>14</v>
      </c>
      <c r="L3247" t="s">
        <v>20</v>
      </c>
      <c r="M3247" t="s">
        <v>6794</v>
      </c>
      <c r="N3247" t="s">
        <v>14</v>
      </c>
    </row>
    <row r="3248" x14ac:dyDescent="0.25">
      <c r="A3248" t="n">
        <v>25</v>
      </c>
      <c r="B3248" t="s">
        <v>14</v>
      </c>
      <c r="C3248" t="s">
        <v>22</v>
      </c>
      <c r="D3248" s="2" t="s">
        <f>=HYPERLINK("https://main.knesset.gov.il/APPS/legislation/main/bills/2215618", "הצעת חוק המרכז למורשת יהדות אתיופיה (תיקון - פעילויות חינוך והנצחה), התשפ""ד-2024")</f>
        <v>6834</v>
      </c>
      <c r="E3248" t="s">
        <v>6834</v>
      </c>
      <c r="F3248" t="s">
        <v>6835</v>
      </c>
      <c r="G3248" t="s">
        <v>14</v>
      </c>
      <c r="H3248">
             </c>
      <c r="I3248" t="s">
        <v>14</v>
      </c>
      <c r="J3248" t="s">
        <v>141</v>
      </c>
      <c r="K3248" t="s">
        <v>14</v>
      </c>
      <c r="L3248" t="s">
        <v>20</v>
      </c>
      <c r="M3248" t="s">
        <v>6794</v>
      </c>
      <c r="N3248" t="s">
        <v>14</v>
      </c>
    </row>
    <row r="3249" x14ac:dyDescent="0.25">
      <c r="A3249" t="n">
        <v>25</v>
      </c>
      <c r="B3249" t="s">
        <v>14</v>
      </c>
      <c r="C3249" t="s">
        <v>22</v>
      </c>
      <c r="D3249" s="2" t="s">
        <f>=HYPERLINK("https://main.knesset.gov.il/APPS/legislation/main/bills/2209185", "הצעת חוק דמי נסיעה לעובדים, התשפ""ד-2024 ")</f>
        <v>6836</v>
      </c>
      <c r="E3249" t="s">
        <v>6836</v>
      </c>
      <c r="F3249" t="s">
        <v>6837</v>
      </c>
      <c r="G3249" t="s">
        <v>14</v>
      </c>
      <c r="H3249">
             </c>
      <c r="I3249" t="s">
        <v>14</v>
      </c>
      <c r="J3249" t="s">
        <v>141</v>
      </c>
      <c r="K3249" t="s">
        <v>14</v>
      </c>
      <c r="L3249" t="s">
        <v>20</v>
      </c>
      <c r="M3249" t="s">
        <v>6794</v>
      </c>
      <c r="N3249" t="s">
        <v>14</v>
      </c>
    </row>
    <row r="3250" x14ac:dyDescent="0.25">
      <c r="A3250" t="n">
        <v>25</v>
      </c>
      <c r="B3250" t="s">
        <v>14</v>
      </c>
      <c r="C3250" t="s">
        <v>22</v>
      </c>
      <c r="D3250" s="2" t="s">
        <f>=HYPERLINK("https://main.knesset.gov.il/APPS/legislation/main/bills/2210334", "הצעת חוק לתיקון פקודת בריאות העם (פטור מבחינות לאחיות ממדינות חוץ), התשפ""ד-2024")</f>
        <v>6838</v>
      </c>
      <c r="E3250" t="s">
        <v>6838</v>
      </c>
      <c r="F3250" t="s">
        <v>6839</v>
      </c>
      <c r="G3250" t="s">
        <v>14</v>
      </c>
      <c r="H3250">
             </c>
      <c r="I3250" t="s">
        <v>14</v>
      </c>
      <c r="J3250" t="s">
        <v>141</v>
      </c>
      <c r="K3250" t="s">
        <v>14</v>
      </c>
      <c r="L3250" t="s">
        <v>20</v>
      </c>
      <c r="M3250" t="s">
        <v>6794</v>
      </c>
      <c r="N3250" t="s">
        <v>14</v>
      </c>
    </row>
    <row r="3251" x14ac:dyDescent="0.25">
      <c r="A3251" t="n">
        <v>25</v>
      </c>
      <c r="B3251" t="s">
        <v>14</v>
      </c>
      <c r="C3251" t="s">
        <v>22</v>
      </c>
      <c r="D3251" s="2" t="s">
        <f>=HYPERLINK("https://main.knesset.gov.il/APPS/legislation/main/bills/2216275", "הצעת חוק פיקוח על מחירי מצרכים ושירותים (תיקון - פיקוח על מוצרי מזון בריא בסיסיים), התשפ""ד-2024 ")</f>
        <v>5979</v>
      </c>
      <c r="E3251" t="s">
        <v>5979</v>
      </c>
      <c r="F3251" t="s">
        <v>6840</v>
      </c>
      <c r="G3251" t="s">
        <v>14</v>
      </c>
      <c r="H3251">
             </c>
      <c r="I3251" t="s">
        <v>14</v>
      </c>
      <c r="J3251" t="s">
        <v>141</v>
      </c>
      <c r="K3251" t="s">
        <v>14</v>
      </c>
      <c r="L3251" t="s">
        <v>20</v>
      </c>
      <c r="M3251" t="s">
        <v>6794</v>
      </c>
      <c r="N3251" t="s">
        <v>14</v>
      </c>
    </row>
    <row r="3252" x14ac:dyDescent="0.25">
      <c r="A3252" t="n">
        <v>25</v>
      </c>
      <c r="B3252" t="s">
        <v>14</v>
      </c>
      <c r="C3252" t="s">
        <v>22</v>
      </c>
      <c r="D3252" s="2" t="s">
        <f>=HYPERLINK("https://main.knesset.gov.il/APPS/legislation/main/bills/2215975", "הצעת חוק הסכמים לנשיאת עוברים (אישור הסכם ומעמד היילוד) (תיקון - מעמד אפוטרופוס להורי היילוד), התשפ""ד-2024")</f>
        <v>6841</v>
      </c>
      <c r="E3252" t="s">
        <v>6841</v>
      </c>
      <c r="F3252" t="s">
        <v>6842</v>
      </c>
      <c r="G3252" t="s">
        <v>14</v>
      </c>
      <c r="H3252">
             </c>
      <c r="I3252" t="s">
        <v>14</v>
      </c>
      <c r="J3252" t="s">
        <v>343</v>
      </c>
      <c r="K3252" t="s">
        <v>14</v>
      </c>
      <c r="L3252" t="s">
        <v>20</v>
      </c>
      <c r="M3252" t="s">
        <v>6794</v>
      </c>
      <c r="N3252" t="s">
        <v>14</v>
      </c>
    </row>
    <row r="3253" x14ac:dyDescent="0.25">
      <c r="A3253" t="n">
        <v>25</v>
      </c>
      <c r="B3253" t="s">
        <v>14</v>
      </c>
      <c r="C3253" t="s">
        <v>22</v>
      </c>
      <c r="D3253" s="2" t="s">
        <f>=HYPERLINK("https://main.knesset.gov.il/APPS/legislation/main/bills/2216197", "הצעת חוק הביטוח הלאומי (תיקון - זכאות לקצבת אזרח ותיק לנכה), התשפ""ד-2024")</f>
        <v>6612</v>
      </c>
      <c r="E3253" t="s">
        <v>6612</v>
      </c>
      <c r="F3253" t="s">
        <v>6843</v>
      </c>
      <c r="G3253" t="s">
        <v>14</v>
      </c>
      <c r="H3253">
             </c>
      <c r="I3253" t="s">
        <v>14</v>
      </c>
      <c r="J3253" t="s">
        <v>141</v>
      </c>
      <c r="K3253" t="s">
        <v>14</v>
      </c>
      <c r="L3253" t="s">
        <v>20</v>
      </c>
      <c r="M3253" t="s">
        <v>6794</v>
      </c>
      <c r="N3253" t="s">
        <v>14</v>
      </c>
    </row>
    <row r="3254" x14ac:dyDescent="0.25">
      <c r="A3254" t="n">
        <v>25</v>
      </c>
      <c r="B3254" t="s">
        <v>14</v>
      </c>
      <c r="C3254" t="s">
        <v>22</v>
      </c>
      <c r="D3254" s="2" t="s">
        <f>=HYPERLINK("https://main.knesset.gov.il/APPS/legislation/main/bills/2215938", "הצעת חוק הגנת הצרכן (תיקון - מענה אנושי בשירות טלפוני לאזרח ותיק), התשפ""ד-2024")</f>
        <v>6648</v>
      </c>
      <c r="E3254" t="s">
        <v>6648</v>
      </c>
      <c r="F3254" t="s">
        <v>6844</v>
      </c>
      <c r="G3254" t="s">
        <v>14</v>
      </c>
      <c r="H3254">
             </c>
      <c r="I3254" t="s">
        <v>14</v>
      </c>
      <c r="J3254" t="s">
        <v>141</v>
      </c>
      <c r="K3254" t="s">
        <v>14</v>
      </c>
      <c r="L3254" t="s">
        <v>20</v>
      </c>
      <c r="M3254" t="s">
        <v>6794</v>
      </c>
      <c r="N3254" t="s">
        <v>14</v>
      </c>
    </row>
    <row r="3255" x14ac:dyDescent="0.25">
      <c r="A3255" t="n">
        <v>25</v>
      </c>
      <c r="B3255" t="s">
        <v>14</v>
      </c>
      <c r="C3255" t="s">
        <v>15</v>
      </c>
      <c r="D3255" s="2" t="s">
        <f>=HYPERLINK("https://main.knesset.gov.il/APPS/legislation/main/bills/2214776", "חוק תקציב נוסף לשנת הכספים 2024, התשפ""ד-2024")</f>
        <v>6845</v>
      </c>
      <c r="E3255" t="s">
        <v>6845</v>
      </c>
      <c r="F3255" t="s">
        <v>14</v>
      </c>
      <c r="G3255" t="s">
        <v>6846</v>
      </c>
      <c r="H3255" t="n">
        <v>3188</v>
      </c>
      <c r="I3255" t="s">
        <v>14</v>
      </c>
      <c r="J3255" t="s">
        <v>91</v>
      </c>
      <c r="K3255" t="s">
        <v>85</v>
      </c>
      <c r="L3255" t="s">
        <v>20</v>
      </c>
      <c r="M3255" t="s">
        <v>6847</v>
      </c>
      <c r="N3255" t="s">
        <v>6848</v>
      </c>
    </row>
    <row r="3256" x14ac:dyDescent="0.25">
      <c r="A3256" t="n">
        <v>25</v>
      </c>
      <c r="B3256" t="s">
        <v>14</v>
      </c>
      <c r="C3256" t="s">
        <v>15</v>
      </c>
      <c r="D3256" s="2" t="s">
        <f>=HYPERLINK("https://main.knesset.gov.il/APPS/legislation/main/bills/2215130", "חוק הקפאה והפחתה של דמי הבראה בשנת 2024 לשם תקצוב הטבות לחיילי מילואים, התשפ""ד-2024")</f>
        <v>6849</v>
      </c>
      <c r="E3256" t="s">
        <v>6849</v>
      </c>
      <c r="F3256" t="s">
        <v>14</v>
      </c>
      <c r="G3256" t="s">
        <v>6850</v>
      </c>
      <c r="H3256" t="n">
        <v>3180</v>
      </c>
      <c r="I3256" t="s">
        <v>14</v>
      </c>
      <c r="J3256" t="s">
        <v>91</v>
      </c>
      <c r="K3256" t="s">
        <v>127</v>
      </c>
      <c r="L3256" t="s">
        <v>20</v>
      </c>
      <c r="M3256" t="s">
        <v>6847</v>
      </c>
      <c r="N3256" t="s">
        <v>6851</v>
      </c>
    </row>
    <row r="3257" x14ac:dyDescent="0.25">
      <c r="A3257" t="n">
        <v>25</v>
      </c>
      <c r="B3257" t="s">
        <v>14</v>
      </c>
      <c r="C3257" t="s">
        <v>15</v>
      </c>
      <c r="D3257" s="2" t="s">
        <f>=HYPERLINK("https://main.knesset.gov.il/APPS/legislation/main/bills/2214414", "חוק הפחתת הגירעון והגבלת ההוצאה התקציבית (תיקון מס' 25), התשפ""ד-2024")</f>
        <v>6852</v>
      </c>
      <c r="E3257" t="s">
        <v>6852</v>
      </c>
      <c r="F3257" t="s">
        <v>14</v>
      </c>
      <c r="G3257" t="s">
        <v>6850</v>
      </c>
      <c r="H3257" t="n">
        <v>3179</v>
      </c>
      <c r="I3257" t="s">
        <v>14</v>
      </c>
      <c r="J3257" t="s">
        <v>91</v>
      </c>
      <c r="K3257" t="s">
        <v>85</v>
      </c>
      <c r="L3257" t="s">
        <v>20</v>
      </c>
      <c r="M3257" t="s">
        <v>6847</v>
      </c>
      <c r="N3257" t="s">
        <v>6853</v>
      </c>
    </row>
    <row r="3258" x14ac:dyDescent="0.25">
      <c r="A3258" t="n">
        <v>25</v>
      </c>
      <c r="B3258" t="s">
        <v>14</v>
      </c>
      <c r="C3258" t="s">
        <v>15</v>
      </c>
      <c r="D3258" s="2" t="s">
        <f>=HYPERLINK("https://main.knesset.gov.il/APPS/legislation/main/bills/2215128", "חוק הביטוח הלאומי (תיקון מס' 244 והוראת שעה), התשפ""ד-2024")</f>
        <v>6854</v>
      </c>
      <c r="E3258" t="s">
        <v>6854</v>
      </c>
      <c r="F3258" t="s">
        <v>14</v>
      </c>
      <c r="G3258" t="s">
        <v>6850</v>
      </c>
      <c r="H3258" t="n">
        <v>3178</v>
      </c>
      <c r="I3258" t="s">
        <v>14</v>
      </c>
      <c r="J3258" t="s">
        <v>91</v>
      </c>
      <c r="K3258" t="s">
        <v>127</v>
      </c>
      <c r="L3258" t="s">
        <v>20</v>
      </c>
      <c r="M3258" t="s">
        <v>6847</v>
      </c>
      <c r="N3258" t="s">
        <v>6855</v>
      </c>
    </row>
    <row r="3259" x14ac:dyDescent="0.25">
      <c r="A3259" t="n">
        <v>25</v>
      </c>
      <c r="B3259" t="s">
        <v>14</v>
      </c>
      <c r="C3259" t="s">
        <v>15</v>
      </c>
      <c r="D3259" s="2" t="s">
        <f>=HYPERLINK("https://main.knesset.gov.il/APPS/legislation/main/bills/2215129", "חוק ביטוח בריאות ממלכתי (תיקון מס' 69 והוראת שעה), התשפ""ד-2024")</f>
        <v>6856</v>
      </c>
      <c r="E3259" t="s">
        <v>6856</v>
      </c>
      <c r="F3259" t="s">
        <v>14</v>
      </c>
      <c r="G3259" t="s">
        <v>6850</v>
      </c>
      <c r="H3259" t="n">
        <v>3177</v>
      </c>
      <c r="I3259" t="s">
        <v>14</v>
      </c>
      <c r="J3259" t="s">
        <v>91</v>
      </c>
      <c r="K3259" t="s">
        <v>480</v>
      </c>
      <c r="L3259" t="s">
        <v>20</v>
      </c>
      <c r="M3259" t="s">
        <v>6847</v>
      </c>
      <c r="N3259" t="s">
        <v>6857</v>
      </c>
    </row>
    <row r="3260" x14ac:dyDescent="0.25">
      <c r="A3260" t="n">
        <v>25</v>
      </c>
      <c r="B3260" t="s">
        <v>14</v>
      </c>
      <c r="C3260" t="s">
        <v>15</v>
      </c>
      <c r="D3260" s="2" t="s">
        <f>=HYPERLINK("https://main.knesset.gov.il/APPS/legislation/main/bills/2215131", "חוק תשלום מיוחד לשם השגת יעדי התקציב (הוראת שעה – חרבות ברזל), התשפ""ד–2024 ")</f>
        <v>6858</v>
      </c>
      <c r="E3260" t="s">
        <v>6858</v>
      </c>
      <c r="F3260" t="s">
        <v>14</v>
      </c>
      <c r="G3260" t="s">
        <v>6850</v>
      </c>
      <c r="H3260" t="n">
        <v>3176</v>
      </c>
      <c r="I3260" t="s">
        <v>14</v>
      </c>
      <c r="J3260" t="s">
        <v>91</v>
      </c>
      <c r="K3260" t="s">
        <v>85</v>
      </c>
      <c r="L3260" t="s">
        <v>20</v>
      </c>
      <c r="M3260" t="s">
        <v>6847</v>
      </c>
      <c r="N3260" t="s">
        <v>6859</v>
      </c>
    </row>
    <row r="3261" x14ac:dyDescent="0.25">
      <c r="A3261" t="n">
        <v>25</v>
      </c>
      <c r="B3261" t="s">
        <v>14</v>
      </c>
      <c r="C3261" t="s">
        <v>15</v>
      </c>
      <c r="D3261" s="2" t="s">
        <f>=HYPERLINK("https://main.knesset.gov.il/APPS/legislation/main/bills/2215340", "חוק חדלות פירעון ושיקום כלכלי (תיקון מס' 4 – הוראת שעה – נגיף הקורונה החדש) (תיקון מס' 2) (הארכת תוקף – חרבות ברזל), התשפ""ד-2024")</f>
        <v>6860</v>
      </c>
      <c r="E3261" t="s">
        <v>6860</v>
      </c>
      <c r="F3261" t="s">
        <v>14</v>
      </c>
      <c r="G3261" t="s">
        <v>6861</v>
      </c>
      <c r="H3261" t="n">
        <v>3175</v>
      </c>
      <c r="I3261" t="s">
        <v>14</v>
      </c>
      <c r="J3261" t="s">
        <v>91</v>
      </c>
      <c r="K3261" t="s">
        <v>27</v>
      </c>
      <c r="L3261" t="s">
        <v>20</v>
      </c>
      <c r="M3261" t="s">
        <v>6847</v>
      </c>
      <c r="N3261" t="s">
        <v>6862</v>
      </c>
    </row>
    <row r="3262" x14ac:dyDescent="0.25">
      <c r="A3262" t="n">
        <v>25</v>
      </c>
      <c r="B3262" t="s">
        <v>14</v>
      </c>
      <c r="C3262" t="s">
        <v>15</v>
      </c>
      <c r="D3262" s="2" t="s">
        <f>=HYPERLINK("https://main.knesset.gov.il/APPS/legislation/main/bills/2214722", "חוק לתיקון פקודת בתי הסוהר (תיקון מס' 66 – הוראת שעה – חרבות ברזל) (חופשה מיוחדת לאסיר), התשפ""ד–2024")</f>
        <v>6863</v>
      </c>
      <c r="E3262" t="s">
        <v>6863</v>
      </c>
      <c r="F3262" t="s">
        <v>14</v>
      </c>
      <c r="G3262" t="s">
        <v>6864</v>
      </c>
      <c r="H3262" t="n">
        <v>3174</v>
      </c>
      <c r="I3262" t="s">
        <v>14</v>
      </c>
      <c r="J3262" t="s">
        <v>91</v>
      </c>
      <c r="K3262" t="s">
        <v>105</v>
      </c>
      <c r="L3262" t="s">
        <v>20</v>
      </c>
      <c r="M3262" t="s">
        <v>6865</v>
      </c>
      <c r="N3262" t="s">
        <v>6866</v>
      </c>
    </row>
    <row r="3263" x14ac:dyDescent="0.25">
      <c r="A3263" t="n">
        <v>25</v>
      </c>
      <c r="B3263" t="s">
        <v>14</v>
      </c>
      <c r="C3263" t="s">
        <v>22</v>
      </c>
      <c r="D3263" s="2" t="s">
        <f>=HYPERLINK("https://main.knesset.gov.il/APPS/legislation/main/bills/2201602", "חוק לפיצוי קורבנות טרור (פיצויים לדוגמה), התשפ""ד-2024")</f>
        <v>6867</v>
      </c>
      <c r="E3263" t="s">
        <v>6867</v>
      </c>
      <c r="F3263" t="s">
        <v>6868</v>
      </c>
      <c r="G3263" t="s">
        <v>6869</v>
      </c>
      <c r="H3263" t="n">
        <v>3173</v>
      </c>
      <c r="I3263" t="s">
        <v>14</v>
      </c>
      <c r="J3263" t="s">
        <v>91</v>
      </c>
      <c r="K3263" t="s">
        <v>114</v>
      </c>
      <c r="L3263" t="s">
        <v>20</v>
      </c>
      <c r="M3263" t="s">
        <v>6865</v>
      </c>
      <c r="N3263" t="s">
        <v>6870</v>
      </c>
    </row>
    <row r="3264" x14ac:dyDescent="0.25">
      <c r="A3264" t="n">
        <v>25</v>
      </c>
      <c r="B3264" t="s">
        <v>14</v>
      </c>
      <c r="C3264" t="s">
        <v>22</v>
      </c>
      <c r="D3264" s="2" t="s">
        <f>=HYPERLINK("https://main.knesset.gov.il/APPS/legislation/main/bills/2215996", "הצעת חוק המשטרה (סמכויות), התשפ""ד-2024")</f>
        <v>6871</v>
      </c>
      <c r="E3264" t="s">
        <v>6871</v>
      </c>
      <c r="F3264" t="s">
        <v>6872</v>
      </c>
      <c r="G3264" t="s">
        <v>14</v>
      </c>
      <c r="H3264">
             </c>
      <c r="I3264" t="s">
        <v>14</v>
      </c>
      <c r="J3264" t="s">
        <v>141</v>
      </c>
      <c r="K3264" t="s">
        <v>14</v>
      </c>
      <c r="L3264" t="s">
        <v>20</v>
      </c>
      <c r="M3264" t="s">
        <v>6865</v>
      </c>
      <c r="N3264" t="s">
        <v>14</v>
      </c>
    </row>
    <row r="3265" x14ac:dyDescent="0.25">
      <c r="A3265" t="n">
        <v>25</v>
      </c>
      <c r="B3265" t="s">
        <v>14</v>
      </c>
      <c r="C3265" t="s">
        <v>22</v>
      </c>
      <c r="D3265" s="2" t="s">
        <f>=HYPERLINK("https://main.knesset.gov.il/APPS/legislation/main/bills/2215731", "הצעת חוק התחשבנות בין בתי חולים לקופות חולים לשנים 2021 עד 2025 (התחשבנות בעד שירותי בריאות בבתי חולים ציבוריים כלליים) (תיקון - מועד התשלום לבית חולים ציבורי כללי עצמאי), התשפ""ד-2024")</f>
        <v>5944</v>
      </c>
      <c r="E3265" t="s">
        <v>5944</v>
      </c>
      <c r="F3265" t="s">
        <v>6873</v>
      </c>
      <c r="G3265" t="s">
        <v>14</v>
      </c>
      <c r="H3265">
             </c>
      <c r="I3265" t="s">
        <v>14</v>
      </c>
      <c r="J3265" t="s">
        <v>141</v>
      </c>
      <c r="K3265" t="s">
        <v>14</v>
      </c>
      <c r="L3265" t="s">
        <v>20</v>
      </c>
      <c r="M3265" t="s">
        <v>6865</v>
      </c>
      <c r="N3265" t="s">
        <v>14</v>
      </c>
    </row>
    <row r="3266" x14ac:dyDescent="0.25">
      <c r="A3266" t="n">
        <v>25</v>
      </c>
      <c r="B3266" t="s">
        <v>14</v>
      </c>
      <c r="C3266" t="s">
        <v>22</v>
      </c>
      <c r="D3266" s="2" t="s">
        <f>=HYPERLINK("https://main.knesset.gov.il/APPS/legislation/main/bills/2215660", "הצעת חוק צוותי התערבות במשבר, התשפ""ד-2024")</f>
        <v>6874</v>
      </c>
      <c r="E3266" t="s">
        <v>6874</v>
      </c>
      <c r="F3266" t="s">
        <v>6875</v>
      </c>
      <c r="G3266" t="s">
        <v>14</v>
      </c>
      <c r="H3266">
             </c>
      <c r="I3266" t="s">
        <v>14</v>
      </c>
      <c r="J3266" t="s">
        <v>141</v>
      </c>
      <c r="K3266" t="s">
        <v>14</v>
      </c>
      <c r="L3266" t="s">
        <v>20</v>
      </c>
      <c r="M3266" t="s">
        <v>6865</v>
      </c>
      <c r="N3266" t="s">
        <v>14</v>
      </c>
    </row>
    <row r="3267" x14ac:dyDescent="0.25">
      <c r="A3267" t="n">
        <v>25</v>
      </c>
      <c r="B3267" t="s">
        <v>14</v>
      </c>
      <c r="C3267" t="s">
        <v>22</v>
      </c>
      <c r="D3267" s="2" t="s">
        <f>=HYPERLINK("https://main.knesset.gov.il/APPS/legislation/main/bills/2215834", "הצעת חוק עידוד מעורבות סטודנטים בפעילות חברתית וקהילתית (תיקון - הכרה בהתנדבות למען המפונים והחטופים), התשפ""ד-2024")</f>
        <v>6876</v>
      </c>
      <c r="E3267" t="s">
        <v>6876</v>
      </c>
      <c r="F3267" t="s">
        <v>6877</v>
      </c>
      <c r="G3267" t="s">
        <v>14</v>
      </c>
      <c r="H3267">
             </c>
      <c r="I3267" t="s">
        <v>14</v>
      </c>
      <c r="J3267" t="s">
        <v>141</v>
      </c>
      <c r="K3267" t="s">
        <v>14</v>
      </c>
      <c r="L3267" t="s">
        <v>20</v>
      </c>
      <c r="M3267" t="s">
        <v>6865</v>
      </c>
      <c r="N3267" t="s">
        <v>14</v>
      </c>
    </row>
    <row r="3268" x14ac:dyDescent="0.25">
      <c r="A3268" t="n">
        <v>25</v>
      </c>
      <c r="B3268" t="s">
        <v>14</v>
      </c>
      <c r="C3268" t="s">
        <v>22</v>
      </c>
      <c r="D3268" s="2" t="s">
        <f>=HYPERLINK("https://main.knesset.gov.il/APPS/legislation/main/bills/2205196", "הצעת חוק המים (תיקון - מניעת זיהום מים במוקדי זיהום אפשריים בשגרה ובחירום), התשפ""ד-2024 ")</f>
        <v>6878</v>
      </c>
      <c r="E3268" t="s">
        <v>6878</v>
      </c>
      <c r="F3268" t="s">
        <v>6879</v>
      </c>
      <c r="G3268" t="s">
        <v>14</v>
      </c>
      <c r="H3268">
             </c>
      <c r="I3268" t="s">
        <v>14</v>
      </c>
      <c r="J3268" t="s">
        <v>141</v>
      </c>
      <c r="K3268" t="s">
        <v>14</v>
      </c>
      <c r="L3268" t="s">
        <v>20</v>
      </c>
      <c r="M3268" t="s">
        <v>6865</v>
      </c>
      <c r="N3268" t="s">
        <v>14</v>
      </c>
    </row>
    <row r="3269" x14ac:dyDescent="0.25">
      <c r="A3269" t="n">
        <v>25</v>
      </c>
      <c r="B3269" t="s">
        <v>14</v>
      </c>
      <c r="C3269" t="s">
        <v>22</v>
      </c>
      <c r="D3269" s="2" t="s">
        <f>=HYPERLINK("https://main.knesset.gov.il/APPS/legislation/main/bills/2215638", "הצעת חוק שכר לחיילים בשירות סדיר, התשפ""ד-2024")</f>
        <v>6880</v>
      </c>
      <c r="E3269" t="s">
        <v>6880</v>
      </c>
      <c r="F3269" t="s">
        <v>6881</v>
      </c>
      <c r="G3269" t="s">
        <v>14</v>
      </c>
      <c r="H3269">
             </c>
      <c r="I3269" t="s">
        <v>14</v>
      </c>
      <c r="J3269" t="s">
        <v>141</v>
      </c>
      <c r="K3269" t="s">
        <v>14</v>
      </c>
      <c r="L3269" t="s">
        <v>20</v>
      </c>
      <c r="M3269" t="s">
        <v>6865</v>
      </c>
      <c r="N3269" t="s">
        <v>14</v>
      </c>
    </row>
    <row r="3270" x14ac:dyDescent="0.25">
      <c r="A3270" t="n">
        <v>25</v>
      </c>
      <c r="B3270" t="s">
        <v>14</v>
      </c>
      <c r="C3270" t="s">
        <v>22</v>
      </c>
      <c r="D3270" s="2" t="s">
        <f>=HYPERLINK("https://main.knesset.gov.il/APPS/legislation/main/bills/2215329", "הצעת חוק הבנקאות (שירות ללקוח) (תיקון - הגברת השקיפות לגבי רמת הריביות בשוק האשראי), התשפ""ד-2024")</f>
        <v>6882</v>
      </c>
      <c r="E3270" t="s">
        <v>6882</v>
      </c>
      <c r="F3270" t="s">
        <v>6883</v>
      </c>
      <c r="G3270" t="s">
        <v>14</v>
      </c>
      <c r="H3270">
             </c>
      <c r="I3270" t="s">
        <v>14</v>
      </c>
      <c r="J3270" t="s">
        <v>141</v>
      </c>
      <c r="K3270" t="s">
        <v>14</v>
      </c>
      <c r="L3270" t="s">
        <v>20</v>
      </c>
      <c r="M3270" t="s">
        <v>6865</v>
      </c>
      <c r="N3270" t="s">
        <v>14</v>
      </c>
    </row>
    <row r="3271" x14ac:dyDescent="0.25">
      <c r="A3271" t="n">
        <v>25</v>
      </c>
      <c r="B3271" t="s">
        <v>14</v>
      </c>
      <c r="C3271" t="s">
        <v>22</v>
      </c>
      <c r="D3271" s="2" t="s">
        <f>=HYPERLINK("https://main.knesset.gov.il/APPS/legislation/main/bills/2214421", "הצעת חוק איסור העברת כספים לרשות תומכת טרור (תיקוני חקיקה), התשפ""ד-2024")</f>
        <v>6884</v>
      </c>
      <c r="E3271" t="s">
        <v>6884</v>
      </c>
      <c r="F3271" t="s">
        <v>6885</v>
      </c>
      <c r="G3271" t="s">
        <v>14</v>
      </c>
      <c r="H3271">
             </c>
      <c r="I3271" t="s">
        <v>14</v>
      </c>
      <c r="J3271" t="s">
        <v>141</v>
      </c>
      <c r="K3271" t="s">
        <v>14</v>
      </c>
      <c r="L3271" t="s">
        <v>20</v>
      </c>
      <c r="M3271" t="s">
        <v>6865</v>
      </c>
      <c r="N3271" t="s">
        <v>14</v>
      </c>
    </row>
    <row r="3272" x14ac:dyDescent="0.25">
      <c r="A3272" t="n">
        <v>25</v>
      </c>
      <c r="B3272" t="s">
        <v>14</v>
      </c>
      <c r="C3272" t="s">
        <v>22</v>
      </c>
      <c r="D3272" s="2" t="s">
        <f>=HYPERLINK("https://main.knesset.gov.il/APPS/legislation/main/bills/2214890", "הצעת חוק קידום התחרות בענף המזון (תיקון - איסור העלאת מחירים של מוצרי מזון בתקופת חירום), התשפ""ד-2024")</f>
        <v>6886</v>
      </c>
      <c r="E3272" t="s">
        <v>6886</v>
      </c>
      <c r="F3272" t="s">
        <v>6887</v>
      </c>
      <c r="G3272" t="s">
        <v>14</v>
      </c>
      <c r="H3272">
             </c>
      <c r="I3272" t="s">
        <v>14</v>
      </c>
      <c r="J3272" t="s">
        <v>141</v>
      </c>
      <c r="K3272" t="s">
        <v>14</v>
      </c>
      <c r="L3272" t="s">
        <v>20</v>
      </c>
      <c r="M3272" t="s">
        <v>6865</v>
      </c>
      <c r="N3272" t="s">
        <v>14</v>
      </c>
    </row>
    <row r="3273" x14ac:dyDescent="0.25">
      <c r="A3273" t="n">
        <v>25</v>
      </c>
      <c r="B3273" t="s">
        <v>14</v>
      </c>
      <c r="C3273" t="s">
        <v>22</v>
      </c>
      <c r="D3273" s="2" t="s">
        <f>=HYPERLINK("https://main.knesset.gov.il/APPS/legislation/main/bills/2214175", "הצעת חוק צמצום פערי שכר מגדריים (תיקוני חקיקה), התשפ""ד-2024")</f>
        <v>6888</v>
      </c>
      <c r="E3273" t="s">
        <v>6888</v>
      </c>
      <c r="F3273" t="s">
        <v>6889</v>
      </c>
      <c r="G3273" t="s">
        <v>14</v>
      </c>
      <c r="H3273">
             </c>
      <c r="I3273" t="s">
        <v>14</v>
      </c>
      <c r="J3273" t="s">
        <v>141</v>
      </c>
      <c r="K3273" t="s">
        <v>14</v>
      </c>
      <c r="L3273" t="s">
        <v>20</v>
      </c>
      <c r="M3273" t="s">
        <v>6865</v>
      </c>
      <c r="N3273" t="s">
        <v>14</v>
      </c>
    </row>
    <row r="3274" x14ac:dyDescent="0.25">
      <c r="A3274" t="n">
        <v>25</v>
      </c>
      <c r="B3274" t="s">
        <v>14</v>
      </c>
      <c r="C3274" t="s">
        <v>22</v>
      </c>
      <c r="D3274" s="2" t="s">
        <f>=HYPERLINK("https://main.knesset.gov.il/APPS/legislation/main/bills/2213881", "הצעת חוק הנחה בדמי נסיעה בתחבורה ציבורית לעובדי בתי החולים הציבוריים הכלליים (תיקוני חקיקה), התשפ""ד-2024")</f>
        <v>6890</v>
      </c>
      <c r="E3274" t="s">
        <v>6890</v>
      </c>
      <c r="F3274" t="s">
        <v>6891</v>
      </c>
      <c r="G3274" t="s">
        <v>14</v>
      </c>
      <c r="H3274">
             </c>
      <c r="I3274" t="s">
        <v>14</v>
      </c>
      <c r="J3274" t="s">
        <v>141</v>
      </c>
      <c r="K3274" t="s">
        <v>14</v>
      </c>
      <c r="L3274" t="s">
        <v>20</v>
      </c>
      <c r="M3274" t="s">
        <v>6865</v>
      </c>
      <c r="N3274" t="s">
        <v>14</v>
      </c>
    </row>
    <row r="3275" x14ac:dyDescent="0.25">
      <c r="A3275" t="n">
        <v>25</v>
      </c>
      <c r="B3275" t="s">
        <v>14</v>
      </c>
      <c r="C3275" t="s">
        <v>22</v>
      </c>
      <c r="D3275" s="2" t="s">
        <f>=HYPERLINK("https://main.knesset.gov.il/APPS/legislation/main/bills/2215637", "הצעת חוק החיילים המשוחררים (החזרה לעבודה) (תיקון - הגנה על בן זוג של חייל מילואים), התשפ""ד-2024")</f>
        <v>6892</v>
      </c>
      <c r="E3275" t="s">
        <v>6892</v>
      </c>
      <c r="F3275" t="s">
        <v>6893</v>
      </c>
      <c r="G3275" t="s">
        <v>14</v>
      </c>
      <c r="H3275">
             </c>
      <c r="I3275" t="s">
        <v>14</v>
      </c>
      <c r="J3275" t="s">
        <v>141</v>
      </c>
      <c r="K3275" t="s">
        <v>14</v>
      </c>
      <c r="L3275" t="s">
        <v>20</v>
      </c>
      <c r="M3275" t="s">
        <v>6865</v>
      </c>
      <c r="N3275" t="s">
        <v>14</v>
      </c>
    </row>
    <row r="3276" x14ac:dyDescent="0.25">
      <c r="A3276" t="n">
        <v>25</v>
      </c>
      <c r="B3276" t="s">
        <v>14</v>
      </c>
      <c r="C3276" t="s">
        <v>22</v>
      </c>
      <c r="D3276" s="2" t="s">
        <f>=HYPERLINK("https://main.knesset.gov.il/APPS/legislation/main/bills/2214017", "הצעת חוק שירות הביטחון הכללי (תיקון - בדיקת פוליגרף למשתתפים בוועדת החוץ והביטחון של הכנסת), התשפ""ד-2024 ")</f>
        <v>6894</v>
      </c>
      <c r="E3276" t="s">
        <v>6894</v>
      </c>
      <c r="F3276" t="s">
        <v>6895</v>
      </c>
      <c r="G3276" t="s">
        <v>14</v>
      </c>
      <c r="H3276">
             </c>
      <c r="I3276" t="s">
        <v>14</v>
      </c>
      <c r="J3276" t="s">
        <v>141</v>
      </c>
      <c r="K3276" t="s">
        <v>14</v>
      </c>
      <c r="L3276" t="s">
        <v>20</v>
      </c>
      <c r="M3276" t="s">
        <v>6865</v>
      </c>
      <c r="N3276" t="s">
        <v>14</v>
      </c>
    </row>
    <row r="3277" x14ac:dyDescent="0.25">
      <c r="A3277" t="n">
        <v>25</v>
      </c>
      <c r="B3277" t="s">
        <v>14</v>
      </c>
      <c r="C3277" t="s">
        <v>22</v>
      </c>
      <c r="D3277" s="2" t="s">
        <f>=HYPERLINK("https://main.knesset.gov.il/APPS/legislation/main/bills/2215413", "הצעת חוק קביעת דרגת הקדימות לקבלת ילד למעון או למשפחתון בהתחשב בשירות מילואים, התשפ""ד-2024")</f>
        <v>6896</v>
      </c>
      <c r="E3277" t="s">
        <v>6896</v>
      </c>
      <c r="F3277" t="s">
        <v>6897</v>
      </c>
      <c r="G3277" t="s">
        <v>14</v>
      </c>
      <c r="H3277">
             </c>
      <c r="I3277" t="s">
        <v>14</v>
      </c>
      <c r="J3277" t="s">
        <v>141</v>
      </c>
      <c r="K3277" t="s">
        <v>14</v>
      </c>
      <c r="L3277" t="s">
        <v>20</v>
      </c>
      <c r="M3277" t="s">
        <v>6865</v>
      </c>
      <c r="N3277" t="s">
        <v>14</v>
      </c>
    </row>
    <row r="3278" x14ac:dyDescent="0.25">
      <c r="A3278" t="n">
        <v>25</v>
      </c>
      <c r="B3278" t="s">
        <v>14</v>
      </c>
      <c r="C3278" t="s">
        <v>22</v>
      </c>
      <c r="D3278" s="2" t="s">
        <f>=HYPERLINK("https://main.knesset.gov.il/APPS/legislation/main/bills/2215658", "הצעת חוק שירותי תשלום (תיקון - דיווח על ניצול כלכלי של אזרח ותיק או חסר ישע), התשפ""ד-2024")</f>
        <v>6898</v>
      </c>
      <c r="E3278" t="s">
        <v>6898</v>
      </c>
      <c r="F3278" t="s">
        <v>6899</v>
      </c>
      <c r="G3278" t="s">
        <v>14</v>
      </c>
      <c r="H3278">
             </c>
      <c r="I3278" t="s">
        <v>14</v>
      </c>
      <c r="J3278" t="s">
        <v>141</v>
      </c>
      <c r="K3278" t="s">
        <v>14</v>
      </c>
      <c r="L3278" t="s">
        <v>20</v>
      </c>
      <c r="M3278" t="s">
        <v>6865</v>
      </c>
      <c r="N3278" t="s">
        <v>14</v>
      </c>
    </row>
    <row r="3279" x14ac:dyDescent="0.25">
      <c r="A3279" t="n">
        <v>25</v>
      </c>
      <c r="B3279" t="s">
        <v>14</v>
      </c>
      <c r="C3279" t="s">
        <v>22</v>
      </c>
      <c r="D3279" s="2" t="s">
        <f>=HYPERLINK("https://main.knesset.gov.il/APPS/legislation/main/bills/2210033", "הצעת חוק בתי קברות צבאיים (תיקון - קבורה לסוהרים ולכבאים), התשפ""ד-2023")</f>
        <v>6900</v>
      </c>
      <c r="E3279" t="s">
        <v>6900</v>
      </c>
      <c r="F3279" t="s">
        <v>6901</v>
      </c>
      <c r="G3279" t="s">
        <v>14</v>
      </c>
      <c r="H3279">
             </c>
      <c r="I3279" t="s">
        <v>14</v>
      </c>
      <c r="J3279" t="s">
        <v>99</v>
      </c>
      <c r="K3279" t="s">
        <v>105</v>
      </c>
      <c r="L3279" t="s">
        <v>20</v>
      </c>
      <c r="M3279" t="s">
        <v>6902</v>
      </c>
      <c r="N3279" t="s">
        <v>14</v>
      </c>
    </row>
    <row r="3280" x14ac:dyDescent="0.25">
      <c r="A3280" t="n">
        <v>25</v>
      </c>
      <c r="B3280" t="s">
        <v>14</v>
      </c>
      <c r="C3280" t="s">
        <v>22</v>
      </c>
      <c r="D3280" s="2" t="s">
        <f>=HYPERLINK("https://main.knesset.gov.il/APPS/legislation/main/bills/2168215", "הצעת חוק לתיקון פקודת הראיות (מס' 20) (חיסיון קרימינולוג קליני), התשפ""ב–2022")</f>
        <v>6903</v>
      </c>
      <c r="E3280" t="s">
        <v>6903</v>
      </c>
      <c r="F3280" t="s">
        <v>6904</v>
      </c>
      <c r="G3280" t="s">
        <v>6905</v>
      </c>
      <c r="H3280">
             </c>
      <c r="I3280" t="s">
        <v>379</v>
      </c>
      <c r="J3280" t="s">
        <v>18</v>
      </c>
      <c r="K3280" t="s">
        <v>27</v>
      </c>
      <c r="L3280" t="s">
        <v>20</v>
      </c>
      <c r="M3280" t="s">
        <v>6902</v>
      </c>
      <c r="N3280" t="s">
        <v>14</v>
      </c>
    </row>
    <row r="3281" x14ac:dyDescent="0.25">
      <c r="A3281" t="n">
        <v>25</v>
      </c>
      <c r="B3281" t="s">
        <v>14</v>
      </c>
      <c r="C3281" t="s">
        <v>22</v>
      </c>
      <c r="D3281" s="2" t="s">
        <f>=HYPERLINK("https://main.knesset.gov.il/APPS/legislation/main/bills/2214266", "הצעת חוק למניעת אלימות במשפחה (תיקון - מניעת אלימות כלכלית) (הוראת שעה), התשפ""ד-2024")</f>
        <v>6906</v>
      </c>
      <c r="E3281" t="s">
        <v>6906</v>
      </c>
      <c r="F3281" t="s">
        <v>6907</v>
      </c>
      <c r="G3281" t="s">
        <v>14</v>
      </c>
      <c r="H3281">
             </c>
      <c r="I3281" t="s">
        <v>14</v>
      </c>
      <c r="J3281" t="s">
        <v>343</v>
      </c>
      <c r="K3281" t="s">
        <v>14</v>
      </c>
      <c r="L3281" t="s">
        <v>20</v>
      </c>
      <c r="M3281" t="s">
        <v>6902</v>
      </c>
      <c r="N3281" t="s">
        <v>14</v>
      </c>
    </row>
    <row r="3282" x14ac:dyDescent="0.25">
      <c r="A3282" t="n">
        <v>25</v>
      </c>
      <c r="B3282" t="s">
        <v>14</v>
      </c>
      <c r="C3282" t="s">
        <v>22</v>
      </c>
      <c r="D3282" s="2" t="s">
        <f>=HYPERLINK("https://main.knesset.gov.il/APPS/legislation/main/bills/2212962", "הצעת חוק הנכים (תגמולים ושיקום) (תיקון - סיוע לבן משפחה של נכה עם הפרעה בתר-חבלתית), התשפ""ד-2024")</f>
        <v>6908</v>
      </c>
      <c r="E3282" t="s">
        <v>6908</v>
      </c>
      <c r="F3282" t="s">
        <v>6909</v>
      </c>
      <c r="G3282" t="s">
        <v>14</v>
      </c>
      <c r="H3282">
             </c>
      <c r="I3282" t="s">
        <v>14</v>
      </c>
      <c r="J3282" t="s">
        <v>55</v>
      </c>
      <c r="K3282" t="s">
        <v>14</v>
      </c>
      <c r="L3282" t="s">
        <v>20</v>
      </c>
      <c r="M3282" t="s">
        <v>6902</v>
      </c>
      <c r="N3282" t="s">
        <v>14</v>
      </c>
    </row>
    <row r="3283" x14ac:dyDescent="0.25">
      <c r="A3283" t="n">
        <v>25</v>
      </c>
      <c r="B3283" t="s">
        <v>14</v>
      </c>
      <c r="C3283" t="s">
        <v>22</v>
      </c>
      <c r="D3283" s="2" t="s">
        <f>=HYPERLINK("https://main.knesset.gov.il/APPS/legislation/main/bills/2213475", "הצעת חוק עובדים זרים (תיקון - הפחתת אגרה לעובדים בענף המלונאות), התשפ""ד-2024")</f>
        <v>6910</v>
      </c>
      <c r="E3283" t="s">
        <v>6910</v>
      </c>
      <c r="F3283" t="s">
        <v>6911</v>
      </c>
      <c r="G3283" t="s">
        <v>14</v>
      </c>
      <c r="H3283">
             </c>
      <c r="I3283" t="s">
        <v>14</v>
      </c>
      <c r="J3283" t="s">
        <v>343</v>
      </c>
      <c r="K3283" t="s">
        <v>14</v>
      </c>
      <c r="L3283" t="s">
        <v>20</v>
      </c>
      <c r="M3283" t="s">
        <v>6902</v>
      </c>
      <c r="N3283" t="s">
        <v>14</v>
      </c>
    </row>
    <row r="3284" x14ac:dyDescent="0.25">
      <c r="A3284" t="n">
        <v>25</v>
      </c>
      <c r="B3284" t="s">
        <v>14</v>
      </c>
      <c r="C3284" t="s">
        <v>22</v>
      </c>
      <c r="D3284" s="2" t="s">
        <f>=HYPERLINK("https://main.knesset.gov.il/APPS/legislation/main/bills/2212129", "הצעת חוק העונשין (תיקון - החמרת ענישה בעבירות ביזה) (הוראת שעה), התשפ""ד-2023")</f>
        <v>6912</v>
      </c>
      <c r="E3284" t="s">
        <v>6912</v>
      </c>
      <c r="F3284" t="s">
        <v>6913</v>
      </c>
      <c r="G3284" t="s">
        <v>14</v>
      </c>
      <c r="H3284">
             </c>
      <c r="I3284" t="s">
        <v>14</v>
      </c>
      <c r="J3284" t="s">
        <v>55</v>
      </c>
      <c r="K3284" t="s">
        <v>14</v>
      </c>
      <c r="L3284" t="s">
        <v>20</v>
      </c>
      <c r="M3284" t="s">
        <v>6902</v>
      </c>
      <c r="N3284" t="s">
        <v>14</v>
      </c>
    </row>
    <row r="3285" x14ac:dyDescent="0.25">
      <c r="A3285" t="n">
        <v>25</v>
      </c>
      <c r="B3285" t="s">
        <v>14</v>
      </c>
      <c r="C3285" t="s">
        <v>22</v>
      </c>
      <c r="D3285" s="2" t="s">
        <f>=HYPERLINK("https://main.knesset.gov.il/APPS/legislation/main/bills/2205673", "הצעת חוק שירות חובה לכול, התשפ""ג-2023")</f>
        <v>6914</v>
      </c>
      <c r="E3285" t="s">
        <v>6914</v>
      </c>
      <c r="F3285" t="s">
        <v>6915</v>
      </c>
      <c r="G3285" t="s">
        <v>14</v>
      </c>
      <c r="H3285">
             </c>
      <c r="I3285" t="s">
        <v>14</v>
      </c>
      <c r="J3285" t="s">
        <v>55</v>
      </c>
      <c r="K3285" t="s">
        <v>14</v>
      </c>
      <c r="L3285" t="s">
        <v>20</v>
      </c>
      <c r="M3285" t="s">
        <v>6902</v>
      </c>
      <c r="N3285" t="s">
        <v>14</v>
      </c>
    </row>
    <row r="3286" x14ac:dyDescent="0.25">
      <c r="A3286" t="n">
        <v>25</v>
      </c>
      <c r="B3286" t="s">
        <v>14</v>
      </c>
      <c r="C3286" t="s">
        <v>22</v>
      </c>
      <c r="D3286" s="2" t="s">
        <f>=HYPERLINK("https://main.knesset.gov.il/APPS/legislation/main/bills/2195999", "הצעת חוק למניעת אלימות במשפחה (תיקון - מניעת אלימות כלכלית), התשפ""ג-2022")</f>
        <v>6916</v>
      </c>
      <c r="E3286" t="s">
        <v>6916</v>
      </c>
      <c r="F3286" t="s">
        <v>6917</v>
      </c>
      <c r="G3286" t="s">
        <v>14</v>
      </c>
      <c r="H3286">
             </c>
      <c r="I3286" t="s">
        <v>14</v>
      </c>
      <c r="J3286" t="s">
        <v>343</v>
      </c>
      <c r="K3286" t="s">
        <v>14</v>
      </c>
      <c r="L3286" t="s">
        <v>20</v>
      </c>
      <c r="M3286" t="s">
        <v>6902</v>
      </c>
      <c r="N3286" t="s">
        <v>14</v>
      </c>
    </row>
    <row r="3287" x14ac:dyDescent="0.25">
      <c r="A3287" t="n">
        <v>25</v>
      </c>
      <c r="B3287" t="s">
        <v>14</v>
      </c>
      <c r="C3287" t="s">
        <v>22</v>
      </c>
      <c r="D3287" s="2" t="s">
        <f>=HYPERLINK("https://main.knesset.gov.il/APPS/legislation/main/bills/2197223", "חוק הסדרת העיסוק במקצועות הבריאות (תיקון מס' 9), התשפ""ד–2024")</f>
        <v>6918</v>
      </c>
      <c r="E3287" t="s">
        <v>6918</v>
      </c>
      <c r="F3287" t="s">
        <v>6919</v>
      </c>
      <c r="G3287" t="s">
        <v>6920</v>
      </c>
      <c r="H3287" t="n">
        <v>3172</v>
      </c>
      <c r="I3287" t="s">
        <v>14</v>
      </c>
      <c r="J3287" t="s">
        <v>91</v>
      </c>
      <c r="K3287" t="s">
        <v>480</v>
      </c>
      <c r="L3287" t="s">
        <v>20</v>
      </c>
      <c r="M3287" t="s">
        <v>6921</v>
      </c>
      <c r="N3287" t="s">
        <v>6922</v>
      </c>
    </row>
    <row r="3288" x14ac:dyDescent="0.25">
      <c r="A3288" t="n">
        <v>25</v>
      </c>
      <c r="B3288" t="s">
        <v>14</v>
      </c>
      <c r="C3288" t="s">
        <v>22</v>
      </c>
      <c r="D3288" s="2" t="s">
        <f>=HYPERLINK("https://main.knesset.gov.il/APPS/legislation/main/bills/2190321", "חוק הארכת השעיה של עובד המדינה ופיטורים של עובד הוראה לשם הגנה על קטין או חסר ישע (תיקוני חקיקה), התשפ""ד–2024")</f>
        <v>6923</v>
      </c>
      <c r="E3288" t="s">
        <v>6923</v>
      </c>
      <c r="F3288" t="s">
        <v>6924</v>
      </c>
      <c r="G3288" t="s">
        <v>6925</v>
      </c>
      <c r="H3288" t="n">
        <v>3171</v>
      </c>
      <c r="I3288" t="s">
        <v>14</v>
      </c>
      <c r="J3288" t="s">
        <v>91</v>
      </c>
      <c r="K3288" t="s">
        <v>34</v>
      </c>
      <c r="L3288" t="s">
        <v>20</v>
      </c>
      <c r="M3288" t="s">
        <v>6921</v>
      </c>
      <c r="N3288" t="s">
        <v>6926</v>
      </c>
    </row>
    <row r="3289" x14ac:dyDescent="0.25">
      <c r="A3289" t="n">
        <v>25</v>
      </c>
      <c r="B3289" t="s">
        <v>14</v>
      </c>
      <c r="C3289" t="s">
        <v>22</v>
      </c>
      <c r="D3289" s="2" t="s">
        <f>=HYPERLINK("https://main.knesset.gov.il/APPS/legislation/main/bills/2202783", "חוק פיקוח על בתי ספר (תיקון מס' 11), התשפ""ד–2024")</f>
        <v>6927</v>
      </c>
      <c r="E3289" t="s">
        <v>6927</v>
      </c>
      <c r="F3289" t="s">
        <v>6928</v>
      </c>
      <c r="G3289" t="s">
        <v>6929</v>
      </c>
      <c r="H3289" t="n">
        <v>3170</v>
      </c>
      <c r="I3289" t="s">
        <v>14</v>
      </c>
      <c r="J3289" t="s">
        <v>91</v>
      </c>
      <c r="K3289" t="s">
        <v>127</v>
      </c>
      <c r="L3289" t="s">
        <v>20</v>
      </c>
      <c r="M3289" t="s">
        <v>6921</v>
      </c>
      <c r="N3289" t="s">
        <v>6930</v>
      </c>
    </row>
    <row r="3290" x14ac:dyDescent="0.25">
      <c r="A3290" t="n">
        <v>25</v>
      </c>
      <c r="B3290" t="s">
        <v>14</v>
      </c>
      <c r="C3290" t="s">
        <v>22</v>
      </c>
      <c r="D3290" s="2" t="s">
        <f>=HYPERLINK("https://main.knesset.gov.il/APPS/legislation/main/bills/2213142", "הצעת חוק צער בעלי חיים (הגנה על בעלי חיים) (תיקון - איסור על זיווג ומכירה של כלבים וחתולים), התשפ״ד-2024")</f>
        <v>6931</v>
      </c>
      <c r="E3290" t="s">
        <v>6931</v>
      </c>
      <c r="F3290" t="s">
        <v>6932</v>
      </c>
      <c r="G3290" t="s">
        <v>14</v>
      </c>
      <c r="H3290">
             </c>
      <c r="I3290" t="s">
        <v>14</v>
      </c>
      <c r="J3290" t="s">
        <v>99</v>
      </c>
      <c r="K3290" t="s">
        <v>34</v>
      </c>
      <c r="L3290" t="s">
        <v>20</v>
      </c>
      <c r="M3290" t="s">
        <v>6933</v>
      </c>
      <c r="N3290" t="s">
        <v>14</v>
      </c>
    </row>
    <row r="3291" x14ac:dyDescent="0.25">
      <c r="A3291" t="n">
        <v>25</v>
      </c>
      <c r="B3291" t="s">
        <v>14</v>
      </c>
      <c r="C3291" t="s">
        <v>15</v>
      </c>
      <c r="D3291" s="2" t="s">
        <f>=HYPERLINK("https://main.knesset.gov.il/APPS/legislation/main/bills/2215127", "חוק התקנים (תיקון מס' 18), התשפ""ד–2024")</f>
        <v>6934</v>
      </c>
      <c r="E3291" t="s">
        <v>6934</v>
      </c>
      <c r="F3291" t="s">
        <v>14</v>
      </c>
      <c r="G3291" t="s">
        <v>6850</v>
      </c>
      <c r="H3291" t="n">
        <v>3169</v>
      </c>
      <c r="I3291" t="s">
        <v>14</v>
      </c>
      <c r="J3291" t="s">
        <v>91</v>
      </c>
      <c r="K3291" t="s">
        <v>19</v>
      </c>
      <c r="L3291" t="s">
        <v>20</v>
      </c>
      <c r="M3291" t="s">
        <v>6933</v>
      </c>
      <c r="N3291" t="s">
        <v>6935</v>
      </c>
    </row>
    <row r="3292" x14ac:dyDescent="0.25">
      <c r="A3292" t="n">
        <v>25</v>
      </c>
      <c r="B3292" t="s">
        <v>14</v>
      </c>
      <c r="C3292" t="s">
        <v>22</v>
      </c>
      <c r="D3292" s="2" t="s">
        <f>=HYPERLINK("https://main.knesset.gov.il/APPS/legislation/main/bills/2215410", "הצעת חוק שירות ביטחון (תיקון - שילוב גברים תלמידי ישיבות), התשפ""ד-2024")</f>
        <v>6936</v>
      </c>
      <c r="E3292" t="s">
        <v>6936</v>
      </c>
      <c r="F3292" t="s">
        <v>6937</v>
      </c>
      <c r="G3292" t="s">
        <v>14</v>
      </c>
      <c r="H3292">
             </c>
      <c r="I3292" t="s">
        <v>14</v>
      </c>
      <c r="J3292" t="s">
        <v>141</v>
      </c>
      <c r="K3292" t="s">
        <v>14</v>
      </c>
      <c r="L3292" t="s">
        <v>20</v>
      </c>
      <c r="M3292" t="s">
        <v>6933</v>
      </c>
      <c r="N3292" t="s">
        <v>14</v>
      </c>
    </row>
    <row r="3293" x14ac:dyDescent="0.25">
      <c r="A3293" t="n">
        <v>25</v>
      </c>
      <c r="B3293" t="s">
        <v>14</v>
      </c>
      <c r="C3293" t="s">
        <v>22</v>
      </c>
      <c r="D3293" s="2" t="s">
        <f>=HYPERLINK("https://main.knesset.gov.il/APPS/legislation/main/bills/2213789", "הצעת חוק הביטוח הלאומי (תיקון - דמי קיום לעצמאי יחיד) (הוראת שעה - חרבות ברזל), התשפ""ד-2024")</f>
        <v>6938</v>
      </c>
      <c r="E3293" t="s">
        <v>6938</v>
      </c>
      <c r="F3293" t="s">
        <v>6939</v>
      </c>
      <c r="G3293" t="s">
        <v>14</v>
      </c>
      <c r="H3293">
             </c>
      <c r="I3293" t="s">
        <v>14</v>
      </c>
      <c r="J3293" t="s">
        <v>141</v>
      </c>
      <c r="K3293" t="s">
        <v>14</v>
      </c>
      <c r="L3293" t="s">
        <v>20</v>
      </c>
      <c r="M3293" t="s">
        <v>6933</v>
      </c>
      <c r="N3293" t="s">
        <v>14</v>
      </c>
    </row>
    <row r="3294" x14ac:dyDescent="0.25">
      <c r="A3294" t="n">
        <v>25</v>
      </c>
      <c r="B3294" t="s">
        <v>14</v>
      </c>
      <c r="C3294" t="s">
        <v>22</v>
      </c>
      <c r="D3294" s="2" t="s">
        <f>=HYPERLINK("https://main.knesset.gov.il/APPS/legislation/main/bills/2215754", "הצעת חוק-יסוד: פרס ישראל")</f>
        <v>6940</v>
      </c>
      <c r="E3294" t="s">
        <v>6940</v>
      </c>
      <c r="F3294" t="s">
        <v>6941</v>
      </c>
      <c r="G3294" t="s">
        <v>14</v>
      </c>
      <c r="H3294">
             </c>
      <c r="I3294" t="s">
        <v>14</v>
      </c>
      <c r="J3294" t="s">
        <v>141</v>
      </c>
      <c r="K3294" t="s">
        <v>14</v>
      </c>
      <c r="L3294" t="s">
        <v>20</v>
      </c>
      <c r="M3294" t="s">
        <v>6933</v>
      </c>
      <c r="N3294" t="s">
        <v>14</v>
      </c>
    </row>
    <row r="3295" x14ac:dyDescent="0.25">
      <c r="A3295" t="n">
        <v>25</v>
      </c>
      <c r="B3295" t="s">
        <v>14</v>
      </c>
      <c r="C3295" t="s">
        <v>22</v>
      </c>
      <c r="D3295" s="2" t="s">
        <f>=HYPERLINK("https://main.knesset.gov.il/APPS/legislation/main/bills/2215100", "הצעת חוק חדלות פירעון ושיקום כלכלי (תיקון - הפטר לאלתר לחייב יחיד מעבר לגיל פרישה), התשפ""ד-2024")</f>
        <v>6942</v>
      </c>
      <c r="E3295" t="s">
        <v>6942</v>
      </c>
      <c r="F3295" t="s">
        <v>6943</v>
      </c>
      <c r="G3295" t="s">
        <v>14</v>
      </c>
      <c r="H3295">
             </c>
      <c r="I3295" t="s">
        <v>14</v>
      </c>
      <c r="J3295" t="s">
        <v>343</v>
      </c>
      <c r="K3295" t="s">
        <v>14</v>
      </c>
      <c r="L3295" t="s">
        <v>20</v>
      </c>
      <c r="M3295" t="s">
        <v>6933</v>
      </c>
      <c r="N3295" t="s">
        <v>14</v>
      </c>
    </row>
    <row r="3296" x14ac:dyDescent="0.25">
      <c r="A3296" t="n">
        <v>25</v>
      </c>
      <c r="B3296" t="s">
        <v>14</v>
      </c>
      <c r="C3296" t="s">
        <v>22</v>
      </c>
      <c r="D3296" s="2" t="s">
        <f>=HYPERLINK("https://main.knesset.gov.il/APPS/legislation/main/bills/2215039", "הצעת חוק שירות אזרחי (תיקון - ארגונים מפעילים), התשפ""ד-2024 ")</f>
        <v>6944</v>
      </c>
      <c r="E3296" t="s">
        <v>6944</v>
      </c>
      <c r="F3296" t="s">
        <v>6945</v>
      </c>
      <c r="G3296" t="s">
        <v>14</v>
      </c>
      <c r="H3296">
             </c>
      <c r="I3296" t="s">
        <v>14</v>
      </c>
      <c r="J3296" t="s">
        <v>141</v>
      </c>
      <c r="K3296" t="s">
        <v>14</v>
      </c>
      <c r="L3296" t="s">
        <v>20</v>
      </c>
      <c r="M3296" t="s">
        <v>6933</v>
      </c>
      <c r="N3296" t="s">
        <v>14</v>
      </c>
    </row>
    <row r="3297" x14ac:dyDescent="0.25">
      <c r="A3297" t="n">
        <v>25</v>
      </c>
      <c r="B3297" t="s">
        <v>14</v>
      </c>
      <c r="C3297" t="s">
        <v>22</v>
      </c>
      <c r="D3297" s="2" t="s">
        <f>=HYPERLINK("https://main.knesset.gov.il/APPS/legislation/main/bills/2215196", "הצעת חוק הפיקוח על מעונות יום לפעוטות (תיקון - סמכות משרד החינוך), התשפ""ד-2024")</f>
        <v>5812</v>
      </c>
      <c r="E3297" t="s">
        <v>5812</v>
      </c>
      <c r="F3297" t="s">
        <v>6946</v>
      </c>
      <c r="G3297" t="s">
        <v>14</v>
      </c>
      <c r="H3297">
             </c>
      <c r="I3297" t="s">
        <v>14</v>
      </c>
      <c r="J3297" t="s">
        <v>141</v>
      </c>
      <c r="K3297" t="s">
        <v>14</v>
      </c>
      <c r="L3297" t="s">
        <v>20</v>
      </c>
      <c r="M3297" t="s">
        <v>6933</v>
      </c>
      <c r="N3297" t="s">
        <v>14</v>
      </c>
    </row>
    <row r="3298" x14ac:dyDescent="0.25">
      <c r="A3298" t="n">
        <v>25</v>
      </c>
      <c r="B3298" t="s">
        <v>14</v>
      </c>
      <c r="C3298" t="s">
        <v>22</v>
      </c>
      <c r="D3298" s="2" t="s">
        <f>=HYPERLINK("https://main.knesset.gov.il/APPS/legislation/main/bills/2215360", "הצעת חוק לתיקון פקודת העיריות (הוספת ועדה לטיפול בתופעת המסתננים והשוהים הבלתי חוקיים), התשפ""ד-2024 ")</f>
        <v>6947</v>
      </c>
      <c r="E3298" t="s">
        <v>6947</v>
      </c>
      <c r="F3298" t="s">
        <v>6948</v>
      </c>
      <c r="G3298" t="s">
        <v>14</v>
      </c>
      <c r="H3298">
             </c>
      <c r="I3298" t="s">
        <v>14</v>
      </c>
      <c r="J3298" t="s">
        <v>141</v>
      </c>
      <c r="K3298" t="s">
        <v>14</v>
      </c>
      <c r="L3298" t="s">
        <v>20</v>
      </c>
      <c r="M3298" t="s">
        <v>6933</v>
      </c>
      <c r="N3298" t="s">
        <v>14</v>
      </c>
    </row>
    <row r="3299" x14ac:dyDescent="0.25">
      <c r="A3299" t="n">
        <v>25</v>
      </c>
      <c r="B3299" t="s">
        <v>14</v>
      </c>
      <c r="C3299" t="s">
        <v>22</v>
      </c>
      <c r="D3299" s="2" t="s">
        <f>=HYPERLINK("https://main.knesset.gov.il/APPS/legislation/main/bills/2215756", "הצעת חוק התניית יום שבתון בהצבעה בבחירות (תיקוני חקיקה), התשפ""ד-2024")</f>
        <v>6949</v>
      </c>
      <c r="E3299" t="s">
        <v>6949</v>
      </c>
      <c r="F3299" t="s">
        <v>6950</v>
      </c>
      <c r="G3299" t="s">
        <v>14</v>
      </c>
      <c r="H3299">
             </c>
      <c r="I3299" t="s">
        <v>14</v>
      </c>
      <c r="J3299" t="s">
        <v>141</v>
      </c>
      <c r="K3299" t="s">
        <v>14</v>
      </c>
      <c r="L3299" t="s">
        <v>20</v>
      </c>
      <c r="M3299" t="s">
        <v>6933</v>
      </c>
      <c r="N3299" t="s">
        <v>14</v>
      </c>
    </row>
    <row r="3300" x14ac:dyDescent="0.25">
      <c r="A3300" t="n">
        <v>25</v>
      </c>
      <c r="B3300" t="s">
        <v>14</v>
      </c>
      <c r="C3300" t="s">
        <v>22</v>
      </c>
      <c r="D3300" s="2" t="s">
        <f>=HYPERLINK("https://main.knesset.gov.il/APPS/legislation/main/bills/2215363", "הצעת חוק לתיקון פקודת העיריות (ועדה לקליטת עלייה), התשפ""ד-2024 ")</f>
        <v>6951</v>
      </c>
      <c r="E3300" t="s">
        <v>6951</v>
      </c>
      <c r="F3300" t="s">
        <v>6952</v>
      </c>
      <c r="G3300" t="s">
        <v>14</v>
      </c>
      <c r="H3300">
             </c>
      <c r="I3300" t="s">
        <v>14</v>
      </c>
      <c r="J3300" t="s">
        <v>141</v>
      </c>
      <c r="K3300" t="s">
        <v>14</v>
      </c>
      <c r="L3300" t="s">
        <v>20</v>
      </c>
      <c r="M3300" t="s">
        <v>6933</v>
      </c>
      <c r="N3300" t="s">
        <v>14</v>
      </c>
    </row>
    <row r="3301" x14ac:dyDescent="0.25">
      <c r="A3301" t="n">
        <v>25</v>
      </c>
      <c r="B3301" t="s">
        <v>14</v>
      </c>
      <c r="C3301" t="s">
        <v>22</v>
      </c>
      <c r="D3301" s="2" t="s">
        <f>=HYPERLINK("https://main.knesset.gov.il/APPS/legislation/main/bills/2215236", "הצעת חוק עבודת נשים (תיקון - תקופת לידה והורות למשפחת אומנה), התשפ""ד-2024")</f>
        <v>6953</v>
      </c>
      <c r="E3301" t="s">
        <v>6953</v>
      </c>
      <c r="F3301" t="s">
        <v>6954</v>
      </c>
      <c r="G3301" t="s">
        <v>14</v>
      </c>
      <c r="H3301">
             </c>
      <c r="I3301" t="s">
        <v>14</v>
      </c>
      <c r="J3301" t="s">
        <v>141</v>
      </c>
      <c r="K3301" t="s">
        <v>14</v>
      </c>
      <c r="L3301" t="s">
        <v>20</v>
      </c>
      <c r="M3301" t="s">
        <v>6933</v>
      </c>
      <c r="N3301" t="s">
        <v>14</v>
      </c>
    </row>
    <row r="3302" x14ac:dyDescent="0.25">
      <c r="A3302" t="n">
        <v>25</v>
      </c>
      <c r="B3302" t="s">
        <v>14</v>
      </c>
      <c r="C3302" t="s">
        <v>22</v>
      </c>
      <c r="D3302" s="2" t="s">
        <f>=HYPERLINK("https://main.knesset.gov.il/APPS/legislation/main/bills/2213070", "הצעת חוק מס קנייה (טובין ושירותים) (תיקון - שיעור המס על רכב חשמלי), התשפ""ד-2024")</f>
        <v>6955</v>
      </c>
      <c r="E3302" t="s">
        <v>6955</v>
      </c>
      <c r="F3302" t="s">
        <v>6956</v>
      </c>
      <c r="G3302" t="s">
        <v>14</v>
      </c>
      <c r="H3302">
             </c>
      <c r="I3302" t="s">
        <v>14</v>
      </c>
      <c r="J3302" t="s">
        <v>141</v>
      </c>
      <c r="K3302" t="s">
        <v>14</v>
      </c>
      <c r="L3302" t="s">
        <v>20</v>
      </c>
      <c r="M3302" t="s">
        <v>6933</v>
      </c>
      <c r="N3302" t="s">
        <v>14</v>
      </c>
    </row>
    <row r="3303" x14ac:dyDescent="0.25">
      <c r="A3303" t="n">
        <v>25</v>
      </c>
      <c r="B3303" t="s">
        <v>14</v>
      </c>
      <c r="C3303" t="s">
        <v>22</v>
      </c>
      <c r="D3303" s="2" t="s">
        <f>=HYPERLINK("https://main.knesset.gov.il/APPS/legislation/main/bills/2215104", "הצעת חוק הרשויות המקומיות (הגבלת הזכות להיבחר) (תיקון - חברי כנסת, שרים וסגני שרים), התשפ""ד-2024")</f>
        <v>6957</v>
      </c>
      <c r="E3303" t="s">
        <v>6957</v>
      </c>
      <c r="F3303" t="s">
        <v>6958</v>
      </c>
      <c r="G3303" t="s">
        <v>14</v>
      </c>
      <c r="H3303">
             </c>
      <c r="I3303" t="s">
        <v>14</v>
      </c>
      <c r="J3303" t="s">
        <v>141</v>
      </c>
      <c r="K3303" t="s">
        <v>14</v>
      </c>
      <c r="L3303" t="s">
        <v>20</v>
      </c>
      <c r="M3303" t="s">
        <v>6933</v>
      </c>
      <c r="N3303" t="s">
        <v>14</v>
      </c>
    </row>
    <row r="3304" x14ac:dyDescent="0.25">
      <c r="A3304" t="n">
        <v>25</v>
      </c>
      <c r="B3304" t="s">
        <v>14</v>
      </c>
      <c r="C3304" t="s">
        <v>22</v>
      </c>
      <c r="D3304" s="2" t="s">
        <f>=HYPERLINK("https://main.knesset.gov.il/APPS/legislation/main/bills/2213904", "הצעת חוק הביטוח הלאומי (תיקון - שיפוי מעסיקים על הפרשות פנסיוניות בעד עובדות בתקופת לידה והורות או בשמירת היריון), התשפ""ד-2024")</f>
        <v>6959</v>
      </c>
      <c r="E3304" t="s">
        <v>6959</v>
      </c>
      <c r="F3304" t="s">
        <v>6960</v>
      </c>
      <c r="G3304" t="s">
        <v>14</v>
      </c>
      <c r="H3304">
             </c>
      <c r="I3304" t="s">
        <v>14</v>
      </c>
      <c r="J3304" t="s">
        <v>141</v>
      </c>
      <c r="K3304" t="s">
        <v>14</v>
      </c>
      <c r="L3304" t="s">
        <v>20</v>
      </c>
      <c r="M3304" t="s">
        <v>6933</v>
      </c>
      <c r="N3304" t="s">
        <v>14</v>
      </c>
    </row>
    <row r="3305" x14ac:dyDescent="0.25">
      <c r="A3305" t="n">
        <v>25</v>
      </c>
      <c r="B3305" t="s">
        <v>14</v>
      </c>
      <c r="C3305" t="s">
        <v>22</v>
      </c>
      <c r="D3305" s="2" t="s">
        <f>=HYPERLINK("https://main.knesset.gov.il/APPS/legislation/main/bills/2214667", "הצעת חוק הגבלת מכירה של קנביס רפואי בסביבת בתי ספר, התשפ""ד-2024")</f>
        <v>6961</v>
      </c>
      <c r="E3305" t="s">
        <v>6961</v>
      </c>
      <c r="F3305" t="s">
        <v>6962</v>
      </c>
      <c r="G3305" t="s">
        <v>14</v>
      </c>
      <c r="H3305">
             </c>
      <c r="I3305" t="s">
        <v>14</v>
      </c>
      <c r="J3305" t="s">
        <v>343</v>
      </c>
      <c r="K3305" t="s">
        <v>14</v>
      </c>
      <c r="L3305" t="s">
        <v>20</v>
      </c>
      <c r="M3305" t="s">
        <v>6933</v>
      </c>
      <c r="N3305" t="s">
        <v>14</v>
      </c>
    </row>
    <row r="3306" x14ac:dyDescent="0.25">
      <c r="A3306" t="n">
        <v>25</v>
      </c>
      <c r="B3306" t="s">
        <v>14</v>
      </c>
      <c r="C3306" t="s">
        <v>22</v>
      </c>
      <c r="D3306" s="2" t="s">
        <f>=HYPERLINK("https://main.knesset.gov.il/APPS/legislation/main/bills/2212656", "הצעת חוק מגבלות על חזרתו של עבריין טרור לסביבת נפגע עבירה, התשפ""ד-2024")</f>
        <v>6963</v>
      </c>
      <c r="E3306" t="s">
        <v>6963</v>
      </c>
      <c r="F3306" t="s">
        <v>6964</v>
      </c>
      <c r="G3306" t="s">
        <v>14</v>
      </c>
      <c r="H3306">
             </c>
      <c r="I3306" t="s">
        <v>14</v>
      </c>
      <c r="J3306" t="s">
        <v>99</v>
      </c>
      <c r="K3306" t="s">
        <v>105</v>
      </c>
      <c r="L3306" t="s">
        <v>20</v>
      </c>
      <c r="M3306" t="s">
        <v>6933</v>
      </c>
      <c r="N3306" t="s">
        <v>14</v>
      </c>
    </row>
    <row r="3307" x14ac:dyDescent="0.25">
      <c r="A3307" t="n">
        <v>25</v>
      </c>
      <c r="B3307" t="s">
        <v>14</v>
      </c>
      <c r="C3307" t="s">
        <v>22</v>
      </c>
      <c r="D3307" s="2" t="s">
        <f>=HYPERLINK("https://main.knesset.gov.il/APPS/legislation/main/bills/2212133", "הצעת חוק מגבלות על חזרתו של מורשע במעשה טרור לסביבת נפגע העבירה, התשפ""ד-2023")</f>
        <v>6965</v>
      </c>
      <c r="E3307" t="s">
        <v>6965</v>
      </c>
      <c r="F3307" t="s">
        <v>6966</v>
      </c>
      <c r="G3307" t="s">
        <v>14</v>
      </c>
      <c r="H3307">
             </c>
      <c r="I3307" t="s">
        <v>14</v>
      </c>
      <c r="J3307" t="s">
        <v>99</v>
      </c>
      <c r="K3307" t="s">
        <v>105</v>
      </c>
      <c r="L3307" t="s">
        <v>20</v>
      </c>
      <c r="M3307" t="s">
        <v>6933</v>
      </c>
      <c r="N3307" t="s">
        <v>14</v>
      </c>
    </row>
    <row r="3308" x14ac:dyDescent="0.25">
      <c r="A3308" t="n">
        <v>25</v>
      </c>
      <c r="B3308" t="s">
        <v>14</v>
      </c>
      <c r="C3308" t="s">
        <v>15</v>
      </c>
      <c r="D3308" s="2" t="s">
        <f>=HYPERLINK("https://main.knesset.gov.il/APPS/legislation/main/bills/2214427", "חוק שירות ביטחון (תיקון מס' 26 – הוראת שעה – חרבות ברזל), התשפ""ד-2024")</f>
        <v>6967</v>
      </c>
      <c r="E3308" t="s">
        <v>6967</v>
      </c>
      <c r="F3308" t="s">
        <v>14</v>
      </c>
      <c r="G3308" t="s">
        <v>6968</v>
      </c>
      <c r="H3308" t="n">
        <v>3167</v>
      </c>
      <c r="I3308" t="s">
        <v>14</v>
      </c>
      <c r="J3308" t="s">
        <v>91</v>
      </c>
      <c r="K3308" t="s">
        <v>114</v>
      </c>
      <c r="L3308" t="s">
        <v>20</v>
      </c>
      <c r="M3308" t="s">
        <v>6969</v>
      </c>
      <c r="N3308" t="s">
        <v>6970</v>
      </c>
    </row>
    <row r="3309" x14ac:dyDescent="0.25">
      <c r="A3309" t="n">
        <v>25</v>
      </c>
      <c r="B3309" t="s">
        <v>14</v>
      </c>
      <c r="C3309" t="s">
        <v>15</v>
      </c>
      <c r="D3309" s="2" t="s">
        <f>=HYPERLINK("https://main.knesset.gov.il/APPS/legislation/main/bills/2215701", "חוק הסכמים קיבוציים (תיקון מס' 11 - הוראת שעה - חרבות ברזל) (הוראות מיוחדות לעניין הרחבת הסכם קיבוצי כללי שנעשה בשל פעולות האיבה או פעולות המלחמה), התשפ""ד-2024")</f>
        <v>6971</v>
      </c>
      <c r="E3309" t="s">
        <v>6971</v>
      </c>
      <c r="F3309" t="s">
        <v>14</v>
      </c>
      <c r="G3309" t="s">
        <v>6972</v>
      </c>
      <c r="H3309" t="n">
        <v>3166</v>
      </c>
      <c r="I3309" t="s">
        <v>14</v>
      </c>
      <c r="J3309" t="s">
        <v>91</v>
      </c>
      <c r="K3309" t="s">
        <v>127</v>
      </c>
      <c r="L3309" t="s">
        <v>20</v>
      </c>
      <c r="M3309" t="s">
        <v>6969</v>
      </c>
      <c r="N3309" t="s">
        <v>6973</v>
      </c>
    </row>
    <row r="3310" x14ac:dyDescent="0.25">
      <c r="A3310" t="n">
        <v>25</v>
      </c>
      <c r="B3310" t="s">
        <v>14</v>
      </c>
      <c r="C3310" t="s">
        <v>22</v>
      </c>
      <c r="D3310" s="2" t="s">
        <f>=HYPERLINK("https://main.knesset.gov.il/APPS/legislation/main/bills/2212352", "הצעת חוק לשכת עורכי הדין (תיקון - התמחות ומבחני הסמכה) (הוראת שעה - חרבות ברזל), התשפ""ד-2023")</f>
        <v>6974</v>
      </c>
      <c r="E3310" t="s">
        <v>6974</v>
      </c>
      <c r="F3310" t="s">
        <v>6975</v>
      </c>
      <c r="G3310" t="s">
        <v>14</v>
      </c>
      <c r="H3310">
             </c>
      <c r="I3310" t="s">
        <v>14</v>
      </c>
      <c r="J3310" t="s">
        <v>31</v>
      </c>
      <c r="K3310" t="s">
        <v>27</v>
      </c>
      <c r="L3310" t="s">
        <v>20</v>
      </c>
      <c r="M3310" t="s">
        <v>6969</v>
      </c>
      <c r="N3310" t="s">
        <v>14</v>
      </c>
    </row>
    <row r="3311" x14ac:dyDescent="0.25">
      <c r="A3311" t="n">
        <v>25</v>
      </c>
      <c r="B3311" t="s">
        <v>14</v>
      </c>
      <c r="C3311" t="s">
        <v>15</v>
      </c>
      <c r="D3311" s="2" t="s">
        <f>=HYPERLINK("https://main.knesset.gov.il/APPS/legislation/main/bills/2209987", "חוק לתיקון פקודת בריאות העם (מס' 41), התשפ""ד-2024")</f>
        <v>6976</v>
      </c>
      <c r="E3311" t="s">
        <v>6976</v>
      </c>
      <c r="F3311" t="s">
        <v>14</v>
      </c>
      <c r="G3311" t="s">
        <v>6977</v>
      </c>
      <c r="H3311" t="n">
        <v>3168</v>
      </c>
      <c r="I3311" t="s">
        <v>14</v>
      </c>
      <c r="J3311" t="s">
        <v>91</v>
      </c>
      <c r="K3311" t="s">
        <v>480</v>
      </c>
      <c r="L3311" t="s">
        <v>20</v>
      </c>
      <c r="M3311" t="s">
        <v>6969</v>
      </c>
      <c r="N3311" t="s">
        <v>6978</v>
      </c>
    </row>
    <row r="3312" x14ac:dyDescent="0.25">
      <c r="A3312" t="n">
        <v>25</v>
      </c>
      <c r="B3312" t="s">
        <v>14</v>
      </c>
      <c r="C3312" t="s">
        <v>22</v>
      </c>
      <c r="D3312" s="2" t="s">
        <f>=HYPERLINK("https://main.knesset.gov.il/APPS/legislation/main/bills/2202420", "הצעת חוק אוויר נקי (תיקון - איסור שימוש בתנורים המוסקים בדלק מוצק), התשפ""ג-2023")</f>
        <v>6979</v>
      </c>
      <c r="E3312" t="s">
        <v>6979</v>
      </c>
      <c r="F3312" t="s">
        <v>6980</v>
      </c>
      <c r="G3312" t="s">
        <v>14</v>
      </c>
      <c r="H3312">
             </c>
      <c r="I3312" t="s">
        <v>14</v>
      </c>
      <c r="J3312" t="s">
        <v>343</v>
      </c>
      <c r="K3312" t="s">
        <v>14</v>
      </c>
      <c r="L3312" t="s">
        <v>20</v>
      </c>
      <c r="M3312" t="s">
        <v>6969</v>
      </c>
      <c r="N3312" t="s">
        <v>14</v>
      </c>
    </row>
    <row r="3313" x14ac:dyDescent="0.25">
      <c r="A3313" t="n">
        <v>25</v>
      </c>
      <c r="B3313" t="s">
        <v>14</v>
      </c>
      <c r="C3313" t="s">
        <v>22</v>
      </c>
      <c r="D3313" s="2" t="s">
        <f>=HYPERLINK("https://main.knesset.gov.il/APPS/legislation/main/bills/2200574", "הצעת חוק המאבק בטרור (תיקון - אי-החזרת גופות מחבלים), התשפ""ג-2023")</f>
        <v>4827</v>
      </c>
      <c r="E3313" t="s">
        <v>4827</v>
      </c>
      <c r="F3313" t="s">
        <v>6981</v>
      </c>
      <c r="G3313" t="s">
        <v>14</v>
      </c>
      <c r="H3313">
             </c>
      <c r="I3313" t="s">
        <v>14</v>
      </c>
      <c r="J3313" t="s">
        <v>31</v>
      </c>
      <c r="K3313" t="s">
        <v>114</v>
      </c>
      <c r="L3313" t="s">
        <v>20</v>
      </c>
      <c r="M3313" t="s">
        <v>6982</v>
      </c>
      <c r="N3313" t="s">
        <v>14</v>
      </c>
    </row>
    <row r="3314" x14ac:dyDescent="0.25">
      <c r="A3314" t="n">
        <v>25</v>
      </c>
      <c r="B3314" t="s">
        <v>14</v>
      </c>
      <c r="C3314" t="s">
        <v>22</v>
      </c>
      <c r="D3314" s="2" t="s">
        <f>=HYPERLINK("https://main.knesset.gov.il/APPS/legislation/main/bills/2198919", "הצעת חוק המאבק בטרור (תיקון - איסור החזרת גופות מחבלים), התשפ""ג-2023")</f>
        <v>6983</v>
      </c>
      <c r="E3314" t="s">
        <v>6983</v>
      </c>
      <c r="F3314" t="s">
        <v>6984</v>
      </c>
      <c r="G3314" t="s">
        <v>14</v>
      </c>
      <c r="H3314">
             </c>
      <c r="I3314" t="s">
        <v>14</v>
      </c>
      <c r="J3314" t="s">
        <v>31</v>
      </c>
      <c r="K3314" t="s">
        <v>114</v>
      </c>
      <c r="L3314" t="s">
        <v>20</v>
      </c>
      <c r="M3314" t="s">
        <v>6982</v>
      </c>
      <c r="N3314" t="s">
        <v>14</v>
      </c>
    </row>
    <row r="3315" x14ac:dyDescent="0.25">
      <c r="A3315" t="n">
        <v>25</v>
      </c>
      <c r="B3315" t="s">
        <v>14</v>
      </c>
      <c r="C3315" t="s">
        <v>15</v>
      </c>
      <c r="D3315" s="2" t="s">
        <f>=HYPERLINK("https://main.knesset.gov.il/APPS/legislation/main/bills/2213429", "חוק זכויות הדייר בדיור הציבורי (הוראת שעה – חרבות ברזל) (דייר ממשיך מיוחד), התשפ""ד-2024")</f>
        <v>6985</v>
      </c>
      <c r="E3315" t="s">
        <v>6985</v>
      </c>
      <c r="F3315" t="s">
        <v>14</v>
      </c>
      <c r="G3315" t="s">
        <v>6986</v>
      </c>
      <c r="H3315" t="n">
        <v>3165</v>
      </c>
      <c r="I3315" t="s">
        <v>14</v>
      </c>
      <c r="J3315" t="s">
        <v>91</v>
      </c>
      <c r="K3315" t="s">
        <v>46</v>
      </c>
      <c r="L3315" t="s">
        <v>20</v>
      </c>
      <c r="M3315" t="s">
        <v>6982</v>
      </c>
      <c r="N3315" t="s">
        <v>6987</v>
      </c>
    </row>
    <row r="3316" x14ac:dyDescent="0.25">
      <c r="A3316" t="n">
        <v>25</v>
      </c>
      <c r="B3316" t="s">
        <v>14</v>
      </c>
      <c r="C3316" t="s">
        <v>15</v>
      </c>
      <c r="D3316" s="2" t="s">
        <f>=HYPERLINK("https://main.knesset.gov.il/APPS/legislation/main/bills/2212125", "חוק התוכנית הכלכלית (תיקוני חקיקה ליישום המדיניות הכלכלית לשנות התקציב 2023 ו-2024) (תיקון), התשפ""ד-2024")</f>
        <v>6988</v>
      </c>
      <c r="E3316" t="s">
        <v>6988</v>
      </c>
      <c r="F3316" t="s">
        <v>14</v>
      </c>
      <c r="G3316" t="s">
        <v>6989</v>
      </c>
      <c r="H3316" t="n">
        <v>3164</v>
      </c>
      <c r="I3316" t="s">
        <v>14</v>
      </c>
      <c r="J3316" t="s">
        <v>91</v>
      </c>
      <c r="K3316" t="s">
        <v>19</v>
      </c>
      <c r="L3316" t="s">
        <v>20</v>
      </c>
      <c r="M3316" t="s">
        <v>6982</v>
      </c>
      <c r="N3316" t="s">
        <v>6990</v>
      </c>
    </row>
    <row r="3317" x14ac:dyDescent="0.25">
      <c r="A3317" t="n">
        <v>25</v>
      </c>
      <c r="B3317" t="s">
        <v>14</v>
      </c>
      <c r="C3317" t="s">
        <v>22</v>
      </c>
      <c r="D3317" s="2" t="s">
        <f>=HYPERLINK("https://main.knesset.gov.il/APPS/legislation/main/bills/2213233", "הצעת חוק משפחות חיילים שנספו במערכה (תגמולים ושיקום) (תיקון - העלאת סכום הסיוע למימון שיעורי נהיגה), התשפ""ד-2024")</f>
        <v>6991</v>
      </c>
      <c r="E3317" t="s">
        <v>6991</v>
      </c>
      <c r="F3317" t="s">
        <v>6992</v>
      </c>
      <c r="G3317" t="s">
        <v>14</v>
      </c>
      <c r="H3317">
             </c>
      <c r="I3317" t="s">
        <v>14</v>
      </c>
      <c r="J3317" t="s">
        <v>141</v>
      </c>
      <c r="K3317" t="s">
        <v>14</v>
      </c>
      <c r="L3317" t="s">
        <v>20</v>
      </c>
      <c r="M3317" t="s">
        <v>6982</v>
      </c>
      <c r="N3317" t="s">
        <v>14</v>
      </c>
    </row>
    <row r="3318" x14ac:dyDescent="0.25">
      <c r="A3318" t="n">
        <v>25</v>
      </c>
      <c r="B3318" t="s">
        <v>14</v>
      </c>
      <c r="C3318" t="s">
        <v>22</v>
      </c>
      <c r="D3318" s="2" t="s">
        <f>=HYPERLINK("https://main.knesset.gov.il/APPS/legislation/main/bills/2214944", "הצעת חוק התכנון והבנייה (תיקון - פטור מהיטל השבחה עבור מיתקני אגירה), התשפ""ד-2024")</f>
        <v>6993</v>
      </c>
      <c r="E3318" t="s">
        <v>6993</v>
      </c>
      <c r="F3318" t="s">
        <v>6994</v>
      </c>
      <c r="G3318" t="s">
        <v>14</v>
      </c>
      <c r="H3318">
             </c>
      <c r="I3318" t="s">
        <v>14</v>
      </c>
      <c r="J3318" t="s">
        <v>141</v>
      </c>
      <c r="K3318" t="s">
        <v>14</v>
      </c>
      <c r="L3318" t="s">
        <v>20</v>
      </c>
      <c r="M3318" t="s">
        <v>6982</v>
      </c>
      <c r="N3318" t="s">
        <v>14</v>
      </c>
    </row>
    <row r="3319" x14ac:dyDescent="0.25">
      <c r="A3319" t="n">
        <v>25</v>
      </c>
      <c r="B3319" t="s">
        <v>14</v>
      </c>
      <c r="C3319" t="s">
        <v>22</v>
      </c>
      <c r="D3319" s="2" t="s">
        <f>=HYPERLINK("https://main.knesset.gov.il/APPS/legislation/main/bills/2215409", "הצעת חוק לייצור אמצעי לחימה בתעשיות הביטחוניות בישראל, התשפ""ד-2024")</f>
        <v>6995</v>
      </c>
      <c r="E3319" t="s">
        <v>6995</v>
      </c>
      <c r="F3319" t="s">
        <v>6996</v>
      </c>
      <c r="G3319" t="s">
        <v>14</v>
      </c>
      <c r="H3319">
             </c>
      <c r="I3319" t="s">
        <v>14</v>
      </c>
      <c r="J3319" t="s">
        <v>141</v>
      </c>
      <c r="K3319" t="s">
        <v>14</v>
      </c>
      <c r="L3319" t="s">
        <v>20</v>
      </c>
      <c r="M3319" t="s">
        <v>6982</v>
      </c>
      <c r="N3319" t="s">
        <v>14</v>
      </c>
    </row>
    <row r="3320" x14ac:dyDescent="0.25">
      <c r="A3320" t="n">
        <v>25</v>
      </c>
      <c r="B3320" t="s">
        <v>14</v>
      </c>
      <c r="C3320" t="s">
        <v>22</v>
      </c>
      <c r="D3320" s="2" t="s">
        <f>=HYPERLINK("https://main.knesset.gov.il/APPS/legislation/main/bills/2215171", "הצעת חוק הבטחת הכנסה (תיקון - מימון תרופות שאינן בסל שירותי הבריאות לילדים שהוריהם מקבלים גמלת הבטחת הכנסה), התשפ""ד-2024")</f>
        <v>6997</v>
      </c>
      <c r="E3320" t="s">
        <v>6997</v>
      </c>
      <c r="F3320" t="s">
        <v>6998</v>
      </c>
      <c r="G3320" t="s">
        <v>14</v>
      </c>
      <c r="H3320">
             </c>
      <c r="I3320" t="s">
        <v>14</v>
      </c>
      <c r="J3320" t="s">
        <v>141</v>
      </c>
      <c r="K3320" t="s">
        <v>14</v>
      </c>
      <c r="L3320" t="s">
        <v>20</v>
      </c>
      <c r="M3320" t="s">
        <v>6982</v>
      </c>
      <c r="N3320" t="s">
        <v>14</v>
      </c>
    </row>
    <row r="3321" x14ac:dyDescent="0.25">
      <c r="A3321" t="n">
        <v>25</v>
      </c>
      <c r="B3321" t="s">
        <v>14</v>
      </c>
      <c r="C3321" t="s">
        <v>22</v>
      </c>
      <c r="D3321" s="2" t="s">
        <f>=HYPERLINK("https://main.knesset.gov.il/APPS/legislation/main/bills/2215179", "הצעת חוק התחשבנות בין בתי חולים לקופות חולים לשנים 2021 עד 2025 (התחשבנות בעד שירותי בריאות בבתי חולים ציבוריים כלליים) (תיקון - מועד התשלום לבית חולים ציבורי כללי עצמאי), התשפ""ד-2024")</f>
        <v>5944</v>
      </c>
      <c r="E3321" t="s">
        <v>5944</v>
      </c>
      <c r="F3321" t="s">
        <v>6999</v>
      </c>
      <c r="G3321" t="s">
        <v>14</v>
      </c>
      <c r="H3321">
             </c>
      <c r="I3321" t="s">
        <v>14</v>
      </c>
      <c r="J3321" t="s">
        <v>141</v>
      </c>
      <c r="K3321" t="s">
        <v>14</v>
      </c>
      <c r="L3321" t="s">
        <v>20</v>
      </c>
      <c r="M3321" t="s">
        <v>6982</v>
      </c>
      <c r="N3321" t="s">
        <v>14</v>
      </c>
    </row>
    <row r="3322" x14ac:dyDescent="0.25">
      <c r="A3322" t="n">
        <v>25</v>
      </c>
      <c r="B3322" t="s">
        <v>14</v>
      </c>
      <c r="C3322" t="s">
        <v>22</v>
      </c>
      <c r="D3322" s="2" t="s">
        <f>=HYPERLINK("https://main.knesset.gov.il/APPS/legislation/main/bills/2210152", "הצעת חוק-יסוד: כבוד האדם וחירותו (תיקון - תוקפו של חוק חורג בעניין מסתננים) ")</f>
        <v>7000</v>
      </c>
      <c r="E3322" t="s">
        <v>7000</v>
      </c>
      <c r="F3322" t="s">
        <v>7001</v>
      </c>
      <c r="G3322" t="s">
        <v>14</v>
      </c>
      <c r="H3322">
             </c>
      <c r="I3322" t="s">
        <v>14</v>
      </c>
      <c r="J3322" t="s">
        <v>141</v>
      </c>
      <c r="K3322" t="s">
        <v>14</v>
      </c>
      <c r="L3322" t="s">
        <v>20</v>
      </c>
      <c r="M3322" t="s">
        <v>6982</v>
      </c>
      <c r="N3322" t="s">
        <v>14</v>
      </c>
    </row>
    <row r="3323" x14ac:dyDescent="0.25">
      <c r="A3323" t="n">
        <v>25</v>
      </c>
      <c r="B3323" t="s">
        <v>14</v>
      </c>
      <c r="C3323" t="s">
        <v>22</v>
      </c>
      <c r="D3323" s="2" t="s">
        <f>=HYPERLINK("https://main.knesset.gov.il/APPS/legislation/main/bills/2214945", "הצעת חוק התכנון והבנייה (תיקון - מיתקן אגירת אנרגיה בבניין רב קומות), התשפ""ד-2024")</f>
        <v>7002</v>
      </c>
      <c r="E3323" t="s">
        <v>7002</v>
      </c>
      <c r="F3323" t="s">
        <v>7003</v>
      </c>
      <c r="G3323" t="s">
        <v>14</v>
      </c>
      <c r="H3323">
             </c>
      <c r="I3323" t="s">
        <v>14</v>
      </c>
      <c r="J3323" t="s">
        <v>141</v>
      </c>
      <c r="K3323" t="s">
        <v>14</v>
      </c>
      <c r="L3323" t="s">
        <v>20</v>
      </c>
      <c r="M3323" t="s">
        <v>6982</v>
      </c>
      <c r="N3323" t="s">
        <v>14</v>
      </c>
    </row>
    <row r="3324" x14ac:dyDescent="0.25">
      <c r="A3324" t="n">
        <v>25</v>
      </c>
      <c r="B3324" t="s">
        <v>14</v>
      </c>
      <c r="C3324" t="s">
        <v>22</v>
      </c>
      <c r="D3324" s="2" t="s">
        <f>=HYPERLINK("https://main.knesset.gov.il/APPS/legislation/main/bills/2214914", "הצעת חוק הרשויות המקומיות (מימון בחירות) (תיקון - עידוד התמודדות נשים לראשות רשות מקומית או מועצה אזורית), התשפ""ד-2024")</f>
        <v>7004</v>
      </c>
      <c r="E3324" t="s">
        <v>7004</v>
      </c>
      <c r="F3324" t="s">
        <v>7005</v>
      </c>
      <c r="G3324" t="s">
        <v>14</v>
      </c>
      <c r="H3324">
             </c>
      <c r="I3324" t="s">
        <v>14</v>
      </c>
      <c r="J3324" t="s">
        <v>141</v>
      </c>
      <c r="K3324" t="s">
        <v>14</v>
      </c>
      <c r="L3324" t="s">
        <v>20</v>
      </c>
      <c r="M3324" t="s">
        <v>6982</v>
      </c>
      <c r="N3324" t="s">
        <v>14</v>
      </c>
    </row>
    <row r="3325" x14ac:dyDescent="0.25">
      <c r="A3325" t="n">
        <v>25</v>
      </c>
      <c r="B3325" t="s">
        <v>14</v>
      </c>
      <c r="C3325" t="s">
        <v>22</v>
      </c>
      <c r="D3325" s="2" t="s">
        <f>=HYPERLINK("https://main.knesset.gov.il/APPS/legislation/main/bills/2215118", "הצעת חוק עידוד מעורבות סטודנטים בפעילות חברתית וקהילתית (תיקון - הכרה בהתנדבות למען המפונים והחטופים), התשפ""ד-2024")</f>
        <v>6876</v>
      </c>
      <c r="E3325" t="s">
        <v>6876</v>
      </c>
      <c r="F3325" t="s">
        <v>7006</v>
      </c>
      <c r="G3325" t="s">
        <v>14</v>
      </c>
      <c r="H3325">
             </c>
      <c r="I3325" t="s">
        <v>14</v>
      </c>
      <c r="J3325" t="s">
        <v>141</v>
      </c>
      <c r="K3325" t="s">
        <v>14</v>
      </c>
      <c r="L3325" t="s">
        <v>20</v>
      </c>
      <c r="M3325" t="s">
        <v>6982</v>
      </c>
      <c r="N3325" t="s">
        <v>14</v>
      </c>
    </row>
    <row r="3326" x14ac:dyDescent="0.25">
      <c r="A3326" t="n">
        <v>25</v>
      </c>
      <c r="B3326" t="s">
        <v>14</v>
      </c>
      <c r="C3326" t="s">
        <v>22</v>
      </c>
      <c r="D3326" s="2" t="s">
        <f>=HYPERLINK("https://main.knesset.gov.il/APPS/legislation/main/bills/2214629", "הצעת חוק שמירה על זכויות תעסוקה של משרתי מילואים ובני זוגם (תיקוני חקיקה), התשפ""ד-2024")</f>
        <v>7007</v>
      </c>
      <c r="E3326" t="s">
        <v>7007</v>
      </c>
      <c r="F3326" t="s">
        <v>7008</v>
      </c>
      <c r="G3326" t="s">
        <v>14</v>
      </c>
      <c r="H3326">
             </c>
      <c r="I3326" t="s">
        <v>14</v>
      </c>
      <c r="J3326" t="s">
        <v>141</v>
      </c>
      <c r="K3326" t="s">
        <v>14</v>
      </c>
      <c r="L3326" t="s">
        <v>20</v>
      </c>
      <c r="M3326" t="s">
        <v>6982</v>
      </c>
      <c r="N3326" t="s">
        <v>14</v>
      </c>
    </row>
    <row r="3327" x14ac:dyDescent="0.25">
      <c r="A3327" t="n">
        <v>25</v>
      </c>
      <c r="B3327" t="s">
        <v>14</v>
      </c>
      <c r="C3327" t="s">
        <v>22</v>
      </c>
      <c r="D3327" s="2" t="s">
        <f>=HYPERLINK("https://main.knesset.gov.il/APPS/legislation/main/bills/2213880", "הצעת חוק חינוך אקלימי בבתי חולים ציבוריים כלליים, התשפ""ד-2024")</f>
        <v>7009</v>
      </c>
      <c r="E3327" t="s">
        <v>7009</v>
      </c>
      <c r="F3327" t="s">
        <v>7010</v>
      </c>
      <c r="G3327" t="s">
        <v>14</v>
      </c>
      <c r="H3327">
             </c>
      <c r="I3327" t="s">
        <v>14</v>
      </c>
      <c r="J3327" t="s">
        <v>141</v>
      </c>
      <c r="K3327" t="s">
        <v>14</v>
      </c>
      <c r="L3327" t="s">
        <v>20</v>
      </c>
      <c r="M3327" t="s">
        <v>6982</v>
      </c>
      <c r="N3327" t="s">
        <v>14</v>
      </c>
    </row>
    <row r="3328" x14ac:dyDescent="0.25">
      <c r="A3328" t="n">
        <v>25</v>
      </c>
      <c r="B3328" t="s">
        <v>14</v>
      </c>
      <c r="C3328" t="s">
        <v>22</v>
      </c>
      <c r="D3328" s="2" t="s">
        <f>=HYPERLINK("https://main.knesset.gov.il/APPS/legislation/main/bills/2215372", "הצעת חוק מס ערך מוסף (תיקון - מס בשיעור אפס על תרכובת מזון לתינוקות), התשפ""ד-2024")</f>
        <v>6727</v>
      </c>
      <c r="E3328" t="s">
        <v>6727</v>
      </c>
      <c r="F3328" t="s">
        <v>7011</v>
      </c>
      <c r="G3328" t="s">
        <v>14</v>
      </c>
      <c r="H3328">
             </c>
      <c r="I3328" t="s">
        <v>14</v>
      </c>
      <c r="J3328" t="s">
        <v>141</v>
      </c>
      <c r="K3328" t="s">
        <v>14</v>
      </c>
      <c r="L3328" t="s">
        <v>20</v>
      </c>
      <c r="M3328" t="s">
        <v>6982</v>
      </c>
      <c r="N3328" t="s">
        <v>14</v>
      </c>
    </row>
    <row r="3329" x14ac:dyDescent="0.25">
      <c r="A3329" t="n">
        <v>25</v>
      </c>
      <c r="B3329" t="s">
        <v>14</v>
      </c>
      <c r="C3329" t="s">
        <v>22</v>
      </c>
      <c r="D3329" s="2" t="s">
        <f>=HYPERLINK("https://main.knesset.gov.il/APPS/legislation/main/bills/2204004", "הצעת חוק תשלום בכרטיס אשראי בעד נסיעה בתחבורה ציבורית (תיקוני חקיקה), התשפ""ד–2024")</f>
        <v>7012</v>
      </c>
      <c r="E3329" t="s">
        <v>7012</v>
      </c>
      <c r="F3329" t="s">
        <v>7013</v>
      </c>
      <c r="G3329" t="s">
        <v>7014</v>
      </c>
      <c r="H3329">
             </c>
      <c r="I3329" t="s">
        <v>26</v>
      </c>
      <c r="J3329" t="s">
        <v>69</v>
      </c>
      <c r="K3329" t="s">
        <v>19</v>
      </c>
      <c r="L3329" t="s">
        <v>20</v>
      </c>
      <c r="M3329" t="s">
        <v>6982</v>
      </c>
      <c r="N3329" t="s">
        <v>14</v>
      </c>
    </row>
    <row r="3330" x14ac:dyDescent="0.25">
      <c r="A3330" t="n">
        <v>25</v>
      </c>
      <c r="B3330" t="s">
        <v>14</v>
      </c>
      <c r="C3330" t="s">
        <v>15</v>
      </c>
      <c r="D3330" s="2" t="s">
        <f>=HYPERLINK("https://main.knesset.gov.il/APPS/legislation/main/bills/2215019", "הצעת חוק הפיקוח על שירותים פיננסיים (ייעוץ, שיווק ומערכת סליקה פנסיוניים) (תיקון מס' 13), התשפ""ד-2024")</f>
        <v>7015</v>
      </c>
      <c r="E3330" t="s">
        <v>7015</v>
      </c>
      <c r="F3330" t="s">
        <v>14</v>
      </c>
      <c r="G3330" t="s">
        <v>7016</v>
      </c>
      <c r="H3330">
             </c>
      <c r="I3330" t="s">
        <v>14</v>
      </c>
      <c r="J3330" t="s">
        <v>18</v>
      </c>
      <c r="K3330" t="s">
        <v>85</v>
      </c>
      <c r="L3330" t="s">
        <v>20</v>
      </c>
      <c r="M3330" t="s">
        <v>6982</v>
      </c>
      <c r="N3330" t="s">
        <v>14</v>
      </c>
    </row>
    <row r="3331" x14ac:dyDescent="0.25">
      <c r="A3331" t="n">
        <v>25</v>
      </c>
      <c r="B3331" t="s">
        <v>14</v>
      </c>
      <c r="C3331" t="s">
        <v>22</v>
      </c>
      <c r="D3331" s="2" t="s">
        <f>=HYPERLINK("https://main.knesset.gov.il/APPS/legislation/main/bills/2212525", "הצעת חוק משפחות חיילים שנספו במערכה (תגמולים ושיקום) (תיקון - הכרה בארוסות חיילים שנספו במערכה), התשפ""ד-2024")</f>
        <v>6783</v>
      </c>
      <c r="E3331" t="s">
        <v>6783</v>
      </c>
      <c r="F3331" t="s">
        <v>7017</v>
      </c>
      <c r="G3331" t="s">
        <v>14</v>
      </c>
      <c r="H3331">
             </c>
      <c r="I3331" t="s">
        <v>14</v>
      </c>
      <c r="J3331" t="s">
        <v>99</v>
      </c>
      <c r="K3331" t="s">
        <v>127</v>
      </c>
      <c r="L3331" t="s">
        <v>20</v>
      </c>
      <c r="M3331" t="s">
        <v>7018</v>
      </c>
      <c r="N3331" t="s">
        <v>14</v>
      </c>
    </row>
    <row r="3332" x14ac:dyDescent="0.25">
      <c r="A3332" t="n">
        <v>25</v>
      </c>
      <c r="B3332" t="s">
        <v>14</v>
      </c>
      <c r="C3332" t="s">
        <v>22</v>
      </c>
      <c r="D3332" s="2" t="s">
        <f>=HYPERLINK("https://main.knesset.gov.il/APPS/legislation/main/bills/2201652", "חוק שירותי רווחה (זכויות נשים ששהו במקלט לנשים מוכות) (תיקון מס' 4), התשפ""ד–2024")</f>
        <v>7019</v>
      </c>
      <c r="E3332" t="s">
        <v>7019</v>
      </c>
      <c r="F3332" t="s">
        <v>7020</v>
      </c>
      <c r="G3332" t="s">
        <v>7021</v>
      </c>
      <c r="H3332" t="n">
        <v>3163</v>
      </c>
      <c r="I3332" t="s">
        <v>14</v>
      </c>
      <c r="J3332" t="s">
        <v>91</v>
      </c>
      <c r="K3332" t="s">
        <v>127</v>
      </c>
      <c r="L3332" t="s">
        <v>20</v>
      </c>
      <c r="M3332" t="s">
        <v>7018</v>
      </c>
      <c r="N3332" t="s">
        <v>7022</v>
      </c>
    </row>
    <row r="3333" x14ac:dyDescent="0.25">
      <c r="A3333" t="n">
        <v>25</v>
      </c>
      <c r="B3333" t="s">
        <v>14</v>
      </c>
      <c r="C3333" t="s">
        <v>22</v>
      </c>
      <c r="D3333" s="2" t="s">
        <f>=HYPERLINK("https://main.knesset.gov.il/APPS/legislation/main/bills/2209530", "הצעת חוק שירות המדינה (מינויים) (תיקון - העדפת מועמדים תושבי פריפריה), התשפ""ד-2023")</f>
        <v>7023</v>
      </c>
      <c r="E3333" t="s">
        <v>7023</v>
      </c>
      <c r="F3333" t="s">
        <v>7024</v>
      </c>
      <c r="G3333" t="s">
        <v>14</v>
      </c>
      <c r="H3333">
             </c>
      <c r="I3333" t="s">
        <v>14</v>
      </c>
      <c r="J3333" t="s">
        <v>65</v>
      </c>
      <c r="K3333" t="s">
        <v>14</v>
      </c>
      <c r="L3333" t="s">
        <v>20</v>
      </c>
      <c r="M3333" t="s">
        <v>7018</v>
      </c>
      <c r="N3333" t="s">
        <v>14</v>
      </c>
    </row>
    <row r="3334" x14ac:dyDescent="0.25">
      <c r="A3334" t="n">
        <v>25</v>
      </c>
      <c r="B3334" t="s">
        <v>14</v>
      </c>
      <c r="C3334" t="s">
        <v>22</v>
      </c>
      <c r="D3334" s="2" t="s">
        <f>=HYPERLINK("https://main.knesset.gov.il/APPS/legislation/main/bills/2206673", "הצעת חוק ההסדרים במשק המדינה (תיקוני חקיקה להשגת יעדי התקציב) (תיקון - הנחה בארנונה לנכים), התשפ""ג-2023")</f>
        <v>7025</v>
      </c>
      <c r="E3334" t="s">
        <v>7025</v>
      </c>
      <c r="F3334" t="s">
        <v>7026</v>
      </c>
      <c r="G3334" t="s">
        <v>14</v>
      </c>
      <c r="H3334">
             </c>
      <c r="I3334" t="s">
        <v>14</v>
      </c>
      <c r="J3334" t="s">
        <v>55</v>
      </c>
      <c r="K3334" t="s">
        <v>14</v>
      </c>
      <c r="L3334" t="s">
        <v>20</v>
      </c>
      <c r="M3334" t="s">
        <v>7018</v>
      </c>
      <c r="N3334" t="s">
        <v>14</v>
      </c>
    </row>
    <row r="3335" x14ac:dyDescent="0.25">
      <c r="A3335" t="n">
        <v>25</v>
      </c>
      <c r="B3335" t="s">
        <v>14</v>
      </c>
      <c r="C3335" t="s">
        <v>22</v>
      </c>
      <c r="D3335" s="2" t="s">
        <f>=HYPERLINK("https://main.knesset.gov.il/APPS/legislation/main/bills/2198898", "הצעת חוק הגנת הצרכן (תיקון - איסור גביית תשלום בכרטיסי חיוב בלבד), התשפ""ג-2023")</f>
        <v>7027</v>
      </c>
      <c r="E3335" t="s">
        <v>7027</v>
      </c>
      <c r="F3335" t="s">
        <v>7028</v>
      </c>
      <c r="G3335" t="s">
        <v>14</v>
      </c>
      <c r="H3335">
             </c>
      <c r="I3335" t="s">
        <v>14</v>
      </c>
      <c r="J3335" t="s">
        <v>55</v>
      </c>
      <c r="K3335" t="s">
        <v>14</v>
      </c>
      <c r="L3335" t="s">
        <v>20</v>
      </c>
      <c r="M3335" t="s">
        <v>7018</v>
      </c>
      <c r="N3335" t="s">
        <v>14</v>
      </c>
    </row>
    <row r="3336" x14ac:dyDescent="0.25">
      <c r="A3336" t="n">
        <v>25</v>
      </c>
      <c r="B3336" t="s">
        <v>14</v>
      </c>
      <c r="C3336" t="s">
        <v>15</v>
      </c>
      <c r="D3336" s="2" t="s">
        <f>=HYPERLINK("https://main.knesset.gov.il/APPS/legislation/main/bills/2207051", "הצעת חוק לתיקון פקודת מס הכנסה (תיקון מס' 268), התשפ""ג-2023")</f>
        <v>7029</v>
      </c>
      <c r="E3336" t="s">
        <v>7029</v>
      </c>
      <c r="F3336" t="s">
        <v>14</v>
      </c>
      <c r="G3336" t="s">
        <v>7030</v>
      </c>
      <c r="H3336">
             </c>
      <c r="I3336" t="s">
        <v>14</v>
      </c>
      <c r="J3336" t="s">
        <v>18</v>
      </c>
      <c r="K3336" t="s">
        <v>85</v>
      </c>
      <c r="L3336" t="s">
        <v>20</v>
      </c>
      <c r="M3336" t="s">
        <v>7031</v>
      </c>
      <c r="N3336" t="s">
        <v>14</v>
      </c>
    </row>
    <row r="3337" x14ac:dyDescent="0.25">
      <c r="A3337" t="n">
        <v>25</v>
      </c>
      <c r="B3337" t="s">
        <v>14</v>
      </c>
      <c r="C3337" t="s">
        <v>22</v>
      </c>
      <c r="D3337" s="2" t="s">
        <f>=HYPERLINK("https://main.knesset.gov.il/APPS/legislation/main/bills/2201342", "הצעת חוק הקמת מאגר מידע גנטי של כלבים, התשפ""ג-2023")</f>
        <v>7032</v>
      </c>
      <c r="E3337" t="s">
        <v>7032</v>
      </c>
      <c r="F3337" t="s">
        <v>7033</v>
      </c>
      <c r="G3337" t="s">
        <v>14</v>
      </c>
      <c r="H3337">
             </c>
      <c r="I3337" t="s">
        <v>14</v>
      </c>
      <c r="J3337" t="s">
        <v>99</v>
      </c>
      <c r="K3337" t="s">
        <v>19</v>
      </c>
      <c r="L3337" t="s">
        <v>20</v>
      </c>
      <c r="M3337" t="s">
        <v>7031</v>
      </c>
      <c r="N3337" t="s">
        <v>14</v>
      </c>
    </row>
    <row r="3338" x14ac:dyDescent="0.25">
      <c r="A3338" t="n">
        <v>25</v>
      </c>
      <c r="B3338" t="s">
        <v>14</v>
      </c>
      <c r="C3338" t="s">
        <v>15</v>
      </c>
      <c r="D3338" s="2" t="s">
        <f>=HYPERLINK("https://main.knesset.gov.il/APPS/legislation/main/bills/2214842", "הצעת חוק מיסוי מקרקעין (שבח ורכישה) (תיקון מס' 104), התשפ""ד-2024")</f>
        <v>7034</v>
      </c>
      <c r="E3338" t="s">
        <v>7034</v>
      </c>
      <c r="F3338" t="s">
        <v>14</v>
      </c>
      <c r="G3338" t="s">
        <v>7035</v>
      </c>
      <c r="H3338">
             </c>
      <c r="I3338" t="s">
        <v>14</v>
      </c>
      <c r="J3338" t="s">
        <v>18</v>
      </c>
      <c r="K3338" t="s">
        <v>85</v>
      </c>
      <c r="L3338" t="s">
        <v>20</v>
      </c>
      <c r="M3338" t="s">
        <v>7031</v>
      </c>
      <c r="N3338" t="s">
        <v>14</v>
      </c>
    </row>
    <row r="3339" x14ac:dyDescent="0.25">
      <c r="A3339" t="n">
        <v>25</v>
      </c>
      <c r="B3339" t="s">
        <v>14</v>
      </c>
      <c r="C3339" t="s">
        <v>22</v>
      </c>
      <c r="D3339" s="2" t="s">
        <f>=HYPERLINK("https://main.knesset.gov.il/APPS/legislation/main/bills/2209258", "הצעת חוק רישוי עסקים (תיקון - מכירת יין בחנות גדולה), התשפ""ד-2023")</f>
        <v>7036</v>
      </c>
      <c r="E3339" t="s">
        <v>7036</v>
      </c>
      <c r="F3339" t="s">
        <v>7037</v>
      </c>
      <c r="G3339" t="s">
        <v>14</v>
      </c>
      <c r="H3339">
             </c>
      <c r="I3339" t="s">
        <v>14</v>
      </c>
      <c r="J3339" t="s">
        <v>99</v>
      </c>
      <c r="K3339" t="s">
        <v>46</v>
      </c>
      <c r="L3339" t="s">
        <v>20</v>
      </c>
      <c r="M3339" t="s">
        <v>7031</v>
      </c>
      <c r="N3339" t="s">
        <v>14</v>
      </c>
    </row>
    <row r="3340" x14ac:dyDescent="0.25">
      <c r="A3340" t="n">
        <v>25</v>
      </c>
      <c r="B3340" t="s">
        <v>14</v>
      </c>
      <c r="C3340" t="s">
        <v>22</v>
      </c>
      <c r="D3340" s="2" t="s">
        <f>=HYPERLINK("https://main.knesset.gov.il/APPS/legislation/main/bills/2207260", "הצעת חוק רישוי עסקים (תיקון - מכירת יין בחנות גדולה), התשפ""ג-2023")</f>
        <v>7038</v>
      </c>
      <c r="E3340" t="s">
        <v>7038</v>
      </c>
      <c r="F3340" t="s">
        <v>7039</v>
      </c>
      <c r="G3340" t="s">
        <v>14</v>
      </c>
      <c r="H3340">
             </c>
      <c r="I3340" t="s">
        <v>14</v>
      </c>
      <c r="J3340" t="s">
        <v>99</v>
      </c>
      <c r="K3340" t="s">
        <v>46</v>
      </c>
      <c r="L3340" t="s">
        <v>20</v>
      </c>
      <c r="M3340" t="s">
        <v>7031</v>
      </c>
      <c r="N3340" t="s">
        <v>14</v>
      </c>
    </row>
    <row r="3341" x14ac:dyDescent="0.25">
      <c r="A3341" t="n">
        <v>25</v>
      </c>
      <c r="B3341" t="s">
        <v>14</v>
      </c>
      <c r="C3341" t="s">
        <v>22</v>
      </c>
      <c r="D3341" s="2" t="s">
        <f>=HYPERLINK("https://main.knesset.gov.il/APPS/legislation/main/bills/2203292", "הצעת חוק רישוי עסקים (תיקון - מכירת יין בחנות גדולה), התשפ""ג-2023")</f>
        <v>7038</v>
      </c>
      <c r="E3341" t="s">
        <v>7038</v>
      </c>
      <c r="F3341" t="s">
        <v>7040</v>
      </c>
      <c r="G3341" t="s">
        <v>14</v>
      </c>
      <c r="H3341">
             </c>
      <c r="I3341" t="s">
        <v>14</v>
      </c>
      <c r="J3341" t="s">
        <v>99</v>
      </c>
      <c r="K3341" t="s">
        <v>46</v>
      </c>
      <c r="L3341" t="s">
        <v>20</v>
      </c>
      <c r="M3341" t="s">
        <v>7031</v>
      </c>
      <c r="N3341" t="s">
        <v>14</v>
      </c>
    </row>
    <row r="3342" x14ac:dyDescent="0.25">
      <c r="A3342" t="n">
        <v>25</v>
      </c>
      <c r="B3342" t="s">
        <v>14</v>
      </c>
      <c r="C3342" t="s">
        <v>22</v>
      </c>
      <c r="D3342" s="2" t="s">
        <f>=HYPERLINK("https://main.knesset.gov.il/APPS/legislation/main/bills/2204998", "הצעת חוק לתיקון פקודת התעבורה (תשלום עבור נסיעה בתחבורה ציבורית בכרטיס אשראי), התשפ""ג-2023")</f>
        <v>7041</v>
      </c>
      <c r="E3342" t="s">
        <v>7041</v>
      </c>
      <c r="F3342" t="s">
        <v>7042</v>
      </c>
      <c r="G3342" t="s">
        <v>14</v>
      </c>
      <c r="H3342">
             </c>
      <c r="I3342" t="s">
        <v>14</v>
      </c>
      <c r="J3342" t="s">
        <v>99</v>
      </c>
      <c r="K3342" t="s">
        <v>19</v>
      </c>
      <c r="L3342" t="s">
        <v>20</v>
      </c>
      <c r="M3342" t="s">
        <v>7031</v>
      </c>
      <c r="N3342" t="s">
        <v>14</v>
      </c>
    </row>
    <row r="3343" x14ac:dyDescent="0.25">
      <c r="A3343" t="n">
        <v>25</v>
      </c>
      <c r="B3343" t="s">
        <v>14</v>
      </c>
      <c r="C3343" t="s">
        <v>15</v>
      </c>
      <c r="D3343" s="2" t="s">
        <f>=HYPERLINK("https://main.knesset.gov.il/APPS/legislation/main/bills/2213078", "חוק עובדים זרים (תיקון מס' 24), התשפ""ד-2024")</f>
        <v>7043</v>
      </c>
      <c r="E3343" t="s">
        <v>7043</v>
      </c>
      <c r="F3343" t="s">
        <v>14</v>
      </c>
      <c r="G3343" t="s">
        <v>7044</v>
      </c>
      <c r="H3343" t="n">
        <v>3162</v>
      </c>
      <c r="I3343" t="s">
        <v>14</v>
      </c>
      <c r="J3343" t="s">
        <v>91</v>
      </c>
      <c r="K3343" t="s">
        <v>127</v>
      </c>
      <c r="L3343" t="s">
        <v>20</v>
      </c>
      <c r="M3343" t="s">
        <v>7031</v>
      </c>
      <c r="N3343" t="s">
        <v>7045</v>
      </c>
    </row>
    <row r="3344" x14ac:dyDescent="0.25">
      <c r="A3344" t="n">
        <v>25</v>
      </c>
      <c r="B3344" t="s">
        <v>14</v>
      </c>
      <c r="C3344" t="s">
        <v>15</v>
      </c>
      <c r="D3344" s="2" t="s">
        <f>=HYPERLINK("https://main.knesset.gov.il/APPS/legislation/main/bills/2214084", "חוק לשכת עורכי הדין (תיקון מס' 42), התשפ""ד-2024")</f>
        <v>7046</v>
      </c>
      <c r="E3344" t="s">
        <v>7046</v>
      </c>
      <c r="F3344" t="s">
        <v>14</v>
      </c>
      <c r="G3344" t="s">
        <v>7047</v>
      </c>
      <c r="H3344" t="n">
        <v>3161</v>
      </c>
      <c r="I3344" t="s">
        <v>14</v>
      </c>
      <c r="J3344" t="s">
        <v>91</v>
      </c>
      <c r="K3344" t="s">
        <v>27</v>
      </c>
      <c r="L3344" t="s">
        <v>20</v>
      </c>
      <c r="M3344" t="s">
        <v>7031</v>
      </c>
      <c r="N3344" t="s">
        <v>7048</v>
      </c>
    </row>
    <row r="3345" x14ac:dyDescent="0.25">
      <c r="A3345" t="n">
        <v>25</v>
      </c>
      <c r="B3345" t="s">
        <v>14</v>
      </c>
      <c r="C3345" t="s">
        <v>22</v>
      </c>
      <c r="D3345" s="2" t="s">
        <f>=HYPERLINK("https://main.knesset.gov.il/APPS/legislation/main/bills/2200338", "חוק הביטוח הלאומי (תיקון מס' 243), התשפ""ד–2024")</f>
        <v>7049</v>
      </c>
      <c r="E3345" t="s">
        <v>7049</v>
      </c>
      <c r="F3345" t="s">
        <v>7050</v>
      </c>
      <c r="G3345" t="s">
        <v>7051</v>
      </c>
      <c r="H3345" t="n">
        <v>3160</v>
      </c>
      <c r="I3345" t="s">
        <v>14</v>
      </c>
      <c r="J3345" t="s">
        <v>91</v>
      </c>
      <c r="K3345" t="s">
        <v>127</v>
      </c>
      <c r="L3345" t="s">
        <v>20</v>
      </c>
      <c r="M3345" t="s">
        <v>7031</v>
      </c>
      <c r="N3345" t="s">
        <v>7052</v>
      </c>
    </row>
    <row r="3346" x14ac:dyDescent="0.25">
      <c r="A3346" t="n">
        <v>25</v>
      </c>
      <c r="B3346" t="s">
        <v>14</v>
      </c>
      <c r="C3346" t="s">
        <v>15</v>
      </c>
      <c r="D3346" s="2" t="s">
        <f>=HYPERLINK("https://main.knesset.gov.il/APPS/legislation/main/bills/2207735", "חוק אומנה לילדים (תיקון מס' 3), התשפ""ד-2024")</f>
        <v>7053</v>
      </c>
      <c r="E3346" t="s">
        <v>7053</v>
      </c>
      <c r="F3346" t="s">
        <v>14</v>
      </c>
      <c r="G3346" t="s">
        <v>7054</v>
      </c>
      <c r="H3346" t="n">
        <v>3159</v>
      </c>
      <c r="I3346" t="s">
        <v>14</v>
      </c>
      <c r="J3346" t="s">
        <v>91</v>
      </c>
      <c r="K3346" t="s">
        <v>127</v>
      </c>
      <c r="L3346" t="s">
        <v>20</v>
      </c>
      <c r="M3346" t="s">
        <v>7031</v>
      </c>
      <c r="N3346" t="s">
        <v>7055</v>
      </c>
    </row>
    <row r="3347" x14ac:dyDescent="0.25">
      <c r="A3347" t="n">
        <v>25</v>
      </c>
      <c r="B3347" t="s">
        <v>14</v>
      </c>
      <c r="C3347" t="s">
        <v>22</v>
      </c>
      <c r="D3347" s="2" t="s">
        <f>=HYPERLINK("https://main.knesset.gov.il/APPS/legislation/main/bills/2215178", "הצעת חוק הטלת סנקציות על תומכי טרור, התשפ""ד-2024")</f>
        <v>7056</v>
      </c>
      <c r="E3347" t="s">
        <v>7056</v>
      </c>
      <c r="F3347" t="s">
        <v>7057</v>
      </c>
      <c r="G3347" t="s">
        <v>14</v>
      </c>
      <c r="H3347">
             </c>
      <c r="I3347" t="s">
        <v>14</v>
      </c>
      <c r="J3347" t="s">
        <v>1123</v>
      </c>
      <c r="K3347" t="s">
        <v>14</v>
      </c>
      <c r="L3347" t="s">
        <v>20</v>
      </c>
      <c r="M3347" t="s">
        <v>7031</v>
      </c>
      <c r="N3347" t="s">
        <v>14</v>
      </c>
    </row>
    <row r="3348" x14ac:dyDescent="0.25">
      <c r="A3348" t="n">
        <v>25</v>
      </c>
      <c r="B3348" t="s">
        <v>14</v>
      </c>
      <c r="C3348" t="s">
        <v>22</v>
      </c>
      <c r="D3348" s="2" t="s">
        <f>=HYPERLINK("https://main.knesset.gov.il/APPS/legislation/main/bills/2214783", "הצעת חוק חיילים משוחררים (החזרה לעבודה) (תיקון - הארכת תקופת הגנה מפני פיטורים למשרתי מילואים ובני ובנות זוגם), התשפ""ד-2024")</f>
        <v>7058</v>
      </c>
      <c r="E3348" t="s">
        <v>7058</v>
      </c>
      <c r="F3348" t="s">
        <v>7059</v>
      </c>
      <c r="G3348" t="s">
        <v>14</v>
      </c>
      <c r="H3348">
             </c>
      <c r="I3348" t="s">
        <v>14</v>
      </c>
      <c r="J3348" t="s">
        <v>141</v>
      </c>
      <c r="K3348" t="s">
        <v>14</v>
      </c>
      <c r="L3348" t="s">
        <v>20</v>
      </c>
      <c r="M3348" t="s">
        <v>7031</v>
      </c>
      <c r="N3348" t="s">
        <v>14</v>
      </c>
    </row>
    <row r="3349" x14ac:dyDescent="0.25">
      <c r="A3349" t="n">
        <v>25</v>
      </c>
      <c r="B3349" t="s">
        <v>14</v>
      </c>
      <c r="C3349" t="s">
        <v>22</v>
      </c>
      <c r="D3349" s="2" t="s">
        <f>=HYPERLINK("https://main.knesset.gov.il/APPS/legislation/main/bills/2214782", "הצעת חוק שוויון ההזדמנויות בעבודה (תיקון - איסור הפליה), התשפ""ד-2024")</f>
        <v>7060</v>
      </c>
      <c r="E3349" t="s">
        <v>7060</v>
      </c>
      <c r="F3349" t="s">
        <v>7061</v>
      </c>
      <c r="G3349" t="s">
        <v>14</v>
      </c>
      <c r="H3349">
             </c>
      <c r="I3349" t="s">
        <v>14</v>
      </c>
      <c r="J3349" t="s">
        <v>141</v>
      </c>
      <c r="K3349" t="s">
        <v>14</v>
      </c>
      <c r="L3349" t="s">
        <v>20</v>
      </c>
      <c r="M3349" t="s">
        <v>7031</v>
      </c>
      <c r="N3349" t="s">
        <v>14</v>
      </c>
    </row>
    <row r="3350" x14ac:dyDescent="0.25">
      <c r="A3350" t="n">
        <v>25</v>
      </c>
      <c r="B3350" t="s">
        <v>14</v>
      </c>
      <c r="C3350" t="s">
        <v>22</v>
      </c>
      <c r="D3350" s="2" t="s">
        <f>=HYPERLINK("https://main.knesset.gov.il/APPS/legislation/main/bills/2215002", "הצעת חוק חכירה הוגנת, התשפ""ד-2024")</f>
        <v>4121</v>
      </c>
      <c r="E3350" t="s">
        <v>4121</v>
      </c>
      <c r="F3350" t="s">
        <v>7062</v>
      </c>
      <c r="G3350" t="s">
        <v>14</v>
      </c>
      <c r="H3350">
             </c>
      <c r="I3350" t="s">
        <v>14</v>
      </c>
      <c r="J3350" t="s">
        <v>141</v>
      </c>
      <c r="K3350" t="s">
        <v>14</v>
      </c>
      <c r="L3350" t="s">
        <v>20</v>
      </c>
      <c r="M3350" t="s">
        <v>7031</v>
      </c>
      <c r="N3350" t="s">
        <v>14</v>
      </c>
    </row>
    <row r="3351" x14ac:dyDescent="0.25">
      <c r="A3351" t="n">
        <v>25</v>
      </c>
      <c r="B3351" t="s">
        <v>14</v>
      </c>
      <c r="C3351" t="s">
        <v>22</v>
      </c>
      <c r="D3351" s="2" t="s">
        <f>=HYPERLINK("https://main.knesset.gov.il/APPS/legislation/main/bills/2214143", "הצעת חוק התכנון והבנייה (תיקון - תוקף היתר בנייה), התשפ""ד-2024")</f>
        <v>7063</v>
      </c>
      <c r="E3351" t="s">
        <v>7063</v>
      </c>
      <c r="F3351" t="s">
        <v>7064</v>
      </c>
      <c r="G3351" t="s">
        <v>14</v>
      </c>
      <c r="H3351">
             </c>
      <c r="I3351" t="s">
        <v>14</v>
      </c>
      <c r="J3351" t="s">
        <v>141</v>
      </c>
      <c r="K3351" t="s">
        <v>14</v>
      </c>
      <c r="L3351" t="s">
        <v>20</v>
      </c>
      <c r="M3351" t="s">
        <v>7031</v>
      </c>
      <c r="N3351" t="s">
        <v>14</v>
      </c>
    </row>
    <row r="3352" x14ac:dyDescent="0.25">
      <c r="A3352" t="n">
        <v>25</v>
      </c>
      <c r="B3352" t="s">
        <v>14</v>
      </c>
      <c r="C3352" t="s">
        <v>22</v>
      </c>
      <c r="D3352" s="2" t="s">
        <f>=HYPERLINK("https://main.knesset.gov.il/APPS/legislation/main/bills/2214759", "הצעת חוק הרשויות המקומיות (בחירות) (תיקון - סמכות השר לדחיית מועד בחירות ופיצוי כספי בגין דחייה), התשפ""ד-2024 ")</f>
        <v>7065</v>
      </c>
      <c r="E3352" t="s">
        <v>7065</v>
      </c>
      <c r="F3352" t="s">
        <v>7066</v>
      </c>
      <c r="G3352" t="s">
        <v>14</v>
      </c>
      <c r="H3352">
             </c>
      <c r="I3352" t="s">
        <v>14</v>
      </c>
      <c r="J3352" t="s">
        <v>141</v>
      </c>
      <c r="K3352" t="s">
        <v>14</v>
      </c>
      <c r="L3352" t="s">
        <v>20</v>
      </c>
      <c r="M3352" t="s">
        <v>7031</v>
      </c>
      <c r="N3352" t="s">
        <v>14</v>
      </c>
    </row>
    <row r="3353" x14ac:dyDescent="0.25">
      <c r="A3353" t="n">
        <v>25</v>
      </c>
      <c r="B3353" t="s">
        <v>14</v>
      </c>
      <c r="C3353" t="s">
        <v>22</v>
      </c>
      <c r="D3353" s="2" t="s">
        <f>=HYPERLINK("https://main.knesset.gov.il/APPS/legislation/main/bills/2214301", "הצעת חוק למניעת הוצאה של כספים מישראל על ידי מסתנן או נתין זר או עבורו, התשפ""ד-2024")</f>
        <v>7067</v>
      </c>
      <c r="E3353" t="s">
        <v>7067</v>
      </c>
      <c r="F3353" t="s">
        <v>7068</v>
      </c>
      <c r="G3353" t="s">
        <v>14</v>
      </c>
      <c r="H3353">
             </c>
      <c r="I3353" t="s">
        <v>14</v>
      </c>
      <c r="J3353" t="s">
        <v>141</v>
      </c>
      <c r="K3353" t="s">
        <v>14</v>
      </c>
      <c r="L3353" t="s">
        <v>20</v>
      </c>
      <c r="M3353" t="s">
        <v>7031</v>
      </c>
      <c r="N3353" t="s">
        <v>14</v>
      </c>
    </row>
    <row r="3354" x14ac:dyDescent="0.25">
      <c r="A3354" t="n">
        <v>25</v>
      </c>
      <c r="B3354" t="s">
        <v>14</v>
      </c>
      <c r="C3354" t="s">
        <v>22</v>
      </c>
      <c r="D3354" s="2" t="s">
        <f>=HYPERLINK("https://main.knesset.gov.il/APPS/legislation/main/bills/2213737", "הצעת חוק שירות ביטחון (תיקון - הזדמנות שווה לנשים בצה""ל), התשפ""ד-2024")</f>
        <v>7069</v>
      </c>
      <c r="E3354" t="s">
        <v>7069</v>
      </c>
      <c r="F3354" t="s">
        <v>7070</v>
      </c>
      <c r="G3354" t="s">
        <v>14</v>
      </c>
      <c r="H3354">
             </c>
      <c r="I3354" t="s">
        <v>14</v>
      </c>
      <c r="J3354" t="s">
        <v>343</v>
      </c>
      <c r="K3354" t="s">
        <v>14</v>
      </c>
      <c r="L3354" t="s">
        <v>20</v>
      </c>
      <c r="M3354" t="s">
        <v>7031</v>
      </c>
      <c r="N3354" t="s">
        <v>14</v>
      </c>
    </row>
    <row r="3355" x14ac:dyDescent="0.25">
      <c r="A3355" t="n">
        <v>25</v>
      </c>
      <c r="B3355" t="s">
        <v>14</v>
      </c>
      <c r="C3355" t="s">
        <v>22</v>
      </c>
      <c r="D3355" s="2" t="s">
        <f>=HYPERLINK("https://main.knesset.gov.il/APPS/legislation/main/bills/2214691", "הצעת חוק להפסקת פעילות סוכנות הסעד והתעסוקה של האו""ם לפליטי פלסטין במזרח הקרוב (אונר""א), התשפ""ד-2024")</f>
        <v>6348</v>
      </c>
      <c r="E3355" t="s">
        <v>6348</v>
      </c>
      <c r="F3355" t="s">
        <v>7071</v>
      </c>
      <c r="G3355" t="s">
        <v>14</v>
      </c>
      <c r="H3355">
             </c>
      <c r="I3355" t="s">
        <v>14</v>
      </c>
      <c r="J3355" t="s">
        <v>141</v>
      </c>
      <c r="K3355" t="s">
        <v>14</v>
      </c>
      <c r="L3355" t="s">
        <v>20</v>
      </c>
      <c r="M3355" t="s">
        <v>7031</v>
      </c>
      <c r="N3355" t="s">
        <v>14</v>
      </c>
    </row>
    <row r="3356" x14ac:dyDescent="0.25">
      <c r="A3356" t="n">
        <v>25</v>
      </c>
      <c r="B3356" t="s">
        <v>14</v>
      </c>
      <c r="C3356" t="s">
        <v>22</v>
      </c>
      <c r="D3356" s="2" t="s">
        <f>=HYPERLINK("https://main.knesset.gov.il/APPS/legislation/main/bills/2214315", "הצעת חוק סל הקליטה (תיקון - שעות לימוד עברית), התשפ""ד-2024")</f>
        <v>7072</v>
      </c>
      <c r="E3356" t="s">
        <v>7072</v>
      </c>
      <c r="F3356" t="s">
        <v>7073</v>
      </c>
      <c r="G3356" t="s">
        <v>14</v>
      </c>
      <c r="H3356">
             </c>
      <c r="I3356" t="s">
        <v>14</v>
      </c>
      <c r="J3356" t="s">
        <v>141</v>
      </c>
      <c r="K3356" t="s">
        <v>14</v>
      </c>
      <c r="L3356" t="s">
        <v>20</v>
      </c>
      <c r="M3356" t="s">
        <v>7031</v>
      </c>
      <c r="N3356" t="s">
        <v>14</v>
      </c>
    </row>
    <row r="3357" x14ac:dyDescent="0.25">
      <c r="A3357" t="n">
        <v>25</v>
      </c>
      <c r="B3357" t="s">
        <v>14</v>
      </c>
      <c r="C3357" t="s">
        <v>22</v>
      </c>
      <c r="D3357" s="2" t="s">
        <f>=HYPERLINK("https://main.knesset.gov.il/APPS/legislation/main/bills/2214311", "הצעת חוק יום לציון זכרם של חללי ונפגעי יהדות התפוצות על רקע אנטישמי, התשפ""ד-2024")</f>
        <v>7074</v>
      </c>
      <c r="E3357" t="s">
        <v>7074</v>
      </c>
      <c r="F3357" t="s">
        <v>7075</v>
      </c>
      <c r="G3357" t="s">
        <v>14</v>
      </c>
      <c r="H3357">
             </c>
      <c r="I3357" t="s">
        <v>14</v>
      </c>
      <c r="J3357" t="s">
        <v>141</v>
      </c>
      <c r="K3357" t="s">
        <v>14</v>
      </c>
      <c r="L3357" t="s">
        <v>20</v>
      </c>
      <c r="M3357" t="s">
        <v>7031</v>
      </c>
      <c r="N3357" t="s">
        <v>14</v>
      </c>
    </row>
    <row r="3358" x14ac:dyDescent="0.25">
      <c r="A3358" t="n">
        <v>25</v>
      </c>
      <c r="B3358" t="s">
        <v>14</v>
      </c>
      <c r="C3358" t="s">
        <v>22</v>
      </c>
      <c r="D3358" s="2" t="s">
        <f>=HYPERLINK("https://main.knesset.gov.il/APPS/legislation/main/bills/2215114", "הצעת חוק לתיקון פקודת מס הכנסה (הגדלת זיכוי מס על תרומה לבתי חולים בפריפריה), התשפ""ד-2024")</f>
        <v>7076</v>
      </c>
      <c r="E3358" t="s">
        <v>7076</v>
      </c>
      <c r="F3358" t="s">
        <v>7077</v>
      </c>
      <c r="G3358" t="s">
        <v>14</v>
      </c>
      <c r="H3358">
             </c>
      <c r="I3358" t="s">
        <v>14</v>
      </c>
      <c r="J3358" t="s">
        <v>141</v>
      </c>
      <c r="K3358" t="s">
        <v>14</v>
      </c>
      <c r="L3358" t="s">
        <v>20</v>
      </c>
      <c r="M3358" t="s">
        <v>7031</v>
      </c>
      <c r="N3358" t="s">
        <v>14</v>
      </c>
    </row>
    <row r="3359" x14ac:dyDescent="0.25">
      <c r="A3359" t="n">
        <v>25</v>
      </c>
      <c r="B3359" t="s">
        <v>14</v>
      </c>
      <c r="C3359" t="s">
        <v>15</v>
      </c>
      <c r="D3359" s="2" t="s">
        <f>=HYPERLINK("https://main.knesset.gov.il/APPS/legislation/main/bills/2214733", "חוק הרבנות הראשית לישראל (הארכת כהונה של הרבנים הראשיים לישראל ושל חברי מועצת הרבנות הראשית לישראל) (הוראת שעה) (תיקון), התשפ""ד-2024")</f>
        <v>7078</v>
      </c>
      <c r="E3359" t="s">
        <v>7078</v>
      </c>
      <c r="F3359" t="s">
        <v>14</v>
      </c>
      <c r="G3359" t="s">
        <v>7079</v>
      </c>
      <c r="H3359" t="n">
        <v>3158</v>
      </c>
      <c r="I3359" t="s">
        <v>14</v>
      </c>
      <c r="J3359" t="s">
        <v>91</v>
      </c>
      <c r="K3359" t="s">
        <v>27</v>
      </c>
      <c r="L3359" t="s">
        <v>20</v>
      </c>
      <c r="M3359" t="s">
        <v>7080</v>
      </c>
      <c r="N3359" t="s">
        <v>7081</v>
      </c>
    </row>
    <row r="3360" x14ac:dyDescent="0.25">
      <c r="A3360" t="n">
        <v>25</v>
      </c>
      <c r="B3360" t="s">
        <v>14</v>
      </c>
      <c r="C3360" t="s">
        <v>22</v>
      </c>
      <c r="D3360" s="2" t="s">
        <f>=HYPERLINK("https://main.knesset.gov.il/APPS/legislation/main/bills/2204095", "הצעת חוק לתיקון פקודת מס הכנסה (קרנות השקעה), התשפ""ג-2023")</f>
        <v>7082</v>
      </c>
      <c r="E3360" t="s">
        <v>7082</v>
      </c>
      <c r="F3360" t="s">
        <v>7083</v>
      </c>
      <c r="G3360" t="s">
        <v>14</v>
      </c>
      <c r="H3360">
             </c>
      <c r="I3360" t="s">
        <v>14</v>
      </c>
      <c r="J3360" t="s">
        <v>31</v>
      </c>
      <c r="K3360" t="s">
        <v>85</v>
      </c>
      <c r="L3360" t="s">
        <v>20</v>
      </c>
      <c r="M3360" t="s">
        <v>7080</v>
      </c>
      <c r="N3360" t="s">
        <v>14</v>
      </c>
    </row>
    <row r="3361" x14ac:dyDescent="0.25">
      <c r="A3361" t="n">
        <v>25</v>
      </c>
      <c r="B3361" t="s">
        <v>14</v>
      </c>
      <c r="C3361" t="s">
        <v>22</v>
      </c>
      <c r="D3361" s="2" t="s">
        <f>=HYPERLINK("https://main.knesset.gov.il/APPS/legislation/main/bills/2205219", "הצעת חוק המאבק בטרור (תיקון - אי-החזרת גופות מחבלים), התשפ""ג-2023")</f>
        <v>4827</v>
      </c>
      <c r="E3361" t="s">
        <v>4827</v>
      </c>
      <c r="F3361" t="s">
        <v>7084</v>
      </c>
      <c r="G3361" t="s">
        <v>14</v>
      </c>
      <c r="H3361">
             </c>
      <c r="I3361" t="s">
        <v>14</v>
      </c>
      <c r="J3361" t="s">
        <v>31</v>
      </c>
      <c r="K3361" t="s">
        <v>114</v>
      </c>
      <c r="L3361" t="s">
        <v>20</v>
      </c>
      <c r="M3361" t="s">
        <v>7080</v>
      </c>
      <c r="N3361" t="s">
        <v>14</v>
      </c>
    </row>
    <row r="3362" x14ac:dyDescent="0.25">
      <c r="A3362" t="n">
        <v>25</v>
      </c>
      <c r="B3362" t="s">
        <v>14</v>
      </c>
      <c r="C3362" t="s">
        <v>22</v>
      </c>
      <c r="D3362" s="2" t="s">
        <f>=HYPERLINK("https://main.knesset.gov.il/APPS/legislation/main/bills/2198852", "הצעת חוק הכרה אזרחית בהכשרות צבאיות (תיקון - הכרה בניסיון פיקודי כניסיון ניהולי), התשפ""ג-2023")</f>
        <v>7085</v>
      </c>
      <c r="E3362" t="s">
        <v>7085</v>
      </c>
      <c r="F3362" t="s">
        <v>7086</v>
      </c>
      <c r="G3362" t="s">
        <v>14</v>
      </c>
      <c r="H3362">
             </c>
      <c r="I3362" t="s">
        <v>14</v>
      </c>
      <c r="J3362" t="s">
        <v>55</v>
      </c>
      <c r="K3362" t="s">
        <v>14</v>
      </c>
      <c r="L3362" t="s">
        <v>20</v>
      </c>
      <c r="M3362" t="s">
        <v>7080</v>
      </c>
      <c r="N3362" t="s">
        <v>14</v>
      </c>
    </row>
    <row r="3363" x14ac:dyDescent="0.25">
      <c r="A3363" t="n">
        <v>25</v>
      </c>
      <c r="B3363" t="s">
        <v>14</v>
      </c>
      <c r="C3363" t="s">
        <v>22</v>
      </c>
      <c r="D3363" s="2" t="s">
        <f>=HYPERLINK("https://main.knesset.gov.il/APPS/legislation/main/bills/2196783", "הצעת חוק הביטוח הלאומי (תיקון - תשלום דמי אבטלה לנשים שיצאו לחופשה ללא תשלום לאחר לידה מסיבות מוצדקות), התשפ""ג-2022")</f>
        <v>7087</v>
      </c>
      <c r="E3363" t="s">
        <v>7087</v>
      </c>
      <c r="F3363" t="s">
        <v>7088</v>
      </c>
      <c r="G3363" t="s">
        <v>14</v>
      </c>
      <c r="H3363">
             </c>
      <c r="I3363" t="s">
        <v>14</v>
      </c>
      <c r="J3363" t="s">
        <v>55</v>
      </c>
      <c r="K3363" t="s">
        <v>14</v>
      </c>
      <c r="L3363" t="s">
        <v>20</v>
      </c>
      <c r="M3363" t="s">
        <v>7080</v>
      </c>
      <c r="N3363" t="s">
        <v>14</v>
      </c>
    </row>
    <row r="3364" x14ac:dyDescent="0.25">
      <c r="A3364" t="n">
        <v>25</v>
      </c>
      <c r="B3364" t="s">
        <v>14</v>
      </c>
      <c r="C3364" t="s">
        <v>22</v>
      </c>
      <c r="D3364" s="2" t="s">
        <f>=HYPERLINK("https://main.knesset.gov.il/APPS/legislation/main/bills/2212972", "חוק מימון הוצאות למשפחות שבויים, חטופים ונעדרים (תיקון מס' 2), התשפ""ד-2024")</f>
        <v>7089</v>
      </c>
      <c r="E3364" t="s">
        <v>7089</v>
      </c>
      <c r="F3364" t="s">
        <v>7090</v>
      </c>
      <c r="G3364" t="s">
        <v>7091</v>
      </c>
      <c r="H3364" t="n">
        <v>3157</v>
      </c>
      <c r="I3364" t="s">
        <v>14</v>
      </c>
      <c r="J3364" t="s">
        <v>91</v>
      </c>
      <c r="K3364" t="s">
        <v>127</v>
      </c>
      <c r="L3364" t="s">
        <v>20</v>
      </c>
      <c r="M3364" t="s">
        <v>7092</v>
      </c>
      <c r="N3364" t="s">
        <v>7093</v>
      </c>
    </row>
    <row r="3365" x14ac:dyDescent="0.25">
      <c r="A3365" t="n">
        <v>25</v>
      </c>
      <c r="B3365" t="s">
        <v>14</v>
      </c>
      <c r="C3365" t="s">
        <v>15</v>
      </c>
      <c r="D3365" s="2" t="s">
        <f>=HYPERLINK("https://main.knesset.gov.il/APPS/legislation/main/bills/2214412", "פרק א' (מטרת החוק) מתוך הצעת חוק התוכנית המאזנת (תיקוני חקיקה להשגת יעדי התקציב לשנת התקציב 2024), התשפ""ד-2024 [פוצלה לפי סעיף 84(ב) לתקנון]")</f>
        <v>7094</v>
      </c>
      <c r="E3365" t="s">
        <v>7094</v>
      </c>
      <c r="F3365" t="s">
        <v>14</v>
      </c>
      <c r="G3365" t="s">
        <v>6850</v>
      </c>
      <c r="H3365">
             </c>
      <c r="I3365" t="s">
        <v>14</v>
      </c>
      <c r="J3365" t="s">
        <v>18</v>
      </c>
      <c r="K3365" t="s">
        <v>121</v>
      </c>
      <c r="L3365" t="s">
        <v>20</v>
      </c>
      <c r="M3365" t="s">
        <v>7095</v>
      </c>
      <c r="N3365" t="s">
        <v>14</v>
      </c>
    </row>
    <row r="3366" x14ac:dyDescent="0.25">
      <c r="A3366" t="n">
        <v>25</v>
      </c>
      <c r="B3366" t="s">
        <v>14</v>
      </c>
      <c r="C3366" t="s">
        <v>15</v>
      </c>
      <c r="D3366" s="2" t="s">
        <f>=HYPERLINK("https://main.knesset.gov.il/APPS/legislation/main/bills/2214443", "חוק לתיקון דיני הבחירות לרשויות המקומיות והוראות שעה לעניין הבחירות הקרובות, התשפ""ד-2024")</f>
        <v>7096</v>
      </c>
      <c r="E3366" t="s">
        <v>7096</v>
      </c>
      <c r="F3366" t="s">
        <v>14</v>
      </c>
      <c r="G3366" t="s">
        <v>7097</v>
      </c>
      <c r="H3366" t="n">
        <v>3155</v>
      </c>
      <c r="I3366" t="s">
        <v>14</v>
      </c>
      <c r="J3366" t="s">
        <v>91</v>
      </c>
      <c r="K3366" t="s">
        <v>46</v>
      </c>
      <c r="L3366" t="s">
        <v>20</v>
      </c>
      <c r="M3366" t="s">
        <v>7095</v>
      </c>
      <c r="N3366" t="s">
        <v>7098</v>
      </c>
    </row>
    <row r="3367" x14ac:dyDescent="0.25">
      <c r="A3367" t="n">
        <v>25</v>
      </c>
      <c r="B3367" t="s">
        <v>14</v>
      </c>
      <c r="C3367" t="s">
        <v>15</v>
      </c>
      <c r="D3367" s="2" t="s">
        <f>=HYPERLINK("https://main.knesset.gov.il/APPS/legislation/main/bills/2209386", "חוק הבוררות המסחרית הבין-לאומית, התשפ""ד-2024")</f>
        <v>7099</v>
      </c>
      <c r="E3367" t="s">
        <v>7099</v>
      </c>
      <c r="F3367" t="s">
        <v>14</v>
      </c>
      <c r="G3367" t="s">
        <v>7100</v>
      </c>
      <c r="H3367" t="n">
        <v>3156</v>
      </c>
      <c r="I3367" t="s">
        <v>14</v>
      </c>
      <c r="J3367" t="s">
        <v>91</v>
      </c>
      <c r="K3367" t="s">
        <v>27</v>
      </c>
      <c r="L3367" t="s">
        <v>20</v>
      </c>
      <c r="M3367" t="s">
        <v>7095</v>
      </c>
      <c r="N3367" t="s">
        <v>7101</v>
      </c>
    </row>
    <row r="3368" x14ac:dyDescent="0.25">
      <c r="A3368" t="n">
        <v>25</v>
      </c>
      <c r="B3368" t="s">
        <v>14</v>
      </c>
      <c r="C3368" t="s">
        <v>22</v>
      </c>
      <c r="D3368" s="2" t="s">
        <f>=HYPERLINK("https://main.knesset.gov.il/APPS/legislation/main/bills/2212765", "הצעת חוק רכזי ביטחון שוטף לאומי ביישובי ישראל המוגדרים, התשפ""ד-2024")</f>
        <v>7102</v>
      </c>
      <c r="E3368" t="s">
        <v>7102</v>
      </c>
      <c r="F3368" t="s">
        <v>7103</v>
      </c>
      <c r="G3368" t="s">
        <v>14</v>
      </c>
      <c r="H3368">
             </c>
      <c r="I3368" t="s">
        <v>14</v>
      </c>
      <c r="J3368" t="s">
        <v>141</v>
      </c>
      <c r="K3368" t="s">
        <v>14</v>
      </c>
      <c r="L3368" t="s">
        <v>20</v>
      </c>
      <c r="M3368" t="s">
        <v>7095</v>
      </c>
      <c r="N3368" t="s">
        <v>14</v>
      </c>
    </row>
    <row r="3369" x14ac:dyDescent="0.25">
      <c r="A3369" t="n">
        <v>25</v>
      </c>
      <c r="B3369" t="s">
        <v>14</v>
      </c>
      <c r="C3369" t="s">
        <v>22</v>
      </c>
      <c r="D3369" s="2" t="s">
        <f>=HYPERLINK("https://main.knesset.gov.il/APPS/legislation/main/bills/2214555", "הצעת חוק החיילים המשוחררים (החזרה לעבודה) (תיקון - הרחבת תקופת הגנה מפני פיטורים למשרתים במילואים), התשפ""ד-2024")</f>
        <v>5826</v>
      </c>
      <c r="E3369" t="s">
        <v>5826</v>
      </c>
      <c r="F3369" t="s">
        <v>7104</v>
      </c>
      <c r="G3369" t="s">
        <v>14</v>
      </c>
      <c r="H3369">
             </c>
      <c r="I3369" t="s">
        <v>14</v>
      </c>
      <c r="J3369" t="s">
        <v>141</v>
      </c>
      <c r="K3369" t="s">
        <v>14</v>
      </c>
      <c r="L3369" t="s">
        <v>20</v>
      </c>
      <c r="M3369" t="s">
        <v>7095</v>
      </c>
      <c r="N3369" t="s">
        <v>14</v>
      </c>
    </row>
    <row r="3370" x14ac:dyDescent="0.25">
      <c r="A3370" t="n">
        <v>25</v>
      </c>
      <c r="B3370" t="s">
        <v>14</v>
      </c>
      <c r="C3370" t="s">
        <v>22</v>
      </c>
      <c r="D3370" s="2" t="s">
        <f>=HYPERLINK("https://main.knesset.gov.il/APPS/legislation/main/bills/2213821", "הצעת חוק הביטוח הלאומי (תיקון - תשלום דמי אבטלה לנשים שיצאו לחופשה ללא תשלום לאחר לידה מסיבות מוצדקות) (הוראת שעה - חרבות ברזל), התשפ""ד-2024")</f>
        <v>7105</v>
      </c>
      <c r="E3370" t="s">
        <v>7105</v>
      </c>
      <c r="F3370" t="s">
        <v>7106</v>
      </c>
      <c r="G3370" t="s">
        <v>14</v>
      </c>
      <c r="H3370">
             </c>
      <c r="I3370" t="s">
        <v>14</v>
      </c>
      <c r="J3370" t="s">
        <v>141</v>
      </c>
      <c r="K3370" t="s">
        <v>14</v>
      </c>
      <c r="L3370" t="s">
        <v>20</v>
      </c>
      <c r="M3370" t="s">
        <v>7095</v>
      </c>
      <c r="N3370" t="s">
        <v>14</v>
      </c>
    </row>
    <row r="3371" x14ac:dyDescent="0.25">
      <c r="A3371" t="n">
        <v>25</v>
      </c>
      <c r="B3371" t="s">
        <v>14</v>
      </c>
      <c r="C3371" t="s">
        <v>22</v>
      </c>
      <c r="D3371" s="2" t="s">
        <f>=HYPERLINK("https://main.knesset.gov.il/APPS/legislation/main/bills/2214653", "הצעת חוק הביטוח הלאומי (תיקון - גמלה בשל דיכאון לאחר לידה), התשפ""ד-2024")</f>
        <v>7107</v>
      </c>
      <c r="E3371" t="s">
        <v>7107</v>
      </c>
      <c r="F3371" t="s">
        <v>7108</v>
      </c>
      <c r="G3371" t="s">
        <v>14</v>
      </c>
      <c r="H3371">
             </c>
      <c r="I3371" t="s">
        <v>14</v>
      </c>
      <c r="J3371" t="s">
        <v>141</v>
      </c>
      <c r="K3371" t="s">
        <v>14</v>
      </c>
      <c r="L3371" t="s">
        <v>20</v>
      </c>
      <c r="M3371" t="s">
        <v>7095</v>
      </c>
      <c r="N3371" t="s">
        <v>14</v>
      </c>
    </row>
    <row r="3372" x14ac:dyDescent="0.25">
      <c r="A3372" t="n">
        <v>25</v>
      </c>
      <c r="B3372" t="s">
        <v>14</v>
      </c>
      <c r="C3372" t="s">
        <v>22</v>
      </c>
      <c r="D3372" s="2" t="s">
        <f>=HYPERLINK("https://main.knesset.gov.il/APPS/legislation/main/bills/2214188", "הצעת חוק הגנה על עובדים בשעת חירום (תיקון - הגנה על בני ובנות זוג של משרתי מילואים) (הוראת שעה - חרבות ברזל), התשפ""ד-2024")</f>
        <v>7109</v>
      </c>
      <c r="E3372" t="s">
        <v>7109</v>
      </c>
      <c r="F3372" t="s">
        <v>7110</v>
      </c>
      <c r="G3372" t="s">
        <v>14</v>
      </c>
      <c r="H3372">
             </c>
      <c r="I3372" t="s">
        <v>14</v>
      </c>
      <c r="J3372" t="s">
        <v>141</v>
      </c>
      <c r="K3372" t="s">
        <v>14</v>
      </c>
      <c r="L3372" t="s">
        <v>20</v>
      </c>
      <c r="M3372" t="s">
        <v>7095</v>
      </c>
      <c r="N3372" t="s">
        <v>14</v>
      </c>
    </row>
    <row r="3373" x14ac:dyDescent="0.25">
      <c r="A3373" t="n">
        <v>25</v>
      </c>
      <c r="B3373" t="s">
        <v>14</v>
      </c>
      <c r="C3373" t="s">
        <v>22</v>
      </c>
      <c r="D3373" s="2" t="s">
        <f>=HYPERLINK("https://main.knesset.gov.il/APPS/legislation/main/bills/2214654", "הצעת חוק הביטוח הלאומי (תיקון - דמי אבטלה למתמחים), התשפ""ד-2024")</f>
        <v>7111</v>
      </c>
      <c r="E3373" t="s">
        <v>7111</v>
      </c>
      <c r="F3373" t="s">
        <v>7112</v>
      </c>
      <c r="G3373" t="s">
        <v>14</v>
      </c>
      <c r="H3373">
             </c>
      <c r="I3373" t="s">
        <v>14</v>
      </c>
      <c r="J3373" t="s">
        <v>141</v>
      </c>
      <c r="K3373" t="s">
        <v>14</v>
      </c>
      <c r="L3373" t="s">
        <v>20</v>
      </c>
      <c r="M3373" t="s">
        <v>7095</v>
      </c>
      <c r="N3373" t="s">
        <v>14</v>
      </c>
    </row>
    <row r="3374" x14ac:dyDescent="0.25">
      <c r="A3374" t="n">
        <v>25</v>
      </c>
      <c r="B3374" t="s">
        <v>14</v>
      </c>
      <c r="C3374" t="s">
        <v>22</v>
      </c>
      <c r="D3374" s="2" t="s">
        <f>=HYPERLINK("https://main.knesset.gov.il/APPS/legislation/main/bills/2214320", "הצעת חוק הביטוח הלאומי (תיקון - ביטול מבחן הכנסה לצורך קביעת זכאות ניצול שואה לגמלת סיעוד), התשפ""ד-2024")</f>
        <v>7113</v>
      </c>
      <c r="E3374" t="s">
        <v>7113</v>
      </c>
      <c r="F3374" t="s">
        <v>7114</v>
      </c>
      <c r="G3374" t="s">
        <v>14</v>
      </c>
      <c r="H3374">
             </c>
      <c r="I3374" t="s">
        <v>14</v>
      </c>
      <c r="J3374" t="s">
        <v>141</v>
      </c>
      <c r="K3374" t="s">
        <v>14</v>
      </c>
      <c r="L3374" t="s">
        <v>20</v>
      </c>
      <c r="M3374" t="s">
        <v>7095</v>
      </c>
      <c r="N3374" t="s">
        <v>14</v>
      </c>
    </row>
    <row r="3375" x14ac:dyDescent="0.25">
      <c r="A3375" t="n">
        <v>25</v>
      </c>
      <c r="B3375" t="s">
        <v>14</v>
      </c>
      <c r="C3375" t="s">
        <v>22</v>
      </c>
      <c r="D3375" s="2" t="s">
        <f>=HYPERLINK("https://main.knesset.gov.il/APPS/legislation/main/bills/2213629", "הצעת חוק לייצור אמצעי לחימה בתעשיות הביטחוניות בישראל, התשפ""ד-2024")</f>
        <v>6995</v>
      </c>
      <c r="E3375" t="s">
        <v>6995</v>
      </c>
      <c r="F3375" t="s">
        <v>7115</v>
      </c>
      <c r="G3375" t="s">
        <v>14</v>
      </c>
      <c r="H3375">
             </c>
      <c r="I3375" t="s">
        <v>14</v>
      </c>
      <c r="J3375" t="s">
        <v>141</v>
      </c>
      <c r="K3375" t="s">
        <v>14</v>
      </c>
      <c r="L3375" t="s">
        <v>20</v>
      </c>
      <c r="M3375" t="s">
        <v>7095</v>
      </c>
      <c r="N3375" t="s">
        <v>14</v>
      </c>
    </row>
    <row r="3376" x14ac:dyDescent="0.25">
      <c r="A3376" t="n">
        <v>25</v>
      </c>
      <c r="B3376" t="s">
        <v>14</v>
      </c>
      <c r="C3376" t="s">
        <v>22</v>
      </c>
      <c r="D3376" s="2" t="s">
        <f>=HYPERLINK("https://main.knesset.gov.il/APPS/legislation/main/bills/2214664", "הצעת חוק הביטוח הלאומי (תיקון - תשלום גמלה לשמירת היריון בעד כל התקופה), התשפ""ד-2024")</f>
        <v>6205</v>
      </c>
      <c r="E3376" t="s">
        <v>6205</v>
      </c>
      <c r="F3376" t="s">
        <v>7116</v>
      </c>
      <c r="G3376" t="s">
        <v>14</v>
      </c>
      <c r="H3376">
             </c>
      <c r="I3376" t="s">
        <v>14</v>
      </c>
      <c r="J3376" t="s">
        <v>141</v>
      </c>
      <c r="K3376" t="s">
        <v>14</v>
      </c>
      <c r="L3376" t="s">
        <v>20</v>
      </c>
      <c r="M3376" t="s">
        <v>7095</v>
      </c>
      <c r="N3376" t="s">
        <v>14</v>
      </c>
    </row>
    <row r="3377" x14ac:dyDescent="0.25">
      <c r="A3377" t="n">
        <v>25</v>
      </c>
      <c r="B3377" t="s">
        <v>14</v>
      </c>
      <c r="C3377" t="s">
        <v>22</v>
      </c>
      <c r="D3377" s="2" t="s">
        <f>=HYPERLINK("https://main.knesset.gov.il/APPS/legislation/main/bills/2214663", "הצעת חוק עבודת נשים (תיקון - תקופת לידה והורות לנשים בעבודה פיזית קשה), התשפ""ד-2024")</f>
        <v>7117</v>
      </c>
      <c r="E3377" t="s">
        <v>7117</v>
      </c>
      <c r="F3377" t="s">
        <v>7118</v>
      </c>
      <c r="G3377" t="s">
        <v>14</v>
      </c>
      <c r="H3377">
             </c>
      <c r="I3377" t="s">
        <v>14</v>
      </c>
      <c r="J3377" t="s">
        <v>141</v>
      </c>
      <c r="K3377" t="s">
        <v>14</v>
      </c>
      <c r="L3377" t="s">
        <v>20</v>
      </c>
      <c r="M3377" t="s">
        <v>7095</v>
      </c>
      <c r="N3377" t="s">
        <v>14</v>
      </c>
    </row>
    <row r="3378" x14ac:dyDescent="0.25">
      <c r="A3378" t="n">
        <v>25</v>
      </c>
      <c r="B3378" t="s">
        <v>14</v>
      </c>
      <c r="C3378" t="s">
        <v>22</v>
      </c>
      <c r="D3378" s="2" t="s">
        <f>=HYPERLINK("https://main.knesset.gov.il/APPS/legislation/main/bills/2209956", "הצעת חוק זכויות הסטודנט (תיקון - התאמות למועמד ללימודים שעברית אינה שפת אמו), התשפ""ד-2024")</f>
        <v>7119</v>
      </c>
      <c r="E3378" t="s">
        <v>7119</v>
      </c>
      <c r="F3378" t="s">
        <v>7120</v>
      </c>
      <c r="G3378" t="s">
        <v>14</v>
      </c>
      <c r="H3378">
             </c>
      <c r="I3378" t="s">
        <v>14</v>
      </c>
      <c r="J3378" t="s">
        <v>141</v>
      </c>
      <c r="K3378" t="s">
        <v>14</v>
      </c>
      <c r="L3378" t="s">
        <v>20</v>
      </c>
      <c r="M3378" t="s">
        <v>7095</v>
      </c>
      <c r="N3378" t="s">
        <v>14</v>
      </c>
    </row>
    <row r="3379" x14ac:dyDescent="0.25">
      <c r="A3379" t="n">
        <v>25</v>
      </c>
      <c r="B3379" t="s">
        <v>14</v>
      </c>
      <c r="C3379" t="s">
        <v>22</v>
      </c>
      <c r="D3379" s="2" t="s">
        <f>=HYPERLINK("https://main.knesset.gov.il/APPS/legislation/main/bills/2214256", "הצעת חוק החברות הממשלתיות (תיקון - מינוי דירקטורים מקרב עובדי החברה), התשפ""ד-2024")</f>
        <v>7121</v>
      </c>
      <c r="E3379" t="s">
        <v>7121</v>
      </c>
      <c r="F3379" t="s">
        <v>7122</v>
      </c>
      <c r="G3379" t="s">
        <v>14</v>
      </c>
      <c r="H3379">
             </c>
      <c r="I3379" t="s">
        <v>14</v>
      </c>
      <c r="J3379" t="s">
        <v>141</v>
      </c>
      <c r="K3379" t="s">
        <v>14</v>
      </c>
      <c r="L3379" t="s">
        <v>20</v>
      </c>
      <c r="M3379" t="s">
        <v>7095</v>
      </c>
      <c r="N3379" t="s">
        <v>14</v>
      </c>
    </row>
    <row r="3380" x14ac:dyDescent="0.25">
      <c r="A3380" t="n">
        <v>25</v>
      </c>
      <c r="B3380" t="s">
        <v>14</v>
      </c>
      <c r="C3380" t="s">
        <v>22</v>
      </c>
      <c r="D3380" s="2" t="s">
        <f>=HYPERLINK("https://main.knesset.gov.il/APPS/legislation/main/bills/2214319", "הצעת חוק הסיוע המשפטי (תיקון - סיוע משפטי לנפגעי הונאה ועושק), התשפ""ד-2024")</f>
        <v>7123</v>
      </c>
      <c r="E3380" t="s">
        <v>7123</v>
      </c>
      <c r="F3380" t="s">
        <v>7124</v>
      </c>
      <c r="G3380" t="s">
        <v>14</v>
      </c>
      <c r="H3380">
             </c>
      <c r="I3380" t="s">
        <v>14</v>
      </c>
      <c r="J3380" t="s">
        <v>141</v>
      </c>
      <c r="K3380" t="s">
        <v>14</v>
      </c>
      <c r="L3380" t="s">
        <v>20</v>
      </c>
      <c r="M3380" t="s">
        <v>7095</v>
      </c>
      <c r="N3380" t="s">
        <v>14</v>
      </c>
    </row>
    <row r="3381" x14ac:dyDescent="0.25">
      <c r="A3381" t="n">
        <v>25</v>
      </c>
      <c r="B3381" t="s">
        <v>14</v>
      </c>
      <c r="C3381" t="s">
        <v>22</v>
      </c>
      <c r="D3381" s="2" t="s">
        <f>=HYPERLINK("https://main.knesset.gov.il/APPS/legislation/main/bills/2210131", "הצעת חוק בתי המשפט (תיקון - ערעור על החלטת שופט בית המשפט העליון בטענת פסלות), התשפ""ד-2024")</f>
        <v>7125</v>
      </c>
      <c r="E3381" t="s">
        <v>7125</v>
      </c>
      <c r="F3381" t="s">
        <v>7126</v>
      </c>
      <c r="G3381" t="s">
        <v>14</v>
      </c>
      <c r="H3381">
             </c>
      <c r="I3381" t="s">
        <v>14</v>
      </c>
      <c r="J3381" t="s">
        <v>141</v>
      </c>
      <c r="K3381" t="s">
        <v>14</v>
      </c>
      <c r="L3381" t="s">
        <v>20</v>
      </c>
      <c r="M3381" t="s">
        <v>7095</v>
      </c>
      <c r="N3381" t="s">
        <v>14</v>
      </c>
    </row>
    <row r="3382" x14ac:dyDescent="0.25">
      <c r="A3382" t="n">
        <v>25</v>
      </c>
      <c r="B3382" t="s">
        <v>14</v>
      </c>
      <c r="C3382" t="s">
        <v>22</v>
      </c>
      <c r="D3382" s="2" t="s">
        <f>=HYPERLINK("https://main.knesset.gov.il/APPS/legislation/main/bills/2214442", "הצעת חוק העונשין (תיקון - החמרת הענישה בעבירת סחר בנשק של כוחות הביטחון), התשפ""ד-2024")</f>
        <v>7127</v>
      </c>
      <c r="E3382" t="s">
        <v>7127</v>
      </c>
      <c r="F3382" t="s">
        <v>7128</v>
      </c>
      <c r="G3382" t="s">
        <v>14</v>
      </c>
      <c r="H3382">
             </c>
      <c r="I3382" t="s">
        <v>14</v>
      </c>
      <c r="J3382" t="s">
        <v>141</v>
      </c>
      <c r="K3382" t="s">
        <v>14</v>
      </c>
      <c r="L3382" t="s">
        <v>20</v>
      </c>
      <c r="M3382" t="s">
        <v>7095</v>
      </c>
      <c r="N3382" t="s">
        <v>14</v>
      </c>
    </row>
    <row r="3383" x14ac:dyDescent="0.25">
      <c r="A3383" t="n">
        <v>25</v>
      </c>
      <c r="B3383" t="s">
        <v>14</v>
      </c>
      <c r="C3383" t="s">
        <v>22</v>
      </c>
      <c r="D3383" s="2" t="s">
        <f>=HYPERLINK("https://main.knesset.gov.il/APPS/legislation/main/bills/2212926", "הצעת חוק לתיקון פקודת התעבורה (סייגים למתן רישיון נהיגה), התשפ""ד-2024")</f>
        <v>7129</v>
      </c>
      <c r="E3383" t="s">
        <v>7129</v>
      </c>
      <c r="F3383" t="s">
        <v>7130</v>
      </c>
      <c r="G3383" t="s">
        <v>14</v>
      </c>
      <c r="H3383">
             </c>
      <c r="I3383" t="s">
        <v>14</v>
      </c>
      <c r="J3383" t="s">
        <v>141</v>
      </c>
      <c r="K3383" t="s">
        <v>14</v>
      </c>
      <c r="L3383" t="s">
        <v>20</v>
      </c>
      <c r="M3383" t="s">
        <v>7095</v>
      </c>
      <c r="N3383" t="s">
        <v>14</v>
      </c>
    </row>
    <row r="3384" x14ac:dyDescent="0.25">
      <c r="A3384" t="n">
        <v>25</v>
      </c>
      <c r="B3384" t="s">
        <v>14</v>
      </c>
      <c r="C3384" t="s">
        <v>22</v>
      </c>
      <c r="D3384" s="2" t="s">
        <f>=HYPERLINK("https://main.knesset.gov.il/APPS/legislation/main/bills/2210248", "הצעת חוק-יסוד: השפיטה (תיקון - פיקוח על עבודת השופטים)")</f>
        <v>7131</v>
      </c>
      <c r="E3384" t="s">
        <v>7131</v>
      </c>
      <c r="F3384" t="s">
        <v>7132</v>
      </c>
      <c r="G3384" t="s">
        <v>14</v>
      </c>
      <c r="H3384">
             </c>
      <c r="I3384" t="s">
        <v>14</v>
      </c>
      <c r="J3384" t="s">
        <v>141</v>
      </c>
      <c r="K3384" t="s">
        <v>14</v>
      </c>
      <c r="L3384" t="s">
        <v>20</v>
      </c>
      <c r="M3384" t="s">
        <v>7095</v>
      </c>
      <c r="N3384" t="s">
        <v>14</v>
      </c>
    </row>
    <row r="3385" x14ac:dyDescent="0.25">
      <c r="A3385" t="n">
        <v>25</v>
      </c>
      <c r="B3385" t="s">
        <v>14</v>
      </c>
      <c r="C3385" t="s">
        <v>22</v>
      </c>
      <c r="D3385" s="2" t="s">
        <f>=HYPERLINK("https://main.knesset.gov.il/APPS/legislation/main/bills/2212340", "הצעת חוק המועצה לענף הלול (ייצור ושיווק) (תיקון - סימון ביצים), התשפ""ד-2024")</f>
        <v>6006</v>
      </c>
      <c r="E3385" t="s">
        <v>6006</v>
      </c>
      <c r="F3385" t="s">
        <v>7133</v>
      </c>
      <c r="G3385" t="s">
        <v>14</v>
      </c>
      <c r="H3385">
             </c>
      <c r="I3385" t="s">
        <v>14</v>
      </c>
      <c r="J3385" t="s">
        <v>141</v>
      </c>
      <c r="K3385" t="s">
        <v>14</v>
      </c>
      <c r="L3385" t="s">
        <v>20</v>
      </c>
      <c r="M3385" t="s">
        <v>7095</v>
      </c>
      <c r="N3385" t="s">
        <v>14</v>
      </c>
    </row>
    <row r="3386" x14ac:dyDescent="0.25">
      <c r="A3386" t="n">
        <v>25</v>
      </c>
      <c r="B3386" t="s">
        <v>14</v>
      </c>
      <c r="C3386" t="s">
        <v>22</v>
      </c>
      <c r="D3386" s="2" t="s">
        <f>=HYPERLINK("https://main.knesset.gov.il/APPS/legislation/main/bills/2214660", "הצעת חוק הביטוח הלאומי (תיקון - קצבת לידה בשל לידת תאומים), התשפ""ד-2024")</f>
        <v>7134</v>
      </c>
      <c r="E3386" t="s">
        <v>7134</v>
      </c>
      <c r="F3386" t="s">
        <v>7135</v>
      </c>
      <c r="G3386" t="s">
        <v>14</v>
      </c>
      <c r="H3386">
             </c>
      <c r="I3386" t="s">
        <v>14</v>
      </c>
      <c r="J3386" t="s">
        <v>141</v>
      </c>
      <c r="K3386" t="s">
        <v>14</v>
      </c>
      <c r="L3386" t="s">
        <v>20</v>
      </c>
      <c r="M3386" t="s">
        <v>7095</v>
      </c>
      <c r="N3386" t="s">
        <v>14</v>
      </c>
    </row>
    <row r="3387" x14ac:dyDescent="0.25">
      <c r="A3387" t="n">
        <v>25</v>
      </c>
      <c r="B3387" t="s">
        <v>14</v>
      </c>
      <c r="C3387" t="s">
        <v>22</v>
      </c>
      <c r="D3387" s="2" t="s">
        <f>=HYPERLINK("https://main.knesset.gov.il/APPS/legislation/main/bills/2214310", "הצעת חוק העונשין (תיקון - הגנה על בסיסי צה""ל, שטחי אש, תחנות משטרה ומתקנים ביטחוניים), התשפ""ד-2024 ")</f>
        <v>7136</v>
      </c>
      <c r="E3387" t="s">
        <v>7136</v>
      </c>
      <c r="F3387" t="s">
        <v>7137</v>
      </c>
      <c r="G3387" t="s">
        <v>14</v>
      </c>
      <c r="H3387">
             </c>
      <c r="I3387" t="s">
        <v>14</v>
      </c>
      <c r="J3387" t="s">
        <v>141</v>
      </c>
      <c r="K3387" t="s">
        <v>14</v>
      </c>
      <c r="L3387" t="s">
        <v>20</v>
      </c>
      <c r="M3387" t="s">
        <v>7095</v>
      </c>
      <c r="N3387" t="s">
        <v>14</v>
      </c>
    </row>
    <row r="3388" x14ac:dyDescent="0.25">
      <c r="A3388" t="n">
        <v>25</v>
      </c>
      <c r="B3388" t="s">
        <v>14</v>
      </c>
      <c r="C3388" t="s">
        <v>22</v>
      </c>
      <c r="D3388" s="2" t="s">
        <f>=HYPERLINK("https://main.knesset.gov.il/APPS/legislation/main/bills/2214309", "הצעת חוק העונשין (תיקון - החמרת ענישה בעבירות ביזה) (הוראת שעה), התשפ""ד-2024")</f>
        <v>6469</v>
      </c>
      <c r="E3388" t="s">
        <v>6469</v>
      </c>
      <c r="F3388" t="s">
        <v>7138</v>
      </c>
      <c r="G3388" t="s">
        <v>14</v>
      </c>
      <c r="H3388">
             </c>
      <c r="I3388" t="s">
        <v>14</v>
      </c>
      <c r="J3388" t="s">
        <v>141</v>
      </c>
      <c r="K3388" t="s">
        <v>14</v>
      </c>
      <c r="L3388" t="s">
        <v>20</v>
      </c>
      <c r="M3388" t="s">
        <v>7095</v>
      </c>
      <c r="N3388" t="s">
        <v>14</v>
      </c>
    </row>
    <row r="3389" x14ac:dyDescent="0.25">
      <c r="A3389" t="n">
        <v>25</v>
      </c>
      <c r="B3389" t="s">
        <v>14</v>
      </c>
      <c r="C3389" t="s">
        <v>22</v>
      </c>
      <c r="D3389" s="2" t="s">
        <f>=HYPERLINK("https://main.knesset.gov.il/APPS/legislation/main/bills/2210347", "הצעת חוק כבישי אגרה (תיקוני חקיקה), התשפ""ד-2024")</f>
        <v>7139</v>
      </c>
      <c r="E3389" t="s">
        <v>7139</v>
      </c>
      <c r="F3389" t="s">
        <v>7140</v>
      </c>
      <c r="G3389" t="s">
        <v>14</v>
      </c>
      <c r="H3389">
             </c>
      <c r="I3389" t="s">
        <v>14</v>
      </c>
      <c r="J3389" t="s">
        <v>141</v>
      </c>
      <c r="K3389" t="s">
        <v>14</v>
      </c>
      <c r="L3389" t="s">
        <v>20</v>
      </c>
      <c r="M3389" t="s">
        <v>7095</v>
      </c>
      <c r="N3389" t="s">
        <v>14</v>
      </c>
    </row>
    <row r="3390" x14ac:dyDescent="0.25">
      <c r="A3390" t="n">
        <v>25</v>
      </c>
      <c r="B3390" t="s">
        <v>14</v>
      </c>
      <c r="C3390" t="s">
        <v>22</v>
      </c>
      <c r="D3390" s="2" t="s">
        <f>=HYPERLINK("https://main.knesset.gov.il/APPS/legislation/main/bills/2214445", "הצעת חוק העונשין (תיקון - פריצה למיתקן ביטחוני), התשפ""ד-2024")</f>
        <v>7141</v>
      </c>
      <c r="E3390" t="s">
        <v>7141</v>
      </c>
      <c r="F3390" t="s">
        <v>7142</v>
      </c>
      <c r="G3390" t="s">
        <v>14</v>
      </c>
      <c r="H3390">
             </c>
      <c r="I3390" t="s">
        <v>14</v>
      </c>
      <c r="J3390" t="s">
        <v>141</v>
      </c>
      <c r="K3390" t="s">
        <v>14</v>
      </c>
      <c r="L3390" t="s">
        <v>20</v>
      </c>
      <c r="M3390" t="s">
        <v>7095</v>
      </c>
      <c r="N3390" t="s">
        <v>14</v>
      </c>
    </row>
    <row r="3391" x14ac:dyDescent="0.25">
      <c r="A3391" t="n">
        <v>25</v>
      </c>
      <c r="B3391" t="s">
        <v>14</v>
      </c>
      <c r="C3391" t="s">
        <v>22</v>
      </c>
      <c r="D3391" s="2" t="s">
        <f>=HYPERLINK("https://main.knesset.gov.il/APPS/legislation/main/bills/2214306", "הצעת חוק העונשין (תיקון - חילוט בעבירות החזקת נשק בלתי חוקי ללא אישום או הרשעה), התשפ""ד-2024")</f>
        <v>7143</v>
      </c>
      <c r="E3391" t="s">
        <v>7143</v>
      </c>
      <c r="F3391" t="s">
        <v>7144</v>
      </c>
      <c r="G3391" t="s">
        <v>14</v>
      </c>
      <c r="H3391">
             </c>
      <c r="I3391" t="s">
        <v>14</v>
      </c>
      <c r="J3391" t="s">
        <v>141</v>
      </c>
      <c r="K3391" t="s">
        <v>14</v>
      </c>
      <c r="L3391" t="s">
        <v>20</v>
      </c>
      <c r="M3391" t="s">
        <v>7095</v>
      </c>
      <c r="N3391" t="s">
        <v>14</v>
      </c>
    </row>
    <row r="3392" x14ac:dyDescent="0.25">
      <c r="A3392" t="n">
        <v>25</v>
      </c>
      <c r="B3392" t="s">
        <v>14</v>
      </c>
      <c r="C3392" t="s">
        <v>22</v>
      </c>
      <c r="D3392" s="2" t="s">
        <f>=HYPERLINK("https://main.knesset.gov.il/APPS/legislation/main/bills/2214312", "הצעת חוק זיכרון השואה והגבורה - יד ושם (תיקון - עידוד יצירה להנצחת זיכרון השואה והגבורה), התשפ""ד-2024")</f>
        <v>7145</v>
      </c>
      <c r="E3392" t="s">
        <v>7145</v>
      </c>
      <c r="F3392" t="s">
        <v>7146</v>
      </c>
      <c r="G3392" t="s">
        <v>14</v>
      </c>
      <c r="H3392">
             </c>
      <c r="I3392" t="s">
        <v>14</v>
      </c>
      <c r="J3392" t="s">
        <v>141</v>
      </c>
      <c r="K3392" t="s">
        <v>14</v>
      </c>
      <c r="L3392" t="s">
        <v>20</v>
      </c>
      <c r="M3392" t="s">
        <v>7095</v>
      </c>
      <c r="N3392" t="s">
        <v>14</v>
      </c>
    </row>
    <row r="3393" x14ac:dyDescent="0.25">
      <c r="A3393" t="n">
        <v>25</v>
      </c>
      <c r="B3393" t="s">
        <v>14</v>
      </c>
      <c r="C3393" t="s">
        <v>22</v>
      </c>
      <c r="D3393" s="2" t="s">
        <f>=HYPERLINK("https://main.knesset.gov.il/APPS/legislation/main/bills/2214314", "הצעת חוק מענק יובל לעובדי הוראה עולים, התשפ""ד-2024")</f>
        <v>7147</v>
      </c>
      <c r="E3393" t="s">
        <v>7147</v>
      </c>
      <c r="F3393" t="s">
        <v>7148</v>
      </c>
      <c r="G3393" t="s">
        <v>14</v>
      </c>
      <c r="H3393">
             </c>
      <c r="I3393" t="s">
        <v>14</v>
      </c>
      <c r="J3393" t="s">
        <v>141</v>
      </c>
      <c r="K3393" t="s">
        <v>14</v>
      </c>
      <c r="L3393" t="s">
        <v>20</v>
      </c>
      <c r="M3393" t="s">
        <v>7095</v>
      </c>
      <c r="N3393" t="s">
        <v>14</v>
      </c>
    </row>
    <row r="3394" x14ac:dyDescent="0.25">
      <c r="A3394" t="n">
        <v>25</v>
      </c>
      <c r="B3394" t="s">
        <v>14</v>
      </c>
      <c r="C3394" t="s">
        <v>22</v>
      </c>
      <c r="D3394" s="2" t="s">
        <f>=HYPERLINK("https://main.knesset.gov.il/APPS/legislation/main/bills/2214659", "הצעת חוק זכויות הסטודנט (תיקון - התאמות לסטודנטית לאחר לידה), התשפ""ד-2024")</f>
        <v>7149</v>
      </c>
      <c r="E3394" t="s">
        <v>7149</v>
      </c>
      <c r="F3394" t="s">
        <v>7150</v>
      </c>
      <c r="G3394" t="s">
        <v>14</v>
      </c>
      <c r="H3394">
             </c>
      <c r="I3394" t="s">
        <v>14</v>
      </c>
      <c r="J3394" t="s">
        <v>141</v>
      </c>
      <c r="K3394" t="s">
        <v>14</v>
      </c>
      <c r="L3394" t="s">
        <v>20</v>
      </c>
      <c r="M3394" t="s">
        <v>7095</v>
      </c>
      <c r="N3394" t="s">
        <v>14</v>
      </c>
    </row>
    <row r="3395" x14ac:dyDescent="0.25">
      <c r="A3395" t="n">
        <v>25</v>
      </c>
      <c r="B3395" t="s">
        <v>14</v>
      </c>
      <c r="C3395" t="s">
        <v>15</v>
      </c>
      <c r="D3395" s="2" t="s">
        <f>=HYPERLINK("https://main.knesset.gov.il/APPS/legislation/main/bills/2214872", "הצעת חוק לצמצום השימוש במזומן (תיקון מס' 2) (הגבלה על מתן הלוואות במזומן על ידי גופים פיננסיים מפוקחים), התשפ""ד-2024")</f>
        <v>7151</v>
      </c>
      <c r="E3395" t="s">
        <v>7151</v>
      </c>
      <c r="F3395" t="s">
        <v>14</v>
      </c>
      <c r="G3395" t="s">
        <v>7152</v>
      </c>
      <c r="H3395">
             </c>
      <c r="I3395" t="s">
        <v>14</v>
      </c>
      <c r="J3395" t="s">
        <v>60</v>
      </c>
      <c r="K3395" t="s">
        <v>14</v>
      </c>
      <c r="L3395" t="s">
        <v>20</v>
      </c>
      <c r="M3395" t="s">
        <v>7095</v>
      </c>
      <c r="N3395" t="s">
        <v>14</v>
      </c>
    </row>
    <row r="3396" x14ac:dyDescent="0.25">
      <c r="A3396" t="n">
        <v>25</v>
      </c>
      <c r="B3396" t="s">
        <v>14</v>
      </c>
      <c r="C3396" t="s">
        <v>22</v>
      </c>
      <c r="D3396" s="2" t="s">
        <f>=HYPERLINK("https://main.knesset.gov.il/APPS/legislation/main/bills/2212681", "הצעת חוק העבירות המינהליות (תיקון - הפחתת תוספת הפיגור על אי-תשלום קנס), התשפ""ד-2024 פ/4166/25")</f>
        <v>7153</v>
      </c>
      <c r="E3396" t="s">
        <v>7153</v>
      </c>
      <c r="F3396" t="s">
        <v>7154</v>
      </c>
      <c r="G3396" t="s">
        <v>14</v>
      </c>
      <c r="H3396">
             </c>
      <c r="I3396" t="s">
        <v>14</v>
      </c>
      <c r="J3396" t="s">
        <v>99</v>
      </c>
      <c r="K3396" t="s">
        <v>27</v>
      </c>
      <c r="L3396" t="s">
        <v>20</v>
      </c>
      <c r="M3396" t="s">
        <v>7155</v>
      </c>
      <c r="N3396" t="s">
        <v>14</v>
      </c>
    </row>
    <row r="3397" x14ac:dyDescent="0.25">
      <c r="A3397" t="n">
        <v>25</v>
      </c>
      <c r="B3397" t="s">
        <v>14</v>
      </c>
      <c r="C3397" t="s">
        <v>22</v>
      </c>
      <c r="D3397" s="2" t="s">
        <f>=HYPERLINK("https://main.knesset.gov.il/APPS/legislation/main/bills/2203986", "הצעת חוק העבירות המינהליות (תיקון - הפחתת תוספת הפיגור על אי-תשלום קנס), התשפ""ג-2023 פ/3253/25")</f>
        <v>7156</v>
      </c>
      <c r="E3397" t="s">
        <v>7156</v>
      </c>
      <c r="F3397" t="s">
        <v>7157</v>
      </c>
      <c r="G3397" t="s">
        <v>14</v>
      </c>
      <c r="H3397">
             </c>
      <c r="I3397" t="s">
        <v>14</v>
      </c>
      <c r="J3397" t="s">
        <v>99</v>
      </c>
      <c r="K3397" t="s">
        <v>27</v>
      </c>
      <c r="L3397" t="s">
        <v>20</v>
      </c>
      <c r="M3397" t="s">
        <v>7155</v>
      </c>
      <c r="N3397" t="s">
        <v>14</v>
      </c>
    </row>
    <row r="3398" x14ac:dyDescent="0.25">
      <c r="A3398" t="n">
        <v>25</v>
      </c>
      <c r="B3398" t="s">
        <v>14</v>
      </c>
      <c r="C3398" t="s">
        <v>22</v>
      </c>
      <c r="D3398" s="2" t="s">
        <f>=HYPERLINK("https://main.knesset.gov.il/APPS/legislation/main/bills/2202920", "הצעת חוק שימוש בזרע של נפטר לשם הולדה, התשפ""ג-2023 ")</f>
        <v>7158</v>
      </c>
      <c r="E3398" t="s">
        <v>7158</v>
      </c>
      <c r="F3398" t="s">
        <v>7159</v>
      </c>
      <c r="G3398" t="s">
        <v>14</v>
      </c>
      <c r="H3398">
             </c>
      <c r="I3398" t="s">
        <v>14</v>
      </c>
      <c r="J3398" t="s">
        <v>1857</v>
      </c>
      <c r="K3398" t="s">
        <v>480</v>
      </c>
      <c r="L3398" t="s">
        <v>20</v>
      </c>
      <c r="M3398" t="s">
        <v>7160</v>
      </c>
      <c r="N3398" t="s">
        <v>14</v>
      </c>
    </row>
    <row r="3399" x14ac:dyDescent="0.25">
      <c r="A3399" t="n">
        <v>25</v>
      </c>
      <c r="B3399" t="s">
        <v>14</v>
      </c>
      <c r="C3399" t="s">
        <v>22</v>
      </c>
      <c r="D3399" s="2" t="s">
        <f>=HYPERLINK("https://main.knesset.gov.il/APPS/legislation/main/bills/2199820", "הצעת חוק אומנה לילדים (תיקון - אומנת חירום), התשפ""ג-2023")</f>
        <v>7161</v>
      </c>
      <c r="E3399" t="s">
        <v>7161</v>
      </c>
      <c r="F3399" t="s">
        <v>7162</v>
      </c>
      <c r="G3399" t="s">
        <v>14</v>
      </c>
      <c r="H3399">
             </c>
      <c r="I3399" t="s">
        <v>14</v>
      </c>
      <c r="J3399" t="s">
        <v>99</v>
      </c>
      <c r="K3399" t="s">
        <v>127</v>
      </c>
      <c r="L3399" t="s">
        <v>20</v>
      </c>
      <c r="M3399" t="s">
        <v>7163</v>
      </c>
      <c r="N3399" t="s">
        <v>14</v>
      </c>
    </row>
    <row r="3400" x14ac:dyDescent="0.25">
      <c r="A3400" t="n">
        <v>25</v>
      </c>
      <c r="B3400" t="s">
        <v>14</v>
      </c>
      <c r="C3400" t="s">
        <v>22</v>
      </c>
      <c r="D3400" s="2" t="s">
        <f>=HYPERLINK("https://main.knesset.gov.il/APPS/legislation/main/bills/2203426", "הצעת חוק מגבלות על חזרתו של מורשע במעשה טרור לסביבת נפגעי העבירה, התשפ""ג-2023")</f>
        <v>7164</v>
      </c>
      <c r="E3400" t="s">
        <v>7164</v>
      </c>
      <c r="F3400" t="s">
        <v>7165</v>
      </c>
      <c r="G3400" t="s">
        <v>14</v>
      </c>
      <c r="H3400">
             </c>
      <c r="I3400" t="s">
        <v>14</v>
      </c>
      <c r="J3400" t="s">
        <v>99</v>
      </c>
      <c r="K3400" t="s">
        <v>105</v>
      </c>
      <c r="L3400" t="s">
        <v>20</v>
      </c>
      <c r="M3400" t="s">
        <v>7163</v>
      </c>
      <c r="N3400" t="s">
        <v>14</v>
      </c>
    </row>
    <row r="3401" x14ac:dyDescent="0.25">
      <c r="A3401" t="n">
        <v>25</v>
      </c>
      <c r="B3401" t="s">
        <v>14</v>
      </c>
      <c r="C3401" t="s">
        <v>22</v>
      </c>
      <c r="D3401" s="2" t="s">
        <f>=HYPERLINK("https://main.knesset.gov.il/APPS/legislation/main/bills/2212711", "הצעת חוק הרשויות המקומיות (בחירות) (תיקון - הצבעת חיילים), התשפ""ד-2023")</f>
        <v>7166</v>
      </c>
      <c r="E3401" t="s">
        <v>7166</v>
      </c>
      <c r="F3401" t="s">
        <v>7167</v>
      </c>
      <c r="G3401" t="s">
        <v>14</v>
      </c>
      <c r="H3401">
             </c>
      <c r="I3401" t="s">
        <v>14</v>
      </c>
      <c r="J3401" t="s">
        <v>99</v>
      </c>
      <c r="K3401" t="s">
        <v>46</v>
      </c>
      <c r="L3401" t="s">
        <v>20</v>
      </c>
      <c r="M3401" t="s">
        <v>7168</v>
      </c>
      <c r="N3401" t="s">
        <v>14</v>
      </c>
    </row>
    <row r="3402" x14ac:dyDescent="0.25">
      <c r="A3402" t="n">
        <v>25</v>
      </c>
      <c r="B3402" t="s">
        <v>14</v>
      </c>
      <c r="C3402" t="s">
        <v>15</v>
      </c>
      <c r="D3402" s="2" t="s">
        <f>=HYPERLINK("https://main.knesset.gov.il/APPS/legislation/main/bills/2212768", "חוק לשכת עורכי הדין (תיקון מס' 41 - הוראת שעה – חרבות ברזל), התשפ""ד-2024")</f>
        <v>7169</v>
      </c>
      <c r="E3402" t="s">
        <v>7169</v>
      </c>
      <c r="F3402" t="s">
        <v>14</v>
      </c>
      <c r="G3402" t="s">
        <v>7170</v>
      </c>
      <c r="H3402" t="n">
        <v>3154</v>
      </c>
      <c r="I3402" t="s">
        <v>14</v>
      </c>
      <c r="J3402" t="s">
        <v>91</v>
      </c>
      <c r="K3402" t="s">
        <v>27</v>
      </c>
      <c r="L3402" t="s">
        <v>20</v>
      </c>
      <c r="M3402" t="s">
        <v>7168</v>
      </c>
      <c r="N3402" t="s">
        <v>7171</v>
      </c>
    </row>
    <row r="3403" x14ac:dyDescent="0.25">
      <c r="A3403" t="n">
        <v>25</v>
      </c>
      <c r="B3403" t="s">
        <v>14</v>
      </c>
      <c r="C3403" t="s">
        <v>22</v>
      </c>
      <c r="D3403" s="2" t="s">
        <f>=HYPERLINK("https://main.knesset.gov.il/APPS/legislation/main/bills/2207532", "הצעת חוק העונשין (תיקון - פיצוי עבור בעל חיים שניזוק), התשפ""ד-2024")</f>
        <v>7172</v>
      </c>
      <c r="E3403" t="s">
        <v>7172</v>
      </c>
      <c r="F3403" t="s">
        <v>7173</v>
      </c>
      <c r="G3403" t="s">
        <v>14</v>
      </c>
      <c r="H3403">
             </c>
      <c r="I3403" t="s">
        <v>14</v>
      </c>
      <c r="J3403" t="s">
        <v>141</v>
      </c>
      <c r="K3403" t="s">
        <v>14</v>
      </c>
      <c r="L3403" t="s">
        <v>20</v>
      </c>
      <c r="M3403" t="s">
        <v>7168</v>
      </c>
      <c r="N3403" t="s">
        <v>14</v>
      </c>
    </row>
    <row r="3404" x14ac:dyDescent="0.25">
      <c r="A3404" t="n">
        <v>25</v>
      </c>
      <c r="B3404" t="s">
        <v>14</v>
      </c>
      <c r="C3404" t="s">
        <v>22</v>
      </c>
      <c r="D3404" s="2" t="s">
        <f>=HYPERLINK("https://main.knesset.gov.il/APPS/legislation/main/bills/2213774", "הצעת חוק שימוש בזרע של נפטר לשם הולדה, התשפ""ד-2024")</f>
        <v>7174</v>
      </c>
      <c r="E3404" t="s">
        <v>7174</v>
      </c>
      <c r="F3404" t="s">
        <v>7175</v>
      </c>
      <c r="G3404" t="s">
        <v>14</v>
      </c>
      <c r="H3404">
             </c>
      <c r="I3404" t="s">
        <v>14</v>
      </c>
      <c r="J3404" t="s">
        <v>343</v>
      </c>
      <c r="K3404" t="s">
        <v>14</v>
      </c>
      <c r="L3404" t="s">
        <v>20</v>
      </c>
      <c r="M3404" t="s">
        <v>7168</v>
      </c>
      <c r="N3404" t="s">
        <v>14</v>
      </c>
    </row>
    <row r="3405" x14ac:dyDescent="0.25">
      <c r="A3405" t="n">
        <v>25</v>
      </c>
      <c r="B3405" t="s">
        <v>14</v>
      </c>
      <c r="C3405" t="s">
        <v>22</v>
      </c>
      <c r="D3405" s="2" t="s">
        <f>=HYPERLINK("https://main.knesset.gov.il/APPS/legislation/main/bills/2213738", "הצעת חוק שירות ביטחון (תיקון - מינוי קצינה לקידום נשים לתפקידים בכירים ויצירת מסלולים לקידום קצינות בדרג הבכיר), התשפ""ד-2024")</f>
        <v>7176</v>
      </c>
      <c r="E3405" t="s">
        <v>7176</v>
      </c>
      <c r="F3405" t="s">
        <v>7177</v>
      </c>
      <c r="G3405" t="s">
        <v>14</v>
      </c>
      <c r="H3405">
             </c>
      <c r="I3405" t="s">
        <v>14</v>
      </c>
      <c r="J3405" t="s">
        <v>141</v>
      </c>
      <c r="K3405" t="s">
        <v>14</v>
      </c>
      <c r="L3405" t="s">
        <v>20</v>
      </c>
      <c r="M3405" t="s">
        <v>7168</v>
      </c>
      <c r="N3405" t="s">
        <v>14</v>
      </c>
    </row>
    <row r="3406" x14ac:dyDescent="0.25">
      <c r="A3406" t="n">
        <v>25</v>
      </c>
      <c r="B3406" t="s">
        <v>14</v>
      </c>
      <c r="C3406" t="s">
        <v>22</v>
      </c>
      <c r="D3406" s="2" t="s">
        <f>=HYPERLINK("https://main.knesset.gov.il/APPS/legislation/main/bills/2213706", "הצעת חוק שירות לאומי-אזרחי (תיקון - משרת בודד), התשפ""ד-2024")</f>
        <v>7178</v>
      </c>
      <c r="E3406" t="s">
        <v>7178</v>
      </c>
      <c r="F3406" t="s">
        <v>7179</v>
      </c>
      <c r="G3406" t="s">
        <v>14</v>
      </c>
      <c r="H3406">
             </c>
      <c r="I3406" t="s">
        <v>14</v>
      </c>
      <c r="J3406" t="s">
        <v>141</v>
      </c>
      <c r="K3406" t="s">
        <v>14</v>
      </c>
      <c r="L3406" t="s">
        <v>20</v>
      </c>
      <c r="M3406" t="s">
        <v>7168</v>
      </c>
      <c r="N3406" t="s">
        <v>14</v>
      </c>
    </row>
    <row r="3407" x14ac:dyDescent="0.25">
      <c r="A3407" t="n">
        <v>25</v>
      </c>
      <c r="B3407" t="s">
        <v>14</v>
      </c>
      <c r="C3407" t="s">
        <v>22</v>
      </c>
      <c r="D3407" s="2" t="s">
        <f>=HYPERLINK("https://main.knesset.gov.il/APPS/legislation/main/bills/2213741", "הצעת חוק משפחות חיילים שנספו במערכה (תגמולים ושיקום) (תיקון - מימון שימור פיריון לאלמנה), התשפ""ד-2024")</f>
        <v>7180</v>
      </c>
      <c r="E3407" t="s">
        <v>7180</v>
      </c>
      <c r="F3407" t="s">
        <v>7181</v>
      </c>
      <c r="G3407" t="s">
        <v>14</v>
      </c>
      <c r="H3407">
             </c>
      <c r="I3407" t="s">
        <v>14</v>
      </c>
      <c r="J3407" t="s">
        <v>141</v>
      </c>
      <c r="K3407" t="s">
        <v>14</v>
      </c>
      <c r="L3407" t="s">
        <v>20</v>
      </c>
      <c r="M3407" t="s">
        <v>7168</v>
      </c>
      <c r="N3407" t="s">
        <v>14</v>
      </c>
    </row>
    <row r="3408" x14ac:dyDescent="0.25">
      <c r="A3408" t="n">
        <v>25</v>
      </c>
      <c r="B3408" t="s">
        <v>14</v>
      </c>
      <c r="C3408" t="s">
        <v>22</v>
      </c>
      <c r="D3408" s="2" t="s">
        <f>=HYPERLINK("https://main.knesset.gov.il/APPS/legislation/main/bills/2214556", "הצעת חוק החיילים המשוחררים (החזרה לעבודה) (תיקון - הארכת תקופת ההגנה מפיטורים למשרתי מילואים), התשפ""ד-2024")</f>
        <v>7182</v>
      </c>
      <c r="E3408" t="s">
        <v>7182</v>
      </c>
      <c r="F3408" t="s">
        <v>7183</v>
      </c>
      <c r="G3408" t="s">
        <v>14</v>
      </c>
      <c r="H3408">
             </c>
      <c r="I3408" t="s">
        <v>14</v>
      </c>
      <c r="J3408" t="s">
        <v>141</v>
      </c>
      <c r="K3408" t="s">
        <v>14</v>
      </c>
      <c r="L3408" t="s">
        <v>20</v>
      </c>
      <c r="M3408" t="s">
        <v>7168</v>
      </c>
      <c r="N3408" t="s">
        <v>14</v>
      </c>
    </row>
    <row r="3409" x14ac:dyDescent="0.25">
      <c r="A3409" t="n">
        <v>25</v>
      </c>
      <c r="B3409" t="s">
        <v>14</v>
      </c>
      <c r="C3409" t="s">
        <v>22</v>
      </c>
      <c r="D3409" s="2" t="s">
        <f>=HYPERLINK("https://main.knesset.gov.il/APPS/legislation/main/bills/2213848", "הצעת חוק הרשויות המקומיות (פטור חיילים, נפגעי מלחמה ושוטרים מארנונה) (תיקון - פטור מארנונה לבית עסק של משרת בשירות מילואים פעיל) (הוראת שעה), התשפ""ד-2024")</f>
        <v>7184</v>
      </c>
      <c r="E3409" t="s">
        <v>7184</v>
      </c>
      <c r="F3409" t="s">
        <v>7185</v>
      </c>
      <c r="G3409" t="s">
        <v>14</v>
      </c>
      <c r="H3409">
             </c>
      <c r="I3409" t="s">
        <v>14</v>
      </c>
      <c r="J3409" t="s">
        <v>141</v>
      </c>
      <c r="K3409" t="s">
        <v>14</v>
      </c>
      <c r="L3409" t="s">
        <v>20</v>
      </c>
      <c r="M3409" t="s">
        <v>7168</v>
      </c>
      <c r="N3409" t="s">
        <v>14</v>
      </c>
    </row>
    <row r="3410" x14ac:dyDescent="0.25">
      <c r="A3410" t="n">
        <v>25</v>
      </c>
      <c r="B3410" t="s">
        <v>14</v>
      </c>
      <c r="C3410" t="s">
        <v>22</v>
      </c>
      <c r="D3410" s="2" t="s">
        <f>=HYPERLINK("https://main.knesset.gov.il/APPS/legislation/main/bills/2213710", "הצעת חוק תקופת כהונה סטטוטורית של ראשי גופים ביטחוניים, התשפ""ד-2024")</f>
        <v>7186</v>
      </c>
      <c r="E3410" t="s">
        <v>7186</v>
      </c>
      <c r="F3410" t="s">
        <v>7187</v>
      </c>
      <c r="G3410" t="s">
        <v>14</v>
      </c>
      <c r="H3410">
             </c>
      <c r="I3410" t="s">
        <v>14</v>
      </c>
      <c r="J3410" t="s">
        <v>141</v>
      </c>
      <c r="K3410" t="s">
        <v>14</v>
      </c>
      <c r="L3410" t="s">
        <v>20</v>
      </c>
      <c r="M3410" t="s">
        <v>7168</v>
      </c>
      <c r="N3410" t="s">
        <v>14</v>
      </c>
    </row>
    <row r="3411" x14ac:dyDescent="0.25">
      <c r="A3411" t="n">
        <v>25</v>
      </c>
      <c r="B3411" t="s">
        <v>14</v>
      </c>
      <c r="C3411" t="s">
        <v>22</v>
      </c>
      <c r="D3411" s="2" t="s">
        <f>=HYPERLINK("https://main.knesset.gov.il/APPS/legislation/main/bills/2214450", "הצעת חוק החיילים המשוחררים (החזרה לעבודה) (תיקון - הרחבת תקופת הגנה מפני פיטורים למשרתים במילואים), התשפ""ד-2024")</f>
        <v>5826</v>
      </c>
      <c r="E3411" t="s">
        <v>5826</v>
      </c>
      <c r="F3411" t="s">
        <v>7188</v>
      </c>
      <c r="G3411" t="s">
        <v>14</v>
      </c>
      <c r="H3411">
             </c>
      <c r="I3411" t="s">
        <v>14</v>
      </c>
      <c r="J3411" t="s">
        <v>141</v>
      </c>
      <c r="K3411" t="s">
        <v>14</v>
      </c>
      <c r="L3411" t="s">
        <v>20</v>
      </c>
      <c r="M3411" t="s">
        <v>7168</v>
      </c>
      <c r="N3411" t="s">
        <v>14</v>
      </c>
    </row>
    <row r="3412" x14ac:dyDescent="0.25">
      <c r="A3412" t="n">
        <v>25</v>
      </c>
      <c r="B3412" t="s">
        <v>14</v>
      </c>
      <c r="C3412" t="s">
        <v>22</v>
      </c>
      <c r="D3412" s="2" t="s">
        <f>=HYPERLINK("https://main.knesset.gov.il/APPS/legislation/main/bills/2212005", "הצעת חוק מיסוי מקרקעין (שבח ורכישה) (תיקון - מדרגות המס על דירה יחידה) (הוראת שעה - חרבות ברזל), התשפ""ד-2024")</f>
        <v>7189</v>
      </c>
      <c r="E3412" t="s">
        <v>7189</v>
      </c>
      <c r="F3412" t="s">
        <v>7190</v>
      </c>
      <c r="G3412" t="s">
        <v>14</v>
      </c>
      <c r="H3412">
             </c>
      <c r="I3412" t="s">
        <v>14</v>
      </c>
      <c r="J3412" t="s">
        <v>141</v>
      </c>
      <c r="K3412" t="s">
        <v>14</v>
      </c>
      <c r="L3412" t="s">
        <v>20</v>
      </c>
      <c r="M3412" t="s">
        <v>7168</v>
      </c>
      <c r="N3412" t="s">
        <v>14</v>
      </c>
    </row>
    <row r="3413" x14ac:dyDescent="0.25">
      <c r="A3413" t="n">
        <v>25</v>
      </c>
      <c r="B3413" t="s">
        <v>14</v>
      </c>
      <c r="C3413" t="s">
        <v>22</v>
      </c>
      <c r="D3413" s="2" t="s">
        <f>=HYPERLINK("https://main.knesset.gov.il/APPS/legislation/main/bills/2214627", "הצעת חוק לקביעת מועד בחירות חדש ברשויות בקו העימות, התשפ""ד-2024")</f>
        <v>7191</v>
      </c>
      <c r="E3413" t="s">
        <v>7191</v>
      </c>
      <c r="F3413" t="s">
        <v>7192</v>
      </c>
      <c r="G3413" t="s">
        <v>14</v>
      </c>
      <c r="H3413">
             </c>
      <c r="I3413" t="s">
        <v>14</v>
      </c>
      <c r="J3413" t="s">
        <v>141</v>
      </c>
      <c r="K3413" t="s">
        <v>14</v>
      </c>
      <c r="L3413" t="s">
        <v>20</v>
      </c>
      <c r="M3413" t="s">
        <v>7168</v>
      </c>
      <c r="N3413" t="s">
        <v>14</v>
      </c>
    </row>
    <row r="3414" x14ac:dyDescent="0.25">
      <c r="A3414" t="n">
        <v>25</v>
      </c>
      <c r="B3414" t="s">
        <v>14</v>
      </c>
      <c r="C3414" t="s">
        <v>22</v>
      </c>
      <c r="D3414" s="2" t="s">
        <f>=HYPERLINK("https://main.knesset.gov.il/APPS/legislation/main/bills/2213879", "הצעת חוק פיקוח על עסקאות רכש מערכת הביטחון, התשפ""ד-2024")</f>
        <v>7193</v>
      </c>
      <c r="E3414" t="s">
        <v>7193</v>
      </c>
      <c r="F3414" t="s">
        <v>7194</v>
      </c>
      <c r="G3414" t="s">
        <v>14</v>
      </c>
      <c r="H3414">
             </c>
      <c r="I3414" t="s">
        <v>14</v>
      </c>
      <c r="J3414" t="s">
        <v>141</v>
      </c>
      <c r="K3414" t="s">
        <v>14</v>
      </c>
      <c r="L3414" t="s">
        <v>20</v>
      </c>
      <c r="M3414" t="s">
        <v>7168</v>
      </c>
      <c r="N3414" t="s">
        <v>14</v>
      </c>
    </row>
    <row r="3415" x14ac:dyDescent="0.25">
      <c r="A3415" t="n">
        <v>25</v>
      </c>
      <c r="B3415" t="s">
        <v>14</v>
      </c>
      <c r="C3415" t="s">
        <v>22</v>
      </c>
      <c r="D3415" s="2" t="s">
        <f>=HYPERLINK("https://main.knesset.gov.il/APPS/legislation/main/bills/2213882", "הצעת חוק מיגון יישוב מאוים ביטחונית, התשפ""ד-2024")</f>
        <v>7195</v>
      </c>
      <c r="E3415" t="s">
        <v>7195</v>
      </c>
      <c r="F3415" t="s">
        <v>7196</v>
      </c>
      <c r="G3415" t="s">
        <v>14</v>
      </c>
      <c r="H3415">
             </c>
      <c r="I3415" t="s">
        <v>14</v>
      </c>
      <c r="J3415" t="s">
        <v>141</v>
      </c>
      <c r="K3415" t="s">
        <v>14</v>
      </c>
      <c r="L3415" t="s">
        <v>20</v>
      </c>
      <c r="M3415" t="s">
        <v>7168</v>
      </c>
      <c r="N3415" t="s">
        <v>14</v>
      </c>
    </row>
    <row r="3416" x14ac:dyDescent="0.25">
      <c r="A3416" t="n">
        <v>25</v>
      </c>
      <c r="B3416" t="s">
        <v>14</v>
      </c>
      <c r="C3416" t="s">
        <v>22</v>
      </c>
      <c r="D3416" s="2" t="s">
        <f>=HYPERLINK("https://main.knesset.gov.il/APPS/legislation/main/bills/2213464", "הצעת חוק לתיקון פקודת מס הכנסה (הפחתת מס רווחי הון), התשפ""ד-2024")</f>
        <v>7197</v>
      </c>
      <c r="E3416" t="s">
        <v>7197</v>
      </c>
      <c r="F3416" t="s">
        <v>7198</v>
      </c>
      <c r="G3416" t="s">
        <v>14</v>
      </c>
      <c r="H3416">
             </c>
      <c r="I3416" t="s">
        <v>14</v>
      </c>
      <c r="J3416" t="s">
        <v>141</v>
      </c>
      <c r="K3416" t="s">
        <v>14</v>
      </c>
      <c r="L3416" t="s">
        <v>20</v>
      </c>
      <c r="M3416" t="s">
        <v>7168</v>
      </c>
      <c r="N3416" t="s">
        <v>14</v>
      </c>
    </row>
    <row r="3417" x14ac:dyDescent="0.25">
      <c r="A3417" t="n">
        <v>25</v>
      </c>
      <c r="B3417" t="s">
        <v>14</v>
      </c>
      <c r="C3417" t="s">
        <v>22</v>
      </c>
      <c r="D3417" s="2" t="s">
        <f>=HYPERLINK("https://main.knesset.gov.il/APPS/legislation/main/bills/2213735", "הצעת חוק לתיקון פקודת המשטרה (ביטול הצורך בקבלת רישיון להפגנה), התשפ""ד-2024")</f>
        <v>7199</v>
      </c>
      <c r="E3417" t="s">
        <v>7199</v>
      </c>
      <c r="F3417" t="s">
        <v>7200</v>
      </c>
      <c r="G3417" t="s">
        <v>14</v>
      </c>
      <c r="H3417">
             </c>
      <c r="I3417" t="s">
        <v>14</v>
      </c>
      <c r="J3417" t="s">
        <v>141</v>
      </c>
      <c r="K3417" t="s">
        <v>14</v>
      </c>
      <c r="L3417" t="s">
        <v>20</v>
      </c>
      <c r="M3417" t="s">
        <v>7168</v>
      </c>
      <c r="N3417" t="s">
        <v>14</v>
      </c>
    </row>
    <row r="3418" x14ac:dyDescent="0.25">
      <c r="A3418" t="n">
        <v>25</v>
      </c>
      <c r="B3418" t="s">
        <v>14</v>
      </c>
      <c r="C3418" t="s">
        <v>22</v>
      </c>
      <c r="D3418" s="2" t="s">
        <f>=HYPERLINK("https://main.knesset.gov.il/APPS/legislation/main/bills/2213813", "הצעת חוק הרשות הארצית לכבאות והצלה (נכים ונספים), התשפ""ד-2024")</f>
        <v>7201</v>
      </c>
      <c r="E3418" t="s">
        <v>7201</v>
      </c>
      <c r="F3418" t="s">
        <v>7202</v>
      </c>
      <c r="G3418" t="s">
        <v>14</v>
      </c>
      <c r="H3418">
             </c>
      <c r="I3418" t="s">
        <v>14</v>
      </c>
      <c r="J3418" t="s">
        <v>141</v>
      </c>
      <c r="K3418" t="s">
        <v>14</v>
      </c>
      <c r="L3418" t="s">
        <v>20</v>
      </c>
      <c r="M3418" t="s">
        <v>7168</v>
      </c>
      <c r="N3418" t="s">
        <v>14</v>
      </c>
    </row>
    <row r="3419" x14ac:dyDescent="0.25">
      <c r="A3419" t="n">
        <v>25</v>
      </c>
      <c r="B3419" t="s">
        <v>14</v>
      </c>
      <c r="C3419" t="s">
        <v>22</v>
      </c>
      <c r="D3419" s="2" t="s">
        <f>=HYPERLINK("https://main.knesset.gov.il/APPS/legislation/main/bills/2213713", "הצעת חוק לעידוד הקמת מרחבים מוגנים דירתיים, התשפ""ד-2024")</f>
        <v>7203</v>
      </c>
      <c r="E3419" t="s">
        <v>7203</v>
      </c>
      <c r="F3419" t="s">
        <v>7204</v>
      </c>
      <c r="G3419" t="s">
        <v>14</v>
      </c>
      <c r="H3419">
             </c>
      <c r="I3419" t="s">
        <v>14</v>
      </c>
      <c r="J3419" t="s">
        <v>141</v>
      </c>
      <c r="K3419" t="s">
        <v>14</v>
      </c>
      <c r="L3419" t="s">
        <v>20</v>
      </c>
      <c r="M3419" t="s">
        <v>7168</v>
      </c>
      <c r="N3419" t="s">
        <v>14</v>
      </c>
    </row>
    <row r="3420" x14ac:dyDescent="0.25">
      <c r="A3420" t="n">
        <v>25</v>
      </c>
      <c r="B3420" t="s">
        <v>14</v>
      </c>
      <c r="C3420" t="s">
        <v>22</v>
      </c>
      <c r="D3420" s="2" t="s">
        <f>=HYPERLINK("https://main.knesset.gov.il/APPS/legislation/main/bills/2213771", "הצעת חוק-יסוד: הממשלה (תיקון - מינוי שרי הממשלה)")</f>
        <v>7205</v>
      </c>
      <c r="E3420" t="s">
        <v>7205</v>
      </c>
      <c r="F3420" t="s">
        <v>7206</v>
      </c>
      <c r="G3420" t="s">
        <v>14</v>
      </c>
      <c r="H3420">
             </c>
      <c r="I3420" t="s">
        <v>14</v>
      </c>
      <c r="J3420" t="s">
        <v>141</v>
      </c>
      <c r="K3420" t="s">
        <v>14</v>
      </c>
      <c r="L3420" t="s">
        <v>20</v>
      </c>
      <c r="M3420" t="s">
        <v>7168</v>
      </c>
      <c r="N3420" t="s">
        <v>14</v>
      </c>
    </row>
    <row r="3421" x14ac:dyDescent="0.25">
      <c r="A3421" t="n">
        <v>25</v>
      </c>
      <c r="B3421" t="s">
        <v>14</v>
      </c>
      <c r="C3421" t="s">
        <v>22</v>
      </c>
      <c r="D3421" s="2" t="s">
        <f>=HYPERLINK("https://main.knesset.gov.il/APPS/legislation/main/bills/2213441", "הצעת חוק לתיקון פקודת התעבורה (איסור נסיעת משאיות בנתיב תחבורה ציבורית), התשפ""ד-2024")</f>
        <v>7207</v>
      </c>
      <c r="E3421" t="s">
        <v>7207</v>
      </c>
      <c r="F3421" t="s">
        <v>7208</v>
      </c>
      <c r="G3421" t="s">
        <v>14</v>
      </c>
      <c r="H3421">
             </c>
      <c r="I3421" t="s">
        <v>14</v>
      </c>
      <c r="J3421" t="s">
        <v>141</v>
      </c>
      <c r="K3421" t="s">
        <v>14</v>
      </c>
      <c r="L3421" t="s">
        <v>20</v>
      </c>
      <c r="M3421" t="s">
        <v>7168</v>
      </c>
      <c r="N3421" t="s">
        <v>14</v>
      </c>
    </row>
    <row r="3422" x14ac:dyDescent="0.25">
      <c r="A3422" t="n">
        <v>25</v>
      </c>
      <c r="B3422" t="s">
        <v>14</v>
      </c>
      <c r="C3422" t="s">
        <v>22</v>
      </c>
      <c r="D3422" s="2" t="s">
        <f>=HYPERLINK("https://main.knesset.gov.il/APPS/legislation/main/bills/2213782", "הצעת חוק הסדרת העיסוק במקצועות הבריאות (תיקון - טיפול באמצעות בעלי חיים), התשפ""ד-2024")</f>
        <v>6481</v>
      </c>
      <c r="E3422" t="s">
        <v>6481</v>
      </c>
      <c r="F3422" t="s">
        <v>7209</v>
      </c>
      <c r="G3422" t="s">
        <v>14</v>
      </c>
      <c r="H3422">
             </c>
      <c r="I3422" t="s">
        <v>14</v>
      </c>
      <c r="J3422" t="s">
        <v>141</v>
      </c>
      <c r="K3422" t="s">
        <v>14</v>
      </c>
      <c r="L3422" t="s">
        <v>20</v>
      </c>
      <c r="M3422" t="s">
        <v>7168</v>
      </c>
      <c r="N3422" t="s">
        <v>14</v>
      </c>
    </row>
    <row r="3423" x14ac:dyDescent="0.25">
      <c r="A3423" t="n">
        <v>25</v>
      </c>
      <c r="B3423" t="s">
        <v>14</v>
      </c>
      <c r="C3423" t="s">
        <v>22</v>
      </c>
      <c r="D3423" s="2" t="s">
        <f>=HYPERLINK("https://main.knesset.gov.il/APPS/legislation/main/bills/2213757", "הצעת חוק הבטחת הכנסה (תיקון - גמלה למי שבן זוגו משרת במילואים בנסיבות חירום), התשפ""ד-2024")</f>
        <v>7210</v>
      </c>
      <c r="E3423" t="s">
        <v>7210</v>
      </c>
      <c r="F3423" t="s">
        <v>7211</v>
      </c>
      <c r="G3423" t="s">
        <v>14</v>
      </c>
      <c r="H3423">
             </c>
      <c r="I3423" t="s">
        <v>14</v>
      </c>
      <c r="J3423" t="s">
        <v>141</v>
      </c>
      <c r="K3423" t="s">
        <v>14</v>
      </c>
      <c r="L3423" t="s">
        <v>20</v>
      </c>
      <c r="M3423" t="s">
        <v>7168</v>
      </c>
      <c r="N3423" t="s">
        <v>14</v>
      </c>
    </row>
    <row r="3424" x14ac:dyDescent="0.25">
      <c r="A3424" t="n">
        <v>25</v>
      </c>
      <c r="B3424" t="s">
        <v>14</v>
      </c>
      <c r="C3424" t="s">
        <v>15</v>
      </c>
      <c r="D3424" s="2" t="s">
        <f>=HYPERLINK("https://main.knesset.gov.il/APPS/legislation/main/bills/2214085", "חוק לתיקון ולהארכת תוקפן של תקנות שעת חירום (חרבות ברזל) (הארכת מעצר לחשוד בעבירת ביטחון), התשפ""ד-2024")</f>
        <v>7212</v>
      </c>
      <c r="E3424" t="s">
        <v>7212</v>
      </c>
      <c r="F3424" t="s">
        <v>14</v>
      </c>
      <c r="G3424" t="s">
        <v>7213</v>
      </c>
      <c r="H3424" t="n">
        <v>3153</v>
      </c>
      <c r="I3424" t="s">
        <v>14</v>
      </c>
      <c r="J3424" t="s">
        <v>91</v>
      </c>
      <c r="K3424" t="s">
        <v>27</v>
      </c>
      <c r="L3424" t="s">
        <v>20</v>
      </c>
      <c r="M3424" t="s">
        <v>7214</v>
      </c>
      <c r="N3424" t="s">
        <v>7215</v>
      </c>
    </row>
    <row r="3425" x14ac:dyDescent="0.25">
      <c r="A3425" t="n">
        <v>25</v>
      </c>
      <c r="B3425" t="s">
        <v>14</v>
      </c>
      <c r="C3425" t="s">
        <v>22</v>
      </c>
      <c r="D3425" s="2" t="s">
        <f>=HYPERLINK("https://main.knesset.gov.il/APPS/legislation/main/bills/2211011", "הצעת חוק עצירת כספים קואליציוניים במצב חירום (הוראת שעה - חרבות ברזל), התשפ""ד-2023")</f>
        <v>7216</v>
      </c>
      <c r="E3425" t="s">
        <v>7216</v>
      </c>
      <c r="F3425" t="s">
        <v>7217</v>
      </c>
      <c r="G3425" t="s">
        <v>14</v>
      </c>
      <c r="H3425">
             </c>
      <c r="I3425" t="s">
        <v>14</v>
      </c>
      <c r="J3425" t="s">
        <v>55</v>
      </c>
      <c r="K3425" t="s">
        <v>14</v>
      </c>
      <c r="L3425" t="s">
        <v>20</v>
      </c>
      <c r="M3425" t="s">
        <v>7214</v>
      </c>
      <c r="N3425" t="s">
        <v>14</v>
      </c>
    </row>
    <row r="3426" x14ac:dyDescent="0.25">
      <c r="A3426" t="n">
        <v>25</v>
      </c>
      <c r="B3426" t="s">
        <v>14</v>
      </c>
      <c r="C3426" t="s">
        <v>22</v>
      </c>
      <c r="D3426" s="2" t="s">
        <f>=HYPERLINK("https://main.knesset.gov.il/APPS/legislation/main/bills/2211131", "הצעת חוק לצמצום משרדי ממשלה ולהעברת תקציבם למאמץ המלחמתי (הוראת שעה - חרבות ברזל), התשפ״ד-2023")</f>
        <v>7218</v>
      </c>
      <c r="E3426" t="s">
        <v>7218</v>
      </c>
      <c r="F3426" t="s">
        <v>7219</v>
      </c>
      <c r="G3426" t="s">
        <v>14</v>
      </c>
      <c r="H3426">
             </c>
      <c r="I3426" t="s">
        <v>14</v>
      </c>
      <c r="J3426" t="s">
        <v>55</v>
      </c>
      <c r="K3426" t="s">
        <v>14</v>
      </c>
      <c r="L3426" t="s">
        <v>20</v>
      </c>
      <c r="M3426" t="s">
        <v>7214</v>
      </c>
      <c r="N3426" t="s">
        <v>14</v>
      </c>
    </row>
    <row r="3427" x14ac:dyDescent="0.25">
      <c r="A3427" t="n">
        <v>25</v>
      </c>
      <c r="B3427" t="s">
        <v>14</v>
      </c>
      <c r="C3427" t="s">
        <v>22</v>
      </c>
      <c r="D3427" s="2" t="s">
        <f>=HYPERLINK("https://main.knesset.gov.il/APPS/legislation/main/bills/2211369", "הצעת חוק-יסוד: כבוד האדם וחירותו (תיקון - שוויון בפני החוק ואיסור הפליה)")</f>
        <v>7220</v>
      </c>
      <c r="E3427" t="s">
        <v>7220</v>
      </c>
      <c r="F3427" t="s">
        <v>7221</v>
      </c>
      <c r="G3427" t="s">
        <v>14</v>
      </c>
      <c r="H3427">
             </c>
      <c r="I3427" t="s">
        <v>14</v>
      </c>
      <c r="J3427" t="s">
        <v>55</v>
      </c>
      <c r="K3427" t="s">
        <v>14</v>
      </c>
      <c r="L3427" t="s">
        <v>20</v>
      </c>
      <c r="M3427" t="s">
        <v>7214</v>
      </c>
      <c r="N3427" t="s">
        <v>14</v>
      </c>
    </row>
    <row r="3428" x14ac:dyDescent="0.25">
      <c r="A3428" t="n">
        <v>25</v>
      </c>
      <c r="B3428" t="s">
        <v>14</v>
      </c>
      <c r="C3428" t="s">
        <v>22</v>
      </c>
      <c r="D3428" s="2" t="s">
        <f>=HYPERLINK("https://main.knesset.gov.il/APPS/legislation/main/bills/2207020", "הצעת חוק חובת המכרזים (תיקון - עידוד הצלת מזון עודף), התשפ""ג-2023")</f>
        <v>7222</v>
      </c>
      <c r="E3428" t="s">
        <v>7222</v>
      </c>
      <c r="F3428" t="s">
        <v>7223</v>
      </c>
      <c r="G3428" t="s">
        <v>14</v>
      </c>
      <c r="H3428">
             </c>
      <c r="I3428" t="s">
        <v>14</v>
      </c>
      <c r="J3428" t="s">
        <v>31</v>
      </c>
      <c r="K3428" t="s">
        <v>27</v>
      </c>
      <c r="L3428" t="s">
        <v>20</v>
      </c>
      <c r="M3428" t="s">
        <v>7214</v>
      </c>
      <c r="N3428" t="s">
        <v>14</v>
      </c>
    </row>
    <row r="3429" x14ac:dyDescent="0.25">
      <c r="A3429" t="n">
        <v>25</v>
      </c>
      <c r="B3429" t="s">
        <v>14</v>
      </c>
      <c r="C3429" t="s">
        <v>22</v>
      </c>
      <c r="D3429" s="2" t="s">
        <f>=HYPERLINK("https://main.knesset.gov.il/APPS/legislation/main/bills/2205838", "הצעת חוק חובת המכרזים (תיקון - עידוד הצלת מזון עודף), התשפ""ג-2023")</f>
        <v>7222</v>
      </c>
      <c r="E3429" t="s">
        <v>7222</v>
      </c>
      <c r="F3429" t="s">
        <v>7224</v>
      </c>
      <c r="G3429" t="s">
        <v>14</v>
      </c>
      <c r="H3429">
             </c>
      <c r="I3429" t="s">
        <v>14</v>
      </c>
      <c r="J3429" t="s">
        <v>31</v>
      </c>
      <c r="K3429" t="s">
        <v>27</v>
      </c>
      <c r="L3429" t="s">
        <v>20</v>
      </c>
      <c r="M3429" t="s">
        <v>7214</v>
      </c>
      <c r="N3429" t="s">
        <v>14</v>
      </c>
    </row>
    <row r="3430" x14ac:dyDescent="0.25">
      <c r="A3430" t="n">
        <v>25</v>
      </c>
      <c r="B3430" t="s">
        <v>14</v>
      </c>
      <c r="C3430" t="s">
        <v>22</v>
      </c>
      <c r="D3430" s="2" t="s">
        <f>=HYPERLINK("https://main.knesset.gov.il/APPS/legislation/main/bills/2199396", "הצעת חוק תאגידי מים וביוב (תיקון - הקמת ועדת הנחות), התשפ""ג-2023")</f>
        <v>7225</v>
      </c>
      <c r="E3430" t="s">
        <v>7225</v>
      </c>
      <c r="F3430" t="s">
        <v>7226</v>
      </c>
      <c r="G3430" t="s">
        <v>14</v>
      </c>
      <c r="H3430">
             </c>
      <c r="I3430" t="s">
        <v>14</v>
      </c>
      <c r="J3430" t="s">
        <v>55</v>
      </c>
      <c r="K3430" t="s">
        <v>14</v>
      </c>
      <c r="L3430" t="s">
        <v>20</v>
      </c>
      <c r="M3430" t="s">
        <v>7214</v>
      </c>
      <c r="N3430" t="s">
        <v>14</v>
      </c>
    </row>
    <row r="3431" x14ac:dyDescent="0.25">
      <c r="A3431" t="n">
        <v>25</v>
      </c>
      <c r="B3431" t="s">
        <v>14</v>
      </c>
      <c r="C3431" t="s">
        <v>22</v>
      </c>
      <c r="D3431" s="2" t="s">
        <f>=HYPERLINK("https://main.knesset.gov.il/APPS/legislation/main/bills/2197704", "הצעת חוק לתיקון פקודת מס הכנסה (הגדלת זיכוי מס על תרומה לבתי חולים בפריפריה), התשפ""ג-2022")</f>
        <v>7227</v>
      </c>
      <c r="E3431" t="s">
        <v>7227</v>
      </c>
      <c r="F3431" t="s">
        <v>7228</v>
      </c>
      <c r="G3431" t="s">
        <v>14</v>
      </c>
      <c r="H3431">
             </c>
      <c r="I3431" t="s">
        <v>14</v>
      </c>
      <c r="J3431" t="s">
        <v>55</v>
      </c>
      <c r="K3431" t="s">
        <v>14</v>
      </c>
      <c r="L3431" t="s">
        <v>20</v>
      </c>
      <c r="M3431" t="s">
        <v>7214</v>
      </c>
      <c r="N3431" t="s">
        <v>14</v>
      </c>
    </row>
    <row r="3432" x14ac:dyDescent="0.25">
      <c r="A3432" t="n">
        <v>25</v>
      </c>
      <c r="B3432" t="s">
        <v>14</v>
      </c>
      <c r="C3432" t="s">
        <v>22</v>
      </c>
      <c r="D3432" s="2" t="s">
        <f>=HYPERLINK("https://main.knesset.gov.il/APPS/legislation/main/bills/2199624", "הצעת חוק יום האחדות, התשפ""ג–2023")</f>
        <v>7229</v>
      </c>
      <c r="E3432" t="s">
        <v>7229</v>
      </c>
      <c r="F3432" t="s">
        <v>7230</v>
      </c>
      <c r="G3432" t="s">
        <v>14</v>
      </c>
      <c r="H3432">
             </c>
      <c r="I3432" t="s">
        <v>14</v>
      </c>
      <c r="J3432" t="s">
        <v>99</v>
      </c>
      <c r="K3432" t="s">
        <v>34</v>
      </c>
      <c r="L3432" t="s">
        <v>20</v>
      </c>
      <c r="M3432" t="s">
        <v>7231</v>
      </c>
      <c r="N3432" t="s">
        <v>14</v>
      </c>
    </row>
    <row r="3433" x14ac:dyDescent="0.25">
      <c r="A3433" t="n">
        <v>25</v>
      </c>
      <c r="B3433" t="s">
        <v>14</v>
      </c>
      <c r="C3433" t="s">
        <v>22</v>
      </c>
      <c r="D3433" s="2" t="s">
        <f>=HYPERLINK("https://main.knesset.gov.il/APPS/legislation/main/bills/2198571", "הצעת חוק יום האחדות, התשפ""ג-2023")</f>
        <v>7232</v>
      </c>
      <c r="E3433" t="s">
        <v>7232</v>
      </c>
      <c r="F3433" t="s">
        <v>7233</v>
      </c>
      <c r="G3433" t="s">
        <v>14</v>
      </c>
      <c r="H3433">
             </c>
      <c r="I3433" t="s">
        <v>14</v>
      </c>
      <c r="J3433" t="s">
        <v>99</v>
      </c>
      <c r="K3433" t="s">
        <v>34</v>
      </c>
      <c r="L3433" t="s">
        <v>20</v>
      </c>
      <c r="M3433" t="s">
        <v>7231</v>
      </c>
      <c r="N3433" t="s">
        <v>14</v>
      </c>
    </row>
    <row r="3434" x14ac:dyDescent="0.25">
      <c r="A3434" t="n">
        <v>25</v>
      </c>
      <c r="B3434" t="s">
        <v>14</v>
      </c>
      <c r="C3434" t="s">
        <v>22</v>
      </c>
      <c r="D3434" s="2" t="s">
        <f>=HYPERLINK("https://main.knesset.gov.il/APPS/legislation/main/bills/2212280", "הצעת חוק סיוע לסטודנטים המשרתים במילואים (הוראת שעה - חרבות ברזל), התשפ""ד-2023")</f>
        <v>7234</v>
      </c>
      <c r="E3434" t="s">
        <v>7234</v>
      </c>
      <c r="F3434" t="s">
        <v>7235</v>
      </c>
      <c r="G3434" t="s">
        <v>14</v>
      </c>
      <c r="H3434">
             </c>
      <c r="I3434" t="s">
        <v>14</v>
      </c>
      <c r="J3434" t="s">
        <v>99</v>
      </c>
      <c r="K3434" t="s">
        <v>34</v>
      </c>
      <c r="L3434" t="s">
        <v>20</v>
      </c>
      <c r="M3434" t="s">
        <v>7231</v>
      </c>
      <c r="N3434" t="s">
        <v>14</v>
      </c>
    </row>
    <row r="3435" x14ac:dyDescent="0.25">
      <c r="A3435" t="n">
        <v>25</v>
      </c>
      <c r="B3435" t="s">
        <v>14</v>
      </c>
      <c r="C3435" t="s">
        <v>22</v>
      </c>
      <c r="D3435" s="2" t="s">
        <f>=HYPERLINK("https://main.knesset.gov.il/APPS/legislation/main/bills/2198161", "הצעת חוק עידוד מעורבות סטודנטים בפעילות חברתית וקהילתית (תיקון – הקלות למשרתי מילואים), התשפ""ג–2023")</f>
        <v>7236</v>
      </c>
      <c r="E3435" t="s">
        <v>7236</v>
      </c>
      <c r="F3435" t="s">
        <v>7237</v>
      </c>
      <c r="G3435" t="s">
        <v>14</v>
      </c>
      <c r="H3435">
             </c>
      <c r="I3435" t="s">
        <v>14</v>
      </c>
      <c r="J3435" t="s">
        <v>99</v>
      </c>
      <c r="K3435" t="s">
        <v>34</v>
      </c>
      <c r="L3435" t="s">
        <v>20</v>
      </c>
      <c r="M3435" t="s">
        <v>7231</v>
      </c>
      <c r="N3435" t="s">
        <v>14</v>
      </c>
    </row>
    <row r="3436" x14ac:dyDescent="0.25">
      <c r="A3436" t="n">
        <v>25</v>
      </c>
      <c r="B3436" t="s">
        <v>14</v>
      </c>
      <c r="C3436" t="s">
        <v>22</v>
      </c>
      <c r="D3436" s="2" t="s">
        <f>=HYPERLINK("https://main.knesset.gov.il/APPS/legislation/main/bills/2203048", "הצעת חוק לתיקון פקודת התעבורה (תשלום דמי חניה), התשפ""ג-2023")</f>
        <v>7238</v>
      </c>
      <c r="E3436" t="s">
        <v>7238</v>
      </c>
      <c r="F3436" t="s">
        <v>7239</v>
      </c>
      <c r="G3436" t="s">
        <v>14</v>
      </c>
      <c r="H3436">
             </c>
      <c r="I3436" t="s">
        <v>14</v>
      </c>
      <c r="J3436" t="s">
        <v>99</v>
      </c>
      <c r="K3436" t="s">
        <v>19</v>
      </c>
      <c r="L3436" t="s">
        <v>20</v>
      </c>
      <c r="M3436" t="s">
        <v>7240</v>
      </c>
      <c r="N3436" t="s">
        <v>14</v>
      </c>
    </row>
    <row r="3437" x14ac:dyDescent="0.25">
      <c r="A3437" t="n">
        <v>25</v>
      </c>
      <c r="B3437" t="s">
        <v>14</v>
      </c>
      <c r="C3437" t="s">
        <v>22</v>
      </c>
      <c r="D3437" s="2" t="s">
        <f>=HYPERLINK("https://main.knesset.gov.il/APPS/legislation/main/bills/2199213", "הצעת חוק לתיקון פקודת התעבורה (תשלום דמי חניה), התשפ""ג-2023")</f>
        <v>7238</v>
      </c>
      <c r="E3437" t="s">
        <v>7238</v>
      </c>
      <c r="F3437" t="s">
        <v>7241</v>
      </c>
      <c r="G3437" t="s">
        <v>14</v>
      </c>
      <c r="H3437">
             </c>
      <c r="I3437" t="s">
        <v>14</v>
      </c>
      <c r="J3437" t="s">
        <v>99</v>
      </c>
      <c r="K3437" t="s">
        <v>19</v>
      </c>
      <c r="L3437" t="s">
        <v>20</v>
      </c>
      <c r="M3437" t="s">
        <v>7240</v>
      </c>
      <c r="N3437" t="s">
        <v>14</v>
      </c>
    </row>
    <row r="3438" x14ac:dyDescent="0.25">
      <c r="A3438" t="n">
        <v>25</v>
      </c>
      <c r="B3438" t="s">
        <v>14</v>
      </c>
      <c r="C3438" t="s">
        <v>22</v>
      </c>
      <c r="D3438" s="2" t="s">
        <f>=HYPERLINK("https://main.knesset.gov.il/APPS/legislation/main/bills/2198133", "הצעת חוק לתיקון פקודת התעבורה (תיקון - תשלום דמי חניה), התשפ""ג-2022")</f>
        <v>7242</v>
      </c>
      <c r="E3438" t="s">
        <v>7242</v>
      </c>
      <c r="F3438" t="s">
        <v>7243</v>
      </c>
      <c r="G3438" t="s">
        <v>14</v>
      </c>
      <c r="H3438">
             </c>
      <c r="I3438" t="s">
        <v>14</v>
      </c>
      <c r="J3438" t="s">
        <v>99</v>
      </c>
      <c r="K3438" t="s">
        <v>19</v>
      </c>
      <c r="L3438" t="s">
        <v>20</v>
      </c>
      <c r="M3438" t="s">
        <v>7240</v>
      </c>
      <c r="N3438" t="s">
        <v>14</v>
      </c>
    </row>
    <row r="3439" x14ac:dyDescent="0.25">
      <c r="A3439" t="n">
        <v>25</v>
      </c>
      <c r="B3439" t="s">
        <v>14</v>
      </c>
      <c r="C3439" t="s">
        <v>15</v>
      </c>
      <c r="D3439" s="2" t="s">
        <f>=HYPERLINK("https://main.knesset.gov.il/APPS/legislation/main/bills/2206507", "הצעת חוק בתי דין רבניים (סדרי דין בעת מצב חירום מיוחד), התשפ""ג-2023")</f>
        <v>7244</v>
      </c>
      <c r="E3439" t="s">
        <v>7244</v>
      </c>
      <c r="F3439" t="s">
        <v>14</v>
      </c>
      <c r="G3439" t="s">
        <v>7245</v>
      </c>
      <c r="H3439">
             </c>
      <c r="I3439" t="s">
        <v>14</v>
      </c>
      <c r="J3439" t="s">
        <v>18</v>
      </c>
      <c r="K3439" t="s">
        <v>27</v>
      </c>
      <c r="L3439" t="s">
        <v>20</v>
      </c>
      <c r="M3439" t="s">
        <v>7240</v>
      </c>
      <c r="N3439" t="s">
        <v>14</v>
      </c>
    </row>
    <row r="3440" x14ac:dyDescent="0.25">
      <c r="A3440" t="n">
        <v>25</v>
      </c>
      <c r="B3440" t="s">
        <v>14</v>
      </c>
      <c r="C3440" t="s">
        <v>22</v>
      </c>
      <c r="D3440" s="2" t="s">
        <f>=HYPERLINK("https://main.knesset.gov.il/APPS/legislation/main/bills/2214295", "הצעת חוק סיוע למשפחות משרתי כוחות ביטחון ומשרתי מילואים בשעת חירום (תיקוני חקיקה), התשפ""ד-2024")</f>
        <v>7246</v>
      </c>
      <c r="E3440" t="s">
        <v>7246</v>
      </c>
      <c r="F3440" t="s">
        <v>7247</v>
      </c>
      <c r="G3440" t="s">
        <v>14</v>
      </c>
      <c r="H3440">
             </c>
      <c r="I3440" t="s">
        <v>14</v>
      </c>
      <c r="J3440" t="s">
        <v>141</v>
      </c>
      <c r="K3440" t="s">
        <v>14</v>
      </c>
      <c r="L3440" t="s">
        <v>20</v>
      </c>
      <c r="M3440" t="s">
        <v>7240</v>
      </c>
      <c r="N3440" t="s">
        <v>14</v>
      </c>
    </row>
    <row r="3441" x14ac:dyDescent="0.25">
      <c r="A3441" t="n">
        <v>25</v>
      </c>
      <c r="B3441" t="s">
        <v>14</v>
      </c>
      <c r="C3441" t="s">
        <v>22</v>
      </c>
      <c r="D3441" s="2" t="s">
        <f>=HYPERLINK("https://main.knesset.gov.il/APPS/legislation/main/bills/2212827", "הצעת חוק סגירת ערוץ אלג'זירה, התשפ""ד-2024")</f>
        <v>7248</v>
      </c>
      <c r="E3441" t="s">
        <v>7248</v>
      </c>
      <c r="F3441" t="s">
        <v>7249</v>
      </c>
      <c r="G3441" t="s">
        <v>14</v>
      </c>
      <c r="H3441">
             </c>
      <c r="I3441" t="s">
        <v>14</v>
      </c>
      <c r="J3441" t="s">
        <v>141</v>
      </c>
      <c r="K3441" t="s">
        <v>14</v>
      </c>
      <c r="L3441" t="s">
        <v>20</v>
      </c>
      <c r="M3441" t="s">
        <v>7240</v>
      </c>
      <c r="N3441" t="s">
        <v>14</v>
      </c>
    </row>
    <row r="3442" x14ac:dyDescent="0.25">
      <c r="A3442" t="n">
        <v>25</v>
      </c>
      <c r="B3442" t="s">
        <v>14</v>
      </c>
      <c r="C3442" t="s">
        <v>22</v>
      </c>
      <c r="D3442" s="2" t="s">
        <f>=HYPERLINK("https://main.knesset.gov.il/APPS/legislation/main/bills/2214286", "הצעת חוק סיוע למשפחות משרתי כוחות ביטחון ומשרתי מילואים בשעת חירום (תיקוני חקיקה), התשפ""ד-2024")</f>
        <v>7246</v>
      </c>
      <c r="E3442" t="s">
        <v>7246</v>
      </c>
      <c r="F3442" t="s">
        <v>7250</v>
      </c>
      <c r="G3442" t="s">
        <v>14</v>
      </c>
      <c r="H3442">
             </c>
      <c r="I3442" t="s">
        <v>14</v>
      </c>
      <c r="J3442" t="s">
        <v>141</v>
      </c>
      <c r="K3442" t="s">
        <v>14</v>
      </c>
      <c r="L3442" t="s">
        <v>20</v>
      </c>
      <c r="M3442" t="s">
        <v>7240</v>
      </c>
      <c r="N3442" t="s">
        <v>14</v>
      </c>
    </row>
    <row r="3443" x14ac:dyDescent="0.25">
      <c r="A3443" t="n">
        <v>25</v>
      </c>
      <c r="B3443" t="s">
        <v>14</v>
      </c>
      <c r="C3443" t="s">
        <v>22</v>
      </c>
      <c r="D3443" s="2" t="s">
        <f>=HYPERLINK("https://main.knesset.gov.il/APPS/legislation/main/bills/2207655", "הצעת חוק הפיקוח על שירותים פיננסיים (ביטוח) (תיקון - איסור סירוב התקשרות של גוף מוסדי עם סוכן ביטוח), התשפ""ד-2024")</f>
        <v>7251</v>
      </c>
      <c r="E3443" t="s">
        <v>7251</v>
      </c>
      <c r="F3443" t="s">
        <v>7252</v>
      </c>
      <c r="G3443" t="s">
        <v>14</v>
      </c>
      <c r="H3443">
             </c>
      <c r="I3443" t="s">
        <v>14</v>
      </c>
      <c r="J3443" t="s">
        <v>343</v>
      </c>
      <c r="K3443" t="s">
        <v>14</v>
      </c>
      <c r="L3443" t="s">
        <v>20</v>
      </c>
      <c r="M3443" t="s">
        <v>7240</v>
      </c>
      <c r="N3443" t="s">
        <v>14</v>
      </c>
    </row>
    <row r="3444" x14ac:dyDescent="0.25">
      <c r="A3444" t="n">
        <v>25</v>
      </c>
      <c r="B3444" t="s">
        <v>14</v>
      </c>
      <c r="C3444" t="s">
        <v>22</v>
      </c>
      <c r="D3444" s="2" t="s">
        <f>=HYPERLINK("https://main.knesset.gov.il/APPS/legislation/main/bills/2213729", "הצעת חוק שיקום שכונות דרום תל-אביב ותמריצים לפיזור גאוגרפי של מסתננים (הוראת שעה), התשפ""ד-2024")</f>
        <v>7253</v>
      </c>
      <c r="E3444" t="s">
        <v>7253</v>
      </c>
      <c r="F3444" t="s">
        <v>7254</v>
      </c>
      <c r="G3444" t="s">
        <v>14</v>
      </c>
      <c r="H3444">
             </c>
      <c r="I3444" t="s">
        <v>14</v>
      </c>
      <c r="J3444" t="s">
        <v>141</v>
      </c>
      <c r="K3444" t="s">
        <v>14</v>
      </c>
      <c r="L3444" t="s">
        <v>20</v>
      </c>
      <c r="M3444" t="s">
        <v>7240</v>
      </c>
      <c r="N3444" t="s">
        <v>14</v>
      </c>
    </row>
    <row r="3445" x14ac:dyDescent="0.25">
      <c r="A3445" t="n">
        <v>25</v>
      </c>
      <c r="B3445" t="s">
        <v>14</v>
      </c>
      <c r="C3445" t="s">
        <v>22</v>
      </c>
      <c r="D3445" s="2" t="s">
        <f>=HYPERLINK("https://main.knesset.gov.il/APPS/legislation/main/bills/2213822", "הצעת חוק גנים לאומיים, שמורות טבע, אתרים לאומיים ואתרי הנצחה (תיקון - העצמת הפיקוח הפרלמנטרי), התשפ""ד-2024")</f>
        <v>7255</v>
      </c>
      <c r="E3445" t="s">
        <v>7255</v>
      </c>
      <c r="F3445" t="s">
        <v>7256</v>
      </c>
      <c r="G3445" t="s">
        <v>14</v>
      </c>
      <c r="H3445">
             </c>
      <c r="I3445" t="s">
        <v>14</v>
      </c>
      <c r="J3445" t="s">
        <v>141</v>
      </c>
      <c r="K3445" t="s">
        <v>14</v>
      </c>
      <c r="L3445" t="s">
        <v>20</v>
      </c>
      <c r="M3445" t="s">
        <v>7240</v>
      </c>
      <c r="N3445" t="s">
        <v>14</v>
      </c>
    </row>
    <row r="3446" x14ac:dyDescent="0.25">
      <c r="A3446" t="n">
        <v>25</v>
      </c>
      <c r="B3446" t="s">
        <v>14</v>
      </c>
      <c r="C3446" t="s">
        <v>22</v>
      </c>
      <c r="D3446" s="2" t="s">
        <f>=HYPERLINK("https://main.knesset.gov.il/APPS/legislation/main/bills/2213622", "הצעת חוק להסדר ההימורים בספורט (תיקון - העברת יתרת ההכנסות למדינה), התשפ""ד-2024")</f>
        <v>7257</v>
      </c>
      <c r="E3446" t="s">
        <v>7257</v>
      </c>
      <c r="F3446" t="s">
        <v>7258</v>
      </c>
      <c r="G3446" t="s">
        <v>14</v>
      </c>
      <c r="H3446">
             </c>
      <c r="I3446" t="s">
        <v>14</v>
      </c>
      <c r="J3446" t="s">
        <v>141</v>
      </c>
      <c r="K3446" t="s">
        <v>14</v>
      </c>
      <c r="L3446" t="s">
        <v>20</v>
      </c>
      <c r="M3446" t="s">
        <v>7240</v>
      </c>
      <c r="N3446" t="s">
        <v>14</v>
      </c>
    </row>
    <row r="3447" x14ac:dyDescent="0.25">
      <c r="A3447" t="n">
        <v>25</v>
      </c>
      <c r="B3447" t="s">
        <v>14</v>
      </c>
      <c r="C3447" t="s">
        <v>22</v>
      </c>
      <c r="D3447" s="2" t="s">
        <f>=HYPERLINK("https://main.knesset.gov.il/APPS/legislation/main/bills/2213403", "הצעת חוק הפיקוח על מעונות יום לפעוטות (תיקון - חובת מרחב מוגן), התשפ""ד-2024")</f>
        <v>7259</v>
      </c>
      <c r="E3447" t="s">
        <v>7259</v>
      </c>
      <c r="F3447" t="s">
        <v>7260</v>
      </c>
      <c r="G3447" t="s">
        <v>14</v>
      </c>
      <c r="H3447">
             </c>
      <c r="I3447" t="s">
        <v>14</v>
      </c>
      <c r="J3447" t="s">
        <v>141</v>
      </c>
      <c r="K3447" t="s">
        <v>14</v>
      </c>
      <c r="L3447" t="s">
        <v>20</v>
      </c>
      <c r="M3447" t="s">
        <v>7240</v>
      </c>
      <c r="N3447" t="s">
        <v>14</v>
      </c>
    </row>
    <row r="3448" x14ac:dyDescent="0.25">
      <c r="A3448" t="n">
        <v>25</v>
      </c>
      <c r="B3448" t="s">
        <v>14</v>
      </c>
      <c r="C3448" t="s">
        <v>22</v>
      </c>
      <c r="D3448" s="2" t="s">
        <f>=HYPERLINK("https://main.knesset.gov.il/APPS/legislation/main/bills/2212921", "הצעת חוק מס קנייה (טובין ושירותים) (תיקון - שיעור המס על רכב חשמלי), התשפ""ד-2024")</f>
        <v>6955</v>
      </c>
      <c r="E3448" t="s">
        <v>6955</v>
      </c>
      <c r="F3448" t="s">
        <v>7261</v>
      </c>
      <c r="G3448" t="s">
        <v>14</v>
      </c>
      <c r="H3448">
             </c>
      <c r="I3448" t="s">
        <v>14</v>
      </c>
      <c r="J3448" t="s">
        <v>141</v>
      </c>
      <c r="K3448" t="s">
        <v>14</v>
      </c>
      <c r="L3448" t="s">
        <v>20</v>
      </c>
      <c r="M3448" t="s">
        <v>7240</v>
      </c>
      <c r="N3448" t="s">
        <v>14</v>
      </c>
    </row>
    <row r="3449" x14ac:dyDescent="0.25">
      <c r="A3449" t="n">
        <v>25</v>
      </c>
      <c r="B3449" t="s">
        <v>14</v>
      </c>
      <c r="C3449" t="s">
        <v>22</v>
      </c>
      <c r="D3449" s="2" t="s">
        <f>=HYPERLINK("https://main.knesset.gov.il/APPS/legislation/main/bills/2214093", "הצעת חוק טוס כחול לבן, התשפ""ד-2024")</f>
        <v>7262</v>
      </c>
      <c r="E3449" t="s">
        <v>7262</v>
      </c>
      <c r="F3449" t="s">
        <v>7263</v>
      </c>
      <c r="G3449" t="s">
        <v>14</v>
      </c>
      <c r="H3449">
             </c>
      <c r="I3449" t="s">
        <v>14</v>
      </c>
      <c r="J3449" t="s">
        <v>141</v>
      </c>
      <c r="K3449" t="s">
        <v>14</v>
      </c>
      <c r="L3449" t="s">
        <v>20</v>
      </c>
      <c r="M3449" t="s">
        <v>7240</v>
      </c>
      <c r="N3449" t="s">
        <v>14</v>
      </c>
    </row>
    <row r="3450" x14ac:dyDescent="0.25">
      <c r="A3450" t="n">
        <v>25</v>
      </c>
      <c r="B3450" t="s">
        <v>14</v>
      </c>
      <c r="C3450" t="s">
        <v>22</v>
      </c>
      <c r="D3450" s="2" t="s">
        <f>=HYPERLINK("https://main.knesset.gov.il/APPS/legislation/main/bills/2213734", "הצעת חוק הרשות הלאומית למניעת התאבדויות, התשפ""ד-2024")</f>
        <v>7264</v>
      </c>
      <c r="E3450" t="s">
        <v>7264</v>
      </c>
      <c r="F3450" t="s">
        <v>7265</v>
      </c>
      <c r="G3450" t="s">
        <v>14</v>
      </c>
      <c r="H3450">
             </c>
      <c r="I3450" t="s">
        <v>14</v>
      </c>
      <c r="J3450" t="s">
        <v>141</v>
      </c>
      <c r="K3450" t="s">
        <v>14</v>
      </c>
      <c r="L3450" t="s">
        <v>20</v>
      </c>
      <c r="M3450" t="s">
        <v>7240</v>
      </c>
      <c r="N3450" t="s">
        <v>14</v>
      </c>
    </row>
    <row r="3451" x14ac:dyDescent="0.25">
      <c r="A3451" t="n">
        <v>25</v>
      </c>
      <c r="B3451" t="s">
        <v>14</v>
      </c>
      <c r="C3451" t="s">
        <v>22</v>
      </c>
      <c r="D3451" s="2" t="s">
        <f>=HYPERLINK("https://main.knesset.gov.il/APPS/legislation/main/bills/2213739", "הצעת חוק מס ערך מוסף (תיקון - מס בשיעור אפס על מתן שירותי בנייה לצורך הוספת מרחבים מוגנים ביישובים סמוכי גבול), התשפ""ד-2024")</f>
        <v>7266</v>
      </c>
      <c r="E3451" t="s">
        <v>7266</v>
      </c>
      <c r="F3451" t="s">
        <v>7267</v>
      </c>
      <c r="G3451" t="s">
        <v>14</v>
      </c>
      <c r="H3451">
             </c>
      <c r="I3451" t="s">
        <v>14</v>
      </c>
      <c r="J3451" t="s">
        <v>141</v>
      </c>
      <c r="K3451" t="s">
        <v>14</v>
      </c>
      <c r="L3451" t="s">
        <v>20</v>
      </c>
      <c r="M3451" t="s">
        <v>7240</v>
      </c>
      <c r="N3451" t="s">
        <v>14</v>
      </c>
    </row>
    <row r="3452" x14ac:dyDescent="0.25">
      <c r="A3452" t="n">
        <v>25</v>
      </c>
      <c r="B3452" t="s">
        <v>14</v>
      </c>
      <c r="C3452" t="s">
        <v>22</v>
      </c>
      <c r="D3452" s="2" t="s">
        <f>=HYPERLINK("https://main.knesset.gov.il/APPS/legislation/main/bills/2213877", "הצעת חוק זכאות למענק להוספת מרחב מוגן דירתי ומרחב מוגן קומתי ביישובים סמוכים לגבול (הוראת שעה), התשפ""ד-2024")</f>
        <v>7268</v>
      </c>
      <c r="E3452" t="s">
        <v>7268</v>
      </c>
      <c r="F3452" t="s">
        <v>7269</v>
      </c>
      <c r="G3452" t="s">
        <v>14</v>
      </c>
      <c r="H3452">
             </c>
      <c r="I3452" t="s">
        <v>14</v>
      </c>
      <c r="J3452" t="s">
        <v>141</v>
      </c>
      <c r="K3452" t="s">
        <v>14</v>
      </c>
      <c r="L3452" t="s">
        <v>20</v>
      </c>
      <c r="M3452" t="s">
        <v>7240</v>
      </c>
      <c r="N3452" t="s">
        <v>14</v>
      </c>
    </row>
    <row r="3453" x14ac:dyDescent="0.25">
      <c r="A3453" t="n">
        <v>25</v>
      </c>
      <c r="B3453" t="s">
        <v>14</v>
      </c>
      <c r="C3453" t="s">
        <v>22</v>
      </c>
      <c r="D3453" s="2" t="s">
        <f>=HYPERLINK("https://main.knesset.gov.il/APPS/legislation/main/bills/2213988", "הצעת חוק הבנקאות (רישוי) (תיקון - הפרדה בין בנקים), התשפ""ד-2024")</f>
        <v>7270</v>
      </c>
      <c r="E3453" t="s">
        <v>7270</v>
      </c>
      <c r="F3453" t="s">
        <v>7271</v>
      </c>
      <c r="G3453" t="s">
        <v>14</v>
      </c>
      <c r="H3453">
             </c>
      <c r="I3453" t="s">
        <v>14</v>
      </c>
      <c r="J3453" t="s">
        <v>141</v>
      </c>
      <c r="K3453" t="s">
        <v>14</v>
      </c>
      <c r="L3453" t="s">
        <v>20</v>
      </c>
      <c r="M3453" t="s">
        <v>7240</v>
      </c>
      <c r="N3453" t="s">
        <v>14</v>
      </c>
    </row>
    <row r="3454" x14ac:dyDescent="0.25">
      <c r="A3454" t="n">
        <v>25</v>
      </c>
      <c r="B3454" t="s">
        <v>14</v>
      </c>
      <c r="C3454" t="s">
        <v>22</v>
      </c>
      <c r="D3454" s="2" t="s">
        <f>=HYPERLINK("https://main.knesset.gov.il/APPS/legislation/main/bills/2200573", "חוק הבנקאות (שירות ללקוח) (תיקון מס' 37), התשפ""ד–2024")</f>
        <v>7272</v>
      </c>
      <c r="E3454" t="s">
        <v>7272</v>
      </c>
      <c r="F3454" t="s">
        <v>7273</v>
      </c>
      <c r="G3454" t="s">
        <v>7274</v>
      </c>
      <c r="H3454" t="n">
        <v>3152</v>
      </c>
      <c r="I3454" t="s">
        <v>14</v>
      </c>
      <c r="J3454" t="s">
        <v>91</v>
      </c>
      <c r="K3454" t="s">
        <v>108</v>
      </c>
      <c r="L3454" t="s">
        <v>20</v>
      </c>
      <c r="M3454" t="s">
        <v>7275</v>
      </c>
      <c r="N3454" t="s">
        <v>7276</v>
      </c>
    </row>
    <row r="3455" x14ac:dyDescent="0.25">
      <c r="A3455" t="n">
        <v>25</v>
      </c>
      <c r="B3455" t="s">
        <v>14</v>
      </c>
      <c r="C3455" t="s">
        <v>15</v>
      </c>
      <c r="D3455" s="2" t="s">
        <f>=HYPERLINK("https://main.knesset.gov.il/APPS/legislation/main/bills/2213408", "חוק ההתיישנות (תיקון מס' 8 – חרבות ברזל), התשפ""ד–2024")</f>
        <v>7277</v>
      </c>
      <c r="E3455" t="s">
        <v>7277</v>
      </c>
      <c r="F3455" t="s">
        <v>14</v>
      </c>
      <c r="G3455" t="s">
        <v>7278</v>
      </c>
      <c r="H3455" t="n">
        <v>3151</v>
      </c>
      <c r="I3455" t="s">
        <v>14</v>
      </c>
      <c r="J3455" t="s">
        <v>91</v>
      </c>
      <c r="K3455" t="s">
        <v>27</v>
      </c>
      <c r="L3455" t="s">
        <v>20</v>
      </c>
      <c r="M3455" t="s">
        <v>7275</v>
      </c>
      <c r="N3455" t="s">
        <v>7279</v>
      </c>
    </row>
    <row r="3456" x14ac:dyDescent="0.25">
      <c r="A3456" t="n">
        <v>25</v>
      </c>
      <c r="B3456" t="s">
        <v>14</v>
      </c>
      <c r="C3456" t="s">
        <v>22</v>
      </c>
      <c r="D3456" s="2" t="s">
        <f>=HYPERLINK("https://main.knesset.gov.il/APPS/legislation/main/bills/2202464", "הצעת חוק הביטוח הלאומי (תיקון - תשלום גמלת ילד נכה לאומן בעד ילד הנמצא אצלו באומנה), התשפ""ג-2023")</f>
        <v>7280</v>
      </c>
      <c r="E3456" t="s">
        <v>7280</v>
      </c>
      <c r="F3456" t="s">
        <v>7281</v>
      </c>
      <c r="G3456" t="s">
        <v>14</v>
      </c>
      <c r="H3456">
             </c>
      <c r="I3456" t="s">
        <v>14</v>
      </c>
      <c r="J3456" t="s">
        <v>99</v>
      </c>
      <c r="K3456" t="s">
        <v>127</v>
      </c>
      <c r="L3456" t="s">
        <v>20</v>
      </c>
      <c r="M3456" t="s">
        <v>7282</v>
      </c>
      <c r="N3456" t="s">
        <v>14</v>
      </c>
    </row>
    <row r="3457" x14ac:dyDescent="0.25">
      <c r="A3457" t="n">
        <v>25</v>
      </c>
      <c r="B3457" t="s">
        <v>14</v>
      </c>
      <c r="C3457" t="s">
        <v>22</v>
      </c>
      <c r="D3457" s="2" t="s">
        <f>=HYPERLINK("https://main.knesset.gov.il/APPS/legislation/main/bills/2202280", "הצעת חוק הביטוח הלאומי (תיקון - תשלום גמלת ילד נכה לאומן בעד ילד הנמצא אצלו באומנה), התשפ""ג-2023")</f>
        <v>7280</v>
      </c>
      <c r="E3457" t="s">
        <v>7280</v>
      </c>
      <c r="F3457" t="s">
        <v>7283</v>
      </c>
      <c r="G3457" t="s">
        <v>14</v>
      </c>
      <c r="H3457">
             </c>
      <c r="I3457" t="s">
        <v>14</v>
      </c>
      <c r="J3457" t="s">
        <v>99</v>
      </c>
      <c r="K3457" t="s">
        <v>127</v>
      </c>
      <c r="L3457" t="s">
        <v>20</v>
      </c>
      <c r="M3457" t="s">
        <v>7282</v>
      </c>
      <c r="N3457" t="s">
        <v>14</v>
      </c>
    </row>
    <row r="3458" x14ac:dyDescent="0.25">
      <c r="A3458" t="n">
        <v>25</v>
      </c>
      <c r="B3458" t="s">
        <v>14</v>
      </c>
      <c r="C3458" t="s">
        <v>22</v>
      </c>
      <c r="D3458" s="2" t="s">
        <f>=HYPERLINK("https://main.knesset.gov.il/APPS/legislation/main/bills/2198977", "הצעת חוק הסדרת העיסוק במקצועות הבריאות (תיקון - הסדרת העיסוק בפודולוגיה), התשפ""ג-2023")</f>
        <v>7284</v>
      </c>
      <c r="E3458" t="s">
        <v>7284</v>
      </c>
      <c r="F3458" t="s">
        <v>7285</v>
      </c>
      <c r="G3458" t="s">
        <v>14</v>
      </c>
      <c r="H3458">
             </c>
      <c r="I3458" t="s">
        <v>14</v>
      </c>
      <c r="J3458" t="s">
        <v>99</v>
      </c>
      <c r="K3458" t="s">
        <v>480</v>
      </c>
      <c r="L3458" t="s">
        <v>20</v>
      </c>
      <c r="M3458" t="s">
        <v>7282</v>
      </c>
      <c r="N3458" t="s">
        <v>14</v>
      </c>
    </row>
    <row r="3459" x14ac:dyDescent="0.25">
      <c r="A3459" t="n">
        <v>25</v>
      </c>
      <c r="B3459" t="s">
        <v>14</v>
      </c>
      <c r="C3459" t="s">
        <v>22</v>
      </c>
      <c r="D3459" s="2" t="s">
        <f>=HYPERLINK("https://main.knesset.gov.il/APPS/legislation/main/bills/2213788", "הצעת חוק הביטוח הלאומי (תיקון - מענק חד-פעמי לנפגעים ממתקפת הטרור שהביאה למלחמת חרבות ברזל), התשפ""ד-2024")</f>
        <v>7286</v>
      </c>
      <c r="E3459" t="s">
        <v>7286</v>
      </c>
      <c r="F3459" t="s">
        <v>7287</v>
      </c>
      <c r="G3459" t="s">
        <v>14</v>
      </c>
      <c r="H3459">
             </c>
      <c r="I3459" t="s">
        <v>14</v>
      </c>
      <c r="J3459" t="s">
        <v>141</v>
      </c>
      <c r="K3459" t="s">
        <v>14</v>
      </c>
      <c r="L3459" t="s">
        <v>20</v>
      </c>
      <c r="M3459" t="s">
        <v>7282</v>
      </c>
      <c r="N3459" t="s">
        <v>14</v>
      </c>
    </row>
    <row r="3460" x14ac:dyDescent="0.25">
      <c r="A3460" t="n">
        <v>25</v>
      </c>
      <c r="B3460" t="s">
        <v>14</v>
      </c>
      <c r="C3460" t="s">
        <v>22</v>
      </c>
      <c r="D3460" s="2" t="s">
        <f>=HYPERLINK("https://main.knesset.gov.il/APPS/legislation/main/bills/2213558", "הצעת חוק הנכים (תגמולים ושיקום) (תיקון - פצועים בשירות סדיר), התשפ""ד-2024")</f>
        <v>5818</v>
      </c>
      <c r="E3460" t="s">
        <v>5818</v>
      </c>
      <c r="F3460" t="s">
        <v>7288</v>
      </c>
      <c r="G3460" t="s">
        <v>14</v>
      </c>
      <c r="H3460">
             </c>
      <c r="I3460" t="s">
        <v>14</v>
      </c>
      <c r="J3460" t="s">
        <v>141</v>
      </c>
      <c r="K3460" t="s">
        <v>14</v>
      </c>
      <c r="L3460" t="s">
        <v>20</v>
      </c>
      <c r="M3460" t="s">
        <v>7282</v>
      </c>
      <c r="N3460" t="s">
        <v>14</v>
      </c>
    </row>
    <row r="3461" x14ac:dyDescent="0.25">
      <c r="A3461" t="n">
        <v>25</v>
      </c>
      <c r="B3461" t="s">
        <v>14</v>
      </c>
      <c r="C3461" t="s">
        <v>22</v>
      </c>
      <c r="D3461" s="2" t="s">
        <f>=HYPERLINK("https://main.knesset.gov.il/APPS/legislation/main/bills/2213138", "הצעת חוק החיילים המשוחררים (החזרה לעבודה) (תיקון - הארכת תקופת ההגנה מפיטורים למשרתי מילואים), התשפ""ד-2024")</f>
        <v>7182</v>
      </c>
      <c r="E3461" t="s">
        <v>7182</v>
      </c>
      <c r="F3461" t="s">
        <v>7289</v>
      </c>
      <c r="G3461" t="s">
        <v>14</v>
      </c>
      <c r="H3461">
             </c>
      <c r="I3461" t="s">
        <v>14</v>
      </c>
      <c r="J3461" t="s">
        <v>141</v>
      </c>
      <c r="K3461" t="s">
        <v>14</v>
      </c>
      <c r="L3461" t="s">
        <v>20</v>
      </c>
      <c r="M3461" t="s">
        <v>7282</v>
      </c>
      <c r="N3461" t="s">
        <v>14</v>
      </c>
    </row>
    <row r="3462" x14ac:dyDescent="0.25">
      <c r="A3462" t="n">
        <v>25</v>
      </c>
      <c r="B3462" t="s">
        <v>14</v>
      </c>
      <c r="C3462" t="s">
        <v>22</v>
      </c>
      <c r="D3462" s="2" t="s">
        <f>=HYPERLINK("https://main.knesset.gov.il/APPS/legislation/main/bills/2212240", "הצעת חוק החקלאות, התשפ""ד-2024")</f>
        <v>7290</v>
      </c>
      <c r="E3462" t="s">
        <v>7290</v>
      </c>
      <c r="F3462" t="s">
        <v>7291</v>
      </c>
      <c r="G3462" t="s">
        <v>14</v>
      </c>
      <c r="H3462">
             </c>
      <c r="I3462" t="s">
        <v>14</v>
      </c>
      <c r="J3462" t="s">
        <v>141</v>
      </c>
      <c r="K3462" t="s">
        <v>14</v>
      </c>
      <c r="L3462" t="s">
        <v>20</v>
      </c>
      <c r="M3462" t="s">
        <v>7282</v>
      </c>
      <c r="N3462" t="s">
        <v>14</v>
      </c>
    </row>
    <row r="3463" x14ac:dyDescent="0.25">
      <c r="A3463" t="n">
        <v>25</v>
      </c>
      <c r="B3463" t="s">
        <v>14</v>
      </c>
      <c r="C3463" t="s">
        <v>22</v>
      </c>
      <c r="D3463" s="2" t="s">
        <f>=HYPERLINK("https://main.knesset.gov.il/APPS/legislation/main/bills/2213440", "הצעת חוק הסכמים לנשיאת עוברים (אישור הסכם ומעמד היילוד) (תיקון - הבאת ביציות מופרות מחוץ לישראל), התשפ""ד-2024")</f>
        <v>7292</v>
      </c>
      <c r="E3463" t="s">
        <v>7292</v>
      </c>
      <c r="F3463" t="s">
        <v>7293</v>
      </c>
      <c r="G3463" t="s">
        <v>14</v>
      </c>
      <c r="H3463">
             </c>
      <c r="I3463" t="s">
        <v>14</v>
      </c>
      <c r="J3463" t="s">
        <v>343</v>
      </c>
      <c r="K3463" t="s">
        <v>14</v>
      </c>
      <c r="L3463" t="s">
        <v>20</v>
      </c>
      <c r="M3463" t="s">
        <v>7282</v>
      </c>
      <c r="N3463" t="s">
        <v>14</v>
      </c>
    </row>
    <row r="3464" x14ac:dyDescent="0.25">
      <c r="A3464" t="n">
        <v>25</v>
      </c>
      <c r="B3464" t="s">
        <v>14</v>
      </c>
      <c r="C3464" t="s">
        <v>22</v>
      </c>
      <c r="D3464" s="2" t="s">
        <f>=HYPERLINK("https://main.knesset.gov.il/APPS/legislation/main/bills/2213134", "הצעת חוק החיילים המשוחררים (החזרה לעבודה) (תיקון - צבירת חופשה למשרתים במילואים), התשפ""ד-2024")</f>
        <v>5837</v>
      </c>
      <c r="E3464" t="s">
        <v>5837</v>
      </c>
      <c r="F3464" t="s">
        <v>7294</v>
      </c>
      <c r="G3464" t="s">
        <v>14</v>
      </c>
      <c r="H3464">
             </c>
      <c r="I3464" t="s">
        <v>14</v>
      </c>
      <c r="J3464" t="s">
        <v>141</v>
      </c>
      <c r="K3464" t="s">
        <v>14</v>
      </c>
      <c r="L3464" t="s">
        <v>20</v>
      </c>
      <c r="M3464" t="s">
        <v>7282</v>
      </c>
      <c r="N3464" t="s">
        <v>14</v>
      </c>
    </row>
    <row r="3465" x14ac:dyDescent="0.25">
      <c r="A3465" t="n">
        <v>25</v>
      </c>
      <c r="B3465" t="s">
        <v>14</v>
      </c>
      <c r="C3465" t="s">
        <v>22</v>
      </c>
      <c r="D3465" s="2" t="s">
        <f>=HYPERLINK("https://main.knesset.gov.il/APPS/legislation/main/bills/2213127", "הצעת חוק איסור סיום התקשרות עם משתתף חופשי המשרת במילואים, התשפ""ד-2024 ")</f>
        <v>7295</v>
      </c>
      <c r="E3465" t="s">
        <v>7295</v>
      </c>
      <c r="F3465" t="s">
        <v>7296</v>
      </c>
      <c r="G3465" t="s">
        <v>14</v>
      </c>
      <c r="H3465">
             </c>
      <c r="I3465" t="s">
        <v>14</v>
      </c>
      <c r="J3465" t="s">
        <v>141</v>
      </c>
      <c r="K3465" t="s">
        <v>14</v>
      </c>
      <c r="L3465" t="s">
        <v>20</v>
      </c>
      <c r="M3465" t="s">
        <v>7282</v>
      </c>
      <c r="N3465" t="s">
        <v>14</v>
      </c>
    </row>
    <row r="3466" x14ac:dyDescent="0.25">
      <c r="A3466" t="n">
        <v>25</v>
      </c>
      <c r="B3466" t="s">
        <v>14</v>
      </c>
      <c r="C3466" t="s">
        <v>22</v>
      </c>
      <c r="D3466" s="2" t="s">
        <f>=HYPERLINK("https://main.knesset.gov.il/APPS/legislation/main/bills/2213439", "הצעת חוק תרומת ביציות (תיקון - תרומת ביציות בין בנות זוג), התשפ""ד-2024")</f>
        <v>7297</v>
      </c>
      <c r="E3466" t="s">
        <v>7297</v>
      </c>
      <c r="F3466" t="s">
        <v>7298</v>
      </c>
      <c r="G3466" t="s">
        <v>14</v>
      </c>
      <c r="H3466">
             </c>
      <c r="I3466" t="s">
        <v>14</v>
      </c>
      <c r="J3466" t="s">
        <v>141</v>
      </c>
      <c r="K3466" t="s">
        <v>14</v>
      </c>
      <c r="L3466" t="s">
        <v>20</v>
      </c>
      <c r="M3466" t="s">
        <v>7282</v>
      </c>
      <c r="N3466" t="s">
        <v>14</v>
      </c>
    </row>
    <row r="3467" x14ac:dyDescent="0.25">
      <c r="A3467" t="n">
        <v>25</v>
      </c>
      <c r="B3467" t="s">
        <v>14</v>
      </c>
      <c r="C3467" t="s">
        <v>22</v>
      </c>
      <c r="D3467" s="2" t="s">
        <f>=HYPERLINK("https://main.knesset.gov.il/APPS/legislation/main/bills/2209556", "הצעת חוק לימוד חובה (תיקון - משקל ילקוט תקין לתלמידים), התשפ""ד-2024")</f>
        <v>7299</v>
      </c>
      <c r="E3467" t="s">
        <v>7299</v>
      </c>
      <c r="F3467" t="s">
        <v>7300</v>
      </c>
      <c r="G3467" t="s">
        <v>14</v>
      </c>
      <c r="H3467">
             </c>
      <c r="I3467" t="s">
        <v>14</v>
      </c>
      <c r="J3467" t="s">
        <v>141</v>
      </c>
      <c r="K3467" t="s">
        <v>14</v>
      </c>
      <c r="L3467" t="s">
        <v>20</v>
      </c>
      <c r="M3467" t="s">
        <v>7282</v>
      </c>
      <c r="N3467" t="s">
        <v>14</v>
      </c>
    </row>
    <row r="3468" x14ac:dyDescent="0.25">
      <c r="A3468" t="n">
        <v>25</v>
      </c>
      <c r="B3468" t="s">
        <v>14</v>
      </c>
      <c r="C3468" t="s">
        <v>22</v>
      </c>
      <c r="D3468" s="2" t="s">
        <f>=HYPERLINK("https://main.knesset.gov.il/APPS/legislation/main/bills/2213716", "הצעת חוק שוויון ההזדמנויות בעבודה (תיקון - איסור הפליה בשל דרישות כשרות), התשפ""ד-2024")</f>
        <v>7301</v>
      </c>
      <c r="E3468" t="s">
        <v>7301</v>
      </c>
      <c r="F3468" t="s">
        <v>7302</v>
      </c>
      <c r="G3468" t="s">
        <v>14</v>
      </c>
      <c r="H3468">
             </c>
      <c r="I3468" t="s">
        <v>14</v>
      </c>
      <c r="J3468" t="s">
        <v>141</v>
      </c>
      <c r="K3468" t="s">
        <v>14</v>
      </c>
      <c r="L3468" t="s">
        <v>20</v>
      </c>
      <c r="M3468" t="s">
        <v>7282</v>
      </c>
      <c r="N3468" t="s">
        <v>14</v>
      </c>
    </row>
    <row r="3469" x14ac:dyDescent="0.25">
      <c r="A3469" t="n">
        <v>25</v>
      </c>
      <c r="B3469" t="s">
        <v>14</v>
      </c>
      <c r="C3469" t="s">
        <v>22</v>
      </c>
      <c r="D3469" s="2" t="s">
        <f>=HYPERLINK("https://main.knesset.gov.il/APPS/legislation/main/bills/2208735", "הצעת חוק זכרון השואה והגבורה - יד ושם (תיקון - חיזוק הבקרה והפיקוח הפרלמנטרי), התשפ""ד-2024")</f>
        <v>7303</v>
      </c>
      <c r="E3469" t="s">
        <v>7303</v>
      </c>
      <c r="F3469" t="s">
        <v>7304</v>
      </c>
      <c r="G3469" t="s">
        <v>14</v>
      </c>
      <c r="H3469">
             </c>
      <c r="I3469" t="s">
        <v>14</v>
      </c>
      <c r="J3469" t="s">
        <v>141</v>
      </c>
      <c r="K3469" t="s">
        <v>14</v>
      </c>
      <c r="L3469" t="s">
        <v>20</v>
      </c>
      <c r="M3469" t="s">
        <v>7282</v>
      </c>
      <c r="N3469" t="s">
        <v>14</v>
      </c>
    </row>
    <row r="3470" x14ac:dyDescent="0.25">
      <c r="A3470" t="n">
        <v>25</v>
      </c>
      <c r="B3470" t="s">
        <v>14</v>
      </c>
      <c r="C3470" t="s">
        <v>22</v>
      </c>
      <c r="D3470" s="2" t="s">
        <f>=HYPERLINK("https://main.knesset.gov.il/APPS/legislation/main/bills/2213736", "הצעת חוק שיווי זכויות האישה (תיקון - ייצוג לנשים בוועדות איתור), התשפ""ד-2024")</f>
        <v>7305</v>
      </c>
      <c r="E3470" t="s">
        <v>7305</v>
      </c>
      <c r="F3470" t="s">
        <v>7306</v>
      </c>
      <c r="G3470" t="s">
        <v>14</v>
      </c>
      <c r="H3470">
             </c>
      <c r="I3470" t="s">
        <v>14</v>
      </c>
      <c r="J3470" t="s">
        <v>141</v>
      </c>
      <c r="K3470" t="s">
        <v>14</v>
      </c>
      <c r="L3470" t="s">
        <v>20</v>
      </c>
      <c r="M3470" t="s">
        <v>7282</v>
      </c>
      <c r="N3470" t="s">
        <v>14</v>
      </c>
    </row>
    <row r="3471" x14ac:dyDescent="0.25">
      <c r="A3471" t="n">
        <v>25</v>
      </c>
      <c r="B3471" t="s">
        <v>14</v>
      </c>
      <c r="C3471" t="s">
        <v>22</v>
      </c>
      <c r="D3471" s="2" t="s">
        <f>=HYPERLINK("https://main.knesset.gov.il/APPS/legislation/main/bills/2213471", "הצעת חוק אסדרת שוק הקנאביס לצריכה עצמית, התשפ""ד-2024")</f>
        <v>6252</v>
      </c>
      <c r="E3471" t="s">
        <v>6252</v>
      </c>
      <c r="F3471" t="s">
        <v>7307</v>
      </c>
      <c r="G3471" t="s">
        <v>14</v>
      </c>
      <c r="H3471">
             </c>
      <c r="I3471" t="s">
        <v>14</v>
      </c>
      <c r="J3471" t="s">
        <v>141</v>
      </c>
      <c r="K3471" t="s">
        <v>14</v>
      </c>
      <c r="L3471" t="s">
        <v>20</v>
      </c>
      <c r="M3471" t="s">
        <v>7282</v>
      </c>
      <c r="N3471" t="s">
        <v>14</v>
      </c>
    </row>
    <row r="3472" x14ac:dyDescent="0.25">
      <c r="A3472" t="n">
        <v>25</v>
      </c>
      <c r="B3472" t="s">
        <v>14</v>
      </c>
      <c r="C3472" t="s">
        <v>22</v>
      </c>
      <c r="D3472" s="2" t="s">
        <f>=HYPERLINK("https://main.knesset.gov.il/APPS/legislation/main/bills/2210440", "הצעת חוק ההסדרים במשק המדינה (תיקוני חקיקה להשגת יעדי התקציב) (תיקון - הנחה בארנונה לנכים), התשפ""ד-2024")</f>
        <v>7308</v>
      </c>
      <c r="E3472" t="s">
        <v>7308</v>
      </c>
      <c r="F3472" t="s">
        <v>7309</v>
      </c>
      <c r="G3472" t="s">
        <v>14</v>
      </c>
      <c r="H3472">
             </c>
      <c r="I3472" t="s">
        <v>14</v>
      </c>
      <c r="J3472" t="s">
        <v>141</v>
      </c>
      <c r="K3472" t="s">
        <v>14</v>
      </c>
      <c r="L3472" t="s">
        <v>20</v>
      </c>
      <c r="M3472" t="s">
        <v>7282</v>
      </c>
      <c r="N3472" t="s">
        <v>14</v>
      </c>
    </row>
    <row r="3473" x14ac:dyDescent="0.25">
      <c r="A3473" t="n">
        <v>25</v>
      </c>
      <c r="B3473" t="s">
        <v>14</v>
      </c>
      <c r="C3473" t="s">
        <v>22</v>
      </c>
      <c r="D3473" s="2" t="s">
        <f>=HYPERLINK("https://main.knesset.gov.il/APPS/legislation/main/bills/2212311", "הצעת חוק הודעה מוקדמת לפיטורים ולהתפטרות (תיקון - עובד שהורשע או נאשם בעבירה של גילוי הזדהות עם ארגון טרור והסתה לטרור), התשפ""ד-2024")</f>
        <v>7310</v>
      </c>
      <c r="E3473" t="s">
        <v>7310</v>
      </c>
      <c r="F3473" t="s">
        <v>7311</v>
      </c>
      <c r="G3473" t="s">
        <v>14</v>
      </c>
      <c r="H3473">
             </c>
      <c r="I3473" t="s">
        <v>14</v>
      </c>
      <c r="J3473" t="s">
        <v>141</v>
      </c>
      <c r="K3473" t="s">
        <v>14</v>
      </c>
      <c r="L3473" t="s">
        <v>20</v>
      </c>
      <c r="M3473" t="s">
        <v>7282</v>
      </c>
      <c r="N3473" t="s">
        <v>14</v>
      </c>
    </row>
    <row r="3474" x14ac:dyDescent="0.25">
      <c r="A3474" t="n">
        <v>25</v>
      </c>
      <c r="B3474" t="s">
        <v>14</v>
      </c>
      <c r="C3474" t="s">
        <v>22</v>
      </c>
      <c r="D3474" s="2" t="s">
        <f>=HYPERLINK("https://main.knesset.gov.il/APPS/legislation/main/bills/2213712", "הצעת חוק הבחירות לכנסת (תיקון - הצבעה בקלפיות של בעלי מוגבלויות), התשפ""ד-2024")</f>
        <v>7312</v>
      </c>
      <c r="E3474" t="s">
        <v>7312</v>
      </c>
      <c r="F3474" t="s">
        <v>7313</v>
      </c>
      <c r="G3474" t="s">
        <v>14</v>
      </c>
      <c r="H3474">
             </c>
      <c r="I3474" t="s">
        <v>14</v>
      </c>
      <c r="J3474" t="s">
        <v>141</v>
      </c>
      <c r="K3474" t="s">
        <v>14</v>
      </c>
      <c r="L3474" t="s">
        <v>20</v>
      </c>
      <c r="M3474" t="s">
        <v>7282</v>
      </c>
      <c r="N3474" t="s">
        <v>14</v>
      </c>
    </row>
    <row r="3475" x14ac:dyDescent="0.25">
      <c r="A3475" t="n">
        <v>25</v>
      </c>
      <c r="B3475" t="s">
        <v>14</v>
      </c>
      <c r="C3475" t="s">
        <v>22</v>
      </c>
      <c r="D3475" s="2" t="s">
        <f>=HYPERLINK("https://main.knesset.gov.il/APPS/legislation/main/bills/2213683", "הצעת חוק הממשלה (תיקון - ביצוע בדיקת פוליגרף לחברי ועדת השרים לענייני ביטחון לאומי), התשפ""ד-2024")</f>
        <v>5011</v>
      </c>
      <c r="E3475" t="s">
        <v>5011</v>
      </c>
      <c r="F3475" t="s">
        <v>7314</v>
      </c>
      <c r="G3475" t="s">
        <v>14</v>
      </c>
      <c r="H3475">
             </c>
      <c r="I3475" t="s">
        <v>14</v>
      </c>
      <c r="J3475" t="s">
        <v>141</v>
      </c>
      <c r="K3475" t="s">
        <v>14</v>
      </c>
      <c r="L3475" t="s">
        <v>20</v>
      </c>
      <c r="M3475" t="s">
        <v>7282</v>
      </c>
      <c r="N3475" t="s">
        <v>14</v>
      </c>
    </row>
    <row r="3476" x14ac:dyDescent="0.25">
      <c r="A3476" t="n">
        <v>25</v>
      </c>
      <c r="B3476" t="s">
        <v>14</v>
      </c>
      <c r="C3476" t="s">
        <v>22</v>
      </c>
      <c r="D3476" s="2" t="s">
        <f>=HYPERLINK("https://main.knesset.gov.il/APPS/legislation/main/bills/2212582", "הצעת חוק מס קנייה (טובין ושירותים) (תיקון – שיעור המס על רכב חשמלי), התשפ""ד–2024")</f>
        <v>7315</v>
      </c>
      <c r="E3476" t="s">
        <v>7315</v>
      </c>
      <c r="F3476" t="s">
        <v>7316</v>
      </c>
      <c r="G3476" t="s">
        <v>14</v>
      </c>
      <c r="H3476">
             </c>
      <c r="I3476" t="s">
        <v>14</v>
      </c>
      <c r="J3476" t="s">
        <v>141</v>
      </c>
      <c r="K3476" t="s">
        <v>14</v>
      </c>
      <c r="L3476" t="s">
        <v>20</v>
      </c>
      <c r="M3476" t="s">
        <v>7282</v>
      </c>
      <c r="N3476" t="s">
        <v>14</v>
      </c>
    </row>
    <row r="3477" x14ac:dyDescent="0.25">
      <c r="A3477" t="n">
        <v>25</v>
      </c>
      <c r="B3477" t="s">
        <v>14</v>
      </c>
      <c r="C3477" t="s">
        <v>22</v>
      </c>
      <c r="D3477" s="2" t="s">
        <f>=HYPERLINK("https://main.knesset.gov.il/APPS/legislation/main/bills/2212491", "הצעת חוק מס קנייה (טובין ושירותים) (תיקון - שיעור המס על רכב חשמלי), התשפ""ד-2024")</f>
        <v>6955</v>
      </c>
      <c r="E3477" t="s">
        <v>6955</v>
      </c>
      <c r="F3477" t="s">
        <v>7317</v>
      </c>
      <c r="G3477" t="s">
        <v>14</v>
      </c>
      <c r="H3477">
             </c>
      <c r="I3477" t="s">
        <v>14</v>
      </c>
      <c r="J3477" t="s">
        <v>141</v>
      </c>
      <c r="K3477" t="s">
        <v>14</v>
      </c>
      <c r="L3477" t="s">
        <v>20</v>
      </c>
      <c r="M3477" t="s">
        <v>7282</v>
      </c>
      <c r="N3477" t="s">
        <v>14</v>
      </c>
    </row>
    <row r="3478" x14ac:dyDescent="0.25">
      <c r="A3478" t="n">
        <v>25</v>
      </c>
      <c r="B3478" t="s">
        <v>14</v>
      </c>
      <c r="C3478" t="s">
        <v>22</v>
      </c>
      <c r="D3478" s="2" t="s">
        <f>=HYPERLINK("https://main.knesset.gov.il/APPS/legislation/main/bills/2213289", "הצעת חוק תרומת זרע, התשפ""ד-2024")</f>
        <v>7318</v>
      </c>
      <c r="E3478" t="s">
        <v>7318</v>
      </c>
      <c r="F3478" t="s">
        <v>7319</v>
      </c>
      <c r="G3478" t="s">
        <v>14</v>
      </c>
      <c r="H3478">
             </c>
      <c r="I3478" t="s">
        <v>14</v>
      </c>
      <c r="J3478" t="s">
        <v>141</v>
      </c>
      <c r="K3478" t="s">
        <v>14</v>
      </c>
      <c r="L3478" t="s">
        <v>20</v>
      </c>
      <c r="M3478" t="s">
        <v>7282</v>
      </c>
      <c r="N3478" t="s">
        <v>14</v>
      </c>
    </row>
    <row r="3479" x14ac:dyDescent="0.25">
      <c r="A3479" t="n">
        <v>25</v>
      </c>
      <c r="B3479" t="s">
        <v>14</v>
      </c>
      <c r="C3479" t="s">
        <v>15</v>
      </c>
      <c r="D3479" s="2" t="s">
        <f>=HYPERLINK("https://main.knesset.gov.il/APPS/legislation/main/bills/2213744", "חוק לתיקון פקודת בתי הסוהר (מס' 64 – הוראת שעה – חרבות ברזל) (מצב חירום כליאתי) (תיקון), התשפ""ד-2024")</f>
        <v>7320</v>
      </c>
      <c r="E3479" t="s">
        <v>7320</v>
      </c>
      <c r="F3479" t="s">
        <v>14</v>
      </c>
      <c r="G3479" t="s">
        <v>7321</v>
      </c>
      <c r="H3479" t="n">
        <v>3150</v>
      </c>
      <c r="I3479" t="s">
        <v>14</v>
      </c>
      <c r="J3479" t="s">
        <v>91</v>
      </c>
      <c r="K3479" t="s">
        <v>105</v>
      </c>
      <c r="L3479" t="s">
        <v>20</v>
      </c>
      <c r="M3479" t="s">
        <v>7322</v>
      </c>
      <c r="N3479" t="s">
        <v>7323</v>
      </c>
    </row>
    <row r="3480" x14ac:dyDescent="0.25">
      <c r="A3480" t="n">
        <v>25</v>
      </c>
      <c r="B3480" t="s">
        <v>14</v>
      </c>
      <c r="C3480" t="s">
        <v>22</v>
      </c>
      <c r="D3480" s="2" t="s">
        <f>=HYPERLINK("https://main.knesset.gov.il/APPS/legislation/main/bills/2211024", "הצעת חוק הרשות הארצית לכבאות והצלה (נכים ונספים), התשפ""ד-2023")</f>
        <v>7324</v>
      </c>
      <c r="E3480" t="s">
        <v>7324</v>
      </c>
      <c r="F3480" t="s">
        <v>7325</v>
      </c>
      <c r="G3480" t="s">
        <v>14</v>
      </c>
      <c r="H3480">
             </c>
      <c r="I3480" t="s">
        <v>14</v>
      </c>
      <c r="J3480" t="s">
        <v>31</v>
      </c>
      <c r="K3480" t="s">
        <v>105</v>
      </c>
      <c r="L3480" t="s">
        <v>20</v>
      </c>
      <c r="M3480" t="s">
        <v>7322</v>
      </c>
      <c r="N3480" t="s">
        <v>14</v>
      </c>
    </row>
    <row r="3481" x14ac:dyDescent="0.25">
      <c r="A3481" t="n">
        <v>25</v>
      </c>
      <c r="B3481" t="s">
        <v>14</v>
      </c>
      <c r="C3481" t="s">
        <v>22</v>
      </c>
      <c r="D3481" s="2" t="s">
        <f>=HYPERLINK("https://main.knesset.gov.il/APPS/legislation/main/bills/2210146", "הצעת חוק הרשות הארצית לכבאות והצלה (נכים ונספים), התשפ""ד-2023")</f>
        <v>7324</v>
      </c>
      <c r="E3481" t="s">
        <v>7324</v>
      </c>
      <c r="F3481" t="s">
        <v>7326</v>
      </c>
      <c r="G3481" t="s">
        <v>14</v>
      </c>
      <c r="H3481">
             </c>
      <c r="I3481" t="s">
        <v>14</v>
      </c>
      <c r="J3481" t="s">
        <v>31</v>
      </c>
      <c r="K3481" t="s">
        <v>105</v>
      </c>
      <c r="L3481" t="s">
        <v>20</v>
      </c>
      <c r="M3481" t="s">
        <v>7322</v>
      </c>
      <c r="N3481" t="s">
        <v>14</v>
      </c>
    </row>
    <row r="3482" x14ac:dyDescent="0.25">
      <c r="A3482" t="n">
        <v>25</v>
      </c>
      <c r="B3482" t="s">
        <v>14</v>
      </c>
      <c r="C3482" t="s">
        <v>22</v>
      </c>
      <c r="D3482" s="2" t="s">
        <f>=HYPERLINK("https://main.knesset.gov.il/APPS/legislation/main/bills/2210066", "הצעת חוק הרשות הארצית לכבאות והצלה (נכים ונספים), התשפ""ד-2023")</f>
        <v>7324</v>
      </c>
      <c r="E3482" t="s">
        <v>7324</v>
      </c>
      <c r="F3482" t="s">
        <v>7327</v>
      </c>
      <c r="G3482" t="s">
        <v>14</v>
      </c>
      <c r="H3482">
             </c>
      <c r="I3482" t="s">
        <v>14</v>
      </c>
      <c r="J3482" t="s">
        <v>31</v>
      </c>
      <c r="K3482" t="s">
        <v>105</v>
      </c>
      <c r="L3482" t="s">
        <v>20</v>
      </c>
      <c r="M3482" t="s">
        <v>7322</v>
      </c>
      <c r="N3482" t="s">
        <v>14</v>
      </c>
    </row>
    <row r="3483" x14ac:dyDescent="0.25">
      <c r="A3483" t="n">
        <v>25</v>
      </c>
      <c r="B3483" t="s">
        <v>14</v>
      </c>
      <c r="C3483" t="s">
        <v>22</v>
      </c>
      <c r="D3483" s="2" t="s">
        <f>=HYPERLINK("https://main.knesset.gov.il/APPS/legislation/main/bills/2209727", "הצעת חוק שירות המילואים (תיקון - הפחתת שיעור המס שחל על תגמולים למשרתי מילואים), התשפ""ד-2023")</f>
        <v>7328</v>
      </c>
      <c r="E3483" t="s">
        <v>7328</v>
      </c>
      <c r="F3483" t="s">
        <v>7329</v>
      </c>
      <c r="G3483" t="s">
        <v>14</v>
      </c>
      <c r="H3483">
             </c>
      <c r="I3483" t="s">
        <v>14</v>
      </c>
      <c r="J3483" t="s">
        <v>55</v>
      </c>
      <c r="K3483" t="s">
        <v>14</v>
      </c>
      <c r="L3483" t="s">
        <v>20</v>
      </c>
      <c r="M3483" t="s">
        <v>7322</v>
      </c>
      <c r="N3483" t="s">
        <v>14</v>
      </c>
    </row>
    <row r="3484" x14ac:dyDescent="0.25">
      <c r="A3484" t="n">
        <v>25</v>
      </c>
      <c r="B3484" t="s">
        <v>14</v>
      </c>
      <c r="C3484" t="s">
        <v>22</v>
      </c>
      <c r="D3484" s="2" t="s">
        <f>=HYPERLINK("https://main.knesset.gov.il/APPS/legislation/main/bills/2208287", "הצעת חוק לימוד חובה (תיקון - עובד סוציאלי או פסיכולוג חינוכי במוסד חינוכי ביישוב סמוך גבול), התשפ""ג-2023")</f>
        <v>5265</v>
      </c>
      <c r="E3484" t="s">
        <v>5265</v>
      </c>
      <c r="F3484" t="s">
        <v>7330</v>
      </c>
      <c r="G3484" t="s">
        <v>14</v>
      </c>
      <c r="H3484">
             </c>
      <c r="I3484" t="s">
        <v>14</v>
      </c>
      <c r="J3484" t="s">
        <v>343</v>
      </c>
      <c r="K3484" t="s">
        <v>14</v>
      </c>
      <c r="L3484" t="s">
        <v>20</v>
      </c>
      <c r="M3484" t="s">
        <v>7322</v>
      </c>
      <c r="N3484" t="s">
        <v>14</v>
      </c>
    </row>
    <row r="3485" x14ac:dyDescent="0.25">
      <c r="A3485" t="n">
        <v>25</v>
      </c>
      <c r="B3485" t="s">
        <v>14</v>
      </c>
      <c r="C3485" t="s">
        <v>22</v>
      </c>
      <c r="D3485" s="2" t="s">
        <f>=HYPERLINK("https://main.knesset.gov.il/APPS/legislation/main/bills/2204566", "הצעת חוק האזרחים הוותיקים (תיקון - הקצאת מקומות חניה במקום ציבורי לאזרח ותיק), התשפ""ג-2023")</f>
        <v>6763</v>
      </c>
      <c r="E3485" t="s">
        <v>6763</v>
      </c>
      <c r="F3485" t="s">
        <v>7331</v>
      </c>
      <c r="G3485" t="s">
        <v>14</v>
      </c>
      <c r="H3485">
             </c>
      <c r="I3485" t="s">
        <v>14</v>
      </c>
      <c r="J3485" t="s">
        <v>343</v>
      </c>
      <c r="K3485" t="s">
        <v>14</v>
      </c>
      <c r="L3485" t="s">
        <v>20</v>
      </c>
      <c r="M3485" t="s">
        <v>7322</v>
      </c>
      <c r="N3485" t="s">
        <v>14</v>
      </c>
    </row>
    <row r="3486" x14ac:dyDescent="0.25">
      <c r="A3486" t="n">
        <v>25</v>
      </c>
      <c r="B3486" t="s">
        <v>14</v>
      </c>
      <c r="C3486" t="s">
        <v>15</v>
      </c>
      <c r="D3486" s="2" t="s">
        <f>=HYPERLINK("https://main.knesset.gov.il/APPS/legislation/main/bills/2212299", "חוק זכויות החולה (תיקון מס' 16), התשפ""ד-2024")</f>
        <v>7332</v>
      </c>
      <c r="E3486" t="s">
        <v>7332</v>
      </c>
      <c r="F3486" t="s">
        <v>14</v>
      </c>
      <c r="G3486" t="s">
        <v>7333</v>
      </c>
      <c r="H3486" t="n">
        <v>3149</v>
      </c>
      <c r="I3486" t="s">
        <v>14</v>
      </c>
      <c r="J3486" t="s">
        <v>91</v>
      </c>
      <c r="K3486" t="s">
        <v>480</v>
      </c>
      <c r="L3486" t="s">
        <v>20</v>
      </c>
      <c r="M3486" t="s">
        <v>7334</v>
      </c>
      <c r="N3486" t="s">
        <v>7335</v>
      </c>
    </row>
    <row r="3487" x14ac:dyDescent="0.25">
      <c r="A3487" t="n">
        <v>25</v>
      </c>
      <c r="B3487" t="s">
        <v>14</v>
      </c>
      <c r="C3487" t="s">
        <v>15</v>
      </c>
      <c r="D3487" s="2" t="s">
        <f>=HYPERLINK("https://main.knesset.gov.il/APPS/legislation/main/bills/2209401", "חוק לתיקון פקודת היבוא והיצוא (מס' 6), התשפ""ד-2024")</f>
        <v>7336</v>
      </c>
      <c r="E3487" t="s">
        <v>7336</v>
      </c>
      <c r="F3487" t="s">
        <v>14</v>
      </c>
      <c r="G3487" t="s">
        <v>7337</v>
      </c>
      <c r="H3487" t="n">
        <v>3148</v>
      </c>
      <c r="I3487" t="s">
        <v>14</v>
      </c>
      <c r="J3487" t="s">
        <v>91</v>
      </c>
      <c r="K3487" t="s">
        <v>19</v>
      </c>
      <c r="L3487" t="s">
        <v>20</v>
      </c>
      <c r="M3487" t="s">
        <v>7334</v>
      </c>
      <c r="N3487" t="s">
        <v>7338</v>
      </c>
    </row>
    <row r="3488" x14ac:dyDescent="0.25">
      <c r="A3488" t="n">
        <v>25</v>
      </c>
      <c r="B3488" t="s">
        <v>14</v>
      </c>
      <c r="C3488" t="s">
        <v>15</v>
      </c>
      <c r="D3488" s="2" t="s">
        <f>=HYPERLINK("https://main.knesset.gov.il/APPS/legislation/main/bills/2213410", "חוק לתיקון פקודת התעבורה (מס' 132 - הוראת שעה – חרבות ברזל), התשפ""ד-2024")</f>
        <v>7339</v>
      </c>
      <c r="E3488" t="s">
        <v>7339</v>
      </c>
      <c r="F3488" t="s">
        <v>14</v>
      </c>
      <c r="G3488" t="s">
        <v>7340</v>
      </c>
      <c r="H3488" t="n">
        <v>3147</v>
      </c>
      <c r="I3488" t="s">
        <v>14</v>
      </c>
      <c r="J3488" t="s">
        <v>91</v>
      </c>
      <c r="K3488" t="s">
        <v>19</v>
      </c>
      <c r="L3488" t="s">
        <v>20</v>
      </c>
      <c r="M3488" t="s">
        <v>7334</v>
      </c>
      <c r="N3488" t="s">
        <v>7341</v>
      </c>
    </row>
    <row r="3489" x14ac:dyDescent="0.25">
      <c r="A3489" t="n">
        <v>25</v>
      </c>
      <c r="B3489" t="s">
        <v>14</v>
      </c>
      <c r="C3489" t="s">
        <v>15</v>
      </c>
      <c r="D3489" s="2" t="s">
        <f>=HYPERLINK("https://main.knesset.gov.il/APPS/legislation/main/bills/2213409", "חוק לתיקון ולהארכת תוקפן של תקנות שעת חירום (חרבות ברזל) (פגישה עם עורך דין של עצור בעבירת ביטחון), התשפ""ד-2024")</f>
        <v>7342</v>
      </c>
      <c r="E3489" t="s">
        <v>7342</v>
      </c>
      <c r="F3489" t="s">
        <v>14</v>
      </c>
      <c r="G3489" t="s">
        <v>7343</v>
      </c>
      <c r="H3489" t="n">
        <v>3146</v>
      </c>
      <c r="I3489" t="s">
        <v>14</v>
      </c>
      <c r="J3489" t="s">
        <v>91</v>
      </c>
      <c r="K3489" t="s">
        <v>27</v>
      </c>
      <c r="L3489" t="s">
        <v>20</v>
      </c>
      <c r="M3489" t="s">
        <v>7334</v>
      </c>
      <c r="N3489" t="s">
        <v>7344</v>
      </c>
    </row>
    <row r="3490" x14ac:dyDescent="0.25">
      <c r="A3490" t="n">
        <v>25</v>
      </c>
      <c r="B3490" t="s">
        <v>14</v>
      </c>
      <c r="C3490" t="s">
        <v>22</v>
      </c>
      <c r="D3490" s="2" t="s">
        <f>=HYPERLINK("https://main.knesset.gov.il/APPS/legislation/main/bills/2213071", "הצעת חוק לדחיית הבחירות הכלליות לרשויות המקומיות (תיקון - מועד הבחירות), התשפ""ד-2024")</f>
        <v>7345</v>
      </c>
      <c r="E3490" t="s">
        <v>7345</v>
      </c>
      <c r="F3490" t="s">
        <v>7346</v>
      </c>
      <c r="G3490" t="s">
        <v>14</v>
      </c>
      <c r="H3490">
             </c>
      <c r="I3490" t="s">
        <v>14</v>
      </c>
      <c r="J3490" t="s">
        <v>141</v>
      </c>
      <c r="K3490" t="s">
        <v>14</v>
      </c>
      <c r="L3490" t="s">
        <v>20</v>
      </c>
      <c r="M3490" t="s">
        <v>7334</v>
      </c>
      <c r="N3490" t="s">
        <v>14</v>
      </c>
    </row>
    <row r="3491" x14ac:dyDescent="0.25">
      <c r="A3491" t="n">
        <v>25</v>
      </c>
      <c r="B3491" t="s">
        <v>14</v>
      </c>
      <c r="C3491" t="s">
        <v>22</v>
      </c>
      <c r="D3491" s="2" t="s">
        <f>=HYPERLINK("https://main.knesset.gov.il/APPS/legislation/main/bills/2213030", "הצעת חוק מס רכוש וקרן פיצויים (תיקון - הוראת שעה - חרבות ברזל), התשפ""ד-2024")</f>
        <v>7347</v>
      </c>
      <c r="E3491" t="s">
        <v>7347</v>
      </c>
      <c r="F3491" t="s">
        <v>7348</v>
      </c>
      <c r="G3491" t="s">
        <v>14</v>
      </c>
      <c r="H3491">
             </c>
      <c r="I3491" t="s">
        <v>14</v>
      </c>
      <c r="J3491" t="s">
        <v>141</v>
      </c>
      <c r="K3491" t="s">
        <v>14</v>
      </c>
      <c r="L3491" t="s">
        <v>20</v>
      </c>
      <c r="M3491" t="s">
        <v>7334</v>
      </c>
      <c r="N3491" t="s">
        <v>14</v>
      </c>
    </row>
    <row r="3492" x14ac:dyDescent="0.25">
      <c r="A3492" t="n">
        <v>25</v>
      </c>
      <c r="B3492" t="s">
        <v>14</v>
      </c>
      <c r="C3492" t="s">
        <v>22</v>
      </c>
      <c r="D3492" s="2" t="s">
        <f>=HYPERLINK("https://main.knesset.gov.il/APPS/legislation/main/bills/2212790", "הצעת חוק טוס כחול לבן, התשפ""ד-2024")</f>
        <v>7262</v>
      </c>
      <c r="E3492" t="s">
        <v>7262</v>
      </c>
      <c r="F3492" t="s">
        <v>7349</v>
      </c>
      <c r="G3492" t="s">
        <v>14</v>
      </c>
      <c r="H3492">
             </c>
      <c r="I3492" t="s">
        <v>14</v>
      </c>
      <c r="J3492" t="s">
        <v>141</v>
      </c>
      <c r="K3492" t="s">
        <v>14</v>
      </c>
      <c r="L3492" t="s">
        <v>20</v>
      </c>
      <c r="M3492" t="s">
        <v>7334</v>
      </c>
      <c r="N3492" t="s">
        <v>14</v>
      </c>
    </row>
    <row r="3493" x14ac:dyDescent="0.25">
      <c r="A3493" t="n">
        <v>25</v>
      </c>
      <c r="B3493" t="s">
        <v>14</v>
      </c>
      <c r="C3493" t="s">
        <v>22</v>
      </c>
      <c r="D3493" s="2" t="s">
        <f>=HYPERLINK("https://main.knesset.gov.il/APPS/legislation/main/bills/2213628", "הצעת חוק הרשות הארצית לכבאות והצלה (נספים), התשפ""ד-2024")</f>
        <v>7350</v>
      </c>
      <c r="E3493" t="s">
        <v>7350</v>
      </c>
      <c r="F3493" t="s">
        <v>7351</v>
      </c>
      <c r="G3493" t="s">
        <v>14</v>
      </c>
      <c r="H3493">
             </c>
      <c r="I3493" t="s">
        <v>14</v>
      </c>
      <c r="J3493" t="s">
        <v>141</v>
      </c>
      <c r="K3493" t="s">
        <v>14</v>
      </c>
      <c r="L3493" t="s">
        <v>20</v>
      </c>
      <c r="M3493" t="s">
        <v>7334</v>
      </c>
      <c r="N3493" t="s">
        <v>14</v>
      </c>
    </row>
    <row r="3494" x14ac:dyDescent="0.25">
      <c r="A3494" t="n">
        <v>25</v>
      </c>
      <c r="B3494" t="s">
        <v>14</v>
      </c>
      <c r="C3494" t="s">
        <v>22</v>
      </c>
      <c r="D3494" s="2" t="s">
        <f>=HYPERLINK("https://main.knesset.gov.il/APPS/legislation/main/bills/2213310", "הצעת חוק הרשות הארצית לכבאות והצלה (נכים ונספים), התשפ""ד-2024")</f>
        <v>7201</v>
      </c>
      <c r="E3494" t="s">
        <v>7201</v>
      </c>
      <c r="F3494" t="s">
        <v>7352</v>
      </c>
      <c r="G3494" t="s">
        <v>14</v>
      </c>
      <c r="H3494">
             </c>
      <c r="I3494" t="s">
        <v>14</v>
      </c>
      <c r="J3494" t="s">
        <v>141</v>
      </c>
      <c r="K3494" t="s">
        <v>14</v>
      </c>
      <c r="L3494" t="s">
        <v>20</v>
      </c>
      <c r="M3494" t="s">
        <v>7334</v>
      </c>
      <c r="N3494" t="s">
        <v>14</v>
      </c>
    </row>
    <row r="3495" x14ac:dyDescent="0.25">
      <c r="A3495" t="n">
        <v>25</v>
      </c>
      <c r="B3495" t="s">
        <v>14</v>
      </c>
      <c r="C3495" t="s">
        <v>22</v>
      </c>
      <c r="D3495" s="2" t="s">
        <f>=HYPERLINK("https://main.knesset.gov.il/APPS/legislation/main/bills/2209735", "הצעת חוק לתיקון פקודת מס הכנסה (דחיית מימוש נקודות זיכוי לחייל משוחרר עצמאי), התשפ""ד-2024")</f>
        <v>7353</v>
      </c>
      <c r="E3495" t="s">
        <v>7353</v>
      </c>
      <c r="F3495" t="s">
        <v>7354</v>
      </c>
      <c r="G3495" t="s">
        <v>14</v>
      </c>
      <c r="H3495">
             </c>
      <c r="I3495" t="s">
        <v>14</v>
      </c>
      <c r="J3495" t="s">
        <v>141</v>
      </c>
      <c r="K3495" t="s">
        <v>14</v>
      </c>
      <c r="L3495" t="s">
        <v>20</v>
      </c>
      <c r="M3495" t="s">
        <v>7334</v>
      </c>
      <c r="N3495" t="s">
        <v>14</v>
      </c>
    </row>
    <row r="3496" x14ac:dyDescent="0.25">
      <c r="A3496" t="n">
        <v>25</v>
      </c>
      <c r="B3496" t="s">
        <v>14</v>
      </c>
      <c r="C3496" t="s">
        <v>22</v>
      </c>
      <c r="D3496" s="2" t="s">
        <f>=HYPERLINK("https://main.knesset.gov.il/APPS/legislation/main/bills/2209846", "הצעת חוק שמאי ביטוח, התשפ""ד-2024")</f>
        <v>7355</v>
      </c>
      <c r="E3496" t="s">
        <v>7355</v>
      </c>
      <c r="F3496" t="s">
        <v>7356</v>
      </c>
      <c r="G3496" t="s">
        <v>14</v>
      </c>
      <c r="H3496">
             </c>
      <c r="I3496" t="s">
        <v>14</v>
      </c>
      <c r="J3496" t="s">
        <v>141</v>
      </c>
      <c r="K3496" t="s">
        <v>14</v>
      </c>
      <c r="L3496" t="s">
        <v>20</v>
      </c>
      <c r="M3496" t="s">
        <v>7334</v>
      </c>
      <c r="N3496" t="s">
        <v>14</v>
      </c>
    </row>
    <row r="3497" x14ac:dyDescent="0.25">
      <c r="A3497" t="n">
        <v>25</v>
      </c>
      <c r="B3497" t="s">
        <v>14</v>
      </c>
      <c r="C3497" t="s">
        <v>22</v>
      </c>
      <c r="D3497" s="2" t="s">
        <f>=HYPERLINK("https://main.knesset.gov.il/APPS/legislation/main/bills/2211684", "הצעת חוק מס ערך מוסף (תיקון - מס בשיעור אפס על דירה ראשונה ללוחם משוחרר), התשפ""ד-2024")</f>
        <v>7357</v>
      </c>
      <c r="E3497" t="s">
        <v>7357</v>
      </c>
      <c r="F3497" t="s">
        <v>7358</v>
      </c>
      <c r="G3497" t="s">
        <v>14</v>
      </c>
      <c r="H3497">
             </c>
      <c r="I3497" t="s">
        <v>14</v>
      </c>
      <c r="J3497" t="s">
        <v>141</v>
      </c>
      <c r="K3497" t="s">
        <v>14</v>
      </c>
      <c r="L3497" t="s">
        <v>20</v>
      </c>
      <c r="M3497" t="s">
        <v>7334</v>
      </c>
      <c r="N3497" t="s">
        <v>14</v>
      </c>
    </row>
    <row r="3498" x14ac:dyDescent="0.25">
      <c r="A3498" t="n">
        <v>25</v>
      </c>
      <c r="B3498" t="s">
        <v>14</v>
      </c>
      <c r="C3498" t="s">
        <v>22</v>
      </c>
      <c r="D3498" s="2" t="s">
        <f>=HYPERLINK("https://main.knesset.gov.il/APPS/legislation/main/bills/2212422", "הצעת חוק ההתגוננות האזרחית (תיקון - מנגנון נעילת דלת מרחב מוגן דירתי), התשפ""ד-2024")</f>
        <v>7359</v>
      </c>
      <c r="E3498" t="s">
        <v>7359</v>
      </c>
      <c r="F3498" t="s">
        <v>7360</v>
      </c>
      <c r="G3498" t="s">
        <v>14</v>
      </c>
      <c r="H3498">
             </c>
      <c r="I3498" t="s">
        <v>14</v>
      </c>
      <c r="J3498" t="s">
        <v>141</v>
      </c>
      <c r="K3498" t="s">
        <v>14</v>
      </c>
      <c r="L3498" t="s">
        <v>20</v>
      </c>
      <c r="M3498" t="s">
        <v>7334</v>
      </c>
      <c r="N3498" t="s">
        <v>14</v>
      </c>
    </row>
    <row r="3499" x14ac:dyDescent="0.25">
      <c r="A3499" t="n">
        <v>25</v>
      </c>
      <c r="B3499" t="s">
        <v>14</v>
      </c>
      <c r="C3499" t="s">
        <v>22</v>
      </c>
      <c r="D3499" s="2" t="s">
        <f>=HYPERLINK("https://main.knesset.gov.il/APPS/legislation/main/bills/2209234", "הצעת חוק המפלגות (תיקון - חובת הקמת גוף פנימי בוחר), התשפ""ד-2024")</f>
        <v>7361</v>
      </c>
      <c r="E3499" t="s">
        <v>7361</v>
      </c>
      <c r="F3499" t="s">
        <v>7362</v>
      </c>
      <c r="G3499" t="s">
        <v>14</v>
      </c>
      <c r="H3499">
             </c>
      <c r="I3499" t="s">
        <v>14</v>
      </c>
      <c r="J3499" t="s">
        <v>141</v>
      </c>
      <c r="K3499" t="s">
        <v>14</v>
      </c>
      <c r="L3499" t="s">
        <v>20</v>
      </c>
      <c r="M3499" t="s">
        <v>7334</v>
      </c>
      <c r="N3499" t="s">
        <v>14</v>
      </c>
    </row>
    <row r="3500" x14ac:dyDescent="0.25">
      <c r="A3500" t="n">
        <v>25</v>
      </c>
      <c r="B3500" t="s">
        <v>14</v>
      </c>
      <c r="C3500" t="s">
        <v>22</v>
      </c>
      <c r="D3500" s="2" t="s">
        <f>=HYPERLINK("https://main.knesset.gov.il/APPS/legislation/main/bills/2212666", "הצעת חוק משפחות חיילים שנספו במערכה (תגמולים ושיקום) (תיקון - המונח יתום), התשפ""ד-2024")</f>
        <v>7363</v>
      </c>
      <c r="E3500" t="s">
        <v>7363</v>
      </c>
      <c r="F3500" t="s">
        <v>7364</v>
      </c>
      <c r="G3500" t="s">
        <v>14</v>
      </c>
      <c r="H3500">
             </c>
      <c r="I3500" t="s">
        <v>14</v>
      </c>
      <c r="J3500" t="s">
        <v>343</v>
      </c>
      <c r="K3500" t="s">
        <v>14</v>
      </c>
      <c r="L3500" t="s">
        <v>20</v>
      </c>
      <c r="M3500" t="s">
        <v>7365</v>
      </c>
      <c r="N3500" t="s">
        <v>14</v>
      </c>
    </row>
    <row r="3501" x14ac:dyDescent="0.25">
      <c r="A3501" t="n">
        <v>25</v>
      </c>
      <c r="B3501" t="s">
        <v>14</v>
      </c>
      <c r="C3501" t="s">
        <v>22</v>
      </c>
      <c r="D3501" s="2" t="s">
        <f>=HYPERLINK("https://main.knesset.gov.il/APPS/legislation/main/bills/2207038", "הצעת חוק הרשות לפיתוח הנגב (תיקון - קידום הקמתם של יישובים חקלאיים חדשים בנגב), התשפ""ד-2024")</f>
        <v>7366</v>
      </c>
      <c r="E3501" t="s">
        <v>7366</v>
      </c>
      <c r="F3501" t="s">
        <v>7367</v>
      </c>
      <c r="G3501" t="s">
        <v>14</v>
      </c>
      <c r="H3501">
             </c>
      <c r="I3501" t="s">
        <v>14</v>
      </c>
      <c r="J3501" t="s">
        <v>141</v>
      </c>
      <c r="K3501" t="s">
        <v>14</v>
      </c>
      <c r="L3501" t="s">
        <v>20</v>
      </c>
      <c r="M3501" t="s">
        <v>7365</v>
      </c>
      <c r="N3501" t="s">
        <v>14</v>
      </c>
    </row>
    <row r="3502" x14ac:dyDescent="0.25">
      <c r="A3502" t="n">
        <v>25</v>
      </c>
      <c r="B3502" t="s">
        <v>14</v>
      </c>
      <c r="C3502" t="s">
        <v>22</v>
      </c>
      <c r="D3502" s="2" t="s">
        <f>=HYPERLINK("https://main.knesset.gov.il/APPS/legislation/main/bills/2212538", "הצעת חוק שירות המילואים (תיקון - הרחבת מתווה התגמולים לחיילי מילואים שאינם מפקדים), התשפ""ד-2024")</f>
        <v>7368</v>
      </c>
      <c r="E3502" t="s">
        <v>7368</v>
      </c>
      <c r="F3502" t="s">
        <v>7369</v>
      </c>
      <c r="G3502" t="s">
        <v>14</v>
      </c>
      <c r="H3502">
             </c>
      <c r="I3502" t="s">
        <v>14</v>
      </c>
      <c r="J3502" t="s">
        <v>141</v>
      </c>
      <c r="K3502" t="s">
        <v>14</v>
      </c>
      <c r="L3502" t="s">
        <v>20</v>
      </c>
      <c r="M3502" t="s">
        <v>7365</v>
      </c>
      <c r="N3502" t="s">
        <v>14</v>
      </c>
    </row>
    <row r="3503" x14ac:dyDescent="0.25">
      <c r="A3503" t="n">
        <v>25</v>
      </c>
      <c r="B3503" t="s">
        <v>14</v>
      </c>
      <c r="C3503" t="s">
        <v>22</v>
      </c>
      <c r="D3503" s="2" t="s">
        <f>=HYPERLINK("https://main.knesset.gov.il/APPS/legislation/main/bills/2213059", "הצעת חוק הקאדים (תיקון - חברי הוועדה לבחירת קאדים), התשפ""ד-2024")</f>
        <v>7370</v>
      </c>
      <c r="E3503" t="s">
        <v>7370</v>
      </c>
      <c r="F3503" t="s">
        <v>7371</v>
      </c>
      <c r="G3503" t="s">
        <v>14</v>
      </c>
      <c r="H3503">
             </c>
      <c r="I3503" t="s">
        <v>14</v>
      </c>
      <c r="J3503" t="s">
        <v>141</v>
      </c>
      <c r="K3503" t="s">
        <v>14</v>
      </c>
      <c r="L3503" t="s">
        <v>20</v>
      </c>
      <c r="M3503" t="s">
        <v>7365</v>
      </c>
      <c r="N3503" t="s">
        <v>14</v>
      </c>
    </row>
    <row r="3504" x14ac:dyDescent="0.25">
      <c r="A3504" t="n">
        <v>25</v>
      </c>
      <c r="B3504" t="s">
        <v>14</v>
      </c>
      <c r="C3504" t="s">
        <v>22</v>
      </c>
      <c r="D3504" s="2" t="s">
        <f>=HYPERLINK("https://main.knesset.gov.il/APPS/legislation/main/bills/2211937", "הצעת חוק נתוני אשראי (תיקון - אי-הכללת מידע במצב מיוחד בעורף), התשפ""ד-2024")</f>
        <v>7372</v>
      </c>
      <c r="E3504" t="s">
        <v>7372</v>
      </c>
      <c r="F3504" t="s">
        <v>7373</v>
      </c>
      <c r="G3504" t="s">
        <v>14</v>
      </c>
      <c r="H3504">
             </c>
      <c r="I3504" t="s">
        <v>14</v>
      </c>
      <c r="J3504" t="s">
        <v>141</v>
      </c>
      <c r="K3504" t="s">
        <v>14</v>
      </c>
      <c r="L3504" t="s">
        <v>20</v>
      </c>
      <c r="M3504" t="s">
        <v>7365</v>
      </c>
      <c r="N3504" t="s">
        <v>14</v>
      </c>
    </row>
    <row r="3505" x14ac:dyDescent="0.25">
      <c r="A3505" t="n">
        <v>25</v>
      </c>
      <c r="B3505" t="s">
        <v>14</v>
      </c>
      <c r="C3505" t="s">
        <v>22</v>
      </c>
      <c r="D3505" s="2" t="s">
        <f>=HYPERLINK("https://main.knesset.gov.il/APPS/legislation/main/bills/2212667", "הצעת חוק השלכות חלוקתיות בחקיקה, התשפ""ד-2024")</f>
        <v>7374</v>
      </c>
      <c r="E3505" t="s">
        <v>7374</v>
      </c>
      <c r="F3505" t="s">
        <v>7375</v>
      </c>
      <c r="G3505" t="s">
        <v>14</v>
      </c>
      <c r="H3505">
             </c>
      <c r="I3505" t="s">
        <v>14</v>
      </c>
      <c r="J3505" t="s">
        <v>141</v>
      </c>
      <c r="K3505" t="s">
        <v>14</v>
      </c>
      <c r="L3505" t="s">
        <v>20</v>
      </c>
      <c r="M3505" t="s">
        <v>7365</v>
      </c>
      <c r="N3505" t="s">
        <v>14</v>
      </c>
    </row>
    <row r="3506" x14ac:dyDescent="0.25">
      <c r="A3506" t="n">
        <v>25</v>
      </c>
      <c r="B3506" t="s">
        <v>14</v>
      </c>
      <c r="C3506" t="s">
        <v>22</v>
      </c>
      <c r="D3506" s="2" t="s">
        <f>=HYPERLINK("https://main.knesset.gov.il/APPS/legislation/main/bills/2212210", "הצעת חוק משפחות חיילים שנספו במערכה (תגמולים ושיקום) (תיקון - ביטול מגבלת גיל להכרה ביתומי צה""ל וכוחות הביטחון), התשפ""ד-2024")</f>
        <v>7376</v>
      </c>
      <c r="E3506" t="s">
        <v>7376</v>
      </c>
      <c r="F3506" t="s">
        <v>7377</v>
      </c>
      <c r="G3506" t="s">
        <v>14</v>
      </c>
      <c r="H3506">
             </c>
      <c r="I3506" t="s">
        <v>14</v>
      </c>
      <c r="J3506" t="s">
        <v>141</v>
      </c>
      <c r="K3506" t="s">
        <v>14</v>
      </c>
      <c r="L3506" t="s">
        <v>20</v>
      </c>
      <c r="M3506" t="s">
        <v>7365</v>
      </c>
      <c r="N3506" t="s">
        <v>14</v>
      </c>
    </row>
    <row r="3507" x14ac:dyDescent="0.25">
      <c r="A3507" t="n">
        <v>25</v>
      </c>
      <c r="B3507" t="s">
        <v>14</v>
      </c>
      <c r="C3507" t="s">
        <v>22</v>
      </c>
      <c r="D3507" s="2" t="s">
        <f>=HYPERLINK("https://main.knesset.gov.il/APPS/legislation/main/bills/2212951", "הצעת חוק מניעת ביצוע עבירות באמצעות פרסום באינטרנט (הסרת תוכן), התשפ""ד-2024")</f>
        <v>7378</v>
      </c>
      <c r="E3507" t="s">
        <v>7378</v>
      </c>
      <c r="F3507" t="s">
        <v>7379</v>
      </c>
      <c r="G3507" t="s">
        <v>14</v>
      </c>
      <c r="H3507">
             </c>
      <c r="I3507" t="s">
        <v>14</v>
      </c>
      <c r="J3507" t="s">
        <v>141</v>
      </c>
      <c r="K3507" t="s">
        <v>14</v>
      </c>
      <c r="L3507" t="s">
        <v>20</v>
      </c>
      <c r="M3507" t="s">
        <v>7365</v>
      </c>
      <c r="N3507" t="s">
        <v>14</v>
      </c>
    </row>
    <row r="3508" x14ac:dyDescent="0.25">
      <c r="A3508" t="n">
        <v>25</v>
      </c>
      <c r="B3508" t="s">
        <v>14</v>
      </c>
      <c r="C3508" t="s">
        <v>22</v>
      </c>
      <c r="D3508" s="2" t="s">
        <f>=HYPERLINK("https://main.knesset.gov.il/APPS/legislation/main/bills/2212510", "הצעת חוק עבודת נשים (תיקון - הרחבת ההקלות לבני ולבנות זוגם של משרתים במילואים), התשפ""ד-2024 ")</f>
        <v>7380</v>
      </c>
      <c r="E3508" t="s">
        <v>7380</v>
      </c>
      <c r="F3508" t="s">
        <v>7381</v>
      </c>
      <c r="G3508" t="s">
        <v>14</v>
      </c>
      <c r="H3508">
             </c>
      <c r="I3508" t="s">
        <v>14</v>
      </c>
      <c r="J3508" t="s">
        <v>141</v>
      </c>
      <c r="K3508" t="s">
        <v>14</v>
      </c>
      <c r="L3508" t="s">
        <v>20</v>
      </c>
      <c r="M3508" t="s">
        <v>7365</v>
      </c>
      <c r="N3508" t="s">
        <v>14</v>
      </c>
    </row>
    <row r="3509" x14ac:dyDescent="0.25">
      <c r="A3509" t="n">
        <v>25</v>
      </c>
      <c r="B3509" t="s">
        <v>14</v>
      </c>
      <c r="C3509" t="s">
        <v>22</v>
      </c>
      <c r="D3509" s="2" t="s">
        <f>=HYPERLINK("https://main.knesset.gov.il/APPS/legislation/main/bills/2212936", "הצעת חוק חינוך ממלכתי (תיקון - איסור תמיכה בטרור), התשפ""ד-2024")</f>
        <v>7382</v>
      </c>
      <c r="E3509" t="s">
        <v>7382</v>
      </c>
      <c r="F3509" t="s">
        <v>7383</v>
      </c>
      <c r="G3509" t="s">
        <v>14</v>
      </c>
      <c r="H3509">
             </c>
      <c r="I3509" t="s">
        <v>14</v>
      </c>
      <c r="J3509" t="s">
        <v>141</v>
      </c>
      <c r="K3509" t="s">
        <v>14</v>
      </c>
      <c r="L3509" t="s">
        <v>20</v>
      </c>
      <c r="M3509" t="s">
        <v>7365</v>
      </c>
      <c r="N3509" t="s">
        <v>14</v>
      </c>
    </row>
    <row r="3510" x14ac:dyDescent="0.25">
      <c r="A3510" t="n">
        <v>25</v>
      </c>
      <c r="B3510" t="s">
        <v>14</v>
      </c>
      <c r="C3510" t="s">
        <v>22</v>
      </c>
      <c r="D3510" s="2" t="s">
        <f>=HYPERLINK("https://main.knesset.gov.il/APPS/legislation/main/bills/2198023", "הצעת חוק ביטוח סיעודי ממלכתי (תיקוני חקיקה), התשפ""ד-2024")</f>
        <v>5675</v>
      </c>
      <c r="E3510" t="s">
        <v>5675</v>
      </c>
      <c r="F3510" t="s">
        <v>7384</v>
      </c>
      <c r="G3510" t="s">
        <v>14</v>
      </c>
      <c r="H3510">
             </c>
      <c r="I3510" t="s">
        <v>14</v>
      </c>
      <c r="J3510" t="s">
        <v>141</v>
      </c>
      <c r="K3510" t="s">
        <v>14</v>
      </c>
      <c r="L3510" t="s">
        <v>20</v>
      </c>
      <c r="M3510" t="s">
        <v>7365</v>
      </c>
      <c r="N3510" t="s">
        <v>14</v>
      </c>
    </row>
    <row r="3511" x14ac:dyDescent="0.25">
      <c r="A3511" t="n">
        <v>25</v>
      </c>
      <c r="B3511" t="s">
        <v>14</v>
      </c>
      <c r="C3511" t="s">
        <v>15</v>
      </c>
      <c r="D3511" s="2" t="s">
        <f>=HYPERLINK("https://main.knesset.gov.il/APPS/legislation/main/bills/2202408", "חוק לתיקון פקודת המשטרה (מס' 40), התשפ""ד-2024")</f>
        <v>7385</v>
      </c>
      <c r="E3511" t="s">
        <v>7385</v>
      </c>
      <c r="F3511" t="s">
        <v>14</v>
      </c>
      <c r="G3511" t="s">
        <v>7386</v>
      </c>
      <c r="H3511" t="n">
        <v>3145</v>
      </c>
      <c r="I3511" t="s">
        <v>14</v>
      </c>
      <c r="J3511" t="s">
        <v>91</v>
      </c>
      <c r="K3511" t="s">
        <v>105</v>
      </c>
      <c r="L3511" t="s">
        <v>20</v>
      </c>
      <c r="M3511" t="s">
        <v>7387</v>
      </c>
      <c r="N3511" t="s">
        <v>7388</v>
      </c>
    </row>
    <row r="3512" x14ac:dyDescent="0.25">
      <c r="A3512" t="n">
        <v>25</v>
      </c>
      <c r="B3512" t="s">
        <v>14</v>
      </c>
      <c r="C3512" t="s">
        <v>15</v>
      </c>
      <c r="D3512" s="2" t="s">
        <f>=HYPERLINK("https://main.knesset.gov.il/APPS/legislation/main/bills/2209058", "חוק שירות המדינה (מינויים) (תיקון מס' 20), התשפ""ד–2024")</f>
        <v>7389</v>
      </c>
      <c r="E3512" t="s">
        <v>7389</v>
      </c>
      <c r="F3512" t="s">
        <v>14</v>
      </c>
      <c r="G3512" t="s">
        <v>7390</v>
      </c>
      <c r="H3512" t="n">
        <v>3144</v>
      </c>
      <c r="I3512" t="s">
        <v>14</v>
      </c>
      <c r="J3512" t="s">
        <v>91</v>
      </c>
      <c r="K3512" t="s">
        <v>27</v>
      </c>
      <c r="L3512" t="s">
        <v>20</v>
      </c>
      <c r="M3512" t="s">
        <v>7387</v>
      </c>
      <c r="N3512" t="s">
        <v>7391</v>
      </c>
    </row>
    <row r="3513" x14ac:dyDescent="0.25">
      <c r="A3513" t="n">
        <v>25</v>
      </c>
      <c r="B3513" t="s">
        <v>14</v>
      </c>
      <c r="C3513" t="s">
        <v>15</v>
      </c>
      <c r="D3513" s="2" t="s">
        <f>=HYPERLINK("https://main.knesset.gov.il/APPS/legislation/main/bills/2203069", "חוק רשות התעופה האזרחית (תיקון מס' 3), התשפ""ד-2024")</f>
        <v>7392</v>
      </c>
      <c r="E3513" t="s">
        <v>7392</v>
      </c>
      <c r="F3513" t="s">
        <v>14</v>
      </c>
      <c r="G3513" t="s">
        <v>7393</v>
      </c>
      <c r="H3513" t="n">
        <v>3143</v>
      </c>
      <c r="I3513" t="s">
        <v>14</v>
      </c>
      <c r="J3513" t="s">
        <v>91</v>
      </c>
      <c r="K3513" t="s">
        <v>19</v>
      </c>
      <c r="L3513" t="s">
        <v>20</v>
      </c>
      <c r="M3513" t="s">
        <v>7387</v>
      </c>
      <c r="N3513" t="s">
        <v>7394</v>
      </c>
    </row>
    <row r="3514" x14ac:dyDescent="0.25">
      <c r="A3514" t="n">
        <v>25</v>
      </c>
      <c r="B3514" t="s">
        <v>14</v>
      </c>
      <c r="C3514" t="s">
        <v>15</v>
      </c>
      <c r="D3514" s="2" t="s">
        <f>=HYPERLINK("https://main.knesset.gov.il/APPS/legislation/main/bills/2165539", "חוק הטיס (תיקון מס' 4), התשפ""ד-2024")</f>
        <v>7395</v>
      </c>
      <c r="E3514" t="s">
        <v>7395</v>
      </c>
      <c r="F3514" t="s">
        <v>14</v>
      </c>
      <c r="G3514" t="s">
        <v>7396</v>
      </c>
      <c r="H3514" t="n">
        <v>3142</v>
      </c>
      <c r="I3514" t="s">
        <v>14</v>
      </c>
      <c r="J3514" t="s">
        <v>91</v>
      </c>
      <c r="K3514" t="s">
        <v>19</v>
      </c>
      <c r="L3514" t="s">
        <v>20</v>
      </c>
      <c r="M3514" t="s">
        <v>7397</v>
      </c>
      <c r="N3514" t="s">
        <v>7398</v>
      </c>
    </row>
    <row r="3515" x14ac:dyDescent="0.25">
      <c r="A3515" t="n">
        <v>25</v>
      </c>
      <c r="B3515" t="s">
        <v>14</v>
      </c>
      <c r="C3515" t="s">
        <v>22</v>
      </c>
      <c r="D3515" s="2" t="s">
        <f>=HYPERLINK("https://main.knesset.gov.il/APPS/legislation/main/bills/2207318", "הצעת חוק העונשין (תיקון - החמרת ענישה בעבירות ממניע גזעני), התשפ""ד-2024")</f>
        <v>7399</v>
      </c>
      <c r="E3515" t="s">
        <v>7399</v>
      </c>
      <c r="F3515" t="s">
        <v>7400</v>
      </c>
      <c r="G3515" t="s">
        <v>14</v>
      </c>
      <c r="H3515">
             </c>
      <c r="I3515" t="s">
        <v>14</v>
      </c>
      <c r="J3515" t="s">
        <v>141</v>
      </c>
      <c r="K3515" t="s">
        <v>14</v>
      </c>
      <c r="L3515" t="s">
        <v>20</v>
      </c>
      <c r="M3515" t="s">
        <v>7397</v>
      </c>
      <c r="N3515" t="s">
        <v>14</v>
      </c>
    </row>
    <row r="3516" x14ac:dyDescent="0.25">
      <c r="A3516" t="n">
        <v>25</v>
      </c>
      <c r="B3516" t="s">
        <v>14</v>
      </c>
      <c r="C3516" t="s">
        <v>22</v>
      </c>
      <c r="D3516" s="2" t="s">
        <f>=HYPERLINK("https://main.knesset.gov.il/APPS/legislation/main/bills/2212621", "הצעת חוק-יסוד: ברית החיים")</f>
        <v>7401</v>
      </c>
      <c r="E3516" t="s">
        <v>7401</v>
      </c>
      <c r="F3516" t="s">
        <v>7402</v>
      </c>
      <c r="G3516" t="s">
        <v>14</v>
      </c>
      <c r="H3516">
             </c>
      <c r="I3516" t="s">
        <v>14</v>
      </c>
      <c r="J3516" t="s">
        <v>141</v>
      </c>
      <c r="K3516" t="s">
        <v>14</v>
      </c>
      <c r="L3516" t="s">
        <v>20</v>
      </c>
      <c r="M3516" t="s">
        <v>7397</v>
      </c>
      <c r="N3516" t="s">
        <v>14</v>
      </c>
    </row>
    <row r="3517" x14ac:dyDescent="0.25">
      <c r="A3517" t="n">
        <v>25</v>
      </c>
      <c r="B3517" t="s">
        <v>14</v>
      </c>
      <c r="C3517" t="s">
        <v>22</v>
      </c>
      <c r="D3517" s="2" t="s">
        <f>=HYPERLINK("https://main.knesset.gov.il/APPS/legislation/main/bills/2212336", "הצעת חוק כלי הירייה (תיקון - פיקוח פרלמנטרי), התשפ""ד-2024")</f>
        <v>7403</v>
      </c>
      <c r="E3517" t="s">
        <v>7403</v>
      </c>
      <c r="F3517" t="s">
        <v>7404</v>
      </c>
      <c r="G3517" t="s">
        <v>14</v>
      </c>
      <c r="H3517">
             </c>
      <c r="I3517" t="s">
        <v>14</v>
      </c>
      <c r="J3517" t="s">
        <v>141</v>
      </c>
      <c r="K3517" t="s">
        <v>14</v>
      </c>
      <c r="L3517" t="s">
        <v>20</v>
      </c>
      <c r="M3517" t="s">
        <v>7397</v>
      </c>
      <c r="N3517" t="s">
        <v>14</v>
      </c>
    </row>
    <row r="3518" x14ac:dyDescent="0.25">
      <c r="A3518" t="n">
        <v>25</v>
      </c>
      <c r="B3518" t="s">
        <v>14</v>
      </c>
      <c r="C3518" t="s">
        <v>22</v>
      </c>
      <c r="D3518" s="2" t="s">
        <f>=HYPERLINK("https://main.knesset.gov.il/APPS/legislation/main/bills/2195730", "הצעת חוק צוותי התערבות במשבר נפשי, התשפ""ג-2023")</f>
        <v>7405</v>
      </c>
      <c r="E3518" t="s">
        <v>7405</v>
      </c>
      <c r="F3518" t="s">
        <v>7406</v>
      </c>
      <c r="G3518" t="s">
        <v>7407</v>
      </c>
      <c r="H3518">
             </c>
      <c r="I3518" t="s">
        <v>14</v>
      </c>
      <c r="J3518" t="s">
        <v>18</v>
      </c>
      <c r="K3518" t="s">
        <v>480</v>
      </c>
      <c r="L3518" t="s">
        <v>20</v>
      </c>
      <c r="M3518" t="s">
        <v>7397</v>
      </c>
      <c r="N3518" t="s">
        <v>14</v>
      </c>
    </row>
    <row r="3519" x14ac:dyDescent="0.25">
      <c r="A3519" t="n">
        <v>25</v>
      </c>
      <c r="B3519" t="s">
        <v>14</v>
      </c>
      <c r="C3519" t="s">
        <v>15</v>
      </c>
      <c r="D3519" s="2" t="s">
        <f>=HYPERLINK("https://main.knesset.gov.il/APPS/legislation/main/bills/2212958", "חוק דחיית מועדים (הוראת שעה – חרבות ברזל) (חוזה, פסק דין או תשלום לרשות) (תיקון) (דחיית מועדים בתקופה הקובעת השנייה), התשפ""ד-2023")</f>
        <v>7408</v>
      </c>
      <c r="E3519" t="s">
        <v>7408</v>
      </c>
      <c r="F3519" t="s">
        <v>14</v>
      </c>
      <c r="G3519" t="s">
        <v>7409</v>
      </c>
      <c r="H3519" t="n">
        <v>3141</v>
      </c>
      <c r="I3519" t="s">
        <v>14</v>
      </c>
      <c r="J3519" t="s">
        <v>91</v>
      </c>
      <c r="K3519" t="s">
        <v>114</v>
      </c>
      <c r="L3519" t="s">
        <v>20</v>
      </c>
      <c r="M3519" t="s">
        <v>7410</v>
      </c>
      <c r="N3519" t="s">
        <v>7411</v>
      </c>
    </row>
    <row r="3520" x14ac:dyDescent="0.25">
      <c r="A3520" t="n">
        <v>25</v>
      </c>
      <c r="B3520" t="s">
        <v>14</v>
      </c>
      <c r="C3520" t="s">
        <v>15</v>
      </c>
      <c r="D3520" s="2" t="s">
        <f>=HYPERLINK("https://main.knesset.gov.il/APPS/legislation/main/bills/2212387", "חוק שירות ביטחון (תיקון מס' 25 – הוראת שעה – חרבות ברזל) (העלאת גיל הפטור משירות מילואים), התשפ""ד-2023")</f>
        <v>7412</v>
      </c>
      <c r="E3520" t="s">
        <v>7412</v>
      </c>
      <c r="F3520" t="s">
        <v>14</v>
      </c>
      <c r="G3520" t="s">
        <v>7413</v>
      </c>
      <c r="H3520" t="n">
        <v>3136</v>
      </c>
      <c r="I3520" t="s">
        <v>14</v>
      </c>
      <c r="J3520" t="s">
        <v>91</v>
      </c>
      <c r="K3520" t="s">
        <v>114</v>
      </c>
      <c r="L3520" t="s">
        <v>20</v>
      </c>
      <c r="M3520" t="s">
        <v>7410</v>
      </c>
      <c r="N3520" t="s">
        <v>7414</v>
      </c>
    </row>
    <row r="3521" x14ac:dyDescent="0.25">
      <c r="A3521" t="n">
        <v>25</v>
      </c>
      <c r="B3521" t="s">
        <v>14</v>
      </c>
      <c r="C3521" t="s">
        <v>15</v>
      </c>
      <c r="D3521" s="2" t="s">
        <f>=HYPERLINK("https://main.knesset.gov.il/APPS/legislation/main/bills/2212776", "חוק לייעול האכיפה והפיקוח העירוניים ברשויות המקומיות (הוראת שעה) (תיקון מס' 11), התשפ""ד-2023")</f>
        <v>7415</v>
      </c>
      <c r="E3521" t="s">
        <v>7415</v>
      </c>
      <c r="F3521" t="s">
        <v>14</v>
      </c>
      <c r="G3521" t="s">
        <v>7416</v>
      </c>
      <c r="H3521" t="n">
        <v>3139</v>
      </c>
      <c r="I3521" t="s">
        <v>14</v>
      </c>
      <c r="J3521" t="s">
        <v>91</v>
      </c>
      <c r="K3521" t="s">
        <v>105</v>
      </c>
      <c r="L3521" t="s">
        <v>20</v>
      </c>
      <c r="M3521" t="s">
        <v>7410</v>
      </c>
      <c r="N3521" t="s">
        <v>7417</v>
      </c>
    </row>
    <row r="3522" x14ac:dyDescent="0.25">
      <c r="A3522" t="n">
        <v>25</v>
      </c>
      <c r="B3522" t="s">
        <v>14</v>
      </c>
      <c r="C3522" t="s">
        <v>15</v>
      </c>
      <c r="D3522" s="2" t="s">
        <f>=HYPERLINK("https://main.knesset.gov.il/APPS/legislation/main/bills/2212492", "חוק הסדרים במשק המדינה (תיקוני חקיקה) (תיקון מס' 19), התשפ""ד-2023")</f>
        <v>7418</v>
      </c>
      <c r="E3522" t="s">
        <v>7418</v>
      </c>
      <c r="F3522" t="s">
        <v>14</v>
      </c>
      <c r="G3522" t="s">
        <v>7419</v>
      </c>
      <c r="H3522" t="n">
        <v>3140</v>
      </c>
      <c r="I3522" t="s">
        <v>14</v>
      </c>
      <c r="J3522" t="s">
        <v>91</v>
      </c>
      <c r="K3522" t="s">
        <v>19</v>
      </c>
      <c r="L3522" t="s">
        <v>20</v>
      </c>
      <c r="M3522" t="s">
        <v>7410</v>
      </c>
      <c r="N3522" t="s">
        <v>7420</v>
      </c>
    </row>
    <row r="3523" x14ac:dyDescent="0.25">
      <c r="A3523" t="n">
        <v>25</v>
      </c>
      <c r="B3523" t="s">
        <v>14</v>
      </c>
      <c r="C3523" t="s">
        <v>15</v>
      </c>
      <c r="D3523" s="2" t="s">
        <f>=HYPERLINK("https://main.knesset.gov.il/APPS/legislation/main/bills/2212495", "חוק גיל פרישה (הורה שילדו נפטר) (הוראת שעה) (תיקון מס' 2), התשפ""ד-2023")</f>
        <v>7421</v>
      </c>
      <c r="E3523" t="s">
        <v>7421</v>
      </c>
      <c r="F3523" t="s">
        <v>14</v>
      </c>
      <c r="G3523" t="s">
        <v>7422</v>
      </c>
      <c r="H3523" t="n">
        <v>3138</v>
      </c>
      <c r="I3523" t="s">
        <v>14</v>
      </c>
      <c r="J3523" t="s">
        <v>91</v>
      </c>
      <c r="K3523" t="s">
        <v>127</v>
      </c>
      <c r="L3523" t="s">
        <v>20</v>
      </c>
      <c r="M3523" t="s">
        <v>7410</v>
      </c>
      <c r="N3523" t="s">
        <v>7423</v>
      </c>
    </row>
    <row r="3524" x14ac:dyDescent="0.25">
      <c r="A3524" t="n">
        <v>25</v>
      </c>
      <c r="B3524" t="s">
        <v>14</v>
      </c>
      <c r="C3524" t="s">
        <v>15</v>
      </c>
      <c r="D3524" s="2" t="s">
        <f>=HYPERLINK("https://main.knesset.gov.il/APPS/legislation/main/bills/2204250", "חוק משק הגז הטבעי (תיקון מס' 13), התשפ""ד-2023 ")</f>
        <v>7424</v>
      </c>
      <c r="E3524" t="s">
        <v>7424</v>
      </c>
      <c r="F3524" t="s">
        <v>14</v>
      </c>
      <c r="G3524" t="s">
        <v>110</v>
      </c>
      <c r="H3524" t="n">
        <v>3137</v>
      </c>
      <c r="I3524" t="s">
        <v>14</v>
      </c>
      <c r="J3524" t="s">
        <v>91</v>
      </c>
      <c r="K3524" t="s">
        <v>19</v>
      </c>
      <c r="L3524" t="s">
        <v>20</v>
      </c>
      <c r="M3524" t="s">
        <v>7410</v>
      </c>
      <c r="N3524" t="s">
        <v>7425</v>
      </c>
    </row>
    <row r="3525" x14ac:dyDescent="0.25">
      <c r="A3525" t="n">
        <v>25</v>
      </c>
      <c r="B3525" t="s">
        <v>14</v>
      </c>
      <c r="C3525" t="s">
        <v>22</v>
      </c>
      <c r="D3525" s="2" t="s">
        <f>=HYPERLINK("https://main.knesset.gov.il/APPS/legislation/main/bills/2208148", "הצעת חוק הקמת חדרי מיון קדמיים, התשפ""ג-2023")</f>
        <v>7426</v>
      </c>
      <c r="E3525" t="s">
        <v>7426</v>
      </c>
      <c r="F3525" t="s">
        <v>7427</v>
      </c>
      <c r="G3525" t="s">
        <v>14</v>
      </c>
      <c r="H3525">
             </c>
      <c r="I3525" t="s">
        <v>14</v>
      </c>
      <c r="J3525" t="s">
        <v>65</v>
      </c>
      <c r="K3525" t="s">
        <v>14</v>
      </c>
      <c r="L3525" t="s">
        <v>20</v>
      </c>
      <c r="M3525" t="s">
        <v>7410</v>
      </c>
      <c r="N3525" t="s">
        <v>14</v>
      </c>
    </row>
    <row r="3526" x14ac:dyDescent="0.25">
      <c r="A3526" t="n">
        <v>25</v>
      </c>
      <c r="B3526" t="s">
        <v>14</v>
      </c>
      <c r="C3526" t="s">
        <v>22</v>
      </c>
      <c r="D3526" s="2" t="s">
        <f>=HYPERLINK("https://main.knesset.gov.il/APPS/legislation/main/bills/2201421", "הצעת חוק חינוך ממלכתי (תיקון - איסור תמיכה בטרור), התשפ""ג-2023")</f>
        <v>7428</v>
      </c>
      <c r="E3526" t="s">
        <v>7428</v>
      </c>
      <c r="F3526" t="s">
        <v>7429</v>
      </c>
      <c r="G3526" t="s">
        <v>14</v>
      </c>
      <c r="H3526">
             </c>
      <c r="I3526" t="s">
        <v>14</v>
      </c>
      <c r="J3526" t="s">
        <v>55</v>
      </c>
      <c r="K3526" t="s">
        <v>14</v>
      </c>
      <c r="L3526" t="s">
        <v>20</v>
      </c>
      <c r="M3526" t="s">
        <v>7410</v>
      </c>
      <c r="N3526" t="s">
        <v>14</v>
      </c>
    </row>
    <row r="3527" x14ac:dyDescent="0.25">
      <c r="A3527" t="n">
        <v>25</v>
      </c>
      <c r="B3527" t="s">
        <v>14</v>
      </c>
      <c r="C3527" t="s">
        <v>15</v>
      </c>
      <c r="D3527" s="2" t="s">
        <f>=HYPERLINK("https://main.knesset.gov.il/APPS/legislation/main/bills/2212217", "חוק התמודדות עם תקיפות סייבר חמורות במגזר השירותים הדיגיטליים ושירותי האחסון (הוראת שעה - חרבות ברזל), התשפ""ד-2023")</f>
        <v>7430</v>
      </c>
      <c r="E3527" t="s">
        <v>7430</v>
      </c>
      <c r="F3527" t="s">
        <v>14</v>
      </c>
      <c r="G3527" t="s">
        <v>7431</v>
      </c>
      <c r="H3527" t="n">
        <v>3135</v>
      </c>
      <c r="I3527" t="s">
        <v>14</v>
      </c>
      <c r="J3527" t="s">
        <v>91</v>
      </c>
      <c r="K3527" t="s">
        <v>114</v>
      </c>
      <c r="L3527" t="s">
        <v>20</v>
      </c>
      <c r="M3527" t="s">
        <v>7432</v>
      </c>
      <c r="N3527" t="s">
        <v>7433</v>
      </c>
    </row>
    <row r="3528" x14ac:dyDescent="0.25">
      <c r="A3528" t="n">
        <v>25</v>
      </c>
      <c r="B3528" t="s">
        <v>14</v>
      </c>
      <c r="C3528" t="s">
        <v>15</v>
      </c>
      <c r="D3528" s="2" t="s">
        <f>=HYPERLINK("https://main.knesset.gov.il/APPS/legislation/main/bills/2203827", "חוק ההתייעלות הכלכלית (תיקוני חקיקה להשגת יעדי התקציב לשנות התקציב 2023 ו-2024), התשפ""ג-2023")</f>
        <v>7434</v>
      </c>
      <c r="E3528" t="s">
        <v>7434</v>
      </c>
      <c r="F3528" t="s">
        <v>14</v>
      </c>
      <c r="G3528" t="s">
        <v>110</v>
      </c>
      <c r="H3528" t="n">
        <v>3045</v>
      </c>
      <c r="I3528" t="s">
        <v>14</v>
      </c>
      <c r="J3528" t="s">
        <v>91</v>
      </c>
      <c r="K3528" t="s">
        <v>85</v>
      </c>
      <c r="L3528" t="s">
        <v>20</v>
      </c>
      <c r="M3528" t="s">
        <v>7432</v>
      </c>
      <c r="N3528" t="s">
        <v>7435</v>
      </c>
    </row>
    <row r="3529" x14ac:dyDescent="0.25">
      <c r="A3529" t="n">
        <v>25</v>
      </c>
      <c r="B3529" t="s">
        <v>14</v>
      </c>
      <c r="C3529" t="s">
        <v>22</v>
      </c>
      <c r="D3529" s="2" t="s">
        <f>=HYPERLINK("https://main.knesset.gov.il/APPS/legislation/main/bills/2212660", "הצעת חוק לדחיית הבחירות הכלליות לרשויות המקומיות (תיקון - מועד הבחירות), התשפ""ד-2023 ")</f>
        <v>7436</v>
      </c>
      <c r="E3529" t="s">
        <v>7436</v>
      </c>
      <c r="F3529" t="s">
        <v>7437</v>
      </c>
      <c r="G3529" t="s">
        <v>14</v>
      </c>
      <c r="H3529">
             </c>
      <c r="I3529" t="s">
        <v>14</v>
      </c>
      <c r="J3529" t="s">
        <v>141</v>
      </c>
      <c r="K3529" t="s">
        <v>14</v>
      </c>
      <c r="L3529" t="s">
        <v>20</v>
      </c>
      <c r="M3529" t="s">
        <v>7432</v>
      </c>
      <c r="N3529" t="s">
        <v>14</v>
      </c>
    </row>
    <row r="3530" x14ac:dyDescent="0.25">
      <c r="A3530" t="n">
        <v>25</v>
      </c>
      <c r="B3530" t="s">
        <v>14</v>
      </c>
      <c r="C3530" t="s">
        <v>22</v>
      </c>
      <c r="D3530" s="2" t="s">
        <f>=HYPERLINK("https://main.knesset.gov.il/APPS/legislation/main/bills/2209345", "הצעת חוק דמי מחלה עבור מלווה בן משפחה לבדיקה רפואית (תיקוני חקיקה), התשפ""ד-2023")</f>
        <v>7438</v>
      </c>
      <c r="E3530" t="s">
        <v>7438</v>
      </c>
      <c r="F3530" t="s">
        <v>7439</v>
      </c>
      <c r="G3530" t="s">
        <v>14</v>
      </c>
      <c r="H3530">
             </c>
      <c r="I3530" t="s">
        <v>14</v>
      </c>
      <c r="J3530" t="s">
        <v>141</v>
      </c>
      <c r="K3530" t="s">
        <v>14</v>
      </c>
      <c r="L3530" t="s">
        <v>20</v>
      </c>
      <c r="M3530" t="s">
        <v>7432</v>
      </c>
      <c r="N3530" t="s">
        <v>14</v>
      </c>
    </row>
    <row r="3531" x14ac:dyDescent="0.25">
      <c r="A3531" t="n">
        <v>25</v>
      </c>
      <c r="B3531" t="s">
        <v>14</v>
      </c>
      <c r="C3531" t="s">
        <v>22</v>
      </c>
      <c r="D3531" s="2" t="s">
        <f>=HYPERLINK("https://main.knesset.gov.il/APPS/legislation/main/bills/2209175", "הצעת חוק ההוצאה לפועל (תיקון - השהיית הליך ואי-נקיטתו כלפי אסירים משוחררים), התשפ""ד-2023")</f>
        <v>7440</v>
      </c>
      <c r="E3531" t="s">
        <v>7440</v>
      </c>
      <c r="F3531" t="s">
        <v>7441</v>
      </c>
      <c r="G3531" t="s">
        <v>14</v>
      </c>
      <c r="H3531">
             </c>
      <c r="I3531" t="s">
        <v>14</v>
      </c>
      <c r="J3531" t="s">
        <v>343</v>
      </c>
      <c r="K3531" t="s">
        <v>14</v>
      </c>
      <c r="L3531" t="s">
        <v>20</v>
      </c>
      <c r="M3531" t="s">
        <v>7432</v>
      </c>
      <c r="N3531" t="s">
        <v>14</v>
      </c>
    </row>
    <row r="3532" x14ac:dyDescent="0.25">
      <c r="A3532" t="n">
        <v>25</v>
      </c>
      <c r="B3532" t="s">
        <v>14</v>
      </c>
      <c r="C3532" t="s">
        <v>22</v>
      </c>
      <c r="D3532" s="2" t="s">
        <f>=HYPERLINK("https://main.knesset.gov.il/APPS/legislation/main/bills/2212250", "הצעת חוק שיקום נכי נפש בקהילה (תיקון - שינוי מונחים בתחום הדיור), התשפ""ד-2023")</f>
        <v>7442</v>
      </c>
      <c r="E3532" t="s">
        <v>7442</v>
      </c>
      <c r="F3532" t="s">
        <v>7443</v>
      </c>
      <c r="G3532" t="s">
        <v>14</v>
      </c>
      <c r="H3532">
             </c>
      <c r="I3532" t="s">
        <v>14</v>
      </c>
      <c r="J3532" t="s">
        <v>141</v>
      </c>
      <c r="K3532" t="s">
        <v>14</v>
      </c>
      <c r="L3532" t="s">
        <v>20</v>
      </c>
      <c r="M3532" t="s">
        <v>7432</v>
      </c>
      <c r="N3532" t="s">
        <v>14</v>
      </c>
    </row>
    <row r="3533" x14ac:dyDescent="0.25">
      <c r="A3533" t="n">
        <v>25</v>
      </c>
      <c r="B3533" t="s">
        <v>14</v>
      </c>
      <c r="C3533" t="s">
        <v>22</v>
      </c>
      <c r="D3533" s="2" t="s">
        <f>=HYPERLINK("https://main.knesset.gov.il/APPS/legislation/main/bills/2212627", "הצעת חוק כביש אגרה (כביש ארצי לישראל) (תיקון - פטור מאגרה בשל האטה ממהירות הנסיעה המותרת), התשפ""ד-2023")</f>
        <v>7444</v>
      </c>
      <c r="E3533" t="s">
        <v>7444</v>
      </c>
      <c r="F3533" t="s">
        <v>7445</v>
      </c>
      <c r="G3533" t="s">
        <v>14</v>
      </c>
      <c r="H3533">
             </c>
      <c r="I3533" t="s">
        <v>14</v>
      </c>
      <c r="J3533" t="s">
        <v>141</v>
      </c>
      <c r="K3533" t="s">
        <v>14</v>
      </c>
      <c r="L3533" t="s">
        <v>20</v>
      </c>
      <c r="M3533" t="s">
        <v>7432</v>
      </c>
      <c r="N3533" t="s">
        <v>14</v>
      </c>
    </row>
    <row r="3534" x14ac:dyDescent="0.25">
      <c r="A3534" t="n">
        <v>25</v>
      </c>
      <c r="B3534" t="s">
        <v>14</v>
      </c>
      <c r="C3534" t="s">
        <v>22</v>
      </c>
      <c r="D3534" s="2" t="s">
        <f>=HYPERLINK("https://main.knesset.gov.il/APPS/legislation/main/bills/2212665", "הצעת חוק פיקוח על מחירים, שיווק וסבסוד של מזון ללא גלוטן, התשפ""ד-2023")</f>
        <v>7446</v>
      </c>
      <c r="E3534" t="s">
        <v>7446</v>
      </c>
      <c r="F3534" t="s">
        <v>7447</v>
      </c>
      <c r="G3534" t="s">
        <v>14</v>
      </c>
      <c r="H3534">
             </c>
      <c r="I3534" t="s">
        <v>14</v>
      </c>
      <c r="J3534" t="s">
        <v>141</v>
      </c>
      <c r="K3534" t="s">
        <v>14</v>
      </c>
      <c r="L3534" t="s">
        <v>20</v>
      </c>
      <c r="M3534" t="s">
        <v>7432</v>
      </c>
      <c r="N3534" t="s">
        <v>14</v>
      </c>
    </row>
    <row r="3535" x14ac:dyDescent="0.25">
      <c r="A3535" t="n">
        <v>25</v>
      </c>
      <c r="B3535" t="s">
        <v>14</v>
      </c>
      <c r="C3535" t="s">
        <v>22</v>
      </c>
      <c r="D3535" s="2" t="s">
        <f>=HYPERLINK("https://main.knesset.gov.il/APPS/legislation/main/bills/2212038", "הצעת חוק הביטוח הלאומי (תיקון - מענק שעת חירום לעובד עצמאי), התשפ""ד-2023")</f>
        <v>7448</v>
      </c>
      <c r="E3535" t="s">
        <v>7448</v>
      </c>
      <c r="F3535" t="s">
        <v>7449</v>
      </c>
      <c r="G3535" t="s">
        <v>14</v>
      </c>
      <c r="H3535">
             </c>
      <c r="I3535" t="s">
        <v>14</v>
      </c>
      <c r="J3535" t="s">
        <v>141</v>
      </c>
      <c r="K3535" t="s">
        <v>14</v>
      </c>
      <c r="L3535" t="s">
        <v>20</v>
      </c>
      <c r="M3535" t="s">
        <v>7432</v>
      </c>
      <c r="N3535" t="s">
        <v>14</v>
      </c>
    </row>
    <row r="3536" x14ac:dyDescent="0.25">
      <c r="A3536" t="n">
        <v>25</v>
      </c>
      <c r="B3536" t="s">
        <v>14</v>
      </c>
      <c r="C3536" t="s">
        <v>22</v>
      </c>
      <c r="D3536" s="2" t="s">
        <f>=HYPERLINK("https://main.knesset.gov.il/APPS/legislation/main/bills/2210055", "הצעת חוק לשכת עורכי הדין (תיקון - קיצור תקופת ההתמחות), התשפ""ד-2023")</f>
        <v>7450</v>
      </c>
      <c r="E3536" t="s">
        <v>7450</v>
      </c>
      <c r="F3536" t="s">
        <v>7451</v>
      </c>
      <c r="G3536" t="s">
        <v>14</v>
      </c>
      <c r="H3536">
             </c>
      <c r="I3536" t="s">
        <v>14</v>
      </c>
      <c r="J3536" t="s">
        <v>141</v>
      </c>
      <c r="K3536" t="s">
        <v>14</v>
      </c>
      <c r="L3536" t="s">
        <v>20</v>
      </c>
      <c r="M3536" t="s">
        <v>7432</v>
      </c>
      <c r="N3536" t="s">
        <v>14</v>
      </c>
    </row>
    <row r="3537" x14ac:dyDescent="0.25">
      <c r="A3537" t="n">
        <v>25</v>
      </c>
      <c r="B3537" t="s">
        <v>14</v>
      </c>
      <c r="C3537" t="s">
        <v>22</v>
      </c>
      <c r="D3537" s="2" t="s">
        <f>=HYPERLINK("https://main.knesset.gov.il/APPS/legislation/main/bills/2212371", "הצעת חוק הביטוח הלאומי (תיקון - שיפוי המעסיק על הפרשות פנסיוניות בעד עובדו המשרת במילואים בנסיבות חירום) (הוראת שעה - חרבות ברזל), התשפ""ד- 2023")</f>
        <v>7452</v>
      </c>
      <c r="E3537" t="s">
        <v>7452</v>
      </c>
      <c r="F3537" t="s">
        <v>7453</v>
      </c>
      <c r="G3537" t="s">
        <v>14</v>
      </c>
      <c r="H3537">
             </c>
      <c r="I3537" t="s">
        <v>14</v>
      </c>
      <c r="J3537" t="s">
        <v>141</v>
      </c>
      <c r="K3537" t="s">
        <v>14</v>
      </c>
      <c r="L3537" t="s">
        <v>20</v>
      </c>
      <c r="M3537" t="s">
        <v>7432</v>
      </c>
      <c r="N3537" t="s">
        <v>14</v>
      </c>
    </row>
    <row r="3538" x14ac:dyDescent="0.25">
      <c r="A3538" t="n">
        <v>25</v>
      </c>
      <c r="B3538" t="s">
        <v>14</v>
      </c>
      <c r="C3538" t="s">
        <v>22</v>
      </c>
      <c r="D3538" s="2" t="s">
        <f>=HYPERLINK("https://main.knesset.gov.il/APPS/legislation/main/bills/2212317", "הצעת חוק הביטוח הלאומי (תיקון - שיפוי המעסיק על הפרשות פנסיוניות בעד עובדו המשרת במילואים בנסיבות חירום) (הוראת שעה - חרבות ברזל), התשפ""ד-2023")</f>
        <v>7454</v>
      </c>
      <c r="E3538" t="s">
        <v>7454</v>
      </c>
      <c r="F3538" t="s">
        <v>7455</v>
      </c>
      <c r="G3538" t="s">
        <v>14</v>
      </c>
      <c r="H3538">
             </c>
      <c r="I3538" t="s">
        <v>14</v>
      </c>
      <c r="J3538" t="s">
        <v>141</v>
      </c>
      <c r="K3538" t="s">
        <v>14</v>
      </c>
      <c r="L3538" t="s">
        <v>20</v>
      </c>
      <c r="M3538" t="s">
        <v>7432</v>
      </c>
      <c r="N3538" t="s">
        <v>14</v>
      </c>
    </row>
    <row r="3539" x14ac:dyDescent="0.25">
      <c r="A3539" t="n">
        <v>25</v>
      </c>
      <c r="B3539" t="s">
        <v>14</v>
      </c>
      <c r="C3539" t="s">
        <v>22</v>
      </c>
      <c r="D3539" s="2" t="s">
        <f>=HYPERLINK("https://main.knesset.gov.il/APPS/legislation/main/bills/2195688", "חוק קליטת חיילים משוחררים (תיקון מס' 25), התשפ""ד–2023")</f>
        <v>7456</v>
      </c>
      <c r="E3539" t="s">
        <v>7456</v>
      </c>
      <c r="F3539" t="s">
        <v>7457</v>
      </c>
      <c r="G3539" t="s">
        <v>7458</v>
      </c>
      <c r="H3539" t="n">
        <v>3134</v>
      </c>
      <c r="I3539" t="s">
        <v>14</v>
      </c>
      <c r="J3539" t="s">
        <v>91</v>
      </c>
      <c r="K3539" t="s">
        <v>114</v>
      </c>
      <c r="L3539" t="s">
        <v>20</v>
      </c>
      <c r="M3539" t="s">
        <v>7459</v>
      </c>
      <c r="N3539" t="s">
        <v>7460</v>
      </c>
    </row>
    <row r="3540" x14ac:dyDescent="0.25">
      <c r="A3540" t="n">
        <v>25</v>
      </c>
      <c r="B3540" t="s">
        <v>14</v>
      </c>
      <c r="C3540" t="s">
        <v>22</v>
      </c>
      <c r="D3540" s="2" t="s">
        <f>=HYPERLINK("https://main.knesset.gov.il/APPS/legislation/main/bills/2198983", "הצעת חוק מגבלות על חזרתו של עבריין טרור לסביבת נפגע עבירה, התשפ""ג-2023")</f>
        <v>7461</v>
      </c>
      <c r="E3540" t="s">
        <v>7461</v>
      </c>
      <c r="F3540" t="s">
        <v>7462</v>
      </c>
      <c r="G3540" t="s">
        <v>14</v>
      </c>
      <c r="H3540">
             </c>
      <c r="I3540" t="s">
        <v>14</v>
      </c>
      <c r="J3540" t="s">
        <v>55</v>
      </c>
      <c r="K3540" t="s">
        <v>14</v>
      </c>
      <c r="L3540" t="s">
        <v>20</v>
      </c>
      <c r="M3540" t="s">
        <v>7459</v>
      </c>
      <c r="N3540" t="s">
        <v>14</v>
      </c>
    </row>
    <row r="3541" x14ac:dyDescent="0.25">
      <c r="A3541" t="n">
        <v>25</v>
      </c>
      <c r="B3541" t="s">
        <v>14</v>
      </c>
      <c r="C3541" t="s">
        <v>22</v>
      </c>
      <c r="D3541" s="2" t="s">
        <f>=HYPERLINK("https://main.knesset.gov.il/APPS/legislation/main/bills/2198929", "הצעת חוק הדחת נציג ציבור התומך במאבק מזוין נגד מדינת ישראל (תיקוני חקיקה), התשפ""ג-2023")</f>
        <v>7463</v>
      </c>
      <c r="E3541" t="s">
        <v>7463</v>
      </c>
      <c r="F3541" t="s">
        <v>7464</v>
      </c>
      <c r="G3541" t="s">
        <v>14</v>
      </c>
      <c r="H3541">
             </c>
      <c r="I3541" t="s">
        <v>14</v>
      </c>
      <c r="J3541" t="s">
        <v>55</v>
      </c>
      <c r="K3541" t="s">
        <v>14</v>
      </c>
      <c r="L3541" t="s">
        <v>20</v>
      </c>
      <c r="M3541" t="s">
        <v>7459</v>
      </c>
      <c r="N3541" t="s">
        <v>14</v>
      </c>
    </row>
    <row r="3542" x14ac:dyDescent="0.25">
      <c r="A3542" t="n">
        <v>25</v>
      </c>
      <c r="B3542" t="s">
        <v>14</v>
      </c>
      <c r="C3542" t="s">
        <v>22</v>
      </c>
      <c r="D3542" s="2" t="s">
        <f>=HYPERLINK("https://main.knesset.gov.il/APPS/legislation/main/bills/2195801", "הצעת חוק הביטוח הלאומי (תיקון - ביטול מבחני התלות לקבלת גמלת סיעוד לאזרח שמלאו לו 80 שנים), התשפ""ג-2022")</f>
        <v>7465</v>
      </c>
      <c r="E3542" t="s">
        <v>7465</v>
      </c>
      <c r="F3542" t="s">
        <v>7466</v>
      </c>
      <c r="G3542" t="s">
        <v>14</v>
      </c>
      <c r="H3542">
             </c>
      <c r="I3542" t="s">
        <v>14</v>
      </c>
      <c r="J3542" t="s">
        <v>343</v>
      </c>
      <c r="K3542" t="s">
        <v>14</v>
      </c>
      <c r="L3542" t="s">
        <v>20</v>
      </c>
      <c r="M3542" t="s">
        <v>7459</v>
      </c>
      <c r="N3542" t="s">
        <v>14</v>
      </c>
    </row>
    <row r="3543" x14ac:dyDescent="0.25">
      <c r="A3543" t="n">
        <v>25</v>
      </c>
      <c r="B3543" t="s">
        <v>14</v>
      </c>
      <c r="C3543" t="s">
        <v>15</v>
      </c>
      <c r="D3543" s="2" t="s">
        <f>=HYPERLINK("https://main.knesset.gov.il/APPS/legislation/main/bills/2212298", "חוק כליאתם של לוחמים בלתי חוקיים (תיקון מס' 4 והוראת שעה – חרבות ברזל), התשפ""ד-2023")</f>
        <v>7467</v>
      </c>
      <c r="E3543" t="s">
        <v>7467</v>
      </c>
      <c r="F3543" t="s">
        <v>14</v>
      </c>
      <c r="G3543" t="s">
        <v>7468</v>
      </c>
      <c r="H3543" t="n">
        <v>3130</v>
      </c>
      <c r="I3543" t="s">
        <v>14</v>
      </c>
      <c r="J3543" t="s">
        <v>91</v>
      </c>
      <c r="K3543" t="s">
        <v>114</v>
      </c>
      <c r="L3543" t="s">
        <v>20</v>
      </c>
      <c r="M3543" t="s">
        <v>7469</v>
      </c>
      <c r="N3543" t="s">
        <v>7470</v>
      </c>
    </row>
    <row r="3544" x14ac:dyDescent="0.25">
      <c r="A3544" t="n">
        <v>25</v>
      </c>
      <c r="B3544" t="s">
        <v>14</v>
      </c>
      <c r="C3544" t="s">
        <v>15</v>
      </c>
      <c r="D3544" s="2" t="s">
        <f>=HYPERLINK("https://main.knesset.gov.il/APPS/legislation/main/bills/2211578", "חוק קיום דיונים בהיוועדות חזותית בהשתתפות עצורים, אסירים וכלואים (הוראת שעה – חרבות ברזל), התשפ""ד-2023")</f>
        <v>7471</v>
      </c>
      <c r="E3544" t="s">
        <v>7471</v>
      </c>
      <c r="F3544" t="s">
        <v>14</v>
      </c>
      <c r="G3544" t="s">
        <v>7472</v>
      </c>
      <c r="H3544" t="n">
        <v>3129</v>
      </c>
      <c r="I3544" t="s">
        <v>14</v>
      </c>
      <c r="J3544" t="s">
        <v>91</v>
      </c>
      <c r="K3544" t="s">
        <v>27</v>
      </c>
      <c r="L3544" t="s">
        <v>20</v>
      </c>
      <c r="M3544" t="s">
        <v>7469</v>
      </c>
      <c r="N3544" t="s">
        <v>7473</v>
      </c>
    </row>
    <row r="3545" x14ac:dyDescent="0.25">
      <c r="A3545" t="n">
        <v>25</v>
      </c>
      <c r="B3545" t="s">
        <v>14</v>
      </c>
      <c r="C3545" t="s">
        <v>15</v>
      </c>
      <c r="D3545" s="2" t="s">
        <f>=HYPERLINK("https://main.knesset.gov.il/APPS/legislation/main/bills/2211878", "חוק הגז (בטיחות ורישוי) (תיקון מס' 9), התשפ""ד–2023")</f>
        <v>7474</v>
      </c>
      <c r="E3545" t="s">
        <v>7474</v>
      </c>
      <c r="F3545" t="s">
        <v>14</v>
      </c>
      <c r="G3545" t="s">
        <v>7475</v>
      </c>
      <c r="H3545" t="n">
        <v>3132</v>
      </c>
      <c r="I3545" t="s">
        <v>14</v>
      </c>
      <c r="J3545" t="s">
        <v>91</v>
      </c>
      <c r="K3545" t="s">
        <v>19</v>
      </c>
      <c r="L3545" t="s">
        <v>20</v>
      </c>
      <c r="M3545" t="s">
        <v>7469</v>
      </c>
      <c r="N3545" t="s">
        <v>7476</v>
      </c>
    </row>
    <row r="3546" x14ac:dyDescent="0.25">
      <c r="A3546" t="n">
        <v>25</v>
      </c>
      <c r="B3546" t="s">
        <v>14</v>
      </c>
      <c r="C3546" t="s">
        <v>15</v>
      </c>
      <c r="D3546" s="2" t="s">
        <f>=HYPERLINK("https://main.knesset.gov.il/APPS/legislation/main/bills/2212126", "חוק זכויות החולה (תיקון מס' 15), התשפ""ד-2023")</f>
        <v>7477</v>
      </c>
      <c r="E3546" t="s">
        <v>7477</v>
      </c>
      <c r="F3546" t="s">
        <v>14</v>
      </c>
      <c r="G3546" t="s">
        <v>7478</v>
      </c>
      <c r="H3546" t="n">
        <v>3131</v>
      </c>
      <c r="I3546" t="s">
        <v>14</v>
      </c>
      <c r="J3546" t="s">
        <v>91</v>
      </c>
      <c r="K3546" t="s">
        <v>480</v>
      </c>
      <c r="L3546" t="s">
        <v>20</v>
      </c>
      <c r="M3546" t="s">
        <v>7469</v>
      </c>
      <c r="N3546" t="s">
        <v>7479</v>
      </c>
    </row>
    <row r="3547" x14ac:dyDescent="0.25">
      <c r="A3547" t="n">
        <v>25</v>
      </c>
      <c r="B3547" t="s">
        <v>14</v>
      </c>
      <c r="C3547" t="s">
        <v>22</v>
      </c>
      <c r="D3547" s="2" t="s">
        <f>=HYPERLINK("https://main.knesset.gov.il/APPS/legislation/main/bills/2212244", "הצעת חוק פיתוח והתחדשות של יישובים באזור חבל תקומה (תיקוני חקיקה, פיצויים, הטבות, הנצחה והוראת שעה), התשפ""ד-2023")</f>
        <v>7480</v>
      </c>
      <c r="E3547" t="s">
        <v>7480</v>
      </c>
      <c r="F3547" t="s">
        <v>7481</v>
      </c>
      <c r="G3547" t="s">
        <v>14</v>
      </c>
      <c r="H3547">
             </c>
      <c r="I3547" t="s">
        <v>14</v>
      </c>
      <c r="J3547" t="s">
        <v>343</v>
      </c>
      <c r="K3547" t="s">
        <v>14</v>
      </c>
      <c r="L3547" t="s">
        <v>20</v>
      </c>
      <c r="M3547" t="s">
        <v>7469</v>
      </c>
      <c r="N3547" t="s">
        <v>14</v>
      </c>
    </row>
    <row r="3548" x14ac:dyDescent="0.25">
      <c r="A3548" t="n">
        <v>25</v>
      </c>
      <c r="B3548" t="s">
        <v>14</v>
      </c>
      <c r="C3548" t="s">
        <v>22</v>
      </c>
      <c r="D3548" s="2" t="s">
        <f>=HYPERLINK("https://main.knesset.gov.il/APPS/legislation/main/bills/2211854", "הצעת חוק לתיקון פקודת מס הכנסה (הוראת שעה - חרבות ברזל) (פטור ממס במשיכת תשלומי מעביד מקרן השתלמות), התשפ""ד-2023")</f>
        <v>7482</v>
      </c>
      <c r="E3548" t="s">
        <v>7482</v>
      </c>
      <c r="F3548" t="s">
        <v>7483</v>
      </c>
      <c r="G3548" t="s">
        <v>14</v>
      </c>
      <c r="H3548">
             </c>
      <c r="I3548" t="s">
        <v>14</v>
      </c>
      <c r="J3548" t="s">
        <v>141</v>
      </c>
      <c r="K3548" t="s">
        <v>14</v>
      </c>
      <c r="L3548" t="s">
        <v>20</v>
      </c>
      <c r="M3548" t="s">
        <v>7469</v>
      </c>
      <c r="N3548" t="s">
        <v>14</v>
      </c>
    </row>
    <row r="3549" x14ac:dyDescent="0.25">
      <c r="A3549" t="n">
        <v>25</v>
      </c>
      <c r="B3549" t="s">
        <v>14</v>
      </c>
      <c r="C3549" t="s">
        <v>22</v>
      </c>
      <c r="D3549" s="2" t="s">
        <f>=HYPERLINK("https://main.knesset.gov.il/APPS/legislation/main/bills/2212010", "הצעת חוק כלי הירייה (תיקון - חובת שקיפות במינוי פקידי רישוי), התשפ""ד-2023")</f>
        <v>7484</v>
      </c>
      <c r="E3549" t="s">
        <v>7484</v>
      </c>
      <c r="F3549" t="s">
        <v>7485</v>
      </c>
      <c r="G3549" t="s">
        <v>14</v>
      </c>
      <c r="H3549">
             </c>
      <c r="I3549" t="s">
        <v>14</v>
      </c>
      <c r="J3549" t="s">
        <v>141</v>
      </c>
      <c r="K3549" t="s">
        <v>14</v>
      </c>
      <c r="L3549" t="s">
        <v>20</v>
      </c>
      <c r="M3549" t="s">
        <v>7469</v>
      </c>
      <c r="N3549" t="s">
        <v>14</v>
      </c>
    </row>
    <row r="3550" x14ac:dyDescent="0.25">
      <c r="A3550" t="n">
        <v>25</v>
      </c>
      <c r="B3550" t="s">
        <v>14</v>
      </c>
      <c r="C3550" t="s">
        <v>22</v>
      </c>
      <c r="D3550" s="2" t="s">
        <f>=HYPERLINK("https://main.knesset.gov.il/APPS/legislation/main/bills/2212039", "הצעת חוק קליטת חיילים משוחררים (תיקון - מימון שכר לימוד מלא ללוחמים), התשפ""ד-2023")</f>
        <v>7486</v>
      </c>
      <c r="E3550" t="s">
        <v>7486</v>
      </c>
      <c r="F3550" t="s">
        <v>7487</v>
      </c>
      <c r="G3550" t="s">
        <v>14</v>
      </c>
      <c r="H3550">
             </c>
      <c r="I3550" t="s">
        <v>14</v>
      </c>
      <c r="J3550" t="s">
        <v>141</v>
      </c>
      <c r="K3550" t="s">
        <v>14</v>
      </c>
      <c r="L3550" t="s">
        <v>20</v>
      </c>
      <c r="M3550" t="s">
        <v>7469</v>
      </c>
      <c r="N3550" t="s">
        <v>14</v>
      </c>
    </row>
    <row r="3551" x14ac:dyDescent="0.25">
      <c r="A3551" t="n">
        <v>25</v>
      </c>
      <c r="B3551" t="s">
        <v>14</v>
      </c>
      <c r="C3551" t="s">
        <v>22</v>
      </c>
      <c r="D3551" s="2" t="s">
        <f>=HYPERLINK("https://main.knesset.gov.il/APPS/legislation/main/bills/2211647", "הצעת חוק הכניסה לישראל (תיקון - חובת הפקדת ערובה בהגשת ערר לבית הדין לעררים), התשפ""ד-2023")</f>
        <v>7488</v>
      </c>
      <c r="E3551" t="s">
        <v>7488</v>
      </c>
      <c r="F3551" t="s">
        <v>7489</v>
      </c>
      <c r="G3551" t="s">
        <v>14</v>
      </c>
      <c r="H3551">
             </c>
      <c r="I3551" t="s">
        <v>14</v>
      </c>
      <c r="J3551" t="s">
        <v>141</v>
      </c>
      <c r="K3551" t="s">
        <v>14</v>
      </c>
      <c r="L3551" t="s">
        <v>20</v>
      </c>
      <c r="M3551" t="s">
        <v>7469</v>
      </c>
      <c r="N3551" t="s">
        <v>14</v>
      </c>
    </row>
    <row r="3552" x14ac:dyDescent="0.25">
      <c r="A3552" t="n">
        <v>25</v>
      </c>
      <c r="B3552" t="s">
        <v>14</v>
      </c>
      <c r="C3552" t="s">
        <v>22</v>
      </c>
      <c r="D3552" s="2" t="s">
        <f>=HYPERLINK("https://main.knesset.gov.il/APPS/legislation/main/bills/2209469", "הצעת חוק ההוצאה לפועל (תיקון - סייג להגבלה על יציאה מהארץ), התשפ""ד-2023")</f>
        <v>7490</v>
      </c>
      <c r="E3552" t="s">
        <v>7490</v>
      </c>
      <c r="F3552" t="s">
        <v>7491</v>
      </c>
      <c r="G3552" t="s">
        <v>14</v>
      </c>
      <c r="H3552">
             </c>
      <c r="I3552" t="s">
        <v>14</v>
      </c>
      <c r="J3552" t="s">
        <v>343</v>
      </c>
      <c r="K3552" t="s">
        <v>14</v>
      </c>
      <c r="L3552" t="s">
        <v>20</v>
      </c>
      <c r="M3552" t="s">
        <v>7469</v>
      </c>
      <c r="N3552" t="s">
        <v>14</v>
      </c>
    </row>
    <row r="3553" x14ac:dyDescent="0.25">
      <c r="A3553" t="n">
        <v>25</v>
      </c>
      <c r="B3553" t="s">
        <v>14</v>
      </c>
      <c r="C3553" t="s">
        <v>15</v>
      </c>
      <c r="D3553" s="2" t="s">
        <f>=HYPERLINK("https://main.knesset.gov.il/APPS/legislation/main/bills/2212164", "חוק תקציב נוסף לשנת הכספים 2023, התשפ""ד-2023")</f>
        <v>7492</v>
      </c>
      <c r="E3553" t="s">
        <v>7492</v>
      </c>
      <c r="F3553" t="s">
        <v>14</v>
      </c>
      <c r="G3553" t="s">
        <v>7493</v>
      </c>
      <c r="H3553" t="n">
        <v>3133</v>
      </c>
      <c r="I3553" t="s">
        <v>14</v>
      </c>
      <c r="J3553" t="s">
        <v>91</v>
      </c>
      <c r="K3553" t="s">
        <v>85</v>
      </c>
      <c r="L3553" t="s">
        <v>20</v>
      </c>
      <c r="M3553" t="s">
        <v>7494</v>
      </c>
      <c r="N3553" t="s">
        <v>7495</v>
      </c>
    </row>
    <row r="3554" x14ac:dyDescent="0.25">
      <c r="A3554" t="n">
        <v>25</v>
      </c>
      <c r="B3554" t="s">
        <v>14</v>
      </c>
      <c r="C3554" t="s">
        <v>15</v>
      </c>
      <c r="D3554" s="2" t="s">
        <f>=HYPERLINK("https://main.knesset.gov.il/APPS/legislation/main/bills/2212121", "חוק הפחתת הגירעון והגבלת ההוצאה התקציבית (תיקון מס' 24), התשפ""ד-2023")</f>
        <v>7496</v>
      </c>
      <c r="E3554" t="s">
        <v>7496</v>
      </c>
      <c r="F3554" t="s">
        <v>14</v>
      </c>
      <c r="G3554" t="s">
        <v>7497</v>
      </c>
      <c r="H3554" t="n">
        <v>3128</v>
      </c>
      <c r="I3554" t="s">
        <v>14</v>
      </c>
      <c r="J3554" t="s">
        <v>91</v>
      </c>
      <c r="K3554" t="s">
        <v>85</v>
      </c>
      <c r="L3554" t="s">
        <v>20</v>
      </c>
      <c r="M3554" t="s">
        <v>7494</v>
      </c>
      <c r="N3554" t="s">
        <v>7498</v>
      </c>
    </row>
    <row r="3555" x14ac:dyDescent="0.25">
      <c r="A3555" t="n">
        <v>25</v>
      </c>
      <c r="B3555" t="s">
        <v>14</v>
      </c>
      <c r="C3555" t="s">
        <v>15</v>
      </c>
      <c r="D3555" s="2" t="s">
        <f>=HYPERLINK("https://main.knesset.gov.il/APPS/legislation/main/bills/2210751", "חוק-יסוד: משק המדינה (תיקון מס' 14)")</f>
        <v>7499</v>
      </c>
      <c r="E3555" t="s">
        <v>7499</v>
      </c>
      <c r="F3555" t="s">
        <v>14</v>
      </c>
      <c r="G3555" t="s">
        <v>7500</v>
      </c>
      <c r="H3555" t="n">
        <v>3127</v>
      </c>
      <c r="I3555" t="s">
        <v>14</v>
      </c>
      <c r="J3555" t="s">
        <v>91</v>
      </c>
      <c r="K3555" t="s">
        <v>85</v>
      </c>
      <c r="L3555" t="s">
        <v>20</v>
      </c>
      <c r="M3555" t="s">
        <v>7494</v>
      </c>
      <c r="N3555" t="s">
        <v>7501</v>
      </c>
    </row>
    <row r="3556" x14ac:dyDescent="0.25">
      <c r="A3556" t="n">
        <v>25</v>
      </c>
      <c r="B3556" t="s">
        <v>14</v>
      </c>
      <c r="C3556" t="s">
        <v>22</v>
      </c>
      <c r="D3556" s="2" t="s">
        <f>=HYPERLINK("https://main.knesset.gov.il/APPS/legislation/main/bills/2211596", "הצעת חוק המועצה להשכלה גבוהה (תיקון - שלילת זכאות לתואר אקדמי בשל תמיכה בטרור), התשפ""ד-2023")</f>
        <v>7502</v>
      </c>
      <c r="E3556" t="s">
        <v>7502</v>
      </c>
      <c r="F3556" t="s">
        <v>7503</v>
      </c>
      <c r="G3556" t="s">
        <v>14</v>
      </c>
      <c r="H3556">
             </c>
      <c r="I3556" t="s">
        <v>14</v>
      </c>
      <c r="J3556" t="s">
        <v>141</v>
      </c>
      <c r="K3556" t="s">
        <v>14</v>
      </c>
      <c r="L3556" t="s">
        <v>20</v>
      </c>
      <c r="M3556" t="s">
        <v>7504</v>
      </c>
      <c r="N3556" t="s">
        <v>14</v>
      </c>
    </row>
    <row r="3557" x14ac:dyDescent="0.25">
      <c r="A3557" t="n">
        <v>25</v>
      </c>
      <c r="B3557" t="s">
        <v>14</v>
      </c>
      <c r="C3557" t="s">
        <v>22</v>
      </c>
      <c r="D3557" s="2" t="s">
        <f>=HYPERLINK("https://main.knesset.gov.il/APPS/legislation/main/bills/2210040", "הצעת חוק חינוך ממלכתי (תיקון - חובת לימוד עברית וערבית), התשפ""ד-2023")</f>
        <v>7505</v>
      </c>
      <c r="E3557" t="s">
        <v>7505</v>
      </c>
      <c r="F3557" t="s">
        <v>7506</v>
      </c>
      <c r="G3557" t="s">
        <v>14</v>
      </c>
      <c r="H3557">
             </c>
      <c r="I3557" t="s">
        <v>14</v>
      </c>
      <c r="J3557" t="s">
        <v>141</v>
      </c>
      <c r="K3557" t="s">
        <v>14</v>
      </c>
      <c r="L3557" t="s">
        <v>20</v>
      </c>
      <c r="M3557" t="s">
        <v>7504</v>
      </c>
      <c r="N3557" t="s">
        <v>14</v>
      </c>
    </row>
    <row r="3558" x14ac:dyDescent="0.25">
      <c r="A3558" t="n">
        <v>25</v>
      </c>
      <c r="B3558" t="s">
        <v>14</v>
      </c>
      <c r="C3558" t="s">
        <v>22</v>
      </c>
      <c r="D3558" s="2" t="s">
        <f>=HYPERLINK("https://main.knesset.gov.il/APPS/legislation/main/bills/2211915", "הצעת חוק הנוער (טיפול והשגחה) (תיקון - ביטול הגנת קטין מפני פרסומים מזיקים במקרה של טיפול ואשפוז פסיכיאטריים), התשפ""ד-2023")</f>
        <v>7507</v>
      </c>
      <c r="E3558" t="s">
        <v>7507</v>
      </c>
      <c r="F3558" t="s">
        <v>7508</v>
      </c>
      <c r="G3558" t="s">
        <v>14</v>
      </c>
      <c r="H3558">
             </c>
      <c r="I3558" t="s">
        <v>14</v>
      </c>
      <c r="J3558" t="s">
        <v>343</v>
      </c>
      <c r="K3558" t="s">
        <v>14</v>
      </c>
      <c r="L3558" t="s">
        <v>20</v>
      </c>
      <c r="M3558" t="s">
        <v>7504</v>
      </c>
      <c r="N3558" t="s">
        <v>14</v>
      </c>
    </row>
    <row r="3559" x14ac:dyDescent="0.25">
      <c r="A3559" t="n">
        <v>25</v>
      </c>
      <c r="B3559" t="s">
        <v>14</v>
      </c>
      <c r="C3559" t="s">
        <v>22</v>
      </c>
      <c r="D3559" s="2" t="s">
        <f>=HYPERLINK("https://main.knesset.gov.il/APPS/legislation/main/bills/2211819", "הצעת חוק שירות המילואים (תיקון - התנדבות למילואים במג""ב), התשפ""ד-2023")</f>
        <v>7509</v>
      </c>
      <c r="E3559" t="s">
        <v>7509</v>
      </c>
      <c r="F3559" t="s">
        <v>7510</v>
      </c>
      <c r="G3559" t="s">
        <v>14</v>
      </c>
      <c r="H3559">
             </c>
      <c r="I3559" t="s">
        <v>14</v>
      </c>
      <c r="J3559" t="s">
        <v>141</v>
      </c>
      <c r="K3559" t="s">
        <v>14</v>
      </c>
      <c r="L3559" t="s">
        <v>20</v>
      </c>
      <c r="M3559" t="s">
        <v>7504</v>
      </c>
      <c r="N3559" t="s">
        <v>14</v>
      </c>
    </row>
    <row r="3560" x14ac:dyDescent="0.25">
      <c r="A3560" t="n">
        <v>25</v>
      </c>
      <c r="B3560" t="s">
        <v>14</v>
      </c>
      <c r="C3560" t="s">
        <v>22</v>
      </c>
      <c r="D3560" s="2" t="s">
        <f>=HYPERLINK("https://main.knesset.gov.il/APPS/legislation/main/bills/2211729", "הצעת חוק הכנסת (תיקון - שעת שאלות לראש הממשלה), התשפ""ד-2023")</f>
        <v>7511</v>
      </c>
      <c r="E3560" t="s">
        <v>7511</v>
      </c>
      <c r="F3560" t="s">
        <v>7512</v>
      </c>
      <c r="G3560" t="s">
        <v>14</v>
      </c>
      <c r="H3560">
             </c>
      <c r="I3560" t="s">
        <v>14</v>
      </c>
      <c r="J3560" t="s">
        <v>141</v>
      </c>
      <c r="K3560" t="s">
        <v>14</v>
      </c>
      <c r="L3560" t="s">
        <v>20</v>
      </c>
      <c r="M3560" t="s">
        <v>7504</v>
      </c>
      <c r="N3560" t="s">
        <v>14</v>
      </c>
    </row>
    <row r="3561" x14ac:dyDescent="0.25">
      <c r="A3561" t="n">
        <v>25</v>
      </c>
      <c r="B3561" t="s">
        <v>14</v>
      </c>
      <c r="C3561" t="s">
        <v>22</v>
      </c>
      <c r="D3561" s="2" t="s">
        <f>=HYPERLINK("https://main.knesset.gov.il/APPS/legislation/main/bills/2211901", "הצעת חוק הרשות הארצית לכבאות והצלה (נספים), התשפ""ד-2023")</f>
        <v>7513</v>
      </c>
      <c r="E3561" t="s">
        <v>7513</v>
      </c>
      <c r="F3561" t="s">
        <v>7514</v>
      </c>
      <c r="G3561" t="s">
        <v>14</v>
      </c>
      <c r="H3561">
             </c>
      <c r="I3561" t="s">
        <v>14</v>
      </c>
      <c r="J3561" t="s">
        <v>141</v>
      </c>
      <c r="K3561" t="s">
        <v>14</v>
      </c>
      <c r="L3561" t="s">
        <v>20</v>
      </c>
      <c r="M3561" t="s">
        <v>7504</v>
      </c>
      <c r="N3561" t="s">
        <v>14</v>
      </c>
    </row>
    <row r="3562" x14ac:dyDescent="0.25">
      <c r="A3562" t="n">
        <v>25</v>
      </c>
      <c r="B3562" t="s">
        <v>14</v>
      </c>
      <c r="C3562" t="s">
        <v>15</v>
      </c>
      <c r="D3562" s="2" t="s">
        <f>=HYPERLINK("https://main.knesset.gov.il/APPS/legislation/main/bills/2212015", "חוק התכנון והבנייה (תיקון מס' 150 והוראת שעה - חרבות ברזל), התשפ""ד-2023")</f>
        <v>7515</v>
      </c>
      <c r="E3562" t="s">
        <v>7515</v>
      </c>
      <c r="F3562" t="s">
        <v>14</v>
      </c>
      <c r="G3562" t="s">
        <v>7516</v>
      </c>
      <c r="H3562" t="n">
        <v>3126</v>
      </c>
      <c r="I3562" t="s">
        <v>14</v>
      </c>
      <c r="J3562" t="s">
        <v>91</v>
      </c>
      <c r="K3562" t="s">
        <v>46</v>
      </c>
      <c r="L3562" t="s">
        <v>20</v>
      </c>
      <c r="M3562" t="s">
        <v>7517</v>
      </c>
      <c r="N3562" t="s">
        <v>7518</v>
      </c>
    </row>
    <row r="3563" x14ac:dyDescent="0.25">
      <c r="A3563" t="n">
        <v>25</v>
      </c>
      <c r="B3563" t="s">
        <v>14</v>
      </c>
      <c r="C3563" t="s">
        <v>15</v>
      </c>
      <c r="D3563" s="2" t="s">
        <f>=HYPERLINK("https://main.knesset.gov.il/APPS/legislation/main/bills/2211682", "חוק הסמכת צבא הגנה לישראל ושירות הביטחון הכללי לביצוע חדירה לחומר מחשב המשמש להפעלת מצלמה נייחת ופעולה בו (הוראת שעה – חרבות ברזל), התשפ""ד-2023")</f>
        <v>7519</v>
      </c>
      <c r="E3563" t="s">
        <v>7519</v>
      </c>
      <c r="F3563" t="s">
        <v>14</v>
      </c>
      <c r="G3563" t="s">
        <v>7520</v>
      </c>
      <c r="H3563" t="n">
        <v>3125</v>
      </c>
      <c r="I3563" t="s">
        <v>14</v>
      </c>
      <c r="J3563" t="s">
        <v>91</v>
      </c>
      <c r="K3563" t="s">
        <v>114</v>
      </c>
      <c r="L3563" t="s">
        <v>20</v>
      </c>
      <c r="M3563" t="s">
        <v>7517</v>
      </c>
      <c r="N3563" t="s">
        <v>7521</v>
      </c>
    </row>
    <row r="3564" x14ac:dyDescent="0.25">
      <c r="A3564" t="n">
        <v>25</v>
      </c>
      <c r="B3564" t="s">
        <v>14</v>
      </c>
      <c r="C3564" t="s">
        <v>15</v>
      </c>
      <c r="D3564" s="2" t="s">
        <f>=HYPERLINK("https://main.knesset.gov.il/APPS/legislation/main/bills/2211939", "חוק לתיקון דיני הראיות (הגנת ילדים) (תיקון מס' 19 - הוראת שעה - חרבות ברזל), התשפ""ד-2023")</f>
        <v>7522</v>
      </c>
      <c r="E3564" t="s">
        <v>7522</v>
      </c>
      <c r="F3564" t="s">
        <v>14</v>
      </c>
      <c r="G3564" t="s">
        <v>7523</v>
      </c>
      <c r="H3564" t="n">
        <v>3124</v>
      </c>
      <c r="I3564" t="s">
        <v>14</v>
      </c>
      <c r="J3564" t="s">
        <v>91</v>
      </c>
      <c r="K3564" t="s">
        <v>27</v>
      </c>
      <c r="L3564" t="s">
        <v>20</v>
      </c>
      <c r="M3564" t="s">
        <v>7524</v>
      </c>
      <c r="N3564" t="s">
        <v>7525</v>
      </c>
    </row>
    <row r="3565" x14ac:dyDescent="0.25">
      <c r="A3565" t="n">
        <v>25</v>
      </c>
      <c r="B3565" t="s">
        <v>14</v>
      </c>
      <c r="C3565" t="s">
        <v>22</v>
      </c>
      <c r="D3565" s="2" t="s">
        <f>=HYPERLINK("https://main.knesset.gov.il/APPS/legislation/main/bills/2211496", "הצעת חוק הסכם לקליטת תושבים מרצועת עזה, התשפ""ד-2023")</f>
        <v>7526</v>
      </c>
      <c r="E3565" t="s">
        <v>7526</v>
      </c>
      <c r="F3565" t="s">
        <v>7527</v>
      </c>
      <c r="G3565" t="s">
        <v>14</v>
      </c>
      <c r="H3565">
             </c>
      <c r="I3565" t="s">
        <v>14</v>
      </c>
      <c r="J3565" t="s">
        <v>141</v>
      </c>
      <c r="K3565" t="s">
        <v>14</v>
      </c>
      <c r="L3565" t="s">
        <v>20</v>
      </c>
      <c r="M3565" t="s">
        <v>7524</v>
      </c>
      <c r="N3565" t="s">
        <v>14</v>
      </c>
    </row>
    <row r="3566" x14ac:dyDescent="0.25">
      <c r="A3566" t="n">
        <v>25</v>
      </c>
      <c r="B3566" t="s">
        <v>14</v>
      </c>
      <c r="C3566" t="s">
        <v>22</v>
      </c>
      <c r="D3566" s="2" t="s">
        <f>=HYPERLINK("https://main.knesset.gov.il/APPS/legislation/main/bills/2211571", "הצעת חוק להקפאת כספים ששילמה הרשות הפלסטינית בזיקה לטרור מהכספים המועברים אליה מממשלת ישראל (תיקון - הקמת קרן ייעודית לטובת נפגעי פעולות טרור), התשפ""ד-2023")</f>
        <v>7528</v>
      </c>
      <c r="E3566" t="s">
        <v>7528</v>
      </c>
      <c r="F3566" t="s">
        <v>7529</v>
      </c>
      <c r="G3566" t="s">
        <v>14</v>
      </c>
      <c r="H3566">
             </c>
      <c r="I3566" t="s">
        <v>14</v>
      </c>
      <c r="J3566" t="s">
        <v>141</v>
      </c>
      <c r="K3566" t="s">
        <v>14</v>
      </c>
      <c r="L3566" t="s">
        <v>20</v>
      </c>
      <c r="M3566" t="s">
        <v>7524</v>
      </c>
      <c r="N3566" t="s">
        <v>14</v>
      </c>
    </row>
    <row r="3567" x14ac:dyDescent="0.25">
      <c r="A3567" t="n">
        <v>25</v>
      </c>
      <c r="B3567" t="s">
        <v>14</v>
      </c>
      <c r="C3567" t="s">
        <v>22</v>
      </c>
      <c r="D3567" s="2" t="s">
        <f>=HYPERLINK("https://main.knesset.gov.il/APPS/legislation/main/bills/2209498", "הצעת חוק הקמת קרן למלחמה בעישון ולצמצום והטבת נזקי הטבק ומוצריו, התשפ""ד-2023")</f>
        <v>7530</v>
      </c>
      <c r="E3567" t="s">
        <v>7530</v>
      </c>
      <c r="F3567" t="s">
        <v>7531</v>
      </c>
      <c r="G3567" t="s">
        <v>14</v>
      </c>
      <c r="H3567">
             </c>
      <c r="I3567" t="s">
        <v>14</v>
      </c>
      <c r="J3567" t="s">
        <v>141</v>
      </c>
      <c r="K3567" t="s">
        <v>14</v>
      </c>
      <c r="L3567" t="s">
        <v>20</v>
      </c>
      <c r="M3567" t="s">
        <v>7524</v>
      </c>
      <c r="N3567" t="s">
        <v>14</v>
      </c>
    </row>
    <row r="3568" x14ac:dyDescent="0.25">
      <c r="A3568" t="n">
        <v>25</v>
      </c>
      <c r="B3568" t="s">
        <v>14</v>
      </c>
      <c r="C3568" t="s">
        <v>22</v>
      </c>
      <c r="D3568" s="2" t="s">
        <f>=HYPERLINK("https://main.knesset.gov.il/APPS/legislation/main/bills/2211413", "הצעת חוק רכש טובין ושירותים מתוצרת הארץ או מעוסק ישראלי (חרבות ברזל - הוראת שעה), התשפ""ד-2023")</f>
        <v>7532</v>
      </c>
      <c r="E3568" t="s">
        <v>7532</v>
      </c>
      <c r="F3568" t="s">
        <v>7533</v>
      </c>
      <c r="G3568" t="s">
        <v>14</v>
      </c>
      <c r="H3568">
             </c>
      <c r="I3568" t="s">
        <v>14</v>
      </c>
      <c r="J3568" t="s">
        <v>141</v>
      </c>
      <c r="K3568" t="s">
        <v>14</v>
      </c>
      <c r="L3568" t="s">
        <v>20</v>
      </c>
      <c r="M3568" t="s">
        <v>7524</v>
      </c>
      <c r="N3568" t="s">
        <v>14</v>
      </c>
    </row>
    <row r="3569" x14ac:dyDescent="0.25">
      <c r="A3569" t="n">
        <v>25</v>
      </c>
      <c r="B3569" t="s">
        <v>14</v>
      </c>
      <c r="C3569" t="s">
        <v>22</v>
      </c>
      <c r="D3569" s="2" t="s">
        <f>=HYPERLINK("https://main.knesset.gov.il/APPS/legislation/main/bills/2211559", "הצעת חוק הגנה על עובדים בשעת חירום (תיקון - אובדן ימי עבודה בשל מצב מיוחד בעורף), התשפ""ד-2023")</f>
        <v>7534</v>
      </c>
      <c r="E3569" t="s">
        <v>7534</v>
      </c>
      <c r="F3569" t="s">
        <v>7535</v>
      </c>
      <c r="G3569" t="s">
        <v>14</v>
      </c>
      <c r="H3569">
             </c>
      <c r="I3569" t="s">
        <v>14</v>
      </c>
      <c r="J3569" t="s">
        <v>141</v>
      </c>
      <c r="K3569" t="s">
        <v>14</v>
      </c>
      <c r="L3569" t="s">
        <v>20</v>
      </c>
      <c r="M3569" t="s">
        <v>7524</v>
      </c>
      <c r="N3569" t="s">
        <v>14</v>
      </c>
    </row>
    <row r="3570" x14ac:dyDescent="0.25">
      <c r="A3570" t="n">
        <v>25</v>
      </c>
      <c r="B3570" t="s">
        <v>14</v>
      </c>
      <c r="C3570" t="s">
        <v>15</v>
      </c>
      <c r="D3570" s="2" t="s">
        <f>=HYPERLINK("https://main.knesset.gov.il/APPS/legislation/main/bills/2211683", "חוק התכנון והבנייה (תיקון מס' 149 והוראת שעה), התשפ""ד-2023")</f>
        <v>7536</v>
      </c>
      <c r="E3570" t="s">
        <v>7536</v>
      </c>
      <c r="F3570" t="s">
        <v>14</v>
      </c>
      <c r="G3570" t="s">
        <v>7516</v>
      </c>
      <c r="H3570" t="n">
        <v>3123</v>
      </c>
      <c r="I3570" t="s">
        <v>14</v>
      </c>
      <c r="J3570" t="s">
        <v>91</v>
      </c>
      <c r="K3570" t="s">
        <v>46</v>
      </c>
      <c r="L3570" t="s">
        <v>20</v>
      </c>
      <c r="M3570" t="s">
        <v>7537</v>
      </c>
      <c r="N3570" t="s">
        <v>7538</v>
      </c>
    </row>
    <row r="3571" x14ac:dyDescent="0.25">
      <c r="A3571" t="n">
        <v>25</v>
      </c>
      <c r="B3571" t="s">
        <v>14</v>
      </c>
      <c r="C3571" t="s">
        <v>15</v>
      </c>
      <c r="D3571" s="2" t="s">
        <f>=HYPERLINK("https://main.knesset.gov.il/APPS/legislation/main/bills/2211196", "חוק הגנה על עובדים בשעת חירום (תיקון מס' 5 והוראת שעה – חרבות ברזל), התשפ""ד-2023")</f>
        <v>7539</v>
      </c>
      <c r="E3571" t="s">
        <v>7539</v>
      </c>
      <c r="F3571" t="s">
        <v>14</v>
      </c>
      <c r="G3571" t="s">
        <v>7540</v>
      </c>
      <c r="H3571" t="n">
        <v>3122</v>
      </c>
      <c r="I3571" t="s">
        <v>14</v>
      </c>
      <c r="J3571" t="s">
        <v>91</v>
      </c>
      <c r="K3571" t="s">
        <v>127</v>
      </c>
      <c r="L3571" t="s">
        <v>20</v>
      </c>
      <c r="M3571" t="s">
        <v>7541</v>
      </c>
      <c r="N3571" t="s">
        <v>7542</v>
      </c>
    </row>
    <row r="3572" x14ac:dyDescent="0.25">
      <c r="A3572" t="n">
        <v>25</v>
      </c>
      <c r="B3572" t="s">
        <v>14</v>
      </c>
      <c r="C3572" t="s">
        <v>22</v>
      </c>
      <c r="D3572" s="2" t="s">
        <f>=HYPERLINK("https://main.knesset.gov.il/APPS/legislation/main/bills/2198804", "הצעת חוק קליטת חיילים משוחררים (תיקון - מימון מלא לתוכנית ""ממדים ללימודים""), התשפ""ג-2023")</f>
        <v>7543</v>
      </c>
      <c r="E3572" t="s">
        <v>7543</v>
      </c>
      <c r="F3572" t="s">
        <v>7544</v>
      </c>
      <c r="G3572" t="s">
        <v>14</v>
      </c>
      <c r="H3572">
             </c>
      <c r="I3572" t="s">
        <v>14</v>
      </c>
      <c r="J3572" t="s">
        <v>99</v>
      </c>
      <c r="K3572" t="s">
        <v>114</v>
      </c>
      <c r="L3572" t="s">
        <v>20</v>
      </c>
      <c r="M3572" t="s">
        <v>7541</v>
      </c>
      <c r="N3572" t="s">
        <v>14</v>
      </c>
    </row>
    <row r="3573" x14ac:dyDescent="0.25">
      <c r="A3573" t="n">
        <v>25</v>
      </c>
      <c r="B3573" t="s">
        <v>14</v>
      </c>
      <c r="C3573" t="s">
        <v>22</v>
      </c>
      <c r="D3573" s="2" t="s">
        <f>=HYPERLINK("https://main.knesset.gov.il/APPS/legislation/main/bills/2198650", "הצעת חוק קליטת חיילים משוחררים (תיקון - מימון שכר לימוד מלא ללוחמים), התשפ""ג-2023")</f>
        <v>7545</v>
      </c>
      <c r="E3573" t="s">
        <v>7545</v>
      </c>
      <c r="F3573" t="s">
        <v>7546</v>
      </c>
      <c r="G3573" t="s">
        <v>14</v>
      </c>
      <c r="H3573">
             </c>
      <c r="I3573" t="s">
        <v>14</v>
      </c>
      <c r="J3573" t="s">
        <v>99</v>
      </c>
      <c r="K3573" t="s">
        <v>114</v>
      </c>
      <c r="L3573" t="s">
        <v>20</v>
      </c>
      <c r="M3573" t="s">
        <v>7541</v>
      </c>
      <c r="N3573" t="s">
        <v>14</v>
      </c>
    </row>
    <row r="3574" x14ac:dyDescent="0.25">
      <c r="A3574" t="n">
        <v>25</v>
      </c>
      <c r="B3574" t="s">
        <v>14</v>
      </c>
      <c r="C3574" t="s">
        <v>22</v>
      </c>
      <c r="D3574" s="2" t="s">
        <f>=HYPERLINK("https://main.knesset.gov.il/APPS/legislation/main/bills/2198323", "הצעת חוק קליטת חיילים משוחררים (תיקון - מימון שכר לימוד מלא ללוחמים), התשפ""ג-2023")</f>
        <v>7545</v>
      </c>
      <c r="E3574" t="s">
        <v>7545</v>
      </c>
      <c r="F3574" t="s">
        <v>7547</v>
      </c>
      <c r="G3574" t="s">
        <v>14</v>
      </c>
      <c r="H3574">
             </c>
      <c r="I3574" t="s">
        <v>14</v>
      </c>
      <c r="J3574" t="s">
        <v>99</v>
      </c>
      <c r="K3574" t="s">
        <v>114</v>
      </c>
      <c r="L3574" t="s">
        <v>20</v>
      </c>
      <c r="M3574" t="s">
        <v>7541</v>
      </c>
      <c r="N3574" t="s">
        <v>14</v>
      </c>
    </row>
    <row r="3575" x14ac:dyDescent="0.25">
      <c r="A3575" t="n">
        <v>25</v>
      </c>
      <c r="B3575" t="s">
        <v>14</v>
      </c>
      <c r="C3575" t="s">
        <v>15</v>
      </c>
      <c r="D3575" s="2" t="s">
        <f>=HYPERLINK("https://main.knesset.gov.il/APPS/legislation/main/bills/2211470", "חוק הארכת תקופות ודחיית מועדים (הוראת שעה – חרבות ברזל) (הליכי מס ומענקי סיוע), התשפ""ד-2023 ")</f>
        <v>7548</v>
      </c>
      <c r="E3575" t="s">
        <v>7548</v>
      </c>
      <c r="F3575" t="s">
        <v>14</v>
      </c>
      <c r="G3575" t="s">
        <v>7549</v>
      </c>
      <c r="H3575" t="n">
        <v>3121</v>
      </c>
      <c r="I3575" t="s">
        <v>14</v>
      </c>
      <c r="J3575" t="s">
        <v>91</v>
      </c>
      <c r="K3575" t="s">
        <v>85</v>
      </c>
      <c r="L3575" t="s">
        <v>20</v>
      </c>
      <c r="M3575" t="s">
        <v>7541</v>
      </c>
      <c r="N3575" t="s">
        <v>7550</v>
      </c>
    </row>
    <row r="3576" x14ac:dyDescent="0.25">
      <c r="A3576" t="n">
        <v>25</v>
      </c>
      <c r="B3576" t="s">
        <v>14</v>
      </c>
      <c r="C3576" t="s">
        <v>22</v>
      </c>
      <c r="D3576" s="2" t="s">
        <f>=HYPERLINK("https://main.knesset.gov.il/APPS/legislation/main/bills/2211734", "הצעת חוק-יסוד: מדינת ישראל")</f>
        <v>7551</v>
      </c>
      <c r="E3576" t="s">
        <v>7551</v>
      </c>
      <c r="F3576" t="s">
        <v>7552</v>
      </c>
      <c r="G3576" t="s">
        <v>14</v>
      </c>
      <c r="H3576">
             </c>
      <c r="I3576" t="s">
        <v>14</v>
      </c>
      <c r="J3576" t="s">
        <v>141</v>
      </c>
      <c r="K3576" t="s">
        <v>14</v>
      </c>
      <c r="L3576" t="s">
        <v>20</v>
      </c>
      <c r="M3576" t="s">
        <v>7541</v>
      </c>
      <c r="N3576" t="s">
        <v>14</v>
      </c>
    </row>
    <row r="3577" x14ac:dyDescent="0.25">
      <c r="A3577" t="n">
        <v>25</v>
      </c>
      <c r="B3577" t="s">
        <v>14</v>
      </c>
      <c r="C3577" t="s">
        <v>22</v>
      </c>
      <c r="D3577" s="2" t="s">
        <f>=HYPERLINK("https://main.knesset.gov.il/APPS/legislation/main/bills/2211705", "הצעת חוק-יסוד: ישראל - מדינת הלאום של העם היהודי (תיקון - שוויון זכויות לעדה הדרוזית)")</f>
        <v>7553</v>
      </c>
      <c r="E3577" t="s">
        <v>7553</v>
      </c>
      <c r="F3577" t="s">
        <v>7554</v>
      </c>
      <c r="G3577" t="s">
        <v>14</v>
      </c>
      <c r="H3577">
             </c>
      <c r="I3577" t="s">
        <v>14</v>
      </c>
      <c r="J3577" t="s">
        <v>141</v>
      </c>
      <c r="K3577" t="s">
        <v>14</v>
      </c>
      <c r="L3577" t="s">
        <v>20</v>
      </c>
      <c r="M3577" t="s">
        <v>7541</v>
      </c>
      <c r="N3577" t="s">
        <v>14</v>
      </c>
    </row>
    <row r="3578" x14ac:dyDescent="0.25">
      <c r="A3578" t="n">
        <v>25</v>
      </c>
      <c r="B3578" t="s">
        <v>14</v>
      </c>
      <c r="C3578" t="s">
        <v>22</v>
      </c>
      <c r="D3578" s="2" t="s">
        <f>=HYPERLINK("https://main.knesset.gov.il/APPS/legislation/main/bills/2211727", "הצעת חוק-יסוד: עיגון מעמדה של העדה הדרוזית כשוות זכויות אזרחיות במדינת ישראל")</f>
        <v>7555</v>
      </c>
      <c r="E3578" t="s">
        <v>7555</v>
      </c>
      <c r="F3578" t="s">
        <v>7556</v>
      </c>
      <c r="G3578" t="s">
        <v>14</v>
      </c>
      <c r="H3578">
             </c>
      <c r="I3578" t="s">
        <v>14</v>
      </c>
      <c r="J3578" t="s">
        <v>141</v>
      </c>
      <c r="K3578" t="s">
        <v>14</v>
      </c>
      <c r="L3578" t="s">
        <v>20</v>
      </c>
      <c r="M3578" t="s">
        <v>7541</v>
      </c>
      <c r="N3578" t="s">
        <v>14</v>
      </c>
    </row>
    <row r="3579" x14ac:dyDescent="0.25">
      <c r="A3579" t="n">
        <v>25</v>
      </c>
      <c r="B3579" t="s">
        <v>14</v>
      </c>
      <c r="C3579" t="s">
        <v>22</v>
      </c>
      <c r="D3579" s="2" t="s">
        <f>=HYPERLINK("https://main.knesset.gov.il/APPS/legislation/main/bills/2211604", "הצעת חוק-יסוד: ישראל - מדינת הלאום של העם היהודי (תיקון - שוויון, שפה והתיישבות)")</f>
        <v>7557</v>
      </c>
      <c r="E3579" t="s">
        <v>7557</v>
      </c>
      <c r="F3579" t="s">
        <v>7558</v>
      </c>
      <c r="G3579" t="s">
        <v>14</v>
      </c>
      <c r="H3579">
             </c>
      <c r="I3579" t="s">
        <v>14</v>
      </c>
      <c r="J3579" t="s">
        <v>141</v>
      </c>
      <c r="K3579" t="s">
        <v>14</v>
      </c>
      <c r="L3579" t="s">
        <v>20</v>
      </c>
      <c r="M3579" t="s">
        <v>7541</v>
      </c>
      <c r="N3579" t="s">
        <v>14</v>
      </c>
    </row>
    <row r="3580" x14ac:dyDescent="0.25">
      <c r="A3580" t="n">
        <v>25</v>
      </c>
      <c r="B3580" t="s">
        <v>14</v>
      </c>
      <c r="C3580" t="s">
        <v>22</v>
      </c>
      <c r="D3580" s="2" t="s">
        <f>=HYPERLINK("https://main.knesset.gov.il/APPS/legislation/main/bills/2210999", "הצעת חוק זכויות נפגעי עבירה (תיקון - מתן קדימות בהליכים פליליים לנפגעי עבירה קטינים בגין עבירת מין או אלימות חמורה), התשפ""ד-2023")</f>
        <v>7559</v>
      </c>
      <c r="E3580" t="s">
        <v>7559</v>
      </c>
      <c r="F3580" t="s">
        <v>7560</v>
      </c>
      <c r="G3580" t="s">
        <v>14</v>
      </c>
      <c r="H3580">
             </c>
      <c r="I3580" t="s">
        <v>14</v>
      </c>
      <c r="J3580" t="s">
        <v>141</v>
      </c>
      <c r="K3580" t="s">
        <v>14</v>
      </c>
      <c r="L3580" t="s">
        <v>20</v>
      </c>
      <c r="M3580" t="s">
        <v>7541</v>
      </c>
      <c r="N3580" t="s">
        <v>14</v>
      </c>
    </row>
    <row r="3581" x14ac:dyDescent="0.25">
      <c r="A3581" t="n">
        <v>25</v>
      </c>
      <c r="B3581" t="s">
        <v>14</v>
      </c>
      <c r="C3581" t="s">
        <v>22</v>
      </c>
      <c r="D3581" s="2" t="s">
        <f>=HYPERLINK("https://main.knesset.gov.il/APPS/legislation/main/bills/2211047", "הצעת חוק העונשין (תיקון - החמרת ענישה בעבירות ביזה) (הוראת שעה), התשפ""ד-2023")</f>
        <v>6912</v>
      </c>
      <c r="E3581" t="s">
        <v>6912</v>
      </c>
      <c r="F3581" t="s">
        <v>7561</v>
      </c>
      <c r="G3581" t="s">
        <v>14</v>
      </c>
      <c r="H3581">
             </c>
      <c r="I3581" t="s">
        <v>14</v>
      </c>
      <c r="J3581" t="s">
        <v>141</v>
      </c>
      <c r="K3581" t="s">
        <v>14</v>
      </c>
      <c r="L3581" t="s">
        <v>20</v>
      </c>
      <c r="M3581" t="s">
        <v>7541</v>
      </c>
      <c r="N3581" t="s">
        <v>14</v>
      </c>
    </row>
    <row r="3582" x14ac:dyDescent="0.25">
      <c r="A3582" t="n">
        <v>25</v>
      </c>
      <c r="B3582" t="s">
        <v>14</v>
      </c>
      <c r="C3582" t="s">
        <v>22</v>
      </c>
      <c r="D3582" s="2" t="s">
        <f>=HYPERLINK("https://main.knesset.gov.il/APPS/legislation/main/bills/2209772", "הצעת חוק ההתיישנות (תיקון - הרחבת הזכות לתביעה בגין עבירות שהוגש בהם כתב אישום), התשפ""ד-2023")</f>
        <v>7562</v>
      </c>
      <c r="E3582" t="s">
        <v>7562</v>
      </c>
      <c r="F3582" t="s">
        <v>7563</v>
      </c>
      <c r="G3582" t="s">
        <v>14</v>
      </c>
      <c r="H3582">
             </c>
      <c r="I3582" t="s">
        <v>14</v>
      </c>
      <c r="J3582" t="s">
        <v>141</v>
      </c>
      <c r="K3582" t="s">
        <v>14</v>
      </c>
      <c r="L3582" t="s">
        <v>20</v>
      </c>
      <c r="M3582" t="s">
        <v>7541</v>
      </c>
      <c r="N3582" t="s">
        <v>14</v>
      </c>
    </row>
    <row r="3583" x14ac:dyDescent="0.25">
      <c r="A3583" t="n">
        <v>25</v>
      </c>
      <c r="B3583" t="s">
        <v>14</v>
      </c>
      <c r="C3583" t="s">
        <v>22</v>
      </c>
      <c r="D3583" s="2" t="s">
        <f>=HYPERLINK("https://main.knesset.gov.il/APPS/legislation/main/bills/2211485", "הצעת חוק החמרת ענישה ושלילת אזרחות (תיקוני חקיקה), התשפ""ד-2023")</f>
        <v>7564</v>
      </c>
      <c r="E3583" t="s">
        <v>7564</v>
      </c>
      <c r="F3583" t="s">
        <v>7565</v>
      </c>
      <c r="G3583" t="s">
        <v>14</v>
      </c>
      <c r="H3583">
             </c>
      <c r="I3583" t="s">
        <v>14</v>
      </c>
      <c r="J3583" t="s">
        <v>141</v>
      </c>
      <c r="K3583" t="s">
        <v>14</v>
      </c>
      <c r="L3583" t="s">
        <v>20</v>
      </c>
      <c r="M3583" t="s">
        <v>7541</v>
      </c>
      <c r="N3583" t="s">
        <v>14</v>
      </c>
    </row>
    <row r="3584" x14ac:dyDescent="0.25">
      <c r="A3584" t="n">
        <v>25</v>
      </c>
      <c r="B3584" t="s">
        <v>14</v>
      </c>
      <c r="C3584" t="s">
        <v>22</v>
      </c>
      <c r="D3584" s="2" t="s">
        <f>=HYPERLINK("https://main.knesset.gov.il/APPS/legislation/main/bills/2211136", "הצעת חוק הקפאה של העברת כספים לרשות הפלסטינית בזמן מלחמה, בעת ביצוע פעולות צבאיות משמעותיות ובתקופת מצב מיוחד בעורף (תיקוני חקיקה), התשפ""ד-2023 ")</f>
        <v>7566</v>
      </c>
      <c r="E3584" t="s">
        <v>7566</v>
      </c>
      <c r="F3584" t="s">
        <v>7567</v>
      </c>
      <c r="G3584" t="s">
        <v>14</v>
      </c>
      <c r="H3584">
             </c>
      <c r="I3584" t="s">
        <v>14</v>
      </c>
      <c r="J3584" t="s">
        <v>141</v>
      </c>
      <c r="K3584" t="s">
        <v>14</v>
      </c>
      <c r="L3584" t="s">
        <v>20</v>
      </c>
      <c r="M3584" t="s">
        <v>7541</v>
      </c>
      <c r="N3584" t="s">
        <v>14</v>
      </c>
    </row>
    <row r="3585" x14ac:dyDescent="0.25">
      <c r="A3585" t="n">
        <v>25</v>
      </c>
      <c r="B3585" t="s">
        <v>14</v>
      </c>
      <c r="C3585" t="s">
        <v>22</v>
      </c>
      <c r="D3585" s="2" t="s">
        <f>=HYPERLINK("https://main.knesset.gov.il/APPS/legislation/main/bills/2211217", "הצעת חוק חיילים משוחררים (החזרה לעבודה) (תיקון - הגנה לבני ובנות זוג של משרתי מילואים מפני פיטורים), התשפ""ד-2023")</f>
        <v>7568</v>
      </c>
      <c r="E3585" t="s">
        <v>7568</v>
      </c>
      <c r="F3585" t="s">
        <v>7569</v>
      </c>
      <c r="G3585" t="s">
        <v>14</v>
      </c>
      <c r="H3585">
             </c>
      <c r="I3585" t="s">
        <v>14</v>
      </c>
      <c r="J3585" t="s">
        <v>343</v>
      </c>
      <c r="K3585" t="s">
        <v>14</v>
      </c>
      <c r="L3585" t="s">
        <v>20</v>
      </c>
      <c r="M3585" t="s">
        <v>7541</v>
      </c>
      <c r="N3585" t="s">
        <v>14</v>
      </c>
    </row>
    <row r="3586" x14ac:dyDescent="0.25">
      <c r="A3586" t="n">
        <v>25</v>
      </c>
      <c r="B3586" t="s">
        <v>14</v>
      </c>
      <c r="C3586" t="s">
        <v>22</v>
      </c>
      <c r="D3586" s="2" t="s">
        <f>=HYPERLINK("https://main.knesset.gov.il/APPS/legislation/main/bills/2211239", "הצעת חוק הנצחת זכרם וגבורתם של נופלי ושורדי מלחמת עוטף ישראל, התשפ""ד-2023")</f>
        <v>7570</v>
      </c>
      <c r="E3586" t="s">
        <v>7570</v>
      </c>
      <c r="F3586" t="s">
        <v>7571</v>
      </c>
      <c r="G3586" t="s">
        <v>14</v>
      </c>
      <c r="H3586">
             </c>
      <c r="I3586" t="s">
        <v>14</v>
      </c>
      <c r="J3586" t="s">
        <v>141</v>
      </c>
      <c r="K3586" t="s">
        <v>14</v>
      </c>
      <c r="L3586" t="s">
        <v>20</v>
      </c>
      <c r="M3586" t="s">
        <v>7541</v>
      </c>
      <c r="N3586" t="s">
        <v>14</v>
      </c>
    </row>
    <row r="3587" x14ac:dyDescent="0.25">
      <c r="A3587" t="n">
        <v>25</v>
      </c>
      <c r="B3587" t="s">
        <v>14</v>
      </c>
      <c r="C3587" t="s">
        <v>22</v>
      </c>
      <c r="D3587" s="2" t="s">
        <f>=HYPERLINK("https://main.knesset.gov.il/APPS/legislation/main/bills/2211009", "הצעת חוק יום הזיכרון למתקפה על ישראל בשמחת תורה ולעוז הרוח, התשפ""ד-2023")</f>
        <v>7572</v>
      </c>
      <c r="E3587" t="s">
        <v>7572</v>
      </c>
      <c r="F3587" t="s">
        <v>7573</v>
      </c>
      <c r="G3587" t="s">
        <v>14</v>
      </c>
      <c r="H3587">
             </c>
      <c r="I3587" t="s">
        <v>14</v>
      </c>
      <c r="J3587" t="s">
        <v>141</v>
      </c>
      <c r="K3587" t="s">
        <v>14</v>
      </c>
      <c r="L3587" t="s">
        <v>20</v>
      </c>
      <c r="M3587" t="s">
        <v>7541</v>
      </c>
      <c r="N3587" t="s">
        <v>14</v>
      </c>
    </row>
    <row r="3588" x14ac:dyDescent="0.25">
      <c r="A3588" t="n">
        <v>25</v>
      </c>
      <c r="B3588" t="s">
        <v>14</v>
      </c>
      <c r="C3588" t="s">
        <v>22</v>
      </c>
      <c r="D3588" s="2" t="s">
        <f>=HYPERLINK("https://main.knesset.gov.il/APPS/legislation/main/bills/2208950", "הצעת חוק הדגל, הסמל והמנון המדינה (תיקון - הצבת דגל המדינה בכיתות במוסדות חינוך מוכרים ובמוסדות להשכלה גבוהה), התשפ""ד-2023")</f>
        <v>7574</v>
      </c>
      <c r="E3588" t="s">
        <v>7574</v>
      </c>
      <c r="F3588" t="s">
        <v>7575</v>
      </c>
      <c r="G3588" t="s">
        <v>14</v>
      </c>
      <c r="H3588">
             </c>
      <c r="I3588" t="s">
        <v>14</v>
      </c>
      <c r="J3588" t="s">
        <v>141</v>
      </c>
      <c r="K3588" t="s">
        <v>14</v>
      </c>
      <c r="L3588" t="s">
        <v>20</v>
      </c>
      <c r="M3588" t="s">
        <v>7541</v>
      </c>
      <c r="N3588" t="s">
        <v>14</v>
      </c>
    </row>
    <row r="3589" x14ac:dyDescent="0.25">
      <c r="A3589" t="n">
        <v>25</v>
      </c>
      <c r="B3589" t="s">
        <v>14</v>
      </c>
      <c r="C3589" t="s">
        <v>15</v>
      </c>
      <c r="D3589" s="2" t="s">
        <f>=HYPERLINK("https://main.knesset.gov.il/APPS/legislation/main/bills/2211197", "חוק הארכת תקופות ודחיית מועדים (הוראת שעה – חרבות ברזל) (סדרי מינהל, תקופות כהונה ותאגידים), התשפ""ד-2023")</f>
        <v>7576</v>
      </c>
      <c r="E3589" t="s">
        <v>7576</v>
      </c>
      <c r="F3589" t="s">
        <v>14</v>
      </c>
      <c r="G3589" t="s">
        <v>7577</v>
      </c>
      <c r="H3589" t="n">
        <v>3120</v>
      </c>
      <c r="I3589" t="s">
        <v>14</v>
      </c>
      <c r="J3589" t="s">
        <v>91</v>
      </c>
      <c r="K3589" t="s">
        <v>27</v>
      </c>
      <c r="L3589" t="s">
        <v>20</v>
      </c>
      <c r="M3589" t="s">
        <v>7578</v>
      </c>
      <c r="N3589" t="s">
        <v>7579</v>
      </c>
    </row>
    <row r="3590" x14ac:dyDescent="0.25">
      <c r="A3590" t="n">
        <v>25</v>
      </c>
      <c r="B3590" t="s">
        <v>14</v>
      </c>
      <c r="C3590" t="s">
        <v>15</v>
      </c>
      <c r="D3590" s="2" t="s">
        <f>=HYPERLINK("https://main.knesset.gov.il/APPS/legislation/main/bills/2211526", "חוק התגמולים לנפגעי פעולות איבה (תיקון מס' 41 - הוראת שעה – חרבות ברזל) (מינוי רופא מוסמך), התשפ""ד-2023")</f>
        <v>7580</v>
      </c>
      <c r="E3590" t="s">
        <v>7580</v>
      </c>
      <c r="F3590" t="s">
        <v>14</v>
      </c>
      <c r="G3590" t="s">
        <v>7581</v>
      </c>
      <c r="H3590" t="n">
        <v>3118</v>
      </c>
      <c r="I3590" t="s">
        <v>14</v>
      </c>
      <c r="J3590" t="s">
        <v>91</v>
      </c>
      <c r="K3590" t="s">
        <v>127</v>
      </c>
      <c r="L3590" t="s">
        <v>20</v>
      </c>
      <c r="M3590" t="s">
        <v>7582</v>
      </c>
      <c r="N3590" t="s">
        <v>7583</v>
      </c>
    </row>
    <row r="3591" x14ac:dyDescent="0.25">
      <c r="A3591" t="n">
        <v>25</v>
      </c>
      <c r="B3591" t="s">
        <v>14</v>
      </c>
      <c r="C3591" t="s">
        <v>22</v>
      </c>
      <c r="D3591" s="2" t="s">
        <f>=HYPERLINK("https://main.knesset.gov.il/APPS/legislation/main/bills/2196828", "הצעת חוק לתיקון פקודת בתי הסוהר (שלילת זכאות למימון שירותי בריאות משפרי איכות חיים לאסיר ביטחוני), התשפ""ג-2022")</f>
        <v>7584</v>
      </c>
      <c r="E3591" t="s">
        <v>7584</v>
      </c>
      <c r="F3591" t="s">
        <v>7585</v>
      </c>
      <c r="G3591" t="s">
        <v>14</v>
      </c>
      <c r="H3591">
             </c>
      <c r="I3591" t="s">
        <v>14</v>
      </c>
      <c r="J3591" t="s">
        <v>31</v>
      </c>
      <c r="K3591" t="s">
        <v>105</v>
      </c>
      <c r="L3591" t="s">
        <v>20</v>
      </c>
      <c r="M3591" t="s">
        <v>7582</v>
      </c>
      <c r="N3591" t="s">
        <v>14</v>
      </c>
    </row>
    <row r="3592" x14ac:dyDescent="0.25">
      <c r="A3592" t="n">
        <v>25</v>
      </c>
      <c r="B3592" t="s">
        <v>14</v>
      </c>
      <c r="C3592" t="s">
        <v>22</v>
      </c>
      <c r="D3592" s="2" t="s">
        <f>=HYPERLINK("https://main.knesset.gov.il/APPS/legislation/main/bills/2196049", "הצעת חוק לתיקון פקודת בתי הסוהר (שלילת זכאות למימון שירותי בריאות משפרי איכות חיים לאסיר ביטחוני), התשפ""ג-2022")</f>
        <v>7584</v>
      </c>
      <c r="E3592" t="s">
        <v>7584</v>
      </c>
      <c r="F3592" t="s">
        <v>7586</v>
      </c>
      <c r="G3592" t="s">
        <v>14</v>
      </c>
      <c r="H3592">
             </c>
      <c r="I3592" t="s">
        <v>14</v>
      </c>
      <c r="J3592" t="s">
        <v>31</v>
      </c>
      <c r="K3592" t="s">
        <v>105</v>
      </c>
      <c r="L3592" t="s">
        <v>20</v>
      </c>
      <c r="M3592" t="s">
        <v>7582</v>
      </c>
      <c r="N3592" t="s">
        <v>14</v>
      </c>
    </row>
    <row r="3593" x14ac:dyDescent="0.25">
      <c r="A3593" t="n">
        <v>25</v>
      </c>
      <c r="B3593" t="s">
        <v>14</v>
      </c>
      <c r="C3593" t="s">
        <v>15</v>
      </c>
      <c r="D3593" s="2" t="s">
        <f>=HYPERLINK("https://main.knesset.gov.il/APPS/legislation/main/bills/2204663", "חוק ארגון הפיקוח על העבודה (תיקון מס' 12), התשפ""ד-2023")</f>
        <v>7587</v>
      </c>
      <c r="E3593" t="s">
        <v>7587</v>
      </c>
      <c r="F3593" t="s">
        <v>14</v>
      </c>
      <c r="G3593" t="s">
        <v>7588</v>
      </c>
      <c r="H3593" t="n">
        <v>3119</v>
      </c>
      <c r="I3593" t="s">
        <v>14</v>
      </c>
      <c r="J3593" t="s">
        <v>91</v>
      </c>
      <c r="K3593" t="s">
        <v>127</v>
      </c>
      <c r="L3593" t="s">
        <v>20</v>
      </c>
      <c r="M3593" t="s">
        <v>7582</v>
      </c>
      <c r="N3593" t="s">
        <v>7589</v>
      </c>
    </row>
    <row r="3594" x14ac:dyDescent="0.25">
      <c r="A3594" t="n">
        <v>25</v>
      </c>
      <c r="B3594" t="s">
        <v>14</v>
      </c>
      <c r="C3594" t="s">
        <v>22</v>
      </c>
      <c r="D3594" s="2" t="s">
        <f>=HYPERLINK("https://main.knesset.gov.il/APPS/legislation/main/bills/2211075", "הצעת חוק ההתנתקות והפיצויים לנפגעיה (תיקון - נוכחות וחופש תנועה לישראלים בחבל עזה), התשפ""ד-2023 ")</f>
        <v>7590</v>
      </c>
      <c r="E3594" t="s">
        <v>7590</v>
      </c>
      <c r="F3594" t="s">
        <v>7591</v>
      </c>
      <c r="G3594" t="s">
        <v>14</v>
      </c>
      <c r="H3594">
             </c>
      <c r="I3594" t="s">
        <v>14</v>
      </c>
      <c r="J3594" t="s">
        <v>141</v>
      </c>
      <c r="K3594" t="s">
        <v>14</v>
      </c>
      <c r="L3594" t="s">
        <v>20</v>
      </c>
      <c r="M3594" t="s">
        <v>7582</v>
      </c>
      <c r="N3594" t="s">
        <v>14</v>
      </c>
    </row>
    <row r="3595" x14ac:dyDescent="0.25">
      <c r="A3595" t="n">
        <v>25</v>
      </c>
      <c r="B3595" t="s">
        <v>14</v>
      </c>
      <c r="C3595" t="s">
        <v>22</v>
      </c>
      <c r="D3595" s="2" t="s">
        <f>=HYPERLINK("https://main.knesset.gov.il/APPS/legislation/main/bills/2211334", "הצעת חוק העונשין (תיקון - פריצה למיתקן ביטחוני), התשפ""ד-2023")</f>
        <v>7592</v>
      </c>
      <c r="E3595" t="s">
        <v>7592</v>
      </c>
      <c r="F3595" t="s">
        <v>7593</v>
      </c>
      <c r="G3595" t="s">
        <v>14</v>
      </c>
      <c r="H3595">
             </c>
      <c r="I3595" t="s">
        <v>14</v>
      </c>
      <c r="J3595" t="s">
        <v>141</v>
      </c>
      <c r="K3595" t="s">
        <v>14</v>
      </c>
      <c r="L3595" t="s">
        <v>20</v>
      </c>
      <c r="M3595" t="s">
        <v>7582</v>
      </c>
      <c r="N3595" t="s">
        <v>14</v>
      </c>
    </row>
    <row r="3596" x14ac:dyDescent="0.25">
      <c r="A3596" t="n">
        <v>25</v>
      </c>
      <c r="B3596" t="s">
        <v>14</v>
      </c>
      <c r="C3596" t="s">
        <v>22</v>
      </c>
      <c r="D3596" s="2" t="s">
        <f>=HYPERLINK("https://main.knesset.gov.il/APPS/legislation/main/bills/2211488", "הצעת חוק איסור כספים קואליציוניים, התשפ""ד-2023")</f>
        <v>7594</v>
      </c>
      <c r="E3596" t="s">
        <v>7594</v>
      </c>
      <c r="F3596" t="s">
        <v>7595</v>
      </c>
      <c r="G3596" t="s">
        <v>14</v>
      </c>
      <c r="H3596">
             </c>
      <c r="I3596" t="s">
        <v>14</v>
      </c>
      <c r="J3596" t="s">
        <v>141</v>
      </c>
      <c r="K3596" t="s">
        <v>14</v>
      </c>
      <c r="L3596" t="s">
        <v>20</v>
      </c>
      <c r="M3596" t="s">
        <v>7582</v>
      </c>
      <c r="N3596" t="s">
        <v>14</v>
      </c>
    </row>
    <row r="3597" x14ac:dyDescent="0.25">
      <c r="A3597" t="n">
        <v>25</v>
      </c>
      <c r="B3597" t="s">
        <v>14</v>
      </c>
      <c r="C3597" t="s">
        <v>22</v>
      </c>
      <c r="D3597" s="2" t="s">
        <f>=HYPERLINK("https://main.knesset.gov.il/APPS/legislation/main/bills/2211483", "הצעת חוק משפחות חיילים שנספו במערכה (תגמולים ושיקום) (תיקון - הרחבת הזכאות ליתומים שמלאו להם 21 שנים), התשפ""ד-2023")</f>
        <v>7596</v>
      </c>
      <c r="E3597" t="s">
        <v>7596</v>
      </c>
      <c r="F3597" t="s">
        <v>7597</v>
      </c>
      <c r="G3597" t="s">
        <v>14</v>
      </c>
      <c r="H3597">
             </c>
      <c r="I3597" t="s">
        <v>14</v>
      </c>
      <c r="J3597" t="s">
        <v>141</v>
      </c>
      <c r="K3597" t="s">
        <v>14</v>
      </c>
      <c r="L3597" t="s">
        <v>20</v>
      </c>
      <c r="M3597" t="s">
        <v>7582</v>
      </c>
      <c r="N3597" t="s">
        <v>14</v>
      </c>
    </row>
    <row r="3598" x14ac:dyDescent="0.25">
      <c r="A3598" t="n">
        <v>25</v>
      </c>
      <c r="B3598" t="s">
        <v>14</v>
      </c>
      <c r="C3598" t="s">
        <v>22</v>
      </c>
      <c r="D3598" s="2" t="s">
        <f>=HYPERLINK("https://main.knesset.gov.il/APPS/legislation/main/bills/2211482", "הצעת חוק תשלום קצבאות לחיילי מילואים ולבני משפחותיהם (תיקון - השוואת תנאי אלמנות חללי המילואים), התשפ""ד-2023 ")</f>
        <v>7598</v>
      </c>
      <c r="E3598" t="s">
        <v>7598</v>
      </c>
      <c r="F3598" t="s">
        <v>7599</v>
      </c>
      <c r="G3598" t="s">
        <v>14</v>
      </c>
      <c r="H3598">
             </c>
      <c r="I3598" t="s">
        <v>14</v>
      </c>
      <c r="J3598" t="s">
        <v>141</v>
      </c>
      <c r="K3598" t="s">
        <v>14</v>
      </c>
      <c r="L3598" t="s">
        <v>20</v>
      </c>
      <c r="M3598" t="s">
        <v>7582</v>
      </c>
      <c r="N3598" t="s">
        <v>14</v>
      </c>
    </row>
    <row r="3599" x14ac:dyDescent="0.25">
      <c r="A3599" t="n">
        <v>25</v>
      </c>
      <c r="B3599" t="s">
        <v>14</v>
      </c>
      <c r="C3599" t="s">
        <v>22</v>
      </c>
      <c r="D3599" s="2" t="s">
        <f>=HYPERLINK("https://main.knesset.gov.il/APPS/legislation/main/bills/2207656", "הצעת חוק למניעת חרם חברתי בבתי ספר, התשפ""ד-2023")</f>
        <v>7600</v>
      </c>
      <c r="E3599" t="s">
        <v>7600</v>
      </c>
      <c r="F3599" t="s">
        <v>7601</v>
      </c>
      <c r="G3599" t="s">
        <v>14</v>
      </c>
      <c r="H3599">
             </c>
      <c r="I3599" t="s">
        <v>14</v>
      </c>
      <c r="J3599" t="s">
        <v>141</v>
      </c>
      <c r="K3599" t="s">
        <v>14</v>
      </c>
      <c r="L3599" t="s">
        <v>20</v>
      </c>
      <c r="M3599" t="s">
        <v>7582</v>
      </c>
      <c r="N3599" t="s">
        <v>14</v>
      </c>
    </row>
    <row r="3600" x14ac:dyDescent="0.25">
      <c r="A3600" t="n">
        <v>25</v>
      </c>
      <c r="B3600" t="s">
        <v>14</v>
      </c>
      <c r="C3600" t="s">
        <v>22</v>
      </c>
      <c r="D3600" s="2" t="s">
        <f>=HYPERLINK("https://main.knesset.gov.il/APPS/legislation/main/bills/2210349", "הצעת חוק התכנון והבנייה (תיקון - פיצול דירות) (הוראת שעה), התשפ""ד-2023")</f>
        <v>7602</v>
      </c>
      <c r="E3600" t="s">
        <v>7602</v>
      </c>
      <c r="F3600" t="s">
        <v>7603</v>
      </c>
      <c r="G3600" t="s">
        <v>14</v>
      </c>
      <c r="H3600">
             </c>
      <c r="I3600" t="s">
        <v>14</v>
      </c>
      <c r="J3600" t="s">
        <v>141</v>
      </c>
      <c r="K3600" t="s">
        <v>14</v>
      </c>
      <c r="L3600" t="s">
        <v>20</v>
      </c>
      <c r="M3600" t="s">
        <v>7582</v>
      </c>
      <c r="N3600" t="s">
        <v>14</v>
      </c>
    </row>
    <row r="3601" x14ac:dyDescent="0.25">
      <c r="A3601" t="n">
        <v>25</v>
      </c>
      <c r="B3601" t="s">
        <v>14</v>
      </c>
      <c r="C3601" t="s">
        <v>22</v>
      </c>
      <c r="D3601" s="2" t="s">
        <f>=HYPERLINK("https://main.knesset.gov.il/APPS/legislation/main/bills/2210489", "הצעת חוק העונשין (תיקון - עונש מינימום וקנס על החזקת נשק בלתי חוקי), התשפ""ד-2023")</f>
        <v>7604</v>
      </c>
      <c r="E3601" t="s">
        <v>7604</v>
      </c>
      <c r="F3601" t="s">
        <v>7605</v>
      </c>
      <c r="G3601" t="s">
        <v>14</v>
      </c>
      <c r="H3601">
             </c>
      <c r="I3601" t="s">
        <v>14</v>
      </c>
      <c r="J3601" t="s">
        <v>141</v>
      </c>
      <c r="K3601" t="s">
        <v>14</v>
      </c>
      <c r="L3601" t="s">
        <v>20</v>
      </c>
      <c r="M3601" t="s">
        <v>7582</v>
      </c>
      <c r="N3601" t="s">
        <v>14</v>
      </c>
    </row>
    <row r="3602" x14ac:dyDescent="0.25">
      <c r="A3602" t="n">
        <v>25</v>
      </c>
      <c r="B3602" t="s">
        <v>14</v>
      </c>
      <c r="C3602" t="s">
        <v>22</v>
      </c>
      <c r="D3602" s="2" t="s">
        <f>=HYPERLINK("https://main.knesset.gov.il/APPS/legislation/main/bills/2210644", "הצעת חוק מס ערך מוסף (תיקון - מכירת טובין למלכ""ר המיועדים לתרומה לכוחות הביטחון וההצלה), התשפ""ד-2023")</f>
        <v>7606</v>
      </c>
      <c r="E3602" t="s">
        <v>7606</v>
      </c>
      <c r="F3602" t="s">
        <v>7607</v>
      </c>
      <c r="G3602" t="s">
        <v>14</v>
      </c>
      <c r="H3602">
             </c>
      <c r="I3602" t="s">
        <v>14</v>
      </c>
      <c r="J3602" t="s">
        <v>141</v>
      </c>
      <c r="K3602" t="s">
        <v>14</v>
      </c>
      <c r="L3602" t="s">
        <v>20</v>
      </c>
      <c r="M3602" t="s">
        <v>7582</v>
      </c>
      <c r="N3602" t="s">
        <v>14</v>
      </c>
    </row>
    <row r="3603" x14ac:dyDescent="0.25">
      <c r="A3603" t="n">
        <v>25</v>
      </c>
      <c r="B3603" t="s">
        <v>14</v>
      </c>
      <c r="C3603" t="s">
        <v>22</v>
      </c>
      <c r="D3603" s="2" t="s">
        <f>=HYPERLINK("https://main.knesset.gov.il/APPS/legislation/main/bills/2211249", "הצעת חוק הסדרים במשק המדינה (תיקוני חקיקה להשגת יעדי התקציב) (תיקון - פטור מארנונה לנכס שפונה בעת מצב הלחימה - חרבות ברזל), התשפ""ד-2023")</f>
        <v>7608</v>
      </c>
      <c r="E3603" t="s">
        <v>7608</v>
      </c>
      <c r="F3603" t="s">
        <v>7609</v>
      </c>
      <c r="G3603" t="s">
        <v>14</v>
      </c>
      <c r="H3603">
             </c>
      <c r="I3603" t="s">
        <v>14</v>
      </c>
      <c r="J3603" t="s">
        <v>141</v>
      </c>
      <c r="K3603" t="s">
        <v>14</v>
      </c>
      <c r="L3603" t="s">
        <v>20</v>
      </c>
      <c r="M3603" t="s">
        <v>7582</v>
      </c>
      <c r="N3603" t="s">
        <v>14</v>
      </c>
    </row>
    <row r="3604" x14ac:dyDescent="0.25">
      <c r="A3604" t="n">
        <v>25</v>
      </c>
      <c r="B3604" t="s">
        <v>14</v>
      </c>
      <c r="C3604" t="s">
        <v>22</v>
      </c>
      <c r="D3604" s="2" t="s">
        <f>=HYPERLINK("https://main.knesset.gov.il/APPS/legislation/main/bills/2210965", "הצעת חוק התגמולים לנפגעי פעולות איבה (תיקון - נכי ארגוני הצלה במלחמת חרבות ברזל), התשפ""ד-2023 ")</f>
        <v>7610</v>
      </c>
      <c r="E3604" t="s">
        <v>7610</v>
      </c>
      <c r="F3604" t="s">
        <v>7611</v>
      </c>
      <c r="G3604" t="s">
        <v>14</v>
      </c>
      <c r="H3604">
             </c>
      <c r="I3604" t="s">
        <v>14</v>
      </c>
      <c r="J3604" t="s">
        <v>141</v>
      </c>
      <c r="K3604" t="s">
        <v>14</v>
      </c>
      <c r="L3604" t="s">
        <v>20</v>
      </c>
      <c r="M3604" t="s">
        <v>7582</v>
      </c>
      <c r="N3604" t="s">
        <v>14</v>
      </c>
    </row>
    <row r="3605" x14ac:dyDescent="0.25">
      <c r="A3605" t="n">
        <v>25</v>
      </c>
      <c r="B3605" t="s">
        <v>14</v>
      </c>
      <c r="C3605" t="s">
        <v>22</v>
      </c>
      <c r="D3605" s="2" t="s">
        <f>=HYPERLINK("https://main.knesset.gov.il/APPS/legislation/main/bills/2209931", "הצעת חוק לתיקון פקודת מס הכנסה (פטור ממס על משיכה הונית מקופת גמל), התשפ""ד-2023")</f>
        <v>7612</v>
      </c>
      <c r="E3605" t="s">
        <v>7612</v>
      </c>
      <c r="F3605" t="s">
        <v>7613</v>
      </c>
      <c r="G3605" t="s">
        <v>14</v>
      </c>
      <c r="H3605">
             </c>
      <c r="I3605" t="s">
        <v>14</v>
      </c>
      <c r="J3605" t="s">
        <v>141</v>
      </c>
      <c r="K3605" t="s">
        <v>14</v>
      </c>
      <c r="L3605" t="s">
        <v>20</v>
      </c>
      <c r="M3605" t="s">
        <v>7582</v>
      </c>
      <c r="N3605" t="s">
        <v>14</v>
      </c>
    </row>
    <row r="3606" x14ac:dyDescent="0.25">
      <c r="A3606" t="n">
        <v>25</v>
      </c>
      <c r="B3606" t="s">
        <v>14</v>
      </c>
      <c r="C3606" t="s">
        <v>22</v>
      </c>
      <c r="D3606" s="2" t="s">
        <f>=HYPERLINK("https://main.knesset.gov.il/APPS/legislation/main/bills/2209904", "הצעת חוק למניעת הוצאה של כספים מישראל על ידי מסתנן או נתין זר או עבורו, התשפ""ד-2023")</f>
        <v>7614</v>
      </c>
      <c r="E3606" t="s">
        <v>7614</v>
      </c>
      <c r="F3606" t="s">
        <v>7615</v>
      </c>
      <c r="G3606" t="s">
        <v>14</v>
      </c>
      <c r="H3606">
             </c>
      <c r="I3606" t="s">
        <v>14</v>
      </c>
      <c r="J3606" t="s">
        <v>141</v>
      </c>
      <c r="K3606" t="s">
        <v>14</v>
      </c>
      <c r="L3606" t="s">
        <v>20</v>
      </c>
      <c r="M3606" t="s">
        <v>7582</v>
      </c>
      <c r="N3606" t="s">
        <v>14</v>
      </c>
    </row>
    <row r="3607" x14ac:dyDescent="0.25">
      <c r="A3607" t="n">
        <v>25</v>
      </c>
      <c r="B3607" t="s">
        <v>14</v>
      </c>
      <c r="C3607" t="s">
        <v>22</v>
      </c>
      <c r="D3607" s="2" t="s">
        <f>=HYPERLINK("https://main.knesset.gov.il/APPS/legislation/main/bills/2210650", "הצעת חוק העונשין (תיקון - ניקוי ישראל מנשק לא חוקי), התשפ""ד-2023 ")</f>
        <v>7616</v>
      </c>
      <c r="E3607" t="s">
        <v>7616</v>
      </c>
      <c r="F3607" t="s">
        <v>7617</v>
      </c>
      <c r="G3607" t="s">
        <v>14</v>
      </c>
      <c r="H3607">
             </c>
      <c r="I3607" t="s">
        <v>14</v>
      </c>
      <c r="J3607" t="s">
        <v>141</v>
      </c>
      <c r="K3607" t="s">
        <v>14</v>
      </c>
      <c r="L3607" t="s">
        <v>20</v>
      </c>
      <c r="M3607" t="s">
        <v>7582</v>
      </c>
      <c r="N3607" t="s">
        <v>14</v>
      </c>
    </row>
    <row r="3608" x14ac:dyDescent="0.25">
      <c r="A3608" t="n">
        <v>25</v>
      </c>
      <c r="B3608" t="s">
        <v>14</v>
      </c>
      <c r="C3608" t="s">
        <v>22</v>
      </c>
      <c r="D3608" s="2" t="s">
        <f>=HYPERLINK("https://main.knesset.gov.il/APPS/legislation/main/bills/2210311", "הצעת חוק הנגשה לשונית והתאמה תרבותית, התשפ""ד-2023")</f>
        <v>7618</v>
      </c>
      <c r="E3608" t="s">
        <v>7618</v>
      </c>
      <c r="F3608" t="s">
        <v>7619</v>
      </c>
      <c r="G3608" t="s">
        <v>14</v>
      </c>
      <c r="H3608">
             </c>
      <c r="I3608" t="s">
        <v>14</v>
      </c>
      <c r="J3608" t="s">
        <v>141</v>
      </c>
      <c r="K3608" t="s">
        <v>14</v>
      </c>
      <c r="L3608" t="s">
        <v>20</v>
      </c>
      <c r="M3608" t="s">
        <v>7582</v>
      </c>
      <c r="N3608" t="s">
        <v>14</v>
      </c>
    </row>
    <row r="3609" x14ac:dyDescent="0.25">
      <c r="A3609" t="n">
        <v>25</v>
      </c>
      <c r="B3609" t="s">
        <v>14</v>
      </c>
      <c r="C3609" t="s">
        <v>22</v>
      </c>
      <c r="D3609" s="2" t="s">
        <f>=HYPERLINK("https://main.knesset.gov.il/APPS/legislation/main/bills/2210643", "הצעת חוק החומרים המסוכנים (תיקון - פרטי התקשרות למרכז רעלים), התשפ""ד-2023")</f>
        <v>7620</v>
      </c>
      <c r="E3609" t="s">
        <v>7620</v>
      </c>
      <c r="F3609" t="s">
        <v>7621</v>
      </c>
      <c r="G3609" t="s">
        <v>14</v>
      </c>
      <c r="H3609">
             </c>
      <c r="I3609" t="s">
        <v>14</v>
      </c>
      <c r="J3609" t="s">
        <v>141</v>
      </c>
      <c r="K3609" t="s">
        <v>14</v>
      </c>
      <c r="L3609" t="s">
        <v>20</v>
      </c>
      <c r="M3609" t="s">
        <v>7582</v>
      </c>
      <c r="N3609" t="s">
        <v>14</v>
      </c>
    </row>
    <row r="3610" x14ac:dyDescent="0.25">
      <c r="A3610" t="n">
        <v>25</v>
      </c>
      <c r="B3610" t="s">
        <v>14</v>
      </c>
      <c r="C3610" t="s">
        <v>15</v>
      </c>
      <c r="D3610" s="2" t="s">
        <f>=HYPERLINK("https://main.knesset.gov.il/APPS/legislation/main/bills/2211247", "חוק הארכת תקופות ודחיית מועדים (הוראת שעה – חרבות ברזל) (תכנון ובנייה ומקרקעי ציבור), התשפ""ד-2023")</f>
        <v>7622</v>
      </c>
      <c r="E3610" t="s">
        <v>7622</v>
      </c>
      <c r="F3610" t="s">
        <v>14</v>
      </c>
      <c r="G3610" t="s">
        <v>7577</v>
      </c>
      <c r="H3610" t="n">
        <v>3116</v>
      </c>
      <c r="I3610" t="s">
        <v>14</v>
      </c>
      <c r="J3610" t="s">
        <v>91</v>
      </c>
      <c r="K3610" t="s">
        <v>46</v>
      </c>
      <c r="L3610" t="s">
        <v>20</v>
      </c>
      <c r="M3610" t="s">
        <v>7623</v>
      </c>
      <c r="N3610" t="s">
        <v>7624</v>
      </c>
    </row>
    <row r="3611" x14ac:dyDescent="0.25">
      <c r="A3611" t="n">
        <v>25</v>
      </c>
      <c r="B3611" t="s">
        <v>14</v>
      </c>
      <c r="C3611" t="s">
        <v>15</v>
      </c>
      <c r="D3611" s="2" t="s">
        <f>=HYPERLINK("https://main.knesset.gov.il/APPS/legislation/main/bills/2211198", "חוק קיום דיונים בהיוועדות חזותית בהשתתפות עצורים ואסירים (הוראת שעה – חרבות ברזל), התשפ""ד-2023")</f>
        <v>7625</v>
      </c>
      <c r="E3611" t="s">
        <v>7625</v>
      </c>
      <c r="F3611" t="s">
        <v>14</v>
      </c>
      <c r="G3611" t="s">
        <v>7472</v>
      </c>
      <c r="H3611" t="n">
        <v>3114</v>
      </c>
      <c r="I3611" t="s">
        <v>14</v>
      </c>
      <c r="J3611" t="s">
        <v>91</v>
      </c>
      <c r="K3611" t="s">
        <v>27</v>
      </c>
      <c r="L3611" t="s">
        <v>20</v>
      </c>
      <c r="M3611" t="s">
        <v>7623</v>
      </c>
      <c r="N3611" t="s">
        <v>7626</v>
      </c>
    </row>
    <row r="3612" x14ac:dyDescent="0.25">
      <c r="A3612" t="n">
        <v>25</v>
      </c>
      <c r="B3612" t="s">
        <v>14</v>
      </c>
      <c r="C3612" t="s">
        <v>15</v>
      </c>
      <c r="D3612" s="2" t="s">
        <f>=HYPERLINK("https://main.knesset.gov.il/APPS/legislation/main/bills/2211471", "חוק הענקת אזרחות כבוד לחללי מערכות ישראל, התשפ""ד-2023")</f>
        <v>7627</v>
      </c>
      <c r="E3612" t="s">
        <v>7627</v>
      </c>
      <c r="F3612" t="s">
        <v>14</v>
      </c>
      <c r="G3612" t="s">
        <v>7628</v>
      </c>
      <c r="H3612" t="n">
        <v>3115</v>
      </c>
      <c r="I3612" t="s">
        <v>14</v>
      </c>
      <c r="J3612" t="s">
        <v>91</v>
      </c>
      <c r="K3612" t="s">
        <v>46</v>
      </c>
      <c r="L3612" t="s">
        <v>20</v>
      </c>
      <c r="M3612" t="s">
        <v>7623</v>
      </c>
      <c r="N3612" t="s">
        <v>7629</v>
      </c>
    </row>
    <row r="3613" x14ac:dyDescent="0.25">
      <c r="A3613" t="n">
        <v>25</v>
      </c>
      <c r="B3613" t="s">
        <v>14</v>
      </c>
      <c r="C3613" t="s">
        <v>15</v>
      </c>
      <c r="D3613" s="2" t="s">
        <f>=HYPERLINK("https://main.knesset.gov.il/APPS/legislation/main/bills/2211246", "חוק הארכת תקופות (הוראת שעה – חרבות ברזל) (אומנה לילדים), התשפ""ד-2023 ")</f>
        <v>7630</v>
      </c>
      <c r="E3613" t="s">
        <v>7630</v>
      </c>
      <c r="F3613" t="s">
        <v>14</v>
      </c>
      <c r="G3613" t="s">
        <v>7577</v>
      </c>
      <c r="H3613" t="n">
        <v>3111</v>
      </c>
      <c r="I3613" t="s">
        <v>14</v>
      </c>
      <c r="J3613" t="s">
        <v>91</v>
      </c>
      <c r="K3613" t="s">
        <v>127</v>
      </c>
      <c r="L3613" t="s">
        <v>20</v>
      </c>
      <c r="M3613" t="s">
        <v>7631</v>
      </c>
      <c r="N3613" t="s">
        <v>7632</v>
      </c>
    </row>
    <row r="3614" x14ac:dyDescent="0.25">
      <c r="A3614" t="n">
        <v>25</v>
      </c>
      <c r="B3614" t="s">
        <v>14</v>
      </c>
      <c r="C3614" t="s">
        <v>15</v>
      </c>
      <c r="D3614" s="2" t="s">
        <f>=HYPERLINK("https://main.knesset.gov.il/APPS/legislation/main/bills/2211195", "חוק חינוך מיוחד (הוראת שעה – חרבות ברזל) (הארכת זכאות), התשפ""ד-2023 ")</f>
        <v>7633</v>
      </c>
      <c r="E3614" t="s">
        <v>7633</v>
      </c>
      <c r="F3614" t="s">
        <v>14</v>
      </c>
      <c r="G3614" t="s">
        <v>7634</v>
      </c>
      <c r="H3614" t="n">
        <v>3112</v>
      </c>
      <c r="I3614" t="s">
        <v>14</v>
      </c>
      <c r="J3614" t="s">
        <v>91</v>
      </c>
      <c r="K3614" t="s">
        <v>34</v>
      </c>
      <c r="L3614" t="s">
        <v>20</v>
      </c>
      <c r="M3614" t="s">
        <v>7631</v>
      </c>
      <c r="N3614" t="s">
        <v>7635</v>
      </c>
    </row>
    <row r="3615" x14ac:dyDescent="0.25">
      <c r="A3615" t="n">
        <v>25</v>
      </c>
      <c r="B3615" t="s">
        <v>14</v>
      </c>
      <c r="C3615" t="s">
        <v>15</v>
      </c>
      <c r="D3615" s="2" t="s">
        <f>=HYPERLINK("https://main.knesset.gov.il/APPS/legislation/main/bills/2192648", "חוק פסיקת ריבית והצמדה (תיקון מס' 9), התשפ""ד-2023 ")</f>
        <v>7636</v>
      </c>
      <c r="E3615" t="s">
        <v>7636</v>
      </c>
      <c r="F3615" t="s">
        <v>14</v>
      </c>
      <c r="G3615" t="s">
        <v>7637</v>
      </c>
      <c r="H3615" t="n">
        <v>3117</v>
      </c>
      <c r="I3615" t="s">
        <v>14</v>
      </c>
      <c r="J3615" t="s">
        <v>91</v>
      </c>
      <c r="K3615" t="s">
        <v>27</v>
      </c>
      <c r="L3615" t="s">
        <v>20</v>
      </c>
      <c r="M3615" t="s">
        <v>7631</v>
      </c>
      <c r="N3615" t="s">
        <v>7638</v>
      </c>
    </row>
    <row r="3616" x14ac:dyDescent="0.25">
      <c r="A3616" t="n">
        <v>25</v>
      </c>
      <c r="B3616" t="s">
        <v>14</v>
      </c>
      <c r="C3616" t="s">
        <v>15</v>
      </c>
      <c r="D3616" s="2" t="s">
        <f>=HYPERLINK("https://main.knesset.gov.il/APPS/legislation/main/bills/2210981", "חוק המאבק בטרור (תיקון מס' 10), התשפ""ד-2023")</f>
        <v>7639</v>
      </c>
      <c r="E3616" t="s">
        <v>7639</v>
      </c>
      <c r="F3616" t="s">
        <v>14</v>
      </c>
      <c r="G3616" t="s">
        <v>7640</v>
      </c>
      <c r="H3616" t="n">
        <v>3113</v>
      </c>
      <c r="I3616" t="s">
        <v>14</v>
      </c>
      <c r="J3616" t="s">
        <v>91</v>
      </c>
      <c r="K3616" t="s">
        <v>114</v>
      </c>
      <c r="L3616" t="s">
        <v>20</v>
      </c>
      <c r="M3616" t="s">
        <v>7631</v>
      </c>
      <c r="N3616" t="s">
        <v>7641</v>
      </c>
    </row>
    <row r="3617" x14ac:dyDescent="0.25">
      <c r="A3617" t="n">
        <v>25</v>
      </c>
      <c r="B3617" t="s">
        <v>14</v>
      </c>
      <c r="C3617" t="s">
        <v>22</v>
      </c>
      <c r="D3617" s="2" t="s">
        <f>=HYPERLINK("https://main.knesset.gov.il/APPS/legislation/main/bills/2211082", "הצעת חוק משפחות חיילים שנספו במערכה (תגמולים ושיקום) (תיקון - הכרה בארוסות חיילים שנספו במערכה), התשפ""ד-2023")</f>
        <v>7642</v>
      </c>
      <c r="E3617" t="s">
        <v>7642</v>
      </c>
      <c r="F3617" t="s">
        <v>7643</v>
      </c>
      <c r="G3617" t="s">
        <v>14</v>
      </c>
      <c r="H3617">
             </c>
      <c r="I3617" t="s">
        <v>14</v>
      </c>
      <c r="J3617" t="s">
        <v>141</v>
      </c>
      <c r="K3617" t="s">
        <v>14</v>
      </c>
      <c r="L3617" t="s">
        <v>20</v>
      </c>
      <c r="M3617" t="s">
        <v>7631</v>
      </c>
      <c r="N3617" t="s">
        <v>14</v>
      </c>
    </row>
    <row r="3618" x14ac:dyDescent="0.25">
      <c r="A3618" t="n">
        <v>25</v>
      </c>
      <c r="B3618" t="s">
        <v>14</v>
      </c>
      <c r="C3618" t="s">
        <v>22</v>
      </c>
      <c r="D3618" s="2" t="s">
        <f>=HYPERLINK("https://main.knesset.gov.il/APPS/legislation/main/bills/2210493", "הצעת חוק להקפאת כספים ששילמה הרשות הפלסטינית בזיקה לטרור מהכספים המועברים אליה מממשלת ישראל (תיקון - עלות החזקת אסיר או עצור שהוא פעיל טרור פלסטיני), התשפ""ד-2023 ")</f>
        <v>7644</v>
      </c>
      <c r="E3618" t="s">
        <v>7644</v>
      </c>
      <c r="F3618" t="s">
        <v>7645</v>
      </c>
      <c r="G3618" t="s">
        <v>14</v>
      </c>
      <c r="H3618">
             </c>
      <c r="I3618" t="s">
        <v>14</v>
      </c>
      <c r="J3618" t="s">
        <v>141</v>
      </c>
      <c r="K3618" t="s">
        <v>14</v>
      </c>
      <c r="L3618" t="s">
        <v>20</v>
      </c>
      <c r="M3618" t="s">
        <v>7631</v>
      </c>
      <c r="N3618" t="s">
        <v>14</v>
      </c>
    </row>
    <row r="3619" x14ac:dyDescent="0.25">
      <c r="A3619" t="n">
        <v>25</v>
      </c>
      <c r="B3619" t="s">
        <v>14</v>
      </c>
      <c r="C3619" t="s">
        <v>22</v>
      </c>
      <c r="D3619" s="2" t="s">
        <f>=HYPERLINK("https://main.knesset.gov.il/APPS/legislation/main/bills/2210613", "הצעת חוק יום הזיכרון לטבח שמחת תורה בעוטף עזה, התשפ""ד-2023")</f>
        <v>7646</v>
      </c>
      <c r="E3619" t="s">
        <v>7646</v>
      </c>
      <c r="F3619" t="s">
        <v>7647</v>
      </c>
      <c r="G3619" t="s">
        <v>14</v>
      </c>
      <c r="H3619">
             </c>
      <c r="I3619" t="s">
        <v>14</v>
      </c>
      <c r="J3619" t="s">
        <v>141</v>
      </c>
      <c r="K3619" t="s">
        <v>14</v>
      </c>
      <c r="L3619" t="s">
        <v>20</v>
      </c>
      <c r="M3619" t="s">
        <v>7631</v>
      </c>
      <c r="N3619" t="s">
        <v>14</v>
      </c>
    </row>
    <row r="3620" x14ac:dyDescent="0.25">
      <c r="A3620" t="n">
        <v>25</v>
      </c>
      <c r="B3620" t="s">
        <v>14</v>
      </c>
      <c r="C3620" t="s">
        <v>22</v>
      </c>
      <c r="D3620" s="2" t="s">
        <f>=HYPERLINK("https://main.knesset.gov.il/APPS/legislation/main/bills/2210487", "הצעת חוק העונשין (תיקון - קנס בעבירת גניבת נשק), התשפ""ד-2023")</f>
        <v>7648</v>
      </c>
      <c r="E3620" t="s">
        <v>7648</v>
      </c>
      <c r="F3620" t="s">
        <v>7649</v>
      </c>
      <c r="G3620" t="s">
        <v>14</v>
      </c>
      <c r="H3620">
             </c>
      <c r="I3620" t="s">
        <v>14</v>
      </c>
      <c r="J3620" t="s">
        <v>141</v>
      </c>
      <c r="K3620" t="s">
        <v>14</v>
      </c>
      <c r="L3620" t="s">
        <v>20</v>
      </c>
      <c r="M3620" t="s">
        <v>7631</v>
      </c>
      <c r="N3620" t="s">
        <v>14</v>
      </c>
    </row>
    <row r="3621" x14ac:dyDescent="0.25">
      <c r="A3621" t="n">
        <v>25</v>
      </c>
      <c r="B3621" t="s">
        <v>14</v>
      </c>
      <c r="C3621" t="s">
        <v>22</v>
      </c>
      <c r="D3621" s="2" t="s">
        <f>=HYPERLINK("https://main.knesset.gov.il/APPS/legislation/main/bills/2210517", "הצעת חוק פדיון הבית, התשע""ד-2023")</f>
        <v>7650</v>
      </c>
      <c r="E3621" t="s">
        <v>7650</v>
      </c>
      <c r="F3621" t="s">
        <v>7651</v>
      </c>
      <c r="G3621" t="s">
        <v>14</v>
      </c>
      <c r="H3621">
             </c>
      <c r="I3621" t="s">
        <v>14</v>
      </c>
      <c r="J3621" t="s">
        <v>141</v>
      </c>
      <c r="K3621" t="s">
        <v>14</v>
      </c>
      <c r="L3621" t="s">
        <v>20</v>
      </c>
      <c r="M3621" t="s">
        <v>7631</v>
      </c>
      <c r="N3621" t="s">
        <v>14</v>
      </c>
    </row>
    <row r="3622" x14ac:dyDescent="0.25">
      <c r="A3622" t="n">
        <v>25</v>
      </c>
      <c r="B3622" t="s">
        <v>14</v>
      </c>
      <c r="C3622" t="s">
        <v>22</v>
      </c>
      <c r="D3622" s="2" t="s">
        <f>=HYPERLINK("https://main.knesset.gov.il/APPS/legislation/main/bills/2210798", "הצעת חוק המאבק בטרור (תיקון - מניעת הזדהות עם ארגון טרור), התשפ""ד-2023")</f>
        <v>7652</v>
      </c>
      <c r="E3622" t="s">
        <v>7652</v>
      </c>
      <c r="F3622" t="s">
        <v>7653</v>
      </c>
      <c r="G3622" t="s">
        <v>14</v>
      </c>
      <c r="H3622">
             </c>
      <c r="I3622" t="s">
        <v>14</v>
      </c>
      <c r="J3622" t="s">
        <v>141</v>
      </c>
      <c r="K3622" t="s">
        <v>14</v>
      </c>
      <c r="L3622" t="s">
        <v>20</v>
      </c>
      <c r="M3622" t="s">
        <v>7631</v>
      </c>
      <c r="N3622" t="s">
        <v>14</v>
      </c>
    </row>
    <row r="3623" x14ac:dyDescent="0.25">
      <c r="A3623" t="n">
        <v>25</v>
      </c>
      <c r="B3623" t="s">
        <v>14</v>
      </c>
      <c r="C3623" t="s">
        <v>22</v>
      </c>
      <c r="D3623" s="2" t="s">
        <f>=HYPERLINK("https://main.knesset.gov.il/APPS/legislation/main/bills/2210801", "הצעת חוק המאבק בטרור (תיקון - החמרת ענישה), התשפ""ד-2023 ")</f>
        <v>7654</v>
      </c>
      <c r="E3623" t="s">
        <v>7654</v>
      </c>
      <c r="F3623" t="s">
        <v>7655</v>
      </c>
      <c r="G3623" t="s">
        <v>14</v>
      </c>
      <c r="H3623">
             </c>
      <c r="I3623" t="s">
        <v>14</v>
      </c>
      <c r="J3623" t="s">
        <v>141</v>
      </c>
      <c r="K3623" t="s">
        <v>14</v>
      </c>
      <c r="L3623" t="s">
        <v>20</v>
      </c>
      <c r="M3623" t="s">
        <v>7631</v>
      </c>
      <c r="N3623" t="s">
        <v>14</v>
      </c>
    </row>
    <row r="3624" x14ac:dyDescent="0.25">
      <c r="A3624" t="n">
        <v>25</v>
      </c>
      <c r="B3624" t="s">
        <v>14</v>
      </c>
      <c r="C3624" t="s">
        <v>22</v>
      </c>
      <c r="D3624" s="2" t="s">
        <f>=HYPERLINK("https://main.knesset.gov.il/APPS/legislation/main/bills/2210603", "הצעת חוק איסור אספקת חשמל, מים, תקשורת ודלק לישות הנשלטת על ידי חמאס, התשפ""ד-2023")</f>
        <v>7656</v>
      </c>
      <c r="E3624" t="s">
        <v>7656</v>
      </c>
      <c r="F3624" t="s">
        <v>7657</v>
      </c>
      <c r="G3624" t="s">
        <v>14</v>
      </c>
      <c r="H3624">
             </c>
      <c r="I3624" t="s">
        <v>14</v>
      </c>
      <c r="J3624" t="s">
        <v>141</v>
      </c>
      <c r="K3624" t="s">
        <v>14</v>
      </c>
      <c r="L3624" t="s">
        <v>20</v>
      </c>
      <c r="M3624" t="s">
        <v>7631</v>
      </c>
      <c r="N3624" t="s">
        <v>14</v>
      </c>
    </row>
    <row r="3625" x14ac:dyDescent="0.25">
      <c r="A3625" t="n">
        <v>25</v>
      </c>
      <c r="B3625" t="s">
        <v>14</v>
      </c>
      <c r="C3625" t="s">
        <v>22</v>
      </c>
      <c r="D3625" s="2" t="s">
        <f>=HYPERLINK("https://main.knesset.gov.il/APPS/legislation/main/bills/2208363", "הצעת חוק איסור לשון הרע (תיקון - הגנה על דיווחים לרשויות החוק), התשפ""ד-2023")</f>
        <v>7658</v>
      </c>
      <c r="E3625" t="s">
        <v>7658</v>
      </c>
      <c r="F3625" t="s">
        <v>7659</v>
      </c>
      <c r="G3625" t="s">
        <v>14</v>
      </c>
      <c r="H3625">
             </c>
      <c r="I3625" t="s">
        <v>14</v>
      </c>
      <c r="J3625" t="s">
        <v>141</v>
      </c>
      <c r="K3625" t="s">
        <v>14</v>
      </c>
      <c r="L3625" t="s">
        <v>20</v>
      </c>
      <c r="M3625" t="s">
        <v>7631</v>
      </c>
      <c r="N3625" t="s">
        <v>14</v>
      </c>
    </row>
    <row r="3626" x14ac:dyDescent="0.25">
      <c r="A3626" t="n">
        <v>25</v>
      </c>
      <c r="B3626" t="s">
        <v>14</v>
      </c>
      <c r="C3626" t="s">
        <v>22</v>
      </c>
      <c r="D3626" s="2" t="s">
        <f>=HYPERLINK("https://main.knesset.gov.il/APPS/legislation/main/bills/2210521", "הצעת חוק שירות ביטחון (תיקון - פטור מטעמי הכרה דתית), התשפ""ד-2023")</f>
        <v>7660</v>
      </c>
      <c r="E3626" t="s">
        <v>7660</v>
      </c>
      <c r="F3626" t="s">
        <v>7661</v>
      </c>
      <c r="G3626" t="s">
        <v>14</v>
      </c>
      <c r="H3626">
             </c>
      <c r="I3626" t="s">
        <v>14</v>
      </c>
      <c r="J3626" t="s">
        <v>141</v>
      </c>
      <c r="K3626" t="s">
        <v>14</v>
      </c>
      <c r="L3626" t="s">
        <v>20</v>
      </c>
      <c r="M3626" t="s">
        <v>7631</v>
      </c>
      <c r="N3626" t="s">
        <v>14</v>
      </c>
    </row>
    <row r="3627" x14ac:dyDescent="0.25">
      <c r="A3627" t="n">
        <v>25</v>
      </c>
      <c r="B3627" t="s">
        <v>14</v>
      </c>
      <c r="C3627" t="s">
        <v>22</v>
      </c>
      <c r="D3627" s="2" t="s">
        <f>=HYPERLINK("https://main.knesset.gov.il/APPS/legislation/main/bills/2210217", "הצעת חוק-יסוד: מגילת העצמאות")</f>
        <v>7662</v>
      </c>
      <c r="E3627" t="s">
        <v>7662</v>
      </c>
      <c r="F3627" t="s">
        <v>7663</v>
      </c>
      <c r="G3627" t="s">
        <v>14</v>
      </c>
      <c r="H3627">
             </c>
      <c r="I3627" t="s">
        <v>14</v>
      </c>
      <c r="J3627" t="s">
        <v>141</v>
      </c>
      <c r="K3627" t="s">
        <v>14</v>
      </c>
      <c r="L3627" t="s">
        <v>20</v>
      </c>
      <c r="M3627" t="s">
        <v>7631</v>
      </c>
      <c r="N3627" t="s">
        <v>14</v>
      </c>
    </row>
    <row r="3628" x14ac:dyDescent="0.25">
      <c r="A3628" t="n">
        <v>25</v>
      </c>
      <c r="B3628" t="s">
        <v>14</v>
      </c>
      <c r="C3628" t="s">
        <v>22</v>
      </c>
      <c r="D3628" s="2" t="s">
        <f>=HYPERLINK("https://main.knesset.gov.il/APPS/legislation/main/bills/2210780", "הצעת חוק יום אבל לאומי לזכרם של נרצחי אירועי ה-7 באוקטובר, התשפ""ד-2023")</f>
        <v>7664</v>
      </c>
      <c r="E3628" t="s">
        <v>7664</v>
      </c>
      <c r="F3628" t="s">
        <v>7665</v>
      </c>
      <c r="G3628" t="s">
        <v>14</v>
      </c>
      <c r="H3628">
             </c>
      <c r="I3628" t="s">
        <v>14</v>
      </c>
      <c r="J3628" t="s">
        <v>141</v>
      </c>
      <c r="K3628" t="s">
        <v>14</v>
      </c>
      <c r="L3628" t="s">
        <v>20</v>
      </c>
      <c r="M3628" t="s">
        <v>7631</v>
      </c>
      <c r="N3628" t="s">
        <v>14</v>
      </c>
    </row>
    <row r="3629" x14ac:dyDescent="0.25">
      <c r="A3629" t="n">
        <v>25</v>
      </c>
      <c r="B3629" t="s">
        <v>14</v>
      </c>
      <c r="C3629" t="s">
        <v>15</v>
      </c>
      <c r="D3629" s="2" t="s">
        <f>=HYPERLINK("https://main.knesset.gov.il/APPS/legislation/main/bills/2211293", "חוק הביטוח הלאומי (תיקון מס' 238 - הוראת שעה – חרבות ברזל) (תגמולים למשרתים במילואים), התשפ""ד-2023")</f>
        <v>7666</v>
      </c>
      <c r="E3629" t="s">
        <v>7666</v>
      </c>
      <c r="F3629" t="s">
        <v>14</v>
      </c>
      <c r="G3629" t="s">
        <v>7667</v>
      </c>
      <c r="H3629" t="n">
        <v>3108</v>
      </c>
      <c r="I3629" t="s">
        <v>14</v>
      </c>
      <c r="J3629" t="s">
        <v>91</v>
      </c>
      <c r="K3629" t="s">
        <v>127</v>
      </c>
      <c r="L3629" t="s">
        <v>20</v>
      </c>
      <c r="M3629" t="s">
        <v>7668</v>
      </c>
      <c r="N3629" t="s">
        <v>7669</v>
      </c>
    </row>
    <row r="3630" x14ac:dyDescent="0.25">
      <c r="A3630" t="n">
        <v>25</v>
      </c>
      <c r="B3630" t="s">
        <v>14</v>
      </c>
      <c r="C3630" t="s">
        <v>15</v>
      </c>
      <c r="D3630" s="2" t="s">
        <f>=HYPERLINK("https://main.knesset.gov.il/APPS/legislation/main/bills/2211110", "חוק התוכנית לסיוע כלכלי (הוראת שעה – חרבות ברזל), התשפ""ד-2023")</f>
        <v>7670</v>
      </c>
      <c r="E3630" t="s">
        <v>7670</v>
      </c>
      <c r="F3630" t="s">
        <v>14</v>
      </c>
      <c r="G3630" t="s">
        <v>7671</v>
      </c>
      <c r="H3630" t="n">
        <v>3109</v>
      </c>
      <c r="I3630" t="s">
        <v>14</v>
      </c>
      <c r="J3630" t="s">
        <v>91</v>
      </c>
      <c r="K3630" t="s">
        <v>85</v>
      </c>
      <c r="L3630" t="s">
        <v>20</v>
      </c>
      <c r="M3630" t="s">
        <v>7672</v>
      </c>
      <c r="N3630" t="s">
        <v>7673</v>
      </c>
    </row>
    <row r="3631" x14ac:dyDescent="0.25">
      <c r="A3631" t="n">
        <v>25</v>
      </c>
      <c r="B3631" t="s">
        <v>14</v>
      </c>
      <c r="C3631" t="s">
        <v>15</v>
      </c>
      <c r="D3631" s="2" t="s">
        <f>=HYPERLINK("https://main.knesset.gov.il/APPS/legislation/main/bills/2210817", "חוק המאבק בטרור (תיקון מס' 9 והוראת שעה), התשפ""ד-2023")</f>
        <v>7674</v>
      </c>
      <c r="E3631" t="s">
        <v>7674</v>
      </c>
      <c r="F3631" t="s">
        <v>14</v>
      </c>
      <c r="G3631" t="s">
        <v>7675</v>
      </c>
      <c r="H3631" t="n">
        <v>3110</v>
      </c>
      <c r="I3631" t="s">
        <v>14</v>
      </c>
      <c r="J3631" t="s">
        <v>91</v>
      </c>
      <c r="K3631" t="s">
        <v>27</v>
      </c>
      <c r="L3631" t="s">
        <v>20</v>
      </c>
      <c r="M3631" t="s">
        <v>7672</v>
      </c>
      <c r="N3631" t="s">
        <v>7676</v>
      </c>
    </row>
    <row r="3632" x14ac:dyDescent="0.25">
      <c r="A3632" t="n">
        <v>25</v>
      </c>
      <c r="B3632" t="s">
        <v>14</v>
      </c>
      <c r="C3632" t="s">
        <v>15</v>
      </c>
      <c r="D3632" s="2" t="s">
        <f>=HYPERLINK("https://main.knesset.gov.il/APPS/legislation/main/bills/2210979", "חוק איסור הלבנת הון (תיקון מס' 33), התשפ""ד-2023")</f>
        <v>7677</v>
      </c>
      <c r="E3632" t="s">
        <v>7677</v>
      </c>
      <c r="F3632" t="s">
        <v>14</v>
      </c>
      <c r="G3632" t="s">
        <v>7678</v>
      </c>
      <c r="H3632" t="n">
        <v>3107</v>
      </c>
      <c r="I3632" t="s">
        <v>14</v>
      </c>
      <c r="J3632" t="s">
        <v>91</v>
      </c>
      <c r="K3632" t="s">
        <v>27</v>
      </c>
      <c r="L3632" t="s">
        <v>20</v>
      </c>
      <c r="M3632" t="s">
        <v>7672</v>
      </c>
      <c r="N3632" t="s">
        <v>7679</v>
      </c>
    </row>
    <row r="3633" x14ac:dyDescent="0.25">
      <c r="A3633" t="n">
        <v>25</v>
      </c>
      <c r="B3633" t="s">
        <v>14</v>
      </c>
      <c r="C3633" t="s">
        <v>15</v>
      </c>
      <c r="D3633" s="2" t="s">
        <f>=HYPERLINK("https://main.knesset.gov.il/APPS/legislation/main/bills/2211218", "חוק העברת מידע לצורך זיהוי או אימות זהות של אדם לרבות גופה, ואיתור נעדר או שבוי, הנדרשים בשל פעולות האיבה או פעולות המלחמה (הוראות שעה – חרבות ברזל), התשפ""ד-2023")</f>
        <v>7680</v>
      </c>
      <c r="E3633" t="s">
        <v>7680</v>
      </c>
      <c r="F3633" t="s">
        <v>14</v>
      </c>
      <c r="G3633" t="s">
        <v>7681</v>
      </c>
      <c r="H3633" t="n">
        <v>3106</v>
      </c>
      <c r="I3633" t="s">
        <v>14</v>
      </c>
      <c r="J3633" t="s">
        <v>91</v>
      </c>
      <c r="K3633" t="s">
        <v>14</v>
      </c>
      <c r="L3633" t="s">
        <v>20</v>
      </c>
      <c r="M3633" t="s">
        <v>7672</v>
      </c>
      <c r="N3633" t="s">
        <v>7682</v>
      </c>
    </row>
    <row r="3634" x14ac:dyDescent="0.25">
      <c r="A3634" t="n">
        <v>25</v>
      </c>
      <c r="B3634" t="s">
        <v>14</v>
      </c>
      <c r="C3634" t="s">
        <v>15</v>
      </c>
      <c r="D3634" s="2" t="s">
        <f>=HYPERLINK("https://main.knesset.gov.il/APPS/legislation/main/bills/2211015", "חוק נציב תלונות הציבור על שופטים (תיקון מס' 5 - הוראת שעה), התשפ""ד-2023")</f>
        <v>7683</v>
      </c>
      <c r="E3634" t="s">
        <v>7683</v>
      </c>
      <c r="F3634" t="s">
        <v>14</v>
      </c>
      <c r="G3634" t="s">
        <v>7684</v>
      </c>
      <c r="H3634" t="n">
        <v>3101</v>
      </c>
      <c r="I3634" t="s">
        <v>14</v>
      </c>
      <c r="J3634" t="s">
        <v>91</v>
      </c>
      <c r="K3634" t="s">
        <v>27</v>
      </c>
      <c r="L3634" t="s">
        <v>20</v>
      </c>
      <c r="M3634" t="s">
        <v>7685</v>
      </c>
      <c r="N3634" t="s">
        <v>7686</v>
      </c>
    </row>
    <row r="3635" x14ac:dyDescent="0.25">
      <c r="A3635" t="n">
        <v>25</v>
      </c>
      <c r="B3635" t="s">
        <v>14</v>
      </c>
      <c r="C3635" t="s">
        <v>22</v>
      </c>
      <c r="D3635" s="2" t="s">
        <f>=HYPERLINK("https://main.knesset.gov.il/APPS/legislation/main/bills/2210669", "חוק תגמולים לבני משפחה של חטופים ונעדרים בפעולת איבה, התשפ""ד–2023")</f>
        <v>7687</v>
      </c>
      <c r="E3635" t="s">
        <v>7687</v>
      </c>
      <c r="F3635" t="s">
        <v>7688</v>
      </c>
      <c r="G3635" t="s">
        <v>7689</v>
      </c>
      <c r="H3635" t="n">
        <v>3105</v>
      </c>
      <c r="I3635" t="s">
        <v>14</v>
      </c>
      <c r="J3635" t="s">
        <v>91</v>
      </c>
      <c r="K3635" t="s">
        <v>127</v>
      </c>
      <c r="L3635" t="s">
        <v>20</v>
      </c>
      <c r="M3635" t="s">
        <v>7685</v>
      </c>
      <c r="N3635" t="s">
        <v>7690</v>
      </c>
    </row>
    <row r="3636" x14ac:dyDescent="0.25">
      <c r="A3636" t="n">
        <v>25</v>
      </c>
      <c r="B3636" t="s">
        <v>14</v>
      </c>
      <c r="C3636" t="s">
        <v>15</v>
      </c>
      <c r="D3636" s="2" t="s">
        <f>=HYPERLINK("https://main.knesset.gov.il/APPS/legislation/main/bills/2210980", "חוק הירושה (תיקון מס' 19), התשפ""ד-2023")</f>
        <v>7691</v>
      </c>
      <c r="E3636" t="s">
        <v>7691</v>
      </c>
      <c r="F3636" t="s">
        <v>14</v>
      </c>
      <c r="G3636" t="s">
        <v>7692</v>
      </c>
      <c r="H3636" t="n">
        <v>3102</v>
      </c>
      <c r="I3636" t="s">
        <v>14</v>
      </c>
      <c r="J3636" t="s">
        <v>91</v>
      </c>
      <c r="K3636" t="s">
        <v>27</v>
      </c>
      <c r="L3636" t="s">
        <v>20</v>
      </c>
      <c r="M3636" t="s">
        <v>7685</v>
      </c>
      <c r="N3636" t="s">
        <v>7693</v>
      </c>
    </row>
    <row r="3637" x14ac:dyDescent="0.25">
      <c r="A3637" t="n">
        <v>25</v>
      </c>
      <c r="B3637" t="s">
        <v>14</v>
      </c>
      <c r="C3637" t="s">
        <v>15</v>
      </c>
      <c r="D3637" s="2" t="s">
        <f>=HYPERLINK("https://main.knesset.gov.il/APPS/legislation/main/bills/2163229", "חוק הרשות הלאומית לביטחון קהילתי (תיקון מס' 2), התשפ""ד-2023")</f>
        <v>7694</v>
      </c>
      <c r="E3637" t="s">
        <v>7694</v>
      </c>
      <c r="F3637" t="s">
        <v>14</v>
      </c>
      <c r="G3637" t="s">
        <v>7695</v>
      </c>
      <c r="H3637" t="n">
        <v>3104</v>
      </c>
      <c r="I3637" t="s">
        <v>14</v>
      </c>
      <c r="J3637" t="s">
        <v>91</v>
      </c>
      <c r="K3637" t="s">
        <v>105</v>
      </c>
      <c r="L3637" t="s">
        <v>20</v>
      </c>
      <c r="M3637" t="s">
        <v>7685</v>
      </c>
      <c r="N3637" t="s">
        <v>7696</v>
      </c>
    </row>
    <row r="3638" x14ac:dyDescent="0.25">
      <c r="A3638" t="n">
        <v>25</v>
      </c>
      <c r="B3638" t="s">
        <v>14</v>
      </c>
      <c r="C3638" t="s">
        <v>22</v>
      </c>
      <c r="D3638" s="2" t="s">
        <f>=HYPERLINK("https://main.knesset.gov.il/APPS/legislation/main/bills/2196461", "חוק התכנון והבנייה (תיקון מס' 146), התשפ""ד-2023")</f>
        <v>7697</v>
      </c>
      <c r="E3638" t="s">
        <v>7697</v>
      </c>
      <c r="F3638" t="s">
        <v>7698</v>
      </c>
      <c r="G3638" t="s">
        <v>7699</v>
      </c>
      <c r="H3638" t="n">
        <v>3103</v>
      </c>
      <c r="I3638" t="s">
        <v>14</v>
      </c>
      <c r="J3638" t="s">
        <v>91</v>
      </c>
      <c r="K3638" t="s">
        <v>46</v>
      </c>
      <c r="L3638" t="s">
        <v>20</v>
      </c>
      <c r="M3638" t="s">
        <v>7685</v>
      </c>
      <c r="N3638" t="s">
        <v>7700</v>
      </c>
    </row>
    <row r="3639" x14ac:dyDescent="0.25">
      <c r="A3639" t="n">
        <v>25</v>
      </c>
      <c r="B3639" t="s">
        <v>14</v>
      </c>
      <c r="C3639" t="s">
        <v>22</v>
      </c>
      <c r="D3639" s="2" t="s">
        <f>=HYPERLINK("https://main.knesset.gov.il/APPS/legislation/main/bills/2210624", "הצעת חוק הגנת הצרכן (תיקון - הצגת מחיר בשעת חירום), התשפ""ד-2023")</f>
        <v>7701</v>
      </c>
      <c r="E3639" t="s">
        <v>7701</v>
      </c>
      <c r="F3639" t="s">
        <v>7702</v>
      </c>
      <c r="G3639" t="s">
        <v>14</v>
      </c>
      <c r="H3639">
             </c>
      <c r="I3639" t="s">
        <v>14</v>
      </c>
      <c r="J3639" t="s">
        <v>141</v>
      </c>
      <c r="K3639" t="s">
        <v>14</v>
      </c>
      <c r="L3639" t="s">
        <v>20</v>
      </c>
      <c r="M3639" t="s">
        <v>7685</v>
      </c>
      <c r="N3639" t="s">
        <v>14</v>
      </c>
    </row>
    <row r="3640" x14ac:dyDescent="0.25">
      <c r="A3640" t="n">
        <v>25</v>
      </c>
      <c r="B3640" t="s">
        <v>14</v>
      </c>
      <c r="C3640" t="s">
        <v>22</v>
      </c>
      <c r="D3640" s="2" t="s">
        <f>=HYPERLINK("https://main.knesset.gov.il/APPS/legislation/main/bills/2209452", "הצעת חוק קליטת חיילים משוחררים (תיקון - הכנסת מקצועות הסיעוד לקרן ממדים ללימודים), התשפ""ד-2023")</f>
        <v>7703</v>
      </c>
      <c r="E3640" t="s">
        <v>7703</v>
      </c>
      <c r="F3640" t="s">
        <v>7704</v>
      </c>
      <c r="G3640" t="s">
        <v>14</v>
      </c>
      <c r="H3640">
             </c>
      <c r="I3640" t="s">
        <v>14</v>
      </c>
      <c r="J3640" t="s">
        <v>141</v>
      </c>
      <c r="K3640" t="s">
        <v>14</v>
      </c>
      <c r="L3640" t="s">
        <v>20</v>
      </c>
      <c r="M3640" t="s">
        <v>7685</v>
      </c>
      <c r="N3640" t="s">
        <v>14</v>
      </c>
    </row>
    <row r="3641" x14ac:dyDescent="0.25">
      <c r="A3641" t="n">
        <v>25</v>
      </c>
      <c r="B3641" t="s">
        <v>14</v>
      </c>
      <c r="C3641" t="s">
        <v>22</v>
      </c>
      <c r="D3641" s="2" t="s">
        <f>=HYPERLINK("https://main.knesset.gov.il/APPS/legislation/main/bills/2210558", "הצעת חוק זכויות החולה (תיקון - אדם הנזקק לטיפול רפואי בשל מעשה טרור), התשפ""ד-2023 ")</f>
        <v>7705</v>
      </c>
      <c r="E3641" t="s">
        <v>7705</v>
      </c>
      <c r="F3641" t="s">
        <v>7706</v>
      </c>
      <c r="G3641" t="s">
        <v>14</v>
      </c>
      <c r="H3641">
             </c>
      <c r="I3641" t="s">
        <v>14</v>
      </c>
      <c r="J3641" t="s">
        <v>141</v>
      </c>
      <c r="K3641" t="s">
        <v>14</v>
      </c>
      <c r="L3641" t="s">
        <v>20</v>
      </c>
      <c r="M3641" t="s">
        <v>7685</v>
      </c>
      <c r="N3641" t="s">
        <v>14</v>
      </c>
    </row>
    <row r="3642" x14ac:dyDescent="0.25">
      <c r="A3642" t="n">
        <v>25</v>
      </c>
      <c r="B3642" t="s">
        <v>14</v>
      </c>
      <c r="C3642" t="s">
        <v>22</v>
      </c>
      <c r="D3642" s="2" t="s">
        <f>=HYPERLINK("https://main.knesset.gov.il/APPS/legislation/main/bills/2209716", "הצעת חוק הבטחת הכנסה (תיקון - מימון תרופות שאינן בסל שירותי הבריאות לילדים שהוריהם מקבלים גמלת הבטחת הכנסה), התשפ""ד-2023")</f>
        <v>7707</v>
      </c>
      <c r="E3642" t="s">
        <v>7707</v>
      </c>
      <c r="F3642" t="s">
        <v>7708</v>
      </c>
      <c r="G3642" t="s">
        <v>14</v>
      </c>
      <c r="H3642">
             </c>
      <c r="I3642" t="s">
        <v>14</v>
      </c>
      <c r="J3642" t="s">
        <v>141</v>
      </c>
      <c r="K3642" t="s">
        <v>14</v>
      </c>
      <c r="L3642" t="s">
        <v>20</v>
      </c>
      <c r="M3642" t="s">
        <v>7685</v>
      </c>
      <c r="N3642" t="s">
        <v>14</v>
      </c>
    </row>
    <row r="3643" x14ac:dyDescent="0.25">
      <c r="A3643" t="n">
        <v>25</v>
      </c>
      <c r="B3643" t="s">
        <v>14</v>
      </c>
      <c r="C3643" t="s">
        <v>22</v>
      </c>
      <c r="D3643" s="2" t="s">
        <f>=HYPERLINK("https://main.knesset.gov.il/APPS/legislation/main/bills/2209292", "הצעת חוק צער בעלי חיים (הגנה על בעלי חיים) (תיקון - איסור משלוחים ימיים של צאן חי לשחיטה), התשפ""ד-2023")</f>
        <v>7709</v>
      </c>
      <c r="E3643" t="s">
        <v>7709</v>
      </c>
      <c r="F3643" t="s">
        <v>7710</v>
      </c>
      <c r="G3643" t="s">
        <v>14</v>
      </c>
      <c r="H3643">
             </c>
      <c r="I3643" t="s">
        <v>14</v>
      </c>
      <c r="J3643" t="s">
        <v>141</v>
      </c>
      <c r="K3643" t="s">
        <v>14</v>
      </c>
      <c r="L3643" t="s">
        <v>20</v>
      </c>
      <c r="M3643" t="s">
        <v>7685</v>
      </c>
      <c r="N3643" t="s">
        <v>14</v>
      </c>
    </row>
    <row r="3644" x14ac:dyDescent="0.25">
      <c r="A3644" t="n">
        <v>25</v>
      </c>
      <c r="B3644" t="s">
        <v>14</v>
      </c>
      <c r="C3644" t="s">
        <v>22</v>
      </c>
      <c r="D3644" s="2" t="s">
        <f>=HYPERLINK("https://main.knesset.gov.il/APPS/legislation/main/bills/2210903", "הצעת חוק מס ערך מוסף (תיקון - מס בשיעור אפס על מרחבים מוגנים), התשפ""ד-2023")</f>
        <v>7711</v>
      </c>
      <c r="E3644" t="s">
        <v>7711</v>
      </c>
      <c r="F3644" t="s">
        <v>7712</v>
      </c>
      <c r="G3644" t="s">
        <v>14</v>
      </c>
      <c r="H3644">
             </c>
      <c r="I3644" t="s">
        <v>14</v>
      </c>
      <c r="J3644" t="s">
        <v>141</v>
      </c>
      <c r="K3644" t="s">
        <v>14</v>
      </c>
      <c r="L3644" t="s">
        <v>20</v>
      </c>
      <c r="M3644" t="s">
        <v>7685</v>
      </c>
      <c r="N3644" t="s">
        <v>14</v>
      </c>
    </row>
    <row r="3645" x14ac:dyDescent="0.25">
      <c r="A3645" t="n">
        <v>25</v>
      </c>
      <c r="B3645" t="s">
        <v>14</v>
      </c>
      <c r="C3645" t="s">
        <v>15</v>
      </c>
      <c r="D3645" s="2" t="s">
        <f>=HYPERLINK("https://main.knesset.gov.il/APPS/legislation/main/bills/2210818", "חוק הגנה על מענקים מיוחדים (חרבות ברזל), התשפ""ד-2023")</f>
        <v>7713</v>
      </c>
      <c r="E3645" t="s">
        <v>7713</v>
      </c>
      <c r="F3645" t="s">
        <v>14</v>
      </c>
      <c r="G3645" t="s">
        <v>7714</v>
      </c>
      <c r="H3645" t="n">
        <v>3100</v>
      </c>
      <c r="I3645" t="s">
        <v>14</v>
      </c>
      <c r="J3645" t="s">
        <v>91</v>
      </c>
      <c r="K3645" t="s">
        <v>85</v>
      </c>
      <c r="L3645" t="s">
        <v>20</v>
      </c>
      <c r="M3645" t="s">
        <v>7715</v>
      </c>
      <c r="N3645" t="s">
        <v>7716</v>
      </c>
    </row>
    <row r="3646" x14ac:dyDescent="0.25">
      <c r="A3646" t="n">
        <v>25</v>
      </c>
      <c r="B3646" t="s">
        <v>14</v>
      </c>
      <c r="C3646" t="s">
        <v>15</v>
      </c>
      <c r="D3646" s="2" t="s">
        <f>=HYPERLINK("https://main.knesset.gov.il/APPS/legislation/main/bills/2210781", "חוק לדחיית הבחירות הכלליות לרשויות המקומיות (תיקון), התשפ""ד-2023")</f>
        <v>7717</v>
      </c>
      <c r="E3646" t="s">
        <v>7717</v>
      </c>
      <c r="F3646" t="s">
        <v>14</v>
      </c>
      <c r="G3646" t="s">
        <v>7718</v>
      </c>
      <c r="H3646" t="n">
        <v>3099</v>
      </c>
      <c r="I3646" t="s">
        <v>14</v>
      </c>
      <c r="J3646" t="s">
        <v>91</v>
      </c>
      <c r="K3646" t="s">
        <v>46</v>
      </c>
      <c r="L3646" t="s">
        <v>20</v>
      </c>
      <c r="M3646" t="s">
        <v>7715</v>
      </c>
      <c r="N3646" t="s">
        <v>7719</v>
      </c>
    </row>
    <row r="3647" x14ac:dyDescent="0.25">
      <c r="A3647" t="n">
        <v>25</v>
      </c>
      <c r="B3647" t="s">
        <v>14</v>
      </c>
      <c r="C3647" t="s">
        <v>15</v>
      </c>
      <c r="D3647" s="2" t="s">
        <f>=HYPERLINK("https://main.knesset.gov.il/APPS/legislation/main/bills/2210753", "חוק המקרקעין (תיקון מס' 37), התשפ""ד-2023")</f>
        <v>7720</v>
      </c>
      <c r="E3647" t="s">
        <v>7720</v>
      </c>
      <c r="F3647" t="s">
        <v>14</v>
      </c>
      <c r="G3647" t="s">
        <v>7721</v>
      </c>
      <c r="H3647" t="n">
        <v>3098</v>
      </c>
      <c r="I3647" t="s">
        <v>14</v>
      </c>
      <c r="J3647" t="s">
        <v>91</v>
      </c>
      <c r="K3647" t="s">
        <v>46</v>
      </c>
      <c r="L3647" t="s">
        <v>20</v>
      </c>
      <c r="M3647" t="s">
        <v>7722</v>
      </c>
      <c r="N3647" t="s">
        <v>7723</v>
      </c>
    </row>
    <row r="3648" x14ac:dyDescent="0.25">
      <c r="A3648" t="n">
        <v>25</v>
      </c>
      <c r="B3648" t="s">
        <v>14</v>
      </c>
      <c r="C3648" t="s">
        <v>22</v>
      </c>
      <c r="D3648" s="2" t="s">
        <f>=HYPERLINK("https://main.knesset.gov.il/APPS/legislation/main/bills/2210799", "הצעת חוק משפחות חיילים שנספו במערכה (תגמולים ושיקום) (תיקון - הגדרת אלמן ושכול), התשפ""ד-2023")</f>
        <v>7724</v>
      </c>
      <c r="E3648" t="s">
        <v>7724</v>
      </c>
      <c r="F3648" t="s">
        <v>7725</v>
      </c>
      <c r="G3648" t="s">
        <v>14</v>
      </c>
      <c r="H3648">
             </c>
      <c r="I3648" t="s">
        <v>14</v>
      </c>
      <c r="J3648" t="s">
        <v>141</v>
      </c>
      <c r="K3648" t="s">
        <v>14</v>
      </c>
      <c r="L3648" t="s">
        <v>20</v>
      </c>
      <c r="M3648" t="s">
        <v>7722</v>
      </c>
      <c r="N3648" t="s">
        <v>14</v>
      </c>
    </row>
    <row r="3649" x14ac:dyDescent="0.25">
      <c r="A3649" t="n">
        <v>25</v>
      </c>
      <c r="B3649" t="s">
        <v>14</v>
      </c>
      <c r="C3649" t="s">
        <v>22</v>
      </c>
      <c r="D3649" s="2" t="s">
        <f>=HYPERLINK("https://main.knesset.gov.il/APPS/legislation/main/bills/2209801", "הצעת חוק החמרת ענישה בעבירות מין על רקע לאומני (תיקוני חקיקה) (תיקון - ביטול החוק), התשפ""ד-2023 ")</f>
        <v>7726</v>
      </c>
      <c r="E3649" t="s">
        <v>7726</v>
      </c>
      <c r="F3649" t="s">
        <v>7727</v>
      </c>
      <c r="G3649" t="s">
        <v>14</v>
      </c>
      <c r="H3649">
             </c>
      <c r="I3649" t="s">
        <v>14</v>
      </c>
      <c r="J3649" t="s">
        <v>141</v>
      </c>
      <c r="K3649" t="s">
        <v>14</v>
      </c>
      <c r="L3649" t="s">
        <v>20</v>
      </c>
      <c r="M3649" t="s">
        <v>7722</v>
      </c>
      <c r="N3649" t="s">
        <v>14</v>
      </c>
    </row>
    <row r="3650" x14ac:dyDescent="0.25">
      <c r="A3650" t="n">
        <v>25</v>
      </c>
      <c r="B3650" t="s">
        <v>14</v>
      </c>
      <c r="C3650" t="s">
        <v>22</v>
      </c>
      <c r="D3650" s="2" t="s">
        <f>=HYPERLINK("https://main.knesset.gov.il/APPS/legislation/main/bills/2209946", "הצעת חוק קליטת חיילים משוחררים (תיקון - שימוש בפיקדון לטיפול נפשי), התשפ""ד-2023")</f>
        <v>7728</v>
      </c>
      <c r="E3650" t="s">
        <v>7728</v>
      </c>
      <c r="F3650" t="s">
        <v>7729</v>
      </c>
      <c r="G3650" t="s">
        <v>14</v>
      </c>
      <c r="H3650">
             </c>
      <c r="I3650" t="s">
        <v>14</v>
      </c>
      <c r="J3650" t="s">
        <v>343</v>
      </c>
      <c r="K3650" t="s">
        <v>14</v>
      </c>
      <c r="L3650" t="s">
        <v>20</v>
      </c>
      <c r="M3650" t="s">
        <v>7722</v>
      </c>
      <c r="N3650" t="s">
        <v>14</v>
      </c>
    </row>
    <row r="3651" x14ac:dyDescent="0.25">
      <c r="A3651" t="n">
        <v>25</v>
      </c>
      <c r="B3651" t="s">
        <v>14</v>
      </c>
      <c r="C3651" t="s">
        <v>22</v>
      </c>
      <c r="D3651" s="2" t="s">
        <f>=HYPERLINK("https://main.knesset.gov.il/APPS/legislation/main/bills/2209303", "הצעת חוק צער בעלי חיים (הגנה על בעלי חיים) (תיקון - איסור משלוחים ימיים של צאן חי לשחיטה), התשפ""ד-2023")</f>
        <v>7709</v>
      </c>
      <c r="E3651" t="s">
        <v>7709</v>
      </c>
      <c r="F3651" t="s">
        <v>7730</v>
      </c>
      <c r="G3651" t="s">
        <v>14</v>
      </c>
      <c r="H3651">
             </c>
      <c r="I3651" t="s">
        <v>14</v>
      </c>
      <c r="J3651" t="s">
        <v>141</v>
      </c>
      <c r="K3651" t="s">
        <v>14</v>
      </c>
      <c r="L3651" t="s">
        <v>20</v>
      </c>
      <c r="M3651" t="s">
        <v>7722</v>
      </c>
      <c r="N3651" t="s">
        <v>14</v>
      </c>
    </row>
    <row r="3652" x14ac:dyDescent="0.25">
      <c r="A3652" t="n">
        <v>25</v>
      </c>
      <c r="B3652" t="s">
        <v>14</v>
      </c>
      <c r="C3652" t="s">
        <v>22</v>
      </c>
      <c r="D3652" s="2" t="s">
        <f>=HYPERLINK("https://main.knesset.gov.il/APPS/legislation/main/bills/2209749", "הצעת חוק השיפוט הצבאי (תיקון - משך תחולת החוק על מי שחדל מהיות חייל ועבר עבירת מין), התשפ""ד-2023")</f>
        <v>7731</v>
      </c>
      <c r="E3652" t="s">
        <v>7731</v>
      </c>
      <c r="F3652" t="s">
        <v>7732</v>
      </c>
      <c r="G3652" t="s">
        <v>14</v>
      </c>
      <c r="H3652">
             </c>
      <c r="I3652" t="s">
        <v>14</v>
      </c>
      <c r="J3652" t="s">
        <v>141</v>
      </c>
      <c r="K3652" t="s">
        <v>14</v>
      </c>
      <c r="L3652" t="s">
        <v>20</v>
      </c>
      <c r="M3652" t="s">
        <v>7722</v>
      </c>
      <c r="N3652" t="s">
        <v>14</v>
      </c>
    </row>
    <row r="3653" x14ac:dyDescent="0.25">
      <c r="A3653" t="n">
        <v>25</v>
      </c>
      <c r="B3653" t="s">
        <v>14</v>
      </c>
      <c r="C3653" t="s">
        <v>22</v>
      </c>
      <c r="D3653" s="2" t="s">
        <f>=HYPERLINK("https://main.knesset.gov.il/APPS/legislation/main/bills/2209874", "הצעת חוק השיפוט הצבאי (תיקון - הגבלה על פרסום של פרטי חייל, צילום פניו או כל פרט מזהה אחר בעת מילוי תפקידו), התשפ""ד-2023 ")</f>
        <v>7733</v>
      </c>
      <c r="E3653" t="s">
        <v>7733</v>
      </c>
      <c r="F3653" t="s">
        <v>7734</v>
      </c>
      <c r="G3653" t="s">
        <v>14</v>
      </c>
      <c r="H3653">
             </c>
      <c r="I3653" t="s">
        <v>14</v>
      </c>
      <c r="J3653" t="s">
        <v>141</v>
      </c>
      <c r="K3653" t="s">
        <v>14</v>
      </c>
      <c r="L3653" t="s">
        <v>20</v>
      </c>
      <c r="M3653" t="s">
        <v>7722</v>
      </c>
      <c r="N3653" t="s">
        <v>14</v>
      </c>
    </row>
    <row r="3654" x14ac:dyDescent="0.25">
      <c r="A3654" t="n">
        <v>25</v>
      </c>
      <c r="B3654" t="s">
        <v>14</v>
      </c>
      <c r="C3654" t="s">
        <v>15</v>
      </c>
      <c r="D3654" s="2" t="s">
        <f>=HYPERLINK("https://main.knesset.gov.il/APPS/legislation/main/bills/2210752", "חוק הארכת תקופות ודחיית מועדים (הוראת שעה – חרבות ברזל) (אישורים רגולטוריים, עיצומים כספיים ובדיקות מיתקני גז), התשפ""ד-2023")</f>
        <v>7735</v>
      </c>
      <c r="E3654" t="s">
        <v>7735</v>
      </c>
      <c r="F3654" t="s">
        <v>14</v>
      </c>
      <c r="G3654" t="s">
        <v>7736</v>
      </c>
      <c r="H3654" t="n">
        <v>3097</v>
      </c>
      <c r="I3654" t="s">
        <v>14</v>
      </c>
      <c r="J3654" t="s">
        <v>91</v>
      </c>
      <c r="K3654" t="s">
        <v>27</v>
      </c>
      <c r="L3654" t="s">
        <v>20</v>
      </c>
      <c r="M3654" t="s">
        <v>7737</v>
      </c>
      <c r="N3654" t="s">
        <v>7738</v>
      </c>
    </row>
    <row r="3655" x14ac:dyDescent="0.25">
      <c r="A3655" t="n">
        <v>25</v>
      </c>
      <c r="B3655" t="s">
        <v>14</v>
      </c>
      <c r="C3655" t="s">
        <v>15</v>
      </c>
      <c r="D3655" s="2" t="s">
        <f>=HYPERLINK("https://main.knesset.gov.il/APPS/legislation/main/bills/2210584", "חוק לדחיית הבחירות הכלליות לרשויות המקומיות, התשפ""ד-2023")</f>
        <v>7739</v>
      </c>
      <c r="E3655" t="s">
        <v>7739</v>
      </c>
      <c r="F3655" t="s">
        <v>14</v>
      </c>
      <c r="G3655" t="s">
        <v>7718</v>
      </c>
      <c r="H3655" t="n">
        <v>3095</v>
      </c>
      <c r="I3655" t="s">
        <v>14</v>
      </c>
      <c r="J3655" t="s">
        <v>91</v>
      </c>
      <c r="K3655" t="s">
        <v>46</v>
      </c>
      <c r="L3655" t="s">
        <v>20</v>
      </c>
      <c r="M3655" t="s">
        <v>7740</v>
      </c>
      <c r="N3655" t="s">
        <v>7741</v>
      </c>
    </row>
    <row r="3656" x14ac:dyDescent="0.25">
      <c r="A3656" t="n">
        <v>25</v>
      </c>
      <c r="B3656" t="s">
        <v>14</v>
      </c>
      <c r="C3656" t="s">
        <v>15</v>
      </c>
      <c r="D3656" s="2" t="s">
        <f>=HYPERLINK("https://main.knesset.gov.il/APPS/legislation/main/bills/2208656", "חוק אמנת הבנק האסייני לפיתוח, התשפ""ד-2023")</f>
        <v>7742</v>
      </c>
      <c r="E3656" t="s">
        <v>7742</v>
      </c>
      <c r="F3656" t="s">
        <v>14</v>
      </c>
      <c r="G3656" t="s">
        <v>7743</v>
      </c>
      <c r="H3656" t="n">
        <v>3096</v>
      </c>
      <c r="I3656" t="s">
        <v>14</v>
      </c>
      <c r="J3656" t="s">
        <v>91</v>
      </c>
      <c r="K3656" t="s">
        <v>85</v>
      </c>
      <c r="L3656" t="s">
        <v>20</v>
      </c>
      <c r="M3656" t="s">
        <v>7740</v>
      </c>
      <c r="N3656" t="s">
        <v>7744</v>
      </c>
    </row>
    <row r="3657" x14ac:dyDescent="0.25">
      <c r="A3657" t="n">
        <v>25</v>
      </c>
      <c r="B3657" t="s">
        <v>14</v>
      </c>
      <c r="C3657" t="s">
        <v>22</v>
      </c>
      <c r="D3657" s="2" t="s">
        <f>=HYPERLINK("https://main.knesset.gov.il/APPS/legislation/main/bills/2209806", "הצעת חוק הרשויות המקומיות (בחירות) (תיקון מס' 53) (תיקון - ביטול החוק), התשפ""ד-2023")</f>
        <v>7745</v>
      </c>
      <c r="E3657" t="s">
        <v>7745</v>
      </c>
      <c r="F3657" t="s">
        <v>7746</v>
      </c>
      <c r="G3657" t="s">
        <v>14</v>
      </c>
      <c r="H3657">
             </c>
      <c r="I3657" t="s">
        <v>14</v>
      </c>
      <c r="J3657" t="s">
        <v>141</v>
      </c>
      <c r="K3657" t="s">
        <v>14</v>
      </c>
      <c r="L3657" t="s">
        <v>20</v>
      </c>
      <c r="M3657" t="s">
        <v>7740</v>
      </c>
      <c r="N3657" t="s">
        <v>14</v>
      </c>
    </row>
    <row r="3658" x14ac:dyDescent="0.25">
      <c r="A3658" t="n">
        <v>25</v>
      </c>
      <c r="B3658" t="s">
        <v>14</v>
      </c>
      <c r="C3658" t="s">
        <v>22</v>
      </c>
      <c r="D3658" s="2" t="s">
        <f>=HYPERLINK("https://main.knesset.gov.il/APPS/legislation/main/bills/2210699", "הצעת חוק פיצויי פיטורים (תיקון - התפטרות בזמן מלחמת חרבות ברזל) (הוראת שעה), התשפ""ד-2023")</f>
        <v>7747</v>
      </c>
      <c r="E3658" t="s">
        <v>7747</v>
      </c>
      <c r="F3658" t="s">
        <v>7748</v>
      </c>
      <c r="G3658" t="s">
        <v>14</v>
      </c>
      <c r="H3658">
             </c>
      <c r="I3658" t="s">
        <v>14</v>
      </c>
      <c r="J3658" t="s">
        <v>141</v>
      </c>
      <c r="K3658" t="s">
        <v>14</v>
      </c>
      <c r="L3658" t="s">
        <v>20</v>
      </c>
      <c r="M3658" t="s">
        <v>7740</v>
      </c>
      <c r="N3658" t="s">
        <v>14</v>
      </c>
    </row>
    <row r="3659" x14ac:dyDescent="0.25">
      <c r="A3659" t="n">
        <v>25</v>
      </c>
      <c r="B3659" t="s">
        <v>14</v>
      </c>
      <c r="C3659" t="s">
        <v>22</v>
      </c>
      <c r="D3659" s="2" t="s">
        <f>=HYPERLINK("https://main.knesset.gov.il/APPS/legislation/main/bills/2209194", "הצעת חוק דמי הבראה, התשפ""ד-2023")</f>
        <v>7749</v>
      </c>
      <c r="E3659" t="s">
        <v>7749</v>
      </c>
      <c r="F3659" t="s">
        <v>7750</v>
      </c>
      <c r="G3659" t="s">
        <v>14</v>
      </c>
      <c r="H3659">
             </c>
      <c r="I3659" t="s">
        <v>14</v>
      </c>
      <c r="J3659" t="s">
        <v>141</v>
      </c>
      <c r="K3659" t="s">
        <v>14</v>
      </c>
      <c r="L3659" t="s">
        <v>20</v>
      </c>
      <c r="M3659" t="s">
        <v>7740</v>
      </c>
      <c r="N3659" t="s">
        <v>14</v>
      </c>
    </row>
    <row r="3660" x14ac:dyDescent="0.25">
      <c r="A3660" t="n">
        <v>25</v>
      </c>
      <c r="B3660" t="s">
        <v>14</v>
      </c>
      <c r="C3660" t="s">
        <v>22</v>
      </c>
      <c r="D3660" s="2" t="s">
        <f>=HYPERLINK("https://main.knesset.gov.il/APPS/legislation/main/bills/2208031", "הצעת חוק הרשויות המקומיות (יועצת לקידום מעמד האישה) (תיקון - תפקיד וסמכויות), התשפ""ד-2023")</f>
        <v>7751</v>
      </c>
      <c r="E3660" t="s">
        <v>7751</v>
      </c>
      <c r="F3660" t="s">
        <v>7752</v>
      </c>
      <c r="G3660" t="s">
        <v>14</v>
      </c>
      <c r="H3660">
             </c>
      <c r="I3660" t="s">
        <v>14</v>
      </c>
      <c r="J3660" t="s">
        <v>141</v>
      </c>
      <c r="K3660" t="s">
        <v>14</v>
      </c>
      <c r="L3660" t="s">
        <v>20</v>
      </c>
      <c r="M3660" t="s">
        <v>7740</v>
      </c>
      <c r="N3660" t="s">
        <v>14</v>
      </c>
    </row>
    <row r="3661" x14ac:dyDescent="0.25">
      <c r="A3661" t="n">
        <v>25</v>
      </c>
      <c r="B3661" t="s">
        <v>14</v>
      </c>
      <c r="C3661" t="s">
        <v>22</v>
      </c>
      <c r="D3661" s="2" t="s">
        <f>=HYPERLINK("https://main.knesset.gov.il/APPS/legislation/main/bills/2210438", "הצעת חוק האזרחים הוותיקים (תיקון - חניה חינם לאזרח ותיק שמלאו לו 75 שנים), התשפ""ד-2023")</f>
        <v>7753</v>
      </c>
      <c r="E3661" t="s">
        <v>7753</v>
      </c>
      <c r="F3661" t="s">
        <v>7754</v>
      </c>
      <c r="G3661" t="s">
        <v>14</v>
      </c>
      <c r="H3661">
             </c>
      <c r="I3661" t="s">
        <v>14</v>
      </c>
      <c r="J3661" t="s">
        <v>141</v>
      </c>
      <c r="K3661" t="s">
        <v>14</v>
      </c>
      <c r="L3661" t="s">
        <v>20</v>
      </c>
      <c r="M3661" t="s">
        <v>7740</v>
      </c>
      <c r="N3661" t="s">
        <v>14</v>
      </c>
    </row>
    <row r="3662" x14ac:dyDescent="0.25">
      <c r="A3662" t="n">
        <v>25</v>
      </c>
      <c r="B3662" t="s">
        <v>14</v>
      </c>
      <c r="C3662" t="s">
        <v>22</v>
      </c>
      <c r="D3662" s="2" t="s">
        <f>=HYPERLINK("https://main.knesset.gov.il/APPS/legislation/main/bills/2210439", "הצעת חוק דמי מחלה עבור מלווה בן משפחה לבדיקה רפואית (תיקוני חקיקה), התשפ""ד-2023")</f>
        <v>7438</v>
      </c>
      <c r="E3662" t="s">
        <v>7438</v>
      </c>
      <c r="F3662" t="s">
        <v>7755</v>
      </c>
      <c r="G3662" t="s">
        <v>14</v>
      </c>
      <c r="H3662">
             </c>
      <c r="I3662" t="s">
        <v>14</v>
      </c>
      <c r="J3662" t="s">
        <v>141</v>
      </c>
      <c r="K3662" t="s">
        <v>14</v>
      </c>
      <c r="L3662" t="s">
        <v>20</v>
      </c>
      <c r="M3662" t="s">
        <v>7740</v>
      </c>
      <c r="N3662" t="s">
        <v>14</v>
      </c>
    </row>
    <row r="3663" x14ac:dyDescent="0.25">
      <c r="A3663" t="n">
        <v>25</v>
      </c>
      <c r="B3663" t="s">
        <v>14</v>
      </c>
      <c r="C3663" t="s">
        <v>22</v>
      </c>
      <c r="D3663" s="2" t="s">
        <f>=HYPERLINK("https://main.knesset.gov.il/APPS/legislation/main/bills/2210391", "הצעת חוק הגנת השכר (תיקון - פטור מדמי טיפול מקצועי-ארגוני), התשפ""ד-2023")</f>
        <v>7756</v>
      </c>
      <c r="E3663" t="s">
        <v>7756</v>
      </c>
      <c r="F3663" t="s">
        <v>7757</v>
      </c>
      <c r="G3663" t="s">
        <v>14</v>
      </c>
      <c r="H3663">
             </c>
      <c r="I3663" t="s">
        <v>14</v>
      </c>
      <c r="J3663" t="s">
        <v>141</v>
      </c>
      <c r="K3663" t="s">
        <v>14</v>
      </c>
      <c r="L3663" t="s">
        <v>20</v>
      </c>
      <c r="M3663" t="s">
        <v>7740</v>
      </c>
      <c r="N3663" t="s">
        <v>14</v>
      </c>
    </row>
    <row r="3664" x14ac:dyDescent="0.25">
      <c r="A3664" t="n">
        <v>25</v>
      </c>
      <c r="B3664" t="s">
        <v>14</v>
      </c>
      <c r="C3664" t="s">
        <v>22</v>
      </c>
      <c r="D3664" s="2" t="s">
        <f>=HYPERLINK("https://main.knesset.gov.il/APPS/legislation/main/bills/2210364", "הצעת חוק הרשות הלאומית לתרבות ולשפה המרוקאית יהודית, התשפ""ד-2023")</f>
        <v>7758</v>
      </c>
      <c r="E3664" t="s">
        <v>7758</v>
      </c>
      <c r="F3664" t="s">
        <v>7759</v>
      </c>
      <c r="G3664" t="s">
        <v>14</v>
      </c>
      <c r="H3664">
             </c>
      <c r="I3664" t="s">
        <v>14</v>
      </c>
      <c r="J3664" t="s">
        <v>141</v>
      </c>
      <c r="K3664" t="s">
        <v>14</v>
      </c>
      <c r="L3664" t="s">
        <v>20</v>
      </c>
      <c r="M3664" t="s">
        <v>7740</v>
      </c>
      <c r="N3664" t="s">
        <v>14</v>
      </c>
    </row>
    <row r="3665" x14ac:dyDescent="0.25">
      <c r="A3665" t="n">
        <v>25</v>
      </c>
      <c r="B3665" t="s">
        <v>14</v>
      </c>
      <c r="C3665" t="s">
        <v>22</v>
      </c>
      <c r="D3665" s="2" t="s">
        <f>=HYPERLINK("https://main.knesset.gov.il/APPS/legislation/main/bills/2209647", "הצעת חוק שוויון זכויות לאנשים עם מוגבלות (תיקון - מוקד להנגשת שירותים), התשפ""ד-2023")</f>
        <v>7760</v>
      </c>
      <c r="E3665" t="s">
        <v>7760</v>
      </c>
      <c r="F3665" t="s">
        <v>7761</v>
      </c>
      <c r="G3665" t="s">
        <v>14</v>
      </c>
      <c r="H3665">
             </c>
      <c r="I3665" t="s">
        <v>14</v>
      </c>
      <c r="J3665" t="s">
        <v>141</v>
      </c>
      <c r="K3665" t="s">
        <v>14</v>
      </c>
      <c r="L3665" t="s">
        <v>20</v>
      </c>
      <c r="M3665" t="s">
        <v>7740</v>
      </c>
      <c r="N3665" t="s">
        <v>14</v>
      </c>
    </row>
    <row r="3666" x14ac:dyDescent="0.25">
      <c r="A3666" t="n">
        <v>25</v>
      </c>
      <c r="B3666" t="s">
        <v>14</v>
      </c>
      <c r="C3666" t="s">
        <v>22</v>
      </c>
      <c r="D3666" s="2" t="s">
        <f>=HYPERLINK("https://main.knesset.gov.il/APPS/legislation/main/bills/2207522", "הצעת חוק ביטוח בריאות ממלכתי (תיקון - מנגנון להעברת כספים מקופות החולים למגן דוד אדום), התשפ""ד-2023")</f>
        <v>7762</v>
      </c>
      <c r="E3666" t="s">
        <v>7762</v>
      </c>
      <c r="F3666" t="s">
        <v>7763</v>
      </c>
      <c r="G3666" t="s">
        <v>14</v>
      </c>
      <c r="H3666">
             </c>
      <c r="I3666" t="s">
        <v>14</v>
      </c>
      <c r="J3666" t="s">
        <v>141</v>
      </c>
      <c r="K3666" t="s">
        <v>14</v>
      </c>
      <c r="L3666" t="s">
        <v>20</v>
      </c>
      <c r="M3666" t="s">
        <v>7740</v>
      </c>
      <c r="N3666" t="s">
        <v>14</v>
      </c>
    </row>
    <row r="3667" x14ac:dyDescent="0.25">
      <c r="A3667" t="n">
        <v>25</v>
      </c>
      <c r="B3667" t="s">
        <v>14</v>
      </c>
      <c r="C3667" t="s">
        <v>15</v>
      </c>
      <c r="D3667" s="2" t="s">
        <f>=HYPERLINK("https://main.knesset.gov.il/APPS/legislation/main/bills/2210664", "חוק דחיית מועדים (הוראת שעה – חרבות ברזל) (חוזה, פסק דין או תשלום לרשות), התשפ""ד-2023")</f>
        <v>7764</v>
      </c>
      <c r="E3667" t="s">
        <v>7764</v>
      </c>
      <c r="F3667" t="s">
        <v>14</v>
      </c>
      <c r="G3667" t="s">
        <v>7765</v>
      </c>
      <c r="H3667" t="n">
        <v>3094</v>
      </c>
      <c r="I3667" t="s">
        <v>14</v>
      </c>
      <c r="J3667" t="s">
        <v>91</v>
      </c>
      <c r="K3667" t="s">
        <v>114</v>
      </c>
      <c r="L3667" t="s">
        <v>20</v>
      </c>
      <c r="M3667" t="s">
        <v>7766</v>
      </c>
      <c r="N3667" t="s">
        <v>7767</v>
      </c>
    </row>
    <row r="3668" x14ac:dyDescent="0.25">
      <c r="A3668" t="n">
        <v>25</v>
      </c>
      <c r="B3668" t="s">
        <v>14</v>
      </c>
      <c r="C3668" t="s">
        <v>15</v>
      </c>
      <c r="D3668" s="2" t="s">
        <f>=HYPERLINK("https://main.knesset.gov.il/APPS/legislation/main/bills/2210633", "חוק סדר הדין הפלילי (תיקון מס' 93 - הוראת שעה – חרבות ברזל) (היוועדות חזותית), התשפ""ד-2023")</f>
        <v>7768</v>
      </c>
      <c r="E3668" t="s">
        <v>7768</v>
      </c>
      <c r="F3668" t="s">
        <v>14</v>
      </c>
      <c r="G3668" t="s">
        <v>7769</v>
      </c>
      <c r="H3668" t="n">
        <v>3093</v>
      </c>
      <c r="I3668" t="s">
        <v>14</v>
      </c>
      <c r="J3668" t="s">
        <v>91</v>
      </c>
      <c r="K3668" t="s">
        <v>27</v>
      </c>
      <c r="L3668" t="s">
        <v>20</v>
      </c>
      <c r="M3668" t="s">
        <v>7766</v>
      </c>
      <c r="N3668" t="s">
        <v>7770</v>
      </c>
    </row>
    <row r="3669" x14ac:dyDescent="0.25">
      <c r="A3669" t="n">
        <v>25</v>
      </c>
      <c r="B3669" t="s">
        <v>14</v>
      </c>
      <c r="C3669" t="s">
        <v>15</v>
      </c>
      <c r="D3669" s="2" t="s">
        <f>=HYPERLINK("https://main.knesset.gov.il/APPS/legislation/main/bills/2210585", "חוק לתיקון פקודת בתי הסוהר (מס' 64 – הוראת שעה – חרבות ברזל) (מצב חירום כליאתי), התשפ""ד–2023")</f>
        <v>7771</v>
      </c>
      <c r="E3669" t="s">
        <v>7771</v>
      </c>
      <c r="F3669" t="s">
        <v>14</v>
      </c>
      <c r="G3669" t="s">
        <v>7772</v>
      </c>
      <c r="H3669" t="n">
        <v>3092</v>
      </c>
      <c r="I3669" t="s">
        <v>14</v>
      </c>
      <c r="J3669" t="s">
        <v>91</v>
      </c>
      <c r="K3669" t="s">
        <v>105</v>
      </c>
      <c r="L3669" t="s">
        <v>20</v>
      </c>
      <c r="M3669" t="s">
        <v>7766</v>
      </c>
      <c r="N3669" t="s">
        <v>7773</v>
      </c>
    </row>
    <row r="3670" x14ac:dyDescent="0.25">
      <c r="A3670" t="n">
        <v>25</v>
      </c>
      <c r="B3670" t="s">
        <v>14</v>
      </c>
      <c r="C3670" t="s">
        <v>15</v>
      </c>
      <c r="D3670" s="2" t="s">
        <f>=HYPERLINK("https://main.knesset.gov.il/APPS/legislation/main/bills/2210623", "הצעת חוק שמירת הניקיון (הוראת שעה), התשפ""ג-2023 - החלק שנותר")</f>
        <v>7774</v>
      </c>
      <c r="E3670" t="s">
        <v>7774</v>
      </c>
      <c r="F3670" t="s">
        <v>14</v>
      </c>
      <c r="G3670" t="s">
        <v>7775</v>
      </c>
      <c r="H3670">
             </c>
      <c r="I3670" t="s">
        <v>14</v>
      </c>
      <c r="J3670" t="s">
        <v>18</v>
      </c>
      <c r="K3670" t="s">
        <v>46</v>
      </c>
      <c r="L3670" t="s">
        <v>20</v>
      </c>
      <c r="M3670" t="s">
        <v>7776</v>
      </c>
      <c r="N3670" t="s">
        <v>14</v>
      </c>
    </row>
    <row r="3671" x14ac:dyDescent="0.25">
      <c r="A3671" t="n">
        <v>25</v>
      </c>
      <c r="B3671" t="s">
        <v>14</v>
      </c>
      <c r="C3671" t="s">
        <v>15</v>
      </c>
      <c r="D3671" s="2" t="s">
        <f>=HYPERLINK("https://main.knesset.gov.il/APPS/legislation/main/bills/2209387", "חוק שמירת הניקיון (תיקון מס' 25 והוראת שעה), התשפ""ד-2023")</f>
        <v>7777</v>
      </c>
      <c r="E3671" t="s">
        <v>7777</v>
      </c>
      <c r="F3671" t="s">
        <v>14</v>
      </c>
      <c r="G3671" t="s">
        <v>7775</v>
      </c>
      <c r="H3671" t="n">
        <v>3091</v>
      </c>
      <c r="I3671" t="s">
        <v>14</v>
      </c>
      <c r="J3671" t="s">
        <v>91</v>
      </c>
      <c r="K3671" t="s">
        <v>46</v>
      </c>
      <c r="L3671" t="s">
        <v>20</v>
      </c>
      <c r="M3671" t="s">
        <v>7776</v>
      </c>
      <c r="N3671" t="s">
        <v>7778</v>
      </c>
    </row>
    <row r="3672" x14ac:dyDescent="0.25">
      <c r="A3672" t="n">
        <v>25</v>
      </c>
      <c r="B3672" t="s">
        <v>14</v>
      </c>
      <c r="C3672" t="s">
        <v>22</v>
      </c>
      <c r="D3672" s="2" t="s">
        <f>=HYPERLINK("https://main.knesset.gov.il/APPS/legislation/main/bills/2210530", "הצעת חוק לעשיית דין במחבלי החמאס ובעוזריהם, התשפ""ד-2023")</f>
        <v>7779</v>
      </c>
      <c r="E3672" t="s">
        <v>7779</v>
      </c>
      <c r="F3672" t="s">
        <v>7780</v>
      </c>
      <c r="G3672" t="s">
        <v>14</v>
      </c>
      <c r="H3672">
             </c>
      <c r="I3672" t="s">
        <v>14</v>
      </c>
      <c r="J3672" t="s">
        <v>141</v>
      </c>
      <c r="K3672" t="s">
        <v>14</v>
      </c>
      <c r="L3672" t="s">
        <v>20</v>
      </c>
      <c r="M3672" t="s">
        <v>7776</v>
      </c>
      <c r="N3672" t="s">
        <v>14</v>
      </c>
    </row>
    <row r="3673" x14ac:dyDescent="0.25">
      <c r="A3673" t="n">
        <v>25</v>
      </c>
      <c r="B3673" t="s">
        <v>14</v>
      </c>
      <c r="C3673" t="s">
        <v>22</v>
      </c>
      <c r="D3673" s="2" t="s">
        <f>=HYPERLINK("https://main.knesset.gov.il/APPS/legislation/main/bills/2210555", "הצעת חוק פרעות התשפ""ד, התשפ""ד-2023")</f>
        <v>7781</v>
      </c>
      <c r="E3673" t="s">
        <v>7781</v>
      </c>
      <c r="F3673" t="s">
        <v>7782</v>
      </c>
      <c r="G3673" t="s">
        <v>14</v>
      </c>
      <c r="H3673">
             </c>
      <c r="I3673" t="s">
        <v>14</v>
      </c>
      <c r="J3673" t="s">
        <v>141</v>
      </c>
      <c r="K3673" t="s">
        <v>14</v>
      </c>
      <c r="L3673" t="s">
        <v>20</v>
      </c>
      <c r="M3673" t="s">
        <v>7776</v>
      </c>
      <c r="N3673" t="s">
        <v>14</v>
      </c>
    </row>
    <row r="3674" x14ac:dyDescent="0.25">
      <c r="A3674" t="n">
        <v>25</v>
      </c>
      <c r="B3674" t="s">
        <v>14</v>
      </c>
      <c r="C3674" t="s">
        <v>22</v>
      </c>
      <c r="D3674" s="2" t="s">
        <f>=HYPERLINK("https://main.knesset.gov.il/APPS/legislation/main/bills/2210436", "הצעת חוק חניה לנכים (תיקון - החלטה בבקשה לתג נכה), התשפ""ד-2023")</f>
        <v>7783</v>
      </c>
      <c r="E3674" t="s">
        <v>7783</v>
      </c>
      <c r="F3674" t="s">
        <v>7784</v>
      </c>
      <c r="G3674" t="s">
        <v>14</v>
      </c>
      <c r="H3674">
             </c>
      <c r="I3674" t="s">
        <v>14</v>
      </c>
      <c r="J3674" t="s">
        <v>141</v>
      </c>
      <c r="K3674" t="s">
        <v>14</v>
      </c>
      <c r="L3674" t="s">
        <v>20</v>
      </c>
      <c r="M3674" t="s">
        <v>7776</v>
      </c>
      <c r="N3674" t="s">
        <v>14</v>
      </c>
    </row>
    <row r="3675" x14ac:dyDescent="0.25">
      <c r="A3675" t="n">
        <v>25</v>
      </c>
      <c r="B3675" t="s">
        <v>14</v>
      </c>
      <c r="C3675" t="s">
        <v>22</v>
      </c>
      <c r="D3675" s="2" t="s">
        <f>=HYPERLINK("https://main.knesset.gov.il/APPS/legislation/main/bills/2210405", "הצעת חוק-יסוד: הממשלה (תיקון - מספר סגני שרים)")</f>
        <v>7785</v>
      </c>
      <c r="E3675" t="s">
        <v>7785</v>
      </c>
      <c r="F3675" t="s">
        <v>7786</v>
      </c>
      <c r="G3675" t="s">
        <v>14</v>
      </c>
      <c r="H3675">
             </c>
      <c r="I3675" t="s">
        <v>14</v>
      </c>
      <c r="J3675" t="s">
        <v>141</v>
      </c>
      <c r="K3675" t="s">
        <v>14</v>
      </c>
      <c r="L3675" t="s">
        <v>20</v>
      </c>
      <c r="M3675" t="s">
        <v>7776</v>
      </c>
      <c r="N3675" t="s">
        <v>14</v>
      </c>
    </row>
    <row r="3676" x14ac:dyDescent="0.25">
      <c r="A3676" t="n">
        <v>25</v>
      </c>
      <c r="B3676" t="s">
        <v>14</v>
      </c>
      <c r="C3676" t="s">
        <v>22</v>
      </c>
      <c r="D3676" s="2" t="s">
        <f>=HYPERLINK("https://main.knesset.gov.il/APPS/legislation/main/bills/2210357", "הצעת חוק חג המימונה, התשפ""ד-2023")</f>
        <v>7787</v>
      </c>
      <c r="E3676" t="s">
        <v>7787</v>
      </c>
      <c r="F3676" t="s">
        <v>7788</v>
      </c>
      <c r="G3676" t="s">
        <v>14</v>
      </c>
      <c r="H3676">
             </c>
      <c r="I3676" t="s">
        <v>14</v>
      </c>
      <c r="J3676" t="s">
        <v>141</v>
      </c>
      <c r="K3676" t="s">
        <v>14</v>
      </c>
      <c r="L3676" t="s">
        <v>20</v>
      </c>
      <c r="M3676" t="s">
        <v>7776</v>
      </c>
      <c r="N3676" t="s">
        <v>14</v>
      </c>
    </row>
    <row r="3677" x14ac:dyDescent="0.25">
      <c r="A3677" t="n">
        <v>25</v>
      </c>
      <c r="B3677" t="s">
        <v>14</v>
      </c>
      <c r="C3677" t="s">
        <v>22</v>
      </c>
      <c r="D3677" s="2" t="s">
        <f>=HYPERLINK("https://main.knesset.gov.il/APPS/legislation/main/bills/2209222", "הצעת חוק הביטוח הלאומי (תיקון - פטור מתשלום דמי ביטוח לאומי לנכי צה""ל), התשפ""ד-2023")</f>
        <v>7789</v>
      </c>
      <c r="E3677" t="s">
        <v>7789</v>
      </c>
      <c r="F3677" t="s">
        <v>7790</v>
      </c>
      <c r="G3677" t="s">
        <v>14</v>
      </c>
      <c r="H3677">
             </c>
      <c r="I3677" t="s">
        <v>14</v>
      </c>
      <c r="J3677" t="s">
        <v>141</v>
      </c>
      <c r="K3677" t="s">
        <v>14</v>
      </c>
      <c r="L3677" t="s">
        <v>20</v>
      </c>
      <c r="M3677" t="s">
        <v>7776</v>
      </c>
      <c r="N3677" t="s">
        <v>14</v>
      </c>
    </row>
    <row r="3678" x14ac:dyDescent="0.25">
      <c r="A3678" t="n">
        <v>25</v>
      </c>
      <c r="B3678" t="s">
        <v>14</v>
      </c>
      <c r="C3678" t="s">
        <v>22</v>
      </c>
      <c r="D3678" s="2" t="s">
        <f>=HYPERLINK("https://main.knesset.gov.il/APPS/legislation/main/bills/2210299", "הצעת חוק הבנקאות (שירות ללקוח) (תיקון - חובת הצבת מכשיר אוטומטי למשיכת והפקדת מזומנים ושיקים), התשפ""ד-2023")</f>
        <v>7791</v>
      </c>
      <c r="E3678" t="s">
        <v>7791</v>
      </c>
      <c r="F3678" t="s">
        <v>7792</v>
      </c>
      <c r="G3678" t="s">
        <v>14</v>
      </c>
      <c r="H3678">
             </c>
      <c r="I3678" t="s">
        <v>14</v>
      </c>
      <c r="J3678" t="s">
        <v>141</v>
      </c>
      <c r="K3678" t="s">
        <v>14</v>
      </c>
      <c r="L3678" t="s">
        <v>20</v>
      </c>
      <c r="M3678" t="s">
        <v>7776</v>
      </c>
      <c r="N3678" t="s">
        <v>14</v>
      </c>
    </row>
    <row r="3679" x14ac:dyDescent="0.25">
      <c r="A3679" t="n">
        <v>25</v>
      </c>
      <c r="B3679" t="s">
        <v>14</v>
      </c>
      <c r="C3679" t="s">
        <v>22</v>
      </c>
      <c r="D3679" s="2" t="s">
        <f>=HYPERLINK("https://main.knesset.gov.il/APPS/legislation/main/bills/2208969", "הצעת חוק הסכמים קיבוציים (תיקון - תחרות בין ארגוני עובדים ויציגות ארגון עובדים בשירות המדינה), התשפ""ד-2023")</f>
        <v>7793</v>
      </c>
      <c r="E3679" t="s">
        <v>7793</v>
      </c>
      <c r="F3679" t="s">
        <v>7794</v>
      </c>
      <c r="G3679" t="s">
        <v>14</v>
      </c>
      <c r="H3679">
             </c>
      <c r="I3679" t="s">
        <v>14</v>
      </c>
      <c r="J3679" t="s">
        <v>141</v>
      </c>
      <c r="K3679" t="s">
        <v>14</v>
      </c>
      <c r="L3679" t="s">
        <v>20</v>
      </c>
      <c r="M3679" t="s">
        <v>7776</v>
      </c>
      <c r="N3679" t="s">
        <v>14</v>
      </c>
    </row>
    <row r="3680" x14ac:dyDescent="0.25">
      <c r="A3680" t="n">
        <v>25</v>
      </c>
      <c r="B3680" t="s">
        <v>14</v>
      </c>
      <c r="C3680" t="s">
        <v>22</v>
      </c>
      <c r="D3680" s="2" t="s">
        <f>=HYPERLINK("https://main.knesset.gov.il/APPS/legislation/main/bills/2205561", "הצעת חוק למניעת אלימות במשפחה (תיקון - ממונה על נושא האלימות במשפחה במקומות עבודה גדולים), התשפ""ד-2023")</f>
        <v>7795</v>
      </c>
      <c r="E3680" t="s">
        <v>7795</v>
      </c>
      <c r="F3680" t="s">
        <v>7796</v>
      </c>
      <c r="G3680" t="s">
        <v>14</v>
      </c>
      <c r="H3680">
             </c>
      <c r="I3680" t="s">
        <v>14</v>
      </c>
      <c r="J3680" t="s">
        <v>141</v>
      </c>
      <c r="K3680" t="s">
        <v>14</v>
      </c>
      <c r="L3680" t="s">
        <v>20</v>
      </c>
      <c r="M3680" t="s">
        <v>7776</v>
      </c>
      <c r="N3680" t="s">
        <v>14</v>
      </c>
    </row>
    <row r="3681" x14ac:dyDescent="0.25">
      <c r="A3681" t="n">
        <v>25</v>
      </c>
      <c r="B3681" t="s">
        <v>14</v>
      </c>
      <c r="C3681" t="s">
        <v>22</v>
      </c>
      <c r="D3681" s="2" t="s">
        <f>=HYPERLINK("https://main.knesset.gov.il/APPS/legislation/main/bills/2210284", "הצעת חוק הביטוח הלאומי (תיקון - טיפול בפעוטות במעונות יום כעבודה מועדפת), התשפ""ד-2023")</f>
        <v>7797</v>
      </c>
      <c r="E3681" t="s">
        <v>7797</v>
      </c>
      <c r="F3681" t="s">
        <v>7798</v>
      </c>
      <c r="G3681" t="s">
        <v>14</v>
      </c>
      <c r="H3681">
             </c>
      <c r="I3681" t="s">
        <v>14</v>
      </c>
      <c r="J3681" t="s">
        <v>141</v>
      </c>
      <c r="K3681" t="s">
        <v>14</v>
      </c>
      <c r="L3681" t="s">
        <v>20</v>
      </c>
      <c r="M3681" t="s">
        <v>7776</v>
      </c>
      <c r="N3681" t="s">
        <v>14</v>
      </c>
    </row>
    <row r="3682" x14ac:dyDescent="0.25">
      <c r="A3682" t="n">
        <v>25</v>
      </c>
      <c r="B3682" t="s">
        <v>14</v>
      </c>
      <c r="C3682" t="s">
        <v>22</v>
      </c>
      <c r="D3682" s="2" t="s">
        <f>=HYPERLINK("https://main.knesset.gov.il/APPS/legislation/main/bills/2208140", "הצעת חוק הרשויות המקומיות (ריבית והפרשי הצמדה על תשלומי חובה) (תיקון - הפחתת אחוז הריבית ברשויות המקומיות), התשפ""ד-2023")</f>
        <v>7799</v>
      </c>
      <c r="E3682" t="s">
        <v>7799</v>
      </c>
      <c r="F3682" t="s">
        <v>7800</v>
      </c>
      <c r="G3682" t="s">
        <v>14</v>
      </c>
      <c r="H3682">
             </c>
      <c r="I3682" t="s">
        <v>14</v>
      </c>
      <c r="J3682" t="s">
        <v>141</v>
      </c>
      <c r="K3682" t="s">
        <v>14</v>
      </c>
      <c r="L3682" t="s">
        <v>20</v>
      </c>
      <c r="M3682" t="s">
        <v>7776</v>
      </c>
      <c r="N3682" t="s">
        <v>14</v>
      </c>
    </row>
    <row r="3683" x14ac:dyDescent="0.25">
      <c r="A3683" t="n">
        <v>25</v>
      </c>
      <c r="B3683" t="s">
        <v>14</v>
      </c>
      <c r="C3683" t="s">
        <v>22</v>
      </c>
      <c r="D3683" s="2" t="s">
        <f>=HYPERLINK("https://main.knesset.gov.il/APPS/legislation/main/bills/2209453", "הצעת חוק הרשות הממשלתית להתחדשות עירונית (תיקון - נשיאת הוצאות בבית משותף מחודש), התשפ""ד-2023")</f>
        <v>7801</v>
      </c>
      <c r="E3683" t="s">
        <v>7801</v>
      </c>
      <c r="F3683" t="s">
        <v>7802</v>
      </c>
      <c r="G3683" t="s">
        <v>14</v>
      </c>
      <c r="H3683">
             </c>
      <c r="I3683" t="s">
        <v>14</v>
      </c>
      <c r="J3683" t="s">
        <v>141</v>
      </c>
      <c r="K3683" t="s">
        <v>14</v>
      </c>
      <c r="L3683" t="s">
        <v>20</v>
      </c>
      <c r="M3683" t="s">
        <v>7776</v>
      </c>
      <c r="N3683" t="s">
        <v>14</v>
      </c>
    </row>
    <row r="3684" x14ac:dyDescent="0.25">
      <c r="A3684" t="n">
        <v>25</v>
      </c>
      <c r="B3684" t="s">
        <v>14</v>
      </c>
      <c r="C3684" t="s">
        <v>22</v>
      </c>
      <c r="D3684" s="2" t="s">
        <f>=HYPERLINK("https://main.knesset.gov.il/APPS/legislation/main/bills/2209496", "הצעת חוק לתיקון פקודת העיריות (גמול השתתפות בישיבות והחזר הוצאות לחברי מועצה), התשפ""ד-2023")</f>
        <v>7803</v>
      </c>
      <c r="E3684" t="s">
        <v>7803</v>
      </c>
      <c r="F3684" t="s">
        <v>7804</v>
      </c>
      <c r="G3684" t="s">
        <v>14</v>
      </c>
      <c r="H3684">
             </c>
      <c r="I3684" t="s">
        <v>14</v>
      </c>
      <c r="J3684" t="s">
        <v>343</v>
      </c>
      <c r="K3684" t="s">
        <v>14</v>
      </c>
      <c r="L3684" t="s">
        <v>20</v>
      </c>
      <c r="M3684" t="s">
        <v>7776</v>
      </c>
      <c r="N3684" t="s">
        <v>14</v>
      </c>
    </row>
    <row r="3685" x14ac:dyDescent="0.25">
      <c r="A3685" t="n">
        <v>25</v>
      </c>
      <c r="B3685" t="s">
        <v>14</v>
      </c>
      <c r="C3685" t="s">
        <v>22</v>
      </c>
      <c r="D3685" s="2" t="s">
        <f>=HYPERLINK("https://main.knesset.gov.il/APPS/legislation/main/bills/2209377", "הצעת חוק מניעת ביצוע עבירות באמצעות פרסום באינטרנט וברשתות החברתיות (הסרת תכנים אנטישמיים), התשפ""ד-2023")</f>
        <v>7805</v>
      </c>
      <c r="E3685" t="s">
        <v>7805</v>
      </c>
      <c r="F3685" t="s">
        <v>7806</v>
      </c>
      <c r="G3685" t="s">
        <v>14</v>
      </c>
      <c r="H3685">
             </c>
      <c r="I3685" t="s">
        <v>14</v>
      </c>
      <c r="J3685" t="s">
        <v>141</v>
      </c>
      <c r="K3685" t="s">
        <v>14</v>
      </c>
      <c r="L3685" t="s">
        <v>20</v>
      </c>
      <c r="M3685" t="s">
        <v>7776</v>
      </c>
      <c r="N3685" t="s">
        <v>14</v>
      </c>
    </row>
    <row r="3686" x14ac:dyDescent="0.25">
      <c r="A3686" t="n">
        <v>25</v>
      </c>
      <c r="B3686" t="s">
        <v>14</v>
      </c>
      <c r="C3686" t="s">
        <v>22</v>
      </c>
      <c r="D3686" s="2" t="s">
        <f>=HYPERLINK("https://main.knesset.gov.il/APPS/legislation/main/bills/2210283", "הצעת חוק חובת המכרזים (תיקון - עידוד עסקים קטנים ובינוניים באזור פריפריה במכרז), התשפ""ד-2023")</f>
        <v>7807</v>
      </c>
      <c r="E3686" t="s">
        <v>7807</v>
      </c>
      <c r="F3686" t="s">
        <v>7808</v>
      </c>
      <c r="G3686" t="s">
        <v>14</v>
      </c>
      <c r="H3686">
             </c>
      <c r="I3686" t="s">
        <v>14</v>
      </c>
      <c r="J3686" t="s">
        <v>141</v>
      </c>
      <c r="K3686" t="s">
        <v>14</v>
      </c>
      <c r="L3686" t="s">
        <v>20</v>
      </c>
      <c r="M3686" t="s">
        <v>7776</v>
      </c>
      <c r="N3686" t="s">
        <v>14</v>
      </c>
    </row>
    <row r="3687" x14ac:dyDescent="0.25">
      <c r="A3687" t="n">
        <v>25</v>
      </c>
      <c r="B3687" t="s">
        <v>14</v>
      </c>
      <c r="C3687" t="s">
        <v>22</v>
      </c>
      <c r="D3687" s="2" t="s">
        <f>=HYPERLINK("https://main.knesset.gov.il/APPS/legislation/main/bills/2207987", "הצעת חוק שיפוט בתי דין רבניים (נישואין וגירושין) (תיקון - גירושין אזרחיים), התשפ""ד-2023")</f>
        <v>7809</v>
      </c>
      <c r="E3687" t="s">
        <v>7809</v>
      </c>
      <c r="F3687" t="s">
        <v>7810</v>
      </c>
      <c r="G3687" t="s">
        <v>14</v>
      </c>
      <c r="H3687">
             </c>
      <c r="I3687" t="s">
        <v>14</v>
      </c>
      <c r="J3687" t="s">
        <v>141</v>
      </c>
      <c r="K3687" t="s">
        <v>14</v>
      </c>
      <c r="L3687" t="s">
        <v>20</v>
      </c>
      <c r="M3687" t="s">
        <v>7776</v>
      </c>
      <c r="N3687" t="s">
        <v>14</v>
      </c>
    </row>
    <row r="3688" x14ac:dyDescent="0.25">
      <c r="A3688" t="n">
        <v>25</v>
      </c>
      <c r="B3688" t="s">
        <v>14</v>
      </c>
      <c r="C3688" t="s">
        <v>22</v>
      </c>
      <c r="D3688" s="2" t="s">
        <f>=HYPERLINK("https://main.knesset.gov.il/APPS/legislation/main/bills/2208580", "הצעת חוק הרשויות המקומיות (גמול השתתפות בישיבות והחזר הוצאות לחברי מועצה), התשפ""ד-2023")</f>
        <v>7811</v>
      </c>
      <c r="E3688" t="s">
        <v>7811</v>
      </c>
      <c r="F3688" t="s">
        <v>7812</v>
      </c>
      <c r="G3688" t="s">
        <v>14</v>
      </c>
      <c r="H3688">
             </c>
      <c r="I3688" t="s">
        <v>14</v>
      </c>
      <c r="J3688" t="s">
        <v>141</v>
      </c>
      <c r="K3688" t="s">
        <v>14</v>
      </c>
      <c r="L3688" t="s">
        <v>20</v>
      </c>
      <c r="M3688" t="s">
        <v>7776</v>
      </c>
      <c r="N3688" t="s">
        <v>14</v>
      </c>
    </row>
    <row r="3689" x14ac:dyDescent="0.25">
      <c r="A3689" t="n">
        <v>25</v>
      </c>
      <c r="B3689" t="s">
        <v>14</v>
      </c>
      <c r="C3689" t="s">
        <v>22</v>
      </c>
      <c r="D3689" s="2" t="s">
        <f>=HYPERLINK("https://main.knesset.gov.il/APPS/legislation/main/bills/2209991", "הצעת חוק-יסוד: הממשלה (תיקון - חובת מינוי ממלא מקום ראש הממשלה) ")</f>
        <v>7813</v>
      </c>
      <c r="E3689" t="s">
        <v>7813</v>
      </c>
      <c r="F3689" t="s">
        <v>7814</v>
      </c>
      <c r="G3689" t="s">
        <v>14</v>
      </c>
      <c r="H3689">
             </c>
      <c r="I3689" t="s">
        <v>14</v>
      </c>
      <c r="J3689" t="s">
        <v>141</v>
      </c>
      <c r="K3689" t="s">
        <v>14</v>
      </c>
      <c r="L3689" t="s">
        <v>20</v>
      </c>
      <c r="M3689" t="s">
        <v>7776</v>
      </c>
      <c r="N3689" t="s">
        <v>14</v>
      </c>
    </row>
    <row r="3690" x14ac:dyDescent="0.25">
      <c r="A3690" t="n">
        <v>25</v>
      </c>
      <c r="B3690" t="s">
        <v>14</v>
      </c>
      <c r="C3690" t="s">
        <v>22</v>
      </c>
      <c r="D3690" s="2" t="s">
        <f>=HYPERLINK("https://main.knesset.gov.il/APPS/legislation/main/bills/2210295", "הצעת חוק לתיקון פקודת המכס (איסור השמדת טובין חבי מכס), התשפ""ד-2023")</f>
        <v>7815</v>
      </c>
      <c r="E3690" t="s">
        <v>7815</v>
      </c>
      <c r="F3690" t="s">
        <v>7816</v>
      </c>
      <c r="G3690" t="s">
        <v>14</v>
      </c>
      <c r="H3690">
             </c>
      <c r="I3690" t="s">
        <v>14</v>
      </c>
      <c r="J3690" t="s">
        <v>141</v>
      </c>
      <c r="K3690" t="s">
        <v>14</v>
      </c>
      <c r="L3690" t="s">
        <v>20</v>
      </c>
      <c r="M3690" t="s">
        <v>7776</v>
      </c>
      <c r="N3690" t="s">
        <v>14</v>
      </c>
    </row>
    <row r="3691" x14ac:dyDescent="0.25">
      <c r="A3691" t="n">
        <v>25</v>
      </c>
      <c r="B3691" t="s">
        <v>14</v>
      </c>
      <c r="C3691" t="s">
        <v>22</v>
      </c>
      <c r="D3691" s="2" t="s">
        <f>=HYPERLINK("https://main.knesset.gov.il/APPS/legislation/main/bills/2210328", "הצעת חוק לתיקון פקודת מס הכנסה (הגדלת מספר התושבים ביישוב מוטב), התשפ""ד-2023")</f>
        <v>7817</v>
      </c>
      <c r="E3691" t="s">
        <v>7817</v>
      </c>
      <c r="F3691" t="s">
        <v>7818</v>
      </c>
      <c r="G3691" t="s">
        <v>14</v>
      </c>
      <c r="H3691">
             </c>
      <c r="I3691" t="s">
        <v>14</v>
      </c>
      <c r="J3691" t="s">
        <v>141</v>
      </c>
      <c r="K3691" t="s">
        <v>14</v>
      </c>
      <c r="L3691" t="s">
        <v>20</v>
      </c>
      <c r="M3691" t="s">
        <v>7776</v>
      </c>
      <c r="N3691" t="s">
        <v>14</v>
      </c>
    </row>
    <row r="3692" x14ac:dyDescent="0.25">
      <c r="A3692" t="n">
        <v>25</v>
      </c>
      <c r="B3692" t="s">
        <v>14</v>
      </c>
      <c r="C3692" t="s">
        <v>22</v>
      </c>
      <c r="D3692" s="2" t="s">
        <f>=HYPERLINK("https://main.knesset.gov.il/APPS/legislation/main/bills/2209870", "הצעת חוק שוברים להשלמת לימודי בסיס בחינוך הבלתי פורמלי, התשפ""ד-2023")</f>
        <v>7819</v>
      </c>
      <c r="E3692" t="s">
        <v>7819</v>
      </c>
      <c r="F3692" t="s">
        <v>7820</v>
      </c>
      <c r="G3692" t="s">
        <v>14</v>
      </c>
      <c r="H3692">
             </c>
      <c r="I3692" t="s">
        <v>14</v>
      </c>
      <c r="J3692" t="s">
        <v>141</v>
      </c>
      <c r="K3692" t="s">
        <v>14</v>
      </c>
      <c r="L3692" t="s">
        <v>20</v>
      </c>
      <c r="M3692" t="s">
        <v>7776</v>
      </c>
      <c r="N3692" t="s">
        <v>14</v>
      </c>
    </row>
    <row r="3693" x14ac:dyDescent="0.25">
      <c r="A3693" t="n">
        <v>25</v>
      </c>
      <c r="B3693" t="s">
        <v>14</v>
      </c>
      <c r="C3693" t="s">
        <v>22</v>
      </c>
      <c r="D3693" s="2" t="s">
        <f>=HYPERLINK("https://main.knesset.gov.il/APPS/legislation/main/bills/2210318", "הצעת חוק הסכמים קיבוציים (תיקון - אי-תחולה על עובד זר בענף החקלאות), התשפ""ד-2023")</f>
        <v>7821</v>
      </c>
      <c r="E3693" t="s">
        <v>7821</v>
      </c>
      <c r="F3693" t="s">
        <v>7822</v>
      </c>
      <c r="G3693" t="s">
        <v>14</v>
      </c>
      <c r="H3693">
             </c>
      <c r="I3693" t="s">
        <v>14</v>
      </c>
      <c r="J3693" t="s">
        <v>141</v>
      </c>
      <c r="K3693" t="s">
        <v>14</v>
      </c>
      <c r="L3693" t="s">
        <v>20</v>
      </c>
      <c r="M3693" t="s">
        <v>7776</v>
      </c>
      <c r="N3693" t="s">
        <v>14</v>
      </c>
    </row>
    <row r="3694" x14ac:dyDescent="0.25">
      <c r="A3694" t="n">
        <v>25</v>
      </c>
      <c r="B3694" t="s">
        <v>14</v>
      </c>
      <c r="C3694" t="s">
        <v>22</v>
      </c>
      <c r="D3694" s="2" t="s">
        <f>=HYPERLINK("https://main.knesset.gov.il/APPS/legislation/main/bills/2210316", "הצעת חוק לתיקון פקודת מס הכנסה (הארכת הפטור ממס עבור נכה שנקבעה לו נכות עקב מחלת הסרטן), התשפ""ד-2023")</f>
        <v>7823</v>
      </c>
      <c r="E3694" t="s">
        <v>7823</v>
      </c>
      <c r="F3694" t="s">
        <v>7824</v>
      </c>
      <c r="G3694" t="s">
        <v>14</v>
      </c>
      <c r="H3694">
             </c>
      <c r="I3694" t="s">
        <v>14</v>
      </c>
      <c r="J3694" t="s">
        <v>141</v>
      </c>
      <c r="K3694" t="s">
        <v>14</v>
      </c>
      <c r="L3694" t="s">
        <v>20</v>
      </c>
      <c r="M3694" t="s">
        <v>7776</v>
      </c>
      <c r="N3694" t="s">
        <v>14</v>
      </c>
    </row>
    <row r="3695" x14ac:dyDescent="0.25">
      <c r="A3695" t="n">
        <v>25</v>
      </c>
      <c r="B3695" t="s">
        <v>14</v>
      </c>
      <c r="C3695" t="s">
        <v>22</v>
      </c>
      <c r="D3695" s="2" t="s">
        <f>=HYPERLINK("https://main.knesset.gov.il/APPS/legislation/main/bills/2209688", "הצעת חוק שילוב פעוטות עם צורך במענים ייחודיים במעונות יום, התשפ""ד-2023")</f>
        <v>7825</v>
      </c>
      <c r="E3695" t="s">
        <v>7825</v>
      </c>
      <c r="F3695" t="s">
        <v>7826</v>
      </c>
      <c r="G3695" t="s">
        <v>14</v>
      </c>
      <c r="H3695">
             </c>
      <c r="I3695" t="s">
        <v>14</v>
      </c>
      <c r="J3695" t="s">
        <v>141</v>
      </c>
      <c r="K3695" t="s">
        <v>14</v>
      </c>
      <c r="L3695" t="s">
        <v>20</v>
      </c>
      <c r="M3695" t="s">
        <v>7776</v>
      </c>
      <c r="N3695" t="s">
        <v>14</v>
      </c>
    </row>
    <row r="3696" x14ac:dyDescent="0.25">
      <c r="A3696" t="n">
        <v>25</v>
      </c>
      <c r="B3696" t="s">
        <v>14</v>
      </c>
      <c r="C3696" t="s">
        <v>22</v>
      </c>
      <c r="D3696" s="2" t="s">
        <f>=HYPERLINK("https://main.knesset.gov.il/APPS/legislation/main/bills/2208138", "הצעת חוק קידום התחרות בענף המזון (תיקון - החלת החוק על ענף מוצרי הצריכה), התשפ""ד-2023")</f>
        <v>7827</v>
      </c>
      <c r="E3696" t="s">
        <v>7827</v>
      </c>
      <c r="F3696" t="s">
        <v>7828</v>
      </c>
      <c r="G3696" t="s">
        <v>14</v>
      </c>
      <c r="H3696">
             </c>
      <c r="I3696" t="s">
        <v>14</v>
      </c>
      <c r="J3696" t="s">
        <v>141</v>
      </c>
      <c r="K3696" t="s">
        <v>14</v>
      </c>
      <c r="L3696" t="s">
        <v>20</v>
      </c>
      <c r="M3696" t="s">
        <v>7776</v>
      </c>
      <c r="N3696" t="s">
        <v>14</v>
      </c>
    </row>
    <row r="3697" x14ac:dyDescent="0.25">
      <c r="A3697" t="n">
        <v>25</v>
      </c>
      <c r="B3697" t="s">
        <v>14</v>
      </c>
      <c r="C3697" t="s">
        <v>22</v>
      </c>
      <c r="D3697" s="2" t="s">
        <f>=HYPERLINK("https://main.knesset.gov.il/APPS/legislation/main/bills/2209525", "הצעת חוק מעונות יום שיקומיים (תיקון - פעוטות עם צרכים רפואיים וחלופה ביתית), התשפ""ד-2023")</f>
        <v>7829</v>
      </c>
      <c r="E3697" t="s">
        <v>7829</v>
      </c>
      <c r="F3697" t="s">
        <v>7830</v>
      </c>
      <c r="G3697" t="s">
        <v>14</v>
      </c>
      <c r="H3697">
             </c>
      <c r="I3697" t="s">
        <v>14</v>
      </c>
      <c r="J3697" t="s">
        <v>141</v>
      </c>
      <c r="K3697" t="s">
        <v>14</v>
      </c>
      <c r="L3697" t="s">
        <v>20</v>
      </c>
      <c r="M3697" t="s">
        <v>7776</v>
      </c>
      <c r="N3697" t="s">
        <v>14</v>
      </c>
    </row>
    <row r="3698" x14ac:dyDescent="0.25">
      <c r="A3698" t="n">
        <v>25</v>
      </c>
      <c r="B3698" t="s">
        <v>14</v>
      </c>
      <c r="C3698" t="s">
        <v>22</v>
      </c>
      <c r="D3698" s="2" t="s">
        <f>=HYPERLINK("https://main.knesset.gov.il/APPS/legislation/main/bills/2209526", "הצעת חוק נפגעי תאונות דרכים (סיוע לבני משפחה) (תיקון - הרחבת הסיוע), התשפ""ד-2023")</f>
        <v>7831</v>
      </c>
      <c r="E3698" t="s">
        <v>7831</v>
      </c>
      <c r="F3698" t="s">
        <v>7832</v>
      </c>
      <c r="G3698" t="s">
        <v>14</v>
      </c>
      <c r="H3698">
             </c>
      <c r="I3698" t="s">
        <v>14</v>
      </c>
      <c r="J3698" t="s">
        <v>141</v>
      </c>
      <c r="K3698" t="s">
        <v>14</v>
      </c>
      <c r="L3698" t="s">
        <v>20</v>
      </c>
      <c r="M3698" t="s">
        <v>7776</v>
      </c>
      <c r="N3698" t="s">
        <v>14</v>
      </c>
    </row>
    <row r="3699" x14ac:dyDescent="0.25">
      <c r="A3699" t="n">
        <v>25</v>
      </c>
      <c r="B3699" t="s">
        <v>14</v>
      </c>
      <c r="C3699" t="s">
        <v>22</v>
      </c>
      <c r="D3699" s="2" t="s">
        <f>=HYPERLINK("https://main.knesset.gov.il/APPS/legislation/main/bills/2209510", "הצעת חוק לצמצום רגולציה ושעורי אגרות לעסקים קטנים, התשפ""ד-2023")</f>
        <v>7833</v>
      </c>
      <c r="E3699" t="s">
        <v>7833</v>
      </c>
      <c r="F3699" t="s">
        <v>7834</v>
      </c>
      <c r="G3699" t="s">
        <v>14</v>
      </c>
      <c r="H3699">
             </c>
      <c r="I3699" t="s">
        <v>14</v>
      </c>
      <c r="J3699" t="s">
        <v>141</v>
      </c>
      <c r="K3699" t="s">
        <v>14</v>
      </c>
      <c r="L3699" t="s">
        <v>20</v>
      </c>
      <c r="M3699" t="s">
        <v>7776</v>
      </c>
      <c r="N3699" t="s">
        <v>14</v>
      </c>
    </row>
    <row r="3700" x14ac:dyDescent="0.25">
      <c r="A3700" t="n">
        <v>25</v>
      </c>
      <c r="B3700" t="s">
        <v>14</v>
      </c>
      <c r="C3700" t="s">
        <v>22</v>
      </c>
      <c r="D3700" s="2" t="s">
        <f>=HYPERLINK("https://main.knesset.gov.il/APPS/legislation/main/bills/2209392", "הצעת חוק לתיקון פקודת בריאות העם (העדפות מתן רישיון למכשור רפואי בפריפריה), התשפ""ד-2023")</f>
        <v>7835</v>
      </c>
      <c r="E3700" t="s">
        <v>7835</v>
      </c>
      <c r="F3700" t="s">
        <v>7836</v>
      </c>
      <c r="G3700" t="s">
        <v>14</v>
      </c>
      <c r="H3700">
             </c>
      <c r="I3700" t="s">
        <v>14</v>
      </c>
      <c r="J3700" t="s">
        <v>141</v>
      </c>
      <c r="K3700" t="s">
        <v>14</v>
      </c>
      <c r="L3700" t="s">
        <v>20</v>
      </c>
      <c r="M3700" t="s">
        <v>7776</v>
      </c>
      <c r="N3700" t="s">
        <v>14</v>
      </c>
    </row>
    <row r="3701" x14ac:dyDescent="0.25">
      <c r="A3701" t="n">
        <v>25</v>
      </c>
      <c r="B3701" t="s">
        <v>14</v>
      </c>
      <c r="C3701" t="s">
        <v>22</v>
      </c>
      <c r="D3701" s="2" t="s">
        <f>=HYPERLINK("https://main.knesset.gov.il/APPS/legislation/main/bills/2210075", "הצעת חוק לשכת עורכי הדין (תיקון - קיצור תקופת ההתמחות), התשפ""ד-2023")</f>
        <v>7450</v>
      </c>
      <c r="E3701" t="s">
        <v>7450</v>
      </c>
      <c r="F3701" t="s">
        <v>7837</v>
      </c>
      <c r="G3701" t="s">
        <v>14</v>
      </c>
      <c r="H3701">
             </c>
      <c r="I3701" t="s">
        <v>14</v>
      </c>
      <c r="J3701" t="s">
        <v>141</v>
      </c>
      <c r="K3701" t="s">
        <v>14</v>
      </c>
      <c r="L3701" t="s">
        <v>20</v>
      </c>
      <c r="M3701" t="s">
        <v>7776</v>
      </c>
      <c r="N3701" t="s">
        <v>14</v>
      </c>
    </row>
    <row r="3702" x14ac:dyDescent="0.25">
      <c r="A3702" t="n">
        <v>25</v>
      </c>
      <c r="B3702" t="s">
        <v>14</v>
      </c>
      <c r="C3702" t="s">
        <v>22</v>
      </c>
      <c r="D3702" s="2" t="s">
        <f>=HYPERLINK("https://main.knesset.gov.il/APPS/legislation/main/bills/2209384", "הצעת חוק יום לציון זכרם של חללי ונפגעי יהדות התפוצות על רקע אנטישמי, התשפ""ד-2023")</f>
        <v>7838</v>
      </c>
      <c r="E3702" t="s">
        <v>7838</v>
      </c>
      <c r="F3702" t="s">
        <v>7839</v>
      </c>
      <c r="G3702" t="s">
        <v>14</v>
      </c>
      <c r="H3702">
             </c>
      <c r="I3702" t="s">
        <v>14</v>
      </c>
      <c r="J3702" t="s">
        <v>141</v>
      </c>
      <c r="K3702" t="s">
        <v>14</v>
      </c>
      <c r="L3702" t="s">
        <v>20</v>
      </c>
      <c r="M3702" t="s">
        <v>7776</v>
      </c>
      <c r="N3702" t="s">
        <v>14</v>
      </c>
    </row>
    <row r="3703" x14ac:dyDescent="0.25">
      <c r="A3703" t="n">
        <v>25</v>
      </c>
      <c r="B3703" t="s">
        <v>14</v>
      </c>
      <c r="C3703" t="s">
        <v>22</v>
      </c>
      <c r="D3703" s="2" t="s">
        <f>=HYPERLINK("https://main.knesset.gov.il/APPS/legislation/main/bills/2209274", "הצעת חוק חינוך ממלכתי (תיקון - סמכויות המועצה לחינוך ממלכתי דתי), התשפ""ד-2023")</f>
        <v>7840</v>
      </c>
      <c r="E3703" t="s">
        <v>7840</v>
      </c>
      <c r="F3703" t="s">
        <v>7841</v>
      </c>
      <c r="G3703" t="s">
        <v>14</v>
      </c>
      <c r="H3703">
             </c>
      <c r="I3703" t="s">
        <v>14</v>
      </c>
      <c r="J3703" t="s">
        <v>141</v>
      </c>
      <c r="K3703" t="s">
        <v>14</v>
      </c>
      <c r="L3703" t="s">
        <v>20</v>
      </c>
      <c r="M3703" t="s">
        <v>7776</v>
      </c>
      <c r="N3703" t="s">
        <v>14</v>
      </c>
    </row>
    <row r="3704" x14ac:dyDescent="0.25">
      <c r="A3704" t="n">
        <v>25</v>
      </c>
      <c r="B3704" t="s">
        <v>14</v>
      </c>
      <c r="C3704" t="s">
        <v>22</v>
      </c>
      <c r="D3704" s="2" t="s">
        <f>=HYPERLINK("https://main.knesset.gov.il/APPS/legislation/main/bills/2197940", "הצעת חוק הרשות לוועדות רפואיות, התשפ""ד-2023")</f>
        <v>7842</v>
      </c>
      <c r="E3704" t="s">
        <v>7842</v>
      </c>
      <c r="F3704" t="s">
        <v>7843</v>
      </c>
      <c r="G3704" t="s">
        <v>14</v>
      </c>
      <c r="H3704">
             </c>
      <c r="I3704" t="s">
        <v>14</v>
      </c>
      <c r="J3704" t="s">
        <v>141</v>
      </c>
      <c r="K3704" t="s">
        <v>14</v>
      </c>
      <c r="L3704" t="s">
        <v>20</v>
      </c>
      <c r="M3704" t="s">
        <v>7776</v>
      </c>
      <c r="N3704" t="s">
        <v>14</v>
      </c>
    </row>
    <row r="3705" x14ac:dyDescent="0.25">
      <c r="A3705" t="n">
        <v>25</v>
      </c>
      <c r="B3705" t="s">
        <v>14</v>
      </c>
      <c r="C3705" t="s">
        <v>22</v>
      </c>
      <c r="D3705" s="2" t="s">
        <f>=HYPERLINK("https://main.knesset.gov.il/APPS/legislation/main/bills/2209529", "הצעת חוק העברת מידע בין רשויות, התשפ""ד-2023")</f>
        <v>7844</v>
      </c>
      <c r="E3705" t="s">
        <v>7844</v>
      </c>
      <c r="F3705" t="s">
        <v>7845</v>
      </c>
      <c r="G3705" t="s">
        <v>14</v>
      </c>
      <c r="H3705">
             </c>
      <c r="I3705" t="s">
        <v>14</v>
      </c>
      <c r="J3705" t="s">
        <v>141</v>
      </c>
      <c r="K3705" t="s">
        <v>14</v>
      </c>
      <c r="L3705" t="s">
        <v>20</v>
      </c>
      <c r="M3705" t="s">
        <v>7776</v>
      </c>
      <c r="N3705" t="s">
        <v>14</v>
      </c>
    </row>
    <row r="3706" x14ac:dyDescent="0.25">
      <c r="A3706" t="n">
        <v>25</v>
      </c>
      <c r="B3706" t="s">
        <v>14</v>
      </c>
      <c r="C3706" t="s">
        <v>22</v>
      </c>
      <c r="D3706" s="2" t="s">
        <f>=HYPERLINK("https://main.knesset.gov.il/APPS/legislation/main/bills/2210437", "הצעת חוק הגנת הצרכן (תיקון - מענה אנושי בשירות טלפוני לאזרח ותיק), התשפ""ד-2023")</f>
        <v>7846</v>
      </c>
      <c r="E3706" t="s">
        <v>7846</v>
      </c>
      <c r="F3706" t="s">
        <v>7847</v>
      </c>
      <c r="G3706" t="s">
        <v>14</v>
      </c>
      <c r="H3706">
             </c>
      <c r="I3706" t="s">
        <v>14</v>
      </c>
      <c r="J3706" t="s">
        <v>141</v>
      </c>
      <c r="K3706" t="s">
        <v>14</v>
      </c>
      <c r="L3706" t="s">
        <v>20</v>
      </c>
      <c r="M3706" t="s">
        <v>7776</v>
      </c>
      <c r="N3706" t="s">
        <v>14</v>
      </c>
    </row>
    <row r="3707" x14ac:dyDescent="0.25">
      <c r="A3707" t="n">
        <v>25</v>
      </c>
      <c r="B3707" t="s">
        <v>14</v>
      </c>
      <c r="C3707" t="s">
        <v>22</v>
      </c>
      <c r="D3707" s="2" t="s">
        <f>=HYPERLINK("https://main.knesset.gov.il/APPS/legislation/main/bills/2209533", "הצעת חוק הכניסה לישראל (הוראת שעה), התשפ""ד-2023")</f>
        <v>7848</v>
      </c>
      <c r="E3707" t="s">
        <v>7848</v>
      </c>
      <c r="F3707" t="s">
        <v>7849</v>
      </c>
      <c r="G3707" t="s">
        <v>14</v>
      </c>
      <c r="H3707">
             </c>
      <c r="I3707" t="s">
        <v>14</v>
      </c>
      <c r="J3707" t="s">
        <v>141</v>
      </c>
      <c r="K3707" t="s">
        <v>14</v>
      </c>
      <c r="L3707" t="s">
        <v>20</v>
      </c>
      <c r="M3707" t="s">
        <v>7776</v>
      </c>
      <c r="N3707" t="s">
        <v>14</v>
      </c>
    </row>
    <row r="3708" x14ac:dyDescent="0.25">
      <c r="A3708" t="n">
        <v>25</v>
      </c>
      <c r="B3708" t="s">
        <v>14</v>
      </c>
      <c r="C3708" t="s">
        <v>22</v>
      </c>
      <c r="D3708" s="2" t="s">
        <f>=HYPERLINK("https://main.knesset.gov.il/APPS/legislation/main/bills/2203102", "הצעת חוק הבחירות לכנסת (תיקון - שינוי מבנה פתק ההצבעה), התשפ""ד-2023")</f>
        <v>7850</v>
      </c>
      <c r="E3708" t="s">
        <v>7850</v>
      </c>
      <c r="F3708" t="s">
        <v>7851</v>
      </c>
      <c r="G3708" t="s">
        <v>14</v>
      </c>
      <c r="H3708">
             </c>
      <c r="I3708" t="s">
        <v>14</v>
      </c>
      <c r="J3708" t="s">
        <v>141</v>
      </c>
      <c r="K3708" t="s">
        <v>14</v>
      </c>
      <c r="L3708" t="s">
        <v>20</v>
      </c>
      <c r="M3708" t="s">
        <v>7776</v>
      </c>
      <c r="N3708" t="s">
        <v>14</v>
      </c>
    </row>
    <row r="3709" x14ac:dyDescent="0.25">
      <c r="A3709" t="n">
        <v>25</v>
      </c>
      <c r="B3709" t="s">
        <v>14</v>
      </c>
      <c r="C3709" t="s">
        <v>22</v>
      </c>
      <c r="D3709" s="2" t="s">
        <f>=HYPERLINK("https://main.knesset.gov.il/APPS/legislation/main/bills/2209391", "הצעת חוק ביטוח בריאות ממלכתי (תיקון - הפחתה בדמי ביטוח בריאות לתושבי הפריפריה), התשפ""ד-2023")</f>
        <v>7852</v>
      </c>
      <c r="E3709" t="s">
        <v>7852</v>
      </c>
      <c r="F3709" t="s">
        <v>7853</v>
      </c>
      <c r="G3709" t="s">
        <v>14</v>
      </c>
      <c r="H3709">
             </c>
      <c r="I3709" t="s">
        <v>14</v>
      </c>
      <c r="J3709" t="s">
        <v>141</v>
      </c>
      <c r="K3709" t="s">
        <v>14</v>
      </c>
      <c r="L3709" t="s">
        <v>20</v>
      </c>
      <c r="M3709" t="s">
        <v>7776</v>
      </c>
      <c r="N3709" t="s">
        <v>14</v>
      </c>
    </row>
    <row r="3710" x14ac:dyDescent="0.25">
      <c r="A3710" t="n">
        <v>25</v>
      </c>
      <c r="B3710" t="s">
        <v>14</v>
      </c>
      <c r="C3710" t="s">
        <v>22</v>
      </c>
      <c r="D3710" s="2" t="s">
        <f>=HYPERLINK("https://main.knesset.gov.il/APPS/legislation/main/bills/2209927", "הצעת חוק לתיקון פקודת מס הכנסה (נקודות זיכוי להורי חיילים), התשפ""ד-2023")</f>
        <v>4819</v>
      </c>
      <c r="E3710" t="s">
        <v>4819</v>
      </c>
      <c r="F3710" t="s">
        <v>7854</v>
      </c>
      <c r="G3710" t="s">
        <v>14</v>
      </c>
      <c r="H3710">
             </c>
      <c r="I3710" t="s">
        <v>14</v>
      </c>
      <c r="J3710" t="s">
        <v>141</v>
      </c>
      <c r="K3710" t="s">
        <v>14</v>
      </c>
      <c r="L3710" t="s">
        <v>20</v>
      </c>
      <c r="M3710" t="s">
        <v>7776</v>
      </c>
      <c r="N3710" t="s">
        <v>14</v>
      </c>
    </row>
    <row r="3711" x14ac:dyDescent="0.25">
      <c r="A3711" t="n">
        <v>25</v>
      </c>
      <c r="B3711" t="s">
        <v>14</v>
      </c>
      <c r="C3711" t="s">
        <v>22</v>
      </c>
      <c r="D3711" s="2" t="s">
        <f>=HYPERLINK("https://main.knesset.gov.il/APPS/legislation/main/bills/2209644", "הצעת חוק העונשין (תיקון - איסור הנפת דגל של ישות עוינת), התשפ""ד-2023")</f>
        <v>7855</v>
      </c>
      <c r="E3711" t="s">
        <v>7855</v>
      </c>
      <c r="F3711" t="s">
        <v>7856</v>
      </c>
      <c r="G3711" t="s">
        <v>14</v>
      </c>
      <c r="H3711">
             </c>
      <c r="I3711" t="s">
        <v>14</v>
      </c>
      <c r="J3711" t="s">
        <v>141</v>
      </c>
      <c r="K3711" t="s">
        <v>14</v>
      </c>
      <c r="L3711" t="s">
        <v>20</v>
      </c>
      <c r="M3711" t="s">
        <v>7776</v>
      </c>
      <c r="N3711" t="s">
        <v>14</v>
      </c>
    </row>
    <row r="3712" x14ac:dyDescent="0.25">
      <c r="A3712" t="n">
        <v>25</v>
      </c>
      <c r="B3712" t="s">
        <v>14</v>
      </c>
      <c r="C3712" t="s">
        <v>22</v>
      </c>
      <c r="D3712" s="2" t="s">
        <f>=HYPERLINK("https://main.knesset.gov.il/APPS/legislation/main/bills/2209390", "הצעת חוק למניעת חרם חברתי בבתי ספר, התשפ""ד-2023")</f>
        <v>7600</v>
      </c>
      <c r="E3712" t="s">
        <v>7600</v>
      </c>
      <c r="F3712" t="s">
        <v>7857</v>
      </c>
      <c r="G3712" t="s">
        <v>14</v>
      </c>
      <c r="H3712">
             </c>
      <c r="I3712" t="s">
        <v>14</v>
      </c>
      <c r="J3712" t="s">
        <v>141</v>
      </c>
      <c r="K3712" t="s">
        <v>14</v>
      </c>
      <c r="L3712" t="s">
        <v>20</v>
      </c>
      <c r="M3712" t="s">
        <v>7776</v>
      </c>
      <c r="N3712" t="s">
        <v>14</v>
      </c>
    </row>
    <row r="3713" x14ac:dyDescent="0.25">
      <c r="A3713" t="n">
        <v>25</v>
      </c>
      <c r="B3713" t="s">
        <v>14</v>
      </c>
      <c r="C3713" t="s">
        <v>22</v>
      </c>
      <c r="D3713" s="2" t="s">
        <f>=HYPERLINK("https://main.knesset.gov.il/APPS/legislation/main/bills/2209878", "הצעת חוק לתיקון פקודת הסמים המסוכנים (שימוש עצמי בקנבוס), התשפ""ד-2023")</f>
        <v>7858</v>
      </c>
      <c r="E3713" t="s">
        <v>7858</v>
      </c>
      <c r="F3713" t="s">
        <v>7859</v>
      </c>
      <c r="G3713" t="s">
        <v>14</v>
      </c>
      <c r="H3713">
             </c>
      <c r="I3713" t="s">
        <v>14</v>
      </c>
      <c r="J3713" t="s">
        <v>141</v>
      </c>
      <c r="K3713" t="s">
        <v>14</v>
      </c>
      <c r="L3713" t="s">
        <v>20</v>
      </c>
      <c r="M3713" t="s">
        <v>7776</v>
      </c>
      <c r="N3713" t="s">
        <v>14</v>
      </c>
    </row>
    <row r="3714" x14ac:dyDescent="0.25">
      <c r="A3714" t="n">
        <v>25</v>
      </c>
      <c r="B3714" t="s">
        <v>14</v>
      </c>
      <c r="C3714" t="s">
        <v>22</v>
      </c>
      <c r="D3714" s="2" t="s">
        <f>=HYPERLINK("https://main.knesset.gov.il/APPS/legislation/main/bills/2209872", "הצעת חוק בתי דין רבניים (קיום פסקי דין של גירושין) (תיקון - הגבלת שימוש בכרטיסי אשראי לסרבני גט), התשפ""ד-2023")</f>
        <v>7860</v>
      </c>
      <c r="E3714" t="s">
        <v>7860</v>
      </c>
      <c r="F3714" t="s">
        <v>7861</v>
      </c>
      <c r="G3714" t="s">
        <v>14</v>
      </c>
      <c r="H3714">
             </c>
      <c r="I3714" t="s">
        <v>14</v>
      </c>
      <c r="J3714" t="s">
        <v>141</v>
      </c>
      <c r="K3714" t="s">
        <v>14</v>
      </c>
      <c r="L3714" t="s">
        <v>20</v>
      </c>
      <c r="M3714" t="s">
        <v>7776</v>
      </c>
      <c r="N3714" t="s">
        <v>14</v>
      </c>
    </row>
    <row r="3715" x14ac:dyDescent="0.25">
      <c r="A3715" t="n">
        <v>25</v>
      </c>
      <c r="B3715" t="s">
        <v>14</v>
      </c>
      <c r="C3715" t="s">
        <v>22</v>
      </c>
      <c r="D3715" s="2" t="s">
        <f>=HYPERLINK("https://main.knesset.gov.il/APPS/legislation/main/bills/2209739", "הצעת חוק-יסוד: כבוד האדם וחירותו (תיקון - הוספת סעיף שוויון)")</f>
        <v>2086</v>
      </c>
      <c r="E3715" t="s">
        <v>2086</v>
      </c>
      <c r="F3715" t="s">
        <v>7862</v>
      </c>
      <c r="G3715" t="s">
        <v>14</v>
      </c>
      <c r="H3715">
             </c>
      <c r="I3715" t="s">
        <v>14</v>
      </c>
      <c r="J3715" t="s">
        <v>141</v>
      </c>
      <c r="K3715" t="s">
        <v>14</v>
      </c>
      <c r="L3715" t="s">
        <v>20</v>
      </c>
      <c r="M3715" t="s">
        <v>7776</v>
      </c>
      <c r="N3715" t="s">
        <v>14</v>
      </c>
    </row>
    <row r="3716" x14ac:dyDescent="0.25">
      <c r="A3716" t="n">
        <v>25</v>
      </c>
      <c r="B3716" t="s">
        <v>14</v>
      </c>
      <c r="C3716" t="s">
        <v>22</v>
      </c>
      <c r="D3716" s="2" t="s">
        <f>=HYPERLINK("https://main.knesset.gov.il/APPS/legislation/main/bills/2209751", "הצעת חוק הביטוח הלאומי (תיקון - עבודה במסגרת לאנשים עם מוגבלויות כעבודה מועדפת), התשפ""ד-2023")</f>
        <v>7863</v>
      </c>
      <c r="E3716" t="s">
        <v>7863</v>
      </c>
      <c r="F3716" t="s">
        <v>7864</v>
      </c>
      <c r="G3716" t="s">
        <v>14</v>
      </c>
      <c r="H3716">
             </c>
      <c r="I3716" t="s">
        <v>14</v>
      </c>
      <c r="J3716" t="s">
        <v>141</v>
      </c>
      <c r="K3716" t="s">
        <v>14</v>
      </c>
      <c r="L3716" t="s">
        <v>20</v>
      </c>
      <c r="M3716" t="s">
        <v>7776</v>
      </c>
      <c r="N3716" t="s">
        <v>14</v>
      </c>
    </row>
    <row r="3717" x14ac:dyDescent="0.25">
      <c r="A3717" t="n">
        <v>25</v>
      </c>
      <c r="B3717" t="s">
        <v>14</v>
      </c>
      <c r="C3717" t="s">
        <v>22</v>
      </c>
      <c r="D3717" s="2" t="s">
        <f>=HYPERLINK("https://main.knesset.gov.il/APPS/legislation/main/bills/2210147", "הצעת חוק לתיקון פקודת התעבורה (חובת נשיאת לוחית זיהוי באופניים ממונעים ובקורקינט ממונע), התשפ""ד-2023")</f>
        <v>7865</v>
      </c>
      <c r="E3717" t="s">
        <v>7865</v>
      </c>
      <c r="F3717" t="s">
        <v>7866</v>
      </c>
      <c r="G3717" t="s">
        <v>14</v>
      </c>
      <c r="H3717">
             </c>
      <c r="I3717" t="s">
        <v>14</v>
      </c>
      <c r="J3717" t="s">
        <v>141</v>
      </c>
      <c r="K3717" t="s">
        <v>14</v>
      </c>
      <c r="L3717" t="s">
        <v>20</v>
      </c>
      <c r="M3717" t="s">
        <v>7776</v>
      </c>
      <c r="N3717" t="s">
        <v>14</v>
      </c>
    </row>
    <row r="3718" x14ac:dyDescent="0.25">
      <c r="A3718" t="n">
        <v>25</v>
      </c>
      <c r="B3718" t="s">
        <v>14</v>
      </c>
      <c r="C3718" t="s">
        <v>22</v>
      </c>
      <c r="D3718" s="2" t="s">
        <f>=HYPERLINK("https://main.knesset.gov.il/APPS/legislation/main/bills/2209554", "הצעת חוק הרשויות המקומיות (התאמת תקציב הרווחה), התשפ""ד-2023")</f>
        <v>7867</v>
      </c>
      <c r="E3718" t="s">
        <v>7867</v>
      </c>
      <c r="F3718" t="s">
        <v>7868</v>
      </c>
      <c r="G3718" t="s">
        <v>14</v>
      </c>
      <c r="H3718">
             </c>
      <c r="I3718" t="s">
        <v>14</v>
      </c>
      <c r="J3718" t="s">
        <v>141</v>
      </c>
      <c r="K3718" t="s">
        <v>14</v>
      </c>
      <c r="L3718" t="s">
        <v>20</v>
      </c>
      <c r="M3718" t="s">
        <v>7776</v>
      </c>
      <c r="N3718" t="s">
        <v>14</v>
      </c>
    </row>
    <row r="3719" x14ac:dyDescent="0.25">
      <c r="A3719" t="n">
        <v>25</v>
      </c>
      <c r="B3719" t="s">
        <v>14</v>
      </c>
      <c r="C3719" t="s">
        <v>22</v>
      </c>
      <c r="D3719" s="2" t="s">
        <f>=HYPERLINK("https://main.knesset.gov.il/APPS/legislation/main/bills/2210108", "הצעת חוק העונשין (תיקון - גזענות נגד קבוצה דתית), התשפ""ד-2023")</f>
        <v>7869</v>
      </c>
      <c r="E3719" t="s">
        <v>7869</v>
      </c>
      <c r="F3719" t="s">
        <v>7870</v>
      </c>
      <c r="G3719" t="s">
        <v>14</v>
      </c>
      <c r="H3719">
             </c>
      <c r="I3719" t="s">
        <v>14</v>
      </c>
      <c r="J3719" t="s">
        <v>141</v>
      </c>
      <c r="K3719" t="s">
        <v>14</v>
      </c>
      <c r="L3719" t="s">
        <v>20</v>
      </c>
      <c r="M3719" t="s">
        <v>7776</v>
      </c>
      <c r="N3719" t="s">
        <v>14</v>
      </c>
    </row>
    <row r="3720" x14ac:dyDescent="0.25">
      <c r="A3720" t="n">
        <v>25</v>
      </c>
      <c r="B3720" t="s">
        <v>14</v>
      </c>
      <c r="C3720" t="s">
        <v>22</v>
      </c>
      <c r="D3720" s="2" t="s">
        <f>=HYPERLINK("https://main.knesset.gov.il/APPS/legislation/main/bills/2209508", "הצעת חוק הגנת הצרכן (תיקון - הגבלות על מכירה מיוחדת), התשפ""ד-2023")</f>
        <v>7871</v>
      </c>
      <c r="E3720" t="s">
        <v>7871</v>
      </c>
      <c r="F3720" t="s">
        <v>7872</v>
      </c>
      <c r="G3720" t="s">
        <v>14</v>
      </c>
      <c r="H3720">
             </c>
      <c r="I3720" t="s">
        <v>14</v>
      </c>
      <c r="J3720" t="s">
        <v>141</v>
      </c>
      <c r="K3720" t="s">
        <v>14</v>
      </c>
      <c r="L3720" t="s">
        <v>20</v>
      </c>
      <c r="M3720" t="s">
        <v>7776</v>
      </c>
      <c r="N3720" t="s">
        <v>14</v>
      </c>
    </row>
    <row r="3721" x14ac:dyDescent="0.25">
      <c r="A3721" t="n">
        <v>25</v>
      </c>
      <c r="B3721" t="s">
        <v>14</v>
      </c>
      <c r="C3721" t="s">
        <v>22</v>
      </c>
      <c r="D3721" s="2" t="s">
        <f>=HYPERLINK("https://main.knesset.gov.il/APPS/legislation/main/bills/2209873", "הצעת חוק הביטוח הלאומי (תיקון - מסלול ברירת מחדל בהפקדות לחיסכון ארוך טווח לילד), התשפ""ד-2023")</f>
        <v>7873</v>
      </c>
      <c r="E3721" t="s">
        <v>7873</v>
      </c>
      <c r="F3721" t="s">
        <v>7874</v>
      </c>
      <c r="G3721" t="s">
        <v>14</v>
      </c>
      <c r="H3721">
             </c>
      <c r="I3721" t="s">
        <v>14</v>
      </c>
      <c r="J3721" t="s">
        <v>141</v>
      </c>
      <c r="K3721" t="s">
        <v>14</v>
      </c>
      <c r="L3721" t="s">
        <v>20</v>
      </c>
      <c r="M3721" t="s">
        <v>7776</v>
      </c>
      <c r="N3721" t="s">
        <v>14</v>
      </c>
    </row>
    <row r="3722" x14ac:dyDescent="0.25">
      <c r="A3722" t="n">
        <v>25</v>
      </c>
      <c r="B3722" t="s">
        <v>14</v>
      </c>
      <c r="C3722" t="s">
        <v>22</v>
      </c>
      <c r="D3722" s="2" t="s">
        <f>=HYPERLINK("https://main.knesset.gov.il/APPS/legislation/main/bills/2209875", "הצעת חוק הביטוח הלאומי (תיקון - ביטול דרישה לחתימת הורים כתנאי למשיכת כספי החיסכון), התשפ""ד-2023")</f>
        <v>7875</v>
      </c>
      <c r="E3722" t="s">
        <v>7875</v>
      </c>
      <c r="F3722" t="s">
        <v>7876</v>
      </c>
      <c r="G3722" t="s">
        <v>14</v>
      </c>
      <c r="H3722">
             </c>
      <c r="I3722" t="s">
        <v>14</v>
      </c>
      <c r="J3722" t="s">
        <v>141</v>
      </c>
      <c r="K3722" t="s">
        <v>14</v>
      </c>
      <c r="L3722" t="s">
        <v>20</v>
      </c>
      <c r="M3722" t="s">
        <v>7776</v>
      </c>
      <c r="N3722" t="s">
        <v>14</v>
      </c>
    </row>
    <row r="3723" x14ac:dyDescent="0.25">
      <c r="A3723" t="n">
        <v>25</v>
      </c>
      <c r="B3723" t="s">
        <v>14</v>
      </c>
      <c r="C3723" t="s">
        <v>22</v>
      </c>
      <c r="D3723" s="2" t="s">
        <f>=HYPERLINK("https://main.knesset.gov.il/APPS/legislation/main/bills/2209342", "הצעת חוק רשות מקרקעי ישראל (תיקון - ייצוג הולם לאוכלוסייה החרדית במועצת הרשות), התשפ""ד-2023")</f>
        <v>7877</v>
      </c>
      <c r="E3723" t="s">
        <v>7877</v>
      </c>
      <c r="F3723" t="s">
        <v>7878</v>
      </c>
      <c r="G3723" t="s">
        <v>14</v>
      </c>
      <c r="H3723">
             </c>
      <c r="I3723" t="s">
        <v>14</v>
      </c>
      <c r="J3723" t="s">
        <v>141</v>
      </c>
      <c r="K3723" t="s">
        <v>14</v>
      </c>
      <c r="L3723" t="s">
        <v>20</v>
      </c>
      <c r="M3723" t="s">
        <v>7776</v>
      </c>
      <c r="N3723" t="s">
        <v>14</v>
      </c>
    </row>
    <row r="3724" x14ac:dyDescent="0.25">
      <c r="A3724" t="n">
        <v>25</v>
      </c>
      <c r="B3724" t="s">
        <v>14</v>
      </c>
      <c r="C3724" t="s">
        <v>22</v>
      </c>
      <c r="D3724" s="2" t="s">
        <f>=HYPERLINK("https://main.knesset.gov.il/APPS/legislation/main/bills/2209504", "הצעת חוק בתי המשפט (תיקון - נציגי הכנסת בוועדה לבחירת שופטים), התשפ""ד-2023")</f>
        <v>7879</v>
      </c>
      <c r="E3724" t="s">
        <v>7879</v>
      </c>
      <c r="F3724" t="s">
        <v>7880</v>
      </c>
      <c r="G3724" t="s">
        <v>14</v>
      </c>
      <c r="H3724">
             </c>
      <c r="I3724" t="s">
        <v>14</v>
      </c>
      <c r="J3724" t="s">
        <v>141</v>
      </c>
      <c r="K3724" t="s">
        <v>14</v>
      </c>
      <c r="L3724" t="s">
        <v>20</v>
      </c>
      <c r="M3724" t="s">
        <v>7776</v>
      </c>
      <c r="N3724" t="s">
        <v>14</v>
      </c>
    </row>
    <row r="3725" x14ac:dyDescent="0.25">
      <c r="A3725" t="n">
        <v>25</v>
      </c>
      <c r="B3725" t="s">
        <v>14</v>
      </c>
      <c r="C3725" t="s">
        <v>22</v>
      </c>
      <c r="D3725" s="2" t="s">
        <f>=HYPERLINK("https://main.knesset.gov.il/APPS/legislation/main/bills/2209492", "הצעת חוק לצמצום רגולציה ושיעורי אגרות לעסקים קטנים, התשפ""ד-2023")</f>
        <v>7881</v>
      </c>
      <c r="E3725" t="s">
        <v>7881</v>
      </c>
      <c r="F3725" t="s">
        <v>7882</v>
      </c>
      <c r="G3725" t="s">
        <v>14</v>
      </c>
      <c r="H3725">
             </c>
      <c r="I3725" t="s">
        <v>14</v>
      </c>
      <c r="J3725" t="s">
        <v>141</v>
      </c>
      <c r="K3725" t="s">
        <v>14</v>
      </c>
      <c r="L3725" t="s">
        <v>20</v>
      </c>
      <c r="M3725" t="s">
        <v>7776</v>
      </c>
      <c r="N3725" t="s">
        <v>14</v>
      </c>
    </row>
    <row r="3726" x14ac:dyDescent="0.25">
      <c r="A3726" t="n">
        <v>25</v>
      </c>
      <c r="B3726" t="s">
        <v>14</v>
      </c>
      <c r="C3726" t="s">
        <v>22</v>
      </c>
      <c r="D3726" s="2" t="s">
        <f>=HYPERLINK("https://main.knesset.gov.il/APPS/legislation/main/bills/2205769", "הצעת חוק שילוב פעוטות עם צורך במענים ייחודיים במעונות יום, התשפ""ד-2023")</f>
        <v>7825</v>
      </c>
      <c r="E3726" t="s">
        <v>7825</v>
      </c>
      <c r="F3726" t="s">
        <v>7883</v>
      </c>
      <c r="G3726" t="s">
        <v>14</v>
      </c>
      <c r="H3726">
             </c>
      <c r="I3726" t="s">
        <v>14</v>
      </c>
      <c r="J3726" t="s">
        <v>141</v>
      </c>
      <c r="K3726" t="s">
        <v>14</v>
      </c>
      <c r="L3726" t="s">
        <v>20</v>
      </c>
      <c r="M3726" t="s">
        <v>7776</v>
      </c>
      <c r="N3726" t="s">
        <v>14</v>
      </c>
    </row>
    <row r="3727" x14ac:dyDescent="0.25">
      <c r="A3727" t="n">
        <v>25</v>
      </c>
      <c r="B3727" t="s">
        <v>14</v>
      </c>
      <c r="C3727" t="s">
        <v>22</v>
      </c>
      <c r="D3727" s="2" t="s">
        <f>=HYPERLINK("https://main.knesset.gov.il/APPS/legislation/main/bills/2209725", "הצעת חוק להקמת קרן למוצרי מזון בריא, התשפ''ד-2023")</f>
        <v>7884</v>
      </c>
      <c r="E3727" t="s">
        <v>7884</v>
      </c>
      <c r="F3727" t="s">
        <v>7885</v>
      </c>
      <c r="G3727" t="s">
        <v>14</v>
      </c>
      <c r="H3727">
             </c>
      <c r="I3727" t="s">
        <v>14</v>
      </c>
      <c r="J3727" t="s">
        <v>141</v>
      </c>
      <c r="K3727" t="s">
        <v>14</v>
      </c>
      <c r="L3727" t="s">
        <v>20</v>
      </c>
      <c r="M3727" t="s">
        <v>7776</v>
      </c>
      <c r="N3727" t="s">
        <v>14</v>
      </c>
    </row>
    <row r="3728" x14ac:dyDescent="0.25">
      <c r="A3728" t="n">
        <v>25</v>
      </c>
      <c r="B3728" t="s">
        <v>14</v>
      </c>
      <c r="C3728" t="s">
        <v>22</v>
      </c>
      <c r="D3728" s="2" t="s">
        <f>=HYPERLINK("https://main.knesset.gov.il/APPS/legislation/main/bills/2209858", "הצעת חוק לתיקון פקודת מס הכנסה (שווי השימוש ברכב או ברדיו טלפון נייד), התשפ""ד-2023 ")</f>
        <v>7886</v>
      </c>
      <c r="E3728" t="s">
        <v>7886</v>
      </c>
      <c r="F3728" t="s">
        <v>7887</v>
      </c>
      <c r="G3728" t="s">
        <v>14</v>
      </c>
      <c r="H3728">
             </c>
      <c r="I3728" t="s">
        <v>14</v>
      </c>
      <c r="J3728" t="s">
        <v>141</v>
      </c>
      <c r="K3728" t="s">
        <v>14</v>
      </c>
      <c r="L3728" t="s">
        <v>20</v>
      </c>
      <c r="M3728" t="s">
        <v>7776</v>
      </c>
      <c r="N3728" t="s">
        <v>14</v>
      </c>
    </row>
    <row r="3729" x14ac:dyDescent="0.25">
      <c r="A3729" t="n">
        <v>25</v>
      </c>
      <c r="B3729" t="s">
        <v>14</v>
      </c>
      <c r="C3729" t="s">
        <v>22</v>
      </c>
      <c r="D3729" s="2" t="s">
        <f>=HYPERLINK("https://main.knesset.gov.il/APPS/legislation/main/bills/2209734", "הצעת חוק משק החשמל (תיקון - תשלומי חשמל מופחתים בשל ילד עם מוגבלות), התשפ""ד-2023")</f>
        <v>7888</v>
      </c>
      <c r="E3729" t="s">
        <v>7888</v>
      </c>
      <c r="F3729" t="s">
        <v>7889</v>
      </c>
      <c r="G3729" t="s">
        <v>14</v>
      </c>
      <c r="H3729">
             </c>
      <c r="I3729" t="s">
        <v>14</v>
      </c>
      <c r="J3729" t="s">
        <v>141</v>
      </c>
      <c r="K3729" t="s">
        <v>14</v>
      </c>
      <c r="L3729" t="s">
        <v>20</v>
      </c>
      <c r="M3729" t="s">
        <v>7776</v>
      </c>
      <c r="N3729" t="s">
        <v>14</v>
      </c>
    </row>
    <row r="3730" x14ac:dyDescent="0.25">
      <c r="A3730" t="n">
        <v>25</v>
      </c>
      <c r="B3730" t="s">
        <v>14</v>
      </c>
      <c r="C3730" t="s">
        <v>22</v>
      </c>
      <c r="D3730" s="2" t="s">
        <f>=HYPERLINK("https://main.knesset.gov.il/APPS/legislation/main/bills/2209557", "הצעת חוק הסדרת העיסוק בייצוג על ידי יועצי מס (תיקון - היתר לבעל רישיון פנסיוני לייצג לפני רשות מס), התשפ""ד-2023")</f>
        <v>7890</v>
      </c>
      <c r="E3730" t="s">
        <v>7890</v>
      </c>
      <c r="F3730" t="s">
        <v>7891</v>
      </c>
      <c r="G3730" t="s">
        <v>14</v>
      </c>
      <c r="H3730">
             </c>
      <c r="I3730" t="s">
        <v>14</v>
      </c>
      <c r="J3730" t="s">
        <v>141</v>
      </c>
      <c r="K3730" t="s">
        <v>14</v>
      </c>
      <c r="L3730" t="s">
        <v>20</v>
      </c>
      <c r="M3730" t="s">
        <v>7776</v>
      </c>
      <c r="N3730" t="s">
        <v>14</v>
      </c>
    </row>
    <row r="3731" x14ac:dyDescent="0.25">
      <c r="A3731" t="n">
        <v>25</v>
      </c>
      <c r="B3731" t="s">
        <v>14</v>
      </c>
      <c r="C3731" t="s">
        <v>22</v>
      </c>
      <c r="D3731" s="2" t="s">
        <f>=HYPERLINK("https://main.knesset.gov.il/APPS/legislation/main/bills/2209513", "הצעת חוק-יסוד: כבוד האדם וחירותו (תיקון - הזכות לשוויון)")</f>
        <v>2676</v>
      </c>
      <c r="E3731" t="s">
        <v>2676</v>
      </c>
      <c r="F3731" t="s">
        <v>7892</v>
      </c>
      <c r="G3731" t="s">
        <v>14</v>
      </c>
      <c r="H3731">
             </c>
      <c r="I3731" t="s">
        <v>14</v>
      </c>
      <c r="J3731" t="s">
        <v>141</v>
      </c>
      <c r="K3731" t="s">
        <v>14</v>
      </c>
      <c r="L3731" t="s">
        <v>20</v>
      </c>
      <c r="M3731" t="s">
        <v>7776</v>
      </c>
      <c r="N3731" t="s">
        <v>14</v>
      </c>
    </row>
    <row r="3732" x14ac:dyDescent="0.25">
      <c r="A3732" t="n">
        <v>25</v>
      </c>
      <c r="B3732" t="s">
        <v>14</v>
      </c>
      <c r="C3732" t="s">
        <v>22</v>
      </c>
      <c r="D3732" s="2" t="s">
        <f>=HYPERLINK("https://main.knesset.gov.il/APPS/legislation/main/bills/2209383", "הצעת חוק מאבק בנטילת דמי חסות (אכיפה וענישה) (תיקוני חקיקה והוראת שעה), התשפ""ד-2023")</f>
        <v>7893</v>
      </c>
      <c r="E3732" t="s">
        <v>7893</v>
      </c>
      <c r="F3732" t="s">
        <v>7894</v>
      </c>
      <c r="G3732" t="s">
        <v>14</v>
      </c>
      <c r="H3732">
             </c>
      <c r="I3732" t="s">
        <v>14</v>
      </c>
      <c r="J3732" t="s">
        <v>141</v>
      </c>
      <c r="K3732" t="s">
        <v>14</v>
      </c>
      <c r="L3732" t="s">
        <v>20</v>
      </c>
      <c r="M3732" t="s">
        <v>7776</v>
      </c>
      <c r="N3732" t="s">
        <v>14</v>
      </c>
    </row>
    <row r="3733" x14ac:dyDescent="0.25">
      <c r="A3733" t="n">
        <v>25</v>
      </c>
      <c r="B3733" t="s">
        <v>14</v>
      </c>
      <c r="C3733" t="s">
        <v>22</v>
      </c>
      <c r="D3733" s="2" t="s">
        <f>=HYPERLINK("https://main.knesset.gov.il/APPS/legislation/main/bills/2209490", "הצעת חוק חניה לנכים (תיקון - זכאות תג נכה לצמיתות), התשפ""ד-2023")</f>
        <v>7895</v>
      </c>
      <c r="E3733" t="s">
        <v>7895</v>
      </c>
      <c r="F3733" t="s">
        <v>7896</v>
      </c>
      <c r="G3733" t="s">
        <v>14</v>
      </c>
      <c r="H3733">
             </c>
      <c r="I3733" t="s">
        <v>14</v>
      </c>
      <c r="J3733" t="s">
        <v>343</v>
      </c>
      <c r="K3733" t="s">
        <v>14</v>
      </c>
      <c r="L3733" t="s">
        <v>20</v>
      </c>
      <c r="M3733" t="s">
        <v>7776</v>
      </c>
      <c r="N3733" t="s">
        <v>14</v>
      </c>
    </row>
    <row r="3734" x14ac:dyDescent="0.25">
      <c r="A3734" t="n">
        <v>25</v>
      </c>
      <c r="B3734" t="s">
        <v>14</v>
      </c>
      <c r="C3734" t="s">
        <v>22</v>
      </c>
      <c r="D3734" s="2" t="s">
        <f>=HYPERLINK("https://main.knesset.gov.il/APPS/legislation/main/bills/2209487", "הצעת חוק לתיקון פקודת התעבורה (מחירי חניה ברשויות מקומיות), התשפ""ד-2023")</f>
        <v>7897</v>
      </c>
      <c r="E3734" t="s">
        <v>7897</v>
      </c>
      <c r="F3734" t="s">
        <v>7898</v>
      </c>
      <c r="G3734" t="s">
        <v>14</v>
      </c>
      <c r="H3734">
             </c>
      <c r="I3734" t="s">
        <v>14</v>
      </c>
      <c r="J3734" t="s">
        <v>141</v>
      </c>
      <c r="K3734" t="s">
        <v>14</v>
      </c>
      <c r="L3734" t="s">
        <v>20</v>
      </c>
      <c r="M3734" t="s">
        <v>7776</v>
      </c>
      <c r="N3734" t="s">
        <v>14</v>
      </c>
    </row>
    <row r="3735" x14ac:dyDescent="0.25">
      <c r="A3735" t="n">
        <v>25</v>
      </c>
      <c r="B3735" t="s">
        <v>14</v>
      </c>
      <c r="C3735" t="s">
        <v>22</v>
      </c>
      <c r="D3735" s="2" t="s">
        <f>=HYPERLINK("https://main.knesset.gov.il/APPS/legislation/main/bills/2209736", "הצעת חוק סיוע לצעירים חסרי עורף משפחתי, התשפ""ד-2023")</f>
        <v>7899</v>
      </c>
      <c r="E3735" t="s">
        <v>7899</v>
      </c>
      <c r="F3735" t="s">
        <v>7900</v>
      </c>
      <c r="G3735" t="s">
        <v>14</v>
      </c>
      <c r="H3735">
             </c>
      <c r="I3735" t="s">
        <v>14</v>
      </c>
      <c r="J3735" t="s">
        <v>343</v>
      </c>
      <c r="K3735" t="s">
        <v>14</v>
      </c>
      <c r="L3735" t="s">
        <v>20</v>
      </c>
      <c r="M3735" t="s">
        <v>7776</v>
      </c>
      <c r="N3735" t="s">
        <v>14</v>
      </c>
    </row>
    <row r="3736" x14ac:dyDescent="0.25">
      <c r="A3736" t="n">
        <v>25</v>
      </c>
      <c r="B3736" t="s">
        <v>14</v>
      </c>
      <c r="C3736" t="s">
        <v>22</v>
      </c>
      <c r="D3736" s="2" t="s">
        <f>=HYPERLINK("https://main.knesset.gov.il/APPS/legislation/main/bills/2209242", "הצעת חוק חינוך ממלכתי (תיקון - סמכויות המועצה לחינוך ממלכתי דתי), התשפ""ד-2023")</f>
        <v>7840</v>
      </c>
      <c r="E3736" t="s">
        <v>7840</v>
      </c>
      <c r="F3736" t="s">
        <v>7901</v>
      </c>
      <c r="G3736" t="s">
        <v>14</v>
      </c>
      <c r="H3736">
             </c>
      <c r="I3736" t="s">
        <v>14</v>
      </c>
      <c r="J3736" t="s">
        <v>141</v>
      </c>
      <c r="K3736" t="s">
        <v>14</v>
      </c>
      <c r="L3736" t="s">
        <v>20</v>
      </c>
      <c r="M3736" t="s">
        <v>7776</v>
      </c>
      <c r="N3736" t="s">
        <v>14</v>
      </c>
    </row>
    <row r="3737" x14ac:dyDescent="0.25">
      <c r="A3737" t="n">
        <v>25</v>
      </c>
      <c r="B3737" t="s">
        <v>14</v>
      </c>
      <c r="C3737" t="s">
        <v>22</v>
      </c>
      <c r="D3737" s="2" t="s">
        <f>=HYPERLINK("https://main.knesset.gov.il/APPS/legislation/main/bills/2207392", "הצעת חוק להקמת אוניברסיטה בעיר אשדוד, התשפ""ד-2023")</f>
        <v>7902</v>
      </c>
      <c r="E3737" t="s">
        <v>7902</v>
      </c>
      <c r="F3737" t="s">
        <v>7903</v>
      </c>
      <c r="G3737" t="s">
        <v>14</v>
      </c>
      <c r="H3737">
             </c>
      <c r="I3737" t="s">
        <v>14</v>
      </c>
      <c r="J3737" t="s">
        <v>141</v>
      </c>
      <c r="K3737" t="s">
        <v>14</v>
      </c>
      <c r="L3737" t="s">
        <v>20</v>
      </c>
      <c r="M3737" t="s">
        <v>7776</v>
      </c>
      <c r="N3737" t="s">
        <v>14</v>
      </c>
    </row>
    <row r="3738" x14ac:dyDescent="0.25">
      <c r="A3738" t="n">
        <v>25</v>
      </c>
      <c r="B3738" t="s">
        <v>14</v>
      </c>
      <c r="C3738" t="s">
        <v>22</v>
      </c>
      <c r="D3738" s="2" t="s">
        <f>=HYPERLINK("https://main.knesset.gov.il/APPS/legislation/main/bills/2209879", "הצעת חוק העונשין (תיקון - העלבת חייל והפרעה לחייל במילוי תפקידו), התשפ""ד-2023")</f>
        <v>7904</v>
      </c>
      <c r="E3738" t="s">
        <v>7904</v>
      </c>
      <c r="F3738" t="s">
        <v>7905</v>
      </c>
      <c r="G3738" t="s">
        <v>14</v>
      </c>
      <c r="H3738">
             </c>
      <c r="I3738" t="s">
        <v>14</v>
      </c>
      <c r="J3738" t="s">
        <v>141</v>
      </c>
      <c r="K3738" t="s">
        <v>14</v>
      </c>
      <c r="L3738" t="s">
        <v>20</v>
      </c>
      <c r="M3738" t="s">
        <v>7776</v>
      </c>
      <c r="N3738" t="s">
        <v>14</v>
      </c>
    </row>
    <row r="3739" x14ac:dyDescent="0.25">
      <c r="A3739" t="n">
        <v>25</v>
      </c>
      <c r="B3739" t="s">
        <v>14</v>
      </c>
      <c r="C3739" t="s">
        <v>22</v>
      </c>
      <c r="D3739" s="2" t="s">
        <f>=HYPERLINK("https://main.knesset.gov.il/APPS/legislation/main/bills/2209128", "הצעת חוק לתיקון פקודת התעבורה (פיצוי כספי בגין איחור אוטובוס), התשפ""ד-2023")</f>
        <v>7906</v>
      </c>
      <c r="E3739" t="s">
        <v>7906</v>
      </c>
      <c r="F3739" t="s">
        <v>7907</v>
      </c>
      <c r="G3739" t="s">
        <v>14</v>
      </c>
      <c r="H3739">
             </c>
      <c r="I3739" t="s">
        <v>14</v>
      </c>
      <c r="J3739" t="s">
        <v>141</v>
      </c>
      <c r="K3739" t="s">
        <v>14</v>
      </c>
      <c r="L3739" t="s">
        <v>20</v>
      </c>
      <c r="M3739" t="s">
        <v>7776</v>
      </c>
      <c r="N3739" t="s">
        <v>14</v>
      </c>
    </row>
    <row r="3740" x14ac:dyDescent="0.25">
      <c r="A3740" t="n">
        <v>25</v>
      </c>
      <c r="B3740" t="s">
        <v>14</v>
      </c>
      <c r="C3740" t="s">
        <v>22</v>
      </c>
      <c r="D3740" s="2" t="s">
        <f>=HYPERLINK("https://main.knesset.gov.il/APPS/legislation/main/bills/2209393", "הצעת חוק שוויון זכויות לאנשים עם מוגבלות (תיקון - חובת נגישות באוטובוסים בין-עירוניים), התשפ""ד-2023")</f>
        <v>7908</v>
      </c>
      <c r="E3740" t="s">
        <v>7908</v>
      </c>
      <c r="F3740" t="s">
        <v>7909</v>
      </c>
      <c r="G3740" t="s">
        <v>14</v>
      </c>
      <c r="H3740">
             </c>
      <c r="I3740" t="s">
        <v>14</v>
      </c>
      <c r="J3740" t="s">
        <v>141</v>
      </c>
      <c r="K3740" t="s">
        <v>14</v>
      </c>
      <c r="L3740" t="s">
        <v>20</v>
      </c>
      <c r="M3740" t="s">
        <v>7776</v>
      </c>
      <c r="N3740" t="s">
        <v>14</v>
      </c>
    </row>
    <row r="3741" x14ac:dyDescent="0.25">
      <c r="A3741" t="n">
        <v>25</v>
      </c>
      <c r="B3741" t="s">
        <v>14</v>
      </c>
      <c r="C3741" t="s">
        <v>22</v>
      </c>
      <c r="D3741" s="2" t="s">
        <f>=HYPERLINK("https://main.knesset.gov.il/APPS/legislation/main/bills/2203635", "הצעת חוק למניעת הטרדה מינית (תיקון - חובת הדרכה שנתית), התשפ""ד-2023")</f>
        <v>7910</v>
      </c>
      <c r="E3741" t="s">
        <v>7910</v>
      </c>
      <c r="F3741" t="s">
        <v>7911</v>
      </c>
      <c r="G3741" t="s">
        <v>14</v>
      </c>
      <c r="H3741">
             </c>
      <c r="I3741" t="s">
        <v>14</v>
      </c>
      <c r="J3741" t="s">
        <v>141</v>
      </c>
      <c r="K3741" t="s">
        <v>14</v>
      </c>
      <c r="L3741" t="s">
        <v>20</v>
      </c>
      <c r="M3741" t="s">
        <v>7776</v>
      </c>
      <c r="N3741" t="s">
        <v>14</v>
      </c>
    </row>
    <row r="3742" x14ac:dyDescent="0.25">
      <c r="A3742" t="n">
        <v>25</v>
      </c>
      <c r="B3742" t="s">
        <v>14</v>
      </c>
      <c r="C3742" t="s">
        <v>22</v>
      </c>
      <c r="D3742" s="2" t="s">
        <f>=HYPERLINK("https://main.knesset.gov.il/APPS/legislation/main/bills/2209524", "הצעת חוק הביטוח הלאומי (תיקון - הכרה בפגיעה מינית בעבודה כתאונת עבודה), התשפ""ד-2023")</f>
        <v>7912</v>
      </c>
      <c r="E3742" t="s">
        <v>7912</v>
      </c>
      <c r="F3742" t="s">
        <v>7913</v>
      </c>
      <c r="G3742" t="s">
        <v>14</v>
      </c>
      <c r="H3742">
             </c>
      <c r="I3742" t="s">
        <v>14</v>
      </c>
      <c r="J3742" t="s">
        <v>141</v>
      </c>
      <c r="K3742" t="s">
        <v>14</v>
      </c>
      <c r="L3742" t="s">
        <v>20</v>
      </c>
      <c r="M3742" t="s">
        <v>7776</v>
      </c>
      <c r="N3742" t="s">
        <v>14</v>
      </c>
    </row>
    <row r="3743" x14ac:dyDescent="0.25">
      <c r="A3743" t="n">
        <v>25</v>
      </c>
      <c r="B3743" t="s">
        <v>14</v>
      </c>
      <c r="C3743" t="s">
        <v>22</v>
      </c>
      <c r="D3743" s="2" t="s">
        <f>=HYPERLINK("https://main.knesset.gov.il/APPS/legislation/main/bills/2209729", "הצעת חוק הבטחת מסגרת השמה חוץ-ביתית לקטינים נזקקים, התשפ""ד-2023")</f>
        <v>7914</v>
      </c>
      <c r="E3743" t="s">
        <v>7914</v>
      </c>
      <c r="F3743" t="s">
        <v>7915</v>
      </c>
      <c r="G3743" t="s">
        <v>14</v>
      </c>
      <c r="H3743">
             </c>
      <c r="I3743" t="s">
        <v>14</v>
      </c>
      <c r="J3743" t="s">
        <v>141</v>
      </c>
      <c r="K3743" t="s">
        <v>14</v>
      </c>
      <c r="L3743" t="s">
        <v>20</v>
      </c>
      <c r="M3743" t="s">
        <v>7776</v>
      </c>
      <c r="N3743" t="s">
        <v>14</v>
      </c>
    </row>
    <row r="3744" x14ac:dyDescent="0.25">
      <c r="A3744" t="n">
        <v>25</v>
      </c>
      <c r="B3744" t="s">
        <v>14</v>
      </c>
      <c r="C3744" t="s">
        <v>22</v>
      </c>
      <c r="D3744" s="2" t="s">
        <f>=HYPERLINK("https://main.knesset.gov.il/APPS/legislation/main/bills/2209528", "הצעת חוק הבטחת מסגרת השמה חוץ-ביתית לקטינים נזקקים, התשפ""ד-2023")</f>
        <v>7914</v>
      </c>
      <c r="E3744" t="s">
        <v>7914</v>
      </c>
      <c r="F3744" t="s">
        <v>7916</v>
      </c>
      <c r="G3744" t="s">
        <v>14</v>
      </c>
      <c r="H3744">
             </c>
      <c r="I3744" t="s">
        <v>14</v>
      </c>
      <c r="J3744" t="s">
        <v>141</v>
      </c>
      <c r="K3744" t="s">
        <v>14</v>
      </c>
      <c r="L3744" t="s">
        <v>20</v>
      </c>
      <c r="M3744" t="s">
        <v>7776</v>
      </c>
      <c r="N3744" t="s">
        <v>14</v>
      </c>
    </row>
    <row r="3745" x14ac:dyDescent="0.25">
      <c r="A3745" t="n">
        <v>25</v>
      </c>
      <c r="B3745" t="s">
        <v>14</v>
      </c>
      <c r="C3745" t="s">
        <v>22</v>
      </c>
      <c r="D3745" s="2" t="s">
        <f>=HYPERLINK("https://main.knesset.gov.il/APPS/legislation/main/bills/2209375", "הצעת חוק איסור חקירה בדבר עברו המיני של נפגע עבירה (תיקוני חקיקה), התשפ""ד-2023")</f>
        <v>7917</v>
      </c>
      <c r="E3745" t="s">
        <v>7917</v>
      </c>
      <c r="F3745" t="s">
        <v>7918</v>
      </c>
      <c r="G3745" t="s">
        <v>14</v>
      </c>
      <c r="H3745">
             </c>
      <c r="I3745" t="s">
        <v>14</v>
      </c>
      <c r="J3745" t="s">
        <v>141</v>
      </c>
      <c r="K3745" t="s">
        <v>14</v>
      </c>
      <c r="L3745" t="s">
        <v>20</v>
      </c>
      <c r="M3745" t="s">
        <v>7776</v>
      </c>
      <c r="N3745" t="s">
        <v>14</v>
      </c>
    </row>
    <row r="3746" x14ac:dyDescent="0.25">
      <c r="A3746" t="n">
        <v>25</v>
      </c>
      <c r="B3746" t="s">
        <v>14</v>
      </c>
      <c r="C3746" t="s">
        <v>22</v>
      </c>
      <c r="D3746" s="2" t="s">
        <f>=HYPERLINK("https://main.knesset.gov.il/APPS/legislation/main/bills/2208395", "הצעת חוק איסור חקירה בדבר עברו המיני של נפגע עבירה (תיקוני חקיקה), התשפ""ד-2023")</f>
        <v>7917</v>
      </c>
      <c r="E3746" t="s">
        <v>7917</v>
      </c>
      <c r="F3746" t="s">
        <v>7919</v>
      </c>
      <c r="G3746" t="s">
        <v>14</v>
      </c>
      <c r="H3746">
             </c>
      <c r="I3746" t="s">
        <v>14</v>
      </c>
      <c r="J3746" t="s">
        <v>141</v>
      </c>
      <c r="K3746" t="s">
        <v>14</v>
      </c>
      <c r="L3746" t="s">
        <v>20</v>
      </c>
      <c r="M3746" t="s">
        <v>7776</v>
      </c>
      <c r="N3746" t="s">
        <v>14</v>
      </c>
    </row>
    <row r="3747" x14ac:dyDescent="0.25">
      <c r="A3747" t="n">
        <v>25</v>
      </c>
      <c r="B3747" t="s">
        <v>14</v>
      </c>
      <c r="C3747" t="s">
        <v>22</v>
      </c>
      <c r="D3747" s="2" t="s">
        <f>=HYPERLINK("https://main.knesset.gov.il/APPS/legislation/main/bills/2209555", "הצעת חוק שירותי הסעד (תיקון - איסור התניית מימון שירותי רווחה ברשויות מוחלשות), התשפ""ד-2023")</f>
        <v>7920</v>
      </c>
      <c r="E3747" t="s">
        <v>7920</v>
      </c>
      <c r="F3747" t="s">
        <v>7921</v>
      </c>
      <c r="G3747" t="s">
        <v>14</v>
      </c>
      <c r="H3747">
             </c>
      <c r="I3747" t="s">
        <v>14</v>
      </c>
      <c r="J3747" t="s">
        <v>141</v>
      </c>
      <c r="K3747" t="s">
        <v>14</v>
      </c>
      <c r="L3747" t="s">
        <v>20</v>
      </c>
      <c r="M3747" t="s">
        <v>7776</v>
      </c>
      <c r="N3747" t="s">
        <v>14</v>
      </c>
    </row>
    <row r="3748" x14ac:dyDescent="0.25">
      <c r="A3748" t="n">
        <v>25</v>
      </c>
      <c r="B3748" t="s">
        <v>14</v>
      </c>
      <c r="C3748" t="s">
        <v>15</v>
      </c>
      <c r="D3748" s="2" t="s">
        <f>=HYPERLINK("https://main.knesset.gov.il/APPS/legislation/main/bills/2208654", "חוק שחרור על-תנאי ממאסר (תיקון מס' 17 – הוראת שעה) (תיקון מס' 3), התשפ""ד-2023")</f>
        <v>7922</v>
      </c>
      <c r="E3748" t="s">
        <v>7922</v>
      </c>
      <c r="F3748" t="s">
        <v>14</v>
      </c>
      <c r="G3748" t="s">
        <v>7923</v>
      </c>
      <c r="H3748" t="n">
        <v>3090</v>
      </c>
      <c r="I3748" t="s">
        <v>14</v>
      </c>
      <c r="J3748" t="s">
        <v>91</v>
      </c>
      <c r="K3748" t="s">
        <v>105</v>
      </c>
      <c r="L3748" t="s">
        <v>20</v>
      </c>
      <c r="M3748" t="s">
        <v>7924</v>
      </c>
      <c r="N3748" t="s">
        <v>7925</v>
      </c>
    </row>
    <row r="3749" x14ac:dyDescent="0.25">
      <c r="A3749" t="n">
        <v>25</v>
      </c>
      <c r="B3749" t="s">
        <v>14</v>
      </c>
      <c r="C3749" t="s">
        <v>22</v>
      </c>
      <c r="D3749" s="2" t="s">
        <f>=HYPERLINK("https://main.knesset.gov.il/APPS/legislation/main/bills/2202845", "הצעת חוק לתיקון פקודת התעבורה (חובת נשיאת לוחית זיהוי באופניים ממונעים ובקורקינט ממונע), התשפ""ג-2023")</f>
        <v>7926</v>
      </c>
      <c r="E3749" t="s">
        <v>7926</v>
      </c>
      <c r="F3749" t="s">
        <v>7927</v>
      </c>
      <c r="G3749" t="s">
        <v>14</v>
      </c>
      <c r="H3749">
             </c>
      <c r="I3749" t="s">
        <v>14</v>
      </c>
      <c r="J3749" t="s">
        <v>31</v>
      </c>
      <c r="K3749" t="s">
        <v>19</v>
      </c>
      <c r="L3749" t="s">
        <v>20</v>
      </c>
      <c r="M3749" t="s">
        <v>7928</v>
      </c>
      <c r="N3749" t="s">
        <v>14</v>
      </c>
    </row>
    <row r="3750" x14ac:dyDescent="0.25">
      <c r="A3750" t="n">
        <v>25</v>
      </c>
      <c r="B3750" t="s">
        <v>14</v>
      </c>
      <c r="C3750" t="s">
        <v>22</v>
      </c>
      <c r="D3750" s="2" t="s">
        <f>=HYPERLINK("https://main.knesset.gov.il/APPS/legislation/main/bills/2196346", "הצעת חוק לתיקון פקודת התעבורה (חובת נשיאת לוחית זיהוי באופניים ממונעים ובקורקינט ממונע), התשפ""ג-2022")</f>
        <v>7929</v>
      </c>
      <c r="E3750" t="s">
        <v>7929</v>
      </c>
      <c r="F3750" t="s">
        <v>7930</v>
      </c>
      <c r="G3750" t="s">
        <v>14</v>
      </c>
      <c r="H3750">
             </c>
      <c r="I3750" t="s">
        <v>14</v>
      </c>
      <c r="J3750" t="s">
        <v>31</v>
      </c>
      <c r="K3750" t="s">
        <v>19</v>
      </c>
      <c r="L3750" t="s">
        <v>20</v>
      </c>
      <c r="M3750" t="s">
        <v>7928</v>
      </c>
      <c r="N3750" t="s">
        <v>14</v>
      </c>
    </row>
    <row r="3751" x14ac:dyDescent="0.25">
      <c r="A3751" t="n">
        <v>25</v>
      </c>
      <c r="B3751" t="s">
        <v>14</v>
      </c>
      <c r="C3751" t="s">
        <v>15</v>
      </c>
      <c r="D3751" s="2" t="s">
        <f>=HYPERLINK("https://main.knesset.gov.il/APPS/legislation/main/bills/2190785", "חוק תשלומים לחיילים בשירות סדיר (הגנה על תשלומים) (תיקון מס' 2), התשפ""ג-2023")</f>
        <v>7931</v>
      </c>
      <c r="E3751" t="s">
        <v>7931</v>
      </c>
      <c r="F3751" t="s">
        <v>14</v>
      </c>
      <c r="G3751" t="s">
        <v>7932</v>
      </c>
      <c r="H3751" t="n">
        <v>3089</v>
      </c>
      <c r="I3751" t="s">
        <v>14</v>
      </c>
      <c r="J3751" t="s">
        <v>91</v>
      </c>
      <c r="K3751" t="s">
        <v>127</v>
      </c>
      <c r="L3751" t="s">
        <v>20</v>
      </c>
      <c r="M3751" t="s">
        <v>7933</v>
      </c>
      <c r="N3751" t="s">
        <v>7934</v>
      </c>
    </row>
    <row r="3752" x14ac:dyDescent="0.25">
      <c r="A3752" t="n">
        <v>25</v>
      </c>
      <c r="B3752" t="s">
        <v>14</v>
      </c>
      <c r="C3752" t="s">
        <v>22</v>
      </c>
      <c r="D3752" s="2" t="s">
        <f>=HYPERLINK("https://main.knesset.gov.il/APPS/legislation/main/bills/2202520", "הצעת חוק לתיקון פקודת העיריות (צדק חלוקתי בכל הרשויות המתוקצבות במדינת ישראל), התשפ""ג-2023")</f>
        <v>7935</v>
      </c>
      <c r="E3752" t="s">
        <v>7935</v>
      </c>
      <c r="F3752" t="s">
        <v>7936</v>
      </c>
      <c r="G3752" t="s">
        <v>14</v>
      </c>
      <c r="H3752">
             </c>
      <c r="I3752" t="s">
        <v>14</v>
      </c>
      <c r="J3752" t="s">
        <v>31</v>
      </c>
      <c r="K3752" t="s">
        <v>46</v>
      </c>
      <c r="L3752" t="s">
        <v>20</v>
      </c>
      <c r="M3752" t="s">
        <v>7933</v>
      </c>
      <c r="N3752" t="s">
        <v>14</v>
      </c>
    </row>
    <row r="3753" x14ac:dyDescent="0.25">
      <c r="A3753" t="n">
        <v>25</v>
      </c>
      <c r="B3753" t="s">
        <v>14</v>
      </c>
      <c r="C3753" t="s">
        <v>22</v>
      </c>
      <c r="D3753" s="2" t="s">
        <f>=HYPERLINK("https://main.knesset.gov.il/APPS/legislation/main/bills/2196687", "הצעת חוק לתיקון פקודת העיריות (צדק חלוקתי בכל הרשויות המתוקצבות במדינת ישראל), התשפ""ג-2022")</f>
        <v>7937</v>
      </c>
      <c r="E3753" t="s">
        <v>7937</v>
      </c>
      <c r="F3753" t="s">
        <v>7938</v>
      </c>
      <c r="G3753" t="s">
        <v>14</v>
      </c>
      <c r="H3753">
             </c>
      <c r="I3753" t="s">
        <v>14</v>
      </c>
      <c r="J3753" t="s">
        <v>31</v>
      </c>
      <c r="K3753" t="s">
        <v>46</v>
      </c>
      <c r="L3753" t="s">
        <v>20</v>
      </c>
      <c r="M3753" t="s">
        <v>7933</v>
      </c>
      <c r="N3753" t="s">
        <v>14</v>
      </c>
    </row>
    <row r="3754" x14ac:dyDescent="0.25">
      <c r="A3754" t="n">
        <v>25</v>
      </c>
      <c r="B3754" t="s">
        <v>14</v>
      </c>
      <c r="C3754" t="s">
        <v>15</v>
      </c>
      <c r="D3754" s="2" t="s">
        <f>=HYPERLINK("https://main.knesset.gov.il/APPS/legislation/main/bills/2209061", "הצעת חוק התכנון והבנייה (תיקון מס' 146), התשפ""ג-2023")</f>
        <v>7939</v>
      </c>
      <c r="E3754" t="s">
        <v>7939</v>
      </c>
      <c r="F3754" t="s">
        <v>14</v>
      </c>
      <c r="G3754" t="s">
        <v>7940</v>
      </c>
      <c r="H3754">
             </c>
      <c r="I3754" t="s">
        <v>14</v>
      </c>
      <c r="J3754" t="s">
        <v>18</v>
      </c>
      <c r="K3754" t="s">
        <v>46</v>
      </c>
      <c r="L3754" t="s">
        <v>20</v>
      </c>
      <c r="M3754" t="s">
        <v>7933</v>
      </c>
      <c r="N3754" t="s">
        <v>14</v>
      </c>
    </row>
    <row r="3755" x14ac:dyDescent="0.25">
      <c r="A3755" t="n">
        <v>25</v>
      </c>
      <c r="B3755" t="s">
        <v>14</v>
      </c>
      <c r="C3755" t="s">
        <v>15</v>
      </c>
      <c r="D3755" s="2" t="s">
        <f>=HYPERLINK("https://main.knesset.gov.il/APPS/legislation/main/bills/2192649", "הצעת חוק ההוצאה לפועל (תיקון מס' 71) (ריבית ודמי פיגורים), התשפ""ב-2022 ")</f>
        <v>7941</v>
      </c>
      <c r="E3755" t="s">
        <v>7941</v>
      </c>
      <c r="F3755" t="s">
        <v>14</v>
      </c>
      <c r="G3755" t="s">
        <v>7637</v>
      </c>
      <c r="H3755">
             </c>
      <c r="I3755" t="s">
        <v>379</v>
      </c>
      <c r="J3755" t="s">
        <v>18</v>
      </c>
      <c r="K3755" t="s">
        <v>27</v>
      </c>
      <c r="L3755" t="s">
        <v>20</v>
      </c>
      <c r="M3755" t="s">
        <v>7942</v>
      </c>
      <c r="N3755" t="s">
        <v>14</v>
      </c>
    </row>
    <row r="3756" x14ac:dyDescent="0.25">
      <c r="A3756" t="n">
        <v>25</v>
      </c>
      <c r="B3756" t="s">
        <v>14</v>
      </c>
      <c r="C3756" t="s">
        <v>15</v>
      </c>
      <c r="D3756" s="2" t="s">
        <f>=HYPERLINK("https://main.knesset.gov.il/APPS/legislation/main/bills/2193186", "חוק הסדרת העיסוק במקצועות הבריאות (תיקון מס' 8), התשפ""ג-2023 ")</f>
        <v>7943</v>
      </c>
      <c r="E3756" t="s">
        <v>7943</v>
      </c>
      <c r="F3756" t="s">
        <v>14</v>
      </c>
      <c r="G3756" t="s">
        <v>7944</v>
      </c>
      <c r="H3756" t="n">
        <v>3087</v>
      </c>
      <c r="I3756" t="s">
        <v>14</v>
      </c>
      <c r="J3756" t="s">
        <v>91</v>
      </c>
      <c r="K3756" t="s">
        <v>480</v>
      </c>
      <c r="L3756" t="s">
        <v>20</v>
      </c>
      <c r="M3756" t="s">
        <v>7945</v>
      </c>
      <c r="N3756" t="s">
        <v>7946</v>
      </c>
    </row>
    <row r="3757" x14ac:dyDescent="0.25">
      <c r="A3757" t="n">
        <v>25</v>
      </c>
      <c r="B3757" t="s">
        <v>14</v>
      </c>
      <c r="C3757" t="s">
        <v>15</v>
      </c>
      <c r="D3757" s="2" t="s">
        <f>=HYPERLINK("https://main.knesset.gov.il/APPS/legislation/main/bills/2190418", "חוק כלי הירייה (תיקון מס' 24), התשפ""ג-2023")</f>
        <v>7947</v>
      </c>
      <c r="E3757" t="s">
        <v>7947</v>
      </c>
      <c r="F3757" t="s">
        <v>14</v>
      </c>
      <c r="G3757" t="s">
        <v>7948</v>
      </c>
      <c r="H3757" t="n">
        <v>3086</v>
      </c>
      <c r="I3757" t="s">
        <v>14</v>
      </c>
      <c r="J3757" t="s">
        <v>91</v>
      </c>
      <c r="K3757" t="s">
        <v>105</v>
      </c>
      <c r="L3757" t="s">
        <v>20</v>
      </c>
      <c r="M3757" t="s">
        <v>7945</v>
      </c>
      <c r="N3757" t="s">
        <v>7949</v>
      </c>
    </row>
    <row r="3758" x14ac:dyDescent="0.25">
      <c r="A3758" t="n">
        <v>25</v>
      </c>
      <c r="B3758" t="s">
        <v>14</v>
      </c>
      <c r="C3758" t="s">
        <v>22</v>
      </c>
      <c r="D3758" s="2" t="s">
        <f>=HYPERLINK("https://main.knesset.gov.il/APPS/legislation/main/bills/2161081", "חוק עבודת הנוער (תיקון מס' 21), התשפ""ג-2023")</f>
        <v>7950</v>
      </c>
      <c r="E3758" t="s">
        <v>7950</v>
      </c>
      <c r="F3758" t="s">
        <v>7951</v>
      </c>
      <c r="G3758" t="s">
        <v>7952</v>
      </c>
      <c r="H3758" t="n">
        <v>3084</v>
      </c>
      <c r="I3758" t="s">
        <v>14</v>
      </c>
      <c r="J3758" t="s">
        <v>91</v>
      </c>
      <c r="K3758" t="s">
        <v>7953</v>
      </c>
      <c r="L3758" t="s">
        <v>20</v>
      </c>
      <c r="M3758" t="s">
        <v>7945</v>
      </c>
      <c r="N3758" t="s">
        <v>7954</v>
      </c>
    </row>
    <row r="3759" x14ac:dyDescent="0.25">
      <c r="A3759" t="n">
        <v>25</v>
      </c>
      <c r="B3759" t="s">
        <v>14</v>
      </c>
      <c r="C3759" t="s">
        <v>22</v>
      </c>
      <c r="D3759" s="2" t="s">
        <f>=HYPERLINK("https://main.knesset.gov.il/APPS/legislation/main/bills/2197714", "חוק החמרת ענישה בעבירות מין על רקע לאומני (תיקוני חקיקה), התשפ""ג-2023")</f>
        <v>7955</v>
      </c>
      <c r="E3759" t="s">
        <v>7955</v>
      </c>
      <c r="F3759" t="s">
        <v>7956</v>
      </c>
      <c r="G3759" t="s">
        <v>7957</v>
      </c>
      <c r="H3759" t="n">
        <v>3083</v>
      </c>
      <c r="I3759" t="s">
        <v>14</v>
      </c>
      <c r="J3759" t="s">
        <v>91</v>
      </c>
      <c r="K3759" t="s">
        <v>14</v>
      </c>
      <c r="L3759" t="s">
        <v>20</v>
      </c>
      <c r="M3759" t="s">
        <v>7945</v>
      </c>
      <c r="N3759" t="s">
        <v>7958</v>
      </c>
    </row>
    <row r="3760" x14ac:dyDescent="0.25">
      <c r="A3760" t="n">
        <v>25</v>
      </c>
      <c r="B3760" t="s">
        <v>14</v>
      </c>
      <c r="C3760" t="s">
        <v>15</v>
      </c>
      <c r="D3760" s="2" t="s">
        <f>=HYPERLINK("https://main.knesset.gov.il/APPS/legislation/main/bills/2206851", "חוק הגנת הצרכן (תיקון מס' 66), התשפ""ג-2023")</f>
        <v>7959</v>
      </c>
      <c r="E3760" t="s">
        <v>7959</v>
      </c>
      <c r="F3760" t="s">
        <v>14</v>
      </c>
      <c r="G3760" t="s">
        <v>7960</v>
      </c>
      <c r="H3760" t="n">
        <v>3082</v>
      </c>
      <c r="I3760" t="s">
        <v>14</v>
      </c>
      <c r="J3760" t="s">
        <v>91</v>
      </c>
      <c r="K3760" t="s">
        <v>19</v>
      </c>
      <c r="L3760" t="s">
        <v>20</v>
      </c>
      <c r="M3760" t="s">
        <v>7945</v>
      </c>
      <c r="N3760" t="s">
        <v>7961</v>
      </c>
    </row>
    <row r="3761" x14ac:dyDescent="0.25">
      <c r="A3761" t="n">
        <v>25</v>
      </c>
      <c r="B3761" t="s">
        <v>14</v>
      </c>
      <c r="C3761" t="s">
        <v>15</v>
      </c>
      <c r="D3761" s="2" t="s">
        <f>=HYPERLINK("https://main.knesset.gov.il/APPS/legislation/main/bills/2205490", "חוק להסדר ההימורים בספורט (תיקון מס' 15), התשפ""ג-2023")</f>
        <v>7962</v>
      </c>
      <c r="E3761" t="s">
        <v>7962</v>
      </c>
      <c r="F3761" t="s">
        <v>14</v>
      </c>
      <c r="G3761" t="s">
        <v>7963</v>
      </c>
      <c r="H3761" t="n">
        <v>3081</v>
      </c>
      <c r="I3761" t="s">
        <v>14</v>
      </c>
      <c r="J3761" t="s">
        <v>91</v>
      </c>
      <c r="K3761" t="s">
        <v>85</v>
      </c>
      <c r="L3761" t="s">
        <v>20</v>
      </c>
      <c r="M3761" t="s">
        <v>7945</v>
      </c>
      <c r="N3761" t="s">
        <v>7964</v>
      </c>
    </row>
    <row r="3762" x14ac:dyDescent="0.25">
      <c r="A3762" t="n">
        <v>25</v>
      </c>
      <c r="B3762" t="s">
        <v>14</v>
      </c>
      <c r="C3762" t="s">
        <v>22</v>
      </c>
      <c r="D3762" s="2" t="s">
        <f>=HYPERLINK("https://main.knesset.gov.il/APPS/legislation/main/bills/2200306", "חוק העונשין (תיקון מס' 146 והוראת שעה), התשפ""ג–2023")</f>
        <v>7965</v>
      </c>
      <c r="E3762" t="s">
        <v>7965</v>
      </c>
      <c r="F3762" t="s">
        <v>7966</v>
      </c>
      <c r="G3762" t="s">
        <v>7967</v>
      </c>
      <c r="H3762" t="n">
        <v>3080</v>
      </c>
      <c r="I3762" t="s">
        <v>14</v>
      </c>
      <c r="J3762" t="s">
        <v>91</v>
      </c>
      <c r="K3762" t="s">
        <v>14</v>
      </c>
      <c r="L3762" t="s">
        <v>20</v>
      </c>
      <c r="M3762" t="s">
        <v>7945</v>
      </c>
      <c r="N3762" t="s">
        <v>7968</v>
      </c>
    </row>
    <row r="3763" x14ac:dyDescent="0.25">
      <c r="A3763" t="n">
        <v>25</v>
      </c>
      <c r="B3763" t="s">
        <v>14</v>
      </c>
      <c r="C3763" t="s">
        <v>22</v>
      </c>
      <c r="D3763" s="2" t="s">
        <f>=HYPERLINK("https://main.knesset.gov.il/APPS/legislation/main/bills/2197153", "חוק למניעת העסקה במוסדות מסוימים של מי שהורשע באלימות כלפי ילדים וחסרי ישע, התשפ""ג-2023")</f>
        <v>7969</v>
      </c>
      <c r="E3763" t="s">
        <v>7969</v>
      </c>
      <c r="F3763" t="s">
        <v>7970</v>
      </c>
      <c r="G3763" t="s">
        <v>7971</v>
      </c>
      <c r="H3763" t="n">
        <v>3079</v>
      </c>
      <c r="I3763" t="s">
        <v>14</v>
      </c>
      <c r="J3763" t="s">
        <v>91</v>
      </c>
      <c r="K3763" t="s">
        <v>34</v>
      </c>
      <c r="L3763" t="s">
        <v>20</v>
      </c>
      <c r="M3763" t="s">
        <v>7945</v>
      </c>
      <c r="N3763" t="s">
        <v>7972</v>
      </c>
    </row>
    <row r="3764" x14ac:dyDescent="0.25">
      <c r="A3764" t="n">
        <v>25</v>
      </c>
      <c r="B3764" t="s">
        <v>14</v>
      </c>
      <c r="C3764" t="s">
        <v>15</v>
      </c>
      <c r="D3764" s="2" t="s">
        <f>=HYPERLINK("https://main.knesset.gov.il/APPS/legislation/main/bills/2204193", "חוק התאגיד לפיקוח וטרינרי (תיקוני חקיקה), התשפ""ג-2023")</f>
        <v>7973</v>
      </c>
      <c r="E3764" t="s">
        <v>7973</v>
      </c>
      <c r="F3764" t="s">
        <v>14</v>
      </c>
      <c r="G3764" t="s">
        <v>110</v>
      </c>
      <c r="H3764" t="n">
        <v>3078</v>
      </c>
      <c r="I3764" t="s">
        <v>14</v>
      </c>
      <c r="J3764" t="s">
        <v>91</v>
      </c>
      <c r="K3764" t="s">
        <v>480</v>
      </c>
      <c r="L3764" t="s">
        <v>20</v>
      </c>
      <c r="M3764" t="s">
        <v>7945</v>
      </c>
      <c r="N3764" t="s">
        <v>7974</v>
      </c>
    </row>
    <row r="3765" x14ac:dyDescent="0.25">
      <c r="A3765" t="n">
        <v>25</v>
      </c>
      <c r="B3765" t="s">
        <v>14</v>
      </c>
      <c r="C3765" t="s">
        <v>22</v>
      </c>
      <c r="D3765" s="2" t="s">
        <f>=HYPERLINK("https://main.knesset.gov.il/APPS/legislation/main/bills/2207606", "חוק מיסוי תשלומים בתקופת בחירות (תיקון מס' 9 - הוראת שעה), התשפ""ג–2023")</f>
        <v>7975</v>
      </c>
      <c r="E3765" t="s">
        <v>7975</v>
      </c>
      <c r="F3765" t="s">
        <v>7976</v>
      </c>
      <c r="G3765" t="s">
        <v>7977</v>
      </c>
      <c r="H3765" t="n">
        <v>3077</v>
      </c>
      <c r="I3765" t="s">
        <v>14</v>
      </c>
      <c r="J3765" t="s">
        <v>91</v>
      </c>
      <c r="K3765" t="s">
        <v>46</v>
      </c>
      <c r="L3765" t="s">
        <v>20</v>
      </c>
      <c r="M3765" t="s">
        <v>7945</v>
      </c>
      <c r="N3765" t="s">
        <v>7978</v>
      </c>
    </row>
    <row r="3766" x14ac:dyDescent="0.25">
      <c r="A3766" t="n">
        <v>25</v>
      </c>
      <c r="B3766" t="s">
        <v>14</v>
      </c>
      <c r="C3766" t="s">
        <v>15</v>
      </c>
      <c r="D3766" s="2" t="s">
        <f>=HYPERLINK("https://main.knesset.gov.il/APPS/legislation/main/bills/2208659", "חוק שירות ביטחון (הוראת שעה) (הצבת יוצאי צבא בשירות בתי הסוהר) (תיקון מס' 11), התשפ""ג-2023")</f>
        <v>7979</v>
      </c>
      <c r="E3766" t="s">
        <v>7979</v>
      </c>
      <c r="F3766" t="s">
        <v>14</v>
      </c>
      <c r="G3766" t="s">
        <v>7980</v>
      </c>
      <c r="H3766" t="n">
        <v>3076</v>
      </c>
      <c r="I3766" t="s">
        <v>14</v>
      </c>
      <c r="J3766" t="s">
        <v>91</v>
      </c>
      <c r="K3766" t="s">
        <v>114</v>
      </c>
      <c r="L3766" t="s">
        <v>20</v>
      </c>
      <c r="M3766" t="s">
        <v>7945</v>
      </c>
      <c r="N3766" t="s">
        <v>7981</v>
      </c>
    </row>
    <row r="3767" x14ac:dyDescent="0.25">
      <c r="A3767" t="n">
        <v>25</v>
      </c>
      <c r="B3767" t="s">
        <v>14</v>
      </c>
      <c r="C3767" t="s">
        <v>15</v>
      </c>
      <c r="D3767" s="2" t="s">
        <f>=HYPERLINK("https://main.knesset.gov.il/APPS/legislation/main/bills/2207374", "חוק שירות אזרחי (תיקון מס' 4), התשפ""ג-2023")</f>
        <v>7982</v>
      </c>
      <c r="E3767" t="s">
        <v>7982</v>
      </c>
      <c r="F3767" t="s">
        <v>14</v>
      </c>
      <c r="G3767" t="s">
        <v>7983</v>
      </c>
      <c r="H3767" t="n">
        <v>3075</v>
      </c>
      <c r="I3767" t="s">
        <v>14</v>
      </c>
      <c r="J3767" t="s">
        <v>91</v>
      </c>
      <c r="K3767" t="s">
        <v>127</v>
      </c>
      <c r="L3767" t="s">
        <v>20</v>
      </c>
      <c r="M3767" t="s">
        <v>7945</v>
      </c>
      <c r="N3767" t="s">
        <v>7984</v>
      </c>
    </row>
    <row r="3768" x14ac:dyDescent="0.25">
      <c r="A3768" t="n">
        <v>25</v>
      </c>
      <c r="B3768" t="s">
        <v>14</v>
      </c>
      <c r="C3768" t="s">
        <v>15</v>
      </c>
      <c r="D3768" s="2" t="s">
        <f>=HYPERLINK("https://main.knesset.gov.il/APPS/legislation/main/bills/2208655", "חוק רישוי שירותים ומקצועות בענף הרכב (תיקון מס' 11), התשפ""ג-2023")</f>
        <v>7985</v>
      </c>
      <c r="E3768" t="s">
        <v>7985</v>
      </c>
      <c r="F3768" t="s">
        <v>14</v>
      </c>
      <c r="G3768" t="s">
        <v>7986</v>
      </c>
      <c r="H3768" t="n">
        <v>3074</v>
      </c>
      <c r="I3768" t="s">
        <v>14</v>
      </c>
      <c r="J3768" t="s">
        <v>91</v>
      </c>
      <c r="K3768" t="s">
        <v>19</v>
      </c>
      <c r="L3768" t="s">
        <v>20</v>
      </c>
      <c r="M3768" t="s">
        <v>7945</v>
      </c>
      <c r="N3768" t="s">
        <v>7987</v>
      </c>
    </row>
    <row r="3769" x14ac:dyDescent="0.25">
      <c r="A3769" t="n">
        <v>25</v>
      </c>
      <c r="B3769" t="s">
        <v>14</v>
      </c>
      <c r="C3769" t="s">
        <v>22</v>
      </c>
      <c r="D3769" s="2" t="s">
        <f>=HYPERLINK("https://main.knesset.gov.il/APPS/legislation/main/bills/2156264", "חוק ביטוח בריאות ממלכתי (תיקון מס' 67), התשפ""ג–2023")</f>
        <v>7988</v>
      </c>
      <c r="E3769" t="s">
        <v>7988</v>
      </c>
      <c r="F3769" t="s">
        <v>7989</v>
      </c>
      <c r="G3769" t="s">
        <v>7990</v>
      </c>
      <c r="H3769" t="n">
        <v>3073</v>
      </c>
      <c r="I3769" t="s">
        <v>14</v>
      </c>
      <c r="J3769" t="s">
        <v>91</v>
      </c>
      <c r="K3769" t="s">
        <v>480</v>
      </c>
      <c r="L3769" t="s">
        <v>20</v>
      </c>
      <c r="M3769" t="s">
        <v>7945</v>
      </c>
      <c r="N3769" t="s">
        <v>7991</v>
      </c>
    </row>
    <row r="3770" x14ac:dyDescent="0.25">
      <c r="A3770" t="n">
        <v>25</v>
      </c>
      <c r="B3770" t="s">
        <v>14</v>
      </c>
      <c r="C3770" t="s">
        <v>15</v>
      </c>
      <c r="D3770" s="2" t="s">
        <f>=HYPERLINK("https://main.knesset.gov.il/APPS/legislation/main/bills/2195284", "חוק הנכים (תגמולים ושיקום) (תיקון מס' 32), התשפ""ג-2023")</f>
        <v>7992</v>
      </c>
      <c r="E3770" t="s">
        <v>7992</v>
      </c>
      <c r="F3770" t="s">
        <v>14</v>
      </c>
      <c r="G3770" t="s">
        <v>7993</v>
      </c>
      <c r="H3770" t="n">
        <v>3072</v>
      </c>
      <c r="I3770" t="s">
        <v>14</v>
      </c>
      <c r="J3770" t="s">
        <v>91</v>
      </c>
      <c r="K3770" t="s">
        <v>127</v>
      </c>
      <c r="L3770" t="s">
        <v>20</v>
      </c>
      <c r="M3770" t="s">
        <v>7945</v>
      </c>
      <c r="N3770" t="s">
        <v>7994</v>
      </c>
    </row>
    <row r="3771" x14ac:dyDescent="0.25">
      <c r="A3771" t="n">
        <v>25</v>
      </c>
      <c r="B3771" t="s">
        <v>14</v>
      </c>
      <c r="C3771" t="s">
        <v>22</v>
      </c>
      <c r="D3771" s="2" t="s">
        <f>=HYPERLINK("https://main.knesset.gov.il/APPS/legislation/main/bills/2208957", "הצעת חוק זכויות הסטודנט (תיקון - התאמות לאוכלוסייה הערבית - חגים), התשפ""ג-2023")</f>
        <v>5987</v>
      </c>
      <c r="E3771" t="s">
        <v>5987</v>
      </c>
      <c r="F3771" t="s">
        <v>7995</v>
      </c>
      <c r="G3771" t="s">
        <v>14</v>
      </c>
      <c r="H3771">
             </c>
      <c r="I3771" t="s">
        <v>14</v>
      </c>
      <c r="J3771" t="s">
        <v>343</v>
      </c>
      <c r="K3771" t="s">
        <v>14</v>
      </c>
      <c r="L3771" t="s">
        <v>20</v>
      </c>
      <c r="M3771" t="s">
        <v>7996</v>
      </c>
      <c r="N3771" t="s">
        <v>14</v>
      </c>
    </row>
    <row r="3772" x14ac:dyDescent="0.25">
      <c r="A3772" t="n">
        <v>25</v>
      </c>
      <c r="B3772" t="s">
        <v>14</v>
      </c>
      <c r="C3772" t="s">
        <v>22</v>
      </c>
      <c r="D3772" s="2" t="s">
        <f>=HYPERLINK("https://main.knesset.gov.il/APPS/legislation/main/bills/2209051", "הצעת חוק סדר הדין הפלילי (סמכויות אכיפה - מעצרים) (תיקון - סייג לקביעת קצין משטרה את תנאי השחרור ממעצר המגבילים את זכות ההפגנה), התשפ""ג-2023")</f>
        <v>7997</v>
      </c>
      <c r="E3772" t="s">
        <v>7997</v>
      </c>
      <c r="F3772" t="s">
        <v>7998</v>
      </c>
      <c r="G3772" t="s">
        <v>14</v>
      </c>
      <c r="H3772">
             </c>
      <c r="I3772" t="s">
        <v>14</v>
      </c>
      <c r="J3772" t="s">
        <v>141</v>
      </c>
      <c r="K3772" t="s">
        <v>14</v>
      </c>
      <c r="L3772" t="s">
        <v>20</v>
      </c>
      <c r="M3772" t="s">
        <v>7996</v>
      </c>
      <c r="N3772" t="s">
        <v>14</v>
      </c>
    </row>
    <row r="3773" x14ac:dyDescent="0.25">
      <c r="A3773" t="n">
        <v>25</v>
      </c>
      <c r="B3773" t="s">
        <v>14</v>
      </c>
      <c r="C3773" t="s">
        <v>22</v>
      </c>
      <c r="D3773" s="2" t="s">
        <f>=HYPERLINK("https://main.knesset.gov.il/APPS/legislation/main/bills/2207001", "הצעת חוק סדר הדין הפלילי (חקירת חשודים) (תיקון - נוכחות עורך דין בחקירת חשוד בעבירות פשע), התשפ""ג-2023")</f>
        <v>7999</v>
      </c>
      <c r="E3773" t="s">
        <v>7999</v>
      </c>
      <c r="F3773" t="s">
        <v>8000</v>
      </c>
      <c r="G3773" t="s">
        <v>14</v>
      </c>
      <c r="H3773">
             </c>
      <c r="I3773" t="s">
        <v>14</v>
      </c>
      <c r="J3773" t="s">
        <v>141</v>
      </c>
      <c r="K3773" t="s">
        <v>14</v>
      </c>
      <c r="L3773" t="s">
        <v>20</v>
      </c>
      <c r="M3773" t="s">
        <v>7996</v>
      </c>
      <c r="N3773" t="s">
        <v>14</v>
      </c>
    </row>
    <row r="3774" x14ac:dyDescent="0.25">
      <c r="A3774" t="n">
        <v>25</v>
      </c>
      <c r="B3774" t="s">
        <v>14</v>
      </c>
      <c r="C3774" t="s">
        <v>22</v>
      </c>
      <c r="D3774" s="2" t="s">
        <f>=HYPERLINK("https://main.knesset.gov.il/APPS/legislation/main/bills/2208605", "הצעת חוק לתיקון פקודת בריאות העם (העדפות מתן רישיון למכשור רפואי בפריפריה), התשפ""ג-2023")</f>
        <v>8001</v>
      </c>
      <c r="E3774" t="s">
        <v>8001</v>
      </c>
      <c r="F3774" t="s">
        <v>8002</v>
      </c>
      <c r="G3774" t="s">
        <v>14</v>
      </c>
      <c r="H3774">
             </c>
      <c r="I3774" t="s">
        <v>14</v>
      </c>
      <c r="J3774" t="s">
        <v>141</v>
      </c>
      <c r="K3774" t="s">
        <v>14</v>
      </c>
      <c r="L3774" t="s">
        <v>20</v>
      </c>
      <c r="M3774" t="s">
        <v>7996</v>
      </c>
      <c r="N3774" t="s">
        <v>14</v>
      </c>
    </row>
    <row r="3775" x14ac:dyDescent="0.25">
      <c r="A3775" t="n">
        <v>25</v>
      </c>
      <c r="B3775" t="s">
        <v>14</v>
      </c>
      <c r="C3775" t="s">
        <v>22</v>
      </c>
      <c r="D3775" s="2" t="s">
        <f>=HYPERLINK("https://main.knesset.gov.il/APPS/legislation/main/bills/2207025", "הצעת חוק זכויות נפגעי ונפגעות עבירת מין או אלימות במשפחה בהליך אזרחי, התשפ""ג-2023")</f>
        <v>8003</v>
      </c>
      <c r="E3775" t="s">
        <v>8003</v>
      </c>
      <c r="F3775" t="s">
        <v>8004</v>
      </c>
      <c r="G3775" t="s">
        <v>14</v>
      </c>
      <c r="H3775">
             </c>
      <c r="I3775" t="s">
        <v>14</v>
      </c>
      <c r="J3775" t="s">
        <v>141</v>
      </c>
      <c r="K3775" t="s">
        <v>14</v>
      </c>
      <c r="L3775" t="s">
        <v>20</v>
      </c>
      <c r="M3775" t="s">
        <v>7996</v>
      </c>
      <c r="N3775" t="s">
        <v>14</v>
      </c>
    </row>
    <row r="3776" x14ac:dyDescent="0.25">
      <c r="A3776" t="n">
        <v>25</v>
      </c>
      <c r="B3776" t="s">
        <v>14</v>
      </c>
      <c r="C3776" t="s">
        <v>22</v>
      </c>
      <c r="D3776" s="2" t="s">
        <f>=HYPERLINK("https://main.knesset.gov.il/APPS/legislation/main/bills/2209235", "הצעת חוק זכויות מבצעים ומשדרים (תיקון - הרחבת היקף הזכויות), התשפ""ג-2023")</f>
        <v>8005</v>
      </c>
      <c r="E3776" t="s">
        <v>8005</v>
      </c>
      <c r="F3776" t="s">
        <v>8006</v>
      </c>
      <c r="G3776" t="s">
        <v>14</v>
      </c>
      <c r="H3776">
             </c>
      <c r="I3776" t="s">
        <v>14</v>
      </c>
      <c r="J3776" t="s">
        <v>141</v>
      </c>
      <c r="K3776" t="s">
        <v>14</v>
      </c>
      <c r="L3776" t="s">
        <v>20</v>
      </c>
      <c r="M3776" t="s">
        <v>7996</v>
      </c>
      <c r="N3776" t="s">
        <v>14</v>
      </c>
    </row>
    <row r="3777" x14ac:dyDescent="0.25">
      <c r="A3777" t="n">
        <v>25</v>
      </c>
      <c r="B3777" t="s">
        <v>14</v>
      </c>
      <c r="C3777" t="s">
        <v>22</v>
      </c>
      <c r="D3777" s="2" t="s">
        <f>=HYPERLINK("https://main.knesset.gov.il/APPS/legislation/main/bills/2209218", "הצעת חוק הכשרות לאנשי מקצוע בנושא זיהוי ודיווח על התעללות בילדים, התשפ""ג-2023")</f>
        <v>8007</v>
      </c>
      <c r="E3777" t="s">
        <v>8007</v>
      </c>
      <c r="F3777" t="s">
        <v>8008</v>
      </c>
      <c r="G3777" t="s">
        <v>14</v>
      </c>
      <c r="H3777">
             </c>
      <c r="I3777" t="s">
        <v>14</v>
      </c>
      <c r="J3777" t="s">
        <v>141</v>
      </c>
      <c r="K3777" t="s">
        <v>14</v>
      </c>
      <c r="L3777" t="s">
        <v>20</v>
      </c>
      <c r="M3777" t="s">
        <v>7996</v>
      </c>
      <c r="N3777" t="s">
        <v>14</v>
      </c>
    </row>
    <row r="3778" x14ac:dyDescent="0.25">
      <c r="A3778" t="n">
        <v>25</v>
      </c>
      <c r="B3778" t="s">
        <v>14</v>
      </c>
      <c r="C3778" t="s">
        <v>22</v>
      </c>
      <c r="D3778" s="2" t="s">
        <f>=HYPERLINK("https://main.knesset.gov.il/APPS/legislation/main/bills/2209267", "הצעת חוק לתיקון פקודת התעבורה (תשלום עבור נסיעה בתחבורה ציבורית בכרטיס אשראי), התשפ""ג-2023")</f>
        <v>7041</v>
      </c>
      <c r="E3778" t="s">
        <v>7041</v>
      </c>
      <c r="F3778" t="s">
        <v>8009</v>
      </c>
      <c r="G3778" t="s">
        <v>14</v>
      </c>
      <c r="H3778">
             </c>
      <c r="I3778" t="s">
        <v>14</v>
      </c>
      <c r="J3778" t="s">
        <v>141</v>
      </c>
      <c r="K3778" t="s">
        <v>14</v>
      </c>
      <c r="L3778" t="s">
        <v>20</v>
      </c>
      <c r="M3778" t="s">
        <v>7996</v>
      </c>
      <c r="N3778" t="s">
        <v>14</v>
      </c>
    </row>
    <row r="3779" x14ac:dyDescent="0.25">
      <c r="A3779" t="n">
        <v>25</v>
      </c>
      <c r="B3779" t="s">
        <v>14</v>
      </c>
      <c r="C3779" t="s">
        <v>22</v>
      </c>
      <c r="D3779" s="2" t="s">
        <f>=HYPERLINK("https://main.knesset.gov.il/APPS/legislation/main/bills/2209400", "הצעת חוק יישוב סכסוכי עבודה (תיקון - אחריות ארגוני עובדים ומעבידים לשביתות בלתי מוגנות), התשפ""ג-2023")</f>
        <v>8010</v>
      </c>
      <c r="E3779" t="s">
        <v>8010</v>
      </c>
      <c r="F3779" t="s">
        <v>8011</v>
      </c>
      <c r="G3779" t="s">
        <v>14</v>
      </c>
      <c r="H3779">
             </c>
      <c r="I3779" t="s">
        <v>14</v>
      </c>
      <c r="J3779" t="s">
        <v>141</v>
      </c>
      <c r="K3779" t="s">
        <v>14</v>
      </c>
      <c r="L3779" t="s">
        <v>20</v>
      </c>
      <c r="M3779" t="s">
        <v>7996</v>
      </c>
      <c r="N3779" t="s">
        <v>14</v>
      </c>
    </row>
    <row r="3780" x14ac:dyDescent="0.25">
      <c r="A3780" t="n">
        <v>25</v>
      </c>
      <c r="B3780" t="s">
        <v>14</v>
      </c>
      <c r="C3780" t="s">
        <v>22</v>
      </c>
      <c r="D3780" s="2" t="s">
        <f>=HYPERLINK("https://main.knesset.gov.il/APPS/legislation/main/bills/2208606", "הצעת חוק לתיקון פקודת בריאות העם (חובת הקצאת מקום לתפילת מוסלמים בבתי חולים), התשפ""ג-2023")</f>
        <v>8012</v>
      </c>
      <c r="E3780" t="s">
        <v>8012</v>
      </c>
      <c r="F3780" t="s">
        <v>8013</v>
      </c>
      <c r="G3780" t="s">
        <v>14</v>
      </c>
      <c r="H3780">
             </c>
      <c r="I3780" t="s">
        <v>14</v>
      </c>
      <c r="J3780" t="s">
        <v>141</v>
      </c>
      <c r="K3780" t="s">
        <v>14</v>
      </c>
      <c r="L3780" t="s">
        <v>20</v>
      </c>
      <c r="M3780" t="s">
        <v>7996</v>
      </c>
      <c r="N3780" t="s">
        <v>14</v>
      </c>
    </row>
    <row r="3781" x14ac:dyDescent="0.25">
      <c r="A3781" t="n">
        <v>25</v>
      </c>
      <c r="B3781" t="s">
        <v>14</v>
      </c>
      <c r="C3781" t="s">
        <v>22</v>
      </c>
      <c r="D3781" s="2" t="s">
        <f>=HYPERLINK("https://main.knesset.gov.il/APPS/legislation/main/bills/2208943", "הצעת חוק לתיקון פקודת מס הכנסה (ניכוי סכומים שהוצאו לצורך טיפול בילד), התשפ""ג-2023")</f>
        <v>8014</v>
      </c>
      <c r="E3781" t="s">
        <v>8014</v>
      </c>
      <c r="F3781" t="s">
        <v>8015</v>
      </c>
      <c r="G3781" t="s">
        <v>14</v>
      </c>
      <c r="H3781">
             </c>
      <c r="I3781" t="s">
        <v>14</v>
      </c>
      <c r="J3781" t="s">
        <v>141</v>
      </c>
      <c r="K3781" t="s">
        <v>14</v>
      </c>
      <c r="L3781" t="s">
        <v>20</v>
      </c>
      <c r="M3781" t="s">
        <v>7996</v>
      </c>
      <c r="N3781" t="s">
        <v>14</v>
      </c>
    </row>
    <row r="3782" x14ac:dyDescent="0.25">
      <c r="A3782" t="n">
        <v>25</v>
      </c>
      <c r="B3782" t="s">
        <v>14</v>
      </c>
      <c r="C3782" t="s">
        <v>22</v>
      </c>
      <c r="D3782" s="2" t="s">
        <f>=HYPERLINK("https://main.knesset.gov.il/APPS/legislation/main/bills/2209021", "הצעת חוק ביטוח בריאות ממלכתי (תיקון - בחירת נותן שירותים על ידי מבוטח), התשפ""ג-2023")</f>
        <v>8016</v>
      </c>
      <c r="E3782" t="s">
        <v>8016</v>
      </c>
      <c r="F3782" t="s">
        <v>8017</v>
      </c>
      <c r="G3782" t="s">
        <v>14</v>
      </c>
      <c r="H3782">
             </c>
      <c r="I3782" t="s">
        <v>14</v>
      </c>
      <c r="J3782" t="s">
        <v>141</v>
      </c>
      <c r="K3782" t="s">
        <v>14</v>
      </c>
      <c r="L3782" t="s">
        <v>20</v>
      </c>
      <c r="M3782" t="s">
        <v>7996</v>
      </c>
      <c r="N3782" t="s">
        <v>14</v>
      </c>
    </row>
    <row r="3783" x14ac:dyDescent="0.25">
      <c r="A3783" t="n">
        <v>25</v>
      </c>
      <c r="B3783" t="s">
        <v>14</v>
      </c>
      <c r="C3783" t="s">
        <v>22</v>
      </c>
      <c r="D3783" s="2" t="s">
        <f>=HYPERLINK("https://main.knesset.gov.il/APPS/legislation/main/bills/2209338", "הצעת חוק לתיקון פקודת התעבורה (איסור שימוש במצלמות ניידות לאכיפת עבירות חניה), התשפ""ג-2023")</f>
        <v>8018</v>
      </c>
      <c r="E3783" t="s">
        <v>8018</v>
      </c>
      <c r="F3783" t="s">
        <v>8019</v>
      </c>
      <c r="G3783" t="s">
        <v>14</v>
      </c>
      <c r="H3783">
             </c>
      <c r="I3783" t="s">
        <v>14</v>
      </c>
      <c r="J3783" t="s">
        <v>141</v>
      </c>
      <c r="K3783" t="s">
        <v>14</v>
      </c>
      <c r="L3783" t="s">
        <v>20</v>
      </c>
      <c r="M3783" t="s">
        <v>7996</v>
      </c>
      <c r="N3783" t="s">
        <v>14</v>
      </c>
    </row>
    <row r="3784" x14ac:dyDescent="0.25">
      <c r="A3784" t="n">
        <v>25</v>
      </c>
      <c r="B3784" t="s">
        <v>14</v>
      </c>
      <c r="C3784" t="s">
        <v>22</v>
      </c>
      <c r="D3784" s="2" t="s">
        <f>=HYPERLINK("https://main.knesset.gov.il/APPS/legislation/main/bills/2209221", "הצעת חוק לתיקון פקודת בריאות העם (שינוי הוראת התקנת מצלמות לשם הגנה על מאושפזים בבית חולים גריאטרי), התשפ""ג-2023")</f>
        <v>8020</v>
      </c>
      <c r="E3784" t="s">
        <v>8020</v>
      </c>
      <c r="F3784" t="s">
        <v>8021</v>
      </c>
      <c r="G3784" t="s">
        <v>14</v>
      </c>
      <c r="H3784">
             </c>
      <c r="I3784" t="s">
        <v>14</v>
      </c>
      <c r="J3784" t="s">
        <v>141</v>
      </c>
      <c r="K3784" t="s">
        <v>14</v>
      </c>
      <c r="L3784" t="s">
        <v>20</v>
      </c>
      <c r="M3784" t="s">
        <v>7996</v>
      </c>
      <c r="N3784" t="s">
        <v>14</v>
      </c>
    </row>
    <row r="3785" x14ac:dyDescent="0.25">
      <c r="A3785" t="n">
        <v>25</v>
      </c>
      <c r="B3785" t="s">
        <v>14</v>
      </c>
      <c r="C3785" t="s">
        <v>22</v>
      </c>
      <c r="D3785" s="2" t="s">
        <f>=HYPERLINK("https://main.knesset.gov.il/APPS/legislation/main/bills/2209197", "הצעת חוק הביטוח הלאומי (תיקון - קצבת ילדים כפולה בלידת תאומים או יותר), התשפ""ג-2023")</f>
        <v>8022</v>
      </c>
      <c r="E3785" t="s">
        <v>8022</v>
      </c>
      <c r="F3785" t="s">
        <v>8023</v>
      </c>
      <c r="G3785" t="s">
        <v>14</v>
      </c>
      <c r="H3785">
             </c>
      <c r="I3785" t="s">
        <v>14</v>
      </c>
      <c r="J3785" t="s">
        <v>141</v>
      </c>
      <c r="K3785" t="s">
        <v>14</v>
      </c>
      <c r="L3785" t="s">
        <v>20</v>
      </c>
      <c r="M3785" t="s">
        <v>7996</v>
      </c>
      <c r="N3785" t="s">
        <v>14</v>
      </c>
    </row>
    <row r="3786" x14ac:dyDescent="0.25">
      <c r="A3786" t="n">
        <v>25</v>
      </c>
      <c r="B3786" t="s">
        <v>14</v>
      </c>
      <c r="C3786" t="s">
        <v>22</v>
      </c>
      <c r="D3786" s="2" t="s">
        <f>=HYPERLINK("https://main.knesset.gov.il/APPS/legislation/main/bills/2207414", "הצעת חוק הביטוח הלאומי (תיקון - תשלום למי שסיפק מצרכים חיוניים), התשפ""ג-2023")</f>
        <v>8024</v>
      </c>
      <c r="E3786" t="s">
        <v>8024</v>
      </c>
      <c r="F3786" t="s">
        <v>8025</v>
      </c>
      <c r="G3786" t="s">
        <v>14</v>
      </c>
      <c r="H3786">
             </c>
      <c r="I3786" t="s">
        <v>14</v>
      </c>
      <c r="J3786" t="s">
        <v>141</v>
      </c>
      <c r="K3786" t="s">
        <v>14</v>
      </c>
      <c r="L3786" t="s">
        <v>20</v>
      </c>
      <c r="M3786" t="s">
        <v>7996</v>
      </c>
      <c r="N3786" t="s">
        <v>14</v>
      </c>
    </row>
    <row r="3787" x14ac:dyDescent="0.25">
      <c r="A3787" t="n">
        <v>25</v>
      </c>
      <c r="B3787" t="s">
        <v>14</v>
      </c>
      <c r="C3787" t="s">
        <v>22</v>
      </c>
      <c r="D3787" s="2" t="s">
        <f>=HYPERLINK("https://main.knesset.gov.il/APPS/legislation/main/bills/2209232", "הצעת חוק דיווח לכנסת על תלונות וטיפול בהטרדות מיניות במשטרת ישראל, בשירות בתי הסוהר, בצבא ההגנה לישראל והטיפול בהן (תיקוני חקיקה), התשפ""ג-2023")</f>
        <v>8026</v>
      </c>
      <c r="E3787" t="s">
        <v>8026</v>
      </c>
      <c r="F3787" t="s">
        <v>8027</v>
      </c>
      <c r="G3787" t="s">
        <v>14</v>
      </c>
      <c r="H3787">
             </c>
      <c r="I3787" t="s">
        <v>14</v>
      </c>
      <c r="J3787" t="s">
        <v>141</v>
      </c>
      <c r="K3787" t="s">
        <v>14</v>
      </c>
      <c r="L3787" t="s">
        <v>20</v>
      </c>
      <c r="M3787" t="s">
        <v>7996</v>
      </c>
      <c r="N3787" t="s">
        <v>14</v>
      </c>
    </row>
    <row r="3788" x14ac:dyDescent="0.25">
      <c r="A3788" t="n">
        <v>25</v>
      </c>
      <c r="B3788" t="s">
        <v>14</v>
      </c>
      <c r="C3788" t="s">
        <v>22</v>
      </c>
      <c r="D3788" s="2" t="s">
        <f>=HYPERLINK("https://main.knesset.gov.il/APPS/legislation/main/bills/2208607", "הצעת חוק הגנת השכר (תיקון - התיישנות), התשפ""ג-2023")</f>
        <v>8028</v>
      </c>
      <c r="E3788" t="s">
        <v>8028</v>
      </c>
      <c r="F3788" t="s">
        <v>8029</v>
      </c>
      <c r="G3788" t="s">
        <v>14</v>
      </c>
      <c r="H3788">
             </c>
      <c r="I3788" t="s">
        <v>14</v>
      </c>
      <c r="J3788" t="s">
        <v>141</v>
      </c>
      <c r="K3788" t="s">
        <v>14</v>
      </c>
      <c r="L3788" t="s">
        <v>20</v>
      </c>
      <c r="M3788" t="s">
        <v>7996</v>
      </c>
      <c r="N3788" t="s">
        <v>14</v>
      </c>
    </row>
    <row r="3789" x14ac:dyDescent="0.25">
      <c r="A3789" t="n">
        <v>25</v>
      </c>
      <c r="B3789" t="s">
        <v>14</v>
      </c>
      <c r="C3789" t="s">
        <v>22</v>
      </c>
      <c r="D3789" s="2" t="s">
        <f>=HYPERLINK("https://main.knesset.gov.il/APPS/legislation/main/bills/2208951", "הצעת חוק נפגעי תאונות דרכים (סיוע לבני משפחה) (תיקון - הרחבת הסיוע), התשפ""ג-2023")</f>
        <v>8030</v>
      </c>
      <c r="E3789" t="s">
        <v>8030</v>
      </c>
      <c r="F3789" t="s">
        <v>8031</v>
      </c>
      <c r="G3789" t="s">
        <v>14</v>
      </c>
      <c r="H3789">
             </c>
      <c r="I3789" t="s">
        <v>14</v>
      </c>
      <c r="J3789" t="s">
        <v>141</v>
      </c>
      <c r="K3789" t="s">
        <v>14</v>
      </c>
      <c r="L3789" t="s">
        <v>20</v>
      </c>
      <c r="M3789" t="s">
        <v>7996</v>
      </c>
      <c r="N3789" t="s">
        <v>14</v>
      </c>
    </row>
    <row r="3790" x14ac:dyDescent="0.25">
      <c r="A3790" t="n">
        <v>25</v>
      </c>
      <c r="B3790" t="s">
        <v>14</v>
      </c>
      <c r="C3790" t="s">
        <v>22</v>
      </c>
      <c r="D3790" s="2" t="s">
        <f>=HYPERLINK("https://main.knesset.gov.il/APPS/legislation/main/bills/2208579", "הצעת חוק האזרחים הוותיקים (תיקון - הנחה ברכישת אמצעי לזיהוי מצב חירום רפואי), התשפ""ג-2023")</f>
        <v>8032</v>
      </c>
      <c r="E3790" t="s">
        <v>8032</v>
      </c>
      <c r="F3790" t="s">
        <v>8033</v>
      </c>
      <c r="G3790" t="s">
        <v>14</v>
      </c>
      <c r="H3790">
             </c>
      <c r="I3790" t="s">
        <v>14</v>
      </c>
      <c r="J3790" t="s">
        <v>141</v>
      </c>
      <c r="K3790" t="s">
        <v>14</v>
      </c>
      <c r="L3790" t="s">
        <v>20</v>
      </c>
      <c r="M3790" t="s">
        <v>7996</v>
      </c>
      <c r="N3790" t="s">
        <v>14</v>
      </c>
    </row>
    <row r="3791" x14ac:dyDescent="0.25">
      <c r="A3791" t="n">
        <v>25</v>
      </c>
      <c r="B3791" t="s">
        <v>14</v>
      </c>
      <c r="C3791" t="s">
        <v>22</v>
      </c>
      <c r="D3791" s="2" t="s">
        <f>=HYPERLINK("https://main.knesset.gov.il/APPS/legislation/main/bills/2208604", "הצעת חוק ביטוח בריאות ממלכתי (תיקון - מתן שירותים במרפאה ביישוב קטן לחברי קופה אחרת), התשפ""ג-2023")</f>
        <v>6133</v>
      </c>
      <c r="E3791" t="s">
        <v>6133</v>
      </c>
      <c r="F3791" t="s">
        <v>8034</v>
      </c>
      <c r="G3791" t="s">
        <v>14</v>
      </c>
      <c r="H3791">
             </c>
      <c r="I3791" t="s">
        <v>14</v>
      </c>
      <c r="J3791" t="s">
        <v>141</v>
      </c>
      <c r="K3791" t="s">
        <v>14</v>
      </c>
      <c r="L3791" t="s">
        <v>20</v>
      </c>
      <c r="M3791" t="s">
        <v>7996</v>
      </c>
      <c r="N3791" t="s">
        <v>14</v>
      </c>
    </row>
    <row r="3792" x14ac:dyDescent="0.25">
      <c r="A3792" t="n">
        <v>25</v>
      </c>
      <c r="B3792" t="s">
        <v>14</v>
      </c>
      <c r="C3792" t="s">
        <v>22</v>
      </c>
      <c r="D3792" s="2" t="s">
        <f>=HYPERLINK("https://main.knesset.gov.il/APPS/legislation/main/bills/2209072", "הצעת חוק לתיקון פקודת התעבורה (רישום רכב), התשפ""ג-2023")</f>
        <v>8035</v>
      </c>
      <c r="E3792" t="s">
        <v>8035</v>
      </c>
      <c r="F3792" t="s">
        <v>8036</v>
      </c>
      <c r="G3792" t="s">
        <v>14</v>
      </c>
      <c r="H3792">
             </c>
      <c r="I3792" t="s">
        <v>14</v>
      </c>
      <c r="J3792" t="s">
        <v>141</v>
      </c>
      <c r="K3792" t="s">
        <v>14</v>
      </c>
      <c r="L3792" t="s">
        <v>20</v>
      </c>
      <c r="M3792" t="s">
        <v>7996</v>
      </c>
      <c r="N3792" t="s">
        <v>14</v>
      </c>
    </row>
    <row r="3793" x14ac:dyDescent="0.25">
      <c r="A3793" t="n">
        <v>25</v>
      </c>
      <c r="B3793" t="s">
        <v>14</v>
      </c>
      <c r="C3793" t="s">
        <v>22</v>
      </c>
      <c r="D3793" s="2" t="s">
        <f>=HYPERLINK("https://main.knesset.gov.il/APPS/legislation/main/bills/2209320", "הצעת חוק בטיחות בטיולים ובפעילויות חוץ של מסגרות לבוגרי תיכון לפני שירות (תיקוני חקיקה), התשפ""ג-2023")</f>
        <v>8037</v>
      </c>
      <c r="E3793" t="s">
        <v>8037</v>
      </c>
      <c r="F3793" t="s">
        <v>8038</v>
      </c>
      <c r="G3793" t="s">
        <v>14</v>
      </c>
      <c r="H3793">
             </c>
      <c r="I3793" t="s">
        <v>14</v>
      </c>
      <c r="J3793" t="s">
        <v>141</v>
      </c>
      <c r="K3793" t="s">
        <v>14</v>
      </c>
      <c r="L3793" t="s">
        <v>20</v>
      </c>
      <c r="M3793" t="s">
        <v>7996</v>
      </c>
      <c r="N3793" t="s">
        <v>14</v>
      </c>
    </row>
    <row r="3794" x14ac:dyDescent="0.25">
      <c r="A3794" t="n">
        <v>25</v>
      </c>
      <c r="B3794" t="s">
        <v>14</v>
      </c>
      <c r="C3794" t="s">
        <v>22</v>
      </c>
      <c r="D3794" s="2" t="s">
        <f>=HYPERLINK("https://main.knesset.gov.il/APPS/legislation/main/bills/2208584", "הצעת חוק הביטוח הלאומי (תיקון - ביטול מעמד עקרת בית), התשפ""ג-2023")</f>
        <v>8039</v>
      </c>
      <c r="E3794" t="s">
        <v>8039</v>
      </c>
      <c r="F3794" t="s">
        <v>8040</v>
      </c>
      <c r="G3794" t="s">
        <v>14</v>
      </c>
      <c r="H3794">
             </c>
      <c r="I3794" t="s">
        <v>14</v>
      </c>
      <c r="J3794" t="s">
        <v>141</v>
      </c>
      <c r="K3794" t="s">
        <v>14</v>
      </c>
      <c r="L3794" t="s">
        <v>20</v>
      </c>
      <c r="M3794" t="s">
        <v>7996</v>
      </c>
      <c r="N3794" t="s">
        <v>14</v>
      </c>
    </row>
    <row r="3795" x14ac:dyDescent="0.25">
      <c r="A3795" t="n">
        <v>25</v>
      </c>
      <c r="B3795" t="s">
        <v>14</v>
      </c>
      <c r="C3795" t="s">
        <v>22</v>
      </c>
      <c r="D3795" s="2" t="s">
        <f>=HYPERLINK("https://main.knesset.gov.il/APPS/legislation/main/bills/2208936", "הצעת חוק הפיקוח על שירותים פיננסיים (ביטוח) (תיקון - ביטוח חיים עם מרכיב חיסכון שלא אושר כקופת גמל), התשפ""ג-2023")</f>
        <v>8041</v>
      </c>
      <c r="E3795" t="s">
        <v>8041</v>
      </c>
      <c r="F3795" t="s">
        <v>8042</v>
      </c>
      <c r="G3795" t="s">
        <v>14</v>
      </c>
      <c r="H3795">
             </c>
      <c r="I3795" t="s">
        <v>14</v>
      </c>
      <c r="J3795" t="s">
        <v>141</v>
      </c>
      <c r="K3795" t="s">
        <v>14</v>
      </c>
      <c r="L3795" t="s">
        <v>20</v>
      </c>
      <c r="M3795" t="s">
        <v>7996</v>
      </c>
      <c r="N3795" t="s">
        <v>14</v>
      </c>
    </row>
    <row r="3796" x14ac:dyDescent="0.25">
      <c r="A3796" t="n">
        <v>25</v>
      </c>
      <c r="B3796" t="s">
        <v>14</v>
      </c>
      <c r="C3796" t="s">
        <v>22</v>
      </c>
      <c r="D3796" s="2" t="s">
        <f>=HYPERLINK("https://main.knesset.gov.il/APPS/legislation/main/bills/2209254", "הצעת חוק דמי מחלה (היעדרות בשל מחלת ילד) (תיקון - היעדרות בעקבות פגיעה בעבירת מין או אלימות חמורה), התשפ""ג-2023")</f>
        <v>8043</v>
      </c>
      <c r="E3796" t="s">
        <v>8043</v>
      </c>
      <c r="F3796" t="s">
        <v>8044</v>
      </c>
      <c r="G3796" t="s">
        <v>14</v>
      </c>
      <c r="H3796">
             </c>
      <c r="I3796" t="s">
        <v>14</v>
      </c>
      <c r="J3796" t="s">
        <v>141</v>
      </c>
      <c r="K3796" t="s">
        <v>14</v>
      </c>
      <c r="L3796" t="s">
        <v>20</v>
      </c>
      <c r="M3796" t="s">
        <v>7996</v>
      </c>
      <c r="N3796" t="s">
        <v>14</v>
      </c>
    </row>
    <row r="3797" x14ac:dyDescent="0.25">
      <c r="A3797" t="n">
        <v>25</v>
      </c>
      <c r="B3797" t="s">
        <v>14</v>
      </c>
      <c r="C3797" t="s">
        <v>22</v>
      </c>
      <c r="D3797" s="2" t="s">
        <f>=HYPERLINK("https://main.knesset.gov.il/APPS/legislation/main/bills/2209224", "הצעת חוק ביטוח בריאות ממלכתי (תיקון - קדימות בתור לטיפול או שירות רפואי לאדם עם מוגבלות), התשפ""ג-2023")</f>
        <v>8045</v>
      </c>
      <c r="E3797" t="s">
        <v>8045</v>
      </c>
      <c r="F3797" t="s">
        <v>8046</v>
      </c>
      <c r="G3797" t="s">
        <v>14</v>
      </c>
      <c r="H3797">
             </c>
      <c r="I3797" t="s">
        <v>14</v>
      </c>
      <c r="J3797" t="s">
        <v>141</v>
      </c>
      <c r="K3797" t="s">
        <v>14</v>
      </c>
      <c r="L3797" t="s">
        <v>20</v>
      </c>
      <c r="M3797" t="s">
        <v>7996</v>
      </c>
      <c r="N3797" t="s">
        <v>14</v>
      </c>
    </row>
    <row r="3798" x14ac:dyDescent="0.25">
      <c r="A3798" t="n">
        <v>25</v>
      </c>
      <c r="B3798" t="s">
        <v>14</v>
      </c>
      <c r="C3798" t="s">
        <v>22</v>
      </c>
      <c r="D3798" s="2" t="s">
        <f>=HYPERLINK("https://main.knesset.gov.il/APPS/legislation/main/bills/2199687", "הצעת חוק הביטוח הלאומי (תיקון - ביטוח שאירים לאלמן), התשפ""ג-2023")</f>
        <v>8047</v>
      </c>
      <c r="E3798" t="s">
        <v>8047</v>
      </c>
      <c r="F3798" t="s">
        <v>8048</v>
      </c>
      <c r="G3798" t="s">
        <v>14</v>
      </c>
      <c r="H3798">
             </c>
      <c r="I3798" t="s">
        <v>14</v>
      </c>
      <c r="J3798" t="s">
        <v>141</v>
      </c>
      <c r="K3798" t="s">
        <v>14</v>
      </c>
      <c r="L3798" t="s">
        <v>20</v>
      </c>
      <c r="M3798" t="s">
        <v>7996</v>
      </c>
      <c r="N3798" t="s">
        <v>14</v>
      </c>
    </row>
    <row r="3799" x14ac:dyDescent="0.25">
      <c r="A3799" t="n">
        <v>25</v>
      </c>
      <c r="B3799" t="s">
        <v>14</v>
      </c>
      <c r="C3799" t="s">
        <v>22</v>
      </c>
      <c r="D3799" s="2" t="s">
        <f>=HYPERLINK("https://main.knesset.gov.il/APPS/legislation/main/bills/2208581", "הצעת חוק מס ערך מוסף (תיקון - מס בשיעור אפס על תרופות), התשפ""ג-2023")</f>
        <v>8049</v>
      </c>
      <c r="E3799" t="s">
        <v>8049</v>
      </c>
      <c r="F3799" t="s">
        <v>8050</v>
      </c>
      <c r="G3799" t="s">
        <v>14</v>
      </c>
      <c r="H3799">
             </c>
      <c r="I3799" t="s">
        <v>14</v>
      </c>
      <c r="J3799" t="s">
        <v>141</v>
      </c>
      <c r="K3799" t="s">
        <v>14</v>
      </c>
      <c r="L3799" t="s">
        <v>20</v>
      </c>
      <c r="M3799" t="s">
        <v>7996</v>
      </c>
      <c r="N3799" t="s">
        <v>14</v>
      </c>
    </row>
    <row r="3800" x14ac:dyDescent="0.25">
      <c r="A3800" t="n">
        <v>25</v>
      </c>
      <c r="B3800" t="s">
        <v>14</v>
      </c>
      <c r="C3800" t="s">
        <v>22</v>
      </c>
      <c r="D3800" s="2" t="s">
        <f>=HYPERLINK("https://main.knesset.gov.il/APPS/legislation/main/bills/2209186", "הצעת חוק הסדרת העיסוק בייצוג על ידי יועצי מס (תיקון - היתר ליועץ פנסיוני לייצג לפני רשות מס), התשפ""ג-2023")</f>
        <v>8051</v>
      </c>
      <c r="E3800" t="s">
        <v>8051</v>
      </c>
      <c r="F3800" t="s">
        <v>8052</v>
      </c>
      <c r="G3800" t="s">
        <v>14</v>
      </c>
      <c r="H3800">
             </c>
      <c r="I3800" t="s">
        <v>14</v>
      </c>
      <c r="J3800" t="s">
        <v>141</v>
      </c>
      <c r="K3800" t="s">
        <v>14</v>
      </c>
      <c r="L3800" t="s">
        <v>20</v>
      </c>
      <c r="M3800" t="s">
        <v>7996</v>
      </c>
      <c r="N3800" t="s">
        <v>14</v>
      </c>
    </row>
    <row r="3801" x14ac:dyDescent="0.25">
      <c r="A3801" t="n">
        <v>25</v>
      </c>
      <c r="B3801" t="s">
        <v>14</v>
      </c>
      <c r="C3801" t="s">
        <v>22</v>
      </c>
      <c r="D3801" s="2" t="s">
        <f>=HYPERLINK("https://main.knesset.gov.il/APPS/legislation/main/bills/2209190", "הצעת חוק אימות חתימה על מסמכי עמיתים (תיקוני חקיקה), התשפ""ג-2023")</f>
        <v>8053</v>
      </c>
      <c r="E3801" t="s">
        <v>8053</v>
      </c>
      <c r="F3801" t="s">
        <v>8054</v>
      </c>
      <c r="G3801" t="s">
        <v>14</v>
      </c>
      <c r="H3801">
             </c>
      <c r="I3801" t="s">
        <v>14</v>
      </c>
      <c r="J3801" t="s">
        <v>141</v>
      </c>
      <c r="K3801" t="s">
        <v>14</v>
      </c>
      <c r="L3801" t="s">
        <v>20</v>
      </c>
      <c r="M3801" t="s">
        <v>7996</v>
      </c>
      <c r="N3801" t="s">
        <v>14</v>
      </c>
    </row>
    <row r="3802" x14ac:dyDescent="0.25">
      <c r="A3802" t="n">
        <v>25</v>
      </c>
      <c r="B3802" t="s">
        <v>14</v>
      </c>
      <c r="C3802" t="s">
        <v>22</v>
      </c>
      <c r="D3802" s="2" t="s">
        <f>=HYPERLINK("https://main.knesset.gov.il/APPS/legislation/main/bills/2209180", "הצעת חוק הפיקוח על שירותים פיננסיים (קופות גמל) (תיקון - משיכת כספים בסכום צבירה מזערי, בסכום חד-פעמי שלא בדרך של היוון קצבה), התשפ""ג-2023")</f>
        <v>8055</v>
      </c>
      <c r="E3802" t="s">
        <v>8055</v>
      </c>
      <c r="F3802" t="s">
        <v>8056</v>
      </c>
      <c r="G3802" t="s">
        <v>14</v>
      </c>
      <c r="H3802">
             </c>
      <c r="I3802" t="s">
        <v>14</v>
      </c>
      <c r="J3802" t="s">
        <v>141</v>
      </c>
      <c r="K3802" t="s">
        <v>14</v>
      </c>
      <c r="L3802" t="s">
        <v>20</v>
      </c>
      <c r="M3802" t="s">
        <v>7996</v>
      </c>
      <c r="N3802" t="s">
        <v>14</v>
      </c>
    </row>
    <row r="3803" x14ac:dyDescent="0.25">
      <c r="A3803" t="n">
        <v>25</v>
      </c>
      <c r="B3803" t="s">
        <v>14</v>
      </c>
      <c r="C3803" t="s">
        <v>22</v>
      </c>
      <c r="D3803" s="2" t="s">
        <f>=HYPERLINK("https://main.knesset.gov.il/APPS/legislation/main/bills/2208399", "הצעת חוק הפיקוח על שירותים פיננסיים (ייעוץ, שיווק ומערכת סליקה פנסיוניים) (תיקון - ייעוץ פנסיוני דיגיטלי), התשפ""ג-2023")</f>
        <v>8057</v>
      </c>
      <c r="E3803" t="s">
        <v>8057</v>
      </c>
      <c r="F3803" t="s">
        <v>8058</v>
      </c>
      <c r="G3803" t="s">
        <v>14</v>
      </c>
      <c r="H3803">
             </c>
      <c r="I3803" t="s">
        <v>14</v>
      </c>
      <c r="J3803" t="s">
        <v>141</v>
      </c>
      <c r="K3803" t="s">
        <v>14</v>
      </c>
      <c r="L3803" t="s">
        <v>20</v>
      </c>
      <c r="M3803" t="s">
        <v>7996</v>
      </c>
      <c r="N3803" t="s">
        <v>14</v>
      </c>
    </row>
    <row r="3804" x14ac:dyDescent="0.25">
      <c r="A3804" t="n">
        <v>25</v>
      </c>
      <c r="B3804" t="s">
        <v>14</v>
      </c>
      <c r="C3804" t="s">
        <v>22</v>
      </c>
      <c r="D3804" s="2" t="s">
        <f>=HYPERLINK("https://main.knesset.gov.il/APPS/legislation/main/bills/2209032", "הצעת חוק סדר הדין הפלילי (סמכויות אכיפה - מעצרים) (תיקון - מאבק בעיכובי שווא), התשפ""ג-2023")</f>
        <v>8059</v>
      </c>
      <c r="E3804" t="s">
        <v>8059</v>
      </c>
      <c r="F3804" t="s">
        <v>8060</v>
      </c>
      <c r="G3804" t="s">
        <v>14</v>
      </c>
      <c r="H3804">
             </c>
      <c r="I3804" t="s">
        <v>14</v>
      </c>
      <c r="J3804" t="s">
        <v>141</v>
      </c>
      <c r="K3804" t="s">
        <v>14</v>
      </c>
      <c r="L3804" t="s">
        <v>20</v>
      </c>
      <c r="M3804" t="s">
        <v>7996</v>
      </c>
      <c r="N3804" t="s">
        <v>14</v>
      </c>
    </row>
    <row r="3805" x14ac:dyDescent="0.25">
      <c r="A3805" t="n">
        <v>25</v>
      </c>
      <c r="B3805" t="s">
        <v>14</v>
      </c>
      <c r="C3805" t="s">
        <v>22</v>
      </c>
      <c r="D3805" s="2" t="s">
        <f>=HYPERLINK("https://main.knesset.gov.il/APPS/legislation/main/bills/2209217", "הצעת חוק הביטוח הלאומי (תיקון - מימון הסעת יולדת באמבולנס), התשפ""ג-2023")</f>
        <v>8061</v>
      </c>
      <c r="E3805" t="s">
        <v>8061</v>
      </c>
      <c r="F3805" t="s">
        <v>8062</v>
      </c>
      <c r="G3805" t="s">
        <v>14</v>
      </c>
      <c r="H3805">
             </c>
      <c r="I3805" t="s">
        <v>14</v>
      </c>
      <c r="J3805" t="s">
        <v>141</v>
      </c>
      <c r="K3805" t="s">
        <v>14</v>
      </c>
      <c r="L3805" t="s">
        <v>20</v>
      </c>
      <c r="M3805" t="s">
        <v>7996</v>
      </c>
      <c r="N3805" t="s">
        <v>14</v>
      </c>
    </row>
    <row r="3806" x14ac:dyDescent="0.25">
      <c r="A3806" t="n">
        <v>25</v>
      </c>
      <c r="B3806" t="s">
        <v>14</v>
      </c>
      <c r="C3806" t="s">
        <v>22</v>
      </c>
      <c r="D3806" s="2" t="s">
        <f>=HYPERLINK("https://main.knesset.gov.il/APPS/legislation/main/bills/2209340", "הצעת חוק הביטוח הלאומי (תיקון - פטור מתשלום דמי ביטוח לתלמיד על יסודי), התשפ""ג-2023")</f>
        <v>8063</v>
      </c>
      <c r="E3806" t="s">
        <v>8063</v>
      </c>
      <c r="F3806" t="s">
        <v>8064</v>
      </c>
      <c r="G3806" t="s">
        <v>14</v>
      </c>
      <c r="H3806">
             </c>
      <c r="I3806" t="s">
        <v>14</v>
      </c>
      <c r="J3806" t="s">
        <v>141</v>
      </c>
      <c r="K3806" t="s">
        <v>14</v>
      </c>
      <c r="L3806" t="s">
        <v>20</v>
      </c>
      <c r="M3806" t="s">
        <v>7996</v>
      </c>
      <c r="N3806" t="s">
        <v>14</v>
      </c>
    </row>
    <row r="3807" x14ac:dyDescent="0.25">
      <c r="A3807" t="n">
        <v>25</v>
      </c>
      <c r="B3807" t="s">
        <v>14</v>
      </c>
      <c r="C3807" t="s">
        <v>22</v>
      </c>
      <c r="D3807" s="2" t="s">
        <f>=HYPERLINK("https://main.knesset.gov.il/APPS/legislation/main/bills/2208570", "הצעת חוק הביטוח הלאומי (תיקון - השוואת זכויות אלמן ואלמנה), התשפ""ג-2023")</f>
        <v>8065</v>
      </c>
      <c r="E3807" t="s">
        <v>8065</v>
      </c>
      <c r="F3807" t="s">
        <v>8066</v>
      </c>
      <c r="G3807" t="s">
        <v>14</v>
      </c>
      <c r="H3807">
             </c>
      <c r="I3807" t="s">
        <v>14</v>
      </c>
      <c r="J3807" t="s">
        <v>141</v>
      </c>
      <c r="K3807" t="s">
        <v>14</v>
      </c>
      <c r="L3807" t="s">
        <v>20</v>
      </c>
      <c r="M3807" t="s">
        <v>7996</v>
      </c>
      <c r="N3807" t="s">
        <v>14</v>
      </c>
    </row>
    <row r="3808" x14ac:dyDescent="0.25">
      <c r="A3808" t="n">
        <v>25</v>
      </c>
      <c r="B3808" t="s">
        <v>14</v>
      </c>
      <c r="C3808" t="s">
        <v>22</v>
      </c>
      <c r="D3808" s="2" t="s">
        <f>=HYPERLINK("https://main.knesset.gov.il/APPS/legislation/main/bills/2209457", "הצעת חוק-יסוד: השפיטה (תיקון - עילת הסבירות)")</f>
        <v>8067</v>
      </c>
      <c r="E3808" t="s">
        <v>8067</v>
      </c>
      <c r="F3808" t="s">
        <v>8068</v>
      </c>
      <c r="G3808" t="s">
        <v>14</v>
      </c>
      <c r="H3808">
             </c>
      <c r="I3808" t="s">
        <v>14</v>
      </c>
      <c r="J3808" t="s">
        <v>141</v>
      </c>
      <c r="K3808" t="s">
        <v>14</v>
      </c>
      <c r="L3808" t="s">
        <v>20</v>
      </c>
      <c r="M3808" t="s">
        <v>7996</v>
      </c>
      <c r="N3808" t="s">
        <v>14</v>
      </c>
    </row>
    <row r="3809" x14ac:dyDescent="0.25">
      <c r="A3809" t="n">
        <v>25</v>
      </c>
      <c r="B3809" t="s">
        <v>14</v>
      </c>
      <c r="C3809" t="s">
        <v>22</v>
      </c>
      <c r="D3809" s="2" t="s">
        <f>=HYPERLINK("https://main.knesset.gov.il/APPS/legislation/main/bills/2205182", "הצעת חוק התקנת מצלמות לשם הגנה על פעוטות במעונות יום לפעוטות (תיקון - היתר צפייה בצילומים ללא המתנה לצו שיפוטי), התשפ""ג-2023")</f>
        <v>8069</v>
      </c>
      <c r="E3809" t="s">
        <v>8069</v>
      </c>
      <c r="F3809" t="s">
        <v>8070</v>
      </c>
      <c r="G3809" t="s">
        <v>14</v>
      </c>
      <c r="H3809">
             </c>
      <c r="I3809" t="s">
        <v>14</v>
      </c>
      <c r="J3809" t="s">
        <v>141</v>
      </c>
      <c r="K3809" t="s">
        <v>14</v>
      </c>
      <c r="L3809" t="s">
        <v>20</v>
      </c>
      <c r="M3809" t="s">
        <v>7996</v>
      </c>
      <c r="N3809" t="s">
        <v>14</v>
      </c>
    </row>
    <row r="3810" x14ac:dyDescent="0.25">
      <c r="A3810" t="n">
        <v>25</v>
      </c>
      <c r="B3810" t="s">
        <v>14</v>
      </c>
      <c r="C3810" t="s">
        <v>22</v>
      </c>
      <c r="D3810" s="2" t="s">
        <f>=HYPERLINK("https://main.knesset.gov.il/APPS/legislation/main/bills/2209270", "הצעת חוק חינוך ממלכתי (תיקון - סמכויות המועצה לחינוך ממלכתי דתי), התשפ""ג-2023")</f>
        <v>8071</v>
      </c>
      <c r="E3810" t="s">
        <v>8071</v>
      </c>
      <c r="F3810" t="s">
        <v>8072</v>
      </c>
      <c r="G3810" t="s">
        <v>14</v>
      </c>
      <c r="H3810">
             </c>
      <c r="I3810" t="s">
        <v>14</v>
      </c>
      <c r="J3810" t="s">
        <v>141</v>
      </c>
      <c r="K3810" t="s">
        <v>14</v>
      </c>
      <c r="L3810" t="s">
        <v>20</v>
      </c>
      <c r="M3810" t="s">
        <v>7996</v>
      </c>
      <c r="N3810" t="s">
        <v>14</v>
      </c>
    </row>
    <row r="3811" x14ac:dyDescent="0.25">
      <c r="A3811" t="n">
        <v>25</v>
      </c>
      <c r="B3811" t="s">
        <v>14</v>
      </c>
      <c r="C3811" t="s">
        <v>22</v>
      </c>
      <c r="D3811" s="2" t="s">
        <f>=HYPERLINK("https://main.knesset.gov.il/APPS/legislation/main/bills/2208142", "הצעת חוק התקשורת (בזק ושידורים) (תיקון - איסור סימון בשלט), התשפ""ג-2023")</f>
        <v>8073</v>
      </c>
      <c r="E3811" t="s">
        <v>8073</v>
      </c>
      <c r="F3811" t="s">
        <v>8074</v>
      </c>
      <c r="G3811" t="s">
        <v>14</v>
      </c>
      <c r="H3811">
             </c>
      <c r="I3811" t="s">
        <v>14</v>
      </c>
      <c r="J3811" t="s">
        <v>141</v>
      </c>
      <c r="K3811" t="s">
        <v>14</v>
      </c>
      <c r="L3811" t="s">
        <v>20</v>
      </c>
      <c r="M3811" t="s">
        <v>7996</v>
      </c>
      <c r="N3811" t="s">
        <v>14</v>
      </c>
    </row>
    <row r="3812" x14ac:dyDescent="0.25">
      <c r="A3812" t="n">
        <v>25</v>
      </c>
      <c r="B3812" t="s">
        <v>14</v>
      </c>
      <c r="C3812" t="s">
        <v>22</v>
      </c>
      <c r="D3812" s="2" t="s">
        <f>=HYPERLINK("https://main.knesset.gov.il/APPS/legislation/main/bills/2209169", "הצעת חוק להנצחת חנה סנש (ציון זכרה ופועלה), התשפ""ג-2023")</f>
        <v>8075</v>
      </c>
      <c r="E3812" t="s">
        <v>8075</v>
      </c>
      <c r="F3812" t="s">
        <v>8076</v>
      </c>
      <c r="G3812" t="s">
        <v>14</v>
      </c>
      <c r="H3812">
             </c>
      <c r="I3812" t="s">
        <v>14</v>
      </c>
      <c r="J3812" t="s">
        <v>141</v>
      </c>
      <c r="K3812" t="s">
        <v>14</v>
      </c>
      <c r="L3812" t="s">
        <v>20</v>
      </c>
      <c r="M3812" t="s">
        <v>7996</v>
      </c>
      <c r="N3812" t="s">
        <v>14</v>
      </c>
    </row>
    <row r="3813" x14ac:dyDescent="0.25">
      <c r="A3813" t="n">
        <v>25</v>
      </c>
      <c r="B3813" t="s">
        <v>14</v>
      </c>
      <c r="C3813" t="s">
        <v>22</v>
      </c>
      <c r="D3813" s="2" t="s">
        <f>=HYPERLINK("https://main.knesset.gov.il/APPS/legislation/main/bills/2209339", "הצעת חוק טיפול במכורים לסמים קשים ואשפוזם (תיקוני חקיקה), התשפ""ג-2023")</f>
        <v>8077</v>
      </c>
      <c r="E3813" t="s">
        <v>8077</v>
      </c>
      <c r="F3813" t="s">
        <v>8078</v>
      </c>
      <c r="G3813" t="s">
        <v>14</v>
      </c>
      <c r="H3813">
             </c>
      <c r="I3813" t="s">
        <v>14</v>
      </c>
      <c r="J3813" t="s">
        <v>141</v>
      </c>
      <c r="K3813" t="s">
        <v>14</v>
      </c>
      <c r="L3813" t="s">
        <v>20</v>
      </c>
      <c r="M3813" t="s">
        <v>7996</v>
      </c>
      <c r="N3813" t="s">
        <v>14</v>
      </c>
    </row>
    <row r="3814" x14ac:dyDescent="0.25">
      <c r="A3814" t="n">
        <v>25</v>
      </c>
      <c r="B3814" t="s">
        <v>14</v>
      </c>
      <c r="C3814" t="s">
        <v>22</v>
      </c>
      <c r="D3814" s="2" t="s">
        <f>=HYPERLINK("https://main.knesset.gov.il/APPS/legislation/main/bills/2197059", "הצעת חוק המועצה לענף הלול (ייצור ושיווק) (תיקון - סימון ביצים), התשפ""ג-2023")</f>
        <v>8079</v>
      </c>
      <c r="E3814" t="s">
        <v>8079</v>
      </c>
      <c r="F3814" t="s">
        <v>8080</v>
      </c>
      <c r="G3814" t="s">
        <v>14</v>
      </c>
      <c r="H3814">
             </c>
      <c r="I3814" t="s">
        <v>14</v>
      </c>
      <c r="J3814" t="s">
        <v>141</v>
      </c>
      <c r="K3814" t="s">
        <v>14</v>
      </c>
      <c r="L3814" t="s">
        <v>20</v>
      </c>
      <c r="M3814" t="s">
        <v>7996</v>
      </c>
      <c r="N3814" t="s">
        <v>14</v>
      </c>
    </row>
    <row r="3815" x14ac:dyDescent="0.25">
      <c r="A3815" t="n">
        <v>25</v>
      </c>
      <c r="B3815" t="s">
        <v>14</v>
      </c>
      <c r="C3815" t="s">
        <v>22</v>
      </c>
      <c r="D3815" s="2" t="s">
        <f>=HYPERLINK("https://main.knesset.gov.il/APPS/legislation/main/bills/2208796", "הצעת חוק מבקר הפרקליטות, התשפ""ג-2023 ")</f>
        <v>8081</v>
      </c>
      <c r="E3815" t="s">
        <v>8081</v>
      </c>
      <c r="F3815" t="s">
        <v>8082</v>
      </c>
      <c r="G3815" t="s">
        <v>14</v>
      </c>
      <c r="H3815">
             </c>
      <c r="I3815" t="s">
        <v>14</v>
      </c>
      <c r="J3815" t="s">
        <v>141</v>
      </c>
      <c r="K3815" t="s">
        <v>14</v>
      </c>
      <c r="L3815" t="s">
        <v>20</v>
      </c>
      <c r="M3815" t="s">
        <v>7996</v>
      </c>
      <c r="N3815" t="s">
        <v>14</v>
      </c>
    </row>
    <row r="3816" x14ac:dyDescent="0.25">
      <c r="A3816" t="n">
        <v>25</v>
      </c>
      <c r="B3816" t="s">
        <v>14</v>
      </c>
      <c r="C3816" t="s">
        <v>22</v>
      </c>
      <c r="D3816" s="2" t="s">
        <f>=HYPERLINK("https://main.knesset.gov.il/APPS/legislation/main/bills/2208572", "הצעת חוק איסור מכירת צעצועים המדמים כלי נשק, התשפ""ג-2023")</f>
        <v>8083</v>
      </c>
      <c r="E3816" t="s">
        <v>8083</v>
      </c>
      <c r="F3816" t="s">
        <v>8084</v>
      </c>
      <c r="G3816" t="s">
        <v>14</v>
      </c>
      <c r="H3816">
             </c>
      <c r="I3816" t="s">
        <v>14</v>
      </c>
      <c r="J3816" t="s">
        <v>141</v>
      </c>
      <c r="K3816" t="s">
        <v>14</v>
      </c>
      <c r="L3816" t="s">
        <v>20</v>
      </c>
      <c r="M3816" t="s">
        <v>7996</v>
      </c>
      <c r="N3816" t="s">
        <v>14</v>
      </c>
    </row>
    <row r="3817" x14ac:dyDescent="0.25">
      <c r="A3817" t="n">
        <v>25</v>
      </c>
      <c r="B3817" t="s">
        <v>14</v>
      </c>
      <c r="C3817" t="s">
        <v>22</v>
      </c>
      <c r="D3817" s="2" t="s">
        <f>=HYPERLINK("https://main.knesset.gov.il/APPS/legislation/main/bills/2209312", "הצעת חוק טיפול בחולי נפש (תיקון - תנאי אשפוז הולמים), התשפ""ג-2023")</f>
        <v>8085</v>
      </c>
      <c r="E3817" t="s">
        <v>8085</v>
      </c>
      <c r="F3817" t="s">
        <v>8086</v>
      </c>
      <c r="G3817" t="s">
        <v>14</v>
      </c>
      <c r="H3817">
             </c>
      <c r="I3817" t="s">
        <v>14</v>
      </c>
      <c r="J3817" t="s">
        <v>141</v>
      </c>
      <c r="K3817" t="s">
        <v>14</v>
      </c>
      <c r="L3817" t="s">
        <v>20</v>
      </c>
      <c r="M3817" t="s">
        <v>7996</v>
      </c>
      <c r="N3817" t="s">
        <v>14</v>
      </c>
    </row>
    <row r="3818" x14ac:dyDescent="0.25">
      <c r="A3818" t="n">
        <v>25</v>
      </c>
      <c r="B3818" t="s">
        <v>14</v>
      </c>
      <c r="C3818" t="s">
        <v>22</v>
      </c>
      <c r="D3818" s="2" t="s">
        <f>=HYPERLINK("https://main.knesset.gov.il/APPS/legislation/main/bills/2209341", "הצעת חוק הביטוח הלאומי (תיקון - תשלום גמלה בעד תקופה שקדמה להגשת התביעה), התשפ""ג-2023")</f>
        <v>8087</v>
      </c>
      <c r="E3818" t="s">
        <v>8087</v>
      </c>
      <c r="F3818" t="s">
        <v>8088</v>
      </c>
      <c r="G3818" t="s">
        <v>14</v>
      </c>
      <c r="H3818">
             </c>
      <c r="I3818" t="s">
        <v>14</v>
      </c>
      <c r="J3818" t="s">
        <v>141</v>
      </c>
      <c r="K3818" t="s">
        <v>14</v>
      </c>
      <c r="L3818" t="s">
        <v>20</v>
      </c>
      <c r="M3818" t="s">
        <v>7996</v>
      </c>
      <c r="N3818" t="s">
        <v>14</v>
      </c>
    </row>
    <row r="3819" x14ac:dyDescent="0.25">
      <c r="A3819" t="n">
        <v>25</v>
      </c>
      <c r="B3819" t="s">
        <v>14</v>
      </c>
      <c r="C3819" t="s">
        <v>22</v>
      </c>
      <c r="D3819" s="2" t="s">
        <f>=HYPERLINK("https://main.knesset.gov.il/APPS/legislation/main/bills/2209184", "הצעת חוק זכויות הסטודנט (תיקון - התאמות לאוכלוסייה הערבית - חגים), התשפ""ג-2023")</f>
        <v>5987</v>
      </c>
      <c r="E3819" t="s">
        <v>5987</v>
      </c>
      <c r="F3819" t="s">
        <v>8089</v>
      </c>
      <c r="G3819" t="s">
        <v>14</v>
      </c>
      <c r="H3819">
             </c>
      <c r="I3819" t="s">
        <v>14</v>
      </c>
      <c r="J3819" t="s">
        <v>141</v>
      </c>
      <c r="K3819" t="s">
        <v>14</v>
      </c>
      <c r="L3819" t="s">
        <v>20</v>
      </c>
      <c r="M3819" t="s">
        <v>7996</v>
      </c>
      <c r="N3819" t="s">
        <v>14</v>
      </c>
    </row>
    <row r="3820" x14ac:dyDescent="0.25">
      <c r="A3820" t="n">
        <v>25</v>
      </c>
      <c r="B3820" t="s">
        <v>14</v>
      </c>
      <c r="C3820" t="s">
        <v>22</v>
      </c>
      <c r="D3820" s="2" t="s">
        <f>=HYPERLINK("https://main.knesset.gov.il/APPS/legislation/main/bills/2208518", "הצעת חוק הדגל, הסמל והמנון המדינה (תיקון - שימוש בהמנון המדינה בידי מוסדות להשכלה גבוהה), התשפ""ג-2023")</f>
        <v>8090</v>
      </c>
      <c r="E3820" t="s">
        <v>8090</v>
      </c>
      <c r="F3820" t="s">
        <v>8091</v>
      </c>
      <c r="G3820" t="s">
        <v>14</v>
      </c>
      <c r="H3820">
             </c>
      <c r="I3820" t="s">
        <v>14</v>
      </c>
      <c r="J3820" t="s">
        <v>141</v>
      </c>
      <c r="K3820" t="s">
        <v>14</v>
      </c>
      <c r="L3820" t="s">
        <v>20</v>
      </c>
      <c r="M3820" t="s">
        <v>7996</v>
      </c>
      <c r="N3820" t="s">
        <v>14</v>
      </c>
    </row>
    <row r="3821" x14ac:dyDescent="0.25">
      <c r="A3821" t="n">
        <v>25</v>
      </c>
      <c r="B3821" t="s">
        <v>14</v>
      </c>
      <c r="C3821" t="s">
        <v>22</v>
      </c>
      <c r="D3821" s="2" t="s">
        <f>=HYPERLINK("https://main.knesset.gov.il/APPS/legislation/main/bills/2209223", "הצעת חוק הבחירות לכנסת (תיקון - זכות לשכר ביום הבחירות), התשפ""ג-2023")</f>
        <v>8092</v>
      </c>
      <c r="E3821" t="s">
        <v>8092</v>
      </c>
      <c r="F3821" t="s">
        <v>8093</v>
      </c>
      <c r="G3821" t="s">
        <v>14</v>
      </c>
      <c r="H3821">
             </c>
      <c r="I3821" t="s">
        <v>14</v>
      </c>
      <c r="J3821" t="s">
        <v>141</v>
      </c>
      <c r="K3821" t="s">
        <v>14</v>
      </c>
      <c r="L3821" t="s">
        <v>20</v>
      </c>
      <c r="M3821" t="s">
        <v>7996</v>
      </c>
      <c r="N3821" t="s">
        <v>14</v>
      </c>
    </row>
    <row r="3822" x14ac:dyDescent="0.25">
      <c r="A3822" t="n">
        <v>25</v>
      </c>
      <c r="B3822" t="s">
        <v>14</v>
      </c>
      <c r="C3822" t="s">
        <v>22</v>
      </c>
      <c r="D3822" s="2" t="s">
        <f>=HYPERLINK("https://main.knesset.gov.il/APPS/legislation/main/bills/2209278", "הצעת חוק הקמת חדרי מיון בשדרות ובקריית שמונה, התשפ""ג-2023")</f>
        <v>8094</v>
      </c>
      <c r="E3822" t="s">
        <v>8094</v>
      </c>
      <c r="F3822" t="s">
        <v>8095</v>
      </c>
      <c r="G3822" t="s">
        <v>14</v>
      </c>
      <c r="H3822">
             </c>
      <c r="I3822" t="s">
        <v>14</v>
      </c>
      <c r="J3822" t="s">
        <v>141</v>
      </c>
      <c r="K3822" t="s">
        <v>14</v>
      </c>
      <c r="L3822" t="s">
        <v>20</v>
      </c>
      <c r="M3822" t="s">
        <v>7996</v>
      </c>
      <c r="N3822" t="s">
        <v>14</v>
      </c>
    </row>
    <row r="3823" x14ac:dyDescent="0.25">
      <c r="A3823" t="n">
        <v>25</v>
      </c>
      <c r="B3823" t="s">
        <v>14</v>
      </c>
      <c r="C3823" t="s">
        <v>22</v>
      </c>
      <c r="D3823" s="2" t="s">
        <f>=HYPERLINK("https://main.knesset.gov.il/APPS/legislation/main/bills/2205604", "הצעת חוק הביטוח הלאומי (תיקון - הגדלת הסכום שאינו מובא בחשבון וסכום לקביעת זכאות לנכה), התשפ""ג-2023")</f>
        <v>8096</v>
      </c>
      <c r="E3823" t="s">
        <v>8096</v>
      </c>
      <c r="F3823" t="s">
        <v>8097</v>
      </c>
      <c r="G3823" t="s">
        <v>14</v>
      </c>
      <c r="H3823">
             </c>
      <c r="I3823" t="s">
        <v>14</v>
      </c>
      <c r="J3823" t="s">
        <v>141</v>
      </c>
      <c r="K3823" t="s">
        <v>14</v>
      </c>
      <c r="L3823" t="s">
        <v>20</v>
      </c>
      <c r="M3823" t="s">
        <v>7996</v>
      </c>
      <c r="N3823" t="s">
        <v>14</v>
      </c>
    </row>
    <row r="3824" x14ac:dyDescent="0.25">
      <c r="A3824" t="n">
        <v>25</v>
      </c>
      <c r="B3824" t="s">
        <v>14</v>
      </c>
      <c r="C3824" t="s">
        <v>22</v>
      </c>
      <c r="D3824" s="2" t="s">
        <f>=HYPERLINK("https://main.knesset.gov.il/APPS/legislation/main/bills/2208766", "הצעת חוק ההתגוננות האזרחית (תיקון - מרחב מוגן דירתי ביישובים סמוכי גבול), התשפ""ג-2023")</f>
        <v>8098</v>
      </c>
      <c r="E3824" t="s">
        <v>8098</v>
      </c>
      <c r="F3824" t="s">
        <v>8099</v>
      </c>
      <c r="G3824" t="s">
        <v>14</v>
      </c>
      <c r="H3824">
             </c>
      <c r="I3824" t="s">
        <v>14</v>
      </c>
      <c r="J3824" t="s">
        <v>141</v>
      </c>
      <c r="K3824" t="s">
        <v>14</v>
      </c>
      <c r="L3824" t="s">
        <v>20</v>
      </c>
      <c r="M3824" t="s">
        <v>7996</v>
      </c>
      <c r="N3824" t="s">
        <v>14</v>
      </c>
    </row>
    <row r="3825" x14ac:dyDescent="0.25">
      <c r="A3825" t="n">
        <v>25</v>
      </c>
      <c r="B3825" t="s">
        <v>14</v>
      </c>
      <c r="C3825" t="s">
        <v>22</v>
      </c>
      <c r="D3825" s="2" t="s">
        <f>=HYPERLINK("https://main.knesset.gov.il/APPS/legislation/main/bills/2209337", "הצעת חוק ביטוח בריאות ממלכתי (תיקון - צמצום פערים בין הפריפריה למרכז), התשפ""ג-2023")</f>
        <v>696</v>
      </c>
      <c r="E3825" t="s">
        <v>696</v>
      </c>
      <c r="F3825" t="s">
        <v>8100</v>
      </c>
      <c r="G3825" t="s">
        <v>14</v>
      </c>
      <c r="H3825">
             </c>
      <c r="I3825" t="s">
        <v>14</v>
      </c>
      <c r="J3825" t="s">
        <v>141</v>
      </c>
      <c r="K3825" t="s">
        <v>14</v>
      </c>
      <c r="L3825" t="s">
        <v>20</v>
      </c>
      <c r="M3825" t="s">
        <v>7996</v>
      </c>
      <c r="N3825" t="s">
        <v>14</v>
      </c>
    </row>
    <row r="3826" x14ac:dyDescent="0.25">
      <c r="A3826" t="n">
        <v>25</v>
      </c>
      <c r="B3826" t="s">
        <v>14</v>
      </c>
      <c r="C3826" t="s">
        <v>22</v>
      </c>
      <c r="D3826" s="2" t="s">
        <f>=HYPERLINK("https://main.knesset.gov.il/APPS/legislation/main/bills/2208141", "הצעת חוק העונשין (תיקון - גזענות נגד קבוצה דתית), התשפ""ג-2022")</f>
        <v>8101</v>
      </c>
      <c r="E3826" t="s">
        <v>8101</v>
      </c>
      <c r="F3826" t="s">
        <v>8102</v>
      </c>
      <c r="G3826" t="s">
        <v>14</v>
      </c>
      <c r="H3826">
             </c>
      <c r="I3826" t="s">
        <v>14</v>
      </c>
      <c r="J3826" t="s">
        <v>141</v>
      </c>
      <c r="K3826" t="s">
        <v>14</v>
      </c>
      <c r="L3826" t="s">
        <v>20</v>
      </c>
      <c r="M3826" t="s">
        <v>7996</v>
      </c>
      <c r="N3826" t="s">
        <v>14</v>
      </c>
    </row>
    <row r="3827" x14ac:dyDescent="0.25">
      <c r="A3827" t="n">
        <v>25</v>
      </c>
      <c r="B3827" t="s">
        <v>14</v>
      </c>
      <c r="C3827" t="s">
        <v>22</v>
      </c>
      <c r="D3827" s="2" t="s">
        <f>=HYPERLINK("https://main.knesset.gov.il/APPS/legislation/main/bills/2208582", "הצעת חוק הביטוח הלאומי (תיקון - גמלת אבל לעצמאים), התשפ""ג-2023")</f>
        <v>8103</v>
      </c>
      <c r="E3827" t="s">
        <v>8103</v>
      </c>
      <c r="F3827" t="s">
        <v>8104</v>
      </c>
      <c r="G3827" t="s">
        <v>14</v>
      </c>
      <c r="H3827">
             </c>
      <c r="I3827" t="s">
        <v>14</v>
      </c>
      <c r="J3827" t="s">
        <v>141</v>
      </c>
      <c r="K3827" t="s">
        <v>14</v>
      </c>
      <c r="L3827" t="s">
        <v>20</v>
      </c>
      <c r="M3827" t="s">
        <v>7996</v>
      </c>
      <c r="N3827" t="s">
        <v>14</v>
      </c>
    </row>
    <row r="3828" x14ac:dyDescent="0.25">
      <c r="A3828" t="n">
        <v>25</v>
      </c>
      <c r="B3828" t="s">
        <v>14</v>
      </c>
      <c r="C3828" t="s">
        <v>22</v>
      </c>
      <c r="D3828" s="2" t="s">
        <f>=HYPERLINK("https://main.knesset.gov.il/APPS/legislation/main/bills/2206769", "הצעת חוק העונשין (תיקון - עונש מינימום בעבירת גניבת נשק), התשפ""ג-2023")</f>
        <v>8105</v>
      </c>
      <c r="E3828" t="s">
        <v>8105</v>
      </c>
      <c r="F3828" t="s">
        <v>8106</v>
      </c>
      <c r="G3828" t="s">
        <v>14</v>
      </c>
      <c r="H3828">
             </c>
      <c r="I3828" t="s">
        <v>14</v>
      </c>
      <c r="J3828" t="s">
        <v>141</v>
      </c>
      <c r="K3828" t="s">
        <v>14</v>
      </c>
      <c r="L3828" t="s">
        <v>20</v>
      </c>
      <c r="M3828" t="s">
        <v>7996</v>
      </c>
      <c r="N3828" t="s">
        <v>14</v>
      </c>
    </row>
    <row r="3829" x14ac:dyDescent="0.25">
      <c r="A3829" t="n">
        <v>25</v>
      </c>
      <c r="B3829" t="s">
        <v>14</v>
      </c>
      <c r="C3829" t="s">
        <v>22</v>
      </c>
      <c r="D3829" s="2" t="s">
        <f>=HYPERLINK("https://main.knesset.gov.il/APPS/legislation/main/bills/2208927", "הצעת חוק הביטוח הלאומי (תיקון - גמלת אבל), התשפ""ג-2023")</f>
        <v>8107</v>
      </c>
      <c r="E3829" t="s">
        <v>8107</v>
      </c>
      <c r="F3829" t="s">
        <v>8108</v>
      </c>
      <c r="G3829" t="s">
        <v>14</v>
      </c>
      <c r="H3829">
             </c>
      <c r="I3829" t="s">
        <v>14</v>
      </c>
      <c r="J3829" t="s">
        <v>141</v>
      </c>
      <c r="K3829" t="s">
        <v>14</v>
      </c>
      <c r="L3829" t="s">
        <v>20</v>
      </c>
      <c r="M3829" t="s">
        <v>7996</v>
      </c>
      <c r="N3829" t="s">
        <v>14</v>
      </c>
    </row>
    <row r="3830" x14ac:dyDescent="0.25">
      <c r="A3830" t="n">
        <v>25</v>
      </c>
      <c r="B3830" t="s">
        <v>14</v>
      </c>
      <c r="C3830" t="s">
        <v>22</v>
      </c>
      <c r="D3830" s="2" t="s">
        <f>=HYPERLINK("https://main.knesset.gov.il/APPS/legislation/main/bills/2204346", "הצעת חוק הלוואות לדיור (תיקון - עדכון זכאות ותנאי הלוואה לדיור), תשפ""ג-2023")</f>
        <v>8109</v>
      </c>
      <c r="E3830" t="s">
        <v>8109</v>
      </c>
      <c r="F3830" t="s">
        <v>8110</v>
      </c>
      <c r="G3830" t="s">
        <v>14</v>
      </c>
      <c r="H3830">
             </c>
      <c r="I3830" t="s">
        <v>14</v>
      </c>
      <c r="J3830" t="s">
        <v>141</v>
      </c>
      <c r="K3830" t="s">
        <v>14</v>
      </c>
      <c r="L3830" t="s">
        <v>20</v>
      </c>
      <c r="M3830" t="s">
        <v>7996</v>
      </c>
      <c r="N3830" t="s">
        <v>14</v>
      </c>
    </row>
    <row r="3831" x14ac:dyDescent="0.25">
      <c r="A3831" t="n">
        <v>25</v>
      </c>
      <c r="B3831" t="s">
        <v>14</v>
      </c>
      <c r="C3831" t="s">
        <v>22</v>
      </c>
      <c r="D3831" s="2" t="s">
        <f>=HYPERLINK("https://main.knesset.gov.il/APPS/legislation/main/bills/2209243", "הצעת חוק חכירה הוגנת, התשפ""ג-2023 ")</f>
        <v>8111</v>
      </c>
      <c r="E3831" t="s">
        <v>8111</v>
      </c>
      <c r="F3831" t="s">
        <v>8112</v>
      </c>
      <c r="G3831" t="s">
        <v>14</v>
      </c>
      <c r="H3831">
             </c>
      <c r="I3831" t="s">
        <v>14</v>
      </c>
      <c r="J3831" t="s">
        <v>141</v>
      </c>
      <c r="K3831" t="s">
        <v>14</v>
      </c>
      <c r="L3831" t="s">
        <v>20</v>
      </c>
      <c r="M3831" t="s">
        <v>7996</v>
      </c>
      <c r="N3831" t="s">
        <v>14</v>
      </c>
    </row>
    <row r="3832" x14ac:dyDescent="0.25">
      <c r="A3832" t="n">
        <v>25</v>
      </c>
      <c r="B3832" t="s">
        <v>14</v>
      </c>
      <c r="C3832" t="s">
        <v>22</v>
      </c>
      <c r="D3832" s="2" t="s">
        <f>=HYPERLINK("https://main.knesset.gov.il/APPS/legislation/main/bills/2208595", "הצעת חוק הסיוע המשפטי (תיקון - סיוע משפטי לנפגעי הונאה ועושק), התשפ""ג-2023")</f>
        <v>8113</v>
      </c>
      <c r="E3832" t="s">
        <v>8113</v>
      </c>
      <c r="F3832" t="s">
        <v>8114</v>
      </c>
      <c r="G3832" t="s">
        <v>14</v>
      </c>
      <c r="H3832">
             </c>
      <c r="I3832" t="s">
        <v>14</v>
      </c>
      <c r="J3832" t="s">
        <v>141</v>
      </c>
      <c r="K3832" t="s">
        <v>14</v>
      </c>
      <c r="L3832" t="s">
        <v>20</v>
      </c>
      <c r="M3832" t="s">
        <v>7996</v>
      </c>
      <c r="N3832" t="s">
        <v>14</v>
      </c>
    </row>
    <row r="3833" x14ac:dyDescent="0.25">
      <c r="A3833" t="n">
        <v>25</v>
      </c>
      <c r="B3833" t="s">
        <v>14</v>
      </c>
      <c r="C3833" t="s">
        <v>22</v>
      </c>
      <c r="D3833" s="2" t="s">
        <f>=HYPERLINK("https://main.knesset.gov.il/APPS/legislation/main/bills/2206735", "הצעת חוק העונשין (תיקון - עונש מינימום בעבירות כניסה והתפרצות), התשפ""ג-2023")</f>
        <v>8115</v>
      </c>
      <c r="E3833" t="s">
        <v>8115</v>
      </c>
      <c r="F3833" t="s">
        <v>8116</v>
      </c>
      <c r="G3833" t="s">
        <v>14</v>
      </c>
      <c r="H3833">
             </c>
      <c r="I3833" t="s">
        <v>14</v>
      </c>
      <c r="J3833" t="s">
        <v>141</v>
      </c>
      <c r="K3833" t="s">
        <v>14</v>
      </c>
      <c r="L3833" t="s">
        <v>20</v>
      </c>
      <c r="M3833" t="s">
        <v>7996</v>
      </c>
      <c r="N3833" t="s">
        <v>14</v>
      </c>
    </row>
    <row r="3834" x14ac:dyDescent="0.25">
      <c r="A3834" t="n">
        <v>25</v>
      </c>
      <c r="B3834" t="s">
        <v>14</v>
      </c>
      <c r="C3834" t="s">
        <v>22</v>
      </c>
      <c r="D3834" s="2" t="s">
        <f>=HYPERLINK("https://main.knesset.gov.il/APPS/legislation/main/bills/2209272", "הצעת חוק לעידוד הסעות עובדים מאורגנות (תיקוני חקיקה), התשפ""ג-2023")</f>
        <v>8117</v>
      </c>
      <c r="E3834" t="s">
        <v>8117</v>
      </c>
      <c r="F3834" t="s">
        <v>8118</v>
      </c>
      <c r="G3834" t="s">
        <v>14</v>
      </c>
      <c r="H3834">
             </c>
      <c r="I3834" t="s">
        <v>14</v>
      </c>
      <c r="J3834" t="s">
        <v>141</v>
      </c>
      <c r="K3834" t="s">
        <v>14</v>
      </c>
      <c r="L3834" t="s">
        <v>20</v>
      </c>
      <c r="M3834" t="s">
        <v>7996</v>
      </c>
      <c r="N3834" t="s">
        <v>14</v>
      </c>
    </row>
    <row r="3835" x14ac:dyDescent="0.25">
      <c r="A3835" t="n">
        <v>25</v>
      </c>
      <c r="B3835" t="s">
        <v>14</v>
      </c>
      <c r="C3835" t="s">
        <v>22</v>
      </c>
      <c r="D3835" s="2" t="s">
        <f>=HYPERLINK("https://main.knesset.gov.il/APPS/legislation/main/bills/2206777", "הצעת חוק העונשין (תיקון - עונש מינימום בעבירות גניבה מרכב), התשפ""ג-2023")</f>
        <v>8119</v>
      </c>
      <c r="E3835" t="s">
        <v>8119</v>
      </c>
      <c r="F3835" t="s">
        <v>8120</v>
      </c>
      <c r="G3835" t="s">
        <v>14</v>
      </c>
      <c r="H3835">
             </c>
      <c r="I3835" t="s">
        <v>14</v>
      </c>
      <c r="J3835" t="s">
        <v>141</v>
      </c>
      <c r="K3835" t="s">
        <v>14</v>
      </c>
      <c r="L3835" t="s">
        <v>20</v>
      </c>
      <c r="M3835" t="s">
        <v>7996</v>
      </c>
      <c r="N3835" t="s">
        <v>14</v>
      </c>
    </row>
    <row r="3836" x14ac:dyDescent="0.25">
      <c r="A3836" t="n">
        <v>25</v>
      </c>
      <c r="B3836" t="s">
        <v>14</v>
      </c>
      <c r="C3836" t="s">
        <v>22</v>
      </c>
      <c r="D3836" s="2" t="s">
        <f>=HYPERLINK("https://main.knesset.gov.il/APPS/legislation/main/bills/2208945", "הצעת חוק תגמול ספורטאים בעלי דירוג עולמי, התשפ""ג-2023")</f>
        <v>8121</v>
      </c>
      <c r="E3836" t="s">
        <v>8121</v>
      </c>
      <c r="F3836" t="s">
        <v>8122</v>
      </c>
      <c r="G3836" t="s">
        <v>14</v>
      </c>
      <c r="H3836">
             </c>
      <c r="I3836" t="s">
        <v>14</v>
      </c>
      <c r="J3836" t="s">
        <v>141</v>
      </c>
      <c r="K3836" t="s">
        <v>14</v>
      </c>
      <c r="L3836" t="s">
        <v>20</v>
      </c>
      <c r="M3836" t="s">
        <v>7996</v>
      </c>
      <c r="N3836" t="s">
        <v>14</v>
      </c>
    </row>
    <row r="3837" x14ac:dyDescent="0.25">
      <c r="A3837" t="n">
        <v>25</v>
      </c>
      <c r="B3837" t="s">
        <v>14</v>
      </c>
      <c r="C3837" t="s">
        <v>22</v>
      </c>
      <c r="D3837" s="2" t="s">
        <f>=HYPERLINK("https://main.knesset.gov.il/APPS/legislation/main/bills/2209315", "הצעת חוק ההוצאה לפועל (תיקון - החרגת עיקול ביטוח רפואי בידי צד שלישי), התשפ""ג-2023")</f>
        <v>8123</v>
      </c>
      <c r="E3837" t="s">
        <v>8123</v>
      </c>
      <c r="F3837" t="s">
        <v>8124</v>
      </c>
      <c r="G3837" t="s">
        <v>14</v>
      </c>
      <c r="H3837">
             </c>
      <c r="I3837" t="s">
        <v>14</v>
      </c>
      <c r="J3837" t="s">
        <v>141</v>
      </c>
      <c r="K3837" t="s">
        <v>14</v>
      </c>
      <c r="L3837" t="s">
        <v>20</v>
      </c>
      <c r="M3837" t="s">
        <v>7996</v>
      </c>
      <c r="N3837" t="s">
        <v>14</v>
      </c>
    </row>
    <row r="3838" x14ac:dyDescent="0.25">
      <c r="A3838" t="n">
        <v>25</v>
      </c>
      <c r="B3838" t="s">
        <v>14</v>
      </c>
      <c r="C3838" t="s">
        <v>22</v>
      </c>
      <c r="D3838" s="2" t="s">
        <f>=HYPERLINK("https://main.knesset.gov.il/APPS/legislation/main/bills/2198845", "הצעת חוק הלוואות לדיור (תיקון - מניעת מגבלה על שיעור המימון מבנק), התשפ""ג-2023")</f>
        <v>8125</v>
      </c>
      <c r="E3838" t="s">
        <v>8125</v>
      </c>
      <c r="F3838" t="s">
        <v>8126</v>
      </c>
      <c r="G3838" t="s">
        <v>14</v>
      </c>
      <c r="H3838">
             </c>
      <c r="I3838" t="s">
        <v>14</v>
      </c>
      <c r="J3838" t="s">
        <v>141</v>
      </c>
      <c r="K3838" t="s">
        <v>14</v>
      </c>
      <c r="L3838" t="s">
        <v>20</v>
      </c>
      <c r="M3838" t="s">
        <v>7996</v>
      </c>
      <c r="N3838" t="s">
        <v>14</v>
      </c>
    </row>
    <row r="3839" x14ac:dyDescent="0.25">
      <c r="A3839" t="n">
        <v>25</v>
      </c>
      <c r="B3839" t="s">
        <v>14</v>
      </c>
      <c r="C3839" t="s">
        <v>22</v>
      </c>
      <c r="D3839" s="2" t="s">
        <f>=HYPERLINK("https://main.knesset.gov.il/APPS/legislation/main/bills/2208797", "הצעת חוק לתיקון פקודת סדרי השלטון והמשפט (חקיקה באזור באמצעות צו), התשפ""ג-2023")</f>
        <v>8127</v>
      </c>
      <c r="E3839" t="s">
        <v>8127</v>
      </c>
      <c r="F3839" t="s">
        <v>8128</v>
      </c>
      <c r="G3839" t="s">
        <v>14</v>
      </c>
      <c r="H3839">
             </c>
      <c r="I3839" t="s">
        <v>14</v>
      </c>
      <c r="J3839" t="s">
        <v>141</v>
      </c>
      <c r="K3839" t="s">
        <v>14</v>
      </c>
      <c r="L3839" t="s">
        <v>20</v>
      </c>
      <c r="M3839" t="s">
        <v>7996</v>
      </c>
      <c r="N3839" t="s">
        <v>14</v>
      </c>
    </row>
    <row r="3840" x14ac:dyDescent="0.25">
      <c r="A3840" t="n">
        <v>25</v>
      </c>
      <c r="B3840" t="s">
        <v>14</v>
      </c>
      <c r="C3840" t="s">
        <v>22</v>
      </c>
      <c r="D3840" s="2" t="s">
        <f>=HYPERLINK("https://main.knesset.gov.il/APPS/legislation/main/bills/2206772", "הצעת חוק העונשין (תיקון - עונש מינימום על עבירת אונס), התשפ""ג-2023")</f>
        <v>8129</v>
      </c>
      <c r="E3840" t="s">
        <v>8129</v>
      </c>
      <c r="F3840" t="s">
        <v>8130</v>
      </c>
      <c r="G3840" t="s">
        <v>14</v>
      </c>
      <c r="H3840">
             </c>
      <c r="I3840" t="s">
        <v>14</v>
      </c>
      <c r="J3840" t="s">
        <v>141</v>
      </c>
      <c r="K3840" t="s">
        <v>14</v>
      </c>
      <c r="L3840" t="s">
        <v>20</v>
      </c>
      <c r="M3840" t="s">
        <v>7996</v>
      </c>
      <c r="N3840" t="s">
        <v>14</v>
      </c>
    </row>
    <row r="3841" x14ac:dyDescent="0.25">
      <c r="A3841" t="n">
        <v>25</v>
      </c>
      <c r="B3841" t="s">
        <v>14</v>
      </c>
      <c r="C3841" t="s">
        <v>22</v>
      </c>
      <c r="D3841" s="2" t="s">
        <f>=HYPERLINK("https://main.knesset.gov.il/APPS/legislation/main/bills/2208929", "הצעת חוק זכויות החולה (תיקון - הסכמה מדעת של קטין), התשפ""ג-2023")</f>
        <v>8131</v>
      </c>
      <c r="E3841" t="s">
        <v>8131</v>
      </c>
      <c r="F3841" t="s">
        <v>8132</v>
      </c>
      <c r="G3841" t="s">
        <v>14</v>
      </c>
      <c r="H3841">
             </c>
      <c r="I3841" t="s">
        <v>14</v>
      </c>
      <c r="J3841" t="s">
        <v>141</v>
      </c>
      <c r="K3841" t="s">
        <v>14</v>
      </c>
      <c r="L3841" t="s">
        <v>20</v>
      </c>
      <c r="M3841" t="s">
        <v>7996</v>
      </c>
      <c r="N3841" t="s">
        <v>14</v>
      </c>
    </row>
    <row r="3842" x14ac:dyDescent="0.25">
      <c r="A3842" t="n">
        <v>25</v>
      </c>
      <c r="B3842" t="s">
        <v>14</v>
      </c>
      <c r="C3842" t="s">
        <v>22</v>
      </c>
      <c r="D3842" s="2" t="s">
        <f>=HYPERLINK("https://main.knesset.gov.il/APPS/legislation/main/bills/2208583", "הצעת חוק למניעת הטרדה מינית (תיקון - הרחבת תחולה על עובדים עצמאים, מתנדבים ועובדי כלכלת הפלטפורמה), התשפ""ג-2023")</f>
        <v>8133</v>
      </c>
      <c r="E3842" t="s">
        <v>8133</v>
      </c>
      <c r="F3842" t="s">
        <v>8134</v>
      </c>
      <c r="G3842" t="s">
        <v>14</v>
      </c>
      <c r="H3842">
             </c>
      <c r="I3842" t="s">
        <v>14</v>
      </c>
      <c r="J3842" t="s">
        <v>141</v>
      </c>
      <c r="K3842" t="s">
        <v>14</v>
      </c>
      <c r="L3842" t="s">
        <v>20</v>
      </c>
      <c r="M3842" t="s">
        <v>7996</v>
      </c>
      <c r="N3842" t="s">
        <v>14</v>
      </c>
    </row>
    <row r="3843" x14ac:dyDescent="0.25">
      <c r="A3843" t="n">
        <v>25</v>
      </c>
      <c r="B3843" t="s">
        <v>14</v>
      </c>
      <c r="C3843" t="s">
        <v>22</v>
      </c>
      <c r="D3843" s="2" t="s">
        <f>=HYPERLINK("https://main.knesset.gov.il/APPS/legislation/main/bills/2206770", "הצעת חוק העונשין (תיקון - עונש מינימום על תקיפת שוטר), התשפ""ג-2023 ")</f>
        <v>8135</v>
      </c>
      <c r="E3843" t="s">
        <v>8135</v>
      </c>
      <c r="F3843" t="s">
        <v>8136</v>
      </c>
      <c r="G3843" t="s">
        <v>14</v>
      </c>
      <c r="H3843">
             </c>
      <c r="I3843" t="s">
        <v>14</v>
      </c>
      <c r="J3843" t="s">
        <v>141</v>
      </c>
      <c r="K3843" t="s">
        <v>14</v>
      </c>
      <c r="L3843" t="s">
        <v>20</v>
      </c>
      <c r="M3843" t="s">
        <v>7996</v>
      </c>
      <c r="N3843" t="s">
        <v>14</v>
      </c>
    </row>
    <row r="3844" x14ac:dyDescent="0.25">
      <c r="A3844" t="n">
        <v>25</v>
      </c>
      <c r="B3844" t="s">
        <v>14</v>
      </c>
      <c r="C3844" t="s">
        <v>22</v>
      </c>
      <c r="D3844" s="2" t="s">
        <f>=HYPERLINK("https://main.knesset.gov.il/APPS/legislation/main/bills/2208596", "הצעת חוק מגן דוד אדום (תיקון - פריסת ניידות טיפול נמרץ ברחבי המדינה), התשפ""ג-2023 ")</f>
        <v>8137</v>
      </c>
      <c r="E3844" t="s">
        <v>8137</v>
      </c>
      <c r="F3844" t="s">
        <v>8138</v>
      </c>
      <c r="G3844" t="s">
        <v>14</v>
      </c>
      <c r="H3844">
             </c>
      <c r="I3844" t="s">
        <v>14</v>
      </c>
      <c r="J3844" t="s">
        <v>141</v>
      </c>
      <c r="K3844" t="s">
        <v>14</v>
      </c>
      <c r="L3844" t="s">
        <v>20</v>
      </c>
      <c r="M3844" t="s">
        <v>7996</v>
      </c>
      <c r="N3844" t="s">
        <v>14</v>
      </c>
    </row>
    <row r="3845" x14ac:dyDescent="0.25">
      <c r="A3845" t="n">
        <v>25</v>
      </c>
      <c r="B3845" t="s">
        <v>14</v>
      </c>
      <c r="C3845" t="s">
        <v>22</v>
      </c>
      <c r="D3845" s="2" t="s">
        <f>=HYPERLINK("https://main.knesset.gov.il/APPS/legislation/main/bills/2205715", "הצעת חוק הארכת תקופת צינון למשרתים במערכת הביטחון (תיקוני חקיקה), התשפ""ג-2023")</f>
        <v>8139</v>
      </c>
      <c r="E3845" t="s">
        <v>8139</v>
      </c>
      <c r="F3845" t="s">
        <v>8140</v>
      </c>
      <c r="G3845" t="s">
        <v>14</v>
      </c>
      <c r="H3845">
             </c>
      <c r="I3845" t="s">
        <v>14</v>
      </c>
      <c r="J3845" t="s">
        <v>141</v>
      </c>
      <c r="K3845" t="s">
        <v>14</v>
      </c>
      <c r="L3845" t="s">
        <v>20</v>
      </c>
      <c r="M3845" t="s">
        <v>7996</v>
      </c>
      <c r="N3845" t="s">
        <v>14</v>
      </c>
    </row>
    <row r="3846" x14ac:dyDescent="0.25">
      <c r="A3846" t="n">
        <v>25</v>
      </c>
      <c r="B3846" t="s">
        <v>14</v>
      </c>
      <c r="C3846" t="s">
        <v>22</v>
      </c>
      <c r="D3846" s="2" t="s">
        <f>=HYPERLINK("https://main.knesset.gov.il/APPS/legislation/main/bills/2203702", "הצעת חוק מס ערך מוסף (תיקון - הגדרת עוסק פטור), התשפ""ג-2023")</f>
        <v>8141</v>
      </c>
      <c r="E3846" t="s">
        <v>8141</v>
      </c>
      <c r="F3846" t="s">
        <v>8142</v>
      </c>
      <c r="G3846" t="s">
        <v>14</v>
      </c>
      <c r="H3846">
             </c>
      <c r="I3846" t="s">
        <v>14</v>
      </c>
      <c r="J3846" t="s">
        <v>141</v>
      </c>
      <c r="K3846" t="s">
        <v>14</v>
      </c>
      <c r="L3846" t="s">
        <v>20</v>
      </c>
      <c r="M3846" t="s">
        <v>7996</v>
      </c>
      <c r="N3846" t="s">
        <v>14</v>
      </c>
    </row>
    <row r="3847" x14ac:dyDescent="0.25">
      <c r="A3847" t="n">
        <v>25</v>
      </c>
      <c r="B3847" t="s">
        <v>14</v>
      </c>
      <c r="C3847" t="s">
        <v>22</v>
      </c>
      <c r="D3847" s="2" t="s">
        <f>=HYPERLINK("https://main.knesset.gov.il/APPS/legislation/main/bills/2209298", "הצעת חוק הביטוח הלאומי (תיקון - זכאות לקצבת נכות), התשפ""ג-2023")</f>
        <v>8143</v>
      </c>
      <c r="E3847" t="s">
        <v>8143</v>
      </c>
      <c r="F3847" t="s">
        <v>8144</v>
      </c>
      <c r="G3847" t="s">
        <v>14</v>
      </c>
      <c r="H3847">
             </c>
      <c r="I3847" t="s">
        <v>14</v>
      </c>
      <c r="J3847" t="s">
        <v>141</v>
      </c>
      <c r="K3847" t="s">
        <v>14</v>
      </c>
      <c r="L3847" t="s">
        <v>20</v>
      </c>
      <c r="M3847" t="s">
        <v>7996</v>
      </c>
      <c r="N3847" t="s">
        <v>14</v>
      </c>
    </row>
    <row r="3848" x14ac:dyDescent="0.25">
      <c r="A3848" t="n">
        <v>25</v>
      </c>
      <c r="B3848" t="s">
        <v>14</v>
      </c>
      <c r="C3848" t="s">
        <v>22</v>
      </c>
      <c r="D3848" s="2" t="s">
        <f>=HYPERLINK("https://main.knesset.gov.il/APPS/legislation/main/bills/2208110", "הצעת חוק המשטרה (סמכויות), התשפ""ג-2023")</f>
        <v>8145</v>
      </c>
      <c r="E3848" t="s">
        <v>8145</v>
      </c>
      <c r="F3848" t="s">
        <v>8146</v>
      </c>
      <c r="G3848" t="s">
        <v>14</v>
      </c>
      <c r="H3848">
             </c>
      <c r="I3848" t="s">
        <v>14</v>
      </c>
      <c r="J3848" t="s">
        <v>141</v>
      </c>
      <c r="K3848" t="s">
        <v>14</v>
      </c>
      <c r="L3848" t="s">
        <v>20</v>
      </c>
      <c r="M3848" t="s">
        <v>7996</v>
      </c>
      <c r="N3848" t="s">
        <v>14</v>
      </c>
    </row>
    <row r="3849" x14ac:dyDescent="0.25">
      <c r="A3849" t="n">
        <v>25</v>
      </c>
      <c r="B3849" t="s">
        <v>14</v>
      </c>
      <c r="C3849" t="s">
        <v>22</v>
      </c>
      <c r="D3849" s="2" t="s">
        <f>=HYPERLINK("https://main.knesset.gov.il/APPS/legislation/main/bills/2208903", "הצעת חוק הכרת מדינת ישראל באחריות על הטבח בכפר קאסם, התשפ""ג-2023")</f>
        <v>8147</v>
      </c>
      <c r="E3849" t="s">
        <v>8147</v>
      </c>
      <c r="F3849" t="s">
        <v>8148</v>
      </c>
      <c r="G3849" t="s">
        <v>14</v>
      </c>
      <c r="H3849">
             </c>
      <c r="I3849" t="s">
        <v>14</v>
      </c>
      <c r="J3849" t="s">
        <v>141</v>
      </c>
      <c r="K3849" t="s">
        <v>14</v>
      </c>
      <c r="L3849" t="s">
        <v>20</v>
      </c>
      <c r="M3849" t="s">
        <v>7996</v>
      </c>
      <c r="N3849" t="s">
        <v>14</v>
      </c>
    </row>
    <row r="3850" x14ac:dyDescent="0.25">
      <c r="A3850" t="n">
        <v>25</v>
      </c>
      <c r="B3850" t="s">
        <v>14</v>
      </c>
      <c r="C3850" t="s">
        <v>22</v>
      </c>
      <c r="D3850" s="2" t="s">
        <f>=HYPERLINK("https://main.knesset.gov.il/APPS/legislation/main/bills/2208958", "הצעת חוק הביטוח הלאומי (תיקון - הרחבת הזכאות לגמלת ניידות לפי הסכם מכוח סעיף 9), התשפ""ג-2023")</f>
        <v>8149</v>
      </c>
      <c r="E3850" t="s">
        <v>8149</v>
      </c>
      <c r="F3850" t="s">
        <v>8150</v>
      </c>
      <c r="G3850" t="s">
        <v>14</v>
      </c>
      <c r="H3850">
             </c>
      <c r="I3850" t="s">
        <v>14</v>
      </c>
      <c r="J3850" t="s">
        <v>141</v>
      </c>
      <c r="K3850" t="s">
        <v>14</v>
      </c>
      <c r="L3850" t="s">
        <v>20</v>
      </c>
      <c r="M3850" t="s">
        <v>7996</v>
      </c>
      <c r="N3850" t="s">
        <v>14</v>
      </c>
    </row>
    <row r="3851" x14ac:dyDescent="0.25">
      <c r="A3851" t="n">
        <v>25</v>
      </c>
      <c r="B3851" t="s">
        <v>14</v>
      </c>
      <c r="C3851" t="s">
        <v>22</v>
      </c>
      <c r="D3851" s="2" t="s">
        <f>=HYPERLINK("https://main.knesset.gov.il/APPS/legislation/main/bills/2208808", "הצעת חוק צער בעלי חיים (הגנה על בעלי חיים) (תיקון - המעמד המשפטי של בעלי חיים), התשפ""ג-2023")</f>
        <v>8151</v>
      </c>
      <c r="E3851" t="s">
        <v>8151</v>
      </c>
      <c r="F3851" t="s">
        <v>8152</v>
      </c>
      <c r="G3851" t="s">
        <v>14</v>
      </c>
      <c r="H3851">
             </c>
      <c r="I3851" t="s">
        <v>14</v>
      </c>
      <c r="J3851" t="s">
        <v>141</v>
      </c>
      <c r="K3851" t="s">
        <v>14</v>
      </c>
      <c r="L3851" t="s">
        <v>20</v>
      </c>
      <c r="M3851" t="s">
        <v>7996</v>
      </c>
      <c r="N3851" t="s">
        <v>14</v>
      </c>
    </row>
    <row r="3852" x14ac:dyDescent="0.25">
      <c r="A3852" t="n">
        <v>25</v>
      </c>
      <c r="B3852" t="s">
        <v>14</v>
      </c>
      <c r="C3852" t="s">
        <v>22</v>
      </c>
      <c r="D3852" s="2" t="s">
        <f>=HYPERLINK("https://main.knesset.gov.il/APPS/legislation/main/bills/2209112", "הצעת חוק תפיסת הביטחון הלאומי, התשפ""ג-2023")</f>
        <v>8153</v>
      </c>
      <c r="E3852" t="s">
        <v>8153</v>
      </c>
      <c r="F3852" t="s">
        <v>8154</v>
      </c>
      <c r="G3852" t="s">
        <v>14</v>
      </c>
      <c r="H3852">
             </c>
      <c r="I3852" t="s">
        <v>14</v>
      </c>
      <c r="J3852" t="s">
        <v>141</v>
      </c>
      <c r="K3852" t="s">
        <v>14</v>
      </c>
      <c r="L3852" t="s">
        <v>20</v>
      </c>
      <c r="M3852" t="s">
        <v>7996</v>
      </c>
      <c r="N3852" t="s">
        <v>14</v>
      </c>
    </row>
    <row r="3853" x14ac:dyDescent="0.25">
      <c r="A3853" t="n">
        <v>25</v>
      </c>
      <c r="B3853" t="s">
        <v>14</v>
      </c>
      <c r="C3853" t="s">
        <v>22</v>
      </c>
      <c r="D3853" s="2" t="s">
        <f>=HYPERLINK("https://main.knesset.gov.il/APPS/legislation/main/bills/2206739", "הצעת חוק העונשין (תיקון - עונש מינימום על עבירת הפרעה לשוטר), התשפ""ג-2023")</f>
        <v>8155</v>
      </c>
      <c r="E3853" t="s">
        <v>8155</v>
      </c>
      <c r="F3853" t="s">
        <v>8156</v>
      </c>
      <c r="G3853" t="s">
        <v>14</v>
      </c>
      <c r="H3853">
             </c>
      <c r="I3853" t="s">
        <v>14</v>
      </c>
      <c r="J3853" t="s">
        <v>141</v>
      </c>
      <c r="K3853" t="s">
        <v>14</v>
      </c>
      <c r="L3853" t="s">
        <v>20</v>
      </c>
      <c r="M3853" t="s">
        <v>7996</v>
      </c>
      <c r="N3853" t="s">
        <v>14</v>
      </c>
    </row>
    <row r="3854" x14ac:dyDescent="0.25">
      <c r="A3854" t="n">
        <v>25</v>
      </c>
      <c r="B3854" t="s">
        <v>14</v>
      </c>
      <c r="C3854" t="s">
        <v>22</v>
      </c>
      <c r="D3854" s="2" t="s">
        <f>=HYPERLINK("https://main.knesset.gov.il/APPS/legislation/main/bills/2206744", "הצעת חוק העונשין (תיקון - עונש מינימום על עבירות ירי בנשק חם), התשפ""ג-2023")</f>
        <v>8157</v>
      </c>
      <c r="E3854" t="s">
        <v>8157</v>
      </c>
      <c r="F3854" t="s">
        <v>8158</v>
      </c>
      <c r="G3854" t="s">
        <v>14</v>
      </c>
      <c r="H3854">
             </c>
      <c r="I3854" t="s">
        <v>14</v>
      </c>
      <c r="J3854" t="s">
        <v>141</v>
      </c>
      <c r="K3854" t="s">
        <v>14</v>
      </c>
      <c r="L3854" t="s">
        <v>20</v>
      </c>
      <c r="M3854" t="s">
        <v>7996</v>
      </c>
      <c r="N3854" t="s">
        <v>14</v>
      </c>
    </row>
    <row r="3855" x14ac:dyDescent="0.25">
      <c r="A3855" t="n">
        <v>25</v>
      </c>
      <c r="B3855" t="s">
        <v>14</v>
      </c>
      <c r="C3855" t="s">
        <v>22</v>
      </c>
      <c r="D3855" s="2" t="s">
        <f>=HYPERLINK("https://main.knesset.gov.il/APPS/legislation/main/bills/2205679", "הצעת חוק לתיקון פקודת התעבורה (הגבלת תשלום למורה נהיגה בעד שימוש ברכבו במבחן נהיגה), התשפ""ג-2023")</f>
        <v>8159</v>
      </c>
      <c r="E3855" t="s">
        <v>8159</v>
      </c>
      <c r="F3855" t="s">
        <v>8160</v>
      </c>
      <c r="G3855" t="s">
        <v>14</v>
      </c>
      <c r="H3855">
             </c>
      <c r="I3855" t="s">
        <v>14</v>
      </c>
      <c r="J3855" t="s">
        <v>141</v>
      </c>
      <c r="K3855" t="s">
        <v>14</v>
      </c>
      <c r="L3855" t="s">
        <v>20</v>
      </c>
      <c r="M3855" t="s">
        <v>7996</v>
      </c>
      <c r="N3855" t="s">
        <v>14</v>
      </c>
    </row>
    <row r="3856" x14ac:dyDescent="0.25">
      <c r="A3856" t="n">
        <v>25</v>
      </c>
      <c r="B3856" t="s">
        <v>14</v>
      </c>
      <c r="C3856" t="s">
        <v>22</v>
      </c>
      <c r="D3856" s="2" t="s">
        <f>=HYPERLINK("https://main.knesset.gov.il/APPS/legislation/main/bills/2201946", "הצעת חוק התקנים (תיקון - גוף וולונטרי), התשפ""ג-2023")</f>
        <v>8161</v>
      </c>
      <c r="E3856" t="s">
        <v>8161</v>
      </c>
      <c r="F3856" t="s">
        <v>8162</v>
      </c>
      <c r="G3856" t="s">
        <v>14</v>
      </c>
      <c r="H3856">
             </c>
      <c r="I3856" t="s">
        <v>14</v>
      </c>
      <c r="J3856" t="s">
        <v>141</v>
      </c>
      <c r="K3856" t="s">
        <v>14</v>
      </c>
      <c r="L3856" t="s">
        <v>20</v>
      </c>
      <c r="M3856" t="s">
        <v>7996</v>
      </c>
      <c r="N3856" t="s">
        <v>14</v>
      </c>
    </row>
    <row r="3857" x14ac:dyDescent="0.25">
      <c r="A3857" t="n">
        <v>25</v>
      </c>
      <c r="B3857" t="s">
        <v>14</v>
      </c>
      <c r="C3857" t="s">
        <v>22</v>
      </c>
      <c r="D3857" s="2" t="s">
        <f>=HYPERLINK("https://main.knesset.gov.il/APPS/legislation/main/bills/2208245", "הצעת חוק מס רכוש וקרן פיצויים (תיקון - תשלום פיצויים לאזרחים שהתפנו מבתיהם בעת מצב מיוחד בעורף), התשפ""ג-2023")</f>
        <v>8163</v>
      </c>
      <c r="E3857" t="s">
        <v>8163</v>
      </c>
      <c r="F3857" t="s">
        <v>8164</v>
      </c>
      <c r="G3857" t="s">
        <v>14</v>
      </c>
      <c r="H3857">
             </c>
      <c r="I3857" t="s">
        <v>14</v>
      </c>
      <c r="J3857" t="s">
        <v>141</v>
      </c>
      <c r="K3857" t="s">
        <v>14</v>
      </c>
      <c r="L3857" t="s">
        <v>20</v>
      </c>
      <c r="M3857" t="s">
        <v>7996</v>
      </c>
      <c r="N3857" t="s">
        <v>14</v>
      </c>
    </row>
    <row r="3858" x14ac:dyDescent="0.25">
      <c r="A3858" t="n">
        <v>25</v>
      </c>
      <c r="B3858" t="s">
        <v>14</v>
      </c>
      <c r="C3858" t="s">
        <v>22</v>
      </c>
      <c r="D3858" s="2" t="s">
        <f>=HYPERLINK("https://main.knesset.gov.il/APPS/legislation/main/bills/2206738", "הצעת חוק העונשין (תיקון - עונש מינימום על עבירת החזקת נשק בלתי חוקי), התשפ""ג-2023")</f>
        <v>8165</v>
      </c>
      <c r="E3858" t="s">
        <v>8165</v>
      </c>
      <c r="F3858" t="s">
        <v>8166</v>
      </c>
      <c r="G3858" t="s">
        <v>14</v>
      </c>
      <c r="H3858">
             </c>
      <c r="I3858" t="s">
        <v>14</v>
      </c>
      <c r="J3858" t="s">
        <v>141</v>
      </c>
      <c r="K3858" t="s">
        <v>14</v>
      </c>
      <c r="L3858" t="s">
        <v>20</v>
      </c>
      <c r="M3858" t="s">
        <v>7996</v>
      </c>
      <c r="N3858" t="s">
        <v>14</v>
      </c>
    </row>
    <row r="3859" x14ac:dyDescent="0.25">
      <c r="A3859" t="n">
        <v>25</v>
      </c>
      <c r="B3859" t="s">
        <v>14</v>
      </c>
      <c r="C3859" t="s">
        <v>22</v>
      </c>
      <c r="D3859" s="2" t="s">
        <f>=HYPERLINK("https://main.knesset.gov.il/APPS/legislation/main/bills/2209309", "הצעת חוק ביטוח בריאות ממלכתי (תיקון - העברת תיק רפואי במעבר בין קופות חולים), התשפ""ג-2023")</f>
        <v>8167</v>
      </c>
      <c r="E3859" t="s">
        <v>8167</v>
      </c>
      <c r="F3859" t="s">
        <v>8168</v>
      </c>
      <c r="G3859" t="s">
        <v>14</v>
      </c>
      <c r="H3859">
             </c>
      <c r="I3859" t="s">
        <v>14</v>
      </c>
      <c r="J3859" t="s">
        <v>141</v>
      </c>
      <c r="K3859" t="s">
        <v>14</v>
      </c>
      <c r="L3859" t="s">
        <v>20</v>
      </c>
      <c r="M3859" t="s">
        <v>7996</v>
      </c>
      <c r="N3859" t="s">
        <v>14</v>
      </c>
    </row>
    <row r="3860" x14ac:dyDescent="0.25">
      <c r="A3860" t="n">
        <v>25</v>
      </c>
      <c r="B3860" t="s">
        <v>14</v>
      </c>
      <c r="C3860" t="s">
        <v>22</v>
      </c>
      <c r="D3860" s="2" t="s">
        <f>=HYPERLINK("https://main.knesset.gov.il/APPS/legislation/main/bills/2209022", "הצעת חוק ביטוח בריאות ממלכתי (תיקון - העברת תיק רפואי במעבר בין קופות חולים), התשפ""ג-2023")</f>
        <v>8167</v>
      </c>
      <c r="E3860" t="s">
        <v>8167</v>
      </c>
      <c r="F3860" t="s">
        <v>8169</v>
      </c>
      <c r="G3860" t="s">
        <v>14</v>
      </c>
      <c r="H3860">
             </c>
      <c r="I3860" t="s">
        <v>14</v>
      </c>
      <c r="J3860" t="s">
        <v>141</v>
      </c>
      <c r="K3860" t="s">
        <v>14</v>
      </c>
      <c r="L3860" t="s">
        <v>20</v>
      </c>
      <c r="M3860" t="s">
        <v>7996</v>
      </c>
      <c r="N3860" t="s">
        <v>14</v>
      </c>
    </row>
    <row r="3861" x14ac:dyDescent="0.25">
      <c r="A3861" t="n">
        <v>25</v>
      </c>
      <c r="B3861" t="s">
        <v>14</v>
      </c>
      <c r="C3861" t="s">
        <v>22</v>
      </c>
      <c r="D3861" s="2" t="s">
        <f>=HYPERLINK("https://main.knesset.gov.il/APPS/legislation/main/bills/2205833", "הצעת חוק הכנסת (תיקון - הגברת פיקוח הכנסת), התשפ""ג-2023")</f>
        <v>8170</v>
      </c>
      <c r="E3861" t="s">
        <v>8170</v>
      </c>
      <c r="F3861" t="s">
        <v>8171</v>
      </c>
      <c r="G3861" t="s">
        <v>14</v>
      </c>
      <c r="H3861">
             </c>
      <c r="I3861" t="s">
        <v>14</v>
      </c>
      <c r="J3861" t="s">
        <v>141</v>
      </c>
      <c r="K3861" t="s">
        <v>14</v>
      </c>
      <c r="L3861" t="s">
        <v>20</v>
      </c>
      <c r="M3861" t="s">
        <v>7996</v>
      </c>
      <c r="N3861" t="s">
        <v>14</v>
      </c>
    </row>
    <row r="3862" x14ac:dyDescent="0.25">
      <c r="A3862" t="n">
        <v>25</v>
      </c>
      <c r="B3862" t="s">
        <v>14</v>
      </c>
      <c r="C3862" t="s">
        <v>22</v>
      </c>
      <c r="D3862" s="2" t="s">
        <f>=HYPERLINK("https://main.knesset.gov.il/APPS/legislation/main/bills/2207484", "הצעת חוק הכנסת (תיקון - אמירת אמת והתייצבות בפני ועדות הכנסת), התשפ""ג-2023 ")</f>
        <v>8172</v>
      </c>
      <c r="E3862" t="s">
        <v>8172</v>
      </c>
      <c r="F3862" t="s">
        <v>8173</v>
      </c>
      <c r="G3862" t="s">
        <v>14</v>
      </c>
      <c r="H3862">
             </c>
      <c r="I3862" t="s">
        <v>14</v>
      </c>
      <c r="J3862" t="s">
        <v>141</v>
      </c>
      <c r="K3862" t="s">
        <v>14</v>
      </c>
      <c r="L3862" t="s">
        <v>20</v>
      </c>
      <c r="M3862" t="s">
        <v>7996</v>
      </c>
      <c r="N3862" t="s">
        <v>14</v>
      </c>
    </row>
    <row r="3863" x14ac:dyDescent="0.25">
      <c r="A3863" t="n">
        <v>25</v>
      </c>
      <c r="B3863" t="s">
        <v>14</v>
      </c>
      <c r="C3863" t="s">
        <v>22</v>
      </c>
      <c r="D3863" s="2" t="s">
        <f>=HYPERLINK("https://main.knesset.gov.il/APPS/legislation/main/bills/2209343", "הצעת חוק חובת המכרזים (תיקון - עידוד עסקים להעסקת בני החברה הערבית והחרדית), התשפ""ג-2023")</f>
        <v>8174</v>
      </c>
      <c r="E3863" t="s">
        <v>8174</v>
      </c>
      <c r="F3863" t="s">
        <v>8175</v>
      </c>
      <c r="G3863" t="s">
        <v>14</v>
      </c>
      <c r="H3863">
             </c>
      <c r="I3863" t="s">
        <v>14</v>
      </c>
      <c r="J3863" t="s">
        <v>141</v>
      </c>
      <c r="K3863" t="s">
        <v>14</v>
      </c>
      <c r="L3863" t="s">
        <v>20</v>
      </c>
      <c r="M3863" t="s">
        <v>7996</v>
      </c>
      <c r="N3863" t="s">
        <v>14</v>
      </c>
    </row>
    <row r="3864" x14ac:dyDescent="0.25">
      <c r="A3864" t="n">
        <v>25</v>
      </c>
      <c r="B3864" t="s">
        <v>14</v>
      </c>
      <c r="C3864" t="s">
        <v>22</v>
      </c>
      <c r="D3864" s="2" t="s">
        <f>=HYPERLINK("https://main.knesset.gov.il/APPS/legislation/main/bills/2199682", "הצעת חוק חובת המכרזים (תיקון - עידוד עסקים להעסקת בני החברה הערבית והחרדית), התשפ""ג-2023")</f>
        <v>8174</v>
      </c>
      <c r="E3864" t="s">
        <v>8174</v>
      </c>
      <c r="F3864" t="s">
        <v>8176</v>
      </c>
      <c r="G3864" t="s">
        <v>14</v>
      </c>
      <c r="H3864">
             </c>
      <c r="I3864" t="s">
        <v>14</v>
      </c>
      <c r="J3864" t="s">
        <v>141</v>
      </c>
      <c r="K3864" t="s">
        <v>14</v>
      </c>
      <c r="L3864" t="s">
        <v>20</v>
      </c>
      <c r="M3864" t="s">
        <v>7996</v>
      </c>
      <c r="N3864" t="s">
        <v>14</v>
      </c>
    </row>
    <row r="3865" x14ac:dyDescent="0.25">
      <c r="A3865" t="n">
        <v>25</v>
      </c>
      <c r="B3865" t="s">
        <v>14</v>
      </c>
      <c r="C3865" t="s">
        <v>22</v>
      </c>
      <c r="D3865" s="2" t="s">
        <f>=HYPERLINK("https://main.knesset.gov.il/APPS/legislation/main/bills/2209310", "הצעת חוק עובדים זרים (תיקון - אי־תחולת הסדר פנסיוני על עובד זר המועסק אצל יחיד בענף הסיעוד), התשפ""ג-2023")</f>
        <v>6053</v>
      </c>
      <c r="E3865" t="s">
        <v>6053</v>
      </c>
      <c r="F3865" t="s">
        <v>8177</v>
      </c>
      <c r="G3865" t="s">
        <v>14</v>
      </c>
      <c r="H3865">
             </c>
      <c r="I3865" t="s">
        <v>14</v>
      </c>
      <c r="J3865" t="s">
        <v>141</v>
      </c>
      <c r="K3865" t="s">
        <v>14</v>
      </c>
      <c r="L3865" t="s">
        <v>20</v>
      </c>
      <c r="M3865" t="s">
        <v>7996</v>
      </c>
      <c r="N3865" t="s">
        <v>14</v>
      </c>
    </row>
    <row r="3866" x14ac:dyDescent="0.25">
      <c r="A3866" t="n">
        <v>25</v>
      </c>
      <c r="B3866" t="s">
        <v>14</v>
      </c>
      <c r="C3866" t="s">
        <v>22</v>
      </c>
      <c r="D3866" s="2" t="s">
        <f>=HYPERLINK("https://main.knesset.gov.il/APPS/legislation/main/bills/2209314", "הצעת חוק ביטוח בריאות ממלכתי (תיקון - זמן סביר לעניין שירות רפואי), התשפ""ג-2023")</f>
        <v>8178</v>
      </c>
      <c r="E3866" t="s">
        <v>8178</v>
      </c>
      <c r="F3866" t="s">
        <v>8179</v>
      </c>
      <c r="G3866" t="s">
        <v>14</v>
      </c>
      <c r="H3866">
             </c>
      <c r="I3866" t="s">
        <v>14</v>
      </c>
      <c r="J3866" t="s">
        <v>141</v>
      </c>
      <c r="K3866" t="s">
        <v>14</v>
      </c>
      <c r="L3866" t="s">
        <v>20</v>
      </c>
      <c r="M3866" t="s">
        <v>7996</v>
      </c>
      <c r="N3866" t="s">
        <v>14</v>
      </c>
    </row>
    <row r="3867" x14ac:dyDescent="0.25">
      <c r="A3867" t="n">
        <v>25</v>
      </c>
      <c r="B3867" t="s">
        <v>14</v>
      </c>
      <c r="C3867" t="s">
        <v>22</v>
      </c>
      <c r="D3867" s="2" t="s">
        <f>=HYPERLINK("https://main.knesset.gov.il/APPS/legislation/main/bills/2209020", "הצעת חוק ביטוח בריאות ממלכתי (תיקון - זמן סביר לעניין שירות רפואי), התשפ""ג-2023")</f>
        <v>8178</v>
      </c>
      <c r="E3867" t="s">
        <v>8178</v>
      </c>
      <c r="F3867" t="s">
        <v>8180</v>
      </c>
      <c r="G3867" t="s">
        <v>14</v>
      </c>
      <c r="H3867">
             </c>
      <c r="I3867" t="s">
        <v>14</v>
      </c>
      <c r="J3867" t="s">
        <v>141</v>
      </c>
      <c r="K3867" t="s">
        <v>14</v>
      </c>
      <c r="L3867" t="s">
        <v>20</v>
      </c>
      <c r="M3867" t="s">
        <v>7996</v>
      </c>
      <c r="N3867" t="s">
        <v>14</v>
      </c>
    </row>
    <row r="3868" x14ac:dyDescent="0.25">
      <c r="A3868" t="n">
        <v>25</v>
      </c>
      <c r="B3868" t="s">
        <v>14</v>
      </c>
      <c r="C3868" t="s">
        <v>15</v>
      </c>
      <c r="D3868" s="2" t="s">
        <f>=HYPERLINK("https://main.knesset.gov.il/APPS/legislation/main/bills/2195287", "חוק לעידוד תעשייה עתירת ידע (הוראת שעה), התשפ""ג-2023")</f>
        <v>8181</v>
      </c>
      <c r="E3868" t="s">
        <v>8181</v>
      </c>
      <c r="F3868" t="s">
        <v>14</v>
      </c>
      <c r="G3868" t="s">
        <v>8182</v>
      </c>
      <c r="H3868" t="n">
        <v>3071</v>
      </c>
      <c r="I3868" t="s">
        <v>14</v>
      </c>
      <c r="J3868" t="s">
        <v>91</v>
      </c>
      <c r="K3868" t="s">
        <v>85</v>
      </c>
      <c r="L3868" t="s">
        <v>20</v>
      </c>
      <c r="M3868" t="s">
        <v>8183</v>
      </c>
      <c r="N3868" t="s">
        <v>8184</v>
      </c>
    </row>
    <row r="3869" x14ac:dyDescent="0.25">
      <c r="A3869" t="n">
        <v>25</v>
      </c>
      <c r="B3869" t="s">
        <v>14</v>
      </c>
      <c r="C3869" t="s">
        <v>15</v>
      </c>
      <c r="D3869" s="2" t="s">
        <f>=HYPERLINK("https://main.knesset.gov.il/APPS/legislation/main/bills/2208226", "חוק שירות לאומי־אזרחי (תיקון מס' 4), התשפ""ג-2023")</f>
        <v>8185</v>
      </c>
      <c r="E3869" t="s">
        <v>8185</v>
      </c>
      <c r="F3869" t="s">
        <v>14</v>
      </c>
      <c r="G3869" t="s">
        <v>8186</v>
      </c>
      <c r="H3869" t="n">
        <v>3070</v>
      </c>
      <c r="I3869" t="s">
        <v>14</v>
      </c>
      <c r="J3869" t="s">
        <v>91</v>
      </c>
      <c r="K3869" t="s">
        <v>114</v>
      </c>
      <c r="L3869" t="s">
        <v>20</v>
      </c>
      <c r="M3869" t="s">
        <v>8183</v>
      </c>
      <c r="N3869" t="s">
        <v>8187</v>
      </c>
    </row>
    <row r="3870" x14ac:dyDescent="0.25">
      <c r="A3870" t="n">
        <v>25</v>
      </c>
      <c r="B3870" t="s">
        <v>14</v>
      </c>
      <c r="C3870" t="s">
        <v>15</v>
      </c>
      <c r="D3870" s="2" t="s">
        <f>=HYPERLINK("https://main.knesset.gov.il/APPS/legislation/main/bills/2202411", "חוק הצלילה הספורטיבית (תיקון מס' 3), התשפ""ג-2023")</f>
        <v>8188</v>
      </c>
      <c r="E3870" t="s">
        <v>8188</v>
      </c>
      <c r="F3870" t="s">
        <v>14</v>
      </c>
      <c r="G3870" t="s">
        <v>8189</v>
      </c>
      <c r="H3870" t="n">
        <v>3069</v>
      </c>
      <c r="I3870" t="s">
        <v>14</v>
      </c>
      <c r="J3870" t="s">
        <v>91</v>
      </c>
      <c r="K3870" t="s">
        <v>34</v>
      </c>
      <c r="L3870" t="s">
        <v>20</v>
      </c>
      <c r="M3870" t="s">
        <v>8183</v>
      </c>
      <c r="N3870" t="s">
        <v>8190</v>
      </c>
    </row>
    <row r="3871" x14ac:dyDescent="0.25">
      <c r="A3871" t="n">
        <v>25</v>
      </c>
      <c r="B3871" t="s">
        <v>14</v>
      </c>
      <c r="C3871" t="s">
        <v>22</v>
      </c>
      <c r="D3871" s="2" t="s">
        <f>=HYPERLINK("https://main.knesset.gov.il/APPS/legislation/main/bills/2160142", "חוק לתיקון פקודת האגודות השיתופיות (מס' 12), התשפ""ג–2023")</f>
        <v>8191</v>
      </c>
      <c r="E3871" t="s">
        <v>8191</v>
      </c>
      <c r="F3871" t="s">
        <v>8192</v>
      </c>
      <c r="G3871" t="s">
        <v>8193</v>
      </c>
      <c r="H3871" t="n">
        <v>3068</v>
      </c>
      <c r="I3871" t="s">
        <v>14</v>
      </c>
      <c r="J3871" t="s">
        <v>91</v>
      </c>
      <c r="K3871" t="s">
        <v>108</v>
      </c>
      <c r="L3871" t="s">
        <v>20</v>
      </c>
      <c r="M3871" t="s">
        <v>8183</v>
      </c>
      <c r="N3871" t="s">
        <v>8194</v>
      </c>
    </row>
    <row r="3872" x14ac:dyDescent="0.25">
      <c r="A3872" t="n">
        <v>25</v>
      </c>
      <c r="B3872" t="s">
        <v>14</v>
      </c>
      <c r="C3872" t="s">
        <v>15</v>
      </c>
      <c r="D3872" s="2" t="s">
        <f>=HYPERLINK("https://main.knesset.gov.il/APPS/legislation/main/bills/2208657", "חוק לתיקון פקודת בתי הסוהר (הוראות שעה), התשפ""ג-2023")</f>
        <v>8195</v>
      </c>
      <c r="E3872" t="s">
        <v>8195</v>
      </c>
      <c r="F3872" t="s">
        <v>14</v>
      </c>
      <c r="G3872" t="s">
        <v>8196</v>
      </c>
      <c r="H3872" t="n">
        <v>3067</v>
      </c>
      <c r="I3872" t="s">
        <v>14</v>
      </c>
      <c r="J3872" t="s">
        <v>91</v>
      </c>
      <c r="K3872" t="s">
        <v>105</v>
      </c>
      <c r="L3872" t="s">
        <v>20</v>
      </c>
      <c r="M3872" t="s">
        <v>8197</v>
      </c>
      <c r="N3872" t="s">
        <v>8198</v>
      </c>
    </row>
    <row r="3873" x14ac:dyDescent="0.25">
      <c r="A3873" t="n">
        <v>25</v>
      </c>
      <c r="B3873" t="s">
        <v>14</v>
      </c>
      <c r="C3873" t="s">
        <v>22</v>
      </c>
      <c r="D3873" s="2" t="s">
        <f>=HYPERLINK("https://main.knesset.gov.il/APPS/legislation/main/bills/2207231", "הצעת חוק הארכת מועדים (תיקון - שירות לפי סעיף 8 או 9 לחוק שירות המילואים), התשפ""ג-2023")</f>
        <v>8199</v>
      </c>
      <c r="E3873" t="s">
        <v>8199</v>
      </c>
      <c r="F3873" t="s">
        <v>8200</v>
      </c>
      <c r="G3873" t="s">
        <v>14</v>
      </c>
      <c r="H3873">
             </c>
      <c r="I3873" t="s">
        <v>14</v>
      </c>
      <c r="J3873" t="s">
        <v>141</v>
      </c>
      <c r="K3873" t="s">
        <v>14</v>
      </c>
      <c r="L3873" t="s">
        <v>20</v>
      </c>
      <c r="M3873" t="s">
        <v>8197</v>
      </c>
      <c r="N3873" t="s">
        <v>14</v>
      </c>
    </row>
    <row r="3874" x14ac:dyDescent="0.25">
      <c r="A3874" t="n">
        <v>25</v>
      </c>
      <c r="B3874" t="s">
        <v>14</v>
      </c>
      <c r="C3874" t="s">
        <v>22</v>
      </c>
      <c r="D3874" s="2" t="s">
        <f>=HYPERLINK("https://main.knesset.gov.il/APPS/legislation/main/bills/2207726", "הצעת חוק סמכויות שעת-חירום (מעצרים) (תיקון - מעצר מינהלי של אזרח ישראלי), התשפ""ג-2023")</f>
        <v>8201</v>
      </c>
      <c r="E3874" t="s">
        <v>8201</v>
      </c>
      <c r="F3874" t="s">
        <v>8202</v>
      </c>
      <c r="G3874" t="s">
        <v>14</v>
      </c>
      <c r="H3874">
             </c>
      <c r="I3874" t="s">
        <v>14</v>
      </c>
      <c r="J3874" t="s">
        <v>141</v>
      </c>
      <c r="K3874" t="s">
        <v>14</v>
      </c>
      <c r="L3874" t="s">
        <v>20</v>
      </c>
      <c r="M3874" t="s">
        <v>8197</v>
      </c>
      <c r="N3874" t="s">
        <v>14</v>
      </c>
    </row>
    <row r="3875" x14ac:dyDescent="0.25">
      <c r="A3875" t="n">
        <v>25</v>
      </c>
      <c r="B3875" t="s">
        <v>14</v>
      </c>
      <c r="C3875" t="s">
        <v>22</v>
      </c>
      <c r="D3875" s="2" t="s">
        <f>=HYPERLINK("https://main.knesset.gov.il/APPS/legislation/main/bills/2209004", "הצעת חוק הגנת הצרכן (תיקון - שלוחה טלפונית ייעודית לביטול עסקה), התשפ""ג-2023")</f>
        <v>8203</v>
      </c>
      <c r="E3875" t="s">
        <v>8203</v>
      </c>
      <c r="F3875" t="s">
        <v>8204</v>
      </c>
      <c r="G3875" t="s">
        <v>14</v>
      </c>
      <c r="H3875">
             </c>
      <c r="I3875" t="s">
        <v>14</v>
      </c>
      <c r="J3875" t="s">
        <v>141</v>
      </c>
      <c r="K3875" t="s">
        <v>14</v>
      </c>
      <c r="L3875" t="s">
        <v>20</v>
      </c>
      <c r="M3875" t="s">
        <v>8197</v>
      </c>
      <c r="N3875" t="s">
        <v>14</v>
      </c>
    </row>
    <row r="3876" x14ac:dyDescent="0.25">
      <c r="A3876" t="n">
        <v>25</v>
      </c>
      <c r="B3876" t="s">
        <v>14</v>
      </c>
      <c r="C3876" t="s">
        <v>22</v>
      </c>
      <c r="D3876" s="2" t="s">
        <f>=HYPERLINK("https://main.knesset.gov.il/APPS/legislation/main/bills/2208592", "הצעת חוק זכאות לאבחון לקויות למידה לילדים ממשפחות מעוטות יכולת, התשפ""ג-2023")</f>
        <v>4035</v>
      </c>
      <c r="E3876" t="s">
        <v>4035</v>
      </c>
      <c r="F3876" t="s">
        <v>8205</v>
      </c>
      <c r="G3876" t="s">
        <v>14</v>
      </c>
      <c r="H3876">
             </c>
      <c r="I3876" t="s">
        <v>14</v>
      </c>
      <c r="J3876" t="s">
        <v>141</v>
      </c>
      <c r="K3876" t="s">
        <v>14</v>
      </c>
      <c r="L3876" t="s">
        <v>20</v>
      </c>
      <c r="M3876" t="s">
        <v>8197</v>
      </c>
      <c r="N3876" t="s">
        <v>14</v>
      </c>
    </row>
    <row r="3877" x14ac:dyDescent="0.25">
      <c r="A3877" t="n">
        <v>25</v>
      </c>
      <c r="B3877" t="s">
        <v>14</v>
      </c>
      <c r="C3877" t="s">
        <v>22</v>
      </c>
      <c r="D3877" s="2" t="s">
        <f>=HYPERLINK("https://main.knesset.gov.il/APPS/legislation/main/bills/2207917", "הצעת חוק ארגון הפיקוח על העבודה (תיקון - תחולה באזור), התשפ""ג-2023")</f>
        <v>8206</v>
      </c>
      <c r="E3877" t="s">
        <v>8206</v>
      </c>
      <c r="F3877" t="s">
        <v>8207</v>
      </c>
      <c r="G3877" t="s">
        <v>14</v>
      </c>
      <c r="H3877">
             </c>
      <c r="I3877" t="s">
        <v>14</v>
      </c>
      <c r="J3877" t="s">
        <v>141</v>
      </c>
      <c r="K3877" t="s">
        <v>14</v>
      </c>
      <c r="L3877" t="s">
        <v>20</v>
      </c>
      <c r="M3877" t="s">
        <v>8197</v>
      </c>
      <c r="N3877" t="s">
        <v>14</v>
      </c>
    </row>
    <row r="3878" x14ac:dyDescent="0.25">
      <c r="A3878" t="n">
        <v>25</v>
      </c>
      <c r="B3878" t="s">
        <v>14</v>
      </c>
      <c r="C3878" t="s">
        <v>22</v>
      </c>
      <c r="D3878" s="2" t="s">
        <f>=HYPERLINK("https://main.knesset.gov.il/APPS/legislation/main/bills/2209005", "הצעת חוק עבודת נשים (תיקון - הארכת תקופת הלידה וההורות להורי פעוט עם מוגבלות מורכבת), התשפ""ג-2023")</f>
        <v>3668</v>
      </c>
      <c r="E3878" t="s">
        <v>3668</v>
      </c>
      <c r="F3878" t="s">
        <v>8208</v>
      </c>
      <c r="G3878" t="s">
        <v>14</v>
      </c>
      <c r="H3878">
             </c>
      <c r="I3878" t="s">
        <v>14</v>
      </c>
      <c r="J3878" t="s">
        <v>141</v>
      </c>
      <c r="K3878" t="s">
        <v>14</v>
      </c>
      <c r="L3878" t="s">
        <v>20</v>
      </c>
      <c r="M3878" t="s">
        <v>8197</v>
      </c>
      <c r="N3878" t="s">
        <v>14</v>
      </c>
    </row>
    <row r="3879" x14ac:dyDescent="0.25">
      <c r="A3879" t="n">
        <v>25</v>
      </c>
      <c r="B3879" t="s">
        <v>14</v>
      </c>
      <c r="C3879" t="s">
        <v>22</v>
      </c>
      <c r="D3879" s="2" t="s">
        <f>=HYPERLINK("https://main.knesset.gov.il/APPS/legislation/main/bills/2209001", "הצעת חוק שוויון זכויות לאנשים עם מוגבלות (תיקון - הנפקת תעודות לבעלי מוגבלות בראייה), התשפ""ג-2023")</f>
        <v>8209</v>
      </c>
      <c r="E3879" t="s">
        <v>8209</v>
      </c>
      <c r="F3879" t="s">
        <v>8210</v>
      </c>
      <c r="G3879" t="s">
        <v>14</v>
      </c>
      <c r="H3879">
             </c>
      <c r="I3879" t="s">
        <v>14</v>
      </c>
      <c r="J3879" t="s">
        <v>141</v>
      </c>
      <c r="K3879" t="s">
        <v>14</v>
      </c>
      <c r="L3879" t="s">
        <v>20</v>
      </c>
      <c r="M3879" t="s">
        <v>8197</v>
      </c>
      <c r="N3879" t="s">
        <v>14</v>
      </c>
    </row>
    <row r="3880" x14ac:dyDescent="0.25">
      <c r="A3880" t="n">
        <v>25</v>
      </c>
      <c r="B3880" t="s">
        <v>14</v>
      </c>
      <c r="C3880" t="s">
        <v>22</v>
      </c>
      <c r="D3880" s="2" t="s">
        <f>=HYPERLINK("https://main.knesset.gov.il/APPS/legislation/main/bills/2208285", "הצעת חוק הביטוח הלאומי (תיקון - תשלום קצבת ילדים לילדי החינוך המיוחד עד גיל 21 שנשארים במערכת החינוך), התשפ""ג-2023")</f>
        <v>8211</v>
      </c>
      <c r="E3880" t="s">
        <v>8211</v>
      </c>
      <c r="F3880" t="s">
        <v>8212</v>
      </c>
      <c r="G3880" t="s">
        <v>14</v>
      </c>
      <c r="H3880">
             </c>
      <c r="I3880" t="s">
        <v>14</v>
      </c>
      <c r="J3880" t="s">
        <v>141</v>
      </c>
      <c r="K3880" t="s">
        <v>14</v>
      </c>
      <c r="L3880" t="s">
        <v>20</v>
      </c>
      <c r="M3880" t="s">
        <v>8197</v>
      </c>
      <c r="N3880" t="s">
        <v>14</v>
      </c>
    </row>
    <row r="3881" x14ac:dyDescent="0.25">
      <c r="A3881" t="n">
        <v>25</v>
      </c>
      <c r="B3881" t="s">
        <v>14</v>
      </c>
      <c r="C3881" t="s">
        <v>22</v>
      </c>
      <c r="D3881" s="2" t="s">
        <f>=HYPERLINK("https://main.knesset.gov.il/APPS/legislation/main/bills/2208981", "הצעת חוק עבודת נשים (תיקון - תקופת לידה והורות להורה יחיד), התשפ""ג-2023")</f>
        <v>8213</v>
      </c>
      <c r="E3881" t="s">
        <v>8213</v>
      </c>
      <c r="F3881" t="s">
        <v>8214</v>
      </c>
      <c r="G3881" t="s">
        <v>14</v>
      </c>
      <c r="H3881">
             </c>
      <c r="I3881" t="s">
        <v>14</v>
      </c>
      <c r="J3881" t="s">
        <v>141</v>
      </c>
      <c r="K3881" t="s">
        <v>14</v>
      </c>
      <c r="L3881" t="s">
        <v>20</v>
      </c>
      <c r="M3881" t="s">
        <v>8197</v>
      </c>
      <c r="N3881" t="s">
        <v>14</v>
      </c>
    </row>
    <row r="3882" x14ac:dyDescent="0.25">
      <c r="A3882" t="n">
        <v>25</v>
      </c>
      <c r="B3882" t="s">
        <v>14</v>
      </c>
      <c r="C3882" t="s">
        <v>22</v>
      </c>
      <c r="D3882" s="2" t="s">
        <f>=HYPERLINK("https://main.knesset.gov.il/APPS/legislation/main/bills/2207181", "הצעת חוק דמי מחלה (היעדרות בשל מחלת ילד) (תיקון - היעדרות בעקבות תקיפה או התעללות בילד), התשפ""ג-2023")</f>
        <v>8215</v>
      </c>
      <c r="E3882" t="s">
        <v>8215</v>
      </c>
      <c r="F3882" t="s">
        <v>8216</v>
      </c>
      <c r="G3882" t="s">
        <v>14</v>
      </c>
      <c r="H3882">
             </c>
      <c r="I3882" t="s">
        <v>14</v>
      </c>
      <c r="J3882" t="s">
        <v>141</v>
      </c>
      <c r="K3882" t="s">
        <v>14</v>
      </c>
      <c r="L3882" t="s">
        <v>20</v>
      </c>
      <c r="M3882" t="s">
        <v>8197</v>
      </c>
      <c r="N3882" t="s">
        <v>14</v>
      </c>
    </row>
    <row r="3883" x14ac:dyDescent="0.25">
      <c r="A3883" t="n">
        <v>25</v>
      </c>
      <c r="B3883" t="s">
        <v>14</v>
      </c>
      <c r="C3883" t="s">
        <v>22</v>
      </c>
      <c r="D3883" s="2" t="s">
        <f>=HYPERLINK("https://main.knesset.gov.il/APPS/legislation/main/bills/2209009", "הצעת חוק חובת הודעה להורים על אי-הגעת ילד למוסד חינוך או למעון יום (תיקוני חקיקה), התשפ""ג-2023")</f>
        <v>8217</v>
      </c>
      <c r="E3883" t="s">
        <v>8217</v>
      </c>
      <c r="F3883" t="s">
        <v>8218</v>
      </c>
      <c r="G3883" t="s">
        <v>14</v>
      </c>
      <c r="H3883">
             </c>
      <c r="I3883" t="s">
        <v>14</v>
      </c>
      <c r="J3883" t="s">
        <v>141</v>
      </c>
      <c r="K3883" t="s">
        <v>14</v>
      </c>
      <c r="L3883" t="s">
        <v>20</v>
      </c>
      <c r="M3883" t="s">
        <v>8197</v>
      </c>
      <c r="N3883" t="s">
        <v>14</v>
      </c>
    </row>
    <row r="3884" x14ac:dyDescent="0.25">
      <c r="A3884" t="n">
        <v>25</v>
      </c>
      <c r="B3884" t="s">
        <v>14</v>
      </c>
      <c r="C3884" t="s">
        <v>22</v>
      </c>
      <c r="D3884" s="2" t="s">
        <f>=HYPERLINK("https://main.knesset.gov.il/APPS/legislation/main/bills/2209171", "הצעת חוק שירותי הסעד (תיקון - הגבלת מספר התיקים בטיפול עובד סוציאלי המטפל במשפחות), התשפ""ג-2023")</f>
        <v>8219</v>
      </c>
      <c r="E3884" t="s">
        <v>8219</v>
      </c>
      <c r="F3884" t="s">
        <v>8220</v>
      </c>
      <c r="G3884" t="s">
        <v>14</v>
      </c>
      <c r="H3884">
             </c>
      <c r="I3884" t="s">
        <v>14</v>
      </c>
      <c r="J3884" t="s">
        <v>141</v>
      </c>
      <c r="K3884" t="s">
        <v>14</v>
      </c>
      <c r="L3884" t="s">
        <v>20</v>
      </c>
      <c r="M3884" t="s">
        <v>8197</v>
      </c>
      <c r="N3884" t="s">
        <v>14</v>
      </c>
    </row>
    <row r="3885" x14ac:dyDescent="0.25">
      <c r="A3885" t="n">
        <v>25</v>
      </c>
      <c r="B3885" t="s">
        <v>14</v>
      </c>
      <c r="C3885" t="s">
        <v>22</v>
      </c>
      <c r="D3885" s="2" t="s">
        <f>=HYPERLINK("https://main.knesset.gov.il/APPS/legislation/main/bills/2208033", "הצעת חוק פיקוח על בתי ספר (תיקון - חובת הכנת תסקיר בטיחות), התשפ""ג-2023")</f>
        <v>8221</v>
      </c>
      <c r="E3885" t="s">
        <v>8221</v>
      </c>
      <c r="F3885" t="s">
        <v>8222</v>
      </c>
      <c r="G3885" t="s">
        <v>14</v>
      </c>
      <c r="H3885">
             </c>
      <c r="I3885" t="s">
        <v>14</v>
      </c>
      <c r="J3885" t="s">
        <v>141</v>
      </c>
      <c r="K3885" t="s">
        <v>14</v>
      </c>
      <c r="L3885" t="s">
        <v>20</v>
      </c>
      <c r="M3885" t="s">
        <v>8197</v>
      </c>
      <c r="N3885" t="s">
        <v>14</v>
      </c>
    </row>
    <row r="3886" x14ac:dyDescent="0.25">
      <c r="A3886" t="n">
        <v>25</v>
      </c>
      <c r="B3886" t="s">
        <v>14</v>
      </c>
      <c r="C3886" t="s">
        <v>22</v>
      </c>
      <c r="D3886" s="2" t="s">
        <f>=HYPERLINK("https://main.knesset.gov.il/APPS/legislation/main/bills/2209006", "הצעת חוק החומרים המסוכנים (תיקון - פרטי התקשרות למרכז רעלים), התשפ""ג-2023")</f>
        <v>8223</v>
      </c>
      <c r="E3886" t="s">
        <v>8223</v>
      </c>
      <c r="F3886" t="s">
        <v>8224</v>
      </c>
      <c r="G3886" t="s">
        <v>14</v>
      </c>
      <c r="H3886">
             </c>
      <c r="I3886" t="s">
        <v>14</v>
      </c>
      <c r="J3886" t="s">
        <v>141</v>
      </c>
      <c r="K3886" t="s">
        <v>14</v>
      </c>
      <c r="L3886" t="s">
        <v>20</v>
      </c>
      <c r="M3886" t="s">
        <v>8197</v>
      </c>
      <c r="N3886" t="s">
        <v>14</v>
      </c>
    </row>
    <row r="3887" x14ac:dyDescent="0.25">
      <c r="A3887" t="n">
        <v>25</v>
      </c>
      <c r="B3887" t="s">
        <v>14</v>
      </c>
      <c r="C3887" t="s">
        <v>22</v>
      </c>
      <c r="D3887" s="2" t="s">
        <f>=HYPERLINK("https://main.knesset.gov.il/APPS/legislation/main/bills/2207121", "הצעת חוק להבטחת קיום הסכמים מדיניים, התשפ""ג-2023")</f>
        <v>8225</v>
      </c>
      <c r="E3887" t="s">
        <v>8225</v>
      </c>
      <c r="F3887" t="s">
        <v>8226</v>
      </c>
      <c r="G3887" t="s">
        <v>14</v>
      </c>
      <c r="H3887">
             </c>
      <c r="I3887" t="s">
        <v>14</v>
      </c>
      <c r="J3887" t="s">
        <v>141</v>
      </c>
      <c r="K3887" t="s">
        <v>14</v>
      </c>
      <c r="L3887" t="s">
        <v>20</v>
      </c>
      <c r="M3887" t="s">
        <v>8197</v>
      </c>
      <c r="N3887" t="s">
        <v>14</v>
      </c>
    </row>
    <row r="3888" x14ac:dyDescent="0.25">
      <c r="A3888" t="n">
        <v>25</v>
      </c>
      <c r="B3888" t="s">
        <v>14</v>
      </c>
      <c r="C3888" t="s">
        <v>22</v>
      </c>
      <c r="D3888" s="2" t="s">
        <f>=HYPERLINK("https://main.knesset.gov.il/APPS/legislation/main/bills/2208544", "הצעת חוק הרשות לשיקום האסיר (תיקון - חיזוק הפיקוח הפרלמנטרי על הרשות), התשפ""ג-2023")</f>
        <v>8227</v>
      </c>
      <c r="E3888" t="s">
        <v>8227</v>
      </c>
      <c r="F3888" t="s">
        <v>8228</v>
      </c>
      <c r="G3888" t="s">
        <v>14</v>
      </c>
      <c r="H3888">
             </c>
      <c r="I3888" t="s">
        <v>14</v>
      </c>
      <c r="J3888" t="s">
        <v>141</v>
      </c>
      <c r="K3888" t="s">
        <v>14</v>
      </c>
      <c r="L3888" t="s">
        <v>20</v>
      </c>
      <c r="M3888" t="s">
        <v>8197</v>
      </c>
      <c r="N3888" t="s">
        <v>14</v>
      </c>
    </row>
    <row r="3889" x14ac:dyDescent="0.25">
      <c r="A3889" t="n">
        <v>25</v>
      </c>
      <c r="B3889" t="s">
        <v>14</v>
      </c>
      <c r="C3889" t="s">
        <v>22</v>
      </c>
      <c r="D3889" s="2" t="s">
        <f>=HYPERLINK("https://main.knesset.gov.il/APPS/legislation/main/bills/2209116", "הצעת חוק חובת המכרזים (תיקון - הרחבת חובת העדפה של תוצרת הארץ), התשפ""ג-2023")</f>
        <v>8229</v>
      </c>
      <c r="E3889" t="s">
        <v>8229</v>
      </c>
      <c r="F3889" t="s">
        <v>8230</v>
      </c>
      <c r="G3889" t="s">
        <v>14</v>
      </c>
      <c r="H3889">
             </c>
      <c r="I3889" t="s">
        <v>14</v>
      </c>
      <c r="J3889" t="s">
        <v>141</v>
      </c>
      <c r="K3889" t="s">
        <v>14</v>
      </c>
      <c r="L3889" t="s">
        <v>20</v>
      </c>
      <c r="M3889" t="s">
        <v>8197</v>
      </c>
      <c r="N3889" t="s">
        <v>14</v>
      </c>
    </row>
    <row r="3890" x14ac:dyDescent="0.25">
      <c r="A3890" t="n">
        <v>25</v>
      </c>
      <c r="B3890" t="s">
        <v>14</v>
      </c>
      <c r="C3890" t="s">
        <v>22</v>
      </c>
      <c r="D3890" s="2" t="s">
        <f>=HYPERLINK("https://main.knesset.gov.il/APPS/legislation/main/bills/2205674", "הצעת חוק חובת הנגשה לשונית של אתרי אינטרנט ושירותים ממשלתיים מקוונים, התשפ""ג-2023")</f>
        <v>8231</v>
      </c>
      <c r="E3890" t="s">
        <v>8231</v>
      </c>
      <c r="F3890" t="s">
        <v>8232</v>
      </c>
      <c r="G3890" t="s">
        <v>14</v>
      </c>
      <c r="H3890">
             </c>
      <c r="I3890" t="s">
        <v>14</v>
      </c>
      <c r="J3890" t="s">
        <v>343</v>
      </c>
      <c r="K3890" t="s">
        <v>14</v>
      </c>
      <c r="L3890" t="s">
        <v>20</v>
      </c>
      <c r="M3890" t="s">
        <v>8197</v>
      </c>
      <c r="N3890" t="s">
        <v>14</v>
      </c>
    </row>
    <row r="3891" x14ac:dyDescent="0.25">
      <c r="A3891" t="n">
        <v>25</v>
      </c>
      <c r="B3891" t="s">
        <v>14</v>
      </c>
      <c r="C3891" t="s">
        <v>22</v>
      </c>
      <c r="D3891" s="2" t="s">
        <f>=HYPERLINK("https://main.knesset.gov.il/APPS/legislation/main/bills/2208336", "הצעת חוק המאבק בטרור (תיקון - הסתה למעשה טרור), התשפ""ג-2023")</f>
        <v>8233</v>
      </c>
      <c r="E3891" t="s">
        <v>8233</v>
      </c>
      <c r="F3891" t="s">
        <v>8234</v>
      </c>
      <c r="G3891" t="s">
        <v>14</v>
      </c>
      <c r="H3891">
             </c>
      <c r="I3891" t="s">
        <v>14</v>
      </c>
      <c r="J3891" t="s">
        <v>141</v>
      </c>
      <c r="K3891" t="s">
        <v>14</v>
      </c>
      <c r="L3891" t="s">
        <v>20</v>
      </c>
      <c r="M3891" t="s">
        <v>8197</v>
      </c>
      <c r="N3891" t="s">
        <v>14</v>
      </c>
    </row>
    <row r="3892" x14ac:dyDescent="0.25">
      <c r="A3892" t="n">
        <v>25</v>
      </c>
      <c r="B3892" t="s">
        <v>14</v>
      </c>
      <c r="C3892" t="s">
        <v>22</v>
      </c>
      <c r="D3892" s="2" t="s">
        <f>=HYPERLINK("https://main.knesset.gov.il/APPS/legislation/main/bills/2209181", "הצעת חוק בתי דין רבניים (קיום פסקי דין של גירושין) (תיקון - גט אוטומטי), התשפ""ג-2023")</f>
        <v>8235</v>
      </c>
      <c r="E3892" t="s">
        <v>8235</v>
      </c>
      <c r="F3892" t="s">
        <v>8236</v>
      </c>
      <c r="G3892" t="s">
        <v>14</v>
      </c>
      <c r="H3892">
             </c>
      <c r="I3892" t="s">
        <v>14</v>
      </c>
      <c r="J3892" t="s">
        <v>141</v>
      </c>
      <c r="K3892" t="s">
        <v>14</v>
      </c>
      <c r="L3892" t="s">
        <v>20</v>
      </c>
      <c r="M3892" t="s">
        <v>8197</v>
      </c>
      <c r="N3892" t="s">
        <v>14</v>
      </c>
    </row>
    <row r="3893" x14ac:dyDescent="0.25">
      <c r="A3893" t="n">
        <v>25</v>
      </c>
      <c r="B3893" t="s">
        <v>14</v>
      </c>
      <c r="C3893" t="s">
        <v>22</v>
      </c>
      <c r="D3893" s="2" t="s">
        <f>=HYPERLINK("https://main.knesset.gov.il/APPS/legislation/main/bills/2209002", "הצעת חוק לתיקון פקודת התעבורה (חובת נשיאת לוחית זיהוי באופניים ממונעים ובקורקינט ממונע), התשפ""ג-2023")</f>
        <v>7926</v>
      </c>
      <c r="E3893" t="s">
        <v>7926</v>
      </c>
      <c r="F3893" t="s">
        <v>8237</v>
      </c>
      <c r="G3893" t="s">
        <v>14</v>
      </c>
      <c r="H3893">
             </c>
      <c r="I3893" t="s">
        <v>14</v>
      </c>
      <c r="J3893" t="s">
        <v>141</v>
      </c>
      <c r="K3893" t="s">
        <v>14</v>
      </c>
      <c r="L3893" t="s">
        <v>20</v>
      </c>
      <c r="M3893" t="s">
        <v>8197</v>
      </c>
      <c r="N3893" t="s">
        <v>14</v>
      </c>
    </row>
    <row r="3894" x14ac:dyDescent="0.25">
      <c r="A3894" t="n">
        <v>25</v>
      </c>
      <c r="B3894" t="s">
        <v>14</v>
      </c>
      <c r="C3894" t="s">
        <v>22</v>
      </c>
      <c r="D3894" s="2" t="s">
        <f>=HYPERLINK("https://main.knesset.gov.il/APPS/legislation/main/bills/2205865", "הצעת חוק לתיקון פקודת העיריות (ביטול סמכויות גבייה מינהליות), התשפ""ג-2023")</f>
        <v>8238</v>
      </c>
      <c r="E3894" t="s">
        <v>8238</v>
      </c>
      <c r="F3894" t="s">
        <v>8239</v>
      </c>
      <c r="G3894" t="s">
        <v>14</v>
      </c>
      <c r="H3894">
             </c>
      <c r="I3894" t="s">
        <v>14</v>
      </c>
      <c r="J3894" t="s">
        <v>141</v>
      </c>
      <c r="K3894" t="s">
        <v>14</v>
      </c>
      <c r="L3894" t="s">
        <v>20</v>
      </c>
      <c r="M3894" t="s">
        <v>8197</v>
      </c>
      <c r="N3894" t="s">
        <v>14</v>
      </c>
    </row>
    <row r="3895" x14ac:dyDescent="0.25">
      <c r="A3895" t="n">
        <v>25</v>
      </c>
      <c r="B3895" t="s">
        <v>14</v>
      </c>
      <c r="C3895" t="s">
        <v>22</v>
      </c>
      <c r="D3895" s="2" t="s">
        <f>=HYPERLINK("https://main.knesset.gov.il/APPS/legislation/main/bills/2206733", "הצעת חוק למניעת הטרדה מינית (תיקון - עונש מינימום), התשפ""ג-2023")</f>
        <v>8240</v>
      </c>
      <c r="E3895" t="s">
        <v>8240</v>
      </c>
      <c r="F3895" t="s">
        <v>8241</v>
      </c>
      <c r="G3895" t="s">
        <v>14</v>
      </c>
      <c r="H3895">
             </c>
      <c r="I3895" t="s">
        <v>14</v>
      </c>
      <c r="J3895" t="s">
        <v>141</v>
      </c>
      <c r="K3895" t="s">
        <v>14</v>
      </c>
      <c r="L3895" t="s">
        <v>20</v>
      </c>
      <c r="M3895" t="s">
        <v>8197</v>
      </c>
      <c r="N3895" t="s">
        <v>14</v>
      </c>
    </row>
    <row r="3896" x14ac:dyDescent="0.25">
      <c r="A3896" t="n">
        <v>25</v>
      </c>
      <c r="B3896" t="s">
        <v>14</v>
      </c>
      <c r="C3896" t="s">
        <v>22</v>
      </c>
      <c r="D3896" s="2" t="s">
        <f>=HYPERLINK("https://main.knesset.gov.il/APPS/legislation/main/bills/2208978", "הצעת חוק נציב תלונות הציבור על שופטים (תיקון - הארכת תקופת כהונה), התשפ""ג-2023")</f>
        <v>8242</v>
      </c>
      <c r="E3896" t="s">
        <v>8242</v>
      </c>
      <c r="F3896" t="s">
        <v>8243</v>
      </c>
      <c r="G3896" t="s">
        <v>14</v>
      </c>
      <c r="H3896">
             </c>
      <c r="I3896" t="s">
        <v>14</v>
      </c>
      <c r="J3896" t="s">
        <v>141</v>
      </c>
      <c r="K3896" t="s">
        <v>14</v>
      </c>
      <c r="L3896" t="s">
        <v>20</v>
      </c>
      <c r="M3896" t="s">
        <v>8197</v>
      </c>
      <c r="N3896" t="s">
        <v>14</v>
      </c>
    </row>
    <row r="3897" x14ac:dyDescent="0.25">
      <c r="A3897" t="n">
        <v>25</v>
      </c>
      <c r="B3897" t="s">
        <v>14</v>
      </c>
      <c r="C3897" t="s">
        <v>22</v>
      </c>
      <c r="D3897" s="2" t="s">
        <f>=HYPERLINK("https://main.knesset.gov.il/APPS/legislation/main/bills/2208967", "הצעת חוק ההוצאה לפועל (תיקון - שופט אכיפה), התשפ""ג-2023")</f>
        <v>8244</v>
      </c>
      <c r="E3897" t="s">
        <v>8244</v>
      </c>
      <c r="F3897" t="s">
        <v>8245</v>
      </c>
      <c r="G3897" t="s">
        <v>14</v>
      </c>
      <c r="H3897">
             </c>
      <c r="I3897" t="s">
        <v>14</v>
      </c>
      <c r="J3897" t="s">
        <v>141</v>
      </c>
      <c r="K3897" t="s">
        <v>14</v>
      </c>
      <c r="L3897" t="s">
        <v>20</v>
      </c>
      <c r="M3897" t="s">
        <v>8197</v>
      </c>
      <c r="N3897" t="s">
        <v>14</v>
      </c>
    </row>
    <row r="3898" x14ac:dyDescent="0.25">
      <c r="A3898" t="n">
        <v>25</v>
      </c>
      <c r="B3898" t="s">
        <v>14</v>
      </c>
      <c r="C3898" t="s">
        <v>22</v>
      </c>
      <c r="D3898" s="2" t="s">
        <f>=HYPERLINK("https://main.knesset.gov.il/APPS/legislation/main/bills/2209196", "הצעת חוק ייצוג גופים ציבוריים שעניינם בשמירת איכות הסביבה (תיקוני חקיקה), התשפ""ג-2023")</f>
        <v>8246</v>
      </c>
      <c r="E3898" t="s">
        <v>8246</v>
      </c>
      <c r="F3898" t="s">
        <v>8247</v>
      </c>
      <c r="G3898" t="s">
        <v>14</v>
      </c>
      <c r="H3898">
             </c>
      <c r="I3898" t="s">
        <v>14</v>
      </c>
      <c r="J3898" t="s">
        <v>141</v>
      </c>
      <c r="K3898" t="s">
        <v>14</v>
      </c>
      <c r="L3898" t="s">
        <v>20</v>
      </c>
      <c r="M3898" t="s">
        <v>8197</v>
      </c>
      <c r="N3898" t="s">
        <v>14</v>
      </c>
    </row>
    <row r="3899" x14ac:dyDescent="0.25">
      <c r="A3899" t="n">
        <v>25</v>
      </c>
      <c r="B3899" t="s">
        <v>14</v>
      </c>
      <c r="C3899" t="s">
        <v>22</v>
      </c>
      <c r="D3899" s="2" t="s">
        <f>=HYPERLINK("https://main.knesset.gov.il/APPS/legislation/main/bills/2205183", "הצעת חוק שילוב פעוטות עם צורך במענים ייחודיים במעונות יום, התשפ""ג-2023")</f>
        <v>8248</v>
      </c>
      <c r="E3899" t="s">
        <v>8248</v>
      </c>
      <c r="F3899" t="s">
        <v>8249</v>
      </c>
      <c r="G3899" t="s">
        <v>14</v>
      </c>
      <c r="H3899">
             </c>
      <c r="I3899" t="s">
        <v>14</v>
      </c>
      <c r="J3899" t="s">
        <v>141</v>
      </c>
      <c r="K3899" t="s">
        <v>14</v>
      </c>
      <c r="L3899" t="s">
        <v>20</v>
      </c>
      <c r="M3899" t="s">
        <v>8197</v>
      </c>
      <c r="N3899" t="s">
        <v>14</v>
      </c>
    </row>
    <row r="3900" x14ac:dyDescent="0.25">
      <c r="A3900" t="n">
        <v>25</v>
      </c>
      <c r="B3900" t="s">
        <v>14</v>
      </c>
      <c r="C3900" t="s">
        <v>22</v>
      </c>
      <c r="D3900" s="2" t="s">
        <f>=HYPERLINK("https://main.knesset.gov.il/APPS/legislation/main/bills/2208397", "הצעת חוק מגבלות על חזרתו של עבריין מין לסביבת נפגע העבירה (תיקון - הרחבת סמכות בית המשפט להטלת מגבלות), התשפ""ג-2023")</f>
        <v>8250</v>
      </c>
      <c r="E3900" t="s">
        <v>8250</v>
      </c>
      <c r="F3900" t="s">
        <v>8251</v>
      </c>
      <c r="G3900" t="s">
        <v>14</v>
      </c>
      <c r="H3900">
             </c>
      <c r="I3900" t="s">
        <v>14</v>
      </c>
      <c r="J3900" t="s">
        <v>141</v>
      </c>
      <c r="K3900" t="s">
        <v>14</v>
      </c>
      <c r="L3900" t="s">
        <v>20</v>
      </c>
      <c r="M3900" t="s">
        <v>8197</v>
      </c>
      <c r="N3900" t="s">
        <v>14</v>
      </c>
    </row>
    <row r="3901" x14ac:dyDescent="0.25">
      <c r="A3901" t="n">
        <v>25</v>
      </c>
      <c r="B3901" t="s">
        <v>14</v>
      </c>
      <c r="C3901" t="s">
        <v>22</v>
      </c>
      <c r="D3901" s="2" t="s">
        <f>=HYPERLINK("https://main.knesset.gov.il/APPS/legislation/main/bills/2209193", "הצעת חוק תובענות ייצוגיות (תיקון - מעמדם של ארגוני סביבה), התשפ""ג-2023")</f>
        <v>8252</v>
      </c>
      <c r="E3901" t="s">
        <v>8252</v>
      </c>
      <c r="F3901" t="s">
        <v>8253</v>
      </c>
      <c r="G3901" t="s">
        <v>14</v>
      </c>
      <c r="H3901">
             </c>
      <c r="I3901" t="s">
        <v>14</v>
      </c>
      <c r="J3901" t="s">
        <v>141</v>
      </c>
      <c r="K3901" t="s">
        <v>14</v>
      </c>
      <c r="L3901" t="s">
        <v>20</v>
      </c>
      <c r="M3901" t="s">
        <v>8197</v>
      </c>
      <c r="N3901" t="s">
        <v>14</v>
      </c>
    </row>
    <row r="3902" x14ac:dyDescent="0.25">
      <c r="A3902" t="n">
        <v>25</v>
      </c>
      <c r="B3902" t="s">
        <v>14</v>
      </c>
      <c r="C3902" t="s">
        <v>22</v>
      </c>
      <c r="D3902" s="2" t="s">
        <f>=HYPERLINK("https://main.knesset.gov.il/APPS/legislation/main/bills/2208520", "הצעת חוק הבטחת הכנסה (תיקון - גמלה לתלמיד שהוא הורה עצמאי), התשפ""ג-2023 ")</f>
        <v>8254</v>
      </c>
      <c r="E3902" t="s">
        <v>8254</v>
      </c>
      <c r="F3902" t="s">
        <v>8255</v>
      </c>
      <c r="G3902" t="s">
        <v>14</v>
      </c>
      <c r="H3902">
             </c>
      <c r="I3902" t="s">
        <v>14</v>
      </c>
      <c r="J3902" t="s">
        <v>141</v>
      </c>
      <c r="K3902" t="s">
        <v>14</v>
      </c>
      <c r="L3902" t="s">
        <v>20</v>
      </c>
      <c r="M3902" t="s">
        <v>8197</v>
      </c>
      <c r="N3902" t="s">
        <v>14</v>
      </c>
    </row>
    <row r="3903" x14ac:dyDescent="0.25">
      <c r="A3903" t="n">
        <v>25</v>
      </c>
      <c r="B3903" t="s">
        <v>14</v>
      </c>
      <c r="C3903" t="s">
        <v>22</v>
      </c>
      <c r="D3903" s="2" t="s">
        <f>=HYPERLINK("https://main.knesset.gov.il/APPS/legislation/main/bills/2209003", "הצעת חוק בתי המשפט (תיקון - צילום בבתי משפט), התשפ""ג-2023")</f>
        <v>8256</v>
      </c>
      <c r="E3903" t="s">
        <v>8256</v>
      </c>
      <c r="F3903" t="s">
        <v>8257</v>
      </c>
      <c r="G3903" t="s">
        <v>14</v>
      </c>
      <c r="H3903">
             </c>
      <c r="I3903" t="s">
        <v>14</v>
      </c>
      <c r="J3903" t="s">
        <v>141</v>
      </c>
      <c r="K3903" t="s">
        <v>14</v>
      </c>
      <c r="L3903" t="s">
        <v>20</v>
      </c>
      <c r="M3903" t="s">
        <v>8197</v>
      </c>
      <c r="N3903" t="s">
        <v>14</v>
      </c>
    </row>
    <row r="3904" x14ac:dyDescent="0.25">
      <c r="A3904" t="n">
        <v>25</v>
      </c>
      <c r="B3904" t="s">
        <v>14</v>
      </c>
      <c r="C3904" t="s">
        <v>22</v>
      </c>
      <c r="D3904" s="2" t="s">
        <f>=HYPERLINK("https://main.knesset.gov.il/APPS/legislation/main/bills/2208318", "הצעת חוק לתיקון פקודת העיריות (מס' 151) (תיקון - דחיית מועד תחילת סעיף 330כד), התשפ""ג-2023")</f>
        <v>8258</v>
      </c>
      <c r="E3904" t="s">
        <v>8258</v>
      </c>
      <c r="F3904" t="s">
        <v>8259</v>
      </c>
      <c r="G3904" t="s">
        <v>14</v>
      </c>
      <c r="H3904">
             </c>
      <c r="I3904" t="s">
        <v>14</v>
      </c>
      <c r="J3904" t="s">
        <v>141</v>
      </c>
      <c r="K3904" t="s">
        <v>14</v>
      </c>
      <c r="L3904" t="s">
        <v>20</v>
      </c>
      <c r="M3904" t="s">
        <v>8197</v>
      </c>
      <c r="N3904" t="s">
        <v>14</v>
      </c>
    </row>
    <row r="3905" x14ac:dyDescent="0.25">
      <c r="A3905" t="n">
        <v>25</v>
      </c>
      <c r="B3905" t="s">
        <v>14</v>
      </c>
      <c r="C3905" t="s">
        <v>22</v>
      </c>
      <c r="D3905" s="2" t="s">
        <f>=HYPERLINK("https://main.knesset.gov.il/APPS/legislation/main/bills/2208645", "הצעת חוק הכנסת (תיקון - הקמת ועדות זמניות לענייני חוקה, חוק ומשפט וביטחון לאומי על ידי הוועדה המסדרת), התשפ""ג-2023")</f>
        <v>8260</v>
      </c>
      <c r="E3905" t="s">
        <v>8260</v>
      </c>
      <c r="F3905" t="s">
        <v>8261</v>
      </c>
      <c r="G3905" t="s">
        <v>14</v>
      </c>
      <c r="H3905">
             </c>
      <c r="I3905" t="s">
        <v>14</v>
      </c>
      <c r="J3905" t="s">
        <v>141</v>
      </c>
      <c r="K3905" t="s">
        <v>14</v>
      </c>
      <c r="L3905" t="s">
        <v>20</v>
      </c>
      <c r="M3905" t="s">
        <v>8197</v>
      </c>
      <c r="N3905" t="s">
        <v>14</v>
      </c>
    </row>
    <row r="3906" x14ac:dyDescent="0.25">
      <c r="A3906" t="n">
        <v>25</v>
      </c>
      <c r="B3906" t="s">
        <v>14</v>
      </c>
      <c r="C3906" t="s">
        <v>22</v>
      </c>
      <c r="D3906" s="2" t="s">
        <f>=HYPERLINK("https://main.knesset.gov.il/APPS/legislation/main/bills/2207236", "הצעת חוק העונשין (תיקון - הרחבת הגדרת הגזענות), התשפ""ג-2023")</f>
        <v>8262</v>
      </c>
      <c r="E3906" t="s">
        <v>8262</v>
      </c>
      <c r="F3906" t="s">
        <v>8263</v>
      </c>
      <c r="G3906" t="s">
        <v>14</v>
      </c>
      <c r="H3906">
             </c>
      <c r="I3906" t="s">
        <v>14</v>
      </c>
      <c r="J3906" t="s">
        <v>141</v>
      </c>
      <c r="K3906" t="s">
        <v>14</v>
      </c>
      <c r="L3906" t="s">
        <v>20</v>
      </c>
      <c r="M3906" t="s">
        <v>8197</v>
      </c>
      <c r="N3906" t="s">
        <v>14</v>
      </c>
    </row>
    <row r="3907" x14ac:dyDescent="0.25">
      <c r="A3907" t="n">
        <v>25</v>
      </c>
      <c r="B3907" t="s">
        <v>14</v>
      </c>
      <c r="C3907" t="s">
        <v>22</v>
      </c>
      <c r="D3907" s="2" t="s">
        <f>=HYPERLINK("https://main.knesset.gov.il/APPS/legislation/main/bills/2207002", "הצעת חוק מחקר ופיתוח בקנאביס למטרות רפואיות, התשפ""ג-2023")</f>
        <v>8264</v>
      </c>
      <c r="E3907" t="s">
        <v>8264</v>
      </c>
      <c r="F3907" t="s">
        <v>8265</v>
      </c>
      <c r="G3907" t="s">
        <v>14</v>
      </c>
      <c r="H3907">
             </c>
      <c r="I3907" t="s">
        <v>14</v>
      </c>
      <c r="J3907" t="s">
        <v>141</v>
      </c>
      <c r="K3907" t="s">
        <v>14</v>
      </c>
      <c r="L3907" t="s">
        <v>20</v>
      </c>
      <c r="M3907" t="s">
        <v>8197</v>
      </c>
      <c r="N3907" t="s">
        <v>14</v>
      </c>
    </row>
    <row r="3908" x14ac:dyDescent="0.25">
      <c r="A3908" t="n">
        <v>25</v>
      </c>
      <c r="B3908" t="s">
        <v>14</v>
      </c>
      <c r="C3908" t="s">
        <v>22</v>
      </c>
      <c r="D3908" s="2" t="s">
        <f>=HYPERLINK("https://main.knesset.gov.il/APPS/legislation/main/bills/2207477", "הצעת חוק הרשות השנייה לטלוויזיה ורדיו (תיקון - ביטול זיכיון לשידורים או רישיון לשידורים, פקיעתו או התלייתו), התשפ""ג-2023")</f>
        <v>8266</v>
      </c>
      <c r="E3908" t="s">
        <v>8266</v>
      </c>
      <c r="F3908" t="s">
        <v>8267</v>
      </c>
      <c r="G3908" t="s">
        <v>14</v>
      </c>
      <c r="H3908">
             </c>
      <c r="I3908" t="s">
        <v>14</v>
      </c>
      <c r="J3908" t="s">
        <v>141</v>
      </c>
      <c r="K3908" t="s">
        <v>14</v>
      </c>
      <c r="L3908" t="s">
        <v>20</v>
      </c>
      <c r="M3908" t="s">
        <v>8197</v>
      </c>
      <c r="N3908" t="s">
        <v>14</v>
      </c>
    </row>
    <row r="3909" x14ac:dyDescent="0.25">
      <c r="A3909" t="n">
        <v>25</v>
      </c>
      <c r="B3909" t="s">
        <v>14</v>
      </c>
      <c r="C3909" t="s">
        <v>22</v>
      </c>
      <c r="D3909" s="2" t="s">
        <f>=HYPERLINK("https://main.knesset.gov.il/APPS/legislation/main/bills/2208935", "הצעת חוק-יסוד: לימוד תורה")</f>
        <v>86</v>
      </c>
      <c r="E3909" t="s">
        <v>86</v>
      </c>
      <c r="F3909" t="s">
        <v>8268</v>
      </c>
      <c r="G3909" t="s">
        <v>14</v>
      </c>
      <c r="H3909">
             </c>
      <c r="I3909" t="s">
        <v>14</v>
      </c>
      <c r="J3909" t="s">
        <v>141</v>
      </c>
      <c r="K3909" t="s">
        <v>14</v>
      </c>
      <c r="L3909" t="s">
        <v>20</v>
      </c>
      <c r="M3909" t="s">
        <v>8197</v>
      </c>
      <c r="N3909" t="s">
        <v>14</v>
      </c>
    </row>
    <row r="3910" x14ac:dyDescent="0.25">
      <c r="A3910" t="n">
        <v>25</v>
      </c>
      <c r="B3910" t="s">
        <v>14</v>
      </c>
      <c r="C3910" t="s">
        <v>22</v>
      </c>
      <c r="D3910" s="2" t="s">
        <f>=HYPERLINK("https://main.knesset.gov.il/APPS/legislation/main/bills/2208286", "הצעת חוק שידורי טלוויזיה (כתוביות ושפת סימנים) (תיקון - העלאת שיעור השידורים שילוו בתרגום לשפת סימנים), התשפ""ג-2023")</f>
        <v>8269</v>
      </c>
      <c r="E3910" t="s">
        <v>8269</v>
      </c>
      <c r="F3910" t="s">
        <v>8270</v>
      </c>
      <c r="G3910" t="s">
        <v>14</v>
      </c>
      <c r="H3910">
             </c>
      <c r="I3910" t="s">
        <v>14</v>
      </c>
      <c r="J3910" t="s">
        <v>141</v>
      </c>
      <c r="K3910" t="s">
        <v>14</v>
      </c>
      <c r="L3910" t="s">
        <v>20</v>
      </c>
      <c r="M3910" t="s">
        <v>8197</v>
      </c>
      <c r="N3910" t="s">
        <v>14</v>
      </c>
    </row>
    <row r="3911" x14ac:dyDescent="0.25">
      <c r="A3911" t="n">
        <v>25</v>
      </c>
      <c r="B3911" t="s">
        <v>14</v>
      </c>
      <c r="C3911" t="s">
        <v>22</v>
      </c>
      <c r="D3911" s="2" t="s">
        <f>=HYPERLINK("https://main.knesset.gov.il/APPS/legislation/main/bills/2206635", "הצעת חוק שוויון ההזדמנויות בעבודה (תיקון - איסור הפליה לפי מקום ביצוע העבודה), התשפ""ג-2023")</f>
        <v>8271</v>
      </c>
      <c r="E3911" t="s">
        <v>8271</v>
      </c>
      <c r="F3911" t="s">
        <v>8272</v>
      </c>
      <c r="G3911" t="s">
        <v>14</v>
      </c>
      <c r="H3911">
             </c>
      <c r="I3911" t="s">
        <v>14</v>
      </c>
      <c r="J3911" t="s">
        <v>141</v>
      </c>
      <c r="K3911" t="s">
        <v>14</v>
      </c>
      <c r="L3911" t="s">
        <v>20</v>
      </c>
      <c r="M3911" t="s">
        <v>8197</v>
      </c>
      <c r="N3911" t="s">
        <v>14</v>
      </c>
    </row>
    <row r="3912" x14ac:dyDescent="0.25">
      <c r="A3912" t="n">
        <v>25</v>
      </c>
      <c r="B3912" t="s">
        <v>14</v>
      </c>
      <c r="C3912" t="s">
        <v>22</v>
      </c>
      <c r="D3912" s="2" t="s">
        <f>=HYPERLINK("https://main.knesset.gov.il/APPS/legislation/main/bills/2208173", "הצעת חוק הסדרים במשק המדינה (תיקוני חקיקה להשגת יעדי התקציב) (תיקון - שיפוי רשויות מקומיות בגין הנחה כפויה בארנונה), התשפ""ג-2023")</f>
        <v>8273</v>
      </c>
      <c r="E3912" t="s">
        <v>8273</v>
      </c>
      <c r="F3912" t="s">
        <v>8274</v>
      </c>
      <c r="G3912" t="s">
        <v>14</v>
      </c>
      <c r="H3912">
             </c>
      <c r="I3912" t="s">
        <v>14</v>
      </c>
      <c r="J3912" t="s">
        <v>141</v>
      </c>
      <c r="K3912" t="s">
        <v>14</v>
      </c>
      <c r="L3912" t="s">
        <v>20</v>
      </c>
      <c r="M3912" t="s">
        <v>8197</v>
      </c>
      <c r="N3912" t="s">
        <v>14</v>
      </c>
    </row>
    <row r="3913" x14ac:dyDescent="0.25">
      <c r="A3913" t="n">
        <v>25</v>
      </c>
      <c r="B3913" t="s">
        <v>14</v>
      </c>
      <c r="C3913" t="s">
        <v>22</v>
      </c>
      <c r="D3913" s="2" t="s">
        <f>=HYPERLINK("https://main.knesset.gov.il/APPS/legislation/main/bills/2207867", "הצעת חוק רשות שדות התעופה (תיקון - דיווח לוועדת הכלכלה של הכנסת), התשפ""ג-2023")</f>
        <v>8275</v>
      </c>
      <c r="E3913" t="s">
        <v>8275</v>
      </c>
      <c r="F3913" t="s">
        <v>8276</v>
      </c>
      <c r="G3913" t="s">
        <v>14</v>
      </c>
      <c r="H3913">
             </c>
      <c r="I3913" t="s">
        <v>14</v>
      </c>
      <c r="J3913" t="s">
        <v>141</v>
      </c>
      <c r="K3913" t="s">
        <v>14</v>
      </c>
      <c r="L3913" t="s">
        <v>20</v>
      </c>
      <c r="M3913" t="s">
        <v>8197</v>
      </c>
      <c r="N3913" t="s">
        <v>14</v>
      </c>
    </row>
    <row r="3914" x14ac:dyDescent="0.25">
      <c r="A3914" t="n">
        <v>25</v>
      </c>
      <c r="B3914" t="s">
        <v>14</v>
      </c>
      <c r="C3914" t="s">
        <v>22</v>
      </c>
      <c r="D3914" s="2" t="s">
        <f>=HYPERLINK("https://main.knesset.gov.il/APPS/legislation/main/bills/2208795", "הצעת חוק הוועדה למינוי בכירים (תיקוני חקיקה), התשפ""ג-2023")</f>
        <v>8277</v>
      </c>
      <c r="E3914" t="s">
        <v>8277</v>
      </c>
      <c r="F3914" t="s">
        <v>8278</v>
      </c>
      <c r="G3914" t="s">
        <v>14</v>
      </c>
      <c r="H3914">
             </c>
      <c r="I3914" t="s">
        <v>14</v>
      </c>
      <c r="J3914" t="s">
        <v>141</v>
      </c>
      <c r="K3914" t="s">
        <v>14</v>
      </c>
      <c r="L3914" t="s">
        <v>20</v>
      </c>
      <c r="M3914" t="s">
        <v>8197</v>
      </c>
      <c r="N3914" t="s">
        <v>14</v>
      </c>
    </row>
    <row r="3915" x14ac:dyDescent="0.25">
      <c r="A3915" t="n">
        <v>25</v>
      </c>
      <c r="B3915" t="s">
        <v>14</v>
      </c>
      <c r="C3915" t="s">
        <v>22</v>
      </c>
      <c r="D3915" s="2" t="s">
        <f>=HYPERLINK("https://main.knesset.gov.il/APPS/legislation/main/bills/2205349", "הצעת חוק זכות יוצרים (תיקון - תשלום תמלוגים), התשפ""ג-2023")</f>
        <v>8279</v>
      </c>
      <c r="E3915" t="s">
        <v>8279</v>
      </c>
      <c r="F3915" t="s">
        <v>8280</v>
      </c>
      <c r="G3915" t="s">
        <v>14</v>
      </c>
      <c r="H3915">
             </c>
      <c r="I3915" t="s">
        <v>14</v>
      </c>
      <c r="J3915" t="s">
        <v>141</v>
      </c>
      <c r="K3915" t="s">
        <v>14</v>
      </c>
      <c r="L3915" t="s">
        <v>20</v>
      </c>
      <c r="M3915" t="s">
        <v>8197</v>
      </c>
      <c r="N3915" t="s">
        <v>14</v>
      </c>
    </row>
    <row r="3916" x14ac:dyDescent="0.25">
      <c r="A3916" t="n">
        <v>25</v>
      </c>
      <c r="B3916" t="s">
        <v>14</v>
      </c>
      <c r="C3916" t="s">
        <v>22</v>
      </c>
      <c r="D3916" s="2" t="s">
        <f>=HYPERLINK("https://main.knesset.gov.il/APPS/legislation/main/bills/2205683", "הצעת חוק העונשין (תיקון - מאבק בפשיעה החקלאית), התשפ""ג-2023")</f>
        <v>8281</v>
      </c>
      <c r="E3916" t="s">
        <v>8281</v>
      </c>
      <c r="F3916" t="s">
        <v>8282</v>
      </c>
      <c r="G3916" t="s">
        <v>14</v>
      </c>
      <c r="H3916">
             </c>
      <c r="I3916" t="s">
        <v>14</v>
      </c>
      <c r="J3916" t="s">
        <v>141</v>
      </c>
      <c r="K3916" t="s">
        <v>14</v>
      </c>
      <c r="L3916" t="s">
        <v>20</v>
      </c>
      <c r="M3916" t="s">
        <v>8197</v>
      </c>
      <c r="N3916" t="s">
        <v>14</v>
      </c>
    </row>
    <row r="3917" x14ac:dyDescent="0.25">
      <c r="A3917" t="n">
        <v>25</v>
      </c>
      <c r="B3917" t="s">
        <v>14</v>
      </c>
      <c r="C3917" t="s">
        <v>22</v>
      </c>
      <c r="D3917" s="2" t="s">
        <f>=HYPERLINK("https://main.knesset.gov.il/APPS/legislation/main/bills/2200262", "הצעת חוק הגנת הצרכן (תיקון - אישור הצרכן מראש להעלאת תעריפים בעסקה מתמשכת שאינה עסקה לתקופה קצובה), התשפ""ג-2023")</f>
        <v>8283</v>
      </c>
      <c r="E3917" t="s">
        <v>8283</v>
      </c>
      <c r="F3917" t="s">
        <v>8284</v>
      </c>
      <c r="G3917" t="s">
        <v>14</v>
      </c>
      <c r="H3917">
             </c>
      <c r="I3917" t="s">
        <v>14</v>
      </c>
      <c r="J3917" t="s">
        <v>141</v>
      </c>
      <c r="K3917" t="s">
        <v>14</v>
      </c>
      <c r="L3917" t="s">
        <v>20</v>
      </c>
      <c r="M3917" t="s">
        <v>8197</v>
      </c>
      <c r="N3917" t="s">
        <v>14</v>
      </c>
    </row>
    <row r="3918" x14ac:dyDescent="0.25">
      <c r="A3918" t="n">
        <v>25</v>
      </c>
      <c r="B3918" t="s">
        <v>14</v>
      </c>
      <c r="C3918" t="s">
        <v>20</v>
      </c>
      <c r="D3918" s="2" t="s">
        <f>=HYPERLINK("https://main.knesset.gov.il/APPS/legislation/main/bills/2207472", "חוק-יסוד: השפיטה (תיקון מס' 3) ")</f>
        <v>8285</v>
      </c>
      <c r="E3918" t="s">
        <v>8285</v>
      </c>
      <c r="F3918" t="s">
        <v>14</v>
      </c>
      <c r="G3918" t="s">
        <v>8286</v>
      </c>
      <c r="H3918" t="n">
        <v>3066</v>
      </c>
      <c r="I3918" t="s">
        <v>14</v>
      </c>
      <c r="J3918" t="s">
        <v>91</v>
      </c>
      <c r="K3918" t="s">
        <v>27</v>
      </c>
      <c r="L3918" t="s">
        <v>20</v>
      </c>
      <c r="M3918" t="s">
        <v>8287</v>
      </c>
      <c r="N3918" t="s">
        <v>8288</v>
      </c>
    </row>
    <row r="3919" x14ac:dyDescent="0.25">
      <c r="A3919" t="n">
        <v>25</v>
      </c>
      <c r="B3919" t="s">
        <v>14</v>
      </c>
      <c r="C3919" t="s">
        <v>22</v>
      </c>
      <c r="D3919" s="2" t="s">
        <f>=HYPERLINK("https://main.knesset.gov.il/APPS/legislation/main/bills/2156240", "חוק הגנת הצרכן (תיקון מס' 65), התשפ""ג–2023")</f>
        <v>8289</v>
      </c>
      <c r="E3919" t="s">
        <v>8289</v>
      </c>
      <c r="F3919" t="s">
        <v>8290</v>
      </c>
      <c r="G3919" t="s">
        <v>8291</v>
      </c>
      <c r="H3919" t="n">
        <v>3065</v>
      </c>
      <c r="I3919" t="s">
        <v>14</v>
      </c>
      <c r="J3919" t="s">
        <v>91</v>
      </c>
      <c r="K3919" t="s">
        <v>19</v>
      </c>
      <c r="L3919" t="s">
        <v>20</v>
      </c>
      <c r="M3919" t="s">
        <v>8292</v>
      </c>
      <c r="N3919" t="s">
        <v>8293</v>
      </c>
    </row>
    <row r="3920" x14ac:dyDescent="0.25">
      <c r="A3920" t="n">
        <v>25</v>
      </c>
      <c r="B3920" t="s">
        <v>14</v>
      </c>
      <c r="C3920" t="s">
        <v>22</v>
      </c>
      <c r="D3920" s="2" t="s">
        <f>=HYPERLINK("https://main.knesset.gov.il/APPS/legislation/main/bills/2208263", "הצעת חוק הקרימינולוגים השיקומיים, התשפ""ג-2023")</f>
        <v>8294</v>
      </c>
      <c r="E3920" t="s">
        <v>8294</v>
      </c>
      <c r="F3920" t="s">
        <v>8295</v>
      </c>
      <c r="G3920" t="s">
        <v>14</v>
      </c>
      <c r="H3920">
             </c>
      <c r="I3920" t="s">
        <v>14</v>
      </c>
      <c r="J3920" t="s">
        <v>31</v>
      </c>
      <c r="K3920" t="s">
        <v>127</v>
      </c>
      <c r="L3920" t="s">
        <v>20</v>
      </c>
      <c r="M3920" t="s">
        <v>8292</v>
      </c>
      <c r="N3920" t="s">
        <v>14</v>
      </c>
    </row>
    <row r="3921" x14ac:dyDescent="0.25">
      <c r="A3921" t="n">
        <v>25</v>
      </c>
      <c r="B3921" t="s">
        <v>14</v>
      </c>
      <c r="C3921" t="s">
        <v>22</v>
      </c>
      <c r="D3921" s="2" t="s">
        <f>=HYPERLINK("https://main.knesset.gov.il/APPS/legislation/main/bills/2203637", "הצעת חוק הפרות מינהליות, התשפ""ג-2023")</f>
        <v>8296</v>
      </c>
      <c r="E3921" t="s">
        <v>8296</v>
      </c>
      <c r="F3921" t="s">
        <v>8297</v>
      </c>
      <c r="G3921" t="s">
        <v>14</v>
      </c>
      <c r="H3921">
             </c>
      <c r="I3921" t="s">
        <v>14</v>
      </c>
      <c r="J3921" t="s">
        <v>55</v>
      </c>
      <c r="K3921" t="s">
        <v>14</v>
      </c>
      <c r="L3921" t="s">
        <v>20</v>
      </c>
      <c r="M3921" t="s">
        <v>8292</v>
      </c>
      <c r="N3921" t="s">
        <v>14</v>
      </c>
    </row>
    <row r="3922" x14ac:dyDescent="0.25">
      <c r="A3922" t="n">
        <v>25</v>
      </c>
      <c r="B3922" t="s">
        <v>14</v>
      </c>
      <c r="C3922" t="s">
        <v>22</v>
      </c>
      <c r="D3922" s="2" t="s">
        <f>=HYPERLINK("https://main.knesset.gov.il/APPS/legislation/main/bills/2202517", "הצעת חוק פיקוח על מחירים, שיווק וסבסוד של מזון ללא גלוטן, התשפ""ג-2023")</f>
        <v>8298</v>
      </c>
      <c r="E3922" t="s">
        <v>8298</v>
      </c>
      <c r="F3922" t="s">
        <v>8299</v>
      </c>
      <c r="G3922" t="s">
        <v>14</v>
      </c>
      <c r="H3922">
             </c>
      <c r="I3922" t="s">
        <v>14</v>
      </c>
      <c r="J3922" t="s">
        <v>65</v>
      </c>
      <c r="K3922" t="s">
        <v>14</v>
      </c>
      <c r="L3922" t="s">
        <v>20</v>
      </c>
      <c r="M3922" t="s">
        <v>8292</v>
      </c>
      <c r="N3922" t="s">
        <v>14</v>
      </c>
    </row>
    <row r="3923" x14ac:dyDescent="0.25">
      <c r="A3923" t="n">
        <v>25</v>
      </c>
      <c r="B3923" t="s">
        <v>14</v>
      </c>
      <c r="C3923" t="s">
        <v>22</v>
      </c>
      <c r="D3923" s="2" t="s">
        <f>=HYPERLINK("https://main.knesset.gov.il/APPS/legislation/main/bills/2201845", "הצעת חוק-יסוד: משאל עם (תיקון - חובת אישור החלת ריבונות במשאל עם)")</f>
        <v>4600</v>
      </c>
      <c r="E3923" t="s">
        <v>4600</v>
      </c>
      <c r="F3923" t="s">
        <v>8300</v>
      </c>
      <c r="G3923" t="s">
        <v>14</v>
      </c>
      <c r="H3923">
             </c>
      <c r="I3923" t="s">
        <v>14</v>
      </c>
      <c r="J3923" t="s">
        <v>55</v>
      </c>
      <c r="K3923" t="s">
        <v>14</v>
      </c>
      <c r="L3923" t="s">
        <v>20</v>
      </c>
      <c r="M3923" t="s">
        <v>8292</v>
      </c>
      <c r="N3923" t="s">
        <v>14</v>
      </c>
    </row>
    <row r="3924" x14ac:dyDescent="0.25">
      <c r="A3924" t="n">
        <v>25</v>
      </c>
      <c r="B3924" t="s">
        <v>14</v>
      </c>
      <c r="C3924" t="s">
        <v>22</v>
      </c>
      <c r="D3924" s="2" t="s">
        <f>=HYPERLINK("https://main.knesset.gov.il/APPS/legislation/main/bills/2201446", "הצעת חוק סל הקליטה (תיקון - שעות לימוד עברית), התשפ""ג-2023")</f>
        <v>8301</v>
      </c>
      <c r="E3924" t="s">
        <v>8301</v>
      </c>
      <c r="F3924" t="s">
        <v>8302</v>
      </c>
      <c r="G3924" t="s">
        <v>14</v>
      </c>
      <c r="H3924">
             </c>
      <c r="I3924" t="s">
        <v>14</v>
      </c>
      <c r="J3924" t="s">
        <v>343</v>
      </c>
      <c r="K3924" t="s">
        <v>14</v>
      </c>
      <c r="L3924" t="s">
        <v>20</v>
      </c>
      <c r="M3924" t="s">
        <v>8292</v>
      </c>
      <c r="N3924" t="s">
        <v>14</v>
      </c>
    </row>
    <row r="3925" x14ac:dyDescent="0.25">
      <c r="A3925" t="n">
        <v>25</v>
      </c>
      <c r="B3925" t="s">
        <v>14</v>
      </c>
      <c r="C3925" t="s">
        <v>22</v>
      </c>
      <c r="D3925" s="2" t="s">
        <f>=HYPERLINK("https://main.knesset.gov.il/APPS/legislation/main/bills/2198952", "הצעת חוק הסיוע המשפטי (תיקון - סיוע משפטי לנפגעי עבירות) (הוראת שעה), התשפ""ג-2023")</f>
        <v>8303</v>
      </c>
      <c r="E3925" t="s">
        <v>8303</v>
      </c>
      <c r="F3925" t="s">
        <v>8304</v>
      </c>
      <c r="G3925" t="s">
        <v>14</v>
      </c>
      <c r="H3925">
             </c>
      <c r="I3925" t="s">
        <v>14</v>
      </c>
      <c r="J3925" t="s">
        <v>55</v>
      </c>
      <c r="K3925" t="s">
        <v>14</v>
      </c>
      <c r="L3925" t="s">
        <v>20</v>
      </c>
      <c r="M3925" t="s">
        <v>8292</v>
      </c>
      <c r="N3925" t="s">
        <v>14</v>
      </c>
    </row>
    <row r="3926" x14ac:dyDescent="0.25">
      <c r="A3926" t="n">
        <v>25</v>
      </c>
      <c r="B3926" t="s">
        <v>14</v>
      </c>
      <c r="C3926" t="s">
        <v>22</v>
      </c>
      <c r="D3926" s="2" t="s">
        <f>=HYPERLINK("https://main.knesset.gov.il/APPS/legislation/main/bills/2199969", "הצעת חוק השיפוט הצבאי (תיקון - משך תחולת החוק על מי שחדל מהיות חייל ועבר עבירת מין), התשפ""ג-2023 ")</f>
        <v>8305</v>
      </c>
      <c r="E3926" t="s">
        <v>8305</v>
      </c>
      <c r="F3926" t="s">
        <v>8306</v>
      </c>
      <c r="G3926" t="s">
        <v>14</v>
      </c>
      <c r="H3926">
             </c>
      <c r="I3926" t="s">
        <v>14</v>
      </c>
      <c r="J3926" t="s">
        <v>55</v>
      </c>
      <c r="K3926" t="s">
        <v>14</v>
      </c>
      <c r="L3926" t="s">
        <v>20</v>
      </c>
      <c r="M3926" t="s">
        <v>8292</v>
      </c>
      <c r="N3926" t="s">
        <v>14</v>
      </c>
    </row>
    <row r="3927" x14ac:dyDescent="0.25">
      <c r="A3927" t="n">
        <v>25</v>
      </c>
      <c r="B3927" t="s">
        <v>14</v>
      </c>
      <c r="C3927" t="s">
        <v>22</v>
      </c>
      <c r="D3927" s="2" t="s">
        <f>=HYPERLINK("https://main.knesset.gov.il/APPS/legislation/main/bills/2199864", "הצעת חוק למניעת אלימות במשפחה (תיקון - מניעת אלימות כלכלית) (הוראת שעה), התשפ""ג-2023")</f>
        <v>8307</v>
      </c>
      <c r="E3927" t="s">
        <v>8307</v>
      </c>
      <c r="F3927" t="s">
        <v>8308</v>
      </c>
      <c r="G3927" t="s">
        <v>14</v>
      </c>
      <c r="H3927">
             </c>
      <c r="I3927" t="s">
        <v>14</v>
      </c>
      <c r="J3927" t="s">
        <v>55</v>
      </c>
      <c r="K3927" t="s">
        <v>14</v>
      </c>
      <c r="L3927" t="s">
        <v>20</v>
      </c>
      <c r="M3927" t="s">
        <v>8292</v>
      </c>
      <c r="N3927" t="s">
        <v>14</v>
      </c>
    </row>
    <row r="3928" x14ac:dyDescent="0.25">
      <c r="A3928" t="n">
        <v>25</v>
      </c>
      <c r="B3928" t="s">
        <v>14</v>
      </c>
      <c r="C3928" t="s">
        <v>22</v>
      </c>
      <c r="D3928" s="2" t="s">
        <f>=HYPERLINK("https://main.knesset.gov.il/APPS/legislation/main/bills/2197758", "הצעת חוק שוויון זכויות לאנשים עם מוגבלות (תיקון - הנפקת תעודות לבעלי מוגבלות בראיה), התשפ""ג-2023")</f>
        <v>8309</v>
      </c>
      <c r="E3928" t="s">
        <v>8309</v>
      </c>
      <c r="F3928" t="s">
        <v>8310</v>
      </c>
      <c r="G3928" t="s">
        <v>14</v>
      </c>
      <c r="H3928">
             </c>
      <c r="I3928" t="s">
        <v>14</v>
      </c>
      <c r="J3928" t="s">
        <v>343</v>
      </c>
      <c r="K3928" t="s">
        <v>14</v>
      </c>
      <c r="L3928" t="s">
        <v>20</v>
      </c>
      <c r="M3928" t="s">
        <v>8292</v>
      </c>
      <c r="N3928" t="s">
        <v>14</v>
      </c>
    </row>
    <row r="3929" x14ac:dyDescent="0.25">
      <c r="A3929" t="n">
        <v>25</v>
      </c>
      <c r="B3929" t="s">
        <v>14</v>
      </c>
      <c r="C3929" t="s">
        <v>22</v>
      </c>
      <c r="D3929" s="2" t="s">
        <f>=HYPERLINK("https://main.knesset.gov.il/APPS/legislation/main/bills/2198951", "הצעת חוק-יסוד: כבוד האדם וחירותו (תיקון - הזכות לשוויון) ")</f>
        <v>8311</v>
      </c>
      <c r="E3929" t="s">
        <v>8311</v>
      </c>
      <c r="F3929" t="s">
        <v>8312</v>
      </c>
      <c r="G3929" t="s">
        <v>14</v>
      </c>
      <c r="H3929">
             </c>
      <c r="I3929" t="s">
        <v>14</v>
      </c>
      <c r="J3929" t="s">
        <v>55</v>
      </c>
      <c r="K3929" t="s">
        <v>14</v>
      </c>
      <c r="L3929" t="s">
        <v>20</v>
      </c>
      <c r="M3929" t="s">
        <v>8292</v>
      </c>
      <c r="N3929" t="s">
        <v>14</v>
      </c>
    </row>
    <row r="3930" x14ac:dyDescent="0.25">
      <c r="A3930" t="n">
        <v>25</v>
      </c>
      <c r="B3930" t="s">
        <v>14</v>
      </c>
      <c r="C3930" t="s">
        <v>22</v>
      </c>
      <c r="D3930" s="2" t="s">
        <f>=HYPERLINK("https://main.knesset.gov.il/APPS/legislation/main/bills/2198821", "הצעת חוק הביטוח הלאומי (תיקון - שמירה חקלאית כעבודה מועדפת), התשפ""ג-2023")</f>
        <v>8313</v>
      </c>
      <c r="E3930" t="s">
        <v>8313</v>
      </c>
      <c r="F3930" t="s">
        <v>8314</v>
      </c>
      <c r="G3930" t="s">
        <v>14</v>
      </c>
      <c r="H3930">
             </c>
      <c r="I3930" t="s">
        <v>14</v>
      </c>
      <c r="J3930" t="s">
        <v>343</v>
      </c>
      <c r="K3930" t="s">
        <v>14</v>
      </c>
      <c r="L3930" t="s">
        <v>20</v>
      </c>
      <c r="M3930" t="s">
        <v>8292</v>
      </c>
      <c r="N3930" t="s">
        <v>14</v>
      </c>
    </row>
    <row r="3931" x14ac:dyDescent="0.25">
      <c r="A3931" t="n">
        <v>25</v>
      </c>
      <c r="B3931" t="s">
        <v>14</v>
      </c>
      <c r="C3931" t="s">
        <v>22</v>
      </c>
      <c r="D3931" s="2" t="s">
        <f>=HYPERLINK("https://main.knesset.gov.il/APPS/legislation/main/bills/2198753", "הצעת חוק משק החשמל (תיקון - איסור ניתוק חשמל לצרכן ביתי), התשפ""ג-2023")</f>
        <v>8315</v>
      </c>
      <c r="E3931" t="s">
        <v>8315</v>
      </c>
      <c r="F3931" t="s">
        <v>8316</v>
      </c>
      <c r="G3931" t="s">
        <v>14</v>
      </c>
      <c r="H3931">
             </c>
      <c r="I3931" t="s">
        <v>14</v>
      </c>
      <c r="J3931" t="s">
        <v>55</v>
      </c>
      <c r="K3931" t="s">
        <v>14</v>
      </c>
      <c r="L3931" t="s">
        <v>20</v>
      </c>
      <c r="M3931" t="s">
        <v>8292</v>
      </c>
      <c r="N3931" t="s">
        <v>14</v>
      </c>
    </row>
    <row r="3932" x14ac:dyDescent="0.25">
      <c r="A3932" t="n">
        <v>25</v>
      </c>
      <c r="B3932" t="s">
        <v>14</v>
      </c>
      <c r="C3932" t="s">
        <v>22</v>
      </c>
      <c r="D3932" s="2" t="s">
        <f>=HYPERLINK("https://main.knesset.gov.il/APPS/legislation/main/bills/2198619", "הצעת חוק סבסוד מוצרים ללא גלוטן, התשפ""ג-2023")</f>
        <v>8317</v>
      </c>
      <c r="E3932" t="s">
        <v>8317</v>
      </c>
      <c r="F3932" t="s">
        <v>8318</v>
      </c>
      <c r="G3932" t="s">
        <v>14</v>
      </c>
      <c r="H3932">
             </c>
      <c r="I3932" t="s">
        <v>14</v>
      </c>
      <c r="J3932" t="s">
        <v>65</v>
      </c>
      <c r="K3932" t="s">
        <v>14</v>
      </c>
      <c r="L3932" t="s">
        <v>20</v>
      </c>
      <c r="M3932" t="s">
        <v>8292</v>
      </c>
      <c r="N3932" t="s">
        <v>14</v>
      </c>
    </row>
    <row r="3933" x14ac:dyDescent="0.25">
      <c r="A3933" t="n">
        <v>25</v>
      </c>
      <c r="B3933" t="s">
        <v>14</v>
      </c>
      <c r="C3933" t="s">
        <v>22</v>
      </c>
      <c r="D3933" s="2" t="s">
        <f>=HYPERLINK("https://main.knesset.gov.il/APPS/legislation/main/bills/2196666", "הצעת חוק-יסוד: כבוד האדם וחירותו (תיקון - הזכות לשוויון)")</f>
        <v>2676</v>
      </c>
      <c r="E3933" t="s">
        <v>2676</v>
      </c>
      <c r="F3933" t="s">
        <v>8319</v>
      </c>
      <c r="G3933" t="s">
        <v>14</v>
      </c>
      <c r="H3933">
             </c>
      <c r="I3933" t="s">
        <v>14</v>
      </c>
      <c r="J3933" t="s">
        <v>55</v>
      </c>
      <c r="K3933" t="s">
        <v>14</v>
      </c>
      <c r="L3933" t="s">
        <v>20</v>
      </c>
      <c r="M3933" t="s">
        <v>8292</v>
      </c>
      <c r="N3933" t="s">
        <v>14</v>
      </c>
    </row>
    <row r="3934" x14ac:dyDescent="0.25">
      <c r="A3934" t="n">
        <v>25</v>
      </c>
      <c r="B3934" t="s">
        <v>14</v>
      </c>
      <c r="C3934" t="s">
        <v>22</v>
      </c>
      <c r="D3934" s="2" t="s">
        <f>=HYPERLINK("https://main.knesset.gov.il/APPS/legislation/main/bills/2196342", "הצעת חוק-יסוד: כבוד האדם וחירותו (תיקון - הזכות לשוויון)")</f>
        <v>2676</v>
      </c>
      <c r="E3934" t="s">
        <v>2676</v>
      </c>
      <c r="F3934" t="s">
        <v>8320</v>
      </c>
      <c r="G3934" t="s">
        <v>14</v>
      </c>
      <c r="H3934">
             </c>
      <c r="I3934" t="s">
        <v>14</v>
      </c>
      <c r="J3934" t="s">
        <v>55</v>
      </c>
      <c r="K3934" t="s">
        <v>14</v>
      </c>
      <c r="L3934" t="s">
        <v>20</v>
      </c>
      <c r="M3934" t="s">
        <v>8292</v>
      </c>
      <c r="N3934" t="s">
        <v>14</v>
      </c>
    </row>
    <row r="3935" x14ac:dyDescent="0.25">
      <c r="A3935" t="n">
        <v>25</v>
      </c>
      <c r="B3935" t="s">
        <v>14</v>
      </c>
      <c r="C3935" t="s">
        <v>22</v>
      </c>
      <c r="D3935" s="2" t="s">
        <f>=HYPERLINK("https://main.knesset.gov.il/APPS/legislation/main/bills/2206912", "הצעת חוק לקידום הנשים בישראל, התשפ""ג-2023")</f>
        <v>8321</v>
      </c>
      <c r="E3935" t="s">
        <v>8321</v>
      </c>
      <c r="F3935" t="s">
        <v>8322</v>
      </c>
      <c r="G3935" t="s">
        <v>14</v>
      </c>
      <c r="H3935">
             </c>
      <c r="I3935" t="s">
        <v>14</v>
      </c>
      <c r="J3935" t="s">
        <v>31</v>
      </c>
      <c r="K3935" t="s">
        <v>14</v>
      </c>
      <c r="L3935" t="s">
        <v>20</v>
      </c>
      <c r="M3935" t="s">
        <v>8323</v>
      </c>
      <c r="N3935" t="s">
        <v>14</v>
      </c>
    </row>
    <row r="3936" x14ac:dyDescent="0.25">
      <c r="A3936" t="n">
        <v>25</v>
      </c>
      <c r="B3936" t="s">
        <v>14</v>
      </c>
      <c r="C3936" t="s">
        <v>22</v>
      </c>
      <c r="D3936" s="2" t="s">
        <f>=HYPERLINK("https://main.knesset.gov.il/APPS/legislation/main/bills/2202805", "הצעת חוק העונשין (תיקון - הגדרת איום), התשפ""ג-2023")</f>
        <v>8324</v>
      </c>
      <c r="E3936" t="s">
        <v>8324</v>
      </c>
      <c r="F3936" t="s">
        <v>8325</v>
      </c>
      <c r="G3936" t="s">
        <v>14</v>
      </c>
      <c r="H3936">
             </c>
      <c r="I3936" t="s">
        <v>14</v>
      </c>
      <c r="J3936" t="s">
        <v>99</v>
      </c>
      <c r="K3936" t="s">
        <v>14</v>
      </c>
      <c r="L3936" t="s">
        <v>20</v>
      </c>
      <c r="M3936" t="s">
        <v>8326</v>
      </c>
      <c r="N3936" t="s">
        <v>14</v>
      </c>
    </row>
    <row r="3937" x14ac:dyDescent="0.25">
      <c r="A3937" t="n">
        <v>25</v>
      </c>
      <c r="B3937" t="s">
        <v>14</v>
      </c>
      <c r="C3937" t="s">
        <v>22</v>
      </c>
      <c r="D3937" s="2" t="s">
        <f>=HYPERLINK("https://main.knesset.gov.il/APPS/legislation/main/bills/2199055", "הצעת חוק הגנת הצרכן (תיקון - הפרה בנסיבות מחמירות), התשפ""ג-2023")</f>
        <v>8327</v>
      </c>
      <c r="E3937" t="s">
        <v>8327</v>
      </c>
      <c r="F3937" t="s">
        <v>8328</v>
      </c>
      <c r="G3937" t="s">
        <v>14</v>
      </c>
      <c r="H3937">
             </c>
      <c r="I3937" t="s">
        <v>14</v>
      </c>
      <c r="J3937" t="s">
        <v>99</v>
      </c>
      <c r="K3937" t="s">
        <v>19</v>
      </c>
      <c r="L3937" t="s">
        <v>20</v>
      </c>
      <c r="M3937" t="s">
        <v>8326</v>
      </c>
      <c r="N3937" t="s">
        <v>14</v>
      </c>
    </row>
    <row r="3938" x14ac:dyDescent="0.25">
      <c r="A3938" t="n">
        <v>25</v>
      </c>
      <c r="B3938" t="s">
        <v>14</v>
      </c>
      <c r="C3938" t="s">
        <v>22</v>
      </c>
      <c r="D3938" s="2" t="s">
        <f>=HYPERLINK("https://main.knesset.gov.il/APPS/legislation/main/bills/2198435", "הצעת חוק העונשין (תיקון - הגדרת איום), התשפ""ג-2023")</f>
        <v>8324</v>
      </c>
      <c r="E3938" t="s">
        <v>8324</v>
      </c>
      <c r="F3938" t="s">
        <v>8329</v>
      </c>
      <c r="G3938" t="s">
        <v>14</v>
      </c>
      <c r="H3938">
             </c>
      <c r="I3938" t="s">
        <v>14</v>
      </c>
      <c r="J3938" t="s">
        <v>99</v>
      </c>
      <c r="K3938" t="s">
        <v>14</v>
      </c>
      <c r="L3938" t="s">
        <v>20</v>
      </c>
      <c r="M3938" t="s">
        <v>8326</v>
      </c>
      <c r="N3938" t="s">
        <v>14</v>
      </c>
    </row>
    <row r="3939" x14ac:dyDescent="0.25">
      <c r="A3939" t="n">
        <v>25</v>
      </c>
      <c r="B3939" t="s">
        <v>14</v>
      </c>
      <c r="C3939" t="s">
        <v>22</v>
      </c>
      <c r="D3939" s="2" t="s">
        <f>=HYPERLINK("https://main.knesset.gov.il/APPS/legislation/main/bills/2207287", "הצעת חוק הנוער (טיפול והשגחה) (תיקון - מתווה הוצאת ילד ממשמורתו), התשפ""ג-2023")</f>
        <v>8330</v>
      </c>
      <c r="E3939" t="s">
        <v>8330</v>
      </c>
      <c r="F3939" t="s">
        <v>8331</v>
      </c>
      <c r="G3939" t="s">
        <v>14</v>
      </c>
      <c r="H3939">
             </c>
      <c r="I3939" t="s">
        <v>14</v>
      </c>
      <c r="J3939" t="s">
        <v>141</v>
      </c>
      <c r="K3939" t="s">
        <v>14</v>
      </c>
      <c r="L3939" t="s">
        <v>20</v>
      </c>
      <c r="M3939" t="s">
        <v>8326</v>
      </c>
      <c r="N3939" t="s">
        <v>14</v>
      </c>
    </row>
    <row r="3940" x14ac:dyDescent="0.25">
      <c r="A3940" t="n">
        <v>25</v>
      </c>
      <c r="B3940" t="s">
        <v>14</v>
      </c>
      <c r="C3940" t="s">
        <v>22</v>
      </c>
      <c r="D3940" s="2" t="s">
        <f>=HYPERLINK("https://main.knesset.gov.il/APPS/legislation/main/bills/2208753", "הצעת חוק-יסוד: הממשלה (תיקון - מספר סגני שרים)")</f>
        <v>7785</v>
      </c>
      <c r="E3940" t="s">
        <v>7785</v>
      </c>
      <c r="F3940" t="s">
        <v>8332</v>
      </c>
      <c r="G3940" t="s">
        <v>14</v>
      </c>
      <c r="H3940">
             </c>
      <c r="I3940" t="s">
        <v>14</v>
      </c>
      <c r="J3940" t="s">
        <v>1123</v>
      </c>
      <c r="K3940" t="s">
        <v>14</v>
      </c>
      <c r="L3940" t="s">
        <v>20</v>
      </c>
      <c r="M3940" t="s">
        <v>8326</v>
      </c>
      <c r="N3940" t="s">
        <v>14</v>
      </c>
    </row>
    <row r="3941" x14ac:dyDescent="0.25">
      <c r="A3941" t="n">
        <v>25</v>
      </c>
      <c r="B3941" t="s">
        <v>14</v>
      </c>
      <c r="C3941" t="s">
        <v>22</v>
      </c>
      <c r="D3941" s="2" t="s">
        <f>=HYPERLINK("https://main.knesset.gov.il/APPS/legislation/main/bills/2205837", "הצעת חוק הגנה על בתי תפילה ותיקים (תיקוני חקיקה), התשפ""ג-2023")</f>
        <v>8333</v>
      </c>
      <c r="E3941" t="s">
        <v>8333</v>
      </c>
      <c r="F3941" t="s">
        <v>8334</v>
      </c>
      <c r="G3941" t="s">
        <v>14</v>
      </c>
      <c r="H3941">
             </c>
      <c r="I3941" t="s">
        <v>14</v>
      </c>
      <c r="J3941" t="s">
        <v>141</v>
      </c>
      <c r="K3941" t="s">
        <v>14</v>
      </c>
      <c r="L3941" t="s">
        <v>20</v>
      </c>
      <c r="M3941" t="s">
        <v>8326</v>
      </c>
      <c r="N3941" t="s">
        <v>14</v>
      </c>
    </row>
    <row r="3942" x14ac:dyDescent="0.25">
      <c r="A3942" t="n">
        <v>25</v>
      </c>
      <c r="B3942" t="s">
        <v>14</v>
      </c>
      <c r="C3942" t="s">
        <v>22</v>
      </c>
      <c r="D3942" s="2" t="s">
        <f>=HYPERLINK("https://main.knesset.gov.il/APPS/legislation/main/bills/2208747", "הצעת חוק הביטוח הלאומי (תיקון - הארכת המועד להגשת תביעה לגמלה והתקופה שבעדה תשולם), התשפ""ג-2023")</f>
        <v>8335</v>
      </c>
      <c r="E3942" t="s">
        <v>8335</v>
      </c>
      <c r="F3942" t="s">
        <v>8336</v>
      </c>
      <c r="G3942" t="s">
        <v>14</v>
      </c>
      <c r="H3942">
             </c>
      <c r="I3942" t="s">
        <v>14</v>
      </c>
      <c r="J3942" t="s">
        <v>141</v>
      </c>
      <c r="K3942" t="s">
        <v>14</v>
      </c>
      <c r="L3942" t="s">
        <v>20</v>
      </c>
      <c r="M3942" t="s">
        <v>8326</v>
      </c>
      <c r="N3942" t="s">
        <v>14</v>
      </c>
    </row>
    <row r="3943" x14ac:dyDescent="0.25">
      <c r="A3943" t="n">
        <v>25</v>
      </c>
      <c r="B3943" t="s">
        <v>14</v>
      </c>
      <c r="C3943" t="s">
        <v>22</v>
      </c>
      <c r="D3943" s="2" t="s">
        <f>=HYPERLINK("https://main.knesset.gov.il/APPS/legislation/main/bills/2207864", "הצעת חוק ביטוח בריאות ממלכתי (תיקון - קדימות בתור לטיפול או שירות רפואי לאדם עם מוגבלות), התשפ""ג-2023")</f>
        <v>8045</v>
      </c>
      <c r="E3943" t="s">
        <v>8045</v>
      </c>
      <c r="F3943" t="s">
        <v>8337</v>
      </c>
      <c r="G3943" t="s">
        <v>14</v>
      </c>
      <c r="H3943">
             </c>
      <c r="I3943" t="s">
        <v>14</v>
      </c>
      <c r="J3943" t="s">
        <v>343</v>
      </c>
      <c r="K3943" t="s">
        <v>14</v>
      </c>
      <c r="L3943" t="s">
        <v>20</v>
      </c>
      <c r="M3943" t="s">
        <v>8326</v>
      </c>
      <c r="N3943" t="s">
        <v>14</v>
      </c>
    </row>
    <row r="3944" x14ac:dyDescent="0.25">
      <c r="A3944" t="n">
        <v>25</v>
      </c>
      <c r="B3944" t="s">
        <v>14</v>
      </c>
      <c r="C3944" t="s">
        <v>22</v>
      </c>
      <c r="D3944" s="2" t="s">
        <f>=HYPERLINK("https://main.knesset.gov.il/APPS/legislation/main/bills/2208492", "הצעת חוק הבחירות לכנסת (תיקון - זכות לשכר ביום הבחירות), התשפ""ג-2023")</f>
        <v>8092</v>
      </c>
      <c r="E3944" t="s">
        <v>8092</v>
      </c>
      <c r="F3944" t="s">
        <v>8338</v>
      </c>
      <c r="G3944" t="s">
        <v>14</v>
      </c>
      <c r="H3944">
             </c>
      <c r="I3944" t="s">
        <v>14</v>
      </c>
      <c r="J3944" t="s">
        <v>141</v>
      </c>
      <c r="K3944" t="s">
        <v>14</v>
      </c>
      <c r="L3944" t="s">
        <v>20</v>
      </c>
      <c r="M3944" t="s">
        <v>8326</v>
      </c>
      <c r="N3944" t="s">
        <v>14</v>
      </c>
    </row>
    <row r="3945" x14ac:dyDescent="0.25">
      <c r="A3945" t="n">
        <v>25</v>
      </c>
      <c r="B3945" t="s">
        <v>14</v>
      </c>
      <c r="C3945" t="s">
        <v>22</v>
      </c>
      <c r="D3945" s="2" t="s">
        <f>=HYPERLINK("https://main.knesset.gov.il/APPS/legislation/main/bills/2207908", "הצעת חוק הביטוח הלאומי (תיקון - פטור מתשלום דמי ביטוח לאומי לנכי צה""ל), התשפ""ג-2023")</f>
        <v>8339</v>
      </c>
      <c r="E3945" t="s">
        <v>8339</v>
      </c>
      <c r="F3945" t="s">
        <v>8340</v>
      </c>
      <c r="G3945" t="s">
        <v>14</v>
      </c>
      <c r="H3945">
             </c>
      <c r="I3945" t="s">
        <v>14</v>
      </c>
      <c r="J3945" t="s">
        <v>141</v>
      </c>
      <c r="K3945" t="s">
        <v>14</v>
      </c>
      <c r="L3945" t="s">
        <v>20</v>
      </c>
      <c r="M3945" t="s">
        <v>8326</v>
      </c>
      <c r="N3945" t="s">
        <v>14</v>
      </c>
    </row>
    <row r="3946" x14ac:dyDescent="0.25">
      <c r="A3946" t="n">
        <v>25</v>
      </c>
      <c r="B3946" t="s">
        <v>14</v>
      </c>
      <c r="C3946" t="s">
        <v>22</v>
      </c>
      <c r="D3946" s="2" t="s">
        <f>=HYPERLINK("https://main.knesset.gov.il/APPS/legislation/main/bills/2206676", "הצעת חוק חינוך ממלכתי (תיקון - חינוך למניעת הטרדה מינית), התשפ""ג-2023")</f>
        <v>8341</v>
      </c>
      <c r="E3946" t="s">
        <v>8341</v>
      </c>
      <c r="F3946" t="s">
        <v>8342</v>
      </c>
      <c r="G3946" t="s">
        <v>14</v>
      </c>
      <c r="H3946">
             </c>
      <c r="I3946" t="s">
        <v>14</v>
      </c>
      <c r="J3946" t="s">
        <v>141</v>
      </c>
      <c r="K3946" t="s">
        <v>14</v>
      </c>
      <c r="L3946" t="s">
        <v>20</v>
      </c>
      <c r="M3946" t="s">
        <v>8326</v>
      </c>
      <c r="N3946" t="s">
        <v>14</v>
      </c>
    </row>
    <row r="3947" x14ac:dyDescent="0.25">
      <c r="A3947" t="n">
        <v>25</v>
      </c>
      <c r="B3947" t="s">
        <v>14</v>
      </c>
      <c r="C3947" t="s">
        <v>22</v>
      </c>
      <c r="D3947" s="2" t="s">
        <f>=HYPERLINK("https://main.knesset.gov.il/APPS/legislation/main/bills/2208315", "הצעת חוק הבחירות לכנסת (תיקון - שינוי מבנה פתק ההצבעה), התשפ""ג-2023")</f>
        <v>8343</v>
      </c>
      <c r="E3947" t="s">
        <v>8343</v>
      </c>
      <c r="F3947" t="s">
        <v>8344</v>
      </c>
      <c r="G3947" t="s">
        <v>14</v>
      </c>
      <c r="H3947">
             </c>
      <c r="I3947" t="s">
        <v>14</v>
      </c>
      <c r="J3947" t="s">
        <v>141</v>
      </c>
      <c r="K3947" t="s">
        <v>14</v>
      </c>
      <c r="L3947" t="s">
        <v>20</v>
      </c>
      <c r="M3947" t="s">
        <v>8326</v>
      </c>
      <c r="N3947" t="s">
        <v>14</v>
      </c>
    </row>
    <row r="3948" x14ac:dyDescent="0.25">
      <c r="A3948" t="n">
        <v>25</v>
      </c>
      <c r="B3948" t="s">
        <v>14</v>
      </c>
      <c r="C3948" t="s">
        <v>22</v>
      </c>
      <c r="D3948" s="2" t="s">
        <f>=HYPERLINK("https://main.knesset.gov.il/APPS/legislation/main/bills/2208269", "הצעת חוק לתיקון פקודת מס הכנסה (דיווח שנתי או חצי שנתי לסוגי נכסים), התשפ""ג-2023")</f>
        <v>8345</v>
      </c>
      <c r="E3948" t="s">
        <v>8345</v>
      </c>
      <c r="F3948" t="s">
        <v>8346</v>
      </c>
      <c r="G3948" t="s">
        <v>14</v>
      </c>
      <c r="H3948">
             </c>
      <c r="I3948" t="s">
        <v>14</v>
      </c>
      <c r="J3948" t="s">
        <v>141</v>
      </c>
      <c r="K3948" t="s">
        <v>14</v>
      </c>
      <c r="L3948" t="s">
        <v>20</v>
      </c>
      <c r="M3948" t="s">
        <v>8326</v>
      </c>
      <c r="N3948" t="s">
        <v>14</v>
      </c>
    </row>
    <row r="3949" x14ac:dyDescent="0.25">
      <c r="A3949" t="n">
        <v>25</v>
      </c>
      <c r="B3949" t="s">
        <v>14</v>
      </c>
      <c r="C3949" t="s">
        <v>22</v>
      </c>
      <c r="D3949" s="2" t="s">
        <f>=HYPERLINK("https://main.knesset.gov.il/APPS/legislation/main/bills/2207818", "הצעת חוק איסור אלימות בספורט (תיקון - מניעת הרחקה גורפת מאירועי ספורט), התשפ""ג-2023")</f>
        <v>8347</v>
      </c>
      <c r="E3949" t="s">
        <v>8347</v>
      </c>
      <c r="F3949" t="s">
        <v>8348</v>
      </c>
      <c r="G3949" t="s">
        <v>14</v>
      </c>
      <c r="H3949">
             </c>
      <c r="I3949" t="s">
        <v>14</v>
      </c>
      <c r="J3949" t="s">
        <v>141</v>
      </c>
      <c r="K3949" t="s">
        <v>14</v>
      </c>
      <c r="L3949" t="s">
        <v>20</v>
      </c>
      <c r="M3949" t="s">
        <v>8326</v>
      </c>
      <c r="N3949" t="s">
        <v>14</v>
      </c>
    </row>
    <row r="3950" x14ac:dyDescent="0.25">
      <c r="A3950" t="n">
        <v>25</v>
      </c>
      <c r="B3950" t="s">
        <v>14</v>
      </c>
      <c r="C3950" t="s">
        <v>22</v>
      </c>
      <c r="D3950" s="2" t="s">
        <f>=HYPERLINK("https://main.knesset.gov.il/APPS/legislation/main/bills/2208042", "הצעת חוק הסיוע הניתן מטעם המדינה לסטודנטים במוסדות להשכלה גבוהה, התשפ""ג-2023")</f>
        <v>8349</v>
      </c>
      <c r="E3950" t="s">
        <v>8349</v>
      </c>
      <c r="F3950" t="s">
        <v>8350</v>
      </c>
      <c r="G3950" t="s">
        <v>14</v>
      </c>
      <c r="H3950">
             </c>
      <c r="I3950" t="s">
        <v>14</v>
      </c>
      <c r="J3950" t="s">
        <v>141</v>
      </c>
      <c r="K3950" t="s">
        <v>14</v>
      </c>
      <c r="L3950" t="s">
        <v>20</v>
      </c>
      <c r="M3950" t="s">
        <v>8326</v>
      </c>
      <c r="N3950" t="s">
        <v>14</v>
      </c>
    </row>
    <row r="3951" x14ac:dyDescent="0.25">
      <c r="A3951" t="n">
        <v>25</v>
      </c>
      <c r="B3951" t="s">
        <v>14</v>
      </c>
      <c r="C3951" t="s">
        <v>22</v>
      </c>
      <c r="D3951" s="2" t="s">
        <f>=HYPERLINK("https://main.knesset.gov.il/APPS/legislation/main/bills/2199162", "הצעת חוק חוזה הביטוח (תיקון - השוואת תנאי ביטוח סיעודי לתנאי המוסד לביטוח לאומי), התשפ""ג-2023")</f>
        <v>8351</v>
      </c>
      <c r="E3951" t="s">
        <v>8351</v>
      </c>
      <c r="F3951" t="s">
        <v>8352</v>
      </c>
      <c r="G3951" t="s">
        <v>14</v>
      </c>
      <c r="H3951">
             </c>
      <c r="I3951" t="s">
        <v>14</v>
      </c>
      <c r="J3951" t="s">
        <v>141</v>
      </c>
      <c r="K3951" t="s">
        <v>14</v>
      </c>
      <c r="L3951" t="s">
        <v>20</v>
      </c>
      <c r="M3951" t="s">
        <v>8326</v>
      </c>
      <c r="N3951" t="s">
        <v>14</v>
      </c>
    </row>
    <row r="3952" x14ac:dyDescent="0.25">
      <c r="A3952" t="n">
        <v>25</v>
      </c>
      <c r="B3952" t="s">
        <v>14</v>
      </c>
      <c r="C3952" t="s">
        <v>22</v>
      </c>
      <c r="D3952" s="2" t="s">
        <f>=HYPERLINK("https://main.knesset.gov.il/APPS/legislation/main/bills/2205953", "הצעת חוק איסור אלימות בספורט (תיקון - החמרת ענישה על כניסה לשדה המשחק), התשפ""ג-2023")</f>
        <v>8353</v>
      </c>
      <c r="E3952" t="s">
        <v>8353</v>
      </c>
      <c r="F3952" t="s">
        <v>8354</v>
      </c>
      <c r="G3952" t="s">
        <v>14</v>
      </c>
      <c r="H3952">
             </c>
      <c r="I3952" t="s">
        <v>14</v>
      </c>
      <c r="J3952" t="s">
        <v>141</v>
      </c>
      <c r="K3952" t="s">
        <v>14</v>
      </c>
      <c r="L3952" t="s">
        <v>20</v>
      </c>
      <c r="M3952" t="s">
        <v>8326</v>
      </c>
      <c r="N3952" t="s">
        <v>14</v>
      </c>
    </row>
    <row r="3953" x14ac:dyDescent="0.25">
      <c r="A3953" t="n">
        <v>25</v>
      </c>
      <c r="B3953" t="s">
        <v>14</v>
      </c>
      <c r="C3953" t="s">
        <v>22</v>
      </c>
      <c r="D3953" s="2" t="s">
        <f>=HYPERLINK("https://main.knesset.gov.il/APPS/legislation/main/bills/2206646", "הצעת חוק חינוך ממלכתי (תיקון - חינוך לשוויון מגדרי), התשפ""ג-2023")</f>
        <v>8355</v>
      </c>
      <c r="E3953" t="s">
        <v>8355</v>
      </c>
      <c r="F3953" t="s">
        <v>8356</v>
      </c>
      <c r="G3953" t="s">
        <v>14</v>
      </c>
      <c r="H3953">
             </c>
      <c r="I3953" t="s">
        <v>14</v>
      </c>
      <c r="J3953" t="s">
        <v>141</v>
      </c>
      <c r="K3953" t="s">
        <v>14</v>
      </c>
      <c r="L3953" t="s">
        <v>20</v>
      </c>
      <c r="M3953" t="s">
        <v>8326</v>
      </c>
      <c r="N3953" t="s">
        <v>14</v>
      </c>
    </row>
    <row r="3954" x14ac:dyDescent="0.25">
      <c r="A3954" t="n">
        <v>25</v>
      </c>
      <c r="B3954" t="s">
        <v>14</v>
      </c>
      <c r="C3954" t="s">
        <v>22</v>
      </c>
      <c r="D3954" s="2" t="s">
        <f>=HYPERLINK("https://main.knesset.gov.il/APPS/legislation/main/bills/2207569", "הצעת חוק לתיקון פקודת מס הכנסה (שווי שימוש ברכב), התשפ""ג-2023")</f>
        <v>8357</v>
      </c>
      <c r="E3954" t="s">
        <v>8357</v>
      </c>
      <c r="F3954" t="s">
        <v>8358</v>
      </c>
      <c r="G3954" t="s">
        <v>14</v>
      </c>
      <c r="H3954">
             </c>
      <c r="I3954" t="s">
        <v>14</v>
      </c>
      <c r="J3954" t="s">
        <v>141</v>
      </c>
      <c r="K3954" t="s">
        <v>14</v>
      </c>
      <c r="L3954" t="s">
        <v>20</v>
      </c>
      <c r="M3954" t="s">
        <v>8326</v>
      </c>
      <c r="N3954" t="s">
        <v>14</v>
      </c>
    </row>
    <row r="3955" x14ac:dyDescent="0.25">
      <c r="A3955" t="n">
        <v>25</v>
      </c>
      <c r="B3955" t="s">
        <v>14</v>
      </c>
      <c r="C3955" t="s">
        <v>22</v>
      </c>
      <c r="D3955" s="2" t="s">
        <f>=HYPERLINK("https://main.knesset.gov.il/APPS/legislation/main/bills/2207845", "הצעת חוק חישוב דרגת הזכאות של מורה להשתתפות המדינה בדמי ההחזקה לילד במעונות יום ובמשפחתונים, התשפ""ג-2023")</f>
        <v>8359</v>
      </c>
      <c r="E3955" t="s">
        <v>8359</v>
      </c>
      <c r="F3955" t="s">
        <v>8360</v>
      </c>
      <c r="G3955" t="s">
        <v>14</v>
      </c>
      <c r="H3955">
             </c>
      <c r="I3955" t="s">
        <v>14</v>
      </c>
      <c r="J3955" t="s">
        <v>141</v>
      </c>
      <c r="K3955" t="s">
        <v>14</v>
      </c>
      <c r="L3955" t="s">
        <v>20</v>
      </c>
      <c r="M3955" t="s">
        <v>8326</v>
      </c>
      <c r="N3955" t="s">
        <v>14</v>
      </c>
    </row>
    <row r="3956" x14ac:dyDescent="0.25">
      <c r="A3956" t="n">
        <v>25</v>
      </c>
      <c r="B3956" t="s">
        <v>14</v>
      </c>
      <c r="C3956" t="s">
        <v>22</v>
      </c>
      <c r="D3956" s="2" t="s">
        <f>=HYPERLINK("https://main.knesset.gov.il/APPS/legislation/main/bills/2206779", "הצעת חוק יום הדמוקרטיה, התשפ""ג-2023")</f>
        <v>8361</v>
      </c>
      <c r="E3956" t="s">
        <v>8361</v>
      </c>
      <c r="F3956" t="s">
        <v>8362</v>
      </c>
      <c r="G3956" t="s">
        <v>14</v>
      </c>
      <c r="H3956">
             </c>
      <c r="I3956" t="s">
        <v>14</v>
      </c>
      <c r="J3956" t="s">
        <v>141</v>
      </c>
      <c r="K3956" t="s">
        <v>14</v>
      </c>
      <c r="L3956" t="s">
        <v>20</v>
      </c>
      <c r="M3956" t="s">
        <v>8326</v>
      </c>
      <c r="N3956" t="s">
        <v>14</v>
      </c>
    </row>
    <row r="3957" x14ac:dyDescent="0.25">
      <c r="A3957" t="n">
        <v>25</v>
      </c>
      <c r="B3957" t="s">
        <v>14</v>
      </c>
      <c r="C3957" t="s">
        <v>22</v>
      </c>
      <c r="D3957" s="2" t="s">
        <f>=HYPERLINK("https://main.knesset.gov.il/APPS/legislation/main/bills/2207910", "הצעת חוק החברות הממשלתיות (תיקון - הגדרת זיקה אישית או פוליטית), התשפ""ג-2023")</f>
        <v>8363</v>
      </c>
      <c r="E3957" t="s">
        <v>8363</v>
      </c>
      <c r="F3957" t="s">
        <v>8364</v>
      </c>
      <c r="G3957" t="s">
        <v>14</v>
      </c>
      <c r="H3957">
             </c>
      <c r="I3957" t="s">
        <v>14</v>
      </c>
      <c r="J3957" t="s">
        <v>141</v>
      </c>
      <c r="K3957" t="s">
        <v>14</v>
      </c>
      <c r="L3957" t="s">
        <v>20</v>
      </c>
      <c r="M3957" t="s">
        <v>8326</v>
      </c>
      <c r="N3957" t="s">
        <v>14</v>
      </c>
    </row>
    <row r="3958" x14ac:dyDescent="0.25">
      <c r="A3958" t="n">
        <v>25</v>
      </c>
      <c r="B3958" t="s">
        <v>14</v>
      </c>
      <c r="C3958" t="s">
        <v>22</v>
      </c>
      <c r="D3958" s="2" t="s">
        <f>=HYPERLINK("https://main.knesset.gov.il/APPS/legislation/main/bills/2208586", "הצעת חוק יישוב סכסוכי עבודה (תיקון - בוררות חובה במערכת החינוך), התשפ""ג-2023")</f>
        <v>8365</v>
      </c>
      <c r="E3958" t="s">
        <v>8365</v>
      </c>
      <c r="F3958" t="s">
        <v>8366</v>
      </c>
      <c r="G3958" t="s">
        <v>14</v>
      </c>
      <c r="H3958">
             </c>
      <c r="I3958" t="s">
        <v>14</v>
      </c>
      <c r="J3958" t="s">
        <v>141</v>
      </c>
      <c r="K3958" t="s">
        <v>14</v>
      </c>
      <c r="L3958" t="s">
        <v>20</v>
      </c>
      <c r="M3958" t="s">
        <v>8326</v>
      </c>
      <c r="N3958" t="s">
        <v>14</v>
      </c>
    </row>
    <row r="3959" x14ac:dyDescent="0.25">
      <c r="A3959" t="n">
        <v>25</v>
      </c>
      <c r="B3959" t="s">
        <v>14</v>
      </c>
      <c r="C3959" t="s">
        <v>22</v>
      </c>
      <c r="D3959" s="2" t="s">
        <f>=HYPERLINK("https://main.knesset.gov.il/APPS/legislation/main/bills/2207909", "הצעת חוק לתיקון פקודת בריאות העם (שינוי הוראת התקנת מצלמות לשם הגנה על מאושפזים בבית חולים גריאטרי), התשפ""ג-2023")</f>
        <v>8020</v>
      </c>
      <c r="E3959" t="s">
        <v>8020</v>
      </c>
      <c r="F3959" t="s">
        <v>8367</v>
      </c>
      <c r="G3959" t="s">
        <v>14</v>
      </c>
      <c r="H3959">
             </c>
      <c r="I3959" t="s">
        <v>14</v>
      </c>
      <c r="J3959" t="s">
        <v>141</v>
      </c>
      <c r="K3959" t="s">
        <v>14</v>
      </c>
      <c r="L3959" t="s">
        <v>20</v>
      </c>
      <c r="M3959" t="s">
        <v>8326</v>
      </c>
      <c r="N3959" t="s">
        <v>14</v>
      </c>
    </row>
    <row r="3960" x14ac:dyDescent="0.25">
      <c r="A3960" t="n">
        <v>25</v>
      </c>
      <c r="B3960" t="s">
        <v>14</v>
      </c>
      <c r="C3960" t="s">
        <v>22</v>
      </c>
      <c r="D3960" s="2" t="s">
        <f>=HYPERLINK("https://main.knesset.gov.il/APPS/legislation/main/bills/2208593", "הצעת חוק הביטוח הלאומי (תיקון - הקמת מצבה לאדם ערירי), התשפ""ג-2023")</f>
        <v>8368</v>
      </c>
      <c r="E3960" t="s">
        <v>8368</v>
      </c>
      <c r="F3960" t="s">
        <v>8369</v>
      </c>
      <c r="G3960" t="s">
        <v>14</v>
      </c>
      <c r="H3960">
             </c>
      <c r="I3960" t="s">
        <v>14</v>
      </c>
      <c r="J3960" t="s">
        <v>141</v>
      </c>
      <c r="K3960" t="s">
        <v>14</v>
      </c>
      <c r="L3960" t="s">
        <v>20</v>
      </c>
      <c r="M3960" t="s">
        <v>8326</v>
      </c>
      <c r="N3960" t="s">
        <v>14</v>
      </c>
    </row>
    <row r="3961" x14ac:dyDescent="0.25">
      <c r="A3961" t="n">
        <v>25</v>
      </c>
      <c r="B3961" t="s">
        <v>14</v>
      </c>
      <c r="C3961" t="s">
        <v>22</v>
      </c>
      <c r="D3961" s="2" t="s">
        <f>=HYPERLINK("https://main.knesset.gov.il/APPS/legislation/main/bills/2208649", "הצעת חוק הכשרות לאנשי מקצוע בנושא זיהוי ודיווח על התעללות בילדים, התשפ""ג-2023")</f>
        <v>8007</v>
      </c>
      <c r="E3961" t="s">
        <v>8007</v>
      </c>
      <c r="F3961" t="s">
        <v>8370</v>
      </c>
      <c r="G3961" t="s">
        <v>14</v>
      </c>
      <c r="H3961">
             </c>
      <c r="I3961" t="s">
        <v>14</v>
      </c>
      <c r="J3961" t="s">
        <v>141</v>
      </c>
      <c r="K3961" t="s">
        <v>14</v>
      </c>
      <c r="L3961" t="s">
        <v>20</v>
      </c>
      <c r="M3961" t="s">
        <v>8326</v>
      </c>
      <c r="N3961" t="s">
        <v>14</v>
      </c>
    </row>
    <row r="3962" x14ac:dyDescent="0.25">
      <c r="A3962" t="n">
        <v>25</v>
      </c>
      <c r="B3962" t="s">
        <v>14</v>
      </c>
      <c r="C3962" t="s">
        <v>22</v>
      </c>
      <c r="D3962" s="2" t="s">
        <f>=HYPERLINK("https://main.knesset.gov.il/APPS/legislation/main/bills/2208575", "הצעת חוק הביטוח הלאומי (תיקון - מימון הסעת יולדת באמבולנס), התשפ""ג-2023")</f>
        <v>8061</v>
      </c>
      <c r="E3962" t="s">
        <v>8061</v>
      </c>
      <c r="F3962" t="s">
        <v>8371</v>
      </c>
      <c r="G3962" t="s">
        <v>14</v>
      </c>
      <c r="H3962">
             </c>
      <c r="I3962" t="s">
        <v>14</v>
      </c>
      <c r="J3962" t="s">
        <v>141</v>
      </c>
      <c r="K3962" t="s">
        <v>14</v>
      </c>
      <c r="L3962" t="s">
        <v>20</v>
      </c>
      <c r="M3962" t="s">
        <v>8326</v>
      </c>
      <c r="N3962" t="s">
        <v>14</v>
      </c>
    </row>
    <row r="3963" x14ac:dyDescent="0.25">
      <c r="A3963" t="n">
        <v>25</v>
      </c>
      <c r="B3963" t="s">
        <v>14</v>
      </c>
      <c r="C3963" t="s">
        <v>22</v>
      </c>
      <c r="D3963" s="2" t="s">
        <f>=HYPERLINK("https://main.knesset.gov.il/APPS/legislation/main/bills/2208594", "הצעת חוק שוויון זכויות לאנשים עם מוגבלות (תיקון - חובת הנגשת אוטובוסים בין-עירוניים), התשפ""ג-2023")</f>
        <v>8372</v>
      </c>
      <c r="E3963" t="s">
        <v>8372</v>
      </c>
      <c r="F3963" t="s">
        <v>8373</v>
      </c>
      <c r="G3963" t="s">
        <v>14</v>
      </c>
      <c r="H3963">
             </c>
      <c r="I3963" t="s">
        <v>14</v>
      </c>
      <c r="J3963" t="s">
        <v>141</v>
      </c>
      <c r="K3963" t="s">
        <v>14</v>
      </c>
      <c r="L3963" t="s">
        <v>20</v>
      </c>
      <c r="M3963" t="s">
        <v>8326</v>
      </c>
      <c r="N3963" t="s">
        <v>14</v>
      </c>
    </row>
    <row r="3964" x14ac:dyDescent="0.25">
      <c r="A3964" t="n">
        <v>25</v>
      </c>
      <c r="B3964" t="s">
        <v>14</v>
      </c>
      <c r="C3964" t="s">
        <v>22</v>
      </c>
      <c r="D3964" s="2" t="s">
        <f>=HYPERLINK("https://main.knesset.gov.il/APPS/legislation/main/bills/2199159", "הצעת חוק דמי מחלה (היעדרות בשל מחלת הורה) (תיקון - בני משפחה מטפלים), התשפ""ג-2023")</f>
        <v>8374</v>
      </c>
      <c r="E3964" t="s">
        <v>8374</v>
      </c>
      <c r="F3964" t="s">
        <v>8375</v>
      </c>
      <c r="G3964" t="s">
        <v>14</v>
      </c>
      <c r="H3964">
             </c>
      <c r="I3964" t="s">
        <v>14</v>
      </c>
      <c r="J3964" t="s">
        <v>343</v>
      </c>
      <c r="K3964" t="s">
        <v>14</v>
      </c>
      <c r="L3964" t="s">
        <v>20</v>
      </c>
      <c r="M3964" t="s">
        <v>8326</v>
      </c>
      <c r="N3964" t="s">
        <v>14</v>
      </c>
    </row>
    <row r="3965" x14ac:dyDescent="0.25">
      <c r="A3965" t="n">
        <v>25</v>
      </c>
      <c r="B3965" t="s">
        <v>14</v>
      </c>
      <c r="C3965" t="s">
        <v>22</v>
      </c>
      <c r="D3965" s="2" t="s">
        <f>=HYPERLINK("https://main.knesset.gov.il/APPS/legislation/main/bills/2208794", "הצעת חוק בתי המשפט (תיקון - תקופת צינון לפני מינוי), התשפ""ג-2023")</f>
        <v>8376</v>
      </c>
      <c r="E3965" t="s">
        <v>8376</v>
      </c>
      <c r="F3965" t="s">
        <v>8377</v>
      </c>
      <c r="G3965" t="s">
        <v>14</v>
      </c>
      <c r="H3965">
             </c>
      <c r="I3965" t="s">
        <v>14</v>
      </c>
      <c r="J3965" t="s">
        <v>141</v>
      </c>
      <c r="K3965" t="s">
        <v>14</v>
      </c>
      <c r="L3965" t="s">
        <v>20</v>
      </c>
      <c r="M3965" t="s">
        <v>8326</v>
      </c>
      <c r="N3965" t="s">
        <v>14</v>
      </c>
    </row>
    <row r="3966" x14ac:dyDescent="0.25">
      <c r="A3966" t="n">
        <v>25</v>
      </c>
      <c r="B3966" t="s">
        <v>14</v>
      </c>
      <c r="C3966" t="s">
        <v>22</v>
      </c>
      <c r="D3966" s="2" t="s">
        <f>=HYPERLINK("https://main.knesset.gov.il/APPS/legislation/main/bills/2207333", "הצעת חוק עיטור ההדר, התשפ""ג-2023")</f>
        <v>8378</v>
      </c>
      <c r="E3966" t="s">
        <v>8378</v>
      </c>
      <c r="F3966" t="s">
        <v>8379</v>
      </c>
      <c r="G3966" t="s">
        <v>14</v>
      </c>
      <c r="H3966">
             </c>
      <c r="I3966" t="s">
        <v>14</v>
      </c>
      <c r="J3966" t="s">
        <v>141</v>
      </c>
      <c r="K3966" t="s">
        <v>14</v>
      </c>
      <c r="L3966" t="s">
        <v>20</v>
      </c>
      <c r="M3966" t="s">
        <v>8326</v>
      </c>
      <c r="N3966" t="s">
        <v>14</v>
      </c>
    </row>
    <row r="3967" x14ac:dyDescent="0.25">
      <c r="A3967" t="n">
        <v>25</v>
      </c>
      <c r="B3967" t="s">
        <v>14</v>
      </c>
      <c r="C3967" t="s">
        <v>22</v>
      </c>
      <c r="D3967" s="2" t="s">
        <f>=HYPERLINK("https://main.knesset.gov.il/APPS/legislation/main/bills/2207529", "הצעת חוק לתיקון פקודת בריאות העם (שינוי הוראות התקנת מצלמות לשם הגנה על מאושפזים בבית חולים גריאטרי), התשפ""ג-2023")</f>
        <v>8380</v>
      </c>
      <c r="E3967" t="s">
        <v>8380</v>
      </c>
      <c r="F3967" t="s">
        <v>8381</v>
      </c>
      <c r="G3967" t="s">
        <v>14</v>
      </c>
      <c r="H3967">
             </c>
      <c r="I3967" t="s">
        <v>14</v>
      </c>
      <c r="J3967" t="s">
        <v>141</v>
      </c>
      <c r="K3967" t="s">
        <v>14</v>
      </c>
      <c r="L3967" t="s">
        <v>20</v>
      </c>
      <c r="M3967" t="s">
        <v>8326</v>
      </c>
      <c r="N3967" t="s">
        <v>14</v>
      </c>
    </row>
    <row r="3968" x14ac:dyDescent="0.25">
      <c r="A3968" t="n">
        <v>25</v>
      </c>
      <c r="B3968" t="s">
        <v>14</v>
      </c>
      <c r="C3968" t="s">
        <v>22</v>
      </c>
      <c r="D3968" s="2" t="s">
        <f>=HYPERLINK("https://main.knesset.gov.il/APPS/legislation/main/bills/2207559", "הצעת חוק החלת הריבונות הישראלית על בקעת הירדן רבתי, התשפ""ג-2023")</f>
        <v>8382</v>
      </c>
      <c r="E3968" t="s">
        <v>8382</v>
      </c>
      <c r="F3968" t="s">
        <v>8383</v>
      </c>
      <c r="G3968" t="s">
        <v>14</v>
      </c>
      <c r="H3968">
             </c>
      <c r="I3968" t="s">
        <v>14</v>
      </c>
      <c r="J3968" t="s">
        <v>141</v>
      </c>
      <c r="K3968" t="s">
        <v>14</v>
      </c>
      <c r="L3968" t="s">
        <v>20</v>
      </c>
      <c r="M3968" t="s">
        <v>8326</v>
      </c>
      <c r="N3968" t="s">
        <v>14</v>
      </c>
    </row>
    <row r="3969" x14ac:dyDescent="0.25">
      <c r="A3969" t="n">
        <v>25</v>
      </c>
      <c r="B3969" t="s">
        <v>14</v>
      </c>
      <c r="C3969" t="s">
        <v>22</v>
      </c>
      <c r="D3969" s="2" t="s">
        <f>=HYPERLINK("https://main.knesset.gov.il/APPS/legislation/main/bills/2208284", "הצעת חוק מיסוי רווחי יתר של תאגידים בנקאיים, התשפ""ג-2023")</f>
        <v>8384</v>
      </c>
      <c r="E3969" t="s">
        <v>8384</v>
      </c>
      <c r="F3969" t="s">
        <v>8385</v>
      </c>
      <c r="G3969" t="s">
        <v>14</v>
      </c>
      <c r="H3969">
             </c>
      <c r="I3969" t="s">
        <v>14</v>
      </c>
      <c r="J3969" t="s">
        <v>141</v>
      </c>
      <c r="K3969" t="s">
        <v>14</v>
      </c>
      <c r="L3969" t="s">
        <v>20</v>
      </c>
      <c r="M3969" t="s">
        <v>8326</v>
      </c>
      <c r="N3969" t="s">
        <v>14</v>
      </c>
    </row>
    <row r="3970" x14ac:dyDescent="0.25">
      <c r="A3970" t="n">
        <v>25</v>
      </c>
      <c r="B3970" t="s">
        <v>14</v>
      </c>
      <c r="C3970" t="s">
        <v>22</v>
      </c>
      <c r="D3970" s="2" t="s">
        <f>=HYPERLINK("https://main.knesset.gov.il/APPS/legislation/main/bills/2207652", "הצעת חוק לתיקון פקודת המשטרה (הפגנה ליד בתי מגורים), התשפ""ג-2023")</f>
        <v>8386</v>
      </c>
      <c r="E3970" t="s">
        <v>8386</v>
      </c>
      <c r="F3970" t="s">
        <v>8387</v>
      </c>
      <c r="G3970" t="s">
        <v>14</v>
      </c>
      <c r="H3970">
             </c>
      <c r="I3970" t="s">
        <v>14</v>
      </c>
      <c r="J3970" t="s">
        <v>141</v>
      </c>
      <c r="K3970" t="s">
        <v>14</v>
      </c>
      <c r="L3970" t="s">
        <v>20</v>
      </c>
      <c r="M3970" t="s">
        <v>8326</v>
      </c>
      <c r="N3970" t="s">
        <v>14</v>
      </c>
    </row>
    <row r="3971" x14ac:dyDescent="0.25">
      <c r="A3971" t="n">
        <v>25</v>
      </c>
      <c r="B3971" t="s">
        <v>14</v>
      </c>
      <c r="C3971" t="s">
        <v>22</v>
      </c>
      <c r="D3971" s="2" t="s">
        <f>=HYPERLINK("https://main.knesset.gov.il/APPS/legislation/main/bills/2207662", "הצעת חוק קידום תעשיות עתירות ידע בצפון ובדרום, התשפ""ג-2023")</f>
        <v>8388</v>
      </c>
      <c r="E3971" t="s">
        <v>8388</v>
      </c>
      <c r="F3971" t="s">
        <v>8389</v>
      </c>
      <c r="G3971" t="s">
        <v>14</v>
      </c>
      <c r="H3971">
             </c>
      <c r="I3971" t="s">
        <v>14</v>
      </c>
      <c r="J3971" t="s">
        <v>141</v>
      </c>
      <c r="K3971" t="s">
        <v>14</v>
      </c>
      <c r="L3971" t="s">
        <v>20</v>
      </c>
      <c r="M3971" t="s">
        <v>8326</v>
      </c>
      <c r="N3971" t="s">
        <v>14</v>
      </c>
    </row>
    <row r="3972" x14ac:dyDescent="0.25">
      <c r="A3972" t="n">
        <v>25</v>
      </c>
      <c r="B3972" t="s">
        <v>14</v>
      </c>
      <c r="C3972" t="s">
        <v>22</v>
      </c>
      <c r="D3972" s="2" t="s">
        <f>=HYPERLINK("https://main.knesset.gov.il/APPS/legislation/main/bills/2203943", "הצעת חוק לתיקון פקודת מס הכנסה (משיכה מקרן השתלמות לרכישת דירה ראשונה), התשפ""ג-2023")</f>
        <v>8390</v>
      </c>
      <c r="E3972" t="s">
        <v>8390</v>
      </c>
      <c r="F3972" t="s">
        <v>8391</v>
      </c>
      <c r="G3972" t="s">
        <v>14</v>
      </c>
      <c r="H3972">
             </c>
      <c r="I3972" t="s">
        <v>14</v>
      </c>
      <c r="J3972" t="s">
        <v>141</v>
      </c>
      <c r="K3972" t="s">
        <v>14</v>
      </c>
      <c r="L3972" t="s">
        <v>20</v>
      </c>
      <c r="M3972" t="s">
        <v>8326</v>
      </c>
      <c r="N3972" t="s">
        <v>14</v>
      </c>
    </row>
    <row r="3973" x14ac:dyDescent="0.25">
      <c r="A3973" t="n">
        <v>25</v>
      </c>
      <c r="B3973" t="s">
        <v>14</v>
      </c>
      <c r="C3973" t="s">
        <v>22</v>
      </c>
      <c r="D3973" s="2" t="s">
        <f>=HYPERLINK("https://main.knesset.gov.il/APPS/legislation/main/bills/2208043", "הצעת חוק לתיקון פקודת מס הכנסה (משיכה מקרן השתלמות לרכישת דירה ראשונה), התשפ""ג-2023")</f>
        <v>8390</v>
      </c>
      <c r="E3973" t="s">
        <v>8390</v>
      </c>
      <c r="F3973" t="s">
        <v>8392</v>
      </c>
      <c r="G3973" t="s">
        <v>14</v>
      </c>
      <c r="H3973">
             </c>
      <c r="I3973" t="s">
        <v>14</v>
      </c>
      <c r="J3973" t="s">
        <v>141</v>
      </c>
      <c r="K3973" t="s">
        <v>14</v>
      </c>
      <c r="L3973" t="s">
        <v>20</v>
      </c>
      <c r="M3973" t="s">
        <v>8326</v>
      </c>
      <c r="N3973" t="s">
        <v>14</v>
      </c>
    </row>
    <row r="3974" x14ac:dyDescent="0.25">
      <c r="A3974" t="n">
        <v>25</v>
      </c>
      <c r="B3974" t="s">
        <v>14</v>
      </c>
      <c r="C3974" t="s">
        <v>22</v>
      </c>
      <c r="D3974" s="2" t="s">
        <f>=HYPERLINK("https://main.knesset.gov.il/APPS/legislation/main/bills/2208591", "הצעת חוק מס ערך מוסף (תיקון - מס בשיעור אפס על תרופות), התשפ""ג-2023")</f>
        <v>8049</v>
      </c>
      <c r="E3974" t="s">
        <v>8049</v>
      </c>
      <c r="F3974" t="s">
        <v>8393</v>
      </c>
      <c r="G3974" t="s">
        <v>14</v>
      </c>
      <c r="H3974">
             </c>
      <c r="I3974" t="s">
        <v>14</v>
      </c>
      <c r="J3974" t="s">
        <v>141</v>
      </c>
      <c r="K3974" t="s">
        <v>14</v>
      </c>
      <c r="L3974" t="s">
        <v>20</v>
      </c>
      <c r="M3974" t="s">
        <v>8326</v>
      </c>
      <c r="N3974" t="s">
        <v>14</v>
      </c>
    </row>
    <row r="3975" x14ac:dyDescent="0.25">
      <c r="A3975" t="n">
        <v>25</v>
      </c>
      <c r="B3975" t="s">
        <v>14</v>
      </c>
      <c r="C3975" t="s">
        <v>22</v>
      </c>
      <c r="D3975" s="2" t="s">
        <f>=HYPERLINK("https://main.knesset.gov.il/APPS/legislation/main/bills/2208555", "הצעת חוק לתיקון פקודת מס הכנסה (הטבות במס ליישוב מאוים באזור), התשפ""ג-2023")</f>
        <v>8394</v>
      </c>
      <c r="E3975" t="s">
        <v>8394</v>
      </c>
      <c r="F3975" t="s">
        <v>8395</v>
      </c>
      <c r="G3975" t="s">
        <v>14</v>
      </c>
      <c r="H3975">
             </c>
      <c r="I3975" t="s">
        <v>14</v>
      </c>
      <c r="J3975" t="s">
        <v>141</v>
      </c>
      <c r="K3975" t="s">
        <v>14</v>
      </c>
      <c r="L3975" t="s">
        <v>20</v>
      </c>
      <c r="M3975" t="s">
        <v>8326</v>
      </c>
      <c r="N3975" t="s">
        <v>14</v>
      </c>
    </row>
    <row r="3976" x14ac:dyDescent="0.25">
      <c r="A3976" t="n">
        <v>25</v>
      </c>
      <c r="B3976" t="s">
        <v>14</v>
      </c>
      <c r="C3976" t="s">
        <v>22</v>
      </c>
      <c r="D3976" s="2" t="s">
        <f>=HYPERLINK("https://main.knesset.gov.il/APPS/legislation/main/bills/2208009", "הצעת חוק זכויות הדייר בדיור הציבורי (תיקון - עיגון זכויות דייר ממשיך בדיור הציבורי), התשפ""ג-2023")</f>
        <v>8396</v>
      </c>
      <c r="E3976" t="s">
        <v>8396</v>
      </c>
      <c r="F3976" t="s">
        <v>8397</v>
      </c>
      <c r="G3976" t="s">
        <v>14</v>
      </c>
      <c r="H3976">
             </c>
      <c r="I3976" t="s">
        <v>14</v>
      </c>
      <c r="J3976" t="s">
        <v>141</v>
      </c>
      <c r="K3976" t="s">
        <v>14</v>
      </c>
      <c r="L3976" t="s">
        <v>20</v>
      </c>
      <c r="M3976" t="s">
        <v>8326</v>
      </c>
      <c r="N3976" t="s">
        <v>14</v>
      </c>
    </row>
    <row r="3977" x14ac:dyDescent="0.25">
      <c r="A3977" t="n">
        <v>25</v>
      </c>
      <c r="B3977" t="s">
        <v>14</v>
      </c>
      <c r="C3977" t="s">
        <v>22</v>
      </c>
      <c r="D3977" s="2" t="s">
        <f>=HYPERLINK("https://main.knesset.gov.il/APPS/legislation/main/bills/2206741", "הצעת חוק הכרה בוותק של עולים, התשפ""ג-2023")</f>
        <v>8398</v>
      </c>
      <c r="E3977" t="s">
        <v>8398</v>
      </c>
      <c r="F3977" t="s">
        <v>8399</v>
      </c>
      <c r="G3977" t="s">
        <v>14</v>
      </c>
      <c r="H3977">
             </c>
      <c r="I3977" t="s">
        <v>14</v>
      </c>
      <c r="J3977" t="s">
        <v>141</v>
      </c>
      <c r="K3977" t="s">
        <v>14</v>
      </c>
      <c r="L3977" t="s">
        <v>20</v>
      </c>
      <c r="M3977" t="s">
        <v>8326</v>
      </c>
      <c r="N3977" t="s">
        <v>14</v>
      </c>
    </row>
    <row r="3978" x14ac:dyDescent="0.25">
      <c r="A3978" t="n">
        <v>25</v>
      </c>
      <c r="B3978" t="s">
        <v>14</v>
      </c>
      <c r="C3978" t="s">
        <v>22</v>
      </c>
      <c r="D3978" s="2" t="s">
        <f>=HYPERLINK("https://main.knesset.gov.il/APPS/legislation/main/bills/2197419", "הצעת חוק הסדרת העיסוק במקצועות הבריאות (תיקון - הסדרת מקצוע הרנטגנאות והדימות), התשפ""ג-2023")</f>
        <v>8400</v>
      </c>
      <c r="E3978" t="s">
        <v>8400</v>
      </c>
      <c r="F3978" t="s">
        <v>8401</v>
      </c>
      <c r="G3978" t="s">
        <v>14</v>
      </c>
      <c r="H3978">
             </c>
      <c r="I3978" t="s">
        <v>14</v>
      </c>
      <c r="J3978" t="s">
        <v>99</v>
      </c>
      <c r="K3978" t="s">
        <v>480</v>
      </c>
      <c r="L3978" t="s">
        <v>20</v>
      </c>
      <c r="M3978" t="s">
        <v>8402</v>
      </c>
      <c r="N3978" t="s">
        <v>14</v>
      </c>
    </row>
    <row r="3979" x14ac:dyDescent="0.25">
      <c r="A3979" t="n">
        <v>25</v>
      </c>
      <c r="B3979" t="s">
        <v>14</v>
      </c>
      <c r="C3979" t="s">
        <v>22</v>
      </c>
      <c r="D3979" s="2" t="s">
        <f>=HYPERLINK("https://main.knesset.gov.il/APPS/legislation/main/bills/2196694", "הצעת חוק הסדרת העיסוק במקצועות הבריאות (תיקון - הסדרת מקצוע הרנטגנאות והדימות), התשפ""ג-2022")</f>
        <v>8403</v>
      </c>
      <c r="E3979" t="s">
        <v>8403</v>
      </c>
      <c r="F3979" t="s">
        <v>8404</v>
      </c>
      <c r="G3979" t="s">
        <v>14</v>
      </c>
      <c r="H3979">
             </c>
      <c r="I3979" t="s">
        <v>14</v>
      </c>
      <c r="J3979" t="s">
        <v>99</v>
      </c>
      <c r="K3979" t="s">
        <v>480</v>
      </c>
      <c r="L3979" t="s">
        <v>20</v>
      </c>
      <c r="M3979" t="s">
        <v>8402</v>
      </c>
      <c r="N3979" t="s">
        <v>14</v>
      </c>
    </row>
    <row r="3980" x14ac:dyDescent="0.25">
      <c r="A3980" t="n">
        <v>25</v>
      </c>
      <c r="B3980" t="s">
        <v>14</v>
      </c>
      <c r="C3980" t="s">
        <v>22</v>
      </c>
      <c r="D3980" s="2" t="s">
        <f>=HYPERLINK("https://main.knesset.gov.il/APPS/legislation/main/bills/2197232", "הצעת חוק הסדרת העיסוק במקצועות הטיפול הרפואי, התשפ""ג-2022")</f>
        <v>8405</v>
      </c>
      <c r="E3980" t="s">
        <v>8405</v>
      </c>
      <c r="F3980" t="s">
        <v>8406</v>
      </c>
      <c r="G3980" t="s">
        <v>14</v>
      </c>
      <c r="H3980">
             </c>
      <c r="I3980" t="s">
        <v>14</v>
      </c>
      <c r="J3980" t="s">
        <v>99</v>
      </c>
      <c r="K3980" t="s">
        <v>480</v>
      </c>
      <c r="L3980" t="s">
        <v>20</v>
      </c>
      <c r="M3980" t="s">
        <v>8407</v>
      </c>
      <c r="N3980" t="s">
        <v>14</v>
      </c>
    </row>
    <row r="3981" x14ac:dyDescent="0.25">
      <c r="A3981" t="n">
        <v>25</v>
      </c>
      <c r="B3981" t="s">
        <v>14</v>
      </c>
      <c r="C3981" t="s">
        <v>22</v>
      </c>
      <c r="D3981" s="2" t="s">
        <f>=HYPERLINK("https://main.knesset.gov.il/APPS/legislation/main/bills/2196934", "חוק מבקר המדינה (תיקון מס' 50), התשפ''ג-2023")</f>
        <v>8408</v>
      </c>
      <c r="E3981" t="s">
        <v>8408</v>
      </c>
      <c r="F3981" t="s">
        <v>8409</v>
      </c>
      <c r="G3981" t="s">
        <v>8410</v>
      </c>
      <c r="H3981" t="n">
        <v>3064</v>
      </c>
      <c r="I3981" t="s">
        <v>14</v>
      </c>
      <c r="J3981" t="s">
        <v>91</v>
      </c>
      <c r="K3981" t="s">
        <v>8411</v>
      </c>
      <c r="L3981" t="s">
        <v>20</v>
      </c>
      <c r="M3981" t="s">
        <v>8407</v>
      </c>
      <c r="N3981" t="s">
        <v>8412</v>
      </c>
    </row>
    <row r="3982" x14ac:dyDescent="0.25">
      <c r="A3982" t="n">
        <v>25</v>
      </c>
      <c r="B3982" t="s">
        <v>14</v>
      </c>
      <c r="C3982" t="s">
        <v>22</v>
      </c>
      <c r="D3982" s="2" t="s">
        <f>=HYPERLINK("https://main.knesset.gov.il/APPS/legislation/main/bills/2204651", "הצעת חוק הרבנות הראשית לישראל (תיקון - הרכב האסיפה הבוחרת), התשפ""ג-2023")</f>
        <v>8413</v>
      </c>
      <c r="E3982" t="s">
        <v>8413</v>
      </c>
      <c r="F3982" t="s">
        <v>8414</v>
      </c>
      <c r="G3982" t="s">
        <v>14</v>
      </c>
      <c r="H3982">
             </c>
      <c r="I3982" t="s">
        <v>14</v>
      </c>
      <c r="J3982" t="s">
        <v>55</v>
      </c>
      <c r="K3982" t="s">
        <v>14</v>
      </c>
      <c r="L3982" t="s">
        <v>20</v>
      </c>
      <c r="M3982" t="s">
        <v>8407</v>
      </c>
      <c r="N3982" t="s">
        <v>14</v>
      </c>
    </row>
    <row r="3983" x14ac:dyDescent="0.25">
      <c r="A3983" t="n">
        <v>25</v>
      </c>
      <c r="B3983" t="s">
        <v>14</v>
      </c>
      <c r="C3983" t="s">
        <v>22</v>
      </c>
      <c r="D3983" s="2" t="s">
        <f>=HYPERLINK("https://main.knesset.gov.il/APPS/legislation/main/bills/2203424", "הצעת חוק המאבק בטרור (תיקון - פיצוי עונשי לנפגעי עבירה), התשפ""ג-2023")</f>
        <v>8415</v>
      </c>
      <c r="E3983" t="s">
        <v>8415</v>
      </c>
      <c r="F3983" t="s">
        <v>8416</v>
      </c>
      <c r="G3983" t="s">
        <v>14</v>
      </c>
      <c r="H3983">
             </c>
      <c r="I3983" t="s">
        <v>14</v>
      </c>
      <c r="J3983" t="s">
        <v>31</v>
      </c>
      <c r="K3983" t="s">
        <v>114</v>
      </c>
      <c r="L3983" t="s">
        <v>20</v>
      </c>
      <c r="M3983" t="s">
        <v>8407</v>
      </c>
      <c r="N3983" t="s">
        <v>14</v>
      </c>
    </row>
    <row r="3984" x14ac:dyDescent="0.25">
      <c r="A3984" t="n">
        <v>25</v>
      </c>
      <c r="B3984" t="s">
        <v>14</v>
      </c>
      <c r="C3984" t="s">
        <v>22</v>
      </c>
      <c r="D3984" s="2" t="s">
        <f>=HYPERLINK("https://main.knesset.gov.il/APPS/legislation/main/bills/2203614", "הצעת חוק שוברים להשלמת לימודי בסיס בחינוך הבלתי פורמלי, התשפ""ג-2023")</f>
        <v>8417</v>
      </c>
      <c r="E3984" t="s">
        <v>8417</v>
      </c>
      <c r="F3984" t="s">
        <v>8418</v>
      </c>
      <c r="G3984" t="s">
        <v>14</v>
      </c>
      <c r="H3984">
             </c>
      <c r="I3984" t="s">
        <v>14</v>
      </c>
      <c r="J3984" t="s">
        <v>55</v>
      </c>
      <c r="K3984" t="s">
        <v>14</v>
      </c>
      <c r="L3984" t="s">
        <v>20</v>
      </c>
      <c r="M3984" t="s">
        <v>8407</v>
      </c>
      <c r="N3984" t="s">
        <v>14</v>
      </c>
    </row>
    <row r="3985" x14ac:dyDescent="0.25">
      <c r="A3985" t="n">
        <v>25</v>
      </c>
      <c r="B3985" t="s">
        <v>14</v>
      </c>
      <c r="C3985" t="s">
        <v>22</v>
      </c>
      <c r="D3985" s="2" t="s">
        <f>=HYPERLINK("https://main.knesset.gov.il/APPS/legislation/main/bills/2202840", "הצעת חוק שלילת תקציב ממוסדות חינוך המלמדים את תוכנית הלימוד הפלסטינית הכוללים הסתה לטרור (תיקוני חקיקה), התשפ""ג-2023")</f>
        <v>8419</v>
      </c>
      <c r="E3985" t="s">
        <v>8419</v>
      </c>
      <c r="F3985" t="s">
        <v>8420</v>
      </c>
      <c r="G3985" t="s">
        <v>14</v>
      </c>
      <c r="H3985">
             </c>
      <c r="I3985" t="s">
        <v>14</v>
      </c>
      <c r="J3985" t="s">
        <v>31</v>
      </c>
      <c r="K3985" t="s">
        <v>34</v>
      </c>
      <c r="L3985" t="s">
        <v>20</v>
      </c>
      <c r="M3985" t="s">
        <v>8407</v>
      </c>
      <c r="N3985" t="s">
        <v>14</v>
      </c>
    </row>
    <row r="3986" x14ac:dyDescent="0.25">
      <c r="A3986" t="n">
        <v>25</v>
      </c>
      <c r="B3986" t="s">
        <v>14</v>
      </c>
      <c r="C3986" t="s">
        <v>22</v>
      </c>
      <c r="D3986" s="2" t="s">
        <f>=HYPERLINK("https://main.knesset.gov.il/APPS/legislation/main/bills/2200708", "הצעת חוק הרבנות הראשית לישראל (תיקון - רב ראשי אחד), התשפ""ג-2023")</f>
        <v>1090</v>
      </c>
      <c r="E3986" t="s">
        <v>1090</v>
      </c>
      <c r="F3986" t="s">
        <v>8421</v>
      </c>
      <c r="G3986" t="s">
        <v>14</v>
      </c>
      <c r="H3986">
             </c>
      <c r="I3986" t="s">
        <v>14</v>
      </c>
      <c r="J3986" t="s">
        <v>55</v>
      </c>
      <c r="K3986" t="s">
        <v>14</v>
      </c>
      <c r="L3986" t="s">
        <v>20</v>
      </c>
      <c r="M3986" t="s">
        <v>8407</v>
      </c>
      <c r="N3986" t="s">
        <v>14</v>
      </c>
    </row>
    <row r="3987" x14ac:dyDescent="0.25">
      <c r="A3987" t="n">
        <v>25</v>
      </c>
      <c r="B3987" t="s">
        <v>14</v>
      </c>
      <c r="C3987" t="s">
        <v>22</v>
      </c>
      <c r="D3987" s="2" t="s">
        <f>=HYPERLINK("https://main.knesset.gov.il/APPS/legislation/main/bills/2198980", "הצעת חוק נפגעי תאונות דרכים (סיוע לבני משפחה) (תיקון - הרחבת הסיוע), התשפ""ג-2023")</f>
        <v>8030</v>
      </c>
      <c r="E3987" t="s">
        <v>8030</v>
      </c>
      <c r="F3987" t="s">
        <v>8422</v>
      </c>
      <c r="G3987" t="s">
        <v>14</v>
      </c>
      <c r="H3987">
             </c>
      <c r="I3987" t="s">
        <v>14</v>
      </c>
      <c r="J3987" t="s">
        <v>55</v>
      </c>
      <c r="K3987" t="s">
        <v>14</v>
      </c>
      <c r="L3987" t="s">
        <v>20</v>
      </c>
      <c r="M3987" t="s">
        <v>8407</v>
      </c>
      <c r="N3987" t="s">
        <v>14</v>
      </c>
    </row>
    <row r="3988" x14ac:dyDescent="0.25">
      <c r="A3988" t="n">
        <v>25</v>
      </c>
      <c r="B3988" t="s">
        <v>14</v>
      </c>
      <c r="C3988" t="s">
        <v>22</v>
      </c>
      <c r="D3988" s="2" t="s">
        <f>=HYPERLINK("https://main.knesset.gov.il/APPS/legislation/main/bills/2198511", "הצעת חוק לתיקון פקודת התעבורה (פטור מתשלום אגרה לתאגיד השידור לאדם עם מוגבלות בשמיעה), התשפ""ג-2023")</f>
        <v>8423</v>
      </c>
      <c r="E3988" t="s">
        <v>8423</v>
      </c>
      <c r="F3988" t="s">
        <v>8424</v>
      </c>
      <c r="G3988" t="s">
        <v>14</v>
      </c>
      <c r="H3988">
             </c>
      <c r="I3988" t="s">
        <v>14</v>
      </c>
      <c r="J3988" t="s">
        <v>55</v>
      </c>
      <c r="K3988" t="s">
        <v>14</v>
      </c>
      <c r="L3988" t="s">
        <v>20</v>
      </c>
      <c r="M3988" t="s">
        <v>8407</v>
      </c>
      <c r="N3988" t="s">
        <v>14</v>
      </c>
    </row>
    <row r="3989" x14ac:dyDescent="0.25">
      <c r="A3989" t="n">
        <v>25</v>
      </c>
      <c r="B3989" t="s">
        <v>14</v>
      </c>
      <c r="C3989" t="s">
        <v>22</v>
      </c>
      <c r="D3989" s="2" t="s">
        <f>=HYPERLINK("https://main.knesset.gov.il/APPS/legislation/main/bills/2197680", "הצעת חוק לתיקון פקודת מס הכנסה (ניכוי תשלומים לביטוח בריאות לעצמאים), התשפ״ג-2022")</f>
        <v>8425</v>
      </c>
      <c r="E3989" t="s">
        <v>8425</v>
      </c>
      <c r="F3989" t="s">
        <v>8426</v>
      </c>
      <c r="G3989" t="s">
        <v>14</v>
      </c>
      <c r="H3989">
             </c>
      <c r="I3989" t="s">
        <v>14</v>
      </c>
      <c r="J3989" t="s">
        <v>55</v>
      </c>
      <c r="K3989" t="s">
        <v>14</v>
      </c>
      <c r="L3989" t="s">
        <v>20</v>
      </c>
      <c r="M3989" t="s">
        <v>8407</v>
      </c>
      <c r="N3989" t="s">
        <v>14</v>
      </c>
    </row>
    <row r="3990" x14ac:dyDescent="0.25">
      <c r="A3990" t="n">
        <v>25</v>
      </c>
      <c r="B3990" t="s">
        <v>14</v>
      </c>
      <c r="C3990" t="s">
        <v>22</v>
      </c>
      <c r="D3990" s="2" t="s">
        <f>=HYPERLINK("https://main.knesset.gov.il/APPS/legislation/main/bills/2196045", "הצעת חוק הרבנות הראשית לישראל (תיקון - ייצוג הציבור באסיפה הבוחרת), התשפ""ג-2022")</f>
        <v>8427</v>
      </c>
      <c r="E3990" t="s">
        <v>8427</v>
      </c>
      <c r="F3990" t="s">
        <v>8428</v>
      </c>
      <c r="G3990" t="s">
        <v>14</v>
      </c>
      <c r="H3990">
             </c>
      <c r="I3990" t="s">
        <v>14</v>
      </c>
      <c r="J3990" t="s">
        <v>55</v>
      </c>
      <c r="K3990" t="s">
        <v>14</v>
      </c>
      <c r="L3990" t="s">
        <v>20</v>
      </c>
      <c r="M3990" t="s">
        <v>8407</v>
      </c>
      <c r="N3990" t="s">
        <v>14</v>
      </c>
    </row>
    <row r="3991" x14ac:dyDescent="0.25">
      <c r="A3991" t="n">
        <v>25</v>
      </c>
      <c r="B3991" t="s">
        <v>14</v>
      </c>
      <c r="C3991" t="s">
        <v>22</v>
      </c>
      <c r="D3991" s="2" t="s">
        <f>=HYPERLINK("https://main.knesset.gov.il/APPS/legislation/main/bills/2195684", "הצעת חוק שוברים להשלמת לימודי בסיס בחינוך הבלתי פורמלי, התשפ""ג–2022")</f>
        <v>8429</v>
      </c>
      <c r="E3991" t="s">
        <v>8429</v>
      </c>
      <c r="F3991" t="s">
        <v>8430</v>
      </c>
      <c r="G3991" t="s">
        <v>14</v>
      </c>
      <c r="H3991">
             </c>
      <c r="I3991" t="s">
        <v>14</v>
      </c>
      <c r="J3991" t="s">
        <v>55</v>
      </c>
      <c r="K3991" t="s">
        <v>14</v>
      </c>
      <c r="L3991" t="s">
        <v>20</v>
      </c>
      <c r="M3991" t="s">
        <v>8407</v>
      </c>
      <c r="N3991" t="s">
        <v>14</v>
      </c>
    </row>
    <row r="3992" x14ac:dyDescent="0.25">
      <c r="A3992" t="n">
        <v>25</v>
      </c>
      <c r="B3992" t="s">
        <v>14</v>
      </c>
      <c r="C3992" t="s">
        <v>22</v>
      </c>
      <c r="D3992" s="2" t="s">
        <f>=HYPERLINK("https://main.knesset.gov.il/APPS/legislation/main/bills/2203743", "הצעת חוק התכנון והבנייה (תיקון - דחיית תשלום היטל השבחה אגב גירושין), התשפ""ג-2023")</f>
        <v>8431</v>
      </c>
      <c r="E3992" t="s">
        <v>8431</v>
      </c>
      <c r="F3992" t="s">
        <v>8432</v>
      </c>
      <c r="G3992" t="s">
        <v>14</v>
      </c>
      <c r="H3992">
             </c>
      <c r="I3992" t="s">
        <v>14</v>
      </c>
      <c r="J3992" t="s">
        <v>99</v>
      </c>
      <c r="K3992" t="s">
        <v>46</v>
      </c>
      <c r="L3992" t="s">
        <v>20</v>
      </c>
      <c r="M3992" t="s">
        <v>8433</v>
      </c>
      <c r="N3992" t="s">
        <v>14</v>
      </c>
    </row>
    <row r="3993" x14ac:dyDescent="0.25">
      <c r="A3993" t="n">
        <v>25</v>
      </c>
      <c r="B3993" t="s">
        <v>14</v>
      </c>
      <c r="C3993" t="s">
        <v>22</v>
      </c>
      <c r="D3993" s="2" t="s">
        <f>=HYPERLINK("https://main.knesset.gov.il/APPS/legislation/main/bills/2196216", "חוק מיסוי מקרקעין (שבח ורכישה) (תיקון מס' 103), התשפ""ג–2023")</f>
        <v>8434</v>
      </c>
      <c r="E3993" t="s">
        <v>8434</v>
      </c>
      <c r="F3993" t="s">
        <v>8435</v>
      </c>
      <c r="G3993" t="s">
        <v>8436</v>
      </c>
      <c r="H3993" t="n">
        <v>3063</v>
      </c>
      <c r="I3993" t="s">
        <v>14</v>
      </c>
      <c r="J3993" t="s">
        <v>91</v>
      </c>
      <c r="K3993" t="s">
        <v>85</v>
      </c>
      <c r="L3993" t="s">
        <v>20</v>
      </c>
      <c r="M3993" t="s">
        <v>8433</v>
      </c>
      <c r="N3993" t="s">
        <v>8437</v>
      </c>
    </row>
    <row r="3994" x14ac:dyDescent="0.25">
      <c r="A3994" t="n">
        <v>25</v>
      </c>
      <c r="B3994" t="s">
        <v>14</v>
      </c>
      <c r="C3994" t="s">
        <v>22</v>
      </c>
      <c r="D3994" s="2" t="s">
        <f>=HYPERLINK("https://main.knesset.gov.il/APPS/legislation/main/bills/2196572", "חוק חוזה הביטוח (תיקון מס' 12), התשפ""ג-2023")</f>
        <v>8438</v>
      </c>
      <c r="E3994" t="s">
        <v>8438</v>
      </c>
      <c r="F3994" t="s">
        <v>8439</v>
      </c>
      <c r="G3994" t="s">
        <v>8440</v>
      </c>
      <c r="H3994" t="n">
        <v>3062</v>
      </c>
      <c r="I3994" t="s">
        <v>14</v>
      </c>
      <c r="J3994" t="s">
        <v>91</v>
      </c>
      <c r="K3994" t="s">
        <v>27</v>
      </c>
      <c r="L3994" t="s">
        <v>20</v>
      </c>
      <c r="M3994" t="s">
        <v>8433</v>
      </c>
      <c r="N3994" t="s">
        <v>8441</v>
      </c>
    </row>
    <row r="3995" x14ac:dyDescent="0.25">
      <c r="A3995" t="n">
        <v>25</v>
      </c>
      <c r="B3995" t="s">
        <v>14</v>
      </c>
      <c r="C3995" t="s">
        <v>22</v>
      </c>
      <c r="D3995" s="2" t="s">
        <f>=HYPERLINK("https://main.knesset.gov.il/APPS/legislation/main/bills/2198020", "חוק התכנון והבנייה (תיקון מס' 145), התשפ""ג-2023")</f>
        <v>8442</v>
      </c>
      <c r="E3995" t="s">
        <v>8442</v>
      </c>
      <c r="F3995" t="s">
        <v>8443</v>
      </c>
      <c r="G3995" t="s">
        <v>8444</v>
      </c>
      <c r="H3995" t="n">
        <v>3061</v>
      </c>
      <c r="I3995" t="s">
        <v>14</v>
      </c>
      <c r="J3995" t="s">
        <v>91</v>
      </c>
      <c r="K3995" t="s">
        <v>46</v>
      </c>
      <c r="L3995" t="s">
        <v>20</v>
      </c>
      <c r="M3995" t="s">
        <v>8433</v>
      </c>
      <c r="N3995" t="s">
        <v>8445</v>
      </c>
    </row>
    <row r="3996" x14ac:dyDescent="0.25">
      <c r="A3996" t="n">
        <v>25</v>
      </c>
      <c r="B3996" t="s">
        <v>14</v>
      </c>
      <c r="C3996" t="s">
        <v>22</v>
      </c>
      <c r="D3996" s="2" t="s">
        <f>=HYPERLINK("https://main.knesset.gov.il/APPS/legislation/main/bills/2166248", "חוק ההוצאה לפועל (תיקון מס' 73), התשפ""ג-2023")</f>
        <v>8446</v>
      </c>
      <c r="E3996" t="s">
        <v>8446</v>
      </c>
      <c r="F3996" t="s">
        <v>8447</v>
      </c>
      <c r="G3996" t="s">
        <v>8448</v>
      </c>
      <c r="H3996" t="n">
        <v>3060</v>
      </c>
      <c r="I3996" t="s">
        <v>14</v>
      </c>
      <c r="J3996" t="s">
        <v>91</v>
      </c>
      <c r="K3996" t="s">
        <v>27</v>
      </c>
      <c r="L3996" t="s">
        <v>20</v>
      </c>
      <c r="M3996" t="s">
        <v>8433</v>
      </c>
      <c r="N3996" t="s">
        <v>8449</v>
      </c>
    </row>
    <row r="3997" x14ac:dyDescent="0.25">
      <c r="A3997" t="n">
        <v>25</v>
      </c>
      <c r="B3997" t="s">
        <v>14</v>
      </c>
      <c r="C3997" t="s">
        <v>22</v>
      </c>
      <c r="D3997" s="2" t="s">
        <f>=HYPERLINK("https://main.knesset.gov.il/APPS/legislation/main/bills/2197097", "חוק ההוצאה לפועל (תיקון מס' 74), התשפ""ג-2023")</f>
        <v>8450</v>
      </c>
      <c r="E3997" t="s">
        <v>8450</v>
      </c>
      <c r="F3997" t="s">
        <v>8451</v>
      </c>
      <c r="G3997" t="s">
        <v>8452</v>
      </c>
      <c r="H3997" t="n">
        <v>3060</v>
      </c>
      <c r="I3997" t="s">
        <v>14</v>
      </c>
      <c r="J3997" t="s">
        <v>91</v>
      </c>
      <c r="K3997" t="s">
        <v>127</v>
      </c>
      <c r="L3997" t="s">
        <v>20</v>
      </c>
      <c r="M3997" t="s">
        <v>8433</v>
      </c>
      <c r="N3997" t="s">
        <v>8453</v>
      </c>
    </row>
    <row r="3998" x14ac:dyDescent="0.25">
      <c r="A3998" t="n">
        <v>25</v>
      </c>
      <c r="B3998" t="s">
        <v>14</v>
      </c>
      <c r="C3998" t="s">
        <v>22</v>
      </c>
      <c r="D3998" s="2" t="s">
        <f>=HYPERLINK("https://main.knesset.gov.il/APPS/legislation/main/bills/2201623", "הצעת חוק התגמולים לנפגעי פעולות איבה (תיקון - זכאות לתגמולים ולפיצויים לפי חוק אחר), התשפ""ג-2023")</f>
        <v>8454</v>
      </c>
      <c r="E3998" t="s">
        <v>8454</v>
      </c>
      <c r="F3998" t="s">
        <v>8455</v>
      </c>
      <c r="G3998" t="s">
        <v>14</v>
      </c>
      <c r="H3998">
             </c>
      <c r="I3998" t="s">
        <v>14</v>
      </c>
      <c r="J3998" t="s">
        <v>99</v>
      </c>
      <c r="K3998" t="s">
        <v>127</v>
      </c>
      <c r="L3998" t="s">
        <v>20</v>
      </c>
      <c r="M3998" t="s">
        <v>8456</v>
      </c>
      <c r="N3998" t="s">
        <v>14</v>
      </c>
    </row>
    <row r="3999" x14ac:dyDescent="0.25">
      <c r="A3999" t="n">
        <v>25</v>
      </c>
      <c r="B3999" t="s">
        <v>14</v>
      </c>
      <c r="C3999" t="s">
        <v>22</v>
      </c>
      <c r="D3999" s="2" t="s">
        <f>=HYPERLINK("https://main.knesset.gov.il/APPS/legislation/main/bills/2202048", "הצעת חוק המאבק בטרור (תיקון - קנסות בגין הנפת דגל של ארגון טרור) (הוראת שעה), התשפ""ג-2023")</f>
        <v>8457</v>
      </c>
      <c r="E3999" t="s">
        <v>8457</v>
      </c>
      <c r="F3999" t="s">
        <v>8458</v>
      </c>
      <c r="G3999" t="s">
        <v>14</v>
      </c>
      <c r="H3999">
             </c>
      <c r="I3999" t="s">
        <v>14</v>
      </c>
      <c r="J3999" t="s">
        <v>31</v>
      </c>
      <c r="K3999" t="s">
        <v>27</v>
      </c>
      <c r="L3999" t="s">
        <v>20</v>
      </c>
      <c r="M3999" t="s">
        <v>8456</v>
      </c>
      <c r="N3999" t="s">
        <v>14</v>
      </c>
    </row>
    <row r="4000" x14ac:dyDescent="0.25">
      <c r="A4000" t="n">
        <v>25</v>
      </c>
      <c r="B4000" t="s">
        <v>14</v>
      </c>
      <c r="C4000" t="s">
        <v>22</v>
      </c>
      <c r="D4000" s="2" t="s">
        <f>=HYPERLINK("https://main.knesset.gov.il/APPS/legislation/main/bills/2204920", "הצעת חוק איסור פרסומת והגבלת השיווק של מוצרי טבק ועישון (תיקון - איסור על ייצור ושיווק של מוצר עישון בטעם או בריח מובחן), התשפ""ג-2023")</f>
        <v>8459</v>
      </c>
      <c r="E4000" t="s">
        <v>8459</v>
      </c>
      <c r="F4000" t="s">
        <v>8460</v>
      </c>
      <c r="G4000" t="s">
        <v>14</v>
      </c>
      <c r="H4000">
             </c>
      <c r="I4000" t="s">
        <v>14</v>
      </c>
      <c r="J4000" t="s">
        <v>31</v>
      </c>
      <c r="K4000" t="s">
        <v>19</v>
      </c>
      <c r="L4000" t="s">
        <v>20</v>
      </c>
      <c r="M4000" t="s">
        <v>8456</v>
      </c>
      <c r="N4000" t="s">
        <v>14</v>
      </c>
    </row>
    <row r="4001" x14ac:dyDescent="0.25">
      <c r="A4001" t="n">
        <v>25</v>
      </c>
      <c r="B4001" t="s">
        <v>14</v>
      </c>
      <c r="C4001" t="s">
        <v>22</v>
      </c>
      <c r="D4001" s="2" t="s">
        <f>=HYPERLINK("https://main.knesset.gov.il/APPS/legislation/main/bills/2204076", "הצעת חוק הבנקאות (רישוי) (תיקון - פיקוח פרלמנטרי על סגירת סניפים וצמצום שירותי בנק), התשפ""ג-2023")</f>
        <v>8461</v>
      </c>
      <c r="E4001" t="s">
        <v>8461</v>
      </c>
      <c r="F4001" t="s">
        <v>8462</v>
      </c>
      <c r="G4001" t="s">
        <v>14</v>
      </c>
      <c r="H4001">
             </c>
      <c r="I4001" t="s">
        <v>14</v>
      </c>
      <c r="J4001" t="s">
        <v>31</v>
      </c>
      <c r="K4001" t="s">
        <v>19</v>
      </c>
      <c r="L4001" t="s">
        <v>20</v>
      </c>
      <c r="M4001" t="s">
        <v>8456</v>
      </c>
      <c r="N4001" t="s">
        <v>14</v>
      </c>
    </row>
    <row r="4002" x14ac:dyDescent="0.25">
      <c r="A4002" t="n">
        <v>25</v>
      </c>
      <c r="B4002" t="s">
        <v>14</v>
      </c>
      <c r="C4002" t="s">
        <v>15</v>
      </c>
      <c r="D4002" s="2" t="s">
        <f>=HYPERLINK("https://main.knesset.gov.il/APPS/legislation/main/bills/2203894", "חוק לתיקון דיני הבחירות לרשויות המקומיות, התשפ""ג-2023")</f>
        <v>8463</v>
      </c>
      <c r="E4002" t="s">
        <v>8463</v>
      </c>
      <c r="F4002" t="s">
        <v>14</v>
      </c>
      <c r="G4002" t="s">
        <v>3223</v>
      </c>
      <c r="H4002" t="n">
        <v>3059</v>
      </c>
      <c r="I4002" t="s">
        <v>14</v>
      </c>
      <c r="J4002" t="s">
        <v>91</v>
      </c>
      <c r="K4002" t="s">
        <v>46</v>
      </c>
      <c r="L4002" t="s">
        <v>20</v>
      </c>
      <c r="M4002" t="s">
        <v>8456</v>
      </c>
      <c r="N4002" t="s">
        <v>8464</v>
      </c>
    </row>
    <row r="4003" x14ac:dyDescent="0.25">
      <c r="A4003" t="n">
        <v>25</v>
      </c>
      <c r="B4003" t="s">
        <v>14</v>
      </c>
      <c r="C4003" t="s">
        <v>22</v>
      </c>
      <c r="D4003" s="2" t="s">
        <f>=HYPERLINK("https://main.knesset.gov.il/APPS/legislation/main/bills/2199160", "הצעת חוק הגנת הצרכן (תיקון - מסירת מסמך עיקרי עסקה בשפה שבה נעשתה הפנייה השיווקית), התשפ""ג-2023")</f>
        <v>8465</v>
      </c>
      <c r="E4003" t="s">
        <v>8465</v>
      </c>
      <c r="F4003" t="s">
        <v>8466</v>
      </c>
      <c r="G4003" t="s">
        <v>14</v>
      </c>
      <c r="H4003">
             </c>
      <c r="I4003" t="s">
        <v>14</v>
      </c>
      <c r="J4003" t="s">
        <v>141</v>
      </c>
      <c r="K4003" t="s">
        <v>14</v>
      </c>
      <c r="L4003" t="s">
        <v>20</v>
      </c>
      <c r="M4003" t="s">
        <v>8456</v>
      </c>
      <c r="N4003" t="s">
        <v>14</v>
      </c>
    </row>
    <row r="4004" x14ac:dyDescent="0.25">
      <c r="A4004" t="n">
        <v>25</v>
      </c>
      <c r="B4004" t="s">
        <v>14</v>
      </c>
      <c r="C4004" t="s">
        <v>22</v>
      </c>
      <c r="D4004" s="2" t="s">
        <f>=HYPERLINK("https://main.knesset.gov.il/APPS/legislation/main/bills/2207854", "הצעת חוק הגנת הצרכן (תיקון - צירוף הוראות שימוש למוצרי חשמל בשפה העברית ובשפה הערבית), התשפ""ג-2023")</f>
        <v>8467</v>
      </c>
      <c r="E4004" t="s">
        <v>8467</v>
      </c>
      <c r="F4004" t="s">
        <v>8468</v>
      </c>
      <c r="G4004" t="s">
        <v>14</v>
      </c>
      <c r="H4004">
             </c>
      <c r="I4004" t="s">
        <v>14</v>
      </c>
      <c r="J4004" t="s">
        <v>141</v>
      </c>
      <c r="K4004" t="s">
        <v>14</v>
      </c>
      <c r="L4004" t="s">
        <v>20</v>
      </c>
      <c r="M4004" t="s">
        <v>8456</v>
      </c>
      <c r="N4004" t="s">
        <v>14</v>
      </c>
    </row>
    <row r="4005" x14ac:dyDescent="0.25">
      <c r="A4005" t="n">
        <v>25</v>
      </c>
      <c r="B4005" t="s">
        <v>14</v>
      </c>
      <c r="C4005" t="s">
        <v>22</v>
      </c>
      <c r="D4005" s="2" t="s">
        <f>=HYPERLINK("https://main.knesset.gov.il/APPS/legislation/main/bills/2207026", "הצעת חוק חניה לנכים (תיקון - זכאות תג נכה לצמיתות), התשפ""ג-2023")</f>
        <v>8469</v>
      </c>
      <c r="E4005" t="s">
        <v>8469</v>
      </c>
      <c r="F4005" t="s">
        <v>8470</v>
      </c>
      <c r="G4005" t="s">
        <v>14</v>
      </c>
      <c r="H4005">
             </c>
      <c r="I4005" t="s">
        <v>14</v>
      </c>
      <c r="J4005" t="s">
        <v>343</v>
      </c>
      <c r="K4005" t="s">
        <v>14</v>
      </c>
      <c r="L4005" t="s">
        <v>20</v>
      </c>
      <c r="M4005" t="s">
        <v>8456</v>
      </c>
      <c r="N4005" t="s">
        <v>14</v>
      </c>
    </row>
    <row r="4006" x14ac:dyDescent="0.25">
      <c r="A4006" t="n">
        <v>25</v>
      </c>
      <c r="B4006" t="s">
        <v>14</v>
      </c>
      <c r="C4006" t="s">
        <v>22</v>
      </c>
      <c r="D4006" s="2" t="s">
        <f>=HYPERLINK("https://main.knesset.gov.il/APPS/legislation/main/bills/2206639", "הצעת חוק עובדים זרים (תיקון - הגבלת שכר טרחת עורך דין), התשפ""ג-2023")</f>
        <v>8471</v>
      </c>
      <c r="E4006" t="s">
        <v>8471</v>
      </c>
      <c r="F4006" t="s">
        <v>8472</v>
      </c>
      <c r="G4006" t="s">
        <v>14</v>
      </c>
      <c r="H4006">
             </c>
      <c r="I4006" t="s">
        <v>14</v>
      </c>
      <c r="J4006" t="s">
        <v>141</v>
      </c>
      <c r="K4006" t="s">
        <v>14</v>
      </c>
      <c r="L4006" t="s">
        <v>20</v>
      </c>
      <c r="M4006" t="s">
        <v>8456</v>
      </c>
      <c r="N4006" t="s">
        <v>14</v>
      </c>
    </row>
    <row r="4007" x14ac:dyDescent="0.25">
      <c r="A4007" t="n">
        <v>25</v>
      </c>
      <c r="B4007" t="s">
        <v>14</v>
      </c>
      <c r="C4007" t="s">
        <v>22</v>
      </c>
      <c r="D4007" s="2" t="s">
        <f>=HYPERLINK("https://main.knesset.gov.il/APPS/legislation/main/bills/2206315", "הצעת חוק מעמד ידועים בציבור, התשפ""ג-2023")</f>
        <v>8473</v>
      </c>
      <c r="E4007" t="s">
        <v>8473</v>
      </c>
      <c r="F4007" t="s">
        <v>8474</v>
      </c>
      <c r="G4007" t="s">
        <v>14</v>
      </c>
      <c r="H4007">
             </c>
      <c r="I4007" t="s">
        <v>14</v>
      </c>
      <c r="J4007" t="s">
        <v>141</v>
      </c>
      <c r="K4007" t="s">
        <v>14</v>
      </c>
      <c r="L4007" t="s">
        <v>20</v>
      </c>
      <c r="M4007" t="s">
        <v>8456</v>
      </c>
      <c r="N4007" t="s">
        <v>14</v>
      </c>
    </row>
    <row r="4008" x14ac:dyDescent="0.25">
      <c r="A4008" t="n">
        <v>25</v>
      </c>
      <c r="B4008" t="s">
        <v>14</v>
      </c>
      <c r="C4008" t="s">
        <v>22</v>
      </c>
      <c r="D4008" s="2" t="s">
        <f>=HYPERLINK("https://main.knesset.gov.il/APPS/legislation/main/bills/2205905", "הצעת חוק ההוצאה לפועל (תיקון - מניעת פינוי דייר בשל אי-תשלום לכונס נכסים או לעורך דין), התשפ""ג-2023")</f>
        <v>8475</v>
      </c>
      <c r="E4008" t="s">
        <v>8475</v>
      </c>
      <c r="F4008" t="s">
        <v>8476</v>
      </c>
      <c r="G4008" t="s">
        <v>14</v>
      </c>
      <c r="H4008">
             </c>
      <c r="I4008" t="s">
        <v>14</v>
      </c>
      <c r="J4008" t="s">
        <v>141</v>
      </c>
      <c r="K4008" t="s">
        <v>14</v>
      </c>
      <c r="L4008" t="s">
        <v>20</v>
      </c>
      <c r="M4008" t="s">
        <v>8456</v>
      </c>
      <c r="N4008" t="s">
        <v>14</v>
      </c>
    </row>
    <row r="4009" x14ac:dyDescent="0.25">
      <c r="A4009" t="n">
        <v>25</v>
      </c>
      <c r="B4009" t="s">
        <v>14</v>
      </c>
      <c r="C4009" t="s">
        <v>22</v>
      </c>
      <c r="D4009" s="2" t="s">
        <f>=HYPERLINK("https://main.knesset.gov.il/APPS/legislation/main/bills/2207964", "הצעת חוק הפיקוח על תכולת מוצרי עישון, התשפ""ג-2023 ")</f>
        <v>8477</v>
      </c>
      <c r="E4009" t="s">
        <v>8477</v>
      </c>
      <c r="F4009" t="s">
        <v>8478</v>
      </c>
      <c r="G4009" t="s">
        <v>14</v>
      </c>
      <c r="H4009">
             </c>
      <c r="I4009" t="s">
        <v>14</v>
      </c>
      <c r="J4009" t="s">
        <v>141</v>
      </c>
      <c r="K4009" t="s">
        <v>14</v>
      </c>
      <c r="L4009" t="s">
        <v>20</v>
      </c>
      <c r="M4009" t="s">
        <v>8456</v>
      </c>
      <c r="N4009" t="s">
        <v>14</v>
      </c>
    </row>
    <row r="4010" x14ac:dyDescent="0.25">
      <c r="A4010" t="n">
        <v>25</v>
      </c>
      <c r="B4010" t="s">
        <v>14</v>
      </c>
      <c r="C4010" t="s">
        <v>22</v>
      </c>
      <c r="D4010" s="2" t="s">
        <f>=HYPERLINK("https://main.knesset.gov.il/APPS/legislation/main/bills/2208241", "הצעת חוק קידום התחרות בענף המזון (תיקון - הפיכת הוראת שעה להוראה קבועה), התשפ""ג-2023")</f>
        <v>8479</v>
      </c>
      <c r="E4010" t="s">
        <v>8479</v>
      </c>
      <c r="F4010" t="s">
        <v>8480</v>
      </c>
      <c r="G4010" t="s">
        <v>14</v>
      </c>
      <c r="H4010">
             </c>
      <c r="I4010" t="s">
        <v>14</v>
      </c>
      <c r="J4010" t="s">
        <v>141</v>
      </c>
      <c r="K4010" t="s">
        <v>14</v>
      </c>
      <c r="L4010" t="s">
        <v>20</v>
      </c>
      <c r="M4010" t="s">
        <v>8456</v>
      </c>
      <c r="N4010" t="s">
        <v>14</v>
      </c>
    </row>
    <row r="4011" x14ac:dyDescent="0.25">
      <c r="A4011" t="n">
        <v>25</v>
      </c>
      <c r="B4011" t="s">
        <v>14</v>
      </c>
      <c r="C4011" t="s">
        <v>22</v>
      </c>
      <c r="D4011" s="2" t="s">
        <f>=HYPERLINK("https://main.knesset.gov.il/APPS/legislation/main/bills/2199090", "הצעת חוק הגנת הצרכן (תיקון - הקפאת עסקה מתמשכת בתקופת לידה והורות), התשפ""ג-2023")</f>
        <v>8481</v>
      </c>
      <c r="E4011" t="s">
        <v>8481</v>
      </c>
      <c r="F4011" t="s">
        <v>8482</v>
      </c>
      <c r="G4011" t="s">
        <v>14</v>
      </c>
      <c r="H4011">
             </c>
      <c r="I4011" t="s">
        <v>14</v>
      </c>
      <c r="J4011" t="s">
        <v>141</v>
      </c>
      <c r="K4011" t="s">
        <v>14</v>
      </c>
      <c r="L4011" t="s">
        <v>20</v>
      </c>
      <c r="M4011" t="s">
        <v>8456</v>
      </c>
      <c r="N4011" t="s">
        <v>14</v>
      </c>
    </row>
    <row r="4012" x14ac:dyDescent="0.25">
      <c r="A4012" t="n">
        <v>25</v>
      </c>
      <c r="B4012" t="s">
        <v>14</v>
      </c>
      <c r="C4012" t="s">
        <v>22</v>
      </c>
      <c r="D4012" s="2" t="s">
        <f>=HYPERLINK("https://main.knesset.gov.il/APPS/legislation/main/bills/2207903", "הצעת חוק טיפול בחולי נפש (תיקון - תנאי אשפוז הולמים), התשפ""ג-2023")</f>
        <v>8085</v>
      </c>
      <c r="E4012" t="s">
        <v>8085</v>
      </c>
      <c r="F4012" t="s">
        <v>8483</v>
      </c>
      <c r="G4012" t="s">
        <v>14</v>
      </c>
      <c r="H4012">
             </c>
      <c r="I4012" t="s">
        <v>14</v>
      </c>
      <c r="J4012" t="s">
        <v>141</v>
      </c>
      <c r="K4012" t="s">
        <v>14</v>
      </c>
      <c r="L4012" t="s">
        <v>20</v>
      </c>
      <c r="M4012" t="s">
        <v>8456</v>
      </c>
      <c r="N4012" t="s">
        <v>14</v>
      </c>
    </row>
    <row r="4013" x14ac:dyDescent="0.25">
      <c r="A4013" t="n">
        <v>25</v>
      </c>
      <c r="B4013" t="s">
        <v>14</v>
      </c>
      <c r="C4013" t="s">
        <v>22</v>
      </c>
      <c r="D4013" s="2" t="s">
        <f>=HYPERLINK("https://main.knesset.gov.il/APPS/legislation/main/bills/2199152", "הצעת חוק עובדים זרים (תיקון - תאגיד עובדים זרים מחליפים זמניים), התשפ""ג-2023")</f>
        <v>8484</v>
      </c>
      <c r="E4013" t="s">
        <v>8484</v>
      </c>
      <c r="F4013" t="s">
        <v>8485</v>
      </c>
      <c r="G4013" t="s">
        <v>14</v>
      </c>
      <c r="H4013">
             </c>
      <c r="I4013" t="s">
        <v>14</v>
      </c>
      <c r="J4013" t="s">
        <v>141</v>
      </c>
      <c r="K4013" t="s">
        <v>14</v>
      </c>
      <c r="L4013" t="s">
        <v>20</v>
      </c>
      <c r="M4013" t="s">
        <v>8456</v>
      </c>
      <c r="N4013" t="s">
        <v>14</v>
      </c>
    </row>
    <row r="4014" x14ac:dyDescent="0.25">
      <c r="A4014" t="n">
        <v>25</v>
      </c>
      <c r="B4014" t="s">
        <v>14</v>
      </c>
      <c r="C4014" t="s">
        <v>22</v>
      </c>
      <c r="D4014" s="2" t="s">
        <f>=HYPERLINK("https://main.knesset.gov.il/APPS/legislation/main/bills/2208233", "הצעת חוק לתיקון פקודת התעבורה (הגבלת סכום אגרת רישיון רכב), התשפ""ג-2023")</f>
        <v>8486</v>
      </c>
      <c r="E4014" t="s">
        <v>8486</v>
      </c>
      <c r="F4014" t="s">
        <v>8487</v>
      </c>
      <c r="G4014" t="s">
        <v>14</v>
      </c>
      <c r="H4014">
             </c>
      <c r="I4014" t="s">
        <v>14</v>
      </c>
      <c r="J4014" t="s">
        <v>141</v>
      </c>
      <c r="K4014" t="s">
        <v>14</v>
      </c>
      <c r="L4014" t="s">
        <v>20</v>
      </c>
      <c r="M4014" t="s">
        <v>8456</v>
      </c>
      <c r="N4014" t="s">
        <v>14</v>
      </c>
    </row>
    <row r="4015" x14ac:dyDescent="0.25">
      <c r="A4015" t="n">
        <v>25</v>
      </c>
      <c r="B4015" t="s">
        <v>14</v>
      </c>
      <c r="C4015" t="s">
        <v>22</v>
      </c>
      <c r="D4015" s="2" t="s">
        <f>=HYPERLINK("https://main.knesset.gov.il/APPS/legislation/main/bills/2205289", "הצעת חוק לתיקון פקודת ביטוח רכב מנועי (מרכיב ההעמסה בתעריף הביטוח), התשפ""ג- 2023")</f>
        <v>8488</v>
      </c>
      <c r="E4015" t="s">
        <v>8488</v>
      </c>
      <c r="F4015" t="s">
        <v>8489</v>
      </c>
      <c r="G4015" t="s">
        <v>14</v>
      </c>
      <c r="H4015">
             </c>
      <c r="I4015" t="s">
        <v>14</v>
      </c>
      <c r="J4015" t="s">
        <v>141</v>
      </c>
      <c r="K4015" t="s">
        <v>14</v>
      </c>
      <c r="L4015" t="s">
        <v>20</v>
      </c>
      <c r="M4015" t="s">
        <v>8456</v>
      </c>
      <c r="N4015" t="s">
        <v>14</v>
      </c>
    </row>
    <row r="4016" x14ac:dyDescent="0.25">
      <c r="A4016" t="n">
        <v>25</v>
      </c>
      <c r="B4016" t="s">
        <v>14</v>
      </c>
      <c r="C4016" t="s">
        <v>22</v>
      </c>
      <c r="D4016" s="2" t="s">
        <f>=HYPERLINK("https://main.knesset.gov.il/APPS/legislation/main/bills/2207668", "הצעת חוק הביטוח הלאומי (תיקון - עבודה כאיש צוות בכלי שיט כעבודה מועדפת), התשפ""ג-2023")</f>
        <v>8490</v>
      </c>
      <c r="E4016" t="s">
        <v>8490</v>
      </c>
      <c r="F4016" t="s">
        <v>8491</v>
      </c>
      <c r="G4016" t="s">
        <v>14</v>
      </c>
      <c r="H4016">
             </c>
      <c r="I4016" t="s">
        <v>14</v>
      </c>
      <c r="J4016" t="s">
        <v>141</v>
      </c>
      <c r="K4016" t="s">
        <v>14</v>
      </c>
      <c r="L4016" t="s">
        <v>20</v>
      </c>
      <c r="M4016" t="s">
        <v>8456</v>
      </c>
      <c r="N4016" t="s">
        <v>14</v>
      </c>
    </row>
    <row r="4017" x14ac:dyDescent="0.25">
      <c r="A4017" t="n">
        <v>25</v>
      </c>
      <c r="B4017" t="s">
        <v>14</v>
      </c>
      <c r="C4017" t="s">
        <v>22</v>
      </c>
      <c r="D4017" s="2" t="s">
        <f>=HYPERLINK("https://main.knesset.gov.il/APPS/legislation/main/bills/2205792", "הצעת חוק לתיקון פקודת מס הכנסה (קיצור משך הזמן בעבור תשלום החזרי מס), התשפ""ג-2023")</f>
        <v>8492</v>
      </c>
      <c r="E4017" t="s">
        <v>8492</v>
      </c>
      <c r="F4017" t="s">
        <v>8493</v>
      </c>
      <c r="G4017" t="s">
        <v>14</v>
      </c>
      <c r="H4017">
             </c>
      <c r="I4017" t="s">
        <v>14</v>
      </c>
      <c r="J4017" t="s">
        <v>141</v>
      </c>
      <c r="K4017" t="s">
        <v>14</v>
      </c>
      <c r="L4017" t="s">
        <v>20</v>
      </c>
      <c r="M4017" t="s">
        <v>8456</v>
      </c>
      <c r="N4017" t="s">
        <v>14</v>
      </c>
    </row>
    <row r="4018" x14ac:dyDescent="0.25">
      <c r="A4018" t="n">
        <v>25</v>
      </c>
      <c r="B4018" t="s">
        <v>14</v>
      </c>
      <c r="C4018" t="s">
        <v>22</v>
      </c>
      <c r="D4018" s="2" t="s">
        <f>=HYPERLINK("https://main.knesset.gov.il/APPS/legislation/main/bills/2207897", "הצעת חוק חניה לנכים (תיקון - החלטה בבקשה לתג נכה), התשפ""ג-2023")</f>
        <v>8494</v>
      </c>
      <c r="E4018" t="s">
        <v>8494</v>
      </c>
      <c r="F4018" t="s">
        <v>8495</v>
      </c>
      <c r="G4018" t="s">
        <v>14</v>
      </c>
      <c r="H4018">
             </c>
      <c r="I4018" t="s">
        <v>14</v>
      </c>
      <c r="J4018" t="s">
        <v>141</v>
      </c>
      <c r="K4018" t="s">
        <v>14</v>
      </c>
      <c r="L4018" t="s">
        <v>20</v>
      </c>
      <c r="M4018" t="s">
        <v>8456</v>
      </c>
      <c r="N4018" t="s">
        <v>14</v>
      </c>
    </row>
    <row r="4019" x14ac:dyDescent="0.25">
      <c r="A4019" t="n">
        <v>25</v>
      </c>
      <c r="B4019" t="s">
        <v>14</v>
      </c>
      <c r="C4019" t="s">
        <v>22</v>
      </c>
      <c r="D4019" s="2" t="s">
        <f>=HYPERLINK("https://main.knesset.gov.il/APPS/legislation/main/bills/2208313", "הצעת חוק הגנה על עיתונאים (תיקוני חקיקה), התשפ""ג-2023")</f>
        <v>8496</v>
      </c>
      <c r="E4019" t="s">
        <v>8496</v>
      </c>
      <c r="F4019" t="s">
        <v>8497</v>
      </c>
      <c r="G4019" t="s">
        <v>14</v>
      </c>
      <c r="H4019">
             </c>
      <c r="I4019" t="s">
        <v>14</v>
      </c>
      <c r="J4019" t="s">
        <v>141</v>
      </c>
      <c r="K4019" t="s">
        <v>14</v>
      </c>
      <c r="L4019" t="s">
        <v>20</v>
      </c>
      <c r="M4019" t="s">
        <v>8456</v>
      </c>
      <c r="N4019" t="s">
        <v>14</v>
      </c>
    </row>
    <row r="4020" x14ac:dyDescent="0.25">
      <c r="A4020" t="n">
        <v>25</v>
      </c>
      <c r="B4020" t="s">
        <v>14</v>
      </c>
      <c r="C4020" t="s">
        <v>22</v>
      </c>
      <c r="D4020" s="2" t="s">
        <f>=HYPERLINK("https://main.knesset.gov.il/APPS/legislation/main/bills/2207444", "הצעת חוק הביטוח הלאומי (תיקון - השבת תשלומי מעסיק בגין תשלומים לקופות ולקרנות של העובד בימי מילואים), התשפ""ג-2023")</f>
        <v>8498</v>
      </c>
      <c r="E4020" t="s">
        <v>8498</v>
      </c>
      <c r="F4020" t="s">
        <v>8499</v>
      </c>
      <c r="G4020" t="s">
        <v>14</v>
      </c>
      <c r="H4020">
             </c>
      <c r="I4020" t="s">
        <v>14</v>
      </c>
      <c r="J4020" t="s">
        <v>141</v>
      </c>
      <c r="K4020" t="s">
        <v>14</v>
      </c>
      <c r="L4020" t="s">
        <v>20</v>
      </c>
      <c r="M4020" t="s">
        <v>8456</v>
      </c>
      <c r="N4020" t="s">
        <v>14</v>
      </c>
    </row>
    <row r="4021" x14ac:dyDescent="0.25">
      <c r="A4021" t="n">
        <v>25</v>
      </c>
      <c r="B4021" t="s">
        <v>14</v>
      </c>
      <c r="C4021" t="s">
        <v>22</v>
      </c>
      <c r="D4021" s="2" t="s">
        <f>=HYPERLINK("https://main.knesset.gov.il/APPS/legislation/main/bills/2207884", "הצעת חוק ביטוח בריאות ממלכתי (תיקון - זמן סביר לעניין שירות רפואי), התשפ""ג-2023")</f>
        <v>8178</v>
      </c>
      <c r="E4021" t="s">
        <v>8178</v>
      </c>
      <c r="F4021" t="s">
        <v>8500</v>
      </c>
      <c r="G4021" t="s">
        <v>14</v>
      </c>
      <c r="H4021">
             </c>
      <c r="I4021" t="s">
        <v>14</v>
      </c>
      <c r="J4021" t="s">
        <v>141</v>
      </c>
      <c r="K4021" t="s">
        <v>14</v>
      </c>
      <c r="L4021" t="s">
        <v>20</v>
      </c>
      <c r="M4021" t="s">
        <v>8456</v>
      </c>
      <c r="N4021" t="s">
        <v>14</v>
      </c>
    </row>
    <row r="4022" x14ac:dyDescent="0.25">
      <c r="A4022" t="n">
        <v>25</v>
      </c>
      <c r="B4022" t="s">
        <v>14</v>
      </c>
      <c r="C4022" t="s">
        <v>22</v>
      </c>
      <c r="D4022" s="2" t="s">
        <f>=HYPERLINK("https://main.knesset.gov.il/APPS/legislation/main/bills/2208105", "הצעת חוק מאבק בנטילת דמי חסות (אכיפה וענישה) (תיקוני חקיקה והוראת שעה), התשפ""ג-2023")</f>
        <v>8501</v>
      </c>
      <c r="E4022" t="s">
        <v>8501</v>
      </c>
      <c r="F4022" t="s">
        <v>8502</v>
      </c>
      <c r="G4022" t="s">
        <v>14</v>
      </c>
      <c r="H4022">
             </c>
      <c r="I4022" t="s">
        <v>14</v>
      </c>
      <c r="J4022" t="s">
        <v>141</v>
      </c>
      <c r="K4022" t="s">
        <v>14</v>
      </c>
      <c r="L4022" t="s">
        <v>20</v>
      </c>
      <c r="M4022" t="s">
        <v>8456</v>
      </c>
      <c r="N4022" t="s">
        <v>14</v>
      </c>
    </row>
    <row r="4023" x14ac:dyDescent="0.25">
      <c r="A4023" t="n">
        <v>25</v>
      </c>
      <c r="B4023" t="s">
        <v>14</v>
      </c>
      <c r="C4023" t="s">
        <v>22</v>
      </c>
      <c r="D4023" s="2" t="s">
        <f>=HYPERLINK("https://main.knesset.gov.il/APPS/legislation/main/bills/2208083", "הצעת חוק הכשרות המשפטית והאפוטרופסות (תיקון - שלילת אפוטרופסות בשל עבירת מעשה מגונה בנסיבות מחמירות), התשפ""ג-2023")</f>
        <v>8503</v>
      </c>
      <c r="E4023" t="s">
        <v>8503</v>
      </c>
      <c r="F4023" t="s">
        <v>8504</v>
      </c>
      <c r="G4023" t="s">
        <v>14</v>
      </c>
      <c r="H4023">
             </c>
      <c r="I4023" t="s">
        <v>14</v>
      </c>
      <c r="J4023" t="s">
        <v>141</v>
      </c>
      <c r="K4023" t="s">
        <v>14</v>
      </c>
      <c r="L4023" t="s">
        <v>20</v>
      </c>
      <c r="M4023" t="s">
        <v>8456</v>
      </c>
      <c r="N4023" t="s">
        <v>14</v>
      </c>
    </row>
    <row r="4024" x14ac:dyDescent="0.25">
      <c r="A4024" t="n">
        <v>25</v>
      </c>
      <c r="B4024" t="s">
        <v>14</v>
      </c>
      <c r="C4024" t="s">
        <v>22</v>
      </c>
      <c r="D4024" s="2" t="s">
        <f>=HYPERLINK("https://main.knesset.gov.il/APPS/legislation/main/bills/2207893", "הצעת חוק ההוצאה לפועל (תיקון - החרגת עיקול ביטוח רפואי בידי צד שלישי), התשפ""ג-2023")</f>
        <v>8123</v>
      </c>
      <c r="E4024" t="s">
        <v>8123</v>
      </c>
      <c r="F4024" t="s">
        <v>8505</v>
      </c>
      <c r="G4024" t="s">
        <v>14</v>
      </c>
      <c r="H4024">
             </c>
      <c r="I4024" t="s">
        <v>14</v>
      </c>
      <c r="J4024" t="s">
        <v>141</v>
      </c>
      <c r="K4024" t="s">
        <v>14</v>
      </c>
      <c r="L4024" t="s">
        <v>20</v>
      </c>
      <c r="M4024" t="s">
        <v>8456</v>
      </c>
      <c r="N4024" t="s">
        <v>14</v>
      </c>
    </row>
    <row r="4025" x14ac:dyDescent="0.25">
      <c r="A4025" t="n">
        <v>25</v>
      </c>
      <c r="B4025" t="s">
        <v>14</v>
      </c>
      <c r="C4025" t="s">
        <v>22</v>
      </c>
      <c r="D4025" s="2" t="s">
        <f>=HYPERLINK("https://main.knesset.gov.il/APPS/legislation/main/bills/2207667", "הצעת חוק אסדרת שוק הקנאביס לצריכה עצמית, התשפ""ג-2023")</f>
        <v>8506</v>
      </c>
      <c r="E4025" t="s">
        <v>8506</v>
      </c>
      <c r="F4025" t="s">
        <v>8507</v>
      </c>
      <c r="G4025" t="s">
        <v>14</v>
      </c>
      <c r="H4025">
             </c>
      <c r="I4025" t="s">
        <v>14</v>
      </c>
      <c r="J4025" t="s">
        <v>141</v>
      </c>
      <c r="K4025" t="s">
        <v>14</v>
      </c>
      <c r="L4025" t="s">
        <v>20</v>
      </c>
      <c r="M4025" t="s">
        <v>8456</v>
      </c>
      <c r="N4025" t="s">
        <v>14</v>
      </c>
    </row>
    <row r="4026" x14ac:dyDescent="0.25">
      <c r="A4026" t="n">
        <v>25</v>
      </c>
      <c r="B4026" t="s">
        <v>14</v>
      </c>
      <c r="C4026" t="s">
        <v>22</v>
      </c>
      <c r="D4026" s="2" t="s">
        <f>=HYPERLINK("https://main.knesset.gov.il/APPS/legislation/main/bills/2207856", "הצעת חוק הביטוח הלאומי (תיקון - הארכת המועד להגשת תביעות ליקוי שמיעה), התשפ""ג-2023")</f>
        <v>8508</v>
      </c>
      <c r="E4026" t="s">
        <v>8508</v>
      </c>
      <c r="F4026" t="s">
        <v>8509</v>
      </c>
      <c r="G4026" t="s">
        <v>14</v>
      </c>
      <c r="H4026">
             </c>
      <c r="I4026" t="s">
        <v>14</v>
      </c>
      <c r="J4026" t="s">
        <v>141</v>
      </c>
      <c r="K4026" t="s">
        <v>14</v>
      </c>
      <c r="L4026" t="s">
        <v>20</v>
      </c>
      <c r="M4026" t="s">
        <v>8456</v>
      </c>
      <c r="N4026" t="s">
        <v>14</v>
      </c>
    </row>
    <row r="4027" x14ac:dyDescent="0.25">
      <c r="A4027" t="n">
        <v>25</v>
      </c>
      <c r="B4027" t="s">
        <v>14</v>
      </c>
      <c r="C4027" t="s">
        <v>22</v>
      </c>
      <c r="D4027" s="2" t="s">
        <f>=HYPERLINK("https://main.knesset.gov.il/APPS/legislation/main/bills/2199142", "הצעת חוק עבודת נשים (תיקון - הפרשות לקופת גמל בתקופת שמירת היריון, לידה והורות), התשפ""ג-2023")</f>
        <v>8510</v>
      </c>
      <c r="E4027" t="s">
        <v>8510</v>
      </c>
      <c r="F4027" t="s">
        <v>8511</v>
      </c>
      <c r="G4027" t="s">
        <v>14</v>
      </c>
      <c r="H4027">
             </c>
      <c r="I4027" t="s">
        <v>14</v>
      </c>
      <c r="J4027" t="s">
        <v>141</v>
      </c>
      <c r="K4027" t="s">
        <v>14</v>
      </c>
      <c r="L4027" t="s">
        <v>20</v>
      </c>
      <c r="M4027" t="s">
        <v>8456</v>
      </c>
      <c r="N4027" t="s">
        <v>14</v>
      </c>
    </row>
    <row r="4028" x14ac:dyDescent="0.25">
      <c r="A4028" t="n">
        <v>25</v>
      </c>
      <c r="B4028" t="s">
        <v>14</v>
      </c>
      <c r="C4028" t="s">
        <v>22</v>
      </c>
      <c r="D4028" s="2" t="s">
        <f>=HYPERLINK("https://main.knesset.gov.il/APPS/legislation/main/bills/2206978", "הצעת חוק מימון טיפול בקנאביס רפואי לילדים חולי אפילפסיה, התשפ""ג-2023")</f>
        <v>8512</v>
      </c>
      <c r="E4028" t="s">
        <v>8512</v>
      </c>
      <c r="F4028" t="s">
        <v>8513</v>
      </c>
      <c r="G4028" t="s">
        <v>14</v>
      </c>
      <c r="H4028">
             </c>
      <c r="I4028" t="s">
        <v>14</v>
      </c>
      <c r="J4028" t="s">
        <v>141</v>
      </c>
      <c r="K4028" t="s">
        <v>14</v>
      </c>
      <c r="L4028" t="s">
        <v>20</v>
      </c>
      <c r="M4028" t="s">
        <v>8456</v>
      </c>
      <c r="N4028" t="s">
        <v>14</v>
      </c>
    </row>
    <row r="4029" x14ac:dyDescent="0.25">
      <c r="A4029" t="n">
        <v>25</v>
      </c>
      <c r="B4029" t="s">
        <v>14</v>
      </c>
      <c r="C4029" t="s">
        <v>22</v>
      </c>
      <c r="D4029" s="2" t="s">
        <f>=HYPERLINK("https://main.knesset.gov.il/APPS/legislation/main/bills/2206971", "הצעת חוק הפעלת מוקד טלפוני לטיפול בקנאביס רפואי, התשפ""ג-2023")</f>
        <v>8514</v>
      </c>
      <c r="E4029" t="s">
        <v>8514</v>
      </c>
      <c r="F4029" t="s">
        <v>8515</v>
      </c>
      <c r="G4029" t="s">
        <v>14</v>
      </c>
      <c r="H4029">
             </c>
      <c r="I4029" t="s">
        <v>14</v>
      </c>
      <c r="J4029" t="s">
        <v>141</v>
      </c>
      <c r="K4029" t="s">
        <v>14</v>
      </c>
      <c r="L4029" t="s">
        <v>20</v>
      </c>
      <c r="M4029" t="s">
        <v>8456</v>
      </c>
      <c r="N4029" t="s">
        <v>14</v>
      </c>
    </row>
    <row r="4030" x14ac:dyDescent="0.25">
      <c r="A4030" t="n">
        <v>25</v>
      </c>
      <c r="B4030" t="s">
        <v>14</v>
      </c>
      <c r="C4030" t="s">
        <v>22</v>
      </c>
      <c r="D4030" s="2" t="s">
        <f>=HYPERLINK("https://main.knesset.gov.il/APPS/legislation/main/bills/2206938", "הצעת חוק העברת מידע בין רשויות, התשפ""ג-2023")</f>
        <v>8516</v>
      </c>
      <c r="E4030" t="s">
        <v>8516</v>
      </c>
      <c r="F4030" t="s">
        <v>8517</v>
      </c>
      <c r="G4030" t="s">
        <v>14</v>
      </c>
      <c r="H4030">
             </c>
      <c r="I4030" t="s">
        <v>14</v>
      </c>
      <c r="J4030" t="s">
        <v>141</v>
      </c>
      <c r="K4030" t="s">
        <v>14</v>
      </c>
      <c r="L4030" t="s">
        <v>20</v>
      </c>
      <c r="M4030" t="s">
        <v>8456</v>
      </c>
      <c r="N4030" t="s">
        <v>14</v>
      </c>
    </row>
    <row r="4031" x14ac:dyDescent="0.25">
      <c r="A4031" t="n">
        <v>25</v>
      </c>
      <c r="B4031" t="s">
        <v>14</v>
      </c>
      <c r="C4031" t="s">
        <v>22</v>
      </c>
      <c r="D4031" s="2" t="s">
        <f>=HYPERLINK("https://main.knesset.gov.il/APPS/legislation/main/bills/2207857", "הצעת חוק האזרחים הוותיקים (תיקון - הנחה בארנונה לאזרח ותיק המתגורר בדירה שאינה בהחזקתו), התשפ""ג-2023")</f>
        <v>8518</v>
      </c>
      <c r="E4031" t="s">
        <v>8518</v>
      </c>
      <c r="F4031" t="s">
        <v>8519</v>
      </c>
      <c r="G4031" t="s">
        <v>14</v>
      </c>
      <c r="H4031">
             </c>
      <c r="I4031" t="s">
        <v>14</v>
      </c>
      <c r="J4031" t="s">
        <v>141</v>
      </c>
      <c r="K4031" t="s">
        <v>14</v>
      </c>
      <c r="L4031" t="s">
        <v>20</v>
      </c>
      <c r="M4031" t="s">
        <v>8456</v>
      </c>
      <c r="N4031" t="s">
        <v>14</v>
      </c>
    </row>
    <row r="4032" x14ac:dyDescent="0.25">
      <c r="A4032" t="n">
        <v>25</v>
      </c>
      <c r="B4032" t="s">
        <v>14</v>
      </c>
      <c r="C4032" t="s">
        <v>22</v>
      </c>
      <c r="D4032" s="2" t="s">
        <f>=HYPERLINK("https://main.knesset.gov.il/APPS/legislation/main/bills/2207021", "הצעת חוק עובדים בתעשיית הקנאביס, התשפ""ג-2023")</f>
        <v>8520</v>
      </c>
      <c r="E4032" t="s">
        <v>8520</v>
      </c>
      <c r="F4032" t="s">
        <v>8521</v>
      </c>
      <c r="G4032" t="s">
        <v>14</v>
      </c>
      <c r="H4032">
             </c>
      <c r="I4032" t="s">
        <v>14</v>
      </c>
      <c r="J4032" t="s">
        <v>141</v>
      </c>
      <c r="K4032" t="s">
        <v>14</v>
      </c>
      <c r="L4032" t="s">
        <v>20</v>
      </c>
      <c r="M4032" t="s">
        <v>8456</v>
      </c>
      <c r="N4032" t="s">
        <v>14</v>
      </c>
    </row>
    <row r="4033" x14ac:dyDescent="0.25">
      <c r="A4033" t="n">
        <v>25</v>
      </c>
      <c r="B4033" t="s">
        <v>14</v>
      </c>
      <c r="C4033" t="s">
        <v>22</v>
      </c>
      <c r="D4033" s="2" t="s">
        <f>=HYPERLINK("https://main.knesset.gov.il/APPS/legislation/main/bills/2198890", "הצעת חוק להרחבת הייצוג ההולם של קבוצות שונות בתאגידים ציבוריים וברשויות מקומיות (תיקוני חקיקה), התשפ""ג–2023")</f>
        <v>8522</v>
      </c>
      <c r="E4033" t="s">
        <v>8522</v>
      </c>
      <c r="F4033" t="s">
        <v>8523</v>
      </c>
      <c r="G4033" t="s">
        <v>8524</v>
      </c>
      <c r="H4033">
             </c>
      <c r="I4033" t="s">
        <v>14</v>
      </c>
      <c r="J4033" t="s">
        <v>1141</v>
      </c>
      <c r="K4033" t="s">
        <v>127</v>
      </c>
      <c r="L4033" t="s">
        <v>20</v>
      </c>
      <c r="M4033" t="s">
        <v>8456</v>
      </c>
      <c r="N4033" t="s">
        <v>14</v>
      </c>
    </row>
    <row r="4034" x14ac:dyDescent="0.25">
      <c r="A4034" t="n">
        <v>25</v>
      </c>
      <c r="B4034" t="s">
        <v>14</v>
      </c>
      <c r="C4034" t="s">
        <v>15</v>
      </c>
      <c r="D4034" s="2" t="s">
        <f>=HYPERLINK("https://main.knesset.gov.il/APPS/legislation/main/bills/2204664", "חוק הכניסה לישראל (תיקון מס' 37 – הוראת שעה – נגיף הקורונה החדש), התשפ""ג-2023")</f>
        <v>8525</v>
      </c>
      <c r="E4034" t="s">
        <v>8525</v>
      </c>
      <c r="F4034" t="s">
        <v>14</v>
      </c>
      <c r="G4034" t="s">
        <v>8526</v>
      </c>
      <c r="H4034" t="n">
        <v>3058</v>
      </c>
      <c r="I4034" t="s">
        <v>14</v>
      </c>
      <c r="J4034" t="s">
        <v>91</v>
      </c>
      <c r="K4034" t="s">
        <v>46</v>
      </c>
      <c r="L4034" t="s">
        <v>20</v>
      </c>
      <c r="M4034" t="s">
        <v>8527</v>
      </c>
      <c r="N4034" t="s">
        <v>8528</v>
      </c>
    </row>
    <row r="4035" x14ac:dyDescent="0.25">
      <c r="A4035" t="n">
        <v>25</v>
      </c>
      <c r="B4035" t="s">
        <v>14</v>
      </c>
      <c r="C4035" t="s">
        <v>22</v>
      </c>
      <c r="D4035" s="2" t="s">
        <f>=HYPERLINK("https://main.knesset.gov.il/APPS/legislation/main/bills/2199885", "הצעת חוק הביטוח הלאומי (תיקון - ביטוח שאירים לאלמן), התשפ""ג-2023")</f>
        <v>8047</v>
      </c>
      <c r="E4035" t="s">
        <v>8047</v>
      </c>
      <c r="F4035" t="s">
        <v>8529</v>
      </c>
      <c r="G4035" t="s">
        <v>14</v>
      </c>
      <c r="H4035">
             </c>
      <c r="I4035" t="s">
        <v>14</v>
      </c>
      <c r="J4035" t="s">
        <v>55</v>
      </c>
      <c r="K4035" t="s">
        <v>14</v>
      </c>
      <c r="L4035" t="s">
        <v>20</v>
      </c>
      <c r="M4035" t="s">
        <v>8527</v>
      </c>
      <c r="N4035" t="s">
        <v>14</v>
      </c>
    </row>
    <row r="4036" x14ac:dyDescent="0.25">
      <c r="A4036" t="n">
        <v>25</v>
      </c>
      <c r="B4036" t="s">
        <v>14</v>
      </c>
      <c r="C4036" t="s">
        <v>22</v>
      </c>
      <c r="D4036" s="2" t="s">
        <f>=HYPERLINK("https://main.knesset.gov.il/APPS/legislation/main/bills/2204742", "הצעת חוק-יסוד: הכנסת (תיקון - ייצוג הולם לנשים ברשימת מועמדים לכנסת)")</f>
        <v>1047</v>
      </c>
      <c r="E4036" t="s">
        <v>1047</v>
      </c>
      <c r="F4036" t="s">
        <v>8530</v>
      </c>
      <c r="G4036" t="s">
        <v>14</v>
      </c>
      <c r="H4036">
             </c>
      <c r="I4036" t="s">
        <v>14</v>
      </c>
      <c r="J4036" t="s">
        <v>55</v>
      </c>
      <c r="K4036" t="s">
        <v>14</v>
      </c>
      <c r="L4036" t="s">
        <v>20</v>
      </c>
      <c r="M4036" t="s">
        <v>8527</v>
      </c>
      <c r="N4036" t="s">
        <v>14</v>
      </c>
    </row>
    <row r="4037" x14ac:dyDescent="0.25">
      <c r="A4037" t="n">
        <v>25</v>
      </c>
      <c r="B4037" t="s">
        <v>14</v>
      </c>
      <c r="C4037" t="s">
        <v>22</v>
      </c>
      <c r="D4037" s="2" t="s">
        <f>=HYPERLINK("https://main.knesset.gov.il/APPS/legislation/main/bills/2195992", "הצעת חוק-יסוד: ישראל - מדינת הלאום של העם היהודי (תיקון - הוספת עקרון השוויון בפני החוק ועיגון מעמדה של מגילת העצמאות)")</f>
        <v>5440</v>
      </c>
      <c r="E4037" t="s">
        <v>5440</v>
      </c>
      <c r="F4037" t="s">
        <v>8531</v>
      </c>
      <c r="G4037" t="s">
        <v>14</v>
      </c>
      <c r="H4037">
             </c>
      <c r="I4037" t="s">
        <v>14</v>
      </c>
      <c r="J4037" t="s">
        <v>55</v>
      </c>
      <c r="K4037" t="s">
        <v>14</v>
      </c>
      <c r="L4037" t="s">
        <v>20</v>
      </c>
      <c r="M4037" t="s">
        <v>8527</v>
      </c>
      <c r="N4037" t="s">
        <v>14</v>
      </c>
    </row>
    <row r="4038" x14ac:dyDescent="0.25">
      <c r="A4038" t="n">
        <v>25</v>
      </c>
      <c r="B4038" t="s">
        <v>14</v>
      </c>
      <c r="C4038" t="s">
        <v>22</v>
      </c>
      <c r="D4038" s="2" t="s">
        <f>=HYPERLINK("https://main.knesset.gov.il/APPS/legislation/main/bills/2203727", "הצעת חוק הסדרת העיסוק במקצועות הבריאות (תיקון - טיפול באמצעות אמנויות), התשפ""ג-2023")</f>
        <v>8532</v>
      </c>
      <c r="E4038" t="s">
        <v>8532</v>
      </c>
      <c r="F4038" t="s">
        <v>8533</v>
      </c>
      <c r="G4038" t="s">
        <v>14</v>
      </c>
      <c r="H4038">
             </c>
      <c r="I4038" t="s">
        <v>14</v>
      </c>
      <c r="J4038" t="s">
        <v>31</v>
      </c>
      <c r="K4038" t="s">
        <v>480</v>
      </c>
      <c r="L4038" t="s">
        <v>20</v>
      </c>
      <c r="M4038" t="s">
        <v>8527</v>
      </c>
      <c r="N4038" t="s">
        <v>14</v>
      </c>
    </row>
    <row r="4039" x14ac:dyDescent="0.25">
      <c r="A4039" t="n">
        <v>25</v>
      </c>
      <c r="B4039" t="s">
        <v>14</v>
      </c>
      <c r="C4039" t="s">
        <v>22</v>
      </c>
      <c r="D4039" s="2" t="s">
        <f>=HYPERLINK("https://main.knesset.gov.il/APPS/legislation/main/bills/2202653", "הצעת חוק הגבלת הפרסומת והשיווק של משקאות אלכוהוליים (תיקון - אזהרת שתיית אלכוהול לנשים הרות), התשפ""ג-2023")</f>
        <v>8534</v>
      </c>
      <c r="E4039" t="s">
        <v>8534</v>
      </c>
      <c r="F4039" t="s">
        <v>8535</v>
      </c>
      <c r="G4039" t="s">
        <v>14</v>
      </c>
      <c r="H4039">
             </c>
      <c r="I4039" t="s">
        <v>14</v>
      </c>
      <c r="J4039" t="s">
        <v>343</v>
      </c>
      <c r="K4039" t="s">
        <v>14</v>
      </c>
      <c r="L4039" t="s">
        <v>20</v>
      </c>
      <c r="M4039" t="s">
        <v>8527</v>
      </c>
      <c r="N4039" t="s">
        <v>14</v>
      </c>
    </row>
    <row r="4040" x14ac:dyDescent="0.25">
      <c r="A4040" t="n">
        <v>25</v>
      </c>
      <c r="B4040" t="s">
        <v>14</v>
      </c>
      <c r="C4040" t="s">
        <v>22</v>
      </c>
      <c r="D4040" s="2" t="s">
        <f>=HYPERLINK("https://main.knesset.gov.il/APPS/legislation/main/bills/2198973", "הצעת חוק-יסוד: מגילת העצמאות")</f>
        <v>7662</v>
      </c>
      <c r="E4040" t="s">
        <v>7662</v>
      </c>
      <c r="F4040" t="s">
        <v>8536</v>
      </c>
      <c r="G4040" t="s">
        <v>14</v>
      </c>
      <c r="H4040">
             </c>
      <c r="I4040" t="s">
        <v>14</v>
      </c>
      <c r="J4040" t="s">
        <v>55</v>
      </c>
      <c r="K4040" t="s">
        <v>14</v>
      </c>
      <c r="L4040" t="s">
        <v>20</v>
      </c>
      <c r="M4040" t="s">
        <v>8527</v>
      </c>
      <c r="N4040" t="s">
        <v>14</v>
      </c>
    </row>
    <row r="4041" x14ac:dyDescent="0.25">
      <c r="A4041" t="n">
        <v>25</v>
      </c>
      <c r="B4041" t="s">
        <v>14</v>
      </c>
      <c r="C4041" t="s">
        <v>22</v>
      </c>
      <c r="D4041" s="2" t="s">
        <f>=HYPERLINK("https://main.knesset.gov.il/APPS/legislation/main/bills/2199257", "הצעת חוק הביטוח הלאומי (תיקון - השוואת זכויות אלמן ואלמנה), התשפ""ג-2023")</f>
        <v>8065</v>
      </c>
      <c r="E4041" t="s">
        <v>8065</v>
      </c>
      <c r="F4041" t="s">
        <v>8537</v>
      </c>
      <c r="G4041" t="s">
        <v>14</v>
      </c>
      <c r="H4041">
             </c>
      <c r="I4041" t="s">
        <v>14</v>
      </c>
      <c r="J4041" t="s">
        <v>55</v>
      </c>
      <c r="K4041" t="s">
        <v>14</v>
      </c>
      <c r="L4041" t="s">
        <v>20</v>
      </c>
      <c r="M4041" t="s">
        <v>8527</v>
      </c>
      <c r="N4041" t="s">
        <v>14</v>
      </c>
    </row>
    <row r="4042" x14ac:dyDescent="0.25">
      <c r="A4042" t="n">
        <v>25</v>
      </c>
      <c r="B4042" t="s">
        <v>14</v>
      </c>
      <c r="C4042" t="s">
        <v>22</v>
      </c>
      <c r="D4042" s="2" t="s">
        <f>=HYPERLINK("https://main.knesset.gov.il/APPS/legislation/main/bills/2199958", "הצעת חוק-יסוד: הכנסת (תיקון - ייצוג מינימלי לשני המינים ברשימת מועמדים לכנסת)")</f>
        <v>1843</v>
      </c>
      <c r="E4042" t="s">
        <v>1843</v>
      </c>
      <c r="F4042" t="s">
        <v>8538</v>
      </c>
      <c r="G4042" t="s">
        <v>14</v>
      </c>
      <c r="H4042">
             </c>
      <c r="I4042" t="s">
        <v>14</v>
      </c>
      <c r="J4042" t="s">
        <v>55</v>
      </c>
      <c r="K4042" t="s">
        <v>14</v>
      </c>
      <c r="L4042" t="s">
        <v>20</v>
      </c>
      <c r="M4042" t="s">
        <v>8527</v>
      </c>
      <c r="N4042" t="s">
        <v>14</v>
      </c>
    </row>
    <row r="4043" x14ac:dyDescent="0.25">
      <c r="A4043" t="n">
        <v>25</v>
      </c>
      <c r="B4043" t="s">
        <v>14</v>
      </c>
      <c r="C4043" t="s">
        <v>22</v>
      </c>
      <c r="D4043" s="2" t="s">
        <f>=HYPERLINK("https://main.knesset.gov.il/APPS/legislation/main/bills/2198794", "הצעת חוק הסדרת העיסוק במקצועות הבריאות (תיקון - טיפול באמצעות אמנויות), התשפ""ג-2023")</f>
        <v>8532</v>
      </c>
      <c r="E4043" t="s">
        <v>8532</v>
      </c>
      <c r="F4043" t="s">
        <v>8539</v>
      </c>
      <c r="G4043" t="s">
        <v>14</v>
      </c>
      <c r="H4043">
             </c>
      <c r="I4043" t="s">
        <v>14</v>
      </c>
      <c r="J4043" t="s">
        <v>31</v>
      </c>
      <c r="K4043" t="s">
        <v>480</v>
      </c>
      <c r="L4043" t="s">
        <v>20</v>
      </c>
      <c r="M4043" t="s">
        <v>8527</v>
      </c>
      <c r="N4043" t="s">
        <v>14</v>
      </c>
    </row>
    <row r="4044" x14ac:dyDescent="0.25">
      <c r="A4044" t="n">
        <v>25</v>
      </c>
      <c r="B4044" t="s">
        <v>14</v>
      </c>
      <c r="C4044" t="s">
        <v>22</v>
      </c>
      <c r="D4044" s="2" t="s">
        <f>=HYPERLINK("https://main.knesset.gov.il/APPS/legislation/main/bills/2198893", "הצעת חוק הסדרת העיסוק במקצועות הבריאות (תיקון - טיפול באמצעות אמנויות), התשפ""ג-2023")</f>
        <v>8532</v>
      </c>
      <c r="E4044" t="s">
        <v>8532</v>
      </c>
      <c r="F4044" t="s">
        <v>8540</v>
      </c>
      <c r="G4044" t="s">
        <v>14</v>
      </c>
      <c r="H4044">
             </c>
      <c r="I4044" t="s">
        <v>14</v>
      </c>
      <c r="J4044" t="s">
        <v>31</v>
      </c>
      <c r="K4044" t="s">
        <v>480</v>
      </c>
      <c r="L4044" t="s">
        <v>20</v>
      </c>
      <c r="M4044" t="s">
        <v>8527</v>
      </c>
      <c r="N4044" t="s">
        <v>14</v>
      </c>
    </row>
    <row r="4045" x14ac:dyDescent="0.25">
      <c r="A4045" t="n">
        <v>25</v>
      </c>
      <c r="B4045" t="s">
        <v>14</v>
      </c>
      <c r="C4045" t="s">
        <v>22</v>
      </c>
      <c r="D4045" s="2" t="s">
        <f>=HYPERLINK("https://main.knesset.gov.il/APPS/legislation/main/bills/2198950", "הצעת חוק תאגידי מים וביוב (תיקון - הפעלת שירותי מים וביוב על ידי רשות מקומית), התשפ""ג-2023")</f>
        <v>8541</v>
      </c>
      <c r="E4045" t="s">
        <v>8541</v>
      </c>
      <c r="F4045" t="s">
        <v>8542</v>
      </c>
      <c r="G4045" t="s">
        <v>14</v>
      </c>
      <c r="H4045">
             </c>
      <c r="I4045" t="s">
        <v>14</v>
      </c>
      <c r="J4045" t="s">
        <v>55</v>
      </c>
      <c r="K4045" t="s">
        <v>14</v>
      </c>
      <c r="L4045" t="s">
        <v>20</v>
      </c>
      <c r="M4045" t="s">
        <v>8527</v>
      </c>
      <c r="N4045" t="s">
        <v>14</v>
      </c>
    </row>
    <row r="4046" x14ac:dyDescent="0.25">
      <c r="A4046" t="n">
        <v>25</v>
      </c>
      <c r="B4046" t="s">
        <v>14</v>
      </c>
      <c r="C4046" t="s">
        <v>22</v>
      </c>
      <c r="D4046" s="2" t="s">
        <f>=HYPERLINK("https://main.knesset.gov.il/APPS/legislation/main/bills/2197469", "הצעת חוק שירות המדינה (מינויים) (תיקון - ייצוג הולם לבני החברה הערבית, לרבות הדרוזית והצ'רקסית), התשפ""ג-2023")</f>
        <v>8543</v>
      </c>
      <c r="E4046" t="s">
        <v>8543</v>
      </c>
      <c r="F4046" t="s">
        <v>8544</v>
      </c>
      <c r="G4046" t="s">
        <v>14</v>
      </c>
      <c r="H4046">
             </c>
      <c r="I4046" t="s">
        <v>14</v>
      </c>
      <c r="J4046" t="s">
        <v>343</v>
      </c>
      <c r="K4046" t="s">
        <v>14</v>
      </c>
      <c r="L4046" t="s">
        <v>20</v>
      </c>
      <c r="M4046" t="s">
        <v>8527</v>
      </c>
      <c r="N4046" t="s">
        <v>14</v>
      </c>
    </row>
    <row r="4047" x14ac:dyDescent="0.25">
      <c r="A4047" t="n">
        <v>25</v>
      </c>
      <c r="B4047" t="s">
        <v>14</v>
      </c>
      <c r="C4047" t="s">
        <v>22</v>
      </c>
      <c r="D4047" s="2" t="s">
        <f>=HYPERLINK("https://main.knesset.gov.il/APPS/legislation/main/bills/2197259", "הצעת חוק הסדרת העיסוק במקצועות הבריאות (תיקון - טיפול באמצעות אמנויות), התשפ""ג-2022")</f>
        <v>8545</v>
      </c>
      <c r="E4047" t="s">
        <v>8545</v>
      </c>
      <c r="F4047" t="s">
        <v>8546</v>
      </c>
      <c r="G4047" t="s">
        <v>14</v>
      </c>
      <c r="H4047">
             </c>
      <c r="I4047" t="s">
        <v>14</v>
      </c>
      <c r="J4047" t="s">
        <v>31</v>
      </c>
      <c r="K4047" t="s">
        <v>480</v>
      </c>
      <c r="L4047" t="s">
        <v>20</v>
      </c>
      <c r="M4047" t="s">
        <v>8527</v>
      </c>
      <c r="N4047" t="s">
        <v>14</v>
      </c>
    </row>
    <row r="4048" x14ac:dyDescent="0.25">
      <c r="A4048" t="n">
        <v>25</v>
      </c>
      <c r="B4048" t="s">
        <v>14</v>
      </c>
      <c r="C4048" t="s">
        <v>22</v>
      </c>
      <c r="D4048" s="2" t="s">
        <f>=HYPERLINK("https://main.knesset.gov.il/APPS/legislation/main/bills/2196116", "הצעת חוק הסדרת העיסוק במקצועות הבריאות (תיקון - טיפול באמצעות אמנויות), התשפ""ג-2022")</f>
        <v>8545</v>
      </c>
      <c r="E4048" t="s">
        <v>8545</v>
      </c>
      <c r="F4048" t="s">
        <v>8547</v>
      </c>
      <c r="G4048" t="s">
        <v>14</v>
      </c>
      <c r="H4048">
             </c>
      <c r="I4048" t="s">
        <v>14</v>
      </c>
      <c r="J4048" t="s">
        <v>31</v>
      </c>
      <c r="K4048" t="s">
        <v>480</v>
      </c>
      <c r="L4048" t="s">
        <v>20</v>
      </c>
      <c r="M4048" t="s">
        <v>8527</v>
      </c>
      <c r="N4048" t="s">
        <v>14</v>
      </c>
    </row>
    <row r="4049" x14ac:dyDescent="0.25">
      <c r="A4049" t="n">
        <v>25</v>
      </c>
      <c r="B4049" t="s">
        <v>14</v>
      </c>
      <c r="C4049" t="s">
        <v>22</v>
      </c>
      <c r="D4049" s="2" t="s">
        <f>=HYPERLINK("https://main.knesset.gov.il/APPS/legislation/main/bills/2195837", "הצעת חוק הסדרת העיסוק במקצועות הבריאות (תיקון - טיפול באמצעות אמנויות), התשפ""ג-2022")</f>
        <v>8545</v>
      </c>
      <c r="E4049" t="s">
        <v>8545</v>
      </c>
      <c r="F4049" t="s">
        <v>8548</v>
      </c>
      <c r="G4049" t="s">
        <v>14</v>
      </c>
      <c r="H4049">
             </c>
      <c r="I4049" t="s">
        <v>14</v>
      </c>
      <c r="J4049" t="s">
        <v>31</v>
      </c>
      <c r="K4049" t="s">
        <v>480</v>
      </c>
      <c r="L4049" t="s">
        <v>20</v>
      </c>
      <c r="M4049" t="s">
        <v>8527</v>
      </c>
      <c r="N4049" t="s">
        <v>14</v>
      </c>
    </row>
    <row r="4050" x14ac:dyDescent="0.25">
      <c r="A4050" t="n">
        <v>25</v>
      </c>
      <c r="B4050" t="s">
        <v>14</v>
      </c>
      <c r="C4050" t="s">
        <v>22</v>
      </c>
      <c r="D4050" s="2" t="s">
        <f>=HYPERLINK("https://main.knesset.gov.il/APPS/legislation/main/bills/2204887", "חוק הרשויות המקומיות (בחירות) (תיקון מס' 53), התשפ""ג-2023 ")</f>
        <v>8549</v>
      </c>
      <c r="E4050" t="s">
        <v>8549</v>
      </c>
      <c r="F4050" t="s">
        <v>8550</v>
      </c>
      <c r="G4050" t="s">
        <v>8551</v>
      </c>
      <c r="H4050" t="n">
        <v>3057</v>
      </c>
      <c r="I4050" t="s">
        <v>14</v>
      </c>
      <c r="J4050" t="s">
        <v>91</v>
      </c>
      <c r="K4050" t="s">
        <v>46</v>
      </c>
      <c r="L4050" t="s">
        <v>20</v>
      </c>
      <c r="M4050" t="s">
        <v>8552</v>
      </c>
      <c r="N4050" t="s">
        <v>8553</v>
      </c>
    </row>
    <row r="4051" x14ac:dyDescent="0.25">
      <c r="A4051" t="n">
        <v>25</v>
      </c>
      <c r="B4051" t="s">
        <v>14</v>
      </c>
      <c r="C4051" t="s">
        <v>22</v>
      </c>
      <c r="D4051" s="2" t="s">
        <f>=HYPERLINK("https://main.knesset.gov.il/APPS/legislation/main/bills/2203342", "הצעת חוק פיקוח על בתי ספר (תיקון - איסור העסקת מורשעי ותומכי טרור ופיקוח על תכני הלימוד למניעת הסתה), התשפ""ג-2023")</f>
        <v>8554</v>
      </c>
      <c r="E4051" t="s">
        <v>8554</v>
      </c>
      <c r="F4051" t="s">
        <v>8555</v>
      </c>
      <c r="G4051" t="s">
        <v>14</v>
      </c>
      <c r="H4051">
             </c>
      <c r="I4051" t="s">
        <v>14</v>
      </c>
      <c r="J4051" t="s">
        <v>99</v>
      </c>
      <c r="K4051" t="s">
        <v>34</v>
      </c>
      <c r="L4051" t="s">
        <v>20</v>
      </c>
      <c r="M4051" t="s">
        <v>8552</v>
      </c>
      <c r="N4051" t="s">
        <v>14</v>
      </c>
    </row>
    <row r="4052" x14ac:dyDescent="0.25">
      <c r="A4052" t="n">
        <v>25</v>
      </c>
      <c r="B4052" t="s">
        <v>14</v>
      </c>
      <c r="C4052" t="s">
        <v>22</v>
      </c>
      <c r="D4052" s="2" t="s">
        <f>=HYPERLINK("https://main.knesset.gov.il/APPS/legislation/main/bills/2201046", "הצעת חוק למניעת הטרדה מינית (תיקון - החמרת ענישה בעבירות טרור לאומני), התשפ""ג-2023")</f>
        <v>8556</v>
      </c>
      <c r="E4052" t="s">
        <v>8556</v>
      </c>
      <c r="F4052" t="s">
        <v>8557</v>
      </c>
      <c r="G4052" t="s">
        <v>14</v>
      </c>
      <c r="H4052">
             </c>
      <c r="I4052" t="s">
        <v>14</v>
      </c>
      <c r="J4052" t="s">
        <v>99</v>
      </c>
      <c r="K4052" t="s">
        <v>14</v>
      </c>
      <c r="L4052" t="s">
        <v>20</v>
      </c>
      <c r="M4052" t="s">
        <v>8558</v>
      </c>
      <c r="N4052" t="s">
        <v>14</v>
      </c>
    </row>
    <row r="4053" x14ac:dyDescent="0.25">
      <c r="A4053" t="n">
        <v>25</v>
      </c>
      <c r="B4053" t="s">
        <v>14</v>
      </c>
      <c r="C4053" t="s">
        <v>15</v>
      </c>
      <c r="D4053" s="2" t="s">
        <f>=HYPERLINK("https://main.knesset.gov.il/APPS/legislation/main/bills/2207377", "חוק הרבנות הראשית לישראל (הארכת כהונה של הרבנים הראשיים לישראל ושל חברי מועצת הרבנות הראשית לישראל) (הוראת שעה), התשפ""ג-2023")</f>
        <v>8559</v>
      </c>
      <c r="E4053" t="s">
        <v>8559</v>
      </c>
      <c r="F4053" t="s">
        <v>14</v>
      </c>
      <c r="G4053" t="s">
        <v>8560</v>
      </c>
      <c r="H4053" t="n">
        <v>3056</v>
      </c>
      <c r="I4053" t="s">
        <v>14</v>
      </c>
      <c r="J4053" t="s">
        <v>91</v>
      </c>
      <c r="K4053" t="s">
        <v>27</v>
      </c>
      <c r="L4053" t="s">
        <v>20</v>
      </c>
      <c r="M4053" t="s">
        <v>8558</v>
      </c>
      <c r="N4053" t="s">
        <v>8561</v>
      </c>
    </row>
    <row r="4054" x14ac:dyDescent="0.25">
      <c r="A4054" t="n">
        <v>25</v>
      </c>
      <c r="B4054" t="s">
        <v>14</v>
      </c>
      <c r="C4054" t="s">
        <v>22</v>
      </c>
      <c r="D4054" s="2" t="s">
        <f>=HYPERLINK("https://main.knesset.gov.il/APPS/legislation/main/bills/2207757", "הצעת חוק הביטוח הלאומי (תיקון - תשלום גמלה בעד תקופה שקדמה להגשת התביעה), התשפ""ג-2023")</f>
        <v>8087</v>
      </c>
      <c r="E4054" t="s">
        <v>8087</v>
      </c>
      <c r="F4054" t="s">
        <v>8562</v>
      </c>
      <c r="G4054" t="s">
        <v>14</v>
      </c>
      <c r="H4054">
             </c>
      <c r="I4054" t="s">
        <v>14</v>
      </c>
      <c r="J4054" t="s">
        <v>141</v>
      </c>
      <c r="K4054" t="s">
        <v>14</v>
      </c>
      <c r="L4054" t="s">
        <v>20</v>
      </c>
      <c r="M4054" t="s">
        <v>8558</v>
      </c>
      <c r="N4054" t="s">
        <v>14</v>
      </c>
    </row>
    <row r="4055" x14ac:dyDescent="0.25">
      <c r="A4055" t="n">
        <v>25</v>
      </c>
      <c r="B4055" t="s">
        <v>14</v>
      </c>
      <c r="C4055" t="s">
        <v>22</v>
      </c>
      <c r="D4055" s="2" t="s">
        <f>=HYPERLINK("https://main.knesset.gov.il/APPS/legislation/main/bills/2207497", "הצעת חוק עובדים זרים (תיקון - אי-תחולת הסדר פנסיוני על עובד זר המועסק בחקלאות), התשפ""ג-2023")</f>
        <v>8563</v>
      </c>
      <c r="E4055" t="s">
        <v>8563</v>
      </c>
      <c r="F4055" t="s">
        <v>8564</v>
      </c>
      <c r="G4055" t="s">
        <v>14</v>
      </c>
      <c r="H4055">
             </c>
      <c r="I4055" t="s">
        <v>14</v>
      </c>
      <c r="J4055" t="s">
        <v>141</v>
      </c>
      <c r="K4055" t="s">
        <v>14</v>
      </c>
      <c r="L4055" t="s">
        <v>20</v>
      </c>
      <c r="M4055" t="s">
        <v>8558</v>
      </c>
      <c r="N4055" t="s">
        <v>14</v>
      </c>
    </row>
    <row r="4056" x14ac:dyDescent="0.25">
      <c r="A4056" t="n">
        <v>25</v>
      </c>
      <c r="B4056" t="s">
        <v>14</v>
      </c>
      <c r="C4056" t="s">
        <v>22</v>
      </c>
      <c r="D4056" s="2" t="s">
        <f>=HYPERLINK("https://main.knesset.gov.il/APPS/legislation/main/bills/2205551", "הצעת חוק לתיקון פקודת מס הכנסה (דחיית מימוש נקודות זיכוי לחיילים משוחררים), התשפ""ג-2023")</f>
        <v>8565</v>
      </c>
      <c r="E4056" t="s">
        <v>8565</v>
      </c>
      <c r="F4056" t="s">
        <v>8566</v>
      </c>
      <c r="G4056" t="s">
        <v>14</v>
      </c>
      <c r="H4056">
             </c>
      <c r="I4056" t="s">
        <v>14</v>
      </c>
      <c r="J4056" t="s">
        <v>141</v>
      </c>
      <c r="K4056" t="s">
        <v>14</v>
      </c>
      <c r="L4056" t="s">
        <v>20</v>
      </c>
      <c r="M4056" t="s">
        <v>8558</v>
      </c>
      <c r="N4056" t="s">
        <v>14</v>
      </c>
    </row>
    <row r="4057" x14ac:dyDescent="0.25">
      <c r="A4057" t="n">
        <v>25</v>
      </c>
      <c r="B4057" t="s">
        <v>14</v>
      </c>
      <c r="C4057" t="s">
        <v>22</v>
      </c>
      <c r="D4057" s="2" t="s">
        <f>=HYPERLINK("https://main.knesset.gov.il/APPS/legislation/main/bills/2207882", "הצעת חוק הבנקאות (שירות ללקוח) (תיקון - ריבית על יתרת זכות), התשפ""ג-2023")</f>
        <v>2315</v>
      </c>
      <c r="E4057" t="s">
        <v>2315</v>
      </c>
      <c r="F4057" t="s">
        <v>8567</v>
      </c>
      <c r="G4057" t="s">
        <v>14</v>
      </c>
      <c r="H4057">
             </c>
      <c r="I4057" t="s">
        <v>14</v>
      </c>
      <c r="J4057" t="s">
        <v>141</v>
      </c>
      <c r="K4057" t="s">
        <v>14</v>
      </c>
      <c r="L4057" t="s">
        <v>20</v>
      </c>
      <c r="M4057" t="s">
        <v>8558</v>
      </c>
      <c r="N4057" t="s">
        <v>14</v>
      </c>
    </row>
    <row r="4058" x14ac:dyDescent="0.25">
      <c r="A4058" t="n">
        <v>25</v>
      </c>
      <c r="B4058" t="s">
        <v>14</v>
      </c>
      <c r="C4058" t="s">
        <v>22</v>
      </c>
      <c r="D4058" s="2" t="s">
        <f>=HYPERLINK("https://main.knesset.gov.il/APPS/legislation/main/bills/2207435", "הצעת חוק לקידום התחרות ולצמצום הריכוזיות (תיקון - שירותי בנקאות כתחום תשתית חיונית), התשפ""ג-2023")</f>
        <v>8568</v>
      </c>
      <c r="E4058" t="s">
        <v>8568</v>
      </c>
      <c r="F4058" t="s">
        <v>8569</v>
      </c>
      <c r="G4058" t="s">
        <v>14</v>
      </c>
      <c r="H4058">
             </c>
      <c r="I4058" t="s">
        <v>14</v>
      </c>
      <c r="J4058" t="s">
        <v>141</v>
      </c>
      <c r="K4058" t="s">
        <v>14</v>
      </c>
      <c r="L4058" t="s">
        <v>20</v>
      </c>
      <c r="M4058" t="s">
        <v>8558</v>
      </c>
      <c r="N4058" t="s">
        <v>14</v>
      </c>
    </row>
    <row r="4059" x14ac:dyDescent="0.25">
      <c r="A4059" t="n">
        <v>25</v>
      </c>
      <c r="B4059" t="s">
        <v>14</v>
      </c>
      <c r="C4059" t="s">
        <v>22</v>
      </c>
      <c r="D4059" s="2" t="s">
        <f>=HYPERLINK("https://main.knesset.gov.il/APPS/legislation/main/bills/2207240", "הצעת חוק מס ערך מוסף (תיקון - מס בשיעור אפס על מוצרי היגיינה נשית), התשפ""ג-2023")</f>
        <v>8570</v>
      </c>
      <c r="E4059" t="s">
        <v>8570</v>
      </c>
      <c r="F4059" t="s">
        <v>8571</v>
      </c>
      <c r="G4059" t="s">
        <v>14</v>
      </c>
      <c r="H4059">
             </c>
      <c r="I4059" t="s">
        <v>14</v>
      </c>
      <c r="J4059" t="s">
        <v>141</v>
      </c>
      <c r="K4059" t="s">
        <v>14</v>
      </c>
      <c r="L4059" t="s">
        <v>20</v>
      </c>
      <c r="M4059" t="s">
        <v>8558</v>
      </c>
      <c r="N4059" t="s">
        <v>14</v>
      </c>
    </row>
    <row r="4060" x14ac:dyDescent="0.25">
      <c r="A4060" t="n">
        <v>25</v>
      </c>
      <c r="B4060" t="s">
        <v>14</v>
      </c>
      <c r="C4060" t="s">
        <v>22</v>
      </c>
      <c r="D4060" s="2" t="s">
        <f>=HYPERLINK("https://main.knesset.gov.il/APPS/legislation/main/bills/2207069", "הצעת חוק מס ערך מוסף (תיקון - מס בשיעור אפס על תרופות), התשפ""ג-2023")</f>
        <v>8049</v>
      </c>
      <c r="E4060" t="s">
        <v>8049</v>
      </c>
      <c r="F4060" t="s">
        <v>8572</v>
      </c>
      <c r="G4060" t="s">
        <v>14</v>
      </c>
      <c r="H4060">
             </c>
      <c r="I4060" t="s">
        <v>14</v>
      </c>
      <c r="J4060" t="s">
        <v>141</v>
      </c>
      <c r="K4060" t="s">
        <v>14</v>
      </c>
      <c r="L4060" t="s">
        <v>20</v>
      </c>
      <c r="M4060" t="s">
        <v>8558</v>
      </c>
      <c r="N4060" t="s">
        <v>14</v>
      </c>
    </row>
    <row r="4061" x14ac:dyDescent="0.25">
      <c r="A4061" t="n">
        <v>25</v>
      </c>
      <c r="B4061" t="s">
        <v>14</v>
      </c>
      <c r="C4061" t="s">
        <v>22</v>
      </c>
      <c r="D4061" s="2" t="s">
        <f>=HYPERLINK("https://main.knesset.gov.il/APPS/legislation/main/bills/2206413", "הצעת חוק סדר הדין הפלילי (תיקון - הגבלת משך זמן החקירה המשטרתית וטיפול התביעה בתיק החקירה עד להגשת כתב אישום), התשפ""ג-2023")</f>
        <v>8573</v>
      </c>
      <c r="E4061" t="s">
        <v>8573</v>
      </c>
      <c r="F4061" t="s">
        <v>8574</v>
      </c>
      <c r="G4061" t="s">
        <v>14</v>
      </c>
      <c r="H4061">
             </c>
      <c r="I4061" t="s">
        <v>14</v>
      </c>
      <c r="J4061" t="s">
        <v>141</v>
      </c>
      <c r="K4061" t="s">
        <v>14</v>
      </c>
      <c r="L4061" t="s">
        <v>20</v>
      </c>
      <c r="M4061" t="s">
        <v>8558</v>
      </c>
      <c r="N4061" t="s">
        <v>14</v>
      </c>
    </row>
    <row r="4062" x14ac:dyDescent="0.25">
      <c r="A4062" t="n">
        <v>25</v>
      </c>
      <c r="B4062" t="s">
        <v>14</v>
      </c>
      <c r="C4062" t="s">
        <v>22</v>
      </c>
      <c r="D4062" s="2" t="s">
        <f>=HYPERLINK("https://main.knesset.gov.il/APPS/legislation/main/bills/2207173", "הצעת חוק לשכת עורכי הדין (תיקון - התמחות ומבחני הסמכה), התשפ""ג-2023")</f>
        <v>8575</v>
      </c>
      <c r="E4062" t="s">
        <v>8575</v>
      </c>
      <c r="F4062" t="s">
        <v>8576</v>
      </c>
      <c r="G4062" t="s">
        <v>14</v>
      </c>
      <c r="H4062">
             </c>
      <c r="I4062" t="s">
        <v>14</v>
      </c>
      <c r="J4062" t="s">
        <v>141</v>
      </c>
      <c r="K4062" t="s">
        <v>14</v>
      </c>
      <c r="L4062" t="s">
        <v>20</v>
      </c>
      <c r="M4062" t="s">
        <v>8558</v>
      </c>
      <c r="N4062" t="s">
        <v>14</v>
      </c>
    </row>
    <row r="4063" x14ac:dyDescent="0.25">
      <c r="A4063" t="n">
        <v>25</v>
      </c>
      <c r="B4063" t="s">
        <v>14</v>
      </c>
      <c r="C4063" t="s">
        <v>22</v>
      </c>
      <c r="D4063" s="2" t="s">
        <f>=HYPERLINK("https://main.knesset.gov.il/APPS/legislation/main/bills/2206648", "הצעת חוק צער בעלי חיים (הגנה על בעלי חיים) (תיקון - איסור שימוש באביזרים חשמליים), התשפ""ג-2023")</f>
        <v>8577</v>
      </c>
      <c r="E4063" t="s">
        <v>8577</v>
      </c>
      <c r="F4063" t="s">
        <v>8578</v>
      </c>
      <c r="G4063" t="s">
        <v>14</v>
      </c>
      <c r="H4063">
             </c>
      <c r="I4063" t="s">
        <v>14</v>
      </c>
      <c r="J4063" t="s">
        <v>141</v>
      </c>
      <c r="K4063" t="s">
        <v>14</v>
      </c>
      <c r="L4063" t="s">
        <v>20</v>
      </c>
      <c r="M4063" t="s">
        <v>8558</v>
      </c>
      <c r="N4063" t="s">
        <v>14</v>
      </c>
    </row>
    <row r="4064" x14ac:dyDescent="0.25">
      <c r="A4064" t="n">
        <v>25</v>
      </c>
      <c r="B4064" t="s">
        <v>14</v>
      </c>
      <c r="C4064" t="s">
        <v>22</v>
      </c>
      <c r="D4064" s="2" t="s">
        <f>=HYPERLINK("https://main.knesset.gov.il/APPS/legislation/main/bills/2207050", "הצעת חוק יום הרבי מלובביץ' (ציון זכרו ופועלו), התשפ""ג-2023")</f>
        <v>8579</v>
      </c>
      <c r="E4064" t="s">
        <v>8579</v>
      </c>
      <c r="F4064" t="s">
        <v>8580</v>
      </c>
      <c r="G4064" t="s">
        <v>14</v>
      </c>
      <c r="H4064">
             </c>
      <c r="I4064" t="s">
        <v>14</v>
      </c>
      <c r="J4064" t="s">
        <v>141</v>
      </c>
      <c r="K4064" t="s">
        <v>14</v>
      </c>
      <c r="L4064" t="s">
        <v>20</v>
      </c>
      <c r="M4064" t="s">
        <v>8558</v>
      </c>
      <c r="N4064" t="s">
        <v>14</v>
      </c>
    </row>
    <row r="4065" x14ac:dyDescent="0.25">
      <c r="A4065" t="n">
        <v>25</v>
      </c>
      <c r="B4065" t="s">
        <v>14</v>
      </c>
      <c r="C4065" t="s">
        <v>22</v>
      </c>
      <c r="D4065" s="2" t="s">
        <f>=HYPERLINK("https://main.knesset.gov.il/APPS/legislation/main/bills/2207411", "הצעת חוק זכאות לאבחון לקויות למידה לילדים ממשפחות מעוטות יכולת, התשפ""ג-2023")</f>
        <v>4035</v>
      </c>
      <c r="E4065" t="s">
        <v>4035</v>
      </c>
      <c r="F4065" t="s">
        <v>8581</v>
      </c>
      <c r="G4065" t="s">
        <v>14</v>
      </c>
      <c r="H4065">
             </c>
      <c r="I4065" t="s">
        <v>14</v>
      </c>
      <c r="J4065" t="s">
        <v>141</v>
      </c>
      <c r="K4065" t="s">
        <v>14</v>
      </c>
      <c r="L4065" t="s">
        <v>20</v>
      </c>
      <c r="M4065" t="s">
        <v>8558</v>
      </c>
      <c r="N4065" t="s">
        <v>14</v>
      </c>
    </row>
    <row r="4066" x14ac:dyDescent="0.25">
      <c r="A4066" t="n">
        <v>25</v>
      </c>
      <c r="B4066" t="s">
        <v>14</v>
      </c>
      <c r="C4066" t="s">
        <v>22</v>
      </c>
      <c r="D4066" s="2" t="s">
        <f>=HYPERLINK("https://main.knesset.gov.il/APPS/legislation/main/bills/2207079", "הצעת חוק מעונות סטודנטים, התשפ""ג-2023")</f>
        <v>8582</v>
      </c>
      <c r="E4066" t="s">
        <v>8582</v>
      </c>
      <c r="F4066" t="s">
        <v>8583</v>
      </c>
      <c r="G4066" t="s">
        <v>14</v>
      </c>
      <c r="H4066">
             </c>
      <c r="I4066" t="s">
        <v>14</v>
      </c>
      <c r="J4066" t="s">
        <v>141</v>
      </c>
      <c r="K4066" t="s">
        <v>14</v>
      </c>
      <c r="L4066" t="s">
        <v>20</v>
      </c>
      <c r="M4066" t="s">
        <v>8558</v>
      </c>
      <c r="N4066" t="s">
        <v>14</v>
      </c>
    </row>
    <row r="4067" x14ac:dyDescent="0.25">
      <c r="A4067" t="n">
        <v>25</v>
      </c>
      <c r="B4067" t="s">
        <v>14</v>
      </c>
      <c r="C4067" t="s">
        <v>22</v>
      </c>
      <c r="D4067" s="2" t="s">
        <f>=HYPERLINK("https://main.knesset.gov.il/APPS/legislation/main/bills/2207865", "הצעת חוק המועצה הלאומית לשפת הסימנים, התשפ""ג-2023")</f>
        <v>8584</v>
      </c>
      <c r="E4067" t="s">
        <v>8584</v>
      </c>
      <c r="F4067" t="s">
        <v>8585</v>
      </c>
      <c r="G4067" t="s">
        <v>14</v>
      </c>
      <c r="H4067">
             </c>
      <c r="I4067" t="s">
        <v>14</v>
      </c>
      <c r="J4067" t="s">
        <v>141</v>
      </c>
      <c r="K4067" t="s">
        <v>14</v>
      </c>
      <c r="L4067" t="s">
        <v>20</v>
      </c>
      <c r="M4067" t="s">
        <v>8558</v>
      </c>
      <c r="N4067" t="s">
        <v>14</v>
      </c>
    </row>
    <row r="4068" x14ac:dyDescent="0.25">
      <c r="A4068" t="n">
        <v>25</v>
      </c>
      <c r="B4068" t="s">
        <v>14</v>
      </c>
      <c r="C4068" t="s">
        <v>22</v>
      </c>
      <c r="D4068" s="2" t="s">
        <f>=HYPERLINK("https://main.knesset.gov.il/APPS/legislation/main/bills/2207660", "הצעת חוק להקמת טכניון בנגב, התשפ""ג-2023")</f>
        <v>8586</v>
      </c>
      <c r="E4068" t="s">
        <v>8586</v>
      </c>
      <c r="F4068" t="s">
        <v>8587</v>
      </c>
      <c r="G4068" t="s">
        <v>14</v>
      </c>
      <c r="H4068">
             </c>
      <c r="I4068" t="s">
        <v>14</v>
      </c>
      <c r="J4068" t="s">
        <v>141</v>
      </c>
      <c r="K4068" t="s">
        <v>14</v>
      </c>
      <c r="L4068" t="s">
        <v>20</v>
      </c>
      <c r="M4068" t="s">
        <v>8558</v>
      </c>
      <c r="N4068" t="s">
        <v>14</v>
      </c>
    </row>
    <row r="4069" x14ac:dyDescent="0.25">
      <c r="A4069" t="n">
        <v>25</v>
      </c>
      <c r="B4069" t="s">
        <v>14</v>
      </c>
      <c r="C4069" t="s">
        <v>22</v>
      </c>
      <c r="D4069" s="2" t="s">
        <f>=HYPERLINK("https://main.knesset.gov.il/APPS/legislation/main/bills/2206215", "הצעת חוק לתיקון פקודת התעבורה (הוראות לעניין סככות המתנה בתחנות אוטובוס), התשפ""ג-2023")</f>
        <v>8588</v>
      </c>
      <c r="E4069" t="s">
        <v>8588</v>
      </c>
      <c r="F4069" t="s">
        <v>8589</v>
      </c>
      <c r="G4069" t="s">
        <v>14</v>
      </c>
      <c r="H4069">
             </c>
      <c r="I4069" t="s">
        <v>14</v>
      </c>
      <c r="J4069" t="s">
        <v>141</v>
      </c>
      <c r="K4069" t="s">
        <v>14</v>
      </c>
      <c r="L4069" t="s">
        <v>20</v>
      </c>
      <c r="M4069" t="s">
        <v>8558</v>
      </c>
      <c r="N4069" t="s">
        <v>14</v>
      </c>
    </row>
    <row r="4070" x14ac:dyDescent="0.25">
      <c r="A4070" t="n">
        <v>25</v>
      </c>
      <c r="B4070" t="s">
        <v>14</v>
      </c>
      <c r="C4070" t="s">
        <v>22</v>
      </c>
      <c r="D4070" s="2" t="s">
        <f>=HYPERLINK("https://main.knesset.gov.il/APPS/legislation/main/bills/2207844", "הצעת חוק לתיקון פקודת התעבורה (ביטול קנס בשל רכישת מערכות בטיחות מתקדמות), התשפ""ג-2023")</f>
        <v>8590</v>
      </c>
      <c r="E4070" t="s">
        <v>8590</v>
      </c>
      <c r="F4070" t="s">
        <v>8591</v>
      </c>
      <c r="G4070" t="s">
        <v>14</v>
      </c>
      <c r="H4070">
             </c>
      <c r="I4070" t="s">
        <v>14</v>
      </c>
      <c r="J4070" t="s">
        <v>141</v>
      </c>
      <c r="K4070" t="s">
        <v>14</v>
      </c>
      <c r="L4070" t="s">
        <v>20</v>
      </c>
      <c r="M4070" t="s">
        <v>8558</v>
      </c>
      <c r="N4070" t="s">
        <v>14</v>
      </c>
    </row>
    <row r="4071" x14ac:dyDescent="0.25">
      <c r="A4071" t="n">
        <v>25</v>
      </c>
      <c r="B4071" t="s">
        <v>14</v>
      </c>
      <c r="C4071" t="s">
        <v>22</v>
      </c>
      <c r="D4071" s="2" t="s">
        <f>=HYPERLINK("https://main.knesset.gov.il/APPS/legislation/main/bills/2206340", "הצעת חוק להפחתת סכום הפיצוי הכספי בשל נסיעה ללא תיקוף כרטיס בתחבורה ציבורית (תיקוני חקיקה), התשפ""ג-2023")</f>
        <v>4242</v>
      </c>
      <c r="E4071" t="s">
        <v>4242</v>
      </c>
      <c r="F4071" t="s">
        <v>8592</v>
      </c>
      <c r="G4071" t="s">
        <v>14</v>
      </c>
      <c r="H4071">
             </c>
      <c r="I4071" t="s">
        <v>14</v>
      </c>
      <c r="J4071" t="s">
        <v>141</v>
      </c>
      <c r="K4071" t="s">
        <v>14</v>
      </c>
      <c r="L4071" t="s">
        <v>20</v>
      </c>
      <c r="M4071" t="s">
        <v>8558</v>
      </c>
      <c r="N4071" t="s">
        <v>14</v>
      </c>
    </row>
    <row r="4072" x14ac:dyDescent="0.25">
      <c r="A4072" t="n">
        <v>25</v>
      </c>
      <c r="B4072" t="s">
        <v>14</v>
      </c>
      <c r="C4072" t="s">
        <v>22</v>
      </c>
      <c r="D4072" s="2" t="s">
        <f>=HYPERLINK("https://main.knesset.gov.il/APPS/legislation/main/bills/2206815", "הצעת חוק-יסוד: השפיטה (תיקון - הגבלת זכות העמידה לתאגידים המקבלים מימון מישות מדינית זרה) ")</f>
        <v>8593</v>
      </c>
      <c r="E4072" t="s">
        <v>8593</v>
      </c>
      <c r="F4072" t="s">
        <v>8594</v>
      </c>
      <c r="G4072" t="s">
        <v>14</v>
      </c>
      <c r="H4072">
             </c>
      <c r="I4072" t="s">
        <v>14</v>
      </c>
      <c r="J4072" t="s">
        <v>141</v>
      </c>
      <c r="K4072" t="s">
        <v>14</v>
      </c>
      <c r="L4072" t="s">
        <v>20</v>
      </c>
      <c r="M4072" t="s">
        <v>8558</v>
      </c>
      <c r="N4072" t="s">
        <v>14</v>
      </c>
    </row>
    <row r="4073" x14ac:dyDescent="0.25">
      <c r="A4073" t="n">
        <v>25</v>
      </c>
      <c r="B4073" t="s">
        <v>14</v>
      </c>
      <c r="C4073" t="s">
        <v>22</v>
      </c>
      <c r="D4073" s="2" t="s">
        <f>=HYPERLINK("https://main.knesset.gov.il/APPS/legislation/main/bills/2207354", "הצעת חוק הצבעה גלויה בכנסת (תיקוני חקיקה), התשפ""ג-2023")</f>
        <v>8595</v>
      </c>
      <c r="E4073" t="s">
        <v>8595</v>
      </c>
      <c r="F4073" t="s">
        <v>8596</v>
      </c>
      <c r="G4073" t="s">
        <v>14</v>
      </c>
      <c r="H4073">
             </c>
      <c r="I4073" t="s">
        <v>14</v>
      </c>
      <c r="J4073" t="s">
        <v>141</v>
      </c>
      <c r="K4073" t="s">
        <v>14</v>
      </c>
      <c r="L4073" t="s">
        <v>20</v>
      </c>
      <c r="M4073" t="s">
        <v>8558</v>
      </c>
      <c r="N4073" t="s">
        <v>14</v>
      </c>
    </row>
    <row r="4074" x14ac:dyDescent="0.25">
      <c r="A4074" t="n">
        <v>25</v>
      </c>
      <c r="B4074" t="s">
        <v>14</v>
      </c>
      <c r="C4074" t="s">
        <v>22</v>
      </c>
      <c r="D4074" s="2" t="s">
        <f>=HYPERLINK("https://main.knesset.gov.il/APPS/legislation/main/bills/2207345", "הצעת חוק בתי המשפט (תיקון - בחירות גלויות לוועדה לבחירת שופטים), התשפ""ג-2023")</f>
        <v>8597</v>
      </c>
      <c r="E4074" t="s">
        <v>8597</v>
      </c>
      <c r="F4074" t="s">
        <v>8598</v>
      </c>
      <c r="G4074" t="s">
        <v>14</v>
      </c>
      <c r="H4074">
             </c>
      <c r="I4074" t="s">
        <v>14</v>
      </c>
      <c r="J4074" t="s">
        <v>141</v>
      </c>
      <c r="K4074" t="s">
        <v>14</v>
      </c>
      <c r="L4074" t="s">
        <v>20</v>
      </c>
      <c r="M4074" t="s">
        <v>8558</v>
      </c>
      <c r="N4074" t="s">
        <v>14</v>
      </c>
    </row>
    <row r="4075" x14ac:dyDescent="0.25">
      <c r="A4075" t="n">
        <v>25</v>
      </c>
      <c r="B4075" t="s">
        <v>14</v>
      </c>
      <c r="C4075" t="s">
        <v>22</v>
      </c>
      <c r="D4075" s="2" t="s">
        <f>=HYPERLINK("https://main.knesset.gov.il/APPS/legislation/main/bills/2206073", "הצעת חוק איסור אלימות בספורט (תיקון - החמרת ענישה על כניסה לשדה משחק), התשפ""ג-2023")</f>
        <v>8599</v>
      </c>
      <c r="E4075" t="s">
        <v>8599</v>
      </c>
      <c r="F4075" t="s">
        <v>8600</v>
      </c>
      <c r="G4075" t="s">
        <v>14</v>
      </c>
      <c r="H4075">
             </c>
      <c r="I4075" t="s">
        <v>14</v>
      </c>
      <c r="J4075" t="s">
        <v>141</v>
      </c>
      <c r="K4075" t="s">
        <v>14</v>
      </c>
      <c r="L4075" t="s">
        <v>20</v>
      </c>
      <c r="M4075" t="s">
        <v>8558</v>
      </c>
      <c r="N4075" t="s">
        <v>14</v>
      </c>
    </row>
    <row r="4076" x14ac:dyDescent="0.25">
      <c r="A4076" t="n">
        <v>25</v>
      </c>
      <c r="B4076" t="s">
        <v>14</v>
      </c>
      <c r="C4076" t="s">
        <v>22</v>
      </c>
      <c r="D4076" s="2" t="s">
        <f>=HYPERLINK("https://main.knesset.gov.il/APPS/legislation/main/bills/2207384", "הצעת חוק שיפוט בתי דין רבניים (נישואין וגירושין) (תיקון - מינוי נציגות ציבור), התשפ""ג-2023 ")</f>
        <v>8601</v>
      </c>
      <c r="E4076" t="s">
        <v>8601</v>
      </c>
      <c r="F4076" t="s">
        <v>8602</v>
      </c>
      <c r="G4076" t="s">
        <v>14</v>
      </c>
      <c r="H4076">
             </c>
      <c r="I4076" t="s">
        <v>14</v>
      </c>
      <c r="J4076" t="s">
        <v>141</v>
      </c>
      <c r="K4076" t="s">
        <v>14</v>
      </c>
      <c r="L4076" t="s">
        <v>20</v>
      </c>
      <c r="M4076" t="s">
        <v>8558</v>
      </c>
      <c r="N4076" t="s">
        <v>14</v>
      </c>
    </row>
    <row r="4077" x14ac:dyDescent="0.25">
      <c r="A4077" t="n">
        <v>25</v>
      </c>
      <c r="B4077" t="s">
        <v>14</v>
      </c>
      <c r="C4077" t="s">
        <v>22</v>
      </c>
      <c r="D4077" s="2" t="s">
        <f>=HYPERLINK("https://main.knesset.gov.il/APPS/legislation/main/bills/2198762", "הצעת חוק הרשויות המקומיות (גמול השתתפות בישיבות והחזר הוצאות לחברי מועצה), התשפ""ג-2023")</f>
        <v>2846</v>
      </c>
      <c r="E4077" t="s">
        <v>2846</v>
      </c>
      <c r="F4077" t="s">
        <v>8603</v>
      </c>
      <c r="G4077" t="s">
        <v>14</v>
      </c>
      <c r="H4077">
             </c>
      <c r="I4077" t="s">
        <v>14</v>
      </c>
      <c r="J4077" t="s">
        <v>141</v>
      </c>
      <c r="K4077" t="s">
        <v>14</v>
      </c>
      <c r="L4077" t="s">
        <v>20</v>
      </c>
      <c r="M4077" t="s">
        <v>8558</v>
      </c>
      <c r="N4077" t="s">
        <v>14</v>
      </c>
    </row>
    <row r="4078" x14ac:dyDescent="0.25">
      <c r="A4078" t="n">
        <v>25</v>
      </c>
      <c r="B4078" t="s">
        <v>14</v>
      </c>
      <c r="C4078" t="s">
        <v>22</v>
      </c>
      <c r="D4078" s="2" t="s">
        <f>=HYPERLINK("https://main.knesset.gov.il/APPS/legislation/main/bills/2202472", "הצעת חוק זכויות הדייר בדיור הציבורי (תיקון - זכאות לאם יחידנית המקבלת תשלומי מזונות מהמוסד לביטוח לאומי), ‏התשפ""ג-2023")</f>
        <v>8604</v>
      </c>
      <c r="E4078" t="s">
        <v>8604</v>
      </c>
      <c r="F4078" t="s">
        <v>8605</v>
      </c>
      <c r="G4078" t="s">
        <v>14</v>
      </c>
      <c r="H4078">
             </c>
      <c r="I4078" t="s">
        <v>14</v>
      </c>
      <c r="J4078" t="s">
        <v>141</v>
      </c>
      <c r="K4078" t="s">
        <v>14</v>
      </c>
      <c r="L4078" t="s">
        <v>20</v>
      </c>
      <c r="M4078" t="s">
        <v>8558</v>
      </c>
      <c r="N4078" t="s">
        <v>14</v>
      </c>
    </row>
    <row r="4079" x14ac:dyDescent="0.25">
      <c r="A4079" t="n">
        <v>25</v>
      </c>
      <c r="B4079" t="s">
        <v>14</v>
      </c>
      <c r="C4079" t="s">
        <v>22</v>
      </c>
      <c r="D4079" s="2" t="s">
        <f>=HYPERLINK("https://main.knesset.gov.il/APPS/legislation/main/bills/2207151", "הצעת חוק הביטוח הלאומי (תיקון - דמי לידה לעצמאיות - מתן זכות לעבודה חלקית), התשפ""ג-2023")</f>
        <v>1797</v>
      </c>
      <c r="E4079" t="s">
        <v>1797</v>
      </c>
      <c r="F4079" t="s">
        <v>8606</v>
      </c>
      <c r="G4079" t="s">
        <v>14</v>
      </c>
      <c r="H4079">
             </c>
      <c r="I4079" t="s">
        <v>14</v>
      </c>
      <c r="J4079" t="s">
        <v>141</v>
      </c>
      <c r="K4079" t="s">
        <v>14</v>
      </c>
      <c r="L4079" t="s">
        <v>20</v>
      </c>
      <c r="M4079" t="s">
        <v>8558</v>
      </c>
      <c r="N4079" t="s">
        <v>14</v>
      </c>
    </row>
    <row r="4080" x14ac:dyDescent="0.25">
      <c r="A4080" t="n">
        <v>25</v>
      </c>
      <c r="B4080" t="s">
        <v>14</v>
      </c>
      <c r="C4080" t="s">
        <v>22</v>
      </c>
      <c r="D4080" s="2" t="s">
        <f>=HYPERLINK("https://main.knesset.gov.il/APPS/legislation/main/bills/2207852", "הצעת חוק הבטחת הכנסה (תיקון - תוספת לגמלה בעד הילד השלישי ואילך), התשפ""ג- 2023")</f>
        <v>8607</v>
      </c>
      <c r="E4080" t="s">
        <v>8607</v>
      </c>
      <c r="F4080" t="s">
        <v>8608</v>
      </c>
      <c r="G4080" t="s">
        <v>14</v>
      </c>
      <c r="H4080">
             </c>
      <c r="I4080" t="s">
        <v>14</v>
      </c>
      <c r="J4080" t="s">
        <v>141</v>
      </c>
      <c r="K4080" t="s">
        <v>14</v>
      </c>
      <c r="L4080" t="s">
        <v>20</v>
      </c>
      <c r="M4080" t="s">
        <v>8558</v>
      </c>
      <c r="N4080" t="s">
        <v>14</v>
      </c>
    </row>
    <row r="4081" x14ac:dyDescent="0.25">
      <c r="A4081" t="n">
        <v>25</v>
      </c>
      <c r="B4081" t="s">
        <v>14</v>
      </c>
      <c r="C4081" t="s">
        <v>22</v>
      </c>
      <c r="D4081" s="2" t="s">
        <f>=HYPERLINK("https://main.knesset.gov.il/APPS/legislation/main/bills/2207434", "הצעת חוק הביטוח הלאומי (תיקון - תנאי זכאות לדמי לידה), התשפ""ג-2023")</f>
        <v>8609</v>
      </c>
      <c r="E4081" t="s">
        <v>8609</v>
      </c>
      <c r="F4081" t="s">
        <v>8610</v>
      </c>
      <c r="G4081" t="s">
        <v>14</v>
      </c>
      <c r="H4081">
             </c>
      <c r="I4081" t="s">
        <v>14</v>
      </c>
      <c r="J4081" t="s">
        <v>141</v>
      </c>
      <c r="K4081" t="s">
        <v>14</v>
      </c>
      <c r="L4081" t="s">
        <v>20</v>
      </c>
      <c r="M4081" t="s">
        <v>8558</v>
      </c>
      <c r="N4081" t="s">
        <v>14</v>
      </c>
    </row>
    <row r="4082" x14ac:dyDescent="0.25">
      <c r="A4082" t="n">
        <v>25</v>
      </c>
      <c r="B4082" t="s">
        <v>14</v>
      </c>
      <c r="C4082" t="s">
        <v>22</v>
      </c>
      <c r="D4082" s="2" t="s">
        <f>=HYPERLINK("https://main.knesset.gov.il/APPS/legislation/main/bills/2200806", "הצעת חוק הסדרת העיסוק במקצועות הבריאות (תיקון - טיפול באמצעות אמנויות), התשפ""ג-2023")</f>
        <v>8532</v>
      </c>
      <c r="E4082" t="s">
        <v>8532</v>
      </c>
      <c r="F4082" t="s">
        <v>8611</v>
      </c>
      <c r="G4082" t="s">
        <v>14</v>
      </c>
      <c r="H4082">
             </c>
      <c r="I4082" t="s">
        <v>14</v>
      </c>
      <c r="J4082" t="s">
        <v>141</v>
      </c>
      <c r="K4082" t="s">
        <v>14</v>
      </c>
      <c r="L4082" t="s">
        <v>20</v>
      </c>
      <c r="M4082" t="s">
        <v>8558</v>
      </c>
      <c r="N4082" t="s">
        <v>14</v>
      </c>
    </row>
    <row r="4083" x14ac:dyDescent="0.25">
      <c r="A4083" t="n">
        <v>25</v>
      </c>
      <c r="B4083" t="s">
        <v>14</v>
      </c>
      <c r="C4083" t="s">
        <v>22</v>
      </c>
      <c r="D4083" s="2" t="s">
        <f>=HYPERLINK("https://main.knesset.gov.il/APPS/legislation/main/bills/2207534", "הצעת חוק העונשין (תיקון - הוספת עבירה של גביית דמי חסות), התשפ""ג-2023")</f>
        <v>8612</v>
      </c>
      <c r="E4083" t="s">
        <v>8612</v>
      </c>
      <c r="F4083" t="s">
        <v>8613</v>
      </c>
      <c r="G4083" t="s">
        <v>14</v>
      </c>
      <c r="H4083">
             </c>
      <c r="I4083" t="s">
        <v>14</v>
      </c>
      <c r="J4083" t="s">
        <v>141</v>
      </c>
      <c r="K4083" t="s">
        <v>14</v>
      </c>
      <c r="L4083" t="s">
        <v>20</v>
      </c>
      <c r="M4083" t="s">
        <v>8558</v>
      </c>
      <c r="N4083" t="s">
        <v>14</v>
      </c>
    </row>
    <row r="4084" x14ac:dyDescent="0.25">
      <c r="A4084" t="n">
        <v>25</v>
      </c>
      <c r="B4084" t="s">
        <v>14</v>
      </c>
      <c r="C4084" t="s">
        <v>22</v>
      </c>
      <c r="D4084" s="2" t="s">
        <f>=HYPERLINK("https://main.knesset.gov.il/APPS/legislation/main/bills/2207245", "הצעת חוק הביטוח הלאומי (תיקון - שמירת היריון חלקית), התשפ""ג-2023")</f>
        <v>8614</v>
      </c>
      <c r="E4084" t="s">
        <v>8614</v>
      </c>
      <c r="F4084" t="s">
        <v>8615</v>
      </c>
      <c r="G4084" t="s">
        <v>14</v>
      </c>
      <c r="H4084">
             </c>
      <c r="I4084" t="s">
        <v>14</v>
      </c>
      <c r="J4084" t="s">
        <v>141</v>
      </c>
      <c r="K4084" t="s">
        <v>14</v>
      </c>
      <c r="L4084" t="s">
        <v>20</v>
      </c>
      <c r="M4084" t="s">
        <v>8558</v>
      </c>
      <c r="N4084" t="s">
        <v>14</v>
      </c>
    </row>
    <row r="4085" x14ac:dyDescent="0.25">
      <c r="A4085" t="n">
        <v>25</v>
      </c>
      <c r="B4085" t="s">
        <v>14</v>
      </c>
      <c r="C4085" t="s">
        <v>22</v>
      </c>
      <c r="D4085" s="2" t="s">
        <f>=HYPERLINK("https://main.knesset.gov.il/APPS/legislation/main/bills/2207028", "הצעת חוק ייצוא קנאביס למטרות רפואיות, התשפ""ג-2023")</f>
        <v>8616</v>
      </c>
      <c r="E4085" t="s">
        <v>8616</v>
      </c>
      <c r="F4085" t="s">
        <v>8617</v>
      </c>
      <c r="G4085" t="s">
        <v>14</v>
      </c>
      <c r="H4085">
             </c>
      <c r="I4085" t="s">
        <v>14</v>
      </c>
      <c r="J4085" t="s">
        <v>141</v>
      </c>
      <c r="K4085" t="s">
        <v>14</v>
      </c>
      <c r="L4085" t="s">
        <v>20</v>
      </c>
      <c r="M4085" t="s">
        <v>8558</v>
      </c>
      <c r="N4085" t="s">
        <v>14</v>
      </c>
    </row>
    <row r="4086" x14ac:dyDescent="0.25">
      <c r="A4086" t="n">
        <v>25</v>
      </c>
      <c r="B4086" t="s">
        <v>14</v>
      </c>
      <c r="C4086" t="s">
        <v>22</v>
      </c>
      <c r="D4086" s="2" t="s">
        <f>=HYPERLINK("https://main.knesset.gov.il/APPS/legislation/main/bills/2207692", "הצעת חוק התפזרות הכנסת העשרים וחמש, התשפ""ג-2023")</f>
        <v>402</v>
      </c>
      <c r="E4086" t="s">
        <v>402</v>
      </c>
      <c r="F4086" t="s">
        <v>8618</v>
      </c>
      <c r="G4086" t="s">
        <v>14</v>
      </c>
      <c r="H4086">
             </c>
      <c r="I4086" t="s">
        <v>14</v>
      </c>
      <c r="J4086" t="s">
        <v>141</v>
      </c>
      <c r="K4086" t="s">
        <v>14</v>
      </c>
      <c r="L4086" t="s">
        <v>20</v>
      </c>
      <c r="M4086" t="s">
        <v>8558</v>
      </c>
      <c r="N4086" t="s">
        <v>14</v>
      </c>
    </row>
    <row r="4087" x14ac:dyDescent="0.25">
      <c r="A4087" t="n">
        <v>25</v>
      </c>
      <c r="B4087" t="s">
        <v>14</v>
      </c>
      <c r="C4087" t="s">
        <v>22</v>
      </c>
      <c r="D4087" s="2" t="s">
        <f>=HYPERLINK("https://main.knesset.gov.il/APPS/legislation/main/bills/2207855", "הצעת חוק העונשין (תיקון - תקיפת עובד מערך בריאות), התשפ""ג-2023")</f>
        <v>8619</v>
      </c>
      <c r="E4087" t="s">
        <v>8619</v>
      </c>
      <c r="F4087" t="s">
        <v>8620</v>
      </c>
      <c r="G4087" t="s">
        <v>14</v>
      </c>
      <c r="H4087">
             </c>
      <c r="I4087" t="s">
        <v>14</v>
      </c>
      <c r="J4087" t="s">
        <v>141</v>
      </c>
      <c r="K4087" t="s">
        <v>14</v>
      </c>
      <c r="L4087" t="s">
        <v>20</v>
      </c>
      <c r="M4087" t="s">
        <v>8558</v>
      </c>
      <c r="N4087" t="s">
        <v>14</v>
      </c>
    </row>
    <row r="4088" x14ac:dyDescent="0.25">
      <c r="A4088" t="n">
        <v>25</v>
      </c>
      <c r="B4088" t="s">
        <v>14</v>
      </c>
      <c r="C4088" t="s">
        <v>22</v>
      </c>
      <c r="D4088" s="2" t="s">
        <f>=HYPERLINK("https://main.knesset.gov.il/APPS/legislation/main/bills/2206261", "הצעת חוק זכויות הסטודנט (תיקון - החזר תשלום שכר לימוד לסטודנטים בגין שביתה), התשפ""ג-2023")</f>
        <v>8621</v>
      </c>
      <c r="E4088" t="s">
        <v>8621</v>
      </c>
      <c r="F4088" t="s">
        <v>8622</v>
      </c>
      <c r="G4088" t="s">
        <v>14</v>
      </c>
      <c r="H4088">
             </c>
      <c r="I4088" t="s">
        <v>14</v>
      </c>
      <c r="J4088" t="s">
        <v>141</v>
      </c>
      <c r="K4088" t="s">
        <v>14</v>
      </c>
      <c r="L4088" t="s">
        <v>20</v>
      </c>
      <c r="M4088" t="s">
        <v>8558</v>
      </c>
      <c r="N4088" t="s">
        <v>14</v>
      </c>
    </row>
    <row r="4089" x14ac:dyDescent="0.25">
      <c r="A4089" t="n">
        <v>25</v>
      </c>
      <c r="B4089" t="s">
        <v>14</v>
      </c>
      <c r="C4089" t="s">
        <v>22</v>
      </c>
      <c r="D4089" s="2" t="s">
        <f>=HYPERLINK("https://main.knesset.gov.il/APPS/legislation/main/bills/2207027", "הצעת חוק לתיקון פקודת המשטרה (התקהלות בלתי חוקית מול ביתו של איש ציבור), התשפ""ג-2023")</f>
        <v>8623</v>
      </c>
      <c r="E4089" t="s">
        <v>8623</v>
      </c>
      <c r="F4089" t="s">
        <v>8624</v>
      </c>
      <c r="G4089" t="s">
        <v>14</v>
      </c>
      <c r="H4089">
             </c>
      <c r="I4089" t="s">
        <v>14</v>
      </c>
      <c r="J4089" t="s">
        <v>141</v>
      </c>
      <c r="K4089" t="s">
        <v>14</v>
      </c>
      <c r="L4089" t="s">
        <v>20</v>
      </c>
      <c r="M4089" t="s">
        <v>8558</v>
      </c>
      <c r="N4089" t="s">
        <v>14</v>
      </c>
    </row>
    <row r="4090" x14ac:dyDescent="0.25">
      <c r="A4090" t="n">
        <v>25</v>
      </c>
      <c r="B4090" t="s">
        <v>14</v>
      </c>
      <c r="C4090" t="s">
        <v>22</v>
      </c>
      <c r="D4090" s="2" t="s">
        <f>=HYPERLINK("https://main.knesset.gov.il/APPS/legislation/main/bills/2205512", "הצעת חוק חתימה אלקטרונית (תיקון - הגבלת הנפקת תעודות אלקטרוניות מאושרות בידי המדינה), התשפ""ג-2023")</f>
        <v>8625</v>
      </c>
      <c r="E4090" t="s">
        <v>8625</v>
      </c>
      <c r="F4090" t="s">
        <v>8626</v>
      </c>
      <c r="G4090" t="s">
        <v>14</v>
      </c>
      <c r="H4090">
             </c>
      <c r="I4090" t="s">
        <v>14</v>
      </c>
      <c r="J4090" t="s">
        <v>141</v>
      </c>
      <c r="K4090" t="s">
        <v>14</v>
      </c>
      <c r="L4090" t="s">
        <v>20</v>
      </c>
      <c r="M4090" t="s">
        <v>8558</v>
      </c>
      <c r="N4090" t="s">
        <v>14</v>
      </c>
    </row>
    <row r="4091" x14ac:dyDescent="0.25">
      <c r="A4091" t="n">
        <v>25</v>
      </c>
      <c r="B4091" t="s">
        <v>14</v>
      </c>
      <c r="C4091" t="s">
        <v>22</v>
      </c>
      <c r="D4091" s="2" t="s">
        <f>=HYPERLINK("https://main.knesset.gov.il/APPS/legislation/main/bills/2207859", "הצעת חוק העונשין (תיקון - תקיפת עורך דין כתקיפת עובד ציבור), התשפ""ג-2023")</f>
        <v>8627</v>
      </c>
      <c r="E4091" t="s">
        <v>8627</v>
      </c>
      <c r="F4091" t="s">
        <v>8628</v>
      </c>
      <c r="G4091" t="s">
        <v>14</v>
      </c>
      <c r="H4091">
             </c>
      <c r="I4091" t="s">
        <v>14</v>
      </c>
      <c r="J4091" t="s">
        <v>141</v>
      </c>
      <c r="K4091" t="s">
        <v>14</v>
      </c>
      <c r="L4091" t="s">
        <v>20</v>
      </c>
      <c r="M4091" t="s">
        <v>8558</v>
      </c>
      <c r="N4091" t="s">
        <v>14</v>
      </c>
    </row>
    <row r="4092" x14ac:dyDescent="0.25">
      <c r="A4092" t="n">
        <v>25</v>
      </c>
      <c r="B4092" t="s">
        <v>14</v>
      </c>
      <c r="C4092" t="s">
        <v>22</v>
      </c>
      <c r="D4092" s="2" t="s">
        <f>=HYPERLINK("https://main.knesset.gov.il/APPS/legislation/main/bills/2206861", "הצעת חוק מרשם האוכלוסין (תיקון - רישום ילד שנפטר), התשפ""ג-2023")</f>
        <v>8629</v>
      </c>
      <c r="E4092" t="s">
        <v>8629</v>
      </c>
      <c r="F4092" t="s">
        <v>8630</v>
      </c>
      <c r="G4092" t="s">
        <v>14</v>
      </c>
      <c r="H4092">
             </c>
      <c r="I4092" t="s">
        <v>14</v>
      </c>
      <c r="J4092" t="s">
        <v>141</v>
      </c>
      <c r="K4092" t="s">
        <v>14</v>
      </c>
      <c r="L4092" t="s">
        <v>20</v>
      </c>
      <c r="M4092" t="s">
        <v>8558</v>
      </c>
      <c r="N4092" t="s">
        <v>14</v>
      </c>
    </row>
    <row r="4093" x14ac:dyDescent="0.25">
      <c r="A4093" t="n">
        <v>25</v>
      </c>
      <c r="B4093" t="s">
        <v>14</v>
      </c>
      <c r="C4093" t="s">
        <v>22</v>
      </c>
      <c r="D4093" s="2" t="s">
        <f>=HYPERLINK("https://main.knesset.gov.il/APPS/legislation/main/bills/2206789", "הצעת חוק הרשויות המקומיות (בחירת ראש הרשות וסגניו וכהונתם) (תיקון - שכר לסגן ראש רשות), התשפ""ג-2023")</f>
        <v>8631</v>
      </c>
      <c r="E4093" t="s">
        <v>8631</v>
      </c>
      <c r="F4093" t="s">
        <v>8632</v>
      </c>
      <c r="G4093" t="s">
        <v>14</v>
      </c>
      <c r="H4093">
             </c>
      <c r="I4093" t="s">
        <v>14</v>
      </c>
      <c r="J4093" t="s">
        <v>141</v>
      </c>
      <c r="K4093" t="s">
        <v>14</v>
      </c>
      <c r="L4093" t="s">
        <v>20</v>
      </c>
      <c r="M4093" t="s">
        <v>8558</v>
      </c>
      <c r="N4093" t="s">
        <v>14</v>
      </c>
    </row>
    <row r="4094" x14ac:dyDescent="0.25">
      <c r="A4094" t="n">
        <v>25</v>
      </c>
      <c r="B4094" t="s">
        <v>14</v>
      </c>
      <c r="C4094" t="s">
        <v>22</v>
      </c>
      <c r="D4094" s="2" t="s">
        <f>=HYPERLINK("https://main.knesset.gov.il/APPS/legislation/main/bills/2206362", "הצעת חוק הבנקאות (שירות ללקוח) (תיקון - יידוע על חלופות השקעה), התשפ""ג-2023")</f>
        <v>8633</v>
      </c>
      <c r="E4094" t="s">
        <v>8633</v>
      </c>
      <c r="F4094" t="s">
        <v>8634</v>
      </c>
      <c r="G4094" t="s">
        <v>14</v>
      </c>
      <c r="H4094">
             </c>
      <c r="I4094" t="s">
        <v>14</v>
      </c>
      <c r="J4094" t="s">
        <v>141</v>
      </c>
      <c r="K4094" t="s">
        <v>14</v>
      </c>
      <c r="L4094" t="s">
        <v>20</v>
      </c>
      <c r="M4094" t="s">
        <v>8558</v>
      </c>
      <c r="N4094" t="s">
        <v>14</v>
      </c>
    </row>
    <row r="4095" x14ac:dyDescent="0.25">
      <c r="A4095" t="n">
        <v>25</v>
      </c>
      <c r="B4095" t="s">
        <v>14</v>
      </c>
      <c r="C4095" t="s">
        <v>22</v>
      </c>
      <c r="D4095" s="2" t="s">
        <f>=HYPERLINK("https://main.knesset.gov.il/APPS/legislation/main/bills/2206852", "הצעת חוק הבנקאות (שירות ללקוח) (תיקון - מידע ללקוח אודות סכומי יתרה בחשבון עובר ושב וחלופות השקעה), התשפ""ג-2023")</f>
        <v>8635</v>
      </c>
      <c r="E4095" t="s">
        <v>8635</v>
      </c>
      <c r="F4095" t="s">
        <v>8636</v>
      </c>
      <c r="G4095" t="s">
        <v>14</v>
      </c>
      <c r="H4095">
             </c>
      <c r="I4095" t="s">
        <v>14</v>
      </c>
      <c r="J4095" t="s">
        <v>141</v>
      </c>
      <c r="K4095" t="s">
        <v>14</v>
      </c>
      <c r="L4095" t="s">
        <v>20</v>
      </c>
      <c r="M4095" t="s">
        <v>8558</v>
      </c>
      <c r="N4095" t="s">
        <v>14</v>
      </c>
    </row>
    <row r="4096" x14ac:dyDescent="0.25">
      <c r="A4096" t="n">
        <v>25</v>
      </c>
      <c r="B4096" t="s">
        <v>14</v>
      </c>
      <c r="C4096" t="s">
        <v>22</v>
      </c>
      <c r="D4096" s="2" t="s">
        <f>=HYPERLINK("https://main.knesset.gov.il/APPS/legislation/main/bills/2205063", "הצעת חוק לתיקון פקודת הבנקאות (הגבלת עמלת פירעון מוקדם בהלוואה לרכישת דירה), התשפ""ג-2023")</f>
        <v>8637</v>
      </c>
      <c r="E4096" t="s">
        <v>8637</v>
      </c>
      <c r="F4096" t="s">
        <v>8638</v>
      </c>
      <c r="G4096" t="s">
        <v>14</v>
      </c>
      <c r="H4096">
             </c>
      <c r="I4096" t="s">
        <v>14</v>
      </c>
      <c r="J4096" t="s">
        <v>141</v>
      </c>
      <c r="K4096" t="s">
        <v>14</v>
      </c>
      <c r="L4096" t="s">
        <v>20</v>
      </c>
      <c r="M4096" t="s">
        <v>8558</v>
      </c>
      <c r="N4096" t="s">
        <v>14</v>
      </c>
    </row>
    <row r="4097" x14ac:dyDescent="0.25">
      <c r="A4097" t="n">
        <v>25</v>
      </c>
      <c r="B4097" t="s">
        <v>14</v>
      </c>
      <c r="C4097" t="s">
        <v>22</v>
      </c>
      <c r="D4097" s="2" t="s">
        <f>=HYPERLINK("https://main.knesset.gov.il/APPS/legislation/main/bills/2207182", "הצעת חוק שיפוט בתי דין רבניים (נישואין וגירושין) (תיקון - מתן פסק דין במקרי אלימות קשים), התשפ""ג-2023")</f>
        <v>1638</v>
      </c>
      <c r="E4097" t="s">
        <v>1638</v>
      </c>
      <c r="F4097" t="s">
        <v>8639</v>
      </c>
      <c r="G4097" t="s">
        <v>14</v>
      </c>
      <c r="H4097">
             </c>
      <c r="I4097" t="s">
        <v>14</v>
      </c>
      <c r="J4097" t="s">
        <v>141</v>
      </c>
      <c r="K4097" t="s">
        <v>14</v>
      </c>
      <c r="L4097" t="s">
        <v>20</v>
      </c>
      <c r="M4097" t="s">
        <v>8558</v>
      </c>
      <c r="N4097" t="s">
        <v>14</v>
      </c>
    </row>
    <row r="4098" x14ac:dyDescent="0.25">
      <c r="A4098" t="n">
        <v>25</v>
      </c>
      <c r="B4098" t="s">
        <v>14</v>
      </c>
      <c r="C4098" t="s">
        <v>22</v>
      </c>
      <c r="D4098" s="2" t="s">
        <f>=HYPERLINK("https://main.knesset.gov.il/APPS/legislation/main/bills/2206795", "הצעת חוק עובדים זרים (תיקון - אגרה מופחתת בסיעוד המוסדי) (הוראת שעה), התשפ""ג-2023")</f>
        <v>8640</v>
      </c>
      <c r="E4098" t="s">
        <v>8640</v>
      </c>
      <c r="F4098" t="s">
        <v>8641</v>
      </c>
      <c r="G4098" t="s">
        <v>14</v>
      </c>
      <c r="H4098">
             </c>
      <c r="I4098" t="s">
        <v>14</v>
      </c>
      <c r="J4098" t="s">
        <v>141</v>
      </c>
      <c r="K4098" t="s">
        <v>14</v>
      </c>
      <c r="L4098" t="s">
        <v>20</v>
      </c>
      <c r="M4098" t="s">
        <v>8558</v>
      </c>
      <c r="N4098" t="s">
        <v>14</v>
      </c>
    </row>
    <row r="4099" x14ac:dyDescent="0.25">
      <c r="A4099" t="n">
        <v>25</v>
      </c>
      <c r="B4099" t="s">
        <v>14</v>
      </c>
      <c r="C4099" t="s">
        <v>22</v>
      </c>
      <c r="D4099" s="2" t="s">
        <f>=HYPERLINK("https://main.knesset.gov.il/APPS/legislation/main/bills/2204139", "הצעת חוק הגנה על עיתונאים (תיקוני חקיקה), התשפ""ג-2023")</f>
        <v>8496</v>
      </c>
      <c r="E4099" t="s">
        <v>8496</v>
      </c>
      <c r="F4099" t="s">
        <v>8642</v>
      </c>
      <c r="G4099" t="s">
        <v>14</v>
      </c>
      <c r="H4099">
             </c>
      <c r="I4099" t="s">
        <v>14</v>
      </c>
      <c r="J4099" t="s">
        <v>55</v>
      </c>
      <c r="K4099" t="s">
        <v>14</v>
      </c>
      <c r="L4099" t="s">
        <v>20</v>
      </c>
      <c r="M4099" t="s">
        <v>8643</v>
      </c>
      <c r="N4099" t="s">
        <v>14</v>
      </c>
    </row>
    <row r="4100" x14ac:dyDescent="0.25">
      <c r="A4100" t="n">
        <v>25</v>
      </c>
      <c r="B4100" t="s">
        <v>14</v>
      </c>
      <c r="C4100" t="s">
        <v>22</v>
      </c>
      <c r="D4100" s="2" t="s">
        <f>=HYPERLINK("https://main.knesset.gov.il/APPS/legislation/main/bills/2203602", "הצעת חוק אימוץ ילדים (תיקון - איסור הפרדה בין אחים בהליך אימוץ), התשפ""ג-2023")</f>
        <v>8644</v>
      </c>
      <c r="E4100" t="s">
        <v>8644</v>
      </c>
      <c r="F4100" t="s">
        <v>8645</v>
      </c>
      <c r="G4100" t="s">
        <v>14</v>
      </c>
      <c r="H4100">
             </c>
      <c r="I4100" t="s">
        <v>14</v>
      </c>
      <c r="J4100" t="s">
        <v>31</v>
      </c>
      <c r="K4100" t="s">
        <v>27</v>
      </c>
      <c r="L4100" t="s">
        <v>20</v>
      </c>
      <c r="M4100" t="s">
        <v>8643</v>
      </c>
      <c r="N4100" t="s">
        <v>14</v>
      </c>
    </row>
    <row r="4101" x14ac:dyDescent="0.25">
      <c r="A4101" t="n">
        <v>25</v>
      </c>
      <c r="B4101" t="s">
        <v>14</v>
      </c>
      <c r="C4101" t="s">
        <v>22</v>
      </c>
      <c r="D4101" s="2" t="s">
        <f>=HYPERLINK("https://main.knesset.gov.il/APPS/legislation/main/bills/2200316", "הצעת חוק הפרשנות (תיקון - הגדרת הפליה על רקע זהות מגדרית, נטייה מינית או אמונה דתית), התשפ""ג-2023")</f>
        <v>8646</v>
      </c>
      <c r="E4101" t="s">
        <v>8646</v>
      </c>
      <c r="F4101" t="s">
        <v>8647</v>
      </c>
      <c r="G4101" t="s">
        <v>14</v>
      </c>
      <c r="H4101">
             </c>
      <c r="I4101" t="s">
        <v>14</v>
      </c>
      <c r="J4101" t="s">
        <v>55</v>
      </c>
      <c r="K4101" t="s">
        <v>14</v>
      </c>
      <c r="L4101" t="s">
        <v>20</v>
      </c>
      <c r="M4101" t="s">
        <v>8643</v>
      </c>
      <c r="N4101" t="s">
        <v>14</v>
      </c>
    </row>
    <row r="4102" x14ac:dyDescent="0.25">
      <c r="A4102" t="n">
        <v>25</v>
      </c>
      <c r="B4102" t="s">
        <v>14</v>
      </c>
      <c r="C4102" t="s">
        <v>22</v>
      </c>
      <c r="D4102" s="2" t="s">
        <f>=HYPERLINK("https://main.knesset.gov.il/APPS/legislation/main/bills/2200245", "הצעת חוק הגנה על עיתונאים (תיקוני חקיקה), התשפ""ג-2023")</f>
        <v>8496</v>
      </c>
      <c r="E4102" t="s">
        <v>8496</v>
      </c>
      <c r="F4102" t="s">
        <v>8648</v>
      </c>
      <c r="G4102" t="s">
        <v>14</v>
      </c>
      <c r="H4102">
             </c>
      <c r="I4102" t="s">
        <v>14</v>
      </c>
      <c r="J4102" t="s">
        <v>55</v>
      </c>
      <c r="K4102" t="s">
        <v>14</v>
      </c>
      <c r="L4102" t="s">
        <v>20</v>
      </c>
      <c r="M4102" t="s">
        <v>8643</v>
      </c>
      <c r="N4102" t="s">
        <v>14</v>
      </c>
    </row>
    <row r="4103" x14ac:dyDescent="0.25">
      <c r="A4103" t="n">
        <v>25</v>
      </c>
      <c r="B4103" t="s">
        <v>14</v>
      </c>
      <c r="C4103" t="s">
        <v>22</v>
      </c>
      <c r="D4103" s="2" t="s">
        <f>=HYPERLINK("https://main.knesset.gov.il/APPS/legislation/main/bills/2199072", "הצעת חוק ארוחה יומית לתלמיד (תיקון – ארוחת כריך יומית בבית ספר על יסודי), התשפ""ג–2023")</f>
        <v>8649</v>
      </c>
      <c r="E4103" t="s">
        <v>8649</v>
      </c>
      <c r="F4103" t="s">
        <v>8650</v>
      </c>
      <c r="G4103" t="s">
        <v>14</v>
      </c>
      <c r="H4103">
             </c>
      <c r="I4103" t="s">
        <v>14</v>
      </c>
      <c r="J4103" t="s">
        <v>343</v>
      </c>
      <c r="K4103" t="s">
        <v>14</v>
      </c>
      <c r="L4103" t="s">
        <v>20</v>
      </c>
      <c r="M4103" t="s">
        <v>8643</v>
      </c>
      <c r="N4103" t="s">
        <v>14</v>
      </c>
    </row>
    <row r="4104" x14ac:dyDescent="0.25">
      <c r="A4104" t="n">
        <v>25</v>
      </c>
      <c r="B4104" t="s">
        <v>14</v>
      </c>
      <c r="C4104" t="s">
        <v>22</v>
      </c>
      <c r="D4104" s="2" t="s">
        <f>=HYPERLINK("https://main.knesset.gov.il/APPS/legislation/main/bills/2198066", "הצעת חוק הסיוע הניתן מטעם המדינה לסטודנטים במוסדות להשכלה גבוהה, התשפ""ג-2023")</f>
        <v>8349</v>
      </c>
      <c r="E4104" t="s">
        <v>8349</v>
      </c>
      <c r="F4104" t="s">
        <v>8651</v>
      </c>
      <c r="G4104" t="s">
        <v>14</v>
      </c>
      <c r="H4104">
             </c>
      <c r="I4104" t="s">
        <v>14</v>
      </c>
      <c r="J4104" t="s">
        <v>55</v>
      </c>
      <c r="K4104" t="s">
        <v>14</v>
      </c>
      <c r="L4104" t="s">
        <v>20</v>
      </c>
      <c r="M4104" t="s">
        <v>8643</v>
      </c>
      <c r="N4104" t="s">
        <v>14</v>
      </c>
    </row>
    <row r="4105" x14ac:dyDescent="0.25">
      <c r="A4105" t="n">
        <v>25</v>
      </c>
      <c r="B4105" t="s">
        <v>14</v>
      </c>
      <c r="C4105" t="s">
        <v>22</v>
      </c>
      <c r="D4105" s="2" t="s">
        <f>=HYPERLINK("https://main.knesset.gov.il/APPS/legislation/main/bills/2199392", "הצעת חוק לתיקון פקודת האגודות השיתופיות (מספר בתי אב ביישוב קהילתי), התשפ""ג-2023")</f>
        <v>8652</v>
      </c>
      <c r="E4105" t="s">
        <v>8652</v>
      </c>
      <c r="F4105" t="s">
        <v>8653</v>
      </c>
      <c r="G4105" t="s">
        <v>14</v>
      </c>
      <c r="H4105">
             </c>
      <c r="I4105" t="s">
        <v>14</v>
      </c>
      <c r="J4105" t="s">
        <v>99</v>
      </c>
      <c r="K4105" t="s">
        <v>108</v>
      </c>
      <c r="L4105" t="s">
        <v>20</v>
      </c>
      <c r="M4105" t="s">
        <v>8654</v>
      </c>
      <c r="N4105" t="s">
        <v>14</v>
      </c>
    </row>
    <row r="4106" x14ac:dyDescent="0.25">
      <c r="A4106" t="n">
        <v>25</v>
      </c>
      <c r="B4106" t="s">
        <v>14</v>
      </c>
      <c r="C4106" t="s">
        <v>22</v>
      </c>
      <c r="D4106" s="2" t="s">
        <f>=HYPERLINK("https://main.knesset.gov.il/APPS/legislation/main/bills/2197896", "חוק ההתייעלות הכלכלית (תיקוני חקיקה להשגת יעדי התקציב לשנות התקציב 2017 ו-2018) (תיקון מס' 9), התשפ""ג-2023")</f>
        <v>8655</v>
      </c>
      <c r="E4106" t="s">
        <v>8655</v>
      </c>
      <c r="F4106" t="s">
        <v>8656</v>
      </c>
      <c r="G4106" t="s">
        <v>8657</v>
      </c>
      <c r="H4106" t="n">
        <v>3055</v>
      </c>
      <c r="I4106" t="s">
        <v>14</v>
      </c>
      <c r="J4106" t="s">
        <v>91</v>
      </c>
      <c r="K4106" t="s">
        <v>85</v>
      </c>
      <c r="L4106" t="s">
        <v>20</v>
      </c>
      <c r="M4106" t="s">
        <v>8654</v>
      </c>
      <c r="N4106" t="s">
        <v>8658</v>
      </c>
    </row>
    <row r="4107" x14ac:dyDescent="0.25">
      <c r="A4107" t="n">
        <v>25</v>
      </c>
      <c r="B4107" t="s">
        <v>14</v>
      </c>
      <c r="C4107" t="s">
        <v>22</v>
      </c>
      <c r="D4107" s="2" t="s">
        <f>=HYPERLINK("https://main.knesset.gov.il/APPS/legislation/main/bills/2200261", "הצעת חוק הגנת הצרכן (תיקון מס' 68) (שירות טלפוני לביטול עסקה עם חברת תעופה), התשפ""ג–2023")</f>
        <v>8659</v>
      </c>
      <c r="E4107" t="s">
        <v>8659</v>
      </c>
      <c r="F4107" t="s">
        <v>8660</v>
      </c>
      <c r="G4107" t="s">
        <v>8661</v>
      </c>
      <c r="H4107">
             </c>
      <c r="I4107" t="s">
        <v>14</v>
      </c>
      <c r="J4107" t="s">
        <v>18</v>
      </c>
      <c r="K4107" t="s">
        <v>19</v>
      </c>
      <c r="L4107" t="s">
        <v>20</v>
      </c>
      <c r="M4107" t="s">
        <v>8654</v>
      </c>
      <c r="N4107" t="s">
        <v>14</v>
      </c>
    </row>
    <row r="4108" x14ac:dyDescent="0.25">
      <c r="A4108" t="n">
        <v>25</v>
      </c>
      <c r="B4108" t="s">
        <v>14</v>
      </c>
      <c r="C4108" t="s">
        <v>22</v>
      </c>
      <c r="D4108" s="2" t="s">
        <f>=HYPERLINK("https://main.knesset.gov.il/APPS/legislation/main/bills/2196721", "הצעת חוק לתיקון פקודת המועצות המקומיות (מס' 79) (אחוז החסימה בבחירות לוועד מקומי), התשפ""ג–2023")</f>
        <v>8662</v>
      </c>
      <c r="E4108" t="s">
        <v>8662</v>
      </c>
      <c r="F4108" t="s">
        <v>8663</v>
      </c>
      <c r="G4108" t="s">
        <v>8664</v>
      </c>
      <c r="H4108">
             </c>
      <c r="I4108" t="s">
        <v>26</v>
      </c>
      <c r="J4108" t="s">
        <v>18</v>
      </c>
      <c r="K4108" t="s">
        <v>46</v>
      </c>
      <c r="L4108" t="s">
        <v>20</v>
      </c>
      <c r="M4108" t="s">
        <v>8654</v>
      </c>
      <c r="N4108" t="s">
        <v>14</v>
      </c>
    </row>
    <row r="4109" x14ac:dyDescent="0.25">
      <c r="A4109" t="n">
        <v>25</v>
      </c>
      <c r="B4109" t="s">
        <v>14</v>
      </c>
      <c r="C4109" t="s">
        <v>15</v>
      </c>
      <c r="D4109" s="2" t="s">
        <f>=HYPERLINK("https://main.knesset.gov.il/APPS/legislation/main/bills/2201576", "חוק לייעול האכיפה והפיקוח העירוניים ברשויות המקומיות (הוראת שעה) (תיקון מס' 10), התשפ""ג-2023")</f>
        <v>8665</v>
      </c>
      <c r="E4109" t="s">
        <v>8665</v>
      </c>
      <c r="F4109" t="s">
        <v>14</v>
      </c>
      <c r="G4109" t="s">
        <v>8666</v>
      </c>
      <c r="H4109" t="n">
        <v>3053</v>
      </c>
      <c r="I4109" t="s">
        <v>14</v>
      </c>
      <c r="J4109" t="s">
        <v>91</v>
      </c>
      <c r="K4109" t="s">
        <v>105</v>
      </c>
      <c r="L4109" t="s">
        <v>20</v>
      </c>
      <c r="M4109" t="s">
        <v>8667</v>
      </c>
      <c r="N4109" t="s">
        <v>8668</v>
      </c>
    </row>
    <row r="4110" x14ac:dyDescent="0.25">
      <c r="A4110" t="n">
        <v>25</v>
      </c>
      <c r="B4110" t="s">
        <v>14</v>
      </c>
      <c r="C4110" t="s">
        <v>22</v>
      </c>
      <c r="D4110" s="2" t="s">
        <f>=HYPERLINK("https://main.knesset.gov.il/APPS/legislation/main/bills/2205915", "הצעת חוק ביטוח בריאות ממלכתי (תיקון - בחירת נותן שירותים על ידי מבוטח), התשפ""ג-2023")</f>
        <v>8016</v>
      </c>
      <c r="E4110" t="s">
        <v>8016</v>
      </c>
      <c r="F4110" t="s">
        <v>8669</v>
      </c>
      <c r="G4110" t="s">
        <v>14</v>
      </c>
      <c r="H4110">
             </c>
      <c r="I4110" t="s">
        <v>14</v>
      </c>
      <c r="J4110" t="s">
        <v>141</v>
      </c>
      <c r="K4110" t="s">
        <v>14</v>
      </c>
      <c r="L4110" t="s">
        <v>20</v>
      </c>
      <c r="M4110" t="s">
        <v>8667</v>
      </c>
      <c r="N4110" t="s">
        <v>14</v>
      </c>
    </row>
    <row r="4111" x14ac:dyDescent="0.25">
      <c r="A4111" t="n">
        <v>25</v>
      </c>
      <c r="B4111" t="s">
        <v>14</v>
      </c>
      <c r="C4111" t="s">
        <v>22</v>
      </c>
      <c r="D4111" s="2" t="s">
        <f>=HYPERLINK("https://main.knesset.gov.il/APPS/legislation/main/bills/2205284", "הצעת חוק הביטוח הלאומי (תיקון - שעות סיעוד עובדים זרים), התשפ""ג-2023")</f>
        <v>8670</v>
      </c>
      <c r="E4111" t="s">
        <v>8670</v>
      </c>
      <c r="F4111" t="s">
        <v>8671</v>
      </c>
      <c r="G4111" t="s">
        <v>14</v>
      </c>
      <c r="H4111">
             </c>
      <c r="I4111" t="s">
        <v>14</v>
      </c>
      <c r="J4111" t="s">
        <v>141</v>
      </c>
      <c r="K4111" t="s">
        <v>14</v>
      </c>
      <c r="L4111" t="s">
        <v>20</v>
      </c>
      <c r="M4111" t="s">
        <v>8667</v>
      </c>
      <c r="N4111" t="s">
        <v>14</v>
      </c>
    </row>
    <row r="4112" x14ac:dyDescent="0.25">
      <c r="A4112" t="n">
        <v>25</v>
      </c>
      <c r="B4112" t="s">
        <v>14</v>
      </c>
      <c r="C4112" t="s">
        <v>22</v>
      </c>
      <c r="D4112" s="2" t="s">
        <f>=HYPERLINK("https://main.knesset.gov.il/APPS/legislation/main/bills/2207259", "הצעת חוק מאבק בארגוני פשיעה (תיקון - הרחבת הנסיבה המחמירה לזיקה לארגון פשיעה), התשפ""ג-2023")</f>
        <v>8672</v>
      </c>
      <c r="E4112" t="s">
        <v>8672</v>
      </c>
      <c r="F4112" t="s">
        <v>8673</v>
      </c>
      <c r="G4112" t="s">
        <v>14</v>
      </c>
      <c r="H4112">
             </c>
      <c r="I4112" t="s">
        <v>14</v>
      </c>
      <c r="J4112" t="s">
        <v>141</v>
      </c>
      <c r="K4112" t="s">
        <v>14</v>
      </c>
      <c r="L4112" t="s">
        <v>20</v>
      </c>
      <c r="M4112" t="s">
        <v>8667</v>
      </c>
      <c r="N4112" t="s">
        <v>14</v>
      </c>
    </row>
    <row r="4113" x14ac:dyDescent="0.25">
      <c r="A4113" t="n">
        <v>25</v>
      </c>
      <c r="B4113" t="s">
        <v>14</v>
      </c>
      <c r="C4113" t="s">
        <v>22</v>
      </c>
      <c r="D4113" s="2" t="s">
        <f>=HYPERLINK("https://main.knesset.gov.il/APPS/legislation/main/bills/2206346", "הצעת חוק העונשין (תיקון - תקיפת עובד מערך בריאות), התשפ""ג-2023")</f>
        <v>8619</v>
      </c>
      <c r="E4113" t="s">
        <v>8619</v>
      </c>
      <c r="F4113" t="s">
        <v>8674</v>
      </c>
      <c r="G4113" t="s">
        <v>14</v>
      </c>
      <c r="H4113">
             </c>
      <c r="I4113" t="s">
        <v>14</v>
      </c>
      <c r="J4113" t="s">
        <v>141</v>
      </c>
      <c r="K4113" t="s">
        <v>14</v>
      </c>
      <c r="L4113" t="s">
        <v>20</v>
      </c>
      <c r="M4113" t="s">
        <v>8667</v>
      </c>
      <c r="N4113" t="s">
        <v>14</v>
      </c>
    </row>
    <row r="4114" x14ac:dyDescent="0.25">
      <c r="A4114" t="n">
        <v>25</v>
      </c>
      <c r="B4114" t="s">
        <v>14</v>
      </c>
      <c r="C4114" t="s">
        <v>22</v>
      </c>
      <c r="D4114" s="2" t="s">
        <f>=HYPERLINK("https://main.knesset.gov.il/APPS/legislation/main/bills/2207261", "הצעת חוק לתיקון פקודת בתי הסוהר (שלילת זכויות יתר מאסיר ביטחוני המשתייך לארגון טרור), התשפ""ג-2023")</f>
        <v>8675</v>
      </c>
      <c r="E4114" t="s">
        <v>8675</v>
      </c>
      <c r="F4114" t="s">
        <v>8676</v>
      </c>
      <c r="G4114" t="s">
        <v>14</v>
      </c>
      <c r="H4114">
             </c>
      <c r="I4114" t="s">
        <v>14</v>
      </c>
      <c r="J4114" t="s">
        <v>141</v>
      </c>
      <c r="K4114" t="s">
        <v>14</v>
      </c>
      <c r="L4114" t="s">
        <v>20</v>
      </c>
      <c r="M4114" t="s">
        <v>8667</v>
      </c>
      <c r="N4114" t="s">
        <v>14</v>
      </c>
    </row>
    <row r="4115" x14ac:dyDescent="0.25">
      <c r="A4115" t="n">
        <v>25</v>
      </c>
      <c r="B4115" t="s">
        <v>14</v>
      </c>
      <c r="C4115" t="s">
        <v>22</v>
      </c>
      <c r="D4115" s="2" t="s">
        <f>=HYPERLINK("https://main.knesset.gov.il/APPS/legislation/main/bills/2204189", "הצעת חוק קליטת חיילים משוחררים (תיקון - הוקרת שירות הלוחם והלוחמת), התשפ""ג-2023")</f>
        <v>8677</v>
      </c>
      <c r="E4115" t="s">
        <v>8677</v>
      </c>
      <c r="F4115" t="s">
        <v>8678</v>
      </c>
      <c r="G4115" t="s">
        <v>14</v>
      </c>
      <c r="H4115">
             </c>
      <c r="I4115" t="s">
        <v>14</v>
      </c>
      <c r="J4115" t="s">
        <v>141</v>
      </c>
      <c r="K4115" t="s">
        <v>14</v>
      </c>
      <c r="L4115" t="s">
        <v>20</v>
      </c>
      <c r="M4115" t="s">
        <v>8667</v>
      </c>
      <c r="N4115" t="s">
        <v>14</v>
      </c>
    </row>
    <row r="4116" x14ac:dyDescent="0.25">
      <c r="A4116" t="n">
        <v>25</v>
      </c>
      <c r="B4116" t="s">
        <v>14</v>
      </c>
      <c r="C4116" t="s">
        <v>22</v>
      </c>
      <c r="D4116" s="2" t="s">
        <f>=HYPERLINK("https://main.knesset.gov.il/APPS/legislation/main/bills/2205960", "הצעת חוק לתיקון פקודת העיריות (הודעה מוקדמת לחייב), התשפ""ג-2023")</f>
        <v>8679</v>
      </c>
      <c r="E4116" t="s">
        <v>8679</v>
      </c>
      <c r="F4116" t="s">
        <v>8680</v>
      </c>
      <c r="G4116" t="s">
        <v>14</v>
      </c>
      <c r="H4116">
             </c>
      <c r="I4116" t="s">
        <v>14</v>
      </c>
      <c r="J4116" t="s">
        <v>141</v>
      </c>
      <c r="K4116" t="s">
        <v>14</v>
      </c>
      <c r="L4116" t="s">
        <v>20</v>
      </c>
      <c r="M4116" t="s">
        <v>8667</v>
      </c>
      <c r="N4116" t="s">
        <v>14</v>
      </c>
    </row>
    <row r="4117" x14ac:dyDescent="0.25">
      <c r="A4117" t="n">
        <v>25</v>
      </c>
      <c r="B4117" t="s">
        <v>14</v>
      </c>
      <c r="C4117" t="s">
        <v>22</v>
      </c>
      <c r="D4117" s="2" t="s">
        <f>=HYPERLINK("https://main.knesset.gov.il/APPS/legislation/main/bills/2206687", "הצעת חוק שירות מילואים בהצטיינות, התשפ""ג-2023")</f>
        <v>8681</v>
      </c>
      <c r="E4117" t="s">
        <v>8681</v>
      </c>
      <c r="F4117" t="s">
        <v>8682</v>
      </c>
      <c r="G4117" t="s">
        <v>14</v>
      </c>
      <c r="H4117">
             </c>
      <c r="I4117" t="s">
        <v>14</v>
      </c>
      <c r="J4117" t="s">
        <v>141</v>
      </c>
      <c r="K4117" t="s">
        <v>14</v>
      </c>
      <c r="L4117" t="s">
        <v>20</v>
      </c>
      <c r="M4117" t="s">
        <v>8667</v>
      </c>
      <c r="N4117" t="s">
        <v>14</v>
      </c>
    </row>
    <row r="4118" x14ac:dyDescent="0.25">
      <c r="A4118" t="n">
        <v>25</v>
      </c>
      <c r="B4118" t="s">
        <v>14</v>
      </c>
      <c r="C4118" t="s">
        <v>22</v>
      </c>
      <c r="D4118" s="2" t="s">
        <f>=HYPERLINK("https://main.knesset.gov.il/APPS/legislation/main/bills/2200312", "הצעת חוק עבודת נשים (תיקון - תקופת לידה והורות מיועדת לאב), התשפ""ג-2023")</f>
        <v>8683</v>
      </c>
      <c r="E4118" t="s">
        <v>8683</v>
      </c>
      <c r="F4118" t="s">
        <v>8684</v>
      </c>
      <c r="G4118" t="s">
        <v>14</v>
      </c>
      <c r="H4118">
             </c>
      <c r="I4118" t="s">
        <v>14</v>
      </c>
      <c r="J4118" t="s">
        <v>141</v>
      </c>
      <c r="K4118" t="s">
        <v>14</v>
      </c>
      <c r="L4118" t="s">
        <v>20</v>
      </c>
      <c r="M4118" t="s">
        <v>8667</v>
      </c>
      <c r="N4118" t="s">
        <v>14</v>
      </c>
    </row>
    <row r="4119" x14ac:dyDescent="0.25">
      <c r="A4119" t="n">
        <v>25</v>
      </c>
      <c r="B4119" t="s">
        <v>14</v>
      </c>
      <c r="C4119" t="s">
        <v>22</v>
      </c>
      <c r="D4119" s="2" t="s">
        <f>=HYPERLINK("https://main.knesset.gov.il/APPS/legislation/main/bills/2206831", "הצעת חוק עבודת נשים (תיקון - זכות להיעדר מעבודה בעת שירות מילואים של בן הזוג), התשפ""ג-2023")</f>
        <v>8685</v>
      </c>
      <c r="E4119" t="s">
        <v>8685</v>
      </c>
      <c r="F4119" t="s">
        <v>8686</v>
      </c>
      <c r="G4119" t="s">
        <v>14</v>
      </c>
      <c r="H4119">
             </c>
      <c r="I4119" t="s">
        <v>14</v>
      </c>
      <c r="J4119" t="s">
        <v>141</v>
      </c>
      <c r="K4119" t="s">
        <v>14</v>
      </c>
      <c r="L4119" t="s">
        <v>20</v>
      </c>
      <c r="M4119" t="s">
        <v>8667</v>
      </c>
      <c r="N4119" t="s">
        <v>14</v>
      </c>
    </row>
    <row r="4120" x14ac:dyDescent="0.25">
      <c r="A4120" t="n">
        <v>25</v>
      </c>
      <c r="B4120" t="s">
        <v>14</v>
      </c>
      <c r="C4120" t="s">
        <v>22</v>
      </c>
      <c r="D4120" s="2" t="s">
        <f>=HYPERLINK("https://main.knesset.gov.il/APPS/legislation/main/bills/2206752", "הצעת חוק להסדרת הפיקוח על כלבים (תיקון - כלבי הפקר), התשפ""ג-2023")</f>
        <v>8687</v>
      </c>
      <c r="E4120" t="s">
        <v>8687</v>
      </c>
      <c r="F4120" t="s">
        <v>8688</v>
      </c>
      <c r="G4120" t="s">
        <v>14</v>
      </c>
      <c r="H4120">
             </c>
      <c r="I4120" t="s">
        <v>14</v>
      </c>
      <c r="J4120" t="s">
        <v>141</v>
      </c>
      <c r="K4120" t="s">
        <v>14</v>
      </c>
      <c r="L4120" t="s">
        <v>20</v>
      </c>
      <c r="M4120" t="s">
        <v>8667</v>
      </c>
      <c r="N4120" t="s">
        <v>14</v>
      </c>
    </row>
    <row r="4121" x14ac:dyDescent="0.25">
      <c r="A4121" t="n">
        <v>25</v>
      </c>
      <c r="B4121" t="s">
        <v>14</v>
      </c>
      <c r="C4121" t="s">
        <v>22</v>
      </c>
      <c r="D4121" s="2" t="s">
        <f>=HYPERLINK("https://main.knesset.gov.il/APPS/legislation/main/bills/2206373", "הצעת חוק חובת לימודי ליבה וביטול מוסדות הפטור (תיקוני חקיקה), התשפ""ג-2023")</f>
        <v>8689</v>
      </c>
      <c r="E4121" t="s">
        <v>8689</v>
      </c>
      <c r="F4121" t="s">
        <v>8690</v>
      </c>
      <c r="G4121" t="s">
        <v>14</v>
      </c>
      <c r="H4121">
             </c>
      <c r="I4121" t="s">
        <v>14</v>
      </c>
      <c r="J4121" t="s">
        <v>141</v>
      </c>
      <c r="K4121" t="s">
        <v>14</v>
      </c>
      <c r="L4121" t="s">
        <v>20</v>
      </c>
      <c r="M4121" t="s">
        <v>8667</v>
      </c>
      <c r="N4121" t="s">
        <v>14</v>
      </c>
    </row>
    <row r="4122" x14ac:dyDescent="0.25">
      <c r="A4122" t="n">
        <v>25</v>
      </c>
      <c r="B4122" t="s">
        <v>14</v>
      </c>
      <c r="C4122" t="s">
        <v>22</v>
      </c>
      <c r="D4122" s="2" t="s">
        <f>=HYPERLINK("https://main.knesset.gov.il/APPS/legislation/main/bills/2204791", "הצעת חוק המועצה הלאומית לשפת הסימנים, התשפ""ג-2023")</f>
        <v>8584</v>
      </c>
      <c r="E4122" t="s">
        <v>8584</v>
      </c>
      <c r="F4122" t="s">
        <v>8691</v>
      </c>
      <c r="G4122" t="s">
        <v>14</v>
      </c>
      <c r="H4122">
             </c>
      <c r="I4122" t="s">
        <v>14</v>
      </c>
      <c r="J4122" t="s">
        <v>141</v>
      </c>
      <c r="K4122" t="s">
        <v>14</v>
      </c>
      <c r="L4122" t="s">
        <v>20</v>
      </c>
      <c r="M4122" t="s">
        <v>8667</v>
      </c>
      <c r="N4122" t="s">
        <v>14</v>
      </c>
    </row>
    <row r="4123" x14ac:dyDescent="0.25">
      <c r="A4123" t="n">
        <v>25</v>
      </c>
      <c r="B4123" t="s">
        <v>14</v>
      </c>
      <c r="C4123" t="s">
        <v>22</v>
      </c>
      <c r="D4123" s="2" t="s">
        <f>=HYPERLINK("https://main.knesset.gov.il/APPS/legislation/main/bills/2206605", "הצעת חוק חג המימונה, התשפ""ג-2023 ")</f>
        <v>8692</v>
      </c>
      <c r="E4123" t="s">
        <v>8692</v>
      </c>
      <c r="F4123" t="s">
        <v>8693</v>
      </c>
      <c r="G4123" t="s">
        <v>14</v>
      </c>
      <c r="H4123">
             </c>
      <c r="I4123" t="s">
        <v>14</v>
      </c>
      <c r="J4123" t="s">
        <v>141</v>
      </c>
      <c r="K4123" t="s">
        <v>14</v>
      </c>
      <c r="L4123" t="s">
        <v>20</v>
      </c>
      <c r="M4123" t="s">
        <v>8667</v>
      </c>
      <c r="N4123" t="s">
        <v>14</v>
      </c>
    </row>
    <row r="4124" x14ac:dyDescent="0.25">
      <c r="A4124" t="n">
        <v>25</v>
      </c>
      <c r="B4124" t="s">
        <v>14</v>
      </c>
      <c r="C4124" t="s">
        <v>22</v>
      </c>
      <c r="D4124" s="2" t="s">
        <f>=HYPERLINK("https://main.knesset.gov.il/APPS/legislation/main/bills/2206982", "הצעת חוק-יסוד: נשיא המדינה (תיקון - ביטול סמכות חנינה לאסירי עולם ביטחוניים)")</f>
        <v>8694</v>
      </c>
      <c r="E4124" t="s">
        <v>8694</v>
      </c>
      <c r="F4124" t="s">
        <v>8695</v>
      </c>
      <c r="G4124" t="s">
        <v>14</v>
      </c>
      <c r="H4124">
             </c>
      <c r="I4124" t="s">
        <v>14</v>
      </c>
      <c r="J4124" t="s">
        <v>141</v>
      </c>
      <c r="K4124" t="s">
        <v>14</v>
      </c>
      <c r="L4124" t="s">
        <v>20</v>
      </c>
      <c r="M4124" t="s">
        <v>8667</v>
      </c>
      <c r="N4124" t="s">
        <v>14</v>
      </c>
    </row>
    <row r="4125" x14ac:dyDescent="0.25">
      <c r="A4125" t="n">
        <v>25</v>
      </c>
      <c r="B4125" t="s">
        <v>14</v>
      </c>
      <c r="C4125" t="s">
        <v>22</v>
      </c>
      <c r="D4125" s="2" t="s">
        <f>=HYPERLINK("https://main.knesset.gov.il/APPS/legislation/main/bills/2206788", "הצעת חוק שוויון זכויות לאנשים עם מוגבלות (תיקון - חובת הנגשת אוטובוסים בין-עירוניים), התשפ""ג-2023")</f>
        <v>8372</v>
      </c>
      <c r="E4125" t="s">
        <v>8372</v>
      </c>
      <c r="F4125" t="s">
        <v>8696</v>
      </c>
      <c r="G4125" t="s">
        <v>14</v>
      </c>
      <c r="H4125">
             </c>
      <c r="I4125" t="s">
        <v>14</v>
      </c>
      <c r="J4125" t="s">
        <v>141</v>
      </c>
      <c r="K4125" t="s">
        <v>14</v>
      </c>
      <c r="L4125" t="s">
        <v>20</v>
      </c>
      <c r="M4125" t="s">
        <v>8667</v>
      </c>
      <c r="N4125" t="s">
        <v>14</v>
      </c>
    </row>
    <row r="4126" x14ac:dyDescent="0.25">
      <c r="A4126" t="n">
        <v>25</v>
      </c>
      <c r="B4126" t="s">
        <v>14</v>
      </c>
      <c r="C4126" t="s">
        <v>22</v>
      </c>
      <c r="D4126" s="2" t="s">
        <f>=HYPERLINK("https://main.knesset.gov.il/APPS/legislation/main/bills/2207369", "הצעת חוק יום לציון פרשת היעלמותם של ילדי תימן, המזרח והבלקן, התשפ""ג-2023")</f>
        <v>8697</v>
      </c>
      <c r="E4126" t="s">
        <v>8697</v>
      </c>
      <c r="F4126" t="s">
        <v>8698</v>
      </c>
      <c r="G4126" t="s">
        <v>14</v>
      </c>
      <c r="H4126">
             </c>
      <c r="I4126" t="s">
        <v>14</v>
      </c>
      <c r="J4126" t="s">
        <v>141</v>
      </c>
      <c r="K4126" t="s">
        <v>14</v>
      </c>
      <c r="L4126" t="s">
        <v>20</v>
      </c>
      <c r="M4126" t="s">
        <v>8667</v>
      </c>
      <c r="N4126" t="s">
        <v>14</v>
      </c>
    </row>
    <row r="4127" x14ac:dyDescent="0.25">
      <c r="A4127" t="n">
        <v>25</v>
      </c>
      <c r="B4127" t="s">
        <v>14</v>
      </c>
      <c r="C4127" t="s">
        <v>22</v>
      </c>
      <c r="D4127" s="2" t="s">
        <f>=HYPERLINK("https://main.knesset.gov.il/APPS/legislation/main/bills/2201592", "הצעת חוק המאבק בטרור (תיקון - הסתה לטרור), התשפ""ג-2023")</f>
        <v>8699</v>
      </c>
      <c r="E4127" t="s">
        <v>8699</v>
      </c>
      <c r="F4127" t="s">
        <v>8700</v>
      </c>
      <c r="G4127" t="s">
        <v>14</v>
      </c>
      <c r="H4127">
             </c>
      <c r="I4127" t="s">
        <v>14</v>
      </c>
      <c r="J4127" t="s">
        <v>141</v>
      </c>
      <c r="K4127" t="s">
        <v>14</v>
      </c>
      <c r="L4127" t="s">
        <v>20</v>
      </c>
      <c r="M4127" t="s">
        <v>8667</v>
      </c>
      <c r="N4127" t="s">
        <v>14</v>
      </c>
    </row>
    <row r="4128" x14ac:dyDescent="0.25">
      <c r="A4128" t="n">
        <v>25</v>
      </c>
      <c r="B4128" t="s">
        <v>14</v>
      </c>
      <c r="C4128" t="s">
        <v>22</v>
      </c>
      <c r="D4128" s="2" t="s">
        <f>=HYPERLINK("https://main.knesset.gov.il/APPS/legislation/main/bills/2207147", "הצעת חוק להסדרת מקצוע עוזר רופא, התשפ""ג-2023")</f>
        <v>8701</v>
      </c>
      <c r="E4128" t="s">
        <v>8701</v>
      </c>
      <c r="F4128" t="s">
        <v>8702</v>
      </c>
      <c r="G4128" t="s">
        <v>14</v>
      </c>
      <c r="H4128">
             </c>
      <c r="I4128" t="s">
        <v>14</v>
      </c>
      <c r="J4128" t="s">
        <v>141</v>
      </c>
      <c r="K4128" t="s">
        <v>14</v>
      </c>
      <c r="L4128" t="s">
        <v>20</v>
      </c>
      <c r="M4128" t="s">
        <v>8667</v>
      </c>
      <c r="N4128" t="s">
        <v>14</v>
      </c>
    </row>
    <row r="4129" x14ac:dyDescent="0.25">
      <c r="A4129" t="n">
        <v>25</v>
      </c>
      <c r="B4129" t="s">
        <v>14</v>
      </c>
      <c r="C4129" t="s">
        <v>22</v>
      </c>
      <c r="D4129" s="2" t="s">
        <f>=HYPERLINK("https://main.knesset.gov.il/APPS/legislation/main/bills/2207172", "הצעת חוק-יסוד: הממשלה (תיקון - סמכויות הממשלה בענייניה המשפטיים)")</f>
        <v>8703</v>
      </c>
      <c r="E4129" t="s">
        <v>8703</v>
      </c>
      <c r="F4129" t="s">
        <v>8704</v>
      </c>
      <c r="G4129" t="s">
        <v>14</v>
      </c>
      <c r="H4129">
             </c>
      <c r="I4129" t="s">
        <v>14</v>
      </c>
      <c r="J4129" t="s">
        <v>141</v>
      </c>
      <c r="K4129" t="s">
        <v>14</v>
      </c>
      <c r="L4129" t="s">
        <v>20</v>
      </c>
      <c r="M4129" t="s">
        <v>8667</v>
      </c>
      <c r="N4129" t="s">
        <v>14</v>
      </c>
    </row>
    <row r="4130" x14ac:dyDescent="0.25">
      <c r="A4130" t="n">
        <v>25</v>
      </c>
      <c r="B4130" t="s">
        <v>14</v>
      </c>
      <c r="C4130" t="s">
        <v>22</v>
      </c>
      <c r="D4130" s="2" t="s">
        <f>=HYPERLINK("https://main.knesset.gov.il/APPS/legislation/main/bills/2207258", "הצעת חוק עובדים זרים (תיקון - הפחתת אגרה לעובדים בענף המלונאות), התשפ""ג-2023")</f>
        <v>8705</v>
      </c>
      <c r="E4130" t="s">
        <v>8705</v>
      </c>
      <c r="F4130" t="s">
        <v>8706</v>
      </c>
      <c r="G4130" t="s">
        <v>14</v>
      </c>
      <c r="H4130">
             </c>
      <c r="I4130" t="s">
        <v>14</v>
      </c>
      <c r="J4130" t="s">
        <v>141</v>
      </c>
      <c r="K4130" t="s">
        <v>14</v>
      </c>
      <c r="L4130" t="s">
        <v>20</v>
      </c>
      <c r="M4130" t="s">
        <v>8667</v>
      </c>
      <c r="N4130" t="s">
        <v>14</v>
      </c>
    </row>
    <row r="4131" x14ac:dyDescent="0.25">
      <c r="A4131" t="n">
        <v>25</v>
      </c>
      <c r="B4131" t="s">
        <v>14</v>
      </c>
      <c r="C4131" t="s">
        <v>22</v>
      </c>
      <c r="D4131" s="2" t="s">
        <f>=HYPERLINK("https://main.knesset.gov.il/APPS/legislation/main/bills/2206183", "הצעת חוק התכנון והבנייה (תיקון - שינוי מדיניות ההתנגדויות), התשפ""ג-2023")</f>
        <v>8707</v>
      </c>
      <c r="E4131" t="s">
        <v>8707</v>
      </c>
      <c r="F4131" t="s">
        <v>8708</v>
      </c>
      <c r="G4131" t="s">
        <v>14</v>
      </c>
      <c r="H4131">
             </c>
      <c r="I4131" t="s">
        <v>14</v>
      </c>
      <c r="J4131" t="s">
        <v>141</v>
      </c>
      <c r="K4131" t="s">
        <v>14</v>
      </c>
      <c r="L4131" t="s">
        <v>20</v>
      </c>
      <c r="M4131" t="s">
        <v>8667</v>
      </c>
      <c r="N4131" t="s">
        <v>14</v>
      </c>
    </row>
    <row r="4132" x14ac:dyDescent="0.25">
      <c r="A4132" t="n">
        <v>25</v>
      </c>
      <c r="B4132" t="s">
        <v>14</v>
      </c>
      <c r="C4132" t="s">
        <v>22</v>
      </c>
      <c r="D4132" s="2" t="s">
        <f>=HYPERLINK("https://main.knesset.gov.il/APPS/legislation/main/bills/2207162", "הצעת חוק ביטוח בריאות ממלכתי (תיקון - העברת תיק רפואי במעבר בין קופות חולים), התשפ""ג-2023")</f>
        <v>8167</v>
      </c>
      <c r="E4132" t="s">
        <v>8167</v>
      </c>
      <c r="F4132" t="s">
        <v>8709</v>
      </c>
      <c r="G4132" t="s">
        <v>14</v>
      </c>
      <c r="H4132">
             </c>
      <c r="I4132" t="s">
        <v>14</v>
      </c>
      <c r="J4132" t="s">
        <v>141</v>
      </c>
      <c r="K4132" t="s">
        <v>14</v>
      </c>
      <c r="L4132" t="s">
        <v>20</v>
      </c>
      <c r="M4132" t="s">
        <v>8667</v>
      </c>
      <c r="N4132" t="s">
        <v>14</v>
      </c>
    </row>
    <row r="4133" x14ac:dyDescent="0.25">
      <c r="A4133" t="n">
        <v>25</v>
      </c>
      <c r="B4133" t="s">
        <v>14</v>
      </c>
      <c r="C4133" t="s">
        <v>22</v>
      </c>
      <c r="D4133" s="2" t="s">
        <f>=HYPERLINK("https://main.knesset.gov.il/APPS/legislation/main/bills/2207250", "הצעת חוק למניעת התנכלות תעסוקתית, התשפ""ג-2023")</f>
        <v>8710</v>
      </c>
      <c r="E4133" t="s">
        <v>8710</v>
      </c>
      <c r="F4133" t="s">
        <v>8711</v>
      </c>
      <c r="G4133" t="s">
        <v>14</v>
      </c>
      <c r="H4133">
             </c>
      <c r="I4133" t="s">
        <v>14</v>
      </c>
      <c r="J4133" t="s">
        <v>141</v>
      </c>
      <c r="K4133" t="s">
        <v>14</v>
      </c>
      <c r="L4133" t="s">
        <v>20</v>
      </c>
      <c r="M4133" t="s">
        <v>8667</v>
      </c>
      <c r="N4133" t="s">
        <v>14</v>
      </c>
    </row>
    <row r="4134" x14ac:dyDescent="0.25">
      <c r="A4134" t="n">
        <v>25</v>
      </c>
      <c r="B4134" t="s">
        <v>14</v>
      </c>
      <c r="C4134" t="s">
        <v>22</v>
      </c>
      <c r="D4134" s="2" t="s">
        <f>=HYPERLINK("https://main.knesset.gov.il/APPS/legislation/main/bills/2207620", "הצעת חוק קידום התחרות בענף המזון (תיקון - הפיכת הוראת שעה להוראה קבועה), התשפ''ג-2023")</f>
        <v>8712</v>
      </c>
      <c r="E4134" t="s">
        <v>8712</v>
      </c>
      <c r="F4134" t="s">
        <v>8713</v>
      </c>
      <c r="G4134" t="s">
        <v>14</v>
      </c>
      <c r="H4134">
             </c>
      <c r="I4134" t="s">
        <v>14</v>
      </c>
      <c r="J4134" t="s">
        <v>141</v>
      </c>
      <c r="K4134" t="s">
        <v>14</v>
      </c>
      <c r="L4134" t="s">
        <v>20</v>
      </c>
      <c r="M4134" t="s">
        <v>8667</v>
      </c>
      <c r="N4134" t="s">
        <v>14</v>
      </c>
    </row>
    <row r="4135" x14ac:dyDescent="0.25">
      <c r="A4135" t="n">
        <v>25</v>
      </c>
      <c r="B4135" t="s">
        <v>14</v>
      </c>
      <c r="C4135" t="s">
        <v>22</v>
      </c>
      <c r="D4135" s="2" t="s">
        <f>=HYPERLINK("https://main.knesset.gov.il/APPS/legislation/main/bills/2207164", "הצעת חוק ביטוח בריאות ממלכתי (תיקון - בחירה מבין נותני השירותים), התשפ""ג-2023")</f>
        <v>6388</v>
      </c>
      <c r="E4135" t="s">
        <v>6388</v>
      </c>
      <c r="F4135" t="s">
        <v>8714</v>
      </c>
      <c r="G4135" t="s">
        <v>14</v>
      </c>
      <c r="H4135">
             </c>
      <c r="I4135" t="s">
        <v>14</v>
      </c>
      <c r="J4135" t="s">
        <v>141</v>
      </c>
      <c r="K4135" t="s">
        <v>14</v>
      </c>
      <c r="L4135" t="s">
        <v>20</v>
      </c>
      <c r="M4135" t="s">
        <v>8667</v>
      </c>
      <c r="N4135" t="s">
        <v>14</v>
      </c>
    </row>
    <row r="4136" x14ac:dyDescent="0.25">
      <c r="A4136" t="n">
        <v>25</v>
      </c>
      <c r="B4136" t="s">
        <v>14</v>
      </c>
      <c r="C4136" t="s">
        <v>22</v>
      </c>
      <c r="D4136" s="2" t="s">
        <f>=HYPERLINK("https://main.knesset.gov.il/APPS/legislation/main/bills/2206803", "הצעת חוק הביטוח הלאומי (תיקון - הקמת מצבה לאדם ערירי), התשפ""ג-2023")</f>
        <v>8368</v>
      </c>
      <c r="E4136" t="s">
        <v>8368</v>
      </c>
      <c r="F4136" t="s">
        <v>8715</v>
      </c>
      <c r="G4136" t="s">
        <v>14</v>
      </c>
      <c r="H4136">
             </c>
      <c r="I4136" t="s">
        <v>14</v>
      </c>
      <c r="J4136" t="s">
        <v>141</v>
      </c>
      <c r="K4136" t="s">
        <v>14</v>
      </c>
      <c r="L4136" t="s">
        <v>20</v>
      </c>
      <c r="M4136" t="s">
        <v>8667</v>
      </c>
      <c r="N4136" t="s">
        <v>14</v>
      </c>
    </row>
    <row r="4137" x14ac:dyDescent="0.25">
      <c r="A4137" t="n">
        <v>25</v>
      </c>
      <c r="B4137" t="s">
        <v>14</v>
      </c>
      <c r="C4137" t="s">
        <v>22</v>
      </c>
      <c r="D4137" s="2" t="s">
        <f>=HYPERLINK("https://main.knesset.gov.il/APPS/legislation/main/bills/2207225", "הצעת חוק המועצה הישראלית לצרכנות (תיקון - ודאות תקציבית), התשפ""ג-2023")</f>
        <v>8716</v>
      </c>
      <c r="E4137" t="s">
        <v>8716</v>
      </c>
      <c r="F4137" t="s">
        <v>8717</v>
      </c>
      <c r="G4137" t="s">
        <v>14</v>
      </c>
      <c r="H4137">
             </c>
      <c r="I4137" t="s">
        <v>14</v>
      </c>
      <c r="J4137" t="s">
        <v>141</v>
      </c>
      <c r="K4137" t="s">
        <v>14</v>
      </c>
      <c r="L4137" t="s">
        <v>20</v>
      </c>
      <c r="M4137" t="s">
        <v>8667</v>
      </c>
      <c r="N4137" t="s">
        <v>14</v>
      </c>
    </row>
    <row r="4138" x14ac:dyDescent="0.25">
      <c r="A4138" t="n">
        <v>25</v>
      </c>
      <c r="B4138" t="s">
        <v>14</v>
      </c>
      <c r="C4138" t="s">
        <v>22</v>
      </c>
      <c r="D4138" s="2" t="s">
        <f>=HYPERLINK("https://main.knesset.gov.il/APPS/legislation/main/bills/2206981", "הצעת חוק לתיקון פקודת ביטוח רכב מנועי (פוליסה לשני כלי רכב של נהג יחיד), התשפ""ג-2023")</f>
        <v>8718</v>
      </c>
      <c r="E4138" t="s">
        <v>8718</v>
      </c>
      <c r="F4138" t="s">
        <v>8719</v>
      </c>
      <c r="G4138" t="s">
        <v>14</v>
      </c>
      <c r="H4138">
             </c>
      <c r="I4138" t="s">
        <v>14</v>
      </c>
      <c r="J4138" t="s">
        <v>141</v>
      </c>
      <c r="K4138" t="s">
        <v>14</v>
      </c>
      <c r="L4138" t="s">
        <v>20</v>
      </c>
      <c r="M4138" t="s">
        <v>8667</v>
      </c>
      <c r="N4138" t="s">
        <v>14</v>
      </c>
    </row>
    <row r="4139" x14ac:dyDescent="0.25">
      <c r="A4139" t="n">
        <v>25</v>
      </c>
      <c r="B4139" t="s">
        <v>14</v>
      </c>
      <c r="C4139" t="s">
        <v>22</v>
      </c>
      <c r="D4139" s="2" t="s">
        <f>=HYPERLINK("https://main.knesset.gov.il/APPS/legislation/main/bills/2206793", "הצעת חוק האזרחים הוותיקים (תיקון - הנחה ברכישת אמצעי לזיהוי מצב חירום רפואי), התשפ""ג-2023")</f>
        <v>8032</v>
      </c>
      <c r="E4139" t="s">
        <v>8032</v>
      </c>
      <c r="F4139" t="s">
        <v>8720</v>
      </c>
      <c r="G4139" t="s">
        <v>14</v>
      </c>
      <c r="H4139">
             </c>
      <c r="I4139" t="s">
        <v>14</v>
      </c>
      <c r="J4139" t="s">
        <v>141</v>
      </c>
      <c r="K4139" t="s">
        <v>14</v>
      </c>
      <c r="L4139" t="s">
        <v>20</v>
      </c>
      <c r="M4139" t="s">
        <v>8667</v>
      </c>
      <c r="N4139" t="s">
        <v>14</v>
      </c>
    </row>
    <row r="4140" x14ac:dyDescent="0.25">
      <c r="A4140" t="n">
        <v>25</v>
      </c>
      <c r="B4140" t="s">
        <v>14</v>
      </c>
      <c r="C4140" t="s">
        <v>22</v>
      </c>
      <c r="D4140" s="2" t="s">
        <f>=HYPERLINK("https://main.knesset.gov.il/APPS/legislation/main/bills/2205860", "הצעת חוק הביטוח הלאומי (תיקון - הוספה והסרה של עבודות מלוח ח'), התשפ""ג-2023")</f>
        <v>8721</v>
      </c>
      <c r="E4140" t="s">
        <v>8721</v>
      </c>
      <c r="F4140" t="s">
        <v>8722</v>
      </c>
      <c r="G4140" t="s">
        <v>14</v>
      </c>
      <c r="H4140">
             </c>
      <c r="I4140" t="s">
        <v>14</v>
      </c>
      <c r="J4140" t="s">
        <v>141</v>
      </c>
      <c r="K4140" t="s">
        <v>14</v>
      </c>
      <c r="L4140" t="s">
        <v>20</v>
      </c>
      <c r="M4140" t="s">
        <v>8667</v>
      </c>
      <c r="N4140" t="s">
        <v>14</v>
      </c>
    </row>
    <row r="4141" x14ac:dyDescent="0.25">
      <c r="A4141" t="n">
        <v>25</v>
      </c>
      <c r="B4141" t="s">
        <v>14</v>
      </c>
      <c r="C4141" t="s">
        <v>22</v>
      </c>
      <c r="D4141" s="2" t="s">
        <f>=HYPERLINK("https://main.knesset.gov.il/APPS/legislation/main/bills/2206805", "הצעת חוק הביטוח הלאומי (תיקון - תנאי זכאות לדמי לידה), התשפ""ג-2023")</f>
        <v>8609</v>
      </c>
      <c r="E4141" t="s">
        <v>8609</v>
      </c>
      <c r="F4141" t="s">
        <v>8723</v>
      </c>
      <c r="G4141" t="s">
        <v>14</v>
      </c>
      <c r="H4141">
             </c>
      <c r="I4141" t="s">
        <v>14</v>
      </c>
      <c r="J4141" t="s">
        <v>141</v>
      </c>
      <c r="K4141" t="s">
        <v>14</v>
      </c>
      <c r="L4141" t="s">
        <v>20</v>
      </c>
      <c r="M4141" t="s">
        <v>8667</v>
      </c>
      <c r="N4141" t="s">
        <v>14</v>
      </c>
    </row>
    <row r="4142" x14ac:dyDescent="0.25">
      <c r="A4142" t="n">
        <v>25</v>
      </c>
      <c r="B4142" t="s">
        <v>14</v>
      </c>
      <c r="C4142" t="s">
        <v>22</v>
      </c>
      <c r="D4142" s="2" t="s">
        <f>=HYPERLINK("https://main.knesset.gov.il/APPS/legislation/main/bills/2206966", "הצעת חוק התכנון והבנייה (תיקון - החלטה מקדמית לפי תוכנית החיזוק), התשפ""ג-2023")</f>
        <v>8724</v>
      </c>
      <c r="E4142" t="s">
        <v>8724</v>
      </c>
      <c r="F4142" t="s">
        <v>8725</v>
      </c>
      <c r="G4142" t="s">
        <v>14</v>
      </c>
      <c r="H4142">
             </c>
      <c r="I4142" t="s">
        <v>14</v>
      </c>
      <c r="J4142" t="s">
        <v>141</v>
      </c>
      <c r="K4142" t="s">
        <v>14</v>
      </c>
      <c r="L4142" t="s">
        <v>20</v>
      </c>
      <c r="M4142" t="s">
        <v>8667</v>
      </c>
      <c r="N4142" t="s">
        <v>14</v>
      </c>
    </row>
    <row r="4143" x14ac:dyDescent="0.25">
      <c r="A4143" t="n">
        <v>25</v>
      </c>
      <c r="B4143" t="s">
        <v>14</v>
      </c>
      <c r="C4143" t="s">
        <v>22</v>
      </c>
      <c r="D4143" s="2" t="s">
        <f>=HYPERLINK("https://main.knesset.gov.il/APPS/legislation/main/bills/2207171", "הצעת חוק עובדים זרים (תיקון - אי־תחולת הסדר פנסיוני על עובד זר המועסק אצל יחיד בענף הסיעוד), התשפ""ג-2023")</f>
        <v>6053</v>
      </c>
      <c r="E4143" t="s">
        <v>6053</v>
      </c>
      <c r="F4143" t="s">
        <v>8726</v>
      </c>
      <c r="G4143" t="s">
        <v>14</v>
      </c>
      <c r="H4143">
             </c>
      <c r="I4143" t="s">
        <v>14</v>
      </c>
      <c r="J4143" t="s">
        <v>141</v>
      </c>
      <c r="K4143" t="s">
        <v>14</v>
      </c>
      <c r="L4143" t="s">
        <v>20</v>
      </c>
      <c r="M4143" t="s">
        <v>8667</v>
      </c>
      <c r="N4143" t="s">
        <v>14</v>
      </c>
    </row>
    <row r="4144" x14ac:dyDescent="0.25">
      <c r="A4144" t="n">
        <v>25</v>
      </c>
      <c r="B4144" t="s">
        <v>14</v>
      </c>
      <c r="C4144" t="s">
        <v>22</v>
      </c>
      <c r="D4144" s="2" t="s">
        <f>=HYPERLINK("https://main.knesset.gov.il/APPS/legislation/main/bills/2205751", "הצעת חוק זכויות הסטודנט (תיקון - ביטול ארגון סטודנטים יציג), התשפ""ג-2023")</f>
        <v>8727</v>
      </c>
      <c r="E4144" t="s">
        <v>8727</v>
      </c>
      <c r="F4144" t="s">
        <v>8728</v>
      </c>
      <c r="G4144" t="s">
        <v>14</v>
      </c>
      <c r="H4144">
             </c>
      <c r="I4144" t="s">
        <v>14</v>
      </c>
      <c r="J4144" t="s">
        <v>141</v>
      </c>
      <c r="K4144" t="s">
        <v>14</v>
      </c>
      <c r="L4144" t="s">
        <v>20</v>
      </c>
      <c r="M4144" t="s">
        <v>8667</v>
      </c>
      <c r="N4144" t="s">
        <v>14</v>
      </c>
    </row>
    <row r="4145" x14ac:dyDescent="0.25">
      <c r="A4145" t="n">
        <v>25</v>
      </c>
      <c r="B4145" t="s">
        <v>14</v>
      </c>
      <c r="C4145" t="s">
        <v>22</v>
      </c>
      <c r="D4145" s="2" t="s">
        <f>=HYPERLINK("https://main.knesset.gov.il/APPS/legislation/main/bills/2206960", "הצעת חוק מבקר המדינה (תיקון - הגנה על חושפי שחיתויות במשטרת ישראל), התשפ''ג-2023")</f>
        <v>8729</v>
      </c>
      <c r="E4145" t="s">
        <v>8729</v>
      </c>
      <c r="F4145" t="s">
        <v>8730</v>
      </c>
      <c r="G4145" t="s">
        <v>14</v>
      </c>
      <c r="H4145">
             </c>
      <c r="I4145" t="s">
        <v>14</v>
      </c>
      <c r="J4145" t="s">
        <v>141</v>
      </c>
      <c r="K4145" t="s">
        <v>14</v>
      </c>
      <c r="L4145" t="s">
        <v>20</v>
      </c>
      <c r="M4145" t="s">
        <v>8667</v>
      </c>
      <c r="N4145" t="s">
        <v>14</v>
      </c>
    </row>
    <row r="4146" x14ac:dyDescent="0.25">
      <c r="A4146" t="n">
        <v>25</v>
      </c>
      <c r="B4146" t="s">
        <v>14</v>
      </c>
      <c r="C4146" t="s">
        <v>22</v>
      </c>
      <c r="D4146" s="2" t="s">
        <f>=HYPERLINK("https://main.knesset.gov.il/APPS/legislation/main/bills/2207140", "הצעת חוק העונשין (תיקון - הגנה על בסיסי צה""ל, שטחי אש, תחנות משטרה ומתקנים ביטחוניים), התשפ""ג-2023 ")</f>
        <v>6391</v>
      </c>
      <c r="E4146" t="s">
        <v>6391</v>
      </c>
      <c r="F4146" t="s">
        <v>8731</v>
      </c>
      <c r="G4146" t="s">
        <v>14</v>
      </c>
      <c r="H4146">
             </c>
      <c r="I4146" t="s">
        <v>14</v>
      </c>
      <c r="J4146" t="s">
        <v>141</v>
      </c>
      <c r="K4146" t="s">
        <v>14</v>
      </c>
      <c r="L4146" t="s">
        <v>20</v>
      </c>
      <c r="M4146" t="s">
        <v>8667</v>
      </c>
      <c r="N4146" t="s">
        <v>14</v>
      </c>
    </row>
    <row r="4147" x14ac:dyDescent="0.25">
      <c r="A4147" t="n">
        <v>25</v>
      </c>
      <c r="B4147" t="s">
        <v>14</v>
      </c>
      <c r="C4147" t="s">
        <v>22</v>
      </c>
      <c r="D4147" s="2" t="s">
        <f>=HYPERLINK("https://main.knesset.gov.il/APPS/legislation/main/bills/2207046", "הצעת חוק לתיקון פקודת העיריות (אבטחת גורמים מאוימים בתאגידים עירוניים), התשפ""ג-2023")</f>
        <v>8732</v>
      </c>
      <c r="E4147" t="s">
        <v>8732</v>
      </c>
      <c r="F4147" t="s">
        <v>8733</v>
      </c>
      <c r="G4147" t="s">
        <v>14</v>
      </c>
      <c r="H4147">
             </c>
      <c r="I4147" t="s">
        <v>14</v>
      </c>
      <c r="J4147" t="s">
        <v>141</v>
      </c>
      <c r="K4147" t="s">
        <v>14</v>
      </c>
      <c r="L4147" t="s">
        <v>20</v>
      </c>
      <c r="M4147" t="s">
        <v>8667</v>
      </c>
      <c r="N4147" t="s">
        <v>14</v>
      </c>
    </row>
    <row r="4148" x14ac:dyDescent="0.25">
      <c r="A4148" t="n">
        <v>25</v>
      </c>
      <c r="B4148" t="s">
        <v>14</v>
      </c>
      <c r="C4148" t="s">
        <v>22</v>
      </c>
      <c r="D4148" s="2" t="s">
        <f>=HYPERLINK("https://main.knesset.gov.il/APPS/legislation/main/bills/2206968", "הצעת חוק המועצות האזוריות (בחירת ראש המועצה) (תיקון - הגשת רשימה על ידי סיעה או מפלגה), התשפ""ג-2023")</f>
        <v>8734</v>
      </c>
      <c r="E4148" t="s">
        <v>8734</v>
      </c>
      <c r="F4148" t="s">
        <v>8735</v>
      </c>
      <c r="G4148" t="s">
        <v>14</v>
      </c>
      <c r="H4148">
             </c>
      <c r="I4148" t="s">
        <v>14</v>
      </c>
      <c r="J4148" t="s">
        <v>141</v>
      </c>
      <c r="K4148" t="s">
        <v>14</v>
      </c>
      <c r="L4148" t="s">
        <v>20</v>
      </c>
      <c r="M4148" t="s">
        <v>8667</v>
      </c>
      <c r="N4148" t="s">
        <v>14</v>
      </c>
    </row>
    <row r="4149" x14ac:dyDescent="0.25">
      <c r="A4149" t="n">
        <v>25</v>
      </c>
      <c r="B4149" t="s">
        <v>14</v>
      </c>
      <c r="C4149" t="s">
        <v>22</v>
      </c>
      <c r="D4149" s="2" t="s">
        <f>=HYPERLINK("https://main.knesset.gov.il/APPS/legislation/main/bills/2207246", "הצעת חוק החברות (תיקון - ייצוג הולם לבני שני המינים בדירקטוריונים של חברות ציבוריות), התשפ""ג-2023")</f>
        <v>8736</v>
      </c>
      <c r="E4149" t="s">
        <v>8736</v>
      </c>
      <c r="F4149" t="s">
        <v>8737</v>
      </c>
      <c r="G4149" t="s">
        <v>14</v>
      </c>
      <c r="H4149">
             </c>
      <c r="I4149" t="s">
        <v>14</v>
      </c>
      <c r="J4149" t="s">
        <v>141</v>
      </c>
      <c r="K4149" t="s">
        <v>14</v>
      </c>
      <c r="L4149" t="s">
        <v>20</v>
      </c>
      <c r="M4149" t="s">
        <v>8667</v>
      </c>
      <c r="N4149" t="s">
        <v>14</v>
      </c>
    </row>
    <row r="4150" x14ac:dyDescent="0.25">
      <c r="A4150" t="n">
        <v>25</v>
      </c>
      <c r="B4150" t="s">
        <v>14</v>
      </c>
      <c r="C4150" t="s">
        <v>22</v>
      </c>
      <c r="D4150" s="2" t="s">
        <f>=HYPERLINK("https://main.knesset.gov.il/APPS/legislation/main/bills/2207489", "הצעת חוק בתי דין רבניים (קיום פסקי דין של גירושין) (תיקון - הגבלת שימוש בכרטיסי אשראי לסרבני גט), התשפ""ג-2023")</f>
        <v>8738</v>
      </c>
      <c r="E4150" t="s">
        <v>8738</v>
      </c>
      <c r="F4150" t="s">
        <v>8739</v>
      </c>
      <c r="G4150" t="s">
        <v>14</v>
      </c>
      <c r="H4150">
             </c>
      <c r="I4150" t="s">
        <v>14</v>
      </c>
      <c r="J4150" t="s">
        <v>141</v>
      </c>
      <c r="K4150" t="s">
        <v>14</v>
      </c>
      <c r="L4150" t="s">
        <v>20</v>
      </c>
      <c r="M4150" t="s">
        <v>8667</v>
      </c>
      <c r="N4150" t="s">
        <v>14</v>
      </c>
    </row>
    <row r="4151" x14ac:dyDescent="0.25">
      <c r="A4151" t="n">
        <v>25</v>
      </c>
      <c r="B4151" t="s">
        <v>14</v>
      </c>
      <c r="C4151" t="s">
        <v>22</v>
      </c>
      <c r="D4151" s="2" t="s">
        <f>=HYPERLINK("https://main.knesset.gov.il/APPS/legislation/main/bills/2207067", "הצעת חוק העונשין (תיקון - קביעת עונש מינימום בגין נטילת דמי חסות), התשפ""ג-2023")</f>
        <v>8740</v>
      </c>
      <c r="E4151" t="s">
        <v>8740</v>
      </c>
      <c r="F4151" t="s">
        <v>8741</v>
      </c>
      <c r="G4151" t="s">
        <v>14</v>
      </c>
      <c r="H4151">
             </c>
      <c r="I4151" t="s">
        <v>14</v>
      </c>
      <c r="J4151" t="s">
        <v>141</v>
      </c>
      <c r="K4151" t="s">
        <v>14</v>
      </c>
      <c r="L4151" t="s">
        <v>20</v>
      </c>
      <c r="M4151" t="s">
        <v>8667</v>
      </c>
      <c r="N4151" t="s">
        <v>14</v>
      </c>
    </row>
    <row r="4152" x14ac:dyDescent="0.25">
      <c r="A4152" t="n">
        <v>25</v>
      </c>
      <c r="B4152" t="s">
        <v>14</v>
      </c>
      <c r="C4152" t="s">
        <v>22</v>
      </c>
      <c r="D4152" s="2" t="s">
        <f>=HYPERLINK("https://main.knesset.gov.il/APPS/legislation/main/bills/2206979", "הצעת חוק התכנון והבנייה (תיקון - שימוש חורג בקרקע חקלאית), התשפ""ג-2023")</f>
        <v>8742</v>
      </c>
      <c r="E4152" t="s">
        <v>8742</v>
      </c>
      <c r="F4152" t="s">
        <v>8743</v>
      </c>
      <c r="G4152" t="s">
        <v>14</v>
      </c>
      <c r="H4152">
             </c>
      <c r="I4152" t="s">
        <v>14</v>
      </c>
      <c r="J4152" t="s">
        <v>141</v>
      </c>
      <c r="K4152" t="s">
        <v>14</v>
      </c>
      <c r="L4152" t="s">
        <v>20</v>
      </c>
      <c r="M4152" t="s">
        <v>8667</v>
      </c>
      <c r="N4152" t="s">
        <v>14</v>
      </c>
    </row>
    <row r="4153" x14ac:dyDescent="0.25">
      <c r="A4153" t="n">
        <v>25</v>
      </c>
      <c r="B4153" t="s">
        <v>14</v>
      </c>
      <c r="C4153" t="s">
        <v>22</v>
      </c>
      <c r="D4153" s="2" t="s">
        <f>=HYPERLINK("https://main.knesset.gov.il/APPS/legislation/main/bills/2207238", "הצעת חוק העונשין (תיקון - חובת פיצוי נפגע עבירה וחובת הנמקה), התשפ""ג-2023")</f>
        <v>8744</v>
      </c>
      <c r="E4153" t="s">
        <v>8744</v>
      </c>
      <c r="F4153" t="s">
        <v>8745</v>
      </c>
      <c r="G4153" t="s">
        <v>14</v>
      </c>
      <c r="H4153">
             </c>
      <c r="I4153" t="s">
        <v>14</v>
      </c>
      <c r="J4153" t="s">
        <v>141</v>
      </c>
      <c r="K4153" t="s">
        <v>14</v>
      </c>
      <c r="L4153" t="s">
        <v>20</v>
      </c>
      <c r="M4153" t="s">
        <v>8667</v>
      </c>
      <c r="N4153" t="s">
        <v>14</v>
      </c>
    </row>
    <row r="4154" x14ac:dyDescent="0.25">
      <c r="A4154" t="n">
        <v>25</v>
      </c>
      <c r="B4154" t="s">
        <v>14</v>
      </c>
      <c r="C4154" t="s">
        <v>22</v>
      </c>
      <c r="D4154" s="2" t="s">
        <f>=HYPERLINK("https://main.knesset.gov.il/APPS/legislation/main/bills/2207216", "הצעת חוק מימון מפלגות (תיקון - ייצוג לנשים ברשימת המועמדים), התשפ""ג-2023")</f>
        <v>8746</v>
      </c>
      <c r="E4154" t="s">
        <v>8746</v>
      </c>
      <c r="F4154" t="s">
        <v>8747</v>
      </c>
      <c r="G4154" t="s">
        <v>14</v>
      </c>
      <c r="H4154">
             </c>
      <c r="I4154" t="s">
        <v>14</v>
      </c>
      <c r="J4154" t="s">
        <v>141</v>
      </c>
      <c r="K4154" t="s">
        <v>14</v>
      </c>
      <c r="L4154" t="s">
        <v>20</v>
      </c>
      <c r="M4154" t="s">
        <v>8667</v>
      </c>
      <c r="N4154" t="s">
        <v>14</v>
      </c>
    </row>
    <row r="4155" x14ac:dyDescent="0.25">
      <c r="A4155" t="n">
        <v>25</v>
      </c>
      <c r="B4155" t="s">
        <v>14</v>
      </c>
      <c r="C4155" t="s">
        <v>22</v>
      </c>
      <c r="D4155" s="2" t="s">
        <f>=HYPERLINK("https://main.knesset.gov.il/APPS/legislation/main/bills/2207047", "הצעת חוק מיסוי רווחי יתר של תאגידים בנקאיים, התשפ""ג-2023")</f>
        <v>8384</v>
      </c>
      <c r="E4155" t="s">
        <v>8384</v>
      </c>
      <c r="F4155" t="s">
        <v>8748</v>
      </c>
      <c r="G4155" t="s">
        <v>14</v>
      </c>
      <c r="H4155">
             </c>
      <c r="I4155" t="s">
        <v>14</v>
      </c>
      <c r="J4155" t="s">
        <v>141</v>
      </c>
      <c r="K4155" t="s">
        <v>14</v>
      </c>
      <c r="L4155" t="s">
        <v>20</v>
      </c>
      <c r="M4155" t="s">
        <v>8667</v>
      </c>
      <c r="N4155" t="s">
        <v>14</v>
      </c>
    </row>
    <row r="4156" x14ac:dyDescent="0.25">
      <c r="A4156" t="n">
        <v>25</v>
      </c>
      <c r="B4156" t="s">
        <v>14</v>
      </c>
      <c r="C4156" t="s">
        <v>22</v>
      </c>
      <c r="D4156" s="2" t="s">
        <f>=HYPERLINK("https://main.knesset.gov.il/APPS/legislation/main/bills/2206962", "הצעת חוק עיקול ותפיסה מידתיים של נכסים המוחזקים בידי צד שלישי (תיקוני חקיקה), התשפ""ג-2023")</f>
        <v>8749</v>
      </c>
      <c r="E4156" t="s">
        <v>8749</v>
      </c>
      <c r="F4156" t="s">
        <v>8750</v>
      </c>
      <c r="G4156" t="s">
        <v>14</v>
      </c>
      <c r="H4156">
             </c>
      <c r="I4156" t="s">
        <v>14</v>
      </c>
      <c r="J4156" t="s">
        <v>141</v>
      </c>
      <c r="K4156" t="s">
        <v>14</v>
      </c>
      <c r="L4156" t="s">
        <v>20</v>
      </c>
      <c r="M4156" t="s">
        <v>8667</v>
      </c>
      <c r="N4156" t="s">
        <v>14</v>
      </c>
    </row>
    <row r="4157" x14ac:dyDescent="0.25">
      <c r="A4157" t="n">
        <v>25</v>
      </c>
      <c r="B4157" t="s">
        <v>14</v>
      </c>
      <c r="C4157" t="s">
        <v>22</v>
      </c>
      <c r="D4157" s="2" t="s">
        <f>=HYPERLINK("https://main.knesset.gov.il/APPS/legislation/main/bills/2207228", "הצעת חוק בתי המשפט (תיקון - מחלקות לעבירות מין), התשפ""ג-2023")</f>
        <v>8751</v>
      </c>
      <c r="E4157" t="s">
        <v>8751</v>
      </c>
      <c r="F4157" t="s">
        <v>8752</v>
      </c>
      <c r="G4157" t="s">
        <v>14</v>
      </c>
      <c r="H4157">
             </c>
      <c r="I4157" t="s">
        <v>14</v>
      </c>
      <c r="J4157" t="s">
        <v>141</v>
      </c>
      <c r="K4157" t="s">
        <v>14</v>
      </c>
      <c r="L4157" t="s">
        <v>20</v>
      </c>
      <c r="M4157" t="s">
        <v>8667</v>
      </c>
      <c r="N4157" t="s">
        <v>14</v>
      </c>
    </row>
    <row r="4158" x14ac:dyDescent="0.25">
      <c r="A4158" t="n">
        <v>25</v>
      </c>
      <c r="B4158" t="s">
        <v>14</v>
      </c>
      <c r="C4158" t="s">
        <v>22</v>
      </c>
      <c r="D4158" s="2" t="s">
        <f>=HYPERLINK("https://main.knesset.gov.il/APPS/legislation/main/bills/2207044", "הצעת חוק לתיקון פקודת מס הכנסה (ניכוי ריבית על משכנתה וסיוע ברכישת דירה), התשפ""ג-2023")</f>
        <v>8753</v>
      </c>
      <c r="E4158" t="s">
        <v>8753</v>
      </c>
      <c r="F4158" t="s">
        <v>8754</v>
      </c>
      <c r="G4158" t="s">
        <v>14</v>
      </c>
      <c r="H4158">
             </c>
      <c r="I4158" t="s">
        <v>14</v>
      </c>
      <c r="J4158" t="s">
        <v>141</v>
      </c>
      <c r="K4158" t="s">
        <v>14</v>
      </c>
      <c r="L4158" t="s">
        <v>20</v>
      </c>
      <c r="M4158" t="s">
        <v>8667</v>
      </c>
      <c r="N4158" t="s">
        <v>14</v>
      </c>
    </row>
    <row r="4159" x14ac:dyDescent="0.25">
      <c r="A4159" t="n">
        <v>25</v>
      </c>
      <c r="B4159" t="s">
        <v>14</v>
      </c>
      <c r="C4159" t="s">
        <v>22</v>
      </c>
      <c r="D4159" s="2" t="s">
        <f>=HYPERLINK("https://main.knesset.gov.il/APPS/legislation/main/bills/2206932", "הצעת חוק מס ערך מוסף (תיקון - הגבלת שיעור מס שכר למלכ""רים בירושלים), התשפ""ג-2023")</f>
        <v>8755</v>
      </c>
      <c r="E4159" t="s">
        <v>8755</v>
      </c>
      <c r="F4159" t="s">
        <v>8756</v>
      </c>
      <c r="G4159" t="s">
        <v>14</v>
      </c>
      <c r="H4159">
             </c>
      <c r="I4159" t="s">
        <v>14</v>
      </c>
      <c r="J4159" t="s">
        <v>141</v>
      </c>
      <c r="K4159" t="s">
        <v>14</v>
      </c>
      <c r="L4159" t="s">
        <v>20</v>
      </c>
      <c r="M4159" t="s">
        <v>8667</v>
      </c>
      <c r="N4159" t="s">
        <v>14</v>
      </c>
    </row>
    <row r="4160" x14ac:dyDescent="0.25">
      <c r="A4160" t="n">
        <v>25</v>
      </c>
      <c r="B4160" t="s">
        <v>14</v>
      </c>
      <c r="C4160" t="s">
        <v>22</v>
      </c>
      <c r="D4160" s="2" t="s">
        <f>=HYPERLINK("https://main.knesset.gov.il/APPS/legislation/main/bills/2207153", "הצעת חוק תשלום קצבאות לחיילי מילואים ולבני משפחותיהם (תיקון - השוואת תנאי אלמנות חללי המילואים), התשפ""ג-2023")</f>
        <v>8757</v>
      </c>
      <c r="E4160" t="s">
        <v>8757</v>
      </c>
      <c r="F4160" t="s">
        <v>8758</v>
      </c>
      <c r="G4160" t="s">
        <v>14</v>
      </c>
      <c r="H4160">
             </c>
      <c r="I4160" t="s">
        <v>14</v>
      </c>
      <c r="J4160" t="s">
        <v>141</v>
      </c>
      <c r="K4160" t="s">
        <v>14</v>
      </c>
      <c r="L4160" t="s">
        <v>20</v>
      </c>
      <c r="M4160" t="s">
        <v>8667</v>
      </c>
      <c r="N4160" t="s">
        <v>14</v>
      </c>
    </row>
    <row r="4161" x14ac:dyDescent="0.25">
      <c r="A4161" t="n">
        <v>25</v>
      </c>
      <c r="B4161" t="s">
        <v>14</v>
      </c>
      <c r="C4161" t="s">
        <v>22</v>
      </c>
      <c r="D4161" s="2" t="s">
        <f>=HYPERLINK("https://main.knesset.gov.il/APPS/legislation/main/bills/2207386", "הצעת חוק חילוט תקבולי עבירה בפשיעה חקלאית, התשפ""ג-2023")</f>
        <v>8759</v>
      </c>
      <c r="E4161" t="s">
        <v>8759</v>
      </c>
      <c r="F4161" t="s">
        <v>8760</v>
      </c>
      <c r="G4161" t="s">
        <v>14</v>
      </c>
      <c r="H4161">
             </c>
      <c r="I4161" t="s">
        <v>14</v>
      </c>
      <c r="J4161" t="s">
        <v>141</v>
      </c>
      <c r="K4161" t="s">
        <v>14</v>
      </c>
      <c r="L4161" t="s">
        <v>20</v>
      </c>
      <c r="M4161" t="s">
        <v>8667</v>
      </c>
      <c r="N4161" t="s">
        <v>14</v>
      </c>
    </row>
    <row r="4162" x14ac:dyDescent="0.25">
      <c r="A4162" t="n">
        <v>25</v>
      </c>
      <c r="B4162" t="s">
        <v>14</v>
      </c>
      <c r="C4162" t="s">
        <v>22</v>
      </c>
      <c r="D4162" s="2" t="s">
        <f>=HYPERLINK("https://main.knesset.gov.il/APPS/legislation/main/bills/2206955", "הצעת חוק חילוט תקבולי עבירה בפשיעה חקלאית, התשפ""ג-2023")</f>
        <v>8759</v>
      </c>
      <c r="E4162" t="s">
        <v>8759</v>
      </c>
      <c r="F4162" t="s">
        <v>8761</v>
      </c>
      <c r="G4162" t="s">
        <v>14</v>
      </c>
      <c r="H4162">
             </c>
      <c r="I4162" t="s">
        <v>14</v>
      </c>
      <c r="J4162" t="s">
        <v>141</v>
      </c>
      <c r="K4162" t="s">
        <v>14</v>
      </c>
      <c r="L4162" t="s">
        <v>20</v>
      </c>
      <c r="M4162" t="s">
        <v>8667</v>
      </c>
      <c r="N4162" t="s">
        <v>14</v>
      </c>
    </row>
    <row r="4163" x14ac:dyDescent="0.25">
      <c r="A4163" t="n">
        <v>25</v>
      </c>
      <c r="B4163" t="s">
        <v>14</v>
      </c>
      <c r="C4163" t="s">
        <v>22</v>
      </c>
      <c r="D4163" s="2" t="s">
        <f>=HYPERLINK("https://main.knesset.gov.il/APPS/legislation/main/bills/2207155", "הצעת חוק המאבק בטרור (תיקון - פיצוי עונשי לנפגעי עבירה), התשפ""ג-2023")</f>
        <v>8415</v>
      </c>
      <c r="E4163" t="s">
        <v>8415</v>
      </c>
      <c r="F4163" t="s">
        <v>8762</v>
      </c>
      <c r="G4163" t="s">
        <v>14</v>
      </c>
      <c r="H4163">
             </c>
      <c r="I4163" t="s">
        <v>14</v>
      </c>
      <c r="J4163" t="s">
        <v>141</v>
      </c>
      <c r="K4163" t="s">
        <v>14</v>
      </c>
      <c r="L4163" t="s">
        <v>20</v>
      </c>
      <c r="M4163" t="s">
        <v>8667</v>
      </c>
      <c r="N4163" t="s">
        <v>14</v>
      </c>
    </row>
    <row r="4164" x14ac:dyDescent="0.25">
      <c r="A4164" t="n">
        <v>25</v>
      </c>
      <c r="B4164" t="s">
        <v>14</v>
      </c>
      <c r="C4164" t="s">
        <v>22</v>
      </c>
      <c r="D4164" s="2" t="s">
        <f>=HYPERLINK("https://main.knesset.gov.il/APPS/legislation/main/bills/2207161", "הצעת חוק התכנון והבנייה (תיקון - מכירה ישירה של תוצרת חקלאית), התשפ""ג-2023")</f>
        <v>8763</v>
      </c>
      <c r="E4164" t="s">
        <v>8763</v>
      </c>
      <c r="F4164" t="s">
        <v>8764</v>
      </c>
      <c r="G4164" t="s">
        <v>14</v>
      </c>
      <c r="H4164">
             </c>
      <c r="I4164" t="s">
        <v>14</v>
      </c>
      <c r="J4164" t="s">
        <v>141</v>
      </c>
      <c r="K4164" t="s">
        <v>14</v>
      </c>
      <c r="L4164" t="s">
        <v>20</v>
      </c>
      <c r="M4164" t="s">
        <v>8667</v>
      </c>
      <c r="N4164" t="s">
        <v>14</v>
      </c>
    </row>
    <row r="4165" x14ac:dyDescent="0.25">
      <c r="A4165" t="n">
        <v>25</v>
      </c>
      <c r="B4165" t="s">
        <v>14</v>
      </c>
      <c r="C4165" t="s">
        <v>22</v>
      </c>
      <c r="D4165" s="2" t="s">
        <f>=HYPERLINK("https://main.knesset.gov.il/APPS/legislation/main/bills/2207163", "הצעת חוק הכניסה לישראל (תיקון - איסור כניסת פעילי טרור), התשפ""ג-2023")</f>
        <v>8765</v>
      </c>
      <c r="E4165" t="s">
        <v>8765</v>
      </c>
      <c r="F4165" t="s">
        <v>8766</v>
      </c>
      <c r="G4165" t="s">
        <v>14</v>
      </c>
      <c r="H4165">
             </c>
      <c r="I4165" t="s">
        <v>14</v>
      </c>
      <c r="J4165" t="s">
        <v>141</v>
      </c>
      <c r="K4165" t="s">
        <v>14</v>
      </c>
      <c r="L4165" t="s">
        <v>20</v>
      </c>
      <c r="M4165" t="s">
        <v>8667</v>
      </c>
      <c r="N4165" t="s">
        <v>14</v>
      </c>
    </row>
    <row r="4166" x14ac:dyDescent="0.25">
      <c r="A4166" t="n">
        <v>25</v>
      </c>
      <c r="B4166" t="s">
        <v>14</v>
      </c>
      <c r="C4166" t="s">
        <v>22</v>
      </c>
      <c r="D4166" s="2" t="s">
        <f>=HYPERLINK("https://main.knesset.gov.il/APPS/legislation/main/bills/2199389", "הצעת חוק שירותי תשלום (תיקון - דיווח על ניצול כלכלי של אזרח ותיק או חסר ישע), התשפ""ג -2023")</f>
        <v>8767</v>
      </c>
      <c r="E4166" t="s">
        <v>8767</v>
      </c>
      <c r="F4166" t="s">
        <v>8768</v>
      </c>
      <c r="G4166" t="s">
        <v>14</v>
      </c>
      <c r="H4166">
             </c>
      <c r="I4166" t="s">
        <v>14</v>
      </c>
      <c r="J4166" t="s">
        <v>141</v>
      </c>
      <c r="K4166" t="s">
        <v>14</v>
      </c>
      <c r="L4166" t="s">
        <v>20</v>
      </c>
      <c r="M4166" t="s">
        <v>8667</v>
      </c>
      <c r="N4166" t="s">
        <v>14</v>
      </c>
    </row>
    <row r="4167" x14ac:dyDescent="0.25">
      <c r="A4167" t="n">
        <v>25</v>
      </c>
      <c r="B4167" t="s">
        <v>14</v>
      </c>
      <c r="C4167" t="s">
        <v>22</v>
      </c>
      <c r="D4167" s="2" t="s">
        <f>=HYPERLINK("https://main.knesset.gov.il/APPS/legislation/main/bills/2203695", "הצעת חוק אומנה לילדים (תיקון - העברת תשלומים להורה אומנה במקרים מיוחדים), התשפ""ג-2023")</f>
        <v>8769</v>
      </c>
      <c r="E4167" t="s">
        <v>8769</v>
      </c>
      <c r="F4167" t="s">
        <v>8770</v>
      </c>
      <c r="G4167" t="s">
        <v>14</v>
      </c>
      <c r="H4167">
             </c>
      <c r="I4167" t="s">
        <v>14</v>
      </c>
      <c r="J4167" t="s">
        <v>343</v>
      </c>
      <c r="K4167" t="s">
        <v>14</v>
      </c>
      <c r="L4167" t="s">
        <v>20</v>
      </c>
      <c r="M4167" t="s">
        <v>8771</v>
      </c>
      <c r="N4167" t="s">
        <v>14</v>
      </c>
    </row>
    <row r="4168" x14ac:dyDescent="0.25">
      <c r="A4168" t="n">
        <v>25</v>
      </c>
      <c r="B4168" t="s">
        <v>14</v>
      </c>
      <c r="C4168" t="s">
        <v>22</v>
      </c>
      <c r="D4168" s="2" t="s">
        <f>=HYPERLINK("https://main.knesset.gov.il/APPS/legislation/main/bills/2200328", "הצעת חוק איסור טיפול המרה לקטין, התשפ""ג-2023")</f>
        <v>8772</v>
      </c>
      <c r="E4168" t="s">
        <v>8772</v>
      </c>
      <c r="F4168" t="s">
        <v>8773</v>
      </c>
      <c r="G4168" t="s">
        <v>14</v>
      </c>
      <c r="H4168">
             </c>
      <c r="I4168" t="s">
        <v>14</v>
      </c>
      <c r="J4168" t="s">
        <v>55</v>
      </c>
      <c r="K4168" t="s">
        <v>14</v>
      </c>
      <c r="L4168" t="s">
        <v>20</v>
      </c>
      <c r="M4168" t="s">
        <v>8771</v>
      </c>
      <c r="N4168" t="s">
        <v>14</v>
      </c>
    </row>
    <row r="4169" x14ac:dyDescent="0.25">
      <c r="A4169" t="n">
        <v>25</v>
      </c>
      <c r="B4169" t="s">
        <v>14</v>
      </c>
      <c r="C4169" t="s">
        <v>22</v>
      </c>
      <c r="D4169" s="2" t="s">
        <f>=HYPERLINK("https://main.knesset.gov.il/APPS/legislation/main/bills/2199914", "הצעת חוק איסור טיפול המרה לקטין, התשפ""ג-2023")</f>
        <v>8772</v>
      </c>
      <c r="E4169" t="s">
        <v>8772</v>
      </c>
      <c r="F4169" t="s">
        <v>8774</v>
      </c>
      <c r="G4169" t="s">
        <v>14</v>
      </c>
      <c r="H4169">
             </c>
      <c r="I4169" t="s">
        <v>14</v>
      </c>
      <c r="J4169" t="s">
        <v>55</v>
      </c>
      <c r="K4169" t="s">
        <v>14</v>
      </c>
      <c r="L4169" t="s">
        <v>20</v>
      </c>
      <c r="M4169" t="s">
        <v>8771</v>
      </c>
      <c r="N4169" t="s">
        <v>14</v>
      </c>
    </row>
    <row r="4170" x14ac:dyDescent="0.25">
      <c r="A4170" t="n">
        <v>25</v>
      </c>
      <c r="B4170" t="s">
        <v>14</v>
      </c>
      <c r="C4170" t="s">
        <v>22</v>
      </c>
      <c r="D4170" s="2" t="s">
        <f>=HYPERLINK("https://main.knesset.gov.il/APPS/legislation/main/bills/2195856", "הצעת חוק הבחירות לכנסת (תיקון - הצבעת אנשי צוות אוויר), התשפ""ג-2022")</f>
        <v>8775</v>
      </c>
      <c r="E4170" t="s">
        <v>8775</v>
      </c>
      <c r="F4170" t="s">
        <v>8776</v>
      </c>
      <c r="G4170" t="s">
        <v>14</v>
      </c>
      <c r="H4170">
             </c>
      <c r="I4170" t="s">
        <v>14</v>
      </c>
      <c r="J4170" t="s">
        <v>55</v>
      </c>
      <c r="K4170" t="s">
        <v>14</v>
      </c>
      <c r="L4170" t="s">
        <v>20</v>
      </c>
      <c r="M4170" t="s">
        <v>8771</v>
      </c>
      <c r="N4170" t="s">
        <v>14</v>
      </c>
    </row>
    <row r="4171" x14ac:dyDescent="0.25">
      <c r="A4171" t="n">
        <v>25</v>
      </c>
      <c r="B4171" t="s">
        <v>14</v>
      </c>
      <c r="C4171" t="s">
        <v>22</v>
      </c>
      <c r="D4171" s="2" t="s">
        <f>=HYPERLINK("https://main.knesset.gov.il/APPS/legislation/main/bills/2196942", "חוק לביטול אזרחותו או תושבותו של פעיל טרור שמקבל תגמול עבור ביצוע מעשה הטרור (תיקוני חקיקה), התשפ""ג-2023")</f>
        <v>8777</v>
      </c>
      <c r="E4171" t="s">
        <v>8777</v>
      </c>
      <c r="F4171" t="s">
        <v>8778</v>
      </c>
      <c r="G4171" t="s">
        <v>8779</v>
      </c>
      <c r="H4171" t="n">
        <v>3024</v>
      </c>
      <c r="I4171" t="s">
        <v>14</v>
      </c>
      <c r="J4171" t="s">
        <v>91</v>
      </c>
      <c r="K4171" t="s">
        <v>14</v>
      </c>
      <c r="L4171" t="s">
        <v>20</v>
      </c>
      <c r="M4171" t="s">
        <v>8780</v>
      </c>
      <c r="N4171" t="s">
        <v>8781</v>
      </c>
    </row>
    <row r="4172" x14ac:dyDescent="0.25">
      <c r="A4172" t="n">
        <v>25</v>
      </c>
      <c r="B4172" t="s">
        <v>14</v>
      </c>
      <c r="C4172" t="s">
        <v>22</v>
      </c>
      <c r="D4172" s="2" t="s">
        <f>=HYPERLINK("https://main.knesset.gov.il/APPS/legislation/main/bills/2200755", "חוק תאגידי מים וביוב (תיקון מס' 15), התשפ""ג–2023")</f>
        <v>8782</v>
      </c>
      <c r="E4172" t="s">
        <v>8782</v>
      </c>
      <c r="F4172" t="s">
        <v>8783</v>
      </c>
      <c r="G4172" t="s">
        <v>8784</v>
      </c>
      <c r="H4172" t="n">
        <v>3052</v>
      </c>
      <c r="I4172" t="s">
        <v>14</v>
      </c>
      <c r="J4172" t="s">
        <v>91</v>
      </c>
      <c r="K4172" t="s">
        <v>19</v>
      </c>
      <c r="L4172" t="s">
        <v>20</v>
      </c>
      <c r="M4172" t="s">
        <v>8780</v>
      </c>
      <c r="N4172" t="s">
        <v>8785</v>
      </c>
    </row>
    <row r="4173" x14ac:dyDescent="0.25">
      <c r="A4173" t="n">
        <v>25</v>
      </c>
      <c r="B4173" t="s">
        <v>14</v>
      </c>
      <c r="C4173" t="s">
        <v>22</v>
      </c>
      <c r="D4173" s="2" t="s">
        <f>=HYPERLINK("https://main.knesset.gov.il/APPS/legislation/main/bills/2196344", "הצעת חוק העונשין (תיקון - הרחבת הגדרת הגזענות), התשפ""ג-2023")</f>
        <v>8262</v>
      </c>
      <c r="E4173" t="s">
        <v>8262</v>
      </c>
      <c r="F4173" t="s">
        <v>8786</v>
      </c>
      <c r="G4173" t="s">
        <v>14</v>
      </c>
      <c r="H4173">
             </c>
      <c r="I4173" t="s">
        <v>14</v>
      </c>
      <c r="J4173" t="s">
        <v>31</v>
      </c>
      <c r="K4173" t="s">
        <v>27</v>
      </c>
      <c r="L4173" t="s">
        <v>20</v>
      </c>
      <c r="M4173" t="s">
        <v>8787</v>
      </c>
      <c r="N4173" t="s">
        <v>14</v>
      </c>
    </row>
    <row r="4174" x14ac:dyDescent="0.25">
      <c r="A4174" t="n">
        <v>25</v>
      </c>
      <c r="B4174" t="s">
        <v>14</v>
      </c>
      <c r="C4174" t="s">
        <v>15</v>
      </c>
      <c r="D4174" s="2" t="s">
        <f>=HYPERLINK("https://main.knesset.gov.il/APPS/legislation/main/bills/2203992", "חוק טיפול בחולי נפש (תיקון מס' 12), התשפ""ג-2023")</f>
        <v>8788</v>
      </c>
      <c r="E4174" t="s">
        <v>8788</v>
      </c>
      <c r="F4174" t="s">
        <v>14</v>
      </c>
      <c r="G4174" t="s">
        <v>8789</v>
      </c>
      <c r="H4174" t="n">
        <v>3051</v>
      </c>
      <c r="I4174" t="s">
        <v>14</v>
      </c>
      <c r="J4174" t="s">
        <v>91</v>
      </c>
      <c r="K4174" t="s">
        <v>480</v>
      </c>
      <c r="L4174" t="s">
        <v>20</v>
      </c>
      <c r="M4174" t="s">
        <v>8787</v>
      </c>
      <c r="N4174" t="s">
        <v>8790</v>
      </c>
    </row>
    <row r="4175" x14ac:dyDescent="0.25">
      <c r="A4175" t="n">
        <v>25</v>
      </c>
      <c r="B4175" t="s">
        <v>14</v>
      </c>
      <c r="C4175" t="s">
        <v>15</v>
      </c>
      <c r="D4175" s="2" t="s">
        <f>=HYPERLINK("https://main.knesset.gov.il/APPS/legislation/main/bills/2193153", "חוק התחרות הכלכלית (תיקון מס' 23 והוראת שעה), התשפ""ג-2023")</f>
        <v>8791</v>
      </c>
      <c r="E4175" t="s">
        <v>8791</v>
      </c>
      <c r="F4175" t="s">
        <v>14</v>
      </c>
      <c r="G4175" t="s">
        <v>8792</v>
      </c>
      <c r="H4175" t="n">
        <v>3050</v>
      </c>
      <c r="I4175" t="s">
        <v>14</v>
      </c>
      <c r="J4175" t="s">
        <v>91</v>
      </c>
      <c r="K4175" t="s">
        <v>19</v>
      </c>
      <c r="L4175" t="s">
        <v>20</v>
      </c>
      <c r="M4175" t="s">
        <v>8787</v>
      </c>
      <c r="N4175" t="s">
        <v>8793</v>
      </c>
    </row>
    <row r="4176" x14ac:dyDescent="0.25">
      <c r="A4176" t="n">
        <v>25</v>
      </c>
      <c r="B4176" t="s">
        <v>14</v>
      </c>
      <c r="C4176" t="s">
        <v>22</v>
      </c>
      <c r="D4176" s="2" t="s">
        <f>=HYPERLINK("https://main.knesset.gov.il/APPS/legislation/main/bills/2206549", "הצעת חוק מס הכנסה (מיסוי הכנסה מפעילות בכלי שיט לפי תפוסה), התשפ""ג-2023")</f>
        <v>8794</v>
      </c>
      <c r="E4176" t="s">
        <v>8794</v>
      </c>
      <c r="F4176" t="s">
        <v>8795</v>
      </c>
      <c r="G4176" t="s">
        <v>14</v>
      </c>
      <c r="H4176">
             </c>
      <c r="I4176" t="s">
        <v>14</v>
      </c>
      <c r="J4176" t="s">
        <v>141</v>
      </c>
      <c r="K4176" t="s">
        <v>14</v>
      </c>
      <c r="L4176" t="s">
        <v>20</v>
      </c>
      <c r="M4176" t="s">
        <v>8787</v>
      </c>
      <c r="N4176" t="s">
        <v>14</v>
      </c>
    </row>
    <row r="4177" x14ac:dyDescent="0.25">
      <c r="A4177" t="n">
        <v>25</v>
      </c>
      <c r="B4177" t="s">
        <v>14</v>
      </c>
      <c r="C4177" t="s">
        <v>22</v>
      </c>
      <c r="D4177" s="2" t="s">
        <f>=HYPERLINK("https://main.knesset.gov.il/APPS/legislation/main/bills/2199393", "הצעת חוק לשכת עורכי הדין (תיקון - השעיה עד סיום ההליכים), התשפ""ג-2023")</f>
        <v>8796</v>
      </c>
      <c r="E4177" t="s">
        <v>8796</v>
      </c>
      <c r="F4177" t="s">
        <v>8797</v>
      </c>
      <c r="G4177" t="s">
        <v>14</v>
      </c>
      <c r="H4177">
             </c>
      <c r="I4177" t="s">
        <v>14</v>
      </c>
      <c r="J4177" t="s">
        <v>343</v>
      </c>
      <c r="K4177" t="s">
        <v>14</v>
      </c>
      <c r="L4177" t="s">
        <v>20</v>
      </c>
      <c r="M4177" t="s">
        <v>8787</v>
      </c>
      <c r="N4177" t="s">
        <v>14</v>
      </c>
    </row>
    <row r="4178" x14ac:dyDescent="0.25">
      <c r="A4178" t="n">
        <v>25</v>
      </c>
      <c r="B4178" t="s">
        <v>14</v>
      </c>
      <c r="C4178" t="s">
        <v>22</v>
      </c>
      <c r="D4178" s="2" t="s">
        <f>=HYPERLINK("https://main.knesset.gov.il/APPS/legislation/main/bills/2206384", "הצעת חוק לתיקון פקודת מס הכנסה (ידועים בציבור), התשפ""ג-2023")</f>
        <v>8798</v>
      </c>
      <c r="E4178" t="s">
        <v>8798</v>
      </c>
      <c r="F4178" t="s">
        <v>8799</v>
      </c>
      <c r="G4178" t="s">
        <v>14</v>
      </c>
      <c r="H4178">
             </c>
      <c r="I4178" t="s">
        <v>14</v>
      </c>
      <c r="J4178" t="s">
        <v>141</v>
      </c>
      <c r="K4178" t="s">
        <v>14</v>
      </c>
      <c r="L4178" t="s">
        <v>20</v>
      </c>
      <c r="M4178" t="s">
        <v>8787</v>
      </c>
      <c r="N4178" t="s">
        <v>14</v>
      </c>
    </row>
    <row r="4179" x14ac:dyDescent="0.25">
      <c r="A4179" t="n">
        <v>25</v>
      </c>
      <c r="B4179" t="s">
        <v>14</v>
      </c>
      <c r="C4179" t="s">
        <v>22</v>
      </c>
      <c r="D4179" s="2" t="s">
        <f>=HYPERLINK("https://main.knesset.gov.il/APPS/legislation/main/bills/2206677", "הצעת חוק ביטוח בריאות ממלכתי (תיקון - ביטול החרגת חיילים), התשפ""ג-2023")</f>
        <v>8800</v>
      </c>
      <c r="E4179" t="s">
        <v>8800</v>
      </c>
      <c r="F4179" t="s">
        <v>8801</v>
      </c>
      <c r="G4179" t="s">
        <v>14</v>
      </c>
      <c r="H4179">
             </c>
      <c r="I4179" t="s">
        <v>14</v>
      </c>
      <c r="J4179" t="s">
        <v>141</v>
      </c>
      <c r="K4179" t="s">
        <v>14</v>
      </c>
      <c r="L4179" t="s">
        <v>20</v>
      </c>
      <c r="M4179" t="s">
        <v>8787</v>
      </c>
      <c r="N4179" t="s">
        <v>14</v>
      </c>
    </row>
    <row r="4180" x14ac:dyDescent="0.25">
      <c r="A4180" t="n">
        <v>25</v>
      </c>
      <c r="B4180" t="s">
        <v>14</v>
      </c>
      <c r="C4180" t="s">
        <v>22</v>
      </c>
      <c r="D4180" s="2" t="s">
        <f>=HYPERLINK("https://main.knesset.gov.il/APPS/legislation/main/bills/2206790", "הצעת חוק לתיקון פקודת מס הכנסה (החזר בתשלום למעונות יום לאימהות), התשפ""ג-2023")</f>
        <v>8802</v>
      </c>
      <c r="E4180" t="s">
        <v>8802</v>
      </c>
      <c r="F4180" t="s">
        <v>8803</v>
      </c>
      <c r="G4180" t="s">
        <v>14</v>
      </c>
      <c r="H4180">
             </c>
      <c r="I4180" t="s">
        <v>14</v>
      </c>
      <c r="J4180" t="s">
        <v>141</v>
      </c>
      <c r="K4180" t="s">
        <v>14</v>
      </c>
      <c r="L4180" t="s">
        <v>20</v>
      </c>
      <c r="M4180" t="s">
        <v>8787</v>
      </c>
      <c r="N4180" t="s">
        <v>14</v>
      </c>
    </row>
    <row r="4181" x14ac:dyDescent="0.25">
      <c r="A4181" t="n">
        <v>25</v>
      </c>
      <c r="B4181" t="s">
        <v>14</v>
      </c>
      <c r="C4181" t="s">
        <v>22</v>
      </c>
      <c r="D4181" s="2" t="s">
        <f>=HYPERLINK("https://main.knesset.gov.il/APPS/legislation/main/bills/2204087", "הצעת חוק לתיקון פקודת מס הכנסה (חשבון השקעה), התשפ""ג-2023")</f>
        <v>8804</v>
      </c>
      <c r="E4181" t="s">
        <v>8804</v>
      </c>
      <c r="F4181" t="s">
        <v>8805</v>
      </c>
      <c r="G4181" t="s">
        <v>14</v>
      </c>
      <c r="H4181">
             </c>
      <c r="I4181" t="s">
        <v>14</v>
      </c>
      <c r="J4181" t="s">
        <v>141</v>
      </c>
      <c r="K4181" t="s">
        <v>14</v>
      </c>
      <c r="L4181" t="s">
        <v>20</v>
      </c>
      <c r="M4181" t="s">
        <v>8787</v>
      </c>
      <c r="N4181" t="s">
        <v>14</v>
      </c>
    </row>
    <row r="4182" x14ac:dyDescent="0.25">
      <c r="A4182" t="n">
        <v>25</v>
      </c>
      <c r="B4182" t="s">
        <v>14</v>
      </c>
      <c r="C4182" t="s">
        <v>22</v>
      </c>
      <c r="D4182" s="2" t="s">
        <f>=HYPERLINK("https://main.knesset.gov.il/APPS/legislation/main/bills/2206798", "הצעת חוק שוויון זכויות לאנשים עם מוגבלות (תיקון - מידע בדבר עמידת מעסיקים פרטיים גדולים ביעד הייצוג ההולם), התשפ""ג-2023")</f>
        <v>8806</v>
      </c>
      <c r="E4182" t="s">
        <v>8806</v>
      </c>
      <c r="F4182" t="s">
        <v>8807</v>
      </c>
      <c r="G4182" t="s">
        <v>14</v>
      </c>
      <c r="H4182">
             </c>
      <c r="I4182" t="s">
        <v>14</v>
      </c>
      <c r="J4182" t="s">
        <v>141</v>
      </c>
      <c r="K4182" t="s">
        <v>14</v>
      </c>
      <c r="L4182" t="s">
        <v>20</v>
      </c>
      <c r="M4182" t="s">
        <v>8787</v>
      </c>
      <c r="N4182" t="s">
        <v>14</v>
      </c>
    </row>
    <row r="4183" x14ac:dyDescent="0.25">
      <c r="A4183" t="n">
        <v>25</v>
      </c>
      <c r="B4183" t="s">
        <v>14</v>
      </c>
      <c r="C4183" t="s">
        <v>22</v>
      </c>
      <c r="D4183" s="2" t="s">
        <f>=HYPERLINK("https://main.knesset.gov.il/APPS/legislation/main/bills/2206679", "הצעת חוק לתיקון פקודת בריאות העם (העדפות מתן רישיון למכשור רפואי בפריפריה), התשפ""ג-2023")</f>
        <v>8001</v>
      </c>
      <c r="E4183" t="s">
        <v>8001</v>
      </c>
      <c r="F4183" t="s">
        <v>8808</v>
      </c>
      <c r="G4183" t="s">
        <v>14</v>
      </c>
      <c r="H4183">
             </c>
      <c r="I4183" t="s">
        <v>14</v>
      </c>
      <c r="J4183" t="s">
        <v>141</v>
      </c>
      <c r="K4183" t="s">
        <v>14</v>
      </c>
      <c r="L4183" t="s">
        <v>20</v>
      </c>
      <c r="M4183" t="s">
        <v>8787</v>
      </c>
      <c r="N4183" t="s">
        <v>14</v>
      </c>
    </row>
    <row r="4184" x14ac:dyDescent="0.25">
      <c r="A4184" t="n">
        <v>25</v>
      </c>
      <c r="B4184" t="s">
        <v>14</v>
      </c>
      <c r="C4184" t="s">
        <v>22</v>
      </c>
      <c r="D4184" s="2" t="s">
        <f>=HYPERLINK("https://main.knesset.gov.il/APPS/legislation/main/bills/2206816", "הצעת חוק הגנת השכר (תיקון - פירוט עלות מעסיק), התשפ""ג-2023")</f>
        <v>8809</v>
      </c>
      <c r="E4184" t="s">
        <v>8809</v>
      </c>
      <c r="F4184" t="s">
        <v>8810</v>
      </c>
      <c r="G4184" t="s">
        <v>14</v>
      </c>
      <c r="H4184">
             </c>
      <c r="I4184" t="s">
        <v>14</v>
      </c>
      <c r="J4184" t="s">
        <v>141</v>
      </c>
      <c r="K4184" t="s">
        <v>14</v>
      </c>
      <c r="L4184" t="s">
        <v>20</v>
      </c>
      <c r="M4184" t="s">
        <v>8787</v>
      </c>
      <c r="N4184" t="s">
        <v>14</v>
      </c>
    </row>
    <row r="4185" x14ac:dyDescent="0.25">
      <c r="A4185" t="n">
        <v>25</v>
      </c>
      <c r="B4185" t="s">
        <v>14</v>
      </c>
      <c r="C4185" t="s">
        <v>22</v>
      </c>
      <c r="D4185" s="2" t="s">
        <f>=HYPERLINK("https://main.knesset.gov.il/APPS/legislation/main/bills/2203955", "הצעת חוק עובדים זרים (תיקון - הפחתת אגרה לעובדים בענף המלונאות), התשפ""ג-2023")</f>
        <v>8705</v>
      </c>
      <c r="E4185" t="s">
        <v>8705</v>
      </c>
      <c r="F4185" t="s">
        <v>8811</v>
      </c>
      <c r="G4185" t="s">
        <v>14</v>
      </c>
      <c r="H4185">
             </c>
      <c r="I4185" t="s">
        <v>14</v>
      </c>
      <c r="J4185" t="s">
        <v>141</v>
      </c>
      <c r="K4185" t="s">
        <v>14</v>
      </c>
      <c r="L4185" t="s">
        <v>20</v>
      </c>
      <c r="M4185" t="s">
        <v>8787</v>
      </c>
      <c r="N4185" t="s">
        <v>14</v>
      </c>
    </row>
    <row r="4186" x14ac:dyDescent="0.25">
      <c r="A4186" t="n">
        <v>25</v>
      </c>
      <c r="B4186" t="s">
        <v>14</v>
      </c>
      <c r="C4186" t="s">
        <v>22</v>
      </c>
      <c r="D4186" s="2" t="s">
        <f>=HYPERLINK("https://main.knesset.gov.il/APPS/legislation/main/bills/2199135", "הצעת חוק החברות הממשלתיות (תיקון - ייצוג הולם בקרב עובדי החברות הממשלתיות), התשפ""ג-2023")</f>
        <v>8812</v>
      </c>
      <c r="E4186" t="s">
        <v>8812</v>
      </c>
      <c r="F4186" t="s">
        <v>8813</v>
      </c>
      <c r="G4186" t="s">
        <v>14</v>
      </c>
      <c r="H4186">
             </c>
      <c r="I4186" t="s">
        <v>14</v>
      </c>
      <c r="J4186" t="s">
        <v>141</v>
      </c>
      <c r="K4186" t="s">
        <v>14</v>
      </c>
      <c r="L4186" t="s">
        <v>20</v>
      </c>
      <c r="M4186" t="s">
        <v>8787</v>
      </c>
      <c r="N4186" t="s">
        <v>14</v>
      </c>
    </row>
    <row r="4187" x14ac:dyDescent="0.25">
      <c r="A4187" t="n">
        <v>25</v>
      </c>
      <c r="B4187" t="s">
        <v>14</v>
      </c>
      <c r="C4187" t="s">
        <v>22</v>
      </c>
      <c r="D4187" s="2" t="s">
        <f>=HYPERLINK("https://main.knesset.gov.il/APPS/legislation/main/bills/2206678", "הצעת חוק לתיקון פקודת בריאות העם (מכשירים רפואיים מיוחדים), התשפ""ג-2023")</f>
        <v>8814</v>
      </c>
      <c r="E4187" t="s">
        <v>8814</v>
      </c>
      <c r="F4187" t="s">
        <v>8815</v>
      </c>
      <c r="G4187" t="s">
        <v>14</v>
      </c>
      <c r="H4187">
             </c>
      <c r="I4187" t="s">
        <v>14</v>
      </c>
      <c r="J4187" t="s">
        <v>141</v>
      </c>
      <c r="K4187" t="s">
        <v>14</v>
      </c>
      <c r="L4187" t="s">
        <v>20</v>
      </c>
      <c r="M4187" t="s">
        <v>8787</v>
      </c>
      <c r="N4187" t="s">
        <v>14</v>
      </c>
    </row>
    <row r="4188" x14ac:dyDescent="0.25">
      <c r="A4188" t="n">
        <v>25</v>
      </c>
      <c r="B4188" t="s">
        <v>14</v>
      </c>
      <c r="C4188" t="s">
        <v>22</v>
      </c>
      <c r="D4188" s="2" t="s">
        <f>=HYPERLINK("https://main.knesset.gov.il/APPS/legislation/main/bills/2206897", "הצעת חוק צעירים חסרי עורף משפחתי, התשפ""ג-2023")</f>
        <v>8816</v>
      </c>
      <c r="E4188" t="s">
        <v>8816</v>
      </c>
      <c r="F4188" t="s">
        <v>8817</v>
      </c>
      <c r="G4188" t="s">
        <v>14</v>
      </c>
      <c r="H4188">
             </c>
      <c r="I4188" t="s">
        <v>14</v>
      </c>
      <c r="J4188" t="s">
        <v>141</v>
      </c>
      <c r="K4188" t="s">
        <v>14</v>
      </c>
      <c r="L4188" t="s">
        <v>20</v>
      </c>
      <c r="M4188" t="s">
        <v>8787</v>
      </c>
      <c r="N4188" t="s">
        <v>14</v>
      </c>
    </row>
    <row r="4189" x14ac:dyDescent="0.25">
      <c r="A4189" t="n">
        <v>25</v>
      </c>
      <c r="B4189" t="s">
        <v>14</v>
      </c>
      <c r="C4189" t="s">
        <v>22</v>
      </c>
      <c r="D4189" s="2" t="s">
        <f>=HYPERLINK("https://main.knesset.gov.il/APPS/legislation/main/bills/2206780", "הצעת חוק לתיקון פקודת הדיג (איכון ספינות דיג), התשפ""ג-2023")</f>
        <v>8818</v>
      </c>
      <c r="E4189" t="s">
        <v>8818</v>
      </c>
      <c r="F4189" t="s">
        <v>8819</v>
      </c>
      <c r="G4189" t="s">
        <v>14</v>
      </c>
      <c r="H4189">
             </c>
      <c r="I4189" t="s">
        <v>14</v>
      </c>
      <c r="J4189" t="s">
        <v>141</v>
      </c>
      <c r="K4189" t="s">
        <v>14</v>
      </c>
      <c r="L4189" t="s">
        <v>20</v>
      </c>
      <c r="M4189" t="s">
        <v>8787</v>
      </c>
      <c r="N4189" t="s">
        <v>14</v>
      </c>
    </row>
    <row r="4190" x14ac:dyDescent="0.25">
      <c r="A4190" t="n">
        <v>25</v>
      </c>
      <c r="B4190" t="s">
        <v>14</v>
      </c>
      <c r="C4190" t="s">
        <v>22</v>
      </c>
      <c r="D4190" s="2" t="s">
        <f>=HYPERLINK("https://main.knesset.gov.il/APPS/legislation/main/bills/2203681", "הצעת חוק איסור הפליה במוצרים, בשירותים ובכניסה למקומות בידור ולמקומות ציבוריים (תיקון - איסור הפרדה), התשפ""ג-2023")</f>
        <v>8820</v>
      </c>
      <c r="E4190" t="s">
        <v>8820</v>
      </c>
      <c r="F4190" t="s">
        <v>8821</v>
      </c>
      <c r="G4190" t="s">
        <v>14</v>
      </c>
      <c r="H4190">
             </c>
      <c r="I4190" t="s">
        <v>14</v>
      </c>
      <c r="J4190" t="s">
        <v>141</v>
      </c>
      <c r="K4190" t="s">
        <v>14</v>
      </c>
      <c r="L4190" t="s">
        <v>20</v>
      </c>
      <c r="M4190" t="s">
        <v>8787</v>
      </c>
      <c r="N4190" t="s">
        <v>14</v>
      </c>
    </row>
    <row r="4191" x14ac:dyDescent="0.25">
      <c r="A4191" t="n">
        <v>25</v>
      </c>
      <c r="B4191" t="s">
        <v>14</v>
      </c>
      <c r="C4191" t="s">
        <v>22</v>
      </c>
      <c r="D4191" s="2" t="s">
        <f>=HYPERLINK("https://main.knesset.gov.il/APPS/legislation/main/bills/2198312", "הצעת חוק העמותות (תיקון - הגבלת הכנסה ממדינות שאין לישראל יחסים רשמיים עימן), התשפ""ג-2023")</f>
        <v>8822</v>
      </c>
      <c r="E4191" t="s">
        <v>8822</v>
      </c>
      <c r="F4191" t="s">
        <v>8823</v>
      </c>
      <c r="G4191" t="s">
        <v>14</v>
      </c>
      <c r="H4191">
             </c>
      <c r="I4191" t="s">
        <v>14</v>
      </c>
      <c r="J4191" t="s">
        <v>141</v>
      </c>
      <c r="K4191" t="s">
        <v>14</v>
      </c>
      <c r="L4191" t="s">
        <v>20</v>
      </c>
      <c r="M4191" t="s">
        <v>8787</v>
      </c>
      <c r="N4191" t="s">
        <v>14</v>
      </c>
    </row>
    <row r="4192" x14ac:dyDescent="0.25">
      <c r="A4192" t="n">
        <v>25</v>
      </c>
      <c r="B4192" t="s">
        <v>14</v>
      </c>
      <c r="C4192" t="s">
        <v>22</v>
      </c>
      <c r="D4192" s="2" t="s">
        <f>=HYPERLINK("https://main.knesset.gov.il/APPS/legislation/main/bills/2206407", "הצעת חוק הגבלת משקל בתעשיית הדוגמנות (תיקון - פיקוח ואכיפה), התשפ""ג-2023")</f>
        <v>8824</v>
      </c>
      <c r="E4192" t="s">
        <v>8824</v>
      </c>
      <c r="F4192" t="s">
        <v>8825</v>
      </c>
      <c r="G4192" t="s">
        <v>14</v>
      </c>
      <c r="H4192">
             </c>
      <c r="I4192" t="s">
        <v>14</v>
      </c>
      <c r="J4192" t="s">
        <v>141</v>
      </c>
      <c r="K4192" t="s">
        <v>14</v>
      </c>
      <c r="L4192" t="s">
        <v>20</v>
      </c>
      <c r="M4192" t="s">
        <v>8787</v>
      </c>
      <c r="N4192" t="s">
        <v>14</v>
      </c>
    </row>
    <row r="4193" x14ac:dyDescent="0.25">
      <c r="A4193" t="n">
        <v>25</v>
      </c>
      <c r="B4193" t="s">
        <v>14</v>
      </c>
      <c r="C4193" t="s">
        <v>22</v>
      </c>
      <c r="D4193" s="2" t="s">
        <f>=HYPERLINK("https://main.knesset.gov.il/APPS/legislation/main/bills/2205593", "הצעת חוק שיפוט בתי דין רבניים (נישואין וגירושין) (תיקון - הסכם כבוד הדדי), התשפ""ג-2023")</f>
        <v>8826</v>
      </c>
      <c r="E4193" t="s">
        <v>8826</v>
      </c>
      <c r="F4193" t="s">
        <v>8827</v>
      </c>
      <c r="G4193" t="s">
        <v>14</v>
      </c>
      <c r="H4193">
             </c>
      <c r="I4193" t="s">
        <v>14</v>
      </c>
      <c r="J4193" t="s">
        <v>141</v>
      </c>
      <c r="K4193" t="s">
        <v>14</v>
      </c>
      <c r="L4193" t="s">
        <v>20</v>
      </c>
      <c r="M4193" t="s">
        <v>8787</v>
      </c>
      <c r="N4193" t="s">
        <v>14</v>
      </c>
    </row>
    <row r="4194" x14ac:dyDescent="0.25">
      <c r="A4194" t="n">
        <v>25</v>
      </c>
      <c r="B4194" t="s">
        <v>14</v>
      </c>
      <c r="C4194" t="s">
        <v>22</v>
      </c>
      <c r="D4194" s="2" t="s">
        <f>=HYPERLINK("https://main.knesset.gov.il/APPS/legislation/main/bills/2205477", "הצעת חוק העונשין (תיקון - עבירות בנשק), התשפ""ג-2023")</f>
        <v>8828</v>
      </c>
      <c r="E4194" t="s">
        <v>8828</v>
      </c>
      <c r="F4194" t="s">
        <v>8829</v>
      </c>
      <c r="G4194" t="s">
        <v>14</v>
      </c>
      <c r="H4194">
             </c>
      <c r="I4194" t="s">
        <v>14</v>
      </c>
      <c r="J4194" t="s">
        <v>141</v>
      </c>
      <c r="K4194" t="s">
        <v>14</v>
      </c>
      <c r="L4194" t="s">
        <v>20</v>
      </c>
      <c r="M4194" t="s">
        <v>8787</v>
      </c>
      <c r="N4194" t="s">
        <v>14</v>
      </c>
    </row>
    <row r="4195" x14ac:dyDescent="0.25">
      <c r="A4195" t="n">
        <v>25</v>
      </c>
      <c r="B4195" t="s">
        <v>14</v>
      </c>
      <c r="C4195" t="s">
        <v>22</v>
      </c>
      <c r="D4195" s="2" t="s">
        <f>=HYPERLINK("https://main.knesset.gov.il/APPS/legislation/main/bills/2206428", "הצעת חוק הרבנות הראשית לישראל (תיקון - כשירות להיבחר), התשפ""ג-2023 ")</f>
        <v>8830</v>
      </c>
      <c r="E4195" t="s">
        <v>8830</v>
      </c>
      <c r="F4195" t="s">
        <v>8831</v>
      </c>
      <c r="G4195" t="s">
        <v>14</v>
      </c>
      <c r="H4195">
             </c>
      <c r="I4195" t="s">
        <v>14</v>
      </c>
      <c r="J4195" t="s">
        <v>141</v>
      </c>
      <c r="K4195" t="s">
        <v>14</v>
      </c>
      <c r="L4195" t="s">
        <v>20</v>
      </c>
      <c r="M4195" t="s">
        <v>8787</v>
      </c>
      <c r="N4195" t="s">
        <v>14</v>
      </c>
    </row>
    <row r="4196" x14ac:dyDescent="0.25">
      <c r="A4196" t="n">
        <v>25</v>
      </c>
      <c r="B4196" t="s">
        <v>14</v>
      </c>
      <c r="C4196" t="s">
        <v>22</v>
      </c>
      <c r="D4196" s="2" t="s">
        <f>=HYPERLINK("https://main.knesset.gov.il/APPS/legislation/main/bills/2206674", "הצעת חוק הרשות לפיתוח הנגב (תיקון - שינוי הגדרת הנגב), התשפ""ג-2023")</f>
        <v>8832</v>
      </c>
      <c r="E4196" t="s">
        <v>8832</v>
      </c>
      <c r="F4196" t="s">
        <v>8833</v>
      </c>
      <c r="G4196" t="s">
        <v>14</v>
      </c>
      <c r="H4196">
             </c>
      <c r="I4196" t="s">
        <v>14</v>
      </c>
      <c r="J4196" t="s">
        <v>141</v>
      </c>
      <c r="K4196" t="s">
        <v>14</v>
      </c>
      <c r="L4196" t="s">
        <v>20</v>
      </c>
      <c r="M4196" t="s">
        <v>8787</v>
      </c>
      <c r="N4196" t="s">
        <v>14</v>
      </c>
    </row>
    <row r="4197" x14ac:dyDescent="0.25">
      <c r="A4197" t="n">
        <v>25</v>
      </c>
      <c r="B4197" t="s">
        <v>14</v>
      </c>
      <c r="C4197" t="s">
        <v>22</v>
      </c>
      <c r="D4197" s="2" t="s">
        <f>=HYPERLINK("https://main.knesset.gov.il/APPS/legislation/main/bills/2206931", "הצעת חוק הביטוח הלאומי (תיקון - גמלת סיעוד בכסף בשיעור מלא), התשפ""ג-2023")</f>
        <v>8834</v>
      </c>
      <c r="E4197" t="s">
        <v>8834</v>
      </c>
      <c r="F4197" t="s">
        <v>8835</v>
      </c>
      <c r="G4197" t="s">
        <v>14</v>
      </c>
      <c r="H4197">
             </c>
      <c r="I4197" t="s">
        <v>14</v>
      </c>
      <c r="J4197" t="s">
        <v>141</v>
      </c>
      <c r="K4197" t="s">
        <v>14</v>
      </c>
      <c r="L4197" t="s">
        <v>20</v>
      </c>
      <c r="M4197" t="s">
        <v>8787</v>
      </c>
      <c r="N4197" t="s">
        <v>14</v>
      </c>
    </row>
    <row r="4198" x14ac:dyDescent="0.25">
      <c r="A4198" t="n">
        <v>25</v>
      </c>
      <c r="B4198" t="s">
        <v>14</v>
      </c>
      <c r="C4198" t="s">
        <v>22</v>
      </c>
      <c r="D4198" s="2" t="s">
        <f>=HYPERLINK("https://main.knesset.gov.il/APPS/legislation/main/bills/2199087", "הצעת חוק למניעת הטרדה מינית (תיקון - פיטורי עובד עקב הטרדה מינית), התשפ""ג-2023")</f>
        <v>8836</v>
      </c>
      <c r="E4198" t="s">
        <v>8836</v>
      </c>
      <c r="F4198" t="s">
        <v>8837</v>
      </c>
      <c r="G4198" t="s">
        <v>14</v>
      </c>
      <c r="H4198">
             </c>
      <c r="I4198" t="s">
        <v>14</v>
      </c>
      <c r="J4198" t="s">
        <v>141</v>
      </c>
      <c r="K4198" t="s">
        <v>14</v>
      </c>
      <c r="L4198" t="s">
        <v>20</v>
      </c>
      <c r="M4198" t="s">
        <v>8787</v>
      </c>
      <c r="N4198" t="s">
        <v>14</v>
      </c>
    </row>
    <row r="4199" x14ac:dyDescent="0.25">
      <c r="A4199" t="n">
        <v>25</v>
      </c>
      <c r="B4199" t="s">
        <v>14</v>
      </c>
      <c r="C4199" t="s">
        <v>22</v>
      </c>
      <c r="D4199" s="2" t="s">
        <f>=HYPERLINK("https://main.knesset.gov.il/APPS/legislation/main/bills/2204782", "הצעת חוק האזרחות (תיקון - ויתור על אזרחות ישראלית), התשפ""ג-2023")</f>
        <v>8838</v>
      </c>
      <c r="E4199" t="s">
        <v>8838</v>
      </c>
      <c r="F4199" t="s">
        <v>8839</v>
      </c>
      <c r="G4199" t="s">
        <v>14</v>
      </c>
      <c r="H4199">
             </c>
      <c r="I4199" t="s">
        <v>14</v>
      </c>
      <c r="J4199" t="s">
        <v>141</v>
      </c>
      <c r="K4199" t="s">
        <v>14</v>
      </c>
      <c r="L4199" t="s">
        <v>20</v>
      </c>
      <c r="M4199" t="s">
        <v>8787</v>
      </c>
      <c r="N4199" t="s">
        <v>14</v>
      </c>
    </row>
    <row r="4200" x14ac:dyDescent="0.25">
      <c r="A4200" t="n">
        <v>25</v>
      </c>
      <c r="B4200" t="s">
        <v>14</v>
      </c>
      <c r="C4200" t="s">
        <v>22</v>
      </c>
      <c r="D4200" s="2" t="s">
        <f>=HYPERLINK("https://main.knesset.gov.il/APPS/legislation/main/bills/2205987", "הצעת חוק למניעת שחרור מוקדם של אדם שהורשע בביצוע מעשה טרור (תיקוני חקיקה), התשפ""ג- 2023 ")</f>
        <v>8840</v>
      </c>
      <c r="E4200" t="s">
        <v>8840</v>
      </c>
      <c r="F4200" t="s">
        <v>8841</v>
      </c>
      <c r="G4200" t="s">
        <v>14</v>
      </c>
      <c r="H4200">
             </c>
      <c r="I4200" t="s">
        <v>14</v>
      </c>
      <c r="J4200" t="s">
        <v>141</v>
      </c>
      <c r="K4200" t="s">
        <v>14</v>
      </c>
      <c r="L4200" t="s">
        <v>20</v>
      </c>
      <c r="M4200" t="s">
        <v>8787</v>
      </c>
      <c r="N4200" t="s">
        <v>14</v>
      </c>
    </row>
    <row r="4201" x14ac:dyDescent="0.25">
      <c r="A4201" t="n">
        <v>25</v>
      </c>
      <c r="B4201" t="s">
        <v>14</v>
      </c>
      <c r="C4201" t="s">
        <v>22</v>
      </c>
      <c r="D4201" s="2" t="s">
        <f>=HYPERLINK("https://main.knesset.gov.il/APPS/legislation/main/bills/2206727", "הצעת חוק התקשורת (בזק ושידורים) (תיקון - חובת בעל רישיון להעברת תכני חוזי-שמע להפקה או רכישה של הפקות מקומיות), התשפ""ג-2023")</f>
        <v>8842</v>
      </c>
      <c r="E4201" t="s">
        <v>8842</v>
      </c>
      <c r="F4201" t="s">
        <v>8843</v>
      </c>
      <c r="G4201" t="s">
        <v>14</v>
      </c>
      <c r="H4201">
             </c>
      <c r="I4201" t="s">
        <v>14</v>
      </c>
      <c r="J4201" t="s">
        <v>141</v>
      </c>
      <c r="K4201" t="s">
        <v>14</v>
      </c>
      <c r="L4201" t="s">
        <v>20</v>
      </c>
      <c r="M4201" t="s">
        <v>8787</v>
      </c>
      <c r="N4201" t="s">
        <v>14</v>
      </c>
    </row>
    <row r="4202" x14ac:dyDescent="0.25">
      <c r="A4202" t="n">
        <v>25</v>
      </c>
      <c r="B4202" t="s">
        <v>14</v>
      </c>
      <c r="C4202" t="s">
        <v>22</v>
      </c>
      <c r="D4202" s="2" t="s">
        <f>=HYPERLINK("https://main.knesset.gov.il/APPS/legislation/main/bills/2199143", "הצעת חוק הפסקת היריון, התשפ""ג-2023")</f>
        <v>8844</v>
      </c>
      <c r="E4202" t="s">
        <v>8844</v>
      </c>
      <c r="F4202" t="s">
        <v>8845</v>
      </c>
      <c r="G4202" t="s">
        <v>14</v>
      </c>
      <c r="H4202">
             </c>
      <c r="I4202" t="s">
        <v>14</v>
      </c>
      <c r="J4202" t="s">
        <v>141</v>
      </c>
      <c r="K4202" t="s">
        <v>14</v>
      </c>
      <c r="L4202" t="s">
        <v>20</v>
      </c>
      <c r="M4202" t="s">
        <v>8787</v>
      </c>
      <c r="N4202" t="s">
        <v>14</v>
      </c>
    </row>
    <row r="4203" x14ac:dyDescent="0.25">
      <c r="A4203" t="n">
        <v>25</v>
      </c>
      <c r="B4203" t="s">
        <v>14</v>
      </c>
      <c r="C4203" t="s">
        <v>22</v>
      </c>
      <c r="D4203" s="2" t="s">
        <f>=HYPERLINK("https://main.knesset.gov.il/APPS/legislation/main/bills/2205911", "הצעת חוק לתיקון פקודת הרוקחים (כתב ברייל), התשפ""ג-2023")</f>
        <v>8846</v>
      </c>
      <c r="E4203" t="s">
        <v>8846</v>
      </c>
      <c r="F4203" t="s">
        <v>8847</v>
      </c>
      <c r="G4203" t="s">
        <v>14</v>
      </c>
      <c r="H4203">
             </c>
      <c r="I4203" t="s">
        <v>14</v>
      </c>
      <c r="J4203" t="s">
        <v>141</v>
      </c>
      <c r="K4203" t="s">
        <v>14</v>
      </c>
      <c r="L4203" t="s">
        <v>20</v>
      </c>
      <c r="M4203" t="s">
        <v>8787</v>
      </c>
      <c r="N4203" t="s">
        <v>14</v>
      </c>
    </row>
    <row r="4204" x14ac:dyDescent="0.25">
      <c r="A4204" t="n">
        <v>25</v>
      </c>
      <c r="B4204" t="s">
        <v>14</v>
      </c>
      <c r="C4204" t="s">
        <v>22</v>
      </c>
      <c r="D4204" s="2" t="s">
        <f>=HYPERLINK("https://main.knesset.gov.il/APPS/legislation/main/bills/2206225", "הצעת חוק להקפאת כספים ששילמה הרשות הפלסטינית בזיקה לטרור מהכספים המועברים אליה מממשלת ישראל (תיקון - הקפאת כספי תגמולים לתושבי האזור מכוח חוק התגמולים לנפגעי פעולות איבה), התשפ""ג-2023")</f>
        <v>8848</v>
      </c>
      <c r="E4204" t="s">
        <v>8848</v>
      </c>
      <c r="F4204" t="s">
        <v>8849</v>
      </c>
      <c r="G4204" t="s">
        <v>14</v>
      </c>
      <c r="H4204">
             </c>
      <c r="I4204" t="s">
        <v>14</v>
      </c>
      <c r="J4204" t="s">
        <v>141</v>
      </c>
      <c r="K4204" t="s">
        <v>14</v>
      </c>
      <c r="L4204" t="s">
        <v>20</v>
      </c>
      <c r="M4204" t="s">
        <v>8787</v>
      </c>
      <c r="N4204" t="s">
        <v>14</v>
      </c>
    </row>
    <row r="4205" x14ac:dyDescent="0.25">
      <c r="A4205" t="n">
        <v>25</v>
      </c>
      <c r="B4205" t="s">
        <v>14</v>
      </c>
      <c r="C4205" t="s">
        <v>22</v>
      </c>
      <c r="D4205" s="2" t="s">
        <f>=HYPERLINK("https://main.knesset.gov.il/APPS/legislation/main/bills/2206359", "הצעת חוק מס ערך מוסף (תיקון - שיעור מס מופחת על מוצרי מזון בסיסיים), התשפג-2023")</f>
        <v>8850</v>
      </c>
      <c r="E4205" t="s">
        <v>8850</v>
      </c>
      <c r="F4205" t="s">
        <v>8851</v>
      </c>
      <c r="G4205" t="s">
        <v>14</v>
      </c>
      <c r="H4205">
             </c>
      <c r="I4205" t="s">
        <v>14</v>
      </c>
      <c r="J4205" t="s">
        <v>141</v>
      </c>
      <c r="K4205" t="s">
        <v>14</v>
      </c>
      <c r="L4205" t="s">
        <v>20</v>
      </c>
      <c r="M4205" t="s">
        <v>8787</v>
      </c>
      <c r="N4205" t="s">
        <v>14</v>
      </c>
    </row>
    <row r="4206" x14ac:dyDescent="0.25">
      <c r="A4206" t="n">
        <v>25</v>
      </c>
      <c r="B4206" t="s">
        <v>14</v>
      </c>
      <c r="C4206" t="s">
        <v>22</v>
      </c>
      <c r="D4206" s="2" t="s">
        <f>=HYPERLINK("https://main.knesset.gov.il/APPS/legislation/main/bills/2205677", "הצעת חוק התקנת מצלמות לשם הגנה על פעוטות במעונות יום לפעוטות (תיקון - הרחבת הגישה לצילומים), התשפ""ג-2023 ")</f>
        <v>8852</v>
      </c>
      <c r="E4206" t="s">
        <v>8852</v>
      </c>
      <c r="F4206" t="s">
        <v>8853</v>
      </c>
      <c r="G4206" t="s">
        <v>14</v>
      </c>
      <c r="H4206">
             </c>
      <c r="I4206" t="s">
        <v>14</v>
      </c>
      <c r="J4206" t="s">
        <v>141</v>
      </c>
      <c r="K4206" t="s">
        <v>14</v>
      </c>
      <c r="L4206" t="s">
        <v>20</v>
      </c>
      <c r="M4206" t="s">
        <v>8787</v>
      </c>
      <c r="N4206" t="s">
        <v>14</v>
      </c>
    </row>
    <row r="4207" x14ac:dyDescent="0.25">
      <c r="A4207" t="n">
        <v>25</v>
      </c>
      <c r="B4207" t="s">
        <v>14</v>
      </c>
      <c r="C4207" t="s">
        <v>22</v>
      </c>
      <c r="D4207" s="2" t="s">
        <f>=HYPERLINK("https://main.knesset.gov.il/APPS/legislation/main/bills/2199222", "הצעת חוק המקרקעין (תיקון - התקנת מעלית מטעמים מיוחדים), התשפ""ג-2023")</f>
        <v>8854</v>
      </c>
      <c r="E4207" t="s">
        <v>8854</v>
      </c>
      <c r="F4207" t="s">
        <v>8855</v>
      </c>
      <c r="G4207" t="s">
        <v>14</v>
      </c>
      <c r="H4207">
             </c>
      <c r="I4207" t="s">
        <v>14</v>
      </c>
      <c r="J4207" t="s">
        <v>141</v>
      </c>
      <c r="K4207" t="s">
        <v>14</v>
      </c>
      <c r="L4207" t="s">
        <v>20</v>
      </c>
      <c r="M4207" t="s">
        <v>8787</v>
      </c>
      <c r="N4207" t="s">
        <v>14</v>
      </c>
    </row>
    <row r="4208" x14ac:dyDescent="0.25">
      <c r="A4208" t="n">
        <v>25</v>
      </c>
      <c r="B4208" t="s">
        <v>14</v>
      </c>
      <c r="C4208" t="s">
        <v>22</v>
      </c>
      <c r="D4208" s="2" t="s">
        <f>=HYPERLINK("https://main.knesset.gov.il/APPS/legislation/main/bills/2206937", "הצעת חוק העונשין (תיקון - הארכת ההתיישנות בעבירות מין בקטינים), התשפ""ג-2023")</f>
        <v>8856</v>
      </c>
      <c r="E4208" t="s">
        <v>8856</v>
      </c>
      <c r="F4208" t="s">
        <v>8857</v>
      </c>
      <c r="G4208" t="s">
        <v>14</v>
      </c>
      <c r="H4208">
             </c>
      <c r="I4208" t="s">
        <v>14</v>
      </c>
      <c r="J4208" t="s">
        <v>141</v>
      </c>
      <c r="K4208" t="s">
        <v>14</v>
      </c>
      <c r="L4208" t="s">
        <v>20</v>
      </c>
      <c r="M4208" t="s">
        <v>8787</v>
      </c>
      <c r="N4208" t="s">
        <v>14</v>
      </c>
    </row>
    <row r="4209" x14ac:dyDescent="0.25">
      <c r="A4209" t="n">
        <v>25</v>
      </c>
      <c r="B4209" t="s">
        <v>14</v>
      </c>
      <c r="C4209" t="s">
        <v>22</v>
      </c>
      <c r="D4209" s="2" t="s">
        <f>=HYPERLINK("https://main.knesset.gov.il/APPS/legislation/main/bills/2205637", "הצעת חוק הביטוח הלאומי (תיקון - מאבטח מעברים כעבודה מועדפת), תשפ""ג-2023")</f>
        <v>8858</v>
      </c>
      <c r="E4209" t="s">
        <v>8858</v>
      </c>
      <c r="F4209" t="s">
        <v>8859</v>
      </c>
      <c r="G4209" t="s">
        <v>14</v>
      </c>
      <c r="H4209">
             </c>
      <c r="I4209" t="s">
        <v>14</v>
      </c>
      <c r="J4209" t="s">
        <v>141</v>
      </c>
      <c r="K4209" t="s">
        <v>14</v>
      </c>
      <c r="L4209" t="s">
        <v>20</v>
      </c>
      <c r="M4209" t="s">
        <v>8787</v>
      </c>
      <c r="N4209" t="s">
        <v>14</v>
      </c>
    </row>
    <row r="4210" x14ac:dyDescent="0.25">
      <c r="A4210" t="n">
        <v>25</v>
      </c>
      <c r="B4210" t="s">
        <v>14</v>
      </c>
      <c r="C4210" t="s">
        <v>22</v>
      </c>
      <c r="D4210" s="2" t="s">
        <f>=HYPERLINK("https://main.knesset.gov.il/APPS/legislation/main/bills/2203678", "הצעת חוק שיפוט בתי דין רבניים (נישואין וגירושין) (תיקון - החרגת שפיטה בענייני רכוש בעת גירושין), התשפ""ג-2023")</f>
        <v>8860</v>
      </c>
      <c r="E4210" t="s">
        <v>8860</v>
      </c>
      <c r="F4210" t="s">
        <v>8861</v>
      </c>
      <c r="G4210" t="s">
        <v>14</v>
      </c>
      <c r="H4210">
             </c>
      <c r="I4210" t="s">
        <v>14</v>
      </c>
      <c r="J4210" t="s">
        <v>141</v>
      </c>
      <c r="K4210" t="s">
        <v>14</v>
      </c>
      <c r="L4210" t="s">
        <v>20</v>
      </c>
      <c r="M4210" t="s">
        <v>8787</v>
      </c>
      <c r="N4210" t="s">
        <v>14</v>
      </c>
    </row>
    <row r="4211" x14ac:dyDescent="0.25">
      <c r="A4211" t="n">
        <v>25</v>
      </c>
      <c r="B4211" t="s">
        <v>14</v>
      </c>
      <c r="C4211" t="s">
        <v>22</v>
      </c>
      <c r="D4211" s="2" t="s">
        <f>=HYPERLINK("https://main.knesset.gov.il/APPS/legislation/main/bills/2206249", "הצעת חוק לתיקון פקודת מס הכנסה (מיסוי הכנסה מגורמים זרים), התשפ""ג-2023")</f>
        <v>8862</v>
      </c>
      <c r="E4211" t="s">
        <v>8862</v>
      </c>
      <c r="F4211" t="s">
        <v>8863</v>
      </c>
      <c r="G4211" t="s">
        <v>14</v>
      </c>
      <c r="H4211">
             </c>
      <c r="I4211" t="s">
        <v>14</v>
      </c>
      <c r="J4211" t="s">
        <v>141</v>
      </c>
      <c r="K4211" t="s">
        <v>14</v>
      </c>
      <c r="L4211" t="s">
        <v>20</v>
      </c>
      <c r="M4211" t="s">
        <v>8787</v>
      </c>
      <c r="N4211" t="s">
        <v>14</v>
      </c>
    </row>
    <row r="4212" x14ac:dyDescent="0.25">
      <c r="A4212" t="n">
        <v>25</v>
      </c>
      <c r="B4212" t="s">
        <v>14</v>
      </c>
      <c r="C4212" t="s">
        <v>22</v>
      </c>
      <c r="D4212" s="2" t="s">
        <f>=HYPERLINK("https://main.knesset.gov.il/APPS/legislation/main/bills/2206726", "הצעת חוק נישואין וגירושין, התשפ""ג-2023")</f>
        <v>8864</v>
      </c>
      <c r="E4212" t="s">
        <v>8864</v>
      </c>
      <c r="F4212" t="s">
        <v>8865</v>
      </c>
      <c r="G4212" t="s">
        <v>14</v>
      </c>
      <c r="H4212">
             </c>
      <c r="I4212" t="s">
        <v>14</v>
      </c>
      <c r="J4212" t="s">
        <v>141</v>
      </c>
      <c r="K4212" t="s">
        <v>14</v>
      </c>
      <c r="L4212" t="s">
        <v>20</v>
      </c>
      <c r="M4212" t="s">
        <v>8787</v>
      </c>
      <c r="N4212" t="s">
        <v>14</v>
      </c>
    </row>
    <row r="4213" x14ac:dyDescent="0.25">
      <c r="A4213" t="n">
        <v>25</v>
      </c>
      <c r="B4213" t="s">
        <v>14</v>
      </c>
      <c r="C4213" t="s">
        <v>22</v>
      </c>
      <c r="D4213" s="2" t="s">
        <f>=HYPERLINK("https://main.knesset.gov.il/APPS/legislation/main/bills/2203649", "הצעת חוק העונשין (תיקון - חילוט רווחי סרסרות), התשפ""ג-2023")</f>
        <v>8866</v>
      </c>
      <c r="E4213" t="s">
        <v>8866</v>
      </c>
      <c r="F4213" t="s">
        <v>8867</v>
      </c>
      <c r="G4213" t="s">
        <v>14</v>
      </c>
      <c r="H4213">
             </c>
      <c r="I4213" t="s">
        <v>14</v>
      </c>
      <c r="J4213" t="s">
        <v>141</v>
      </c>
      <c r="K4213" t="s">
        <v>14</v>
      </c>
      <c r="L4213" t="s">
        <v>20</v>
      </c>
      <c r="M4213" t="s">
        <v>8787</v>
      </c>
      <c r="N4213" t="s">
        <v>14</v>
      </c>
    </row>
    <row r="4214" x14ac:dyDescent="0.25">
      <c r="A4214" t="n">
        <v>25</v>
      </c>
      <c r="B4214" t="s">
        <v>14</v>
      </c>
      <c r="C4214" t="s">
        <v>22</v>
      </c>
      <c r="D4214" s="2" t="s">
        <f>=HYPERLINK("https://main.knesset.gov.il/APPS/legislation/main/bills/2199049", "הצעת חוק הרשות לקידום מעמד האישה (תיקון - שם הרשות ותיקונים במבנה הארגוני של הרשות), התשפ""ג-2023")</f>
        <v>8868</v>
      </c>
      <c r="E4214" t="s">
        <v>8868</v>
      </c>
      <c r="F4214" t="s">
        <v>8869</v>
      </c>
      <c r="G4214" t="s">
        <v>14</v>
      </c>
      <c r="H4214">
             </c>
      <c r="I4214" t="s">
        <v>14</v>
      </c>
      <c r="J4214" t="s">
        <v>141</v>
      </c>
      <c r="K4214" t="s">
        <v>14</v>
      </c>
      <c r="L4214" t="s">
        <v>20</v>
      </c>
      <c r="M4214" t="s">
        <v>8787</v>
      </c>
      <c r="N4214" t="s">
        <v>14</v>
      </c>
    </row>
    <row r="4215" x14ac:dyDescent="0.25">
      <c r="A4215" t="n">
        <v>25</v>
      </c>
      <c r="B4215" t="s">
        <v>14</v>
      </c>
      <c r="C4215" t="s">
        <v>22</v>
      </c>
      <c r="D4215" s="2" t="s">
        <f>=HYPERLINK("https://main.knesset.gov.il/APPS/legislation/main/bills/2203674", "הצעת חוק שיפוט בתי דין רבניים (נישואין וגירושין) (תיקון - כפיית גט), התשפ""ג-2023")</f>
        <v>8870</v>
      </c>
      <c r="E4215" t="s">
        <v>8870</v>
      </c>
      <c r="F4215" t="s">
        <v>8871</v>
      </c>
      <c r="G4215" t="s">
        <v>14</v>
      </c>
      <c r="H4215">
             </c>
      <c r="I4215" t="s">
        <v>14</v>
      </c>
      <c r="J4215" t="s">
        <v>141</v>
      </c>
      <c r="K4215" t="s">
        <v>14</v>
      </c>
      <c r="L4215" t="s">
        <v>20</v>
      </c>
      <c r="M4215" t="s">
        <v>8787</v>
      </c>
      <c r="N4215" t="s">
        <v>14</v>
      </c>
    </row>
    <row r="4216" x14ac:dyDescent="0.25">
      <c r="A4216" t="n">
        <v>25</v>
      </c>
      <c r="B4216" t="s">
        <v>14</v>
      </c>
      <c r="C4216" t="s">
        <v>22</v>
      </c>
      <c r="D4216" s="2" t="s">
        <f>=HYPERLINK("https://main.knesset.gov.il/APPS/legislation/main/bills/2203677", "הצעת חוק שיקום, פיצוי וסיוע משפטי לנפגעי עבירות מין, התשפ""ג-2023")</f>
        <v>8872</v>
      </c>
      <c r="E4216" t="s">
        <v>8872</v>
      </c>
      <c r="F4216" t="s">
        <v>8873</v>
      </c>
      <c r="G4216" t="s">
        <v>14</v>
      </c>
      <c r="H4216">
             </c>
      <c r="I4216" t="s">
        <v>14</v>
      </c>
      <c r="J4216" t="s">
        <v>141</v>
      </c>
      <c r="K4216" t="s">
        <v>14</v>
      </c>
      <c r="L4216" t="s">
        <v>20</v>
      </c>
      <c r="M4216" t="s">
        <v>8787</v>
      </c>
      <c r="N4216" t="s">
        <v>14</v>
      </c>
    </row>
    <row r="4217" x14ac:dyDescent="0.25">
      <c r="A4217" t="n">
        <v>25</v>
      </c>
      <c r="B4217" t="s">
        <v>14</v>
      </c>
      <c r="C4217" t="s">
        <v>22</v>
      </c>
      <c r="D4217" s="2" t="s">
        <f>=HYPERLINK("https://main.knesset.gov.il/APPS/legislation/main/bills/2206802", "הצעת חוק בתי דין רבניים (קיום פסקי דין של גירושין) (תיקון - הגבלת שימוש בכרטיסי אשראי לסרבני גט), התשפ""ג-2023")</f>
        <v>8738</v>
      </c>
      <c r="E4217" t="s">
        <v>8738</v>
      </c>
      <c r="F4217" t="s">
        <v>8874</v>
      </c>
      <c r="G4217" t="s">
        <v>14</v>
      </c>
      <c r="H4217">
             </c>
      <c r="I4217" t="s">
        <v>14</v>
      </c>
      <c r="J4217" t="s">
        <v>141</v>
      </c>
      <c r="K4217" t="s">
        <v>14</v>
      </c>
      <c r="L4217" t="s">
        <v>20</v>
      </c>
      <c r="M4217" t="s">
        <v>8787</v>
      </c>
      <c r="N4217" t="s">
        <v>14</v>
      </c>
    </row>
    <row r="4218" x14ac:dyDescent="0.25">
      <c r="A4218" t="n">
        <v>25</v>
      </c>
      <c r="B4218" t="s">
        <v>14</v>
      </c>
      <c r="C4218" t="s">
        <v>22</v>
      </c>
      <c r="D4218" s="2" t="s">
        <f>=HYPERLINK("https://main.knesset.gov.il/APPS/legislation/main/bills/2206774", "הצעת חוק העונשין (תיקון - הרחבת הגדרת הגזענות), התשפ""ג-2023")</f>
        <v>8262</v>
      </c>
      <c r="E4218" t="s">
        <v>8262</v>
      </c>
      <c r="F4218" t="s">
        <v>8875</v>
      </c>
      <c r="G4218" t="s">
        <v>14</v>
      </c>
      <c r="H4218">
             </c>
      <c r="I4218" t="s">
        <v>14</v>
      </c>
      <c r="J4218" t="s">
        <v>141</v>
      </c>
      <c r="K4218" t="s">
        <v>14</v>
      </c>
      <c r="L4218" t="s">
        <v>20</v>
      </c>
      <c r="M4218" t="s">
        <v>8787</v>
      </c>
      <c r="N4218" t="s">
        <v>14</v>
      </c>
    </row>
    <row r="4219" x14ac:dyDescent="0.25">
      <c r="A4219" t="n">
        <v>25</v>
      </c>
      <c r="B4219" t="s">
        <v>14</v>
      </c>
      <c r="C4219" t="s">
        <v>22</v>
      </c>
      <c r="D4219" s="2" t="s">
        <f>=HYPERLINK("https://main.knesset.gov.il/APPS/legislation/main/bills/2206808", "הצעת חוק שיפוט בתי דין רבניים (נישואין וגירושין) (תיקון - הגבלת משך זמן ההליך), התשפ""ג-2023")</f>
        <v>1640</v>
      </c>
      <c r="E4219" t="s">
        <v>1640</v>
      </c>
      <c r="F4219" t="s">
        <v>8876</v>
      </c>
      <c r="G4219" t="s">
        <v>14</v>
      </c>
      <c r="H4219">
             </c>
      <c r="I4219" t="s">
        <v>14</v>
      </c>
      <c r="J4219" t="s">
        <v>141</v>
      </c>
      <c r="K4219" t="s">
        <v>14</v>
      </c>
      <c r="L4219" t="s">
        <v>20</v>
      </c>
      <c r="M4219" t="s">
        <v>8787</v>
      </c>
      <c r="N4219" t="s">
        <v>14</v>
      </c>
    </row>
    <row r="4220" x14ac:dyDescent="0.25">
      <c r="A4220" t="n">
        <v>25</v>
      </c>
      <c r="B4220" t="s">
        <v>14</v>
      </c>
      <c r="C4220" t="s">
        <v>22</v>
      </c>
      <c r="D4220" s="2" t="s">
        <f>=HYPERLINK("https://main.knesset.gov.il/APPS/legislation/main/bills/2205538", "הצעת חוק סמכויות מינהליות (מעצרים והגבלות) (הוראת שעה), התשפ""ג-2023")</f>
        <v>8877</v>
      </c>
      <c r="E4220" t="s">
        <v>8877</v>
      </c>
      <c r="F4220" t="s">
        <v>8878</v>
      </c>
      <c r="G4220" t="s">
        <v>14</v>
      </c>
      <c r="H4220">
             </c>
      <c r="I4220" t="s">
        <v>14</v>
      </c>
      <c r="J4220" t="s">
        <v>141</v>
      </c>
      <c r="K4220" t="s">
        <v>14</v>
      </c>
      <c r="L4220" t="s">
        <v>20</v>
      </c>
      <c r="M4220" t="s">
        <v>8787</v>
      </c>
      <c r="N4220" t="s">
        <v>14</v>
      </c>
    </row>
    <row r="4221" x14ac:dyDescent="0.25">
      <c r="A4221" t="n">
        <v>25</v>
      </c>
      <c r="B4221" t="s">
        <v>14</v>
      </c>
      <c r="C4221" t="s">
        <v>22</v>
      </c>
      <c r="D4221" s="2" t="s">
        <f>=HYPERLINK("https://main.knesset.gov.il/APPS/legislation/main/bills/2205262", "הצעת חוק להקפאת כספים ששילמה הרשות הפלסטינית בזיקה לטרור מהכספים המועברים אליה מממשלת ישראל (תיקון - שיפוי המדינה על נזקי טרור), התשפ""ג-2023 ")</f>
        <v>8879</v>
      </c>
      <c r="E4221" t="s">
        <v>8879</v>
      </c>
      <c r="F4221" t="s">
        <v>8880</v>
      </c>
      <c r="G4221" t="s">
        <v>14</v>
      </c>
      <c r="H4221">
             </c>
      <c r="I4221" t="s">
        <v>14</v>
      </c>
      <c r="J4221" t="s">
        <v>141</v>
      </c>
      <c r="K4221" t="s">
        <v>14</v>
      </c>
      <c r="L4221" t="s">
        <v>20</v>
      </c>
      <c r="M4221" t="s">
        <v>8787</v>
      </c>
      <c r="N4221" t="s">
        <v>14</v>
      </c>
    </row>
    <row r="4222" x14ac:dyDescent="0.25">
      <c r="A4222" t="n">
        <v>25</v>
      </c>
      <c r="B4222" t="s">
        <v>14</v>
      </c>
      <c r="C4222" t="s">
        <v>22</v>
      </c>
      <c r="D4222" s="2" t="s">
        <f>=HYPERLINK("https://main.knesset.gov.il/APPS/legislation/main/bills/2199165", "הצעת חוק חוזה הביטוח (תיקון - התיישנות וריבית מיוחדת), התשפ""ג-2023")</f>
        <v>8881</v>
      </c>
      <c r="E4222" t="s">
        <v>8881</v>
      </c>
      <c r="F4222" t="s">
        <v>8882</v>
      </c>
      <c r="G4222" t="s">
        <v>14</v>
      </c>
      <c r="H4222">
             </c>
      <c r="I4222" t="s">
        <v>14</v>
      </c>
      <c r="J4222" t="s">
        <v>141</v>
      </c>
      <c r="K4222" t="s">
        <v>14</v>
      </c>
      <c r="L4222" t="s">
        <v>20</v>
      </c>
      <c r="M4222" t="s">
        <v>8787</v>
      </c>
      <c r="N4222" t="s">
        <v>14</v>
      </c>
    </row>
    <row r="4223" x14ac:dyDescent="0.25">
      <c r="A4223" t="n">
        <v>25</v>
      </c>
      <c r="B4223" t="s">
        <v>14</v>
      </c>
      <c r="C4223" t="s">
        <v>22</v>
      </c>
      <c r="D4223" s="2" t="s">
        <f>=HYPERLINK("https://main.knesset.gov.il/APPS/legislation/main/bills/2199876", "הצעת חוק הכשרות המשפטית והאפוטרופסות (תיקון - שלילת אפוטרופסות בשל עבירת מעשה מגונה בנסיבות מחמירות), התשפ""ג-2023")</f>
        <v>8503</v>
      </c>
      <c r="E4223" t="s">
        <v>8503</v>
      </c>
      <c r="F4223" t="s">
        <v>8883</v>
      </c>
      <c r="G4223" t="s">
        <v>14</v>
      </c>
      <c r="H4223">
             </c>
      <c r="I4223" t="s">
        <v>14</v>
      </c>
      <c r="J4223" t="s">
        <v>141</v>
      </c>
      <c r="K4223" t="s">
        <v>14</v>
      </c>
      <c r="L4223" t="s">
        <v>20</v>
      </c>
      <c r="M4223" t="s">
        <v>8787</v>
      </c>
      <c r="N4223" t="s">
        <v>14</v>
      </c>
    </row>
    <row r="4224" x14ac:dyDescent="0.25">
      <c r="A4224" t="n">
        <v>25</v>
      </c>
      <c r="B4224" t="s">
        <v>14</v>
      </c>
      <c r="C4224" t="s">
        <v>22</v>
      </c>
      <c r="D4224" s="2" t="s">
        <f>=HYPERLINK("https://main.knesset.gov.il/APPS/legislation/main/bills/2206358", "הצעת חוק-יסוד: השפיטה (תיקון - רשות ערעור למדינה על זיכוי אדם בפלילים)")</f>
        <v>1398</v>
      </c>
      <c r="E4224" t="s">
        <v>1398</v>
      </c>
      <c r="F4224" t="s">
        <v>8884</v>
      </c>
      <c r="G4224" t="s">
        <v>14</v>
      </c>
      <c r="H4224">
             </c>
      <c r="I4224" t="s">
        <v>14</v>
      </c>
      <c r="J4224" t="s">
        <v>141</v>
      </c>
      <c r="K4224" t="s">
        <v>14</v>
      </c>
      <c r="L4224" t="s">
        <v>20</v>
      </c>
      <c r="M4224" t="s">
        <v>8787</v>
      </c>
      <c r="N4224" t="s">
        <v>14</v>
      </c>
    </row>
    <row r="4225" x14ac:dyDescent="0.25">
      <c r="A4225" t="n">
        <v>25</v>
      </c>
      <c r="B4225" t="s">
        <v>14</v>
      </c>
      <c r="C4225" t="s">
        <v>22</v>
      </c>
      <c r="D4225" s="2" t="s">
        <f>=HYPERLINK("https://main.knesset.gov.il/APPS/legislation/main/bills/2202385", "הצעת חוק מאבק בארגוני פשיעה (תיקון - הרחבת הנסיבה המחמירה לזיקה בארגון פשיעה), התשפ""ג-2023")</f>
        <v>8885</v>
      </c>
      <c r="E4225" t="s">
        <v>8885</v>
      </c>
      <c r="F4225" t="s">
        <v>8886</v>
      </c>
      <c r="G4225" t="s">
        <v>14</v>
      </c>
      <c r="H4225">
             </c>
      <c r="I4225" t="s">
        <v>14</v>
      </c>
      <c r="J4225" t="s">
        <v>55</v>
      </c>
      <c r="K4225" t="s">
        <v>14</v>
      </c>
      <c r="L4225" t="s">
        <v>20</v>
      </c>
      <c r="M4225" t="s">
        <v>8887</v>
      </c>
      <c r="N4225" t="s">
        <v>14</v>
      </c>
    </row>
    <row r="4226" x14ac:dyDescent="0.25">
      <c r="A4226" t="n">
        <v>25</v>
      </c>
      <c r="B4226" t="s">
        <v>14</v>
      </c>
      <c r="C4226" t="s">
        <v>22</v>
      </c>
      <c r="D4226" s="2" t="s">
        <f>=HYPERLINK("https://main.knesset.gov.il/APPS/legislation/main/bills/2199854", "הצעת חוק לתיקון פקודת סדר הדין הפלילי (מעצר וחיפוש) (שלילת הסכמה כהיתר לחיפוש בחומר מחשב), התשפ""ג-2023")</f>
        <v>8888</v>
      </c>
      <c r="E4226" t="s">
        <v>8888</v>
      </c>
      <c r="F4226" t="s">
        <v>8889</v>
      </c>
      <c r="G4226" t="s">
        <v>14</v>
      </c>
      <c r="H4226">
             </c>
      <c r="I4226" t="s">
        <v>14</v>
      </c>
      <c r="J4226" t="s">
        <v>31</v>
      </c>
      <c r="K4226" t="s">
        <v>27</v>
      </c>
      <c r="L4226" t="s">
        <v>20</v>
      </c>
      <c r="M4226" t="s">
        <v>8887</v>
      </c>
      <c r="N4226" t="s">
        <v>14</v>
      </c>
    </row>
    <row r="4227" x14ac:dyDescent="0.25">
      <c r="A4227" t="n">
        <v>25</v>
      </c>
      <c r="B4227" t="s">
        <v>14</v>
      </c>
      <c r="C4227" t="s">
        <v>22</v>
      </c>
      <c r="D4227" s="2" t="s">
        <f>=HYPERLINK("https://main.knesset.gov.il/APPS/legislation/main/bills/2201038", "הצעת חוק הפיקוח על שירותים פיננסיים (קופות גמל) (תיקון - שלילת זכאות לקצבאות ולפיצויי פיטורים עקב ביצוע פעילות טרור), התשפ""ג-2023")</f>
        <v>8890</v>
      </c>
      <c r="E4227" t="s">
        <v>8890</v>
      </c>
      <c r="F4227" t="s">
        <v>8891</v>
      </c>
      <c r="G4227" t="s">
        <v>14</v>
      </c>
      <c r="H4227">
             </c>
      <c r="I4227" t="s">
        <v>14</v>
      </c>
      <c r="J4227" t="s">
        <v>31</v>
      </c>
      <c r="K4227" t="s">
        <v>127</v>
      </c>
      <c r="L4227" t="s">
        <v>20</v>
      </c>
      <c r="M4227" t="s">
        <v>8887</v>
      </c>
      <c r="N4227" t="s">
        <v>14</v>
      </c>
    </row>
    <row r="4228" x14ac:dyDescent="0.25">
      <c r="A4228" t="n">
        <v>25</v>
      </c>
      <c r="B4228" t="s">
        <v>14</v>
      </c>
      <c r="C4228" t="s">
        <v>22</v>
      </c>
      <c r="D4228" s="2" t="s">
        <f>=HYPERLINK("https://main.knesset.gov.il/APPS/legislation/main/bills/2198750", "הצעת חוק הרשויות המקומיות (מימון בחירות) (תיקון - עידוד התמודדות נשים לראשות רשות מקומית או מועצה אזורית), התשפ""ג-2023")</f>
        <v>8892</v>
      </c>
      <c r="E4228" t="s">
        <v>8892</v>
      </c>
      <c r="F4228" t="s">
        <v>8893</v>
      </c>
      <c r="G4228" t="s">
        <v>14</v>
      </c>
      <c r="H4228">
             </c>
      <c r="I4228" t="s">
        <v>14</v>
      </c>
      <c r="J4228" t="s">
        <v>55</v>
      </c>
      <c r="K4228" t="s">
        <v>14</v>
      </c>
      <c r="L4228" t="s">
        <v>20</v>
      </c>
      <c r="M4228" t="s">
        <v>8887</v>
      </c>
      <c r="N4228" t="s">
        <v>14</v>
      </c>
    </row>
    <row r="4229" x14ac:dyDescent="0.25">
      <c r="A4229" t="n">
        <v>25</v>
      </c>
      <c r="B4229" t="s">
        <v>14</v>
      </c>
      <c r="C4229" t="s">
        <v>22</v>
      </c>
      <c r="D4229" s="2" t="s">
        <f>=HYPERLINK("https://main.knesset.gov.il/APPS/legislation/main/bills/2198958", "הצעת חוק מאבק בארגוני פשיעה (תיקון - הרחבת הנסיבה המחמירה לזיקה לארגון פשיעה), התשפ""ג-2023")</f>
        <v>8672</v>
      </c>
      <c r="E4229" t="s">
        <v>8672</v>
      </c>
      <c r="F4229" t="s">
        <v>8894</v>
      </c>
      <c r="G4229" t="s">
        <v>14</v>
      </c>
      <c r="H4229">
             </c>
      <c r="I4229" t="s">
        <v>14</v>
      </c>
      <c r="J4229" t="s">
        <v>55</v>
      </c>
      <c r="K4229" t="s">
        <v>14</v>
      </c>
      <c r="L4229" t="s">
        <v>20</v>
      </c>
      <c r="M4229" t="s">
        <v>8887</v>
      </c>
      <c r="N4229" t="s">
        <v>14</v>
      </c>
    </row>
    <row r="4230" x14ac:dyDescent="0.25">
      <c r="A4230" t="n">
        <v>25</v>
      </c>
      <c r="B4230" t="s">
        <v>14</v>
      </c>
      <c r="C4230" t="s">
        <v>22</v>
      </c>
      <c r="D4230" s="2" t="s">
        <f>=HYPERLINK("https://main.knesset.gov.il/APPS/legislation/main/bills/2198666", "הצעת חוק העונשין (תיקון - קנס על החזקת נשק בלתי חוקי), התשפ""ג-2023")</f>
        <v>8895</v>
      </c>
      <c r="E4230" t="s">
        <v>8895</v>
      </c>
      <c r="F4230" t="s">
        <v>8896</v>
      </c>
      <c r="G4230" t="s">
        <v>14</v>
      </c>
      <c r="H4230">
             </c>
      <c r="I4230" t="s">
        <v>14</v>
      </c>
      <c r="J4230" t="s">
        <v>55</v>
      </c>
      <c r="K4230" t="s">
        <v>14</v>
      </c>
      <c r="L4230" t="s">
        <v>20</v>
      </c>
      <c r="M4230" t="s">
        <v>8887</v>
      </c>
      <c r="N4230" t="s">
        <v>14</v>
      </c>
    </row>
    <row r="4231" x14ac:dyDescent="0.25">
      <c r="A4231" t="n">
        <v>25</v>
      </c>
      <c r="B4231" t="s">
        <v>14</v>
      </c>
      <c r="C4231" t="s">
        <v>22</v>
      </c>
      <c r="D4231" s="2" t="s">
        <f>=HYPERLINK("https://main.knesset.gov.il/APPS/legislation/main/bills/2197688", "הצעת חוק לקידום שירותים פיננסיים חברתיים (תיקוני חקיקה), התשפ""ג-2022")</f>
        <v>8897</v>
      </c>
      <c r="E4231" t="s">
        <v>8897</v>
      </c>
      <c r="F4231" t="s">
        <v>8898</v>
      </c>
      <c r="G4231" t="s">
        <v>14</v>
      </c>
      <c r="H4231">
             </c>
      <c r="I4231" t="s">
        <v>14</v>
      </c>
      <c r="J4231" t="s">
        <v>55</v>
      </c>
      <c r="K4231" t="s">
        <v>14</v>
      </c>
      <c r="L4231" t="s">
        <v>20</v>
      </c>
      <c r="M4231" t="s">
        <v>8887</v>
      </c>
      <c r="N4231" t="s">
        <v>14</v>
      </c>
    </row>
    <row r="4232" x14ac:dyDescent="0.25">
      <c r="A4232" t="n">
        <v>25</v>
      </c>
      <c r="B4232" t="s">
        <v>14</v>
      </c>
      <c r="C4232" t="s">
        <v>22</v>
      </c>
      <c r="D4232" s="2" t="s">
        <f>=HYPERLINK("https://main.knesset.gov.il/APPS/legislation/main/bills/2195750", "הצעת חוק העונשין (תיקון - הרחבת הגדרת הגזענות), התשפ""ג-2022")</f>
        <v>8899</v>
      </c>
      <c r="E4232" t="s">
        <v>8899</v>
      </c>
      <c r="F4232" t="s">
        <v>8900</v>
      </c>
      <c r="G4232" t="s">
        <v>14</v>
      </c>
      <c r="H4232">
             </c>
      <c r="I4232" t="s">
        <v>14</v>
      </c>
      <c r="J4232" t="s">
        <v>31</v>
      </c>
      <c r="K4232" t="s">
        <v>27</v>
      </c>
      <c r="L4232" t="s">
        <v>20</v>
      </c>
      <c r="M4232" t="s">
        <v>8887</v>
      </c>
      <c r="N4232" t="s">
        <v>14</v>
      </c>
    </row>
    <row r="4233" x14ac:dyDescent="0.25">
      <c r="A4233" t="n">
        <v>25</v>
      </c>
      <c r="B4233" t="s">
        <v>14</v>
      </c>
      <c r="C4233" t="s">
        <v>15</v>
      </c>
      <c r="D4233" s="2" t="s">
        <f>=HYPERLINK("https://main.knesset.gov.il/APPS/legislation/main/bills/2204256", "פרק כ""ה (שונות), רק סעיפים 96(2) ו-97 (חוק רישוי שירותים ומקצועות בענף הרכב) מתוך הצעת חוק התכנית הכלכלית (תיקוני חקיקה ליישום המדיניות הכלכלית לשנות התקציב 2023 ו-2024), התשפ""ג-2023 [פוצלה לפי סעיף 84(ב) לתקנון]")</f>
        <v>8901</v>
      </c>
      <c r="E4233" t="s">
        <v>8901</v>
      </c>
      <c r="F4233" t="s">
        <v>14</v>
      </c>
      <c r="G4233" t="s">
        <v>110</v>
      </c>
      <c r="H4233">
             </c>
      <c r="I4233" t="s">
        <v>14</v>
      </c>
      <c r="J4233" t="s">
        <v>18</v>
      </c>
      <c r="K4233" t="s">
        <v>19</v>
      </c>
      <c r="L4233" t="s">
        <v>20</v>
      </c>
      <c r="M4233" t="s">
        <v>8902</v>
      </c>
      <c r="N4233" t="s">
        <v>14</v>
      </c>
    </row>
    <row r="4234" x14ac:dyDescent="0.25">
      <c r="A4234" t="n">
        <v>25</v>
      </c>
      <c r="B4234" t="s">
        <v>14</v>
      </c>
      <c r="C4234" t="s">
        <v>22</v>
      </c>
      <c r="D4234" s="2" t="s">
        <f>=HYPERLINK("https://main.knesset.gov.il/APPS/legislation/main/bills/2201190", "הצעת חוק לתיקון פקודת התעבורה (הגבלת דמי חניה במוסד רפואי), התשפ""ג-2023")</f>
        <v>8903</v>
      </c>
      <c r="E4234" t="s">
        <v>8903</v>
      </c>
      <c r="F4234" t="s">
        <v>8904</v>
      </c>
      <c r="G4234" t="s">
        <v>14</v>
      </c>
      <c r="H4234">
             </c>
      <c r="I4234" t="s">
        <v>14</v>
      </c>
      <c r="J4234" t="s">
        <v>99</v>
      </c>
      <c r="K4234" t="s">
        <v>480</v>
      </c>
      <c r="L4234" t="s">
        <v>20</v>
      </c>
      <c r="M4234" t="s">
        <v>8902</v>
      </c>
      <c r="N4234" t="s">
        <v>14</v>
      </c>
    </row>
    <row r="4235" x14ac:dyDescent="0.25">
      <c r="A4235" t="n">
        <v>25</v>
      </c>
      <c r="B4235" t="s">
        <v>14</v>
      </c>
      <c r="C4235" t="s">
        <v>22</v>
      </c>
      <c r="D4235" s="2" t="s">
        <f>=HYPERLINK("https://main.knesset.gov.il/APPS/legislation/main/bills/2200251", "הצעת חוק לתיקון פקודת התעבורה (הגבלת תשלום בעד חניה במוסד רפואי), התשפ""ג-2023")</f>
        <v>8905</v>
      </c>
      <c r="E4235" t="s">
        <v>8905</v>
      </c>
      <c r="F4235" t="s">
        <v>8906</v>
      </c>
      <c r="G4235" t="s">
        <v>14</v>
      </c>
      <c r="H4235">
             </c>
      <c r="I4235" t="s">
        <v>14</v>
      </c>
      <c r="J4235" t="s">
        <v>99</v>
      </c>
      <c r="K4235" t="s">
        <v>480</v>
      </c>
      <c r="L4235" t="s">
        <v>20</v>
      </c>
      <c r="M4235" t="s">
        <v>8902</v>
      </c>
      <c r="N4235" t="s">
        <v>14</v>
      </c>
    </row>
    <row r="4236" x14ac:dyDescent="0.25">
      <c r="A4236" t="n">
        <v>25</v>
      </c>
      <c r="B4236" t="s">
        <v>14</v>
      </c>
      <c r="C4236" t="s">
        <v>22</v>
      </c>
      <c r="D4236" s="2" t="s">
        <f>=HYPERLINK("https://main.knesset.gov.il/APPS/legislation/main/bills/2199540", "הצעת חוק לתיקון פקודת התעבורה (הגבלת תשלום דמי חניה במוסד רפואי), התשפ""ג-2023")</f>
        <v>8907</v>
      </c>
      <c r="E4236" t="s">
        <v>8907</v>
      </c>
      <c r="F4236" t="s">
        <v>8908</v>
      </c>
      <c r="G4236" t="s">
        <v>14</v>
      </c>
      <c r="H4236">
             </c>
      <c r="I4236" t="s">
        <v>14</v>
      </c>
      <c r="J4236" t="s">
        <v>99</v>
      </c>
      <c r="K4236" t="s">
        <v>480</v>
      </c>
      <c r="L4236" t="s">
        <v>20</v>
      </c>
      <c r="M4236" t="s">
        <v>8902</v>
      </c>
      <c r="N4236" t="s">
        <v>14</v>
      </c>
    </row>
    <row r="4237" x14ac:dyDescent="0.25">
      <c r="A4237" t="n">
        <v>25</v>
      </c>
      <c r="B4237" t="s">
        <v>14</v>
      </c>
      <c r="C4237" t="s">
        <v>22</v>
      </c>
      <c r="D4237" s="2" t="s">
        <f>=HYPERLINK("https://main.knesset.gov.il/APPS/legislation/main/bills/2198769", "הצעת חוק לתיקון פקודת התעבורה (הגבלת דמי חניה בחניוני בתי חולים), התשפ""ג-2023")</f>
        <v>8909</v>
      </c>
      <c r="E4237" t="s">
        <v>8909</v>
      </c>
      <c r="F4237" t="s">
        <v>8910</v>
      </c>
      <c r="G4237" t="s">
        <v>14</v>
      </c>
      <c r="H4237">
             </c>
      <c r="I4237" t="s">
        <v>14</v>
      </c>
      <c r="J4237" t="s">
        <v>99</v>
      </c>
      <c r="K4237" t="s">
        <v>480</v>
      </c>
      <c r="L4237" t="s">
        <v>20</v>
      </c>
      <c r="M4237" t="s">
        <v>8902</v>
      </c>
      <c r="N4237" t="s">
        <v>14</v>
      </c>
    </row>
    <row r="4238" x14ac:dyDescent="0.25">
      <c r="A4238" t="n">
        <v>25</v>
      </c>
      <c r="B4238" t="s">
        <v>14</v>
      </c>
      <c r="C4238" t="s">
        <v>22</v>
      </c>
      <c r="D4238" s="2" t="s">
        <f>=HYPERLINK("https://main.knesset.gov.il/APPS/legislation/main/bills/2197442", "הצעת חוק לתיקון פקודת התעבורה (הגבלת דמי חניה בחניוני בתי חולים), התשפ""ג-2023")</f>
        <v>8909</v>
      </c>
      <c r="E4238" t="s">
        <v>8909</v>
      </c>
      <c r="F4238" t="s">
        <v>8911</v>
      </c>
      <c r="G4238" t="s">
        <v>14</v>
      </c>
      <c r="H4238">
             </c>
      <c r="I4238" t="s">
        <v>14</v>
      </c>
      <c r="J4238" t="s">
        <v>99</v>
      </c>
      <c r="K4238" t="s">
        <v>480</v>
      </c>
      <c r="L4238" t="s">
        <v>20</v>
      </c>
      <c r="M4238" t="s">
        <v>8902</v>
      </c>
      <c r="N4238" t="s">
        <v>14</v>
      </c>
    </row>
    <row r="4239" x14ac:dyDescent="0.25">
      <c r="A4239" t="n">
        <v>25</v>
      </c>
      <c r="B4239" t="s">
        <v>14</v>
      </c>
      <c r="C4239" t="s">
        <v>22</v>
      </c>
      <c r="D4239" s="2" t="s">
        <f>=HYPERLINK("https://main.knesset.gov.il/APPS/legislation/main/bills/2198168", "הצעת חוק לתיקון פקודת התעבורה (הגבלת דמי חניה בחניוני בתי חולים), התשפ""ג-2022")</f>
        <v>8912</v>
      </c>
      <c r="E4239" t="s">
        <v>8912</v>
      </c>
      <c r="F4239" t="s">
        <v>8913</v>
      </c>
      <c r="G4239" t="s">
        <v>14</v>
      </c>
      <c r="H4239">
             </c>
      <c r="I4239" t="s">
        <v>14</v>
      </c>
      <c r="J4239" t="s">
        <v>99</v>
      </c>
      <c r="K4239" t="s">
        <v>480</v>
      </c>
      <c r="L4239" t="s">
        <v>20</v>
      </c>
      <c r="M4239" t="s">
        <v>8902</v>
      </c>
      <c r="N4239" t="s">
        <v>14</v>
      </c>
    </row>
    <row r="4240" x14ac:dyDescent="0.25">
      <c r="A4240" t="n">
        <v>25</v>
      </c>
      <c r="B4240" t="s">
        <v>14</v>
      </c>
      <c r="C4240" t="s">
        <v>22</v>
      </c>
      <c r="D4240" s="2" t="s">
        <f>=HYPERLINK("https://main.knesset.gov.il/APPS/legislation/main/bills/2197195", "הצעת חוק לתיקון פקודת התעבורה (הגבלת דמי חניה בחניוני בתי חולים), התשפ""ג-2022")</f>
        <v>8912</v>
      </c>
      <c r="E4240" t="s">
        <v>8912</v>
      </c>
      <c r="F4240" t="s">
        <v>8914</v>
      </c>
      <c r="G4240" t="s">
        <v>14</v>
      </c>
      <c r="H4240">
             </c>
      <c r="I4240" t="s">
        <v>14</v>
      </c>
      <c r="J4240" t="s">
        <v>99</v>
      </c>
      <c r="K4240" t="s">
        <v>480</v>
      </c>
      <c r="L4240" t="s">
        <v>20</v>
      </c>
      <c r="M4240" t="s">
        <v>8902</v>
      </c>
      <c r="N4240" t="s">
        <v>14</v>
      </c>
    </row>
    <row r="4241" x14ac:dyDescent="0.25">
      <c r="A4241" t="n">
        <v>25</v>
      </c>
      <c r="B4241" t="s">
        <v>14</v>
      </c>
      <c r="C4241" t="s">
        <v>22</v>
      </c>
      <c r="D4241" s="2" t="s">
        <f>=HYPERLINK("https://main.knesset.gov.il/APPS/legislation/main/bills/2196887", "הצעת חוק לתיקון פקודת התעבורה (הגבלת דמי חניה בחניוני בתי חולים), התשפ""ג-2022")</f>
        <v>8912</v>
      </c>
      <c r="E4241" t="s">
        <v>8912</v>
      </c>
      <c r="F4241" t="s">
        <v>8915</v>
      </c>
      <c r="G4241" t="s">
        <v>14</v>
      </c>
      <c r="H4241">
             </c>
      <c r="I4241" t="s">
        <v>14</v>
      </c>
      <c r="J4241" t="s">
        <v>99</v>
      </c>
      <c r="K4241" t="s">
        <v>480</v>
      </c>
      <c r="L4241" t="s">
        <v>20</v>
      </c>
      <c r="M4241" t="s">
        <v>8902</v>
      </c>
      <c r="N4241" t="s">
        <v>14</v>
      </c>
    </row>
    <row r="4242" x14ac:dyDescent="0.25">
      <c r="A4242" t="n">
        <v>25</v>
      </c>
      <c r="B4242" t="s">
        <v>14</v>
      </c>
      <c r="C4242" t="s">
        <v>22</v>
      </c>
      <c r="D4242" s="2" t="s">
        <f>=HYPERLINK("https://main.knesset.gov.il/APPS/legislation/main/bills/2196781", "הצעת חוק לתיקון פקודת התעבורה (הגבלת דמי חניה בחניוני בתי חולים), התשפ""ג-2022")</f>
        <v>8912</v>
      </c>
      <c r="E4242" t="s">
        <v>8912</v>
      </c>
      <c r="F4242" t="s">
        <v>8916</v>
      </c>
      <c r="G4242" t="s">
        <v>14</v>
      </c>
      <c r="H4242">
             </c>
      <c r="I4242" t="s">
        <v>14</v>
      </c>
      <c r="J4242" t="s">
        <v>99</v>
      </c>
      <c r="K4242" t="s">
        <v>480</v>
      </c>
      <c r="L4242" t="s">
        <v>20</v>
      </c>
      <c r="M4242" t="s">
        <v>8902</v>
      </c>
      <c r="N4242" t="s">
        <v>14</v>
      </c>
    </row>
    <row r="4243" x14ac:dyDescent="0.25">
      <c r="A4243" t="n">
        <v>25</v>
      </c>
      <c r="B4243" t="s">
        <v>14</v>
      </c>
      <c r="C4243" t="s">
        <v>22</v>
      </c>
      <c r="D4243" s="2" t="s">
        <f>=HYPERLINK("https://main.knesset.gov.il/APPS/legislation/main/bills/2196539", "הצעת חוק לתיקון פקודת התעבורה (הגבלת תשלום דמי חניה במוסד רפואי), התשפ""ג-2022")</f>
        <v>8917</v>
      </c>
      <c r="E4243" t="s">
        <v>8917</v>
      </c>
      <c r="F4243" t="s">
        <v>8918</v>
      </c>
      <c r="G4243" t="s">
        <v>14</v>
      </c>
      <c r="H4243">
             </c>
      <c r="I4243" t="s">
        <v>26</v>
      </c>
      <c r="J4243" t="s">
        <v>31</v>
      </c>
      <c r="K4243" t="s">
        <v>480</v>
      </c>
      <c r="L4243" t="s">
        <v>20</v>
      </c>
      <c r="M4243" t="s">
        <v>8902</v>
      </c>
      <c r="N4243" t="s">
        <v>14</v>
      </c>
    </row>
    <row r="4244" x14ac:dyDescent="0.25">
      <c r="A4244" t="n">
        <v>25</v>
      </c>
      <c r="B4244" t="s">
        <v>14</v>
      </c>
      <c r="C4244" t="s">
        <v>22</v>
      </c>
      <c r="D4244" s="2" t="s">
        <f>=HYPERLINK("https://main.knesset.gov.il/APPS/legislation/main/bills/2196386", "הצעת חוק התקשורת (בזק ושידורים) (תיקון - התראת חיוב בהתקשרות לחוץ לארץ), התשפ""ג-2023")</f>
        <v>8919</v>
      </c>
      <c r="E4244" t="s">
        <v>8919</v>
      </c>
      <c r="F4244" t="s">
        <v>8920</v>
      </c>
      <c r="G4244" t="s">
        <v>14</v>
      </c>
      <c r="H4244">
             </c>
      <c r="I4244" t="s">
        <v>14</v>
      </c>
      <c r="J4244" t="s">
        <v>31</v>
      </c>
      <c r="K4244" t="s">
        <v>19</v>
      </c>
      <c r="L4244" t="s">
        <v>20</v>
      </c>
      <c r="M4244" t="s">
        <v>8902</v>
      </c>
      <c r="N4244" t="s">
        <v>14</v>
      </c>
    </row>
    <row r="4245" x14ac:dyDescent="0.25">
      <c r="A4245" t="n">
        <v>25</v>
      </c>
      <c r="B4245" t="s">
        <v>14</v>
      </c>
      <c r="C4245" t="s">
        <v>22</v>
      </c>
      <c r="D4245" s="2" t="s">
        <f>=HYPERLINK("https://main.knesset.gov.il/APPS/legislation/main/bills/2200898", "הצעת חוק לתיקון פקודת המועצות המקומיות (בחירות לוועד מקומי במועצה אזורית), התשפ""ג-2023")</f>
        <v>8921</v>
      </c>
      <c r="E4245" t="s">
        <v>8921</v>
      </c>
      <c r="F4245" t="s">
        <v>8922</v>
      </c>
      <c r="G4245" t="s">
        <v>14</v>
      </c>
      <c r="H4245">
             </c>
      <c r="I4245" t="s">
        <v>14</v>
      </c>
      <c r="J4245" t="s">
        <v>99</v>
      </c>
      <c r="K4245" t="s">
        <v>46</v>
      </c>
      <c r="L4245" t="s">
        <v>20</v>
      </c>
      <c r="M4245" t="s">
        <v>8923</v>
      </c>
      <c r="N4245" t="s">
        <v>14</v>
      </c>
    </row>
    <row r="4246" x14ac:dyDescent="0.25">
      <c r="A4246" t="n">
        <v>25</v>
      </c>
      <c r="B4246" t="s">
        <v>14</v>
      </c>
      <c r="C4246" t="s">
        <v>15</v>
      </c>
      <c r="D4246" s="2" t="s">
        <f>=HYPERLINK("https://main.knesset.gov.il/APPS/legislation/main/bills/2205544", "חוק הדרכונים (תיקון מס' 10), התשפ""ג-2023")</f>
        <v>8924</v>
      </c>
      <c r="E4246" t="s">
        <v>8924</v>
      </c>
      <c r="F4246" t="s">
        <v>14</v>
      </c>
      <c r="G4246" t="s">
        <v>8925</v>
      </c>
      <c r="H4246" t="n">
        <v>3049</v>
      </c>
      <c r="I4246" t="s">
        <v>14</v>
      </c>
      <c r="J4246" t="s">
        <v>91</v>
      </c>
      <c r="K4246" t="s">
        <v>46</v>
      </c>
      <c r="L4246" t="s">
        <v>20</v>
      </c>
      <c r="M4246" t="s">
        <v>8923</v>
      </c>
      <c r="N4246" t="s">
        <v>8926</v>
      </c>
    </row>
    <row r="4247" x14ac:dyDescent="0.25">
      <c r="A4247" t="n">
        <v>25</v>
      </c>
      <c r="B4247" t="s">
        <v>14</v>
      </c>
      <c r="C4247" t="s">
        <v>22</v>
      </c>
      <c r="D4247" s="2" t="s">
        <f>=HYPERLINK("https://main.knesset.gov.il/APPS/legislation/main/bills/2206208", "הצעת חוק מס ערך מוסף (תיקון - שיעור מס מופחת על מוצרי מזון בסיסיים) (הוראת שעה), התשפ""ג-2023")</f>
        <v>8927</v>
      </c>
      <c r="E4247" t="s">
        <v>8927</v>
      </c>
      <c r="F4247" t="s">
        <v>8928</v>
      </c>
      <c r="G4247" t="s">
        <v>14</v>
      </c>
      <c r="H4247">
             </c>
      <c r="I4247" t="s">
        <v>14</v>
      </c>
      <c r="J4247" t="s">
        <v>141</v>
      </c>
      <c r="K4247" t="s">
        <v>14</v>
      </c>
      <c r="L4247" t="s">
        <v>20</v>
      </c>
      <c r="M4247" t="s">
        <v>8923</v>
      </c>
      <c r="N4247" t="s">
        <v>14</v>
      </c>
    </row>
    <row r="4248" x14ac:dyDescent="0.25">
      <c r="A4248" t="n">
        <v>25</v>
      </c>
      <c r="B4248" t="s">
        <v>14</v>
      </c>
      <c r="C4248" t="s">
        <v>22</v>
      </c>
      <c r="D4248" s="2" t="s">
        <f>=HYPERLINK("https://main.knesset.gov.il/APPS/legislation/main/bills/2206391", "הצעת חוק לתיקון פקודת התעבורה (מחירי חניה ברשויות מקומיות), התשפ""ג-2023")</f>
        <v>8929</v>
      </c>
      <c r="E4248" t="s">
        <v>8929</v>
      </c>
      <c r="F4248" t="s">
        <v>8930</v>
      </c>
      <c r="G4248" t="s">
        <v>14</v>
      </c>
      <c r="H4248">
             </c>
      <c r="I4248" t="s">
        <v>14</v>
      </c>
      <c r="J4248" t="s">
        <v>141</v>
      </c>
      <c r="K4248" t="s">
        <v>14</v>
      </c>
      <c r="L4248" t="s">
        <v>20</v>
      </c>
      <c r="M4248" t="s">
        <v>8923</v>
      </c>
      <c r="N4248" t="s">
        <v>14</v>
      </c>
    </row>
    <row r="4249" x14ac:dyDescent="0.25">
      <c r="A4249" t="n">
        <v>25</v>
      </c>
      <c r="B4249" t="s">
        <v>14</v>
      </c>
      <c r="C4249" t="s">
        <v>22</v>
      </c>
      <c r="D4249" s="2" t="s">
        <f>=HYPERLINK("https://main.knesset.gov.il/APPS/legislation/main/bills/2205830", "הצעת חוק סמכויות מינהליות (מעצרים והגבלות) (הוראת שעה), התשפ""ג-2023")</f>
        <v>8877</v>
      </c>
      <c r="E4249" t="s">
        <v>8877</v>
      </c>
      <c r="F4249" t="s">
        <v>8931</v>
      </c>
      <c r="G4249" t="s">
        <v>14</v>
      </c>
      <c r="H4249">
             </c>
      <c r="I4249" t="s">
        <v>14</v>
      </c>
      <c r="J4249" t="s">
        <v>141</v>
      </c>
      <c r="K4249" t="s">
        <v>14</v>
      </c>
      <c r="L4249" t="s">
        <v>20</v>
      </c>
      <c r="M4249" t="s">
        <v>8923</v>
      </c>
      <c r="N4249" t="s">
        <v>14</v>
      </c>
    </row>
    <row r="4250" x14ac:dyDescent="0.25">
      <c r="A4250" t="n">
        <v>25</v>
      </c>
      <c r="B4250" t="s">
        <v>14</v>
      </c>
      <c r="C4250" t="s">
        <v>22</v>
      </c>
      <c r="D4250" s="2" t="s">
        <f>=HYPERLINK("https://main.knesset.gov.il/APPS/legislation/main/bills/2206830", "הצעת חוק מיסוי רווחי יתר של תאגידים בנקאיים, התשפ""ג-2023")</f>
        <v>8384</v>
      </c>
      <c r="E4250" t="s">
        <v>8384</v>
      </c>
      <c r="F4250" t="s">
        <v>8932</v>
      </c>
      <c r="G4250" t="s">
        <v>14</v>
      </c>
      <c r="H4250">
             </c>
      <c r="I4250" t="s">
        <v>14</v>
      </c>
      <c r="J4250" t="s">
        <v>141</v>
      </c>
      <c r="K4250" t="s">
        <v>14</v>
      </c>
      <c r="L4250" t="s">
        <v>20</v>
      </c>
      <c r="M4250" t="s">
        <v>8923</v>
      </c>
      <c r="N4250" t="s">
        <v>14</v>
      </c>
    </row>
    <row r="4251" x14ac:dyDescent="0.25">
      <c r="A4251" t="n">
        <v>25</v>
      </c>
      <c r="B4251" t="s">
        <v>14</v>
      </c>
      <c r="C4251" t="s">
        <v>22</v>
      </c>
      <c r="D4251" s="2" t="s">
        <f>=HYPERLINK("https://main.knesset.gov.il/APPS/legislation/main/bills/2206616", "הצעת חוק התפזרות הכנסת העשרים וחמש, התשפ""ג-2023")</f>
        <v>402</v>
      </c>
      <c r="E4251" t="s">
        <v>402</v>
      </c>
      <c r="F4251" t="s">
        <v>8933</v>
      </c>
      <c r="G4251" t="s">
        <v>14</v>
      </c>
      <c r="H4251">
             </c>
      <c r="I4251" t="s">
        <v>14</v>
      </c>
      <c r="J4251" t="s">
        <v>141</v>
      </c>
      <c r="K4251" t="s">
        <v>14</v>
      </c>
      <c r="L4251" t="s">
        <v>20</v>
      </c>
      <c r="M4251" t="s">
        <v>8923</v>
      </c>
      <c r="N4251" t="s">
        <v>14</v>
      </c>
    </row>
    <row r="4252" x14ac:dyDescent="0.25">
      <c r="A4252" t="n">
        <v>25</v>
      </c>
      <c r="B4252" t="s">
        <v>14</v>
      </c>
      <c r="C4252" t="s">
        <v>22</v>
      </c>
      <c r="D4252" s="2" t="s">
        <f>=HYPERLINK("https://main.knesset.gov.il/APPS/legislation/main/bills/2205590", "הצעת חוק לתיקון פקודת העיריות (אבטחת גורמים מאוימים בתאגידים עירוניים), התשפ""ג-2023")</f>
        <v>8732</v>
      </c>
      <c r="E4252" t="s">
        <v>8732</v>
      </c>
      <c r="F4252" t="s">
        <v>8934</v>
      </c>
      <c r="G4252" t="s">
        <v>14</v>
      </c>
      <c r="H4252">
             </c>
      <c r="I4252" t="s">
        <v>14</v>
      </c>
      <c r="J4252" t="s">
        <v>141</v>
      </c>
      <c r="K4252" t="s">
        <v>14</v>
      </c>
      <c r="L4252" t="s">
        <v>20</v>
      </c>
      <c r="M4252" t="s">
        <v>8923</v>
      </c>
      <c r="N4252" t="s">
        <v>14</v>
      </c>
    </row>
    <row r="4253" x14ac:dyDescent="0.25">
      <c r="A4253" t="n">
        <v>25</v>
      </c>
      <c r="B4253" t="s">
        <v>14</v>
      </c>
      <c r="C4253" t="s">
        <v>22</v>
      </c>
      <c r="D4253" s="2" t="s">
        <f>=HYPERLINK("https://main.knesset.gov.il/APPS/legislation/main/bills/2206647", "הצעת חוק-יסוד: השפיטה (תיקון - הגבלת כהונתם של שופטי בית המשפט העליון)")</f>
        <v>8935</v>
      </c>
      <c r="E4253" t="s">
        <v>8935</v>
      </c>
      <c r="F4253" t="s">
        <v>8936</v>
      </c>
      <c r="G4253" t="s">
        <v>14</v>
      </c>
      <c r="H4253">
             </c>
      <c r="I4253" t="s">
        <v>14</v>
      </c>
      <c r="J4253" t="s">
        <v>141</v>
      </c>
      <c r="K4253" t="s">
        <v>14</v>
      </c>
      <c r="L4253" t="s">
        <v>20</v>
      </c>
      <c r="M4253" t="s">
        <v>8923</v>
      </c>
      <c r="N4253" t="s">
        <v>14</v>
      </c>
    </row>
    <row r="4254" x14ac:dyDescent="0.25">
      <c r="A4254" t="n">
        <v>25</v>
      </c>
      <c r="B4254" t="s">
        <v>14</v>
      </c>
      <c r="C4254" t="s">
        <v>22</v>
      </c>
      <c r="D4254" s="2" t="s">
        <f>=HYPERLINK("https://main.knesset.gov.il/APPS/legislation/main/bills/2206652", "הצעת חוק-יסוד: השפיטה (תיקון - הפרדת רשויות)")</f>
        <v>4335</v>
      </c>
      <c r="E4254" t="s">
        <v>4335</v>
      </c>
      <c r="F4254" t="s">
        <v>8937</v>
      </c>
      <c r="G4254" t="s">
        <v>14</v>
      </c>
      <c r="H4254">
             </c>
      <c r="I4254" t="s">
        <v>14</v>
      </c>
      <c r="J4254" t="s">
        <v>141</v>
      </c>
      <c r="K4254" t="s">
        <v>14</v>
      </c>
      <c r="L4254" t="s">
        <v>20</v>
      </c>
      <c r="M4254" t="s">
        <v>8923</v>
      </c>
      <c r="N4254" t="s">
        <v>14</v>
      </c>
    </row>
    <row r="4255" x14ac:dyDescent="0.25">
      <c r="A4255" t="n">
        <v>25</v>
      </c>
      <c r="B4255" t="s">
        <v>14</v>
      </c>
      <c r="C4255" t="s">
        <v>22</v>
      </c>
      <c r="D4255" s="2" t="s">
        <f>=HYPERLINK("https://main.knesset.gov.il/APPS/legislation/main/bills/2206374", "הצעת חוק הסעד (טיפול באנשים עם מוגבלות שכלית-התפתחותית) (תיקון - דיווח לכנסת לעניין פגיעה באדם עם מוגבלות שכלית-התפתחותית), התשפ""ג-2023")</f>
        <v>8938</v>
      </c>
      <c r="E4255" t="s">
        <v>8938</v>
      </c>
      <c r="F4255" t="s">
        <v>8939</v>
      </c>
      <c r="G4255" t="s">
        <v>14</v>
      </c>
      <c r="H4255">
             </c>
      <c r="I4255" t="s">
        <v>14</v>
      </c>
      <c r="J4255" t="s">
        <v>141</v>
      </c>
      <c r="K4255" t="s">
        <v>14</v>
      </c>
      <c r="L4255" t="s">
        <v>20</v>
      </c>
      <c r="M4255" t="s">
        <v>8923</v>
      </c>
      <c r="N4255" t="s">
        <v>14</v>
      </c>
    </row>
    <row r="4256" x14ac:dyDescent="0.25">
      <c r="A4256" t="n">
        <v>25</v>
      </c>
      <c r="B4256" t="s">
        <v>14</v>
      </c>
      <c r="C4256" t="s">
        <v>22</v>
      </c>
      <c r="D4256" s="2" t="s">
        <f>=HYPERLINK("https://main.knesset.gov.il/APPS/legislation/main/bills/2206371", "הצעת חוק הביטוח הלאומי (תיקון - גמלת סיעוד בכסף בשיעור מלא), התשפ""ג-2023")</f>
        <v>8834</v>
      </c>
      <c r="E4256" t="s">
        <v>8834</v>
      </c>
      <c r="F4256" t="s">
        <v>8940</v>
      </c>
      <c r="G4256" t="s">
        <v>14</v>
      </c>
      <c r="H4256">
             </c>
      <c r="I4256" t="s">
        <v>14</v>
      </c>
      <c r="J4256" t="s">
        <v>141</v>
      </c>
      <c r="K4256" t="s">
        <v>14</v>
      </c>
      <c r="L4256" t="s">
        <v>20</v>
      </c>
      <c r="M4256" t="s">
        <v>8923</v>
      </c>
      <c r="N4256" t="s">
        <v>14</v>
      </c>
    </row>
    <row r="4257" x14ac:dyDescent="0.25">
      <c r="A4257" t="n">
        <v>25</v>
      </c>
      <c r="B4257" t="s">
        <v>14</v>
      </c>
      <c r="C4257" t="s">
        <v>22</v>
      </c>
      <c r="D4257" s="2" t="s">
        <f>=HYPERLINK("https://main.knesset.gov.il/APPS/legislation/main/bills/2204719", "הצעת חוק איסור הכחשת השואה (תיקון - איסור השוואה למעשיהם או למשטרם של הנאצים), התשפ""ג-2023")</f>
        <v>8941</v>
      </c>
      <c r="E4257" t="s">
        <v>8941</v>
      </c>
      <c r="F4257" t="s">
        <v>8942</v>
      </c>
      <c r="G4257" t="s">
        <v>14</v>
      </c>
      <c r="H4257">
             </c>
      <c r="I4257" t="s">
        <v>14</v>
      </c>
      <c r="J4257" t="s">
        <v>141</v>
      </c>
      <c r="K4257" t="s">
        <v>14</v>
      </c>
      <c r="L4257" t="s">
        <v>20</v>
      </c>
      <c r="M4257" t="s">
        <v>8923</v>
      </c>
      <c r="N4257" t="s">
        <v>14</v>
      </c>
    </row>
    <row r="4258" x14ac:dyDescent="0.25">
      <c r="A4258" t="n">
        <v>25</v>
      </c>
      <c r="B4258" t="s">
        <v>14</v>
      </c>
      <c r="C4258" t="s">
        <v>22</v>
      </c>
      <c r="D4258" s="2" t="s">
        <f>=HYPERLINK("https://main.knesset.gov.il/APPS/legislation/main/bills/2206395", "הצעת חוק עובדים זרים (תיקון - אגרה מופחתת בסיעוד המוסדי) (הוראת שעה), התשפ""ג-2023")</f>
        <v>8640</v>
      </c>
      <c r="E4258" t="s">
        <v>8640</v>
      </c>
      <c r="F4258" t="s">
        <v>8943</v>
      </c>
      <c r="G4258" t="s">
        <v>14</v>
      </c>
      <c r="H4258">
             </c>
      <c r="I4258" t="s">
        <v>14</v>
      </c>
      <c r="J4258" t="s">
        <v>141</v>
      </c>
      <c r="K4258" t="s">
        <v>14</v>
      </c>
      <c r="L4258" t="s">
        <v>20</v>
      </c>
      <c r="M4258" t="s">
        <v>8923</v>
      </c>
      <c r="N4258" t="s">
        <v>14</v>
      </c>
    </row>
    <row r="4259" x14ac:dyDescent="0.25">
      <c r="A4259" t="n">
        <v>25</v>
      </c>
      <c r="B4259" t="s">
        <v>14</v>
      </c>
      <c r="C4259" t="s">
        <v>22</v>
      </c>
      <c r="D4259" s="2" t="s">
        <f>=HYPERLINK("https://main.knesset.gov.il/APPS/legislation/main/bills/2205283", "הצעת חוק סדר הדין הפלילי (תיקון - הפחתת תוספת הפיגור על אי-תשלום קנס), התשפ""ג-2023")</f>
        <v>8944</v>
      </c>
      <c r="E4259" t="s">
        <v>8944</v>
      </c>
      <c r="F4259" t="s">
        <v>8945</v>
      </c>
      <c r="G4259" t="s">
        <v>14</v>
      </c>
      <c r="H4259">
             </c>
      <c r="I4259" t="s">
        <v>14</v>
      </c>
      <c r="J4259" t="s">
        <v>141</v>
      </c>
      <c r="K4259" t="s">
        <v>14</v>
      </c>
      <c r="L4259" t="s">
        <v>20</v>
      </c>
      <c r="M4259" t="s">
        <v>8923</v>
      </c>
      <c r="N4259" t="s">
        <v>14</v>
      </c>
    </row>
    <row r="4260" x14ac:dyDescent="0.25">
      <c r="A4260" t="n">
        <v>25</v>
      </c>
      <c r="B4260" t="s">
        <v>14</v>
      </c>
      <c r="C4260" t="s">
        <v>22</v>
      </c>
      <c r="D4260" s="2" t="s">
        <f>=HYPERLINK("https://main.knesset.gov.il/APPS/legislation/main/bills/2205366", "הצעת חוק לתיקון דיני המשפחה (מזונות) (תיקון - ביטול חלות הדין האישי), התשפ""ג-2023")</f>
        <v>8946</v>
      </c>
      <c r="E4260" t="s">
        <v>8946</v>
      </c>
      <c r="F4260" t="s">
        <v>8947</v>
      </c>
      <c r="G4260" t="s">
        <v>14</v>
      </c>
      <c r="H4260">
             </c>
      <c r="I4260" t="s">
        <v>14</v>
      </c>
      <c r="J4260" t="s">
        <v>141</v>
      </c>
      <c r="K4260" t="s">
        <v>14</v>
      </c>
      <c r="L4260" t="s">
        <v>20</v>
      </c>
      <c r="M4260" t="s">
        <v>8923</v>
      </c>
      <c r="N4260" t="s">
        <v>14</v>
      </c>
    </row>
    <row r="4261" x14ac:dyDescent="0.25">
      <c r="A4261" t="n">
        <v>25</v>
      </c>
      <c r="B4261" t="s">
        <v>14</v>
      </c>
      <c r="C4261" t="s">
        <v>22</v>
      </c>
      <c r="D4261" s="2" t="s">
        <f>=HYPERLINK("https://main.knesset.gov.il/APPS/legislation/main/bills/2199968", "הצעת חוק זכרון השואה והגבורה - יד ושם (תיקון - עידוד יצירה להנצחת זיכרון השואה והגבורה), התשפ""ג-2023")</f>
        <v>8948</v>
      </c>
      <c r="E4261" t="s">
        <v>8948</v>
      </c>
      <c r="F4261" t="s">
        <v>8949</v>
      </c>
      <c r="G4261" t="s">
        <v>14</v>
      </c>
      <c r="H4261">
             </c>
      <c r="I4261" t="s">
        <v>14</v>
      </c>
      <c r="J4261" t="s">
        <v>141</v>
      </c>
      <c r="K4261" t="s">
        <v>14</v>
      </c>
      <c r="L4261" t="s">
        <v>20</v>
      </c>
      <c r="M4261" t="s">
        <v>8923</v>
      </c>
      <c r="N4261" t="s">
        <v>14</v>
      </c>
    </row>
    <row r="4262" x14ac:dyDescent="0.25">
      <c r="A4262" t="n">
        <v>25</v>
      </c>
      <c r="B4262" t="s">
        <v>14</v>
      </c>
      <c r="C4262" t="s">
        <v>22</v>
      </c>
      <c r="D4262" s="2" t="s">
        <f>=HYPERLINK("https://main.knesset.gov.il/APPS/legislation/main/bills/2206188", "הצעת חוק לתיקון פקודת מס הכנסה (ניכוי ריבית על משכנתה וסיוע ברכישת דירה), התשפ""ג-2023")</f>
        <v>8753</v>
      </c>
      <c r="E4262" t="s">
        <v>8753</v>
      </c>
      <c r="F4262" t="s">
        <v>8950</v>
      </c>
      <c r="G4262" t="s">
        <v>14</v>
      </c>
      <c r="H4262">
             </c>
      <c r="I4262" t="s">
        <v>14</v>
      </c>
      <c r="J4262" t="s">
        <v>141</v>
      </c>
      <c r="K4262" t="s">
        <v>14</v>
      </c>
      <c r="L4262" t="s">
        <v>20</v>
      </c>
      <c r="M4262" t="s">
        <v>8923</v>
      </c>
      <c r="N4262" t="s">
        <v>14</v>
      </c>
    </row>
    <row r="4263" x14ac:dyDescent="0.25">
      <c r="A4263" t="n">
        <v>25</v>
      </c>
      <c r="B4263" t="s">
        <v>14</v>
      </c>
      <c r="C4263" t="s">
        <v>22</v>
      </c>
      <c r="D4263" s="2" t="s">
        <f>=HYPERLINK("https://main.knesset.gov.il/APPS/legislation/main/bills/2206622", "הצעת חוק בתי המשפט (תיקון - שקיפות בהליכי מינוי שופטים לבית המשפט העליון ובמינוי הנשיא והמשנה לנשיא בית המשפט העליון), התשפ""ג-2023")</f>
        <v>8951</v>
      </c>
      <c r="E4263" t="s">
        <v>8951</v>
      </c>
      <c r="F4263" t="s">
        <v>8952</v>
      </c>
      <c r="G4263" t="s">
        <v>14</v>
      </c>
      <c r="H4263">
             </c>
      <c r="I4263" t="s">
        <v>14</v>
      </c>
      <c r="J4263" t="s">
        <v>141</v>
      </c>
      <c r="K4263" t="s">
        <v>14</v>
      </c>
      <c r="L4263" t="s">
        <v>20</v>
      </c>
      <c r="M4263" t="s">
        <v>8923</v>
      </c>
      <c r="N4263" t="s">
        <v>14</v>
      </c>
    </row>
    <row r="4264" x14ac:dyDescent="0.25">
      <c r="A4264" t="n">
        <v>25</v>
      </c>
      <c r="B4264" t="s">
        <v>14</v>
      </c>
      <c r="C4264" t="s">
        <v>22</v>
      </c>
      <c r="D4264" s="2" t="s">
        <f>=HYPERLINK("https://main.knesset.gov.il/APPS/legislation/main/bills/2206650", "הצעת חוק-יסוד: השפיטה (תיקון - סמכות להכרזה על אי-התאמה בין הוראות חוק רגיל ובין הוראות חוק-יסוד)")</f>
        <v>8953</v>
      </c>
      <c r="E4264" t="s">
        <v>8953</v>
      </c>
      <c r="F4264" t="s">
        <v>8954</v>
      </c>
      <c r="G4264" t="s">
        <v>14</v>
      </c>
      <c r="H4264">
             </c>
      <c r="I4264" t="s">
        <v>14</v>
      </c>
      <c r="J4264" t="s">
        <v>141</v>
      </c>
      <c r="K4264" t="s">
        <v>14</v>
      </c>
      <c r="L4264" t="s">
        <v>20</v>
      </c>
      <c r="M4264" t="s">
        <v>8923</v>
      </c>
      <c r="N4264" t="s">
        <v>14</v>
      </c>
    </row>
    <row r="4265" x14ac:dyDescent="0.25">
      <c r="A4265" t="n">
        <v>25</v>
      </c>
      <c r="B4265" t="s">
        <v>14</v>
      </c>
      <c r="C4265" t="s">
        <v>22</v>
      </c>
      <c r="D4265" s="2" t="s">
        <f>=HYPERLINK("https://main.knesset.gov.il/APPS/legislation/main/bills/2206649", "הצעת חוק-יסוד: הכנסת (תיקון - שלילת סמכותו של בית המשפט העליון מלהתערב בהחלטות ועדת הבחירות המרכזית לעניין אישור או פסילה של מועמד או רשימה מלהשתתף בבחירות)")</f>
        <v>8955</v>
      </c>
      <c r="E4265" t="s">
        <v>8955</v>
      </c>
      <c r="F4265" t="s">
        <v>8956</v>
      </c>
      <c r="G4265" t="s">
        <v>14</v>
      </c>
      <c r="H4265">
             </c>
      <c r="I4265" t="s">
        <v>14</v>
      </c>
      <c r="J4265" t="s">
        <v>141</v>
      </c>
      <c r="K4265" t="s">
        <v>14</v>
      </c>
      <c r="L4265" t="s">
        <v>20</v>
      </c>
      <c r="M4265" t="s">
        <v>8923</v>
      </c>
      <c r="N4265" t="s">
        <v>14</v>
      </c>
    </row>
    <row r="4266" x14ac:dyDescent="0.25">
      <c r="A4266" t="n">
        <v>25</v>
      </c>
      <c r="B4266" t="s">
        <v>14</v>
      </c>
      <c r="C4266" t="s">
        <v>22</v>
      </c>
      <c r="D4266" s="2" t="s">
        <f>=HYPERLINK("https://main.knesset.gov.il/APPS/legislation/main/bills/2206554", "הצעת חוק להסדרת רעיית דבורים וייצור דבש, התשפ""ג-2023")</f>
        <v>8957</v>
      </c>
      <c r="E4266" t="s">
        <v>8957</v>
      </c>
      <c r="F4266" t="s">
        <v>8958</v>
      </c>
      <c r="G4266" t="s">
        <v>14</v>
      </c>
      <c r="H4266">
             </c>
      <c r="I4266" t="s">
        <v>14</v>
      </c>
      <c r="J4266" t="s">
        <v>141</v>
      </c>
      <c r="K4266" t="s">
        <v>14</v>
      </c>
      <c r="L4266" t="s">
        <v>20</v>
      </c>
      <c r="M4266" t="s">
        <v>8923</v>
      </c>
      <c r="N4266" t="s">
        <v>14</v>
      </c>
    </row>
    <row r="4267" x14ac:dyDescent="0.25">
      <c r="A4267" t="n">
        <v>25</v>
      </c>
      <c r="B4267" t="s">
        <v>14</v>
      </c>
      <c r="C4267" t="s">
        <v>22</v>
      </c>
      <c r="D4267" s="2" t="s">
        <f>=HYPERLINK("https://main.knesset.gov.il/APPS/legislation/main/bills/2203389", "הצעת חוק למניעת הטרדה מינית (תיקון - הרחבת תחולה על עובד של קבלן שירות המועסק אצל מזמין השירות), התשפ""ג-2023")</f>
        <v>6333</v>
      </c>
      <c r="E4267" t="s">
        <v>6333</v>
      </c>
      <c r="F4267" t="s">
        <v>8959</v>
      </c>
      <c r="G4267" t="s">
        <v>14</v>
      </c>
      <c r="H4267">
             </c>
      <c r="I4267" t="s">
        <v>14</v>
      </c>
      <c r="J4267" t="s">
        <v>1123</v>
      </c>
      <c r="K4267" t="s">
        <v>14</v>
      </c>
      <c r="L4267" t="s">
        <v>20</v>
      </c>
      <c r="M4267" t="s">
        <v>8923</v>
      </c>
      <c r="N4267" t="s">
        <v>14</v>
      </c>
    </row>
    <row r="4268" x14ac:dyDescent="0.25">
      <c r="A4268" t="n">
        <v>25</v>
      </c>
      <c r="B4268" t="s">
        <v>14</v>
      </c>
      <c r="C4268" t="s">
        <v>22</v>
      </c>
      <c r="D4268" s="2" t="s">
        <f>=HYPERLINK("https://main.knesset.gov.il/APPS/legislation/main/bills/2205789", "הצעת חוק למניעת הטרדה מינית (תיקון - הרחבת תחולה על עובדים עצמאים, מתנדבים ועובדי כלכלת הפלטפורמה), התשפ""ג-2023")</f>
        <v>8133</v>
      </c>
      <c r="E4268" t="s">
        <v>8133</v>
      </c>
      <c r="F4268" t="s">
        <v>8960</v>
      </c>
      <c r="G4268" t="s">
        <v>14</v>
      </c>
      <c r="H4268">
             </c>
      <c r="I4268" t="s">
        <v>14</v>
      </c>
      <c r="J4268" t="s">
        <v>141</v>
      </c>
      <c r="K4268" t="s">
        <v>14</v>
      </c>
      <c r="L4268" t="s">
        <v>20</v>
      </c>
      <c r="M4268" t="s">
        <v>8923</v>
      </c>
      <c r="N4268" t="s">
        <v>14</v>
      </c>
    </row>
    <row r="4269" x14ac:dyDescent="0.25">
      <c r="A4269" t="n">
        <v>25</v>
      </c>
      <c r="B4269" t="s">
        <v>14</v>
      </c>
      <c r="C4269" t="s">
        <v>22</v>
      </c>
      <c r="D4269" s="2" t="s">
        <f>=HYPERLINK("https://main.knesset.gov.il/APPS/legislation/main/bills/2206282", "הצעת חוק העונשין (תיקון - עבירות אלימות במתחם הר הבית), התשפ""ג-2023")</f>
        <v>8961</v>
      </c>
      <c r="E4269" t="s">
        <v>8961</v>
      </c>
      <c r="F4269" t="s">
        <v>8962</v>
      </c>
      <c r="G4269" t="s">
        <v>14</v>
      </c>
      <c r="H4269">
             </c>
      <c r="I4269" t="s">
        <v>14</v>
      </c>
      <c r="J4269" t="s">
        <v>141</v>
      </c>
      <c r="K4269" t="s">
        <v>14</v>
      </c>
      <c r="L4269" t="s">
        <v>20</v>
      </c>
      <c r="M4269" t="s">
        <v>8923</v>
      </c>
      <c r="N4269" t="s">
        <v>14</v>
      </c>
    </row>
    <row r="4270" x14ac:dyDescent="0.25">
      <c r="A4270" t="n">
        <v>25</v>
      </c>
      <c r="B4270" t="s">
        <v>14</v>
      </c>
      <c r="C4270" t="s">
        <v>22</v>
      </c>
      <c r="D4270" s="2" t="s">
        <f>=HYPERLINK("https://main.knesset.gov.il/APPS/legislation/main/bills/2206449", "הצעת חוק שיקום, פיצוי וסיוע משפטי לנפגעי עבירות מין, התשפ""ג-2023")</f>
        <v>8872</v>
      </c>
      <c r="E4270" t="s">
        <v>8872</v>
      </c>
      <c r="F4270" t="s">
        <v>8963</v>
      </c>
      <c r="G4270" t="s">
        <v>14</v>
      </c>
      <c r="H4270">
             </c>
      <c r="I4270" t="s">
        <v>14</v>
      </c>
      <c r="J4270" t="s">
        <v>141</v>
      </c>
      <c r="K4270" t="s">
        <v>14</v>
      </c>
      <c r="L4270" t="s">
        <v>20</v>
      </c>
      <c r="M4270" t="s">
        <v>8923</v>
      </c>
      <c r="N4270" t="s">
        <v>14</v>
      </c>
    </row>
    <row r="4271" x14ac:dyDescent="0.25">
      <c r="A4271" t="n">
        <v>25</v>
      </c>
      <c r="B4271" t="s">
        <v>14</v>
      </c>
      <c r="C4271" t="s">
        <v>22</v>
      </c>
      <c r="D4271" s="2" t="s">
        <f>=HYPERLINK("https://main.knesset.gov.il/APPS/legislation/main/bills/2203984", "הצעת חוק התכנון והבנייה (תיקון - ביטול התניית חיבור לחשמל, מים וטלפון באישור תאגיד המים), התשפ""ג-2023")</f>
        <v>8964</v>
      </c>
      <c r="E4271" t="s">
        <v>8964</v>
      </c>
      <c r="F4271" t="s">
        <v>8965</v>
      </c>
      <c r="G4271" t="s">
        <v>14</v>
      </c>
      <c r="H4271">
             </c>
      <c r="I4271" t="s">
        <v>14</v>
      </c>
      <c r="J4271" t="s">
        <v>141</v>
      </c>
      <c r="K4271" t="s">
        <v>14</v>
      </c>
      <c r="L4271" t="s">
        <v>20</v>
      </c>
      <c r="M4271" t="s">
        <v>8923</v>
      </c>
      <c r="N4271" t="s">
        <v>14</v>
      </c>
    </row>
    <row r="4272" x14ac:dyDescent="0.25">
      <c r="A4272" t="n">
        <v>25</v>
      </c>
      <c r="B4272" t="s">
        <v>14</v>
      </c>
      <c r="C4272" t="s">
        <v>22</v>
      </c>
      <c r="D4272" s="2" t="s">
        <f>=HYPERLINK("https://main.knesset.gov.il/APPS/legislation/main/bills/2204028", "הצעת החוק לתיקון פקודת העיריות (חובת גילוי מסמכי תאגיד עירוני), התשפ""ג-2023")</f>
        <v>8966</v>
      </c>
      <c r="E4272" t="s">
        <v>8966</v>
      </c>
      <c r="F4272" t="s">
        <v>8967</v>
      </c>
      <c r="G4272" t="s">
        <v>14</v>
      </c>
      <c r="H4272">
             </c>
      <c r="I4272" t="s">
        <v>14</v>
      </c>
      <c r="J4272" t="s">
        <v>141</v>
      </c>
      <c r="K4272" t="s">
        <v>14</v>
      </c>
      <c r="L4272" t="s">
        <v>20</v>
      </c>
      <c r="M4272" t="s">
        <v>8923</v>
      </c>
      <c r="N4272" t="s">
        <v>14</v>
      </c>
    </row>
    <row r="4273" x14ac:dyDescent="0.25">
      <c r="A4273" t="n">
        <v>25</v>
      </c>
      <c r="B4273" t="s">
        <v>14</v>
      </c>
      <c r="C4273" t="s">
        <v>22</v>
      </c>
      <c r="D4273" s="2" t="s">
        <f>=HYPERLINK("https://main.knesset.gov.il/APPS/legislation/main/bills/2202782", "הצעת חוק להנצחת זכרם של קורבנות הטבח בחברון, התשפ""ג-2023")</f>
        <v>8968</v>
      </c>
      <c r="E4273" t="s">
        <v>8968</v>
      </c>
      <c r="F4273" t="s">
        <v>8969</v>
      </c>
      <c r="G4273" t="s">
        <v>14</v>
      </c>
      <c r="H4273">
             </c>
      <c r="I4273" t="s">
        <v>14</v>
      </c>
      <c r="J4273" t="s">
        <v>141</v>
      </c>
      <c r="K4273" t="s">
        <v>14</v>
      </c>
      <c r="L4273" t="s">
        <v>20</v>
      </c>
      <c r="M4273" t="s">
        <v>8923</v>
      </c>
      <c r="N4273" t="s">
        <v>14</v>
      </c>
    </row>
    <row r="4274" x14ac:dyDescent="0.25">
      <c r="A4274" t="n">
        <v>25</v>
      </c>
      <c r="B4274" t="s">
        <v>14</v>
      </c>
      <c r="C4274" t="s">
        <v>22</v>
      </c>
      <c r="D4274" s="2" t="s">
        <f>=HYPERLINK("https://main.knesset.gov.il/APPS/legislation/main/bills/2205784", "הצעת חוק זכויות החולה (תיקון - שמירת דגימות שנלקחו מנפגעי עבירות מין), התשפ""ג-2023")</f>
        <v>8970</v>
      </c>
      <c r="E4274" t="s">
        <v>8970</v>
      </c>
      <c r="F4274" t="s">
        <v>8971</v>
      </c>
      <c r="G4274" t="s">
        <v>14</v>
      </c>
      <c r="H4274">
             </c>
      <c r="I4274" t="s">
        <v>14</v>
      </c>
      <c r="J4274" t="s">
        <v>141</v>
      </c>
      <c r="K4274" t="s">
        <v>14</v>
      </c>
      <c r="L4274" t="s">
        <v>20</v>
      </c>
      <c r="M4274" t="s">
        <v>8923</v>
      </c>
      <c r="N4274" t="s">
        <v>14</v>
      </c>
    </row>
    <row r="4275" x14ac:dyDescent="0.25">
      <c r="A4275" t="n">
        <v>25</v>
      </c>
      <c r="B4275" t="s">
        <v>14</v>
      </c>
      <c r="C4275" t="s">
        <v>22</v>
      </c>
      <c r="D4275" s="2" t="s">
        <f>=HYPERLINK("https://main.knesset.gov.il/APPS/legislation/main/bills/2206638", "הצעת חוק בתי המשפט (תיקון - תקופת צינון במועמדות חבר כנסת או שר למשרת שופט), התשפ""ג-2023")</f>
        <v>8972</v>
      </c>
      <c r="E4275" t="s">
        <v>8972</v>
      </c>
      <c r="F4275" t="s">
        <v>8973</v>
      </c>
      <c r="G4275" t="s">
        <v>14</v>
      </c>
      <c r="H4275">
             </c>
      <c r="I4275" t="s">
        <v>14</v>
      </c>
      <c r="J4275" t="s">
        <v>141</v>
      </c>
      <c r="K4275" t="s">
        <v>14</v>
      </c>
      <c r="L4275" t="s">
        <v>20</v>
      </c>
      <c r="M4275" t="s">
        <v>8923</v>
      </c>
      <c r="N4275" t="s">
        <v>14</v>
      </c>
    </row>
    <row r="4276" x14ac:dyDescent="0.25">
      <c r="A4276" t="n">
        <v>25</v>
      </c>
      <c r="B4276" t="s">
        <v>14</v>
      </c>
      <c r="C4276" t="s">
        <v>22</v>
      </c>
      <c r="D4276" s="2" t="s">
        <f>=HYPERLINK("https://main.knesset.gov.il/APPS/legislation/main/bills/2206651", "הצעת חוק בתי המשפט (תיקון - רוב רגיל למינוי שופט בית המשפט העליון), התשפ""ג-2023")</f>
        <v>8974</v>
      </c>
      <c r="E4276" t="s">
        <v>8974</v>
      </c>
      <c r="F4276" t="s">
        <v>8975</v>
      </c>
      <c r="G4276" t="s">
        <v>14</v>
      </c>
      <c r="H4276">
             </c>
      <c r="I4276" t="s">
        <v>14</v>
      </c>
      <c r="J4276" t="s">
        <v>141</v>
      </c>
      <c r="K4276" t="s">
        <v>14</v>
      </c>
      <c r="L4276" t="s">
        <v>20</v>
      </c>
      <c r="M4276" t="s">
        <v>8923</v>
      </c>
      <c r="N4276" t="s">
        <v>14</v>
      </c>
    </row>
    <row r="4277" x14ac:dyDescent="0.25">
      <c r="A4277" t="n">
        <v>25</v>
      </c>
      <c r="B4277" t="s">
        <v>14</v>
      </c>
      <c r="C4277" t="s">
        <v>22</v>
      </c>
      <c r="D4277" s="2" t="s">
        <f>=HYPERLINK("https://main.knesset.gov.il/APPS/legislation/main/bills/2206634", "הצעת חוק בתי המשפט (תיקון - שימוע ובחירות חשאיות לשופטי בית המשפט העליון), התשפ""ג-2023")</f>
        <v>8976</v>
      </c>
      <c r="E4277" t="s">
        <v>8976</v>
      </c>
      <c r="F4277" t="s">
        <v>8977</v>
      </c>
      <c r="G4277" t="s">
        <v>14</v>
      </c>
      <c r="H4277">
             </c>
      <c r="I4277" t="s">
        <v>14</v>
      </c>
      <c r="J4277" t="s">
        <v>141</v>
      </c>
      <c r="K4277" t="s">
        <v>14</v>
      </c>
      <c r="L4277" t="s">
        <v>20</v>
      </c>
      <c r="M4277" t="s">
        <v>8923</v>
      </c>
      <c r="N4277" t="s">
        <v>14</v>
      </c>
    </row>
    <row r="4278" x14ac:dyDescent="0.25">
      <c r="A4278" t="n">
        <v>25</v>
      </c>
      <c r="B4278" t="s">
        <v>14</v>
      </c>
      <c r="C4278" t="s">
        <v>22</v>
      </c>
      <c r="D4278" s="2" t="s">
        <f>=HYPERLINK("https://main.knesset.gov.il/APPS/legislation/main/bills/2206632", "הצעת חוק-יסוד: השפיטה (תיקון - הגבלת זכות העמידה)")</f>
        <v>4330</v>
      </c>
      <c r="E4278" t="s">
        <v>4330</v>
      </c>
      <c r="F4278" t="s">
        <v>8978</v>
      </c>
      <c r="G4278" t="s">
        <v>14</v>
      </c>
      <c r="H4278">
             </c>
      <c r="I4278" t="s">
        <v>14</v>
      </c>
      <c r="J4278" t="s">
        <v>141</v>
      </c>
      <c r="K4278" t="s">
        <v>14</v>
      </c>
      <c r="L4278" t="s">
        <v>20</v>
      </c>
      <c r="M4278" t="s">
        <v>8923</v>
      </c>
      <c r="N4278" t="s">
        <v>14</v>
      </c>
    </row>
    <row r="4279" x14ac:dyDescent="0.25">
      <c r="A4279" t="n">
        <v>25</v>
      </c>
      <c r="B4279" t="s">
        <v>14</v>
      </c>
      <c r="C4279" t="s">
        <v>22</v>
      </c>
      <c r="D4279" s="2" t="s">
        <f>=HYPERLINK("https://main.knesset.gov.il/APPS/legislation/main/bills/2206631", "הצעת חוק-יסוד: השפיטה (תיקון - סמכויות שיפוט ותקנות סדרי דין באישור ועדה)")</f>
        <v>1901</v>
      </c>
      <c r="E4279" t="s">
        <v>1901</v>
      </c>
      <c r="F4279" t="s">
        <v>8979</v>
      </c>
      <c r="G4279" t="s">
        <v>14</v>
      </c>
      <c r="H4279">
             </c>
      <c r="I4279" t="s">
        <v>14</v>
      </c>
      <c r="J4279" t="s">
        <v>141</v>
      </c>
      <c r="K4279" t="s">
        <v>14</v>
      </c>
      <c r="L4279" t="s">
        <v>20</v>
      </c>
      <c r="M4279" t="s">
        <v>8923</v>
      </c>
      <c r="N4279" t="s">
        <v>14</v>
      </c>
    </row>
    <row r="4280" x14ac:dyDescent="0.25">
      <c r="A4280" t="n">
        <v>25</v>
      </c>
      <c r="B4280" t="s">
        <v>14</v>
      </c>
      <c r="C4280" t="s">
        <v>22</v>
      </c>
      <c r="D4280" s="2" t="s">
        <f>=HYPERLINK("https://main.knesset.gov.il/APPS/legislation/main/bills/2206645", "הצעת חוק התובע הכללי, התשפ""ג-2023")</f>
        <v>425</v>
      </c>
      <c r="E4280" t="s">
        <v>425</v>
      </c>
      <c r="F4280" t="s">
        <v>8980</v>
      </c>
      <c r="G4280" t="s">
        <v>14</v>
      </c>
      <c r="H4280">
             </c>
      <c r="I4280" t="s">
        <v>14</v>
      </c>
      <c r="J4280" t="s">
        <v>141</v>
      </c>
      <c r="K4280" t="s">
        <v>14</v>
      </c>
      <c r="L4280" t="s">
        <v>20</v>
      </c>
      <c r="M4280" t="s">
        <v>8923</v>
      </c>
      <c r="N4280" t="s">
        <v>14</v>
      </c>
    </row>
    <row r="4281" x14ac:dyDescent="0.25">
      <c r="A4281" t="n">
        <v>25</v>
      </c>
      <c r="B4281" t="s">
        <v>14</v>
      </c>
      <c r="C4281" t="s">
        <v>22</v>
      </c>
      <c r="D4281" s="2" t="s">
        <f>=HYPERLINK("https://main.knesset.gov.il/APPS/legislation/main/bills/2206636", "הצעת חוק-יסוד: השפיטה (תיקון - פסקת התגברות) ")</f>
        <v>8981</v>
      </c>
      <c r="E4281" t="s">
        <v>8981</v>
      </c>
      <c r="F4281" t="s">
        <v>8982</v>
      </c>
      <c r="G4281" t="s">
        <v>14</v>
      </c>
      <c r="H4281">
             </c>
      <c r="I4281" t="s">
        <v>14</v>
      </c>
      <c r="J4281" t="s">
        <v>141</v>
      </c>
      <c r="K4281" t="s">
        <v>14</v>
      </c>
      <c r="L4281" t="s">
        <v>20</v>
      </c>
      <c r="M4281" t="s">
        <v>8923</v>
      </c>
      <c r="N4281" t="s">
        <v>14</v>
      </c>
    </row>
    <row r="4282" x14ac:dyDescent="0.25">
      <c r="A4282" t="n">
        <v>25</v>
      </c>
      <c r="B4282" t="s">
        <v>14</v>
      </c>
      <c r="C4282" t="s">
        <v>15</v>
      </c>
      <c r="D4282" s="2" t="s">
        <f>=HYPERLINK("https://main.knesset.gov.il/APPS/legislation/main/bills/2204243", "פרק ג' (ייעול הליכי רישוי סביבתי), סעיפים 8-5, 14-13 (בעניין רישוי לפי חוק חומרים מסוכנים; חוק מניעת זיהום הים ממקורות יבשתיים; חוק המים) מהצעת חוק התכנית הכלכלית (תיקוני חקיקה ...לשנות התקציב 2023 ו-2024), התשפ""ג-2023[פוצלה לפי סעיף 84(ב) לתקנון]")</f>
        <v>8983</v>
      </c>
      <c r="E4282" t="s">
        <v>8983</v>
      </c>
      <c r="F4282" t="s">
        <v>14</v>
      </c>
      <c r="G4282" t="s">
        <v>110</v>
      </c>
      <c r="H4282">
             </c>
      <c r="I4282" t="s">
        <v>14</v>
      </c>
      <c r="J4282" t="s">
        <v>99</v>
      </c>
      <c r="K4282" t="s">
        <v>46</v>
      </c>
      <c r="L4282" t="s">
        <v>20</v>
      </c>
      <c r="M4282" t="s">
        <v>8984</v>
      </c>
      <c r="N4282" t="s">
        <v>14</v>
      </c>
    </row>
    <row r="4283" x14ac:dyDescent="0.25">
      <c r="A4283" t="n">
        <v>25</v>
      </c>
      <c r="B4283" t="s">
        <v>14</v>
      </c>
      <c r="C4283" t="s">
        <v>22</v>
      </c>
      <c r="D4283" s="2" t="s">
        <f>=HYPERLINK("https://main.knesset.gov.il/APPS/legislation/main/bills/2203809", "הצעת חוק שמירת הניקיון (תיקון - טיפול בפסולת בניין), התשפ""ג-2023")</f>
        <v>8985</v>
      </c>
      <c r="E4283" t="s">
        <v>8985</v>
      </c>
      <c r="F4283" t="s">
        <v>8986</v>
      </c>
      <c r="G4283" t="s">
        <v>14</v>
      </c>
      <c r="H4283">
             </c>
      <c r="I4283" t="s">
        <v>14</v>
      </c>
      <c r="J4283" t="s">
        <v>99</v>
      </c>
      <c r="K4283" t="s">
        <v>46</v>
      </c>
      <c r="L4283" t="s">
        <v>20</v>
      </c>
      <c r="M4283" t="s">
        <v>8984</v>
      </c>
      <c r="N4283" t="s">
        <v>14</v>
      </c>
    </row>
    <row r="4284" x14ac:dyDescent="0.25">
      <c r="A4284" t="n">
        <v>25</v>
      </c>
      <c r="B4284" t="s">
        <v>14</v>
      </c>
      <c r="C4284" t="s">
        <v>22</v>
      </c>
      <c r="D4284" s="2" t="s">
        <f>=HYPERLINK("https://main.knesset.gov.il/APPS/legislation/main/bills/2196157", "הצעת חוק להקפאת קצבאות שמשולמות לפעיל טרור ומשפחתו מקופת המדינה, התשפ""ג-2022")</f>
        <v>8987</v>
      </c>
      <c r="E4284" t="s">
        <v>8987</v>
      </c>
      <c r="F4284" t="s">
        <v>8988</v>
      </c>
      <c r="G4284" t="s">
        <v>14</v>
      </c>
      <c r="H4284">
             </c>
      <c r="I4284" t="s">
        <v>14</v>
      </c>
      <c r="J4284" t="s">
        <v>31</v>
      </c>
      <c r="K4284" t="s">
        <v>114</v>
      </c>
      <c r="L4284" t="s">
        <v>20</v>
      </c>
      <c r="M4284" t="s">
        <v>8989</v>
      </c>
      <c r="N4284" t="s">
        <v>14</v>
      </c>
    </row>
    <row r="4285" x14ac:dyDescent="0.25">
      <c r="A4285" t="n">
        <v>25</v>
      </c>
      <c r="B4285" t="s">
        <v>14</v>
      </c>
      <c r="C4285" t="s">
        <v>22</v>
      </c>
      <c r="D4285" s="2" t="s">
        <f>=HYPERLINK("https://main.knesset.gov.il/APPS/legislation/main/bills/2202387", "הצעת חוק מס ערך מוסף (תיקון - תשלום המס במתן שירותי כוח אדם ועבודות בנייה), התשפ""ג-2023")</f>
        <v>8990</v>
      </c>
      <c r="E4285" t="s">
        <v>8990</v>
      </c>
      <c r="F4285" t="s">
        <v>8991</v>
      </c>
      <c r="G4285" t="s">
        <v>14</v>
      </c>
      <c r="H4285">
             </c>
      <c r="I4285" t="s">
        <v>14</v>
      </c>
      <c r="J4285" t="s">
        <v>55</v>
      </c>
      <c r="K4285" t="s">
        <v>14</v>
      </c>
      <c r="L4285" t="s">
        <v>20</v>
      </c>
      <c r="M4285" t="s">
        <v>8989</v>
      </c>
      <c r="N4285" t="s">
        <v>14</v>
      </c>
    </row>
    <row r="4286" x14ac:dyDescent="0.25">
      <c r="A4286" t="n">
        <v>25</v>
      </c>
      <c r="B4286" t="s">
        <v>14</v>
      </c>
      <c r="C4286" t="s">
        <v>22</v>
      </c>
      <c r="D4286" s="2" t="s">
        <f>=HYPERLINK("https://main.knesset.gov.il/APPS/legislation/main/bills/2199019", "הצעת חוק להקמת אוניברסיטה במחוז הצפון, התשפ""ג-2023")</f>
        <v>8992</v>
      </c>
      <c r="E4286" t="s">
        <v>8992</v>
      </c>
      <c r="F4286" t="s">
        <v>8993</v>
      </c>
      <c r="G4286" t="s">
        <v>14</v>
      </c>
      <c r="H4286">
             </c>
      <c r="I4286" t="s">
        <v>14</v>
      </c>
      <c r="J4286" t="s">
        <v>55</v>
      </c>
      <c r="K4286" t="s">
        <v>14</v>
      </c>
      <c r="L4286" t="s">
        <v>20</v>
      </c>
      <c r="M4286" t="s">
        <v>8989</v>
      </c>
      <c r="N4286" t="s">
        <v>14</v>
      </c>
    </row>
    <row r="4287" x14ac:dyDescent="0.25">
      <c r="A4287" t="n">
        <v>25</v>
      </c>
      <c r="B4287" t="s">
        <v>14</v>
      </c>
      <c r="C4287" t="s">
        <v>22</v>
      </c>
      <c r="D4287" s="2" t="s">
        <f>=HYPERLINK("https://main.knesset.gov.il/APPS/legislation/main/bills/2198726", "הצעת חוק חינוך ממלכתי (תיקון - חינוך ממלכתי חרדי), התשפ""ג-2023")</f>
        <v>4505</v>
      </c>
      <c r="E4287" t="s">
        <v>4505</v>
      </c>
      <c r="F4287" t="s">
        <v>8994</v>
      </c>
      <c r="G4287" t="s">
        <v>14</v>
      </c>
      <c r="H4287">
             </c>
      <c r="I4287" t="s">
        <v>14</v>
      </c>
      <c r="J4287" t="s">
        <v>55</v>
      </c>
      <c r="K4287" t="s">
        <v>14</v>
      </c>
      <c r="L4287" t="s">
        <v>20</v>
      </c>
      <c r="M4287" t="s">
        <v>8989</v>
      </c>
      <c r="N4287" t="s">
        <v>14</v>
      </c>
    </row>
    <row r="4288" x14ac:dyDescent="0.25">
      <c r="A4288" t="n">
        <v>25</v>
      </c>
      <c r="B4288" t="s">
        <v>14</v>
      </c>
      <c r="C4288" t="s">
        <v>22</v>
      </c>
      <c r="D4288" s="2" t="s">
        <f>=HYPERLINK("https://main.knesset.gov.il/APPS/legislation/main/bills/2196011", "הצעת חוק נישואין וגירושין, התשפ""ג-2022")</f>
        <v>8995</v>
      </c>
      <c r="E4288" t="s">
        <v>8995</v>
      </c>
      <c r="F4288" t="s">
        <v>8996</v>
      </c>
      <c r="G4288" t="s">
        <v>14</v>
      </c>
      <c r="H4288">
             </c>
      <c r="I4288" t="s">
        <v>14</v>
      </c>
      <c r="J4288" t="s">
        <v>55</v>
      </c>
      <c r="K4288" t="s">
        <v>14</v>
      </c>
      <c r="L4288" t="s">
        <v>20</v>
      </c>
      <c r="M4288" t="s">
        <v>8989</v>
      </c>
      <c r="N4288" t="s">
        <v>14</v>
      </c>
    </row>
    <row r="4289" x14ac:dyDescent="0.25">
      <c r="A4289" t="n">
        <v>25</v>
      </c>
      <c r="B4289" t="s">
        <v>14</v>
      </c>
      <c r="C4289" t="s">
        <v>22</v>
      </c>
      <c r="D4289" s="2" t="s">
        <f>=HYPERLINK("https://main.knesset.gov.il/APPS/legislation/main/bills/2195760", "הצעת חוק איסור הלבנת הון (תיקון - איסור גביית דמי שמירה בלא רישיון), התשפ""ג-2022")</f>
        <v>8997</v>
      </c>
      <c r="E4289" t="s">
        <v>8997</v>
      </c>
      <c r="F4289" t="s">
        <v>8998</v>
      </c>
      <c r="G4289" t="s">
        <v>14</v>
      </c>
      <c r="H4289">
             </c>
      <c r="I4289" t="s">
        <v>14</v>
      </c>
      <c r="J4289" t="s">
        <v>31</v>
      </c>
      <c r="K4289" t="s">
        <v>27</v>
      </c>
      <c r="L4289" t="s">
        <v>20</v>
      </c>
      <c r="M4289" t="s">
        <v>8989</v>
      </c>
      <c r="N4289" t="s">
        <v>14</v>
      </c>
    </row>
    <row r="4290" x14ac:dyDescent="0.25">
      <c r="A4290" t="n">
        <v>25</v>
      </c>
      <c r="B4290" t="s">
        <v>14</v>
      </c>
      <c r="C4290" t="s">
        <v>22</v>
      </c>
      <c r="D4290" s="2" t="s">
        <f>=HYPERLINK("https://main.knesset.gov.il/APPS/legislation/main/bills/2197203", "הצעת חוק הדרכונים (תיקון - מתן דרכון לעולה), התשפ""ג-2022")</f>
        <v>8999</v>
      </c>
      <c r="E4290" t="s">
        <v>8999</v>
      </c>
      <c r="F4290" t="s">
        <v>9000</v>
      </c>
      <c r="G4290" t="s">
        <v>14</v>
      </c>
      <c r="H4290">
             </c>
      <c r="I4290" t="s">
        <v>14</v>
      </c>
      <c r="J4290" t="s">
        <v>99</v>
      </c>
      <c r="K4290" t="s">
        <v>46</v>
      </c>
      <c r="L4290" t="s">
        <v>20</v>
      </c>
      <c r="M4290" t="s">
        <v>9001</v>
      </c>
      <c r="N4290" t="s">
        <v>14</v>
      </c>
    </row>
    <row r="4291" x14ac:dyDescent="0.25">
      <c r="A4291" t="n">
        <v>25</v>
      </c>
      <c r="B4291" t="s">
        <v>14</v>
      </c>
      <c r="C4291" t="s">
        <v>15</v>
      </c>
      <c r="D4291" s="2" t="s">
        <f>=HYPERLINK("https://main.knesset.gov.il/APPS/legislation/main/bills/2203895", "חוק הגדלת נקודות זיכוי להורים במס הכנסה והרחבת מענק עבודה, התשפ""ג-2023")</f>
        <v>9002</v>
      </c>
      <c r="E4291" t="s">
        <v>9002</v>
      </c>
      <c r="F4291" t="s">
        <v>14</v>
      </c>
      <c r="G4291" t="s">
        <v>9003</v>
      </c>
      <c r="H4291" t="n">
        <v>3048</v>
      </c>
      <c r="I4291" t="s">
        <v>14</v>
      </c>
      <c r="J4291" t="s">
        <v>91</v>
      </c>
      <c r="K4291" t="s">
        <v>85</v>
      </c>
      <c r="L4291" t="s">
        <v>20</v>
      </c>
      <c r="M4291" t="s">
        <v>9001</v>
      </c>
      <c r="N4291" t="s">
        <v>9004</v>
      </c>
    </row>
    <row r="4292" x14ac:dyDescent="0.25">
      <c r="A4292" t="n">
        <v>25</v>
      </c>
      <c r="B4292" t="s">
        <v>14</v>
      </c>
      <c r="C4292" t="s">
        <v>22</v>
      </c>
      <c r="D4292" s="2" t="s">
        <f>=HYPERLINK("https://main.knesset.gov.il/APPS/legislation/main/bills/2204133", "הצעת חוק מרשם האוכלוסין (תיקון - רישום בת זוג או בן זוג כהורה), התשפ""ג-2023")</f>
        <v>9005</v>
      </c>
      <c r="E4292" t="s">
        <v>9005</v>
      </c>
      <c r="F4292" t="s">
        <v>9006</v>
      </c>
      <c r="G4292" t="s">
        <v>14</v>
      </c>
      <c r="H4292">
             </c>
      <c r="I4292" t="s">
        <v>14</v>
      </c>
      <c r="J4292" t="s">
        <v>141</v>
      </c>
      <c r="K4292" t="s">
        <v>14</v>
      </c>
      <c r="L4292" t="s">
        <v>20</v>
      </c>
      <c r="M4292" t="s">
        <v>9001</v>
      </c>
      <c r="N4292" t="s">
        <v>14</v>
      </c>
    </row>
    <row r="4293" x14ac:dyDescent="0.25">
      <c r="A4293" t="n">
        <v>25</v>
      </c>
      <c r="B4293" t="s">
        <v>14</v>
      </c>
      <c r="C4293" t="s">
        <v>22</v>
      </c>
      <c r="D4293" s="2" t="s">
        <f>=HYPERLINK("https://main.knesset.gov.il/APPS/legislation/main/bills/2205729", "הצעת חוק מיסוי רווחי יתר של תאגידים בנקאיים, התשפ""ג-2023")</f>
        <v>8384</v>
      </c>
      <c r="E4293" t="s">
        <v>8384</v>
      </c>
      <c r="F4293" t="s">
        <v>9007</v>
      </c>
      <c r="G4293" t="s">
        <v>14</v>
      </c>
      <c r="H4293">
             </c>
      <c r="I4293" t="s">
        <v>14</v>
      </c>
      <c r="J4293" t="s">
        <v>343</v>
      </c>
      <c r="K4293" t="s">
        <v>14</v>
      </c>
      <c r="L4293" t="s">
        <v>20</v>
      </c>
      <c r="M4293" t="s">
        <v>9001</v>
      </c>
      <c r="N4293" t="s">
        <v>14</v>
      </c>
    </row>
    <row r="4294" x14ac:dyDescent="0.25">
      <c r="A4294" t="n">
        <v>25</v>
      </c>
      <c r="B4294" t="s">
        <v>14</v>
      </c>
      <c r="C4294" t="s">
        <v>22</v>
      </c>
      <c r="D4294" s="2" t="s">
        <f>=HYPERLINK("https://main.knesset.gov.il/APPS/legislation/main/bills/2205459", "הצעת חוק הביטוח הלאומי (תיקון - מסלול ברירת מחדל בהפקדות לחיסכון ארוך טווח לילד), התשפ""ג-2023")</f>
        <v>9008</v>
      </c>
      <c r="E4294" t="s">
        <v>9008</v>
      </c>
      <c r="F4294" t="s">
        <v>9009</v>
      </c>
      <c r="G4294" t="s">
        <v>14</v>
      </c>
      <c r="H4294">
             </c>
      <c r="I4294" t="s">
        <v>14</v>
      </c>
      <c r="J4294" t="s">
        <v>141</v>
      </c>
      <c r="K4294" t="s">
        <v>14</v>
      </c>
      <c r="L4294" t="s">
        <v>20</v>
      </c>
      <c r="M4294" t="s">
        <v>9001</v>
      </c>
      <c r="N4294" t="s">
        <v>14</v>
      </c>
    </row>
    <row r="4295" x14ac:dyDescent="0.25">
      <c r="A4295" t="n">
        <v>25</v>
      </c>
      <c r="B4295" t="s">
        <v>14</v>
      </c>
      <c r="C4295" t="s">
        <v>22</v>
      </c>
      <c r="D4295" s="2" t="s">
        <f>=HYPERLINK("https://main.knesset.gov.il/APPS/legislation/main/bills/2205933", "הצעת חוק לתיקון פקודת מס הכנסה (פטור ממס הכנסה לנכים), התשפ""ג-2023")</f>
        <v>9010</v>
      </c>
      <c r="E4295" t="s">
        <v>9010</v>
      </c>
      <c r="F4295" t="s">
        <v>9011</v>
      </c>
      <c r="G4295" t="s">
        <v>14</v>
      </c>
      <c r="H4295">
             </c>
      <c r="I4295" t="s">
        <v>14</v>
      </c>
      <c r="J4295" t="s">
        <v>141</v>
      </c>
      <c r="K4295" t="s">
        <v>14</v>
      </c>
      <c r="L4295" t="s">
        <v>20</v>
      </c>
      <c r="M4295" t="s">
        <v>9001</v>
      </c>
      <c r="N4295" t="s">
        <v>14</v>
      </c>
    </row>
    <row r="4296" x14ac:dyDescent="0.25">
      <c r="A4296" t="n">
        <v>25</v>
      </c>
      <c r="B4296" t="s">
        <v>14</v>
      </c>
      <c r="C4296" t="s">
        <v>22</v>
      </c>
      <c r="D4296" s="2" t="s">
        <f>=HYPERLINK("https://main.knesset.gov.il/APPS/legislation/main/bills/2205172", "הצעת חוק השיפוט הצבאי (תיקון - הגבלה על פרסום של פרטי חייל, צילום פניו או כל פרט מזהה אחר בעת מילוי תפקידו), התשפ""ג-2023 ")</f>
        <v>9012</v>
      </c>
      <c r="E4296" t="s">
        <v>9012</v>
      </c>
      <c r="F4296" t="s">
        <v>9013</v>
      </c>
      <c r="G4296" t="s">
        <v>14</v>
      </c>
      <c r="H4296">
             </c>
      <c r="I4296" t="s">
        <v>14</v>
      </c>
      <c r="J4296" t="s">
        <v>141</v>
      </c>
      <c r="K4296" t="s">
        <v>14</v>
      </c>
      <c r="L4296" t="s">
        <v>20</v>
      </c>
      <c r="M4296" t="s">
        <v>9001</v>
      </c>
      <c r="N4296" t="s">
        <v>14</v>
      </c>
    </row>
    <row r="4297" x14ac:dyDescent="0.25">
      <c r="A4297" t="n">
        <v>25</v>
      </c>
      <c r="B4297" t="s">
        <v>14</v>
      </c>
      <c r="C4297" t="s">
        <v>22</v>
      </c>
      <c r="D4297" s="2" t="s">
        <f>=HYPERLINK("https://main.knesset.gov.il/APPS/legislation/main/bills/2205738", "הצעת חוק הביטוח הלאומי (תיקון - ביטול דרישה לחתימת הורים כתנאי למשיכת כספי החיסכון), התשפ""ג-2023")</f>
        <v>9014</v>
      </c>
      <c r="E4297" t="s">
        <v>9014</v>
      </c>
      <c r="F4297" t="s">
        <v>9015</v>
      </c>
      <c r="G4297" t="s">
        <v>14</v>
      </c>
      <c r="H4297">
             </c>
      <c r="I4297" t="s">
        <v>14</v>
      </c>
      <c r="J4297" t="s">
        <v>141</v>
      </c>
      <c r="K4297" t="s">
        <v>14</v>
      </c>
      <c r="L4297" t="s">
        <v>20</v>
      </c>
      <c r="M4297" t="s">
        <v>9001</v>
      </c>
      <c r="N4297" t="s">
        <v>14</v>
      </c>
    </row>
    <row r="4298" x14ac:dyDescent="0.25">
      <c r="A4298" t="n">
        <v>25</v>
      </c>
      <c r="B4298" t="s">
        <v>14</v>
      </c>
      <c r="C4298" t="s">
        <v>22</v>
      </c>
      <c r="D4298" s="2" t="s">
        <f>=HYPERLINK("https://main.knesset.gov.il/APPS/legislation/main/bills/2199946", "הצעת חוק בתי המשפט (תיקון - הרשעה בפלילים פה אחד), התשפ""ג-2023")</f>
        <v>9016</v>
      </c>
      <c r="E4298" t="s">
        <v>9016</v>
      </c>
      <c r="F4298" t="s">
        <v>9017</v>
      </c>
      <c r="G4298" t="s">
        <v>14</v>
      </c>
      <c r="H4298">
             </c>
      <c r="I4298" t="s">
        <v>14</v>
      </c>
      <c r="J4298" t="s">
        <v>141</v>
      </c>
      <c r="K4298" t="s">
        <v>14</v>
      </c>
      <c r="L4298" t="s">
        <v>20</v>
      </c>
      <c r="M4298" t="s">
        <v>9001</v>
      </c>
      <c r="N4298" t="s">
        <v>14</v>
      </c>
    </row>
    <row r="4299" x14ac:dyDescent="0.25">
      <c r="A4299" t="n">
        <v>25</v>
      </c>
      <c r="B4299" t="s">
        <v>14</v>
      </c>
      <c r="C4299" t="s">
        <v>22</v>
      </c>
      <c r="D4299" s="2" t="s">
        <f>=HYPERLINK("https://main.knesset.gov.il/APPS/legislation/main/bills/2202829", "הצעת חוק פיטורי עובד ציבור שקרוב משפחתו מדרגה ראשונה פעיל טרור, התשפ""ג-2023")</f>
        <v>9018</v>
      </c>
      <c r="E4299" t="s">
        <v>9018</v>
      </c>
      <c r="F4299" t="s">
        <v>9019</v>
      </c>
      <c r="G4299" t="s">
        <v>14</v>
      </c>
      <c r="H4299">
             </c>
      <c r="I4299" t="s">
        <v>14</v>
      </c>
      <c r="J4299" t="s">
        <v>343</v>
      </c>
      <c r="K4299" t="s">
        <v>14</v>
      </c>
      <c r="L4299" t="s">
        <v>20</v>
      </c>
      <c r="M4299" t="s">
        <v>9001</v>
      </c>
      <c r="N4299" t="s">
        <v>14</v>
      </c>
    </row>
    <row r="4300" x14ac:dyDescent="0.25">
      <c r="A4300" t="n">
        <v>25</v>
      </c>
      <c r="B4300" t="s">
        <v>14</v>
      </c>
      <c r="C4300" t="s">
        <v>22</v>
      </c>
      <c r="D4300" s="2" t="s">
        <f>=HYPERLINK("https://main.knesset.gov.il/APPS/legislation/main/bills/2203842", "הצעת חוק-יסוד: הממשלה (תיקון - ייעוץ משפטי אינו מחייב)")</f>
        <v>9020</v>
      </c>
      <c r="E4300" t="s">
        <v>9020</v>
      </c>
      <c r="F4300" t="s">
        <v>9021</v>
      </c>
      <c r="G4300" t="s">
        <v>14</v>
      </c>
      <c r="H4300">
             </c>
      <c r="I4300" t="s">
        <v>14</v>
      </c>
      <c r="J4300" t="s">
        <v>141</v>
      </c>
      <c r="K4300" t="s">
        <v>14</v>
      </c>
      <c r="L4300" t="s">
        <v>20</v>
      </c>
      <c r="M4300" t="s">
        <v>9001</v>
      </c>
      <c r="N4300" t="s">
        <v>14</v>
      </c>
    </row>
    <row r="4301" x14ac:dyDescent="0.25">
      <c r="A4301" t="n">
        <v>25</v>
      </c>
      <c r="B4301" t="s">
        <v>14</v>
      </c>
      <c r="C4301" t="s">
        <v>22</v>
      </c>
      <c r="D4301" s="2" t="s">
        <f>=HYPERLINK("https://main.knesset.gov.il/APPS/legislation/main/bills/2197965", "הצעת חוק העונשין (תיקון - העלבת חייל והפרעה לחייל במילוי תפקידו), התשפ""ג-2023")</f>
        <v>9022</v>
      </c>
      <c r="E4301" t="s">
        <v>9022</v>
      </c>
      <c r="F4301" t="s">
        <v>9023</v>
      </c>
      <c r="G4301" t="s">
        <v>14</v>
      </c>
      <c r="H4301">
             </c>
      <c r="I4301" t="s">
        <v>14</v>
      </c>
      <c r="J4301" t="s">
        <v>141</v>
      </c>
      <c r="K4301" t="s">
        <v>14</v>
      </c>
      <c r="L4301" t="s">
        <v>20</v>
      </c>
      <c r="M4301" t="s">
        <v>9001</v>
      </c>
      <c r="N4301" t="s">
        <v>14</v>
      </c>
    </row>
    <row r="4302" x14ac:dyDescent="0.25">
      <c r="A4302" t="n">
        <v>25</v>
      </c>
      <c r="B4302" t="s">
        <v>14</v>
      </c>
      <c r="C4302" t="s">
        <v>22</v>
      </c>
      <c r="D4302" s="2" t="s">
        <f>=HYPERLINK("https://main.knesset.gov.il/APPS/legislation/main/bills/2205313", "הצעת חוק בתי המשפט (תיקון - הקלטה בבית משפט לענייני משפחה), התשפ""ג-2023")</f>
        <v>9024</v>
      </c>
      <c r="E4302" t="s">
        <v>9024</v>
      </c>
      <c r="F4302" t="s">
        <v>9025</v>
      </c>
      <c r="G4302" t="s">
        <v>14</v>
      </c>
      <c r="H4302">
             </c>
      <c r="I4302" t="s">
        <v>14</v>
      </c>
      <c r="J4302" t="s">
        <v>343</v>
      </c>
      <c r="K4302" t="s">
        <v>14</v>
      </c>
      <c r="L4302" t="s">
        <v>20</v>
      </c>
      <c r="M4302" t="s">
        <v>9001</v>
      </c>
      <c r="N4302" t="s">
        <v>14</v>
      </c>
    </row>
    <row r="4303" x14ac:dyDescent="0.25">
      <c r="A4303" t="n">
        <v>25</v>
      </c>
      <c r="B4303" t="s">
        <v>14</v>
      </c>
      <c r="C4303" t="s">
        <v>22</v>
      </c>
      <c r="D4303" s="2" t="s">
        <f>=HYPERLINK("https://main.knesset.gov.il/APPS/legislation/main/bills/2205131", "הצעת חוק לתיקון פקודת הסמים המסוכנים (שימוש עצמי בקנבוס), התשפ""ג-2023")</f>
        <v>9026</v>
      </c>
      <c r="E4303" t="s">
        <v>9026</v>
      </c>
      <c r="F4303" t="s">
        <v>9027</v>
      </c>
      <c r="G4303" t="s">
        <v>14</v>
      </c>
      <c r="H4303">
             </c>
      <c r="I4303" t="s">
        <v>14</v>
      </c>
      <c r="J4303" t="s">
        <v>141</v>
      </c>
      <c r="K4303" t="s">
        <v>14</v>
      </c>
      <c r="L4303" t="s">
        <v>20</v>
      </c>
      <c r="M4303" t="s">
        <v>9001</v>
      </c>
      <c r="N4303" t="s">
        <v>14</v>
      </c>
    </row>
    <row r="4304" x14ac:dyDescent="0.25">
      <c r="A4304" t="n">
        <v>25</v>
      </c>
      <c r="B4304" t="s">
        <v>14</v>
      </c>
      <c r="C4304" t="s">
        <v>22</v>
      </c>
      <c r="D4304" s="2" t="s">
        <f>=HYPERLINK("https://main.knesset.gov.il/APPS/legislation/main/bills/2205826", "הצעת חוק זכויות החולה (תיקון - מסירת מידע למניעת פגיעה), התשפ""ג-2023")</f>
        <v>9028</v>
      </c>
      <c r="E4304" t="s">
        <v>9028</v>
      </c>
      <c r="F4304" t="s">
        <v>9029</v>
      </c>
      <c r="G4304" t="s">
        <v>14</v>
      </c>
      <c r="H4304">
             </c>
      <c r="I4304" t="s">
        <v>14</v>
      </c>
      <c r="J4304" t="s">
        <v>141</v>
      </c>
      <c r="K4304" t="s">
        <v>14</v>
      </c>
      <c r="L4304" t="s">
        <v>20</v>
      </c>
      <c r="M4304" t="s">
        <v>9001</v>
      </c>
      <c r="N4304" t="s">
        <v>14</v>
      </c>
    </row>
    <row r="4305" x14ac:dyDescent="0.25">
      <c r="A4305" t="n">
        <v>25</v>
      </c>
      <c r="B4305" t="s">
        <v>14</v>
      </c>
      <c r="C4305" t="s">
        <v>22</v>
      </c>
      <c r="D4305" s="2" t="s">
        <f>=HYPERLINK("https://main.knesset.gov.il/APPS/legislation/main/bills/2205468", "הצעת חוק זכויות החולה (תיקון - מסירת מידע למניעת פגיעה), התשפ""ג -2023")</f>
        <v>9030</v>
      </c>
      <c r="E4305" t="s">
        <v>9030</v>
      </c>
      <c r="F4305" t="s">
        <v>9031</v>
      </c>
      <c r="G4305" t="s">
        <v>14</v>
      </c>
      <c r="H4305">
             </c>
      <c r="I4305" t="s">
        <v>14</v>
      </c>
      <c r="J4305" t="s">
        <v>141</v>
      </c>
      <c r="K4305" t="s">
        <v>14</v>
      </c>
      <c r="L4305" t="s">
        <v>20</v>
      </c>
      <c r="M4305" t="s">
        <v>9001</v>
      </c>
      <c r="N4305" t="s">
        <v>14</v>
      </c>
    </row>
    <row r="4306" x14ac:dyDescent="0.25">
      <c r="A4306" t="n">
        <v>25</v>
      </c>
      <c r="B4306" t="s">
        <v>14</v>
      </c>
      <c r="C4306" t="s">
        <v>22</v>
      </c>
      <c r="D4306" s="2" t="s">
        <f>=HYPERLINK("https://main.knesset.gov.il/APPS/legislation/main/bills/2205926", "הצעת חוק חוזה עבודה (הגבלות לעניין סיום העסקה של עובד), התשפ""ג-2023 ")</f>
        <v>9032</v>
      </c>
      <c r="E4306" t="s">
        <v>9032</v>
      </c>
      <c r="F4306" t="s">
        <v>9033</v>
      </c>
      <c r="G4306" t="s">
        <v>14</v>
      </c>
      <c r="H4306">
             </c>
      <c r="I4306" t="s">
        <v>14</v>
      </c>
      <c r="J4306" t="s">
        <v>141</v>
      </c>
      <c r="K4306" t="s">
        <v>14</v>
      </c>
      <c r="L4306" t="s">
        <v>20</v>
      </c>
      <c r="M4306" t="s">
        <v>9001</v>
      </c>
      <c r="N4306" t="s">
        <v>14</v>
      </c>
    </row>
    <row r="4307" x14ac:dyDescent="0.25">
      <c r="A4307" t="n">
        <v>25</v>
      </c>
      <c r="B4307" t="s">
        <v>14</v>
      </c>
      <c r="C4307" t="s">
        <v>22</v>
      </c>
      <c r="D4307" s="2" t="s">
        <f>=HYPERLINK("https://main.knesset.gov.il/APPS/legislation/main/bills/2205862", "הצעת חוק שוויון זכויות לאנשים עם מוגבלות (תיקון - מידע בדבר עמידת מעסיקים פרטיים גדולים ביעד הייצוג ההולם), התשפ""ג-2023")</f>
        <v>8806</v>
      </c>
      <c r="E4307" t="s">
        <v>8806</v>
      </c>
      <c r="F4307" t="s">
        <v>9034</v>
      </c>
      <c r="G4307" t="s">
        <v>14</v>
      </c>
      <c r="H4307">
             </c>
      <c r="I4307" t="s">
        <v>14</v>
      </c>
      <c r="J4307" t="s">
        <v>141</v>
      </c>
      <c r="K4307" t="s">
        <v>14</v>
      </c>
      <c r="L4307" t="s">
        <v>20</v>
      </c>
      <c r="M4307" t="s">
        <v>9001</v>
      </c>
      <c r="N4307" t="s">
        <v>14</v>
      </c>
    </row>
    <row r="4308" x14ac:dyDescent="0.25">
      <c r="A4308" t="n">
        <v>25</v>
      </c>
      <c r="B4308" t="s">
        <v>14</v>
      </c>
      <c r="C4308" t="s">
        <v>22</v>
      </c>
      <c r="D4308" s="2" t="s">
        <f>=HYPERLINK("https://main.knesset.gov.il/APPS/legislation/main/bills/2205935", "הצעת חוק הביטוח הלאומי (תיקון - הארכת הזכאות של חולה במחלה ממארת), התשפ""ג-2023")</f>
        <v>9035</v>
      </c>
      <c r="E4308" t="s">
        <v>9035</v>
      </c>
      <c r="F4308" t="s">
        <v>9036</v>
      </c>
      <c r="G4308" t="s">
        <v>14</v>
      </c>
      <c r="H4308">
             </c>
      <c r="I4308" t="s">
        <v>14</v>
      </c>
      <c r="J4308" t="s">
        <v>141</v>
      </c>
      <c r="K4308" t="s">
        <v>14</v>
      </c>
      <c r="L4308" t="s">
        <v>20</v>
      </c>
      <c r="M4308" t="s">
        <v>9001</v>
      </c>
      <c r="N4308" t="s">
        <v>14</v>
      </c>
    </row>
    <row r="4309" x14ac:dyDescent="0.25">
      <c r="A4309" t="n">
        <v>25</v>
      </c>
      <c r="B4309" t="s">
        <v>14</v>
      </c>
      <c r="C4309" t="s">
        <v>22</v>
      </c>
      <c r="D4309" s="2" t="s">
        <f>=HYPERLINK("https://main.knesset.gov.il/APPS/legislation/main/bills/2205936", "הצעת חוק ביטוח בריאות ממלכתי (תיקון - פטור מתקופת המתנה לסטודנטים הלומדים בחו""ל), התשפ""ג-2023")</f>
        <v>9037</v>
      </c>
      <c r="E4309" t="s">
        <v>9037</v>
      </c>
      <c r="F4309" t="s">
        <v>9038</v>
      </c>
      <c r="G4309" t="s">
        <v>14</v>
      </c>
      <c r="H4309">
             </c>
      <c r="I4309" t="s">
        <v>14</v>
      </c>
      <c r="J4309" t="s">
        <v>343</v>
      </c>
      <c r="K4309" t="s">
        <v>14</v>
      </c>
      <c r="L4309" t="s">
        <v>20</v>
      </c>
      <c r="M4309" t="s">
        <v>9001</v>
      </c>
      <c r="N4309" t="s">
        <v>14</v>
      </c>
    </row>
    <row r="4310" x14ac:dyDescent="0.25">
      <c r="A4310" t="n">
        <v>25</v>
      </c>
      <c r="B4310" t="s">
        <v>14</v>
      </c>
      <c r="C4310" t="s">
        <v>22</v>
      </c>
      <c r="D4310" s="2" t="s">
        <f>=HYPERLINK("https://main.knesset.gov.il/APPS/legislation/main/bills/2204039", "הצעת חוק-יסוד: הכנסת (תיקון - השעיית חבר הכנסת שהוגש נגדו כתב אישום)")</f>
        <v>9039</v>
      </c>
      <c r="E4310" t="s">
        <v>9039</v>
      </c>
      <c r="F4310" t="s">
        <v>9040</v>
      </c>
      <c r="G4310" t="s">
        <v>14</v>
      </c>
      <c r="H4310">
             </c>
      <c r="I4310" t="s">
        <v>14</v>
      </c>
      <c r="J4310" t="s">
        <v>141</v>
      </c>
      <c r="K4310" t="s">
        <v>14</v>
      </c>
      <c r="L4310" t="s">
        <v>20</v>
      </c>
      <c r="M4310" t="s">
        <v>9001</v>
      </c>
      <c r="N4310" t="s">
        <v>14</v>
      </c>
    </row>
    <row r="4311" x14ac:dyDescent="0.25">
      <c r="A4311" t="n">
        <v>25</v>
      </c>
      <c r="B4311" t="s">
        <v>14</v>
      </c>
      <c r="C4311" t="s">
        <v>22</v>
      </c>
      <c r="D4311" s="2" t="s">
        <f>=HYPERLINK("https://main.knesset.gov.il/APPS/legislation/main/bills/2206231", "הצעת חוק תרומת זרע, התשפ""ג-2023")</f>
        <v>9041</v>
      </c>
      <c r="E4311" t="s">
        <v>9041</v>
      </c>
      <c r="F4311" t="s">
        <v>9042</v>
      </c>
      <c r="G4311" t="s">
        <v>14</v>
      </c>
      <c r="H4311">
             </c>
      <c r="I4311" t="s">
        <v>14</v>
      </c>
      <c r="J4311" t="s">
        <v>141</v>
      </c>
      <c r="K4311" t="s">
        <v>14</v>
      </c>
      <c r="L4311" t="s">
        <v>20</v>
      </c>
      <c r="M4311" t="s">
        <v>9001</v>
      </c>
      <c r="N4311" t="s">
        <v>14</v>
      </c>
    </row>
    <row r="4312" x14ac:dyDescent="0.25">
      <c r="A4312" t="n">
        <v>25</v>
      </c>
      <c r="B4312" t="s">
        <v>14</v>
      </c>
      <c r="C4312" t="s">
        <v>22</v>
      </c>
      <c r="D4312" s="2" t="s">
        <f>=HYPERLINK("https://main.knesset.gov.il/APPS/legislation/main/bills/2206235", "הצעת חוק התגמולים לנפגעי פעולות איבה (תיקון - פשעי שנאה), התשפ""ג-2023")</f>
        <v>1459</v>
      </c>
      <c r="E4312" t="s">
        <v>1459</v>
      </c>
      <c r="F4312" t="s">
        <v>9043</v>
      </c>
      <c r="G4312" t="s">
        <v>14</v>
      </c>
      <c r="H4312">
             </c>
      <c r="I4312" t="s">
        <v>14</v>
      </c>
      <c r="J4312" t="s">
        <v>141</v>
      </c>
      <c r="K4312" t="s">
        <v>14</v>
      </c>
      <c r="L4312" t="s">
        <v>20</v>
      </c>
      <c r="M4312" t="s">
        <v>9001</v>
      </c>
      <c r="N4312" t="s">
        <v>14</v>
      </c>
    </row>
    <row r="4313" x14ac:dyDescent="0.25">
      <c r="A4313" t="n">
        <v>25</v>
      </c>
      <c r="B4313" t="s">
        <v>14</v>
      </c>
      <c r="C4313" t="s">
        <v>22</v>
      </c>
      <c r="D4313" s="2" t="s">
        <f>=HYPERLINK("https://main.knesset.gov.il/APPS/legislation/main/bills/2205930", "הצעת חוק הבטחת הכנסה (תיקון - תוספת לגמלה בעד הילד השלישי ואילך), התשפ""ג-2023")</f>
        <v>9044</v>
      </c>
      <c r="E4313" t="s">
        <v>9044</v>
      </c>
      <c r="F4313" t="s">
        <v>9045</v>
      </c>
      <c r="G4313" t="s">
        <v>14</v>
      </c>
      <c r="H4313">
             </c>
      <c r="I4313" t="s">
        <v>14</v>
      </c>
      <c r="J4313" t="s">
        <v>141</v>
      </c>
      <c r="K4313" t="s">
        <v>14</v>
      </c>
      <c r="L4313" t="s">
        <v>20</v>
      </c>
      <c r="M4313" t="s">
        <v>9001</v>
      </c>
      <c r="N4313" t="s">
        <v>14</v>
      </c>
    </row>
    <row r="4314" x14ac:dyDescent="0.25">
      <c r="A4314" t="n">
        <v>25</v>
      </c>
      <c r="B4314" t="s">
        <v>14</v>
      </c>
      <c r="C4314" t="s">
        <v>22</v>
      </c>
      <c r="D4314" s="2" t="s">
        <f>=HYPERLINK("https://main.knesset.gov.il/APPS/legislation/main/bills/2205913", "הצעת חוק צמצום פערי שכר מגדריים (תיקוני חקיקה), התשפ""ג-2023")</f>
        <v>9046</v>
      </c>
      <c r="E4314" t="s">
        <v>9046</v>
      </c>
      <c r="F4314" t="s">
        <v>9047</v>
      </c>
      <c r="G4314" t="s">
        <v>14</v>
      </c>
      <c r="H4314">
             </c>
      <c r="I4314" t="s">
        <v>14</v>
      </c>
      <c r="J4314" t="s">
        <v>141</v>
      </c>
      <c r="K4314" t="s">
        <v>14</v>
      </c>
      <c r="L4314" t="s">
        <v>20</v>
      </c>
      <c r="M4314" t="s">
        <v>9001</v>
      </c>
      <c r="N4314" t="s">
        <v>14</v>
      </c>
    </row>
    <row r="4315" x14ac:dyDescent="0.25">
      <c r="A4315" t="n">
        <v>25</v>
      </c>
      <c r="B4315" t="s">
        <v>14</v>
      </c>
      <c r="C4315" t="s">
        <v>22</v>
      </c>
      <c r="D4315" s="2" t="s">
        <f>=HYPERLINK("https://main.knesset.gov.il/APPS/legislation/main/bills/2205109", "הצעת חוק לתיקון פקודת בריאות העם (מכשירים רפואיים מיוחדים), התשפ""ג-2023")</f>
        <v>8814</v>
      </c>
      <c r="E4315" t="s">
        <v>8814</v>
      </c>
      <c r="F4315" t="s">
        <v>9048</v>
      </c>
      <c r="G4315" t="s">
        <v>14</v>
      </c>
      <c r="H4315">
             </c>
      <c r="I4315" t="s">
        <v>14</v>
      </c>
      <c r="J4315" t="s">
        <v>141</v>
      </c>
      <c r="K4315" t="s">
        <v>14</v>
      </c>
      <c r="L4315" t="s">
        <v>20</v>
      </c>
      <c r="M4315" t="s">
        <v>9001</v>
      </c>
      <c r="N4315" t="s">
        <v>14</v>
      </c>
    </row>
    <row r="4316" x14ac:dyDescent="0.25">
      <c r="A4316" t="n">
        <v>25</v>
      </c>
      <c r="B4316" t="s">
        <v>14</v>
      </c>
      <c r="C4316" t="s">
        <v>22</v>
      </c>
      <c r="D4316" s="2" t="s">
        <f>=HYPERLINK("https://main.knesset.gov.il/APPS/legislation/main/bills/2205927", "הצעת חוק הביטוח הלאומי (תיקון - הרחבת הזכאות למענק לימודים), התשפ""ג-2023")</f>
        <v>9049</v>
      </c>
      <c r="E4316" t="s">
        <v>9049</v>
      </c>
      <c r="F4316" t="s">
        <v>9050</v>
      </c>
      <c r="G4316" t="s">
        <v>14</v>
      </c>
      <c r="H4316">
             </c>
      <c r="I4316" t="s">
        <v>14</v>
      </c>
      <c r="J4316" t="s">
        <v>141</v>
      </c>
      <c r="K4316" t="s">
        <v>14</v>
      </c>
      <c r="L4316" t="s">
        <v>20</v>
      </c>
      <c r="M4316" t="s">
        <v>9001</v>
      </c>
      <c r="N4316" t="s">
        <v>14</v>
      </c>
    </row>
    <row r="4317" x14ac:dyDescent="0.25">
      <c r="A4317" t="n">
        <v>25</v>
      </c>
      <c r="B4317" t="s">
        <v>14</v>
      </c>
      <c r="C4317" t="s">
        <v>22</v>
      </c>
      <c r="D4317" s="2" t="s">
        <f>=HYPERLINK("https://main.knesset.gov.il/APPS/legislation/main/bills/2206198", "הצעת חוק לתיקון פקודת התעבורה (הגבלת הפעלת רכב ציבורי בימי מנוחה), התשפ""ג-2023")</f>
        <v>9051</v>
      </c>
      <c r="E4317" t="s">
        <v>9051</v>
      </c>
      <c r="F4317" t="s">
        <v>9052</v>
      </c>
      <c r="G4317" t="s">
        <v>14</v>
      </c>
      <c r="H4317">
             </c>
      <c r="I4317" t="s">
        <v>14</v>
      </c>
      <c r="J4317" t="s">
        <v>1123</v>
      </c>
      <c r="K4317" t="s">
        <v>14</v>
      </c>
      <c r="L4317" t="s">
        <v>20</v>
      </c>
      <c r="M4317" t="s">
        <v>9001</v>
      </c>
      <c r="N4317" t="s">
        <v>14</v>
      </c>
    </row>
    <row r="4318" x14ac:dyDescent="0.25">
      <c r="A4318" t="n">
        <v>25</v>
      </c>
      <c r="B4318" t="s">
        <v>14</v>
      </c>
      <c r="C4318" t="s">
        <v>22</v>
      </c>
      <c r="D4318" s="2" t="s">
        <f>=HYPERLINK("https://main.knesset.gov.il/APPS/legislation/main/bills/2205806", "הצעת חוק הכשרות המשפטית והאפוטרופסות (תיקון - שלילת האפוטרופסות הטבעית עבור נאשמים ומורשעים בעבירות אלימות במשפחה), התשפ""ג-2023")</f>
        <v>9053</v>
      </c>
      <c r="E4318" t="s">
        <v>9053</v>
      </c>
      <c r="F4318" t="s">
        <v>9054</v>
      </c>
      <c r="G4318" t="s">
        <v>14</v>
      </c>
      <c r="H4318">
             </c>
      <c r="I4318" t="s">
        <v>14</v>
      </c>
      <c r="J4318" t="s">
        <v>141</v>
      </c>
      <c r="K4318" t="s">
        <v>14</v>
      </c>
      <c r="L4318" t="s">
        <v>20</v>
      </c>
      <c r="M4318" t="s">
        <v>9001</v>
      </c>
      <c r="N4318" t="s">
        <v>14</v>
      </c>
    </row>
    <row r="4319" x14ac:dyDescent="0.25">
      <c r="A4319" t="n">
        <v>25</v>
      </c>
      <c r="B4319" t="s">
        <v>14</v>
      </c>
      <c r="C4319" t="s">
        <v>22</v>
      </c>
      <c r="D4319" s="2" t="s">
        <f>=HYPERLINK("https://main.knesset.gov.il/APPS/legislation/main/bills/2206187", "הצעת חוק העונשין (תיקון - הגדרת בן דוד כאחראי על קטין או על חסר ישע), התשפ""ג-2023")</f>
        <v>9055</v>
      </c>
      <c r="E4319" t="s">
        <v>9055</v>
      </c>
      <c r="F4319" t="s">
        <v>9056</v>
      </c>
      <c r="G4319" t="s">
        <v>14</v>
      </c>
      <c r="H4319">
             </c>
      <c r="I4319" t="s">
        <v>14</v>
      </c>
      <c r="J4319" t="s">
        <v>141</v>
      </c>
      <c r="K4319" t="s">
        <v>14</v>
      </c>
      <c r="L4319" t="s">
        <v>20</v>
      </c>
      <c r="M4319" t="s">
        <v>9001</v>
      </c>
      <c r="N4319" t="s">
        <v>14</v>
      </c>
    </row>
    <row r="4320" x14ac:dyDescent="0.25">
      <c r="A4320" t="n">
        <v>25</v>
      </c>
      <c r="B4320" t="s">
        <v>14</v>
      </c>
      <c r="C4320" t="s">
        <v>22</v>
      </c>
      <c r="D4320" s="2" t="s">
        <f>=HYPERLINK("https://main.knesset.gov.il/APPS/legislation/main/bills/2204769", "הצעת חוק הגנת השכר (תיקון - פירוט עלות מעסיק), התשפ""ג-2023")</f>
        <v>8809</v>
      </c>
      <c r="E4320" t="s">
        <v>8809</v>
      </c>
      <c r="F4320" t="s">
        <v>9057</v>
      </c>
      <c r="G4320" t="s">
        <v>14</v>
      </c>
      <c r="H4320">
             </c>
      <c r="I4320" t="s">
        <v>14</v>
      </c>
      <c r="J4320" t="s">
        <v>141</v>
      </c>
      <c r="K4320" t="s">
        <v>14</v>
      </c>
      <c r="L4320" t="s">
        <v>20</v>
      </c>
      <c r="M4320" t="s">
        <v>9001</v>
      </c>
      <c r="N4320" t="s">
        <v>14</v>
      </c>
    </row>
    <row r="4321" x14ac:dyDescent="0.25">
      <c r="A4321" t="n">
        <v>25</v>
      </c>
      <c r="B4321" t="s">
        <v>14</v>
      </c>
      <c r="C4321" t="s">
        <v>22</v>
      </c>
      <c r="D4321" s="2" t="s">
        <f>=HYPERLINK("https://main.knesset.gov.il/APPS/legislation/main/bills/2205681", "הצעת חוק הביטוח הלאומי (תיקון - תנאי זכאות לדמי לידה), התשפ""ג-2023")</f>
        <v>8609</v>
      </c>
      <c r="E4321" t="s">
        <v>8609</v>
      </c>
      <c r="F4321" t="s">
        <v>9058</v>
      </c>
      <c r="G4321" t="s">
        <v>14</v>
      </c>
      <c r="H4321">
             </c>
      <c r="I4321" t="s">
        <v>14</v>
      </c>
      <c r="J4321" t="s">
        <v>141</v>
      </c>
      <c r="K4321" t="s">
        <v>14</v>
      </c>
      <c r="L4321" t="s">
        <v>20</v>
      </c>
      <c r="M4321" t="s">
        <v>9001</v>
      </c>
      <c r="N4321" t="s">
        <v>14</v>
      </c>
    </row>
    <row r="4322" x14ac:dyDescent="0.25">
      <c r="A4322" t="n">
        <v>25</v>
      </c>
      <c r="B4322" t="s">
        <v>14</v>
      </c>
      <c r="C4322" t="s">
        <v>22</v>
      </c>
      <c r="D4322" s="2" t="s">
        <f>=HYPERLINK("https://main.knesset.gov.il/APPS/legislation/main/bills/2205929", "הצעת חוק הרשויות המקומיות (גמול השתתפות בישיבות והחזר הוצאות לחברי מועצה), התשפ""ג-2023")</f>
        <v>2846</v>
      </c>
      <c r="E4322" t="s">
        <v>2846</v>
      </c>
      <c r="F4322" t="s">
        <v>9059</v>
      </c>
      <c r="G4322" t="s">
        <v>14</v>
      </c>
      <c r="H4322">
             </c>
      <c r="I4322" t="s">
        <v>14</v>
      </c>
      <c r="J4322" t="s">
        <v>141</v>
      </c>
      <c r="K4322" t="s">
        <v>14</v>
      </c>
      <c r="L4322" t="s">
        <v>20</v>
      </c>
      <c r="M4322" t="s">
        <v>9001</v>
      </c>
      <c r="N4322" t="s">
        <v>14</v>
      </c>
    </row>
    <row r="4323" x14ac:dyDescent="0.25">
      <c r="A4323" t="n">
        <v>25</v>
      </c>
      <c r="B4323" t="s">
        <v>14</v>
      </c>
      <c r="C4323" t="s">
        <v>22</v>
      </c>
      <c r="D4323" s="2" t="s">
        <f>=HYPERLINK("https://main.knesset.gov.il/APPS/legislation/main/bills/2205934", "הצעת חוק לתיקון פקודת התעבורה (תשלום דמי חניה), התשפ""ג-2023")</f>
        <v>7238</v>
      </c>
      <c r="E4323" t="s">
        <v>7238</v>
      </c>
      <c r="F4323" t="s">
        <v>9060</v>
      </c>
      <c r="G4323" t="s">
        <v>14</v>
      </c>
      <c r="H4323">
             </c>
      <c r="I4323" t="s">
        <v>14</v>
      </c>
      <c r="J4323" t="s">
        <v>141</v>
      </c>
      <c r="K4323" t="s">
        <v>14</v>
      </c>
      <c r="L4323" t="s">
        <v>20</v>
      </c>
      <c r="M4323" t="s">
        <v>9001</v>
      </c>
      <c r="N4323" t="s">
        <v>14</v>
      </c>
    </row>
    <row r="4324" x14ac:dyDescent="0.25">
      <c r="A4324" t="n">
        <v>25</v>
      </c>
      <c r="B4324" t="s">
        <v>14</v>
      </c>
      <c r="C4324" t="s">
        <v>22</v>
      </c>
      <c r="D4324" s="2" t="s">
        <f>=HYPERLINK("https://main.knesset.gov.il/APPS/legislation/main/bills/2205928", "הצעת חוק כביש אגרה (כביש ארצי לישראל) (תיקון - תנאי לגביית אגרה), התשפ""ג-2023")</f>
        <v>9061</v>
      </c>
      <c r="E4324" t="s">
        <v>9061</v>
      </c>
      <c r="F4324" t="s">
        <v>9062</v>
      </c>
      <c r="G4324" t="s">
        <v>14</v>
      </c>
      <c r="H4324">
             </c>
      <c r="I4324" t="s">
        <v>14</v>
      </c>
      <c r="J4324" t="s">
        <v>141</v>
      </c>
      <c r="K4324" t="s">
        <v>14</v>
      </c>
      <c r="L4324" t="s">
        <v>20</v>
      </c>
      <c r="M4324" t="s">
        <v>9001</v>
      </c>
      <c r="N4324" t="s">
        <v>14</v>
      </c>
    </row>
    <row r="4325" x14ac:dyDescent="0.25">
      <c r="A4325" t="n">
        <v>25</v>
      </c>
      <c r="B4325" t="s">
        <v>14</v>
      </c>
      <c r="C4325" t="s">
        <v>22</v>
      </c>
      <c r="D4325" s="2" t="s">
        <f>=HYPERLINK("https://main.knesset.gov.il/APPS/legislation/main/bills/2205931", "הצעת חוק בתי המשפט (תיקון - שופט משנה), התשפ""ג-2023")</f>
        <v>9063</v>
      </c>
      <c r="E4325" t="s">
        <v>9063</v>
      </c>
      <c r="F4325" t="s">
        <v>9064</v>
      </c>
      <c r="G4325" t="s">
        <v>14</v>
      </c>
      <c r="H4325">
             </c>
      <c r="I4325" t="s">
        <v>14</v>
      </c>
      <c r="J4325" t="s">
        <v>141</v>
      </c>
      <c r="K4325" t="s">
        <v>14</v>
      </c>
      <c r="L4325" t="s">
        <v>20</v>
      </c>
      <c r="M4325" t="s">
        <v>9001</v>
      </c>
      <c r="N4325" t="s">
        <v>14</v>
      </c>
    </row>
    <row r="4326" x14ac:dyDescent="0.25">
      <c r="A4326" t="n">
        <v>25</v>
      </c>
      <c r="B4326" t="s">
        <v>14</v>
      </c>
      <c r="C4326" t="s">
        <v>22</v>
      </c>
      <c r="D4326" s="2" t="s">
        <f>=HYPERLINK("https://main.knesset.gov.il/APPS/legislation/main/bills/2205787", "הצעת חוק הרשויות המקומיות (מימון בחירות) (תיקון - עידוד התמודדות נשים לראשות רשות מקומית או מועצה אזורית), התשפ""ג-2023")</f>
        <v>8892</v>
      </c>
      <c r="E4326" t="s">
        <v>8892</v>
      </c>
      <c r="F4326" t="s">
        <v>9065</v>
      </c>
      <c r="G4326" t="s">
        <v>14</v>
      </c>
      <c r="H4326">
             </c>
      <c r="I4326" t="s">
        <v>14</v>
      </c>
      <c r="J4326" t="s">
        <v>141</v>
      </c>
      <c r="K4326" t="s">
        <v>14</v>
      </c>
      <c r="L4326" t="s">
        <v>20</v>
      </c>
      <c r="M4326" t="s">
        <v>9001</v>
      </c>
      <c r="N4326" t="s">
        <v>14</v>
      </c>
    </row>
    <row r="4327" x14ac:dyDescent="0.25">
      <c r="A4327" t="n">
        <v>25</v>
      </c>
      <c r="B4327" t="s">
        <v>14</v>
      </c>
      <c r="C4327" t="s">
        <v>22</v>
      </c>
      <c r="D4327" s="2" t="s">
        <f>=HYPERLINK("https://main.knesset.gov.il/APPS/legislation/main/bills/2204099", "הצעת חוק הביטוח הלאומי (תיקון - הקמת מצבה לאדם ערירי), התשפ""ג-2023")</f>
        <v>8368</v>
      </c>
      <c r="E4327" t="s">
        <v>8368</v>
      </c>
      <c r="F4327" t="s">
        <v>9066</v>
      </c>
      <c r="G4327" t="s">
        <v>14</v>
      </c>
      <c r="H4327">
             </c>
      <c r="I4327" t="s">
        <v>14</v>
      </c>
      <c r="J4327" t="s">
        <v>141</v>
      </c>
      <c r="K4327" t="s">
        <v>14</v>
      </c>
      <c r="L4327" t="s">
        <v>20</v>
      </c>
      <c r="M4327" t="s">
        <v>9001</v>
      </c>
      <c r="N4327" t="s">
        <v>14</v>
      </c>
    </row>
    <row r="4328" x14ac:dyDescent="0.25">
      <c r="A4328" t="n">
        <v>25</v>
      </c>
      <c r="B4328" t="s">
        <v>14</v>
      </c>
      <c r="C4328" t="s">
        <v>22</v>
      </c>
      <c r="D4328" s="2" t="s">
        <f>=HYPERLINK("https://main.knesset.gov.il/APPS/legislation/main/bills/2205848", "הצעת חוק המכר (דירות) (תיקון - חובת מסירת תוכניות הדירה לקונה), התשפ""ג-2023")</f>
        <v>9067</v>
      </c>
      <c r="E4328" t="s">
        <v>9067</v>
      </c>
      <c r="F4328" t="s">
        <v>9068</v>
      </c>
      <c r="G4328" t="s">
        <v>14</v>
      </c>
      <c r="H4328">
             </c>
      <c r="I4328" t="s">
        <v>14</v>
      </c>
      <c r="J4328" t="s">
        <v>141</v>
      </c>
      <c r="K4328" t="s">
        <v>14</v>
      </c>
      <c r="L4328" t="s">
        <v>20</v>
      </c>
      <c r="M4328" t="s">
        <v>9001</v>
      </c>
      <c r="N4328" t="s">
        <v>14</v>
      </c>
    </row>
    <row r="4329" x14ac:dyDescent="0.25">
      <c r="A4329" t="n">
        <v>25</v>
      </c>
      <c r="B4329" t="s">
        <v>14</v>
      </c>
      <c r="C4329" t="s">
        <v>22</v>
      </c>
      <c r="D4329" s="2" t="s">
        <f>=HYPERLINK("https://main.knesset.gov.il/APPS/legislation/main/bills/2205844", "הצעת חוק בתי דין רבניים (קיום פסקי דין של גירושין) (תיקון - הגבלת שימוש בכרטיסי אשראי לסרבני גט), התשפ""ג-2023")</f>
        <v>8738</v>
      </c>
      <c r="E4329" t="s">
        <v>8738</v>
      </c>
      <c r="F4329" t="s">
        <v>9069</v>
      </c>
      <c r="G4329" t="s">
        <v>14</v>
      </c>
      <c r="H4329">
             </c>
      <c r="I4329" t="s">
        <v>14</v>
      </c>
      <c r="J4329" t="s">
        <v>141</v>
      </c>
      <c r="K4329" t="s">
        <v>14</v>
      </c>
      <c r="L4329" t="s">
        <v>20</v>
      </c>
      <c r="M4329" t="s">
        <v>9001</v>
      </c>
      <c r="N4329" t="s">
        <v>14</v>
      </c>
    </row>
    <row r="4330" x14ac:dyDescent="0.25">
      <c r="A4330" t="n">
        <v>25</v>
      </c>
      <c r="B4330" t="s">
        <v>14</v>
      </c>
      <c r="C4330" t="s">
        <v>22</v>
      </c>
      <c r="D4330" s="2" t="s">
        <f>=HYPERLINK("https://main.knesset.gov.il/APPS/legislation/main/bills/2205861", "הצעת חוק לתיקון פקודת הסמים המסוכנים (שידול לייבוא או ייצוא חומר הנחשב לסם בחו""ל), התשפ""ג-2023")</f>
        <v>9070</v>
      </c>
      <c r="E4330" t="s">
        <v>9070</v>
      </c>
      <c r="F4330" t="s">
        <v>9071</v>
      </c>
      <c r="G4330" t="s">
        <v>14</v>
      </c>
      <c r="H4330">
             </c>
      <c r="I4330" t="s">
        <v>14</v>
      </c>
      <c r="J4330" t="s">
        <v>141</v>
      </c>
      <c r="K4330" t="s">
        <v>14</v>
      </c>
      <c r="L4330" t="s">
        <v>20</v>
      </c>
      <c r="M4330" t="s">
        <v>9001</v>
      </c>
      <c r="N4330" t="s">
        <v>14</v>
      </c>
    </row>
    <row r="4331" x14ac:dyDescent="0.25">
      <c r="A4331" t="n">
        <v>25</v>
      </c>
      <c r="B4331" t="s">
        <v>14</v>
      </c>
      <c r="C4331" t="s">
        <v>22</v>
      </c>
      <c r="D4331" s="2" t="s">
        <f>=HYPERLINK("https://main.knesset.gov.il/APPS/legislation/main/bills/2205318", "הצעת חוק הפחתת רגולציה (רישום בפנקסי המקרקעין) (תיקוני חקיקה), התשפ""ג-2023")</f>
        <v>9072</v>
      </c>
      <c r="E4331" t="s">
        <v>9072</v>
      </c>
      <c r="F4331" t="s">
        <v>9073</v>
      </c>
      <c r="G4331" t="s">
        <v>14</v>
      </c>
      <c r="H4331">
             </c>
      <c r="I4331" t="s">
        <v>14</v>
      </c>
      <c r="J4331" t="s">
        <v>141</v>
      </c>
      <c r="K4331" t="s">
        <v>14</v>
      </c>
      <c r="L4331" t="s">
        <v>20</v>
      </c>
      <c r="M4331" t="s">
        <v>9001</v>
      </c>
      <c r="N4331" t="s">
        <v>14</v>
      </c>
    </row>
    <row r="4332" x14ac:dyDescent="0.25">
      <c r="A4332" t="n">
        <v>25</v>
      </c>
      <c r="B4332" t="s">
        <v>14</v>
      </c>
      <c r="C4332" t="s">
        <v>22</v>
      </c>
      <c r="D4332" s="2" t="s">
        <f>=HYPERLINK("https://main.knesset.gov.il/APPS/legislation/main/bills/2205296", "הצעת חוק לתיקון פקודת מס הכנסה (יישוב מוטב), התשפ""ג-2023")</f>
        <v>9074</v>
      </c>
      <c r="E4332" t="s">
        <v>9074</v>
      </c>
      <c r="F4332" t="s">
        <v>9075</v>
      </c>
      <c r="G4332" t="s">
        <v>14</v>
      </c>
      <c r="H4332">
             </c>
      <c r="I4332" t="s">
        <v>14</v>
      </c>
      <c r="J4332" t="s">
        <v>141</v>
      </c>
      <c r="K4332" t="s">
        <v>14</v>
      </c>
      <c r="L4332" t="s">
        <v>20</v>
      </c>
      <c r="M4332" t="s">
        <v>9001</v>
      </c>
      <c r="N4332" t="s">
        <v>14</v>
      </c>
    </row>
    <row r="4333" x14ac:dyDescent="0.25">
      <c r="A4333" t="n">
        <v>25</v>
      </c>
      <c r="B4333" t="s">
        <v>14</v>
      </c>
      <c r="C4333" t="s">
        <v>22</v>
      </c>
      <c r="D4333" s="2" t="s">
        <f>=HYPERLINK("https://main.knesset.gov.il/APPS/legislation/main/bills/2204992", "הצעת חוק לתיקון פקודת הקרקעות (רכישה לצורכי ציבור) (מס' 3) (תיקון - קרקע שנרכשה לצורכי ציבור בהרשאה), התשפ""ג-2023")</f>
        <v>9076</v>
      </c>
      <c r="E4333" t="s">
        <v>9076</v>
      </c>
      <c r="F4333" t="s">
        <v>9077</v>
      </c>
      <c r="G4333" t="s">
        <v>14</v>
      </c>
      <c r="H4333">
             </c>
      <c r="I4333" t="s">
        <v>14</v>
      </c>
      <c r="J4333" t="s">
        <v>141</v>
      </c>
      <c r="K4333" t="s">
        <v>14</v>
      </c>
      <c r="L4333" t="s">
        <v>20</v>
      </c>
      <c r="M4333" t="s">
        <v>9001</v>
      </c>
      <c r="N4333" t="s">
        <v>14</v>
      </c>
    </row>
    <row r="4334" x14ac:dyDescent="0.25">
      <c r="A4334" t="n">
        <v>25</v>
      </c>
      <c r="B4334" t="s">
        <v>14</v>
      </c>
      <c r="C4334" t="s">
        <v>22</v>
      </c>
      <c r="D4334" s="2" t="s">
        <f>=HYPERLINK("https://main.knesset.gov.il/APPS/legislation/main/bills/2203963", "הצעת חוק איסור שימוש בתקשורת בביטויים מעודדי אלימות, התשפ""ג-2023")</f>
        <v>9078</v>
      </c>
      <c r="E4334" t="s">
        <v>9078</v>
      </c>
      <c r="F4334" t="s">
        <v>9079</v>
      </c>
      <c r="G4334" t="s">
        <v>14</v>
      </c>
      <c r="H4334">
             </c>
      <c r="I4334" t="s">
        <v>14</v>
      </c>
      <c r="J4334" t="s">
        <v>141</v>
      </c>
      <c r="K4334" t="s">
        <v>14</v>
      </c>
      <c r="L4334" t="s">
        <v>20</v>
      </c>
      <c r="M4334" t="s">
        <v>9001</v>
      </c>
      <c r="N4334" t="s">
        <v>14</v>
      </c>
    </row>
    <row r="4335" x14ac:dyDescent="0.25">
      <c r="A4335" t="n">
        <v>25</v>
      </c>
      <c r="B4335" t="s">
        <v>14</v>
      </c>
      <c r="C4335" t="s">
        <v>22</v>
      </c>
      <c r="D4335" s="2" t="s">
        <f>=HYPERLINK("https://main.knesset.gov.il/APPS/legislation/main/bills/2205842", "הצעת חוק חובת המכרזים (תיקון - עידוד עסקים להעסקת בני החברה הערבית והחרדית), התשפ""ג-2023")</f>
        <v>8174</v>
      </c>
      <c r="E4335" t="s">
        <v>8174</v>
      </c>
      <c r="F4335" t="s">
        <v>9080</v>
      </c>
      <c r="G4335" t="s">
        <v>14</v>
      </c>
      <c r="H4335">
             </c>
      <c r="I4335" t="s">
        <v>14</v>
      </c>
      <c r="J4335" t="s">
        <v>141</v>
      </c>
      <c r="K4335" t="s">
        <v>14</v>
      </c>
      <c r="L4335" t="s">
        <v>20</v>
      </c>
      <c r="M4335" t="s">
        <v>9001</v>
      </c>
      <c r="N4335" t="s">
        <v>14</v>
      </c>
    </row>
    <row r="4336" x14ac:dyDescent="0.25">
      <c r="A4336" t="n">
        <v>25</v>
      </c>
      <c r="B4336" t="s">
        <v>14</v>
      </c>
      <c r="C4336" t="s">
        <v>22</v>
      </c>
      <c r="D4336" s="2" t="s">
        <f>=HYPERLINK("https://main.knesset.gov.il/APPS/legislation/main/bills/2201634", "הצעת חוק חובת לימודי ליבה וביטול מוסדות הפטור (תיקוני חקיקה), התשפ""ג-2023")</f>
        <v>8689</v>
      </c>
      <c r="E4336" t="s">
        <v>8689</v>
      </c>
      <c r="F4336" t="s">
        <v>9081</v>
      </c>
      <c r="G4336" t="s">
        <v>14</v>
      </c>
      <c r="H4336">
             </c>
      <c r="I4336" t="s">
        <v>14</v>
      </c>
      <c r="J4336" t="s">
        <v>55</v>
      </c>
      <c r="K4336" t="s">
        <v>14</v>
      </c>
      <c r="L4336" t="s">
        <v>20</v>
      </c>
      <c r="M4336" t="s">
        <v>9082</v>
      </c>
      <c r="N4336" t="s">
        <v>14</v>
      </c>
    </row>
    <row r="4337" x14ac:dyDescent="0.25">
      <c r="A4337" t="n">
        <v>25</v>
      </c>
      <c r="B4337" t="s">
        <v>14</v>
      </c>
      <c r="C4337" t="s">
        <v>22</v>
      </c>
      <c r="D4337" s="2" t="s">
        <f>=HYPERLINK("https://main.knesset.gov.il/APPS/legislation/main/bills/2200336", "הצעת חוק הכרה ברישיונות מקצועיים על בסיס הנחיות האיחוד האירופי (תיקוני חקיקה), התשפ""ג-2023")</f>
        <v>9083</v>
      </c>
      <c r="E4337" t="s">
        <v>9083</v>
      </c>
      <c r="F4337" t="s">
        <v>9084</v>
      </c>
      <c r="G4337" t="s">
        <v>14</v>
      </c>
      <c r="H4337">
             </c>
      <c r="I4337" t="s">
        <v>14</v>
      </c>
      <c r="J4337" t="s">
        <v>31</v>
      </c>
      <c r="K4337" t="s">
        <v>480</v>
      </c>
      <c r="L4337" t="s">
        <v>20</v>
      </c>
      <c r="M4337" t="s">
        <v>9082</v>
      </c>
      <c r="N4337" t="s">
        <v>14</v>
      </c>
    </row>
    <row r="4338" x14ac:dyDescent="0.25">
      <c r="A4338" t="n">
        <v>25</v>
      </c>
      <c r="B4338" t="s">
        <v>14</v>
      </c>
      <c r="C4338" t="s">
        <v>22</v>
      </c>
      <c r="D4338" s="2" t="s">
        <f>=HYPERLINK("https://main.knesset.gov.il/APPS/legislation/main/bills/2200692", "הצעת חוק הקמת חדרי מיון בשדרות ובקריית שמונה, התשפ""ג-2023")</f>
        <v>8094</v>
      </c>
      <c r="E4338" t="s">
        <v>8094</v>
      </c>
      <c r="F4338" t="s">
        <v>9085</v>
      </c>
      <c r="G4338" t="s">
        <v>14</v>
      </c>
      <c r="H4338">
             </c>
      <c r="I4338" t="s">
        <v>14</v>
      </c>
      <c r="J4338" t="s">
        <v>55</v>
      </c>
      <c r="K4338" t="s">
        <v>14</v>
      </c>
      <c r="L4338" t="s">
        <v>20</v>
      </c>
      <c r="M4338" t="s">
        <v>9082</v>
      </c>
      <c r="N4338" t="s">
        <v>14</v>
      </c>
    </row>
    <row r="4339" x14ac:dyDescent="0.25">
      <c r="A4339" t="n">
        <v>25</v>
      </c>
      <c r="B4339" t="s">
        <v>14</v>
      </c>
      <c r="C4339" t="s">
        <v>22</v>
      </c>
      <c r="D4339" s="2" t="s">
        <f>=HYPERLINK("https://main.knesset.gov.il/APPS/legislation/main/bills/2199044", "הצעת חוק-יסוד: כבוד האדם וחירותו (תיקון - הזכות לשוויון)")</f>
        <v>2676</v>
      </c>
      <c r="E4339" t="s">
        <v>2676</v>
      </c>
      <c r="F4339" t="s">
        <v>9086</v>
      </c>
      <c r="G4339" t="s">
        <v>14</v>
      </c>
      <c r="H4339">
             </c>
      <c r="I4339" t="s">
        <v>14</v>
      </c>
      <c r="J4339" t="s">
        <v>55</v>
      </c>
      <c r="K4339" t="s">
        <v>14</v>
      </c>
      <c r="L4339" t="s">
        <v>20</v>
      </c>
      <c r="M4339" t="s">
        <v>9082</v>
      </c>
      <c r="N4339" t="s">
        <v>14</v>
      </c>
    </row>
    <row r="4340" x14ac:dyDescent="0.25">
      <c r="A4340" t="n">
        <v>25</v>
      </c>
      <c r="B4340" t="s">
        <v>14</v>
      </c>
      <c r="C4340" t="s">
        <v>22</v>
      </c>
      <c r="D4340" s="2" t="s">
        <f>=HYPERLINK("https://main.knesset.gov.il/APPS/legislation/main/bills/2198303", "הצעת חוק שיקים ללא כיסוי (תיקון - הקלות בהגבלת חשבון), התשפ""ג-2023")</f>
        <v>9087</v>
      </c>
      <c r="E4340" t="s">
        <v>9087</v>
      </c>
      <c r="F4340" t="s">
        <v>9088</v>
      </c>
      <c r="G4340" t="s">
        <v>14</v>
      </c>
      <c r="H4340">
             </c>
      <c r="I4340" t="s">
        <v>14</v>
      </c>
      <c r="J4340" t="s">
        <v>31</v>
      </c>
      <c r="K4340" t="s">
        <v>27</v>
      </c>
      <c r="L4340" t="s">
        <v>20</v>
      </c>
      <c r="M4340" t="s">
        <v>9082</v>
      </c>
      <c r="N4340" t="s">
        <v>14</v>
      </c>
    </row>
    <row r="4341" x14ac:dyDescent="0.25">
      <c r="A4341" t="n">
        <v>25</v>
      </c>
      <c r="B4341" t="s">
        <v>14</v>
      </c>
      <c r="C4341" t="s">
        <v>22</v>
      </c>
      <c r="D4341" s="2" t="s">
        <f>=HYPERLINK("https://main.knesset.gov.il/APPS/legislation/main/bills/2198000", "הצעת חוק שיקים ללא כיסוי (תיקון - הקלות בהגבלת חשבון), התשפ""ג-2023")</f>
        <v>9087</v>
      </c>
      <c r="E4341" t="s">
        <v>9087</v>
      </c>
      <c r="F4341" t="s">
        <v>9089</v>
      </c>
      <c r="G4341" t="s">
        <v>14</v>
      </c>
      <c r="H4341">
             </c>
      <c r="I4341" t="s">
        <v>14</v>
      </c>
      <c r="J4341" t="s">
        <v>31</v>
      </c>
      <c r="K4341" t="s">
        <v>27</v>
      </c>
      <c r="L4341" t="s">
        <v>20</v>
      </c>
      <c r="M4341" t="s">
        <v>9082</v>
      </c>
      <c r="N4341" t="s">
        <v>14</v>
      </c>
    </row>
    <row r="4342" x14ac:dyDescent="0.25">
      <c r="A4342" t="n">
        <v>25</v>
      </c>
      <c r="B4342" t="s">
        <v>14</v>
      </c>
      <c r="C4342" t="s">
        <v>22</v>
      </c>
      <c r="D4342" s="2" t="s">
        <f>=HYPERLINK("https://main.knesset.gov.il/APPS/legislation/main/bills/2196966", "הצעת חוק סדר הדין הפלילי (סמכויות אכיפה - מעצרים) (תיקון - מעצר עד תום ההליכים בגין עבירה של החזקת נשק שלא כדין), התשפ""ג-2023")</f>
        <v>9090</v>
      </c>
      <c r="E4342" t="s">
        <v>9090</v>
      </c>
      <c r="F4342" t="s">
        <v>9091</v>
      </c>
      <c r="G4342" t="s">
        <v>14</v>
      </c>
      <c r="H4342">
             </c>
      <c r="I4342" t="s">
        <v>14</v>
      </c>
      <c r="J4342" t="s">
        <v>31</v>
      </c>
      <c r="K4342" t="s">
        <v>27</v>
      </c>
      <c r="L4342" t="s">
        <v>20</v>
      </c>
      <c r="M4342" t="s">
        <v>9082</v>
      </c>
      <c r="N4342" t="s">
        <v>14</v>
      </c>
    </row>
    <row r="4343" x14ac:dyDescent="0.25">
      <c r="A4343" t="n">
        <v>25</v>
      </c>
      <c r="B4343" t="s">
        <v>14</v>
      </c>
      <c r="C4343" t="s">
        <v>22</v>
      </c>
      <c r="D4343" s="2" t="s">
        <f>=HYPERLINK("https://main.knesset.gov.il/APPS/legislation/main/bills/2198169", "הצעת חוק שיקים ללא כיסוי (תיקון - הקלות בהגבלת חשבון), התשפ""ג-2023")</f>
        <v>9087</v>
      </c>
      <c r="E4343" t="s">
        <v>9087</v>
      </c>
      <c r="F4343" t="s">
        <v>9092</v>
      </c>
      <c r="G4343" t="s">
        <v>14</v>
      </c>
      <c r="H4343">
             </c>
      <c r="I4343" t="s">
        <v>14</v>
      </c>
      <c r="J4343" t="s">
        <v>31</v>
      </c>
      <c r="K4343" t="s">
        <v>27</v>
      </c>
      <c r="L4343" t="s">
        <v>20</v>
      </c>
      <c r="M4343" t="s">
        <v>9082</v>
      </c>
      <c r="N4343" t="s">
        <v>14</v>
      </c>
    </row>
    <row r="4344" x14ac:dyDescent="0.25">
      <c r="A4344" t="n">
        <v>25</v>
      </c>
      <c r="B4344" t="s">
        <v>14</v>
      </c>
      <c r="C4344" t="s">
        <v>22</v>
      </c>
      <c r="D4344" s="2" t="s">
        <f>=HYPERLINK("https://main.knesset.gov.il/APPS/legislation/main/bills/2195990", "הצעת חוק-יסוד: כבוד האדם וחירותו (תיקון - שוויון בפני החוק ואיסור הפליה)")</f>
        <v>7220</v>
      </c>
      <c r="E4344" t="s">
        <v>7220</v>
      </c>
      <c r="F4344" t="s">
        <v>9093</v>
      </c>
      <c r="G4344" t="s">
        <v>14</v>
      </c>
      <c r="H4344">
             </c>
      <c r="I4344" t="s">
        <v>14</v>
      </c>
      <c r="J4344" t="s">
        <v>55</v>
      </c>
      <c r="K4344" t="s">
        <v>14</v>
      </c>
      <c r="L4344" t="s">
        <v>20</v>
      </c>
      <c r="M4344" t="s">
        <v>9082</v>
      </c>
      <c r="N4344" t="s">
        <v>14</v>
      </c>
    </row>
    <row r="4345" x14ac:dyDescent="0.25">
      <c r="A4345" t="n">
        <v>25</v>
      </c>
      <c r="B4345" t="s">
        <v>14</v>
      </c>
      <c r="C4345" t="s">
        <v>22</v>
      </c>
      <c r="D4345" s="2" t="s">
        <f>=HYPERLINK("https://main.knesset.gov.il/APPS/legislation/main/bills/2197190", "הצעת חוק אסדרת שוק הקנאביס לצריכה עצמית, התשפ""ג-2022")</f>
        <v>9094</v>
      </c>
      <c r="E4345" t="s">
        <v>9094</v>
      </c>
      <c r="F4345" t="s">
        <v>9095</v>
      </c>
      <c r="G4345" t="s">
        <v>14</v>
      </c>
      <c r="H4345">
             </c>
      <c r="I4345" t="s">
        <v>14</v>
      </c>
      <c r="J4345" t="s">
        <v>55</v>
      </c>
      <c r="K4345" t="s">
        <v>14</v>
      </c>
      <c r="L4345" t="s">
        <v>20</v>
      </c>
      <c r="M4345" t="s">
        <v>9082</v>
      </c>
      <c r="N4345" t="s">
        <v>14</v>
      </c>
    </row>
    <row r="4346" x14ac:dyDescent="0.25">
      <c r="A4346" t="n">
        <v>25</v>
      </c>
      <c r="B4346" t="s">
        <v>14</v>
      </c>
      <c r="C4346" t="s">
        <v>22</v>
      </c>
      <c r="D4346" s="2" t="s">
        <f>=HYPERLINK("https://main.knesset.gov.il/APPS/legislation/main/bills/2196356", "הצעת חוק אסדרת שוק הקנאביס לצריכה עצמית, התשפ""ג-2022")</f>
        <v>9094</v>
      </c>
      <c r="E4346" t="s">
        <v>9094</v>
      </c>
      <c r="F4346" t="s">
        <v>9096</v>
      </c>
      <c r="G4346" t="s">
        <v>14</v>
      </c>
      <c r="H4346">
             </c>
      <c r="I4346" t="s">
        <v>14</v>
      </c>
      <c r="J4346" t="s">
        <v>55</v>
      </c>
      <c r="K4346" t="s">
        <v>14</v>
      </c>
      <c r="L4346" t="s">
        <v>20</v>
      </c>
      <c r="M4346" t="s">
        <v>9082</v>
      </c>
      <c r="N4346" t="s">
        <v>14</v>
      </c>
    </row>
    <row r="4347" x14ac:dyDescent="0.25">
      <c r="A4347" t="n">
        <v>25</v>
      </c>
      <c r="B4347" t="s">
        <v>14</v>
      </c>
      <c r="C4347" t="s">
        <v>22</v>
      </c>
      <c r="D4347" s="2" t="s">
        <f>=HYPERLINK("https://main.knesset.gov.il/APPS/legislation/main/bills/2201735", "הצעת חוק הספורט (תיקון – הסדרת העיסוק באימון ספורט), התשפ""ג–2023")</f>
        <v>9097</v>
      </c>
      <c r="E4347" t="s">
        <v>9097</v>
      </c>
      <c r="F4347" t="s">
        <v>9098</v>
      </c>
      <c r="G4347" t="s">
        <v>14</v>
      </c>
      <c r="H4347">
             </c>
      <c r="I4347" t="s">
        <v>14</v>
      </c>
      <c r="J4347" t="s">
        <v>99</v>
      </c>
      <c r="K4347" t="s">
        <v>34</v>
      </c>
      <c r="L4347" t="s">
        <v>20</v>
      </c>
      <c r="M4347" t="s">
        <v>9099</v>
      </c>
      <c r="N4347" t="s">
        <v>14</v>
      </c>
    </row>
    <row r="4348" x14ac:dyDescent="0.25">
      <c r="A4348" t="n">
        <v>25</v>
      </c>
      <c r="B4348" t="s">
        <v>14</v>
      </c>
      <c r="C4348" t="s">
        <v>22</v>
      </c>
      <c r="D4348" s="2" t="s">
        <f>=HYPERLINK("https://main.knesset.gov.il/APPS/legislation/main/bills/2198814", "הצעת חוק הספורט (תיקון - הסדרת העיסוק באימון ספורט), התשפ""ג–2023")</f>
        <v>9100</v>
      </c>
      <c r="E4348" t="s">
        <v>9100</v>
      </c>
      <c r="F4348" t="s">
        <v>9101</v>
      </c>
      <c r="G4348" t="s">
        <v>14</v>
      </c>
      <c r="H4348">
             </c>
      <c r="I4348" t="s">
        <v>14</v>
      </c>
      <c r="J4348" t="s">
        <v>99</v>
      </c>
      <c r="K4348" t="s">
        <v>34</v>
      </c>
      <c r="L4348" t="s">
        <v>20</v>
      </c>
      <c r="M4348" t="s">
        <v>9099</v>
      </c>
      <c r="N4348" t="s">
        <v>14</v>
      </c>
    </row>
    <row r="4349" x14ac:dyDescent="0.25">
      <c r="A4349" t="n">
        <v>25</v>
      </c>
      <c r="B4349" t="s">
        <v>14</v>
      </c>
      <c r="C4349" t="s">
        <v>22</v>
      </c>
      <c r="D4349" s="2" t="s">
        <f>=HYPERLINK("https://main.knesset.gov.il/APPS/legislation/main/bills/2196149", "חוק המקרקעין (תיקון מס' 36), התשפ""ג–2023")</f>
        <v>9102</v>
      </c>
      <c r="E4349" t="s">
        <v>9102</v>
      </c>
      <c r="F4349" t="s">
        <v>9103</v>
      </c>
      <c r="G4349" t="s">
        <v>9104</v>
      </c>
      <c r="H4349" t="n">
        <v>3047</v>
      </c>
      <c r="I4349" t="s">
        <v>14</v>
      </c>
      <c r="J4349" t="s">
        <v>91</v>
      </c>
      <c r="K4349" t="s">
        <v>46</v>
      </c>
      <c r="L4349" t="s">
        <v>20</v>
      </c>
      <c r="M4349" t="s">
        <v>9099</v>
      </c>
      <c r="N4349" t="s">
        <v>9105</v>
      </c>
    </row>
    <row r="4350" x14ac:dyDescent="0.25">
      <c r="A4350" t="n">
        <v>25</v>
      </c>
      <c r="B4350" t="s">
        <v>14</v>
      </c>
      <c r="C4350" t="s">
        <v>22</v>
      </c>
      <c r="D4350" s="2" t="s">
        <f>=HYPERLINK("https://main.knesset.gov.il/APPS/legislation/main/bills/2203345", "הצעת חוק שירות המדינה (מינויים) (תיקון - איסור העסקת תומכי טרור בשירות המדינה), התשפ""ג-2023")</f>
        <v>9106</v>
      </c>
      <c r="E4350" t="s">
        <v>9106</v>
      </c>
      <c r="F4350" t="s">
        <v>9107</v>
      </c>
      <c r="G4350" t="s">
        <v>14</v>
      </c>
      <c r="H4350">
             </c>
      <c r="I4350" t="s">
        <v>14</v>
      </c>
      <c r="J4350" t="s">
        <v>141</v>
      </c>
      <c r="K4350" t="s">
        <v>14</v>
      </c>
      <c r="L4350" t="s">
        <v>20</v>
      </c>
      <c r="M4350" t="s">
        <v>9099</v>
      </c>
      <c r="N4350" t="s">
        <v>14</v>
      </c>
    </row>
    <row r="4351" x14ac:dyDescent="0.25">
      <c r="A4351" t="n">
        <v>25</v>
      </c>
      <c r="B4351" t="s">
        <v>14</v>
      </c>
      <c r="C4351" t="s">
        <v>22</v>
      </c>
      <c r="D4351" s="2" t="s">
        <f>=HYPERLINK("https://main.knesset.gov.il/APPS/legislation/main/bills/2196031", "הצעת חוק איסור הונאה בכשרות (תיקון - מתן תעודת הכשר על ידי רב מקומי), התשפ""ג-2023")</f>
        <v>9108</v>
      </c>
      <c r="E4351" t="s">
        <v>9108</v>
      </c>
      <c r="F4351" t="s">
        <v>9109</v>
      </c>
      <c r="G4351" t="s">
        <v>14</v>
      </c>
      <c r="H4351">
             </c>
      <c r="I4351" t="s">
        <v>14</v>
      </c>
      <c r="J4351" t="s">
        <v>141</v>
      </c>
      <c r="K4351" t="s">
        <v>14</v>
      </c>
      <c r="L4351" t="s">
        <v>20</v>
      </c>
      <c r="M4351" t="s">
        <v>9099</v>
      </c>
      <c r="N4351" t="s">
        <v>14</v>
      </c>
    </row>
    <row r="4352" x14ac:dyDescent="0.25">
      <c r="A4352" t="n">
        <v>25</v>
      </c>
      <c r="B4352" t="s">
        <v>14</v>
      </c>
      <c r="C4352" t="s">
        <v>22</v>
      </c>
      <c r="D4352" s="2" t="s">
        <f>=HYPERLINK("https://main.knesset.gov.il/APPS/legislation/main/bills/2205141", "הצעת חוק שיקום, פיצוי וסיוע משפטי לנפגעי עבירות מין, התשפ""ג-2023")</f>
        <v>8872</v>
      </c>
      <c r="E4352" t="s">
        <v>8872</v>
      </c>
      <c r="F4352" t="s">
        <v>9110</v>
      </c>
      <c r="G4352" t="s">
        <v>14</v>
      </c>
      <c r="H4352">
             </c>
      <c r="I4352" t="s">
        <v>14</v>
      </c>
      <c r="J4352" t="s">
        <v>141</v>
      </c>
      <c r="K4352" t="s">
        <v>14</v>
      </c>
      <c r="L4352" t="s">
        <v>20</v>
      </c>
      <c r="M4352" t="s">
        <v>9099</v>
      </c>
      <c r="N4352" t="s">
        <v>14</v>
      </c>
    </row>
    <row r="4353" x14ac:dyDescent="0.25">
      <c r="A4353" t="n">
        <v>25</v>
      </c>
      <c r="B4353" t="s">
        <v>14</v>
      </c>
      <c r="C4353" t="s">
        <v>22</v>
      </c>
      <c r="D4353" s="2" t="s">
        <f>=HYPERLINK("https://main.knesset.gov.il/APPS/legislation/main/bills/2198722", "הצעת חוק הבחירות לכנסת (תיקון - הארכת תקופת צינון), התשפ""ג-2023")</f>
        <v>9111</v>
      </c>
      <c r="E4353" t="s">
        <v>9111</v>
      </c>
      <c r="F4353" t="s">
        <v>9112</v>
      </c>
      <c r="G4353" t="s">
        <v>14</v>
      </c>
      <c r="H4353">
             </c>
      <c r="I4353" t="s">
        <v>14</v>
      </c>
      <c r="J4353" t="s">
        <v>141</v>
      </c>
      <c r="K4353" t="s">
        <v>14</v>
      </c>
      <c r="L4353" t="s">
        <v>20</v>
      </c>
      <c r="M4353" t="s">
        <v>9099</v>
      </c>
      <c r="N4353" t="s">
        <v>14</v>
      </c>
    </row>
    <row r="4354" x14ac:dyDescent="0.25">
      <c r="A4354" t="n">
        <v>25</v>
      </c>
      <c r="B4354" t="s">
        <v>14</v>
      </c>
      <c r="C4354" t="s">
        <v>22</v>
      </c>
      <c r="D4354" s="2" t="s">
        <f>=HYPERLINK("https://main.knesset.gov.il/APPS/legislation/main/bills/2203655", "הצעת חוק האזרחים הוותיקים (תיקון - הנחה ברכישת אמצעי לזיהוי מצב חירום רפואי), התשפ""ג-2023")</f>
        <v>8032</v>
      </c>
      <c r="E4354" t="s">
        <v>8032</v>
      </c>
      <c r="F4354" t="s">
        <v>9113</v>
      </c>
      <c r="G4354" t="s">
        <v>14</v>
      </c>
      <c r="H4354">
             </c>
      <c r="I4354" t="s">
        <v>14</v>
      </c>
      <c r="J4354" t="s">
        <v>141</v>
      </c>
      <c r="K4354" t="s">
        <v>14</v>
      </c>
      <c r="L4354" t="s">
        <v>20</v>
      </c>
      <c r="M4354" t="s">
        <v>9099</v>
      </c>
      <c r="N4354" t="s">
        <v>14</v>
      </c>
    </row>
    <row r="4355" x14ac:dyDescent="0.25">
      <c r="A4355" t="n">
        <v>25</v>
      </c>
      <c r="B4355" t="s">
        <v>14</v>
      </c>
      <c r="C4355" t="s">
        <v>22</v>
      </c>
      <c r="D4355" s="2" t="s">
        <f>=HYPERLINK("https://main.knesset.gov.il/APPS/legislation/main/bills/2204708", "הצעת חוק לתיקון פקודת מס הכנסה (החזר בתשלום למעונות יום לאמהות), התשפ""ג-2023")</f>
        <v>9114</v>
      </c>
      <c r="E4355" t="s">
        <v>9114</v>
      </c>
      <c r="F4355" t="s">
        <v>9115</v>
      </c>
      <c r="G4355" t="s">
        <v>14</v>
      </c>
      <c r="H4355">
             </c>
      <c r="I4355" t="s">
        <v>14</v>
      </c>
      <c r="J4355" t="s">
        <v>141</v>
      </c>
      <c r="K4355" t="s">
        <v>14</v>
      </c>
      <c r="L4355" t="s">
        <v>20</v>
      </c>
      <c r="M4355" t="s">
        <v>9099</v>
      </c>
      <c r="N4355" t="s">
        <v>14</v>
      </c>
    </row>
    <row r="4356" x14ac:dyDescent="0.25">
      <c r="A4356" t="n">
        <v>25</v>
      </c>
      <c r="B4356" t="s">
        <v>14</v>
      </c>
      <c r="C4356" t="s">
        <v>22</v>
      </c>
      <c r="D4356" s="2" t="s">
        <f>=HYPERLINK("https://main.knesset.gov.il/APPS/legislation/main/bills/2203911", "הצעת חוק עובדים זרים (תיקון - אגרה מופחתת בסיעוד המוסדי) (הוראת שעה), התשפ""ג-2023")</f>
        <v>8640</v>
      </c>
      <c r="E4356" t="s">
        <v>8640</v>
      </c>
      <c r="F4356" t="s">
        <v>9116</v>
      </c>
      <c r="G4356" t="s">
        <v>14</v>
      </c>
      <c r="H4356">
             </c>
      <c r="I4356" t="s">
        <v>14</v>
      </c>
      <c r="J4356" t="s">
        <v>141</v>
      </c>
      <c r="K4356" t="s">
        <v>14</v>
      </c>
      <c r="L4356" t="s">
        <v>20</v>
      </c>
      <c r="M4356" t="s">
        <v>9099</v>
      </c>
      <c r="N4356" t="s">
        <v>14</v>
      </c>
    </row>
    <row r="4357" x14ac:dyDescent="0.25">
      <c r="A4357" t="n">
        <v>25</v>
      </c>
      <c r="B4357" t="s">
        <v>14</v>
      </c>
      <c r="C4357" t="s">
        <v>22</v>
      </c>
      <c r="D4357" s="2" t="s">
        <f>=HYPERLINK("https://main.knesset.gov.il/APPS/legislation/main/bills/2203885", "הצעת חוק הביטוח הלאומי (תיקון - היוון חלק מגמלת נפגע עבודה לשם תשלום למייצג של עובד זר), התשפ""ג-2023")</f>
        <v>9117</v>
      </c>
      <c r="E4357" t="s">
        <v>9117</v>
      </c>
      <c r="F4357" t="s">
        <v>9118</v>
      </c>
      <c r="G4357" t="s">
        <v>14</v>
      </c>
      <c r="H4357">
             </c>
      <c r="I4357" t="s">
        <v>14</v>
      </c>
      <c r="J4357" t="s">
        <v>141</v>
      </c>
      <c r="K4357" t="s">
        <v>14</v>
      </c>
      <c r="L4357" t="s">
        <v>20</v>
      </c>
      <c r="M4357" t="s">
        <v>9099</v>
      </c>
      <c r="N4357" t="s">
        <v>14</v>
      </c>
    </row>
    <row r="4358" x14ac:dyDescent="0.25">
      <c r="A4358" t="n">
        <v>25</v>
      </c>
      <c r="B4358" t="s">
        <v>14</v>
      </c>
      <c r="C4358" t="s">
        <v>22</v>
      </c>
      <c r="D4358" s="2" t="s">
        <f>=HYPERLINK("https://main.knesset.gov.il/APPS/legislation/main/bills/2203244", "הצעת חוק לתיקון פקודת העיריות (אי-חיוב פעילות בשבת), התשפ""ג-2023")</f>
        <v>9119</v>
      </c>
      <c r="E4358" t="s">
        <v>9119</v>
      </c>
      <c r="F4358" t="s">
        <v>9120</v>
      </c>
      <c r="G4358" t="s">
        <v>14</v>
      </c>
      <c r="H4358">
             </c>
      <c r="I4358" t="s">
        <v>14</v>
      </c>
      <c r="J4358" t="s">
        <v>141</v>
      </c>
      <c r="K4358" t="s">
        <v>14</v>
      </c>
      <c r="L4358" t="s">
        <v>20</v>
      </c>
      <c r="M4358" t="s">
        <v>9099</v>
      </c>
      <c r="N4358" t="s">
        <v>14</v>
      </c>
    </row>
    <row r="4359" x14ac:dyDescent="0.25">
      <c r="A4359" t="n">
        <v>25</v>
      </c>
      <c r="B4359" t="s">
        <v>14</v>
      </c>
      <c r="C4359" t="s">
        <v>22</v>
      </c>
      <c r="D4359" s="2" t="s">
        <f>=HYPERLINK("https://main.knesset.gov.il/APPS/legislation/main/bills/2205342", "הצעת חוק החומרים המסוכנים (תיקון - פרטי התקשרות למרכז רעלים), התשפ""ג-2023 ")</f>
        <v>9121</v>
      </c>
      <c r="E4359" t="s">
        <v>9121</v>
      </c>
      <c r="F4359" t="s">
        <v>9122</v>
      </c>
      <c r="G4359" t="s">
        <v>14</v>
      </c>
      <c r="H4359">
             </c>
      <c r="I4359" t="s">
        <v>14</v>
      </c>
      <c r="J4359" t="s">
        <v>141</v>
      </c>
      <c r="K4359" t="s">
        <v>14</v>
      </c>
      <c r="L4359" t="s">
        <v>20</v>
      </c>
      <c r="M4359" t="s">
        <v>9099</v>
      </c>
      <c r="N4359" t="s">
        <v>14</v>
      </c>
    </row>
    <row r="4360" x14ac:dyDescent="0.25">
      <c r="A4360" t="n">
        <v>25</v>
      </c>
      <c r="B4360" t="s">
        <v>14</v>
      </c>
      <c r="C4360" t="s">
        <v>22</v>
      </c>
      <c r="D4360" s="2" t="s">
        <f>=HYPERLINK("https://main.knesset.gov.il/APPS/legislation/main/bills/2205742", "הצעת חוק העונשין (תיקון - הרחבת הגדרת הגזענות), התשפ""ג-2023")</f>
        <v>8262</v>
      </c>
      <c r="E4360" t="s">
        <v>8262</v>
      </c>
      <c r="F4360" t="s">
        <v>9123</v>
      </c>
      <c r="G4360" t="s">
        <v>14</v>
      </c>
      <c r="H4360">
             </c>
      <c r="I4360" t="s">
        <v>14</v>
      </c>
      <c r="J4360" t="s">
        <v>141</v>
      </c>
      <c r="K4360" t="s">
        <v>14</v>
      </c>
      <c r="L4360" t="s">
        <v>20</v>
      </c>
      <c r="M4360" t="s">
        <v>9099</v>
      </c>
      <c r="N4360" t="s">
        <v>14</v>
      </c>
    </row>
    <row r="4361" x14ac:dyDescent="0.25">
      <c r="A4361" t="n">
        <v>25</v>
      </c>
      <c r="B4361" t="s">
        <v>14</v>
      </c>
      <c r="C4361" t="s">
        <v>22</v>
      </c>
      <c r="D4361" s="2" t="s">
        <f>=HYPERLINK("https://main.knesset.gov.il/APPS/legislation/main/bills/2205737", "הצעת חוק הגנה על זכויות הדורות הבאים, התשפ""ג-2023")</f>
        <v>9124</v>
      </c>
      <c r="E4361" t="s">
        <v>9124</v>
      </c>
      <c r="F4361" t="s">
        <v>9125</v>
      </c>
      <c r="G4361" t="s">
        <v>14</v>
      </c>
      <c r="H4361">
             </c>
      <c r="I4361" t="s">
        <v>14</v>
      </c>
      <c r="J4361" t="s">
        <v>141</v>
      </c>
      <c r="K4361" t="s">
        <v>14</v>
      </c>
      <c r="L4361" t="s">
        <v>20</v>
      </c>
      <c r="M4361" t="s">
        <v>9099</v>
      </c>
      <c r="N4361" t="s">
        <v>14</v>
      </c>
    </row>
    <row r="4362" x14ac:dyDescent="0.25">
      <c r="A4362" t="n">
        <v>25</v>
      </c>
      <c r="B4362" t="s">
        <v>14</v>
      </c>
      <c r="C4362" t="s">
        <v>22</v>
      </c>
      <c r="D4362" s="2" t="s">
        <f>=HYPERLINK("https://main.knesset.gov.il/APPS/legislation/main/bills/2205655", "הצעת חוק העונשין (תיקון - מאסר עולם לאונס קטינים), התשפ""ג-2023")</f>
        <v>9126</v>
      </c>
      <c r="E4362" t="s">
        <v>9126</v>
      </c>
      <c r="F4362" t="s">
        <v>9127</v>
      </c>
      <c r="G4362" t="s">
        <v>14</v>
      </c>
      <c r="H4362">
             </c>
      <c r="I4362" t="s">
        <v>14</v>
      </c>
      <c r="J4362" t="s">
        <v>141</v>
      </c>
      <c r="K4362" t="s">
        <v>14</v>
      </c>
      <c r="L4362" t="s">
        <v>20</v>
      </c>
      <c r="M4362" t="s">
        <v>9099</v>
      </c>
      <c r="N4362" t="s">
        <v>14</v>
      </c>
    </row>
    <row r="4363" x14ac:dyDescent="0.25">
      <c r="A4363" t="n">
        <v>25</v>
      </c>
      <c r="B4363" t="s">
        <v>14</v>
      </c>
      <c r="C4363" t="s">
        <v>22</v>
      </c>
      <c r="D4363" s="2" t="s">
        <f>=HYPERLINK("https://main.knesset.gov.il/APPS/legislation/main/bills/2205142", "הצעת חוק העונשין (תיקון - הגדרת פשע שנאה), התשפ""ג-2023")</f>
        <v>9128</v>
      </c>
      <c r="E4363" t="s">
        <v>9128</v>
      </c>
      <c r="F4363" t="s">
        <v>9129</v>
      </c>
      <c r="G4363" t="s">
        <v>14</v>
      </c>
      <c r="H4363">
             </c>
      <c r="I4363" t="s">
        <v>14</v>
      </c>
      <c r="J4363" t="s">
        <v>141</v>
      </c>
      <c r="K4363" t="s">
        <v>14</v>
      </c>
      <c r="L4363" t="s">
        <v>20</v>
      </c>
      <c r="M4363" t="s">
        <v>9099</v>
      </c>
      <c r="N4363" t="s">
        <v>14</v>
      </c>
    </row>
    <row r="4364" x14ac:dyDescent="0.25">
      <c r="A4364" t="n">
        <v>25</v>
      </c>
      <c r="B4364" t="s">
        <v>14</v>
      </c>
      <c r="C4364" t="s">
        <v>22</v>
      </c>
      <c r="D4364" s="2" t="s">
        <f>=HYPERLINK("https://main.knesset.gov.il/APPS/legislation/main/bills/2203948", "הצעת חוק חופש מהתאגדות (הוראת שעה ותיקוני חקיקה), התשפ""ג-2023")</f>
        <v>9130</v>
      </c>
      <c r="E4364" t="s">
        <v>9130</v>
      </c>
      <c r="F4364" t="s">
        <v>9131</v>
      </c>
      <c r="G4364" t="s">
        <v>14</v>
      </c>
      <c r="H4364">
             </c>
      <c r="I4364" t="s">
        <v>14</v>
      </c>
      <c r="J4364" t="s">
        <v>141</v>
      </c>
      <c r="K4364" t="s">
        <v>14</v>
      </c>
      <c r="L4364" t="s">
        <v>20</v>
      </c>
      <c r="M4364" t="s">
        <v>9099</v>
      </c>
      <c r="N4364" t="s">
        <v>14</v>
      </c>
    </row>
    <row r="4365" x14ac:dyDescent="0.25">
      <c r="A4365" t="n">
        <v>25</v>
      </c>
      <c r="B4365" t="s">
        <v>14</v>
      </c>
      <c r="C4365" t="s">
        <v>22</v>
      </c>
      <c r="D4365" s="2" t="s">
        <f>=HYPERLINK("https://main.knesset.gov.il/APPS/legislation/main/bills/2197216", "הצעת חוק התכנון והבנייה (תיקון - הוספת נציג הקבלנים במועצה הארצית), התשפ""ג-2023")</f>
        <v>9132</v>
      </c>
      <c r="E4365" t="s">
        <v>9132</v>
      </c>
      <c r="F4365" t="s">
        <v>9133</v>
      </c>
      <c r="G4365" t="s">
        <v>14</v>
      </c>
      <c r="H4365">
             </c>
      <c r="I4365" t="s">
        <v>14</v>
      </c>
      <c r="J4365" t="s">
        <v>141</v>
      </c>
      <c r="K4365" t="s">
        <v>14</v>
      </c>
      <c r="L4365" t="s">
        <v>20</v>
      </c>
      <c r="M4365" t="s">
        <v>9099</v>
      </c>
      <c r="N4365" t="s">
        <v>14</v>
      </c>
    </row>
    <row r="4366" x14ac:dyDescent="0.25">
      <c r="A4366" t="n">
        <v>25</v>
      </c>
      <c r="B4366" t="s">
        <v>14</v>
      </c>
      <c r="C4366" t="s">
        <v>22</v>
      </c>
      <c r="D4366" s="2" t="s">
        <f>=HYPERLINK("https://main.knesset.gov.il/APPS/legislation/main/bills/2205472", "הצעת חוק סדר הדין הפלילי (סמכויות אכיפה - מעצרים) (תיקון - שחרור ממעצר באין הכרעת דין), התשפ""ג-2023")</f>
        <v>9134</v>
      </c>
      <c r="E4366" t="s">
        <v>9134</v>
      </c>
      <c r="F4366" t="s">
        <v>9135</v>
      </c>
      <c r="G4366" t="s">
        <v>14</v>
      </c>
      <c r="H4366">
             </c>
      <c r="I4366" t="s">
        <v>14</v>
      </c>
      <c r="J4366" t="s">
        <v>141</v>
      </c>
      <c r="K4366" t="s">
        <v>14</v>
      </c>
      <c r="L4366" t="s">
        <v>20</v>
      </c>
      <c r="M4366" t="s">
        <v>9099</v>
      </c>
      <c r="N4366" t="s">
        <v>14</v>
      </c>
    </row>
    <row r="4367" x14ac:dyDescent="0.25">
      <c r="A4367" t="n">
        <v>25</v>
      </c>
      <c r="B4367" t="s">
        <v>14</v>
      </c>
      <c r="C4367" t="s">
        <v>22</v>
      </c>
      <c r="D4367" s="2" t="s">
        <f>=HYPERLINK("https://main.knesset.gov.il/APPS/legislation/main/bills/2205114", "הצעת חוק שירות המדינה (משמעת) (תיקון - סמכויות השר) ,התשפ""ג-2023")</f>
        <v>9136</v>
      </c>
      <c r="E4367" t="s">
        <v>9136</v>
      </c>
      <c r="F4367" t="s">
        <v>9137</v>
      </c>
      <c r="G4367" t="s">
        <v>14</v>
      </c>
      <c r="H4367">
             </c>
      <c r="I4367" t="s">
        <v>14</v>
      </c>
      <c r="J4367" t="s">
        <v>141</v>
      </c>
      <c r="K4367" t="s">
        <v>14</v>
      </c>
      <c r="L4367" t="s">
        <v>20</v>
      </c>
      <c r="M4367" t="s">
        <v>9099</v>
      </c>
      <c r="N4367" t="s">
        <v>14</v>
      </c>
    </row>
    <row r="4368" x14ac:dyDescent="0.25">
      <c r="A4368" t="n">
        <v>25</v>
      </c>
      <c r="B4368" t="s">
        <v>14</v>
      </c>
      <c r="C4368" t="s">
        <v>22</v>
      </c>
      <c r="D4368" s="2" t="s">
        <f>=HYPERLINK("https://main.knesset.gov.il/APPS/legislation/main/bills/2205474", "הצעת חוק חינוך ממלכתי (תיקון - שלילת השתתפות בתקציב עקב הפליה), התשפ""ג-2023")</f>
        <v>9138</v>
      </c>
      <c r="E4368" t="s">
        <v>9138</v>
      </c>
      <c r="F4368" t="s">
        <v>9139</v>
      </c>
      <c r="G4368" t="s">
        <v>14</v>
      </c>
      <c r="H4368">
             </c>
      <c r="I4368" t="s">
        <v>14</v>
      </c>
      <c r="J4368" t="s">
        <v>343</v>
      </c>
      <c r="K4368" t="s">
        <v>14</v>
      </c>
      <c r="L4368" t="s">
        <v>20</v>
      </c>
      <c r="M4368" t="s">
        <v>9099</v>
      </c>
      <c r="N4368" t="s">
        <v>14</v>
      </c>
    </row>
    <row r="4369" x14ac:dyDescent="0.25">
      <c r="A4369" t="n">
        <v>25</v>
      </c>
      <c r="B4369" t="s">
        <v>14</v>
      </c>
      <c r="C4369" t="s">
        <v>22</v>
      </c>
      <c r="D4369" s="2" t="s">
        <f>=HYPERLINK("https://main.knesset.gov.il/APPS/legislation/main/bills/2205473", "הצעת חוק סדר הדין הפלילי (סמכויות אכיפה - מעצרים) (תיקון - פיצוי בשל מעצר), התשפ""ג-2023")</f>
        <v>9140</v>
      </c>
      <c r="E4369" t="s">
        <v>9140</v>
      </c>
      <c r="F4369" t="s">
        <v>9141</v>
      </c>
      <c r="G4369" t="s">
        <v>14</v>
      </c>
      <c r="H4369">
             </c>
      <c r="I4369" t="s">
        <v>14</v>
      </c>
      <c r="J4369" t="s">
        <v>141</v>
      </c>
      <c r="K4369" t="s">
        <v>14</v>
      </c>
      <c r="L4369" t="s">
        <v>20</v>
      </c>
      <c r="M4369" t="s">
        <v>9099</v>
      </c>
      <c r="N4369" t="s">
        <v>14</v>
      </c>
    </row>
    <row r="4370" x14ac:dyDescent="0.25">
      <c r="A4370" t="n">
        <v>25</v>
      </c>
      <c r="B4370" t="s">
        <v>14</v>
      </c>
      <c r="C4370" t="s">
        <v>22</v>
      </c>
      <c r="D4370" s="2" t="s">
        <f>=HYPERLINK("https://main.knesset.gov.il/APPS/legislation/main/bills/2199948", "הצעת חוק סדר הדין הפלילי (תיקון - הגשת ערעור), התשפ""ג-2023")</f>
        <v>9142</v>
      </c>
      <c r="E4370" t="s">
        <v>9142</v>
      </c>
      <c r="F4370" t="s">
        <v>9143</v>
      </c>
      <c r="G4370" t="s">
        <v>14</v>
      </c>
      <c r="H4370">
             </c>
      <c r="I4370" t="s">
        <v>14</v>
      </c>
      <c r="J4370" t="s">
        <v>141</v>
      </c>
      <c r="K4370" t="s">
        <v>14</v>
      </c>
      <c r="L4370" t="s">
        <v>20</v>
      </c>
      <c r="M4370" t="s">
        <v>9099</v>
      </c>
      <c r="N4370" t="s">
        <v>14</v>
      </c>
    </row>
    <row r="4371" x14ac:dyDescent="0.25">
      <c r="A4371" t="n">
        <v>25</v>
      </c>
      <c r="B4371" t="s">
        <v>14</v>
      </c>
      <c r="C4371" t="s">
        <v>22</v>
      </c>
      <c r="D4371" s="2" t="s">
        <f>=HYPERLINK("https://main.knesset.gov.il/APPS/legislation/main/bills/2205475", "הצעת חוק לתיקון סדרי המינהל (החלטות והנמקות) (תיקון - חובת מתן תשובה במועד), התשפ""ג-2023")</f>
        <v>9144</v>
      </c>
      <c r="E4371" t="s">
        <v>9144</v>
      </c>
      <c r="F4371" t="s">
        <v>9145</v>
      </c>
      <c r="G4371" t="s">
        <v>14</v>
      </c>
      <c r="H4371">
             </c>
      <c r="I4371" t="s">
        <v>14</v>
      </c>
      <c r="J4371" t="s">
        <v>141</v>
      </c>
      <c r="K4371" t="s">
        <v>14</v>
      </c>
      <c r="L4371" t="s">
        <v>20</v>
      </c>
      <c r="M4371" t="s">
        <v>9099</v>
      </c>
      <c r="N4371" t="s">
        <v>14</v>
      </c>
    </row>
    <row r="4372" x14ac:dyDescent="0.25">
      <c r="A4372" t="n">
        <v>25</v>
      </c>
      <c r="B4372" t="s">
        <v>14</v>
      </c>
      <c r="C4372" t="s">
        <v>22</v>
      </c>
      <c r="D4372" s="2" t="s">
        <f>=HYPERLINK("https://main.knesset.gov.il/APPS/legislation/main/bills/2204722", "הצעת חוק הרשויות המקומיות (בחירת ראש הרשות וסגניו וכהונתם) (תיקון - שכר לסגן ראש רשות), התשפ""ג-2023")</f>
        <v>8631</v>
      </c>
      <c r="E4372" t="s">
        <v>8631</v>
      </c>
      <c r="F4372" t="s">
        <v>9146</v>
      </c>
      <c r="G4372" t="s">
        <v>14</v>
      </c>
      <c r="H4372">
             </c>
      <c r="I4372" t="s">
        <v>14</v>
      </c>
      <c r="J4372" t="s">
        <v>141</v>
      </c>
      <c r="K4372" t="s">
        <v>14</v>
      </c>
      <c r="L4372" t="s">
        <v>20</v>
      </c>
      <c r="M4372" t="s">
        <v>9099</v>
      </c>
      <c r="N4372" t="s">
        <v>14</v>
      </c>
    </row>
    <row r="4373" x14ac:dyDescent="0.25">
      <c r="A4373" t="n">
        <v>25</v>
      </c>
      <c r="B4373" t="s">
        <v>14</v>
      </c>
      <c r="C4373" t="s">
        <v>22</v>
      </c>
      <c r="D4373" s="2" t="s">
        <f>=HYPERLINK("https://main.knesset.gov.il/APPS/legislation/main/bills/2205469", "הצעת חוק למניעת אלימות במשפחה (תיקון - פיקוח טכנולוגי להבטחת קיומו של צו הגנה, והערכת מסוכנות - הוראת שעה), התשפ""ג-2023")</f>
        <v>9147</v>
      </c>
      <c r="E4373" t="s">
        <v>9147</v>
      </c>
      <c r="F4373" t="s">
        <v>9148</v>
      </c>
      <c r="G4373" t="s">
        <v>14</v>
      </c>
      <c r="H4373">
             </c>
      <c r="I4373" t="s">
        <v>14</v>
      </c>
      <c r="J4373" t="s">
        <v>141</v>
      </c>
      <c r="K4373" t="s">
        <v>14</v>
      </c>
      <c r="L4373" t="s">
        <v>20</v>
      </c>
      <c r="M4373" t="s">
        <v>9099</v>
      </c>
      <c r="N4373" t="s">
        <v>14</v>
      </c>
    </row>
    <row r="4374" x14ac:dyDescent="0.25">
      <c r="A4374" t="n">
        <v>25</v>
      </c>
      <c r="B4374" t="s">
        <v>14</v>
      </c>
      <c r="C4374" t="s">
        <v>22</v>
      </c>
      <c r="D4374" s="2" t="s">
        <f>=HYPERLINK("https://main.knesset.gov.il/APPS/legislation/main/bills/2203913", "הצעת חוק זכויות הסטודנט (תיקון - זכויות לסטודנטים הלומדים בחוץ לארץ), התשפ""ג-2023")</f>
        <v>9149</v>
      </c>
      <c r="E4374" t="s">
        <v>9149</v>
      </c>
      <c r="F4374" t="s">
        <v>9150</v>
      </c>
      <c r="G4374" t="s">
        <v>14</v>
      </c>
      <c r="H4374">
             </c>
      <c r="I4374" t="s">
        <v>14</v>
      </c>
      <c r="J4374" t="s">
        <v>343</v>
      </c>
      <c r="K4374" t="s">
        <v>14</v>
      </c>
      <c r="L4374" t="s">
        <v>20</v>
      </c>
      <c r="M4374" t="s">
        <v>9099</v>
      </c>
      <c r="N4374" t="s">
        <v>14</v>
      </c>
    </row>
    <row r="4375" x14ac:dyDescent="0.25">
      <c r="A4375" t="n">
        <v>25</v>
      </c>
      <c r="B4375" t="s">
        <v>14</v>
      </c>
      <c r="C4375" t="s">
        <v>22</v>
      </c>
      <c r="D4375" s="2" t="s">
        <f>=HYPERLINK("https://main.knesset.gov.il/APPS/legislation/main/bills/2204582", "הצעת חוק העונשין (תיקון - החמרת ענישה בעבירת הפרת הוראות צו הגנה ובעבירת תקיפת בן זוג), התשפ""ג-2023")</f>
        <v>9151</v>
      </c>
      <c r="E4375" t="s">
        <v>9151</v>
      </c>
      <c r="F4375" t="s">
        <v>9152</v>
      </c>
      <c r="G4375" t="s">
        <v>14</v>
      </c>
      <c r="H4375">
             </c>
      <c r="I4375" t="s">
        <v>14</v>
      </c>
      <c r="J4375" t="s">
        <v>141</v>
      </c>
      <c r="K4375" t="s">
        <v>14</v>
      </c>
      <c r="L4375" t="s">
        <v>20</v>
      </c>
      <c r="M4375" t="s">
        <v>9099</v>
      </c>
      <c r="N4375" t="s">
        <v>14</v>
      </c>
    </row>
    <row r="4376" x14ac:dyDescent="0.25">
      <c r="A4376" t="n">
        <v>25</v>
      </c>
      <c r="B4376" t="s">
        <v>14</v>
      </c>
      <c r="C4376" t="s">
        <v>22</v>
      </c>
      <c r="D4376" s="2" t="s">
        <f>=HYPERLINK("https://main.knesset.gov.il/APPS/legislation/main/bills/2198160", "הצעת חוק שוויון זכויות לאנשים עם מוגבלות (תיקון - קדימות בתור), התשפ""ג-2023")</f>
        <v>9153</v>
      </c>
      <c r="E4376" t="s">
        <v>9153</v>
      </c>
      <c r="F4376" t="s">
        <v>9154</v>
      </c>
      <c r="G4376" t="s">
        <v>14</v>
      </c>
      <c r="H4376">
             </c>
      <c r="I4376" t="s">
        <v>14</v>
      </c>
      <c r="J4376" t="s">
        <v>141</v>
      </c>
      <c r="K4376" t="s">
        <v>14</v>
      </c>
      <c r="L4376" t="s">
        <v>20</v>
      </c>
      <c r="M4376" t="s">
        <v>9099</v>
      </c>
      <c r="N4376" t="s">
        <v>14</v>
      </c>
    </row>
    <row r="4377" x14ac:dyDescent="0.25">
      <c r="A4377" t="n">
        <v>25</v>
      </c>
      <c r="B4377" t="s">
        <v>14</v>
      </c>
      <c r="C4377" t="s">
        <v>22</v>
      </c>
      <c r="D4377" s="2" t="s">
        <f>=HYPERLINK("https://main.knesset.gov.il/APPS/legislation/main/bills/2205077", "הצעת חוק שוויון זכויות לאנשים עם מוגבלות (תיקון - חובת הנגשת אוטובוסים בין-עירוניים), התשפ""ג-2023")</f>
        <v>8372</v>
      </c>
      <c r="E4377" t="s">
        <v>8372</v>
      </c>
      <c r="F4377" t="s">
        <v>9155</v>
      </c>
      <c r="G4377" t="s">
        <v>14</v>
      </c>
      <c r="H4377">
             </c>
      <c r="I4377" t="s">
        <v>14</v>
      </c>
      <c r="J4377" t="s">
        <v>141</v>
      </c>
      <c r="K4377" t="s">
        <v>14</v>
      </c>
      <c r="L4377" t="s">
        <v>20</v>
      </c>
      <c r="M4377" t="s">
        <v>9099</v>
      </c>
      <c r="N4377" t="s">
        <v>14</v>
      </c>
    </row>
    <row r="4378" x14ac:dyDescent="0.25">
      <c r="A4378" t="n">
        <v>25</v>
      </c>
      <c r="B4378" t="s">
        <v>14</v>
      </c>
      <c r="C4378" t="s">
        <v>22</v>
      </c>
      <c r="D4378" s="2" t="s">
        <f>=HYPERLINK("https://main.knesset.gov.il/APPS/legislation/main/bills/2205050", "הצעת חוק מגן דוד אדום (תיקון - פריסת ניידות טיפול נמרץ ברחבי המדינה), התשפ""ג-2023 ")</f>
        <v>8137</v>
      </c>
      <c r="E4378" t="s">
        <v>8137</v>
      </c>
      <c r="F4378" t="s">
        <v>9156</v>
      </c>
      <c r="G4378" t="s">
        <v>14</v>
      </c>
      <c r="H4378">
             </c>
      <c r="I4378" t="s">
        <v>14</v>
      </c>
      <c r="J4378" t="s">
        <v>141</v>
      </c>
      <c r="K4378" t="s">
        <v>14</v>
      </c>
      <c r="L4378" t="s">
        <v>20</v>
      </c>
      <c r="M4378" t="s">
        <v>9099</v>
      </c>
      <c r="N4378" t="s">
        <v>14</v>
      </c>
    </row>
    <row r="4379" x14ac:dyDescent="0.25">
      <c r="A4379" t="n">
        <v>25</v>
      </c>
      <c r="B4379" t="s">
        <v>14</v>
      </c>
      <c r="C4379" t="s">
        <v>22</v>
      </c>
      <c r="D4379" s="2" t="s">
        <f>=HYPERLINK("https://main.knesset.gov.il/APPS/legislation/main/bills/2205546", "הצעת חוק לתיקון פקודת המסים (גבייה) (תנאים למתן כתב הרשאה וצו עיקול), התשפ""ג-2023")</f>
        <v>9157</v>
      </c>
      <c r="E4379" t="s">
        <v>9157</v>
      </c>
      <c r="F4379" t="s">
        <v>9158</v>
      </c>
      <c r="G4379" t="s">
        <v>14</v>
      </c>
      <c r="H4379">
             </c>
      <c r="I4379" t="s">
        <v>14</v>
      </c>
      <c r="J4379" t="s">
        <v>141</v>
      </c>
      <c r="K4379" t="s">
        <v>14</v>
      </c>
      <c r="L4379" t="s">
        <v>20</v>
      </c>
      <c r="M4379" t="s">
        <v>9099</v>
      </c>
      <c r="N4379" t="s">
        <v>14</v>
      </c>
    </row>
    <row r="4380" x14ac:dyDescent="0.25">
      <c r="A4380" t="n">
        <v>25</v>
      </c>
      <c r="B4380" t="s">
        <v>14</v>
      </c>
      <c r="C4380" t="s">
        <v>22</v>
      </c>
      <c r="D4380" s="2" t="s">
        <f>=HYPERLINK("https://main.knesset.gov.il/APPS/legislation/main/bills/2205470", "הצעת חוק הסעד (טיפול באנשים עם מוגבלות שכלית-התפתחותית) (תיקון - דיווח לכנסת לעניין פגיעה באדם עם מוגבלות שכלית-התפתחותית), התשפ""ג-2023")</f>
        <v>8938</v>
      </c>
      <c r="E4380" t="s">
        <v>8938</v>
      </c>
      <c r="F4380" t="s">
        <v>9159</v>
      </c>
      <c r="G4380" t="s">
        <v>14</v>
      </c>
      <c r="H4380">
             </c>
      <c r="I4380" t="s">
        <v>14</v>
      </c>
      <c r="J4380" t="s">
        <v>141</v>
      </c>
      <c r="K4380" t="s">
        <v>14</v>
      </c>
      <c r="L4380" t="s">
        <v>20</v>
      </c>
      <c r="M4380" t="s">
        <v>9099</v>
      </c>
      <c r="N4380" t="s">
        <v>14</v>
      </c>
    </row>
    <row r="4381" x14ac:dyDescent="0.25">
      <c r="A4381" t="n">
        <v>25</v>
      </c>
      <c r="B4381" t="s">
        <v>14</v>
      </c>
      <c r="C4381" t="s">
        <v>22</v>
      </c>
      <c r="D4381" s="2" t="s">
        <f>=HYPERLINK("https://main.knesset.gov.il/APPS/legislation/main/bills/2203824", "הצעת חוק המרכז למורשת יהדות תימן, התשפ""ג-2023")</f>
        <v>9160</v>
      </c>
      <c r="E4381" t="s">
        <v>9160</v>
      </c>
      <c r="F4381" t="s">
        <v>9161</v>
      </c>
      <c r="G4381" t="s">
        <v>14</v>
      </c>
      <c r="H4381">
             </c>
      <c r="I4381" t="s">
        <v>14</v>
      </c>
      <c r="J4381" t="s">
        <v>343</v>
      </c>
      <c r="K4381" t="s">
        <v>14</v>
      </c>
      <c r="L4381" t="s">
        <v>20</v>
      </c>
      <c r="M4381" t="s">
        <v>9099</v>
      </c>
      <c r="N4381" t="s">
        <v>14</v>
      </c>
    </row>
    <row r="4382" x14ac:dyDescent="0.25">
      <c r="A4382" t="n">
        <v>25</v>
      </c>
      <c r="B4382" t="s">
        <v>14</v>
      </c>
      <c r="C4382" t="s">
        <v>22</v>
      </c>
      <c r="D4382" s="2" t="s">
        <f>=HYPERLINK("https://main.knesset.gov.il/APPS/legislation/main/bills/2204435", "הצעת חוק הביטוח הלאומי (תיקון - גמלת סיעוד בכסף בשיעור מלא), התשפ""ג-2023")</f>
        <v>8834</v>
      </c>
      <c r="E4382" t="s">
        <v>8834</v>
      </c>
      <c r="F4382" t="s">
        <v>9162</v>
      </c>
      <c r="G4382" t="s">
        <v>14</v>
      </c>
      <c r="H4382">
             </c>
      <c r="I4382" t="s">
        <v>14</v>
      </c>
      <c r="J4382" t="s">
        <v>141</v>
      </c>
      <c r="K4382" t="s">
        <v>14</v>
      </c>
      <c r="L4382" t="s">
        <v>20</v>
      </c>
      <c r="M4382" t="s">
        <v>9099</v>
      </c>
      <c r="N4382" t="s">
        <v>14</v>
      </c>
    </row>
    <row r="4383" x14ac:dyDescent="0.25">
      <c r="A4383" t="n">
        <v>25</v>
      </c>
      <c r="B4383" t="s">
        <v>14</v>
      </c>
      <c r="C4383" t="s">
        <v>22</v>
      </c>
      <c r="D4383" s="2" t="s">
        <f>=HYPERLINK("https://main.knesset.gov.il/APPS/legislation/main/bills/2204023", "הצעת חוק הבטחת הכנסה (תיקון - הגדלת מענק חימום), התשפ""ג-2023")</f>
        <v>9163</v>
      </c>
      <c r="E4383" t="s">
        <v>9163</v>
      </c>
      <c r="F4383" t="s">
        <v>9164</v>
      </c>
      <c r="G4383" t="s">
        <v>14</v>
      </c>
      <c r="H4383">
             </c>
      <c r="I4383" t="s">
        <v>14</v>
      </c>
      <c r="J4383" t="s">
        <v>141</v>
      </c>
      <c r="K4383" t="s">
        <v>14</v>
      </c>
      <c r="L4383" t="s">
        <v>20</v>
      </c>
      <c r="M4383" t="s">
        <v>9099</v>
      </c>
      <c r="N4383" t="s">
        <v>14</v>
      </c>
    </row>
    <row r="4384" x14ac:dyDescent="0.25">
      <c r="A4384" t="n">
        <v>25</v>
      </c>
      <c r="B4384" t="s">
        <v>14</v>
      </c>
      <c r="C4384" t="s">
        <v>15</v>
      </c>
      <c r="D4384" s="2" t="s">
        <f>=HYPERLINK("https://main.knesset.gov.il/APPS/legislation/main/bills/2205488", "הצעת חוק בתי המשפט (תיקון מס' 106) (שופט עמית), התשפ""ג-2023")</f>
        <v>9165</v>
      </c>
      <c r="E4384" t="s">
        <v>9165</v>
      </c>
      <c r="F4384" t="s">
        <v>14</v>
      </c>
      <c r="G4384" t="s">
        <v>9166</v>
      </c>
      <c r="H4384">
             </c>
      <c r="I4384" t="s">
        <v>14</v>
      </c>
      <c r="J4384" t="s">
        <v>18</v>
      </c>
      <c r="K4384" t="s">
        <v>27</v>
      </c>
      <c r="L4384" t="s">
        <v>20</v>
      </c>
      <c r="M4384" t="s">
        <v>9099</v>
      </c>
      <c r="N4384" t="s">
        <v>14</v>
      </c>
    </row>
    <row r="4385" x14ac:dyDescent="0.25">
      <c r="A4385" t="n">
        <v>25</v>
      </c>
      <c r="B4385" t="s">
        <v>14</v>
      </c>
      <c r="C4385" t="s">
        <v>15</v>
      </c>
      <c r="D4385" s="2" t="s">
        <f>=HYPERLINK("https://main.knesset.gov.il/APPS/legislation/main/bills/2203820", "חוק התקציב לשנת הכספים 2024, התשפ""ג-2023")</f>
        <v>9167</v>
      </c>
      <c r="E4385" t="s">
        <v>9167</v>
      </c>
      <c r="F4385" t="s">
        <v>14</v>
      </c>
      <c r="G4385" t="s">
        <v>9168</v>
      </c>
      <c r="H4385" t="n">
        <v>3088</v>
      </c>
      <c r="I4385" t="s">
        <v>14</v>
      </c>
      <c r="J4385" t="s">
        <v>91</v>
      </c>
      <c r="K4385" t="s">
        <v>85</v>
      </c>
      <c r="L4385" t="s">
        <v>20</v>
      </c>
      <c r="M4385" t="s">
        <v>9169</v>
      </c>
      <c r="N4385" t="s">
        <v>9170</v>
      </c>
    </row>
    <row r="4386" x14ac:dyDescent="0.25">
      <c r="A4386" t="n">
        <v>25</v>
      </c>
      <c r="B4386" t="s">
        <v>14</v>
      </c>
      <c r="C4386" t="s">
        <v>15</v>
      </c>
      <c r="D4386" s="2" t="s">
        <f>=HYPERLINK("https://main.knesset.gov.il/APPS/legislation/main/bills/2203819", "חוק התקציב לשנת הכספים 2023, התשפ""ג-2023")</f>
        <v>9171</v>
      </c>
      <c r="E4386" t="s">
        <v>9171</v>
      </c>
      <c r="F4386" t="s">
        <v>14</v>
      </c>
      <c r="G4386" t="s">
        <v>9172</v>
      </c>
      <c r="H4386" t="n">
        <v>3054</v>
      </c>
      <c r="I4386" t="s">
        <v>14</v>
      </c>
      <c r="J4386" t="s">
        <v>91</v>
      </c>
      <c r="K4386" t="s">
        <v>85</v>
      </c>
      <c r="L4386" t="s">
        <v>20</v>
      </c>
      <c r="M4386" t="s">
        <v>9169</v>
      </c>
      <c r="N4386" t="s">
        <v>9173</v>
      </c>
    </row>
    <row r="4387" x14ac:dyDescent="0.25">
      <c r="A4387" t="n">
        <v>25</v>
      </c>
      <c r="B4387" t="s">
        <v>14</v>
      </c>
      <c r="C4387" t="s">
        <v>15</v>
      </c>
      <c r="D4387" s="2" t="s">
        <f>=HYPERLINK("https://main.knesset.gov.il/APPS/legislation/main/bills/2203821", "חוק התוכנית הכלכלית (תיקוני חקיקה ליישום המדיניות הכלכלית לשנות התקציב 2023 ו-2024), התשפ""ג-2023")</f>
        <v>9174</v>
      </c>
      <c r="E4387" t="s">
        <v>9174</v>
      </c>
      <c r="F4387" t="s">
        <v>14</v>
      </c>
      <c r="G4387" t="s">
        <v>110</v>
      </c>
      <c r="H4387" t="n">
        <v>3046</v>
      </c>
      <c r="I4387" t="s">
        <v>14</v>
      </c>
      <c r="J4387" t="s">
        <v>91</v>
      </c>
      <c r="K4387" t="s">
        <v>85</v>
      </c>
      <c r="L4387" t="s">
        <v>20</v>
      </c>
      <c r="M4387" t="s">
        <v>9169</v>
      </c>
      <c r="N4387" t="s">
        <v>9175</v>
      </c>
    </row>
    <row r="4388" x14ac:dyDescent="0.25">
      <c r="A4388" t="n">
        <v>25</v>
      </c>
      <c r="B4388" t="s">
        <v>14</v>
      </c>
      <c r="C4388" t="s">
        <v>15</v>
      </c>
      <c r="D4388" s="2" t="s">
        <f>=HYPERLINK("https://main.knesset.gov.il/APPS/legislation/main/bills/2203828", "חוק הפחתת הגירעון והגבלת ההוצאה התקציבית (תיקון מס' 23 - הוראת שעה), התשפ""ג-2023 ")</f>
        <v>9176</v>
      </c>
      <c r="E4388" t="s">
        <v>9176</v>
      </c>
      <c r="F4388" t="s">
        <v>14</v>
      </c>
      <c r="G4388" t="s">
        <v>110</v>
      </c>
      <c r="H4388" t="n">
        <v>3044</v>
      </c>
      <c r="I4388" t="s">
        <v>14</v>
      </c>
      <c r="J4388" t="s">
        <v>91</v>
      </c>
      <c r="K4388" t="s">
        <v>85</v>
      </c>
      <c r="L4388" t="s">
        <v>20</v>
      </c>
      <c r="M4388" t="s">
        <v>9169</v>
      </c>
      <c r="N4388" t="s">
        <v>9177</v>
      </c>
    </row>
    <row r="4389" x14ac:dyDescent="0.25">
      <c r="A4389" t="n">
        <v>25</v>
      </c>
      <c r="B4389" t="s">
        <v>14</v>
      </c>
      <c r="C4389" t="s">
        <v>15</v>
      </c>
      <c r="D4389" s="2" t="s">
        <f>=HYPERLINK("https://main.knesset.gov.il/APPS/legislation/main/bills/2203823", "חוק ההתאמות הפיסקליות, התשפ""ג-2023")</f>
        <v>9178</v>
      </c>
      <c r="E4389" t="s">
        <v>9178</v>
      </c>
      <c r="F4389" t="s">
        <v>14</v>
      </c>
      <c r="G4389" t="s">
        <v>9179</v>
      </c>
      <c r="H4389" t="n">
        <v>3043</v>
      </c>
      <c r="I4389" t="s">
        <v>14</v>
      </c>
      <c r="J4389" t="s">
        <v>91</v>
      </c>
      <c r="K4389" t="s">
        <v>85</v>
      </c>
      <c r="L4389" t="s">
        <v>20</v>
      </c>
      <c r="M4389" t="s">
        <v>9169</v>
      </c>
      <c r="N4389" t="s">
        <v>9180</v>
      </c>
    </row>
    <row r="4390" x14ac:dyDescent="0.25">
      <c r="A4390" t="n">
        <v>25</v>
      </c>
      <c r="B4390" t="s">
        <v>14</v>
      </c>
      <c r="C4390" t="s">
        <v>15</v>
      </c>
      <c r="D4390" s="2" t="s">
        <f>=HYPERLINK("https://main.knesset.gov.il/APPS/legislation/main/bills/2203822", "חוק-יסוד: משק המדינה (תיקון מס' 13)")</f>
        <v>9181</v>
      </c>
      <c r="E4390" t="s">
        <v>9181</v>
      </c>
      <c r="F4390" t="s">
        <v>14</v>
      </c>
      <c r="G4390" t="s">
        <v>9182</v>
      </c>
      <c r="H4390" t="n">
        <v>3042</v>
      </c>
      <c r="I4390" t="s">
        <v>14</v>
      </c>
      <c r="J4390" t="s">
        <v>91</v>
      </c>
      <c r="K4390" t="s">
        <v>85</v>
      </c>
      <c r="L4390" t="s">
        <v>20</v>
      </c>
      <c r="M4390" t="s">
        <v>9169</v>
      </c>
      <c r="N4390" t="s">
        <v>9183</v>
      </c>
    </row>
    <row r="4391" x14ac:dyDescent="0.25">
      <c r="A4391" t="n">
        <v>25</v>
      </c>
      <c r="B4391" t="s">
        <v>14</v>
      </c>
      <c r="C4391" t="s">
        <v>15</v>
      </c>
      <c r="D4391" s="2" t="s">
        <f>=HYPERLINK("https://main.knesset.gov.il/APPS/legislation/main/bills/2204187", "פרק כ""ב (תכנון ובנייה) מתוך הצעת חוק התכנית הכלכלית (תיקוני חקיקה ליישום המדיניות הכלכלית לשנות התקציב 2023 ו-2024), התשפ""ג-2023")</f>
        <v>9184</v>
      </c>
      <c r="E4391" t="s">
        <v>9184</v>
      </c>
      <c r="F4391" t="s">
        <v>14</v>
      </c>
      <c r="G4391" t="s">
        <v>110</v>
      </c>
      <c r="H4391">
             </c>
      <c r="I4391" t="s">
        <v>14</v>
      </c>
      <c r="J4391" t="s">
        <v>99</v>
      </c>
      <c r="K4391" t="s">
        <v>121</v>
      </c>
      <c r="L4391" t="s">
        <v>20</v>
      </c>
      <c r="M4391" t="s">
        <v>9185</v>
      </c>
      <c r="N4391" t="s">
        <v>14</v>
      </c>
    </row>
    <row r="4392" x14ac:dyDescent="0.25">
      <c r="A4392" t="n">
        <v>25</v>
      </c>
      <c r="B4392" t="s">
        <v>14</v>
      </c>
      <c r="C4392" t="s">
        <v>22</v>
      </c>
      <c r="D4392" s="2" t="s">
        <f>=HYPERLINK("https://main.knesset.gov.il/APPS/legislation/main/bills/2201179", "הצעת חוק התקנת מצלמות לשם הגנה על פעוטות במעונות יום לפעוטות (תיקון - הרחבת הגישה לצילומים), התשפ""ג-2023 ")</f>
        <v>8852</v>
      </c>
      <c r="E4392" t="s">
        <v>8852</v>
      </c>
      <c r="F4392" t="s">
        <v>9186</v>
      </c>
      <c r="G4392" t="s">
        <v>14</v>
      </c>
      <c r="H4392">
             </c>
      <c r="I4392" t="s">
        <v>14</v>
      </c>
      <c r="J4392" t="s">
        <v>55</v>
      </c>
      <c r="K4392" t="s">
        <v>14</v>
      </c>
      <c r="L4392" t="s">
        <v>20</v>
      </c>
      <c r="M4392" t="s">
        <v>9185</v>
      </c>
      <c r="N4392" t="s">
        <v>14</v>
      </c>
    </row>
    <row r="4393" x14ac:dyDescent="0.25">
      <c r="A4393" t="n">
        <v>25</v>
      </c>
      <c r="B4393" t="s">
        <v>14</v>
      </c>
      <c r="C4393" t="s">
        <v>22</v>
      </c>
      <c r="D4393" s="2" t="s">
        <f>=HYPERLINK("https://main.knesset.gov.il/APPS/legislation/main/bills/2200888", "הצעת חוק שירות חובה לכל, התשפ""ג-2023")</f>
        <v>9187</v>
      </c>
      <c r="E4393" t="s">
        <v>9187</v>
      </c>
      <c r="F4393" t="s">
        <v>9188</v>
      </c>
      <c r="G4393" t="s">
        <v>14</v>
      </c>
      <c r="H4393">
             </c>
      <c r="I4393" t="s">
        <v>14</v>
      </c>
      <c r="J4393" t="s">
        <v>55</v>
      </c>
      <c r="K4393" t="s">
        <v>14</v>
      </c>
      <c r="L4393" t="s">
        <v>20</v>
      </c>
      <c r="M4393" t="s">
        <v>9185</v>
      </c>
      <c r="N4393" t="s">
        <v>14</v>
      </c>
    </row>
    <row r="4394" x14ac:dyDescent="0.25">
      <c r="A4394" t="n">
        <v>25</v>
      </c>
      <c r="B4394" t="s">
        <v>14</v>
      </c>
      <c r="C4394" t="s">
        <v>22</v>
      </c>
      <c r="D4394" s="2" t="s">
        <f>=HYPERLINK("https://main.knesset.gov.il/APPS/legislation/main/bills/2200887", "הצעת חוק הכשרות המשפטית והאפוטרופסות (תיקון - שלילת האפוטרופסות הטבעית עבור נאשמים ומורשעים בעבירות אלימות במשפחה), התשפ""ג-2023")</f>
        <v>9053</v>
      </c>
      <c r="E4394" t="s">
        <v>9053</v>
      </c>
      <c r="F4394" t="s">
        <v>9189</v>
      </c>
      <c r="G4394" t="s">
        <v>14</v>
      </c>
      <c r="H4394">
             </c>
      <c r="I4394" t="s">
        <v>14</v>
      </c>
      <c r="J4394" t="s">
        <v>55</v>
      </c>
      <c r="K4394" t="s">
        <v>14</v>
      </c>
      <c r="L4394" t="s">
        <v>20</v>
      </c>
      <c r="M4394" t="s">
        <v>9185</v>
      </c>
      <c r="N4394" t="s">
        <v>14</v>
      </c>
    </row>
    <row r="4395" x14ac:dyDescent="0.25">
      <c r="A4395" t="n">
        <v>25</v>
      </c>
      <c r="B4395" t="s">
        <v>14</v>
      </c>
      <c r="C4395" t="s">
        <v>22</v>
      </c>
      <c r="D4395" s="2" t="s">
        <f>=HYPERLINK("https://main.knesset.gov.il/APPS/legislation/main/bills/2199524", "הצעת חוק הבטחת הכנסה (תיקון - זכויות נשים ששהו במקלט לנשים מוכות), התשפ""ג-2023")</f>
        <v>9190</v>
      </c>
      <c r="E4395" t="s">
        <v>9190</v>
      </c>
      <c r="F4395" t="s">
        <v>9191</v>
      </c>
      <c r="G4395" t="s">
        <v>14</v>
      </c>
      <c r="H4395">
             </c>
      <c r="I4395" t="s">
        <v>14</v>
      </c>
      <c r="J4395" t="s">
        <v>343</v>
      </c>
      <c r="K4395" t="s">
        <v>14</v>
      </c>
      <c r="L4395" t="s">
        <v>20</v>
      </c>
      <c r="M4395" t="s">
        <v>9185</v>
      </c>
      <c r="N4395" t="s">
        <v>14</v>
      </c>
    </row>
    <row r="4396" x14ac:dyDescent="0.25">
      <c r="A4396" t="n">
        <v>25</v>
      </c>
      <c r="B4396" t="s">
        <v>14</v>
      </c>
      <c r="C4396" t="s">
        <v>22</v>
      </c>
      <c r="D4396" s="2" t="s">
        <f>=HYPERLINK("https://main.knesset.gov.il/APPS/legislation/main/bills/2199323", "הצעת חוק שמירת הניקיון (תיקון - איסור הנחת דברי פרסומת בתיבות דואר ופיצויים לדוגמה), התשפ""ג-2023")</f>
        <v>9192</v>
      </c>
      <c r="E4396" t="s">
        <v>9192</v>
      </c>
      <c r="F4396" t="s">
        <v>9193</v>
      </c>
      <c r="G4396" t="s">
        <v>14</v>
      </c>
      <c r="H4396">
             </c>
      <c r="I4396" t="s">
        <v>14</v>
      </c>
      <c r="J4396" t="s">
        <v>55</v>
      </c>
      <c r="K4396" t="s">
        <v>14</v>
      </c>
      <c r="L4396" t="s">
        <v>20</v>
      </c>
      <c r="M4396" t="s">
        <v>9185</v>
      </c>
      <c r="N4396" t="s">
        <v>14</v>
      </c>
    </row>
    <row r="4397" x14ac:dyDescent="0.25">
      <c r="A4397" t="n">
        <v>25</v>
      </c>
      <c r="B4397" t="s">
        <v>14</v>
      </c>
      <c r="C4397" t="s">
        <v>22</v>
      </c>
      <c r="D4397" s="2" t="s">
        <f>=HYPERLINK("https://main.knesset.gov.il/APPS/legislation/main/bills/2200095", "הצעת חוק לתיקון פקודת העדה הדתית (המרה) (גיור על ידי רב עיר), התשפ""ג-2023")</f>
        <v>9194</v>
      </c>
      <c r="E4397" t="s">
        <v>9194</v>
      </c>
      <c r="F4397" t="s">
        <v>9195</v>
      </c>
      <c r="G4397" t="s">
        <v>14</v>
      </c>
      <c r="H4397">
             </c>
      <c r="I4397" t="s">
        <v>14</v>
      </c>
      <c r="J4397" t="s">
        <v>55</v>
      </c>
      <c r="K4397" t="s">
        <v>14</v>
      </c>
      <c r="L4397" t="s">
        <v>20</v>
      </c>
      <c r="M4397" t="s">
        <v>9185</v>
      </c>
      <c r="N4397" t="s">
        <v>14</v>
      </c>
    </row>
    <row r="4398" x14ac:dyDescent="0.25">
      <c r="A4398" t="n">
        <v>25</v>
      </c>
      <c r="B4398" t="s">
        <v>14</v>
      </c>
      <c r="C4398" t="s">
        <v>22</v>
      </c>
      <c r="D4398" s="2" t="s">
        <f>=HYPERLINK("https://main.knesset.gov.il/APPS/legislation/main/bills/2198297", "הצעת חוק זאב ז'בוטינסקי (ציון זכרו ופועלו) (תיקון - הגדלת תקציב הפעילות ומימון המכון), התשפ""ג-2023")</f>
        <v>9196</v>
      </c>
      <c r="E4398" t="s">
        <v>9196</v>
      </c>
      <c r="F4398" t="s">
        <v>9197</v>
      </c>
      <c r="G4398" t="s">
        <v>14</v>
      </c>
      <c r="H4398">
             </c>
      <c r="I4398" t="s">
        <v>14</v>
      </c>
      <c r="J4398" t="s">
        <v>31</v>
      </c>
      <c r="K4398" t="s">
        <v>34</v>
      </c>
      <c r="L4398" t="s">
        <v>20</v>
      </c>
      <c r="M4398" t="s">
        <v>9185</v>
      </c>
      <c r="N4398" t="s">
        <v>14</v>
      </c>
    </row>
    <row r="4399" x14ac:dyDescent="0.25">
      <c r="A4399" t="n">
        <v>25</v>
      </c>
      <c r="B4399" t="s">
        <v>14</v>
      </c>
      <c r="C4399" t="s">
        <v>22</v>
      </c>
      <c r="D4399" s="2" t="s">
        <f>=HYPERLINK("https://main.knesset.gov.il/APPS/legislation/main/bills/2197882", "הצעת חוק החברות (תיקון - פרסום דוחות כספיים של מונופול), התשפ""ג-2022")</f>
        <v>9198</v>
      </c>
      <c r="E4399" t="s">
        <v>9198</v>
      </c>
      <c r="F4399" t="s">
        <v>9199</v>
      </c>
      <c r="G4399" t="s">
        <v>14</v>
      </c>
      <c r="H4399">
             </c>
      <c r="I4399" t="s">
        <v>14</v>
      </c>
      <c r="J4399" t="s">
        <v>55</v>
      </c>
      <c r="K4399" t="s">
        <v>14</v>
      </c>
      <c r="L4399" t="s">
        <v>20</v>
      </c>
      <c r="M4399" t="s">
        <v>9185</v>
      </c>
      <c r="N4399" t="s">
        <v>14</v>
      </c>
    </row>
    <row r="4400" x14ac:dyDescent="0.25">
      <c r="A4400" t="n">
        <v>25</v>
      </c>
      <c r="B4400" t="s">
        <v>14</v>
      </c>
      <c r="C4400" t="s">
        <v>22</v>
      </c>
      <c r="D4400" s="2" t="s">
        <f>=HYPERLINK("https://main.knesset.gov.il/APPS/legislation/main/bills/2197669", "הצעת חוק שמירת הסביבה החופית (בחינה ועדכון של תוכניות), התשפ""ג-2022")</f>
        <v>9200</v>
      </c>
      <c r="E4400" t="s">
        <v>9200</v>
      </c>
      <c r="F4400" t="s">
        <v>9201</v>
      </c>
      <c r="G4400" t="s">
        <v>14</v>
      </c>
      <c r="H4400">
             </c>
      <c r="I4400" t="s">
        <v>14</v>
      </c>
      <c r="J4400" t="s">
        <v>60</v>
      </c>
      <c r="K4400" t="s">
        <v>14</v>
      </c>
      <c r="L4400" t="s">
        <v>20</v>
      </c>
      <c r="M4400" t="s">
        <v>9185</v>
      </c>
      <c r="N4400" t="s">
        <v>14</v>
      </c>
    </row>
    <row r="4401" x14ac:dyDescent="0.25">
      <c r="A4401" t="n">
        <v>25</v>
      </c>
      <c r="B4401" t="s">
        <v>14</v>
      </c>
      <c r="C4401" t="s">
        <v>22</v>
      </c>
      <c r="D4401" s="2" t="s">
        <f>=HYPERLINK("https://main.knesset.gov.il/APPS/legislation/main/bills/2196939", "הצעת חוק העונשין (תיקון - איסור הנפת דגל של ישות עוינת), התשפ""ג-2022")</f>
        <v>9202</v>
      </c>
      <c r="E4401" t="s">
        <v>9202</v>
      </c>
      <c r="F4401" t="s">
        <v>9203</v>
      </c>
      <c r="G4401" t="s">
        <v>14</v>
      </c>
      <c r="H4401">
             </c>
      <c r="I4401" t="s">
        <v>14</v>
      </c>
      <c r="J4401" t="s">
        <v>31</v>
      </c>
      <c r="K4401" t="s">
        <v>27</v>
      </c>
      <c r="L4401" t="s">
        <v>20</v>
      </c>
      <c r="M4401" t="s">
        <v>9185</v>
      </c>
      <c r="N4401" t="s">
        <v>14</v>
      </c>
    </row>
    <row r="4402" x14ac:dyDescent="0.25">
      <c r="A4402" t="n">
        <v>25</v>
      </c>
      <c r="B4402" t="s">
        <v>14</v>
      </c>
      <c r="C4402" t="s">
        <v>15</v>
      </c>
      <c r="D4402" s="2" t="s">
        <f>=HYPERLINK("https://main.knesset.gov.il/APPS/legislation/main/bills/2204174", "פרק י""ט (בריאות), רק סעיפים 75-73 (בעניין כפל ביטוחי בריאות) מתוך הצעת חוק התכנית הכלכלית (תיקוני חקיקה ליישום המדיניות הכלכלית לשנות התקציב 2023 ו-2024), התשפ""ג-2023")</f>
        <v>9204</v>
      </c>
      <c r="E4402" t="s">
        <v>9204</v>
      </c>
      <c r="F4402" t="s">
        <v>14</v>
      </c>
      <c r="G4402" t="s">
        <v>110</v>
      </c>
      <c r="H4402">
             </c>
      <c r="I4402" t="s">
        <v>14</v>
      </c>
      <c r="J4402" t="s">
        <v>99</v>
      </c>
      <c r="K4402" t="s">
        <v>121</v>
      </c>
      <c r="L4402" t="s">
        <v>20</v>
      </c>
      <c r="M4402" t="s">
        <v>9205</v>
      </c>
      <c r="N4402" t="s">
        <v>14</v>
      </c>
    </row>
    <row r="4403" x14ac:dyDescent="0.25">
      <c r="A4403" t="n">
        <v>25</v>
      </c>
      <c r="B4403" t="s">
        <v>14</v>
      </c>
      <c r="C4403" t="s">
        <v>22</v>
      </c>
      <c r="D4403" s="2" t="s">
        <f>=HYPERLINK("https://main.knesset.gov.il/APPS/legislation/main/bills/2196006", "הצעת חוק העונשין (תיקון - עבירה כלפי קשיש או חסר ישע), התשפ""ג- 2022")</f>
        <v>9206</v>
      </c>
      <c r="E4403" t="s">
        <v>9206</v>
      </c>
      <c r="F4403" t="s">
        <v>9207</v>
      </c>
      <c r="G4403" t="s">
        <v>14</v>
      </c>
      <c r="H4403">
             </c>
      <c r="I4403" t="s">
        <v>14</v>
      </c>
      <c r="J4403" t="s">
        <v>31</v>
      </c>
      <c r="K4403" t="s">
        <v>127</v>
      </c>
      <c r="L4403" t="s">
        <v>20</v>
      </c>
      <c r="M4403" t="s">
        <v>9205</v>
      </c>
      <c r="N4403" t="s">
        <v>14</v>
      </c>
    </row>
    <row r="4404" x14ac:dyDescent="0.25">
      <c r="A4404" t="n">
        <v>25</v>
      </c>
      <c r="B4404" t="s">
        <v>14</v>
      </c>
      <c r="C4404" t="s">
        <v>15</v>
      </c>
      <c r="D4404" s="2" t="s">
        <f>=HYPERLINK("https://main.knesset.gov.il/APPS/legislation/main/bills/2204160", "פרק כ' (רשויות מקומיות), 78, 79 מתוכו רק: 1, 2, 5, 6(א) עד (ג), 7, 25-23 (בעניין כספי הקרן להרחבת ההשקעה בתושב, הקצאתם ומקורות הקרן) מתוך הצעת חוק התכנית הכלכלית (תיקוני חקיקה ליישום המדיניות הכלכלית לשנות התקציב 2023 ו-2024), התשפ""ג-2023")</f>
        <v>9208</v>
      </c>
      <c r="E4404" t="s">
        <v>9208</v>
      </c>
      <c r="F4404" t="s">
        <v>14</v>
      </c>
      <c r="G4404" t="s">
        <v>110</v>
      </c>
      <c r="H4404">
             </c>
      <c r="I4404" t="s">
        <v>14</v>
      </c>
      <c r="J4404" t="s">
        <v>99</v>
      </c>
      <c r="K4404" t="s">
        <v>121</v>
      </c>
      <c r="L4404" t="s">
        <v>20</v>
      </c>
      <c r="M4404" t="s">
        <v>9209</v>
      </c>
      <c r="N4404" t="s">
        <v>14</v>
      </c>
    </row>
    <row r="4405" x14ac:dyDescent="0.25">
      <c r="A4405" t="n">
        <v>25</v>
      </c>
      <c r="B4405" t="s">
        <v>14</v>
      </c>
      <c r="C4405" t="s">
        <v>15</v>
      </c>
      <c r="D4405" s="2" t="s">
        <f>=HYPERLINK("https://main.knesset.gov.il/APPS/legislation/main/bills/2203053", "חוק העונשין (תיקון מס' 133 – הוראת שעה) (תיקון מס' 2), התשפ""ג-2023")</f>
        <v>9210</v>
      </c>
      <c r="E4405" t="s">
        <v>9210</v>
      </c>
      <c r="F4405" t="s">
        <v>14</v>
      </c>
      <c r="G4405" t="s">
        <v>9211</v>
      </c>
      <c r="H4405" t="n">
        <v>3041</v>
      </c>
      <c r="I4405" t="s">
        <v>14</v>
      </c>
      <c r="J4405" t="s">
        <v>91</v>
      </c>
      <c r="K4405" t="s">
        <v>27</v>
      </c>
      <c r="L4405" t="s">
        <v>20</v>
      </c>
      <c r="M4405" t="s">
        <v>9209</v>
      </c>
      <c r="N4405" t="s">
        <v>9212</v>
      </c>
    </row>
    <row r="4406" x14ac:dyDescent="0.25">
      <c r="A4406" t="n">
        <v>25</v>
      </c>
      <c r="B4406" t="s">
        <v>14</v>
      </c>
      <c r="C4406" t="s">
        <v>15</v>
      </c>
      <c r="D4406" s="2" t="s">
        <f>=HYPERLINK("https://main.knesset.gov.il/APPS/legislation/main/bills/2190105", "חוק מיסוי מקרקעין (שבח ורכישה) (תיקון מס' 99), התשפ""ג–2023 ")</f>
        <v>9213</v>
      </c>
      <c r="E4406" t="s">
        <v>9213</v>
      </c>
      <c r="F4406" t="s">
        <v>14</v>
      </c>
      <c r="G4406" t="s">
        <v>9214</v>
      </c>
      <c r="H4406" t="n">
        <v>3040</v>
      </c>
      <c r="I4406" t="s">
        <v>14</v>
      </c>
      <c r="J4406" t="s">
        <v>91</v>
      </c>
      <c r="K4406" t="s">
        <v>85</v>
      </c>
      <c r="L4406" t="s">
        <v>20</v>
      </c>
      <c r="M4406" t="s">
        <v>9209</v>
      </c>
      <c r="N4406" t="s">
        <v>9215</v>
      </c>
    </row>
    <row r="4407" x14ac:dyDescent="0.25">
      <c r="A4407" t="n">
        <v>25</v>
      </c>
      <c r="B4407" t="s">
        <v>14</v>
      </c>
      <c r="C4407" t="s">
        <v>22</v>
      </c>
      <c r="D4407" s="2" t="s">
        <f>=HYPERLINK("https://main.knesset.gov.il/APPS/legislation/main/bills/2203995", "הצעת חוק למניעת אלימות במשפחה (תיקון - ממונה על נושא האלימות במשפחה במקומות עבודה גדולים), התשפ""ג-2023")</f>
        <v>9216</v>
      </c>
      <c r="E4407" t="s">
        <v>9216</v>
      </c>
      <c r="F4407" t="s">
        <v>9217</v>
      </c>
      <c r="G4407" t="s">
        <v>14</v>
      </c>
      <c r="H4407">
             </c>
      <c r="I4407" t="s">
        <v>14</v>
      </c>
      <c r="J4407" t="s">
        <v>141</v>
      </c>
      <c r="K4407" t="s">
        <v>14</v>
      </c>
      <c r="L4407" t="s">
        <v>20</v>
      </c>
      <c r="M4407" t="s">
        <v>9209</v>
      </c>
      <c r="N4407" t="s">
        <v>14</v>
      </c>
    </row>
    <row r="4408" x14ac:dyDescent="0.25">
      <c r="A4408" t="n">
        <v>25</v>
      </c>
      <c r="B4408" t="s">
        <v>14</v>
      </c>
      <c r="C4408" t="s">
        <v>22</v>
      </c>
      <c r="D4408" s="2" t="s">
        <f>=HYPERLINK("https://main.knesset.gov.il/APPS/legislation/main/bills/2205139", "הצעת חוק-יסוד: כבוד האדם וחירותו (תיקון - הזכות לשוויון)")</f>
        <v>2676</v>
      </c>
      <c r="E4408" t="s">
        <v>2676</v>
      </c>
      <c r="F4408" t="s">
        <v>9218</v>
      </c>
      <c r="G4408" t="s">
        <v>14</v>
      </c>
      <c r="H4408">
             </c>
      <c r="I4408" t="s">
        <v>14</v>
      </c>
      <c r="J4408" t="s">
        <v>141</v>
      </c>
      <c r="K4408" t="s">
        <v>14</v>
      </c>
      <c r="L4408" t="s">
        <v>20</v>
      </c>
      <c r="M4408" t="s">
        <v>9209</v>
      </c>
      <c r="N4408" t="s">
        <v>14</v>
      </c>
    </row>
    <row r="4409" x14ac:dyDescent="0.25">
      <c r="A4409" t="n">
        <v>25</v>
      </c>
      <c r="B4409" t="s">
        <v>14</v>
      </c>
      <c r="C4409" t="s">
        <v>22</v>
      </c>
      <c r="D4409" s="2" t="s">
        <f>=HYPERLINK("https://main.knesset.gov.il/APPS/legislation/main/bills/2203934", "הצעת חוק השיפוט הצבאי (תיקון - הארכת תחולת החוק על עבירות מין), התשפ""ג-2023")</f>
        <v>9219</v>
      </c>
      <c r="E4409" t="s">
        <v>9219</v>
      </c>
      <c r="F4409" t="s">
        <v>9220</v>
      </c>
      <c r="G4409" t="s">
        <v>14</v>
      </c>
      <c r="H4409">
             </c>
      <c r="I4409" t="s">
        <v>14</v>
      </c>
      <c r="J4409" t="s">
        <v>141</v>
      </c>
      <c r="K4409" t="s">
        <v>14</v>
      </c>
      <c r="L4409" t="s">
        <v>20</v>
      </c>
      <c r="M4409" t="s">
        <v>9209</v>
      </c>
      <c r="N4409" t="s">
        <v>14</v>
      </c>
    </row>
    <row r="4410" x14ac:dyDescent="0.25">
      <c r="A4410" t="n">
        <v>25</v>
      </c>
      <c r="B4410" t="s">
        <v>14</v>
      </c>
      <c r="C4410" t="s">
        <v>22</v>
      </c>
      <c r="D4410" s="2" t="s">
        <f>=HYPERLINK("https://main.knesset.gov.il/APPS/legislation/main/bills/2203953", "הצעת חוק למניעת אלימות במשפחה (תיקון - פיקוח טכנולוגי להבטחת קיומו של צו הגנה והערכת מסוכנות - הוראת שעה), התשפ""ג-2023")</f>
        <v>9221</v>
      </c>
      <c r="E4410" t="s">
        <v>9221</v>
      </c>
      <c r="F4410" t="s">
        <v>9222</v>
      </c>
      <c r="G4410" t="s">
        <v>14</v>
      </c>
      <c r="H4410">
             </c>
      <c r="I4410" t="s">
        <v>14</v>
      </c>
      <c r="J4410" t="s">
        <v>141</v>
      </c>
      <c r="K4410" t="s">
        <v>14</v>
      </c>
      <c r="L4410" t="s">
        <v>20</v>
      </c>
      <c r="M4410" t="s">
        <v>9209</v>
      </c>
      <c r="N4410" t="s">
        <v>14</v>
      </c>
    </row>
    <row r="4411" x14ac:dyDescent="0.25">
      <c r="A4411" t="n">
        <v>25</v>
      </c>
      <c r="B4411" t="s">
        <v>14</v>
      </c>
      <c r="C4411" t="s">
        <v>22</v>
      </c>
      <c r="D4411" s="2" t="s">
        <f>=HYPERLINK("https://main.knesset.gov.il/APPS/legislation/main/bills/2204094", "הצעת חוק לתיקון פקודת בריאות העם (הקמת בתי תפילה מוסלמיים בבתי חולים), התשפ""ג-2023")</f>
        <v>9223</v>
      </c>
      <c r="E4411" t="s">
        <v>9223</v>
      </c>
      <c r="F4411" t="s">
        <v>9224</v>
      </c>
      <c r="G4411" t="s">
        <v>14</v>
      </c>
      <c r="H4411">
             </c>
      <c r="I4411" t="s">
        <v>14</v>
      </c>
      <c r="J4411" t="s">
        <v>141</v>
      </c>
      <c r="K4411" t="s">
        <v>14</v>
      </c>
      <c r="L4411" t="s">
        <v>20</v>
      </c>
      <c r="M4411" t="s">
        <v>9209</v>
      </c>
      <c r="N4411" t="s">
        <v>14</v>
      </c>
    </row>
    <row r="4412" x14ac:dyDescent="0.25">
      <c r="A4412" t="n">
        <v>25</v>
      </c>
      <c r="B4412" t="s">
        <v>14</v>
      </c>
      <c r="C4412" t="s">
        <v>22</v>
      </c>
      <c r="D4412" s="2" t="s">
        <f>=HYPERLINK("https://main.knesset.gov.il/APPS/legislation/main/bills/2203650", "הצעת חוק עבודת נשים (תיקון - תקופת לידה והורות לבנות זוג מאותו המין), התשפ""ג-2023")</f>
        <v>9225</v>
      </c>
      <c r="E4412" t="s">
        <v>9225</v>
      </c>
      <c r="F4412" t="s">
        <v>9226</v>
      </c>
      <c r="G4412" t="s">
        <v>14</v>
      </c>
      <c r="H4412">
             </c>
      <c r="I4412" t="s">
        <v>14</v>
      </c>
      <c r="J4412" t="s">
        <v>141</v>
      </c>
      <c r="K4412" t="s">
        <v>14</v>
      </c>
      <c r="L4412" t="s">
        <v>20</v>
      </c>
      <c r="M4412" t="s">
        <v>9209</v>
      </c>
      <c r="N4412" t="s">
        <v>14</v>
      </c>
    </row>
    <row r="4413" x14ac:dyDescent="0.25">
      <c r="A4413" t="n">
        <v>25</v>
      </c>
      <c r="B4413" t="s">
        <v>14</v>
      </c>
      <c r="C4413" t="s">
        <v>22</v>
      </c>
      <c r="D4413" s="2" t="s">
        <f>=HYPERLINK("https://main.knesset.gov.il/APPS/legislation/main/bills/2205102", "הצעת חוק רישוי עסקים (תיקון - דרישת רישוי לאירועים דתיים וטקסים), התשפ""ג-2023")</f>
        <v>9227</v>
      </c>
      <c r="E4413" t="s">
        <v>9227</v>
      </c>
      <c r="F4413" t="s">
        <v>9228</v>
      </c>
      <c r="G4413" t="s">
        <v>14</v>
      </c>
      <c r="H4413">
             </c>
      <c r="I4413" t="s">
        <v>14</v>
      </c>
      <c r="J4413" t="s">
        <v>141</v>
      </c>
      <c r="K4413" t="s">
        <v>14</v>
      </c>
      <c r="L4413" t="s">
        <v>20</v>
      </c>
      <c r="M4413" t="s">
        <v>9209</v>
      </c>
      <c r="N4413" t="s">
        <v>14</v>
      </c>
    </row>
    <row r="4414" x14ac:dyDescent="0.25">
      <c r="A4414" t="n">
        <v>25</v>
      </c>
      <c r="B4414" t="s">
        <v>14</v>
      </c>
      <c r="C4414" t="s">
        <v>22</v>
      </c>
      <c r="D4414" s="2" t="s">
        <f>=HYPERLINK("https://main.knesset.gov.il/APPS/legislation/main/bills/2202602", "הצעת חוק שירות ביטחון (תיקון - שוויון בגיוס ליחידות הטכנולוגיות), התשפ""ג-2023")</f>
        <v>9229</v>
      </c>
      <c r="E4414" t="s">
        <v>9229</v>
      </c>
      <c r="F4414" t="s">
        <v>9230</v>
      </c>
      <c r="G4414" t="s">
        <v>14</v>
      </c>
      <c r="H4414">
             </c>
      <c r="I4414" t="s">
        <v>14</v>
      </c>
      <c r="J4414" t="s">
        <v>141</v>
      </c>
      <c r="K4414" t="s">
        <v>14</v>
      </c>
      <c r="L4414" t="s">
        <v>20</v>
      </c>
      <c r="M4414" t="s">
        <v>9209</v>
      </c>
      <c r="N4414" t="s">
        <v>14</v>
      </c>
    </row>
    <row r="4415" x14ac:dyDescent="0.25">
      <c r="A4415" t="n">
        <v>25</v>
      </c>
      <c r="B4415" t="s">
        <v>14</v>
      </c>
      <c r="C4415" t="s">
        <v>22</v>
      </c>
      <c r="D4415" s="2" t="s">
        <f>=HYPERLINK("https://main.knesset.gov.il/APPS/legislation/main/bills/2205206", "הצעת חוק שיקום, פיצוי וסיוע משפטי לנפגעי עבירות מין, התשפ""ג-2023")</f>
        <v>8872</v>
      </c>
      <c r="E4415" t="s">
        <v>8872</v>
      </c>
      <c r="F4415" t="s">
        <v>9231</v>
      </c>
      <c r="G4415" t="s">
        <v>14</v>
      </c>
      <c r="H4415">
             </c>
      <c r="I4415" t="s">
        <v>14</v>
      </c>
      <c r="J4415" t="s">
        <v>141</v>
      </c>
      <c r="K4415" t="s">
        <v>14</v>
      </c>
      <c r="L4415" t="s">
        <v>20</v>
      </c>
      <c r="M4415" t="s">
        <v>9209</v>
      </c>
      <c r="N4415" t="s">
        <v>14</v>
      </c>
    </row>
    <row r="4416" x14ac:dyDescent="0.25">
      <c r="A4416" t="n">
        <v>25</v>
      </c>
      <c r="B4416" t="s">
        <v>14</v>
      </c>
      <c r="C4416" t="s">
        <v>22</v>
      </c>
      <c r="D4416" s="2" t="s">
        <f>=HYPERLINK("https://main.knesset.gov.il/APPS/legislation/main/bills/2202617", "הצעת חוק מאבק בארגוני פשיעה (תיקון - החמרת הענישה כנגד ארגוני סחיטה ושחיתות), התשפ""ג- 2023")</f>
        <v>9232</v>
      </c>
      <c r="E4416" t="s">
        <v>9232</v>
      </c>
      <c r="F4416" t="s">
        <v>9233</v>
      </c>
      <c r="G4416" t="s">
        <v>14</v>
      </c>
      <c r="H4416">
             </c>
      <c r="I4416" t="s">
        <v>14</v>
      </c>
      <c r="J4416" t="s">
        <v>141</v>
      </c>
      <c r="K4416" t="s">
        <v>14</v>
      </c>
      <c r="L4416" t="s">
        <v>20</v>
      </c>
      <c r="M4416" t="s">
        <v>9209</v>
      </c>
      <c r="N4416" t="s">
        <v>14</v>
      </c>
    </row>
    <row r="4417" x14ac:dyDescent="0.25">
      <c r="A4417" t="n">
        <v>25</v>
      </c>
      <c r="B4417" t="s">
        <v>14</v>
      </c>
      <c r="C4417" t="s">
        <v>22</v>
      </c>
      <c r="D4417" s="2" t="s">
        <f>=HYPERLINK("https://main.knesset.gov.il/APPS/legislation/main/bills/2205086", "הצעת חוק העדה הדרוזית, התשפ""ג-2023")</f>
        <v>9234</v>
      </c>
      <c r="E4417" t="s">
        <v>9234</v>
      </c>
      <c r="F4417" t="s">
        <v>9235</v>
      </c>
      <c r="G4417" t="s">
        <v>14</v>
      </c>
      <c r="H4417">
             </c>
      <c r="I4417" t="s">
        <v>14</v>
      </c>
      <c r="J4417" t="s">
        <v>343</v>
      </c>
      <c r="K4417" t="s">
        <v>14</v>
      </c>
      <c r="L4417" t="s">
        <v>20</v>
      </c>
      <c r="M4417" t="s">
        <v>9209</v>
      </c>
      <c r="N4417" t="s">
        <v>14</v>
      </c>
    </row>
    <row r="4418" x14ac:dyDescent="0.25">
      <c r="A4418" t="n">
        <v>25</v>
      </c>
      <c r="B4418" t="s">
        <v>14</v>
      </c>
      <c r="C4418" t="s">
        <v>22</v>
      </c>
      <c r="D4418" s="2" t="s">
        <f>=HYPERLINK("https://main.knesset.gov.il/APPS/legislation/main/bills/2201597", "הצעת חוק העונשין (תיקון - עונש מזערי לעבירות ממניע גזענות או עוינות כלפי ציבור), התשפ""ג-2023")</f>
        <v>9236</v>
      </c>
      <c r="E4418" t="s">
        <v>9236</v>
      </c>
      <c r="F4418" t="s">
        <v>9237</v>
      </c>
      <c r="G4418" t="s">
        <v>14</v>
      </c>
      <c r="H4418">
             </c>
      <c r="I4418" t="s">
        <v>14</v>
      </c>
      <c r="J4418" t="s">
        <v>141</v>
      </c>
      <c r="K4418" t="s">
        <v>14</v>
      </c>
      <c r="L4418" t="s">
        <v>20</v>
      </c>
      <c r="M4418" t="s">
        <v>9209</v>
      </c>
      <c r="N4418" t="s">
        <v>14</v>
      </c>
    </row>
    <row r="4419" x14ac:dyDescent="0.25">
      <c r="A4419" t="n">
        <v>25</v>
      </c>
      <c r="B4419" t="s">
        <v>14</v>
      </c>
      <c r="C4419" t="s">
        <v>22</v>
      </c>
      <c r="D4419" s="2" t="s">
        <f>=HYPERLINK("https://main.knesset.gov.il/APPS/legislation/main/bills/2199445", "הצעת חוק לשכת עורכי הדין (תיקון - קביעת אגרה מינימלית להגשת תלונה), התשפ""ג-2023")</f>
        <v>9238</v>
      </c>
      <c r="E4419" t="s">
        <v>9238</v>
      </c>
      <c r="F4419" t="s">
        <v>9239</v>
      </c>
      <c r="G4419" t="s">
        <v>14</v>
      </c>
      <c r="H4419">
             </c>
      <c r="I4419" t="s">
        <v>14</v>
      </c>
      <c r="J4419" t="s">
        <v>141</v>
      </c>
      <c r="K4419" t="s">
        <v>14</v>
      </c>
      <c r="L4419" t="s">
        <v>20</v>
      </c>
      <c r="M4419" t="s">
        <v>9209</v>
      </c>
      <c r="N4419" t="s">
        <v>14</v>
      </c>
    </row>
    <row r="4420" x14ac:dyDescent="0.25">
      <c r="A4420" t="n">
        <v>25</v>
      </c>
      <c r="B4420" t="s">
        <v>14</v>
      </c>
      <c r="C4420" t="s">
        <v>22</v>
      </c>
      <c r="D4420" s="2" t="s">
        <f>=HYPERLINK("https://main.knesset.gov.il/APPS/legislation/main/bills/2204881", "הצעת חוק הביטוח הלאומי (תיקון - העלאת גיל הגיוס הנדרש לפטור מתשלום דמי ביטוח לאומי), התשפ""ג-2023")</f>
        <v>9240</v>
      </c>
      <c r="E4420" t="s">
        <v>9240</v>
      </c>
      <c r="F4420" t="s">
        <v>9241</v>
      </c>
      <c r="G4420" t="s">
        <v>14</v>
      </c>
      <c r="H4420">
             </c>
      <c r="I4420" t="s">
        <v>14</v>
      </c>
      <c r="J4420" t="s">
        <v>141</v>
      </c>
      <c r="K4420" t="s">
        <v>14</v>
      </c>
      <c r="L4420" t="s">
        <v>20</v>
      </c>
      <c r="M4420" t="s">
        <v>9209</v>
      </c>
      <c r="N4420" t="s">
        <v>14</v>
      </c>
    </row>
    <row r="4421" x14ac:dyDescent="0.25">
      <c r="A4421" t="n">
        <v>25</v>
      </c>
      <c r="B4421" t="s">
        <v>14</v>
      </c>
      <c r="C4421" t="s">
        <v>22</v>
      </c>
      <c r="D4421" s="2" t="s">
        <f>=HYPERLINK("https://main.knesset.gov.il/APPS/legislation/main/bills/2204688", "הצעת חוק-יסוד: מעמד ההכרזה על הקמת מדינת ישראל")</f>
        <v>9242</v>
      </c>
      <c r="E4421" t="s">
        <v>9242</v>
      </c>
      <c r="F4421" t="s">
        <v>9243</v>
      </c>
      <c r="G4421" t="s">
        <v>14</v>
      </c>
      <c r="H4421">
             </c>
      <c r="I4421" t="s">
        <v>14</v>
      </c>
      <c r="J4421" t="s">
        <v>141</v>
      </c>
      <c r="K4421" t="s">
        <v>14</v>
      </c>
      <c r="L4421" t="s">
        <v>20</v>
      </c>
      <c r="M4421" t="s">
        <v>9209</v>
      </c>
      <c r="N4421" t="s">
        <v>14</v>
      </c>
    </row>
    <row r="4422" x14ac:dyDescent="0.25">
      <c r="A4422" t="n">
        <v>25</v>
      </c>
      <c r="B4422" t="s">
        <v>14</v>
      </c>
      <c r="C4422" t="s">
        <v>22</v>
      </c>
      <c r="D4422" s="2" t="s">
        <f>=HYPERLINK("https://main.knesset.gov.il/APPS/legislation/main/bills/2204556", "הצעת חוק ביטוח בריאות ממלכתי (תיקון - מתן שירותים במרפאה ביישוב קטן לחברי קופה אחרת), התשפ""ג-2023")</f>
        <v>6133</v>
      </c>
      <c r="E4422" t="s">
        <v>6133</v>
      </c>
      <c r="F4422" t="s">
        <v>9244</v>
      </c>
      <c r="G4422" t="s">
        <v>14</v>
      </c>
      <c r="H4422">
             </c>
      <c r="I4422" t="s">
        <v>14</v>
      </c>
      <c r="J4422" t="s">
        <v>141</v>
      </c>
      <c r="K4422" t="s">
        <v>14</v>
      </c>
      <c r="L4422" t="s">
        <v>20</v>
      </c>
      <c r="M4422" t="s">
        <v>9209</v>
      </c>
      <c r="N4422" t="s">
        <v>14</v>
      </c>
    </row>
    <row r="4423" x14ac:dyDescent="0.25">
      <c r="A4423" t="n">
        <v>25</v>
      </c>
      <c r="B4423" t="s">
        <v>14</v>
      </c>
      <c r="C4423" t="s">
        <v>22</v>
      </c>
      <c r="D4423" s="2" t="s">
        <f>=HYPERLINK("https://main.knesset.gov.il/APPS/legislation/main/bills/2204457", "הצעת חוק לתיקון פקודת בריאות העם (מכשירים רפואיים מיוחדים), התשפ""ג-2023")</f>
        <v>8814</v>
      </c>
      <c r="E4423" t="s">
        <v>8814</v>
      </c>
      <c r="F4423" t="s">
        <v>9245</v>
      </c>
      <c r="G4423" t="s">
        <v>14</v>
      </c>
      <c r="H4423">
             </c>
      <c r="I4423" t="s">
        <v>14</v>
      </c>
      <c r="J4423" t="s">
        <v>141</v>
      </c>
      <c r="K4423" t="s">
        <v>14</v>
      </c>
      <c r="L4423" t="s">
        <v>20</v>
      </c>
      <c r="M4423" t="s">
        <v>9209</v>
      </c>
      <c r="N4423" t="s">
        <v>14</v>
      </c>
    </row>
    <row r="4424" x14ac:dyDescent="0.25">
      <c r="A4424" t="n">
        <v>25</v>
      </c>
      <c r="B4424" t="s">
        <v>14</v>
      </c>
      <c r="C4424" t="s">
        <v>22</v>
      </c>
      <c r="D4424" s="2" t="s">
        <f>=HYPERLINK("https://main.knesset.gov.il/APPS/legislation/main/bills/2204466", "הצעת חוק חינוך מיוחד (תיקון - חינוך מיוחד מגיל לידה), התשפ""ג-2023")</f>
        <v>9246</v>
      </c>
      <c r="E4424" t="s">
        <v>9246</v>
      </c>
      <c r="F4424" t="s">
        <v>9247</v>
      </c>
      <c r="G4424" t="s">
        <v>14</v>
      </c>
      <c r="H4424">
             </c>
      <c r="I4424" t="s">
        <v>14</v>
      </c>
      <c r="J4424" t="s">
        <v>141</v>
      </c>
      <c r="K4424" t="s">
        <v>14</v>
      </c>
      <c r="L4424" t="s">
        <v>20</v>
      </c>
      <c r="M4424" t="s">
        <v>9209</v>
      </c>
      <c r="N4424" t="s">
        <v>14</v>
      </c>
    </row>
    <row r="4425" x14ac:dyDescent="0.25">
      <c r="A4425" t="n">
        <v>25</v>
      </c>
      <c r="B4425" t="s">
        <v>14</v>
      </c>
      <c r="C4425" t="s">
        <v>22</v>
      </c>
      <c r="D4425" s="2" t="s">
        <f>=HYPERLINK("https://main.knesset.gov.il/APPS/legislation/main/bills/2204329", "הצעת חוק לתיקון פקודת בריאות העם (העדפות מתן רישיון למכשור רפואי בפריפריה), התשפ""ג-2023")</f>
        <v>8001</v>
      </c>
      <c r="E4425" t="s">
        <v>8001</v>
      </c>
      <c r="F4425" t="s">
        <v>9248</v>
      </c>
      <c r="G4425" t="s">
        <v>14</v>
      </c>
      <c r="H4425">
             </c>
      <c r="I4425" t="s">
        <v>14</v>
      </c>
      <c r="J4425" t="s">
        <v>141</v>
      </c>
      <c r="K4425" t="s">
        <v>14</v>
      </c>
      <c r="L4425" t="s">
        <v>20</v>
      </c>
      <c r="M4425" t="s">
        <v>9209</v>
      </c>
      <c r="N4425" t="s">
        <v>14</v>
      </c>
    </row>
    <row r="4426" x14ac:dyDescent="0.25">
      <c r="A4426" t="n">
        <v>25</v>
      </c>
      <c r="B4426" t="s">
        <v>14</v>
      </c>
      <c r="C4426" t="s">
        <v>22</v>
      </c>
      <c r="D4426" s="2" t="s">
        <f>=HYPERLINK("https://main.knesset.gov.il/APPS/legislation/main/bills/2204762", "הצעת חוק שידורי טלוויזיה (כתוביות ושפת סימנים) (תיקון - הודעות חירום מונגשות), התשפ""ג-2023")</f>
        <v>9249</v>
      </c>
      <c r="E4426" t="s">
        <v>9249</v>
      </c>
      <c r="F4426" t="s">
        <v>9250</v>
      </c>
      <c r="G4426" t="s">
        <v>14</v>
      </c>
      <c r="H4426">
             </c>
      <c r="I4426" t="s">
        <v>14</v>
      </c>
      <c r="J4426" t="s">
        <v>141</v>
      </c>
      <c r="K4426" t="s">
        <v>14</v>
      </c>
      <c r="L4426" t="s">
        <v>20</v>
      </c>
      <c r="M4426" t="s">
        <v>9209</v>
      </c>
      <c r="N4426" t="s">
        <v>14</v>
      </c>
    </row>
    <row r="4427" x14ac:dyDescent="0.25">
      <c r="A4427" t="n">
        <v>25</v>
      </c>
      <c r="B4427" t="s">
        <v>14</v>
      </c>
      <c r="C4427" t="s">
        <v>22</v>
      </c>
      <c r="D4427" s="2" t="s">
        <f>=HYPERLINK("https://main.knesset.gov.il/APPS/legislation/main/bills/2204021", "הצעת חוק שירות הביטחון הכללי (תיקון - סיוע בטיפול בפשיעה פלילית חמורה), התשפ""ג-2023")</f>
        <v>9251</v>
      </c>
      <c r="E4427" t="s">
        <v>9251</v>
      </c>
      <c r="F4427" t="s">
        <v>9252</v>
      </c>
      <c r="G4427" t="s">
        <v>14</v>
      </c>
      <c r="H4427">
             </c>
      <c r="I4427" t="s">
        <v>14</v>
      </c>
      <c r="J4427" t="s">
        <v>141</v>
      </c>
      <c r="K4427" t="s">
        <v>14</v>
      </c>
      <c r="L4427" t="s">
        <v>20</v>
      </c>
      <c r="M4427" t="s">
        <v>9209</v>
      </c>
      <c r="N4427" t="s">
        <v>14</v>
      </c>
    </row>
    <row r="4428" x14ac:dyDescent="0.25">
      <c r="A4428" t="n">
        <v>25</v>
      </c>
      <c r="B4428" t="s">
        <v>14</v>
      </c>
      <c r="C4428" t="s">
        <v>22</v>
      </c>
      <c r="D4428" s="2" t="s">
        <f>=HYPERLINK("https://main.knesset.gov.il/APPS/legislation/main/bills/2203886", "הצעת חוק למניעת אלימות במשפחה (תיקון - פיקוח אלקטרוני על אדם שהוצא נגדו צו הגנה), התשפ""ג-2023")</f>
        <v>9253</v>
      </c>
      <c r="E4428" t="s">
        <v>9253</v>
      </c>
      <c r="F4428" t="s">
        <v>9254</v>
      </c>
      <c r="G4428" t="s">
        <v>14</v>
      </c>
      <c r="H4428">
             </c>
      <c r="I4428" t="s">
        <v>14</v>
      </c>
      <c r="J4428" t="s">
        <v>141</v>
      </c>
      <c r="K4428" t="s">
        <v>14</v>
      </c>
      <c r="L4428" t="s">
        <v>20</v>
      </c>
      <c r="M4428" t="s">
        <v>9209</v>
      </c>
      <c r="N4428" t="s">
        <v>14</v>
      </c>
    </row>
    <row r="4429" x14ac:dyDescent="0.25">
      <c r="A4429" t="n">
        <v>25</v>
      </c>
      <c r="B4429" t="s">
        <v>14</v>
      </c>
      <c r="C4429" t="s">
        <v>22</v>
      </c>
      <c r="D4429" s="2" t="s">
        <f>=HYPERLINK("https://main.knesset.gov.il/APPS/legislation/main/bills/2204137", "הצעת חוק לתיקון פקודת בתי הסוהר (שלילת זכויות יתר מאסיר ביטחוני המשתייך לארגון טרור), התשפ""ג-2023")</f>
        <v>8675</v>
      </c>
      <c r="E4429" t="s">
        <v>8675</v>
      </c>
      <c r="F4429" t="s">
        <v>9255</v>
      </c>
      <c r="G4429" t="s">
        <v>14</v>
      </c>
      <c r="H4429">
             </c>
      <c r="I4429" t="s">
        <v>14</v>
      </c>
      <c r="J4429" t="s">
        <v>141</v>
      </c>
      <c r="K4429" t="s">
        <v>14</v>
      </c>
      <c r="L4429" t="s">
        <v>20</v>
      </c>
      <c r="M4429" t="s">
        <v>9209</v>
      </c>
      <c r="N4429" t="s">
        <v>14</v>
      </c>
    </row>
    <row r="4430" x14ac:dyDescent="0.25">
      <c r="A4430" t="n">
        <v>25</v>
      </c>
      <c r="B4430" t="s">
        <v>14</v>
      </c>
      <c r="C4430" t="s">
        <v>22</v>
      </c>
      <c r="D4430" s="2" t="s">
        <f>=HYPERLINK("https://main.knesset.gov.il/APPS/legislation/main/bills/2204143", "הצעת חוק בתי קברות צבאיים (תיקון - חיילים זכאי חוק השבות), התשפ""ג-2023")</f>
        <v>9256</v>
      </c>
      <c r="E4430" t="s">
        <v>9256</v>
      </c>
      <c r="F4430" t="s">
        <v>9257</v>
      </c>
      <c r="G4430" t="s">
        <v>14</v>
      </c>
      <c r="H4430">
             </c>
      <c r="I4430" t="s">
        <v>14</v>
      </c>
      <c r="J4430" t="s">
        <v>141</v>
      </c>
      <c r="K4430" t="s">
        <v>14</v>
      </c>
      <c r="L4430" t="s">
        <v>20</v>
      </c>
      <c r="M4430" t="s">
        <v>9209</v>
      </c>
      <c r="N4430" t="s">
        <v>14</v>
      </c>
    </row>
    <row r="4431" x14ac:dyDescent="0.25">
      <c r="A4431" t="n">
        <v>25</v>
      </c>
      <c r="B4431" t="s">
        <v>14</v>
      </c>
      <c r="C4431" t="s">
        <v>22</v>
      </c>
      <c r="D4431" s="2" t="s">
        <f>=HYPERLINK("https://main.knesset.gov.il/APPS/legislation/main/bills/2203876", "הצעת חוק זכויות הדייר בדיור הציבורי (תיקון - סיוע ריאלי בשכר דירה), התשפ""ג-2023")</f>
        <v>9258</v>
      </c>
      <c r="E4431" t="s">
        <v>9258</v>
      </c>
      <c r="F4431" t="s">
        <v>9259</v>
      </c>
      <c r="G4431" t="s">
        <v>14</v>
      </c>
      <c r="H4431">
             </c>
      <c r="I4431" t="s">
        <v>14</v>
      </c>
      <c r="J4431" t="s">
        <v>141</v>
      </c>
      <c r="K4431" t="s">
        <v>14</v>
      </c>
      <c r="L4431" t="s">
        <v>20</v>
      </c>
      <c r="M4431" t="s">
        <v>9209</v>
      </c>
      <c r="N4431" t="s">
        <v>14</v>
      </c>
    </row>
    <row r="4432" x14ac:dyDescent="0.25">
      <c r="A4432" t="n">
        <v>25</v>
      </c>
      <c r="B4432" t="s">
        <v>14</v>
      </c>
      <c r="C4432" t="s">
        <v>22</v>
      </c>
      <c r="D4432" s="2" t="s">
        <f>=HYPERLINK("https://main.knesset.gov.il/APPS/legislation/main/bills/2203612", "הצעת חוק התכנון והבנייה (תיקון - שינוי חלק המקרקעין המותר להפקעה ללא פיצויים), התשפ""ג-2023")</f>
        <v>9260</v>
      </c>
      <c r="E4432" t="s">
        <v>9260</v>
      </c>
      <c r="F4432" t="s">
        <v>9261</v>
      </c>
      <c r="G4432" t="s">
        <v>14</v>
      </c>
      <c r="H4432">
             </c>
      <c r="I4432" t="s">
        <v>14</v>
      </c>
      <c r="J4432" t="s">
        <v>141</v>
      </c>
      <c r="K4432" t="s">
        <v>14</v>
      </c>
      <c r="L4432" t="s">
        <v>20</v>
      </c>
      <c r="M4432" t="s">
        <v>9209</v>
      </c>
      <c r="N4432" t="s">
        <v>14</v>
      </c>
    </row>
    <row r="4433" x14ac:dyDescent="0.25">
      <c r="A4433" t="n">
        <v>25</v>
      </c>
      <c r="B4433" t="s">
        <v>14</v>
      </c>
      <c r="C4433" t="s">
        <v>22</v>
      </c>
      <c r="D4433" s="2" t="s">
        <f>=HYPERLINK("https://main.knesset.gov.il/APPS/legislation/main/bills/2204931", "הצעת חוק לתיקון פקודת התעבורה (פיצוי כספי בגין איחור אוטובוס), התשפ""ג-2023")</f>
        <v>9262</v>
      </c>
      <c r="E4433" t="s">
        <v>9262</v>
      </c>
      <c r="F4433" t="s">
        <v>9263</v>
      </c>
      <c r="G4433" t="s">
        <v>14</v>
      </c>
      <c r="H4433">
             </c>
      <c r="I4433" t="s">
        <v>14</v>
      </c>
      <c r="J4433" t="s">
        <v>141</v>
      </c>
      <c r="K4433" t="s">
        <v>14</v>
      </c>
      <c r="L4433" t="s">
        <v>20</v>
      </c>
      <c r="M4433" t="s">
        <v>9209</v>
      </c>
      <c r="N4433" t="s">
        <v>14</v>
      </c>
    </row>
    <row r="4434" x14ac:dyDescent="0.25">
      <c r="A4434" t="n">
        <v>25</v>
      </c>
      <c r="B4434" t="s">
        <v>14</v>
      </c>
      <c r="C4434" t="s">
        <v>15</v>
      </c>
      <c r="D4434" s="2" t="s">
        <f>=HYPERLINK("https://main.knesset.gov.il/APPS/legislation/main/bills/2204197", "פרק ט' (מסים), למעט סעיפים 41-40 ו-47-45 מתוך הצעת חוק ההתייעלות הכלכלית (תיקוני חקיקה להשגת יעדי התקציב לשנות התקציב 2023 ו-2024), התשפ""ג-2023")</f>
        <v>9264</v>
      </c>
      <c r="E4434" t="s">
        <v>9264</v>
      </c>
      <c r="F4434" t="s">
        <v>14</v>
      </c>
      <c r="G4434" t="s">
        <v>110</v>
      </c>
      <c r="H4434">
             </c>
      <c r="I4434" t="s">
        <v>14</v>
      </c>
      <c r="J4434" t="s">
        <v>99</v>
      </c>
      <c r="K4434" t="s">
        <v>121</v>
      </c>
      <c r="L4434" t="s">
        <v>20</v>
      </c>
      <c r="M4434" t="s">
        <v>9265</v>
      </c>
      <c r="N4434" t="s">
        <v>14</v>
      </c>
    </row>
    <row r="4435" x14ac:dyDescent="0.25">
      <c r="A4435" t="n">
        <v>25</v>
      </c>
      <c r="B4435" t="s">
        <v>14</v>
      </c>
      <c r="C4435" t="s">
        <v>15</v>
      </c>
      <c r="D4435" s="2" t="s">
        <f>=HYPERLINK("https://main.knesset.gov.il/APPS/legislation/main/bills/2204252", "פרק כ' (רשויות מקומיות), רק הסעיפים הבאים שבסעיף 79: 4-1, 6(ד) עד (ח), 22-8, 26-24 (בעניין הקמת הקרן ומועצת הקרן להרחבת ההשקעה בתושב) מתוך הצעת חוק התכנית הכלכלית (תיקוני חקיקה ליישום המדיניות הכלכלית לשנות התקציב 2023 ו-2024), התשפ""ג-2023")</f>
        <v>9266</v>
      </c>
      <c r="E4435" t="s">
        <v>9266</v>
      </c>
      <c r="F4435" t="s">
        <v>14</v>
      </c>
      <c r="G4435" t="s">
        <v>110</v>
      </c>
      <c r="H4435">
             </c>
      <c r="I4435" t="s">
        <v>14</v>
      </c>
      <c r="J4435" t="s">
        <v>99</v>
      </c>
      <c r="K4435" t="s">
        <v>85</v>
      </c>
      <c r="L4435" t="s">
        <v>20</v>
      </c>
      <c r="M4435" t="s">
        <v>9265</v>
      </c>
      <c r="N4435" t="s">
        <v>14</v>
      </c>
    </row>
    <row r="4436" x14ac:dyDescent="0.25">
      <c r="A4436" t="n">
        <v>25</v>
      </c>
      <c r="B4436" t="s">
        <v>14</v>
      </c>
      <c r="C4436" t="s">
        <v>15</v>
      </c>
      <c r="D4436" s="2" t="s">
        <f>=HYPERLINK("https://main.knesset.gov.il/APPS/legislation/main/bills/2204168", "פרק ט""ז (הגברת התחרותיות בענף המזון והטואלטיקה) מתוך הצעת חוק התכנית הכלכלית (תיקוני חקיקה ליישום המדיניות הכלכלית לשנות התקציב 2023 ו-2024), התשפ""ג-2023")</f>
        <v>9267</v>
      </c>
      <c r="E4436" t="s">
        <v>9267</v>
      </c>
      <c r="F4436" t="s">
        <v>14</v>
      </c>
      <c r="G4436" t="s">
        <v>110</v>
      </c>
      <c r="H4436">
             </c>
      <c r="I4436" t="s">
        <v>14</v>
      </c>
      <c r="J4436" t="s">
        <v>99</v>
      </c>
      <c r="K4436" t="s">
        <v>121</v>
      </c>
      <c r="L4436" t="s">
        <v>20</v>
      </c>
      <c r="M4436" t="s">
        <v>9268</v>
      </c>
      <c r="N4436" t="s">
        <v>14</v>
      </c>
    </row>
    <row r="4437" x14ac:dyDescent="0.25">
      <c r="A4437" t="n">
        <v>25</v>
      </c>
      <c r="B4437" t="s">
        <v>14</v>
      </c>
      <c r="C4437" t="s">
        <v>15</v>
      </c>
      <c r="D4437" s="2" t="s">
        <f>=HYPERLINK("https://main.knesset.gov.il/APPS/legislation/main/bills/2204176", "פרק י""א (הפחתת רגולציה), רק סעיפים 48-46 (רישום בפנקסי מקרקעין) מתוך הצעת חוק התכנית הכלכלית (תיקוני חקיקה ליישום המדיניות הכלכלית לשנות התקציב 2023 ו-2024), התשפ""ג-2023")</f>
        <v>9269</v>
      </c>
      <c r="E4437" t="s">
        <v>9269</v>
      </c>
      <c r="F4437" t="s">
        <v>14</v>
      </c>
      <c r="G4437" t="s">
        <v>110</v>
      </c>
      <c r="H4437">
             </c>
      <c r="I4437" t="s">
        <v>14</v>
      </c>
      <c r="J4437" t="s">
        <v>99</v>
      </c>
      <c r="K4437" t="s">
        <v>121</v>
      </c>
      <c r="L4437" t="s">
        <v>20</v>
      </c>
      <c r="M4437" t="s">
        <v>9268</v>
      </c>
      <c r="N4437" t="s">
        <v>14</v>
      </c>
    </row>
    <row r="4438" x14ac:dyDescent="0.25">
      <c r="A4438" t="n">
        <v>25</v>
      </c>
      <c r="B4438" t="s">
        <v>14</v>
      </c>
      <c r="C4438" t="s">
        <v>15</v>
      </c>
      <c r="D4438" s="2" t="s">
        <f>=HYPERLINK("https://main.knesset.gov.il/APPS/legislation/main/bills/2204177", "פרק י""ב (אנרגיה), רק סעיף 49 (חוק התכנון והבנייה) מתוך הצעת חוק התכנית הכלכלית (תיקוני חקיקה ליישום המדיניות הכלכלית לשנות התקציב 2023 ו-2024), התשפ""ג-2023")</f>
        <v>9270</v>
      </c>
      <c r="E4438" t="s">
        <v>9270</v>
      </c>
      <c r="F4438" t="s">
        <v>14</v>
      </c>
      <c r="G4438" t="s">
        <v>110</v>
      </c>
      <c r="H4438">
             </c>
      <c r="I4438" t="s">
        <v>14</v>
      </c>
      <c r="J4438" t="s">
        <v>99</v>
      </c>
      <c r="K4438" t="s">
        <v>121</v>
      </c>
      <c r="L4438" t="s">
        <v>20</v>
      </c>
      <c r="M4438" t="s">
        <v>9268</v>
      </c>
      <c r="N4438" t="s">
        <v>14</v>
      </c>
    </row>
    <row r="4439" x14ac:dyDescent="0.25">
      <c r="A4439" t="n">
        <v>25</v>
      </c>
      <c r="B4439" t="s">
        <v>14</v>
      </c>
      <c r="C4439" t="s">
        <v>15</v>
      </c>
      <c r="D4439" s="2" t="s">
        <f>=HYPERLINK("https://main.knesset.gov.il/APPS/legislation/main/bills/2204249", "פרק כ""ד (קידום תשתיות לאומיות), רק הסעיפים הבאים בתוך סעיף 94 המוצע: 35-32, 47-46, 56, 62(1)(ה), (4), (11), (14) והתוספת השנייה מהצעת חוק התכנית הכלכלית (תיקוני חקיקה ... לשנות התקציב 2023 ו-2024), התשפ""ג-2023 [פוצלה לפי סעיף 84(ב) לתקנון הכנסת]")</f>
        <v>9271</v>
      </c>
      <c r="E4439" t="s">
        <v>9271</v>
      </c>
      <c r="F4439" t="s">
        <v>14</v>
      </c>
      <c r="G4439" t="s">
        <v>110</v>
      </c>
      <c r="H4439">
             </c>
      <c r="I4439" t="s">
        <v>14</v>
      </c>
      <c r="J4439" t="s">
        <v>18</v>
      </c>
      <c r="K4439" t="s">
        <v>46</v>
      </c>
      <c r="L4439" t="s">
        <v>20</v>
      </c>
      <c r="M4439" t="s">
        <v>9268</v>
      </c>
      <c r="N4439" t="s">
        <v>14</v>
      </c>
    </row>
    <row r="4440" x14ac:dyDescent="0.25">
      <c r="A4440" t="n">
        <v>25</v>
      </c>
      <c r="B4440" t="s">
        <v>14</v>
      </c>
      <c r="C4440" t="s">
        <v>15</v>
      </c>
      <c r="D4440" s="2" t="s">
        <f>=HYPERLINK("https://main.knesset.gov.il/APPS/legislation/main/bills/2204205", "פרק ה' (ביטוח לאומי), למעט סעיפים 15(3) עד 15(5), 17, 18 ו-20(ב) (בעניין חוק חדלות פירעון) מתוך הצעת חוק ההתייעלות הכלכלית (תיקוני חקיקה להשגת יעדי התקציב לשנות התקציב 2023 ו-2024), התשפ""ג-2023")</f>
        <v>9272</v>
      </c>
      <c r="E4440" t="s">
        <v>9272</v>
      </c>
      <c r="F4440" t="s">
        <v>14</v>
      </c>
      <c r="G4440" t="s">
        <v>110</v>
      </c>
      <c r="H4440">
             </c>
      <c r="I4440" t="s">
        <v>14</v>
      </c>
      <c r="J4440" t="s">
        <v>99</v>
      </c>
      <c r="K4440" t="s">
        <v>121</v>
      </c>
      <c r="L4440" t="s">
        <v>20</v>
      </c>
      <c r="M4440" t="s">
        <v>9268</v>
      </c>
      <c r="N4440" t="s">
        <v>14</v>
      </c>
    </row>
    <row r="4441" x14ac:dyDescent="0.25">
      <c r="A4441" t="n">
        <v>25</v>
      </c>
      <c r="B4441" t="s">
        <v>14</v>
      </c>
      <c r="C4441" t="s">
        <v>22</v>
      </c>
      <c r="D4441" s="2" t="s">
        <f>=HYPERLINK("https://main.knesset.gov.il/APPS/legislation/main/bills/2198744", "הצעת חוק הביטוח הלאומי (תיקון - כפל קצבאות), התשפ""ג-2023")</f>
        <v>9273</v>
      </c>
      <c r="E4441" t="s">
        <v>9273</v>
      </c>
      <c r="F4441" t="s">
        <v>9274</v>
      </c>
      <c r="G4441" t="s">
        <v>14</v>
      </c>
      <c r="H4441">
             </c>
      <c r="I4441" t="s">
        <v>14</v>
      </c>
      <c r="J4441" t="s">
        <v>99</v>
      </c>
      <c r="K4441" t="s">
        <v>127</v>
      </c>
      <c r="L4441" t="s">
        <v>20</v>
      </c>
      <c r="M4441" t="s">
        <v>9268</v>
      </c>
      <c r="N4441" t="s">
        <v>14</v>
      </c>
    </row>
    <row r="4442" x14ac:dyDescent="0.25">
      <c r="A4442" t="n">
        <v>25</v>
      </c>
      <c r="B4442" t="s">
        <v>14</v>
      </c>
      <c r="C4442" t="s">
        <v>22</v>
      </c>
      <c r="D4442" s="2" t="s">
        <f>=HYPERLINK("https://main.knesset.gov.il/APPS/legislation/main/bills/2197964", "הצעת חוק הביטוח הלאומי (תיקון - כפל קצבאות), התשפ""ג-2023")</f>
        <v>9273</v>
      </c>
      <c r="E4442" t="s">
        <v>9273</v>
      </c>
      <c r="F4442" t="s">
        <v>9275</v>
      </c>
      <c r="G4442" t="s">
        <v>14</v>
      </c>
      <c r="H4442">
             </c>
      <c r="I4442" t="s">
        <v>14</v>
      </c>
      <c r="J4442" t="s">
        <v>99</v>
      </c>
      <c r="K4442" t="s">
        <v>127</v>
      </c>
      <c r="L4442" t="s">
        <v>20</v>
      </c>
      <c r="M4442" t="s">
        <v>9268</v>
      </c>
      <c r="N4442" t="s">
        <v>14</v>
      </c>
    </row>
    <row r="4443" x14ac:dyDescent="0.25">
      <c r="A4443" t="n">
        <v>25</v>
      </c>
      <c r="B4443" t="s">
        <v>14</v>
      </c>
      <c r="C4443" t="s">
        <v>22</v>
      </c>
      <c r="D4443" s="2" t="s">
        <f>=HYPERLINK("https://main.knesset.gov.il/APPS/legislation/main/bills/2196618", "הצעת חוק הביטוח הלאומי (תיקון - כפל קצבאות), התשפ""ג-2022")</f>
        <v>9276</v>
      </c>
      <c r="E4443" t="s">
        <v>9276</v>
      </c>
      <c r="F4443" t="s">
        <v>9277</v>
      </c>
      <c r="G4443" t="s">
        <v>14</v>
      </c>
      <c r="H4443">
             </c>
      <c r="I4443" t="s">
        <v>14</v>
      </c>
      <c r="J4443" t="s">
        <v>99</v>
      </c>
      <c r="K4443" t="s">
        <v>127</v>
      </c>
      <c r="L4443" t="s">
        <v>20</v>
      </c>
      <c r="M4443" t="s">
        <v>9268</v>
      </c>
      <c r="N4443" t="s">
        <v>14</v>
      </c>
    </row>
    <row r="4444" x14ac:dyDescent="0.25">
      <c r="A4444" t="n">
        <v>25</v>
      </c>
      <c r="B4444" t="s">
        <v>14</v>
      </c>
      <c r="C4444" t="s">
        <v>15</v>
      </c>
      <c r="D4444" s="2" t="s">
        <f>=HYPERLINK("https://main.knesset.gov.il/APPS/legislation/main/bills/2204206", "פרק ח' (גמלאות וקצבת גישור), למעט סעיפים 30(4), 30(5), 31(א) (בעניין פנסיית גישור) מתוך הצעת חוק ההתייעלות הכלכלית (תיקוני חקיקה להשגת יעדי התקציב לשנות התקציב 2023 ו-2024), התשפ""ג-2023")</f>
        <v>9278</v>
      </c>
      <c r="E4444" t="s">
        <v>9278</v>
      </c>
      <c r="F4444" t="s">
        <v>14</v>
      </c>
      <c r="G4444" t="s">
        <v>110</v>
      </c>
      <c r="H4444">
             </c>
      <c r="I4444" t="s">
        <v>14</v>
      </c>
      <c r="J4444" t="s">
        <v>99</v>
      </c>
      <c r="K4444" t="s">
        <v>121</v>
      </c>
      <c r="L4444" t="s">
        <v>20</v>
      </c>
      <c r="M4444" t="s">
        <v>9268</v>
      </c>
      <c r="N4444" t="s">
        <v>14</v>
      </c>
    </row>
    <row r="4445" x14ac:dyDescent="0.25">
      <c r="A4445" t="n">
        <v>25</v>
      </c>
      <c r="B4445" t="s">
        <v>14</v>
      </c>
      <c r="C4445" t="s">
        <v>15</v>
      </c>
      <c r="D4445" s="2" t="s">
        <f>=HYPERLINK("https://main.knesset.gov.il/APPS/legislation/main/bills/2204162", "פרק ב' (הסדרת העיסוק בשירותי תשלום וייזום תשלום מתוך הצעת חוק התכנית הכלכלית (תיקוני חקיקה ליישום המדיניות הכלכלית לשנות התקציב 2023 ו-2024), התשפ""ג-2023")</f>
        <v>9279</v>
      </c>
      <c r="E4445" t="s">
        <v>9279</v>
      </c>
      <c r="F4445" t="s">
        <v>14</v>
      </c>
      <c r="G4445" t="s">
        <v>110</v>
      </c>
      <c r="H4445">
             </c>
      <c r="I4445" t="s">
        <v>14</v>
      </c>
      <c r="J4445" t="s">
        <v>99</v>
      </c>
      <c r="K4445" t="s">
        <v>121</v>
      </c>
      <c r="L4445" t="s">
        <v>20</v>
      </c>
      <c r="M4445" t="s">
        <v>9268</v>
      </c>
      <c r="N4445" t="s">
        <v>14</v>
      </c>
    </row>
    <row r="4446" x14ac:dyDescent="0.25">
      <c r="A4446" t="n">
        <v>25</v>
      </c>
      <c r="B4446" t="s">
        <v>14</v>
      </c>
      <c r="C4446" t="s">
        <v>15</v>
      </c>
      <c r="D4446" s="2" t="s">
        <f>=HYPERLINK("https://main.knesset.gov.il/APPS/legislation/main/bills/2204175", "פרק כ""א (חקלאות), רק סעיפים 88-87 (קביעת אורך חיי מדף בידי יצרן נאות וצמצום רגולציה לייבוא בשר) מתוך הצעת חוק התכנית הכלכלית (תיקוני חקיקה ליישום המדיניות הכלכלית לשנות התקציב 2023 ו-2024), התשפ""ג-2023")</f>
        <v>9280</v>
      </c>
      <c r="E4446" t="s">
        <v>9280</v>
      </c>
      <c r="F4446" t="s">
        <v>14</v>
      </c>
      <c r="G4446" t="s">
        <v>110</v>
      </c>
      <c r="H4446">
             </c>
      <c r="I4446" t="s">
        <v>14</v>
      </c>
      <c r="J4446" t="s">
        <v>99</v>
      </c>
      <c r="K4446" t="s">
        <v>121</v>
      </c>
      <c r="L4446" t="s">
        <v>20</v>
      </c>
      <c r="M4446" t="s">
        <v>9268</v>
      </c>
      <c r="N4446" t="s">
        <v>14</v>
      </c>
    </row>
    <row r="4447" x14ac:dyDescent="0.25">
      <c r="A4447" t="n">
        <v>25</v>
      </c>
      <c r="B4447" t="s">
        <v>14</v>
      </c>
      <c r="C4447" t="s">
        <v>15</v>
      </c>
      <c r="D4447" s="2" t="s">
        <f>=HYPERLINK("https://main.knesset.gov.il/APPS/legislation/main/bills/2204172", "פרק ח' (יבוא מוצרי מזון) מתוך הצעת חוק התכנית הכלכלית (תיקוני חקיקה ליישום המדיניות הכלכלית לשנות התקציב 2023 ו-2024), התשפ""ג-2023")</f>
        <v>9281</v>
      </c>
      <c r="E4447" t="s">
        <v>9281</v>
      </c>
      <c r="F4447" t="s">
        <v>14</v>
      </c>
      <c r="G4447" t="s">
        <v>110</v>
      </c>
      <c r="H4447">
             </c>
      <c r="I4447" t="s">
        <v>14</v>
      </c>
      <c r="J4447" t="s">
        <v>99</v>
      </c>
      <c r="K4447" t="s">
        <v>121</v>
      </c>
      <c r="L4447" t="s">
        <v>20</v>
      </c>
      <c r="M4447" t="s">
        <v>9268</v>
      </c>
      <c r="N4447" t="s">
        <v>14</v>
      </c>
    </row>
    <row r="4448" x14ac:dyDescent="0.25">
      <c r="A4448" t="n">
        <v>25</v>
      </c>
      <c r="B4448" t="s">
        <v>14</v>
      </c>
      <c r="C4448" t="s">
        <v>15</v>
      </c>
      <c r="D4448" s="2" t="s">
        <f>=HYPERLINK("https://main.knesset.gov.il/APPS/legislation/main/bills/2204190", "פרק כ""ד (קידום תשתיות לאומיות), למעט הסע' הבאים בתוך סע' 94 המוצע: 1 עד 30, 35-32, 47-46, 56, 62(1)(ה), (2), (4), (5), (6), (8), (11), (14), (15), (20), (21) והתוספת השנייה, מתוך הצעת חוק התכנית הכלכלית לשנות התקציב 2023 ו-2024")</f>
        <v>9282</v>
      </c>
      <c r="E4448" t="s">
        <v>9282</v>
      </c>
      <c r="F4448" t="s">
        <v>14</v>
      </c>
      <c r="G4448" t="s">
        <v>110</v>
      </c>
      <c r="H4448">
             </c>
      <c r="I4448" t="s">
        <v>14</v>
      </c>
      <c r="J4448" t="s">
        <v>99</v>
      </c>
      <c r="K4448" t="s">
        <v>121</v>
      </c>
      <c r="L4448" t="s">
        <v>20</v>
      </c>
      <c r="M4448" t="s">
        <v>9283</v>
      </c>
      <c r="N4448" t="s">
        <v>14</v>
      </c>
    </row>
    <row r="4449" x14ac:dyDescent="0.25">
      <c r="A4449" t="n">
        <v>25</v>
      </c>
      <c r="B4449" t="s">
        <v>14</v>
      </c>
      <c r="C4449" t="s">
        <v>15</v>
      </c>
      <c r="D4449" s="2" t="s">
        <f>=HYPERLINK("https://main.knesset.gov.il/APPS/legislation/main/bills/2204202", "פרק ד' (מיסוי בשוק הדיור), רק סעיפים 10-8 (התחדשות עירונית) מתוך הצעת חוק ההתייעלות הכלכלית (תיקוני חקיקה להשגת יעדי התקציב לשנות התקציב 2023 ו-2024), התשפ""ג-2023")</f>
        <v>9284</v>
      </c>
      <c r="E4449" t="s">
        <v>9284</v>
      </c>
      <c r="F4449" t="s">
        <v>14</v>
      </c>
      <c r="G4449" t="s">
        <v>110</v>
      </c>
      <c r="H4449">
             </c>
      <c r="I4449" t="s">
        <v>14</v>
      </c>
      <c r="J4449" t="s">
        <v>99</v>
      </c>
      <c r="K4449" t="s">
        <v>121</v>
      </c>
      <c r="L4449" t="s">
        <v>20</v>
      </c>
      <c r="M4449" t="s">
        <v>9283</v>
      </c>
      <c r="N4449" t="s">
        <v>14</v>
      </c>
    </row>
    <row r="4450" x14ac:dyDescent="0.25">
      <c r="A4450" t="n">
        <v>25</v>
      </c>
      <c r="B4450" t="s">
        <v>14</v>
      </c>
      <c r="C4450" t="s">
        <v>15</v>
      </c>
      <c r="D4450" s="2" t="s">
        <f>=HYPERLINK("https://main.knesset.gov.il/APPS/legislation/main/bills/2204201", "פרק ה' (ביטוח לאומי), רק סעיפים 15(3) עד 15(5), 18 ו-20(ב) (בעניין חוק חדלות פירעון) מתוך הצעת חוק ההתייעלות הכלכלית (תיקוני חקיקה להשגת יעדי התקציב לשנות התקציב 2023 ו-2024), התשפ""ג-2023")</f>
        <v>9285</v>
      </c>
      <c r="E4450" t="s">
        <v>9285</v>
      </c>
      <c r="F4450" t="s">
        <v>14</v>
      </c>
      <c r="G4450" t="s">
        <v>110</v>
      </c>
      <c r="H4450">
             </c>
      <c r="I4450" t="s">
        <v>14</v>
      </c>
      <c r="J4450" t="s">
        <v>99</v>
      </c>
      <c r="K4450" t="s">
        <v>121</v>
      </c>
      <c r="L4450" t="s">
        <v>20</v>
      </c>
      <c r="M4450" t="s">
        <v>9283</v>
      </c>
      <c r="N4450" t="s">
        <v>14</v>
      </c>
    </row>
    <row r="4451" x14ac:dyDescent="0.25">
      <c r="A4451" t="n">
        <v>25</v>
      </c>
      <c r="B4451" t="s">
        <v>14</v>
      </c>
      <c r="C4451" t="s">
        <v>15</v>
      </c>
      <c r="D4451" s="2" t="s">
        <f>=HYPERLINK("https://main.knesset.gov.il/APPS/legislation/main/bills/2204171", "פרק ה' (גמישות ניהולית במערכת החינוך) מתוך הצעת חוק התכנית הכלכלית (תיקוני חקיקה ליישום המדיניות הכלכלית לשנות התקציב 2023 ו-2024), התשפ""ג-2023")</f>
        <v>9286</v>
      </c>
      <c r="E4451" t="s">
        <v>9286</v>
      </c>
      <c r="F4451" t="s">
        <v>14</v>
      </c>
      <c r="G4451" t="s">
        <v>110</v>
      </c>
      <c r="H4451">
             </c>
      <c r="I4451" t="s">
        <v>14</v>
      </c>
      <c r="J4451" t="s">
        <v>99</v>
      </c>
      <c r="K4451" t="s">
        <v>121</v>
      </c>
      <c r="L4451" t="s">
        <v>20</v>
      </c>
      <c r="M4451" t="s">
        <v>9283</v>
      </c>
      <c r="N4451" t="s">
        <v>14</v>
      </c>
    </row>
    <row r="4452" x14ac:dyDescent="0.25">
      <c r="A4452" t="n">
        <v>25</v>
      </c>
      <c r="B4452" t="s">
        <v>14</v>
      </c>
      <c r="C4452" t="s">
        <v>15</v>
      </c>
      <c r="D4452" s="2" t="s">
        <f>=HYPERLINK("https://main.knesset.gov.il/APPS/legislation/main/bills/2204192", "פרק י""ח (ייעול מערכי האבטחה) מתוך הצעת חוק התכנית הכלכלית (תיקוני חקיקה ליישום המדיניות הכלכלית לשנות התקציב 2023 ו-2024), התשפ""ג-2023")</f>
        <v>9287</v>
      </c>
      <c r="E4452" t="s">
        <v>9287</v>
      </c>
      <c r="F4452" t="s">
        <v>14</v>
      </c>
      <c r="G4452" t="s">
        <v>110</v>
      </c>
      <c r="H4452">
             </c>
      <c r="I4452" t="s">
        <v>14</v>
      </c>
      <c r="J4452" t="s">
        <v>99</v>
      </c>
      <c r="K4452" t="s">
        <v>121</v>
      </c>
      <c r="L4452" t="s">
        <v>20</v>
      </c>
      <c r="M4452" t="s">
        <v>9283</v>
      </c>
      <c r="N4452" t="s">
        <v>14</v>
      </c>
    </row>
    <row r="4453" x14ac:dyDescent="0.25">
      <c r="A4453" t="n">
        <v>25</v>
      </c>
      <c r="B4453" t="s">
        <v>14</v>
      </c>
      <c r="C4453" t="s">
        <v>15</v>
      </c>
      <c r="D4453" s="2" t="s">
        <f>=HYPERLINK("https://main.knesset.gov.il/APPS/legislation/main/bills/2204188", "פרק כ""ג (השכרה ארוכת טווח) מתוך הצעת חוק התכנית הכלכלית (תיקוני חקיקה ליישום המדיניות הכלכלית לשנות התקציב 2023 ו-2024), התשפ""ג-2023 [פוצלה לפי סעיף 84(ב) לתקנון הכנסת]")</f>
        <v>9288</v>
      </c>
      <c r="E4453" t="s">
        <v>9288</v>
      </c>
      <c r="F4453" t="s">
        <v>14</v>
      </c>
      <c r="G4453" t="s">
        <v>110</v>
      </c>
      <c r="H4453">
             </c>
      <c r="I4453" t="s">
        <v>14</v>
      </c>
      <c r="J4453" t="s">
        <v>18</v>
      </c>
      <c r="K4453" t="s">
        <v>46</v>
      </c>
      <c r="L4453" t="s">
        <v>20</v>
      </c>
      <c r="M4453" t="s">
        <v>9283</v>
      </c>
      <c r="N4453" t="s">
        <v>14</v>
      </c>
    </row>
    <row r="4454" x14ac:dyDescent="0.25">
      <c r="A4454" t="n">
        <v>25</v>
      </c>
      <c r="B4454" t="s">
        <v>14</v>
      </c>
      <c r="C4454" t="s">
        <v>22</v>
      </c>
      <c r="D4454" s="2" t="s">
        <f>=HYPERLINK("https://main.knesset.gov.il/APPS/legislation/main/bills/2203798", "הצעת חוק הביטוח הלאומי (תיקון - הגדרת ילד נכה), התשפ""ג-2023")</f>
        <v>9289</v>
      </c>
      <c r="E4454" t="s">
        <v>9289</v>
      </c>
      <c r="F4454" t="s">
        <v>9290</v>
      </c>
      <c r="G4454" t="s">
        <v>14</v>
      </c>
      <c r="H4454">
             </c>
      <c r="I4454" t="s">
        <v>14</v>
      </c>
      <c r="J4454" t="s">
        <v>31</v>
      </c>
      <c r="K4454" t="s">
        <v>127</v>
      </c>
      <c r="L4454" t="s">
        <v>20</v>
      </c>
      <c r="M4454" t="s">
        <v>9283</v>
      </c>
      <c r="N4454" t="s">
        <v>14</v>
      </c>
    </row>
    <row r="4455" x14ac:dyDescent="0.25">
      <c r="A4455" t="n">
        <v>25</v>
      </c>
      <c r="B4455" t="s">
        <v>14</v>
      </c>
      <c r="C4455" t="s">
        <v>22</v>
      </c>
      <c r="D4455" s="2" t="s">
        <f>=HYPERLINK("https://main.knesset.gov.il/APPS/legislation/main/bills/2202825", "הצעת חוק הביטוח הלאומי (תיקון - הגדרת ילד נכה), התשפ""ג-2023 ")</f>
        <v>9291</v>
      </c>
      <c r="E4455" t="s">
        <v>9291</v>
      </c>
      <c r="F4455" t="s">
        <v>9292</v>
      </c>
      <c r="G4455" t="s">
        <v>14</v>
      </c>
      <c r="H4455">
             </c>
      <c r="I4455" t="s">
        <v>14</v>
      </c>
      <c r="J4455" t="s">
        <v>31</v>
      </c>
      <c r="K4455" t="s">
        <v>127</v>
      </c>
      <c r="L4455" t="s">
        <v>20</v>
      </c>
      <c r="M4455" t="s">
        <v>9283</v>
      </c>
      <c r="N4455" t="s">
        <v>14</v>
      </c>
    </row>
    <row r="4456" x14ac:dyDescent="0.25">
      <c r="A4456" t="n">
        <v>25</v>
      </c>
      <c r="B4456" t="s">
        <v>14</v>
      </c>
      <c r="C4456" t="s">
        <v>22</v>
      </c>
      <c r="D4456" s="2" t="s">
        <f>=HYPERLINK("https://main.knesset.gov.il/APPS/legislation/main/bills/2200653", "הצעת חוק לתיקון פקודת מס הכנסה (נקודות זיכוי להורי חיילים), התשפ""ג-2023")</f>
        <v>9293</v>
      </c>
      <c r="E4456" t="s">
        <v>9293</v>
      </c>
      <c r="F4456" t="s">
        <v>9294</v>
      </c>
      <c r="G4456" t="s">
        <v>14</v>
      </c>
      <c r="H4456">
             </c>
      <c r="I4456" t="s">
        <v>14</v>
      </c>
      <c r="J4456" t="s">
        <v>55</v>
      </c>
      <c r="K4456" t="s">
        <v>14</v>
      </c>
      <c r="L4456" t="s">
        <v>20</v>
      </c>
      <c r="M4456" t="s">
        <v>9283</v>
      </c>
      <c r="N4456" t="s">
        <v>14</v>
      </c>
    </row>
    <row r="4457" x14ac:dyDescent="0.25">
      <c r="A4457" t="n">
        <v>25</v>
      </c>
      <c r="B4457" t="s">
        <v>14</v>
      </c>
      <c r="C4457" t="s">
        <v>22</v>
      </c>
      <c r="D4457" s="2" t="s">
        <f>=HYPERLINK("https://main.knesset.gov.il/APPS/legislation/main/bills/2201831", "הצעת חוק הביטוח הלאומי (תיקון - הגדרת ילד נכה), התשפ""ג-2023 ")</f>
        <v>9291</v>
      </c>
      <c r="E4457" t="s">
        <v>9291</v>
      </c>
      <c r="F4457" t="s">
        <v>9295</v>
      </c>
      <c r="G4457" t="s">
        <v>14</v>
      </c>
      <c r="H4457">
             </c>
      <c r="I4457" t="s">
        <v>14</v>
      </c>
      <c r="J4457" t="s">
        <v>31</v>
      </c>
      <c r="K4457" t="s">
        <v>127</v>
      </c>
      <c r="L4457" t="s">
        <v>20</v>
      </c>
      <c r="M4457" t="s">
        <v>9283</v>
      </c>
      <c r="N4457" t="s">
        <v>14</v>
      </c>
    </row>
    <row r="4458" x14ac:dyDescent="0.25">
      <c r="A4458" t="n">
        <v>25</v>
      </c>
      <c r="B4458" t="s">
        <v>14</v>
      </c>
      <c r="C4458" t="s">
        <v>22</v>
      </c>
      <c r="D4458" s="2" t="s">
        <f>=HYPERLINK("https://main.knesset.gov.il/APPS/legislation/main/bills/2197841", "הצעת חוק לתיקון פקודת מס הכנסה (הטבות מס ליישובים), התשפ""ג-2023")</f>
        <v>9296</v>
      </c>
      <c r="E4458" t="s">
        <v>9296</v>
      </c>
      <c r="F4458" t="s">
        <v>9297</v>
      </c>
      <c r="G4458" t="s">
        <v>14</v>
      </c>
      <c r="H4458">
             </c>
      <c r="I4458" t="s">
        <v>14</v>
      </c>
      <c r="J4458" t="s">
        <v>343</v>
      </c>
      <c r="K4458" t="s">
        <v>14</v>
      </c>
      <c r="L4458" t="s">
        <v>20</v>
      </c>
      <c r="M4458" t="s">
        <v>9283</v>
      </c>
      <c r="N4458" t="s">
        <v>14</v>
      </c>
    </row>
    <row r="4459" x14ac:dyDescent="0.25">
      <c r="A4459" t="n">
        <v>25</v>
      </c>
      <c r="B4459" t="s">
        <v>14</v>
      </c>
      <c r="C4459" t="s">
        <v>22</v>
      </c>
      <c r="D4459" s="2" t="s">
        <f>=HYPERLINK("https://main.knesset.gov.il/APPS/legislation/main/bills/2199527", "הצעת חוק לימוד חובה (תיקון - חינוך חינם לפעוטות ולילדים), התשפ""ג-2023")</f>
        <v>9298</v>
      </c>
      <c r="E4459" t="s">
        <v>9298</v>
      </c>
      <c r="F4459" t="s">
        <v>9299</v>
      </c>
      <c r="G4459" t="s">
        <v>14</v>
      </c>
      <c r="H4459">
             </c>
      <c r="I4459" t="s">
        <v>14</v>
      </c>
      <c r="J4459" t="s">
        <v>343</v>
      </c>
      <c r="K4459" t="s">
        <v>14</v>
      </c>
      <c r="L4459" t="s">
        <v>20</v>
      </c>
      <c r="M4459" t="s">
        <v>9283</v>
      </c>
      <c r="N4459" t="s">
        <v>14</v>
      </c>
    </row>
    <row r="4460" x14ac:dyDescent="0.25">
      <c r="A4460" t="n">
        <v>25</v>
      </c>
      <c r="B4460" t="s">
        <v>14</v>
      </c>
      <c r="C4460" t="s">
        <v>22</v>
      </c>
      <c r="D4460" s="2" t="s">
        <f>=HYPERLINK("https://main.knesset.gov.il/APPS/legislation/main/bills/2199923", "הצעת חוק לימוד חובה (תיקון - חינוך חינם לפעוטות ולילדים), התשפ""ג-2023")</f>
        <v>9298</v>
      </c>
      <c r="E4460" t="s">
        <v>9298</v>
      </c>
      <c r="F4460" t="s">
        <v>9300</v>
      </c>
      <c r="G4460" t="s">
        <v>14</v>
      </c>
      <c r="H4460">
             </c>
      <c r="I4460" t="s">
        <v>14</v>
      </c>
      <c r="J4460" t="s">
        <v>343</v>
      </c>
      <c r="K4460" t="s">
        <v>14</v>
      </c>
      <c r="L4460" t="s">
        <v>20</v>
      </c>
      <c r="M4460" t="s">
        <v>9283</v>
      </c>
      <c r="N4460" t="s">
        <v>14</v>
      </c>
    </row>
    <row r="4461" x14ac:dyDescent="0.25">
      <c r="A4461" t="n">
        <v>25</v>
      </c>
      <c r="B4461" t="s">
        <v>14</v>
      </c>
      <c r="C4461" t="s">
        <v>22</v>
      </c>
      <c r="D4461" s="2" t="s">
        <f>=HYPERLINK("https://main.knesset.gov.il/APPS/legislation/main/bills/2199573", "הצעת חוק מוקד חירום רפואי טלפוני, התשפ""ג-2023")</f>
        <v>9301</v>
      </c>
      <c r="E4461" t="s">
        <v>9301</v>
      </c>
      <c r="F4461" t="s">
        <v>9302</v>
      </c>
      <c r="G4461" t="s">
        <v>14</v>
      </c>
      <c r="H4461">
             </c>
      <c r="I4461" t="s">
        <v>14</v>
      </c>
      <c r="J4461" t="s">
        <v>31</v>
      </c>
      <c r="K4461" t="s">
        <v>480</v>
      </c>
      <c r="L4461" t="s">
        <v>20</v>
      </c>
      <c r="M4461" t="s">
        <v>9283</v>
      </c>
      <c r="N4461" t="s">
        <v>14</v>
      </c>
    </row>
    <row r="4462" x14ac:dyDescent="0.25">
      <c r="A4462" t="n">
        <v>25</v>
      </c>
      <c r="B4462" t="s">
        <v>14</v>
      </c>
      <c r="C4462" t="s">
        <v>22</v>
      </c>
      <c r="D4462" s="2" t="s">
        <f>=HYPERLINK("https://main.knesset.gov.il/APPS/legislation/main/bills/2198818", "הצעת חוק לימוד חובה (תיקון - חינוך חינם לגיל הרך), התשפ""ג-2023")</f>
        <v>9303</v>
      </c>
      <c r="E4462" t="s">
        <v>9303</v>
      </c>
      <c r="F4462" t="s">
        <v>9304</v>
      </c>
      <c r="G4462" t="s">
        <v>14</v>
      </c>
      <c r="H4462">
             </c>
      <c r="I4462" t="s">
        <v>14</v>
      </c>
      <c r="J4462" t="s">
        <v>343</v>
      </c>
      <c r="K4462" t="s">
        <v>14</v>
      </c>
      <c r="L4462" t="s">
        <v>20</v>
      </c>
      <c r="M4462" t="s">
        <v>9283</v>
      </c>
      <c r="N4462" t="s">
        <v>14</v>
      </c>
    </row>
    <row r="4463" x14ac:dyDescent="0.25">
      <c r="A4463" t="n">
        <v>25</v>
      </c>
      <c r="B4463" t="s">
        <v>14</v>
      </c>
      <c r="C4463" t="s">
        <v>22</v>
      </c>
      <c r="D4463" s="2" t="s">
        <f>=HYPERLINK("https://main.knesset.gov.il/APPS/legislation/main/bills/2197084", "הצעת חוק לתיקון פקודת הדיג (איסור דיג מכמורת), התשפ""ג-2022")</f>
        <v>9305</v>
      </c>
      <c r="E4463" t="s">
        <v>9305</v>
      </c>
      <c r="F4463" t="s">
        <v>9306</v>
      </c>
      <c r="G4463" t="s">
        <v>14</v>
      </c>
      <c r="H4463">
             </c>
      <c r="I4463" t="s">
        <v>14</v>
      </c>
      <c r="J4463" t="s">
        <v>55</v>
      </c>
      <c r="K4463" t="s">
        <v>14</v>
      </c>
      <c r="L4463" t="s">
        <v>20</v>
      </c>
      <c r="M4463" t="s">
        <v>9283</v>
      </c>
      <c r="N4463" t="s">
        <v>14</v>
      </c>
    </row>
    <row r="4464" x14ac:dyDescent="0.25">
      <c r="A4464" t="n">
        <v>25</v>
      </c>
      <c r="B4464" t="s">
        <v>14</v>
      </c>
      <c r="C4464" t="s">
        <v>15</v>
      </c>
      <c r="D4464" s="2" t="s">
        <f>=HYPERLINK("https://main.knesset.gov.il/APPS/legislation/main/bills/2204185", "פרק ט""ו, למעט סע' 56(2)(א) ו-(2)(ב)(2) (העמקת התחדשות עירונית באזורי ביקוש), 56(3) ו-57 (חוק הרשות הממשלתית להתחדשות עירונית), 62-61 (פיצול דירות) מתוך הצ""ח התכנית הכלכלית (תיקוני חקיקה ליישום המדיניות הכלכלית לשנות התקציב 2023 ו-2024), התשפ""ג-2023")</f>
        <v>9307</v>
      </c>
      <c r="E4464" t="s">
        <v>9307</v>
      </c>
      <c r="F4464" t="s">
        <v>14</v>
      </c>
      <c r="G4464" t="s">
        <v>110</v>
      </c>
      <c r="H4464">
             </c>
      <c r="I4464" t="s">
        <v>14</v>
      </c>
      <c r="J4464" t="s">
        <v>99</v>
      </c>
      <c r="K4464" t="s">
        <v>121</v>
      </c>
      <c r="L4464" t="s">
        <v>20</v>
      </c>
      <c r="M4464" t="s">
        <v>9308</v>
      </c>
      <c r="N4464" t="s">
        <v>14</v>
      </c>
    </row>
    <row r="4465" x14ac:dyDescent="0.25">
      <c r="A4465" t="n">
        <v>25</v>
      </c>
      <c r="B4465" t="s">
        <v>14</v>
      </c>
      <c r="C4465" t="s">
        <v>15</v>
      </c>
      <c r="D4465" s="2" t="s">
        <f>=HYPERLINK("https://main.knesset.gov.il/APPS/legislation/main/bills/2204169", "פרק כ""א (חקלאות), רק סעיף 86 (חוק הגנת הצומח) מתוך הצעת חוק התכנית הכלכלית (תיקוני חקיקה ליישום המדיניות הכלכלית לשנות התקציב 2023 ו-2024), התשפ""ג-2023")</f>
        <v>9309</v>
      </c>
      <c r="E4465" t="s">
        <v>9309</v>
      </c>
      <c r="F4465" t="s">
        <v>14</v>
      </c>
      <c r="G4465" t="s">
        <v>110</v>
      </c>
      <c r="H4465">
             </c>
      <c r="I4465" t="s">
        <v>14</v>
      </c>
      <c r="J4465" t="s">
        <v>99</v>
      </c>
      <c r="K4465" t="s">
        <v>121</v>
      </c>
      <c r="L4465" t="s">
        <v>20</v>
      </c>
      <c r="M4465" t="s">
        <v>9308</v>
      </c>
      <c r="N4465" t="s">
        <v>14</v>
      </c>
    </row>
    <row r="4466" x14ac:dyDescent="0.25">
      <c r="A4466" t="n">
        <v>25</v>
      </c>
      <c r="B4466" t="s">
        <v>14</v>
      </c>
      <c r="C4466" t="s">
        <v>15</v>
      </c>
      <c r="D4466" s="2" t="s">
        <f>=HYPERLINK("https://main.knesset.gov.il/APPS/legislation/main/bills/2204196", "פרק ד' (מיסוי בשוק הדיור), למעט סעיפים 10-8 (התחדשות עירונית), 11(3), 12(ב), 12(ג) ו-13מתוך הצעת חוק ההתייעלות הכלכלית (תיקוני חקיקה להשגת יעדי התקציב לשנות התקציב 2023 ו-2024), התשפ""ג-2023")</f>
        <v>9310</v>
      </c>
      <c r="E4466" t="s">
        <v>9310</v>
      </c>
      <c r="F4466" t="s">
        <v>14</v>
      </c>
      <c r="G4466" t="s">
        <v>110</v>
      </c>
      <c r="H4466">
             </c>
      <c r="I4466" t="s">
        <v>14</v>
      </c>
      <c r="J4466" t="s">
        <v>99</v>
      </c>
      <c r="K4466" t="s">
        <v>121</v>
      </c>
      <c r="L4466" t="s">
        <v>20</v>
      </c>
      <c r="M4466" t="s">
        <v>9308</v>
      </c>
      <c r="N4466" t="s">
        <v>14</v>
      </c>
    </row>
    <row r="4467" x14ac:dyDescent="0.25">
      <c r="A4467" t="n">
        <v>25</v>
      </c>
      <c r="B4467" t="s">
        <v>14</v>
      </c>
      <c r="C4467" t="s">
        <v>15</v>
      </c>
      <c r="D4467" s="2" t="s">
        <f>=HYPERLINK("https://main.knesset.gov.il/APPS/legislation/main/bills/2204156", "פרק ז' (בנקאות ואשראי) רק סעיפים 26-25 (בעניין חוב אשראי לגיוס) מתוך הצעת חוק התכנית הכלכלית (תיקוני חקיקה ליישום המדיניות הכלכלית לשנות התקציב 2023 ו-2024), התשפ""ג-2023")</f>
        <v>9311</v>
      </c>
      <c r="E4467" t="s">
        <v>9311</v>
      </c>
      <c r="F4467" t="s">
        <v>14</v>
      </c>
      <c r="G4467" t="s">
        <v>110</v>
      </c>
      <c r="H4467">
             </c>
      <c r="I4467" t="s">
        <v>14</v>
      </c>
      <c r="J4467" t="s">
        <v>99</v>
      </c>
      <c r="K4467" t="s">
        <v>121</v>
      </c>
      <c r="L4467" t="s">
        <v>20</v>
      </c>
      <c r="M4467" t="s">
        <v>9308</v>
      </c>
      <c r="N4467" t="s">
        <v>14</v>
      </c>
    </row>
    <row r="4468" x14ac:dyDescent="0.25">
      <c r="A4468" t="n">
        <v>25</v>
      </c>
      <c r="B4468" t="s">
        <v>14</v>
      </c>
      <c r="C4468" t="s">
        <v>15</v>
      </c>
      <c r="D4468" s="2" t="s">
        <f>=HYPERLINK("https://main.knesset.gov.il/APPS/legislation/main/bills/2204165", "פרק ז' (בנקאות ואשראי), למעט סעיפים 26-25 מתוך הצעת חוק התכנית הכלכלית (תיקוני חקיקה ליישום המדיניות הכלכלית לשנות התקציב 2023 ו-2024), התשפ""ג-2023")</f>
        <v>9312</v>
      </c>
      <c r="E4468" t="s">
        <v>9312</v>
      </c>
      <c r="F4468" t="s">
        <v>14</v>
      </c>
      <c r="G4468" t="s">
        <v>110</v>
      </c>
      <c r="H4468">
             </c>
      <c r="I4468" t="s">
        <v>14</v>
      </c>
      <c r="J4468" t="s">
        <v>99</v>
      </c>
      <c r="K4468" t="s">
        <v>121</v>
      </c>
      <c r="L4468" t="s">
        <v>20</v>
      </c>
      <c r="M4468" t="s">
        <v>9308</v>
      </c>
      <c r="N4468" t="s">
        <v>14</v>
      </c>
    </row>
    <row r="4469" x14ac:dyDescent="0.25">
      <c r="A4469" t="n">
        <v>25</v>
      </c>
      <c r="B4469" t="s">
        <v>14</v>
      </c>
      <c r="C4469" t="s">
        <v>15</v>
      </c>
      <c r="D4469" s="2" t="s">
        <f>=HYPERLINK("https://main.knesset.gov.il/APPS/legislation/main/bills/2204239", "פרק ט' (מסים), רק סעיפים 47-45 מתוך הצעת חוק ההתייעלות הכלכלית (תיקוני חקיקה להשגת יעדי התקציב לשנות התקציב 2023 ו-2024), התשפ""ג-2023 [פוצלה לפי סעיף 84(ב) לתקנון]")</f>
        <v>9313</v>
      </c>
      <c r="E4469" t="s">
        <v>9313</v>
      </c>
      <c r="F4469" t="s">
        <v>14</v>
      </c>
      <c r="G4469" t="s">
        <v>110</v>
      </c>
      <c r="H4469">
             </c>
      <c r="I4469" t="s">
        <v>14</v>
      </c>
      <c r="J4469" t="s">
        <v>18</v>
      </c>
      <c r="K4469" t="s">
        <v>27</v>
      </c>
      <c r="L4469" t="s">
        <v>20</v>
      </c>
      <c r="M4469" t="s">
        <v>9308</v>
      </c>
      <c r="N4469" t="s">
        <v>14</v>
      </c>
    </row>
    <row r="4470" x14ac:dyDescent="0.25">
      <c r="A4470" t="n">
        <v>25</v>
      </c>
      <c r="B4470" t="s">
        <v>14</v>
      </c>
      <c r="C4470" t="s">
        <v>15</v>
      </c>
      <c r="D4470" s="2" t="s">
        <f>=HYPERLINK("https://main.knesset.gov.il/APPS/legislation/main/bills/2204207", "פרק ח' (גמלאות וקצבת גישור), רק סעיפים 30(4), 30(5), 31(א) (בעניין פנסיית גישור) מתוך הצעת חוק ההתייעלות הכלכלית (תיקוני חקיקה להשגת יעדי התקציב לשנות התקציב 2023 ו-2024), התשפ""ג-2023")</f>
        <v>9314</v>
      </c>
      <c r="E4470" t="s">
        <v>9314</v>
      </c>
      <c r="F4470" t="s">
        <v>14</v>
      </c>
      <c r="G4470" t="s">
        <v>110</v>
      </c>
      <c r="H4470">
             </c>
      <c r="I4470" t="s">
        <v>14</v>
      </c>
      <c r="J4470" t="s">
        <v>99</v>
      </c>
      <c r="K4470" t="s">
        <v>121</v>
      </c>
      <c r="L4470" t="s">
        <v>20</v>
      </c>
      <c r="M4470" t="s">
        <v>9308</v>
      </c>
      <c r="N4470" t="s">
        <v>14</v>
      </c>
    </row>
    <row r="4471" x14ac:dyDescent="0.25">
      <c r="A4471" t="n">
        <v>25</v>
      </c>
      <c r="B4471" t="s">
        <v>14</v>
      </c>
      <c r="C4471" t="s">
        <v>15</v>
      </c>
      <c r="D4471" s="2" t="s">
        <f>=HYPERLINK("https://main.knesset.gov.il/APPS/legislation/main/bills/2204158", "פרק ט' (תיווך בביטוח ובחיסכון פנסיוני), רק סעיף 36 (איסור על סירוב בלתי סביר להתקשורת) מתוך הצעת חוק התכנית הכלכלית (תיקוני חקיקה ליישום המדיניות הכלכלית לשנות התקציב 2023 ו-2024), התשפ""ג-2023")</f>
        <v>9315</v>
      </c>
      <c r="E4471" t="s">
        <v>9315</v>
      </c>
      <c r="F4471" t="s">
        <v>14</v>
      </c>
      <c r="G4471" t="s">
        <v>110</v>
      </c>
      <c r="H4471">
             </c>
      <c r="I4471" t="s">
        <v>14</v>
      </c>
      <c r="J4471" t="s">
        <v>99</v>
      </c>
      <c r="K4471" t="s">
        <v>121</v>
      </c>
      <c r="L4471" t="s">
        <v>20</v>
      </c>
      <c r="M4471" t="s">
        <v>9308</v>
      </c>
      <c r="N4471" t="s">
        <v>14</v>
      </c>
    </row>
    <row r="4472" x14ac:dyDescent="0.25">
      <c r="A4472" t="n">
        <v>25</v>
      </c>
      <c r="B4472" t="s">
        <v>14</v>
      </c>
      <c r="C4472" t="s">
        <v>15</v>
      </c>
      <c r="D4472" s="2" t="s">
        <f>=HYPERLINK("https://main.knesset.gov.il/APPS/legislation/main/bills/2204163", "פרק כ""ד (קידום תשתיות לאומיות), רק סעיפים 1 עד 30 בתוך סעיף 94 המוצע מתוך הצעת חוק התכנית הכלכלית (תיקוני חקיקה ליישום המדיניות הכלכלית לשנות התקציב 2023 ו-2024), התשפ""ג-2023")</f>
        <v>9316</v>
      </c>
      <c r="E4472" t="s">
        <v>9316</v>
      </c>
      <c r="F4472" t="s">
        <v>14</v>
      </c>
      <c r="G4472" t="s">
        <v>110</v>
      </c>
      <c r="H4472">
             </c>
      <c r="I4472" t="s">
        <v>14</v>
      </c>
      <c r="J4472" t="s">
        <v>99</v>
      </c>
      <c r="K4472" t="s">
        <v>121</v>
      </c>
      <c r="L4472" t="s">
        <v>20</v>
      </c>
      <c r="M4472" t="s">
        <v>9308</v>
      </c>
      <c r="N4472" t="s">
        <v>14</v>
      </c>
    </row>
    <row r="4473" x14ac:dyDescent="0.25">
      <c r="A4473" t="n">
        <v>25</v>
      </c>
      <c r="B4473" t="s">
        <v>14</v>
      </c>
      <c r="C4473" t="s">
        <v>22</v>
      </c>
      <c r="D4473" s="2" t="s">
        <f>=HYPERLINK("https://main.knesset.gov.il/APPS/legislation/main/bills/2203710", "הצעת חוק עבודת נשים (תיקון - שעות היעדרות מעבודה לאישה בהיריון בר-סיכון), התשפ""ג-2023")</f>
        <v>9317</v>
      </c>
      <c r="E4473" t="s">
        <v>9317</v>
      </c>
      <c r="F4473" t="s">
        <v>9318</v>
      </c>
      <c r="G4473" t="s">
        <v>14</v>
      </c>
      <c r="H4473">
             </c>
      <c r="I4473" t="s">
        <v>14</v>
      </c>
      <c r="J4473" t="s">
        <v>141</v>
      </c>
      <c r="K4473" t="s">
        <v>14</v>
      </c>
      <c r="L4473" t="s">
        <v>20</v>
      </c>
      <c r="M4473" t="s">
        <v>9308</v>
      </c>
      <c r="N4473" t="s">
        <v>14</v>
      </c>
    </row>
    <row r="4474" x14ac:dyDescent="0.25">
      <c r="A4474" t="n">
        <v>25</v>
      </c>
      <c r="B4474" t="s">
        <v>14</v>
      </c>
      <c r="C4474" t="s">
        <v>22</v>
      </c>
      <c r="D4474" s="2" t="s">
        <f>=HYPERLINK("https://main.knesset.gov.il/APPS/legislation/main/bills/2204208", "הצעת חוק עבודת נשים (תיקון - תקופת לידה והורות להורה יחיד), התשפ""ג-2023 ")</f>
        <v>9319</v>
      </c>
      <c r="E4474" t="s">
        <v>9319</v>
      </c>
      <c r="F4474" t="s">
        <v>9320</v>
      </c>
      <c r="G4474" t="s">
        <v>14</v>
      </c>
      <c r="H4474">
             </c>
      <c r="I4474" t="s">
        <v>14</v>
      </c>
      <c r="J4474" t="s">
        <v>141</v>
      </c>
      <c r="K4474" t="s">
        <v>14</v>
      </c>
      <c r="L4474" t="s">
        <v>20</v>
      </c>
      <c r="M4474" t="s">
        <v>9308</v>
      </c>
      <c r="N4474" t="s">
        <v>14</v>
      </c>
    </row>
    <row r="4475" x14ac:dyDescent="0.25">
      <c r="A4475" t="n">
        <v>25</v>
      </c>
      <c r="B4475" t="s">
        <v>14</v>
      </c>
      <c r="C4475" t="s">
        <v>22</v>
      </c>
      <c r="D4475" s="2" t="s">
        <f>=HYPERLINK("https://main.knesset.gov.il/APPS/legislation/main/bills/2203151", "הצעת חוק שירות ישראלי, התשפ""ג-2023 ")</f>
        <v>9321</v>
      </c>
      <c r="E4475" t="s">
        <v>9321</v>
      </c>
      <c r="F4475" t="s">
        <v>9322</v>
      </c>
      <c r="G4475" t="s">
        <v>14</v>
      </c>
      <c r="H4475">
             </c>
      <c r="I4475" t="s">
        <v>14</v>
      </c>
      <c r="J4475" t="s">
        <v>141</v>
      </c>
      <c r="K4475" t="s">
        <v>14</v>
      </c>
      <c r="L4475" t="s">
        <v>20</v>
      </c>
      <c r="M4475" t="s">
        <v>9308</v>
      </c>
      <c r="N4475" t="s">
        <v>14</v>
      </c>
    </row>
    <row r="4476" x14ac:dyDescent="0.25">
      <c r="A4476" t="n">
        <v>25</v>
      </c>
      <c r="B4476" t="s">
        <v>14</v>
      </c>
      <c r="C4476" t="s">
        <v>22</v>
      </c>
      <c r="D4476" s="2" t="s">
        <f>=HYPERLINK("https://main.knesset.gov.il/APPS/legislation/main/bills/2204204", "הצעת חוק קבלת ילד של עובדת הוראה למעון יום והשתתפות בעלות שכר הלימוד, התשפ""ג-2023 ")</f>
        <v>9323</v>
      </c>
      <c r="E4476" t="s">
        <v>9323</v>
      </c>
      <c r="F4476" t="s">
        <v>9324</v>
      </c>
      <c r="G4476" t="s">
        <v>14</v>
      </c>
      <c r="H4476">
             </c>
      <c r="I4476" t="s">
        <v>14</v>
      </c>
      <c r="J4476" t="s">
        <v>141</v>
      </c>
      <c r="K4476" t="s">
        <v>14</v>
      </c>
      <c r="L4476" t="s">
        <v>20</v>
      </c>
      <c r="M4476" t="s">
        <v>9308</v>
      </c>
      <c r="N4476" t="s">
        <v>14</v>
      </c>
    </row>
    <row r="4477" x14ac:dyDescent="0.25">
      <c r="A4477" t="n">
        <v>25</v>
      </c>
      <c r="B4477" t="s">
        <v>14</v>
      </c>
      <c r="C4477" t="s">
        <v>22</v>
      </c>
      <c r="D4477" s="2" t="s">
        <f>=HYPERLINK("https://main.knesset.gov.il/APPS/legislation/main/bills/2204212", "הצעת חוק הביטוח הלאומי (תיקון - תשלום דמי אבטלה לנשים שיצאו לחופשה ללא תשלום לאחר לידה), התשפ""ג-2023")</f>
        <v>9325</v>
      </c>
      <c r="E4477" t="s">
        <v>9325</v>
      </c>
      <c r="F4477" t="s">
        <v>9326</v>
      </c>
      <c r="G4477" t="s">
        <v>14</v>
      </c>
      <c r="H4477">
             </c>
      <c r="I4477" t="s">
        <v>14</v>
      </c>
      <c r="J4477" t="s">
        <v>141</v>
      </c>
      <c r="K4477" t="s">
        <v>14</v>
      </c>
      <c r="L4477" t="s">
        <v>20</v>
      </c>
      <c r="M4477" t="s">
        <v>9308</v>
      </c>
      <c r="N4477" t="s">
        <v>14</v>
      </c>
    </row>
    <row r="4478" x14ac:dyDescent="0.25">
      <c r="A4478" t="n">
        <v>25</v>
      </c>
      <c r="B4478" t="s">
        <v>14</v>
      </c>
      <c r="C4478" t="s">
        <v>22</v>
      </c>
      <c r="D4478" s="2" t="s">
        <f>=HYPERLINK("https://main.knesset.gov.il/APPS/legislation/main/bills/2203933", "הצעת חוק הגנת השכר (תיקון - הגבלת ניכוי דמי חבר ודמי טיפול מקצועי ארגוני), התשפ""ג-2023")</f>
        <v>9327</v>
      </c>
      <c r="E4478" t="s">
        <v>9327</v>
      </c>
      <c r="F4478" t="s">
        <v>9328</v>
      </c>
      <c r="G4478" t="s">
        <v>14</v>
      </c>
      <c r="H4478">
             </c>
      <c r="I4478" t="s">
        <v>14</v>
      </c>
      <c r="J4478" t="s">
        <v>141</v>
      </c>
      <c r="K4478" t="s">
        <v>14</v>
      </c>
      <c r="L4478" t="s">
        <v>20</v>
      </c>
      <c r="M4478" t="s">
        <v>9308</v>
      </c>
      <c r="N4478" t="s">
        <v>14</v>
      </c>
    </row>
    <row r="4479" x14ac:dyDescent="0.25">
      <c r="A4479" t="n">
        <v>25</v>
      </c>
      <c r="B4479" t="s">
        <v>14</v>
      </c>
      <c r="C4479" t="s">
        <v>22</v>
      </c>
      <c r="D4479" s="2" t="s">
        <f>=HYPERLINK("https://main.knesset.gov.il/APPS/legislation/main/bills/2204159", "הצעת חוק הביטוח הלאומי (תיקון - תגמול למשרתים במילואים), התשפ""ג-2023")</f>
        <v>9329</v>
      </c>
      <c r="E4479" t="s">
        <v>9329</v>
      </c>
      <c r="F4479" t="s">
        <v>9330</v>
      </c>
      <c r="G4479" t="s">
        <v>14</v>
      </c>
      <c r="H4479">
             </c>
      <c r="I4479" t="s">
        <v>14</v>
      </c>
      <c r="J4479" t="s">
        <v>141</v>
      </c>
      <c r="K4479" t="s">
        <v>14</v>
      </c>
      <c r="L4479" t="s">
        <v>20</v>
      </c>
      <c r="M4479" t="s">
        <v>9308</v>
      </c>
      <c r="N4479" t="s">
        <v>14</v>
      </c>
    </row>
    <row r="4480" x14ac:dyDescent="0.25">
      <c r="A4480" t="n">
        <v>25</v>
      </c>
      <c r="B4480" t="s">
        <v>14</v>
      </c>
      <c r="C4480" t="s">
        <v>22</v>
      </c>
      <c r="D4480" s="2" t="s">
        <f>=HYPERLINK("https://main.knesset.gov.il/APPS/legislation/main/bills/2204142", "הצעת חוק דמי מחלה (היעדרות בשל מחלת ילד) (תיקון - הורה ליותר מילד אחד), התשפ""ג-2023")</f>
        <v>9331</v>
      </c>
      <c r="E4480" t="s">
        <v>9331</v>
      </c>
      <c r="F4480" t="s">
        <v>9332</v>
      </c>
      <c r="G4480" t="s">
        <v>14</v>
      </c>
      <c r="H4480">
             </c>
      <c r="I4480" t="s">
        <v>14</v>
      </c>
      <c r="J4480" t="s">
        <v>141</v>
      </c>
      <c r="K4480" t="s">
        <v>14</v>
      </c>
      <c r="L4480" t="s">
        <v>20</v>
      </c>
      <c r="M4480" t="s">
        <v>9308</v>
      </c>
      <c r="N4480" t="s">
        <v>14</v>
      </c>
    </row>
    <row r="4481" x14ac:dyDescent="0.25">
      <c r="A4481" t="n">
        <v>25</v>
      </c>
      <c r="B4481" t="s">
        <v>14</v>
      </c>
      <c r="C4481" t="s">
        <v>22</v>
      </c>
      <c r="D4481" s="2" t="s">
        <f>=HYPERLINK("https://main.knesset.gov.il/APPS/legislation/main/bills/2204324", "הצעת חוק הביטוח הלאומי (תיקון - שינוי המונח נכה), התשפ""ג-2023")</f>
        <v>9333</v>
      </c>
      <c r="E4481" t="s">
        <v>9333</v>
      </c>
      <c r="F4481" t="s">
        <v>9334</v>
      </c>
      <c r="G4481" t="s">
        <v>14</v>
      </c>
      <c r="H4481">
             </c>
      <c r="I4481" t="s">
        <v>14</v>
      </c>
      <c r="J4481" t="s">
        <v>141</v>
      </c>
      <c r="K4481" t="s">
        <v>14</v>
      </c>
      <c r="L4481" t="s">
        <v>20</v>
      </c>
      <c r="M4481" t="s">
        <v>9308</v>
      </c>
      <c r="N4481" t="s">
        <v>14</v>
      </c>
    </row>
    <row r="4482" x14ac:dyDescent="0.25">
      <c r="A4482" t="n">
        <v>25</v>
      </c>
      <c r="B4482" t="s">
        <v>14</v>
      </c>
      <c r="C4482" t="s">
        <v>22</v>
      </c>
      <c r="D4482" s="2" t="s">
        <f>=HYPERLINK("https://main.knesset.gov.il/APPS/legislation/main/bills/2203920", "הצעת חוק ביטוח בריאות ממלכתי (תיקון - הרחבת הסדרי הבחירה), התשפ""ג-2023")</f>
        <v>9335</v>
      </c>
      <c r="E4482" t="s">
        <v>9335</v>
      </c>
      <c r="F4482" t="s">
        <v>9336</v>
      </c>
      <c r="G4482" t="s">
        <v>14</v>
      </c>
      <c r="H4482">
             </c>
      <c r="I4482" t="s">
        <v>14</v>
      </c>
      <c r="J4482" t="s">
        <v>141</v>
      </c>
      <c r="K4482" t="s">
        <v>14</v>
      </c>
      <c r="L4482" t="s">
        <v>20</v>
      </c>
      <c r="M4482" t="s">
        <v>9308</v>
      </c>
      <c r="N4482" t="s">
        <v>14</v>
      </c>
    </row>
    <row r="4483" x14ac:dyDescent="0.25">
      <c r="A4483" t="n">
        <v>25</v>
      </c>
      <c r="B4483" t="s">
        <v>14</v>
      </c>
      <c r="C4483" t="s">
        <v>22</v>
      </c>
      <c r="D4483" s="2" t="s">
        <f>=HYPERLINK("https://main.knesset.gov.il/APPS/legislation/main/bills/2204572", "הצעת חוק לחילוט תקבולי עבירה בשווי בעבירת גניבה חקלאית ובעבירות הגורמות נזק לרכוש חקלאי, התשפ""ג-2023")</f>
        <v>9337</v>
      </c>
      <c r="E4483" t="s">
        <v>9337</v>
      </c>
      <c r="F4483" t="s">
        <v>9338</v>
      </c>
      <c r="G4483" t="s">
        <v>14</v>
      </c>
      <c r="H4483">
             </c>
      <c r="I4483" t="s">
        <v>14</v>
      </c>
      <c r="J4483" t="s">
        <v>141</v>
      </c>
      <c r="K4483" t="s">
        <v>14</v>
      </c>
      <c r="L4483" t="s">
        <v>20</v>
      </c>
      <c r="M4483" t="s">
        <v>9308</v>
      </c>
      <c r="N4483" t="s">
        <v>14</v>
      </c>
    </row>
    <row r="4484" x14ac:dyDescent="0.25">
      <c r="A4484" t="n">
        <v>25</v>
      </c>
      <c r="B4484" t="s">
        <v>14</v>
      </c>
      <c r="C4484" t="s">
        <v>22</v>
      </c>
      <c r="D4484" s="2" t="s">
        <f>=HYPERLINK("https://main.knesset.gov.il/APPS/legislation/main/bills/2199990", "הצעת חוק למניעת הטרדה מינית (תיקון - החמרת הענישה על הטרדה מינית באמצעים טכנולוגיים - הפצת תוכן מיני של קטינים), התשפ""ג-2023")</f>
        <v>9339</v>
      </c>
      <c r="E4484" t="s">
        <v>9339</v>
      </c>
      <c r="F4484" t="s">
        <v>9340</v>
      </c>
      <c r="G4484" t="s">
        <v>14</v>
      </c>
      <c r="H4484">
             </c>
      <c r="I4484" t="s">
        <v>14</v>
      </c>
      <c r="J4484" t="s">
        <v>141</v>
      </c>
      <c r="K4484" t="s">
        <v>14</v>
      </c>
      <c r="L4484" t="s">
        <v>20</v>
      </c>
      <c r="M4484" t="s">
        <v>9308</v>
      </c>
      <c r="N4484" t="s">
        <v>14</v>
      </c>
    </row>
    <row r="4485" x14ac:dyDescent="0.25">
      <c r="A4485" t="n">
        <v>25</v>
      </c>
      <c r="B4485" t="s">
        <v>14</v>
      </c>
      <c r="C4485" t="s">
        <v>22</v>
      </c>
      <c r="D4485" s="2" t="s">
        <f>=HYPERLINK("https://main.knesset.gov.il/APPS/legislation/main/bills/2204328", "הצעת חוק לתיקון פקודת מס הכנסה (ניכוי סכומים שהוצאו לצורך טיפול בילד), התשפ""ג-2023")</f>
        <v>8014</v>
      </c>
      <c r="E4485" t="s">
        <v>8014</v>
      </c>
      <c r="F4485" t="s">
        <v>9341</v>
      </c>
      <c r="G4485" t="s">
        <v>14</v>
      </c>
      <c r="H4485">
             </c>
      <c r="I4485" t="s">
        <v>14</v>
      </c>
      <c r="J4485" t="s">
        <v>141</v>
      </c>
      <c r="K4485" t="s">
        <v>14</v>
      </c>
      <c r="L4485" t="s">
        <v>20</v>
      </c>
      <c r="M4485" t="s">
        <v>9308</v>
      </c>
      <c r="N4485" t="s">
        <v>14</v>
      </c>
    </row>
    <row r="4486" x14ac:dyDescent="0.25">
      <c r="A4486" t="n">
        <v>25</v>
      </c>
      <c r="B4486" t="s">
        <v>14</v>
      </c>
      <c r="C4486" t="s">
        <v>22</v>
      </c>
      <c r="D4486" s="2" t="s">
        <f>=HYPERLINK("https://main.knesset.gov.il/APPS/legislation/main/bills/2204097", "הצעת חוק שירותי הסעד (תיקון - הגבלת מספר התיקים בטיפול עובד סוציאלי המטפל במשפחות), התשפ""ג-2023")</f>
        <v>8219</v>
      </c>
      <c r="E4486" t="s">
        <v>8219</v>
      </c>
      <c r="F4486" t="s">
        <v>9342</v>
      </c>
      <c r="G4486" t="s">
        <v>14</v>
      </c>
      <c r="H4486">
             </c>
      <c r="I4486" t="s">
        <v>14</v>
      </c>
      <c r="J4486" t="s">
        <v>141</v>
      </c>
      <c r="K4486" t="s">
        <v>14</v>
      </c>
      <c r="L4486" t="s">
        <v>20</v>
      </c>
      <c r="M4486" t="s">
        <v>9308</v>
      </c>
      <c r="N4486" t="s">
        <v>14</v>
      </c>
    </row>
    <row r="4487" x14ac:dyDescent="0.25">
      <c r="A4487" t="n">
        <v>25</v>
      </c>
      <c r="B4487" t="s">
        <v>14</v>
      </c>
      <c r="C4487" t="s">
        <v>22</v>
      </c>
      <c r="D4487" s="2" t="s">
        <f>=HYPERLINK("https://main.knesset.gov.il/APPS/legislation/main/bills/2204131", "הצעת חוק הפסיכולוגים (תיקון - איסור טיפולי המרה), התשפ""ג-2023")</f>
        <v>9343</v>
      </c>
      <c r="E4487" t="s">
        <v>9343</v>
      </c>
      <c r="F4487" t="s">
        <v>9344</v>
      </c>
      <c r="G4487" t="s">
        <v>14</v>
      </c>
      <c r="H4487">
             </c>
      <c r="I4487" t="s">
        <v>14</v>
      </c>
      <c r="J4487" t="s">
        <v>141</v>
      </c>
      <c r="K4487" t="s">
        <v>14</v>
      </c>
      <c r="L4487" t="s">
        <v>20</v>
      </c>
      <c r="M4487" t="s">
        <v>9308</v>
      </c>
      <c r="N4487" t="s">
        <v>14</v>
      </c>
    </row>
    <row r="4488" x14ac:dyDescent="0.25">
      <c r="A4488" t="n">
        <v>25</v>
      </c>
      <c r="B4488" t="s">
        <v>14</v>
      </c>
      <c r="C4488" t="s">
        <v>22</v>
      </c>
      <c r="D4488" s="2" t="s">
        <f>=HYPERLINK("https://main.knesset.gov.il/APPS/legislation/main/bills/2204764", "הצעת חוק עמותות חוץ, התשפ""ג-2023")</f>
        <v>9345</v>
      </c>
      <c r="E4488" t="s">
        <v>9345</v>
      </c>
      <c r="F4488" t="s">
        <v>9346</v>
      </c>
      <c r="G4488" t="s">
        <v>14</v>
      </c>
      <c r="H4488">
             </c>
      <c r="I4488" t="s">
        <v>14</v>
      </c>
      <c r="J4488" t="s">
        <v>141</v>
      </c>
      <c r="K4488" t="s">
        <v>14</v>
      </c>
      <c r="L4488" t="s">
        <v>20</v>
      </c>
      <c r="M4488" t="s">
        <v>9308</v>
      </c>
      <c r="N4488" t="s">
        <v>14</v>
      </c>
    </row>
    <row r="4489" x14ac:dyDescent="0.25">
      <c r="A4489" t="n">
        <v>25</v>
      </c>
      <c r="B4489" t="s">
        <v>14</v>
      </c>
      <c r="C4489" t="s">
        <v>22</v>
      </c>
      <c r="D4489" s="2" t="s">
        <f>=HYPERLINK("https://main.knesset.gov.il/APPS/legislation/main/bills/2203647", "הצעת חוק דיני הבחירות לרשויות המקומיות (תיקוני חקיקה), התשפ""ג-2023")</f>
        <v>9347</v>
      </c>
      <c r="E4489" t="s">
        <v>9347</v>
      </c>
      <c r="F4489" t="s">
        <v>9348</v>
      </c>
      <c r="G4489" t="s">
        <v>14</v>
      </c>
      <c r="H4489">
             </c>
      <c r="I4489" t="s">
        <v>14</v>
      </c>
      <c r="J4489" t="s">
        <v>141</v>
      </c>
      <c r="K4489" t="s">
        <v>14</v>
      </c>
      <c r="L4489" t="s">
        <v>20</v>
      </c>
      <c r="M4489" t="s">
        <v>9308</v>
      </c>
      <c r="N4489" t="s">
        <v>14</v>
      </c>
    </row>
    <row r="4490" x14ac:dyDescent="0.25">
      <c r="A4490" t="n">
        <v>25</v>
      </c>
      <c r="B4490" t="s">
        <v>14</v>
      </c>
      <c r="C4490" t="s">
        <v>22</v>
      </c>
      <c r="D4490" s="2" t="s">
        <f>=HYPERLINK("https://main.knesset.gov.il/APPS/legislation/main/bills/2204221", "הצעת חוק שעות עבודה ומנוחה (תיקון - קיצור שבוע העבודה), התשפ""ג-2023")</f>
        <v>9349</v>
      </c>
      <c r="E4490" t="s">
        <v>9349</v>
      </c>
      <c r="F4490" t="s">
        <v>9350</v>
      </c>
      <c r="G4490" t="s">
        <v>14</v>
      </c>
      <c r="H4490">
             </c>
      <c r="I4490" t="s">
        <v>14</v>
      </c>
      <c r="J4490" t="s">
        <v>141</v>
      </c>
      <c r="K4490" t="s">
        <v>14</v>
      </c>
      <c r="L4490" t="s">
        <v>20</v>
      </c>
      <c r="M4490" t="s">
        <v>9308</v>
      </c>
      <c r="N4490" t="s">
        <v>14</v>
      </c>
    </row>
    <row r="4491" x14ac:dyDescent="0.25">
      <c r="A4491" t="n">
        <v>25</v>
      </c>
      <c r="B4491" t="s">
        <v>14</v>
      </c>
      <c r="C4491" t="s">
        <v>22</v>
      </c>
      <c r="D4491" s="2" t="s">
        <f>=HYPERLINK("https://main.knesset.gov.il/APPS/legislation/main/bills/2204101", "הצעת חוק הביטוח הלאומי (תיקון - הארכת המועד להגשת תביעה לגמלה והתקופה שבעדה תשולם), התשפ""ג-2023")</f>
        <v>8335</v>
      </c>
      <c r="E4491" t="s">
        <v>8335</v>
      </c>
      <c r="F4491" t="s">
        <v>9351</v>
      </c>
      <c r="G4491" t="s">
        <v>14</v>
      </c>
      <c r="H4491">
             </c>
      <c r="I4491" t="s">
        <v>14</v>
      </c>
      <c r="J4491" t="s">
        <v>141</v>
      </c>
      <c r="K4491" t="s">
        <v>14</v>
      </c>
      <c r="L4491" t="s">
        <v>20</v>
      </c>
      <c r="M4491" t="s">
        <v>9308</v>
      </c>
      <c r="N4491" t="s">
        <v>14</v>
      </c>
    </row>
    <row r="4492" x14ac:dyDescent="0.25">
      <c r="A4492" t="n">
        <v>25</v>
      </c>
      <c r="B4492" t="s">
        <v>14</v>
      </c>
      <c r="C4492" t="s">
        <v>22</v>
      </c>
      <c r="D4492" s="2" t="s">
        <f>=HYPERLINK("https://main.knesset.gov.il/APPS/legislation/main/bills/2204270", "הצעת חוק מיקוד גמלאות לאזרחים ותיקים (תיקוני חקיקה), התשפ""ג-2023")</f>
        <v>9352</v>
      </c>
      <c r="E4492" t="s">
        <v>9352</v>
      </c>
      <c r="F4492" t="s">
        <v>9353</v>
      </c>
      <c r="G4492" t="s">
        <v>14</v>
      </c>
      <c r="H4492">
             </c>
      <c r="I4492" t="s">
        <v>14</v>
      </c>
      <c r="J4492" t="s">
        <v>141</v>
      </c>
      <c r="K4492" t="s">
        <v>14</v>
      </c>
      <c r="L4492" t="s">
        <v>20</v>
      </c>
      <c r="M4492" t="s">
        <v>9308</v>
      </c>
      <c r="N4492" t="s">
        <v>14</v>
      </c>
    </row>
    <row r="4493" x14ac:dyDescent="0.25">
      <c r="A4493" t="n">
        <v>25</v>
      </c>
      <c r="B4493" t="s">
        <v>14</v>
      </c>
      <c r="C4493" t="s">
        <v>22</v>
      </c>
      <c r="D4493" s="2" t="s">
        <f>=HYPERLINK("https://main.knesset.gov.il/APPS/legislation/main/bills/2204134", "הצעת חוק הביטוח הלאומי (תיקון - דמי מחלה לעובד עצמאי), התשפ""ג-2023")</f>
        <v>9354</v>
      </c>
      <c r="E4493" t="s">
        <v>9354</v>
      </c>
      <c r="F4493" t="s">
        <v>9355</v>
      </c>
      <c r="G4493" t="s">
        <v>14</v>
      </c>
      <c r="H4493">
             </c>
      <c r="I4493" t="s">
        <v>14</v>
      </c>
      <c r="J4493" t="s">
        <v>141</v>
      </c>
      <c r="K4493" t="s">
        <v>14</v>
      </c>
      <c r="L4493" t="s">
        <v>20</v>
      </c>
      <c r="M4493" t="s">
        <v>9308</v>
      </c>
      <c r="N4493" t="s">
        <v>14</v>
      </c>
    </row>
    <row r="4494" x14ac:dyDescent="0.25">
      <c r="A4494" t="n">
        <v>25</v>
      </c>
      <c r="B4494" t="s">
        <v>14</v>
      </c>
      <c r="C4494" t="s">
        <v>22</v>
      </c>
      <c r="D4494" s="2" t="s">
        <f>=HYPERLINK("https://main.knesset.gov.il/APPS/legislation/main/bills/2203946", "הצעת חוק יישוב סכסוכי עבודה (תיקון - בוררות חובה בשירותים חיוניים), התשפ""ג-2023")</f>
        <v>9356</v>
      </c>
      <c r="E4494" t="s">
        <v>9356</v>
      </c>
      <c r="F4494" t="s">
        <v>9357</v>
      </c>
      <c r="G4494" t="s">
        <v>14</v>
      </c>
      <c r="H4494">
             </c>
      <c r="I4494" t="s">
        <v>14</v>
      </c>
      <c r="J4494" t="s">
        <v>141</v>
      </c>
      <c r="K4494" t="s">
        <v>14</v>
      </c>
      <c r="L4494" t="s">
        <v>20</v>
      </c>
      <c r="M4494" t="s">
        <v>9308</v>
      </c>
      <c r="N4494" t="s">
        <v>14</v>
      </c>
    </row>
    <row r="4495" x14ac:dyDescent="0.25">
      <c r="A4495" t="n">
        <v>25</v>
      </c>
      <c r="B4495" t="s">
        <v>14</v>
      </c>
      <c r="C4495" t="s">
        <v>22</v>
      </c>
      <c r="D4495" s="2" t="s">
        <f>=HYPERLINK("https://main.knesset.gov.il/APPS/legislation/main/bills/2204326", "הצעת חוק לתיקון פקודת מס הכנסה (פטור ממס הכנסה לנכים), התשפ""ג-2023")</f>
        <v>9010</v>
      </c>
      <c r="E4495" t="s">
        <v>9010</v>
      </c>
      <c r="F4495" t="s">
        <v>9358</v>
      </c>
      <c r="G4495" t="s">
        <v>14</v>
      </c>
      <c r="H4495">
             </c>
      <c r="I4495" t="s">
        <v>14</v>
      </c>
      <c r="J4495" t="s">
        <v>141</v>
      </c>
      <c r="K4495" t="s">
        <v>14</v>
      </c>
      <c r="L4495" t="s">
        <v>20</v>
      </c>
      <c r="M4495" t="s">
        <v>9308</v>
      </c>
      <c r="N4495" t="s">
        <v>14</v>
      </c>
    </row>
    <row r="4496" x14ac:dyDescent="0.25">
      <c r="A4496" t="n">
        <v>25</v>
      </c>
      <c r="B4496" t="s">
        <v>14</v>
      </c>
      <c r="C4496" t="s">
        <v>22</v>
      </c>
      <c r="D4496" s="2" t="s">
        <f>=HYPERLINK("https://main.knesset.gov.il/APPS/legislation/main/bills/2204617", "הצעת חוק האגודות העותומניות (רישום ופיקוח), התשפ""ג-2023")</f>
        <v>9359</v>
      </c>
      <c r="E4496" t="s">
        <v>9359</v>
      </c>
      <c r="F4496" t="s">
        <v>9360</v>
      </c>
      <c r="G4496" t="s">
        <v>14</v>
      </c>
      <c r="H4496">
             </c>
      <c r="I4496" t="s">
        <v>14</v>
      </c>
      <c r="J4496" t="s">
        <v>141</v>
      </c>
      <c r="K4496" t="s">
        <v>14</v>
      </c>
      <c r="L4496" t="s">
        <v>20</v>
      </c>
      <c r="M4496" t="s">
        <v>9308</v>
      </c>
      <c r="N4496" t="s">
        <v>14</v>
      </c>
    </row>
    <row r="4497" x14ac:dyDescent="0.25">
      <c r="A4497" t="n">
        <v>25</v>
      </c>
      <c r="B4497" t="s">
        <v>14</v>
      </c>
      <c r="C4497" t="s">
        <v>22</v>
      </c>
      <c r="D4497" s="2" t="s">
        <f>=HYPERLINK("https://main.knesset.gov.il/APPS/legislation/main/bills/2204026", "הצעת חוק לימוד חובה (תיקון - הגבלת מספר התלמידים בכיתה בבית ספר יסודי), התשפ""ג-2023")</f>
        <v>9361</v>
      </c>
      <c r="E4497" t="s">
        <v>9361</v>
      </c>
      <c r="F4497" t="s">
        <v>9362</v>
      </c>
      <c r="G4497" t="s">
        <v>14</v>
      </c>
      <c r="H4497">
             </c>
      <c r="I4497" t="s">
        <v>14</v>
      </c>
      <c r="J4497" t="s">
        <v>141</v>
      </c>
      <c r="K4497" t="s">
        <v>14</v>
      </c>
      <c r="L4497" t="s">
        <v>20</v>
      </c>
      <c r="M4497" t="s">
        <v>9308</v>
      </c>
      <c r="N4497" t="s">
        <v>14</v>
      </c>
    </row>
    <row r="4498" x14ac:dyDescent="0.25">
      <c r="A4498" t="n">
        <v>25</v>
      </c>
      <c r="B4498" t="s">
        <v>14</v>
      </c>
      <c r="C4498" t="s">
        <v>22</v>
      </c>
      <c r="D4498" s="2" t="s">
        <f>=HYPERLINK("https://main.knesset.gov.il/APPS/legislation/main/bills/2204027", "הצעת חוק המועצה להשכלה גבוהה (תיקון - העדפה בקבלת מועמדים מרשויות מוחלשות), התשפ""ג-2023")</f>
        <v>9363</v>
      </c>
      <c r="E4498" t="s">
        <v>9363</v>
      </c>
      <c r="F4498" t="s">
        <v>9364</v>
      </c>
      <c r="G4498" t="s">
        <v>14</v>
      </c>
      <c r="H4498">
             </c>
      <c r="I4498" t="s">
        <v>14</v>
      </c>
      <c r="J4498" t="s">
        <v>141</v>
      </c>
      <c r="K4498" t="s">
        <v>14</v>
      </c>
      <c r="L4498" t="s">
        <v>20</v>
      </c>
      <c r="M4498" t="s">
        <v>9308</v>
      </c>
      <c r="N4498" t="s">
        <v>14</v>
      </c>
    </row>
    <row r="4499" x14ac:dyDescent="0.25">
      <c r="A4499" t="n">
        <v>25</v>
      </c>
      <c r="B4499" t="s">
        <v>14</v>
      </c>
      <c r="C4499" t="s">
        <v>22</v>
      </c>
      <c r="D4499" s="2" t="s">
        <f>=HYPERLINK("https://main.knesset.gov.il/APPS/legislation/main/bills/2204741", "הצעת חוק העונשין (תיקון - איסור הנפת דגל של מדינת אויב או של ארגון טרור או של הרשות הפלסטינית במרחב הציבורי), התשפ""ג-2023")</f>
        <v>9365</v>
      </c>
      <c r="E4499" t="s">
        <v>9365</v>
      </c>
      <c r="F4499" t="s">
        <v>9366</v>
      </c>
      <c r="G4499" t="s">
        <v>14</v>
      </c>
      <c r="H4499">
             </c>
      <c r="I4499" t="s">
        <v>14</v>
      </c>
      <c r="J4499" t="s">
        <v>141</v>
      </c>
      <c r="K4499" t="s">
        <v>14</v>
      </c>
      <c r="L4499" t="s">
        <v>20</v>
      </c>
      <c r="M4499" t="s">
        <v>9308</v>
      </c>
      <c r="N4499" t="s">
        <v>14</v>
      </c>
    </row>
    <row r="4500" x14ac:dyDescent="0.25">
      <c r="A4500" t="n">
        <v>25</v>
      </c>
      <c r="B4500" t="s">
        <v>14</v>
      </c>
      <c r="C4500" t="s">
        <v>22</v>
      </c>
      <c r="D4500" s="2" t="s">
        <f>=HYPERLINK("https://main.knesset.gov.il/APPS/legislation/main/bills/2203954", "הצעת חוק פיקוח על בתי ספר (תיקון - איסור העסקת מורשעי ותומכי טרור ופיקוח על תכני הלימוד למניעת הסתה), התשפ""ג-2023")</f>
        <v>8554</v>
      </c>
      <c r="E4500" t="s">
        <v>8554</v>
      </c>
      <c r="F4500" t="s">
        <v>9367</v>
      </c>
      <c r="G4500" t="s">
        <v>14</v>
      </c>
      <c r="H4500">
             </c>
      <c r="I4500" t="s">
        <v>14</v>
      </c>
      <c r="J4500" t="s">
        <v>343</v>
      </c>
      <c r="K4500" t="s">
        <v>14</v>
      </c>
      <c r="L4500" t="s">
        <v>20</v>
      </c>
      <c r="M4500" t="s">
        <v>9308</v>
      </c>
      <c r="N4500" t="s">
        <v>14</v>
      </c>
    </row>
    <row r="4501" x14ac:dyDescent="0.25">
      <c r="A4501" t="n">
        <v>25</v>
      </c>
      <c r="B4501" t="s">
        <v>14</v>
      </c>
      <c r="C4501" t="s">
        <v>22</v>
      </c>
      <c r="D4501" s="2" t="s">
        <f>=HYPERLINK("https://main.knesset.gov.il/APPS/legislation/main/bills/2203679", "הצעת חוק שוויון ההזדמנויות בעבודה (תיקון - איסור הפליה על רקע זהות מגדרית), התשפ""ג-2023")</f>
        <v>9368</v>
      </c>
      <c r="E4501" t="s">
        <v>9368</v>
      </c>
      <c r="F4501" t="s">
        <v>9369</v>
      </c>
      <c r="G4501" t="s">
        <v>14</v>
      </c>
      <c r="H4501">
             </c>
      <c r="I4501" t="s">
        <v>14</v>
      </c>
      <c r="J4501" t="s">
        <v>141</v>
      </c>
      <c r="K4501" t="s">
        <v>14</v>
      </c>
      <c r="L4501" t="s">
        <v>20</v>
      </c>
      <c r="M4501" t="s">
        <v>9308</v>
      </c>
      <c r="N4501" t="s">
        <v>14</v>
      </c>
    </row>
    <row r="4502" x14ac:dyDescent="0.25">
      <c r="A4502" t="n">
        <v>25</v>
      </c>
      <c r="B4502" t="s">
        <v>14</v>
      </c>
      <c r="C4502" t="s">
        <v>22</v>
      </c>
      <c r="D4502" s="2" t="s">
        <f>=HYPERLINK("https://main.knesset.gov.il/APPS/legislation/main/bills/2202913", "הצעת חוק המרכז הישראלי לקידום תרבות האדם (תיקון - הסדרת הפיקוח הפרלמנטרי על המרכז וביטול הפטור ממסים), התשפ""ג-2023")</f>
        <v>9370</v>
      </c>
      <c r="E4502" t="s">
        <v>9370</v>
      </c>
      <c r="F4502" t="s">
        <v>9371</v>
      </c>
      <c r="G4502" t="s">
        <v>14</v>
      </c>
      <c r="H4502">
             </c>
      <c r="I4502" t="s">
        <v>14</v>
      </c>
      <c r="J4502" t="s">
        <v>141</v>
      </c>
      <c r="K4502" t="s">
        <v>14</v>
      </c>
      <c r="L4502" t="s">
        <v>20</v>
      </c>
      <c r="M4502" t="s">
        <v>9308</v>
      </c>
      <c r="N4502" t="s">
        <v>14</v>
      </c>
    </row>
    <row r="4503" x14ac:dyDescent="0.25">
      <c r="A4503" t="n">
        <v>25</v>
      </c>
      <c r="B4503" t="s">
        <v>14</v>
      </c>
      <c r="C4503" t="s">
        <v>22</v>
      </c>
      <c r="D4503" s="2" t="s">
        <f>=HYPERLINK("https://main.knesset.gov.il/APPS/legislation/main/bills/2203996", "הצעת חוק דמי מחלה (היעדרות בשל מחלת ילד) (תיקון - קביעת מספר ימי ההיעדרות לפי מספר ילדי העובד), התשפ""ג-2023")</f>
        <v>9372</v>
      </c>
      <c r="E4503" t="s">
        <v>9372</v>
      </c>
      <c r="F4503" t="s">
        <v>9373</v>
      </c>
      <c r="G4503" t="s">
        <v>14</v>
      </c>
      <c r="H4503">
             </c>
      <c r="I4503" t="s">
        <v>14</v>
      </c>
      <c r="J4503" t="s">
        <v>141</v>
      </c>
      <c r="K4503" t="s">
        <v>14</v>
      </c>
      <c r="L4503" t="s">
        <v>20</v>
      </c>
      <c r="M4503" t="s">
        <v>9308</v>
      </c>
      <c r="N4503" t="s">
        <v>14</v>
      </c>
    </row>
    <row r="4504" x14ac:dyDescent="0.25">
      <c r="A4504" t="n">
        <v>25</v>
      </c>
      <c r="B4504" t="s">
        <v>14</v>
      </c>
      <c r="C4504" t="s">
        <v>22</v>
      </c>
      <c r="D4504" s="2" t="s">
        <f>=HYPERLINK("https://main.knesset.gov.il/APPS/legislation/main/bills/2204109", "הצעת חוק הביטוח הלאומי (תיקון - קביעת אחוזי נכות ללקויי שמיעה - דו-צידי וחד-צידי), התשפ""ג-2023 ")</f>
        <v>9374</v>
      </c>
      <c r="E4504" t="s">
        <v>9374</v>
      </c>
      <c r="F4504" t="s">
        <v>9375</v>
      </c>
      <c r="G4504" t="s">
        <v>14</v>
      </c>
      <c r="H4504">
             </c>
      <c r="I4504" t="s">
        <v>14</v>
      </c>
      <c r="J4504" t="s">
        <v>141</v>
      </c>
      <c r="K4504" t="s">
        <v>14</v>
      </c>
      <c r="L4504" t="s">
        <v>20</v>
      </c>
      <c r="M4504" t="s">
        <v>9308</v>
      </c>
      <c r="N4504" t="s">
        <v>14</v>
      </c>
    </row>
    <row r="4505" x14ac:dyDescent="0.25">
      <c r="A4505" t="n">
        <v>25</v>
      </c>
      <c r="B4505" t="s">
        <v>14</v>
      </c>
      <c r="C4505" t="s">
        <v>22</v>
      </c>
      <c r="D4505" s="2" t="s">
        <f>=HYPERLINK("https://main.knesset.gov.il/APPS/legislation/main/bills/2204003", "הצעת חוק הביטוח הלאומי (תיקון - מענק לידה אחיד מילד שני ואילך), התשפ""ג-2023")</f>
        <v>9376</v>
      </c>
      <c r="E4505" t="s">
        <v>9376</v>
      </c>
      <c r="F4505" t="s">
        <v>9377</v>
      </c>
      <c r="G4505" t="s">
        <v>14</v>
      </c>
      <c r="H4505">
             </c>
      <c r="I4505" t="s">
        <v>14</v>
      </c>
      <c r="J4505" t="s">
        <v>141</v>
      </c>
      <c r="K4505" t="s">
        <v>14</v>
      </c>
      <c r="L4505" t="s">
        <v>20</v>
      </c>
      <c r="M4505" t="s">
        <v>9308</v>
      </c>
      <c r="N4505" t="s">
        <v>14</v>
      </c>
    </row>
    <row r="4506" x14ac:dyDescent="0.25">
      <c r="A4506" t="n">
        <v>25</v>
      </c>
      <c r="B4506" t="s">
        <v>14</v>
      </c>
      <c r="C4506" t="s">
        <v>22</v>
      </c>
      <c r="D4506" s="2" t="s">
        <f>=HYPERLINK("https://main.knesset.gov.il/APPS/legislation/main/bills/2203816", "הצעת חוק הביטוח הלאומי (תיקון - דמי לידה לבן הזוג בלידה שקטה), התשפ""ג-2023")</f>
        <v>9378</v>
      </c>
      <c r="E4506" t="s">
        <v>9378</v>
      </c>
      <c r="F4506" t="s">
        <v>9379</v>
      </c>
      <c r="G4506" t="s">
        <v>14</v>
      </c>
      <c r="H4506">
             </c>
      <c r="I4506" t="s">
        <v>14</v>
      </c>
      <c r="J4506" t="s">
        <v>141</v>
      </c>
      <c r="K4506" t="s">
        <v>14</v>
      </c>
      <c r="L4506" t="s">
        <v>20</v>
      </c>
      <c r="M4506" t="s">
        <v>9308</v>
      </c>
      <c r="N4506" t="s">
        <v>14</v>
      </c>
    </row>
    <row r="4507" x14ac:dyDescent="0.25">
      <c r="A4507" t="n">
        <v>25</v>
      </c>
      <c r="B4507" t="s">
        <v>14</v>
      </c>
      <c r="C4507" t="s">
        <v>22</v>
      </c>
      <c r="D4507" s="2" t="s">
        <f>=HYPERLINK("https://main.knesset.gov.il/APPS/legislation/main/bills/2203720", "הצעת חוק דמי מחלה (היעדרות בשל מחלת ילד) (תיקון - היעדרות בשל אשפוז פג), התשפ""ג-2023")</f>
        <v>9380</v>
      </c>
      <c r="E4507" t="s">
        <v>9380</v>
      </c>
      <c r="F4507" t="s">
        <v>9381</v>
      </c>
      <c r="G4507" t="s">
        <v>14</v>
      </c>
      <c r="H4507">
             </c>
      <c r="I4507" t="s">
        <v>14</v>
      </c>
      <c r="J4507" t="s">
        <v>141</v>
      </c>
      <c r="K4507" t="s">
        <v>14</v>
      </c>
      <c r="L4507" t="s">
        <v>20</v>
      </c>
      <c r="M4507" t="s">
        <v>9308</v>
      </c>
      <c r="N4507" t="s">
        <v>14</v>
      </c>
    </row>
    <row r="4508" x14ac:dyDescent="0.25">
      <c r="A4508" t="n">
        <v>25</v>
      </c>
      <c r="B4508" t="s">
        <v>14</v>
      </c>
      <c r="C4508" t="s">
        <v>15</v>
      </c>
      <c r="D4508" s="2" t="s">
        <f>=HYPERLINK("https://main.knesset.gov.il/APPS/legislation/main/bills/2204164", "פרק ד' (גז טבעי), למעט סעיף 17(1) (בעניין הארכת תוקף רישון נתג""ז) מתוך הצעת חוק התכנית הכלכלית (תיקוני חקיקה ליישום המדיניות הכלכלית לשנות התקציב 2023 ו-2024), התשפ""ג-2023")</f>
        <v>9382</v>
      </c>
      <c r="E4508" t="s">
        <v>9382</v>
      </c>
      <c r="F4508" t="s">
        <v>14</v>
      </c>
      <c r="G4508" t="s">
        <v>110</v>
      </c>
      <c r="H4508">
             </c>
      <c r="I4508" t="s">
        <v>14</v>
      </c>
      <c r="J4508" t="s">
        <v>99</v>
      </c>
      <c r="K4508" t="s">
        <v>121</v>
      </c>
      <c r="L4508" t="s">
        <v>20</v>
      </c>
      <c r="M4508" t="s">
        <v>9383</v>
      </c>
      <c r="N4508" t="s">
        <v>14</v>
      </c>
    </row>
    <row r="4509" x14ac:dyDescent="0.25">
      <c r="A4509" t="n">
        <v>25</v>
      </c>
      <c r="B4509" t="s">
        <v>14</v>
      </c>
      <c r="C4509" t="s">
        <v>15</v>
      </c>
      <c r="D4509" s="2" t="s">
        <f>=HYPERLINK("https://main.knesset.gov.il/APPS/legislation/main/bills/2204254", "פרק י""ב (אנרגיה), רק סעיפים 50(2) ו-53-52 (חוק משק החשמל) מתוך הצעת חוק התכנית הכלכלית (תיקוני חקיקה ליישום המדיניות הכלכלית לשנות התקציב 2023 ו-2024), התשפ""ג-2023 [פוצלה לפי סעיף 84(ב) לתקנון]")</f>
        <v>9384</v>
      </c>
      <c r="E4509" t="s">
        <v>9384</v>
      </c>
      <c r="F4509" t="s">
        <v>14</v>
      </c>
      <c r="G4509" t="s">
        <v>110</v>
      </c>
      <c r="H4509">
             </c>
      <c r="I4509" t="s">
        <v>14</v>
      </c>
      <c r="J4509" t="s">
        <v>18</v>
      </c>
      <c r="K4509" t="s">
        <v>19</v>
      </c>
      <c r="L4509" t="s">
        <v>20</v>
      </c>
      <c r="M4509" t="s">
        <v>9383</v>
      </c>
      <c r="N4509" t="s">
        <v>14</v>
      </c>
    </row>
    <row r="4510" x14ac:dyDescent="0.25">
      <c r="A4510" t="n">
        <v>25</v>
      </c>
      <c r="B4510" t="s">
        <v>14</v>
      </c>
      <c r="C4510" t="s">
        <v>22</v>
      </c>
      <c r="D4510" s="2" t="s">
        <f>=HYPERLINK("https://main.knesset.gov.il/APPS/legislation/main/bills/2200266", "הצעת חוק הקמת בית חולים בעיר סח'נין (תיקוני חקיקה), התשפ""ג-2023")</f>
        <v>9385</v>
      </c>
      <c r="E4510" t="s">
        <v>9385</v>
      </c>
      <c r="F4510" t="s">
        <v>9386</v>
      </c>
      <c r="G4510" t="s">
        <v>14</v>
      </c>
      <c r="H4510">
             </c>
      <c r="I4510" t="s">
        <v>14</v>
      </c>
      <c r="J4510" t="s">
        <v>60</v>
      </c>
      <c r="K4510" t="s">
        <v>14</v>
      </c>
      <c r="L4510" t="s">
        <v>20</v>
      </c>
      <c r="M4510" t="s">
        <v>9383</v>
      </c>
      <c r="N4510" t="s">
        <v>14</v>
      </c>
    </row>
    <row r="4511" x14ac:dyDescent="0.25">
      <c r="A4511" t="n">
        <v>25</v>
      </c>
      <c r="B4511" t="s">
        <v>14</v>
      </c>
      <c r="C4511" t="s">
        <v>22</v>
      </c>
      <c r="D4511" s="2" t="s">
        <f>=HYPERLINK("https://main.knesset.gov.il/APPS/legislation/main/bills/2197639", "הצעת חוק הקמת בית חולים בעיר סח'נין (תיקוני חקיקה), התשפ""ג-2022")</f>
        <v>9387</v>
      </c>
      <c r="E4511" t="s">
        <v>9387</v>
      </c>
      <c r="F4511" t="s">
        <v>9388</v>
      </c>
      <c r="G4511" t="s">
        <v>14</v>
      </c>
      <c r="H4511">
             </c>
      <c r="I4511" t="s">
        <v>14</v>
      </c>
      <c r="J4511" t="s">
        <v>60</v>
      </c>
      <c r="K4511" t="s">
        <v>14</v>
      </c>
      <c r="L4511" t="s">
        <v>20</v>
      </c>
      <c r="M4511" t="s">
        <v>9383</v>
      </c>
      <c r="N4511" t="s">
        <v>14</v>
      </c>
    </row>
    <row r="4512" x14ac:dyDescent="0.25">
      <c r="A4512" t="n">
        <v>25</v>
      </c>
      <c r="B4512" t="s">
        <v>14</v>
      </c>
      <c r="C4512" t="s">
        <v>22</v>
      </c>
      <c r="D4512" s="2" t="s">
        <f>=HYPERLINK("https://main.knesset.gov.il/APPS/legislation/main/bills/2197214", "הצעת חוק הקמת בית חולים ביישוב ערבי (תיקוני חקיקה), התשפ""ג-2022")</f>
        <v>9389</v>
      </c>
      <c r="E4512" t="s">
        <v>9389</v>
      </c>
      <c r="F4512" t="s">
        <v>9390</v>
      </c>
      <c r="G4512" t="s">
        <v>14</v>
      </c>
      <c r="H4512">
             </c>
      <c r="I4512" t="s">
        <v>14</v>
      </c>
      <c r="J4512" t="s">
        <v>60</v>
      </c>
      <c r="K4512" t="s">
        <v>14</v>
      </c>
      <c r="L4512" t="s">
        <v>20</v>
      </c>
      <c r="M4512" t="s">
        <v>9383</v>
      </c>
      <c r="N4512" t="s">
        <v>14</v>
      </c>
    </row>
    <row r="4513" x14ac:dyDescent="0.25">
      <c r="A4513" t="n">
        <v>25</v>
      </c>
      <c r="B4513" t="s">
        <v>14</v>
      </c>
      <c r="C4513" t="s">
        <v>15</v>
      </c>
      <c r="D4513" s="2" t="s">
        <f>=HYPERLINK("https://main.knesset.gov.il/APPS/legislation/main/bills/2204191", "פרק י""א (הפחתת רגולציה), רק סעיפים 45-44 (ירושה) מתוך הצעת חוק התכנית הכלכלית (תיקוני חקיקה ליישום המדיניות הכלכלית לשנות התקציב 2023 ו-2024), התשפ""ג-2023")</f>
        <v>9391</v>
      </c>
      <c r="E4513" t="s">
        <v>9391</v>
      </c>
      <c r="F4513" t="s">
        <v>14</v>
      </c>
      <c r="G4513" t="s">
        <v>110</v>
      </c>
      <c r="H4513">
             </c>
      <c r="I4513" t="s">
        <v>14</v>
      </c>
      <c r="J4513" t="s">
        <v>99</v>
      </c>
      <c r="K4513" t="s">
        <v>121</v>
      </c>
      <c r="L4513" t="s">
        <v>20</v>
      </c>
      <c r="M4513" t="s">
        <v>9383</v>
      </c>
      <c r="N4513" t="s">
        <v>14</v>
      </c>
    </row>
    <row r="4514" x14ac:dyDescent="0.25">
      <c r="A4514" t="n">
        <v>25</v>
      </c>
      <c r="B4514" t="s">
        <v>14</v>
      </c>
      <c r="C4514" t="s">
        <v>15</v>
      </c>
      <c r="D4514" s="2" t="s">
        <f>=HYPERLINK("https://main.knesset.gov.il/APPS/legislation/main/bills/2204166", "פרק י""ב (אנרגיה), רק סעיף 50(1) (חוק משק החשמל) מתוך הצעת חוק התכנית הכלכלית (תיקוני חקיקה ליישום המדיניות הכלכלית לשנות התקציב 2023 ו-2024), התשפ""ג-2023")</f>
        <v>9392</v>
      </c>
      <c r="E4514" t="s">
        <v>9392</v>
      </c>
      <c r="F4514" t="s">
        <v>14</v>
      </c>
      <c r="G4514" t="s">
        <v>110</v>
      </c>
      <c r="H4514">
             </c>
      <c r="I4514" t="s">
        <v>14</v>
      </c>
      <c r="J4514" t="s">
        <v>99</v>
      </c>
      <c r="K4514" t="s">
        <v>121</v>
      </c>
      <c r="L4514" t="s">
        <v>20</v>
      </c>
      <c r="M4514" t="s">
        <v>9383</v>
      </c>
      <c r="N4514" t="s">
        <v>14</v>
      </c>
    </row>
    <row r="4515" x14ac:dyDescent="0.25">
      <c r="A4515" t="n">
        <v>25</v>
      </c>
      <c r="B4515" t="s">
        <v>14</v>
      </c>
      <c r="C4515" t="s">
        <v>15</v>
      </c>
      <c r="D4515" s="2" t="s">
        <f>=HYPERLINK("https://main.knesset.gov.il/APPS/legislation/main/bills/2204200", "פרק ג' (גבייה ממשלתית) מתוך הצעת חוק ההתייעלות הכלכלית (תיקוני חקיקה להשגת יעדי התקציב לשנות התקציב 2023 ו-2024), התשפ""ג-2023")</f>
        <v>9393</v>
      </c>
      <c r="E4515" t="s">
        <v>9393</v>
      </c>
      <c r="F4515" t="s">
        <v>14</v>
      </c>
      <c r="G4515" t="s">
        <v>110</v>
      </c>
      <c r="H4515">
             </c>
      <c r="I4515" t="s">
        <v>14</v>
      </c>
      <c r="J4515" t="s">
        <v>99</v>
      </c>
      <c r="K4515" t="s">
        <v>121</v>
      </c>
      <c r="L4515" t="s">
        <v>20</v>
      </c>
      <c r="M4515" t="s">
        <v>9383</v>
      </c>
      <c r="N4515" t="s">
        <v>14</v>
      </c>
    </row>
    <row r="4516" x14ac:dyDescent="0.25">
      <c r="A4516" t="n">
        <v>25</v>
      </c>
      <c r="B4516" t="s">
        <v>14</v>
      </c>
      <c r="C4516" t="s">
        <v>15</v>
      </c>
      <c r="D4516" s="2" t="s">
        <f>=HYPERLINK("https://main.knesset.gov.il/APPS/legislation/main/bills/2204161", "פרק כ""ו (תחילה) מתוך הצעת חוק התכנית הכלכלית (תיקוני חקיקה ליישום המדיניות הכלכלית לשנות התקציב 2023 ו-2024), התשפ""ג-2023")</f>
        <v>9394</v>
      </c>
      <c r="E4516" t="s">
        <v>9394</v>
      </c>
      <c r="F4516" t="s">
        <v>14</v>
      </c>
      <c r="G4516" t="s">
        <v>110</v>
      </c>
      <c r="H4516">
             </c>
      <c r="I4516" t="s">
        <v>14</v>
      </c>
      <c r="J4516" t="s">
        <v>99</v>
      </c>
      <c r="K4516" t="s">
        <v>121</v>
      </c>
      <c r="L4516" t="s">
        <v>20</v>
      </c>
      <c r="M4516" t="s">
        <v>9395</v>
      </c>
      <c r="N4516" t="s">
        <v>14</v>
      </c>
    </row>
    <row r="4517" x14ac:dyDescent="0.25">
      <c r="A4517" t="n">
        <v>25</v>
      </c>
      <c r="B4517" t="s">
        <v>14</v>
      </c>
      <c r="C4517" t="s">
        <v>15</v>
      </c>
      <c r="D4517" s="2" t="s">
        <f>=HYPERLINK("https://main.knesset.gov.il/APPS/legislation/main/bills/2204167", "פרק י""ג (ייעול השימוש בתשתיות תחבורה ציבורית) מתוך הצעת חוק התכנית הכלכלית (תיקוני חקיקה ליישום המדיניות הכלכלית לשנות התקציב 2023 ו-2024), התשפ""ג-2023")</f>
        <v>9396</v>
      </c>
      <c r="E4517" t="s">
        <v>9396</v>
      </c>
      <c r="F4517" t="s">
        <v>14</v>
      </c>
      <c r="G4517" t="s">
        <v>110</v>
      </c>
      <c r="H4517">
             </c>
      <c r="I4517" t="s">
        <v>14</v>
      </c>
      <c r="J4517" t="s">
        <v>99</v>
      </c>
      <c r="K4517" t="s">
        <v>121</v>
      </c>
      <c r="L4517" t="s">
        <v>20</v>
      </c>
      <c r="M4517" t="s">
        <v>9395</v>
      </c>
      <c r="N4517" t="s">
        <v>14</v>
      </c>
    </row>
    <row r="4518" x14ac:dyDescent="0.25">
      <c r="A4518" t="n">
        <v>25</v>
      </c>
      <c r="B4518" t="s">
        <v>14</v>
      </c>
      <c r="C4518" t="s">
        <v>15</v>
      </c>
      <c r="D4518" s="2" t="s">
        <f>=HYPERLINK("https://main.knesset.gov.il/APPS/legislation/main/bills/2204199", "פרק י""א (תחילה) מתוך הצעת חוק ההתייעלות הכלכלית (תיקוני חקיקה להשגת יעדי התקציב לשנות התקציב 2023 ו-2024), התשפ""ג-2023")</f>
        <v>9397</v>
      </c>
      <c r="E4518" t="s">
        <v>9397</v>
      </c>
      <c r="F4518" t="s">
        <v>14</v>
      </c>
      <c r="G4518" t="s">
        <v>110</v>
      </c>
      <c r="H4518">
             </c>
      <c r="I4518" t="s">
        <v>14</v>
      </c>
      <c r="J4518" t="s">
        <v>99</v>
      </c>
      <c r="K4518" t="s">
        <v>121</v>
      </c>
      <c r="L4518" t="s">
        <v>20</v>
      </c>
      <c r="M4518" t="s">
        <v>9395</v>
      </c>
      <c r="N4518" t="s">
        <v>14</v>
      </c>
    </row>
    <row r="4519" x14ac:dyDescent="0.25">
      <c r="A4519" t="n">
        <v>25</v>
      </c>
      <c r="B4519" t="s">
        <v>14</v>
      </c>
      <c r="C4519" t="s">
        <v>15</v>
      </c>
      <c r="D4519" s="2" t="s">
        <f>=HYPERLINK("https://main.knesset.gov.il/APPS/legislation/main/bills/2204154", "פרק א' (מטרת החוק) מתוך הצעת חוק התכנית הכלכלית (תיקוני חקיקה ליישום המדיניות הכלכלית לשנות התקציב 2023 ו-2024), התשפ""ג-2023")</f>
        <v>9398</v>
      </c>
      <c r="E4519" t="s">
        <v>9398</v>
      </c>
      <c r="F4519" t="s">
        <v>14</v>
      </c>
      <c r="G4519" t="s">
        <v>110</v>
      </c>
      <c r="H4519">
             </c>
      <c r="I4519" t="s">
        <v>14</v>
      </c>
      <c r="J4519" t="s">
        <v>99</v>
      </c>
      <c r="K4519" t="s">
        <v>121</v>
      </c>
      <c r="L4519" t="s">
        <v>20</v>
      </c>
      <c r="M4519" t="s">
        <v>9395</v>
      </c>
      <c r="N4519" t="s">
        <v>14</v>
      </c>
    </row>
    <row r="4520" x14ac:dyDescent="0.25">
      <c r="A4520" t="n">
        <v>25</v>
      </c>
      <c r="B4520" t="s">
        <v>14</v>
      </c>
      <c r="C4520" t="s">
        <v>15</v>
      </c>
      <c r="D4520" s="2" t="s">
        <f>=HYPERLINK("https://main.knesset.gov.il/APPS/legislation/main/bills/2204170", "פרק כ""ה (שונות) למעט סעיפים 96(2) ו-97 - תיקון חוק המים וחוק רישוי שירותים ומקצועות בענף הרכב מתוך הצעת חוק התכנית הכלכלית (תיקוני חקיקה ליישום המדיניות הכלכלית לשנות התקציב 2023 ו-2024), התשפ""ג-2023")</f>
        <v>9399</v>
      </c>
      <c r="E4520" t="s">
        <v>9399</v>
      </c>
      <c r="F4520" t="s">
        <v>14</v>
      </c>
      <c r="G4520" t="s">
        <v>110</v>
      </c>
      <c r="H4520">
             </c>
      <c r="I4520" t="s">
        <v>14</v>
      </c>
      <c r="J4520" t="s">
        <v>99</v>
      </c>
      <c r="K4520" t="s">
        <v>121</v>
      </c>
      <c r="L4520" t="s">
        <v>20</v>
      </c>
      <c r="M4520" t="s">
        <v>9395</v>
      </c>
      <c r="N4520" t="s">
        <v>14</v>
      </c>
    </row>
    <row r="4521" x14ac:dyDescent="0.25">
      <c r="A4521" t="n">
        <v>25</v>
      </c>
      <c r="B4521" t="s">
        <v>14</v>
      </c>
      <c r="C4521" t="s">
        <v>15</v>
      </c>
      <c r="D4521" s="2" t="s">
        <f>=HYPERLINK("https://main.knesset.gov.il/APPS/legislation/main/bills/2204194", "פרק א' (מטרת החוק) מתוך הצעת חוק ההתייעלות הכלכלית (תיקוני חקיקה להשגת יעדי התקציב לשנות התקציב 2023 ו-2024), התשפ""ג-2023")</f>
        <v>9400</v>
      </c>
      <c r="E4521" t="s">
        <v>9400</v>
      </c>
      <c r="F4521" t="s">
        <v>14</v>
      </c>
      <c r="G4521" t="s">
        <v>110</v>
      </c>
      <c r="H4521">
             </c>
      <c r="I4521" t="s">
        <v>14</v>
      </c>
      <c r="J4521" t="s">
        <v>99</v>
      </c>
      <c r="K4521" t="s">
        <v>121</v>
      </c>
      <c r="L4521" t="s">
        <v>20</v>
      </c>
      <c r="M4521" t="s">
        <v>9395</v>
      </c>
      <c r="N4521" t="s">
        <v>14</v>
      </c>
    </row>
    <row r="4522" x14ac:dyDescent="0.25">
      <c r="A4522" t="n">
        <v>25</v>
      </c>
      <c r="B4522" t="s">
        <v>14</v>
      </c>
      <c r="C4522" t="s">
        <v>15</v>
      </c>
      <c r="D4522" s="2" t="s">
        <f>=HYPERLINK("https://main.knesset.gov.il/APPS/legislation/main/bills/2204198", "פרק י' (צמצום השימוש במזומן) מתוך הצעת חוק ההתייעלות הכלכלית (תיקוני חקיקה להשגת יעדי התקציב לשנות התקציב 2023 ו-2024), התשפ""ג-2023")</f>
        <v>9401</v>
      </c>
      <c r="E4522" t="s">
        <v>9401</v>
      </c>
      <c r="F4522" t="s">
        <v>14</v>
      </c>
      <c r="G4522" t="s">
        <v>110</v>
      </c>
      <c r="H4522">
             </c>
      <c r="I4522" t="s">
        <v>14</v>
      </c>
      <c r="J4522" t="s">
        <v>18</v>
      </c>
      <c r="K4522" t="s">
        <v>85</v>
      </c>
      <c r="L4522" t="s">
        <v>20</v>
      </c>
      <c r="M4522" t="s">
        <v>9402</v>
      </c>
      <c r="N4522" t="s">
        <v>14</v>
      </c>
    </row>
    <row r="4523" x14ac:dyDescent="0.25">
      <c r="A4523" t="n">
        <v>25</v>
      </c>
      <c r="B4523" t="s">
        <v>14</v>
      </c>
      <c r="C4523" t="s">
        <v>22</v>
      </c>
      <c r="D4523" s="2" t="s">
        <f>=HYPERLINK("https://main.knesset.gov.il/APPS/legislation/main/bills/2196129", "הצעת חוק למניעת העסקה בתחום החינוך והטיפול של אדם שהורשע או שמואשם בתקיפה או בהתעללות בחסר ישע, התשפ""ג-2022")</f>
        <v>9403</v>
      </c>
      <c r="E4523" t="s">
        <v>9403</v>
      </c>
      <c r="F4523" t="s">
        <v>9404</v>
      </c>
      <c r="G4523" t="s">
        <v>14</v>
      </c>
      <c r="H4523">
             </c>
      <c r="I4523" t="s">
        <v>14</v>
      </c>
      <c r="J4523" t="s">
        <v>99</v>
      </c>
      <c r="K4523" t="s">
        <v>34</v>
      </c>
      <c r="L4523" t="s">
        <v>20</v>
      </c>
      <c r="M4523" t="s">
        <v>9405</v>
      </c>
      <c r="N4523" t="s">
        <v>14</v>
      </c>
    </row>
    <row r="4524" x14ac:dyDescent="0.25">
      <c r="A4524" t="n">
        <v>25</v>
      </c>
      <c r="B4524" t="s">
        <v>14</v>
      </c>
      <c r="C4524" t="s">
        <v>22</v>
      </c>
      <c r="D4524" s="2" t="s">
        <f>=HYPERLINK("https://main.knesset.gov.il/APPS/legislation/main/bills/2198927", "הצעת חוק הביטוח הלאומי (תיקון - דמי אבטלה לעצמאים), התשפ""ג-2023")</f>
        <v>9406</v>
      </c>
      <c r="E4524" t="s">
        <v>9406</v>
      </c>
      <c r="F4524" t="s">
        <v>9407</v>
      </c>
      <c r="G4524" t="s">
        <v>14</v>
      </c>
      <c r="H4524">
             </c>
      <c r="I4524" t="s">
        <v>14</v>
      </c>
      <c r="J4524" t="s">
        <v>55</v>
      </c>
      <c r="K4524" t="s">
        <v>14</v>
      </c>
      <c r="L4524" t="s">
        <v>20</v>
      </c>
      <c r="M4524" t="s">
        <v>9405</v>
      </c>
      <c r="N4524" t="s">
        <v>14</v>
      </c>
    </row>
    <row r="4525" x14ac:dyDescent="0.25">
      <c r="A4525" t="n">
        <v>25</v>
      </c>
      <c r="B4525" t="s">
        <v>14</v>
      </c>
      <c r="C4525" t="s">
        <v>22</v>
      </c>
      <c r="D4525" s="2" t="s">
        <f>=HYPERLINK("https://main.knesset.gov.il/APPS/legislation/main/bills/2200302", "הצעת חוק העונשין (תיקון - קביעת עונש מינימום לעבירות יידוי אבנים), התשפ""ג-2023")</f>
        <v>3774</v>
      </c>
      <c r="E4525" t="s">
        <v>3774</v>
      </c>
      <c r="F4525" t="s">
        <v>9408</v>
      </c>
      <c r="G4525" t="s">
        <v>14</v>
      </c>
      <c r="H4525">
             </c>
      <c r="I4525" t="s">
        <v>14</v>
      </c>
      <c r="J4525" t="s">
        <v>55</v>
      </c>
      <c r="K4525" t="s">
        <v>14</v>
      </c>
      <c r="L4525" t="s">
        <v>20</v>
      </c>
      <c r="M4525" t="s">
        <v>9405</v>
      </c>
      <c r="N4525" t="s">
        <v>14</v>
      </c>
    </row>
    <row r="4526" x14ac:dyDescent="0.25">
      <c r="A4526" t="n">
        <v>25</v>
      </c>
      <c r="B4526" t="s">
        <v>14</v>
      </c>
      <c r="C4526" t="s">
        <v>22</v>
      </c>
      <c r="D4526" s="2" t="s">
        <f>=HYPERLINK("https://main.knesset.gov.il/APPS/legislation/main/bills/2198975", "הצעת חוק הביטוח הלאומי (תיקון - דמי אבטלה לעצמאים), התשפ""ג-2023")</f>
        <v>9406</v>
      </c>
      <c r="E4526" t="s">
        <v>9406</v>
      </c>
      <c r="F4526" t="s">
        <v>9409</v>
      </c>
      <c r="G4526" t="s">
        <v>14</v>
      </c>
      <c r="H4526">
             </c>
      <c r="I4526" t="s">
        <v>14</v>
      </c>
      <c r="J4526" t="s">
        <v>55</v>
      </c>
      <c r="K4526" t="s">
        <v>14</v>
      </c>
      <c r="L4526" t="s">
        <v>20</v>
      </c>
      <c r="M4526" t="s">
        <v>9405</v>
      </c>
      <c r="N4526" t="s">
        <v>14</v>
      </c>
    </row>
    <row r="4527" x14ac:dyDescent="0.25">
      <c r="A4527" t="n">
        <v>25</v>
      </c>
      <c r="B4527" t="s">
        <v>14</v>
      </c>
      <c r="C4527" t="s">
        <v>22</v>
      </c>
      <c r="D4527" s="2" t="s">
        <f>=HYPERLINK("https://main.knesset.gov.il/APPS/legislation/main/bills/2197377", "הצעת חוק הביטוח הלאומי (תיקון - דמי אבטלה לעצמאים), התשפ""ג-2023")</f>
        <v>9406</v>
      </c>
      <c r="E4527" t="s">
        <v>9406</v>
      </c>
      <c r="F4527" t="s">
        <v>9410</v>
      </c>
      <c r="G4527" t="s">
        <v>14</v>
      </c>
      <c r="H4527">
             </c>
      <c r="I4527" t="s">
        <v>14</v>
      </c>
      <c r="J4527" t="s">
        <v>55</v>
      </c>
      <c r="K4527" t="s">
        <v>14</v>
      </c>
      <c r="L4527" t="s">
        <v>20</v>
      </c>
      <c r="M4527" t="s">
        <v>9405</v>
      </c>
      <c r="N4527" t="s">
        <v>14</v>
      </c>
    </row>
    <row r="4528" x14ac:dyDescent="0.25">
      <c r="A4528" t="n">
        <v>25</v>
      </c>
      <c r="B4528" t="s">
        <v>14</v>
      </c>
      <c r="C4528" t="s">
        <v>22</v>
      </c>
      <c r="D4528" s="2" t="s">
        <f>=HYPERLINK("https://main.knesset.gov.il/APPS/legislation/main/bills/2198083", "הצעת חוק הלוואות למיגון דירות באזורי קו העימות, התשפ''ג-2023")</f>
        <v>9411</v>
      </c>
      <c r="E4528" t="s">
        <v>9411</v>
      </c>
      <c r="F4528" t="s">
        <v>9412</v>
      </c>
      <c r="G4528" t="s">
        <v>14</v>
      </c>
      <c r="H4528">
             </c>
      <c r="I4528" t="s">
        <v>14</v>
      </c>
      <c r="J4528" t="s">
        <v>343</v>
      </c>
      <c r="K4528" t="s">
        <v>14</v>
      </c>
      <c r="L4528" t="s">
        <v>20</v>
      </c>
      <c r="M4528" t="s">
        <v>9405</v>
      </c>
      <c r="N4528" t="s">
        <v>14</v>
      </c>
    </row>
    <row r="4529" x14ac:dyDescent="0.25">
      <c r="A4529" t="n">
        <v>25</v>
      </c>
      <c r="B4529" t="s">
        <v>14</v>
      </c>
      <c r="C4529" t="s">
        <v>22</v>
      </c>
      <c r="D4529" s="2" t="s">
        <f>=HYPERLINK("https://main.knesset.gov.il/APPS/legislation/main/bills/2197029", "הצעת חוק צירוף משפחות נפגעי טרור כצד להליך המשפטי (תיקוני חקיקה), התשפ""ג-2022")</f>
        <v>9413</v>
      </c>
      <c r="E4529" t="s">
        <v>9413</v>
      </c>
      <c r="F4529" t="s">
        <v>9414</v>
      </c>
      <c r="G4529" t="s">
        <v>14</v>
      </c>
      <c r="H4529">
             </c>
      <c r="I4529" t="s">
        <v>14</v>
      </c>
      <c r="J4529" t="s">
        <v>55</v>
      </c>
      <c r="K4529" t="s">
        <v>14</v>
      </c>
      <c r="L4529" t="s">
        <v>20</v>
      </c>
      <c r="M4529" t="s">
        <v>9405</v>
      </c>
      <c r="N4529" t="s">
        <v>14</v>
      </c>
    </row>
    <row r="4530" x14ac:dyDescent="0.25">
      <c r="A4530" t="n">
        <v>25</v>
      </c>
      <c r="B4530" t="s">
        <v>14</v>
      </c>
      <c r="C4530" t="s">
        <v>22</v>
      </c>
      <c r="D4530" s="2" t="s">
        <f>=HYPERLINK("https://main.knesset.gov.il/APPS/legislation/main/bills/2195767", "הצעת חוק העונשין (תיקון - מאסר עולם לאונס קטינים), התשפ""ג-2022")</f>
        <v>9415</v>
      </c>
      <c r="E4530" t="s">
        <v>9415</v>
      </c>
      <c r="F4530" t="s">
        <v>9416</v>
      </c>
      <c r="G4530" t="s">
        <v>14</v>
      </c>
      <c r="H4530">
             </c>
      <c r="I4530" t="s">
        <v>14</v>
      </c>
      <c r="J4530" t="s">
        <v>55</v>
      </c>
      <c r="K4530" t="s">
        <v>14</v>
      </c>
      <c r="L4530" t="s">
        <v>20</v>
      </c>
      <c r="M4530" t="s">
        <v>9405</v>
      </c>
      <c r="N4530" t="s">
        <v>14</v>
      </c>
    </row>
    <row r="4531" x14ac:dyDescent="0.25">
      <c r="A4531" t="n">
        <v>25</v>
      </c>
      <c r="B4531" t="s">
        <v>14</v>
      </c>
      <c r="C4531" t="s">
        <v>15</v>
      </c>
      <c r="D4531" s="2" t="s">
        <f>=HYPERLINK("https://main.knesset.gov.il/APPS/legislation/main/bills/2204251", "פרק ט' (תיווך בביטוח ובחיסכון פנסיוני), למעט סעיף 36 (בעניין איסור על סירוב בלתי סביר להתקשורת) מתוך הצעת חוק התכנית הכלכלית (תיקוני חקיקה ליישום המדיניות הכלכלית לשנות התקציב 2023 ו-2024), התשפ""ג-2023 [פוצלה לפי סעיף 84(ב) לתקנון]")</f>
        <v>9417</v>
      </c>
      <c r="E4531" t="s">
        <v>9417</v>
      </c>
      <c r="F4531" t="s">
        <v>14</v>
      </c>
      <c r="G4531" t="s">
        <v>110</v>
      </c>
      <c r="H4531">
             </c>
      <c r="I4531" t="s">
        <v>14</v>
      </c>
      <c r="J4531" t="s">
        <v>18</v>
      </c>
      <c r="K4531" t="s">
        <v>85</v>
      </c>
      <c r="L4531" t="s">
        <v>20</v>
      </c>
      <c r="M4531" t="s">
        <v>9418</v>
      </c>
      <c r="N4531" t="s">
        <v>14</v>
      </c>
    </row>
    <row r="4532" x14ac:dyDescent="0.25">
      <c r="A4532" t="n">
        <v>25</v>
      </c>
      <c r="B4532" t="s">
        <v>14</v>
      </c>
      <c r="C4532" t="s">
        <v>15</v>
      </c>
      <c r="D4532" s="2" t="s">
        <f>=HYPERLINK("https://main.knesset.gov.il/APPS/legislation/main/bills/2204173", "פרק י""ד (חסמי ייבוא) מתוך הצעת חוק התכנית הכלכלית (תיקוני חקיקה ליישום המדיניות הכלכלית לשנות התקציב 2023 ו-2024), התשפ""ג-2023")</f>
        <v>9419</v>
      </c>
      <c r="E4532" t="s">
        <v>9419</v>
      </c>
      <c r="F4532" t="s">
        <v>14</v>
      </c>
      <c r="G4532" t="s">
        <v>110</v>
      </c>
      <c r="H4532">
             </c>
      <c r="I4532" t="s">
        <v>14</v>
      </c>
      <c r="J4532" t="s">
        <v>99</v>
      </c>
      <c r="K4532" t="s">
        <v>121</v>
      </c>
      <c r="L4532" t="s">
        <v>20</v>
      </c>
      <c r="M4532" t="s">
        <v>9418</v>
      </c>
      <c r="N4532" t="s">
        <v>14</v>
      </c>
    </row>
    <row r="4533" x14ac:dyDescent="0.25">
      <c r="A4533" t="n">
        <v>25</v>
      </c>
      <c r="B4533" t="s">
        <v>14</v>
      </c>
      <c r="C4533" t="s">
        <v>22</v>
      </c>
      <c r="D4533" s="2" t="s">
        <f>=HYPERLINK("https://main.knesset.gov.il/APPS/legislation/main/bills/2198017", "הצעת חוק שירות ביטחון (תיקון - תקופת אי-כשרות ארעית), התשפ""ג-2023")</f>
        <v>9420</v>
      </c>
      <c r="E4533" t="s">
        <v>9420</v>
      </c>
      <c r="F4533" t="s">
        <v>9421</v>
      </c>
      <c r="G4533" t="s">
        <v>14</v>
      </c>
      <c r="H4533">
             </c>
      <c r="I4533" t="s">
        <v>14</v>
      </c>
      <c r="J4533" t="s">
        <v>141</v>
      </c>
      <c r="K4533" t="s">
        <v>14</v>
      </c>
      <c r="L4533" t="s">
        <v>20</v>
      </c>
      <c r="M4533" t="s">
        <v>9422</v>
      </c>
      <c r="N4533" t="s">
        <v>14</v>
      </c>
    </row>
    <row r="4534" x14ac:dyDescent="0.25">
      <c r="A4534" t="n">
        <v>25</v>
      </c>
      <c r="B4534" t="s">
        <v>14</v>
      </c>
      <c r="C4534" t="s">
        <v>22</v>
      </c>
      <c r="D4534" s="2" t="s">
        <f>=HYPERLINK("https://main.knesset.gov.il/APPS/legislation/main/bills/2203980", "הצעת חוק הדיינים (תיקון - שינוי הרכב הוועדה למינוי דיינים), התשפ""ג-2023")</f>
        <v>9423</v>
      </c>
      <c r="E4534" t="s">
        <v>9423</v>
      </c>
      <c r="F4534" t="s">
        <v>9424</v>
      </c>
      <c r="G4534" t="s">
        <v>14</v>
      </c>
      <c r="H4534">
             </c>
      <c r="I4534" t="s">
        <v>14</v>
      </c>
      <c r="J4534" t="s">
        <v>141</v>
      </c>
      <c r="K4534" t="s">
        <v>14</v>
      </c>
      <c r="L4534" t="s">
        <v>20</v>
      </c>
      <c r="M4534" t="s">
        <v>9422</v>
      </c>
      <c r="N4534" t="s">
        <v>14</v>
      </c>
    </row>
    <row r="4535" x14ac:dyDescent="0.25">
      <c r="A4535" t="n">
        <v>25</v>
      </c>
      <c r="B4535" t="s">
        <v>14</v>
      </c>
      <c r="C4535" t="s">
        <v>22</v>
      </c>
      <c r="D4535" s="2" t="s">
        <f>=HYPERLINK("https://main.knesset.gov.il/APPS/legislation/main/bills/2203909", "הצעת חוק-יסוד: השפיטה (תיקון - מינוי נשיא ומשנה לנשיא בית המשפט העליון)")</f>
        <v>9425</v>
      </c>
      <c r="E4535" t="s">
        <v>9425</v>
      </c>
      <c r="F4535" t="s">
        <v>9426</v>
      </c>
      <c r="G4535" t="s">
        <v>14</v>
      </c>
      <c r="H4535">
             </c>
      <c r="I4535" t="s">
        <v>14</v>
      </c>
      <c r="J4535" t="s">
        <v>141</v>
      </c>
      <c r="K4535" t="s">
        <v>14</v>
      </c>
      <c r="L4535" t="s">
        <v>20</v>
      </c>
      <c r="M4535" t="s">
        <v>9422</v>
      </c>
      <c r="N4535" t="s">
        <v>14</v>
      </c>
    </row>
    <row r="4536" x14ac:dyDescent="0.25">
      <c r="A4536" t="n">
        <v>25</v>
      </c>
      <c r="B4536" t="s">
        <v>14</v>
      </c>
      <c r="C4536" t="s">
        <v>22</v>
      </c>
      <c r="D4536" s="2" t="s">
        <f>=HYPERLINK("https://main.knesset.gov.il/APPS/legislation/main/bills/2204079", "הצעת חוק הסכמים קיבוציים (תיקון - יציגות ארגון עובדים והגנה על הפרט), התשפ""ג-2023")</f>
        <v>9427</v>
      </c>
      <c r="E4536" t="s">
        <v>9427</v>
      </c>
      <c r="F4536" t="s">
        <v>9428</v>
      </c>
      <c r="G4536" t="s">
        <v>14</v>
      </c>
      <c r="H4536">
             </c>
      <c r="I4536" t="s">
        <v>14</v>
      </c>
      <c r="J4536" t="s">
        <v>141</v>
      </c>
      <c r="K4536" t="s">
        <v>14</v>
      </c>
      <c r="L4536" t="s">
        <v>20</v>
      </c>
      <c r="M4536" t="s">
        <v>9422</v>
      </c>
      <c r="N4536" t="s">
        <v>14</v>
      </c>
    </row>
    <row r="4537" x14ac:dyDescent="0.25">
      <c r="A4537" t="n">
        <v>25</v>
      </c>
      <c r="B4537" t="s">
        <v>14</v>
      </c>
      <c r="C4537" t="s">
        <v>22</v>
      </c>
      <c r="D4537" s="2" t="s">
        <f>=HYPERLINK("https://main.knesset.gov.il/APPS/legislation/main/bills/2204332", "הצעת חוק ביטוח בריאות ממלכתי (תיקון - הרחבת פטור מתשלום בחדר מיון), התשפ""ג-2023")</f>
        <v>9429</v>
      </c>
      <c r="E4537" t="s">
        <v>9429</v>
      </c>
      <c r="F4537" t="s">
        <v>9430</v>
      </c>
      <c r="G4537" t="s">
        <v>14</v>
      </c>
      <c r="H4537">
             </c>
      <c r="I4537" t="s">
        <v>14</v>
      </c>
      <c r="J4537" t="s">
        <v>141</v>
      </c>
      <c r="K4537" t="s">
        <v>14</v>
      </c>
      <c r="L4537" t="s">
        <v>20</v>
      </c>
      <c r="M4537" t="s">
        <v>9422</v>
      </c>
      <c r="N4537" t="s">
        <v>14</v>
      </c>
    </row>
    <row r="4538" x14ac:dyDescent="0.25">
      <c r="A4538" t="n">
        <v>25</v>
      </c>
      <c r="B4538" t="s">
        <v>14</v>
      </c>
      <c r="C4538" t="s">
        <v>22</v>
      </c>
      <c r="D4538" s="2" t="s">
        <f>=HYPERLINK("https://main.knesset.gov.il/APPS/legislation/main/bills/2204302", "הצעת חוק הביטוח הלאומי (תיקון - נכה שהגיע לגיל פרישה), התשפ""ג-2023")</f>
        <v>9431</v>
      </c>
      <c r="E4538" t="s">
        <v>9431</v>
      </c>
      <c r="F4538" t="s">
        <v>9432</v>
      </c>
      <c r="G4538" t="s">
        <v>14</v>
      </c>
      <c r="H4538">
             </c>
      <c r="I4538" t="s">
        <v>14</v>
      </c>
      <c r="J4538" t="s">
        <v>141</v>
      </c>
      <c r="K4538" t="s">
        <v>14</v>
      </c>
      <c r="L4538" t="s">
        <v>20</v>
      </c>
      <c r="M4538" t="s">
        <v>9422</v>
      </c>
      <c r="N4538" t="s">
        <v>14</v>
      </c>
    </row>
    <row r="4539" x14ac:dyDescent="0.25">
      <c r="A4539" t="n">
        <v>25</v>
      </c>
      <c r="B4539" t="s">
        <v>14</v>
      </c>
      <c r="C4539" t="s">
        <v>22</v>
      </c>
      <c r="D4539" s="2" t="s">
        <f>=HYPERLINK("https://main.knesset.gov.il/APPS/legislation/main/bills/2204280", "הצעת חוק הביטוח הלאומי (תיקון - קיזוז הכנסות שאינן מעבודה או ממשלח יד מקצבת נכות), התשפ""ג-2023")</f>
        <v>9433</v>
      </c>
      <c r="E4539" t="s">
        <v>9433</v>
      </c>
      <c r="F4539" t="s">
        <v>9434</v>
      </c>
      <c r="G4539" t="s">
        <v>14</v>
      </c>
      <c r="H4539">
             </c>
      <c r="I4539" t="s">
        <v>14</v>
      </c>
      <c r="J4539" t="s">
        <v>141</v>
      </c>
      <c r="K4539" t="s">
        <v>14</v>
      </c>
      <c r="L4539" t="s">
        <v>20</v>
      </c>
      <c r="M4539" t="s">
        <v>9422</v>
      </c>
      <c r="N4539" t="s">
        <v>14</v>
      </c>
    </row>
    <row r="4540" x14ac:dyDescent="0.25">
      <c r="A4540" t="n">
        <v>25</v>
      </c>
      <c r="B4540" t="s">
        <v>14</v>
      </c>
      <c r="C4540" t="s">
        <v>22</v>
      </c>
      <c r="D4540" s="2" t="s">
        <f>=HYPERLINK("https://main.knesset.gov.il/APPS/legislation/main/bills/2204237", "הצעת חוק ביטוח בריאות ממלכתי (תיקון - הפחתה בדמי ביטוח בריאות לתושבי הפריפריה), התשפ""ג-2023")</f>
        <v>9435</v>
      </c>
      <c r="E4540" t="s">
        <v>9435</v>
      </c>
      <c r="F4540" t="s">
        <v>9436</v>
      </c>
      <c r="G4540" t="s">
        <v>14</v>
      </c>
      <c r="H4540">
             </c>
      <c r="I4540" t="s">
        <v>14</v>
      </c>
      <c r="J4540" t="s">
        <v>141</v>
      </c>
      <c r="K4540" t="s">
        <v>14</v>
      </c>
      <c r="L4540" t="s">
        <v>20</v>
      </c>
      <c r="M4540" t="s">
        <v>9422</v>
      </c>
      <c r="N4540" t="s">
        <v>14</v>
      </c>
    </row>
    <row r="4541" x14ac:dyDescent="0.25">
      <c r="A4541" t="n">
        <v>25</v>
      </c>
      <c r="B4541" t="s">
        <v>14</v>
      </c>
      <c r="C4541" t="s">
        <v>22</v>
      </c>
      <c r="D4541" s="2" t="s">
        <f>=HYPERLINK("https://main.knesset.gov.il/APPS/legislation/main/bills/2204125", "הצעת חוק הביטוח הלאומי (תיקון - הארכת הזכאות של חולה במחלה ממארת), התשפ""ג-2023")</f>
        <v>9035</v>
      </c>
      <c r="E4541" t="s">
        <v>9035</v>
      </c>
      <c r="F4541" t="s">
        <v>9437</v>
      </c>
      <c r="G4541" t="s">
        <v>14</v>
      </c>
      <c r="H4541">
             </c>
      <c r="I4541" t="s">
        <v>14</v>
      </c>
      <c r="J4541" t="s">
        <v>141</v>
      </c>
      <c r="K4541" t="s">
        <v>14</v>
      </c>
      <c r="L4541" t="s">
        <v>20</v>
      </c>
      <c r="M4541" t="s">
        <v>9422</v>
      </c>
      <c r="N4541" t="s">
        <v>14</v>
      </c>
    </row>
    <row r="4542" x14ac:dyDescent="0.25">
      <c r="A4542" t="n">
        <v>25</v>
      </c>
      <c r="B4542" t="s">
        <v>14</v>
      </c>
      <c r="C4542" t="s">
        <v>22</v>
      </c>
      <c r="D4542" s="2" t="s">
        <f>=HYPERLINK("https://main.knesset.gov.il/APPS/legislation/main/bills/2203142", "הצעת חוק הביטוח הלאומי (תיקון - הארכת הזכאות של חולה במחלה ממארת), התשפ""ג-2023")</f>
        <v>9035</v>
      </c>
      <c r="E4542" t="s">
        <v>9035</v>
      </c>
      <c r="F4542" t="s">
        <v>9438</v>
      </c>
      <c r="G4542" t="s">
        <v>14</v>
      </c>
      <c r="H4542">
             </c>
      <c r="I4542" t="s">
        <v>14</v>
      </c>
      <c r="J4542" t="s">
        <v>141</v>
      </c>
      <c r="K4542" t="s">
        <v>14</v>
      </c>
      <c r="L4542" t="s">
        <v>20</v>
      </c>
      <c r="M4542" t="s">
        <v>9422</v>
      </c>
      <c r="N4542" t="s">
        <v>14</v>
      </c>
    </row>
    <row r="4543" x14ac:dyDescent="0.25">
      <c r="A4543" t="n">
        <v>25</v>
      </c>
      <c r="B4543" t="s">
        <v>14</v>
      </c>
      <c r="C4543" t="s">
        <v>22</v>
      </c>
      <c r="D4543" s="2" t="s">
        <f>=HYPERLINK("https://main.knesset.gov.il/APPS/legislation/main/bills/2203964", "הצעת חוק הקרן לעידוד תעשייה נקייה, התשפ""ג-2023")</f>
        <v>9439</v>
      </c>
      <c r="E4543" t="s">
        <v>9439</v>
      </c>
      <c r="F4543" t="s">
        <v>9440</v>
      </c>
      <c r="G4543" t="s">
        <v>14</v>
      </c>
      <c r="H4543">
             </c>
      <c r="I4543" t="s">
        <v>14</v>
      </c>
      <c r="J4543" t="s">
        <v>141</v>
      </c>
      <c r="K4543" t="s">
        <v>14</v>
      </c>
      <c r="L4543" t="s">
        <v>20</v>
      </c>
      <c r="M4543" t="s">
        <v>9422</v>
      </c>
      <c r="N4543" t="s">
        <v>14</v>
      </c>
    </row>
    <row r="4544" x14ac:dyDescent="0.25">
      <c r="A4544" t="n">
        <v>25</v>
      </c>
      <c r="B4544" t="s">
        <v>14</v>
      </c>
      <c r="C4544" t="s">
        <v>22</v>
      </c>
      <c r="D4544" s="2" t="s">
        <f>=HYPERLINK("https://main.knesset.gov.il/APPS/legislation/main/bills/2203971", "הצעת חוק הבלו על דלק (תיקון - הגבלת שיעור המס על הדלק), התשפ""ג-2023")</f>
        <v>9441</v>
      </c>
      <c r="E4544" t="s">
        <v>9441</v>
      </c>
      <c r="F4544" t="s">
        <v>9442</v>
      </c>
      <c r="G4544" t="s">
        <v>14</v>
      </c>
      <c r="H4544">
             </c>
      <c r="I4544" t="s">
        <v>14</v>
      </c>
      <c r="J4544" t="s">
        <v>141</v>
      </c>
      <c r="K4544" t="s">
        <v>14</v>
      </c>
      <c r="L4544" t="s">
        <v>20</v>
      </c>
      <c r="M4544" t="s">
        <v>9422</v>
      </c>
      <c r="N4544" t="s">
        <v>14</v>
      </c>
    </row>
    <row r="4545" x14ac:dyDescent="0.25">
      <c r="A4545" t="n">
        <v>25</v>
      </c>
      <c r="B4545" t="s">
        <v>14</v>
      </c>
      <c r="C4545" t="s">
        <v>22</v>
      </c>
      <c r="D4545" s="2" t="s">
        <f>=HYPERLINK("https://main.knesset.gov.il/APPS/legislation/main/bills/2204145", "הצעת חוק לתיקון פקודת מס הכנסה (פטור ממס לגמלאים על תשלומי פנסיה), התשפ""ג-2023")</f>
        <v>9443</v>
      </c>
      <c r="E4545" t="s">
        <v>9443</v>
      </c>
      <c r="F4545" t="s">
        <v>9444</v>
      </c>
      <c r="G4545" t="s">
        <v>14</v>
      </c>
      <c r="H4545">
             </c>
      <c r="I4545" t="s">
        <v>14</v>
      </c>
      <c r="J4545" t="s">
        <v>141</v>
      </c>
      <c r="K4545" t="s">
        <v>14</v>
      </c>
      <c r="L4545" t="s">
        <v>20</v>
      </c>
      <c r="M4545" t="s">
        <v>9422</v>
      </c>
      <c r="N4545" t="s">
        <v>14</v>
      </c>
    </row>
    <row r="4546" x14ac:dyDescent="0.25">
      <c r="A4546" t="n">
        <v>25</v>
      </c>
      <c r="B4546" t="s">
        <v>14</v>
      </c>
      <c r="C4546" t="s">
        <v>22</v>
      </c>
      <c r="D4546" s="2" t="s">
        <f>=HYPERLINK("https://main.knesset.gov.il/APPS/legislation/main/bills/2203711", "הצעת חוק להגברת האכיפה של דיני העבודה (תיקון - הפרות בטיחות בעבודה בתחום הבנייה), התשפ""ג-2023")</f>
        <v>9445</v>
      </c>
      <c r="E4546" t="s">
        <v>9445</v>
      </c>
      <c r="F4546" t="s">
        <v>9446</v>
      </c>
      <c r="G4546" t="s">
        <v>14</v>
      </c>
      <c r="H4546">
             </c>
      <c r="I4546" t="s">
        <v>14</v>
      </c>
      <c r="J4546" t="s">
        <v>141</v>
      </c>
      <c r="K4546" t="s">
        <v>14</v>
      </c>
      <c r="L4546" t="s">
        <v>20</v>
      </c>
      <c r="M4546" t="s">
        <v>9422</v>
      </c>
      <c r="N4546" t="s">
        <v>14</v>
      </c>
    </row>
    <row r="4547" x14ac:dyDescent="0.25">
      <c r="A4547" t="n">
        <v>25</v>
      </c>
      <c r="B4547" t="s">
        <v>14</v>
      </c>
      <c r="C4547" t="s">
        <v>22</v>
      </c>
      <c r="D4547" s="2" t="s">
        <f>=HYPERLINK("https://main.knesset.gov.il/APPS/legislation/main/bills/2204330", "הצעת חוק משק החשמל (תיקון - פיקוח פרלמנטרי על תעריפי החשמל), התשפ""ג-2023")</f>
        <v>9447</v>
      </c>
      <c r="E4547" t="s">
        <v>9447</v>
      </c>
      <c r="F4547" t="s">
        <v>9448</v>
      </c>
      <c r="G4547" t="s">
        <v>14</v>
      </c>
      <c r="H4547">
             </c>
      <c r="I4547" t="s">
        <v>14</v>
      </c>
      <c r="J4547" t="s">
        <v>141</v>
      </c>
      <c r="K4547" t="s">
        <v>14</v>
      </c>
      <c r="L4547" t="s">
        <v>20</v>
      </c>
      <c r="M4547" t="s">
        <v>9422</v>
      </c>
      <c r="N4547" t="s">
        <v>14</v>
      </c>
    </row>
    <row r="4548" x14ac:dyDescent="0.25">
      <c r="A4548" t="n">
        <v>25</v>
      </c>
      <c r="B4548" t="s">
        <v>14</v>
      </c>
      <c r="C4548" t="s">
        <v>22</v>
      </c>
      <c r="D4548" s="2" t="s">
        <f>=HYPERLINK("https://main.knesset.gov.il/APPS/legislation/main/bills/2203714", "הצעת חוק שוויון זכויות לאנשים עם מוגבלות (תיקון - מידע בדבר עמידת מעסיקים פרטיים גדולים ביעד הייצוג ההולם), התשפ""ג-2023")</f>
        <v>8806</v>
      </c>
      <c r="E4548" t="s">
        <v>8806</v>
      </c>
      <c r="F4548" t="s">
        <v>9449</v>
      </c>
      <c r="G4548" t="s">
        <v>14</v>
      </c>
      <c r="H4548">
             </c>
      <c r="I4548" t="s">
        <v>14</v>
      </c>
      <c r="J4548" t="s">
        <v>141</v>
      </c>
      <c r="K4548" t="s">
        <v>14</v>
      </c>
      <c r="L4548" t="s">
        <v>20</v>
      </c>
      <c r="M4548" t="s">
        <v>9422</v>
      </c>
      <c r="N4548" t="s">
        <v>14</v>
      </c>
    </row>
    <row r="4549" x14ac:dyDescent="0.25">
      <c r="A4549" t="n">
        <v>25</v>
      </c>
      <c r="B4549" t="s">
        <v>14</v>
      </c>
      <c r="C4549" t="s">
        <v>22</v>
      </c>
      <c r="D4549" s="2" t="s">
        <f>=HYPERLINK("https://main.knesset.gov.il/APPS/legislation/main/bills/2203904", "הצעת חוק שכר מינימום (תיקון - שכר שווה לאנשים המתמודדים עם מוגבלות), התשפ""ג-2023")</f>
        <v>9450</v>
      </c>
      <c r="E4549" t="s">
        <v>9450</v>
      </c>
      <c r="F4549" t="s">
        <v>9451</v>
      </c>
      <c r="G4549" t="s">
        <v>14</v>
      </c>
      <c r="H4549">
             </c>
      <c r="I4549" t="s">
        <v>14</v>
      </c>
      <c r="J4549" t="s">
        <v>141</v>
      </c>
      <c r="K4549" t="s">
        <v>14</v>
      </c>
      <c r="L4549" t="s">
        <v>20</v>
      </c>
      <c r="M4549" t="s">
        <v>9422</v>
      </c>
      <c r="N4549" t="s">
        <v>14</v>
      </c>
    </row>
    <row r="4550" x14ac:dyDescent="0.25">
      <c r="A4550" t="n">
        <v>25</v>
      </c>
      <c r="B4550" t="s">
        <v>14</v>
      </c>
      <c r="C4550" t="s">
        <v>22</v>
      </c>
      <c r="D4550" s="2" t="s">
        <f>=HYPERLINK("https://main.knesset.gov.il/APPS/legislation/main/bills/2204390", "הצעת חוק לתיקון פקודת ביטוח רכב מנועי (פוליסה לשני כלי רכב של נהג יחיד), התשפ""ג-2023")</f>
        <v>8718</v>
      </c>
      <c r="E4550" t="s">
        <v>8718</v>
      </c>
      <c r="F4550" t="s">
        <v>9452</v>
      </c>
      <c r="G4550" t="s">
        <v>14</v>
      </c>
      <c r="H4550">
             </c>
      <c r="I4550" t="s">
        <v>14</v>
      </c>
      <c r="J4550" t="s">
        <v>141</v>
      </c>
      <c r="K4550" t="s">
        <v>14</v>
      </c>
      <c r="L4550" t="s">
        <v>20</v>
      </c>
      <c r="M4550" t="s">
        <v>9422</v>
      </c>
      <c r="N4550" t="s">
        <v>14</v>
      </c>
    </row>
    <row r="4551" x14ac:dyDescent="0.25">
      <c r="A4551" t="n">
        <v>25</v>
      </c>
      <c r="B4551" t="s">
        <v>14</v>
      </c>
      <c r="C4551" t="s">
        <v>22</v>
      </c>
      <c r="D4551" s="2" t="s">
        <f>=HYPERLINK("https://main.knesset.gov.il/APPS/legislation/main/bills/2203712", "הצעת חוק הלוואות לדיור (תיקון - הצמדת סכום ההלוואה למדד), התשפ""ג-2023")</f>
        <v>9453</v>
      </c>
      <c r="E4551" t="s">
        <v>9453</v>
      </c>
      <c r="F4551" t="s">
        <v>9454</v>
      </c>
      <c r="G4551" t="s">
        <v>14</v>
      </c>
      <c r="H4551">
             </c>
      <c r="I4551" t="s">
        <v>14</v>
      </c>
      <c r="J4551" t="s">
        <v>141</v>
      </c>
      <c r="K4551" t="s">
        <v>14</v>
      </c>
      <c r="L4551" t="s">
        <v>20</v>
      </c>
      <c r="M4551" t="s">
        <v>9422</v>
      </c>
      <c r="N4551" t="s">
        <v>14</v>
      </c>
    </row>
    <row r="4552" x14ac:dyDescent="0.25">
      <c r="A4552" t="n">
        <v>25</v>
      </c>
      <c r="B4552" t="s">
        <v>14</v>
      </c>
      <c r="C4552" t="s">
        <v>22</v>
      </c>
      <c r="D4552" s="2" t="s">
        <f>=HYPERLINK("https://main.knesset.gov.il/APPS/legislation/main/bills/2204325", "הצעת חוק התכנון והבנייה (תיקון - ביצוע סקר מבנים מסוכנים), התשפ""ג-2023")</f>
        <v>9455</v>
      </c>
      <c r="E4552" t="s">
        <v>9455</v>
      </c>
      <c r="F4552" t="s">
        <v>9456</v>
      </c>
      <c r="G4552" t="s">
        <v>14</v>
      </c>
      <c r="H4552">
             </c>
      <c r="I4552" t="s">
        <v>14</v>
      </c>
      <c r="J4552" t="s">
        <v>141</v>
      </c>
      <c r="K4552" t="s">
        <v>14</v>
      </c>
      <c r="L4552" t="s">
        <v>20</v>
      </c>
      <c r="M4552" t="s">
        <v>9422</v>
      </c>
      <c r="N4552" t="s">
        <v>14</v>
      </c>
    </row>
    <row r="4553" x14ac:dyDescent="0.25">
      <c r="A4553" t="n">
        <v>25</v>
      </c>
      <c r="B4553" t="s">
        <v>14</v>
      </c>
      <c r="C4553" t="s">
        <v>22</v>
      </c>
      <c r="D4553" s="2" t="s">
        <f>=HYPERLINK("https://main.knesset.gov.il/APPS/legislation/main/bills/2204041", "הצעת חוק דיני העבודה (תיקוני חקיקה), התשפ""ג-2023")</f>
        <v>9457</v>
      </c>
      <c r="E4553" t="s">
        <v>9457</v>
      </c>
      <c r="F4553" t="s">
        <v>9458</v>
      </c>
      <c r="G4553" t="s">
        <v>14</v>
      </c>
      <c r="H4553">
             </c>
      <c r="I4553" t="s">
        <v>14</v>
      </c>
      <c r="J4553" t="s">
        <v>141</v>
      </c>
      <c r="K4553" t="s">
        <v>14</v>
      </c>
      <c r="L4553" t="s">
        <v>20</v>
      </c>
      <c r="M4553" t="s">
        <v>9422</v>
      </c>
      <c r="N4553" t="s">
        <v>14</v>
      </c>
    </row>
    <row r="4554" x14ac:dyDescent="0.25">
      <c r="A4554" t="n">
        <v>25</v>
      </c>
      <c r="B4554" t="s">
        <v>14</v>
      </c>
      <c r="C4554" t="s">
        <v>22</v>
      </c>
      <c r="D4554" s="2" t="s">
        <f>=HYPERLINK("https://main.knesset.gov.il/APPS/legislation/main/bills/2203776", "הצעת חוק הביטוח הלאומי (תיקון - פטור מתשלום דמי ביטוח לאומי עד גיל 21), התשפ""ג-2023")</f>
        <v>9459</v>
      </c>
      <c r="E4554" t="s">
        <v>9459</v>
      </c>
      <c r="F4554" t="s">
        <v>9460</v>
      </c>
      <c r="G4554" t="s">
        <v>14</v>
      </c>
      <c r="H4554">
             </c>
      <c r="I4554" t="s">
        <v>14</v>
      </c>
      <c r="J4554" t="s">
        <v>141</v>
      </c>
      <c r="K4554" t="s">
        <v>14</v>
      </c>
      <c r="L4554" t="s">
        <v>20</v>
      </c>
      <c r="M4554" t="s">
        <v>9422</v>
      </c>
      <c r="N4554" t="s">
        <v>14</v>
      </c>
    </row>
    <row r="4555" x14ac:dyDescent="0.25">
      <c r="A4555" t="n">
        <v>25</v>
      </c>
      <c r="B4555" t="s">
        <v>14</v>
      </c>
      <c r="C4555" t="s">
        <v>22</v>
      </c>
      <c r="D4555" s="2" t="s">
        <f>=HYPERLINK("https://main.knesset.gov.il/APPS/legislation/main/bills/2203926", "הצעת חוק הביטוח הלאומי (תיקון - קצבת תלויים וקצבת אזרח ותיק), התשפ""ג-2023")</f>
        <v>9461</v>
      </c>
      <c r="E4555" t="s">
        <v>9461</v>
      </c>
      <c r="F4555" t="s">
        <v>9462</v>
      </c>
      <c r="G4555" t="s">
        <v>14</v>
      </c>
      <c r="H4555">
             </c>
      <c r="I4555" t="s">
        <v>14</v>
      </c>
      <c r="J4555" t="s">
        <v>141</v>
      </c>
      <c r="K4555" t="s">
        <v>14</v>
      </c>
      <c r="L4555" t="s">
        <v>20</v>
      </c>
      <c r="M4555" t="s">
        <v>9422</v>
      </c>
      <c r="N4555" t="s">
        <v>14</v>
      </c>
    </row>
    <row r="4556" x14ac:dyDescent="0.25">
      <c r="A4556" t="n">
        <v>25</v>
      </c>
      <c r="B4556" t="s">
        <v>14</v>
      </c>
      <c r="C4556" t="s">
        <v>22</v>
      </c>
      <c r="D4556" s="2" t="s">
        <f>=HYPERLINK("https://main.knesset.gov.il/APPS/legislation/main/bills/2203936", "הצעת חוק הקמת חדר מיון בקריית שמונה, התשפ""ג-2023")</f>
        <v>9463</v>
      </c>
      <c r="E4556" t="s">
        <v>9463</v>
      </c>
      <c r="F4556" t="s">
        <v>9464</v>
      </c>
      <c r="G4556" t="s">
        <v>14</v>
      </c>
      <c r="H4556">
             </c>
      <c r="I4556" t="s">
        <v>14</v>
      </c>
      <c r="J4556" t="s">
        <v>343</v>
      </c>
      <c r="K4556" t="s">
        <v>14</v>
      </c>
      <c r="L4556" t="s">
        <v>20</v>
      </c>
      <c r="M4556" t="s">
        <v>9422</v>
      </c>
      <c r="N4556" t="s">
        <v>14</v>
      </c>
    </row>
    <row r="4557" x14ac:dyDescent="0.25">
      <c r="A4557" t="n">
        <v>25</v>
      </c>
      <c r="B4557" t="s">
        <v>14</v>
      </c>
      <c r="C4557" t="s">
        <v>22</v>
      </c>
      <c r="D4557" s="2" t="s">
        <f>=HYPERLINK("https://main.knesset.gov.il/APPS/legislation/main/bills/2203704", "הצעת חוק הנגשת שירותי קבלת קהל הניתנים בגופי שלטון למיעוט לשוני גדול, התשפ""ג-2023")</f>
        <v>9465</v>
      </c>
      <c r="E4557" t="s">
        <v>9465</v>
      </c>
      <c r="F4557" t="s">
        <v>9466</v>
      </c>
      <c r="G4557" t="s">
        <v>14</v>
      </c>
      <c r="H4557">
             </c>
      <c r="I4557" t="s">
        <v>14</v>
      </c>
      <c r="J4557" t="s">
        <v>141</v>
      </c>
      <c r="K4557" t="s">
        <v>14</v>
      </c>
      <c r="L4557" t="s">
        <v>20</v>
      </c>
      <c r="M4557" t="s">
        <v>9422</v>
      </c>
      <c r="N4557" t="s">
        <v>14</v>
      </c>
    </row>
    <row r="4558" x14ac:dyDescent="0.25">
      <c r="A4558" t="n">
        <v>25</v>
      </c>
      <c r="B4558" t="s">
        <v>14</v>
      </c>
      <c r="C4558" t="s">
        <v>22</v>
      </c>
      <c r="D4558" s="2" t="s">
        <f>=HYPERLINK("https://main.knesset.gov.il/APPS/legislation/main/bills/2196963", "הצעת חוק ברית הזוגיות האזרחית, התשפ""ג-2023")</f>
        <v>9467</v>
      </c>
      <c r="E4558" t="s">
        <v>9467</v>
      </c>
      <c r="F4558" t="s">
        <v>9468</v>
      </c>
      <c r="G4558" t="s">
        <v>14</v>
      </c>
      <c r="H4558">
             </c>
      <c r="I4558" t="s">
        <v>14</v>
      </c>
      <c r="J4558" t="s">
        <v>141</v>
      </c>
      <c r="K4558" t="s">
        <v>14</v>
      </c>
      <c r="L4558" t="s">
        <v>20</v>
      </c>
      <c r="M4558" t="s">
        <v>9422</v>
      </c>
      <c r="N4558" t="s">
        <v>14</v>
      </c>
    </row>
    <row r="4559" x14ac:dyDescent="0.25">
      <c r="A4559" t="n">
        <v>25</v>
      </c>
      <c r="B4559" t="s">
        <v>14</v>
      </c>
      <c r="C4559" t="s">
        <v>22</v>
      </c>
      <c r="D4559" s="2" t="s">
        <f>=HYPERLINK("https://main.knesset.gov.il/APPS/legislation/main/bills/2204105", "הצעת חוק העונשין (תיקון - תקיפת נהגי אוטובוס בקווי תחבורה ציבורית), התשפ""ג-2023")</f>
        <v>9469</v>
      </c>
      <c r="E4559" t="s">
        <v>9469</v>
      </c>
      <c r="F4559" t="s">
        <v>9470</v>
      </c>
      <c r="G4559" t="s">
        <v>14</v>
      </c>
      <c r="H4559">
             </c>
      <c r="I4559" t="s">
        <v>14</v>
      </c>
      <c r="J4559" t="s">
        <v>141</v>
      </c>
      <c r="K4559" t="s">
        <v>14</v>
      </c>
      <c r="L4559" t="s">
        <v>20</v>
      </c>
      <c r="M4559" t="s">
        <v>9422</v>
      </c>
      <c r="N4559" t="s">
        <v>14</v>
      </c>
    </row>
    <row r="4560" x14ac:dyDescent="0.25">
      <c r="A4560" t="n">
        <v>25</v>
      </c>
      <c r="B4560" t="s">
        <v>14</v>
      </c>
      <c r="C4560" t="s">
        <v>22</v>
      </c>
      <c r="D4560" s="2" t="s">
        <f>=HYPERLINK("https://main.knesset.gov.il/APPS/legislation/main/bills/2204339", "הצעת חוק עיקול ותפיסה מידתיים של נכסים המוחזקים בידי צד שלישי (תיקוני חקיקה), התשפ""ג-2023")</f>
        <v>8749</v>
      </c>
      <c r="E4560" t="s">
        <v>8749</v>
      </c>
      <c r="F4560" t="s">
        <v>9471</v>
      </c>
      <c r="G4560" t="s">
        <v>14</v>
      </c>
      <c r="H4560">
             </c>
      <c r="I4560" t="s">
        <v>14</v>
      </c>
      <c r="J4560" t="s">
        <v>141</v>
      </c>
      <c r="K4560" t="s">
        <v>14</v>
      </c>
      <c r="L4560" t="s">
        <v>20</v>
      </c>
      <c r="M4560" t="s">
        <v>9422</v>
      </c>
      <c r="N4560" t="s">
        <v>14</v>
      </c>
    </row>
    <row r="4561" x14ac:dyDescent="0.25">
      <c r="A4561" t="n">
        <v>25</v>
      </c>
      <c r="B4561" t="s">
        <v>14</v>
      </c>
      <c r="C4561" t="s">
        <v>22</v>
      </c>
      <c r="D4561" s="2" t="s">
        <f>=HYPERLINK("https://main.knesset.gov.il/APPS/legislation/main/bills/2203966", "הצעת חוק ההוצאה לפועל (תיקון - החרגת עיקול רכב), התשפ""ג-2023")</f>
        <v>9472</v>
      </c>
      <c r="E4561" t="s">
        <v>9472</v>
      </c>
      <c r="F4561" t="s">
        <v>9473</v>
      </c>
      <c r="G4561" t="s">
        <v>14</v>
      </c>
      <c r="H4561">
             </c>
      <c r="I4561" t="s">
        <v>14</v>
      </c>
      <c r="J4561" t="s">
        <v>141</v>
      </c>
      <c r="K4561" t="s">
        <v>14</v>
      </c>
      <c r="L4561" t="s">
        <v>20</v>
      </c>
      <c r="M4561" t="s">
        <v>9422</v>
      </c>
      <c r="N4561" t="s">
        <v>14</v>
      </c>
    </row>
    <row r="4562" x14ac:dyDescent="0.25">
      <c r="A4562" t="n">
        <v>25</v>
      </c>
      <c r="B4562" t="s">
        <v>14</v>
      </c>
      <c r="C4562" t="s">
        <v>22</v>
      </c>
      <c r="D4562" s="2" t="s">
        <f>=HYPERLINK("https://main.knesset.gov.il/APPS/legislation/main/bills/2203709", "הצעת חוק העונשין (תיקון - תקיפת עורך דין כתקיפת עובד ציבור), התשפ""ג-2023")</f>
        <v>8627</v>
      </c>
      <c r="E4562" t="s">
        <v>8627</v>
      </c>
      <c r="F4562" t="s">
        <v>9474</v>
      </c>
      <c r="G4562" t="s">
        <v>14</v>
      </c>
      <c r="H4562">
             </c>
      <c r="I4562" t="s">
        <v>14</v>
      </c>
      <c r="J4562" t="s">
        <v>141</v>
      </c>
      <c r="K4562" t="s">
        <v>14</v>
      </c>
      <c r="L4562" t="s">
        <v>20</v>
      </c>
      <c r="M4562" t="s">
        <v>9422</v>
      </c>
      <c r="N4562" t="s">
        <v>14</v>
      </c>
    </row>
    <row r="4563" x14ac:dyDescent="0.25">
      <c r="A4563" t="n">
        <v>25</v>
      </c>
      <c r="B4563" t="s">
        <v>14</v>
      </c>
      <c r="C4563" t="s">
        <v>22</v>
      </c>
      <c r="D4563" s="2" t="s">
        <f>=HYPERLINK("https://main.knesset.gov.il/APPS/legislation/main/bills/2204148", "הצעת חוק הסיוע המשפטי (תיקון - סיוע משפטי לנפגעי עבירות) (הוראת שעה), התשפ""ג-2023")</f>
        <v>8303</v>
      </c>
      <c r="E4563" t="s">
        <v>8303</v>
      </c>
      <c r="F4563" t="s">
        <v>9475</v>
      </c>
      <c r="G4563" t="s">
        <v>14</v>
      </c>
      <c r="H4563">
             </c>
      <c r="I4563" t="s">
        <v>14</v>
      </c>
      <c r="J4563" t="s">
        <v>141</v>
      </c>
      <c r="K4563" t="s">
        <v>14</v>
      </c>
      <c r="L4563" t="s">
        <v>20</v>
      </c>
      <c r="M4563" t="s">
        <v>9422</v>
      </c>
      <c r="N4563" t="s">
        <v>14</v>
      </c>
    </row>
    <row r="4564" x14ac:dyDescent="0.25">
      <c r="A4564" t="n">
        <v>25</v>
      </c>
      <c r="B4564" t="s">
        <v>14</v>
      </c>
      <c r="C4564" t="s">
        <v>22</v>
      </c>
      <c r="D4564" s="2" t="s">
        <f>=HYPERLINK("https://main.knesset.gov.il/APPS/legislation/main/bills/2204135", "הצעת חוק שיפוט בתי דין רבניים (נישואין וגירושין) (תיקון - דרישת הסכמה בכתב), התשפ""ג-2023")</f>
        <v>9476</v>
      </c>
      <c r="E4564" t="s">
        <v>9476</v>
      </c>
      <c r="F4564" t="s">
        <v>9477</v>
      </c>
      <c r="G4564" t="s">
        <v>14</v>
      </c>
      <c r="H4564">
             </c>
      <c r="I4564" t="s">
        <v>14</v>
      </c>
      <c r="J4564" t="s">
        <v>141</v>
      </c>
      <c r="K4564" t="s">
        <v>14</v>
      </c>
      <c r="L4564" t="s">
        <v>20</v>
      </c>
      <c r="M4564" t="s">
        <v>9422</v>
      </c>
      <c r="N4564" t="s">
        <v>14</v>
      </c>
    </row>
    <row r="4565" x14ac:dyDescent="0.25">
      <c r="A4565" t="n">
        <v>25</v>
      </c>
      <c r="B4565" t="s">
        <v>14</v>
      </c>
      <c r="C4565" t="s">
        <v>22</v>
      </c>
      <c r="D4565" s="2" t="s">
        <f>=HYPERLINK("https://main.knesset.gov.il/APPS/legislation/main/bills/2204107", "הצעת חוק הגנת הצרכן (תיקון - פנייה מקדימה בעסקת מכר מרחוק), התשפ""ג-2023")</f>
        <v>9478</v>
      </c>
      <c r="E4565" t="s">
        <v>9478</v>
      </c>
      <c r="F4565" t="s">
        <v>9479</v>
      </c>
      <c r="G4565" t="s">
        <v>14</v>
      </c>
      <c r="H4565">
             </c>
      <c r="I4565" t="s">
        <v>14</v>
      </c>
      <c r="J4565" t="s">
        <v>141</v>
      </c>
      <c r="K4565" t="s">
        <v>14</v>
      </c>
      <c r="L4565" t="s">
        <v>20</v>
      </c>
      <c r="M4565" t="s">
        <v>9422</v>
      </c>
      <c r="N4565" t="s">
        <v>14</v>
      </c>
    </row>
    <row r="4566" x14ac:dyDescent="0.25">
      <c r="A4566" t="n">
        <v>25</v>
      </c>
      <c r="B4566" t="s">
        <v>14</v>
      </c>
      <c r="C4566" t="s">
        <v>22</v>
      </c>
      <c r="D4566" s="2" t="s">
        <f>=HYPERLINK("https://main.knesset.gov.il/APPS/legislation/main/bills/2204108", "הצעת חוק לתיקון פקודת התעבורה (סימון שונה במקומות שבהם היתר החניה תלוי בשעות), התשפ""ג-2023")</f>
        <v>9480</v>
      </c>
      <c r="E4566" t="s">
        <v>9480</v>
      </c>
      <c r="F4566" t="s">
        <v>9481</v>
      </c>
      <c r="G4566" t="s">
        <v>14</v>
      </c>
      <c r="H4566">
             </c>
      <c r="I4566" t="s">
        <v>14</v>
      </c>
      <c r="J4566" t="s">
        <v>141</v>
      </c>
      <c r="K4566" t="s">
        <v>14</v>
      </c>
      <c r="L4566" t="s">
        <v>20</v>
      </c>
      <c r="M4566" t="s">
        <v>9422</v>
      </c>
      <c r="N4566" t="s">
        <v>14</v>
      </c>
    </row>
    <row r="4567" x14ac:dyDescent="0.25">
      <c r="A4567" t="n">
        <v>25</v>
      </c>
      <c r="B4567" t="s">
        <v>14</v>
      </c>
      <c r="C4567" t="s">
        <v>22</v>
      </c>
      <c r="D4567" s="2" t="s">
        <f>=HYPERLINK("https://main.knesset.gov.il/APPS/legislation/main/bills/2203931", "הצעת חוק לימודי הכנה למבחנים פסיכומטריים לתלמידים, התשפ""ג-2023")</f>
        <v>9482</v>
      </c>
      <c r="E4567" t="s">
        <v>9482</v>
      </c>
      <c r="F4567" t="s">
        <v>9483</v>
      </c>
      <c r="G4567" t="s">
        <v>14</v>
      </c>
      <c r="H4567">
             </c>
      <c r="I4567" t="s">
        <v>14</v>
      </c>
      <c r="J4567" t="s">
        <v>141</v>
      </c>
      <c r="K4567" t="s">
        <v>14</v>
      </c>
      <c r="L4567" t="s">
        <v>20</v>
      </c>
      <c r="M4567" t="s">
        <v>9422</v>
      </c>
      <c r="N4567" t="s">
        <v>14</v>
      </c>
    </row>
    <row r="4568" x14ac:dyDescent="0.25">
      <c r="A4568" t="n">
        <v>25</v>
      </c>
      <c r="B4568" t="s">
        <v>14</v>
      </c>
      <c r="C4568" t="s">
        <v>22</v>
      </c>
      <c r="D4568" s="2" t="s">
        <f>=HYPERLINK("https://main.knesset.gov.il/APPS/legislation/main/bills/2204110", "הצעת חוק הגנת הצרכן (תיקון - אחריות מנהל כללי ונושא משרה בשל הפרת הוראות החוק), התשפ""ג-2023")</f>
        <v>9484</v>
      </c>
      <c r="E4568" t="s">
        <v>9484</v>
      </c>
      <c r="F4568" t="s">
        <v>9485</v>
      </c>
      <c r="G4568" t="s">
        <v>14</v>
      </c>
      <c r="H4568">
             </c>
      <c r="I4568" t="s">
        <v>14</v>
      </c>
      <c r="J4568" t="s">
        <v>141</v>
      </c>
      <c r="K4568" t="s">
        <v>14</v>
      </c>
      <c r="L4568" t="s">
        <v>20</v>
      </c>
      <c r="M4568" t="s">
        <v>9422</v>
      </c>
      <c r="N4568" t="s">
        <v>14</v>
      </c>
    </row>
    <row r="4569" x14ac:dyDescent="0.25">
      <c r="A4569" t="n">
        <v>25</v>
      </c>
      <c r="B4569" t="s">
        <v>14</v>
      </c>
      <c r="C4569" t="s">
        <v>22</v>
      </c>
      <c r="D4569" s="2" t="s">
        <f>=HYPERLINK("https://main.knesset.gov.il/APPS/legislation/main/bills/2203993", "הצעת חוק מפעל הזנה במוסדות חינוך על יסודיים לנוער בסיכון ולנוער נושר, התשפ''ג-2023")</f>
        <v>9486</v>
      </c>
      <c r="E4569" t="s">
        <v>9486</v>
      </c>
      <c r="F4569" t="s">
        <v>9487</v>
      </c>
      <c r="G4569" t="s">
        <v>14</v>
      </c>
      <c r="H4569">
             </c>
      <c r="I4569" t="s">
        <v>14</v>
      </c>
      <c r="J4569" t="s">
        <v>141</v>
      </c>
      <c r="K4569" t="s">
        <v>14</v>
      </c>
      <c r="L4569" t="s">
        <v>20</v>
      </c>
      <c r="M4569" t="s">
        <v>9422</v>
      </c>
      <c r="N4569" t="s">
        <v>14</v>
      </c>
    </row>
    <row r="4570" x14ac:dyDescent="0.25">
      <c r="A4570" t="n">
        <v>25</v>
      </c>
      <c r="B4570" t="s">
        <v>14</v>
      </c>
      <c r="C4570" t="s">
        <v>22</v>
      </c>
      <c r="D4570" s="2" t="s">
        <f>=HYPERLINK("https://main.knesset.gov.il/APPS/legislation/main/bills/2204140", "הצעת חוק לתיקון פקודת התעבורה (זכות עיון בממצאי בחינה מעשית בנהיגה), התשפ""ג-2023")</f>
        <v>9488</v>
      </c>
      <c r="E4570" t="s">
        <v>9488</v>
      </c>
      <c r="F4570" t="s">
        <v>9489</v>
      </c>
      <c r="G4570" t="s">
        <v>14</v>
      </c>
      <c r="H4570">
             </c>
      <c r="I4570" t="s">
        <v>14</v>
      </c>
      <c r="J4570" t="s">
        <v>343</v>
      </c>
      <c r="K4570" t="s">
        <v>14</v>
      </c>
      <c r="L4570" t="s">
        <v>20</v>
      </c>
      <c r="M4570" t="s">
        <v>9422</v>
      </c>
      <c r="N4570" t="s">
        <v>14</v>
      </c>
    </row>
    <row r="4571" x14ac:dyDescent="0.25">
      <c r="A4571" t="n">
        <v>25</v>
      </c>
      <c r="B4571" t="s">
        <v>14</v>
      </c>
      <c r="C4571" t="s">
        <v>22</v>
      </c>
      <c r="D4571" s="2" t="s">
        <f>=HYPERLINK("https://main.knesset.gov.il/APPS/legislation/main/bills/2203935", "הצעת חוק סייעות במוסדות חינוך, התשפ""ג-2023")</f>
        <v>9490</v>
      </c>
      <c r="E4571" t="s">
        <v>9490</v>
      </c>
      <c r="F4571" t="s">
        <v>9491</v>
      </c>
      <c r="G4571" t="s">
        <v>14</v>
      </c>
      <c r="H4571">
             </c>
      <c r="I4571" t="s">
        <v>14</v>
      </c>
      <c r="J4571" t="s">
        <v>141</v>
      </c>
      <c r="K4571" t="s">
        <v>14</v>
      </c>
      <c r="L4571" t="s">
        <v>20</v>
      </c>
      <c r="M4571" t="s">
        <v>9422</v>
      </c>
      <c r="N4571" t="s">
        <v>14</v>
      </c>
    </row>
    <row r="4572" x14ac:dyDescent="0.25">
      <c r="A4572" t="n">
        <v>25</v>
      </c>
      <c r="B4572" t="s">
        <v>14</v>
      </c>
      <c r="C4572" t="s">
        <v>22</v>
      </c>
      <c r="D4572" s="2" t="s">
        <f>=HYPERLINK("https://main.knesset.gov.il/APPS/legislation/main/bills/2204182", "הצעת חוק שיפוט בתי דין רבניים (נישואין וגירושין) (תיקון - מינוי נציגות ציבור), התשפ""ג-2023")</f>
        <v>9492</v>
      </c>
      <c r="E4572" t="s">
        <v>9492</v>
      </c>
      <c r="F4572" t="s">
        <v>9493</v>
      </c>
      <c r="G4572" t="s">
        <v>14</v>
      </c>
      <c r="H4572">
             </c>
      <c r="I4572" t="s">
        <v>14</v>
      </c>
      <c r="J4572" t="s">
        <v>141</v>
      </c>
      <c r="K4572" t="s">
        <v>14</v>
      </c>
      <c r="L4572" t="s">
        <v>20</v>
      </c>
      <c r="M4572" t="s">
        <v>9422</v>
      </c>
      <c r="N4572" t="s">
        <v>14</v>
      </c>
    </row>
    <row r="4573" x14ac:dyDescent="0.25">
      <c r="A4573" t="n">
        <v>25</v>
      </c>
      <c r="B4573" t="s">
        <v>14</v>
      </c>
      <c r="C4573" t="s">
        <v>22</v>
      </c>
      <c r="D4573" s="2" t="s">
        <f>=HYPERLINK("https://main.knesset.gov.il/APPS/legislation/main/bills/2203724", "הצעת חוק האזרחים הוותיקים (תיקון - הנחה בארנונה), התשפ""ג-2023")</f>
        <v>9494</v>
      </c>
      <c r="E4573" t="s">
        <v>9494</v>
      </c>
      <c r="F4573" t="s">
        <v>9495</v>
      </c>
      <c r="G4573" t="s">
        <v>14</v>
      </c>
      <c r="H4573">
             </c>
      <c r="I4573" t="s">
        <v>14</v>
      </c>
      <c r="J4573" t="s">
        <v>141</v>
      </c>
      <c r="K4573" t="s">
        <v>14</v>
      </c>
      <c r="L4573" t="s">
        <v>20</v>
      </c>
      <c r="M4573" t="s">
        <v>9422</v>
      </c>
      <c r="N4573" t="s">
        <v>14</v>
      </c>
    </row>
    <row r="4574" x14ac:dyDescent="0.25">
      <c r="A4574" t="n">
        <v>25</v>
      </c>
      <c r="B4574" t="s">
        <v>14</v>
      </c>
      <c r="C4574" t="s">
        <v>22</v>
      </c>
      <c r="D4574" s="2" t="s">
        <f>=HYPERLINK("https://main.knesset.gov.il/APPS/legislation/main/bills/2203938", "הצעת חוק הסדרת העיסוק במקצועות הבריאות (תיקון - טיפול באמצעות אמנויות), התשפ""ג-2023")</f>
        <v>8532</v>
      </c>
      <c r="E4574" t="s">
        <v>8532</v>
      </c>
      <c r="F4574" t="s">
        <v>9496</v>
      </c>
      <c r="G4574" t="s">
        <v>14</v>
      </c>
      <c r="H4574">
             </c>
      <c r="I4574" t="s">
        <v>14</v>
      </c>
      <c r="J4574" t="s">
        <v>141</v>
      </c>
      <c r="K4574" t="s">
        <v>14</v>
      </c>
      <c r="L4574" t="s">
        <v>20</v>
      </c>
      <c r="M4574" t="s">
        <v>9422</v>
      </c>
      <c r="N4574" t="s">
        <v>14</v>
      </c>
    </row>
    <row r="4575" x14ac:dyDescent="0.25">
      <c r="A4575" t="n">
        <v>25</v>
      </c>
      <c r="B4575" t="s">
        <v>14</v>
      </c>
      <c r="C4575" t="s">
        <v>22</v>
      </c>
      <c r="D4575" s="2" t="s">
        <f>=HYPERLINK("https://main.knesset.gov.il/APPS/legislation/main/bills/2204144", "הצעת חוק הגנת הצרכן (תיקון - משלוח חשבונית לצרכן בדרך מקוונת), התשפ""ג-2023")</f>
        <v>9497</v>
      </c>
      <c r="E4575" t="s">
        <v>9497</v>
      </c>
      <c r="F4575" t="s">
        <v>9498</v>
      </c>
      <c r="G4575" t="s">
        <v>14</v>
      </c>
      <c r="H4575">
             </c>
      <c r="I4575" t="s">
        <v>14</v>
      </c>
      <c r="J4575" t="s">
        <v>141</v>
      </c>
      <c r="K4575" t="s">
        <v>14</v>
      </c>
      <c r="L4575" t="s">
        <v>20</v>
      </c>
      <c r="M4575" t="s">
        <v>9422</v>
      </c>
      <c r="N4575" t="s">
        <v>14</v>
      </c>
    </row>
    <row r="4576" x14ac:dyDescent="0.25">
      <c r="A4576" t="n">
        <v>25</v>
      </c>
      <c r="B4576" t="s">
        <v>14</v>
      </c>
      <c r="C4576" t="s">
        <v>22</v>
      </c>
      <c r="D4576" s="2" t="s">
        <f>=HYPERLINK("https://main.knesset.gov.il/APPS/legislation/main/bills/2204070", "הצעת חוק לתיקון פקודת התעבורה (הקמת מאגר מידע לריכוז דוחות חניה), התשפ""ג-2023")</f>
        <v>9499</v>
      </c>
      <c r="E4576" t="s">
        <v>9499</v>
      </c>
      <c r="F4576" t="s">
        <v>9500</v>
      </c>
      <c r="G4576" t="s">
        <v>14</v>
      </c>
      <c r="H4576">
             </c>
      <c r="I4576" t="s">
        <v>14</v>
      </c>
      <c r="J4576" t="s">
        <v>141</v>
      </c>
      <c r="K4576" t="s">
        <v>14</v>
      </c>
      <c r="L4576" t="s">
        <v>20</v>
      </c>
      <c r="M4576" t="s">
        <v>9422</v>
      </c>
      <c r="N4576" t="s">
        <v>14</v>
      </c>
    </row>
    <row r="4577" x14ac:dyDescent="0.25">
      <c r="A4577" t="n">
        <v>25</v>
      </c>
      <c r="B4577" t="s">
        <v>14</v>
      </c>
      <c r="C4577" t="s">
        <v>22</v>
      </c>
      <c r="D4577" s="2" t="s">
        <f>=HYPERLINK("https://main.knesset.gov.il/APPS/legislation/main/bills/2204217", "הצעת חוק העונשין (תיקון - תקיפת נהג אוטובוס ציבורי), התשפ""ג-2023")</f>
        <v>9501</v>
      </c>
      <c r="E4577" t="s">
        <v>9501</v>
      </c>
      <c r="F4577" t="s">
        <v>9502</v>
      </c>
      <c r="G4577" t="s">
        <v>14</v>
      </c>
      <c r="H4577">
             </c>
      <c r="I4577" t="s">
        <v>14</v>
      </c>
      <c r="J4577" t="s">
        <v>141</v>
      </c>
      <c r="K4577" t="s">
        <v>14</v>
      </c>
      <c r="L4577" t="s">
        <v>20</v>
      </c>
      <c r="M4577" t="s">
        <v>9422</v>
      </c>
      <c r="N4577" t="s">
        <v>14</v>
      </c>
    </row>
    <row r="4578" x14ac:dyDescent="0.25">
      <c r="A4578" t="n">
        <v>25</v>
      </c>
      <c r="B4578" t="s">
        <v>14</v>
      </c>
      <c r="C4578" t="s">
        <v>22</v>
      </c>
      <c r="D4578" s="2" t="s">
        <f>=HYPERLINK("https://main.knesset.gov.il/APPS/legislation/main/bills/2204100", "הצעת חוק הרשות הלאומית לתרבות והשפה המרוקאית יהודית, התשפ""ג-2023")</f>
        <v>9503</v>
      </c>
      <c r="E4578" t="s">
        <v>9503</v>
      </c>
      <c r="F4578" t="s">
        <v>9504</v>
      </c>
      <c r="G4578" t="s">
        <v>14</v>
      </c>
      <c r="H4578">
             </c>
      <c r="I4578" t="s">
        <v>14</v>
      </c>
      <c r="J4578" t="s">
        <v>141</v>
      </c>
      <c r="K4578" t="s">
        <v>14</v>
      </c>
      <c r="L4578" t="s">
        <v>20</v>
      </c>
      <c r="M4578" t="s">
        <v>9422</v>
      </c>
      <c r="N4578" t="s">
        <v>14</v>
      </c>
    </row>
    <row r="4579" x14ac:dyDescent="0.25">
      <c r="A4579" t="n">
        <v>25</v>
      </c>
      <c r="B4579" t="s">
        <v>14</v>
      </c>
      <c r="C4579" t="s">
        <v>22</v>
      </c>
      <c r="D4579" s="2" t="s">
        <f>=HYPERLINK("https://main.knesset.gov.il/APPS/legislation/main/bills/2203919", "הצעת חוק הפיקוח על מעונות יום לפעוטות (תיקון - הסמכת מתנדבים וטכנאי מצלמות), התשפ""ג-2023")</f>
        <v>9505</v>
      </c>
      <c r="E4579" t="s">
        <v>9505</v>
      </c>
      <c r="F4579" t="s">
        <v>9506</v>
      </c>
      <c r="G4579" t="s">
        <v>14</v>
      </c>
      <c r="H4579">
             </c>
      <c r="I4579" t="s">
        <v>14</v>
      </c>
      <c r="J4579" t="s">
        <v>141</v>
      </c>
      <c r="K4579" t="s">
        <v>14</v>
      </c>
      <c r="L4579" t="s">
        <v>20</v>
      </c>
      <c r="M4579" t="s">
        <v>9422</v>
      </c>
      <c r="N4579" t="s">
        <v>14</v>
      </c>
    </row>
    <row r="4580" x14ac:dyDescent="0.25">
      <c r="A4580" t="n">
        <v>25</v>
      </c>
      <c r="B4580" t="s">
        <v>14</v>
      </c>
      <c r="C4580" t="s">
        <v>22</v>
      </c>
      <c r="D4580" s="2" t="s">
        <f>=HYPERLINK("https://main.knesset.gov.il/APPS/legislation/main/bills/2203917", "הצעת חוק איסור אלימות בספורט (תיקון - מניעת הרחקה גורפת מאירועי ספורט), התשפ""ג-2023")</f>
        <v>8347</v>
      </c>
      <c r="E4580" t="s">
        <v>8347</v>
      </c>
      <c r="F4580" t="s">
        <v>9507</v>
      </c>
      <c r="G4580" t="s">
        <v>14</v>
      </c>
      <c r="H4580">
             </c>
      <c r="I4580" t="s">
        <v>14</v>
      </c>
      <c r="J4580" t="s">
        <v>141</v>
      </c>
      <c r="K4580" t="s">
        <v>14</v>
      </c>
      <c r="L4580" t="s">
        <v>20</v>
      </c>
      <c r="M4580" t="s">
        <v>9422</v>
      </c>
      <c r="N4580" t="s">
        <v>14</v>
      </c>
    </row>
    <row r="4581" x14ac:dyDescent="0.25">
      <c r="A4581" t="n">
        <v>25</v>
      </c>
      <c r="B4581" t="s">
        <v>14</v>
      </c>
      <c r="C4581" t="s">
        <v>22</v>
      </c>
      <c r="D4581" s="2" t="s">
        <f>=HYPERLINK("https://main.knesset.gov.il/APPS/legislation/main/bills/2203916", "הצעת חוק הפיקוח על מעונות יום לפעוטות (תיקון - החמרת ענישה), התשפ""ג-2023")</f>
        <v>9508</v>
      </c>
      <c r="E4581" t="s">
        <v>9508</v>
      </c>
      <c r="F4581" t="s">
        <v>9509</v>
      </c>
      <c r="G4581" t="s">
        <v>14</v>
      </c>
      <c r="H4581">
             </c>
      <c r="I4581" t="s">
        <v>14</v>
      </c>
      <c r="J4581" t="s">
        <v>141</v>
      </c>
      <c r="K4581" t="s">
        <v>14</v>
      </c>
      <c r="L4581" t="s">
        <v>20</v>
      </c>
      <c r="M4581" t="s">
        <v>9422</v>
      </c>
      <c r="N4581" t="s">
        <v>14</v>
      </c>
    </row>
    <row r="4582" x14ac:dyDescent="0.25">
      <c r="A4582" t="n">
        <v>25</v>
      </c>
      <c r="B4582" t="s">
        <v>14</v>
      </c>
      <c r="C4582" t="s">
        <v>22</v>
      </c>
      <c r="D4582" s="2" t="s">
        <f>=HYPERLINK("https://main.knesset.gov.il/APPS/legislation/main/bills/2203914", "הצעת חוק הביטוח הלאומי (תיקון - ביטול מבחן ההכנסה לצורך קבלת גמלת סיעוד), התשפ""ג-2023")</f>
        <v>9510</v>
      </c>
      <c r="E4582" t="s">
        <v>9510</v>
      </c>
      <c r="F4582" t="s">
        <v>9511</v>
      </c>
      <c r="G4582" t="s">
        <v>14</v>
      </c>
      <c r="H4582">
             </c>
      <c r="I4582" t="s">
        <v>14</v>
      </c>
      <c r="J4582" t="s">
        <v>141</v>
      </c>
      <c r="K4582" t="s">
        <v>14</v>
      </c>
      <c r="L4582" t="s">
        <v>20</v>
      </c>
      <c r="M4582" t="s">
        <v>9422</v>
      </c>
      <c r="N4582" t="s">
        <v>14</v>
      </c>
    </row>
    <row r="4583" x14ac:dyDescent="0.25">
      <c r="A4583" t="n">
        <v>25</v>
      </c>
      <c r="B4583" t="s">
        <v>14</v>
      </c>
      <c r="C4583" t="s">
        <v>22</v>
      </c>
      <c r="D4583" s="2" t="s">
        <f>=HYPERLINK("https://main.knesset.gov.il/APPS/legislation/main/bills/2203721", "הצעת חוק מס ערך מוסף (תיקון - פטור ממס במכירת תרופות מצילות חיים שאינן כלולות בסל הבריאות), התשפ""ג-2023")</f>
        <v>9512</v>
      </c>
      <c r="E4583" t="s">
        <v>9512</v>
      </c>
      <c r="F4583" t="s">
        <v>9513</v>
      </c>
      <c r="G4583" t="s">
        <v>14</v>
      </c>
      <c r="H4583">
             </c>
      <c r="I4583" t="s">
        <v>14</v>
      </c>
      <c r="J4583" t="s">
        <v>141</v>
      </c>
      <c r="K4583" t="s">
        <v>14</v>
      </c>
      <c r="L4583" t="s">
        <v>20</v>
      </c>
      <c r="M4583" t="s">
        <v>9422</v>
      </c>
      <c r="N4583" t="s">
        <v>14</v>
      </c>
    </row>
    <row r="4584" x14ac:dyDescent="0.25">
      <c r="A4584" t="n">
        <v>25</v>
      </c>
      <c r="B4584" t="s">
        <v>14</v>
      </c>
      <c r="C4584" t="s">
        <v>22</v>
      </c>
      <c r="D4584" s="2" t="s">
        <f>=HYPERLINK("https://main.knesset.gov.il/APPS/legislation/main/bills/2203910", "הצעת חוק הטבות לניצולי שואה (תיקון - הטבות לניצולים שעלו לאחר שנת 1953), התשפ""ג-2023")</f>
        <v>9514</v>
      </c>
      <c r="E4584" t="s">
        <v>9514</v>
      </c>
      <c r="F4584" t="s">
        <v>9515</v>
      </c>
      <c r="G4584" t="s">
        <v>14</v>
      </c>
      <c r="H4584">
             </c>
      <c r="I4584" t="s">
        <v>14</v>
      </c>
      <c r="J4584" t="s">
        <v>141</v>
      </c>
      <c r="K4584" t="s">
        <v>14</v>
      </c>
      <c r="L4584" t="s">
        <v>20</v>
      </c>
      <c r="M4584" t="s">
        <v>9422</v>
      </c>
      <c r="N4584" t="s">
        <v>14</v>
      </c>
    </row>
    <row r="4585" x14ac:dyDescent="0.25">
      <c r="A4585" t="n">
        <v>25</v>
      </c>
      <c r="B4585" t="s">
        <v>14</v>
      </c>
      <c r="C4585" t="s">
        <v>22</v>
      </c>
      <c r="D4585" s="2" t="s">
        <f>=HYPERLINK("https://main.knesset.gov.il/APPS/legislation/main/bills/2203716", "הצעת חוק מס רכוש וקרן פיצויים (תיקון - פיצוי בגין נזק פגעי טבע ופיצוי בגין נזקי שריפה), התשפ""ג-2023")</f>
        <v>9516</v>
      </c>
      <c r="E4585" t="s">
        <v>9516</v>
      </c>
      <c r="F4585" t="s">
        <v>9517</v>
      </c>
      <c r="G4585" t="s">
        <v>14</v>
      </c>
      <c r="H4585">
             </c>
      <c r="I4585" t="s">
        <v>14</v>
      </c>
      <c r="J4585" t="s">
        <v>141</v>
      </c>
      <c r="K4585" t="s">
        <v>14</v>
      </c>
      <c r="L4585" t="s">
        <v>20</v>
      </c>
      <c r="M4585" t="s">
        <v>9422</v>
      </c>
      <c r="N4585" t="s">
        <v>14</v>
      </c>
    </row>
    <row r="4586" x14ac:dyDescent="0.25">
      <c r="A4586" t="n">
        <v>25</v>
      </c>
      <c r="B4586" t="s">
        <v>14</v>
      </c>
      <c r="C4586" t="s">
        <v>22</v>
      </c>
      <c r="D4586" s="2" t="s">
        <f>=HYPERLINK("https://main.knesset.gov.il/APPS/legislation/main/bills/2203715", "הצעת חוק לתיקון פקודת מס הכנסה (ניכוי ריבית על משכנתה), התשפ""ג-2023")</f>
        <v>9518</v>
      </c>
      <c r="E4586" t="s">
        <v>9518</v>
      </c>
      <c r="F4586" t="s">
        <v>9519</v>
      </c>
      <c r="G4586" t="s">
        <v>14</v>
      </c>
      <c r="H4586">
             </c>
      <c r="I4586" t="s">
        <v>14</v>
      </c>
      <c r="J4586" t="s">
        <v>141</v>
      </c>
      <c r="K4586" t="s">
        <v>14</v>
      </c>
      <c r="L4586" t="s">
        <v>20</v>
      </c>
      <c r="M4586" t="s">
        <v>9422</v>
      </c>
      <c r="N4586" t="s">
        <v>14</v>
      </c>
    </row>
    <row r="4587" x14ac:dyDescent="0.25">
      <c r="A4587" t="n">
        <v>25</v>
      </c>
      <c r="B4587" t="s">
        <v>14</v>
      </c>
      <c r="C4587" t="s">
        <v>22</v>
      </c>
      <c r="D4587" s="2" t="s">
        <f>=HYPERLINK("https://main.knesset.gov.il/APPS/legislation/main/bills/2203834", "הצעת חוק צער בעלי חיים (הגנה על בעלי חיים) (תיקון - ענישה מזערית), התשפ""ג-2023")</f>
        <v>9520</v>
      </c>
      <c r="E4587" t="s">
        <v>9520</v>
      </c>
      <c r="F4587" t="s">
        <v>9521</v>
      </c>
      <c r="G4587" t="s">
        <v>14</v>
      </c>
      <c r="H4587">
             </c>
      <c r="I4587" t="s">
        <v>14</v>
      </c>
      <c r="J4587" t="s">
        <v>141</v>
      </c>
      <c r="K4587" t="s">
        <v>14</v>
      </c>
      <c r="L4587" t="s">
        <v>20</v>
      </c>
      <c r="M4587" t="s">
        <v>9422</v>
      </c>
      <c r="N4587" t="s">
        <v>14</v>
      </c>
    </row>
    <row r="4588" x14ac:dyDescent="0.25">
      <c r="A4588" t="n">
        <v>25</v>
      </c>
      <c r="B4588" t="s">
        <v>14</v>
      </c>
      <c r="C4588" t="s">
        <v>22</v>
      </c>
      <c r="D4588" s="2" t="s">
        <f>=HYPERLINK("https://main.knesset.gov.il/APPS/legislation/main/bills/2203713", "הצעת חוק הסדרת העיסוק במקצועות הבריאות (תיקון - הסדרת העיסוק בניתוח התנהגות), התשפ""ג-2023")</f>
        <v>9522</v>
      </c>
      <c r="E4588" t="s">
        <v>9522</v>
      </c>
      <c r="F4588" t="s">
        <v>9523</v>
      </c>
      <c r="G4588" t="s">
        <v>14</v>
      </c>
      <c r="H4588">
             </c>
      <c r="I4588" t="s">
        <v>14</v>
      </c>
      <c r="J4588" t="s">
        <v>141</v>
      </c>
      <c r="K4588" t="s">
        <v>14</v>
      </c>
      <c r="L4588" t="s">
        <v>20</v>
      </c>
      <c r="M4588" t="s">
        <v>9422</v>
      </c>
      <c r="N4588" t="s">
        <v>14</v>
      </c>
    </row>
    <row r="4589" x14ac:dyDescent="0.25">
      <c r="A4589" t="n">
        <v>25</v>
      </c>
      <c r="B4589" t="s">
        <v>14</v>
      </c>
      <c r="C4589" t="s">
        <v>22</v>
      </c>
      <c r="D4589" s="2" t="s">
        <f>=HYPERLINK("https://main.knesset.gov.il/APPS/legislation/main/bills/2203707", "הצעת חוק להגדלת שיעור ההשתתפות בכוח העבודה ולצמצום פערים חברתיים (מענק עבודה) (תיקון - זכאות להטבות נלוות), התשפ""ג-2023")</f>
        <v>9524</v>
      </c>
      <c r="E4589" t="s">
        <v>9524</v>
      </c>
      <c r="F4589" t="s">
        <v>9525</v>
      </c>
      <c r="G4589" t="s">
        <v>14</v>
      </c>
      <c r="H4589">
             </c>
      <c r="I4589" t="s">
        <v>14</v>
      </c>
      <c r="J4589" t="s">
        <v>141</v>
      </c>
      <c r="K4589" t="s">
        <v>14</v>
      </c>
      <c r="L4589" t="s">
        <v>20</v>
      </c>
      <c r="M4589" t="s">
        <v>9422</v>
      </c>
      <c r="N4589" t="s">
        <v>14</v>
      </c>
    </row>
    <row r="4590" x14ac:dyDescent="0.25">
      <c r="A4590" t="n">
        <v>25</v>
      </c>
      <c r="B4590" t="s">
        <v>14</v>
      </c>
      <c r="C4590" t="s">
        <v>22</v>
      </c>
      <c r="D4590" s="2" t="s">
        <f>=HYPERLINK("https://main.knesset.gov.il/APPS/legislation/main/bills/2203787", "הצעת חוק הביטוח הלאומי (תיקון - ביטול הפחתה של גמלת סיעוד למי שמעסיק עובד זר), התשפ""ג-2023")</f>
        <v>9526</v>
      </c>
      <c r="E4590" t="s">
        <v>9526</v>
      </c>
      <c r="F4590" t="s">
        <v>9527</v>
      </c>
      <c r="G4590" t="s">
        <v>14</v>
      </c>
      <c r="H4590">
             </c>
      <c r="I4590" t="s">
        <v>14</v>
      </c>
      <c r="J4590" t="s">
        <v>141</v>
      </c>
      <c r="K4590" t="s">
        <v>14</v>
      </c>
      <c r="L4590" t="s">
        <v>20</v>
      </c>
      <c r="M4590" t="s">
        <v>9422</v>
      </c>
      <c r="N4590" t="s">
        <v>14</v>
      </c>
    </row>
    <row r="4591" x14ac:dyDescent="0.25">
      <c r="A4591" t="n">
        <v>25</v>
      </c>
      <c r="B4591" t="s">
        <v>14</v>
      </c>
      <c r="C4591" t="s">
        <v>22</v>
      </c>
      <c r="D4591" s="2" t="s">
        <f>=HYPERLINK("https://main.knesset.gov.il/APPS/legislation/main/bills/2203706", "הצעת חוק הביטוח הלאומי (תיקון - הוראות מיוחדות לעניין דמי אבטלה וכפל קצבאות) (הוראת שעה), התשפ""ג-2023")</f>
        <v>9528</v>
      </c>
      <c r="E4591" t="s">
        <v>9528</v>
      </c>
      <c r="F4591" t="s">
        <v>9529</v>
      </c>
      <c r="G4591" t="s">
        <v>14</v>
      </c>
      <c r="H4591">
             </c>
      <c r="I4591" t="s">
        <v>14</v>
      </c>
      <c r="J4591" t="s">
        <v>141</v>
      </c>
      <c r="K4591" t="s">
        <v>14</v>
      </c>
      <c r="L4591" t="s">
        <v>20</v>
      </c>
      <c r="M4591" t="s">
        <v>9422</v>
      </c>
      <c r="N4591" t="s">
        <v>14</v>
      </c>
    </row>
    <row r="4592" x14ac:dyDescent="0.25">
      <c r="A4592" t="n">
        <v>25</v>
      </c>
      <c r="B4592" t="s">
        <v>14</v>
      </c>
      <c r="C4592" t="s">
        <v>22</v>
      </c>
      <c r="D4592" s="2" t="s">
        <f>=HYPERLINK("https://main.knesset.gov.il/APPS/legislation/main/bills/2202802", "הצעת חוק חינוך ממלכתי (תיקון - איסור תמיכה בטרור), התשפ""ג-2023")</f>
        <v>7428</v>
      </c>
      <c r="E4592" t="s">
        <v>7428</v>
      </c>
      <c r="F4592" t="s">
        <v>9530</v>
      </c>
      <c r="G4592" t="s">
        <v>14</v>
      </c>
      <c r="H4592">
             </c>
      <c r="I4592" t="s">
        <v>14</v>
      </c>
      <c r="J4592" t="s">
        <v>141</v>
      </c>
      <c r="K4592" t="s">
        <v>14</v>
      </c>
      <c r="L4592" t="s">
        <v>20</v>
      </c>
      <c r="M4592" t="s">
        <v>9422</v>
      </c>
      <c r="N4592" t="s">
        <v>14</v>
      </c>
    </row>
    <row r="4593" x14ac:dyDescent="0.25">
      <c r="A4593" t="n">
        <v>25</v>
      </c>
      <c r="B4593" t="s">
        <v>14</v>
      </c>
      <c r="C4593" t="s">
        <v>22</v>
      </c>
      <c r="D4593" s="2" t="s">
        <f>=HYPERLINK("https://main.knesset.gov.il/APPS/legislation/main/bills/2198355", "הצעת חוק הרשויות המקומיות (יועץ לקידום מעמד אנשים עם מוגבלות), התשפ""ג-2023")</f>
        <v>9531</v>
      </c>
      <c r="E4593" t="s">
        <v>9531</v>
      </c>
      <c r="F4593" t="s">
        <v>9532</v>
      </c>
      <c r="G4593" t="s">
        <v>14</v>
      </c>
      <c r="H4593">
             </c>
      <c r="I4593" t="s">
        <v>14</v>
      </c>
      <c r="J4593" t="s">
        <v>141</v>
      </c>
      <c r="K4593" t="s">
        <v>14</v>
      </c>
      <c r="L4593" t="s">
        <v>20</v>
      </c>
      <c r="M4593" t="s">
        <v>9422</v>
      </c>
      <c r="N4593" t="s">
        <v>14</v>
      </c>
    </row>
    <row r="4594" x14ac:dyDescent="0.25">
      <c r="A4594" t="n">
        <v>25</v>
      </c>
      <c r="B4594" t="s">
        <v>14</v>
      </c>
      <c r="C4594" t="s">
        <v>22</v>
      </c>
      <c r="D4594" s="2" t="s">
        <f>=HYPERLINK("https://main.knesset.gov.il/APPS/legislation/main/bills/2204439", "הצעת חוק הכנסת (תיקון - מספר חברי הכנסת הדרוש להתפלגות סיעה), התשפ""ג-2023")</f>
        <v>9533</v>
      </c>
      <c r="E4594" t="s">
        <v>9533</v>
      </c>
      <c r="F4594" t="s">
        <v>9534</v>
      </c>
      <c r="G4594" t="s">
        <v>14</v>
      </c>
      <c r="H4594">
             </c>
      <c r="I4594" t="s">
        <v>14</v>
      </c>
      <c r="J4594" t="s">
        <v>141</v>
      </c>
      <c r="K4594" t="s">
        <v>14</v>
      </c>
      <c r="L4594" t="s">
        <v>20</v>
      </c>
      <c r="M4594" t="s">
        <v>9422</v>
      </c>
      <c r="N4594" t="s">
        <v>14</v>
      </c>
    </row>
    <row r="4595" x14ac:dyDescent="0.25">
      <c r="A4595" t="n">
        <v>25</v>
      </c>
      <c r="B4595" t="s">
        <v>14</v>
      </c>
      <c r="C4595" t="s">
        <v>22</v>
      </c>
      <c r="D4595" s="2" t="s">
        <f>=HYPERLINK("https://main.knesset.gov.il/APPS/legislation/main/bills/2204259", "הצעת חוק הגנת הצרכן (תיקון - חובת הקלטה של עסקה טלפונית), התשפ""ג-2023")</f>
        <v>2750</v>
      </c>
      <c r="E4595" t="s">
        <v>2750</v>
      </c>
      <c r="F4595" t="s">
        <v>9535</v>
      </c>
      <c r="G4595" t="s">
        <v>14</v>
      </c>
      <c r="H4595">
             </c>
      <c r="I4595" t="s">
        <v>14</v>
      </c>
      <c r="J4595" t="s">
        <v>141</v>
      </c>
      <c r="K4595" t="s">
        <v>14</v>
      </c>
      <c r="L4595" t="s">
        <v>20</v>
      </c>
      <c r="M4595" t="s">
        <v>9422</v>
      </c>
      <c r="N4595" t="s">
        <v>14</v>
      </c>
    </row>
    <row r="4596" x14ac:dyDescent="0.25">
      <c r="A4596" t="n">
        <v>25</v>
      </c>
      <c r="B4596" t="s">
        <v>14</v>
      </c>
      <c r="C4596" t="s">
        <v>22</v>
      </c>
      <c r="D4596" s="2" t="s">
        <f>=HYPERLINK("https://main.knesset.gov.il/APPS/legislation/main/bills/2204103", "הצעת חוק הגנת הצרכן (תיקון - חובת הקלטה של עסקה טלפונית), התשפ""ג-2023")</f>
        <v>2750</v>
      </c>
      <c r="E4596" t="s">
        <v>2750</v>
      </c>
      <c r="F4596" t="s">
        <v>9536</v>
      </c>
      <c r="G4596" t="s">
        <v>14</v>
      </c>
      <c r="H4596">
             </c>
      <c r="I4596" t="s">
        <v>14</v>
      </c>
      <c r="J4596" t="s">
        <v>141</v>
      </c>
      <c r="K4596" t="s">
        <v>14</v>
      </c>
      <c r="L4596" t="s">
        <v>20</v>
      </c>
      <c r="M4596" t="s">
        <v>9422</v>
      </c>
      <c r="N4596" t="s">
        <v>14</v>
      </c>
    </row>
    <row r="4597" x14ac:dyDescent="0.25">
      <c r="A4597" t="n">
        <v>25</v>
      </c>
      <c r="B4597" t="s">
        <v>14</v>
      </c>
      <c r="C4597" t="s">
        <v>22</v>
      </c>
      <c r="D4597" s="2" t="s">
        <f>=HYPERLINK("https://main.knesset.gov.il/APPS/legislation/main/bills/2204203", "הצעת חוק איסור הפליה במוצרים, בשירותים ובכניסה למקומות בידור ולמקומות ציבוריים (תיקון - איסור הפליה בדיור), התשפ""ג-2023")</f>
        <v>9537</v>
      </c>
      <c r="E4597" t="s">
        <v>9537</v>
      </c>
      <c r="F4597" t="s">
        <v>9538</v>
      </c>
      <c r="G4597" t="s">
        <v>14</v>
      </c>
      <c r="H4597">
             </c>
      <c r="I4597" t="s">
        <v>14</v>
      </c>
      <c r="J4597" t="s">
        <v>141</v>
      </c>
      <c r="K4597" t="s">
        <v>14</v>
      </c>
      <c r="L4597" t="s">
        <v>20</v>
      </c>
      <c r="M4597" t="s">
        <v>9422</v>
      </c>
      <c r="N4597" t="s">
        <v>14</v>
      </c>
    </row>
    <row r="4598" x14ac:dyDescent="0.25">
      <c r="A4598" t="n">
        <v>25</v>
      </c>
      <c r="B4598" t="s">
        <v>14</v>
      </c>
      <c r="C4598" t="s">
        <v>22</v>
      </c>
      <c r="D4598" s="2" t="s">
        <f>=HYPERLINK("https://main.knesset.gov.il/APPS/legislation/main/bills/2203929", "הצעת חוק הבטחת הכנסה (תיקון - תוספת לגמלה בעד הילד השלישי ואילך), התשפ""ג-2023")</f>
        <v>9044</v>
      </c>
      <c r="E4598" t="s">
        <v>9044</v>
      </c>
      <c r="F4598" t="s">
        <v>9539</v>
      </c>
      <c r="G4598" t="s">
        <v>14</v>
      </c>
      <c r="H4598">
             </c>
      <c r="I4598" t="s">
        <v>14</v>
      </c>
      <c r="J4598" t="s">
        <v>141</v>
      </c>
      <c r="K4598" t="s">
        <v>14</v>
      </c>
      <c r="L4598" t="s">
        <v>20</v>
      </c>
      <c r="M4598" t="s">
        <v>9422</v>
      </c>
      <c r="N4598" t="s">
        <v>14</v>
      </c>
    </row>
    <row r="4599" x14ac:dyDescent="0.25">
      <c r="A4599" t="n">
        <v>25</v>
      </c>
      <c r="B4599" t="s">
        <v>14</v>
      </c>
      <c r="C4599" t="s">
        <v>22</v>
      </c>
      <c r="D4599" s="2" t="s">
        <f>=HYPERLINK("https://main.knesset.gov.il/APPS/legislation/main/bills/2203932", "הצעת חוק הבטחת הכנסה (תיקון - גמלה לתלמיד), התשפ""ג-2023")</f>
        <v>9540</v>
      </c>
      <c r="E4599" t="s">
        <v>9540</v>
      </c>
      <c r="F4599" t="s">
        <v>9541</v>
      </c>
      <c r="G4599" t="s">
        <v>14</v>
      </c>
      <c r="H4599">
             </c>
      <c r="I4599" t="s">
        <v>14</v>
      </c>
      <c r="J4599" t="s">
        <v>141</v>
      </c>
      <c r="K4599" t="s">
        <v>14</v>
      </c>
      <c r="L4599" t="s">
        <v>20</v>
      </c>
      <c r="M4599" t="s">
        <v>9422</v>
      </c>
      <c r="N4599" t="s">
        <v>14</v>
      </c>
    </row>
    <row r="4600" x14ac:dyDescent="0.25">
      <c r="A4600" t="n">
        <v>25</v>
      </c>
      <c r="B4600" t="s">
        <v>14</v>
      </c>
      <c r="C4600" t="s">
        <v>22</v>
      </c>
      <c r="D4600" s="2" t="s">
        <f>=HYPERLINK("https://main.knesset.gov.il/APPS/legislation/main/bills/2203726", "הצעת חוק הבטחת הכנסה (תיקון - הגדלת הסכום להשתכרות בנוסף לקצבה), התשפ""ג-2023")</f>
        <v>9542</v>
      </c>
      <c r="E4600" t="s">
        <v>9542</v>
      </c>
      <c r="F4600" t="s">
        <v>9543</v>
      </c>
      <c r="G4600" t="s">
        <v>14</v>
      </c>
      <c r="H4600">
             </c>
      <c r="I4600" t="s">
        <v>14</v>
      </c>
      <c r="J4600" t="s">
        <v>141</v>
      </c>
      <c r="K4600" t="s">
        <v>14</v>
      </c>
      <c r="L4600" t="s">
        <v>20</v>
      </c>
      <c r="M4600" t="s">
        <v>9422</v>
      </c>
      <c r="N4600" t="s">
        <v>14</v>
      </c>
    </row>
    <row r="4601" x14ac:dyDescent="0.25">
      <c r="A4601" t="n">
        <v>25</v>
      </c>
      <c r="B4601" t="s">
        <v>14</v>
      </c>
      <c r="C4601" t="s">
        <v>22</v>
      </c>
      <c r="D4601" s="2" t="s">
        <f>=HYPERLINK("https://main.knesset.gov.il/APPS/legislation/main/bills/2204098", "הצעת חוק לתיקון פקודת התעבורה (חובת רישום מונה קילומטרים), התשפ""ג-2023")</f>
        <v>9544</v>
      </c>
      <c r="E4601" t="s">
        <v>9544</v>
      </c>
      <c r="F4601" t="s">
        <v>9545</v>
      </c>
      <c r="G4601" t="s">
        <v>14</v>
      </c>
      <c r="H4601">
             </c>
      <c r="I4601" t="s">
        <v>14</v>
      </c>
      <c r="J4601" t="s">
        <v>141</v>
      </c>
      <c r="K4601" t="s">
        <v>14</v>
      </c>
      <c r="L4601" t="s">
        <v>20</v>
      </c>
      <c r="M4601" t="s">
        <v>9422</v>
      </c>
      <c r="N4601" t="s">
        <v>14</v>
      </c>
    </row>
    <row r="4602" x14ac:dyDescent="0.25">
      <c r="A4602" t="n">
        <v>25</v>
      </c>
      <c r="B4602" t="s">
        <v>14</v>
      </c>
      <c r="C4602" t="s">
        <v>22</v>
      </c>
      <c r="D4602" s="2" t="s">
        <f>=HYPERLINK("https://main.knesset.gov.il/APPS/legislation/main/bills/2203968", "הצעת חוק סיוע למשפחות ברוכות ילדים (תיקוני חקיקה), התשפ""ג-2023")</f>
        <v>9546</v>
      </c>
      <c r="E4602" t="s">
        <v>9546</v>
      </c>
      <c r="F4602" t="s">
        <v>9547</v>
      </c>
      <c r="G4602" t="s">
        <v>14</v>
      </c>
      <c r="H4602">
             </c>
      <c r="I4602" t="s">
        <v>14</v>
      </c>
      <c r="J4602" t="s">
        <v>141</v>
      </c>
      <c r="K4602" t="s">
        <v>14</v>
      </c>
      <c r="L4602" t="s">
        <v>20</v>
      </c>
      <c r="M4602" t="s">
        <v>9422</v>
      </c>
      <c r="N4602" t="s">
        <v>14</v>
      </c>
    </row>
    <row r="4603" x14ac:dyDescent="0.25">
      <c r="A4603" t="n">
        <v>25</v>
      </c>
      <c r="B4603" t="s">
        <v>14</v>
      </c>
      <c r="C4603" t="s">
        <v>22</v>
      </c>
      <c r="D4603" s="2" t="s">
        <f>=HYPERLINK("https://main.knesset.gov.il/APPS/legislation/main/bills/2204138", "הצעת חוק הגנת הצרכן (תיקון - איסור הפליית מחירים בשל מגדר), התשפ""ג-2023 ")</f>
        <v>9548</v>
      </c>
      <c r="E4603" t="s">
        <v>9548</v>
      </c>
      <c r="F4603" t="s">
        <v>9549</v>
      </c>
      <c r="G4603" t="s">
        <v>14</v>
      </c>
      <c r="H4603">
             </c>
      <c r="I4603" t="s">
        <v>14</v>
      </c>
      <c r="J4603" t="s">
        <v>141</v>
      </c>
      <c r="K4603" t="s">
        <v>14</v>
      </c>
      <c r="L4603" t="s">
        <v>20</v>
      </c>
      <c r="M4603" t="s">
        <v>9422</v>
      </c>
      <c r="N4603" t="s">
        <v>14</v>
      </c>
    </row>
    <row r="4604" x14ac:dyDescent="0.25">
      <c r="A4604" t="n">
        <v>25</v>
      </c>
      <c r="B4604" t="s">
        <v>14</v>
      </c>
      <c r="C4604" t="s">
        <v>22</v>
      </c>
      <c r="D4604" s="2" t="s">
        <f>=HYPERLINK("https://main.knesset.gov.il/APPS/legislation/main/bills/2203663", "הצעת חוק הגנת הצרכן (תיקון - איסור הפליית מחירים בשל מגדר), התשפ""ג-2023 ")</f>
        <v>9548</v>
      </c>
      <c r="E4604" t="s">
        <v>9548</v>
      </c>
      <c r="F4604" t="s">
        <v>9550</v>
      </c>
      <c r="G4604" t="s">
        <v>14</v>
      </c>
      <c r="H4604">
             </c>
      <c r="I4604" t="s">
        <v>14</v>
      </c>
      <c r="J4604" t="s">
        <v>141</v>
      </c>
      <c r="K4604" t="s">
        <v>14</v>
      </c>
      <c r="L4604" t="s">
        <v>20</v>
      </c>
      <c r="M4604" t="s">
        <v>9422</v>
      </c>
      <c r="N4604" t="s">
        <v>14</v>
      </c>
    </row>
    <row r="4605" x14ac:dyDescent="0.25">
      <c r="A4605" t="n">
        <v>25</v>
      </c>
      <c r="B4605" t="s">
        <v>14</v>
      </c>
      <c r="C4605" t="s">
        <v>22</v>
      </c>
      <c r="D4605" s="2" t="s">
        <f>=HYPERLINK("https://main.knesset.gov.il/APPS/legislation/main/bills/2203991", "הצעת חוק הבנקאות (שירות ללקוח) (תיקון - חובת הצבת מכשיר בנק ממוכן), התשפ""ג-2023")</f>
        <v>9551</v>
      </c>
      <c r="E4605" t="s">
        <v>9551</v>
      </c>
      <c r="F4605" t="s">
        <v>9552</v>
      </c>
      <c r="G4605" t="s">
        <v>14</v>
      </c>
      <c r="H4605">
             </c>
      <c r="I4605" t="s">
        <v>14</v>
      </c>
      <c r="J4605" t="s">
        <v>141</v>
      </c>
      <c r="K4605" t="s">
        <v>14</v>
      </c>
      <c r="L4605" t="s">
        <v>20</v>
      </c>
      <c r="M4605" t="s">
        <v>9422</v>
      </c>
      <c r="N4605" t="s">
        <v>14</v>
      </c>
    </row>
    <row r="4606" x14ac:dyDescent="0.25">
      <c r="A4606" t="n">
        <v>25</v>
      </c>
      <c r="B4606" t="s">
        <v>14</v>
      </c>
      <c r="C4606" t="s">
        <v>22</v>
      </c>
      <c r="D4606" s="2" t="s">
        <f>=HYPERLINK("https://main.knesset.gov.il/APPS/legislation/main/bills/2204132", "הצעת חוק לתיקון פקודת המסים (גבייה) (תנאים למתן כתב הרשאה וצו עיקול), התשפ""ג-2023")</f>
        <v>9157</v>
      </c>
      <c r="E4606" t="s">
        <v>9157</v>
      </c>
      <c r="F4606" t="s">
        <v>9553</v>
      </c>
      <c r="G4606" t="s">
        <v>14</v>
      </c>
      <c r="H4606">
             </c>
      <c r="I4606" t="s">
        <v>14</v>
      </c>
      <c r="J4606" t="s">
        <v>141</v>
      </c>
      <c r="K4606" t="s">
        <v>14</v>
      </c>
      <c r="L4606" t="s">
        <v>20</v>
      </c>
      <c r="M4606" t="s">
        <v>9422</v>
      </c>
      <c r="N4606" t="s">
        <v>14</v>
      </c>
    </row>
    <row r="4607" x14ac:dyDescent="0.25">
      <c r="A4607" t="n">
        <v>25</v>
      </c>
      <c r="B4607" t="s">
        <v>14</v>
      </c>
      <c r="C4607" t="s">
        <v>22</v>
      </c>
      <c r="D4607" s="2" t="s">
        <f>=HYPERLINK("https://main.knesset.gov.il/APPS/legislation/main/bills/2203412", "הצעת חוק איסור פרסום גזעני, הסתה לגזענות ורישום גזעני במסמכי תאגיד, התשפ""ג-2023")</f>
        <v>9554</v>
      </c>
      <c r="E4607" t="s">
        <v>9554</v>
      </c>
      <c r="F4607" t="s">
        <v>9555</v>
      </c>
      <c r="G4607" t="s">
        <v>14</v>
      </c>
      <c r="H4607">
             </c>
      <c r="I4607" t="s">
        <v>14</v>
      </c>
      <c r="J4607" t="s">
        <v>141</v>
      </c>
      <c r="K4607" t="s">
        <v>14</v>
      </c>
      <c r="L4607" t="s">
        <v>20</v>
      </c>
      <c r="M4607" t="s">
        <v>9422</v>
      </c>
      <c r="N4607" t="s">
        <v>14</v>
      </c>
    </row>
    <row r="4608" x14ac:dyDescent="0.25">
      <c r="A4608" t="n">
        <v>25</v>
      </c>
      <c r="B4608" t="s">
        <v>14</v>
      </c>
      <c r="C4608" t="s">
        <v>22</v>
      </c>
      <c r="D4608" s="2" t="s">
        <f>=HYPERLINK("https://main.knesset.gov.il/APPS/legislation/main/bills/2203718", "הצעת חוק הבנקאות (שירות ללקוח) (תיקון - מסירת מידע על עמלות וריביות), התשפ""ג-2023")</f>
        <v>9556</v>
      </c>
      <c r="E4608" t="s">
        <v>9556</v>
      </c>
      <c r="F4608" t="s">
        <v>9557</v>
      </c>
      <c r="G4608" t="s">
        <v>14</v>
      </c>
      <c r="H4608">
             </c>
      <c r="I4608" t="s">
        <v>14</v>
      </c>
      <c r="J4608" t="s">
        <v>141</v>
      </c>
      <c r="K4608" t="s">
        <v>14</v>
      </c>
      <c r="L4608" t="s">
        <v>20</v>
      </c>
      <c r="M4608" t="s">
        <v>9422</v>
      </c>
      <c r="N4608" t="s">
        <v>14</v>
      </c>
    </row>
    <row r="4609" x14ac:dyDescent="0.25">
      <c r="A4609" t="n">
        <v>25</v>
      </c>
      <c r="B4609" t="s">
        <v>14</v>
      </c>
      <c r="C4609" t="s">
        <v>22</v>
      </c>
      <c r="D4609" s="2" t="s">
        <f>=HYPERLINK("https://main.knesset.gov.il/APPS/legislation/main/bills/2204136", "הצעת חוק איסור הכחשת השואה (תיקון - איסור הבעת אהדה לשלטון הנאצי או הזדהות עמו ואיסור שימוש בסמלים נאציים), התשפ""ג-2023")</f>
        <v>9558</v>
      </c>
      <c r="E4609" t="s">
        <v>9558</v>
      </c>
      <c r="F4609" t="s">
        <v>9559</v>
      </c>
      <c r="G4609" t="s">
        <v>14</v>
      </c>
      <c r="H4609">
             </c>
      <c r="I4609" t="s">
        <v>14</v>
      </c>
      <c r="J4609" t="s">
        <v>141</v>
      </c>
      <c r="K4609" t="s">
        <v>14</v>
      </c>
      <c r="L4609" t="s">
        <v>20</v>
      </c>
      <c r="M4609" t="s">
        <v>9422</v>
      </c>
      <c r="N4609" t="s">
        <v>14</v>
      </c>
    </row>
    <row r="4610" x14ac:dyDescent="0.25">
      <c r="A4610" t="n">
        <v>25</v>
      </c>
      <c r="B4610" t="s">
        <v>14</v>
      </c>
      <c r="C4610" t="s">
        <v>22</v>
      </c>
      <c r="D4610" s="2" t="s">
        <f>=HYPERLINK("https://main.knesset.gov.il/APPS/legislation/main/bills/2203908", "הצעת חוק שיקים ללא כיסוי (תיקון - קביעת סכום מינימום להגבלת חשבון בנק והגבלת לקוח), התשפ""ג-2023")</f>
        <v>9560</v>
      </c>
      <c r="E4610" t="s">
        <v>9560</v>
      </c>
      <c r="F4610" t="s">
        <v>9561</v>
      </c>
      <c r="G4610" t="s">
        <v>14</v>
      </c>
      <c r="H4610">
             </c>
      <c r="I4610" t="s">
        <v>14</v>
      </c>
      <c r="J4610" t="s">
        <v>141</v>
      </c>
      <c r="K4610" t="s">
        <v>14</v>
      </c>
      <c r="L4610" t="s">
        <v>20</v>
      </c>
      <c r="M4610" t="s">
        <v>9422</v>
      </c>
      <c r="N4610" t="s">
        <v>14</v>
      </c>
    </row>
    <row r="4611" x14ac:dyDescent="0.25">
      <c r="A4611" t="n">
        <v>25</v>
      </c>
      <c r="B4611" t="s">
        <v>14</v>
      </c>
      <c r="C4611" t="s">
        <v>22</v>
      </c>
      <c r="D4611" s="2" t="s">
        <f>=HYPERLINK("https://main.knesset.gov.il/APPS/legislation/main/bills/2203719", "הצעת חוק הבנקאות (שירות ללקוח) (תיקון - ריבית על כספי פיקדונות), התשפ""ג-2023")</f>
        <v>9562</v>
      </c>
      <c r="E4611" t="s">
        <v>9562</v>
      </c>
      <c r="F4611" t="s">
        <v>9563</v>
      </c>
      <c r="G4611" t="s">
        <v>14</v>
      </c>
      <c r="H4611">
             </c>
      <c r="I4611" t="s">
        <v>14</v>
      </c>
      <c r="J4611" t="s">
        <v>141</v>
      </c>
      <c r="K4611" t="s">
        <v>14</v>
      </c>
      <c r="L4611" t="s">
        <v>20</v>
      </c>
      <c r="M4611" t="s">
        <v>9422</v>
      </c>
      <c r="N4611" t="s">
        <v>14</v>
      </c>
    </row>
    <row r="4612" x14ac:dyDescent="0.25">
      <c r="A4612" t="n">
        <v>25</v>
      </c>
      <c r="B4612" t="s">
        <v>14</v>
      </c>
      <c r="C4612" t="s">
        <v>22</v>
      </c>
      <c r="D4612" s="2" t="s">
        <f>=HYPERLINK("https://main.knesset.gov.il/APPS/legislation/main/bills/2204216", "הצעת חוק הכשרות המשפטית והאפוטרופסות (תיקון - שלילת אפוטרופסות מהורה שהורשע ברצח או בנסיון לרצח), התשפ""ג-2023")</f>
        <v>9564</v>
      </c>
      <c r="E4612" t="s">
        <v>9564</v>
      </c>
      <c r="F4612" t="s">
        <v>9565</v>
      </c>
      <c r="G4612" t="s">
        <v>14</v>
      </c>
      <c r="H4612">
             </c>
      <c r="I4612" t="s">
        <v>14</v>
      </c>
      <c r="J4612" t="s">
        <v>141</v>
      </c>
      <c r="K4612" t="s">
        <v>14</v>
      </c>
      <c r="L4612" t="s">
        <v>20</v>
      </c>
      <c r="M4612" t="s">
        <v>9422</v>
      </c>
      <c r="N4612" t="s">
        <v>14</v>
      </c>
    </row>
    <row r="4613" x14ac:dyDescent="0.25">
      <c r="A4613" t="n">
        <v>25</v>
      </c>
      <c r="B4613" t="s">
        <v>14</v>
      </c>
      <c r="C4613" t="s">
        <v>22</v>
      </c>
      <c r="D4613" s="2" t="s">
        <f>=HYPERLINK("https://main.knesset.gov.il/APPS/legislation/main/bills/2203921", "הצעת חוק הגנת הצרכן (תיקון - מענה אנושי בשירות טלפוני לאזרח ותיק), התשפ""ג-2023")</f>
        <v>5340</v>
      </c>
      <c r="E4613" t="s">
        <v>5340</v>
      </c>
      <c r="F4613" t="s">
        <v>9566</v>
      </c>
      <c r="G4613" t="s">
        <v>14</v>
      </c>
      <c r="H4613">
             </c>
      <c r="I4613" t="s">
        <v>14</v>
      </c>
      <c r="J4613" t="s">
        <v>141</v>
      </c>
      <c r="K4613" t="s">
        <v>14</v>
      </c>
      <c r="L4613" t="s">
        <v>20</v>
      </c>
      <c r="M4613" t="s">
        <v>9422</v>
      </c>
      <c r="N4613" t="s">
        <v>14</v>
      </c>
    </row>
    <row r="4614" x14ac:dyDescent="0.25">
      <c r="A4614" t="n">
        <v>25</v>
      </c>
      <c r="B4614" t="s">
        <v>14</v>
      </c>
      <c r="C4614" t="s">
        <v>22</v>
      </c>
      <c r="D4614" s="2" t="s">
        <f>=HYPERLINK("https://main.knesset.gov.il/APPS/legislation/main/bills/2204104", "הצעת חוק פריסת תשלום חוב ללא תוספת ריבית או אגרה, התשפ""ג-2023")</f>
        <v>9567</v>
      </c>
      <c r="E4614" t="s">
        <v>9567</v>
      </c>
      <c r="F4614" t="s">
        <v>9568</v>
      </c>
      <c r="G4614" t="s">
        <v>14</v>
      </c>
      <c r="H4614">
             </c>
      <c r="I4614" t="s">
        <v>14</v>
      </c>
      <c r="J4614" t="s">
        <v>141</v>
      </c>
      <c r="K4614" t="s">
        <v>14</v>
      </c>
      <c r="L4614" t="s">
        <v>20</v>
      </c>
      <c r="M4614" t="s">
        <v>9422</v>
      </c>
      <c r="N4614" t="s">
        <v>14</v>
      </c>
    </row>
    <row r="4615" x14ac:dyDescent="0.25">
      <c r="A4615" t="n">
        <v>25</v>
      </c>
      <c r="B4615" t="s">
        <v>14</v>
      </c>
      <c r="C4615" t="s">
        <v>22</v>
      </c>
      <c r="D4615" s="2" t="s">
        <f>=HYPERLINK("https://main.knesset.gov.il/APPS/legislation/main/bills/2204146", "הצעת חוק העונשין (תיקון - תקיפת עובד ציבור מטפל), התשפ""ג-2023")</f>
        <v>6147</v>
      </c>
      <c r="E4615" t="s">
        <v>6147</v>
      </c>
      <c r="F4615" t="s">
        <v>9569</v>
      </c>
      <c r="G4615" t="s">
        <v>14</v>
      </c>
      <c r="H4615">
             </c>
      <c r="I4615" t="s">
        <v>14</v>
      </c>
      <c r="J4615" t="s">
        <v>141</v>
      </c>
      <c r="K4615" t="s">
        <v>14</v>
      </c>
      <c r="L4615" t="s">
        <v>20</v>
      </c>
      <c r="M4615" t="s">
        <v>9422</v>
      </c>
      <c r="N4615" t="s">
        <v>14</v>
      </c>
    </row>
    <row r="4616" x14ac:dyDescent="0.25">
      <c r="A4616" t="n">
        <v>25</v>
      </c>
      <c r="B4616" t="s">
        <v>14</v>
      </c>
      <c r="C4616" t="s">
        <v>22</v>
      </c>
      <c r="D4616" s="2" t="s">
        <f>=HYPERLINK("https://main.knesset.gov.il/APPS/legislation/main/bills/2203905", "הצעת חוק פיקוח על מחירים, שיווק וסבסוד של מזון ללא גלוטן, התשפ""ג-2023")</f>
        <v>8298</v>
      </c>
      <c r="E4616" t="s">
        <v>8298</v>
      </c>
      <c r="F4616" t="s">
        <v>9570</v>
      </c>
      <c r="G4616" t="s">
        <v>14</v>
      </c>
      <c r="H4616">
             </c>
      <c r="I4616" t="s">
        <v>14</v>
      </c>
      <c r="J4616" t="s">
        <v>141</v>
      </c>
      <c r="K4616" t="s">
        <v>14</v>
      </c>
      <c r="L4616" t="s">
        <v>20</v>
      </c>
      <c r="M4616" t="s">
        <v>9422</v>
      </c>
      <c r="N4616" t="s">
        <v>14</v>
      </c>
    </row>
    <row r="4617" x14ac:dyDescent="0.25">
      <c r="A4617" t="n">
        <v>25</v>
      </c>
      <c r="B4617" t="s">
        <v>14</v>
      </c>
      <c r="C4617" t="s">
        <v>22</v>
      </c>
      <c r="D4617" s="2" t="s">
        <f>=HYPERLINK("https://main.knesset.gov.il/APPS/legislation/main/bills/2204222", "הצעת חוק-יסוד: הכנסת (תיקון - מניעת בחירת מועמד שהורשע ברצח או ניסיון רצח כחלק ממעשה טרור)")</f>
        <v>9571</v>
      </c>
      <c r="E4617" t="s">
        <v>9571</v>
      </c>
      <c r="F4617" t="s">
        <v>9572</v>
      </c>
      <c r="G4617" t="s">
        <v>14</v>
      </c>
      <c r="H4617">
             </c>
      <c r="I4617" t="s">
        <v>14</v>
      </c>
      <c r="J4617" t="s">
        <v>141</v>
      </c>
      <c r="K4617" t="s">
        <v>14</v>
      </c>
      <c r="L4617" t="s">
        <v>20</v>
      </c>
      <c r="M4617" t="s">
        <v>9422</v>
      </c>
      <c r="N4617" t="s">
        <v>14</v>
      </c>
    </row>
    <row r="4618" x14ac:dyDescent="0.25">
      <c r="A4618" t="n">
        <v>25</v>
      </c>
      <c r="B4618" t="s">
        <v>14</v>
      </c>
      <c r="C4618" t="s">
        <v>22</v>
      </c>
      <c r="D4618" s="2" t="s">
        <f>=HYPERLINK("https://main.knesset.gov.il/APPS/legislation/main/bills/2204150", "הצעת חוק אימוץ ילדים (תיקון - אימוץ על ידי בני הזוג), התשפ""ג-2023")</f>
        <v>9573</v>
      </c>
      <c r="E4618" t="s">
        <v>9573</v>
      </c>
      <c r="F4618" t="s">
        <v>9574</v>
      </c>
      <c r="G4618" t="s">
        <v>14</v>
      </c>
      <c r="H4618">
             </c>
      <c r="I4618" t="s">
        <v>14</v>
      </c>
      <c r="J4618" t="s">
        <v>141</v>
      </c>
      <c r="K4618" t="s">
        <v>14</v>
      </c>
      <c r="L4618" t="s">
        <v>20</v>
      </c>
      <c r="M4618" t="s">
        <v>9422</v>
      </c>
      <c r="N4618" t="s">
        <v>14</v>
      </c>
    </row>
    <row r="4619" x14ac:dyDescent="0.25">
      <c r="A4619" t="n">
        <v>25</v>
      </c>
      <c r="B4619" t="s">
        <v>14</v>
      </c>
      <c r="C4619" t="s">
        <v>22</v>
      </c>
      <c r="D4619" s="2" t="s">
        <f>=HYPERLINK("https://main.knesset.gov.il/APPS/legislation/main/bills/2203928", "הצעת חוק הגנת הצרכן (תיקון - קביעת סכום מרבי לחיוב חשבון), התשפ""ג-2023")</f>
        <v>9575</v>
      </c>
      <c r="E4619" t="s">
        <v>9575</v>
      </c>
      <c r="F4619" t="s">
        <v>9576</v>
      </c>
      <c r="G4619" t="s">
        <v>14</v>
      </c>
      <c r="H4619">
             </c>
      <c r="I4619" t="s">
        <v>14</v>
      </c>
      <c r="J4619" t="s">
        <v>141</v>
      </c>
      <c r="K4619" t="s">
        <v>14</v>
      </c>
      <c r="L4619" t="s">
        <v>20</v>
      </c>
      <c r="M4619" t="s">
        <v>9422</v>
      </c>
      <c r="N4619" t="s">
        <v>14</v>
      </c>
    </row>
    <row r="4620" x14ac:dyDescent="0.25">
      <c r="A4620" t="n">
        <v>25</v>
      </c>
      <c r="B4620" t="s">
        <v>14</v>
      </c>
      <c r="C4620" t="s">
        <v>22</v>
      </c>
      <c r="D4620" s="2" t="s">
        <f>=HYPERLINK("https://main.knesset.gov.il/APPS/legislation/main/bills/2202760", "הצעת חוק להנצחת זכרם של הרב אברהם שפירא והרב מרדכי אליהו, התשפ""ג-2023")</f>
        <v>9577</v>
      </c>
      <c r="E4620" t="s">
        <v>9577</v>
      </c>
      <c r="F4620" t="s">
        <v>9578</v>
      </c>
      <c r="G4620" t="s">
        <v>14</v>
      </c>
      <c r="H4620">
             </c>
      <c r="I4620" t="s">
        <v>14</v>
      </c>
      <c r="J4620" t="s">
        <v>141</v>
      </c>
      <c r="K4620" t="s">
        <v>14</v>
      </c>
      <c r="L4620" t="s">
        <v>20</v>
      </c>
      <c r="M4620" t="s">
        <v>9422</v>
      </c>
      <c r="N4620" t="s">
        <v>14</v>
      </c>
    </row>
    <row r="4621" x14ac:dyDescent="0.25">
      <c r="A4621" t="n">
        <v>25</v>
      </c>
      <c r="B4621" t="s">
        <v>14</v>
      </c>
      <c r="C4621" t="s">
        <v>22</v>
      </c>
      <c r="D4621" s="2" t="s">
        <f>=HYPERLINK("https://main.knesset.gov.il/APPS/legislation/main/bills/2203965", "הצעת חוק תאגידי מים וביוב (תיקון - הקמת ועדת הנחות), התשפ""ג-2023")</f>
        <v>7225</v>
      </c>
      <c r="E4621" t="s">
        <v>7225</v>
      </c>
      <c r="F4621" t="s">
        <v>9579</v>
      </c>
      <c r="G4621" t="s">
        <v>14</v>
      </c>
      <c r="H4621">
             </c>
      <c r="I4621" t="s">
        <v>14</v>
      </c>
      <c r="J4621" t="s">
        <v>141</v>
      </c>
      <c r="K4621" t="s">
        <v>14</v>
      </c>
      <c r="L4621" t="s">
        <v>20</v>
      </c>
      <c r="M4621" t="s">
        <v>9422</v>
      </c>
      <c r="N4621" t="s">
        <v>14</v>
      </c>
    </row>
    <row r="4622" x14ac:dyDescent="0.25">
      <c r="A4622" t="n">
        <v>25</v>
      </c>
      <c r="B4622" t="s">
        <v>14</v>
      </c>
      <c r="C4622" t="s">
        <v>22</v>
      </c>
      <c r="D4622" s="2" t="s">
        <f>=HYPERLINK("https://main.knesset.gov.il/APPS/legislation/main/bills/2203705", "הצעת חוק המרכז לגביית קנסות, אגרות והוצאות (תיקון - גביית תשלום בעד חוב שטרם חלף המועד לתשלומו), התשפ""ג-2023")</f>
        <v>9580</v>
      </c>
      <c r="E4622" t="s">
        <v>9580</v>
      </c>
      <c r="F4622" t="s">
        <v>9581</v>
      </c>
      <c r="G4622" t="s">
        <v>14</v>
      </c>
      <c r="H4622">
             </c>
      <c r="I4622" t="s">
        <v>14</v>
      </c>
      <c r="J4622" t="s">
        <v>141</v>
      </c>
      <c r="K4622" t="s">
        <v>14</v>
      </c>
      <c r="L4622" t="s">
        <v>20</v>
      </c>
      <c r="M4622" t="s">
        <v>9422</v>
      </c>
      <c r="N4622" t="s">
        <v>14</v>
      </c>
    </row>
    <row r="4623" x14ac:dyDescent="0.25">
      <c r="A4623" t="n">
        <v>25</v>
      </c>
      <c r="B4623" t="s">
        <v>14</v>
      </c>
      <c r="C4623" t="s">
        <v>22</v>
      </c>
      <c r="D4623" s="2" t="s">
        <f>=HYPERLINK("https://main.knesset.gov.il/APPS/legislation/main/bills/2203967", "הצעת חוק להארכת מועד לקבלת דברי דואר (הוראת שעה), התשפ""ג-2023")</f>
        <v>9582</v>
      </c>
      <c r="E4623" t="s">
        <v>9582</v>
      </c>
      <c r="F4623" t="s">
        <v>9583</v>
      </c>
      <c r="G4623" t="s">
        <v>14</v>
      </c>
      <c r="H4623">
             </c>
      <c r="I4623" t="s">
        <v>14</v>
      </c>
      <c r="J4623" t="s">
        <v>141</v>
      </c>
      <c r="K4623" t="s">
        <v>14</v>
      </c>
      <c r="L4623" t="s">
        <v>20</v>
      </c>
      <c r="M4623" t="s">
        <v>9422</v>
      </c>
      <c r="N4623" t="s">
        <v>14</v>
      </c>
    </row>
    <row r="4624" x14ac:dyDescent="0.25">
      <c r="A4624" t="n">
        <v>25</v>
      </c>
      <c r="B4624" t="s">
        <v>14</v>
      </c>
      <c r="C4624" t="s">
        <v>22</v>
      </c>
      <c r="D4624" s="2" t="s">
        <f>=HYPERLINK("https://main.knesset.gov.il/APPS/legislation/main/bills/2203293", "הצעת חוק ארוחה יומית לתלמיד (תיקון - הרחבת תחולת החוק), התשפ""ג-2023")</f>
        <v>9584</v>
      </c>
      <c r="E4624" t="s">
        <v>9584</v>
      </c>
      <c r="F4624" t="s">
        <v>9585</v>
      </c>
      <c r="G4624" t="s">
        <v>14</v>
      </c>
      <c r="H4624">
             </c>
      <c r="I4624" t="s">
        <v>14</v>
      </c>
      <c r="J4624" t="s">
        <v>141</v>
      </c>
      <c r="K4624" t="s">
        <v>14</v>
      </c>
      <c r="L4624" t="s">
        <v>20</v>
      </c>
      <c r="M4624" t="s">
        <v>9422</v>
      </c>
      <c r="N4624" t="s">
        <v>14</v>
      </c>
    </row>
    <row r="4625" x14ac:dyDescent="0.25">
      <c r="A4625" t="n">
        <v>25</v>
      </c>
      <c r="B4625" t="s">
        <v>14</v>
      </c>
      <c r="C4625" t="s">
        <v>15</v>
      </c>
      <c r="D4625" s="2" t="s">
        <f>=HYPERLINK("https://main.knesset.gov.il/APPS/legislation/main/bills/2202410", "הצעת חוק ציוד רפואי (תיקון מס' 2 והוראת שעה), התשפ""ג-2023")</f>
        <v>9586</v>
      </c>
      <c r="E4625" t="s">
        <v>9586</v>
      </c>
      <c r="F4625" t="s">
        <v>14</v>
      </c>
      <c r="G4625" t="s">
        <v>9587</v>
      </c>
      <c r="H4625">
             </c>
      <c r="I4625" t="s">
        <v>14</v>
      </c>
      <c r="J4625" t="s">
        <v>18</v>
      </c>
      <c r="K4625" t="s">
        <v>480</v>
      </c>
      <c r="L4625" t="s">
        <v>20</v>
      </c>
      <c r="M4625" t="s">
        <v>9422</v>
      </c>
      <c r="N4625" t="s">
        <v>14</v>
      </c>
    </row>
    <row r="4626" x14ac:dyDescent="0.25">
      <c r="A4626" t="n">
        <v>25</v>
      </c>
      <c r="B4626" t="s">
        <v>14</v>
      </c>
      <c r="C4626" t="s">
        <v>15</v>
      </c>
      <c r="D4626" s="2" t="s">
        <f>=HYPERLINK("https://main.knesset.gov.il/APPS/legislation/main/bills/2202778", "חוק הגדלת נקודות זיכוי להורים במס הכנסה והגדלת מענק עבודה (הוראת שעה) (תיקון), התשפ""ג-2023")</f>
        <v>9588</v>
      </c>
      <c r="E4626" t="s">
        <v>9588</v>
      </c>
      <c r="F4626" t="s">
        <v>14</v>
      </c>
      <c r="G4626" t="s">
        <v>9589</v>
      </c>
      <c r="H4626" t="n">
        <v>3039</v>
      </c>
      <c r="I4626" t="s">
        <v>14</v>
      </c>
      <c r="J4626" t="s">
        <v>91</v>
      </c>
      <c r="K4626" t="s">
        <v>85</v>
      </c>
      <c r="L4626" t="s">
        <v>20</v>
      </c>
      <c r="M4626" t="s">
        <v>9590</v>
      </c>
      <c r="N4626" t="s">
        <v>9591</v>
      </c>
    </row>
    <row r="4627" x14ac:dyDescent="0.25">
      <c r="A4627" t="n">
        <v>25</v>
      </c>
      <c r="B4627" t="s">
        <v>14</v>
      </c>
      <c r="C4627" t="s">
        <v>15</v>
      </c>
      <c r="D4627" s="2" t="s">
        <f>=HYPERLINK("https://main.knesset.gov.il/APPS/legislation/main/bills/2203897", "חוק להסדרת אירוע הילולת רבי שמעון בר יוחאי בהר מירון (הוראת שעה), התשפ""ג-2023")</f>
        <v>9592</v>
      </c>
      <c r="E4627" t="s">
        <v>9592</v>
      </c>
      <c r="F4627" t="s">
        <v>14</v>
      </c>
      <c r="G4627" t="s">
        <v>9593</v>
      </c>
      <c r="H4627" t="n">
        <v>3037</v>
      </c>
      <c r="I4627" t="s">
        <v>14</v>
      </c>
      <c r="J4627" t="s">
        <v>91</v>
      </c>
      <c r="K4627" t="s">
        <v>105</v>
      </c>
      <c r="L4627" t="s">
        <v>20</v>
      </c>
      <c r="M4627" t="s">
        <v>9594</v>
      </c>
      <c r="N4627" t="s">
        <v>9595</v>
      </c>
    </row>
    <row r="4628" x14ac:dyDescent="0.25">
      <c r="A4628" t="n">
        <v>25</v>
      </c>
      <c r="B4628" t="s">
        <v>14</v>
      </c>
      <c r="C4628" t="s">
        <v>22</v>
      </c>
      <c r="D4628" s="2" t="s">
        <f>=HYPERLINK("https://main.knesset.gov.il/APPS/legislation/main/bills/2199468", "הצעת חוק זכויות הסטודנט (תיקון – הרחבת זכויות הסטודנט), התשפ""ג–2023")</f>
        <v>9596</v>
      </c>
      <c r="E4628" t="s">
        <v>9596</v>
      </c>
      <c r="F4628" t="s">
        <v>9597</v>
      </c>
      <c r="G4628" t="s">
        <v>14</v>
      </c>
      <c r="H4628">
             </c>
      <c r="I4628" t="s">
        <v>14</v>
      </c>
      <c r="J4628" t="s">
        <v>31</v>
      </c>
      <c r="K4628" t="s">
        <v>34</v>
      </c>
      <c r="L4628" t="s">
        <v>20</v>
      </c>
      <c r="M4628" t="s">
        <v>9594</v>
      </c>
      <c r="N4628" t="s">
        <v>14</v>
      </c>
    </row>
    <row r="4629" x14ac:dyDescent="0.25">
      <c r="A4629" t="n">
        <v>25</v>
      </c>
      <c r="B4629" t="s">
        <v>14</v>
      </c>
      <c r="C4629" t="s">
        <v>22</v>
      </c>
      <c r="D4629" s="2" t="s">
        <f>=HYPERLINK("https://main.knesset.gov.il/APPS/legislation/main/bills/2196567", "הצעת חוק התכנון והבנייה (תיקון - ייצוג הולם לאוכלוסייה החרדית במוסדות התכנון), התשפ""ג-2022")</f>
        <v>9598</v>
      </c>
      <c r="E4629" t="s">
        <v>9598</v>
      </c>
      <c r="F4629" t="s">
        <v>9599</v>
      </c>
      <c r="G4629" t="s">
        <v>14</v>
      </c>
      <c r="H4629">
             </c>
      <c r="I4629" t="s">
        <v>14</v>
      </c>
      <c r="J4629" t="s">
        <v>31</v>
      </c>
      <c r="K4629" t="s">
        <v>46</v>
      </c>
      <c r="L4629" t="s">
        <v>20</v>
      </c>
      <c r="M4629" t="s">
        <v>9594</v>
      </c>
      <c r="N4629" t="s">
        <v>14</v>
      </c>
    </row>
    <row r="4630" x14ac:dyDescent="0.25">
      <c r="A4630" t="n">
        <v>25</v>
      </c>
      <c r="B4630" t="s">
        <v>14</v>
      </c>
      <c r="C4630" t="s">
        <v>15</v>
      </c>
      <c r="D4630" s="2" t="s">
        <f>=HYPERLINK("https://main.knesset.gov.il/APPS/legislation/main/bills/2195431", "חוק סמכויות לאיסוף ואבחון של נתוני נוסעים הנכנסים לישראל או היוצאים ממנה, התשפ""ג-2023 ")</f>
        <v>9600</v>
      </c>
      <c r="E4630" t="s">
        <v>9600</v>
      </c>
      <c r="F4630" t="s">
        <v>14</v>
      </c>
      <c r="G4630" t="s">
        <v>9601</v>
      </c>
      <c r="H4630" t="n">
        <v>3038</v>
      </c>
      <c r="I4630" t="s">
        <v>14</v>
      </c>
      <c r="J4630" t="s">
        <v>91</v>
      </c>
      <c r="K4630" t="s">
        <v>114</v>
      </c>
      <c r="L4630" t="s">
        <v>20</v>
      </c>
      <c r="M4630" t="s">
        <v>9602</v>
      </c>
      <c r="N4630" t="s">
        <v>9603</v>
      </c>
    </row>
    <row r="4631" x14ac:dyDescent="0.25">
      <c r="A4631" t="n">
        <v>25</v>
      </c>
      <c r="B4631" t="s">
        <v>14</v>
      </c>
      <c r="C4631" t="s">
        <v>15</v>
      </c>
      <c r="D4631" s="2" t="s">
        <f>=HYPERLINK("https://main.knesset.gov.il/APPS/legislation/main/bills/2203829", "חוק הנכים (תגמולים ושיקום) (תיקון מס' 31), התשפ""ג-2023 ")</f>
        <v>9604</v>
      </c>
      <c r="E4631" t="s">
        <v>9604</v>
      </c>
      <c r="F4631" t="s">
        <v>14</v>
      </c>
      <c r="G4631" t="s">
        <v>7993</v>
      </c>
      <c r="H4631" t="n">
        <v>3034</v>
      </c>
      <c r="I4631" t="s">
        <v>14</v>
      </c>
      <c r="J4631" t="s">
        <v>91</v>
      </c>
      <c r="K4631" t="s">
        <v>127</v>
      </c>
      <c r="L4631" t="s">
        <v>20</v>
      </c>
      <c r="M4631" t="s">
        <v>9602</v>
      </c>
      <c r="N4631" t="s">
        <v>9605</v>
      </c>
    </row>
    <row r="4632" x14ac:dyDescent="0.25">
      <c r="A4632" t="n">
        <v>25</v>
      </c>
      <c r="B4632" t="s">
        <v>14</v>
      </c>
      <c r="C4632" t="s">
        <v>22</v>
      </c>
      <c r="D4632" s="2" t="s">
        <f>=HYPERLINK("https://main.knesset.gov.il/APPS/legislation/main/bills/2203347", "הצעת חוק שירות המדינה (משמעת) (תיקון - חובת פיטורין של תומכי טרור), התשפ""ג-2023")</f>
        <v>9606</v>
      </c>
      <c r="E4632" t="s">
        <v>9606</v>
      </c>
      <c r="F4632" t="s">
        <v>9607</v>
      </c>
      <c r="G4632" t="s">
        <v>14</v>
      </c>
      <c r="H4632">
             </c>
      <c r="I4632" t="s">
        <v>14</v>
      </c>
      <c r="J4632" t="s">
        <v>141</v>
      </c>
      <c r="K4632" t="s">
        <v>14</v>
      </c>
      <c r="L4632" t="s">
        <v>20</v>
      </c>
      <c r="M4632" t="s">
        <v>9602</v>
      </c>
      <c r="N4632" t="s">
        <v>14</v>
      </c>
    </row>
    <row r="4633" x14ac:dyDescent="0.25">
      <c r="A4633" t="n">
        <v>25</v>
      </c>
      <c r="B4633" t="s">
        <v>14</v>
      </c>
      <c r="C4633" t="s">
        <v>22</v>
      </c>
      <c r="D4633" s="2" t="s">
        <f>=HYPERLINK("https://main.knesset.gov.il/APPS/legislation/main/bills/2203408", "הצעת חוק התכנון והבנייה (תיקון - הגבלת תקופת ההפקעה לייעוד ציבורי), התשפ""ג-2023")</f>
        <v>9608</v>
      </c>
      <c r="E4633" t="s">
        <v>9608</v>
      </c>
      <c r="F4633" t="s">
        <v>9609</v>
      </c>
      <c r="G4633" t="s">
        <v>14</v>
      </c>
      <c r="H4633">
             </c>
      <c r="I4633" t="s">
        <v>14</v>
      </c>
      <c r="J4633" t="s">
        <v>141</v>
      </c>
      <c r="K4633" t="s">
        <v>14</v>
      </c>
      <c r="L4633" t="s">
        <v>20</v>
      </c>
      <c r="M4633" t="s">
        <v>9602</v>
      </c>
      <c r="N4633" t="s">
        <v>14</v>
      </c>
    </row>
    <row r="4634" x14ac:dyDescent="0.25">
      <c r="A4634" t="n">
        <v>25</v>
      </c>
      <c r="B4634" t="s">
        <v>14</v>
      </c>
      <c r="C4634" t="s">
        <v>22</v>
      </c>
      <c r="D4634" s="2" t="s">
        <f>=HYPERLINK("https://main.knesset.gov.il/APPS/legislation/main/bills/2202350", "הצעת חוק להקפאת כספים ששילמה הרשות הפלסטינית בזיקה לטרור מהכספים המועברים אליה מממשלת ישראל (תיקון - חילוט הכספים וניהולם), התשפ""ג-2023")</f>
        <v>9610</v>
      </c>
      <c r="E4634" t="s">
        <v>9610</v>
      </c>
      <c r="F4634" t="s">
        <v>9611</v>
      </c>
      <c r="G4634" t="s">
        <v>14</v>
      </c>
      <c r="H4634">
             </c>
      <c r="I4634" t="s">
        <v>14</v>
      </c>
      <c r="J4634" t="s">
        <v>141</v>
      </c>
      <c r="K4634" t="s">
        <v>14</v>
      </c>
      <c r="L4634" t="s">
        <v>20</v>
      </c>
      <c r="M4634" t="s">
        <v>9602</v>
      </c>
      <c r="N4634" t="s">
        <v>14</v>
      </c>
    </row>
    <row r="4635" x14ac:dyDescent="0.25">
      <c r="A4635" t="n">
        <v>25</v>
      </c>
      <c r="B4635" t="s">
        <v>14</v>
      </c>
      <c r="C4635" t="s">
        <v>22</v>
      </c>
      <c r="D4635" s="2" t="s">
        <f>=HYPERLINK("https://main.knesset.gov.il/APPS/legislation/main/bills/2203789", "הצעת חוק ביטוח בריאות ממלכתי (תיקון - החזר עבור פינוי באמבולנס), התשפ""ג-2023")</f>
        <v>9612</v>
      </c>
      <c r="E4635" t="s">
        <v>9612</v>
      </c>
      <c r="F4635" t="s">
        <v>9613</v>
      </c>
      <c r="G4635" t="s">
        <v>14</v>
      </c>
      <c r="H4635">
             </c>
      <c r="I4635" t="s">
        <v>14</v>
      </c>
      <c r="J4635" t="s">
        <v>141</v>
      </c>
      <c r="K4635" t="s">
        <v>14</v>
      </c>
      <c r="L4635" t="s">
        <v>20</v>
      </c>
      <c r="M4635" t="s">
        <v>9602</v>
      </c>
      <c r="N4635" t="s">
        <v>14</v>
      </c>
    </row>
    <row r="4636" x14ac:dyDescent="0.25">
      <c r="A4636" t="n">
        <v>25</v>
      </c>
      <c r="B4636" t="s">
        <v>14</v>
      </c>
      <c r="C4636" t="s">
        <v>22</v>
      </c>
      <c r="D4636" s="2" t="s">
        <f>=HYPERLINK("https://main.knesset.gov.il/APPS/legislation/main/bills/2201863", "הצעת חוק המאבק בטרור (תיקון - החמרה בעונשם של עבריינם המועדים לעבירות טרור), התשפ""ג-2023")</f>
        <v>9614</v>
      </c>
      <c r="E4636" t="s">
        <v>9614</v>
      </c>
      <c r="F4636" t="s">
        <v>9615</v>
      </c>
      <c r="G4636" t="s">
        <v>14</v>
      </c>
      <c r="H4636">
             </c>
      <c r="I4636" t="s">
        <v>14</v>
      </c>
      <c r="J4636" t="s">
        <v>141</v>
      </c>
      <c r="K4636" t="s">
        <v>14</v>
      </c>
      <c r="L4636" t="s">
        <v>20</v>
      </c>
      <c r="M4636" t="s">
        <v>9602</v>
      </c>
      <c r="N4636" t="s">
        <v>14</v>
      </c>
    </row>
    <row r="4637" x14ac:dyDescent="0.25">
      <c r="A4637" t="n">
        <v>25</v>
      </c>
      <c r="B4637" t="s">
        <v>14</v>
      </c>
      <c r="C4637" t="s">
        <v>22</v>
      </c>
      <c r="D4637" s="2" t="s">
        <f>=HYPERLINK("https://main.knesset.gov.il/APPS/legislation/main/bills/2203773", "הצעת חוק הנגשת שירותי קבלת קהל הניתנים בגופי שלטון לשפות נוספות, התשפ""ג-2023")</f>
        <v>9616</v>
      </c>
      <c r="E4637" t="s">
        <v>9616</v>
      </c>
      <c r="F4637" t="s">
        <v>9617</v>
      </c>
      <c r="G4637" t="s">
        <v>14</v>
      </c>
      <c r="H4637">
             </c>
      <c r="I4637" t="s">
        <v>14</v>
      </c>
      <c r="J4637" t="s">
        <v>141</v>
      </c>
      <c r="K4637" t="s">
        <v>14</v>
      </c>
      <c r="L4637" t="s">
        <v>20</v>
      </c>
      <c r="M4637" t="s">
        <v>9602</v>
      </c>
      <c r="N4637" t="s">
        <v>14</v>
      </c>
    </row>
    <row r="4638" x14ac:dyDescent="0.25">
      <c r="A4638" t="n">
        <v>25</v>
      </c>
      <c r="B4638" t="s">
        <v>14</v>
      </c>
      <c r="C4638" t="s">
        <v>22</v>
      </c>
      <c r="D4638" s="2" t="s">
        <f>=HYPERLINK("https://main.knesset.gov.il/APPS/legislation/main/bills/2203800", "הצעת חוק חובת פרסום מידע על תלונות הציבור ודוח ביקורת פנימית (תיקוני חקיקה), התשפ""ג-2023")</f>
        <v>9618</v>
      </c>
      <c r="E4638" t="s">
        <v>9618</v>
      </c>
      <c r="F4638" t="s">
        <v>9619</v>
      </c>
      <c r="G4638" t="s">
        <v>14</v>
      </c>
      <c r="H4638">
             </c>
      <c r="I4638" t="s">
        <v>14</v>
      </c>
      <c r="J4638" t="s">
        <v>141</v>
      </c>
      <c r="K4638" t="s">
        <v>14</v>
      </c>
      <c r="L4638" t="s">
        <v>20</v>
      </c>
      <c r="M4638" t="s">
        <v>9602</v>
      </c>
      <c r="N4638" t="s">
        <v>14</v>
      </c>
    </row>
    <row r="4639" x14ac:dyDescent="0.25">
      <c r="A4639" t="n">
        <v>25</v>
      </c>
      <c r="B4639" t="s">
        <v>14</v>
      </c>
      <c r="C4639" t="s">
        <v>22</v>
      </c>
      <c r="D4639" s="2" t="s">
        <f>=HYPERLINK("https://main.knesset.gov.il/APPS/legislation/main/bills/2203734", "הצעת חוק העונשין (תיקון - החמרת ענישה בגין אי-חובת דיווח), התשפ""ג-2023")</f>
        <v>9620</v>
      </c>
      <c r="E4639" t="s">
        <v>9620</v>
      </c>
      <c r="F4639" t="s">
        <v>9621</v>
      </c>
      <c r="G4639" t="s">
        <v>14</v>
      </c>
      <c r="H4639">
             </c>
      <c r="I4639" t="s">
        <v>14</v>
      </c>
      <c r="J4639" t="s">
        <v>141</v>
      </c>
      <c r="K4639" t="s">
        <v>14</v>
      </c>
      <c r="L4639" t="s">
        <v>20</v>
      </c>
      <c r="M4639" t="s">
        <v>9602</v>
      </c>
      <c r="N4639" t="s">
        <v>14</v>
      </c>
    </row>
    <row r="4640" x14ac:dyDescent="0.25">
      <c r="A4640" t="n">
        <v>25</v>
      </c>
      <c r="B4640" t="s">
        <v>14</v>
      </c>
      <c r="C4640" t="s">
        <v>22</v>
      </c>
      <c r="D4640" s="2" t="s">
        <f>=HYPERLINK("https://main.knesset.gov.il/APPS/legislation/main/bills/2203618", "הצעת חוק הקמת חדר מיון בקריית שמונה, התשפ""ג-2023")</f>
        <v>9463</v>
      </c>
      <c r="E4640" t="s">
        <v>9463</v>
      </c>
      <c r="F4640" t="s">
        <v>9622</v>
      </c>
      <c r="G4640" t="s">
        <v>14</v>
      </c>
      <c r="H4640">
             </c>
      <c r="I4640" t="s">
        <v>14</v>
      </c>
      <c r="J4640" t="s">
        <v>141</v>
      </c>
      <c r="K4640" t="s">
        <v>14</v>
      </c>
      <c r="L4640" t="s">
        <v>20</v>
      </c>
      <c r="M4640" t="s">
        <v>9602</v>
      </c>
      <c r="N4640" t="s">
        <v>14</v>
      </c>
    </row>
    <row r="4641" x14ac:dyDescent="0.25">
      <c r="A4641" t="n">
        <v>25</v>
      </c>
      <c r="B4641" t="s">
        <v>14</v>
      </c>
      <c r="C4641" t="s">
        <v>22</v>
      </c>
      <c r="D4641" s="2" t="s">
        <f>=HYPERLINK("https://main.knesset.gov.il/APPS/legislation/main/bills/2203194", "הצעת חוק לתיקון פקודת בתי הסוהר (תנאי אסיר ביטחוני בבתי הסוהר), התשפ""ג-2023")</f>
        <v>9623</v>
      </c>
      <c r="E4641" t="s">
        <v>9623</v>
      </c>
      <c r="F4641" t="s">
        <v>9624</v>
      </c>
      <c r="G4641" t="s">
        <v>14</v>
      </c>
      <c r="H4641">
             </c>
      <c r="I4641" t="s">
        <v>14</v>
      </c>
      <c r="J4641" t="s">
        <v>141</v>
      </c>
      <c r="K4641" t="s">
        <v>14</v>
      </c>
      <c r="L4641" t="s">
        <v>20</v>
      </c>
      <c r="M4641" t="s">
        <v>9602</v>
      </c>
      <c r="N4641" t="s">
        <v>14</v>
      </c>
    </row>
    <row r="4642" x14ac:dyDescent="0.25">
      <c r="A4642" t="n">
        <v>25</v>
      </c>
      <c r="B4642" t="s">
        <v>14</v>
      </c>
      <c r="C4642" t="s">
        <v>22</v>
      </c>
      <c r="D4642" s="2" t="s">
        <f>=HYPERLINK("https://main.knesset.gov.il/APPS/legislation/main/bills/2202974", "הצעת חוק החלת ריבונות על מעלה אדומים, התשפ""ג-2023")</f>
        <v>9625</v>
      </c>
      <c r="E4642" t="s">
        <v>9625</v>
      </c>
      <c r="F4642" t="s">
        <v>9626</v>
      </c>
      <c r="G4642" t="s">
        <v>14</v>
      </c>
      <c r="H4642">
             </c>
      <c r="I4642" t="s">
        <v>14</v>
      </c>
      <c r="J4642" t="s">
        <v>141</v>
      </c>
      <c r="K4642" t="s">
        <v>14</v>
      </c>
      <c r="L4642" t="s">
        <v>20</v>
      </c>
      <c r="M4642" t="s">
        <v>9602</v>
      </c>
      <c r="N4642" t="s">
        <v>14</v>
      </c>
    </row>
    <row r="4643" x14ac:dyDescent="0.25">
      <c r="A4643" t="n">
        <v>25</v>
      </c>
      <c r="B4643" t="s">
        <v>14</v>
      </c>
      <c r="C4643" t="s">
        <v>22</v>
      </c>
      <c r="D4643" s="2" t="s">
        <f>=HYPERLINK("https://main.knesset.gov.il/APPS/legislation/main/bills/2202971", "הצעת חוק החלת הריבונות של מדינת ישראל בחבלי יהודה והשומרון, התשפ""ג-2023")</f>
        <v>9627</v>
      </c>
      <c r="E4643" t="s">
        <v>9627</v>
      </c>
      <c r="F4643" t="s">
        <v>9628</v>
      </c>
      <c r="G4643" t="s">
        <v>14</v>
      </c>
      <c r="H4643">
             </c>
      <c r="I4643" t="s">
        <v>14</v>
      </c>
      <c r="J4643" t="s">
        <v>141</v>
      </c>
      <c r="K4643" t="s">
        <v>14</v>
      </c>
      <c r="L4643" t="s">
        <v>20</v>
      </c>
      <c r="M4643" t="s">
        <v>9602</v>
      </c>
      <c r="N4643" t="s">
        <v>14</v>
      </c>
    </row>
    <row r="4644" x14ac:dyDescent="0.25">
      <c r="A4644" t="n">
        <v>25</v>
      </c>
      <c r="B4644" t="s">
        <v>14</v>
      </c>
      <c r="C4644" t="s">
        <v>22</v>
      </c>
      <c r="D4644" s="2" t="s">
        <f>=HYPERLINK("https://main.knesset.gov.il/APPS/legislation/main/bills/2202984", "הצעת חוק לתיקון פקודת סדרי השלטון והמשפט (חקיקה באמצעות צו), התשפ""ג-2023")</f>
        <v>9629</v>
      </c>
      <c r="E4644" t="s">
        <v>9629</v>
      </c>
      <c r="F4644" t="s">
        <v>9630</v>
      </c>
      <c r="G4644" t="s">
        <v>14</v>
      </c>
      <c r="H4644">
             </c>
      <c r="I4644" t="s">
        <v>14</v>
      </c>
      <c r="J4644" t="s">
        <v>141</v>
      </c>
      <c r="K4644" t="s">
        <v>14</v>
      </c>
      <c r="L4644" t="s">
        <v>20</v>
      </c>
      <c r="M4644" t="s">
        <v>9602</v>
      </c>
      <c r="N4644" t="s">
        <v>14</v>
      </c>
    </row>
    <row r="4645" x14ac:dyDescent="0.25">
      <c r="A4645" t="n">
        <v>25</v>
      </c>
      <c r="B4645" t="s">
        <v>14</v>
      </c>
      <c r="C4645" t="s">
        <v>22</v>
      </c>
      <c r="D4645" s="2" t="s">
        <f>=HYPERLINK("https://main.knesset.gov.il/APPS/legislation/main/bills/2203298", "הצעת חוק הביטוח הלאומי (תיקון - קצבת תלויים וקצבת אזרח ותיק), התשפ""ג-2023")</f>
        <v>9461</v>
      </c>
      <c r="E4645" t="s">
        <v>9461</v>
      </c>
      <c r="F4645" t="s">
        <v>9631</v>
      </c>
      <c r="G4645" t="s">
        <v>14</v>
      </c>
      <c r="H4645">
             </c>
      <c r="I4645" t="s">
        <v>14</v>
      </c>
      <c r="J4645" t="s">
        <v>141</v>
      </c>
      <c r="K4645" t="s">
        <v>14</v>
      </c>
      <c r="L4645" t="s">
        <v>20</v>
      </c>
      <c r="M4645" t="s">
        <v>9602</v>
      </c>
      <c r="N4645" t="s">
        <v>14</v>
      </c>
    </row>
    <row r="4646" x14ac:dyDescent="0.25">
      <c r="A4646" t="n">
        <v>25</v>
      </c>
      <c r="B4646" t="s">
        <v>14</v>
      </c>
      <c r="C4646" t="s">
        <v>22</v>
      </c>
      <c r="D4646" s="2" t="s">
        <f>=HYPERLINK("https://main.knesset.gov.il/APPS/legislation/main/bills/2203572", "הצעת חוק הביטוח הלאומי (תיקון - גמלת אבל לעצמאים), התשפ""ג-2023")</f>
        <v>8103</v>
      </c>
      <c r="E4646" t="s">
        <v>8103</v>
      </c>
      <c r="F4646" t="s">
        <v>9632</v>
      </c>
      <c r="G4646" t="s">
        <v>14</v>
      </c>
      <c r="H4646">
             </c>
      <c r="I4646" t="s">
        <v>14</v>
      </c>
      <c r="J4646" t="s">
        <v>141</v>
      </c>
      <c r="K4646" t="s">
        <v>14</v>
      </c>
      <c r="L4646" t="s">
        <v>20</v>
      </c>
      <c r="M4646" t="s">
        <v>9602</v>
      </c>
      <c r="N4646" t="s">
        <v>14</v>
      </c>
    </row>
    <row r="4647" x14ac:dyDescent="0.25">
      <c r="A4647" t="n">
        <v>25</v>
      </c>
      <c r="B4647" t="s">
        <v>14</v>
      </c>
      <c r="C4647" t="s">
        <v>22</v>
      </c>
      <c r="D4647" s="2" t="s">
        <f>=HYPERLINK("https://main.knesset.gov.il/APPS/legislation/main/bills/2203606", "הצעת חוק העונשין (תיקון - הגדרת גזענות), התשפ""ג-2023")</f>
        <v>9633</v>
      </c>
      <c r="E4647" t="s">
        <v>9633</v>
      </c>
      <c r="F4647" t="s">
        <v>9634</v>
      </c>
      <c r="G4647" t="s">
        <v>14</v>
      </c>
      <c r="H4647">
             </c>
      <c r="I4647" t="s">
        <v>14</v>
      </c>
      <c r="J4647" t="s">
        <v>141</v>
      </c>
      <c r="K4647" t="s">
        <v>14</v>
      </c>
      <c r="L4647" t="s">
        <v>20</v>
      </c>
      <c r="M4647" t="s">
        <v>9602</v>
      </c>
      <c r="N4647" t="s">
        <v>14</v>
      </c>
    </row>
    <row r="4648" x14ac:dyDescent="0.25">
      <c r="A4648" t="n">
        <v>25</v>
      </c>
      <c r="B4648" t="s">
        <v>14</v>
      </c>
      <c r="C4648" t="s">
        <v>22</v>
      </c>
      <c r="D4648" s="2" t="s">
        <f>=HYPERLINK("https://main.knesset.gov.il/APPS/legislation/main/bills/2203840", "הצעת חוק למניעת אלימות במשפחה (פיקוח טכנולוגי להבטחת קיומו של צו הגנה והערכת מסוכנות - הוראת שעה), התשפ""ג-2023")</f>
        <v>9635</v>
      </c>
      <c r="E4648" t="s">
        <v>9635</v>
      </c>
      <c r="F4648" t="s">
        <v>9636</v>
      </c>
      <c r="G4648" t="s">
        <v>14</v>
      </c>
      <c r="H4648">
             </c>
      <c r="I4648" t="s">
        <v>14</v>
      </c>
      <c r="J4648" t="s">
        <v>141</v>
      </c>
      <c r="K4648" t="s">
        <v>14</v>
      </c>
      <c r="L4648" t="s">
        <v>20</v>
      </c>
      <c r="M4648" t="s">
        <v>9602</v>
      </c>
      <c r="N4648" t="s">
        <v>14</v>
      </c>
    </row>
    <row r="4649" x14ac:dyDescent="0.25">
      <c r="A4649" t="n">
        <v>25</v>
      </c>
      <c r="B4649" t="s">
        <v>14</v>
      </c>
      <c r="C4649" t="s">
        <v>22</v>
      </c>
      <c r="D4649" s="2" t="s">
        <f>=HYPERLINK("https://main.knesset.gov.il/APPS/legislation/main/bills/2203601", "הצעת חוק שירות המדינה (מינויים) (תיקון - ייצוג הולם לעולים חדשים), התשפ""ג-2023")</f>
        <v>9637</v>
      </c>
      <c r="E4649" t="s">
        <v>9637</v>
      </c>
      <c r="F4649" t="s">
        <v>9638</v>
      </c>
      <c r="G4649" t="s">
        <v>14</v>
      </c>
      <c r="H4649">
             </c>
      <c r="I4649" t="s">
        <v>14</v>
      </c>
      <c r="J4649" t="s">
        <v>141</v>
      </c>
      <c r="K4649" t="s">
        <v>14</v>
      </c>
      <c r="L4649" t="s">
        <v>20</v>
      </c>
      <c r="M4649" t="s">
        <v>9602</v>
      </c>
      <c r="N4649" t="s">
        <v>14</v>
      </c>
    </row>
    <row r="4650" x14ac:dyDescent="0.25">
      <c r="A4650" t="n">
        <v>25</v>
      </c>
      <c r="B4650" t="s">
        <v>14</v>
      </c>
      <c r="C4650" t="s">
        <v>22</v>
      </c>
      <c r="D4650" s="2" t="s">
        <f>=HYPERLINK("https://main.knesset.gov.il/APPS/legislation/main/bills/2203690", "הצעת חוק הביטוח הלאומי (תיקון - דמי ביטוח מופחתים לסטודנטים במוסד להשכלה בחוץ לארץ), התשפ""ג-2023")</f>
        <v>9639</v>
      </c>
      <c r="E4650" t="s">
        <v>9639</v>
      </c>
      <c r="F4650" t="s">
        <v>9640</v>
      </c>
      <c r="G4650" t="s">
        <v>14</v>
      </c>
      <c r="H4650">
             </c>
      <c r="I4650" t="s">
        <v>14</v>
      </c>
      <c r="J4650" t="s">
        <v>141</v>
      </c>
      <c r="K4650" t="s">
        <v>14</v>
      </c>
      <c r="L4650" t="s">
        <v>20</v>
      </c>
      <c r="M4650" t="s">
        <v>9602</v>
      </c>
      <c r="N4650" t="s">
        <v>14</v>
      </c>
    </row>
    <row r="4651" x14ac:dyDescent="0.25">
      <c r="A4651" t="n">
        <v>25</v>
      </c>
      <c r="B4651" t="s">
        <v>14</v>
      </c>
      <c r="C4651" t="s">
        <v>22</v>
      </c>
      <c r="D4651" s="2" t="s">
        <f>=HYPERLINK("https://main.knesset.gov.il/APPS/legislation/main/bills/2203605", "הצעת חוק לתיקון פקודת הסמים המסוכנים (שידול לייבוא או ייצוא חומר הנחשב לסם בחוץ לארץ), התשפ""ג-2023")</f>
        <v>9641</v>
      </c>
      <c r="E4651" t="s">
        <v>9641</v>
      </c>
      <c r="F4651" t="s">
        <v>9642</v>
      </c>
      <c r="G4651" t="s">
        <v>14</v>
      </c>
      <c r="H4651">
             </c>
      <c r="I4651" t="s">
        <v>14</v>
      </c>
      <c r="J4651" t="s">
        <v>343</v>
      </c>
      <c r="K4651" t="s">
        <v>14</v>
      </c>
      <c r="L4651" t="s">
        <v>20</v>
      </c>
      <c r="M4651" t="s">
        <v>9602</v>
      </c>
      <c r="N4651" t="s">
        <v>14</v>
      </c>
    </row>
    <row r="4652" x14ac:dyDescent="0.25">
      <c r="A4652" t="n">
        <v>25</v>
      </c>
      <c r="B4652" t="s">
        <v>14</v>
      </c>
      <c r="C4652" t="s">
        <v>22</v>
      </c>
      <c r="D4652" s="2" t="s">
        <f>=HYPERLINK("https://main.knesset.gov.il/APPS/legislation/main/bills/2203518", "הצעת חוק לתיקון פקודת הסמים המסוכנים (שידול לייבוא או ייצוא חומר הנחשב לסם בחוץ לארץ), התשפ""ג-2023")</f>
        <v>9641</v>
      </c>
      <c r="E4652" t="s">
        <v>9641</v>
      </c>
      <c r="F4652" t="s">
        <v>9643</v>
      </c>
      <c r="G4652" t="s">
        <v>14</v>
      </c>
      <c r="H4652">
             </c>
      <c r="I4652" t="s">
        <v>14</v>
      </c>
      <c r="J4652" t="s">
        <v>141</v>
      </c>
      <c r="K4652" t="s">
        <v>14</v>
      </c>
      <c r="L4652" t="s">
        <v>20</v>
      </c>
      <c r="M4652" t="s">
        <v>9602</v>
      </c>
      <c r="N4652" t="s">
        <v>14</v>
      </c>
    </row>
    <row r="4653" x14ac:dyDescent="0.25">
      <c r="A4653" t="n">
        <v>25</v>
      </c>
      <c r="B4653" t="s">
        <v>14</v>
      </c>
      <c r="C4653" t="s">
        <v>22</v>
      </c>
      <c r="D4653" s="2" t="s">
        <f>=HYPERLINK("https://main.knesset.gov.il/APPS/legislation/main/bills/2197967", "הצעת חוק המפלגות (תיקון - חובת קיום בחירות מקדימות), התשפ""ג-2023")</f>
        <v>9644</v>
      </c>
      <c r="E4653" t="s">
        <v>9644</v>
      </c>
      <c r="F4653" t="s">
        <v>9645</v>
      </c>
      <c r="G4653" t="s">
        <v>14</v>
      </c>
      <c r="H4653">
             </c>
      <c r="I4653" t="s">
        <v>14</v>
      </c>
      <c r="J4653" t="s">
        <v>141</v>
      </c>
      <c r="K4653" t="s">
        <v>14</v>
      </c>
      <c r="L4653" t="s">
        <v>20</v>
      </c>
      <c r="M4653" t="s">
        <v>9602</v>
      </c>
      <c r="N4653" t="s">
        <v>14</v>
      </c>
    </row>
    <row r="4654" x14ac:dyDescent="0.25">
      <c r="A4654" t="n">
        <v>25</v>
      </c>
      <c r="B4654" t="s">
        <v>14</v>
      </c>
      <c r="C4654" t="s">
        <v>22</v>
      </c>
      <c r="D4654" s="2" t="s">
        <f>=HYPERLINK("https://main.knesset.gov.il/APPS/legislation/main/bills/2203581", "הצעת חוק למניעת אלימות במשפחה (פיקוח טכנולוגי להבטחת קיומו של צו הגנה והערכת מסוכנות - הוראת שעה), התשפ""ג-2023")</f>
        <v>9635</v>
      </c>
      <c r="E4654" t="s">
        <v>9635</v>
      </c>
      <c r="F4654" t="s">
        <v>9646</v>
      </c>
      <c r="G4654" t="s">
        <v>14</v>
      </c>
      <c r="H4654">
             </c>
      <c r="I4654" t="s">
        <v>14</v>
      </c>
      <c r="J4654" t="s">
        <v>141</v>
      </c>
      <c r="K4654" t="s">
        <v>14</v>
      </c>
      <c r="L4654" t="s">
        <v>20</v>
      </c>
      <c r="M4654" t="s">
        <v>9602</v>
      </c>
      <c r="N4654" t="s">
        <v>14</v>
      </c>
    </row>
    <row r="4655" x14ac:dyDescent="0.25">
      <c r="A4655" t="n">
        <v>25</v>
      </c>
      <c r="B4655" t="s">
        <v>14</v>
      </c>
      <c r="C4655" t="s">
        <v>22</v>
      </c>
      <c r="D4655" s="2" t="s">
        <f>=HYPERLINK("https://main.knesset.gov.il/APPS/legislation/main/bills/2203406", "הצעת חוק צער בעלי חיים (הגנה על בעלי חיים) (תיקון - חובת היתר לייצוא בעל חיים), התשפ""ג-2023")</f>
        <v>9647</v>
      </c>
      <c r="E4655" t="s">
        <v>9647</v>
      </c>
      <c r="F4655" t="s">
        <v>9648</v>
      </c>
      <c r="G4655" t="s">
        <v>14</v>
      </c>
      <c r="H4655">
             </c>
      <c r="I4655" t="s">
        <v>14</v>
      </c>
      <c r="J4655" t="s">
        <v>141</v>
      </c>
      <c r="K4655" t="s">
        <v>14</v>
      </c>
      <c r="L4655" t="s">
        <v>20</v>
      </c>
      <c r="M4655" t="s">
        <v>9602</v>
      </c>
      <c r="N4655" t="s">
        <v>14</v>
      </c>
    </row>
    <row r="4656" x14ac:dyDescent="0.25">
      <c r="A4656" t="n">
        <v>25</v>
      </c>
      <c r="B4656" t="s">
        <v>14</v>
      </c>
      <c r="C4656" t="s">
        <v>22</v>
      </c>
      <c r="D4656" s="2" t="s">
        <f>=HYPERLINK("https://main.knesset.gov.il/APPS/legislation/main/bills/2203379", "הצעת חוק חינוך מיוחד (תיקון - שפת הלימוד במוסד לחינוך מיוחד), התשפ""ג-2023")</f>
        <v>9649</v>
      </c>
      <c r="E4656" t="s">
        <v>9649</v>
      </c>
      <c r="F4656" t="s">
        <v>9650</v>
      </c>
      <c r="G4656" t="s">
        <v>14</v>
      </c>
      <c r="H4656">
             </c>
      <c r="I4656" t="s">
        <v>14</v>
      </c>
      <c r="J4656" t="s">
        <v>141</v>
      </c>
      <c r="K4656" t="s">
        <v>14</v>
      </c>
      <c r="L4656" t="s">
        <v>20</v>
      </c>
      <c r="M4656" t="s">
        <v>9602</v>
      </c>
      <c r="N4656" t="s">
        <v>14</v>
      </c>
    </row>
    <row r="4657" x14ac:dyDescent="0.25">
      <c r="A4657" t="n">
        <v>25</v>
      </c>
      <c r="B4657" t="s">
        <v>14</v>
      </c>
      <c r="C4657" t="s">
        <v>22</v>
      </c>
      <c r="D4657" s="2" t="s">
        <f>=HYPERLINK("https://main.knesset.gov.il/APPS/legislation/main/bills/2203340", "הצעת חוק העמותות (תיקון - מימון טרור כעילת פירוק), התשפ""ג-2023")</f>
        <v>9651</v>
      </c>
      <c r="E4657" t="s">
        <v>9651</v>
      </c>
      <c r="F4657" t="s">
        <v>9652</v>
      </c>
      <c r="G4657" t="s">
        <v>14</v>
      </c>
      <c r="H4657">
             </c>
      <c r="I4657" t="s">
        <v>14</v>
      </c>
      <c r="J4657" t="s">
        <v>141</v>
      </c>
      <c r="K4657" t="s">
        <v>14</v>
      </c>
      <c r="L4657" t="s">
        <v>20</v>
      </c>
      <c r="M4657" t="s">
        <v>9602</v>
      </c>
      <c r="N4657" t="s">
        <v>14</v>
      </c>
    </row>
    <row r="4658" x14ac:dyDescent="0.25">
      <c r="A4658" t="n">
        <v>25</v>
      </c>
      <c r="B4658" t="s">
        <v>14</v>
      </c>
      <c r="C4658" t="s">
        <v>22</v>
      </c>
      <c r="D4658" s="2" t="s">
        <f>=HYPERLINK("https://main.knesset.gov.il/APPS/legislation/main/bills/2203290", "הצעת חוק הפיקוח על מעונות יום לפעוטות (תיקון - כשירותם של מחנכים-מטפלים), התשפ""ג-2023")</f>
        <v>9653</v>
      </c>
      <c r="E4658" t="s">
        <v>9653</v>
      </c>
      <c r="F4658" t="s">
        <v>9654</v>
      </c>
      <c r="G4658" t="s">
        <v>14</v>
      </c>
      <c r="H4658">
             </c>
      <c r="I4658" t="s">
        <v>14</v>
      </c>
      <c r="J4658" t="s">
        <v>141</v>
      </c>
      <c r="K4658" t="s">
        <v>14</v>
      </c>
      <c r="L4658" t="s">
        <v>20</v>
      </c>
      <c r="M4658" t="s">
        <v>9602</v>
      </c>
      <c r="N4658" t="s">
        <v>14</v>
      </c>
    </row>
    <row r="4659" x14ac:dyDescent="0.25">
      <c r="A4659" t="n">
        <v>25</v>
      </c>
      <c r="B4659" t="s">
        <v>14</v>
      </c>
      <c r="C4659" t="s">
        <v>22</v>
      </c>
      <c r="D4659" s="2" t="s">
        <f>=HYPERLINK("https://main.knesset.gov.il/APPS/legislation/main/bills/2202804", "הצעת חוק בתי המשפט (תיקון - דוח גיוון וייצוג), התשפ""ג-2023")</f>
        <v>9655</v>
      </c>
      <c r="E4659" t="s">
        <v>9655</v>
      </c>
      <c r="F4659" t="s">
        <v>9656</v>
      </c>
      <c r="G4659" t="s">
        <v>14</v>
      </c>
      <c r="H4659">
             </c>
      <c r="I4659" t="s">
        <v>14</v>
      </c>
      <c r="J4659" t="s">
        <v>343</v>
      </c>
      <c r="K4659" t="s">
        <v>14</v>
      </c>
      <c r="L4659" t="s">
        <v>20</v>
      </c>
      <c r="M4659" t="s">
        <v>9602</v>
      </c>
      <c r="N4659" t="s">
        <v>14</v>
      </c>
    </row>
    <row r="4660" x14ac:dyDescent="0.25">
      <c r="A4660" t="n">
        <v>25</v>
      </c>
      <c r="B4660" t="s">
        <v>14</v>
      </c>
      <c r="C4660" t="s">
        <v>22</v>
      </c>
      <c r="D4660" s="2" t="s">
        <f>=HYPERLINK("https://main.knesset.gov.il/APPS/legislation/main/bills/2203792", "הצעת חוק ביטוח בריאות ממלכתי (תיקון - מחלה נדירה), התשפ""ג-2023")</f>
        <v>9657</v>
      </c>
      <c r="E4660" t="s">
        <v>9657</v>
      </c>
      <c r="F4660" t="s">
        <v>9658</v>
      </c>
      <c r="G4660" t="s">
        <v>14</v>
      </c>
      <c r="H4660">
             </c>
      <c r="I4660" t="s">
        <v>14</v>
      </c>
      <c r="J4660" t="s">
        <v>343</v>
      </c>
      <c r="K4660" t="s">
        <v>14</v>
      </c>
      <c r="L4660" t="s">
        <v>20</v>
      </c>
      <c r="M4660" t="s">
        <v>9602</v>
      </c>
      <c r="N4660" t="s">
        <v>14</v>
      </c>
    </row>
    <row r="4661" x14ac:dyDescent="0.25">
      <c r="A4661" t="n">
        <v>25</v>
      </c>
      <c r="B4661" t="s">
        <v>14</v>
      </c>
      <c r="C4661" t="s">
        <v>22</v>
      </c>
      <c r="D4661" s="2" t="s">
        <f>=HYPERLINK("https://main.knesset.gov.il/APPS/legislation/main/bills/2199934", "הצעת חוק ההסגרה (תיקון - סייג להסגרת אזרח תושב ישראל), התשפ""ג-2023")</f>
        <v>9659</v>
      </c>
      <c r="E4661" t="s">
        <v>9659</v>
      </c>
      <c r="F4661" t="s">
        <v>9660</v>
      </c>
      <c r="G4661" t="s">
        <v>14</v>
      </c>
      <c r="H4661">
             </c>
      <c r="I4661" t="s">
        <v>14</v>
      </c>
      <c r="J4661" t="s">
        <v>141</v>
      </c>
      <c r="K4661" t="s">
        <v>14</v>
      </c>
      <c r="L4661" t="s">
        <v>20</v>
      </c>
      <c r="M4661" t="s">
        <v>9602</v>
      </c>
      <c r="N4661" t="s">
        <v>14</v>
      </c>
    </row>
    <row r="4662" x14ac:dyDescent="0.25">
      <c r="A4662" t="n">
        <v>25</v>
      </c>
      <c r="B4662" t="s">
        <v>14</v>
      </c>
      <c r="C4662" t="s">
        <v>22</v>
      </c>
      <c r="D4662" s="2" t="s">
        <f>=HYPERLINK("https://main.knesset.gov.il/APPS/legislation/main/bills/2203249", "הצעת חוק הביטוח הלאומי (תיקון - השוואת קצבת אזרח ותיק לשכר הממוצע במשק), התשפ""ג-2023")</f>
        <v>9661</v>
      </c>
      <c r="E4662" t="s">
        <v>9661</v>
      </c>
      <c r="F4662" t="s">
        <v>9662</v>
      </c>
      <c r="G4662" t="s">
        <v>14</v>
      </c>
      <c r="H4662">
             </c>
      <c r="I4662" t="s">
        <v>14</v>
      </c>
      <c r="J4662" t="s">
        <v>141</v>
      </c>
      <c r="K4662" t="s">
        <v>14</v>
      </c>
      <c r="L4662" t="s">
        <v>20</v>
      </c>
      <c r="M4662" t="s">
        <v>9602</v>
      </c>
      <c r="N4662" t="s">
        <v>14</v>
      </c>
    </row>
    <row r="4663" x14ac:dyDescent="0.25">
      <c r="A4663" t="n">
        <v>25</v>
      </c>
      <c r="B4663" t="s">
        <v>14</v>
      </c>
      <c r="C4663" t="s">
        <v>22</v>
      </c>
      <c r="D4663" s="2" t="s">
        <f>=HYPERLINK("https://main.knesset.gov.il/APPS/legislation/main/bills/2203684", "הצעת חוק רישוי סוכני אונייה, התשפ""ג-2023 ")</f>
        <v>9663</v>
      </c>
      <c r="E4663" t="s">
        <v>9663</v>
      </c>
      <c r="F4663" t="s">
        <v>9664</v>
      </c>
      <c r="G4663" t="s">
        <v>14</v>
      </c>
      <c r="H4663">
             </c>
      <c r="I4663" t="s">
        <v>14</v>
      </c>
      <c r="J4663" t="s">
        <v>141</v>
      </c>
      <c r="K4663" t="s">
        <v>14</v>
      </c>
      <c r="L4663" t="s">
        <v>20</v>
      </c>
      <c r="M4663" t="s">
        <v>9602</v>
      </c>
      <c r="N4663" t="s">
        <v>14</v>
      </c>
    </row>
    <row r="4664" x14ac:dyDescent="0.25">
      <c r="A4664" t="n">
        <v>25</v>
      </c>
      <c r="B4664" t="s">
        <v>14</v>
      </c>
      <c r="C4664" t="s">
        <v>22</v>
      </c>
      <c r="D4664" s="2" t="s">
        <f>=HYPERLINK("https://main.knesset.gov.il/APPS/legislation/main/bills/2198230", "הצעת חוק שלילת זכויות לראש ממשלה לשעבר שכיהן תקופה קצרה, התשפ""ג-2023")</f>
        <v>9665</v>
      </c>
      <c r="E4664" t="s">
        <v>9665</v>
      </c>
      <c r="F4664" t="s">
        <v>9666</v>
      </c>
      <c r="G4664" t="s">
        <v>14</v>
      </c>
      <c r="H4664">
             </c>
      <c r="I4664" t="s">
        <v>14</v>
      </c>
      <c r="J4664" t="s">
        <v>141</v>
      </c>
      <c r="K4664" t="s">
        <v>14</v>
      </c>
      <c r="L4664" t="s">
        <v>20</v>
      </c>
      <c r="M4664" t="s">
        <v>9602</v>
      </c>
      <c r="N4664" t="s">
        <v>14</v>
      </c>
    </row>
    <row r="4665" x14ac:dyDescent="0.25">
      <c r="A4665" t="n">
        <v>25</v>
      </c>
      <c r="B4665" t="s">
        <v>14</v>
      </c>
      <c r="C4665" t="s">
        <v>22</v>
      </c>
      <c r="D4665" s="2" t="s">
        <f>=HYPERLINK("https://main.knesset.gov.il/APPS/legislation/main/bills/2203235", "הצעת חוק הביטוח הלאומי (תיקון - שיעור ההטבה לפי הסכם בדבר גמלת ניידות), התשפ""ג-2023")</f>
        <v>9667</v>
      </c>
      <c r="E4665" t="s">
        <v>9667</v>
      </c>
      <c r="F4665" t="s">
        <v>9668</v>
      </c>
      <c r="G4665" t="s">
        <v>14</v>
      </c>
      <c r="H4665">
             </c>
      <c r="I4665" t="s">
        <v>14</v>
      </c>
      <c r="J4665" t="s">
        <v>343</v>
      </c>
      <c r="K4665" t="s">
        <v>14</v>
      </c>
      <c r="L4665" t="s">
        <v>20</v>
      </c>
      <c r="M4665" t="s">
        <v>9602</v>
      </c>
      <c r="N4665" t="s">
        <v>14</v>
      </c>
    </row>
    <row r="4666" x14ac:dyDescent="0.25">
      <c r="A4666" t="n">
        <v>25</v>
      </c>
      <c r="B4666" t="s">
        <v>14</v>
      </c>
      <c r="C4666" t="s">
        <v>22</v>
      </c>
      <c r="D4666" s="2" t="s">
        <f>=HYPERLINK("https://main.knesset.gov.il/APPS/legislation/main/bills/2202799", "הצעת חוק טיפול ארוך טווח בעבירות מין חמורות, התשפ""ג-2023")</f>
        <v>9669</v>
      </c>
      <c r="E4666" t="s">
        <v>9669</v>
      </c>
      <c r="F4666" t="s">
        <v>9670</v>
      </c>
      <c r="G4666" t="s">
        <v>14</v>
      </c>
      <c r="H4666">
             </c>
      <c r="I4666" t="s">
        <v>14</v>
      </c>
      <c r="J4666" t="s">
        <v>141</v>
      </c>
      <c r="K4666" t="s">
        <v>14</v>
      </c>
      <c r="L4666" t="s">
        <v>20</v>
      </c>
      <c r="M4666" t="s">
        <v>9602</v>
      </c>
      <c r="N4666" t="s">
        <v>14</v>
      </c>
    </row>
    <row r="4667" x14ac:dyDescent="0.25">
      <c r="A4667" t="n">
        <v>25</v>
      </c>
      <c r="B4667" t="s">
        <v>14</v>
      </c>
      <c r="C4667" t="s">
        <v>22</v>
      </c>
      <c r="D4667" s="2" t="s">
        <f>=HYPERLINK("https://main.knesset.gov.il/APPS/legislation/main/bills/2203233", "הצעת חוק ביטוח בריאות ממלכתי (תיקון - מימון הסעה לבית חולים), התשפ""ג-2023")</f>
        <v>9671</v>
      </c>
      <c r="E4667" t="s">
        <v>9671</v>
      </c>
      <c r="F4667" t="s">
        <v>9672</v>
      </c>
      <c r="G4667" t="s">
        <v>14</v>
      </c>
      <c r="H4667">
             </c>
      <c r="I4667" t="s">
        <v>14</v>
      </c>
      <c r="J4667" t="s">
        <v>141</v>
      </c>
      <c r="K4667" t="s">
        <v>14</v>
      </c>
      <c r="L4667" t="s">
        <v>20</v>
      </c>
      <c r="M4667" t="s">
        <v>9602</v>
      </c>
      <c r="N4667" t="s">
        <v>14</v>
      </c>
    </row>
    <row r="4668" x14ac:dyDescent="0.25">
      <c r="A4668" t="n">
        <v>25</v>
      </c>
      <c r="B4668" t="s">
        <v>14</v>
      </c>
      <c r="C4668" t="s">
        <v>22</v>
      </c>
      <c r="D4668" s="2" t="s">
        <f>=HYPERLINK("https://main.knesset.gov.il/APPS/legislation/main/bills/2203812", "הצעת חוק לימוד חובה (תיקון - חינוך חינם לגיל הרך), התשפ""ג-2023")</f>
        <v>9303</v>
      </c>
      <c r="E4668" t="s">
        <v>9303</v>
      </c>
      <c r="F4668" t="s">
        <v>9673</v>
      </c>
      <c r="G4668" t="s">
        <v>14</v>
      </c>
      <c r="H4668">
             </c>
      <c r="I4668" t="s">
        <v>14</v>
      </c>
      <c r="J4668" t="s">
        <v>141</v>
      </c>
      <c r="K4668" t="s">
        <v>14</v>
      </c>
      <c r="L4668" t="s">
        <v>20</v>
      </c>
      <c r="M4668" t="s">
        <v>9602</v>
      </c>
      <c r="N4668" t="s">
        <v>14</v>
      </c>
    </row>
    <row r="4669" x14ac:dyDescent="0.25">
      <c r="A4669" t="n">
        <v>25</v>
      </c>
      <c r="B4669" t="s">
        <v>14</v>
      </c>
      <c r="C4669" t="s">
        <v>22</v>
      </c>
      <c r="D4669" s="2" t="s">
        <f>=HYPERLINK("https://main.knesset.gov.il/APPS/legislation/main/bills/2203736", "הצעת חוק הגנת הצרכן (תיקון - שינוי פרטים בכרטיס טיסה או בכרטיס לשיט), התשפ""ג-2023")</f>
        <v>9674</v>
      </c>
      <c r="E4669" t="s">
        <v>9674</v>
      </c>
      <c r="F4669" t="s">
        <v>9675</v>
      </c>
      <c r="G4669" t="s">
        <v>14</v>
      </c>
      <c r="H4669">
             </c>
      <c r="I4669" t="s">
        <v>14</v>
      </c>
      <c r="J4669" t="s">
        <v>141</v>
      </c>
      <c r="K4669" t="s">
        <v>14</v>
      </c>
      <c r="L4669" t="s">
        <v>20</v>
      </c>
      <c r="M4669" t="s">
        <v>9602</v>
      </c>
      <c r="N4669" t="s">
        <v>14</v>
      </c>
    </row>
    <row r="4670" x14ac:dyDescent="0.25">
      <c r="A4670" t="n">
        <v>25</v>
      </c>
      <c r="B4670" t="s">
        <v>14</v>
      </c>
      <c r="C4670" t="s">
        <v>22</v>
      </c>
      <c r="D4670" s="2" t="s">
        <f>=HYPERLINK("https://main.knesset.gov.il/APPS/legislation/main/bills/2203731", "הצעת חוק לתיקון פקודת התעבורה (הקמת מאגר מידע לריכוז דוחות חניה), התשפ""ג-2023")</f>
        <v>9499</v>
      </c>
      <c r="E4670" t="s">
        <v>9499</v>
      </c>
      <c r="F4670" t="s">
        <v>9676</v>
      </c>
      <c r="G4670" t="s">
        <v>14</v>
      </c>
      <c r="H4670">
             </c>
      <c r="I4670" t="s">
        <v>14</v>
      </c>
      <c r="J4670" t="s">
        <v>141</v>
      </c>
      <c r="K4670" t="s">
        <v>14</v>
      </c>
      <c r="L4670" t="s">
        <v>20</v>
      </c>
      <c r="M4670" t="s">
        <v>9602</v>
      </c>
      <c r="N4670" t="s">
        <v>14</v>
      </c>
    </row>
    <row r="4671" x14ac:dyDescent="0.25">
      <c r="A4671" t="n">
        <v>25</v>
      </c>
      <c r="B4671" t="s">
        <v>14</v>
      </c>
      <c r="C4671" t="s">
        <v>22</v>
      </c>
      <c r="D4671" s="2" t="s">
        <f>=HYPERLINK("https://main.knesset.gov.il/APPS/legislation/main/bills/2200919", "הצעת חוק לפיקוח על ייצור הצמח ושיווקו (תיקון - חובת סימון ארץ הייצור של הצמחים), התשפ""ג-2023")</f>
        <v>9677</v>
      </c>
      <c r="E4671" t="s">
        <v>9677</v>
      </c>
      <c r="F4671" t="s">
        <v>9678</v>
      </c>
      <c r="G4671" t="s">
        <v>14</v>
      </c>
      <c r="H4671">
             </c>
      <c r="I4671" t="s">
        <v>14</v>
      </c>
      <c r="J4671" t="s">
        <v>141</v>
      </c>
      <c r="K4671" t="s">
        <v>14</v>
      </c>
      <c r="L4671" t="s">
        <v>20</v>
      </c>
      <c r="M4671" t="s">
        <v>9602</v>
      </c>
      <c r="N4671" t="s">
        <v>14</v>
      </c>
    </row>
    <row r="4672" x14ac:dyDescent="0.25">
      <c r="A4672" t="n">
        <v>25</v>
      </c>
      <c r="B4672" t="s">
        <v>14</v>
      </c>
      <c r="C4672" t="s">
        <v>22</v>
      </c>
      <c r="D4672" s="2" t="s">
        <f>=HYPERLINK("https://main.knesset.gov.il/APPS/legislation/main/bills/2202651", "הצעת חוק שיפוט בתי דין רבניים (נישואין וגירושין) (תיקון - מינוי נציגות ציבור), התשפ""ג-2023")</f>
        <v>9492</v>
      </c>
      <c r="E4672" t="s">
        <v>9492</v>
      </c>
      <c r="F4672" t="s">
        <v>9679</v>
      </c>
      <c r="G4672" t="s">
        <v>14</v>
      </c>
      <c r="H4672">
             </c>
      <c r="I4672" t="s">
        <v>14</v>
      </c>
      <c r="J4672" t="s">
        <v>141</v>
      </c>
      <c r="K4672" t="s">
        <v>14</v>
      </c>
      <c r="L4672" t="s">
        <v>20</v>
      </c>
      <c r="M4672" t="s">
        <v>9602</v>
      </c>
      <c r="N4672" t="s">
        <v>14</v>
      </c>
    </row>
    <row r="4673" x14ac:dyDescent="0.25">
      <c r="A4673" t="n">
        <v>25</v>
      </c>
      <c r="B4673" t="s">
        <v>14</v>
      </c>
      <c r="C4673" t="s">
        <v>22</v>
      </c>
      <c r="D4673" s="2" t="s">
        <f>=HYPERLINK("https://main.knesset.gov.il/APPS/legislation/main/bills/2201650", "הצעת חוק למניעת הטרדה מינית (תיקון - החמרת הענישה על הטרדה מינית באמצעים טכנולוגיים - הפצת תוכן מיני של קטינים), התשפ""ג-2023")</f>
        <v>9339</v>
      </c>
      <c r="E4673" t="s">
        <v>9339</v>
      </c>
      <c r="F4673" t="s">
        <v>9680</v>
      </c>
      <c r="G4673" t="s">
        <v>14</v>
      </c>
      <c r="H4673">
             </c>
      <c r="I4673" t="s">
        <v>14</v>
      </c>
      <c r="J4673" t="s">
        <v>343</v>
      </c>
      <c r="K4673" t="s">
        <v>14</v>
      </c>
      <c r="L4673" t="s">
        <v>20</v>
      </c>
      <c r="M4673" t="s">
        <v>9602</v>
      </c>
      <c r="N4673" t="s">
        <v>14</v>
      </c>
    </row>
    <row r="4674" x14ac:dyDescent="0.25">
      <c r="A4674" t="n">
        <v>25</v>
      </c>
      <c r="B4674" t="s">
        <v>14</v>
      </c>
      <c r="C4674" t="s">
        <v>22</v>
      </c>
      <c r="D4674" s="2" t="s">
        <f>=HYPERLINK("https://main.knesset.gov.il/APPS/legislation/main/bills/2201648", "הצעת חוק חובת המכרזים (תיקון - עידוד העסקת עובדים מאוכלוסיות ייחודיות), התשפ""ג-2023")</f>
        <v>9681</v>
      </c>
      <c r="E4674" t="s">
        <v>9681</v>
      </c>
      <c r="F4674" t="s">
        <v>9682</v>
      </c>
      <c r="G4674" t="s">
        <v>14</v>
      </c>
      <c r="H4674">
             </c>
      <c r="I4674" t="s">
        <v>14</v>
      </c>
      <c r="J4674" t="s">
        <v>141</v>
      </c>
      <c r="K4674" t="s">
        <v>14</v>
      </c>
      <c r="L4674" t="s">
        <v>20</v>
      </c>
      <c r="M4674" t="s">
        <v>9602</v>
      </c>
      <c r="N4674" t="s">
        <v>14</v>
      </c>
    </row>
    <row r="4675" x14ac:dyDescent="0.25">
      <c r="A4675" t="n">
        <v>25</v>
      </c>
      <c r="B4675" t="s">
        <v>14</v>
      </c>
      <c r="C4675" t="s">
        <v>22</v>
      </c>
      <c r="D4675" s="2" t="s">
        <f>=HYPERLINK("https://main.knesset.gov.il/APPS/legislation/main/bills/2203781", "הצעת חוק למניעת אלימות במשפחה (תיקון - מניעת אלימות כלכלית) (הוראת שעה), התשפ""ג-2023")</f>
        <v>8307</v>
      </c>
      <c r="E4675" t="s">
        <v>8307</v>
      </c>
      <c r="F4675" t="s">
        <v>9683</v>
      </c>
      <c r="G4675" t="s">
        <v>14</v>
      </c>
      <c r="H4675">
             </c>
      <c r="I4675" t="s">
        <v>14</v>
      </c>
      <c r="J4675" t="s">
        <v>141</v>
      </c>
      <c r="K4675" t="s">
        <v>14</v>
      </c>
      <c r="L4675" t="s">
        <v>20</v>
      </c>
      <c r="M4675" t="s">
        <v>9602</v>
      </c>
      <c r="N4675" t="s">
        <v>14</v>
      </c>
    </row>
    <row r="4676" x14ac:dyDescent="0.25">
      <c r="A4676" t="n">
        <v>25</v>
      </c>
      <c r="B4676" t="s">
        <v>14</v>
      </c>
      <c r="C4676" t="s">
        <v>22</v>
      </c>
      <c r="D4676" s="2" t="s">
        <f>=HYPERLINK("https://main.knesset.gov.il/APPS/legislation/main/bills/2201627", "הצעת חוק מעונות יום לפעוטות (תנאים להשתתפות המדינה בעלות שכר הלימוד), התשפ""ג-2023")</f>
        <v>9684</v>
      </c>
      <c r="E4676" t="s">
        <v>9684</v>
      </c>
      <c r="F4676" t="s">
        <v>9685</v>
      </c>
      <c r="G4676" t="s">
        <v>14</v>
      </c>
      <c r="H4676">
             </c>
      <c r="I4676" t="s">
        <v>14</v>
      </c>
      <c r="J4676" t="s">
        <v>141</v>
      </c>
      <c r="K4676" t="s">
        <v>14</v>
      </c>
      <c r="L4676" t="s">
        <v>20</v>
      </c>
      <c r="M4676" t="s">
        <v>9602</v>
      </c>
      <c r="N4676" t="s">
        <v>14</v>
      </c>
    </row>
    <row r="4677" x14ac:dyDescent="0.25">
      <c r="A4677" t="n">
        <v>25</v>
      </c>
      <c r="B4677" t="s">
        <v>14</v>
      </c>
      <c r="C4677" t="s">
        <v>22</v>
      </c>
      <c r="D4677" s="2" t="s">
        <f>=HYPERLINK("https://main.knesset.gov.il/APPS/legislation/main/bills/2198410", "הצעת חוק לימוד חובה (תיקון - הוספת סייעת בגני ילדים), התשפ""ג-2023")</f>
        <v>9686</v>
      </c>
      <c r="E4677" t="s">
        <v>9686</v>
      </c>
      <c r="F4677" t="s">
        <v>9687</v>
      </c>
      <c r="G4677" t="s">
        <v>14</v>
      </c>
      <c r="H4677">
             </c>
      <c r="I4677" t="s">
        <v>14</v>
      </c>
      <c r="J4677" t="s">
        <v>141</v>
      </c>
      <c r="K4677" t="s">
        <v>14</v>
      </c>
      <c r="L4677" t="s">
        <v>20</v>
      </c>
      <c r="M4677" t="s">
        <v>9602</v>
      </c>
      <c r="N4677" t="s">
        <v>14</v>
      </c>
    </row>
    <row r="4678" x14ac:dyDescent="0.25">
      <c r="A4678" t="n">
        <v>25</v>
      </c>
      <c r="B4678" t="s">
        <v>14</v>
      </c>
      <c r="C4678" t="s">
        <v>22</v>
      </c>
      <c r="D4678" s="2" t="s">
        <f>=HYPERLINK("https://main.knesset.gov.il/APPS/legislation/main/bills/2203751", "הצעת חוק למניעת אלימות במשפחה (תיקון - מניעת אלימות כלכלית) (הוראת שעה), התשפ""ג-2023")</f>
        <v>8307</v>
      </c>
      <c r="E4678" t="s">
        <v>8307</v>
      </c>
      <c r="F4678" t="s">
        <v>9688</v>
      </c>
      <c r="G4678" t="s">
        <v>14</v>
      </c>
      <c r="H4678">
             </c>
      <c r="I4678" t="s">
        <v>14</v>
      </c>
      <c r="J4678" t="s">
        <v>141</v>
      </c>
      <c r="K4678" t="s">
        <v>14</v>
      </c>
      <c r="L4678" t="s">
        <v>20</v>
      </c>
      <c r="M4678" t="s">
        <v>9602</v>
      </c>
      <c r="N4678" t="s">
        <v>14</v>
      </c>
    </row>
    <row r="4679" x14ac:dyDescent="0.25">
      <c r="A4679" t="n">
        <v>25</v>
      </c>
      <c r="B4679" t="s">
        <v>14</v>
      </c>
      <c r="C4679" t="s">
        <v>22</v>
      </c>
      <c r="D4679" s="2" t="s">
        <f>=HYPERLINK("https://main.knesset.gov.il/APPS/legislation/main/bills/2200207", "הצעת חוק לתיקון פקודת התעבורה (זכות עיון בממצאי בחינה מעשית בנהיגה), התשפ""ג-2023")</f>
        <v>9488</v>
      </c>
      <c r="E4679" t="s">
        <v>9488</v>
      </c>
      <c r="F4679" t="s">
        <v>9689</v>
      </c>
      <c r="G4679" t="s">
        <v>14</v>
      </c>
      <c r="H4679">
             </c>
      <c r="I4679" t="s">
        <v>14</v>
      </c>
      <c r="J4679" t="s">
        <v>141</v>
      </c>
      <c r="K4679" t="s">
        <v>14</v>
      </c>
      <c r="L4679" t="s">
        <v>20</v>
      </c>
      <c r="M4679" t="s">
        <v>9602</v>
      </c>
      <c r="N4679" t="s">
        <v>14</v>
      </c>
    </row>
    <row r="4680" x14ac:dyDescent="0.25">
      <c r="A4680" t="n">
        <v>25</v>
      </c>
      <c r="B4680" t="s">
        <v>14</v>
      </c>
      <c r="C4680" t="s">
        <v>22</v>
      </c>
      <c r="D4680" s="2" t="s">
        <f>=HYPERLINK("https://main.knesset.gov.il/APPS/legislation/main/bills/2203670", "הצעת חוק לתיקון פקודת התעבורה (חניית נשים בהריון והורה לתינוק), התשפ""ג-2023")</f>
        <v>9690</v>
      </c>
      <c r="E4680" t="s">
        <v>9690</v>
      </c>
      <c r="F4680" t="s">
        <v>9691</v>
      </c>
      <c r="G4680" t="s">
        <v>14</v>
      </c>
      <c r="H4680">
             </c>
      <c r="I4680" t="s">
        <v>14</v>
      </c>
      <c r="J4680" t="s">
        <v>141</v>
      </c>
      <c r="K4680" t="s">
        <v>14</v>
      </c>
      <c r="L4680" t="s">
        <v>20</v>
      </c>
      <c r="M4680" t="s">
        <v>9602</v>
      </c>
      <c r="N4680" t="s">
        <v>14</v>
      </c>
    </row>
    <row r="4681" x14ac:dyDescent="0.25">
      <c r="A4681" t="n">
        <v>25</v>
      </c>
      <c r="B4681" t="s">
        <v>14</v>
      </c>
      <c r="C4681" t="s">
        <v>22</v>
      </c>
      <c r="D4681" s="2" t="s">
        <f>=HYPERLINK("https://main.knesset.gov.il/APPS/legislation/main/bills/2203532", "הצעת חוק הביטוח הלאומי (תיקון - מענק לכיסוי הוצאות בלידת בית), התשפ""ג-2023")</f>
        <v>9692</v>
      </c>
      <c r="E4681" t="s">
        <v>9692</v>
      </c>
      <c r="F4681" t="s">
        <v>9693</v>
      </c>
      <c r="G4681" t="s">
        <v>14</v>
      </c>
      <c r="H4681">
             </c>
      <c r="I4681" t="s">
        <v>14</v>
      </c>
      <c r="J4681" t="s">
        <v>141</v>
      </c>
      <c r="K4681" t="s">
        <v>14</v>
      </c>
      <c r="L4681" t="s">
        <v>20</v>
      </c>
      <c r="M4681" t="s">
        <v>9602</v>
      </c>
      <c r="N4681" t="s">
        <v>14</v>
      </c>
    </row>
    <row r="4682" x14ac:dyDescent="0.25">
      <c r="A4682" t="n">
        <v>25</v>
      </c>
      <c r="B4682" t="s">
        <v>14</v>
      </c>
      <c r="C4682" t="s">
        <v>22</v>
      </c>
      <c r="D4682" s="2" t="s">
        <f>=HYPERLINK("https://main.knesset.gov.il/APPS/legislation/main/bills/2203329", "הצעת חוק המאבק בטרור (תיקון - סיווג טרור ואכיפה משולבת), התשפ""ג-2023")</f>
        <v>9694</v>
      </c>
      <c r="E4682" t="s">
        <v>9694</v>
      </c>
      <c r="F4682" t="s">
        <v>9695</v>
      </c>
      <c r="G4682" t="s">
        <v>14</v>
      </c>
      <c r="H4682">
             </c>
      <c r="I4682" t="s">
        <v>14</v>
      </c>
      <c r="J4682" t="s">
        <v>141</v>
      </c>
      <c r="K4682" t="s">
        <v>14</v>
      </c>
      <c r="L4682" t="s">
        <v>20</v>
      </c>
      <c r="M4682" t="s">
        <v>9602</v>
      </c>
      <c r="N4682" t="s">
        <v>14</v>
      </c>
    </row>
    <row r="4683" x14ac:dyDescent="0.25">
      <c r="A4683" t="n">
        <v>25</v>
      </c>
      <c r="B4683" t="s">
        <v>14</v>
      </c>
      <c r="C4683" t="s">
        <v>22</v>
      </c>
      <c r="D4683" s="2" t="s">
        <f>=HYPERLINK("https://main.knesset.gov.il/APPS/legislation/main/bills/2203590", "הצעת חוק הבטחת הכנסה (תיקון - זכאות לגמלה למי שמצוי בהכשרה מקצועית), התשפ""ג-2023")</f>
        <v>9696</v>
      </c>
      <c r="E4683" t="s">
        <v>9696</v>
      </c>
      <c r="F4683" t="s">
        <v>9697</v>
      </c>
      <c r="G4683" t="s">
        <v>14</v>
      </c>
      <c r="H4683">
             </c>
      <c r="I4683" t="s">
        <v>14</v>
      </c>
      <c r="J4683" t="s">
        <v>141</v>
      </c>
      <c r="K4683" t="s">
        <v>14</v>
      </c>
      <c r="L4683" t="s">
        <v>20</v>
      </c>
      <c r="M4683" t="s">
        <v>9602</v>
      </c>
      <c r="N4683" t="s">
        <v>14</v>
      </c>
    </row>
    <row r="4684" x14ac:dyDescent="0.25">
      <c r="A4684" t="n">
        <v>25</v>
      </c>
      <c r="B4684" t="s">
        <v>14</v>
      </c>
      <c r="C4684" t="s">
        <v>22</v>
      </c>
      <c r="D4684" s="2" t="s">
        <f>=HYPERLINK("https://main.knesset.gov.il/APPS/legislation/main/bills/2203286", "הצעת חוק האזרחים הוותיקים (תיקון - לחצן מצוקה לקשיש), התשפ""ג-2023")</f>
        <v>9698</v>
      </c>
      <c r="E4684" t="s">
        <v>9698</v>
      </c>
      <c r="F4684" t="s">
        <v>9699</v>
      </c>
      <c r="G4684" t="s">
        <v>14</v>
      </c>
      <c r="H4684">
             </c>
      <c r="I4684" t="s">
        <v>14</v>
      </c>
      <c r="J4684" t="s">
        <v>141</v>
      </c>
      <c r="K4684" t="s">
        <v>14</v>
      </c>
      <c r="L4684" t="s">
        <v>20</v>
      </c>
      <c r="M4684" t="s">
        <v>9602</v>
      </c>
      <c r="N4684" t="s">
        <v>14</v>
      </c>
    </row>
    <row r="4685" x14ac:dyDescent="0.25">
      <c r="A4685" t="n">
        <v>25</v>
      </c>
      <c r="B4685" t="s">
        <v>14</v>
      </c>
      <c r="C4685" t="s">
        <v>22</v>
      </c>
      <c r="D4685" s="2" t="s">
        <f>=HYPERLINK("https://main.knesset.gov.il/APPS/legislation/main/bills/2203222", "הצעת חוק הביטוח הלאומי (תיקון - הגדלת סכום קצבאות הילדים), התשפ""ג-2023")</f>
        <v>9700</v>
      </c>
      <c r="E4685" t="s">
        <v>9700</v>
      </c>
      <c r="F4685" t="s">
        <v>9701</v>
      </c>
      <c r="G4685" t="s">
        <v>14</v>
      </c>
      <c r="H4685">
             </c>
      <c r="I4685" t="s">
        <v>14</v>
      </c>
      <c r="J4685" t="s">
        <v>141</v>
      </c>
      <c r="K4685" t="s">
        <v>14</v>
      </c>
      <c r="L4685" t="s">
        <v>20</v>
      </c>
      <c r="M4685" t="s">
        <v>9602</v>
      </c>
      <c r="N4685" t="s">
        <v>14</v>
      </c>
    </row>
    <row r="4686" x14ac:dyDescent="0.25">
      <c r="A4686" t="n">
        <v>25</v>
      </c>
      <c r="B4686" t="s">
        <v>14</v>
      </c>
      <c r="C4686" t="s">
        <v>22</v>
      </c>
      <c r="D4686" s="2" t="s">
        <f>=HYPERLINK("https://main.knesset.gov.il/APPS/legislation/main/bills/2202968", "הצעת חוק גוש אריאל, התשפ""ג-2023")</f>
        <v>9702</v>
      </c>
      <c r="E4686" t="s">
        <v>9702</v>
      </c>
      <c r="F4686" t="s">
        <v>9703</v>
      </c>
      <c r="G4686" t="s">
        <v>14</v>
      </c>
      <c r="H4686">
             </c>
      <c r="I4686" t="s">
        <v>14</v>
      </c>
      <c r="J4686" t="s">
        <v>141</v>
      </c>
      <c r="K4686" t="s">
        <v>14</v>
      </c>
      <c r="L4686" t="s">
        <v>20</v>
      </c>
      <c r="M4686" t="s">
        <v>9602</v>
      </c>
      <c r="N4686" t="s">
        <v>14</v>
      </c>
    </row>
    <row r="4687" x14ac:dyDescent="0.25">
      <c r="A4687" t="n">
        <v>25</v>
      </c>
      <c r="B4687" t="s">
        <v>14</v>
      </c>
      <c r="C4687" t="s">
        <v>22</v>
      </c>
      <c r="D4687" s="2" t="s">
        <f>=HYPERLINK("https://main.knesset.gov.il/APPS/legislation/main/bills/2203793", "הצעת חוק העונשין (תיקון - החמרת ענישה בשל תקיפת צוות רפואי), התשפ''ג-2023")</f>
        <v>9704</v>
      </c>
      <c r="E4687" t="s">
        <v>9704</v>
      </c>
      <c r="F4687" t="s">
        <v>9705</v>
      </c>
      <c r="G4687" t="s">
        <v>14</v>
      </c>
      <c r="H4687">
             </c>
      <c r="I4687" t="s">
        <v>14</v>
      </c>
      <c r="J4687" t="s">
        <v>141</v>
      </c>
      <c r="K4687" t="s">
        <v>14</v>
      </c>
      <c r="L4687" t="s">
        <v>20</v>
      </c>
      <c r="M4687" t="s">
        <v>9602</v>
      </c>
      <c r="N4687" t="s">
        <v>14</v>
      </c>
    </row>
    <row r="4688" x14ac:dyDescent="0.25">
      <c r="A4688" t="n">
        <v>25</v>
      </c>
      <c r="B4688" t="s">
        <v>14</v>
      </c>
      <c r="C4688" t="s">
        <v>22</v>
      </c>
      <c r="D4688" s="2" t="s">
        <f>=HYPERLINK("https://main.knesset.gov.il/APPS/legislation/main/bills/2196432", "הצעת חוק הביטוח הלאומי (תיקון - שינוי המונח נכה), התשפ""ג-2023")</f>
        <v>9333</v>
      </c>
      <c r="E4688" t="s">
        <v>9333</v>
      </c>
      <c r="F4688" t="s">
        <v>9706</v>
      </c>
      <c r="G4688" t="s">
        <v>14</v>
      </c>
      <c r="H4688">
             </c>
      <c r="I4688" t="s">
        <v>14</v>
      </c>
      <c r="J4688" t="s">
        <v>141</v>
      </c>
      <c r="K4688" t="s">
        <v>14</v>
      </c>
      <c r="L4688" t="s">
        <v>20</v>
      </c>
      <c r="M4688" t="s">
        <v>9602</v>
      </c>
      <c r="N4688" t="s">
        <v>14</v>
      </c>
    </row>
    <row r="4689" x14ac:dyDescent="0.25">
      <c r="A4689" t="n">
        <v>25</v>
      </c>
      <c r="B4689" t="s">
        <v>14</v>
      </c>
      <c r="C4689" t="s">
        <v>22</v>
      </c>
      <c r="D4689" s="2" t="s">
        <f>=HYPERLINK("https://main.knesset.gov.il/APPS/legislation/main/bills/2202963", "הצעת חוק הביטוח הלאומי (תיקון - ביטוח שאירים לאלמן), התשפ""ג-2023")</f>
        <v>8047</v>
      </c>
      <c r="E4689" t="s">
        <v>8047</v>
      </c>
      <c r="F4689" t="s">
        <v>9707</v>
      </c>
      <c r="G4689" t="s">
        <v>14</v>
      </c>
      <c r="H4689">
             </c>
      <c r="I4689" t="s">
        <v>14</v>
      </c>
      <c r="J4689" t="s">
        <v>141</v>
      </c>
      <c r="K4689" t="s">
        <v>14</v>
      </c>
      <c r="L4689" t="s">
        <v>20</v>
      </c>
      <c r="M4689" t="s">
        <v>9602</v>
      </c>
      <c r="N4689" t="s">
        <v>14</v>
      </c>
    </row>
    <row r="4690" x14ac:dyDescent="0.25">
      <c r="A4690" t="n">
        <v>25</v>
      </c>
      <c r="B4690" t="s">
        <v>14</v>
      </c>
      <c r="C4690" t="s">
        <v>22</v>
      </c>
      <c r="D4690" s="2" t="s">
        <f>=HYPERLINK("https://main.knesset.gov.il/APPS/legislation/main/bills/2203733", "הצעת חוק העונשין (תיקון - החמרת ענישה בעבירות אלימות), התשפ""ג-2023")</f>
        <v>9708</v>
      </c>
      <c r="E4690" t="s">
        <v>9708</v>
      </c>
      <c r="F4690" t="s">
        <v>9709</v>
      </c>
      <c r="G4690" t="s">
        <v>14</v>
      </c>
      <c r="H4690">
             </c>
      <c r="I4690" t="s">
        <v>14</v>
      </c>
      <c r="J4690" t="s">
        <v>141</v>
      </c>
      <c r="K4690" t="s">
        <v>14</v>
      </c>
      <c r="L4690" t="s">
        <v>20</v>
      </c>
      <c r="M4690" t="s">
        <v>9602</v>
      </c>
      <c r="N4690" t="s">
        <v>14</v>
      </c>
    </row>
    <row r="4691" x14ac:dyDescent="0.25">
      <c r="A4691" t="n">
        <v>25</v>
      </c>
      <c r="B4691" t="s">
        <v>14</v>
      </c>
      <c r="C4691" t="s">
        <v>22</v>
      </c>
      <c r="D4691" s="2" t="s">
        <f>=HYPERLINK("https://main.knesset.gov.il/APPS/legislation/main/bills/2203620", "הצעת חוק שירותי רווחה (זכויות נשים ששהו במקלט לנשים מוכות) (תיקון - העלאת סכום מענק ההסתגלות ושינוי מועד תשלומו), התשפ""ג-2023")</f>
        <v>9710</v>
      </c>
      <c r="E4691" t="s">
        <v>9710</v>
      </c>
      <c r="F4691" t="s">
        <v>9711</v>
      </c>
      <c r="G4691" t="s">
        <v>14</v>
      </c>
      <c r="H4691">
             </c>
      <c r="I4691" t="s">
        <v>14</v>
      </c>
      <c r="J4691" t="s">
        <v>141</v>
      </c>
      <c r="K4691" t="s">
        <v>14</v>
      </c>
      <c r="L4691" t="s">
        <v>20</v>
      </c>
      <c r="M4691" t="s">
        <v>9602</v>
      </c>
      <c r="N4691" t="s">
        <v>14</v>
      </c>
    </row>
    <row r="4692" x14ac:dyDescent="0.25">
      <c r="A4692" t="n">
        <v>25</v>
      </c>
      <c r="B4692" t="s">
        <v>14</v>
      </c>
      <c r="C4692" t="s">
        <v>22</v>
      </c>
      <c r="D4692" s="2" t="s">
        <f>=HYPERLINK("https://main.knesset.gov.il/APPS/legislation/main/bills/2202803", "הצעת חוק בתי המשפט (תיקון - התמודדות עם עינויי דין), התשפ""ג-2023")</f>
        <v>9712</v>
      </c>
      <c r="E4692" t="s">
        <v>9712</v>
      </c>
      <c r="F4692" t="s">
        <v>9713</v>
      </c>
      <c r="G4692" t="s">
        <v>14</v>
      </c>
      <c r="H4692">
             </c>
      <c r="I4692" t="s">
        <v>14</v>
      </c>
      <c r="J4692" t="s">
        <v>141</v>
      </c>
      <c r="K4692" t="s">
        <v>14</v>
      </c>
      <c r="L4692" t="s">
        <v>20</v>
      </c>
      <c r="M4692" t="s">
        <v>9602</v>
      </c>
      <c r="N4692" t="s">
        <v>14</v>
      </c>
    </row>
    <row r="4693" x14ac:dyDescent="0.25">
      <c r="A4693" t="n">
        <v>25</v>
      </c>
      <c r="B4693" t="s">
        <v>14</v>
      </c>
      <c r="C4693" t="s">
        <v>22</v>
      </c>
      <c r="D4693" s="2" t="s">
        <f>=HYPERLINK("https://main.knesset.gov.il/APPS/legislation/main/bills/2203220", "הצעת חוק ביטוח בריאות ממלכתי (תיקון - הגבלת סכום ההשתתפות העצמית בתכשיר מרשם), התשפ""ג-2023")</f>
        <v>9714</v>
      </c>
      <c r="E4693" t="s">
        <v>9714</v>
      </c>
      <c r="F4693" t="s">
        <v>9715</v>
      </c>
      <c r="G4693" t="s">
        <v>14</v>
      </c>
      <c r="H4693">
             </c>
      <c r="I4693" t="s">
        <v>14</v>
      </c>
      <c r="J4693" t="s">
        <v>141</v>
      </c>
      <c r="K4693" t="s">
        <v>14</v>
      </c>
      <c r="L4693" t="s">
        <v>20</v>
      </c>
      <c r="M4693" t="s">
        <v>9602</v>
      </c>
      <c r="N4693" t="s">
        <v>14</v>
      </c>
    </row>
    <row r="4694" x14ac:dyDescent="0.25">
      <c r="A4694" t="n">
        <v>25</v>
      </c>
      <c r="B4694" t="s">
        <v>14</v>
      </c>
      <c r="C4694" t="s">
        <v>22</v>
      </c>
      <c r="D4694" s="2" t="s">
        <f>=HYPERLINK("https://main.knesset.gov.il/APPS/legislation/main/bills/2203593", "הצעת חוק זכויות הסטודנט (תיקון - פעילות ציבורית), התשפ""ג-2023")</f>
        <v>9716</v>
      </c>
      <c r="E4694" t="s">
        <v>9716</v>
      </c>
      <c r="F4694" t="s">
        <v>9717</v>
      </c>
      <c r="G4694" t="s">
        <v>14</v>
      </c>
      <c r="H4694">
             </c>
      <c r="I4694" t="s">
        <v>14</v>
      </c>
      <c r="J4694" t="s">
        <v>141</v>
      </c>
      <c r="K4694" t="s">
        <v>14</v>
      </c>
      <c r="L4694" t="s">
        <v>20</v>
      </c>
      <c r="M4694" t="s">
        <v>9602</v>
      </c>
      <c r="N4694" t="s">
        <v>14</v>
      </c>
    </row>
    <row r="4695" x14ac:dyDescent="0.25">
      <c r="A4695" t="n">
        <v>25</v>
      </c>
      <c r="B4695" t="s">
        <v>14</v>
      </c>
      <c r="C4695" t="s">
        <v>22</v>
      </c>
      <c r="D4695" s="2" t="s">
        <f>=HYPERLINK("https://main.knesset.gov.il/APPS/legislation/main/bills/2203630", "הצעת חוק אומנה לילדים (תיקון - העברת תשלומים להורה אומנה במקרים מיוחדים), התשפ""ג-2023")</f>
        <v>8769</v>
      </c>
      <c r="E4695" t="s">
        <v>8769</v>
      </c>
      <c r="F4695" t="s">
        <v>9718</v>
      </c>
      <c r="G4695" t="s">
        <v>14</v>
      </c>
      <c r="H4695">
             </c>
      <c r="I4695" t="s">
        <v>14</v>
      </c>
      <c r="J4695" t="s">
        <v>141</v>
      </c>
      <c r="K4695" t="s">
        <v>14</v>
      </c>
      <c r="L4695" t="s">
        <v>20</v>
      </c>
      <c r="M4695" t="s">
        <v>9602</v>
      </c>
      <c r="N4695" t="s">
        <v>14</v>
      </c>
    </row>
    <row r="4696" x14ac:dyDescent="0.25">
      <c r="A4696" t="n">
        <v>25</v>
      </c>
      <c r="B4696" t="s">
        <v>14</v>
      </c>
      <c r="C4696" t="s">
        <v>22</v>
      </c>
      <c r="D4696" s="2" t="s">
        <f>=HYPERLINK("https://main.knesset.gov.il/APPS/legislation/main/bills/2203417", "הצעת חוק שיווי זכויות האישה (תיקון - הרחבת חובת הייצוג ההולם של נשים בגופים ציבוריים), התשפ""ג-2023")</f>
        <v>9719</v>
      </c>
      <c r="E4696" t="s">
        <v>9719</v>
      </c>
      <c r="F4696" t="s">
        <v>9720</v>
      </c>
      <c r="G4696" t="s">
        <v>14</v>
      </c>
      <c r="H4696">
             </c>
      <c r="I4696" t="s">
        <v>14</v>
      </c>
      <c r="J4696" t="s">
        <v>343</v>
      </c>
      <c r="K4696" t="s">
        <v>14</v>
      </c>
      <c r="L4696" t="s">
        <v>20</v>
      </c>
      <c r="M4696" t="s">
        <v>9602</v>
      </c>
      <c r="N4696" t="s">
        <v>14</v>
      </c>
    </row>
    <row r="4697" x14ac:dyDescent="0.25">
      <c r="A4697" t="n">
        <v>25</v>
      </c>
      <c r="B4697" t="s">
        <v>14</v>
      </c>
      <c r="C4697" t="s">
        <v>22</v>
      </c>
      <c r="D4697" s="2" t="s">
        <f>=HYPERLINK("https://main.knesset.gov.il/APPS/legislation/main/bills/2203799", "הצעת חוק כביש אגרה (כביש ארצי לישראל) (תיקון - החזר לנוסעים בשל האטה משמעותית), התשפ""ג-2023")</f>
        <v>9721</v>
      </c>
      <c r="E4697" t="s">
        <v>9721</v>
      </c>
      <c r="F4697" t="s">
        <v>9722</v>
      </c>
      <c r="G4697" t="s">
        <v>14</v>
      </c>
      <c r="H4697">
             </c>
      <c r="I4697" t="s">
        <v>14</v>
      </c>
      <c r="J4697" t="s">
        <v>141</v>
      </c>
      <c r="K4697" t="s">
        <v>14</v>
      </c>
      <c r="L4697" t="s">
        <v>20</v>
      </c>
      <c r="M4697" t="s">
        <v>9602</v>
      </c>
      <c r="N4697" t="s">
        <v>14</v>
      </c>
    </row>
    <row r="4698" x14ac:dyDescent="0.25">
      <c r="A4698" t="n">
        <v>25</v>
      </c>
      <c r="B4698" t="s">
        <v>14</v>
      </c>
      <c r="C4698" t="s">
        <v>22</v>
      </c>
      <c r="D4698" s="2" t="s">
        <f>=HYPERLINK("https://main.knesset.gov.il/APPS/legislation/main/bills/2198572", "הצעת חוק לפיטורין והשעיה של עובד הוראה שנפתח נגדו הליך פלילי בעבירת מין או אלימות חמורה (תיקוני חקיקה), התשפ""ג-2023")</f>
        <v>9723</v>
      </c>
      <c r="E4698" t="s">
        <v>9723</v>
      </c>
      <c r="F4698" t="s">
        <v>9724</v>
      </c>
      <c r="G4698" t="s">
        <v>14</v>
      </c>
      <c r="H4698">
             </c>
      <c r="I4698" t="s">
        <v>14</v>
      </c>
      <c r="J4698" t="s">
        <v>141</v>
      </c>
      <c r="K4698" t="s">
        <v>14</v>
      </c>
      <c r="L4698" t="s">
        <v>20</v>
      </c>
      <c r="M4698" t="s">
        <v>9602</v>
      </c>
      <c r="N4698" t="s">
        <v>14</v>
      </c>
    </row>
    <row r="4699" x14ac:dyDescent="0.25">
      <c r="A4699" t="n">
        <v>25</v>
      </c>
      <c r="B4699" t="s">
        <v>14</v>
      </c>
      <c r="C4699" t="s">
        <v>22</v>
      </c>
      <c r="D4699" s="2" t="s">
        <f>=HYPERLINK("https://main.knesset.gov.il/APPS/legislation/main/bills/2203526", "הצעת חוק איסור לכידת בעלי חיים באמצעות מלכודות, התשפ""ג-2023")</f>
        <v>4736</v>
      </c>
      <c r="E4699" t="s">
        <v>4736</v>
      </c>
      <c r="F4699" t="s">
        <v>9725</v>
      </c>
      <c r="G4699" t="s">
        <v>14</v>
      </c>
      <c r="H4699">
             </c>
      <c r="I4699" t="s">
        <v>14</v>
      </c>
      <c r="J4699" t="s">
        <v>141</v>
      </c>
      <c r="K4699" t="s">
        <v>14</v>
      </c>
      <c r="L4699" t="s">
        <v>20</v>
      </c>
      <c r="M4699" t="s">
        <v>9602</v>
      </c>
      <c r="N4699" t="s">
        <v>14</v>
      </c>
    </row>
    <row r="4700" x14ac:dyDescent="0.25">
      <c r="A4700" t="n">
        <v>25</v>
      </c>
      <c r="B4700" t="s">
        <v>14</v>
      </c>
      <c r="C4700" t="s">
        <v>22</v>
      </c>
      <c r="D4700" s="2" t="s">
        <f>=HYPERLINK("https://main.knesset.gov.il/APPS/legislation/main/bills/2203625", "הצעת חוק התכנון והבנייה (תיקון - מכירה ישירה של תוצרת חקלאית), התשפ""ג-2023")</f>
        <v>8763</v>
      </c>
      <c r="E4700" t="s">
        <v>8763</v>
      </c>
      <c r="F4700" t="s">
        <v>9726</v>
      </c>
      <c r="G4700" t="s">
        <v>14</v>
      </c>
      <c r="H4700">
             </c>
      <c r="I4700" t="s">
        <v>14</v>
      </c>
      <c r="J4700" t="s">
        <v>141</v>
      </c>
      <c r="K4700" t="s">
        <v>14</v>
      </c>
      <c r="L4700" t="s">
        <v>20</v>
      </c>
      <c r="M4700" t="s">
        <v>9602</v>
      </c>
      <c r="N4700" t="s">
        <v>14</v>
      </c>
    </row>
    <row r="4701" x14ac:dyDescent="0.25">
      <c r="A4701" t="n">
        <v>25</v>
      </c>
      <c r="B4701" t="s">
        <v>14</v>
      </c>
      <c r="C4701" t="s">
        <v>22</v>
      </c>
      <c r="D4701" s="2" t="s">
        <f>=HYPERLINK("https://main.knesset.gov.il/APPS/legislation/main/bills/2203735", "הצעת חוק דמי מחלה (היעדרות בשל מחלת ילד) (תיקון - היעדרות בעקבות תקיפה או התעללות בילד), התשפ""ג-2023")</f>
        <v>8215</v>
      </c>
      <c r="E4701" t="s">
        <v>8215</v>
      </c>
      <c r="F4701" t="s">
        <v>9727</v>
      </c>
      <c r="G4701" t="s">
        <v>14</v>
      </c>
      <c r="H4701">
             </c>
      <c r="I4701" t="s">
        <v>14</v>
      </c>
      <c r="J4701" t="s">
        <v>141</v>
      </c>
      <c r="K4701" t="s">
        <v>14</v>
      </c>
      <c r="L4701" t="s">
        <v>20</v>
      </c>
      <c r="M4701" t="s">
        <v>9602</v>
      </c>
      <c r="N4701" t="s">
        <v>14</v>
      </c>
    </row>
    <row r="4702" x14ac:dyDescent="0.25">
      <c r="A4702" t="n">
        <v>25</v>
      </c>
      <c r="B4702" t="s">
        <v>14</v>
      </c>
      <c r="C4702" t="s">
        <v>22</v>
      </c>
      <c r="D4702" s="2" t="s">
        <f>=HYPERLINK("https://main.knesset.gov.il/APPS/legislation/main/bills/2203111", "הצעת חוק לימוד חובה (תיקון - חינוך חינם מגיל שנתיים), התשפ""ג-2023")</f>
        <v>9728</v>
      </c>
      <c r="E4702" t="s">
        <v>9728</v>
      </c>
      <c r="F4702" t="s">
        <v>9729</v>
      </c>
      <c r="G4702" t="s">
        <v>14</v>
      </c>
      <c r="H4702">
             </c>
      <c r="I4702" t="s">
        <v>14</v>
      </c>
      <c r="J4702" t="s">
        <v>141</v>
      </c>
      <c r="K4702" t="s">
        <v>14</v>
      </c>
      <c r="L4702" t="s">
        <v>20</v>
      </c>
      <c r="M4702" t="s">
        <v>9602</v>
      </c>
      <c r="N4702" t="s">
        <v>14</v>
      </c>
    </row>
    <row r="4703" x14ac:dyDescent="0.25">
      <c r="A4703" t="n">
        <v>25</v>
      </c>
      <c r="B4703" t="s">
        <v>14</v>
      </c>
      <c r="C4703" t="s">
        <v>22</v>
      </c>
      <c r="D4703" s="2" t="s">
        <f>=HYPERLINK("https://main.knesset.gov.il/APPS/legislation/main/bills/2203629", "הצעת חוק הביטוח הלאומי (תיקון - עבודה בחינוך וסיוע להוראה או בטיפול בילדים כעבודה מועדפת), התשפ""ג-2023")</f>
        <v>9730</v>
      </c>
      <c r="E4703" t="s">
        <v>9730</v>
      </c>
      <c r="F4703" t="s">
        <v>9731</v>
      </c>
      <c r="G4703" t="s">
        <v>14</v>
      </c>
      <c r="H4703">
             </c>
      <c r="I4703" t="s">
        <v>14</v>
      </c>
      <c r="J4703" t="s">
        <v>141</v>
      </c>
      <c r="K4703" t="s">
        <v>14</v>
      </c>
      <c r="L4703" t="s">
        <v>20</v>
      </c>
      <c r="M4703" t="s">
        <v>9602</v>
      </c>
      <c r="N4703" t="s">
        <v>14</v>
      </c>
    </row>
    <row r="4704" x14ac:dyDescent="0.25">
      <c r="A4704" t="n">
        <v>25</v>
      </c>
      <c r="B4704" t="s">
        <v>14</v>
      </c>
      <c r="C4704" t="s">
        <v>22</v>
      </c>
      <c r="D4704" s="2" t="s">
        <f>=HYPERLINK("https://main.knesset.gov.il/APPS/legislation/main/bills/2203216", "הצעת חוק הביטוח הלאומי (תיקון - תשלום תוספת לגמלת אזרח ותיק לנכה שהכנסתו נמוכה משכר המינימום), התשפ""ג-2023")</f>
        <v>9732</v>
      </c>
      <c r="E4704" t="s">
        <v>9732</v>
      </c>
      <c r="F4704" t="s">
        <v>9733</v>
      </c>
      <c r="G4704" t="s">
        <v>14</v>
      </c>
      <c r="H4704">
             </c>
      <c r="I4704" t="s">
        <v>14</v>
      </c>
      <c r="J4704" t="s">
        <v>141</v>
      </c>
      <c r="K4704" t="s">
        <v>14</v>
      </c>
      <c r="L4704" t="s">
        <v>20</v>
      </c>
      <c r="M4704" t="s">
        <v>9602</v>
      </c>
      <c r="N4704" t="s">
        <v>14</v>
      </c>
    </row>
    <row r="4705" x14ac:dyDescent="0.25">
      <c r="A4705" t="n">
        <v>25</v>
      </c>
      <c r="B4705" t="s">
        <v>14</v>
      </c>
      <c r="C4705" t="s">
        <v>22</v>
      </c>
      <c r="D4705" s="2" t="s">
        <f>=HYPERLINK("https://main.knesset.gov.il/APPS/legislation/main/bills/2201995", "הצעת חוק עובדים זרים (תיקון - גביית פיצוי נזיקי מכספי פיקדון), התשפ""ג-2023")</f>
        <v>9734</v>
      </c>
      <c r="E4705" t="s">
        <v>9734</v>
      </c>
      <c r="F4705" t="s">
        <v>9735</v>
      </c>
      <c r="G4705" t="s">
        <v>14</v>
      </c>
      <c r="H4705">
             </c>
      <c r="I4705" t="s">
        <v>14</v>
      </c>
      <c r="J4705" t="s">
        <v>141</v>
      </c>
      <c r="K4705" t="s">
        <v>14</v>
      </c>
      <c r="L4705" t="s">
        <v>20</v>
      </c>
      <c r="M4705" t="s">
        <v>9602</v>
      </c>
      <c r="N4705" t="s">
        <v>14</v>
      </c>
    </row>
    <row r="4706" x14ac:dyDescent="0.25">
      <c r="A4706" t="n">
        <v>25</v>
      </c>
      <c r="B4706" t="s">
        <v>14</v>
      </c>
      <c r="C4706" t="s">
        <v>22</v>
      </c>
      <c r="D4706" s="2" t="s">
        <f>=HYPERLINK("https://main.knesset.gov.il/APPS/legislation/main/bills/2203221", "הצעת חוק התאמת אופן ההעסקה של מטפלות במשפחתונים המפוקחים על ידי משרד העבודה, התשפ""ג-2023")</f>
        <v>9736</v>
      </c>
      <c r="E4706" t="s">
        <v>9736</v>
      </c>
      <c r="F4706" t="s">
        <v>9737</v>
      </c>
      <c r="G4706" t="s">
        <v>14</v>
      </c>
      <c r="H4706">
             </c>
      <c r="I4706" t="s">
        <v>14</v>
      </c>
      <c r="J4706" t="s">
        <v>141</v>
      </c>
      <c r="K4706" t="s">
        <v>14</v>
      </c>
      <c r="L4706" t="s">
        <v>20</v>
      </c>
      <c r="M4706" t="s">
        <v>9602</v>
      </c>
      <c r="N4706" t="s">
        <v>14</v>
      </c>
    </row>
    <row r="4707" x14ac:dyDescent="0.25">
      <c r="A4707" t="n">
        <v>25</v>
      </c>
      <c r="B4707" t="s">
        <v>14</v>
      </c>
      <c r="C4707" t="s">
        <v>22</v>
      </c>
      <c r="D4707" s="2" t="s">
        <f>=HYPERLINK("https://main.knesset.gov.il/APPS/legislation/main/bills/2203775", "הצעת חוק עבודת נשים (תיקון - תקופת לידה והורות לבן זוג של יולדת), התשפ""ג-2023")</f>
        <v>9738</v>
      </c>
      <c r="E4707" t="s">
        <v>9738</v>
      </c>
      <c r="F4707" t="s">
        <v>9739</v>
      </c>
      <c r="G4707" t="s">
        <v>14</v>
      </c>
      <c r="H4707">
             </c>
      <c r="I4707" t="s">
        <v>14</v>
      </c>
      <c r="J4707" t="s">
        <v>141</v>
      </c>
      <c r="K4707" t="s">
        <v>14</v>
      </c>
      <c r="L4707" t="s">
        <v>20</v>
      </c>
      <c r="M4707" t="s">
        <v>9602</v>
      </c>
      <c r="N4707" t="s">
        <v>14</v>
      </c>
    </row>
    <row r="4708" x14ac:dyDescent="0.25">
      <c r="A4708" t="n">
        <v>25</v>
      </c>
      <c r="B4708" t="s">
        <v>14</v>
      </c>
      <c r="C4708" t="s">
        <v>22</v>
      </c>
      <c r="D4708" s="2" t="s">
        <f>=HYPERLINK("https://main.knesset.gov.il/APPS/legislation/main/bills/2202793", "הצעת חוק לאיסור מתן היתר שהייה בישראל לעבריין בנייה בשטחי c, התשפ""ג-2023")</f>
        <v>9740</v>
      </c>
      <c r="E4708" t="s">
        <v>9740</v>
      </c>
      <c r="F4708" t="s">
        <v>9741</v>
      </c>
      <c r="G4708" t="s">
        <v>14</v>
      </c>
      <c r="H4708">
             </c>
      <c r="I4708" t="s">
        <v>14</v>
      </c>
      <c r="J4708" t="s">
        <v>141</v>
      </c>
      <c r="K4708" t="s">
        <v>14</v>
      </c>
      <c r="L4708" t="s">
        <v>20</v>
      </c>
      <c r="M4708" t="s">
        <v>9602</v>
      </c>
      <c r="N4708" t="s">
        <v>14</v>
      </c>
    </row>
    <row r="4709" x14ac:dyDescent="0.25">
      <c r="A4709" t="n">
        <v>25</v>
      </c>
      <c r="B4709" t="s">
        <v>14</v>
      </c>
      <c r="C4709" t="s">
        <v>22</v>
      </c>
      <c r="D4709" s="2" t="s">
        <f>=HYPERLINK("https://main.knesset.gov.il/APPS/legislation/main/bills/2202773", "הצעת חוק הביטוח הלאומי (תיקון - הארכת הזכאות של חולה במחלה ממארת), התשפ""ג-2023")</f>
        <v>9035</v>
      </c>
      <c r="E4709" t="s">
        <v>9035</v>
      </c>
      <c r="F4709" t="s">
        <v>9742</v>
      </c>
      <c r="G4709" t="s">
        <v>14</v>
      </c>
      <c r="H4709">
             </c>
      <c r="I4709" t="s">
        <v>14</v>
      </c>
      <c r="J4709" t="s">
        <v>141</v>
      </c>
      <c r="K4709" t="s">
        <v>14</v>
      </c>
      <c r="L4709" t="s">
        <v>20</v>
      </c>
      <c r="M4709" t="s">
        <v>9602</v>
      </c>
      <c r="N4709" t="s">
        <v>14</v>
      </c>
    </row>
    <row r="4710" x14ac:dyDescent="0.25">
      <c r="A4710" t="n">
        <v>25</v>
      </c>
      <c r="B4710" t="s">
        <v>14</v>
      </c>
      <c r="C4710" t="s">
        <v>22</v>
      </c>
      <c r="D4710" s="2" t="s">
        <f>=HYPERLINK("https://main.knesset.gov.il/APPS/legislation/main/bills/2202654", "הצעת חוק זכויות הסטודנט (תיקון - הרחבת זכויות הסטודנט), התשפ""ג-2023")</f>
        <v>9743</v>
      </c>
      <c r="E4710" t="s">
        <v>9743</v>
      </c>
      <c r="F4710" t="s">
        <v>9744</v>
      </c>
      <c r="G4710" t="s">
        <v>14</v>
      </c>
      <c r="H4710">
             </c>
      <c r="I4710" t="s">
        <v>14</v>
      </c>
      <c r="J4710" t="s">
        <v>141</v>
      </c>
      <c r="K4710" t="s">
        <v>14</v>
      </c>
      <c r="L4710" t="s">
        <v>20</v>
      </c>
      <c r="M4710" t="s">
        <v>9602</v>
      </c>
      <c r="N4710" t="s">
        <v>14</v>
      </c>
    </row>
    <row r="4711" x14ac:dyDescent="0.25">
      <c r="A4711" t="n">
        <v>25</v>
      </c>
      <c r="B4711" t="s">
        <v>14</v>
      </c>
      <c r="C4711" t="s">
        <v>22</v>
      </c>
      <c r="D4711" s="2" t="s">
        <f>=HYPERLINK("https://main.knesset.gov.il/APPS/legislation/main/bills/2202567", "הצעת חוק לעידוד השקעות הון (תיקון - הטבות לחברת התחדשות עירונית בפריפריה), התשפ""ג-2023")</f>
        <v>9745</v>
      </c>
      <c r="E4711" t="s">
        <v>9745</v>
      </c>
      <c r="F4711" t="s">
        <v>9746</v>
      </c>
      <c r="G4711" t="s">
        <v>14</v>
      </c>
      <c r="H4711">
             </c>
      <c r="I4711" t="s">
        <v>14</v>
      </c>
      <c r="J4711" t="s">
        <v>343</v>
      </c>
      <c r="K4711" t="s">
        <v>14</v>
      </c>
      <c r="L4711" t="s">
        <v>20</v>
      </c>
      <c r="M4711" t="s">
        <v>9602</v>
      </c>
      <c r="N4711" t="s">
        <v>14</v>
      </c>
    </row>
    <row r="4712" x14ac:dyDescent="0.25">
      <c r="A4712" t="n">
        <v>25</v>
      </c>
      <c r="B4712" t="s">
        <v>14</v>
      </c>
      <c r="C4712" t="s">
        <v>22</v>
      </c>
      <c r="D4712" s="2" t="s">
        <f>=HYPERLINK("https://main.knesset.gov.il/APPS/legislation/main/bills/2202762", "הצעת חוק עורכי דין מיוחדים, התשפ""ג-2023")</f>
        <v>9747</v>
      </c>
      <c r="E4712" t="s">
        <v>9747</v>
      </c>
      <c r="F4712" t="s">
        <v>9748</v>
      </c>
      <c r="G4712" t="s">
        <v>14</v>
      </c>
      <c r="H4712">
             </c>
      <c r="I4712" t="s">
        <v>14</v>
      </c>
      <c r="J4712" t="s">
        <v>141</v>
      </c>
      <c r="K4712" t="s">
        <v>14</v>
      </c>
      <c r="L4712" t="s">
        <v>20</v>
      </c>
      <c r="M4712" t="s">
        <v>9602</v>
      </c>
      <c r="N4712" t="s">
        <v>14</v>
      </c>
    </row>
    <row r="4713" x14ac:dyDescent="0.25">
      <c r="A4713" t="n">
        <v>25</v>
      </c>
      <c r="B4713" t="s">
        <v>14</v>
      </c>
      <c r="C4713" t="s">
        <v>22</v>
      </c>
      <c r="D4713" s="2" t="s">
        <f>=HYPERLINK("https://main.knesset.gov.il/APPS/legislation/main/bills/2203621", "הצעת חוק הביטוח הלאומי (תיקון - הקלות בניידות), התשפ""ג-2023")</f>
        <v>9749</v>
      </c>
      <c r="E4713" t="s">
        <v>9749</v>
      </c>
      <c r="F4713" t="s">
        <v>9750</v>
      </c>
      <c r="G4713" t="s">
        <v>14</v>
      </c>
      <c r="H4713">
             </c>
      <c r="I4713" t="s">
        <v>14</v>
      </c>
      <c r="J4713" t="s">
        <v>141</v>
      </c>
      <c r="K4713" t="s">
        <v>14</v>
      </c>
      <c r="L4713" t="s">
        <v>20</v>
      </c>
      <c r="M4713" t="s">
        <v>9602</v>
      </c>
      <c r="N4713" t="s">
        <v>14</v>
      </c>
    </row>
    <row r="4714" x14ac:dyDescent="0.25">
      <c r="A4714" t="n">
        <v>25</v>
      </c>
      <c r="B4714" t="s">
        <v>14</v>
      </c>
      <c r="C4714" t="s">
        <v>22</v>
      </c>
      <c r="D4714" s="2" t="s">
        <f>=HYPERLINK("https://main.knesset.gov.il/APPS/legislation/main/bills/2201339", "הצעת חוק מערך החוץ וההסברה, התשפ""ג-2023")</f>
        <v>9751</v>
      </c>
      <c r="E4714" t="s">
        <v>9751</v>
      </c>
      <c r="F4714" t="s">
        <v>9752</v>
      </c>
      <c r="G4714" t="s">
        <v>14</v>
      </c>
      <c r="H4714">
             </c>
      <c r="I4714" t="s">
        <v>14</v>
      </c>
      <c r="J4714" t="s">
        <v>141</v>
      </c>
      <c r="K4714" t="s">
        <v>14</v>
      </c>
      <c r="L4714" t="s">
        <v>20</v>
      </c>
      <c r="M4714" t="s">
        <v>9602</v>
      </c>
      <c r="N4714" t="s">
        <v>14</v>
      </c>
    </row>
    <row r="4715" x14ac:dyDescent="0.25">
      <c r="A4715" t="n">
        <v>25</v>
      </c>
      <c r="B4715" t="s">
        <v>14</v>
      </c>
      <c r="C4715" t="s">
        <v>22</v>
      </c>
      <c r="D4715" s="2" t="s">
        <f>=HYPERLINK("https://main.knesset.gov.il/APPS/legislation/main/bills/2200955", "הצעת חוק לתיקון פקודת מס הכנסה (שינוי הקריטריונים ליישוב מוטב), התשפ""ג-2023")</f>
        <v>9753</v>
      </c>
      <c r="E4715" t="s">
        <v>9753</v>
      </c>
      <c r="F4715" t="s">
        <v>9754</v>
      </c>
      <c r="G4715" t="s">
        <v>14</v>
      </c>
      <c r="H4715">
             </c>
      <c r="I4715" t="s">
        <v>14</v>
      </c>
      <c r="J4715" t="s">
        <v>141</v>
      </c>
      <c r="K4715" t="s">
        <v>14</v>
      </c>
      <c r="L4715" t="s">
        <v>20</v>
      </c>
      <c r="M4715" t="s">
        <v>9602</v>
      </c>
      <c r="N4715" t="s">
        <v>14</v>
      </c>
    </row>
    <row r="4716" x14ac:dyDescent="0.25">
      <c r="A4716" t="n">
        <v>25</v>
      </c>
      <c r="B4716" t="s">
        <v>14</v>
      </c>
      <c r="C4716" t="s">
        <v>22</v>
      </c>
      <c r="D4716" s="2" t="s">
        <f>=HYPERLINK("https://main.knesset.gov.il/APPS/legislation/main/bills/2201643", "הצעת חוק שעות עבודה ומנוחה (תיקון - סמכויות שרים להתרת עבודות בשבת), התשפ""ג-2023")</f>
        <v>9755</v>
      </c>
      <c r="E4716" t="s">
        <v>9755</v>
      </c>
      <c r="F4716" t="s">
        <v>9756</v>
      </c>
      <c r="G4716" t="s">
        <v>14</v>
      </c>
      <c r="H4716">
             </c>
      <c r="I4716" t="s">
        <v>14</v>
      </c>
      <c r="J4716" t="s">
        <v>141</v>
      </c>
      <c r="K4716" t="s">
        <v>14</v>
      </c>
      <c r="L4716" t="s">
        <v>20</v>
      </c>
      <c r="M4716" t="s">
        <v>9602</v>
      </c>
      <c r="N4716" t="s">
        <v>14</v>
      </c>
    </row>
    <row r="4717" x14ac:dyDescent="0.25">
      <c r="A4717" t="n">
        <v>25</v>
      </c>
      <c r="B4717" t="s">
        <v>14</v>
      </c>
      <c r="C4717" t="s">
        <v>22</v>
      </c>
      <c r="D4717" s="2" t="s">
        <f>=HYPERLINK("https://main.knesset.gov.il/APPS/legislation/main/bills/2197822", "הצעת חוק לתיקון פקודת מס הכנסה (יישוב מוטב), התשפ""ג-2023")</f>
        <v>9074</v>
      </c>
      <c r="E4717" t="s">
        <v>9074</v>
      </c>
      <c r="F4717" t="s">
        <v>9757</v>
      </c>
      <c r="G4717" t="s">
        <v>14</v>
      </c>
      <c r="H4717">
             </c>
      <c r="I4717" t="s">
        <v>14</v>
      </c>
      <c r="J4717" t="s">
        <v>141</v>
      </c>
      <c r="K4717" t="s">
        <v>14</v>
      </c>
      <c r="L4717" t="s">
        <v>20</v>
      </c>
      <c r="M4717" t="s">
        <v>9602</v>
      </c>
      <c r="N4717" t="s">
        <v>14</v>
      </c>
    </row>
    <row r="4718" x14ac:dyDescent="0.25">
      <c r="A4718" t="n">
        <v>25</v>
      </c>
      <c r="B4718" t="s">
        <v>14</v>
      </c>
      <c r="C4718" t="s">
        <v>22</v>
      </c>
      <c r="D4718" s="2" t="s">
        <f>=HYPERLINK("https://main.knesset.gov.il/APPS/legislation/main/bills/2203135", "הצעת חוק ביטוח בריאות ממלכתי (תיקון - העברת תיק רפואי במעבר בין קופות חולים), התשפ""ג-2023")</f>
        <v>8167</v>
      </c>
      <c r="E4718" t="s">
        <v>8167</v>
      </c>
      <c r="F4718" t="s">
        <v>9758</v>
      </c>
      <c r="G4718" t="s">
        <v>14</v>
      </c>
      <c r="H4718">
             </c>
      <c r="I4718" t="s">
        <v>14</v>
      </c>
      <c r="J4718" t="s">
        <v>141</v>
      </c>
      <c r="K4718" t="s">
        <v>14</v>
      </c>
      <c r="L4718" t="s">
        <v>20</v>
      </c>
      <c r="M4718" t="s">
        <v>9602</v>
      </c>
      <c r="N4718" t="s">
        <v>14</v>
      </c>
    </row>
    <row r="4719" x14ac:dyDescent="0.25">
      <c r="A4719" t="n">
        <v>25</v>
      </c>
      <c r="B4719" t="s">
        <v>14</v>
      </c>
      <c r="C4719" t="s">
        <v>22</v>
      </c>
      <c r="D4719" s="2" t="s">
        <f>=HYPERLINK("https://main.knesset.gov.il/APPS/legislation/main/bills/2200376", "הצעת חוק ההתגוננות האזרחית (תיקון - אפשרות לקבלת פטור מבניית מקלט בהרחבת בית), התשפ""ג-2023")</f>
        <v>9759</v>
      </c>
      <c r="E4719" t="s">
        <v>9759</v>
      </c>
      <c r="F4719" t="s">
        <v>9760</v>
      </c>
      <c r="G4719" t="s">
        <v>14</v>
      </c>
      <c r="H4719">
             </c>
      <c r="I4719" t="s">
        <v>14</v>
      </c>
      <c r="J4719" t="s">
        <v>141</v>
      </c>
      <c r="K4719" t="s">
        <v>14</v>
      </c>
      <c r="L4719" t="s">
        <v>20</v>
      </c>
      <c r="M4719" t="s">
        <v>9602</v>
      </c>
      <c r="N4719" t="s">
        <v>14</v>
      </c>
    </row>
    <row r="4720" x14ac:dyDescent="0.25">
      <c r="A4720" t="n">
        <v>25</v>
      </c>
      <c r="B4720" t="s">
        <v>14</v>
      </c>
      <c r="C4720" t="s">
        <v>22</v>
      </c>
      <c r="D4720" s="2" t="s">
        <f>=HYPERLINK("https://main.knesset.gov.il/APPS/legislation/main/bills/2201160", "הצעת חוק לייעול האכיפה והפיקוח העירוניים ברשויות המקומיות (הוראת שעה) (תיקון - סמכויות לשמירה על הסדר הציבורי), התשפ""ג-2023")</f>
        <v>9761</v>
      </c>
      <c r="E4720" t="s">
        <v>9761</v>
      </c>
      <c r="F4720" t="s">
        <v>9762</v>
      </c>
      <c r="G4720" t="s">
        <v>14</v>
      </c>
      <c r="H4720">
             </c>
      <c r="I4720" t="s">
        <v>14</v>
      </c>
      <c r="J4720" t="s">
        <v>141</v>
      </c>
      <c r="K4720" t="s">
        <v>14</v>
      </c>
      <c r="L4720" t="s">
        <v>20</v>
      </c>
      <c r="M4720" t="s">
        <v>9602</v>
      </c>
      <c r="N4720" t="s">
        <v>14</v>
      </c>
    </row>
    <row r="4721" x14ac:dyDescent="0.25">
      <c r="A4721" t="n">
        <v>25</v>
      </c>
      <c r="B4721" t="s">
        <v>14</v>
      </c>
      <c r="C4721" t="s">
        <v>22</v>
      </c>
      <c r="D4721" s="2" t="s">
        <f>=HYPERLINK("https://main.knesset.gov.il/APPS/legislation/main/bills/2201285", "הצעת חוק המועצה להשכלה גבוהה (תיקון - ביטול חובת דרישות מבחני כניסה וציון פסיכומטרי), התשפ""ג-2023")</f>
        <v>9763</v>
      </c>
      <c r="E4721" t="s">
        <v>9763</v>
      </c>
      <c r="F4721" t="s">
        <v>9764</v>
      </c>
      <c r="G4721" t="s">
        <v>14</v>
      </c>
      <c r="H4721">
             </c>
      <c r="I4721" t="s">
        <v>14</v>
      </c>
      <c r="J4721" t="s">
        <v>141</v>
      </c>
      <c r="K4721" t="s">
        <v>14</v>
      </c>
      <c r="L4721" t="s">
        <v>20</v>
      </c>
      <c r="M4721" t="s">
        <v>9602</v>
      </c>
      <c r="N4721" t="s">
        <v>14</v>
      </c>
    </row>
    <row r="4722" x14ac:dyDescent="0.25">
      <c r="A4722" t="n">
        <v>25</v>
      </c>
      <c r="B4722" t="s">
        <v>14</v>
      </c>
      <c r="C4722" t="s">
        <v>22</v>
      </c>
      <c r="D4722" s="2" t="s">
        <f>=HYPERLINK("https://main.knesset.gov.il/APPS/legislation/main/bills/2200216", "הצעת חוק העונשין (תיקון - הגנת בית מגורים, נכס, בית עסק ומשק חקלאי), התשפ""ג-2023")</f>
        <v>9765</v>
      </c>
      <c r="E4722" t="s">
        <v>9765</v>
      </c>
      <c r="F4722" t="s">
        <v>9766</v>
      </c>
      <c r="G4722" t="s">
        <v>14</v>
      </c>
      <c r="H4722">
             </c>
      <c r="I4722" t="s">
        <v>14</v>
      </c>
      <c r="J4722" t="s">
        <v>141</v>
      </c>
      <c r="K4722" t="s">
        <v>14</v>
      </c>
      <c r="L4722" t="s">
        <v>20</v>
      </c>
      <c r="M4722" t="s">
        <v>9602</v>
      </c>
      <c r="N4722" t="s">
        <v>14</v>
      </c>
    </row>
    <row r="4723" x14ac:dyDescent="0.25">
      <c r="A4723" t="n">
        <v>25</v>
      </c>
      <c r="B4723" t="s">
        <v>14</v>
      </c>
      <c r="C4723" t="s">
        <v>22</v>
      </c>
      <c r="D4723" s="2" t="s">
        <f>=HYPERLINK("https://main.knesset.gov.il/APPS/legislation/main/bills/2202986", "הצעת חוק ביטול המינהל האזרחי, התשפ""ג-2023")</f>
        <v>9767</v>
      </c>
      <c r="E4723" t="s">
        <v>9767</v>
      </c>
      <c r="F4723" t="s">
        <v>9768</v>
      </c>
      <c r="G4723" t="s">
        <v>14</v>
      </c>
      <c r="H4723">
             </c>
      <c r="I4723" t="s">
        <v>14</v>
      </c>
      <c r="J4723" t="s">
        <v>141</v>
      </c>
      <c r="K4723" t="s">
        <v>14</v>
      </c>
      <c r="L4723" t="s">
        <v>20</v>
      </c>
      <c r="M4723" t="s">
        <v>9602</v>
      </c>
      <c r="N4723" t="s">
        <v>14</v>
      </c>
    </row>
    <row r="4724" x14ac:dyDescent="0.25">
      <c r="A4724" t="n">
        <v>25</v>
      </c>
      <c r="B4724" t="s">
        <v>14</v>
      </c>
      <c r="C4724" t="s">
        <v>22</v>
      </c>
      <c r="D4724" s="2" t="s">
        <f>=HYPERLINK("https://main.knesset.gov.il/APPS/legislation/main/bills/2203305", "הצעת חוק משפחות חיילים שנספו במערכה (תגמולים ושיקום) (תיקון - הכרה בארוסות חיילים שנספו במערכה), התשפ""ג-2023")</f>
        <v>9769</v>
      </c>
      <c r="E4724" t="s">
        <v>9769</v>
      </c>
      <c r="F4724" t="s">
        <v>9770</v>
      </c>
      <c r="G4724" t="s">
        <v>14</v>
      </c>
      <c r="H4724">
             </c>
      <c r="I4724" t="s">
        <v>14</v>
      </c>
      <c r="J4724" t="s">
        <v>343</v>
      </c>
      <c r="K4724" t="s">
        <v>14</v>
      </c>
      <c r="L4724" t="s">
        <v>20</v>
      </c>
      <c r="M4724" t="s">
        <v>9602</v>
      </c>
      <c r="N4724" t="s">
        <v>14</v>
      </c>
    </row>
    <row r="4725" x14ac:dyDescent="0.25">
      <c r="A4725" t="n">
        <v>25</v>
      </c>
      <c r="B4725" t="s">
        <v>14</v>
      </c>
      <c r="C4725" t="s">
        <v>22</v>
      </c>
      <c r="D4725" s="2" t="s">
        <f>=HYPERLINK("https://main.knesset.gov.il/APPS/legislation/main/bills/2200369", "הצעת חוק השיפוט הצבאי (תיקון - וידוא הריגה), התשפ""ג-2023")</f>
        <v>9771</v>
      </c>
      <c r="E4725" t="s">
        <v>9771</v>
      </c>
      <c r="F4725" t="s">
        <v>9772</v>
      </c>
      <c r="G4725" t="s">
        <v>14</v>
      </c>
      <c r="H4725">
             </c>
      <c r="I4725" t="s">
        <v>14</v>
      </c>
      <c r="J4725" t="s">
        <v>141</v>
      </c>
      <c r="K4725" t="s">
        <v>14</v>
      </c>
      <c r="L4725" t="s">
        <v>20</v>
      </c>
      <c r="M4725" t="s">
        <v>9602</v>
      </c>
      <c r="N4725" t="s">
        <v>14</v>
      </c>
    </row>
    <row r="4726" x14ac:dyDescent="0.25">
      <c r="A4726" t="n">
        <v>25</v>
      </c>
      <c r="B4726" t="s">
        <v>14</v>
      </c>
      <c r="C4726" t="s">
        <v>22</v>
      </c>
      <c r="D4726" s="2" t="s">
        <f>=HYPERLINK("https://main.knesset.gov.il/APPS/legislation/main/bills/2195967", "הצעת חוק השיפוט הצבאי (תיקון - קביעת ערובה חלף מעצר), התשפ""ג-2023")</f>
        <v>9773</v>
      </c>
      <c r="E4726" t="s">
        <v>9773</v>
      </c>
      <c r="F4726" t="s">
        <v>9774</v>
      </c>
      <c r="G4726" t="s">
        <v>14</v>
      </c>
      <c r="H4726">
             </c>
      <c r="I4726" t="s">
        <v>14</v>
      </c>
      <c r="J4726" t="s">
        <v>141</v>
      </c>
      <c r="K4726" t="s">
        <v>14</v>
      </c>
      <c r="L4726" t="s">
        <v>20</v>
      </c>
      <c r="M4726" t="s">
        <v>9602</v>
      </c>
      <c r="N4726" t="s">
        <v>14</v>
      </c>
    </row>
    <row r="4727" x14ac:dyDescent="0.25">
      <c r="A4727" t="n">
        <v>25</v>
      </c>
      <c r="B4727" t="s">
        <v>14</v>
      </c>
      <c r="C4727" t="s">
        <v>22</v>
      </c>
      <c r="D4727" s="2" t="s">
        <f>=HYPERLINK("https://main.knesset.gov.il/APPS/legislation/main/bills/2203607", "הצעת חוק הביטוח הלאומי (תיקון - הגדלת הסכום שאינו מובא בחשבון וסכום לקביעת זכאות לנכה), התשפ""ג-2023")</f>
        <v>8096</v>
      </c>
      <c r="E4727" t="s">
        <v>8096</v>
      </c>
      <c r="F4727" t="s">
        <v>9775</v>
      </c>
      <c r="G4727" t="s">
        <v>14</v>
      </c>
      <c r="H4727">
             </c>
      <c r="I4727" t="s">
        <v>14</v>
      </c>
      <c r="J4727" t="s">
        <v>141</v>
      </c>
      <c r="K4727" t="s">
        <v>14</v>
      </c>
      <c r="L4727" t="s">
        <v>20</v>
      </c>
      <c r="M4727" t="s">
        <v>9602</v>
      </c>
      <c r="N4727" t="s">
        <v>14</v>
      </c>
    </row>
    <row r="4728" x14ac:dyDescent="0.25">
      <c r="A4728" t="n">
        <v>25</v>
      </c>
      <c r="B4728" t="s">
        <v>14</v>
      </c>
      <c r="C4728" t="s">
        <v>15</v>
      </c>
      <c r="D4728" s="2" t="s">
        <f>=HYPERLINK("https://main.knesset.gov.il/APPS/legislation/main/bills/2201089", "חוק סדר הדין הפלילי (סמכויות אכיפה – חיפוש בגוף ונטילת אמצעי זיהוי) (תיקון מס' 8), התשפ""ג-2023")</f>
        <v>9776</v>
      </c>
      <c r="E4728" t="s">
        <v>9776</v>
      </c>
      <c r="F4728" t="s">
        <v>14</v>
      </c>
      <c r="G4728" t="s">
        <v>9777</v>
      </c>
      <c r="H4728" t="n">
        <v>3036</v>
      </c>
      <c r="I4728" t="s">
        <v>14</v>
      </c>
      <c r="J4728" t="s">
        <v>91</v>
      </c>
      <c r="K4728" t="s">
        <v>114</v>
      </c>
      <c r="L4728" t="s">
        <v>20</v>
      </c>
      <c r="M4728" t="s">
        <v>9778</v>
      </c>
      <c r="N4728" t="s">
        <v>9779</v>
      </c>
    </row>
    <row r="4729" x14ac:dyDescent="0.25">
      <c r="A4729" t="n">
        <v>25</v>
      </c>
      <c r="B4729" t="s">
        <v>14</v>
      </c>
      <c r="C4729" t="s">
        <v>22</v>
      </c>
      <c r="D4729" s="2" t="s">
        <f>=HYPERLINK("https://main.knesset.gov.il/APPS/legislation/main/bills/2201009", "חוק המאבק בכלי הנשק הבלתי חוקיים (תיקון חקיקה והוראת שעה), התשפ""ג–2023")</f>
        <v>9780</v>
      </c>
      <c r="E4729" t="s">
        <v>9780</v>
      </c>
      <c r="F4729" t="s">
        <v>9781</v>
      </c>
      <c r="G4729" t="s">
        <v>9782</v>
      </c>
      <c r="H4729" t="n">
        <v>3035</v>
      </c>
      <c r="I4729" t="s">
        <v>14</v>
      </c>
      <c r="J4729" t="s">
        <v>91</v>
      </c>
      <c r="K4729" t="s">
        <v>14</v>
      </c>
      <c r="L4729" t="s">
        <v>20</v>
      </c>
      <c r="M4729" t="s">
        <v>9778</v>
      </c>
      <c r="N4729" t="s">
        <v>9783</v>
      </c>
    </row>
    <row r="4730" x14ac:dyDescent="0.25">
      <c r="A4730" t="n">
        <v>25</v>
      </c>
      <c r="B4730" t="s">
        <v>14</v>
      </c>
      <c r="C4730" t="s">
        <v>15</v>
      </c>
      <c r="D4730" s="2" t="s">
        <f>=HYPERLINK("https://main.knesset.gov.il/APPS/legislation/main/bills/2168187", "חוק לתיקון פקודת הרופאים (מס' 15), התשפ""ג-2023")</f>
        <v>9784</v>
      </c>
      <c r="E4730" t="s">
        <v>9784</v>
      </c>
      <c r="F4730" t="s">
        <v>14</v>
      </c>
      <c r="G4730" t="s">
        <v>9785</v>
      </c>
      <c r="H4730" t="n">
        <v>3033</v>
      </c>
      <c r="I4730" t="s">
        <v>14</v>
      </c>
      <c r="J4730" t="s">
        <v>91</v>
      </c>
      <c r="K4730" t="s">
        <v>480</v>
      </c>
      <c r="L4730" t="s">
        <v>20</v>
      </c>
      <c r="M4730" t="s">
        <v>9778</v>
      </c>
      <c r="N4730" t="s">
        <v>9786</v>
      </c>
    </row>
    <row r="4731" x14ac:dyDescent="0.25">
      <c r="A4731" t="n">
        <v>25</v>
      </c>
      <c r="B4731" t="s">
        <v>14</v>
      </c>
      <c r="C4731" t="s">
        <v>22</v>
      </c>
      <c r="D4731" s="2" t="s">
        <f>=HYPERLINK("https://main.knesset.gov.il/APPS/legislation/main/bills/2196420", "חוק זכויות החולה (תיקון מס' 13), התשפ""ג–2023")</f>
        <v>9787</v>
      </c>
      <c r="E4731" t="s">
        <v>9787</v>
      </c>
      <c r="F4731" t="s">
        <v>9788</v>
      </c>
      <c r="G4731" t="s">
        <v>9789</v>
      </c>
      <c r="H4731" t="n">
        <v>3032</v>
      </c>
      <c r="I4731" t="s">
        <v>14</v>
      </c>
      <c r="J4731" t="s">
        <v>91</v>
      </c>
      <c r="K4731" t="s">
        <v>480</v>
      </c>
      <c r="L4731" t="s">
        <v>20</v>
      </c>
      <c r="M4731" t="s">
        <v>9778</v>
      </c>
      <c r="N4731" t="s">
        <v>9790</v>
      </c>
    </row>
    <row r="4732" x14ac:dyDescent="0.25">
      <c r="A4732" t="n">
        <v>25</v>
      </c>
      <c r="B4732" t="s">
        <v>14</v>
      </c>
      <c r="C4732" t="s">
        <v>22</v>
      </c>
      <c r="D4732" s="2" t="s">
        <f>=HYPERLINK("https://main.knesset.gov.il/APPS/legislation/main/bills/2203339", "הצעת חוק הכניסה לישראל (תיקון - איסור כניסת פעילי טרור), התשפ""ג-2023")</f>
        <v>8765</v>
      </c>
      <c r="E4732" t="s">
        <v>8765</v>
      </c>
      <c r="F4732" t="s">
        <v>9791</v>
      </c>
      <c r="G4732" t="s">
        <v>14</v>
      </c>
      <c r="H4732">
             </c>
      <c r="I4732" t="s">
        <v>14</v>
      </c>
      <c r="J4732" t="s">
        <v>141</v>
      </c>
      <c r="K4732" t="s">
        <v>14</v>
      </c>
      <c r="L4732" t="s">
        <v>20</v>
      </c>
      <c r="M4732" t="s">
        <v>9778</v>
      </c>
      <c r="N4732" t="s">
        <v>14</v>
      </c>
    </row>
    <row r="4733" x14ac:dyDescent="0.25">
      <c r="A4733" t="n">
        <v>25</v>
      </c>
      <c r="B4733" t="s">
        <v>14</v>
      </c>
      <c r="C4733" t="s">
        <v>22</v>
      </c>
      <c r="D4733" s="2" t="s">
        <f>=HYPERLINK("https://main.knesset.gov.il/APPS/legislation/main/bills/2203769", "הצעת חוק התמודדות עם תופעת נטילת דמי חסות, התשפ""ג-2023")</f>
        <v>9792</v>
      </c>
      <c r="E4733" t="s">
        <v>9792</v>
      </c>
      <c r="F4733" t="s">
        <v>9793</v>
      </c>
      <c r="G4733" t="s">
        <v>14</v>
      </c>
      <c r="H4733">
             </c>
      <c r="I4733" t="s">
        <v>14</v>
      </c>
      <c r="J4733" t="s">
        <v>141</v>
      </c>
      <c r="K4733" t="s">
        <v>14</v>
      </c>
      <c r="L4733" t="s">
        <v>20</v>
      </c>
      <c r="M4733" t="s">
        <v>9778</v>
      </c>
      <c r="N4733" t="s">
        <v>14</v>
      </c>
    </row>
    <row r="4734" x14ac:dyDescent="0.25">
      <c r="A4734" t="n">
        <v>25</v>
      </c>
      <c r="B4734" t="s">
        <v>14</v>
      </c>
      <c r="C4734" t="s">
        <v>22</v>
      </c>
      <c r="D4734" s="2" t="s">
        <f>=HYPERLINK("https://main.knesset.gov.il/APPS/legislation/main/bills/2199164", "הצעת חוק הפיקוח על שירותים פיננסיים (ביטוח) (תיקון - מוסד ליישוב סכסוכים), התשפ""ג-2023")</f>
        <v>9794</v>
      </c>
      <c r="E4734" t="s">
        <v>9794</v>
      </c>
      <c r="F4734" t="s">
        <v>9795</v>
      </c>
      <c r="G4734" t="s">
        <v>14</v>
      </c>
      <c r="H4734">
             </c>
      <c r="I4734" t="s">
        <v>14</v>
      </c>
      <c r="J4734" t="s">
        <v>141</v>
      </c>
      <c r="K4734" t="s">
        <v>14</v>
      </c>
      <c r="L4734" t="s">
        <v>20</v>
      </c>
      <c r="M4734" t="s">
        <v>9778</v>
      </c>
      <c r="N4734" t="s">
        <v>14</v>
      </c>
    </row>
    <row r="4735" x14ac:dyDescent="0.25">
      <c r="A4735" t="n">
        <v>25</v>
      </c>
      <c r="B4735" t="s">
        <v>14</v>
      </c>
      <c r="C4735" t="s">
        <v>22</v>
      </c>
      <c r="D4735" s="2" t="s">
        <f>=HYPERLINK("https://main.knesset.gov.il/APPS/legislation/main/bills/2203219", "הצעת חוק ביטוח בריאות ממלכתי (תיקון - מחלה נדירה), התשפ""ג-2023")</f>
        <v>9657</v>
      </c>
      <c r="E4735" t="s">
        <v>9657</v>
      </c>
      <c r="F4735" t="s">
        <v>9796</v>
      </c>
      <c r="G4735" t="s">
        <v>14</v>
      </c>
      <c r="H4735">
             </c>
      <c r="I4735" t="s">
        <v>14</v>
      </c>
      <c r="J4735" t="s">
        <v>141</v>
      </c>
      <c r="K4735" t="s">
        <v>14</v>
      </c>
      <c r="L4735" t="s">
        <v>20</v>
      </c>
      <c r="M4735" t="s">
        <v>9778</v>
      </c>
      <c r="N4735" t="s">
        <v>14</v>
      </c>
    </row>
    <row r="4736" x14ac:dyDescent="0.25">
      <c r="A4736" t="n">
        <v>25</v>
      </c>
      <c r="B4736" t="s">
        <v>14</v>
      </c>
      <c r="C4736" t="s">
        <v>22</v>
      </c>
      <c r="D4736" s="2" t="s">
        <f>=HYPERLINK("https://main.knesset.gov.il/APPS/legislation/main/bills/2203373", "הצעת חוק דמי מחלה (היעדרות בשל מחלת ילד) (תיקון - היעדרות בשל אשפוז פג), התשפ""ג-2023")</f>
        <v>9380</v>
      </c>
      <c r="E4736" t="s">
        <v>9380</v>
      </c>
      <c r="F4736" t="s">
        <v>9797</v>
      </c>
      <c r="G4736" t="s">
        <v>14</v>
      </c>
      <c r="H4736">
             </c>
      <c r="I4736" t="s">
        <v>14</v>
      </c>
      <c r="J4736" t="s">
        <v>141</v>
      </c>
      <c r="K4736" t="s">
        <v>14</v>
      </c>
      <c r="L4736" t="s">
        <v>20</v>
      </c>
      <c r="M4736" t="s">
        <v>9778</v>
      </c>
      <c r="N4736" t="s">
        <v>14</v>
      </c>
    </row>
    <row r="4737" x14ac:dyDescent="0.25">
      <c r="A4737" t="n">
        <v>25</v>
      </c>
      <c r="B4737" t="s">
        <v>14</v>
      </c>
      <c r="C4737" t="s">
        <v>22</v>
      </c>
      <c r="D4737" s="2" t="s">
        <f>=HYPERLINK("https://main.knesset.gov.il/APPS/legislation/main/bills/2203248", "הצעת חוק שכר מינימום (תיקון - שכר שווה לאנשים המתמודדים עם מוגבלות), התשפ""ג-2023")</f>
        <v>9450</v>
      </c>
      <c r="E4737" t="s">
        <v>9450</v>
      </c>
      <c r="F4737" t="s">
        <v>9798</v>
      </c>
      <c r="G4737" t="s">
        <v>14</v>
      </c>
      <c r="H4737">
             </c>
      <c r="I4737" t="s">
        <v>14</v>
      </c>
      <c r="J4737" t="s">
        <v>141</v>
      </c>
      <c r="K4737" t="s">
        <v>14</v>
      </c>
      <c r="L4737" t="s">
        <v>20</v>
      </c>
      <c r="M4737" t="s">
        <v>9778</v>
      </c>
      <c r="N4737" t="s">
        <v>14</v>
      </c>
    </row>
    <row r="4738" x14ac:dyDescent="0.25">
      <c r="A4738" t="n">
        <v>25</v>
      </c>
      <c r="B4738" t="s">
        <v>14</v>
      </c>
      <c r="C4738" t="s">
        <v>22</v>
      </c>
      <c r="D4738" s="2" t="s">
        <f>=HYPERLINK("https://main.knesset.gov.il/APPS/legislation/main/bills/2202707", "הצעת חוק הביטוח הלאומי (תיקון - עבודה באבטחה כעבודה מועדפת), התשפ""ג-2023")</f>
        <v>9799</v>
      </c>
      <c r="E4738" t="s">
        <v>9799</v>
      </c>
      <c r="F4738" t="s">
        <v>9800</v>
      </c>
      <c r="G4738" t="s">
        <v>14</v>
      </c>
      <c r="H4738">
             </c>
      <c r="I4738" t="s">
        <v>14</v>
      </c>
      <c r="J4738" t="s">
        <v>141</v>
      </c>
      <c r="K4738" t="s">
        <v>14</v>
      </c>
      <c r="L4738" t="s">
        <v>20</v>
      </c>
      <c r="M4738" t="s">
        <v>9778</v>
      </c>
      <c r="N4738" t="s">
        <v>14</v>
      </c>
    </row>
    <row r="4739" x14ac:dyDescent="0.25">
      <c r="A4739" t="n">
        <v>25</v>
      </c>
      <c r="B4739" t="s">
        <v>14</v>
      </c>
      <c r="C4739" t="s">
        <v>22</v>
      </c>
      <c r="D4739" s="2" t="s">
        <f>=HYPERLINK("https://main.knesset.gov.il/APPS/legislation/main/bills/2203289", "הצעת חוק הביטוח הלאומי (תיקון - השוואת זכויות אלמן ואלמנה), התשפ""ג-2023")</f>
        <v>8065</v>
      </c>
      <c r="E4739" t="s">
        <v>8065</v>
      </c>
      <c r="F4739" t="s">
        <v>9801</v>
      </c>
      <c r="G4739" t="s">
        <v>14</v>
      </c>
      <c r="H4739">
             </c>
      <c r="I4739" t="s">
        <v>14</v>
      </c>
      <c r="J4739" t="s">
        <v>141</v>
      </c>
      <c r="K4739" t="s">
        <v>14</v>
      </c>
      <c r="L4739" t="s">
        <v>20</v>
      </c>
      <c r="M4739" t="s">
        <v>9778</v>
      </c>
      <c r="N4739" t="s">
        <v>14</v>
      </c>
    </row>
    <row r="4740" x14ac:dyDescent="0.25">
      <c r="A4740" t="n">
        <v>25</v>
      </c>
      <c r="B4740" t="s">
        <v>14</v>
      </c>
      <c r="C4740" t="s">
        <v>22</v>
      </c>
      <c r="D4740" s="2" t="s">
        <f>=HYPERLINK("https://main.knesset.gov.il/APPS/legislation/main/bills/2202327", "הצעת חוק קרן קיימת לישראל (תחולת דיני המס והוראת שעה) (תיקון - היטל מימון פיתוח על מקרקעי קרן קיימת לישראל), התשפ""ג-2023")</f>
        <v>9802</v>
      </c>
      <c r="E4740" t="s">
        <v>9802</v>
      </c>
      <c r="F4740" t="s">
        <v>9803</v>
      </c>
      <c r="G4740" t="s">
        <v>14</v>
      </c>
      <c r="H4740">
             </c>
      <c r="I4740" t="s">
        <v>14</v>
      </c>
      <c r="J4740" t="s">
        <v>141</v>
      </c>
      <c r="K4740" t="s">
        <v>14</v>
      </c>
      <c r="L4740" t="s">
        <v>20</v>
      </c>
      <c r="M4740" t="s">
        <v>9778</v>
      </c>
      <c r="N4740" t="s">
        <v>14</v>
      </c>
    </row>
    <row r="4741" x14ac:dyDescent="0.25">
      <c r="A4741" t="n">
        <v>25</v>
      </c>
      <c r="B4741" t="s">
        <v>14</v>
      </c>
      <c r="C4741" t="s">
        <v>22</v>
      </c>
      <c r="D4741" s="2" t="s">
        <f>=HYPERLINK("https://main.knesset.gov.il/APPS/legislation/main/bills/2201258", "הצעת חוק לשינוי סדרי עדיפויות לאומיים (תיקוני חקיקה להשגת יעדי התקציב לשנים 2013 ו-2014) (תיקון - ביטול השיעור הנוסף), התשפ""ג-2023")</f>
        <v>9804</v>
      </c>
      <c r="E4741" t="s">
        <v>9804</v>
      </c>
      <c r="F4741" t="s">
        <v>9805</v>
      </c>
      <c r="G4741" t="s">
        <v>14</v>
      </c>
      <c r="H4741">
             </c>
      <c r="I4741" t="s">
        <v>14</v>
      </c>
      <c r="J4741" t="s">
        <v>141</v>
      </c>
      <c r="K4741" t="s">
        <v>14</v>
      </c>
      <c r="L4741" t="s">
        <v>20</v>
      </c>
      <c r="M4741" t="s">
        <v>9778</v>
      </c>
      <c r="N4741" t="s">
        <v>14</v>
      </c>
    </row>
    <row r="4742" x14ac:dyDescent="0.25">
      <c r="A4742" t="n">
        <v>25</v>
      </c>
      <c r="B4742" t="s">
        <v>14</v>
      </c>
      <c r="C4742" t="s">
        <v>22</v>
      </c>
      <c r="D4742" s="2" t="s">
        <f>=HYPERLINK("https://main.knesset.gov.il/APPS/legislation/main/bills/2203063", "הצעת חוק עבודת נשים (תיקון - שעות היעדרות מעבודה לאישה בהריון בר-סיכון), התשפ""ג-2023")</f>
        <v>9806</v>
      </c>
      <c r="E4742" t="s">
        <v>9806</v>
      </c>
      <c r="F4742" t="s">
        <v>9807</v>
      </c>
      <c r="G4742" t="s">
        <v>14</v>
      </c>
      <c r="H4742">
             </c>
      <c r="I4742" t="s">
        <v>14</v>
      </c>
      <c r="J4742" t="s">
        <v>141</v>
      </c>
      <c r="K4742" t="s">
        <v>14</v>
      </c>
      <c r="L4742" t="s">
        <v>20</v>
      </c>
      <c r="M4742" t="s">
        <v>9778</v>
      </c>
      <c r="N4742" t="s">
        <v>14</v>
      </c>
    </row>
    <row r="4743" x14ac:dyDescent="0.25">
      <c r="A4743" t="n">
        <v>25</v>
      </c>
      <c r="B4743" t="s">
        <v>14</v>
      </c>
      <c r="C4743" t="s">
        <v>22</v>
      </c>
      <c r="D4743" s="2" t="s">
        <f>=HYPERLINK("https://main.knesset.gov.il/APPS/legislation/main/bills/2203092", "הצעת חוק ביטוח בריאות ממלכתי (תיקון - החזר דמי נסיעות עבור חולה סיעודי וחולה שנפטר), התשפ""ג-2023")</f>
        <v>9808</v>
      </c>
      <c r="E4743" t="s">
        <v>9808</v>
      </c>
      <c r="F4743" t="s">
        <v>9809</v>
      </c>
      <c r="G4743" t="s">
        <v>14</v>
      </c>
      <c r="H4743">
             </c>
      <c r="I4743" t="s">
        <v>14</v>
      </c>
      <c r="J4743" t="s">
        <v>141</v>
      </c>
      <c r="K4743" t="s">
        <v>14</v>
      </c>
      <c r="L4743" t="s">
        <v>20</v>
      </c>
      <c r="M4743" t="s">
        <v>9778</v>
      </c>
      <c r="N4743" t="s">
        <v>14</v>
      </c>
    </row>
    <row r="4744" x14ac:dyDescent="0.25">
      <c r="A4744" t="n">
        <v>25</v>
      </c>
      <c r="B4744" t="s">
        <v>14</v>
      </c>
      <c r="C4744" t="s">
        <v>22</v>
      </c>
      <c r="D4744" s="2" t="s">
        <f>=HYPERLINK("https://main.knesset.gov.il/APPS/legislation/main/bills/2201173", "הצעת חוק הביטוח הלאומי (תיקון - דמי אבטלה למתמחים), התשפ""ג-2023")</f>
        <v>9810</v>
      </c>
      <c r="E4744" t="s">
        <v>9810</v>
      </c>
      <c r="F4744" t="s">
        <v>9811</v>
      </c>
      <c r="G4744" t="s">
        <v>14</v>
      </c>
      <c r="H4744">
             </c>
      <c r="I4744" t="s">
        <v>14</v>
      </c>
      <c r="J4744" t="s">
        <v>141</v>
      </c>
      <c r="K4744" t="s">
        <v>14</v>
      </c>
      <c r="L4744" t="s">
        <v>20</v>
      </c>
      <c r="M4744" t="s">
        <v>9778</v>
      </c>
      <c r="N4744" t="s">
        <v>14</v>
      </c>
    </row>
    <row r="4745" x14ac:dyDescent="0.25">
      <c r="A4745" t="n">
        <v>25</v>
      </c>
      <c r="B4745" t="s">
        <v>14</v>
      </c>
      <c r="C4745" t="s">
        <v>22</v>
      </c>
      <c r="D4745" s="2" t="s">
        <f>=HYPERLINK("https://main.knesset.gov.il/APPS/legislation/main/bills/2201174", "הצעת חוק התכנון והבנייה (תיקון - שיעור היטל השבחה), התשפ""ג-2023")</f>
        <v>9812</v>
      </c>
      <c r="E4745" t="s">
        <v>9812</v>
      </c>
      <c r="F4745" t="s">
        <v>9813</v>
      </c>
      <c r="G4745" t="s">
        <v>14</v>
      </c>
      <c r="H4745">
             </c>
      <c r="I4745" t="s">
        <v>14</v>
      </c>
      <c r="J4745" t="s">
        <v>141</v>
      </c>
      <c r="K4745" t="s">
        <v>14</v>
      </c>
      <c r="L4745" t="s">
        <v>20</v>
      </c>
      <c r="M4745" t="s">
        <v>9778</v>
      </c>
      <c r="N4745" t="s">
        <v>14</v>
      </c>
    </row>
    <row r="4746" x14ac:dyDescent="0.25">
      <c r="A4746" t="n">
        <v>25</v>
      </c>
      <c r="B4746" t="s">
        <v>14</v>
      </c>
      <c r="C4746" t="s">
        <v>22</v>
      </c>
      <c r="D4746" s="2" t="s">
        <f>=HYPERLINK("https://main.knesset.gov.il/APPS/legislation/main/bills/2203136", "הצעת חוק לתיקון פקודת בריאות העם (מכרז להצבת מכונות מזון אוטומטיות), התשפ""ג-2023")</f>
        <v>9814</v>
      </c>
      <c r="E4746" t="s">
        <v>9814</v>
      </c>
      <c r="F4746" t="s">
        <v>9815</v>
      </c>
      <c r="G4746" t="s">
        <v>14</v>
      </c>
      <c r="H4746">
             </c>
      <c r="I4746" t="s">
        <v>14</v>
      </c>
      <c r="J4746" t="s">
        <v>141</v>
      </c>
      <c r="K4746" t="s">
        <v>14</v>
      </c>
      <c r="L4746" t="s">
        <v>20</v>
      </c>
      <c r="M4746" t="s">
        <v>9778</v>
      </c>
      <c r="N4746" t="s">
        <v>14</v>
      </c>
    </row>
    <row r="4747" x14ac:dyDescent="0.25">
      <c r="A4747" t="n">
        <v>25</v>
      </c>
      <c r="B4747" t="s">
        <v>14</v>
      </c>
      <c r="C4747" t="s">
        <v>22</v>
      </c>
      <c r="D4747" s="2" t="s">
        <f>=HYPERLINK("https://main.knesset.gov.il/APPS/legislation/main/bills/2203258", "הצעת חוק מעונות יום שיקומיים (תיקון - הקדמת גיל הזכאות), התשפ""ג-2023")</f>
        <v>9816</v>
      </c>
      <c r="E4747" t="s">
        <v>9816</v>
      </c>
      <c r="F4747" t="s">
        <v>9817</v>
      </c>
      <c r="G4747" t="s">
        <v>14</v>
      </c>
      <c r="H4747">
             </c>
      <c r="I4747" t="s">
        <v>14</v>
      </c>
      <c r="J4747" t="s">
        <v>141</v>
      </c>
      <c r="K4747" t="s">
        <v>14</v>
      </c>
      <c r="L4747" t="s">
        <v>20</v>
      </c>
      <c r="M4747" t="s">
        <v>9778</v>
      </c>
      <c r="N4747" t="s">
        <v>14</v>
      </c>
    </row>
    <row r="4748" x14ac:dyDescent="0.25">
      <c r="A4748" t="n">
        <v>25</v>
      </c>
      <c r="B4748" t="s">
        <v>14</v>
      </c>
      <c r="C4748" t="s">
        <v>22</v>
      </c>
      <c r="D4748" s="2" t="s">
        <f>=HYPERLINK("https://main.knesset.gov.il/APPS/legislation/main/bills/2203419", "הצעת חוק הגנת השכר (תיקון - פנקס שכר, תלוש שכר וגליון אלקטרוני), התשפ""ג-2023")</f>
        <v>9818</v>
      </c>
      <c r="E4748" t="s">
        <v>9818</v>
      </c>
      <c r="F4748" t="s">
        <v>9819</v>
      </c>
      <c r="G4748" t="s">
        <v>14</v>
      </c>
      <c r="H4748">
             </c>
      <c r="I4748" t="s">
        <v>14</v>
      </c>
      <c r="J4748" t="s">
        <v>141</v>
      </c>
      <c r="K4748" t="s">
        <v>14</v>
      </c>
      <c r="L4748" t="s">
        <v>20</v>
      </c>
      <c r="M4748" t="s">
        <v>9778</v>
      </c>
      <c r="N4748" t="s">
        <v>14</v>
      </c>
    </row>
    <row r="4749" x14ac:dyDescent="0.25">
      <c r="A4749" t="n">
        <v>25</v>
      </c>
      <c r="B4749" t="s">
        <v>14</v>
      </c>
      <c r="C4749" t="s">
        <v>22</v>
      </c>
      <c r="D4749" s="2" t="s">
        <f>=HYPERLINK("https://main.knesset.gov.il/APPS/legislation/main/bills/2203296", "הצעת חוק הביטוח הלאומי (תיקון - מימון הסעת יולדת באמבולנס), התשפ""ג-2023")</f>
        <v>8061</v>
      </c>
      <c r="E4749" t="s">
        <v>8061</v>
      </c>
      <c r="F4749" t="s">
        <v>9820</v>
      </c>
      <c r="G4749" t="s">
        <v>14</v>
      </c>
      <c r="H4749">
             </c>
      <c r="I4749" t="s">
        <v>14</v>
      </c>
      <c r="J4749" t="s">
        <v>141</v>
      </c>
      <c r="K4749" t="s">
        <v>14</v>
      </c>
      <c r="L4749" t="s">
        <v>20</v>
      </c>
      <c r="M4749" t="s">
        <v>9778</v>
      </c>
      <c r="N4749" t="s">
        <v>14</v>
      </c>
    </row>
    <row r="4750" x14ac:dyDescent="0.25">
      <c r="A4750" t="n">
        <v>25</v>
      </c>
      <c r="B4750" t="s">
        <v>14</v>
      </c>
      <c r="C4750" t="s">
        <v>22</v>
      </c>
      <c r="D4750" s="2" t="s">
        <f>=HYPERLINK("https://main.knesset.gov.il/APPS/legislation/main/bills/2201436", "הצעת חוק לתיקון פקודת מסי העירייה ומסי הממשלה (פטורין) (פטור מארנונה לישיבת הסדר ולמכינה קדם צבאית), התשפ""ג-2023")</f>
        <v>9821</v>
      </c>
      <c r="E4750" t="s">
        <v>9821</v>
      </c>
      <c r="F4750" t="s">
        <v>9822</v>
      </c>
      <c r="G4750" t="s">
        <v>14</v>
      </c>
      <c r="H4750">
             </c>
      <c r="I4750" t="s">
        <v>14</v>
      </c>
      <c r="J4750" t="s">
        <v>141</v>
      </c>
      <c r="K4750" t="s">
        <v>14</v>
      </c>
      <c r="L4750" t="s">
        <v>20</v>
      </c>
      <c r="M4750" t="s">
        <v>9778</v>
      </c>
      <c r="N4750" t="s">
        <v>14</v>
      </c>
    </row>
    <row r="4751" x14ac:dyDescent="0.25">
      <c r="A4751" t="n">
        <v>25</v>
      </c>
      <c r="B4751" t="s">
        <v>14</v>
      </c>
      <c r="C4751" t="s">
        <v>22</v>
      </c>
      <c r="D4751" s="2" t="s">
        <f>=HYPERLINK("https://main.knesset.gov.il/APPS/legislation/main/bills/2198434", "הצעת חוק הביטוח הלאומי (תיקון - תנאי זכאות לדמי לידה), התשפ""ג-2023")</f>
        <v>8609</v>
      </c>
      <c r="E4751" t="s">
        <v>8609</v>
      </c>
      <c r="F4751" t="s">
        <v>9823</v>
      </c>
      <c r="G4751" t="s">
        <v>14</v>
      </c>
      <c r="H4751">
             </c>
      <c r="I4751" t="s">
        <v>14</v>
      </c>
      <c r="J4751" t="s">
        <v>141</v>
      </c>
      <c r="K4751" t="s">
        <v>14</v>
      </c>
      <c r="L4751" t="s">
        <v>20</v>
      </c>
      <c r="M4751" t="s">
        <v>9778</v>
      </c>
      <c r="N4751" t="s">
        <v>14</v>
      </c>
    </row>
    <row r="4752" x14ac:dyDescent="0.25">
      <c r="A4752" t="n">
        <v>25</v>
      </c>
      <c r="B4752" t="s">
        <v>14</v>
      </c>
      <c r="C4752" t="s">
        <v>22</v>
      </c>
      <c r="D4752" s="2" t="s">
        <f>=HYPERLINK("https://main.knesset.gov.il/APPS/legislation/main/bills/2202981", "הצעת חוק זכויות החולה (תיקון - שמירת דגימות שנלקחו מנפגעי עבירות מין), התשפ""ג-2023")</f>
        <v>8970</v>
      </c>
      <c r="E4752" t="s">
        <v>8970</v>
      </c>
      <c r="F4752" t="s">
        <v>9824</v>
      </c>
      <c r="G4752" t="s">
        <v>14</v>
      </c>
      <c r="H4752">
             </c>
      <c r="I4752" t="s">
        <v>14</v>
      </c>
      <c r="J4752" t="s">
        <v>141</v>
      </c>
      <c r="K4752" t="s">
        <v>14</v>
      </c>
      <c r="L4752" t="s">
        <v>20</v>
      </c>
      <c r="M4752" t="s">
        <v>9778</v>
      </c>
      <c r="N4752" t="s">
        <v>14</v>
      </c>
    </row>
    <row r="4753" x14ac:dyDescent="0.25">
      <c r="A4753" t="n">
        <v>25</v>
      </c>
      <c r="B4753" t="s">
        <v>14</v>
      </c>
      <c r="C4753" t="s">
        <v>22</v>
      </c>
      <c r="D4753" s="2" t="s">
        <f>=HYPERLINK("https://main.knesset.gov.il/APPS/legislation/main/bills/2203052", "הצעת חוק מפעל הזנה במוסדות חינוך על יסודיים לנוער בסיכון ולנוער נושר, התשפ''ג-2023")</f>
        <v>9486</v>
      </c>
      <c r="E4753" t="s">
        <v>9486</v>
      </c>
      <c r="F4753" t="s">
        <v>9825</v>
      </c>
      <c r="G4753" t="s">
        <v>14</v>
      </c>
      <c r="H4753">
             </c>
      <c r="I4753" t="s">
        <v>14</v>
      </c>
      <c r="J4753" t="s">
        <v>141</v>
      </c>
      <c r="K4753" t="s">
        <v>14</v>
      </c>
      <c r="L4753" t="s">
        <v>20</v>
      </c>
      <c r="M4753" t="s">
        <v>9778</v>
      </c>
      <c r="N4753" t="s">
        <v>14</v>
      </c>
    </row>
    <row r="4754" x14ac:dyDescent="0.25">
      <c r="A4754" t="n">
        <v>25</v>
      </c>
      <c r="B4754" t="s">
        <v>14</v>
      </c>
      <c r="C4754" t="s">
        <v>22</v>
      </c>
      <c r="D4754" s="2" t="s">
        <f>=HYPERLINK("https://main.knesset.gov.il/APPS/legislation/main/bills/2202970", "הצעת חוק טיפול במכורים לסמים קשים ואשפוזם (תיקוני חקיקה), התשפ""ג-2023")</f>
        <v>8077</v>
      </c>
      <c r="E4754" t="s">
        <v>8077</v>
      </c>
      <c r="F4754" t="s">
        <v>9826</v>
      </c>
      <c r="G4754" t="s">
        <v>14</v>
      </c>
      <c r="H4754">
             </c>
      <c r="I4754" t="s">
        <v>14</v>
      </c>
      <c r="J4754" t="s">
        <v>141</v>
      </c>
      <c r="K4754" t="s">
        <v>14</v>
      </c>
      <c r="L4754" t="s">
        <v>20</v>
      </c>
      <c r="M4754" t="s">
        <v>9778</v>
      </c>
      <c r="N4754" t="s">
        <v>14</v>
      </c>
    </row>
    <row r="4755" x14ac:dyDescent="0.25">
      <c r="A4755" t="n">
        <v>25</v>
      </c>
      <c r="B4755" t="s">
        <v>14</v>
      </c>
      <c r="C4755" t="s">
        <v>22</v>
      </c>
      <c r="D4755" s="2" t="s">
        <f>=HYPERLINK("https://main.knesset.gov.il/APPS/legislation/main/bills/2202976", "הצעת חוק הביטוח הלאומי (תיקון - קביעת אחוזי נכות ללקויי שמיעה - דו-צידי וחד-צידי), התשפ""ג-2023 ")</f>
        <v>9374</v>
      </c>
      <c r="E4755" t="s">
        <v>9374</v>
      </c>
      <c r="F4755" t="s">
        <v>9827</v>
      </c>
      <c r="G4755" t="s">
        <v>14</v>
      </c>
      <c r="H4755">
             </c>
      <c r="I4755" t="s">
        <v>14</v>
      </c>
      <c r="J4755" t="s">
        <v>141</v>
      </c>
      <c r="K4755" t="s">
        <v>14</v>
      </c>
      <c r="L4755" t="s">
        <v>20</v>
      </c>
      <c r="M4755" t="s">
        <v>9778</v>
      </c>
      <c r="N4755" t="s">
        <v>14</v>
      </c>
    </row>
    <row r="4756" x14ac:dyDescent="0.25">
      <c r="A4756" t="n">
        <v>25</v>
      </c>
      <c r="B4756" t="s">
        <v>14</v>
      </c>
      <c r="C4756" t="s">
        <v>22</v>
      </c>
      <c r="D4756" s="2" t="s">
        <f>=HYPERLINK("https://main.knesset.gov.il/APPS/legislation/main/bills/2203130", "הצעת חוק לימוד חובה (תיקון - חינוך חינם לגיל הרך), התשפ""ג-2023")</f>
        <v>9303</v>
      </c>
      <c r="E4756" t="s">
        <v>9303</v>
      </c>
      <c r="F4756" t="s">
        <v>9828</v>
      </c>
      <c r="G4756" t="s">
        <v>14</v>
      </c>
      <c r="H4756">
             </c>
      <c r="I4756" t="s">
        <v>14</v>
      </c>
      <c r="J4756" t="s">
        <v>141</v>
      </c>
      <c r="K4756" t="s">
        <v>14</v>
      </c>
      <c r="L4756" t="s">
        <v>20</v>
      </c>
      <c r="M4756" t="s">
        <v>9778</v>
      </c>
      <c r="N4756" t="s">
        <v>14</v>
      </c>
    </row>
    <row r="4757" x14ac:dyDescent="0.25">
      <c r="A4757" t="n">
        <v>25</v>
      </c>
      <c r="B4757" t="s">
        <v>14</v>
      </c>
      <c r="C4757" t="s">
        <v>22</v>
      </c>
      <c r="D4757" s="2" t="s">
        <f>=HYPERLINK("https://main.knesset.gov.il/APPS/legislation/main/bills/2203287", "הצעת חוק הביטוח הלאומי (תיקון - ערעור על החלטת ועדה לעררים), התשפ""ג-2023")</f>
        <v>9829</v>
      </c>
      <c r="E4757" t="s">
        <v>9829</v>
      </c>
      <c r="F4757" t="s">
        <v>9830</v>
      </c>
      <c r="G4757" t="s">
        <v>14</v>
      </c>
      <c r="H4757">
             </c>
      <c r="I4757" t="s">
        <v>14</v>
      </c>
      <c r="J4757" t="s">
        <v>141</v>
      </c>
      <c r="K4757" t="s">
        <v>14</v>
      </c>
      <c r="L4757" t="s">
        <v>20</v>
      </c>
      <c r="M4757" t="s">
        <v>9778</v>
      </c>
      <c r="N4757" t="s">
        <v>14</v>
      </c>
    </row>
    <row r="4758" x14ac:dyDescent="0.25">
      <c r="A4758" t="n">
        <v>25</v>
      </c>
      <c r="B4758" t="s">
        <v>14</v>
      </c>
      <c r="C4758" t="s">
        <v>22</v>
      </c>
      <c r="D4758" s="2" t="s">
        <f>=HYPERLINK("https://main.knesset.gov.il/APPS/legislation/main/bills/2203061", "הצעת חוק שוויון זכויות לאנשים עם מוגבלות (תיקון - מידע בדבר עמידת מעסיקים פרטיים גדולים ביעד הייצוג ההולם), התשפ""ג-2023")</f>
        <v>8806</v>
      </c>
      <c r="E4758" t="s">
        <v>8806</v>
      </c>
      <c r="F4758" t="s">
        <v>9831</v>
      </c>
      <c r="G4758" t="s">
        <v>14</v>
      </c>
      <c r="H4758">
             </c>
      <c r="I4758" t="s">
        <v>14</v>
      </c>
      <c r="J4758" t="s">
        <v>141</v>
      </c>
      <c r="K4758" t="s">
        <v>14</v>
      </c>
      <c r="L4758" t="s">
        <v>20</v>
      </c>
      <c r="M4758" t="s">
        <v>9778</v>
      </c>
      <c r="N4758" t="s">
        <v>14</v>
      </c>
    </row>
    <row r="4759" x14ac:dyDescent="0.25">
      <c r="A4759" t="n">
        <v>25</v>
      </c>
      <c r="B4759" t="s">
        <v>14</v>
      </c>
      <c r="C4759" t="s">
        <v>22</v>
      </c>
      <c r="D4759" s="2" t="s">
        <f>=HYPERLINK("https://main.knesset.gov.il/APPS/legislation/main/bills/2203062", "הצעת חוק להגברת האכיפה של דיני העבודה (תיקון - הפרות בטיחות בעבודה בתחום הבנייה), התשפ""ג-2023")</f>
        <v>9445</v>
      </c>
      <c r="E4759" t="s">
        <v>9445</v>
      </c>
      <c r="F4759" t="s">
        <v>9832</v>
      </c>
      <c r="G4759" t="s">
        <v>14</v>
      </c>
      <c r="H4759">
             </c>
      <c r="I4759" t="s">
        <v>14</v>
      </c>
      <c r="J4759" t="s">
        <v>343</v>
      </c>
      <c r="K4759" t="s">
        <v>14</v>
      </c>
      <c r="L4759" t="s">
        <v>20</v>
      </c>
      <c r="M4759" t="s">
        <v>9778</v>
      </c>
      <c r="N4759" t="s">
        <v>14</v>
      </c>
    </row>
    <row r="4760" x14ac:dyDescent="0.25">
      <c r="A4760" t="n">
        <v>25</v>
      </c>
      <c r="B4760" t="s">
        <v>14</v>
      </c>
      <c r="C4760" t="s">
        <v>22</v>
      </c>
      <c r="D4760" s="2" t="s">
        <f>=HYPERLINK("https://main.knesset.gov.il/APPS/legislation/main/bills/2203207", "הצעת חוק לתיקון פקודת בריאות העם (העדפות מתן רישיון למכשור רפואי בפריפריה), התשפ""ג-2023")</f>
        <v>8001</v>
      </c>
      <c r="E4760" t="s">
        <v>8001</v>
      </c>
      <c r="F4760" t="s">
        <v>9833</v>
      </c>
      <c r="G4760" t="s">
        <v>14</v>
      </c>
      <c r="H4760">
             </c>
      <c r="I4760" t="s">
        <v>14</v>
      </c>
      <c r="J4760" t="s">
        <v>141</v>
      </c>
      <c r="K4760" t="s">
        <v>14</v>
      </c>
      <c r="L4760" t="s">
        <v>20</v>
      </c>
      <c r="M4760" t="s">
        <v>9778</v>
      </c>
      <c r="N4760" t="s">
        <v>14</v>
      </c>
    </row>
    <row r="4761" x14ac:dyDescent="0.25">
      <c r="A4761" t="n">
        <v>25</v>
      </c>
      <c r="B4761" t="s">
        <v>14</v>
      </c>
      <c r="C4761" t="s">
        <v>22</v>
      </c>
      <c r="D4761" s="2" t="s">
        <f>=HYPERLINK("https://main.knesset.gov.il/APPS/legislation/main/bills/2202865", "הצעת חוק הביטוח הלאומי (תיקון - קיזוז הכנסות שאינן מעבודה או ממשלח יד מקצבת נכות), התשפ""ג-2023")</f>
        <v>9433</v>
      </c>
      <c r="E4761" t="s">
        <v>9433</v>
      </c>
      <c r="F4761" t="s">
        <v>9834</v>
      </c>
      <c r="G4761" t="s">
        <v>14</v>
      </c>
      <c r="H4761">
             </c>
      <c r="I4761" t="s">
        <v>14</v>
      </c>
      <c r="J4761" t="s">
        <v>141</v>
      </c>
      <c r="K4761" t="s">
        <v>14</v>
      </c>
      <c r="L4761" t="s">
        <v>20</v>
      </c>
      <c r="M4761" t="s">
        <v>9778</v>
      </c>
      <c r="N4761" t="s">
        <v>14</v>
      </c>
    </row>
    <row r="4762" x14ac:dyDescent="0.25">
      <c r="A4762" t="n">
        <v>25</v>
      </c>
      <c r="B4762" t="s">
        <v>14</v>
      </c>
      <c r="C4762" t="s">
        <v>22</v>
      </c>
      <c r="D4762" s="2" t="s">
        <f>=HYPERLINK("https://main.knesset.gov.il/APPS/legislation/main/bills/2199332", "הצעת חוק זכויות הסטודנט (תיקון - תמיכה בסטודנטים שהם הורים), התשפ""ג-2023")</f>
        <v>9835</v>
      </c>
      <c r="E4762" t="s">
        <v>9835</v>
      </c>
      <c r="F4762" t="s">
        <v>9836</v>
      </c>
      <c r="G4762" t="s">
        <v>14</v>
      </c>
      <c r="H4762">
             </c>
      <c r="I4762" t="s">
        <v>14</v>
      </c>
      <c r="J4762" t="s">
        <v>141</v>
      </c>
      <c r="K4762" t="s">
        <v>14</v>
      </c>
      <c r="L4762" t="s">
        <v>20</v>
      </c>
      <c r="M4762" t="s">
        <v>9778</v>
      </c>
      <c r="N4762" t="s">
        <v>14</v>
      </c>
    </row>
    <row r="4763" x14ac:dyDescent="0.25">
      <c r="A4763" t="n">
        <v>25</v>
      </c>
      <c r="B4763" t="s">
        <v>14</v>
      </c>
      <c r="C4763" t="s">
        <v>22</v>
      </c>
      <c r="D4763" s="2" t="s">
        <f>=HYPERLINK("https://main.knesset.gov.il/APPS/legislation/main/bills/2203282", "הצעת חוק הביטוח הלאומי (תיקון - טיפול בפעוטות במעונות יום כעבודה מועדפת), התשפ""ג-2023")</f>
        <v>9837</v>
      </c>
      <c r="E4763" t="s">
        <v>9837</v>
      </c>
      <c r="F4763" t="s">
        <v>9838</v>
      </c>
      <c r="G4763" t="s">
        <v>14</v>
      </c>
      <c r="H4763">
             </c>
      <c r="I4763" t="s">
        <v>14</v>
      </c>
      <c r="J4763" t="s">
        <v>141</v>
      </c>
      <c r="K4763" t="s">
        <v>14</v>
      </c>
      <c r="L4763" t="s">
        <v>20</v>
      </c>
      <c r="M4763" t="s">
        <v>9778</v>
      </c>
      <c r="N4763" t="s">
        <v>14</v>
      </c>
    </row>
    <row r="4764" x14ac:dyDescent="0.25">
      <c r="A4764" t="n">
        <v>25</v>
      </c>
      <c r="B4764" t="s">
        <v>14</v>
      </c>
      <c r="C4764" t="s">
        <v>22</v>
      </c>
      <c r="D4764" s="2" t="s">
        <f>=HYPERLINK("https://main.knesset.gov.il/APPS/legislation/main/bills/2198897", "הצעת חוק יסודות התקציב (תיקון - תמיכת משרדי ממשלה במוסדות ציבור), התשפ""ג-2023")</f>
        <v>9839</v>
      </c>
      <c r="E4764" t="s">
        <v>9839</v>
      </c>
      <c r="F4764" t="s">
        <v>9840</v>
      </c>
      <c r="G4764" t="s">
        <v>14</v>
      </c>
      <c r="H4764">
             </c>
      <c r="I4764" t="s">
        <v>14</v>
      </c>
      <c r="J4764" t="s">
        <v>141</v>
      </c>
      <c r="K4764" t="s">
        <v>14</v>
      </c>
      <c r="L4764" t="s">
        <v>20</v>
      </c>
      <c r="M4764" t="s">
        <v>9778</v>
      </c>
      <c r="N4764" t="s">
        <v>14</v>
      </c>
    </row>
    <row r="4765" x14ac:dyDescent="0.25">
      <c r="A4765" t="n">
        <v>25</v>
      </c>
      <c r="B4765" t="s">
        <v>14</v>
      </c>
      <c r="C4765" t="s">
        <v>22</v>
      </c>
      <c r="D4765" s="2" t="s">
        <f>=HYPERLINK("https://main.knesset.gov.il/APPS/legislation/main/bills/2202740", "הצעת חוק הפיקוח על שירותים פיננסיים (קופות גמל) (תיקון - הרחבת הגדרת פנסיה תקציבית), התשפ""ג-2023")</f>
        <v>9841</v>
      </c>
      <c r="E4765" t="s">
        <v>9841</v>
      </c>
      <c r="F4765" t="s">
        <v>9842</v>
      </c>
      <c r="G4765" t="s">
        <v>14</v>
      </c>
      <c r="H4765">
             </c>
      <c r="I4765" t="s">
        <v>14</v>
      </c>
      <c r="J4765" t="s">
        <v>141</v>
      </c>
      <c r="K4765" t="s">
        <v>14</v>
      </c>
      <c r="L4765" t="s">
        <v>20</v>
      </c>
      <c r="M4765" t="s">
        <v>9778</v>
      </c>
      <c r="N4765" t="s">
        <v>14</v>
      </c>
    </row>
    <row r="4766" x14ac:dyDescent="0.25">
      <c r="A4766" t="n">
        <v>25</v>
      </c>
      <c r="B4766" t="s">
        <v>14</v>
      </c>
      <c r="C4766" t="s">
        <v>22</v>
      </c>
      <c r="D4766" s="2" t="s">
        <f>=HYPERLINK("https://main.knesset.gov.il/APPS/legislation/main/bills/2202737", "הצעת חוק הגנת הצרכן (תיקון - חובת הקלטה של עסקה טלפונית), התשפ""ג-2023")</f>
        <v>2750</v>
      </c>
      <c r="E4766" t="s">
        <v>2750</v>
      </c>
      <c r="F4766" t="s">
        <v>9843</v>
      </c>
      <c r="G4766" t="s">
        <v>14</v>
      </c>
      <c r="H4766">
             </c>
      <c r="I4766" t="s">
        <v>14</v>
      </c>
      <c r="J4766" t="s">
        <v>141</v>
      </c>
      <c r="K4766" t="s">
        <v>14</v>
      </c>
      <c r="L4766" t="s">
        <v>20</v>
      </c>
      <c r="M4766" t="s">
        <v>9778</v>
      </c>
      <c r="N4766" t="s">
        <v>14</v>
      </c>
    </row>
    <row r="4767" x14ac:dyDescent="0.25">
      <c r="A4767" t="n">
        <v>25</v>
      </c>
      <c r="B4767" t="s">
        <v>14</v>
      </c>
      <c r="C4767" t="s">
        <v>22</v>
      </c>
      <c r="D4767" s="2" t="s">
        <f>=HYPERLINK("https://main.knesset.gov.il/APPS/legislation/main/bills/2203205", "הצעת חוק המועצה להשכלה גבוהה (תיקון - הקמת מוסדות להשכלה גבוהה בפריפריה), התשפ""ג-2023")</f>
        <v>9844</v>
      </c>
      <c r="E4767" t="s">
        <v>9844</v>
      </c>
      <c r="F4767" t="s">
        <v>9845</v>
      </c>
      <c r="G4767" t="s">
        <v>14</v>
      </c>
      <c r="H4767">
             </c>
      <c r="I4767" t="s">
        <v>14</v>
      </c>
      <c r="J4767" t="s">
        <v>141</v>
      </c>
      <c r="K4767" t="s">
        <v>14</v>
      </c>
      <c r="L4767" t="s">
        <v>20</v>
      </c>
      <c r="M4767" t="s">
        <v>9778</v>
      </c>
      <c r="N4767" t="s">
        <v>14</v>
      </c>
    </row>
    <row r="4768" x14ac:dyDescent="0.25">
      <c r="A4768" t="n">
        <v>25</v>
      </c>
      <c r="B4768" t="s">
        <v>14</v>
      </c>
      <c r="C4768" t="s">
        <v>22</v>
      </c>
      <c r="D4768" s="2" t="s">
        <f>=HYPERLINK("https://main.knesset.gov.il/APPS/legislation/main/bills/2203252", "הצעת חוק עובדים זרים (תיקון - הפחתת אגרה לעובדים בענף המלונאות), התשפ""ג-2023")</f>
        <v>8705</v>
      </c>
      <c r="E4768" t="s">
        <v>8705</v>
      </c>
      <c r="F4768" t="s">
        <v>9846</v>
      </c>
      <c r="G4768" t="s">
        <v>14</v>
      </c>
      <c r="H4768">
             </c>
      <c r="I4768" t="s">
        <v>14</v>
      </c>
      <c r="J4768" t="s">
        <v>141</v>
      </c>
      <c r="K4768" t="s">
        <v>14</v>
      </c>
      <c r="L4768" t="s">
        <v>20</v>
      </c>
      <c r="M4768" t="s">
        <v>9778</v>
      </c>
      <c r="N4768" t="s">
        <v>14</v>
      </c>
    </row>
    <row r="4769" x14ac:dyDescent="0.25">
      <c r="A4769" t="n">
        <v>25</v>
      </c>
      <c r="B4769" t="s">
        <v>14</v>
      </c>
      <c r="C4769" t="s">
        <v>22</v>
      </c>
      <c r="D4769" s="2" t="s">
        <f>=HYPERLINK("https://main.knesset.gov.il/APPS/legislation/main/bills/2203284", "הצעת חוק דמי מחלה (היעדרות בשל מחלת ילד) (תיקון - מחלת תינוק), התשפ""ג-2023")</f>
        <v>9847</v>
      </c>
      <c r="E4769" t="s">
        <v>9847</v>
      </c>
      <c r="F4769" t="s">
        <v>9848</v>
      </c>
      <c r="G4769" t="s">
        <v>14</v>
      </c>
      <c r="H4769">
             </c>
      <c r="I4769" t="s">
        <v>14</v>
      </c>
      <c r="J4769" t="s">
        <v>141</v>
      </c>
      <c r="K4769" t="s">
        <v>14</v>
      </c>
      <c r="L4769" t="s">
        <v>20</v>
      </c>
      <c r="M4769" t="s">
        <v>9778</v>
      </c>
      <c r="N4769" t="s">
        <v>14</v>
      </c>
    </row>
    <row r="4770" x14ac:dyDescent="0.25">
      <c r="A4770" t="n">
        <v>25</v>
      </c>
      <c r="B4770" t="s">
        <v>14</v>
      </c>
      <c r="C4770" t="s">
        <v>22</v>
      </c>
      <c r="D4770" s="2" t="s">
        <f>=HYPERLINK("https://main.knesset.gov.il/APPS/legislation/main/bills/2202784", "הצעת חוק דמי מחלה (היעדרות בשל מחלת ילד) (תיקון - היעדרות בעקבות תקיפה או התעללות בילד), התשפ""ג-2023")</f>
        <v>8215</v>
      </c>
      <c r="E4770" t="s">
        <v>8215</v>
      </c>
      <c r="F4770" t="s">
        <v>9849</v>
      </c>
      <c r="G4770" t="s">
        <v>14</v>
      </c>
      <c r="H4770">
             </c>
      <c r="I4770" t="s">
        <v>14</v>
      </c>
      <c r="J4770" t="s">
        <v>141</v>
      </c>
      <c r="K4770" t="s">
        <v>14</v>
      </c>
      <c r="L4770" t="s">
        <v>20</v>
      </c>
      <c r="M4770" t="s">
        <v>9778</v>
      </c>
      <c r="N4770" t="s">
        <v>14</v>
      </c>
    </row>
    <row r="4771" x14ac:dyDescent="0.25">
      <c r="A4771" t="n">
        <v>25</v>
      </c>
      <c r="B4771" t="s">
        <v>14</v>
      </c>
      <c r="C4771" t="s">
        <v>22</v>
      </c>
      <c r="D4771" s="2" t="s">
        <f>=HYPERLINK("https://main.knesset.gov.il/APPS/legislation/main/bills/2203114", "הצעת חוק ביטוח בריאות ממלכתי (תיקון - צמצום פערים בין הפריפריה למרכז), התשפ""ג-2023")</f>
        <v>696</v>
      </c>
      <c r="E4771" t="s">
        <v>696</v>
      </c>
      <c r="F4771" t="s">
        <v>9850</v>
      </c>
      <c r="G4771" t="s">
        <v>14</v>
      </c>
      <c r="H4771">
             </c>
      <c r="I4771" t="s">
        <v>14</v>
      </c>
      <c r="J4771" t="s">
        <v>343</v>
      </c>
      <c r="K4771" t="s">
        <v>14</v>
      </c>
      <c r="L4771" t="s">
        <v>20</v>
      </c>
      <c r="M4771" t="s">
        <v>9778</v>
      </c>
      <c r="N4771" t="s">
        <v>14</v>
      </c>
    </row>
    <row r="4772" x14ac:dyDescent="0.25">
      <c r="A4772" t="n">
        <v>25</v>
      </c>
      <c r="B4772" t="s">
        <v>14</v>
      </c>
      <c r="C4772" t="s">
        <v>22</v>
      </c>
      <c r="D4772" s="2" t="s">
        <f>=HYPERLINK("https://main.knesset.gov.il/APPS/legislation/main/bills/2202788", "הצעת חוק ביטוח בריאות ממלכתי (תיקון - הרחבת הסדרי הבחירה), התשפ""ג-2023")</f>
        <v>9335</v>
      </c>
      <c r="E4772" t="s">
        <v>9335</v>
      </c>
      <c r="F4772" t="s">
        <v>9851</v>
      </c>
      <c r="G4772" t="s">
        <v>14</v>
      </c>
      <c r="H4772">
             </c>
      <c r="I4772" t="s">
        <v>14</v>
      </c>
      <c r="J4772" t="s">
        <v>141</v>
      </c>
      <c r="K4772" t="s">
        <v>14</v>
      </c>
      <c r="L4772" t="s">
        <v>20</v>
      </c>
      <c r="M4772" t="s">
        <v>9778</v>
      </c>
      <c r="N4772" t="s">
        <v>14</v>
      </c>
    </row>
    <row r="4773" x14ac:dyDescent="0.25">
      <c r="A4773" t="n">
        <v>25</v>
      </c>
      <c r="B4773" t="s">
        <v>14</v>
      </c>
      <c r="C4773" t="s">
        <v>22</v>
      </c>
      <c r="D4773" s="2" t="s">
        <f>=HYPERLINK("https://main.knesset.gov.il/APPS/legislation/main/bills/2203209", "הצעת חוק ביטוח בריאות ממלכתי (תיקון - הפחתה בדמי ביטוח בריאות לתושבי הפריפריה), התשפ""ג-2023")</f>
        <v>9435</v>
      </c>
      <c r="E4773" t="s">
        <v>9435</v>
      </c>
      <c r="F4773" t="s">
        <v>9852</v>
      </c>
      <c r="G4773" t="s">
        <v>14</v>
      </c>
      <c r="H4773">
             </c>
      <c r="I4773" t="s">
        <v>14</v>
      </c>
      <c r="J4773" t="s">
        <v>141</v>
      </c>
      <c r="K4773" t="s">
        <v>14</v>
      </c>
      <c r="L4773" t="s">
        <v>20</v>
      </c>
      <c r="M4773" t="s">
        <v>9778</v>
      </c>
      <c r="N4773" t="s">
        <v>14</v>
      </c>
    </row>
    <row r="4774" x14ac:dyDescent="0.25">
      <c r="A4774" t="n">
        <v>25</v>
      </c>
      <c r="B4774" t="s">
        <v>14</v>
      </c>
      <c r="C4774" t="s">
        <v>22</v>
      </c>
      <c r="D4774" s="2" t="s">
        <f>=HYPERLINK("https://main.knesset.gov.il/APPS/legislation/main/bills/2203090", "הצעת חוק ביטוח בריאות ממלכתי (תיקון - פנייה לנציב קבילות הציבור), התשפ""ג-2023 ")</f>
        <v>9853</v>
      </c>
      <c r="E4774" t="s">
        <v>9853</v>
      </c>
      <c r="F4774" t="s">
        <v>9854</v>
      </c>
      <c r="G4774" t="s">
        <v>14</v>
      </c>
      <c r="H4774">
             </c>
      <c r="I4774" t="s">
        <v>14</v>
      </c>
      <c r="J4774" t="s">
        <v>141</v>
      </c>
      <c r="K4774" t="s">
        <v>14</v>
      </c>
      <c r="L4774" t="s">
        <v>20</v>
      </c>
      <c r="M4774" t="s">
        <v>9778</v>
      </c>
      <c r="N4774" t="s">
        <v>14</v>
      </c>
    </row>
    <row r="4775" x14ac:dyDescent="0.25">
      <c r="A4775" t="n">
        <v>25</v>
      </c>
      <c r="B4775" t="s">
        <v>14</v>
      </c>
      <c r="C4775" t="s">
        <v>22</v>
      </c>
      <c r="D4775" s="2" t="s">
        <f>=HYPERLINK("https://main.knesset.gov.il/APPS/legislation/main/bills/2202171", "הצעת חוק הביטוח הלאומי (תיקון - קצבת תלויים וקצבת אזרח ותיק), התשפ""ג-2023")</f>
        <v>9461</v>
      </c>
      <c r="E4775" t="s">
        <v>9461</v>
      </c>
      <c r="F4775" t="s">
        <v>9855</v>
      </c>
      <c r="G4775" t="s">
        <v>14</v>
      </c>
      <c r="H4775">
             </c>
      <c r="I4775" t="s">
        <v>14</v>
      </c>
      <c r="J4775" t="s">
        <v>141</v>
      </c>
      <c r="K4775" t="s">
        <v>14</v>
      </c>
      <c r="L4775" t="s">
        <v>20</v>
      </c>
      <c r="M4775" t="s">
        <v>9778</v>
      </c>
      <c r="N4775" t="s">
        <v>14</v>
      </c>
    </row>
    <row r="4776" x14ac:dyDescent="0.25">
      <c r="A4776" t="n">
        <v>25</v>
      </c>
      <c r="B4776" t="s">
        <v>14</v>
      </c>
      <c r="C4776" t="s">
        <v>22</v>
      </c>
      <c r="D4776" s="2" t="s">
        <f>=HYPERLINK("https://main.knesset.gov.il/APPS/legislation/main/bills/2203307", "הצעת חוק לעידוד השקעות הון בחקלאות (תיקון - השוואת ההטבות בתעשייה להטבות בחקלאות), התשפ""ג-2023")</f>
        <v>6324</v>
      </c>
      <c r="E4776" t="s">
        <v>6324</v>
      </c>
      <c r="F4776" t="s">
        <v>9856</v>
      </c>
      <c r="G4776" t="s">
        <v>14</v>
      </c>
      <c r="H4776">
             </c>
      <c r="I4776" t="s">
        <v>14</v>
      </c>
      <c r="J4776" t="s">
        <v>141</v>
      </c>
      <c r="K4776" t="s">
        <v>14</v>
      </c>
      <c r="L4776" t="s">
        <v>20</v>
      </c>
      <c r="M4776" t="s">
        <v>9778</v>
      </c>
      <c r="N4776" t="s">
        <v>14</v>
      </c>
    </row>
    <row r="4777" x14ac:dyDescent="0.25">
      <c r="A4777" t="n">
        <v>25</v>
      </c>
      <c r="B4777" t="s">
        <v>14</v>
      </c>
      <c r="C4777" t="s">
        <v>22</v>
      </c>
      <c r="D4777" s="2" t="s">
        <f>=HYPERLINK("https://main.knesset.gov.il/APPS/legislation/main/bills/2202759", "הצעת חוק שלילת זכויות למעורב בטרור ולבני משפחתו (תיקוני חקיקה), התשפ""ג-2023")</f>
        <v>9857</v>
      </c>
      <c r="E4777" t="s">
        <v>9857</v>
      </c>
      <c r="F4777" t="s">
        <v>9858</v>
      </c>
      <c r="G4777" t="s">
        <v>14</v>
      </c>
      <c r="H4777">
             </c>
      <c r="I4777" t="s">
        <v>14</v>
      </c>
      <c r="J4777" t="s">
        <v>141</v>
      </c>
      <c r="K4777" t="s">
        <v>14</v>
      </c>
      <c r="L4777" t="s">
        <v>20</v>
      </c>
      <c r="M4777" t="s">
        <v>9778</v>
      </c>
      <c r="N4777" t="s">
        <v>14</v>
      </c>
    </row>
    <row r="4778" x14ac:dyDescent="0.25">
      <c r="A4778" t="n">
        <v>25</v>
      </c>
      <c r="B4778" t="s">
        <v>14</v>
      </c>
      <c r="C4778" t="s">
        <v>22</v>
      </c>
      <c r="D4778" s="2" t="s">
        <f>=HYPERLINK("https://main.knesset.gov.il/APPS/legislation/main/bills/2201921", "הצעת חוק מגן דוד אדום (תיקון - פינוי לבית חולים כללי הקרוב בתשלום קבוע), התשפ""ג-2023")</f>
        <v>9859</v>
      </c>
      <c r="E4778" t="s">
        <v>9859</v>
      </c>
      <c r="F4778" t="s">
        <v>9860</v>
      </c>
      <c r="G4778" t="s">
        <v>14</v>
      </c>
      <c r="H4778">
             </c>
      <c r="I4778" t="s">
        <v>14</v>
      </c>
      <c r="J4778" t="s">
        <v>343</v>
      </c>
      <c r="K4778" t="s">
        <v>14</v>
      </c>
      <c r="L4778" t="s">
        <v>20</v>
      </c>
      <c r="M4778" t="s">
        <v>9778</v>
      </c>
      <c r="N4778" t="s">
        <v>14</v>
      </c>
    </row>
    <row r="4779" x14ac:dyDescent="0.25">
      <c r="A4779" t="n">
        <v>25</v>
      </c>
      <c r="B4779" t="s">
        <v>14</v>
      </c>
      <c r="C4779" t="s">
        <v>22</v>
      </c>
      <c r="D4779" s="2" t="s">
        <f>=HYPERLINK("https://main.knesset.gov.il/APPS/legislation/main/bills/2202975", "הצעת חוק להכרה, לחקר האמת, להנצחה ולפיצוי של נפגעי פרשת ילדי תימן, המזרח והבלקן, התשפ""ג-2023")</f>
        <v>9861</v>
      </c>
      <c r="E4779" t="s">
        <v>9861</v>
      </c>
      <c r="F4779" t="s">
        <v>9862</v>
      </c>
      <c r="G4779" t="s">
        <v>14</v>
      </c>
      <c r="H4779">
             </c>
      <c r="I4779" t="s">
        <v>14</v>
      </c>
      <c r="J4779" t="s">
        <v>141</v>
      </c>
      <c r="K4779" t="s">
        <v>14</v>
      </c>
      <c r="L4779" t="s">
        <v>20</v>
      </c>
      <c r="M4779" t="s">
        <v>9778</v>
      </c>
      <c r="N4779" t="s">
        <v>14</v>
      </c>
    </row>
    <row r="4780" x14ac:dyDescent="0.25">
      <c r="A4780" t="n">
        <v>25</v>
      </c>
      <c r="B4780" t="s">
        <v>14</v>
      </c>
      <c r="C4780" t="s">
        <v>22</v>
      </c>
      <c r="D4780" s="2" t="s">
        <f>=HYPERLINK("https://main.knesset.gov.il/APPS/legislation/main/bills/2203278", "הצעת חוק עוסק זעיר, התשפ""ג-2023")</f>
        <v>9863</v>
      </c>
      <c r="E4780" t="s">
        <v>9863</v>
      </c>
      <c r="F4780" t="s">
        <v>9864</v>
      </c>
      <c r="G4780" t="s">
        <v>14</v>
      </c>
      <c r="H4780">
             </c>
      <c r="I4780" t="s">
        <v>14</v>
      </c>
      <c r="J4780" t="s">
        <v>141</v>
      </c>
      <c r="K4780" t="s">
        <v>14</v>
      </c>
      <c r="L4780" t="s">
        <v>20</v>
      </c>
      <c r="M4780" t="s">
        <v>9778</v>
      </c>
      <c r="N4780" t="s">
        <v>14</v>
      </c>
    </row>
    <row r="4781" x14ac:dyDescent="0.25">
      <c r="A4781" t="n">
        <v>25</v>
      </c>
      <c r="B4781" t="s">
        <v>14</v>
      </c>
      <c r="C4781" t="s">
        <v>22</v>
      </c>
      <c r="D4781" s="2" t="s">
        <f>=HYPERLINK("https://main.knesset.gov.il/APPS/legislation/main/bills/2203283", "הצעת חוק יום אבל במות קרוב מדרגה שנייה, התשפ""ג-2023")</f>
        <v>9865</v>
      </c>
      <c r="E4781" t="s">
        <v>9865</v>
      </c>
      <c r="F4781" t="s">
        <v>9866</v>
      </c>
      <c r="G4781" t="s">
        <v>14</v>
      </c>
      <c r="H4781">
             </c>
      <c r="I4781" t="s">
        <v>14</v>
      </c>
      <c r="J4781" t="s">
        <v>141</v>
      </c>
      <c r="K4781" t="s">
        <v>14</v>
      </c>
      <c r="L4781" t="s">
        <v>20</v>
      </c>
      <c r="M4781" t="s">
        <v>9778</v>
      </c>
      <c r="N4781" t="s">
        <v>14</v>
      </c>
    </row>
    <row r="4782" x14ac:dyDescent="0.25">
      <c r="A4782" t="n">
        <v>25</v>
      </c>
      <c r="B4782" t="s">
        <v>14</v>
      </c>
      <c r="C4782" t="s">
        <v>22</v>
      </c>
      <c r="D4782" s="2" t="s">
        <f>=HYPERLINK("https://main.knesset.gov.il/APPS/legislation/main/bills/2202941", "הצעת חוק לתיקון פקודת המכס (ביטול חיוב בעד בדיקת טובין), התשפ""ג-2023")</f>
        <v>9867</v>
      </c>
      <c r="E4782" t="s">
        <v>9867</v>
      </c>
      <c r="F4782" t="s">
        <v>9868</v>
      </c>
      <c r="G4782" t="s">
        <v>14</v>
      </c>
      <c r="H4782">
             </c>
      <c r="I4782" t="s">
        <v>14</v>
      </c>
      <c r="J4782" t="s">
        <v>141</v>
      </c>
      <c r="K4782" t="s">
        <v>14</v>
      </c>
      <c r="L4782" t="s">
        <v>20</v>
      </c>
      <c r="M4782" t="s">
        <v>9778</v>
      </c>
      <c r="N4782" t="s">
        <v>14</v>
      </c>
    </row>
    <row r="4783" x14ac:dyDescent="0.25">
      <c r="A4783" t="n">
        <v>25</v>
      </c>
      <c r="B4783" t="s">
        <v>14</v>
      </c>
      <c r="C4783" t="s">
        <v>22</v>
      </c>
      <c r="D4783" s="2" t="s">
        <f>=HYPERLINK("https://main.knesset.gov.il/APPS/legislation/main/bills/2203064", "הצעת חוק להגדלת שיעור ההשתתפות בכוח העבודה ולצמצום פערים חברתיים (מענק עבודה) (תיקון - זכאות להטבות נלוות), התשפ""ג-2023")</f>
        <v>9524</v>
      </c>
      <c r="E4783" t="s">
        <v>9524</v>
      </c>
      <c r="F4783" t="s">
        <v>9869</v>
      </c>
      <c r="G4783" t="s">
        <v>14</v>
      </c>
      <c r="H4783">
             </c>
      <c r="I4783" t="s">
        <v>14</v>
      </c>
      <c r="J4783" t="s">
        <v>141</v>
      </c>
      <c r="K4783" t="s">
        <v>14</v>
      </c>
      <c r="L4783" t="s">
        <v>20</v>
      </c>
      <c r="M4783" t="s">
        <v>9778</v>
      </c>
      <c r="N4783" t="s">
        <v>14</v>
      </c>
    </row>
    <row r="4784" x14ac:dyDescent="0.25">
      <c r="A4784" t="n">
        <v>25</v>
      </c>
      <c r="B4784" t="s">
        <v>14</v>
      </c>
      <c r="C4784" t="s">
        <v>22</v>
      </c>
      <c r="D4784" s="2" t="s">
        <f>=HYPERLINK("https://main.knesset.gov.il/APPS/legislation/main/bills/2203279", "הצעת חוק מגן דוד אדום (תיקון - הענקת שירותי רפואה מרחוק), התשפ""ג-2023")</f>
        <v>9870</v>
      </c>
      <c r="E4784" t="s">
        <v>9870</v>
      </c>
      <c r="F4784" t="s">
        <v>9871</v>
      </c>
      <c r="G4784" t="s">
        <v>14</v>
      </c>
      <c r="H4784">
             </c>
      <c r="I4784" t="s">
        <v>14</v>
      </c>
      <c r="J4784" t="s">
        <v>141</v>
      </c>
      <c r="K4784" t="s">
        <v>14</v>
      </c>
      <c r="L4784" t="s">
        <v>20</v>
      </c>
      <c r="M4784" t="s">
        <v>9778</v>
      </c>
      <c r="N4784" t="s">
        <v>14</v>
      </c>
    </row>
    <row r="4785" x14ac:dyDescent="0.25">
      <c r="A4785" t="n">
        <v>25</v>
      </c>
      <c r="B4785" t="s">
        <v>14</v>
      </c>
      <c r="C4785" t="s">
        <v>22</v>
      </c>
      <c r="D4785" s="2" t="s">
        <f>=HYPERLINK("https://main.knesset.gov.il/APPS/legislation/main/bills/2198639", "הצעת חוק לתיקון פקודת מס הכנסה (פטור ממס הכנסה לנכים), התשפ""ג-2023")</f>
        <v>9010</v>
      </c>
      <c r="E4785" t="s">
        <v>9010</v>
      </c>
      <c r="F4785" t="s">
        <v>9872</v>
      </c>
      <c r="G4785" t="s">
        <v>14</v>
      </c>
      <c r="H4785">
             </c>
      <c r="I4785" t="s">
        <v>14</v>
      </c>
      <c r="J4785" t="s">
        <v>141</v>
      </c>
      <c r="K4785" t="s">
        <v>14</v>
      </c>
      <c r="L4785" t="s">
        <v>20</v>
      </c>
      <c r="M4785" t="s">
        <v>9778</v>
      </c>
      <c r="N4785" t="s">
        <v>14</v>
      </c>
    </row>
    <row r="4786" x14ac:dyDescent="0.25">
      <c r="A4786" t="n">
        <v>25</v>
      </c>
      <c r="B4786" t="s">
        <v>14</v>
      </c>
      <c r="C4786" t="s">
        <v>22</v>
      </c>
      <c r="D4786" s="2" t="s">
        <f>=HYPERLINK("https://main.knesset.gov.il/APPS/legislation/main/bills/2203124", "הצעת חוק לתיקון פקודת מס הכנסה (הטבות במס ליישוב מאוים באזור), התשפ""ג-2023")</f>
        <v>8394</v>
      </c>
      <c r="E4786" t="s">
        <v>8394</v>
      </c>
      <c r="F4786" t="s">
        <v>9873</v>
      </c>
      <c r="G4786" t="s">
        <v>14</v>
      </c>
      <c r="H4786">
             </c>
      <c r="I4786" t="s">
        <v>14</v>
      </c>
      <c r="J4786" t="s">
        <v>141</v>
      </c>
      <c r="K4786" t="s">
        <v>14</v>
      </c>
      <c r="L4786" t="s">
        <v>20</v>
      </c>
      <c r="M4786" t="s">
        <v>9778</v>
      </c>
      <c r="N4786" t="s">
        <v>14</v>
      </c>
    </row>
    <row r="4787" x14ac:dyDescent="0.25">
      <c r="A4787" t="n">
        <v>25</v>
      </c>
      <c r="B4787" t="s">
        <v>14</v>
      </c>
      <c r="C4787" t="s">
        <v>22</v>
      </c>
      <c r="D4787" s="2" t="s">
        <f>=HYPERLINK("https://main.knesset.gov.il/APPS/legislation/main/bills/2202983", "הצעת חוק היטלי סחר ואמצעי הגנה (תיקון - אי פתיחת חקירה בשל יבוא בהיצף בשוק מונופוליסטי או ריכוזי), התשפ""ג-2023")</f>
        <v>9874</v>
      </c>
      <c r="E4787" t="s">
        <v>9874</v>
      </c>
      <c r="F4787" t="s">
        <v>9875</v>
      </c>
      <c r="G4787" t="s">
        <v>14</v>
      </c>
      <c r="H4787">
             </c>
      <c r="I4787" t="s">
        <v>14</v>
      </c>
      <c r="J4787" t="s">
        <v>141</v>
      </c>
      <c r="K4787" t="s">
        <v>14</v>
      </c>
      <c r="L4787" t="s">
        <v>20</v>
      </c>
      <c r="M4787" t="s">
        <v>9778</v>
      </c>
      <c r="N4787" t="s">
        <v>14</v>
      </c>
    </row>
    <row r="4788" x14ac:dyDescent="0.25">
      <c r="A4788" t="n">
        <v>25</v>
      </c>
      <c r="B4788" t="s">
        <v>14</v>
      </c>
      <c r="C4788" t="s">
        <v>22</v>
      </c>
      <c r="D4788" s="2" t="s">
        <f>=HYPERLINK("https://main.knesset.gov.il/APPS/legislation/main/bills/2203285", "הצעת חוק הביטוח הלאומי (תיקון - דמי אבטלה לעצמאים), התשפ""ג-2023")</f>
        <v>9406</v>
      </c>
      <c r="E4788" t="s">
        <v>9406</v>
      </c>
      <c r="F4788" t="s">
        <v>9876</v>
      </c>
      <c r="G4788" t="s">
        <v>14</v>
      </c>
      <c r="H4788">
             </c>
      <c r="I4788" t="s">
        <v>14</v>
      </c>
      <c r="J4788" t="s">
        <v>141</v>
      </c>
      <c r="K4788" t="s">
        <v>14</v>
      </c>
      <c r="L4788" t="s">
        <v>20</v>
      </c>
      <c r="M4788" t="s">
        <v>9778</v>
      </c>
      <c r="N4788" t="s">
        <v>14</v>
      </c>
    </row>
    <row r="4789" x14ac:dyDescent="0.25">
      <c r="A4789" t="n">
        <v>25</v>
      </c>
      <c r="B4789" t="s">
        <v>14</v>
      </c>
      <c r="C4789" t="s">
        <v>22</v>
      </c>
      <c r="D4789" s="2" t="s">
        <f>=HYPERLINK("https://main.knesset.gov.il/APPS/legislation/main/bills/2202067", "הצעת חוק התגמולים לנפגעי פעולות איבה (תיקון - זכאות לתגמולים ולפיצויים לפי חוק אחר), התשפ""ג-2023")</f>
        <v>8454</v>
      </c>
      <c r="E4789" t="s">
        <v>8454</v>
      </c>
      <c r="F4789" t="s">
        <v>9877</v>
      </c>
      <c r="G4789" t="s">
        <v>14</v>
      </c>
      <c r="H4789">
             </c>
      <c r="I4789" t="s">
        <v>14</v>
      </c>
      <c r="J4789" t="s">
        <v>141</v>
      </c>
      <c r="K4789" t="s">
        <v>14</v>
      </c>
      <c r="L4789" t="s">
        <v>20</v>
      </c>
      <c r="M4789" t="s">
        <v>9778</v>
      </c>
      <c r="N4789" t="s">
        <v>14</v>
      </c>
    </row>
    <row r="4790" x14ac:dyDescent="0.25">
      <c r="A4790" t="n">
        <v>25</v>
      </c>
      <c r="B4790" t="s">
        <v>14</v>
      </c>
      <c r="C4790" t="s">
        <v>22</v>
      </c>
      <c r="D4790" s="2" t="s">
        <f>=HYPERLINK("https://main.knesset.gov.il/APPS/legislation/main/bills/2202875", "הצעת חוק התגמולים לנפגעי פעולות איבה (תיקון - זכאות לתגמולים ולפיצויים לפי חוק אחר), התשפ""ג-2023")</f>
        <v>8454</v>
      </c>
      <c r="E4790" t="s">
        <v>8454</v>
      </c>
      <c r="F4790" t="s">
        <v>9878</v>
      </c>
      <c r="G4790" t="s">
        <v>14</v>
      </c>
      <c r="H4790">
             </c>
      <c r="I4790" t="s">
        <v>14</v>
      </c>
      <c r="J4790" t="s">
        <v>141</v>
      </c>
      <c r="K4790" t="s">
        <v>14</v>
      </c>
      <c r="L4790" t="s">
        <v>20</v>
      </c>
      <c r="M4790" t="s">
        <v>9778</v>
      </c>
      <c r="N4790" t="s">
        <v>14</v>
      </c>
    </row>
    <row r="4791" x14ac:dyDescent="0.25">
      <c r="A4791" t="n">
        <v>25</v>
      </c>
      <c r="B4791" t="s">
        <v>14</v>
      </c>
      <c r="C4791" t="s">
        <v>22</v>
      </c>
      <c r="D4791" s="2" t="s">
        <f>=HYPERLINK("https://main.knesset.gov.il/APPS/legislation/main/bills/2199070", "הצעת חוק בינוי ופינוי של אזורי שיקום (כפר שלם), התשפ""ג-2023")</f>
        <v>44</v>
      </c>
      <c r="E4791" t="s">
        <v>44</v>
      </c>
      <c r="F4791" t="s">
        <v>9879</v>
      </c>
      <c r="G4791" t="s">
        <v>14</v>
      </c>
      <c r="H4791">
             </c>
      <c r="I4791" t="s">
        <v>14</v>
      </c>
      <c r="J4791" t="s">
        <v>141</v>
      </c>
      <c r="K4791" t="s">
        <v>14</v>
      </c>
      <c r="L4791" t="s">
        <v>20</v>
      </c>
      <c r="M4791" t="s">
        <v>9778</v>
      </c>
      <c r="N4791" t="s">
        <v>14</v>
      </c>
    </row>
    <row r="4792" x14ac:dyDescent="0.25">
      <c r="A4792" t="n">
        <v>25</v>
      </c>
      <c r="B4792" t="s">
        <v>14</v>
      </c>
      <c r="C4792" t="s">
        <v>22</v>
      </c>
      <c r="D4792" s="2" t="s">
        <f>=HYPERLINK("https://main.knesset.gov.il/APPS/legislation/main/bills/2203414", "הצעת חוק החלת הריבונות של מדינת ישראל בחבלי יהודה והשומרון, התשפ""ג-2023")</f>
        <v>9627</v>
      </c>
      <c r="E4792" t="s">
        <v>9627</v>
      </c>
      <c r="F4792" t="s">
        <v>9880</v>
      </c>
      <c r="G4792" t="s">
        <v>14</v>
      </c>
      <c r="H4792">
             </c>
      <c r="I4792" t="s">
        <v>14</v>
      </c>
      <c r="J4792" t="s">
        <v>141</v>
      </c>
      <c r="K4792" t="s">
        <v>14</v>
      </c>
      <c r="L4792" t="s">
        <v>20</v>
      </c>
      <c r="M4792" t="s">
        <v>9778</v>
      </c>
      <c r="N4792" t="s">
        <v>14</v>
      </c>
    </row>
    <row r="4793" x14ac:dyDescent="0.25">
      <c r="A4793" t="n">
        <v>25</v>
      </c>
      <c r="B4793" t="s">
        <v>14</v>
      </c>
      <c r="C4793" t="s">
        <v>22</v>
      </c>
      <c r="D4793" s="2" t="s">
        <f>=HYPERLINK("https://main.knesset.gov.il/APPS/legislation/main/bills/2203263", "הצעת חוק כלי הירייה (תיקון - דמויי כלי ירייה), התשפ""ג-2023")</f>
        <v>9881</v>
      </c>
      <c r="E4793" t="s">
        <v>9881</v>
      </c>
      <c r="F4793" t="s">
        <v>9882</v>
      </c>
      <c r="G4793" t="s">
        <v>14</v>
      </c>
      <c r="H4793">
             </c>
      <c r="I4793" t="s">
        <v>14</v>
      </c>
      <c r="J4793" t="s">
        <v>141</v>
      </c>
      <c r="K4793" t="s">
        <v>14</v>
      </c>
      <c r="L4793" t="s">
        <v>20</v>
      </c>
      <c r="M4793" t="s">
        <v>9778</v>
      </c>
      <c r="N4793" t="s">
        <v>14</v>
      </c>
    </row>
    <row r="4794" x14ac:dyDescent="0.25">
      <c r="A4794" t="n">
        <v>25</v>
      </c>
      <c r="B4794" t="s">
        <v>14</v>
      </c>
      <c r="C4794" t="s">
        <v>22</v>
      </c>
      <c r="D4794" s="2" t="s">
        <f>=HYPERLINK("https://main.knesset.gov.il/APPS/legislation/main/bills/2202763", "הצעת חוק מאבק בארגוני פשיעה (תיקון - הרחבת הנסיבה המחמירה לזיקה לארגון פשיעה), התשפ""ג-2023")</f>
        <v>8672</v>
      </c>
      <c r="E4794" t="s">
        <v>8672</v>
      </c>
      <c r="F4794" t="s">
        <v>9883</v>
      </c>
      <c r="G4794" t="s">
        <v>14</v>
      </c>
      <c r="H4794">
             </c>
      <c r="I4794" t="s">
        <v>14</v>
      </c>
      <c r="J4794" t="s">
        <v>141</v>
      </c>
      <c r="K4794" t="s">
        <v>14</v>
      </c>
      <c r="L4794" t="s">
        <v>20</v>
      </c>
      <c r="M4794" t="s">
        <v>9778</v>
      </c>
      <c r="N4794" t="s">
        <v>14</v>
      </c>
    </row>
    <row r="4795" x14ac:dyDescent="0.25">
      <c r="A4795" t="n">
        <v>25</v>
      </c>
      <c r="B4795" t="s">
        <v>14</v>
      </c>
      <c r="C4795" t="s">
        <v>22</v>
      </c>
      <c r="D4795" s="2" t="s">
        <f>=HYPERLINK("https://main.knesset.gov.il/APPS/legislation/main/bills/2202752", "הצעת חוק הביטוח הלאומי (תיקון - הרחבת הזכאות למענק לימודים), התשפ""ג-2023")</f>
        <v>9049</v>
      </c>
      <c r="E4795" t="s">
        <v>9049</v>
      </c>
      <c r="F4795" t="s">
        <v>9884</v>
      </c>
      <c r="G4795" t="s">
        <v>14</v>
      </c>
      <c r="H4795">
             </c>
      <c r="I4795" t="s">
        <v>14</v>
      </c>
      <c r="J4795" t="s">
        <v>141</v>
      </c>
      <c r="K4795" t="s">
        <v>14</v>
      </c>
      <c r="L4795" t="s">
        <v>20</v>
      </c>
      <c r="M4795" t="s">
        <v>9778</v>
      </c>
      <c r="N4795" t="s">
        <v>14</v>
      </c>
    </row>
    <row r="4796" x14ac:dyDescent="0.25">
      <c r="A4796" t="n">
        <v>25</v>
      </c>
      <c r="B4796" t="s">
        <v>14</v>
      </c>
      <c r="C4796" t="s">
        <v>22</v>
      </c>
      <c r="D4796" s="2" t="s">
        <f>=HYPERLINK("https://main.knesset.gov.il/APPS/legislation/main/bills/2203100", "הצעת חוק שירותי הסעד (תיקון - הגבלת מספר התיקים בטיפול עובד סוציאלי המטפל במשפחות), התשפ""ג-2023")</f>
        <v>8219</v>
      </c>
      <c r="E4796" t="s">
        <v>8219</v>
      </c>
      <c r="F4796" t="s">
        <v>9885</v>
      </c>
      <c r="G4796" t="s">
        <v>14</v>
      </c>
      <c r="H4796">
             </c>
      <c r="I4796" t="s">
        <v>14</v>
      </c>
      <c r="J4796" t="s">
        <v>141</v>
      </c>
      <c r="K4796" t="s">
        <v>14</v>
      </c>
      <c r="L4796" t="s">
        <v>20</v>
      </c>
      <c r="M4796" t="s">
        <v>9778</v>
      </c>
      <c r="N4796" t="s">
        <v>14</v>
      </c>
    </row>
    <row r="4797" x14ac:dyDescent="0.25">
      <c r="A4797" t="n">
        <v>25</v>
      </c>
      <c r="B4797" t="s">
        <v>14</v>
      </c>
      <c r="C4797" t="s">
        <v>22</v>
      </c>
      <c r="D4797" s="2" t="s">
        <f>=HYPERLINK("https://main.knesset.gov.il/APPS/legislation/main/bills/2200679", "הצעת חוק הבטחת הכנסה (תיקון - גמלה לתלמיד), התשפ""ג-2023")</f>
        <v>9540</v>
      </c>
      <c r="E4797" t="s">
        <v>9540</v>
      </c>
      <c r="F4797" t="s">
        <v>9886</v>
      </c>
      <c r="G4797" t="s">
        <v>14</v>
      </c>
      <c r="H4797">
             </c>
      <c r="I4797" t="s">
        <v>14</v>
      </c>
      <c r="J4797" t="s">
        <v>141</v>
      </c>
      <c r="K4797" t="s">
        <v>14</v>
      </c>
      <c r="L4797" t="s">
        <v>20</v>
      </c>
      <c r="M4797" t="s">
        <v>9778</v>
      </c>
      <c r="N4797" t="s">
        <v>14</v>
      </c>
    </row>
    <row r="4798" x14ac:dyDescent="0.25">
      <c r="A4798" t="n">
        <v>25</v>
      </c>
      <c r="B4798" t="s">
        <v>14</v>
      </c>
      <c r="C4798" t="s">
        <v>22</v>
      </c>
      <c r="D4798" s="2" t="s">
        <f>=HYPERLINK("https://main.knesset.gov.il/APPS/legislation/main/bills/2202849", "הצעת חוק פיקוח על מחירים, שיווק וסבסוד של מזון ללא גלוטן, התשפ""ג -2023")</f>
        <v>9887</v>
      </c>
      <c r="E4798" t="s">
        <v>9887</v>
      </c>
      <c r="F4798" t="s">
        <v>9888</v>
      </c>
      <c r="G4798" t="s">
        <v>14</v>
      </c>
      <c r="H4798">
             </c>
      <c r="I4798" t="s">
        <v>14</v>
      </c>
      <c r="J4798" t="s">
        <v>141</v>
      </c>
      <c r="K4798" t="s">
        <v>14</v>
      </c>
      <c r="L4798" t="s">
        <v>20</v>
      </c>
      <c r="M4798" t="s">
        <v>9778</v>
      </c>
      <c r="N4798" t="s">
        <v>14</v>
      </c>
    </row>
    <row r="4799" x14ac:dyDescent="0.25">
      <c r="A4799" t="n">
        <v>25</v>
      </c>
      <c r="B4799" t="s">
        <v>14</v>
      </c>
      <c r="C4799" t="s">
        <v>22</v>
      </c>
      <c r="D4799" s="2" t="s">
        <f>=HYPERLINK("https://main.knesset.gov.il/APPS/legislation/main/bills/2202669", "הצעת חוק לתיקון פקודת הראיות (עדות עובד במשרת אמון), התשפ""ג-2023")</f>
        <v>9889</v>
      </c>
      <c r="E4799" t="s">
        <v>9889</v>
      </c>
      <c r="F4799" t="s">
        <v>9890</v>
      </c>
      <c r="G4799" t="s">
        <v>14</v>
      </c>
      <c r="H4799">
             </c>
      <c r="I4799" t="s">
        <v>14</v>
      </c>
      <c r="J4799" t="s">
        <v>141</v>
      </c>
      <c r="K4799" t="s">
        <v>14</v>
      </c>
      <c r="L4799" t="s">
        <v>20</v>
      </c>
      <c r="M4799" t="s">
        <v>9778</v>
      </c>
      <c r="N4799" t="s">
        <v>14</v>
      </c>
    </row>
    <row r="4800" x14ac:dyDescent="0.25">
      <c r="A4800" t="n">
        <v>25</v>
      </c>
      <c r="B4800" t="s">
        <v>14</v>
      </c>
      <c r="C4800" t="s">
        <v>22</v>
      </c>
      <c r="D4800" s="2" t="s">
        <f>=HYPERLINK("https://main.knesset.gov.il/APPS/legislation/main/bills/2202735", "הצעת חוק ארגוני עזר רפואיים הפועלים בתחום רפואת חירום דחופה טרום אשפוזית, התשפ""ג-2023")</f>
        <v>9891</v>
      </c>
      <c r="E4800" t="s">
        <v>9891</v>
      </c>
      <c r="F4800" t="s">
        <v>9892</v>
      </c>
      <c r="G4800" t="s">
        <v>14</v>
      </c>
      <c r="H4800">
             </c>
      <c r="I4800" t="s">
        <v>14</v>
      </c>
      <c r="J4800" t="s">
        <v>141</v>
      </c>
      <c r="K4800" t="s">
        <v>14</v>
      </c>
      <c r="L4800" t="s">
        <v>20</v>
      </c>
      <c r="M4800" t="s">
        <v>9778</v>
      </c>
      <c r="N4800" t="s">
        <v>14</v>
      </c>
    </row>
    <row r="4801" x14ac:dyDescent="0.25">
      <c r="A4801" t="n">
        <v>25</v>
      </c>
      <c r="B4801" t="s">
        <v>14</v>
      </c>
      <c r="C4801" t="s">
        <v>22</v>
      </c>
      <c r="D4801" s="2" t="s">
        <f>=HYPERLINK("https://main.knesset.gov.il/APPS/legislation/main/bills/2198714", "הצעת חוק הרשות הלאומית לתרבות הארמית, התשפ""ג-2023")</f>
        <v>9893</v>
      </c>
      <c r="E4801" t="s">
        <v>9893</v>
      </c>
      <c r="F4801" t="s">
        <v>9894</v>
      </c>
      <c r="G4801" t="s">
        <v>14</v>
      </c>
      <c r="H4801">
             </c>
      <c r="I4801" t="s">
        <v>14</v>
      </c>
      <c r="J4801" t="s">
        <v>141</v>
      </c>
      <c r="K4801" t="s">
        <v>14</v>
      </c>
      <c r="L4801" t="s">
        <v>20</v>
      </c>
      <c r="M4801" t="s">
        <v>9778</v>
      </c>
      <c r="N4801" t="s">
        <v>14</v>
      </c>
    </row>
    <row r="4802" x14ac:dyDescent="0.25">
      <c r="A4802" t="n">
        <v>25</v>
      </c>
      <c r="B4802" t="s">
        <v>14</v>
      </c>
      <c r="C4802" t="s">
        <v>22</v>
      </c>
      <c r="D4802" s="2" t="s">
        <f>=HYPERLINK("https://main.knesset.gov.il/APPS/legislation/main/bills/2203288", "הצעת חוק לתיקון פקודת התעבורה (הגבלת דמי חניה בחניוני בתי חולים), התשפ""ג-2023")</f>
        <v>8909</v>
      </c>
      <c r="E4802" t="s">
        <v>8909</v>
      </c>
      <c r="F4802" t="s">
        <v>9895</v>
      </c>
      <c r="G4802" t="s">
        <v>14</v>
      </c>
      <c r="H4802">
             </c>
      <c r="I4802" t="s">
        <v>14</v>
      </c>
      <c r="J4802" t="s">
        <v>141</v>
      </c>
      <c r="K4802" t="s">
        <v>14</v>
      </c>
      <c r="L4802" t="s">
        <v>20</v>
      </c>
      <c r="M4802" t="s">
        <v>9778</v>
      </c>
      <c r="N4802" t="s">
        <v>14</v>
      </c>
    </row>
    <row r="4803" x14ac:dyDescent="0.25">
      <c r="A4803" t="n">
        <v>25</v>
      </c>
      <c r="B4803" t="s">
        <v>14</v>
      </c>
      <c r="C4803" t="s">
        <v>22</v>
      </c>
      <c r="D4803" s="2" t="s">
        <f>=HYPERLINK("https://main.knesset.gov.il/APPS/legislation/main/bills/2198510", "הצעת חוק הדגל, הסמל והמנון המדינה (תיקון - הצבת דגל המדינה בבתי ספר), התשפ""ג-2023")</f>
        <v>9896</v>
      </c>
      <c r="E4803" t="s">
        <v>9896</v>
      </c>
      <c r="F4803" t="s">
        <v>9897</v>
      </c>
      <c r="G4803" t="s">
        <v>14</v>
      </c>
      <c r="H4803">
             </c>
      <c r="I4803" t="s">
        <v>14</v>
      </c>
      <c r="J4803" t="s">
        <v>141</v>
      </c>
      <c r="K4803" t="s">
        <v>14</v>
      </c>
      <c r="L4803" t="s">
        <v>20</v>
      </c>
      <c r="M4803" t="s">
        <v>9778</v>
      </c>
      <c r="N4803" t="s">
        <v>14</v>
      </c>
    </row>
    <row r="4804" x14ac:dyDescent="0.25">
      <c r="A4804" t="n">
        <v>25</v>
      </c>
      <c r="B4804" t="s">
        <v>14</v>
      </c>
      <c r="C4804" t="s">
        <v>22</v>
      </c>
      <c r="D4804" s="2" t="s">
        <f>=HYPERLINK("https://main.knesset.gov.il/APPS/legislation/main/bills/2198717", "הצעת חוק חינוך ממלכתי (תיקון - חובת לימודי היסטוריה ומורשת ישראל בבית ספר יסודי), התשפ""ג-2023")</f>
        <v>9898</v>
      </c>
      <c r="E4804" t="s">
        <v>9898</v>
      </c>
      <c r="F4804" t="s">
        <v>9899</v>
      </c>
      <c r="G4804" t="s">
        <v>14</v>
      </c>
      <c r="H4804">
             </c>
      <c r="I4804" t="s">
        <v>14</v>
      </c>
      <c r="J4804" t="s">
        <v>141</v>
      </c>
      <c r="K4804" t="s">
        <v>14</v>
      </c>
      <c r="L4804" t="s">
        <v>20</v>
      </c>
      <c r="M4804" t="s">
        <v>9778</v>
      </c>
      <c r="N4804" t="s">
        <v>14</v>
      </c>
    </row>
    <row r="4805" x14ac:dyDescent="0.25">
      <c r="A4805" t="n">
        <v>25</v>
      </c>
      <c r="B4805" t="s">
        <v>14</v>
      </c>
      <c r="C4805" t="s">
        <v>22</v>
      </c>
      <c r="D4805" s="2" t="s">
        <f>=HYPERLINK("https://main.knesset.gov.il/APPS/legislation/main/bills/2202699", "הצעת חוק המועצה להשכלה גבוהה (תיקון - הקמת מוסדות להשכלה גבוהה בפריפריה), התשפ""ג-2023")</f>
        <v>9844</v>
      </c>
      <c r="E4805" t="s">
        <v>9844</v>
      </c>
      <c r="F4805" t="s">
        <v>9900</v>
      </c>
      <c r="G4805" t="s">
        <v>14</v>
      </c>
      <c r="H4805">
             </c>
      <c r="I4805" t="s">
        <v>14</v>
      </c>
      <c r="J4805" t="s">
        <v>141</v>
      </c>
      <c r="K4805" t="s">
        <v>14</v>
      </c>
      <c r="L4805" t="s">
        <v>20</v>
      </c>
      <c r="M4805" t="s">
        <v>9778</v>
      </c>
      <c r="N4805" t="s">
        <v>14</v>
      </c>
    </row>
    <row r="4806" x14ac:dyDescent="0.25">
      <c r="A4806" t="n">
        <v>25</v>
      </c>
      <c r="B4806" t="s">
        <v>14</v>
      </c>
      <c r="C4806" t="s">
        <v>22</v>
      </c>
      <c r="D4806" s="2" t="s">
        <f>=HYPERLINK("https://main.knesset.gov.il/APPS/legislation/main/bills/2202820", "הצעת חוק הפיקוח על מעונות יום לפעוטות (תיקון - הסמכת מתנדבים וטכנאי מצלמות), התשפ""ג-2023")</f>
        <v>9505</v>
      </c>
      <c r="E4806" t="s">
        <v>9505</v>
      </c>
      <c r="F4806" t="s">
        <v>9901</v>
      </c>
      <c r="G4806" t="s">
        <v>14</v>
      </c>
      <c r="H4806">
             </c>
      <c r="I4806" t="s">
        <v>14</v>
      </c>
      <c r="J4806" t="s">
        <v>141</v>
      </c>
      <c r="K4806" t="s">
        <v>14</v>
      </c>
      <c r="L4806" t="s">
        <v>20</v>
      </c>
      <c r="M4806" t="s">
        <v>9778</v>
      </c>
      <c r="N4806" t="s">
        <v>14</v>
      </c>
    </row>
    <row r="4807" x14ac:dyDescent="0.25">
      <c r="A4807" t="n">
        <v>25</v>
      </c>
      <c r="B4807" t="s">
        <v>14</v>
      </c>
      <c r="C4807" t="s">
        <v>22</v>
      </c>
      <c r="D4807" s="2" t="s">
        <f>=HYPERLINK("https://main.knesset.gov.il/APPS/legislation/main/bills/2203204", "הצעת חוק מס ערך מוסף (תיקון - פטור ממס בגין תרומות לבתי חולים בפריפריה), התשפ""ג-2023")</f>
        <v>9902</v>
      </c>
      <c r="E4807" t="s">
        <v>9902</v>
      </c>
      <c r="F4807" t="s">
        <v>9903</v>
      </c>
      <c r="G4807" t="s">
        <v>14</v>
      </c>
      <c r="H4807">
             </c>
      <c r="I4807" t="s">
        <v>14</v>
      </c>
      <c r="J4807" t="s">
        <v>141</v>
      </c>
      <c r="K4807" t="s">
        <v>14</v>
      </c>
      <c r="L4807" t="s">
        <v>20</v>
      </c>
      <c r="M4807" t="s">
        <v>9778</v>
      </c>
      <c r="N4807" t="s">
        <v>14</v>
      </c>
    </row>
    <row r="4808" x14ac:dyDescent="0.25">
      <c r="A4808" t="n">
        <v>25</v>
      </c>
      <c r="B4808" t="s">
        <v>14</v>
      </c>
      <c r="C4808" t="s">
        <v>22</v>
      </c>
      <c r="D4808" s="2" t="s">
        <f>=HYPERLINK("https://main.knesset.gov.il/APPS/legislation/main/bills/2203054", "הצעת חוק הבנקאות (שירות ללקוח) (תיקון - מסירת מידע על עמלות וריביות), התשפ""ג-2023")</f>
        <v>9556</v>
      </c>
      <c r="E4808" t="s">
        <v>9556</v>
      </c>
      <c r="F4808" t="s">
        <v>9904</v>
      </c>
      <c r="G4808" t="s">
        <v>14</v>
      </c>
      <c r="H4808">
             </c>
      <c r="I4808" t="s">
        <v>14</v>
      </c>
      <c r="J4808" t="s">
        <v>141</v>
      </c>
      <c r="K4808" t="s">
        <v>14</v>
      </c>
      <c r="L4808" t="s">
        <v>20</v>
      </c>
      <c r="M4808" t="s">
        <v>9778</v>
      </c>
      <c r="N4808" t="s">
        <v>14</v>
      </c>
    </row>
    <row r="4809" x14ac:dyDescent="0.25">
      <c r="A4809" t="n">
        <v>25</v>
      </c>
      <c r="B4809" t="s">
        <v>14</v>
      </c>
      <c r="C4809" t="s">
        <v>22</v>
      </c>
      <c r="D4809" s="2" t="s">
        <f>=HYPERLINK("https://main.knesset.gov.il/APPS/legislation/main/bills/2203091", "הצעת חוק הגנת הצרכן (תיקון - הגבלות על מכירה מיוחדת), התשפ""ג-2023")</f>
        <v>9905</v>
      </c>
      <c r="E4809" t="s">
        <v>9905</v>
      </c>
      <c r="F4809" t="s">
        <v>9906</v>
      </c>
      <c r="G4809" t="s">
        <v>14</v>
      </c>
      <c r="H4809">
             </c>
      <c r="I4809" t="s">
        <v>14</v>
      </c>
      <c r="J4809" t="s">
        <v>141</v>
      </c>
      <c r="K4809" t="s">
        <v>14</v>
      </c>
      <c r="L4809" t="s">
        <v>20</v>
      </c>
      <c r="M4809" t="s">
        <v>9778</v>
      </c>
      <c r="N4809" t="s">
        <v>14</v>
      </c>
    </row>
    <row r="4810" x14ac:dyDescent="0.25">
      <c r="A4810" t="n">
        <v>25</v>
      </c>
      <c r="B4810" t="s">
        <v>14</v>
      </c>
      <c r="C4810" t="s">
        <v>22</v>
      </c>
      <c r="D4810" s="2" t="s">
        <f>=HYPERLINK("https://main.knesset.gov.il/APPS/legislation/main/bills/2203291", "הצעת חוק הגנת הצרכן (תיקון - סימון תאריך ייצור ומועד תפוגה עברי), התשפ""ג-2023")</f>
        <v>9907</v>
      </c>
      <c r="E4810" t="s">
        <v>9907</v>
      </c>
      <c r="F4810" t="s">
        <v>9908</v>
      </c>
      <c r="G4810" t="s">
        <v>14</v>
      </c>
      <c r="H4810">
             </c>
      <c r="I4810" t="s">
        <v>14</v>
      </c>
      <c r="J4810" t="s">
        <v>141</v>
      </c>
      <c r="K4810" t="s">
        <v>14</v>
      </c>
      <c r="L4810" t="s">
        <v>20</v>
      </c>
      <c r="M4810" t="s">
        <v>9778</v>
      </c>
      <c r="N4810" t="s">
        <v>14</v>
      </c>
    </row>
    <row r="4811" x14ac:dyDescent="0.25">
      <c r="A4811" t="n">
        <v>25</v>
      </c>
      <c r="B4811" t="s">
        <v>14</v>
      </c>
      <c r="C4811" t="s">
        <v>22</v>
      </c>
      <c r="D4811" s="2" t="s">
        <f>=HYPERLINK("https://main.knesset.gov.il/APPS/legislation/main/bills/2203202", "הצעת חוק לתיקון פקודת מס הכנסה (הגדלת זיכוי מס על תרומה לבתי חולים בפריפריה), התשפ""ג-2023")</f>
        <v>9909</v>
      </c>
      <c r="E4811" t="s">
        <v>9909</v>
      </c>
      <c r="F4811" t="s">
        <v>9910</v>
      </c>
      <c r="G4811" t="s">
        <v>14</v>
      </c>
      <c r="H4811">
             </c>
      <c r="I4811" t="s">
        <v>14</v>
      </c>
      <c r="J4811" t="s">
        <v>343</v>
      </c>
      <c r="K4811" t="s">
        <v>14</v>
      </c>
      <c r="L4811" t="s">
        <v>20</v>
      </c>
      <c r="M4811" t="s">
        <v>9778</v>
      </c>
      <c r="N4811" t="s">
        <v>14</v>
      </c>
    </row>
    <row r="4812" x14ac:dyDescent="0.25">
      <c r="A4812" t="n">
        <v>25</v>
      </c>
      <c r="B4812" t="s">
        <v>14</v>
      </c>
      <c r="C4812" t="s">
        <v>22</v>
      </c>
      <c r="D4812" s="2" t="s">
        <f>=HYPERLINK("https://main.knesset.gov.il/APPS/legislation/main/bills/2202864", "הצעת חוק לתיקון פקודת התעבורה (חניית נשים בהריון והורה לתינוק), התשפ""ג-2023 ")</f>
        <v>9911</v>
      </c>
      <c r="E4812" t="s">
        <v>9911</v>
      </c>
      <c r="F4812" t="s">
        <v>9912</v>
      </c>
      <c r="G4812" t="s">
        <v>14</v>
      </c>
      <c r="H4812">
             </c>
      <c r="I4812" t="s">
        <v>14</v>
      </c>
      <c r="J4812" t="s">
        <v>141</v>
      </c>
      <c r="K4812" t="s">
        <v>14</v>
      </c>
      <c r="L4812" t="s">
        <v>20</v>
      </c>
      <c r="M4812" t="s">
        <v>9778</v>
      </c>
      <c r="N4812" t="s">
        <v>14</v>
      </c>
    </row>
    <row r="4813" x14ac:dyDescent="0.25">
      <c r="A4813" t="n">
        <v>25</v>
      </c>
      <c r="B4813" t="s">
        <v>14</v>
      </c>
      <c r="C4813" t="s">
        <v>22</v>
      </c>
      <c r="D4813" s="2" t="s">
        <f>=HYPERLINK("https://main.knesset.gov.il/APPS/legislation/main/bills/2196504", "הצעת חוק העונשין (תיקון - סחיטת דמי חסות), התשפ""ג-2023")</f>
        <v>9913</v>
      </c>
      <c r="E4813" t="s">
        <v>9913</v>
      </c>
      <c r="F4813" t="s">
        <v>9914</v>
      </c>
      <c r="G4813" t="s">
        <v>14</v>
      </c>
      <c r="H4813">
             </c>
      <c r="I4813" t="s">
        <v>14</v>
      </c>
      <c r="J4813" t="s">
        <v>141</v>
      </c>
      <c r="K4813" t="s">
        <v>14</v>
      </c>
      <c r="L4813" t="s">
        <v>20</v>
      </c>
      <c r="M4813" t="s">
        <v>9778</v>
      </c>
      <c r="N4813" t="s">
        <v>14</v>
      </c>
    </row>
    <row r="4814" x14ac:dyDescent="0.25">
      <c r="A4814" t="n">
        <v>25</v>
      </c>
      <c r="B4814" t="s">
        <v>14</v>
      </c>
      <c r="C4814" t="s">
        <v>22</v>
      </c>
      <c r="D4814" s="2" t="s">
        <f>=HYPERLINK("https://main.knesset.gov.il/APPS/legislation/main/bills/2201287", "הצעת חוק לימודי הכנה למבחנים פסיכומטריים לתלמידים, התשפ""ג-2023")</f>
        <v>9482</v>
      </c>
      <c r="E4814" t="s">
        <v>9482</v>
      </c>
      <c r="F4814" t="s">
        <v>9915</v>
      </c>
      <c r="G4814" t="s">
        <v>14</v>
      </c>
      <c r="H4814">
             </c>
      <c r="I4814" t="s">
        <v>14</v>
      </c>
      <c r="J4814" t="s">
        <v>141</v>
      </c>
      <c r="K4814" t="s">
        <v>14</v>
      </c>
      <c r="L4814" t="s">
        <v>20</v>
      </c>
      <c r="M4814" t="s">
        <v>9778</v>
      </c>
      <c r="N4814" t="s">
        <v>14</v>
      </c>
    </row>
    <row r="4815" x14ac:dyDescent="0.25">
      <c r="A4815" t="n">
        <v>25</v>
      </c>
      <c r="B4815" t="s">
        <v>14</v>
      </c>
      <c r="C4815" t="s">
        <v>22</v>
      </c>
      <c r="D4815" s="2" t="s">
        <f>=HYPERLINK("https://main.knesset.gov.il/APPS/legislation/main/bills/2198521", "הצעת חוק להקמת טכניון בנגב, התשפ""ג-2023")</f>
        <v>8586</v>
      </c>
      <c r="E4815" t="s">
        <v>8586</v>
      </c>
      <c r="F4815" t="s">
        <v>9916</v>
      </c>
      <c r="G4815" t="s">
        <v>14</v>
      </c>
      <c r="H4815">
             </c>
      <c r="I4815" t="s">
        <v>14</v>
      </c>
      <c r="J4815" t="s">
        <v>141</v>
      </c>
      <c r="K4815" t="s">
        <v>14</v>
      </c>
      <c r="L4815" t="s">
        <v>20</v>
      </c>
      <c r="M4815" t="s">
        <v>9778</v>
      </c>
      <c r="N4815" t="s">
        <v>14</v>
      </c>
    </row>
    <row r="4816" x14ac:dyDescent="0.25">
      <c r="A4816" t="n">
        <v>25</v>
      </c>
      <c r="B4816" t="s">
        <v>14</v>
      </c>
      <c r="C4816" t="s">
        <v>22</v>
      </c>
      <c r="D4816" s="2" t="s">
        <f>=HYPERLINK("https://main.knesset.gov.il/APPS/legislation/main/bills/2202823", "הצעת חוק הפיקוח על מעונות יום לפעוטות (תיקון - החמרת ענישה), התשפ""ג-2023")</f>
        <v>9508</v>
      </c>
      <c r="E4816" t="s">
        <v>9508</v>
      </c>
      <c r="F4816" t="s">
        <v>9917</v>
      </c>
      <c r="G4816" t="s">
        <v>14</v>
      </c>
      <c r="H4816">
             </c>
      <c r="I4816" t="s">
        <v>14</v>
      </c>
      <c r="J4816" t="s">
        <v>141</v>
      </c>
      <c r="K4816" t="s">
        <v>14</v>
      </c>
      <c r="L4816" t="s">
        <v>20</v>
      </c>
      <c r="M4816" t="s">
        <v>9778</v>
      </c>
      <c r="N4816" t="s">
        <v>14</v>
      </c>
    </row>
    <row r="4817" x14ac:dyDescent="0.25">
      <c r="A4817" t="n">
        <v>25</v>
      </c>
      <c r="B4817" t="s">
        <v>14</v>
      </c>
      <c r="C4817" t="s">
        <v>22</v>
      </c>
      <c r="D4817" s="2" t="s">
        <f>=HYPERLINK("https://main.knesset.gov.il/APPS/legislation/main/bills/2203055", "הצעת חוק איסור הפליה במוצרים, בשירותים ובכניסה למקומות בידור ולמקומות ציבוריים (תיקון - איסור הפליה בשל הובלת עגלת ילדים), התשפ""ג-2023")</f>
        <v>9918</v>
      </c>
      <c r="E4817" t="s">
        <v>9918</v>
      </c>
      <c r="F4817" t="s">
        <v>9919</v>
      </c>
      <c r="G4817" t="s">
        <v>14</v>
      </c>
      <c r="H4817">
             </c>
      <c r="I4817" t="s">
        <v>14</v>
      </c>
      <c r="J4817" t="s">
        <v>141</v>
      </c>
      <c r="K4817" t="s">
        <v>14</v>
      </c>
      <c r="L4817" t="s">
        <v>20</v>
      </c>
      <c r="M4817" t="s">
        <v>9778</v>
      </c>
      <c r="N4817" t="s">
        <v>14</v>
      </c>
    </row>
    <row r="4818" x14ac:dyDescent="0.25">
      <c r="A4818" t="n">
        <v>25</v>
      </c>
      <c r="B4818" t="s">
        <v>14</v>
      </c>
      <c r="C4818" t="s">
        <v>22</v>
      </c>
      <c r="D4818" s="2" t="s">
        <f>=HYPERLINK("https://main.knesset.gov.il/APPS/legislation/main/bills/2202977", "הצעת חוק התחרות הכלכלית (תיקון - ביטול הפטור לענף החקלאות), התשפ""ג-2023")</f>
        <v>9920</v>
      </c>
      <c r="E4818" t="s">
        <v>9920</v>
      </c>
      <c r="F4818" t="s">
        <v>9921</v>
      </c>
      <c r="G4818" t="s">
        <v>14</v>
      </c>
      <c r="H4818">
             </c>
      <c r="I4818" t="s">
        <v>14</v>
      </c>
      <c r="J4818" t="s">
        <v>141</v>
      </c>
      <c r="K4818" t="s">
        <v>14</v>
      </c>
      <c r="L4818" t="s">
        <v>20</v>
      </c>
      <c r="M4818" t="s">
        <v>9778</v>
      </c>
      <c r="N4818" t="s">
        <v>14</v>
      </c>
    </row>
    <row r="4819" x14ac:dyDescent="0.25">
      <c r="A4819" t="n">
        <v>25</v>
      </c>
      <c r="B4819" t="s">
        <v>14</v>
      </c>
      <c r="C4819" t="s">
        <v>22</v>
      </c>
      <c r="D4819" s="2" t="s">
        <f>=HYPERLINK("https://main.knesset.gov.il/APPS/legislation/main/bills/2203295", "הצעת חוק הגנת הצרכן (תיקון - חובת פרסום שם יצרן ודגם מוצר), התשפ""ג-2023")</f>
        <v>9922</v>
      </c>
      <c r="E4819" t="s">
        <v>9922</v>
      </c>
      <c r="F4819" t="s">
        <v>9923</v>
      </c>
      <c r="G4819" t="s">
        <v>14</v>
      </c>
      <c r="H4819">
             </c>
      <c r="I4819" t="s">
        <v>14</v>
      </c>
      <c r="J4819" t="s">
        <v>141</v>
      </c>
      <c r="K4819" t="s">
        <v>14</v>
      </c>
      <c r="L4819" t="s">
        <v>20</v>
      </c>
      <c r="M4819" t="s">
        <v>9778</v>
      </c>
      <c r="N4819" t="s">
        <v>14</v>
      </c>
    </row>
    <row r="4820" x14ac:dyDescent="0.25">
      <c r="A4820" t="n">
        <v>25</v>
      </c>
      <c r="B4820" t="s">
        <v>14</v>
      </c>
      <c r="C4820" t="s">
        <v>22</v>
      </c>
      <c r="D4820" s="2" t="s">
        <f>=HYPERLINK("https://main.knesset.gov.il/APPS/legislation/main/bills/2203161", "הצעת חוק ההתייעלות הכלכלית (תיקוני חקיקה להשגת יעדי התקציב לשנות התקציב 2017 ו-2018) (תיקון - הקצאת סכום לרשויות המקומיות הסמוכות לנמל התעופה בן-גוריון), התשפ""ג-2023")</f>
        <v>9924</v>
      </c>
      <c r="E4820" t="s">
        <v>9924</v>
      </c>
      <c r="F4820" t="s">
        <v>9925</v>
      </c>
      <c r="G4820" t="s">
        <v>14</v>
      </c>
      <c r="H4820">
             </c>
      <c r="I4820" t="s">
        <v>14</v>
      </c>
      <c r="J4820" t="s">
        <v>141</v>
      </c>
      <c r="K4820" t="s">
        <v>14</v>
      </c>
      <c r="L4820" t="s">
        <v>20</v>
      </c>
      <c r="M4820" t="s">
        <v>9778</v>
      </c>
      <c r="N4820" t="s">
        <v>14</v>
      </c>
    </row>
    <row r="4821" x14ac:dyDescent="0.25">
      <c r="A4821" t="n">
        <v>25</v>
      </c>
      <c r="B4821" t="s">
        <v>14</v>
      </c>
      <c r="C4821" t="s">
        <v>22</v>
      </c>
      <c r="D4821" s="2" t="s">
        <f>=HYPERLINK("https://main.knesset.gov.il/APPS/legislation/main/bills/2203356", "הצעת חוק איסור הבעת אהדה לשלטון הנאצי או הזדהות עמו (תיקוני חקיקה), התשפ""ג-2023")</f>
        <v>9926</v>
      </c>
      <c r="E4821" t="s">
        <v>9926</v>
      </c>
      <c r="F4821" t="s">
        <v>9927</v>
      </c>
      <c r="G4821" t="s">
        <v>14</v>
      </c>
      <c r="H4821">
             </c>
      <c r="I4821" t="s">
        <v>14</v>
      </c>
      <c r="J4821" t="s">
        <v>141</v>
      </c>
      <c r="K4821" t="s">
        <v>14</v>
      </c>
      <c r="L4821" t="s">
        <v>20</v>
      </c>
      <c r="M4821" t="s">
        <v>9778</v>
      </c>
      <c r="N4821" t="s">
        <v>14</v>
      </c>
    </row>
    <row r="4822" x14ac:dyDescent="0.25">
      <c r="A4822" t="n">
        <v>25</v>
      </c>
      <c r="B4822" t="s">
        <v>14</v>
      </c>
      <c r="C4822" t="s">
        <v>22</v>
      </c>
      <c r="D4822" s="2" t="s">
        <f>=HYPERLINK("https://main.knesset.gov.il/APPS/legislation/main/bills/2203228", "הצעת חוק הגנת הצרכן (תיקון - קביעת סכום מרבי לחיוב חשבון), התשפ""ג-2023")</f>
        <v>9575</v>
      </c>
      <c r="E4822" t="s">
        <v>9575</v>
      </c>
      <c r="F4822" t="s">
        <v>9928</v>
      </c>
      <c r="G4822" t="s">
        <v>14</v>
      </c>
      <c r="H4822">
             </c>
      <c r="I4822" t="s">
        <v>14</v>
      </c>
      <c r="J4822" t="s">
        <v>141</v>
      </c>
      <c r="K4822" t="s">
        <v>14</v>
      </c>
      <c r="L4822" t="s">
        <v>20</v>
      </c>
      <c r="M4822" t="s">
        <v>9778</v>
      </c>
      <c r="N4822" t="s">
        <v>14</v>
      </c>
    </row>
    <row r="4823" x14ac:dyDescent="0.25">
      <c r="A4823" t="n">
        <v>25</v>
      </c>
      <c r="B4823" t="s">
        <v>14</v>
      </c>
      <c r="C4823" t="s">
        <v>22</v>
      </c>
      <c r="D4823" s="2" t="s">
        <f>=HYPERLINK("https://main.knesset.gov.il/APPS/legislation/main/bills/2203281", "הצעת חוק חניה לנכים (תיקון - החלטה בבקשה לתג נכה), התשפ""ג-2023")</f>
        <v>8494</v>
      </c>
      <c r="E4823" t="s">
        <v>8494</v>
      </c>
      <c r="F4823" t="s">
        <v>9929</v>
      </c>
      <c r="G4823" t="s">
        <v>14</v>
      </c>
      <c r="H4823">
             </c>
      <c r="I4823" t="s">
        <v>14</v>
      </c>
      <c r="J4823" t="s">
        <v>141</v>
      </c>
      <c r="K4823" t="s">
        <v>14</v>
      </c>
      <c r="L4823" t="s">
        <v>20</v>
      </c>
      <c r="M4823" t="s">
        <v>9778</v>
      </c>
      <c r="N4823" t="s">
        <v>14</v>
      </c>
    </row>
    <row r="4824" x14ac:dyDescent="0.25">
      <c r="A4824" t="n">
        <v>25</v>
      </c>
      <c r="B4824" t="s">
        <v>14</v>
      </c>
      <c r="C4824" t="s">
        <v>22</v>
      </c>
      <c r="D4824" s="2" t="s">
        <f>=HYPERLINK("https://main.knesset.gov.il/APPS/legislation/main/bills/2202746", "הצעת חוק למניעת העסקה של עובד הוראה התומך בטרור, התשפ""ג-2023")</f>
        <v>9930</v>
      </c>
      <c r="E4824" t="s">
        <v>9930</v>
      </c>
      <c r="F4824" t="s">
        <v>9931</v>
      </c>
      <c r="G4824" t="s">
        <v>14</v>
      </c>
      <c r="H4824">
             </c>
      <c r="I4824" t="s">
        <v>14</v>
      </c>
      <c r="J4824" t="s">
        <v>141</v>
      </c>
      <c r="K4824" t="s">
        <v>14</v>
      </c>
      <c r="L4824" t="s">
        <v>20</v>
      </c>
      <c r="M4824" t="s">
        <v>9778</v>
      </c>
      <c r="N4824" t="s">
        <v>14</v>
      </c>
    </row>
    <row r="4825" x14ac:dyDescent="0.25">
      <c r="A4825" t="n">
        <v>25</v>
      </c>
      <c r="B4825" t="s">
        <v>14</v>
      </c>
      <c r="C4825" t="s">
        <v>22</v>
      </c>
      <c r="D4825" s="2" t="s">
        <f>=HYPERLINK("https://main.knesset.gov.il/APPS/legislation/main/bills/2202743", "הצעת חוק פיקוח על בתי ספר (תיקון - איסור התחזות לגננת), התשפ""ג-2023")</f>
        <v>9932</v>
      </c>
      <c r="E4825" t="s">
        <v>9932</v>
      </c>
      <c r="F4825" t="s">
        <v>9933</v>
      </c>
      <c r="G4825" t="s">
        <v>14</v>
      </c>
      <c r="H4825">
             </c>
      <c r="I4825" t="s">
        <v>14</v>
      </c>
      <c r="J4825" t="s">
        <v>141</v>
      </c>
      <c r="K4825" t="s">
        <v>14</v>
      </c>
      <c r="L4825" t="s">
        <v>20</v>
      </c>
      <c r="M4825" t="s">
        <v>9778</v>
      </c>
      <c r="N4825" t="s">
        <v>14</v>
      </c>
    </row>
    <row r="4826" x14ac:dyDescent="0.25">
      <c r="A4826" t="n">
        <v>25</v>
      </c>
      <c r="B4826" t="s">
        <v>14</v>
      </c>
      <c r="C4826" t="s">
        <v>22</v>
      </c>
      <c r="D4826" s="2" t="s">
        <f>=HYPERLINK("https://main.knesset.gov.il/APPS/legislation/main/bills/2202697", "הצעת חוק משק החשמל (תיקון - ועדה מיוחדת), התשפ''ג-2023")</f>
        <v>9934</v>
      </c>
      <c r="E4826" t="s">
        <v>9934</v>
      </c>
      <c r="F4826" t="s">
        <v>9935</v>
      </c>
      <c r="G4826" t="s">
        <v>14</v>
      </c>
      <c r="H4826">
             </c>
      <c r="I4826" t="s">
        <v>14</v>
      </c>
      <c r="J4826" t="s">
        <v>141</v>
      </c>
      <c r="K4826" t="s">
        <v>14</v>
      </c>
      <c r="L4826" t="s">
        <v>20</v>
      </c>
      <c r="M4826" t="s">
        <v>9778</v>
      </c>
      <c r="N4826" t="s">
        <v>14</v>
      </c>
    </row>
    <row r="4827" x14ac:dyDescent="0.25">
      <c r="A4827" t="n">
        <v>25</v>
      </c>
      <c r="B4827" t="s">
        <v>14</v>
      </c>
      <c r="C4827" t="s">
        <v>22</v>
      </c>
      <c r="D4827" s="2" t="s">
        <f>=HYPERLINK("https://main.knesset.gov.il/APPS/legislation/main/bills/2203125", "הצעת חוק לתיקון פקודת מס הכנסה (זיכוי בעד תרומת מזון), התשפ""ג-2023")</f>
        <v>9936</v>
      </c>
      <c r="E4827" t="s">
        <v>9936</v>
      </c>
      <c r="F4827" t="s">
        <v>9937</v>
      </c>
      <c r="G4827" t="s">
        <v>14</v>
      </c>
      <c r="H4827">
             </c>
      <c r="I4827" t="s">
        <v>14</v>
      </c>
      <c r="J4827" t="s">
        <v>141</v>
      </c>
      <c r="K4827" t="s">
        <v>14</v>
      </c>
      <c r="L4827" t="s">
        <v>20</v>
      </c>
      <c r="M4827" t="s">
        <v>9778</v>
      </c>
      <c r="N4827" t="s">
        <v>14</v>
      </c>
    </row>
    <row r="4828" x14ac:dyDescent="0.25">
      <c r="A4828" t="n">
        <v>25</v>
      </c>
      <c r="B4828" t="s">
        <v>14</v>
      </c>
      <c r="C4828" t="s">
        <v>22</v>
      </c>
      <c r="D4828" s="2" t="s">
        <f>=HYPERLINK("https://main.knesset.gov.il/APPS/legislation/main/bills/2202598", "הצעת חוק הגנת הצרכן (תיקון - מענה אנושי בשירות טלפוני לאזרח ותיק), התשפ""ג-2023")</f>
        <v>5340</v>
      </c>
      <c r="E4828" t="s">
        <v>5340</v>
      </c>
      <c r="F4828" t="s">
        <v>9938</v>
      </c>
      <c r="G4828" t="s">
        <v>14</v>
      </c>
      <c r="H4828">
             </c>
      <c r="I4828" t="s">
        <v>14</v>
      </c>
      <c r="J4828" t="s">
        <v>141</v>
      </c>
      <c r="K4828" t="s">
        <v>14</v>
      </c>
      <c r="L4828" t="s">
        <v>20</v>
      </c>
      <c r="M4828" t="s">
        <v>9778</v>
      </c>
      <c r="N4828" t="s">
        <v>14</v>
      </c>
    </row>
    <row r="4829" x14ac:dyDescent="0.25">
      <c r="A4829" t="n">
        <v>25</v>
      </c>
      <c r="B4829" t="s">
        <v>14</v>
      </c>
      <c r="C4829" t="s">
        <v>22</v>
      </c>
      <c r="D4829" s="2" t="s">
        <f>=HYPERLINK("https://main.knesset.gov.il/APPS/legislation/main/bills/2202535", "הצעת חוק לתיקון פקודת מס הכנסה (הצמדה למדד של תקרת המס בקרן השתלמות לשכירים), התשפ""ג-2023")</f>
        <v>9939</v>
      </c>
      <c r="E4829" t="s">
        <v>9939</v>
      </c>
      <c r="F4829" t="s">
        <v>9940</v>
      </c>
      <c r="G4829" t="s">
        <v>14</v>
      </c>
      <c r="H4829">
             </c>
      <c r="I4829" t="s">
        <v>14</v>
      </c>
      <c r="J4829" t="s">
        <v>141</v>
      </c>
      <c r="K4829" t="s">
        <v>14</v>
      </c>
      <c r="L4829" t="s">
        <v>20</v>
      </c>
      <c r="M4829" t="s">
        <v>9778</v>
      </c>
      <c r="N4829" t="s">
        <v>14</v>
      </c>
    </row>
    <row r="4830" x14ac:dyDescent="0.25">
      <c r="A4830" t="n">
        <v>25</v>
      </c>
      <c r="B4830" t="s">
        <v>14</v>
      </c>
      <c r="C4830" t="s">
        <v>22</v>
      </c>
      <c r="D4830" s="2" t="s">
        <f>=HYPERLINK("https://main.knesset.gov.il/APPS/legislation/main/bills/2203225", "הצעת חוק תאגידי מים וביוב (תיקון - ביטול סמכויות גבייה ואכיפה מיוחדות), התשפ""ג-2023")</f>
        <v>9941</v>
      </c>
      <c r="E4830" t="s">
        <v>9941</v>
      </c>
      <c r="F4830" t="s">
        <v>9942</v>
      </c>
      <c r="G4830" t="s">
        <v>14</v>
      </c>
      <c r="H4830">
             </c>
      <c r="I4830" t="s">
        <v>14</v>
      </c>
      <c r="J4830" t="s">
        <v>141</v>
      </c>
      <c r="K4830" t="s">
        <v>14</v>
      </c>
      <c r="L4830" t="s">
        <v>20</v>
      </c>
      <c r="M4830" t="s">
        <v>9778</v>
      </c>
      <c r="N4830" t="s">
        <v>14</v>
      </c>
    </row>
    <row r="4831" x14ac:dyDescent="0.25">
      <c r="A4831" t="n">
        <v>25</v>
      </c>
      <c r="B4831" t="s">
        <v>14</v>
      </c>
      <c r="C4831" t="s">
        <v>22</v>
      </c>
      <c r="D4831" s="2" t="s">
        <f>=HYPERLINK("https://main.knesset.gov.il/APPS/legislation/main/bills/2203280", "הצעת חוק חובת המכרזים (תיקון - עידוד עסקים קטנים ובינוניים באזור פריפריה במכרז), התשפ""ג-2023")</f>
        <v>9943</v>
      </c>
      <c r="E4831" t="s">
        <v>9943</v>
      </c>
      <c r="F4831" t="s">
        <v>9944</v>
      </c>
      <c r="G4831" t="s">
        <v>14</v>
      </c>
      <c r="H4831">
             </c>
      <c r="I4831" t="s">
        <v>14</v>
      </c>
      <c r="J4831" t="s">
        <v>141</v>
      </c>
      <c r="K4831" t="s">
        <v>14</v>
      </c>
      <c r="L4831" t="s">
        <v>20</v>
      </c>
      <c r="M4831" t="s">
        <v>9778</v>
      </c>
      <c r="N4831" t="s">
        <v>14</v>
      </c>
    </row>
    <row r="4832" x14ac:dyDescent="0.25">
      <c r="A4832" t="n">
        <v>25</v>
      </c>
      <c r="B4832" t="s">
        <v>14</v>
      </c>
      <c r="C4832" t="s">
        <v>22</v>
      </c>
      <c r="D4832" s="2" t="s">
        <f>=HYPERLINK("https://main.knesset.gov.il/APPS/legislation/main/bills/2203218", "הצעת חוק שיקים ללא כיסוי (תיקון - קביעת סכום מינימום להגבלת חשבון בנק והגבלת לקוח), התשפ""ג-2023")</f>
        <v>9560</v>
      </c>
      <c r="E4832" t="s">
        <v>9560</v>
      </c>
      <c r="F4832" t="s">
        <v>9945</v>
      </c>
      <c r="G4832" t="s">
        <v>14</v>
      </c>
      <c r="H4832">
             </c>
      <c r="I4832" t="s">
        <v>14</v>
      </c>
      <c r="J4832" t="s">
        <v>141</v>
      </c>
      <c r="K4832" t="s">
        <v>14</v>
      </c>
      <c r="L4832" t="s">
        <v>20</v>
      </c>
      <c r="M4832" t="s">
        <v>9778</v>
      </c>
      <c r="N4832" t="s">
        <v>14</v>
      </c>
    </row>
    <row r="4833" x14ac:dyDescent="0.25">
      <c r="A4833" t="n">
        <v>25</v>
      </c>
      <c r="B4833" t="s">
        <v>14</v>
      </c>
      <c r="C4833" t="s">
        <v>22</v>
      </c>
      <c r="D4833" s="2" t="s">
        <f>=HYPERLINK("https://main.knesset.gov.il/APPS/legislation/main/bills/2203049", "הצעת חוק הבנקאות (שירות ללקוח) (תיקון - חובת הצבת מכשיר אוטומטי למשיכת והפקדת מזומנים ושיקים), התשפ""ג-2023")</f>
        <v>9946</v>
      </c>
      <c r="E4833" t="s">
        <v>9946</v>
      </c>
      <c r="F4833" t="s">
        <v>9947</v>
      </c>
      <c r="G4833" t="s">
        <v>14</v>
      </c>
      <c r="H4833">
             </c>
      <c r="I4833" t="s">
        <v>14</v>
      </c>
      <c r="J4833" t="s">
        <v>141</v>
      </c>
      <c r="K4833" t="s">
        <v>14</v>
      </c>
      <c r="L4833" t="s">
        <v>20</v>
      </c>
      <c r="M4833" t="s">
        <v>9778</v>
      </c>
      <c r="N4833" t="s">
        <v>14</v>
      </c>
    </row>
    <row r="4834" x14ac:dyDescent="0.25">
      <c r="A4834" t="n">
        <v>25</v>
      </c>
      <c r="B4834" t="s">
        <v>14</v>
      </c>
      <c r="C4834" t="s">
        <v>22</v>
      </c>
      <c r="D4834" s="2" t="s">
        <f>=HYPERLINK("https://main.knesset.gov.il/APPS/legislation/main/bills/2202982", "הצעת חוק מועצת הצמחים (ייצור ושיווק) (תיקון - ביטול מועצת הצמחים), התשפ""ג-2023")</f>
        <v>9948</v>
      </c>
      <c r="E4834" t="s">
        <v>9948</v>
      </c>
      <c r="F4834" t="s">
        <v>9949</v>
      </c>
      <c r="G4834" t="s">
        <v>14</v>
      </c>
      <c r="H4834">
             </c>
      <c r="I4834" t="s">
        <v>14</v>
      </c>
      <c r="J4834" t="s">
        <v>141</v>
      </c>
      <c r="K4834" t="s">
        <v>14</v>
      </c>
      <c r="L4834" t="s">
        <v>20</v>
      </c>
      <c r="M4834" t="s">
        <v>9778</v>
      </c>
      <c r="N4834" t="s">
        <v>14</v>
      </c>
    </row>
    <row r="4835" x14ac:dyDescent="0.25">
      <c r="A4835" t="n">
        <v>25</v>
      </c>
      <c r="B4835" t="s">
        <v>14</v>
      </c>
      <c r="C4835" t="s">
        <v>22</v>
      </c>
      <c r="D4835" s="2" t="s">
        <f>=HYPERLINK("https://main.knesset.gov.il/APPS/legislation/main/bills/2202985", "הצעת חוק הפרטת גלי צה""ל, התשפ""ג-2023")</f>
        <v>9950</v>
      </c>
      <c r="E4835" t="s">
        <v>9950</v>
      </c>
      <c r="F4835" t="s">
        <v>9951</v>
      </c>
      <c r="G4835" t="s">
        <v>14</v>
      </c>
      <c r="H4835">
             </c>
      <c r="I4835" t="s">
        <v>14</v>
      </c>
      <c r="J4835" t="s">
        <v>141</v>
      </c>
      <c r="K4835" t="s">
        <v>14</v>
      </c>
      <c r="L4835" t="s">
        <v>20</v>
      </c>
      <c r="M4835" t="s">
        <v>9778</v>
      </c>
      <c r="N4835" t="s">
        <v>14</v>
      </c>
    </row>
    <row r="4836" x14ac:dyDescent="0.25">
      <c r="A4836" t="n">
        <v>25</v>
      </c>
      <c r="B4836" t="s">
        <v>14</v>
      </c>
      <c r="C4836" t="s">
        <v>22</v>
      </c>
      <c r="D4836" s="2" t="s">
        <f>=HYPERLINK("https://main.knesset.gov.il/APPS/legislation/main/bills/2203243", "הצעת חוק לתיקון פקודת התעבורה (פיצוי כספי בגין איחור אוטובוס), התשפ""ג-2023")</f>
        <v>9262</v>
      </c>
      <c r="E4836" t="s">
        <v>9262</v>
      </c>
      <c r="F4836" t="s">
        <v>9952</v>
      </c>
      <c r="G4836" t="s">
        <v>14</v>
      </c>
      <c r="H4836">
             </c>
      <c r="I4836" t="s">
        <v>14</v>
      </c>
      <c r="J4836" t="s">
        <v>141</v>
      </c>
      <c r="K4836" t="s">
        <v>14</v>
      </c>
      <c r="L4836" t="s">
        <v>20</v>
      </c>
      <c r="M4836" t="s">
        <v>9778</v>
      </c>
      <c r="N4836" t="s">
        <v>14</v>
      </c>
    </row>
    <row r="4837" x14ac:dyDescent="0.25">
      <c r="A4837" t="n">
        <v>25</v>
      </c>
      <c r="B4837" t="s">
        <v>14</v>
      </c>
      <c r="C4837" t="s">
        <v>22</v>
      </c>
      <c r="D4837" s="2" t="s">
        <f>=HYPERLINK("https://main.knesset.gov.il/APPS/legislation/main/bills/2202096", "הצעת חוק נתוני אשראי (תיקון - תקופת החזקת מידע במאגר), התשפ""ג-2023")</f>
        <v>9953</v>
      </c>
      <c r="E4837" t="s">
        <v>9953</v>
      </c>
      <c r="F4837" t="s">
        <v>9954</v>
      </c>
      <c r="G4837" t="s">
        <v>14</v>
      </c>
      <c r="H4837">
             </c>
      <c r="I4837" t="s">
        <v>14</v>
      </c>
      <c r="J4837" t="s">
        <v>141</v>
      </c>
      <c r="K4837" t="s">
        <v>14</v>
      </c>
      <c r="L4837" t="s">
        <v>20</v>
      </c>
      <c r="M4837" t="s">
        <v>9778</v>
      </c>
      <c r="N4837" t="s">
        <v>14</v>
      </c>
    </row>
    <row r="4838" x14ac:dyDescent="0.25">
      <c r="A4838" t="n">
        <v>25</v>
      </c>
      <c r="B4838" t="s">
        <v>14</v>
      </c>
      <c r="C4838" t="s">
        <v>22</v>
      </c>
      <c r="D4838" s="2" t="s">
        <f>=HYPERLINK("https://main.knesset.gov.il/APPS/legislation/main/bills/2201904", "הצעת חוק התכנון והבנייה (תיקון - ביצוע סקר מבנים מסוכנים), התשפ""ג-2023")</f>
        <v>9455</v>
      </c>
      <c r="E4838" t="s">
        <v>9455</v>
      </c>
      <c r="F4838" t="s">
        <v>9955</v>
      </c>
      <c r="G4838" t="s">
        <v>14</v>
      </c>
      <c r="H4838">
             </c>
      <c r="I4838" t="s">
        <v>14</v>
      </c>
      <c r="J4838" t="s">
        <v>141</v>
      </c>
      <c r="K4838" t="s">
        <v>14</v>
      </c>
      <c r="L4838" t="s">
        <v>20</v>
      </c>
      <c r="M4838" t="s">
        <v>9778</v>
      </c>
      <c r="N4838" t="s">
        <v>14</v>
      </c>
    </row>
    <row r="4839" x14ac:dyDescent="0.25">
      <c r="A4839" t="n">
        <v>25</v>
      </c>
      <c r="B4839" t="s">
        <v>14</v>
      </c>
      <c r="C4839" t="s">
        <v>22</v>
      </c>
      <c r="D4839" s="2" t="s">
        <f>=HYPERLINK("https://main.knesset.gov.il/APPS/legislation/main/bills/2201217", "הצעת חוק המועצה להשכלה גבוהה (תיקון - איסור הגבלת גיל בהרשמה למוסד להשכלה גבוהה), התשפ""ג-2023")</f>
        <v>9956</v>
      </c>
      <c r="E4839" t="s">
        <v>9956</v>
      </c>
      <c r="F4839" t="s">
        <v>9957</v>
      </c>
      <c r="G4839" t="s">
        <v>14</v>
      </c>
      <c r="H4839">
             </c>
      <c r="I4839" t="s">
        <v>14</v>
      </c>
      <c r="J4839" t="s">
        <v>141</v>
      </c>
      <c r="K4839" t="s">
        <v>14</v>
      </c>
      <c r="L4839" t="s">
        <v>20</v>
      </c>
      <c r="M4839" t="s">
        <v>9778</v>
      </c>
      <c r="N4839" t="s">
        <v>14</v>
      </c>
    </row>
    <row r="4840" x14ac:dyDescent="0.25">
      <c r="A4840" t="n">
        <v>25</v>
      </c>
      <c r="B4840" t="s">
        <v>14</v>
      </c>
      <c r="C4840" t="s">
        <v>22</v>
      </c>
      <c r="D4840" s="2" t="s">
        <f>=HYPERLINK("https://main.knesset.gov.il/APPS/legislation/main/bills/2203242", "הצעת חוק לתיקון פקודת התעבורה (ריבית פיגורים בגין אי-תשלום קנס על עבירת חניה), התשפ""ג-2023")</f>
        <v>9958</v>
      </c>
      <c r="E4840" t="s">
        <v>9958</v>
      </c>
      <c r="F4840" t="s">
        <v>9959</v>
      </c>
      <c r="G4840" t="s">
        <v>14</v>
      </c>
      <c r="H4840">
             </c>
      <c r="I4840" t="s">
        <v>14</v>
      </c>
      <c r="J4840" t="s">
        <v>141</v>
      </c>
      <c r="K4840" t="s">
        <v>14</v>
      </c>
      <c r="L4840" t="s">
        <v>20</v>
      </c>
      <c r="M4840" t="s">
        <v>9778</v>
      </c>
      <c r="N4840" t="s">
        <v>14</v>
      </c>
    </row>
    <row r="4841" x14ac:dyDescent="0.25">
      <c r="A4841" t="n">
        <v>25</v>
      </c>
      <c r="B4841" t="s">
        <v>14</v>
      </c>
      <c r="C4841" t="s">
        <v>22</v>
      </c>
      <c r="D4841" s="2" t="s">
        <f>=HYPERLINK("https://main.knesset.gov.il/APPS/legislation/main/bills/2203101", "הצעת חוק להגדלת שיעור ההשתתפות בכוח העבודה ולצמצום פערים חברתיים (מענק עבודה) (תיקון - הורדת גיל הזכאות), התשפ""ג-2023")</f>
        <v>9960</v>
      </c>
      <c r="E4841" t="s">
        <v>9960</v>
      </c>
      <c r="F4841" t="s">
        <v>9961</v>
      </c>
      <c r="G4841" t="s">
        <v>14</v>
      </c>
      <c r="H4841">
             </c>
      <c r="I4841" t="s">
        <v>14</v>
      </c>
      <c r="J4841" t="s">
        <v>141</v>
      </c>
      <c r="K4841" t="s">
        <v>14</v>
      </c>
      <c r="L4841" t="s">
        <v>20</v>
      </c>
      <c r="M4841" t="s">
        <v>9778</v>
      </c>
      <c r="N4841" t="s">
        <v>14</v>
      </c>
    </row>
    <row r="4842" x14ac:dyDescent="0.25">
      <c r="A4842" t="n">
        <v>25</v>
      </c>
      <c r="B4842" t="s">
        <v>14</v>
      </c>
      <c r="C4842" t="s">
        <v>22</v>
      </c>
      <c r="D4842" s="2" t="s">
        <f>=HYPERLINK("https://main.knesset.gov.il/APPS/legislation/main/bills/2203231", "הצעת חוק הגנת הצרכן (תיקון - תשלום על פי צריכה בעסקה מתמשכת), התשפ""ג-2023")</f>
        <v>9962</v>
      </c>
      <c r="E4842" t="s">
        <v>9962</v>
      </c>
      <c r="F4842" t="s">
        <v>9963</v>
      </c>
      <c r="G4842" t="s">
        <v>14</v>
      </c>
      <c r="H4842">
             </c>
      <c r="I4842" t="s">
        <v>14</v>
      </c>
      <c r="J4842" t="s">
        <v>141</v>
      </c>
      <c r="K4842" t="s">
        <v>14</v>
      </c>
      <c r="L4842" t="s">
        <v>20</v>
      </c>
      <c r="M4842" t="s">
        <v>9778</v>
      </c>
      <c r="N4842" t="s">
        <v>14</v>
      </c>
    </row>
    <row r="4843" x14ac:dyDescent="0.25">
      <c r="A4843" t="n">
        <v>25</v>
      </c>
      <c r="B4843" t="s">
        <v>14</v>
      </c>
      <c r="C4843" t="s">
        <v>22</v>
      </c>
      <c r="D4843" s="2" t="s">
        <f>=HYPERLINK("https://main.knesset.gov.il/APPS/legislation/main/bills/2200963", "הצעת חוק מתן שירות של קבלת קהל במשרדי הממשלה בשעות אחר הצהריים, התשפ""ג-2023")</f>
        <v>9964</v>
      </c>
      <c r="E4843" t="s">
        <v>9964</v>
      </c>
      <c r="F4843" t="s">
        <v>9965</v>
      </c>
      <c r="G4843" t="s">
        <v>14</v>
      </c>
      <c r="H4843">
             </c>
      <c r="I4843" t="s">
        <v>14</v>
      </c>
      <c r="J4843" t="s">
        <v>141</v>
      </c>
      <c r="K4843" t="s">
        <v>14</v>
      </c>
      <c r="L4843" t="s">
        <v>20</v>
      </c>
      <c r="M4843" t="s">
        <v>9778</v>
      </c>
      <c r="N4843" t="s">
        <v>14</v>
      </c>
    </row>
    <row r="4844" x14ac:dyDescent="0.25">
      <c r="A4844" t="n">
        <v>25</v>
      </c>
      <c r="B4844" t="s">
        <v>14</v>
      </c>
      <c r="C4844" t="s">
        <v>22</v>
      </c>
      <c r="D4844" s="2" t="s">
        <f>=HYPERLINK("https://main.knesset.gov.il/APPS/legislation/main/bills/2200212", "הצעת חוק שירות הציבור (מתנות) (תיקון - תרומה למימון הליך משפטי או טיפול רפואי וחובת דיווח), התשפ""ג-2023")</f>
        <v>9966</v>
      </c>
      <c r="E4844" t="s">
        <v>9966</v>
      </c>
      <c r="F4844" t="s">
        <v>9967</v>
      </c>
      <c r="G4844" t="s">
        <v>14</v>
      </c>
      <c r="H4844">
             </c>
      <c r="I4844" t="s">
        <v>14</v>
      </c>
      <c r="J4844" t="s">
        <v>31</v>
      </c>
      <c r="K4844" t="s">
        <v>121</v>
      </c>
      <c r="L4844" t="s">
        <v>20</v>
      </c>
      <c r="M4844" t="s">
        <v>9968</v>
      </c>
      <c r="N4844" t="s">
        <v>14</v>
      </c>
    </row>
    <row r="4845" x14ac:dyDescent="0.25">
      <c r="A4845" t="n">
        <v>25</v>
      </c>
      <c r="B4845" t="s">
        <v>14</v>
      </c>
      <c r="C4845" t="s">
        <v>22</v>
      </c>
      <c r="D4845" s="2" t="s">
        <f>=HYPERLINK("https://main.knesset.gov.il/APPS/legislation/main/bills/2198721", "הצעת חוק מס ערך מוסף (תיקון מס' 60) (פטור ממס במכירת תרופות שאינן כלולות בסל הבריאות), התשפ""ג-2023")</f>
        <v>9969</v>
      </c>
      <c r="E4845" t="s">
        <v>9969</v>
      </c>
      <c r="F4845" t="s">
        <v>9970</v>
      </c>
      <c r="G4845" t="s">
        <v>14</v>
      </c>
      <c r="H4845">
             </c>
      <c r="I4845" t="s">
        <v>14</v>
      </c>
      <c r="J4845" t="s">
        <v>31</v>
      </c>
      <c r="K4845" t="s">
        <v>85</v>
      </c>
      <c r="L4845" t="s">
        <v>20</v>
      </c>
      <c r="M4845" t="s">
        <v>9971</v>
      </c>
      <c r="N4845" t="s">
        <v>14</v>
      </c>
    </row>
    <row r="4846" x14ac:dyDescent="0.25">
      <c r="A4846" t="n">
        <v>25</v>
      </c>
      <c r="B4846" t="s">
        <v>14</v>
      </c>
      <c r="C4846" t="s">
        <v>22</v>
      </c>
      <c r="D4846" s="2" t="s">
        <f>=HYPERLINK("https://main.knesset.gov.il/APPS/legislation/main/bills/2201424", "חוק־יסוד: הממשלה (תיקון מס' 12)")</f>
        <v>9972</v>
      </c>
      <c r="E4846" t="s">
        <v>9972</v>
      </c>
      <c r="F4846" t="s">
        <v>9973</v>
      </c>
      <c r="G4846" t="s">
        <v>9974</v>
      </c>
      <c r="H4846" t="n">
        <v>3031</v>
      </c>
      <c r="I4846" t="s">
        <v>14</v>
      </c>
      <c r="J4846" t="s">
        <v>91</v>
      </c>
      <c r="K4846" t="s">
        <v>866</v>
      </c>
      <c r="L4846" t="s">
        <v>20</v>
      </c>
      <c r="M4846" t="s">
        <v>9971</v>
      </c>
      <c r="N4846" t="s">
        <v>9975</v>
      </c>
    </row>
    <row r="4847" x14ac:dyDescent="0.25">
      <c r="A4847" t="n">
        <v>25</v>
      </c>
      <c r="B4847" t="s">
        <v>14</v>
      </c>
      <c r="C4847" t="s">
        <v>22</v>
      </c>
      <c r="D4847" s="2" t="s">
        <f>=HYPERLINK("https://main.knesset.gov.il/APPS/legislation/main/bills/2200705", "הצעת חוק למניעת אלימות במשפחה (פיקוח טכנולוגי להבטחת קיומו של צו הגנה, והערכת מסוכנות - הוראת שעה), התשפ""ג-2023")</f>
        <v>9976</v>
      </c>
      <c r="E4847" t="s">
        <v>9976</v>
      </c>
      <c r="F4847" t="s">
        <v>9977</v>
      </c>
      <c r="G4847" t="s">
        <v>14</v>
      </c>
      <c r="H4847">
             </c>
      <c r="I4847" t="s">
        <v>14</v>
      </c>
      <c r="J4847" t="s">
        <v>55</v>
      </c>
      <c r="K4847" t="s">
        <v>14</v>
      </c>
      <c r="L4847" t="s">
        <v>20</v>
      </c>
      <c r="M4847" t="s">
        <v>9971</v>
      </c>
      <c r="N4847" t="s">
        <v>14</v>
      </c>
    </row>
    <row r="4848" x14ac:dyDescent="0.25">
      <c r="A4848" t="n">
        <v>25</v>
      </c>
      <c r="B4848" t="s">
        <v>14</v>
      </c>
      <c r="C4848" t="s">
        <v>22</v>
      </c>
      <c r="D4848" s="2" t="s">
        <f>=HYPERLINK("https://main.knesset.gov.il/APPS/legislation/main/bills/2198954", "הצעת חוק למניעת אלימות במשפחה (פיקוח טכנולוגי להבטחת קיומו של צו הגנה והערכת מסוכנות - הוראת שעה), התשפ""ג-2023 ")</f>
        <v>9978</v>
      </c>
      <c r="E4848" t="s">
        <v>9978</v>
      </c>
      <c r="F4848" t="s">
        <v>9979</v>
      </c>
      <c r="G4848" t="s">
        <v>14</v>
      </c>
      <c r="H4848">
             </c>
      <c r="I4848" t="s">
        <v>14</v>
      </c>
      <c r="J4848" t="s">
        <v>55</v>
      </c>
      <c r="K4848" t="s">
        <v>14</v>
      </c>
      <c r="L4848" t="s">
        <v>20</v>
      </c>
      <c r="M4848" t="s">
        <v>9971</v>
      </c>
      <c r="N4848" t="s">
        <v>14</v>
      </c>
    </row>
    <row r="4849" x14ac:dyDescent="0.25">
      <c r="A4849" t="n">
        <v>25</v>
      </c>
      <c r="B4849" t="s">
        <v>14</v>
      </c>
      <c r="C4849" t="s">
        <v>22</v>
      </c>
      <c r="D4849" s="2" t="s">
        <f>=HYPERLINK("https://main.knesset.gov.il/APPS/legislation/main/bills/2197963", "הצעת חוק סייעות במוסדות חינוך, התשפ""ג-2023")</f>
        <v>9490</v>
      </c>
      <c r="E4849" t="s">
        <v>9490</v>
      </c>
      <c r="F4849" t="s">
        <v>9980</v>
      </c>
      <c r="G4849" t="s">
        <v>14</v>
      </c>
      <c r="H4849">
             </c>
      <c r="I4849" t="s">
        <v>14</v>
      </c>
      <c r="J4849" t="s">
        <v>343</v>
      </c>
      <c r="K4849" t="s">
        <v>14</v>
      </c>
      <c r="L4849" t="s">
        <v>20</v>
      </c>
      <c r="M4849" t="s">
        <v>9971</v>
      </c>
      <c r="N4849" t="s">
        <v>14</v>
      </c>
    </row>
    <row r="4850" x14ac:dyDescent="0.25">
      <c r="A4850" t="n">
        <v>25</v>
      </c>
      <c r="B4850" t="s">
        <v>14</v>
      </c>
      <c r="C4850" t="s">
        <v>22</v>
      </c>
      <c r="D4850" s="2" t="s">
        <f>=HYPERLINK("https://main.knesset.gov.il/APPS/legislation/main/bills/2198100", "הצעת חוק לחילוט תקבולי עבירה בשווי בעבירת גניבה חקלאית ובעבירות הגורמות נזק לרכוש חקלאי, התשפ""ג-2023")</f>
        <v>9337</v>
      </c>
      <c r="E4850" t="s">
        <v>9337</v>
      </c>
      <c r="F4850" t="s">
        <v>9981</v>
      </c>
      <c r="G4850" t="s">
        <v>14</v>
      </c>
      <c r="H4850">
             </c>
      <c r="I4850" t="s">
        <v>14</v>
      </c>
      <c r="J4850" t="s">
        <v>31</v>
      </c>
      <c r="K4850" t="s">
        <v>105</v>
      </c>
      <c r="L4850" t="s">
        <v>20</v>
      </c>
      <c r="M4850" t="s">
        <v>9971</v>
      </c>
      <c r="N4850" t="s">
        <v>14</v>
      </c>
    </row>
    <row r="4851" x14ac:dyDescent="0.25">
      <c r="A4851" t="n">
        <v>25</v>
      </c>
      <c r="B4851" t="s">
        <v>14</v>
      </c>
      <c r="C4851" t="s">
        <v>22</v>
      </c>
      <c r="D4851" s="2" t="s">
        <f>=HYPERLINK("https://main.knesset.gov.il/APPS/legislation/main/bills/2197716", "הצעת חוק התמודדות עם תופעת נטילת דמי חסות, התשפ""ג-2022")</f>
        <v>9982</v>
      </c>
      <c r="E4851" t="s">
        <v>9982</v>
      </c>
      <c r="F4851" t="s">
        <v>9983</v>
      </c>
      <c r="G4851" t="s">
        <v>14</v>
      </c>
      <c r="H4851">
             </c>
      <c r="I4851" t="s">
        <v>14</v>
      </c>
      <c r="J4851" t="s">
        <v>55</v>
      </c>
      <c r="K4851" t="s">
        <v>14</v>
      </c>
      <c r="L4851" t="s">
        <v>20</v>
      </c>
      <c r="M4851" t="s">
        <v>9971</v>
      </c>
      <c r="N4851" t="s">
        <v>14</v>
      </c>
    </row>
    <row r="4852" x14ac:dyDescent="0.25">
      <c r="A4852" t="n">
        <v>25</v>
      </c>
      <c r="B4852" t="s">
        <v>14</v>
      </c>
      <c r="C4852" t="s">
        <v>22</v>
      </c>
      <c r="D4852" s="2" t="s">
        <f>=HYPERLINK("https://main.knesset.gov.il/APPS/legislation/main/bills/2197515", "הצעת חוק למניעת אלימות במשפחה (פיקוח טכנולוגי להבטחת קיומו של צו הגנה, והערכת מסוכנות - הוראת שעה), התשפ""ג-2022")</f>
        <v>9984</v>
      </c>
      <c r="E4852" t="s">
        <v>9984</v>
      </c>
      <c r="F4852" t="s">
        <v>9985</v>
      </c>
      <c r="G4852" t="s">
        <v>14</v>
      </c>
      <c r="H4852">
             </c>
      <c r="I4852" t="s">
        <v>14</v>
      </c>
      <c r="J4852" t="s">
        <v>55</v>
      </c>
      <c r="K4852" t="s">
        <v>14</v>
      </c>
      <c r="L4852" t="s">
        <v>20</v>
      </c>
      <c r="M4852" t="s">
        <v>9971</v>
      </c>
      <c r="N4852" t="s">
        <v>14</v>
      </c>
    </row>
    <row r="4853" x14ac:dyDescent="0.25">
      <c r="A4853" t="n">
        <v>25</v>
      </c>
      <c r="B4853" t="s">
        <v>14</v>
      </c>
      <c r="C4853" t="s">
        <v>22</v>
      </c>
      <c r="D4853" s="2" t="s">
        <f>=HYPERLINK("https://main.knesset.gov.il/APPS/legislation/main/bills/2196840", "הצעת חוק למניעת אלימות במשפחה (פיקוח טכנולוגי להבטחת קיומו של צו הגנה, והערכת מסוכנות - הוראת שעה), התשפ""ג-2022")</f>
        <v>9984</v>
      </c>
      <c r="E4853" t="s">
        <v>9984</v>
      </c>
      <c r="F4853" t="s">
        <v>9986</v>
      </c>
      <c r="G4853" t="s">
        <v>14</v>
      </c>
      <c r="H4853">
             </c>
      <c r="I4853" t="s">
        <v>14</v>
      </c>
      <c r="J4853" t="s">
        <v>55</v>
      </c>
      <c r="K4853" t="s">
        <v>14</v>
      </c>
      <c r="L4853" t="s">
        <v>20</v>
      </c>
      <c r="M4853" t="s">
        <v>9971</v>
      </c>
      <c r="N4853" t="s">
        <v>14</v>
      </c>
    </row>
    <row r="4854" x14ac:dyDescent="0.25">
      <c r="A4854" t="n">
        <v>25</v>
      </c>
      <c r="B4854" t="s">
        <v>14</v>
      </c>
      <c r="C4854" t="s">
        <v>22</v>
      </c>
      <c r="D4854" s="2" t="s">
        <f>=HYPERLINK("https://main.knesset.gov.il/APPS/legislation/main/bills/2195706", "חוק יישום תוכנית ההתנתקות (תיקון מס' 7), התשפ""ג-2023")</f>
        <v>9987</v>
      </c>
      <c r="E4854" t="s">
        <v>9987</v>
      </c>
      <c r="F4854" t="s">
        <v>9988</v>
      </c>
      <c r="G4854" t="s">
        <v>9989</v>
      </c>
      <c r="H4854" t="n">
        <v>3030</v>
      </c>
      <c r="I4854" t="s">
        <v>14</v>
      </c>
      <c r="J4854" t="s">
        <v>91</v>
      </c>
      <c r="K4854" t="s">
        <v>114</v>
      </c>
      <c r="L4854" t="s">
        <v>20</v>
      </c>
      <c r="M4854" t="s">
        <v>9990</v>
      </c>
      <c r="N4854" t="s">
        <v>9991</v>
      </c>
    </row>
    <row r="4855" x14ac:dyDescent="0.25">
      <c r="A4855" t="n">
        <v>25</v>
      </c>
      <c r="B4855" t="s">
        <v>14</v>
      </c>
      <c r="C4855" t="s">
        <v>15</v>
      </c>
      <c r="D4855" s="2" t="s">
        <f>=HYPERLINK("https://main.knesset.gov.il/APPS/legislation/main/bills/2202409", "חוק חדלות פירעון ושיקום כלכלי (תיקון מס' 4 – הוראת שעה – נגיף הקורונה החדש) (תיקון), התשפ""ג-2023")</f>
        <v>9992</v>
      </c>
      <c r="E4855" t="s">
        <v>9992</v>
      </c>
      <c r="F4855" t="s">
        <v>14</v>
      </c>
      <c r="G4855" t="s">
        <v>9993</v>
      </c>
      <c r="H4855" t="n">
        <v>3029</v>
      </c>
      <c r="I4855" t="s">
        <v>14</v>
      </c>
      <c r="J4855" t="s">
        <v>91</v>
      </c>
      <c r="K4855" t="s">
        <v>27</v>
      </c>
      <c r="L4855" t="s">
        <v>20</v>
      </c>
      <c r="M4855" t="s">
        <v>9990</v>
      </c>
      <c r="N4855" t="s">
        <v>9994</v>
      </c>
    </row>
    <row r="4856" x14ac:dyDescent="0.25">
      <c r="A4856" t="n">
        <v>25</v>
      </c>
      <c r="B4856" t="s">
        <v>14</v>
      </c>
      <c r="C4856" t="s">
        <v>22</v>
      </c>
      <c r="D4856" s="2" t="s">
        <f>=HYPERLINK("https://main.knesset.gov.il/APPS/legislation/main/bills/2198704", "הצעת חוק העונשין (תיקון - הסדר חילוט לרכושו של סוחר נשק), התשפ""ג-2023")</f>
        <v>9995</v>
      </c>
      <c r="E4856" t="s">
        <v>9995</v>
      </c>
      <c r="F4856" t="s">
        <v>9996</v>
      </c>
      <c r="G4856" t="s">
        <v>14</v>
      </c>
      <c r="H4856">
             </c>
      <c r="I4856" t="s">
        <v>14</v>
      </c>
      <c r="J4856" t="s">
        <v>31</v>
      </c>
      <c r="K4856" t="s">
        <v>27</v>
      </c>
      <c r="L4856" t="s">
        <v>20</v>
      </c>
      <c r="M4856" t="s">
        <v>9990</v>
      </c>
      <c r="N4856" t="s">
        <v>14</v>
      </c>
    </row>
    <row r="4857" x14ac:dyDescent="0.25">
      <c r="A4857" t="n">
        <v>25</v>
      </c>
      <c r="B4857" t="s">
        <v>14</v>
      </c>
      <c r="C4857" t="s">
        <v>22</v>
      </c>
      <c r="D4857" s="2" t="s">
        <f>=HYPERLINK("https://main.knesset.gov.il/APPS/legislation/main/bills/2201267", "הצעת חוק לעידוד השקעות הון (תיקון - תחומי אזורי פיתוח א'), התשפ""ג-2023")</f>
        <v>9997</v>
      </c>
      <c r="E4857" t="s">
        <v>9997</v>
      </c>
      <c r="F4857" t="s">
        <v>9998</v>
      </c>
      <c r="G4857" t="s">
        <v>14</v>
      </c>
      <c r="H4857">
             </c>
      <c r="I4857" t="s">
        <v>14</v>
      </c>
      <c r="J4857" t="s">
        <v>141</v>
      </c>
      <c r="K4857" t="s">
        <v>14</v>
      </c>
      <c r="L4857" t="s">
        <v>20</v>
      </c>
      <c r="M4857" t="s">
        <v>9990</v>
      </c>
      <c r="N4857" t="s">
        <v>14</v>
      </c>
    </row>
    <row r="4858" x14ac:dyDescent="0.25">
      <c r="A4858" t="n">
        <v>25</v>
      </c>
      <c r="B4858" t="s">
        <v>14</v>
      </c>
      <c r="C4858" t="s">
        <v>22</v>
      </c>
      <c r="D4858" s="2" t="s">
        <f>=HYPERLINK("https://main.knesset.gov.il/APPS/legislation/main/bills/2202671", "הצעת חוק שירות ביטחון (תיקון - חובת פוקד לקרוא להתייצבות לשירות ביטחון), התשפ""ג-2023")</f>
        <v>9999</v>
      </c>
      <c r="E4858" t="s">
        <v>9999</v>
      </c>
      <c r="F4858" t="s">
        <v>10000</v>
      </c>
      <c r="G4858" t="s">
        <v>14</v>
      </c>
      <c r="H4858">
             </c>
      <c r="I4858" t="s">
        <v>14</v>
      </c>
      <c r="J4858" t="s">
        <v>141</v>
      </c>
      <c r="K4858" t="s">
        <v>14</v>
      </c>
      <c r="L4858" t="s">
        <v>20</v>
      </c>
      <c r="M4858" t="s">
        <v>9990</v>
      </c>
      <c r="N4858" t="s">
        <v>14</v>
      </c>
    </row>
    <row r="4859" x14ac:dyDescent="0.25">
      <c r="A4859" t="n">
        <v>25</v>
      </c>
      <c r="B4859" t="s">
        <v>14</v>
      </c>
      <c r="C4859" t="s">
        <v>22</v>
      </c>
      <c r="D4859" s="2" t="s">
        <f>=HYPERLINK("https://main.knesset.gov.il/APPS/legislation/main/bills/2202731", "הצעת חוק הכשרות המשפטית והאפוטרופסות (תיקון - ביטול חזקת הגיל הרך), התשפ""ג-2023")</f>
        <v>10001</v>
      </c>
      <c r="E4859" t="s">
        <v>10001</v>
      </c>
      <c r="F4859" t="s">
        <v>10002</v>
      </c>
      <c r="G4859" t="s">
        <v>14</v>
      </c>
      <c r="H4859">
             </c>
      <c r="I4859" t="s">
        <v>14</v>
      </c>
      <c r="J4859" t="s">
        <v>343</v>
      </c>
      <c r="K4859" t="s">
        <v>14</v>
      </c>
      <c r="L4859" t="s">
        <v>20</v>
      </c>
      <c r="M4859" t="s">
        <v>9990</v>
      </c>
      <c r="N4859" t="s">
        <v>14</v>
      </c>
    </row>
    <row r="4860" x14ac:dyDescent="0.25">
      <c r="A4860" t="n">
        <v>25</v>
      </c>
      <c r="B4860" t="s">
        <v>14</v>
      </c>
      <c r="C4860" t="s">
        <v>22</v>
      </c>
      <c r="D4860" s="2" t="s">
        <f>=HYPERLINK("https://main.knesset.gov.il/APPS/legislation/main/bills/2199357", "הצעת חוק התוכנית הכלכלית (תיקוני חקיקה ליישום המדיניות הכלכלית לשנות התקציב 2021 ו-2022) (תיקון - ביטול הרפורמה בכשרות), התשפ""ג-2023")</f>
        <v>10003</v>
      </c>
      <c r="E4860" t="s">
        <v>10003</v>
      </c>
      <c r="F4860" t="s">
        <v>10004</v>
      </c>
      <c r="G4860" t="s">
        <v>14</v>
      </c>
      <c r="H4860">
             </c>
      <c r="I4860" t="s">
        <v>14</v>
      </c>
      <c r="J4860" t="s">
        <v>141</v>
      </c>
      <c r="K4860" t="s">
        <v>14</v>
      </c>
      <c r="L4860" t="s">
        <v>20</v>
      </c>
      <c r="M4860" t="s">
        <v>9990</v>
      </c>
      <c r="N4860" t="s">
        <v>14</v>
      </c>
    </row>
    <row r="4861" x14ac:dyDescent="0.25">
      <c r="A4861" t="n">
        <v>25</v>
      </c>
      <c r="B4861" t="s">
        <v>14</v>
      </c>
      <c r="C4861" t="s">
        <v>22</v>
      </c>
      <c r="D4861" s="2" t="s">
        <f>=HYPERLINK("https://main.knesset.gov.il/APPS/legislation/main/bills/2201482", "הצעת חוק-יסוד: כינון חוקה בישראל")</f>
        <v>10005</v>
      </c>
      <c r="E4861" t="s">
        <v>10005</v>
      </c>
      <c r="F4861" t="s">
        <v>10006</v>
      </c>
      <c r="G4861" t="s">
        <v>14</v>
      </c>
      <c r="H4861">
             </c>
      <c r="I4861" t="s">
        <v>14</v>
      </c>
      <c r="J4861" t="s">
        <v>141</v>
      </c>
      <c r="K4861" t="s">
        <v>14</v>
      </c>
      <c r="L4861" t="s">
        <v>20</v>
      </c>
      <c r="M4861" t="s">
        <v>9990</v>
      </c>
      <c r="N4861" t="s">
        <v>14</v>
      </c>
    </row>
    <row r="4862" x14ac:dyDescent="0.25">
      <c r="A4862" t="n">
        <v>25</v>
      </c>
      <c r="B4862" t="s">
        <v>14</v>
      </c>
      <c r="C4862" t="s">
        <v>22</v>
      </c>
      <c r="D4862" s="2" t="s">
        <f>=HYPERLINK("https://main.knesset.gov.il/APPS/legislation/main/bills/2202250", "הצעת חוק לתיקון פקודת העיריות (ייצוג הולם בשמות מקומות ציבוריים), התשפ""ג-2023")</f>
        <v>10007</v>
      </c>
      <c r="E4862" t="s">
        <v>10007</v>
      </c>
      <c r="F4862" t="s">
        <v>10008</v>
      </c>
      <c r="G4862" t="s">
        <v>14</v>
      </c>
      <c r="H4862">
             </c>
      <c r="I4862" t="s">
        <v>14</v>
      </c>
      <c r="J4862" t="s">
        <v>141</v>
      </c>
      <c r="K4862" t="s">
        <v>14</v>
      </c>
      <c r="L4862" t="s">
        <v>20</v>
      </c>
      <c r="M4862" t="s">
        <v>9990</v>
      </c>
      <c r="N4862" t="s">
        <v>14</v>
      </c>
    </row>
    <row r="4863" x14ac:dyDescent="0.25">
      <c r="A4863" t="n">
        <v>25</v>
      </c>
      <c r="B4863" t="s">
        <v>14</v>
      </c>
      <c r="C4863" t="s">
        <v>22</v>
      </c>
      <c r="D4863" s="2" t="s">
        <f>=HYPERLINK("https://main.knesset.gov.il/APPS/legislation/main/bills/2203089", "הצעת חוק הרשויות המקומיות (ריבית והפרשי הצמדה על תשלומי חובה) (תיקון - הפחתת אחוז הריבית ברשויות המקומיות), התשפ""ג-2023")</f>
        <v>10009</v>
      </c>
      <c r="E4863" t="s">
        <v>10009</v>
      </c>
      <c r="F4863" t="s">
        <v>10010</v>
      </c>
      <c r="G4863" t="s">
        <v>14</v>
      </c>
      <c r="H4863">
             </c>
      <c r="I4863" t="s">
        <v>14</v>
      </c>
      <c r="J4863" t="s">
        <v>141</v>
      </c>
      <c r="K4863" t="s">
        <v>14</v>
      </c>
      <c r="L4863" t="s">
        <v>20</v>
      </c>
      <c r="M4863" t="s">
        <v>9990</v>
      </c>
      <c r="N4863" t="s">
        <v>14</v>
      </c>
    </row>
    <row r="4864" x14ac:dyDescent="0.25">
      <c r="A4864" t="n">
        <v>25</v>
      </c>
      <c r="B4864" t="s">
        <v>14</v>
      </c>
      <c r="C4864" t="s">
        <v>22</v>
      </c>
      <c r="D4864" s="2" t="s">
        <f>=HYPERLINK("https://main.knesset.gov.il/APPS/legislation/main/bills/2202862", "הצעת חוק-יסוד: הממשלה (תיקון - הפסקת כהונה של ראש הממשלה מחמת עבירה)")</f>
        <v>2545</v>
      </c>
      <c r="E4864" t="s">
        <v>2545</v>
      </c>
      <c r="F4864" t="s">
        <v>10011</v>
      </c>
      <c r="G4864" t="s">
        <v>14</v>
      </c>
      <c r="H4864">
             </c>
      <c r="I4864" t="s">
        <v>14</v>
      </c>
      <c r="J4864" t="s">
        <v>141</v>
      </c>
      <c r="K4864" t="s">
        <v>14</v>
      </c>
      <c r="L4864" t="s">
        <v>20</v>
      </c>
      <c r="M4864" t="s">
        <v>9990</v>
      </c>
      <c r="N4864" t="s">
        <v>14</v>
      </c>
    </row>
    <row r="4865" x14ac:dyDescent="0.25">
      <c r="A4865" t="n">
        <v>25</v>
      </c>
      <c r="B4865" t="s">
        <v>14</v>
      </c>
      <c r="C4865" t="s">
        <v>22</v>
      </c>
      <c r="D4865" s="2" t="s">
        <f>=HYPERLINK("https://main.knesset.gov.il/APPS/legislation/main/bills/2198425", "הצעת חוק לתיקון פקודת המשטרה (הרכב המחלקה לחקירות שוטרים), התשפ""ג-2023")</f>
        <v>10012</v>
      </c>
      <c r="E4865" t="s">
        <v>10012</v>
      </c>
      <c r="F4865" t="s">
        <v>10013</v>
      </c>
      <c r="G4865" t="s">
        <v>14</v>
      </c>
      <c r="H4865">
             </c>
      <c r="I4865" t="s">
        <v>14</v>
      </c>
      <c r="J4865" t="s">
        <v>141</v>
      </c>
      <c r="K4865" t="s">
        <v>14</v>
      </c>
      <c r="L4865" t="s">
        <v>20</v>
      </c>
      <c r="M4865" t="s">
        <v>9990</v>
      </c>
      <c r="N4865" t="s">
        <v>14</v>
      </c>
    </row>
    <row r="4866" x14ac:dyDescent="0.25">
      <c r="A4866" t="n">
        <v>25</v>
      </c>
      <c r="B4866" t="s">
        <v>14</v>
      </c>
      <c r="C4866" t="s">
        <v>22</v>
      </c>
      <c r="D4866" s="2" t="s">
        <f>=HYPERLINK("https://main.knesset.gov.il/APPS/legislation/main/bills/2202739", "הצעת חוק הרשות הלאומית למניעת התאבדויות, התשפ""ג-2023")</f>
        <v>10014</v>
      </c>
      <c r="E4866" t="s">
        <v>10014</v>
      </c>
      <c r="F4866" t="s">
        <v>10015</v>
      </c>
      <c r="G4866" t="s">
        <v>14</v>
      </c>
      <c r="H4866">
             </c>
      <c r="I4866" t="s">
        <v>14</v>
      </c>
      <c r="J4866" t="s">
        <v>141</v>
      </c>
      <c r="K4866" t="s">
        <v>14</v>
      </c>
      <c r="L4866" t="s">
        <v>20</v>
      </c>
      <c r="M4866" t="s">
        <v>9990</v>
      </c>
      <c r="N4866" t="s">
        <v>14</v>
      </c>
    </row>
    <row r="4867" x14ac:dyDescent="0.25">
      <c r="A4867" t="n">
        <v>25</v>
      </c>
      <c r="B4867" t="s">
        <v>14</v>
      </c>
      <c r="C4867" t="s">
        <v>22</v>
      </c>
      <c r="D4867" s="2" t="s">
        <f>=HYPERLINK("https://main.knesset.gov.il/APPS/legislation/main/bills/2202754", "הצעת חוק הביטוח הלאומי (תיקון - העלאת דמי האבטלה למי שטרם מלאו לו 28 שנים ויש עמו ילד), התשפ""ג-2023")</f>
        <v>10016</v>
      </c>
      <c r="E4867" t="s">
        <v>10016</v>
      </c>
      <c r="F4867" t="s">
        <v>10017</v>
      </c>
      <c r="G4867" t="s">
        <v>14</v>
      </c>
      <c r="H4867">
             </c>
      <c r="I4867" t="s">
        <v>14</v>
      </c>
      <c r="J4867" t="s">
        <v>141</v>
      </c>
      <c r="K4867" t="s">
        <v>14</v>
      </c>
      <c r="L4867" t="s">
        <v>20</v>
      </c>
      <c r="M4867" t="s">
        <v>9990</v>
      </c>
      <c r="N4867" t="s">
        <v>14</v>
      </c>
    </row>
    <row r="4868" x14ac:dyDescent="0.25">
      <c r="A4868" t="n">
        <v>25</v>
      </c>
      <c r="B4868" t="s">
        <v>14</v>
      </c>
      <c r="C4868" t="s">
        <v>22</v>
      </c>
      <c r="D4868" s="2" t="s">
        <f>=HYPERLINK("https://main.knesset.gov.il/APPS/legislation/main/bills/2201640", "הצעת חוק תשלומים לחיילים בשירות סדיר (הגנה על תשלומים) (תיקון - הגנה על תשלומים לעולה חדש), התשפ""ג-2023")</f>
        <v>10018</v>
      </c>
      <c r="E4868" t="s">
        <v>10018</v>
      </c>
      <c r="F4868" t="s">
        <v>10019</v>
      </c>
      <c r="G4868" t="s">
        <v>14</v>
      </c>
      <c r="H4868">
             </c>
      <c r="I4868" t="s">
        <v>14</v>
      </c>
      <c r="J4868" t="s">
        <v>141</v>
      </c>
      <c r="K4868" t="s">
        <v>14</v>
      </c>
      <c r="L4868" t="s">
        <v>20</v>
      </c>
      <c r="M4868" t="s">
        <v>9990</v>
      </c>
      <c r="N4868" t="s">
        <v>14</v>
      </c>
    </row>
    <row r="4869" x14ac:dyDescent="0.25">
      <c r="A4869" t="n">
        <v>25</v>
      </c>
      <c r="B4869" t="s">
        <v>14</v>
      </c>
      <c r="C4869" t="s">
        <v>22</v>
      </c>
      <c r="D4869" s="2" t="s">
        <f>=HYPERLINK("https://main.knesset.gov.il/APPS/legislation/main/bills/2202876", "הצעת חוק לתיקון פקודת העיריות (בניין שניזוק או נהרס), התשפ""ג-2023")</f>
        <v>10020</v>
      </c>
      <c r="E4869" t="s">
        <v>10020</v>
      </c>
      <c r="F4869" t="s">
        <v>10021</v>
      </c>
      <c r="G4869" t="s">
        <v>14</v>
      </c>
      <c r="H4869">
             </c>
      <c r="I4869" t="s">
        <v>14</v>
      </c>
      <c r="J4869" t="s">
        <v>141</v>
      </c>
      <c r="K4869" t="s">
        <v>14</v>
      </c>
      <c r="L4869" t="s">
        <v>20</v>
      </c>
      <c r="M4869" t="s">
        <v>9990</v>
      </c>
      <c r="N4869" t="s">
        <v>14</v>
      </c>
    </row>
    <row r="4870" x14ac:dyDescent="0.25">
      <c r="A4870" t="n">
        <v>25</v>
      </c>
      <c r="B4870" t="s">
        <v>14</v>
      </c>
      <c r="C4870" t="s">
        <v>22</v>
      </c>
      <c r="D4870" s="2" t="s">
        <f>=HYPERLINK("https://main.knesset.gov.il/APPS/legislation/main/bills/2202791", "הצעת חוק הביטוח הלאומי (תיקון - תשלום דמי אבטלה לנשים שיצאו לחופשה ללא תשלום לאחר לידה מסיבות מוצדקות), התשפ""ג-2023")</f>
        <v>10022</v>
      </c>
      <c r="E4870" t="s">
        <v>10022</v>
      </c>
      <c r="F4870" t="s">
        <v>10023</v>
      </c>
      <c r="G4870" t="s">
        <v>14</v>
      </c>
      <c r="H4870">
             </c>
      <c r="I4870" t="s">
        <v>14</v>
      </c>
      <c r="J4870" t="s">
        <v>141</v>
      </c>
      <c r="K4870" t="s">
        <v>14</v>
      </c>
      <c r="L4870" t="s">
        <v>20</v>
      </c>
      <c r="M4870" t="s">
        <v>9990</v>
      </c>
      <c r="N4870" t="s">
        <v>14</v>
      </c>
    </row>
    <row r="4871" x14ac:dyDescent="0.25">
      <c r="A4871" t="n">
        <v>25</v>
      </c>
      <c r="B4871" t="s">
        <v>14</v>
      </c>
      <c r="C4871" t="s">
        <v>22</v>
      </c>
      <c r="D4871" s="2" t="s">
        <f>=HYPERLINK("https://main.knesset.gov.il/APPS/legislation/main/bills/2202889", "הצעת חוק האזרחים הוותיקים (תיקון - חניה חינם לאזרח ותיק שמלאו לו 75 שנים), התשפ""ג-2023")</f>
        <v>10024</v>
      </c>
      <c r="E4871" t="s">
        <v>10024</v>
      </c>
      <c r="F4871" t="s">
        <v>10025</v>
      </c>
      <c r="G4871" t="s">
        <v>14</v>
      </c>
      <c r="H4871">
             </c>
      <c r="I4871" t="s">
        <v>14</v>
      </c>
      <c r="J4871" t="s">
        <v>141</v>
      </c>
      <c r="K4871" t="s">
        <v>14</v>
      </c>
      <c r="L4871" t="s">
        <v>20</v>
      </c>
      <c r="M4871" t="s">
        <v>9990</v>
      </c>
      <c r="N4871" t="s">
        <v>14</v>
      </c>
    </row>
    <row r="4872" x14ac:dyDescent="0.25">
      <c r="A4872" t="n">
        <v>25</v>
      </c>
      <c r="B4872" t="s">
        <v>14</v>
      </c>
      <c r="C4872" t="s">
        <v>22</v>
      </c>
      <c r="D4872" s="2" t="s">
        <f>=HYPERLINK("https://main.knesset.gov.il/APPS/legislation/main/bills/2202753", "הצעת חוק הביטוח הלאומי (תיקון - דמי פגיעה לעובד עצמאי), התשפ""ג-2023")</f>
        <v>10026</v>
      </c>
      <c r="E4872" t="s">
        <v>10026</v>
      </c>
      <c r="F4872" t="s">
        <v>10027</v>
      </c>
      <c r="G4872" t="s">
        <v>14</v>
      </c>
      <c r="H4872">
             </c>
      <c r="I4872" t="s">
        <v>14</v>
      </c>
      <c r="J4872" t="s">
        <v>141</v>
      </c>
      <c r="K4872" t="s">
        <v>14</v>
      </c>
      <c r="L4872" t="s">
        <v>20</v>
      </c>
      <c r="M4872" t="s">
        <v>9990</v>
      </c>
      <c r="N4872" t="s">
        <v>14</v>
      </c>
    </row>
    <row r="4873" x14ac:dyDescent="0.25">
      <c r="A4873" t="n">
        <v>25</v>
      </c>
      <c r="B4873" t="s">
        <v>14</v>
      </c>
      <c r="C4873" t="s">
        <v>22</v>
      </c>
      <c r="D4873" s="2" t="s">
        <f>=HYPERLINK("https://main.knesset.gov.il/APPS/legislation/main/bills/2200864", "הצעת חוק זכויות הסטודנט (תיקון - זכויות לסטודנטים הלומדים בחוץ לארץ), התשפ""ג-2023")</f>
        <v>9149</v>
      </c>
      <c r="E4873" t="s">
        <v>9149</v>
      </c>
      <c r="F4873" t="s">
        <v>10028</v>
      </c>
      <c r="G4873" t="s">
        <v>14</v>
      </c>
      <c r="H4873">
             </c>
      <c r="I4873" t="s">
        <v>14</v>
      </c>
      <c r="J4873" t="s">
        <v>141</v>
      </c>
      <c r="K4873" t="s">
        <v>14</v>
      </c>
      <c r="L4873" t="s">
        <v>20</v>
      </c>
      <c r="M4873" t="s">
        <v>9990</v>
      </c>
      <c r="N4873" t="s">
        <v>14</v>
      </c>
    </row>
    <row r="4874" x14ac:dyDescent="0.25">
      <c r="A4874" t="n">
        <v>25</v>
      </c>
      <c r="B4874" t="s">
        <v>14</v>
      </c>
      <c r="C4874" t="s">
        <v>22</v>
      </c>
      <c r="D4874" s="2" t="s">
        <f>=HYPERLINK("https://main.knesset.gov.il/APPS/legislation/main/bills/2201587", "הצעת חוק סל הקליטה (תיקון - הבטחת קיום), התשפ""ג-2023")</f>
        <v>10029</v>
      </c>
      <c r="E4874" t="s">
        <v>10029</v>
      </c>
      <c r="F4874" t="s">
        <v>10030</v>
      </c>
      <c r="G4874" t="s">
        <v>14</v>
      </c>
      <c r="H4874">
             </c>
      <c r="I4874" t="s">
        <v>14</v>
      </c>
      <c r="J4874" t="s">
        <v>343</v>
      </c>
      <c r="K4874" t="s">
        <v>14</v>
      </c>
      <c r="L4874" t="s">
        <v>20</v>
      </c>
      <c r="M4874" t="s">
        <v>9990</v>
      </c>
      <c r="N4874" t="s">
        <v>14</v>
      </c>
    </row>
    <row r="4875" x14ac:dyDescent="0.25">
      <c r="A4875" t="n">
        <v>25</v>
      </c>
      <c r="B4875" t="s">
        <v>14</v>
      </c>
      <c r="C4875" t="s">
        <v>22</v>
      </c>
      <c r="D4875" s="2" t="s">
        <f>=HYPERLINK("https://main.knesset.gov.il/APPS/legislation/main/bills/2202751", "הצעת חוק הביטוח הלאומי (תיקון - זכאות לדמי אבטלה מגיל 19), התשפ""ג-2023")</f>
        <v>10031</v>
      </c>
      <c r="E4875" t="s">
        <v>10031</v>
      </c>
      <c r="F4875" t="s">
        <v>10032</v>
      </c>
      <c r="G4875" t="s">
        <v>14</v>
      </c>
      <c r="H4875">
             </c>
      <c r="I4875" t="s">
        <v>14</v>
      </c>
      <c r="J4875" t="s">
        <v>141</v>
      </c>
      <c r="K4875" t="s">
        <v>14</v>
      </c>
      <c r="L4875" t="s">
        <v>20</v>
      </c>
      <c r="M4875" t="s">
        <v>9990</v>
      </c>
      <c r="N4875" t="s">
        <v>14</v>
      </c>
    </row>
    <row r="4876" x14ac:dyDescent="0.25">
      <c r="A4876" t="n">
        <v>25</v>
      </c>
      <c r="B4876" t="s">
        <v>14</v>
      </c>
      <c r="C4876" t="s">
        <v>22</v>
      </c>
      <c r="D4876" s="2" t="s">
        <f>=HYPERLINK("https://main.knesset.gov.il/APPS/legislation/main/bills/2202736", "הצעת חוק אומנה לילדים (תיקון - העברת תשלומים להורה אומנה במקרים מיוחדים), התשפ""ג-2023")</f>
        <v>8769</v>
      </c>
      <c r="E4876" t="s">
        <v>8769</v>
      </c>
      <c r="F4876" t="s">
        <v>10033</v>
      </c>
      <c r="G4876" t="s">
        <v>14</v>
      </c>
      <c r="H4876">
             </c>
      <c r="I4876" t="s">
        <v>14</v>
      </c>
      <c r="J4876" t="s">
        <v>141</v>
      </c>
      <c r="K4876" t="s">
        <v>14</v>
      </c>
      <c r="L4876" t="s">
        <v>20</v>
      </c>
      <c r="M4876" t="s">
        <v>9990</v>
      </c>
      <c r="N4876" t="s">
        <v>14</v>
      </c>
    </row>
    <row r="4877" x14ac:dyDescent="0.25">
      <c r="A4877" t="n">
        <v>25</v>
      </c>
      <c r="B4877" t="s">
        <v>14</v>
      </c>
      <c r="C4877" t="s">
        <v>22</v>
      </c>
      <c r="D4877" s="2" t="s">
        <f>=HYPERLINK("https://main.knesset.gov.il/APPS/legislation/main/bills/2202734", "הצעת חוק החלת הריבונות הישראלית על בקעת הירדן, התשפ""ג-2023")</f>
        <v>4306</v>
      </c>
      <c r="E4877" t="s">
        <v>4306</v>
      </c>
      <c r="F4877" t="s">
        <v>10034</v>
      </c>
      <c r="G4877" t="s">
        <v>14</v>
      </c>
      <c r="H4877">
             </c>
      <c r="I4877" t="s">
        <v>14</v>
      </c>
      <c r="J4877" t="s">
        <v>141</v>
      </c>
      <c r="K4877" t="s">
        <v>14</v>
      </c>
      <c r="L4877" t="s">
        <v>20</v>
      </c>
      <c r="M4877" t="s">
        <v>9990</v>
      </c>
      <c r="N4877" t="s">
        <v>14</v>
      </c>
    </row>
    <row r="4878" x14ac:dyDescent="0.25">
      <c r="A4878" t="n">
        <v>25</v>
      </c>
      <c r="B4878" t="s">
        <v>14</v>
      </c>
      <c r="C4878" t="s">
        <v>22</v>
      </c>
      <c r="D4878" s="2" t="s">
        <f>=HYPERLINK("https://main.knesset.gov.il/APPS/legislation/main/bills/2202881", "הצעת חוק הביטוח הלאומי (תיקון - דמי אבטלה למתמחים), התשפ""ג-2023")</f>
        <v>9810</v>
      </c>
      <c r="E4878" t="s">
        <v>9810</v>
      </c>
      <c r="F4878" t="s">
        <v>10035</v>
      </c>
      <c r="G4878" t="s">
        <v>14</v>
      </c>
      <c r="H4878">
             </c>
      <c r="I4878" t="s">
        <v>14</v>
      </c>
      <c r="J4878" t="s">
        <v>141</v>
      </c>
      <c r="K4878" t="s">
        <v>14</v>
      </c>
      <c r="L4878" t="s">
        <v>20</v>
      </c>
      <c r="M4878" t="s">
        <v>9990</v>
      </c>
      <c r="N4878" t="s">
        <v>14</v>
      </c>
    </row>
    <row r="4879" x14ac:dyDescent="0.25">
      <c r="A4879" t="n">
        <v>25</v>
      </c>
      <c r="B4879" t="s">
        <v>14</v>
      </c>
      <c r="C4879" t="s">
        <v>22</v>
      </c>
      <c r="D4879" s="2" t="s">
        <f>=HYPERLINK("https://main.knesset.gov.il/APPS/legislation/main/bills/2202658", "הצעת חוק לתיקון פקודת המשטרה (מינוי חשב המשטרה), התשפ""ג-2023")</f>
        <v>10036</v>
      </c>
      <c r="E4879" t="s">
        <v>10036</v>
      </c>
      <c r="F4879" t="s">
        <v>10037</v>
      </c>
      <c r="G4879" t="s">
        <v>14</v>
      </c>
      <c r="H4879">
             </c>
      <c r="I4879" t="s">
        <v>14</v>
      </c>
      <c r="J4879" t="s">
        <v>141</v>
      </c>
      <c r="K4879" t="s">
        <v>14</v>
      </c>
      <c r="L4879" t="s">
        <v>20</v>
      </c>
      <c r="M4879" t="s">
        <v>9990</v>
      </c>
      <c r="N4879" t="s">
        <v>14</v>
      </c>
    </row>
    <row r="4880" x14ac:dyDescent="0.25">
      <c r="A4880" t="n">
        <v>25</v>
      </c>
      <c r="B4880" t="s">
        <v>14</v>
      </c>
      <c r="C4880" t="s">
        <v>22</v>
      </c>
      <c r="D4880" s="2" t="s">
        <f>=HYPERLINK("https://main.knesset.gov.il/APPS/legislation/main/bills/2202098", "הצעת חוק הסדרת העיסוק במקצועות הבריאות (תיקון - הסדרת מקצוע הרנטגנאות והדימות), התשפ""ג-2023")</f>
        <v>8400</v>
      </c>
      <c r="E4880" t="s">
        <v>8400</v>
      </c>
      <c r="F4880" t="s">
        <v>10038</v>
      </c>
      <c r="G4880" t="s">
        <v>14</v>
      </c>
      <c r="H4880">
             </c>
      <c r="I4880" t="s">
        <v>14</v>
      </c>
      <c r="J4880" t="s">
        <v>141</v>
      </c>
      <c r="K4880" t="s">
        <v>14</v>
      </c>
      <c r="L4880" t="s">
        <v>20</v>
      </c>
      <c r="M4880" t="s">
        <v>9990</v>
      </c>
      <c r="N4880" t="s">
        <v>14</v>
      </c>
    </row>
    <row r="4881" x14ac:dyDescent="0.25">
      <c r="A4881" t="n">
        <v>25</v>
      </c>
      <c r="B4881" t="s">
        <v>14</v>
      </c>
      <c r="C4881" t="s">
        <v>22</v>
      </c>
      <c r="D4881" s="2" t="s">
        <f>=HYPERLINK("https://main.knesset.gov.il/APPS/legislation/main/bills/2202125", "הצעת חוק הביטוח הלאומי (תיקון - מימון סייעת לילדים שאינם יכולים לשהות במעון), התשפ""ג-2023")</f>
        <v>10039</v>
      </c>
      <c r="E4881" t="s">
        <v>10039</v>
      </c>
      <c r="F4881" t="s">
        <v>10040</v>
      </c>
      <c r="G4881" t="s">
        <v>14</v>
      </c>
      <c r="H4881">
             </c>
      <c r="I4881" t="s">
        <v>14</v>
      </c>
      <c r="J4881" t="s">
        <v>141</v>
      </c>
      <c r="K4881" t="s">
        <v>14</v>
      </c>
      <c r="L4881" t="s">
        <v>20</v>
      </c>
      <c r="M4881" t="s">
        <v>9990</v>
      </c>
      <c r="N4881" t="s">
        <v>14</v>
      </c>
    </row>
    <row r="4882" x14ac:dyDescent="0.25">
      <c r="A4882" t="n">
        <v>25</v>
      </c>
      <c r="B4882" t="s">
        <v>14</v>
      </c>
      <c r="C4882" t="s">
        <v>22</v>
      </c>
      <c r="D4882" s="2" t="s">
        <f>=HYPERLINK("https://main.knesset.gov.il/APPS/legislation/main/bills/2202078", "הצעת חוק חופשה שנתית (תיקון - ימי חופשה להורים שילדם נפטר), התשפ""ג-2023")</f>
        <v>10041</v>
      </c>
      <c r="E4882" t="s">
        <v>10041</v>
      </c>
      <c r="F4882" t="s">
        <v>10042</v>
      </c>
      <c r="G4882" t="s">
        <v>14</v>
      </c>
      <c r="H4882">
             </c>
      <c r="I4882" t="s">
        <v>14</v>
      </c>
      <c r="J4882" t="s">
        <v>141</v>
      </c>
      <c r="K4882" t="s">
        <v>14</v>
      </c>
      <c r="L4882" t="s">
        <v>20</v>
      </c>
      <c r="M4882" t="s">
        <v>9990</v>
      </c>
      <c r="N4882" t="s">
        <v>14</v>
      </c>
    </row>
    <row r="4883" x14ac:dyDescent="0.25">
      <c r="A4883" t="n">
        <v>25</v>
      </c>
      <c r="B4883" t="s">
        <v>14</v>
      </c>
      <c r="C4883" t="s">
        <v>22</v>
      </c>
      <c r="D4883" s="2" t="s">
        <f>=HYPERLINK("https://main.knesset.gov.il/APPS/legislation/main/bills/2201223", "הצעת חוק זכויות החולה (תיקון - הזכות למינוי מתורגמן רפואי), התשפ""ג-2023")</f>
        <v>10043</v>
      </c>
      <c r="E4883" t="s">
        <v>10043</v>
      </c>
      <c r="F4883" t="s">
        <v>10044</v>
      </c>
      <c r="G4883" t="s">
        <v>14</v>
      </c>
      <c r="H4883">
             </c>
      <c r="I4883" t="s">
        <v>14</v>
      </c>
      <c r="J4883" t="s">
        <v>141</v>
      </c>
      <c r="K4883" t="s">
        <v>14</v>
      </c>
      <c r="L4883" t="s">
        <v>20</v>
      </c>
      <c r="M4883" t="s">
        <v>9990</v>
      </c>
      <c r="N4883" t="s">
        <v>14</v>
      </c>
    </row>
    <row r="4884" x14ac:dyDescent="0.25">
      <c r="A4884" t="n">
        <v>25</v>
      </c>
      <c r="B4884" t="s">
        <v>14</v>
      </c>
      <c r="C4884" t="s">
        <v>22</v>
      </c>
      <c r="D4884" s="2" t="s">
        <f>=HYPERLINK("https://main.knesset.gov.il/APPS/legislation/main/bills/2203133", "הצעת חוק למניעת מפגעים (תיקון - הגבלת שימוש בזיקוקין די-נור באזורי מגורים), התשפ""ג-2023")</f>
        <v>10045</v>
      </c>
      <c r="E4884" t="s">
        <v>10045</v>
      </c>
      <c r="F4884" t="s">
        <v>10046</v>
      </c>
      <c r="G4884" t="s">
        <v>14</v>
      </c>
      <c r="H4884">
             </c>
      <c r="I4884" t="s">
        <v>14</v>
      </c>
      <c r="J4884" t="s">
        <v>141</v>
      </c>
      <c r="K4884" t="s">
        <v>14</v>
      </c>
      <c r="L4884" t="s">
        <v>20</v>
      </c>
      <c r="M4884" t="s">
        <v>9990</v>
      </c>
      <c r="N4884" t="s">
        <v>14</v>
      </c>
    </row>
    <row r="4885" x14ac:dyDescent="0.25">
      <c r="A4885" t="n">
        <v>25</v>
      </c>
      <c r="B4885" t="s">
        <v>14</v>
      </c>
      <c r="C4885" t="s">
        <v>22</v>
      </c>
      <c r="D4885" s="2" t="s">
        <f>=HYPERLINK("https://main.knesset.gov.il/APPS/legislation/main/bills/2201485", "הצעת חוק-יסוד: בית משפט לחוקה")</f>
        <v>10047</v>
      </c>
      <c r="E4885" t="s">
        <v>10047</v>
      </c>
      <c r="F4885" t="s">
        <v>10048</v>
      </c>
      <c r="G4885" t="s">
        <v>14</v>
      </c>
      <c r="H4885">
             </c>
      <c r="I4885" t="s">
        <v>14</v>
      </c>
      <c r="J4885" t="s">
        <v>141</v>
      </c>
      <c r="K4885" t="s">
        <v>14</v>
      </c>
      <c r="L4885" t="s">
        <v>20</v>
      </c>
      <c r="M4885" t="s">
        <v>9990</v>
      </c>
      <c r="N4885" t="s">
        <v>14</v>
      </c>
    </row>
    <row r="4886" x14ac:dyDescent="0.25">
      <c r="A4886" t="n">
        <v>25</v>
      </c>
      <c r="B4886" t="s">
        <v>14</v>
      </c>
      <c r="C4886" t="s">
        <v>22</v>
      </c>
      <c r="D4886" s="2" t="s">
        <f>=HYPERLINK("https://main.knesset.gov.il/APPS/legislation/main/bills/2202979", "הצעת חוק סדר הדין הפלילי (סמכויות אכיפה - מעצרים) (תיקון - הגדרת מסוכנות של פוגעים בבעלי חיים), התשפ""ג-2023")</f>
        <v>5882</v>
      </c>
      <c r="E4886" t="s">
        <v>5882</v>
      </c>
      <c r="F4886" t="s">
        <v>10049</v>
      </c>
      <c r="G4886" t="s">
        <v>14</v>
      </c>
      <c r="H4886">
             </c>
      <c r="I4886" t="s">
        <v>14</v>
      </c>
      <c r="J4886" t="s">
        <v>141</v>
      </c>
      <c r="K4886" t="s">
        <v>14</v>
      </c>
      <c r="L4886" t="s">
        <v>20</v>
      </c>
      <c r="M4886" t="s">
        <v>9990</v>
      </c>
      <c r="N4886" t="s">
        <v>14</v>
      </c>
    </row>
    <row r="4887" x14ac:dyDescent="0.25">
      <c r="A4887" t="n">
        <v>25</v>
      </c>
      <c r="B4887" t="s">
        <v>14</v>
      </c>
      <c r="C4887" t="s">
        <v>22</v>
      </c>
      <c r="D4887" s="2" t="s">
        <f>=HYPERLINK("https://main.knesset.gov.il/APPS/legislation/main/bills/2201214", "הצעת חוק הספורט (תיקון - ייצוג הולם לאוכלוסייה הערבית), התשפ""ג-2023")</f>
        <v>10050</v>
      </c>
      <c r="E4887" t="s">
        <v>10050</v>
      </c>
      <c r="F4887" t="s">
        <v>10051</v>
      </c>
      <c r="G4887" t="s">
        <v>14</v>
      </c>
      <c r="H4887">
             </c>
      <c r="I4887" t="s">
        <v>14</v>
      </c>
      <c r="J4887" t="s">
        <v>141</v>
      </c>
      <c r="K4887" t="s">
        <v>14</v>
      </c>
      <c r="L4887" t="s">
        <v>20</v>
      </c>
      <c r="M4887" t="s">
        <v>9990</v>
      </c>
      <c r="N4887" t="s">
        <v>14</v>
      </c>
    </row>
    <row r="4888" x14ac:dyDescent="0.25">
      <c r="A4888" t="n">
        <v>25</v>
      </c>
      <c r="B4888" t="s">
        <v>14</v>
      </c>
      <c r="C4888" t="s">
        <v>22</v>
      </c>
      <c r="D4888" s="2" t="s">
        <f>=HYPERLINK("https://main.knesset.gov.il/APPS/legislation/main/bills/2202972", "הצעת חוק איסור קבלת תרומות ממדינות אויב או מדינות תומכות טרור, התשפ""ג-2023")</f>
        <v>10052</v>
      </c>
      <c r="E4888" t="s">
        <v>10052</v>
      </c>
      <c r="F4888" t="s">
        <v>10053</v>
      </c>
      <c r="G4888" t="s">
        <v>14</v>
      </c>
      <c r="H4888">
             </c>
      <c r="I4888" t="s">
        <v>14</v>
      </c>
      <c r="J4888" t="s">
        <v>141</v>
      </c>
      <c r="K4888" t="s">
        <v>14</v>
      </c>
      <c r="L4888" t="s">
        <v>20</v>
      </c>
      <c r="M4888" t="s">
        <v>9990</v>
      </c>
      <c r="N4888" t="s">
        <v>14</v>
      </c>
    </row>
    <row r="4889" x14ac:dyDescent="0.25">
      <c r="A4889" t="n">
        <v>25</v>
      </c>
      <c r="B4889" t="s">
        <v>14</v>
      </c>
      <c r="C4889" t="s">
        <v>22</v>
      </c>
      <c r="D4889" s="2" t="s">
        <f>=HYPERLINK("https://main.knesset.gov.il/APPS/legislation/main/bills/2202185", "הצעת חוק לימוד חובה (תיקון - חובת דיווח על היעדרות תלמיד), התשפ""ג-2023")</f>
        <v>4413</v>
      </c>
      <c r="E4889" t="s">
        <v>4413</v>
      </c>
      <c r="F4889" t="s">
        <v>10054</v>
      </c>
      <c r="G4889" t="s">
        <v>14</v>
      </c>
      <c r="H4889">
             </c>
      <c r="I4889" t="s">
        <v>14</v>
      </c>
      <c r="J4889" t="s">
        <v>343</v>
      </c>
      <c r="K4889" t="s">
        <v>14</v>
      </c>
      <c r="L4889" t="s">
        <v>20</v>
      </c>
      <c r="M4889" t="s">
        <v>9990</v>
      </c>
      <c r="N4889" t="s">
        <v>14</v>
      </c>
    </row>
    <row r="4890" x14ac:dyDescent="0.25">
      <c r="A4890" t="n">
        <v>25</v>
      </c>
      <c r="B4890" t="s">
        <v>14</v>
      </c>
      <c r="C4890" t="s">
        <v>22</v>
      </c>
      <c r="D4890" s="2" t="s">
        <f>=HYPERLINK("https://main.knesset.gov.il/APPS/legislation/main/bills/2202980", "הצעת חוק זכות ייצוג לקטין המתנגד לאשפוז פסיכיאטרי (תיקוני חקיקה), התשפ""ג-2023")</f>
        <v>10055</v>
      </c>
      <c r="E4890" t="s">
        <v>10055</v>
      </c>
      <c r="F4890" t="s">
        <v>10056</v>
      </c>
      <c r="G4890" t="s">
        <v>14</v>
      </c>
      <c r="H4890">
             </c>
      <c r="I4890" t="s">
        <v>14</v>
      </c>
      <c r="J4890" t="s">
        <v>141</v>
      </c>
      <c r="K4890" t="s">
        <v>14</v>
      </c>
      <c r="L4890" t="s">
        <v>20</v>
      </c>
      <c r="M4890" t="s">
        <v>9990</v>
      </c>
      <c r="N4890" t="s">
        <v>14</v>
      </c>
    </row>
    <row r="4891" x14ac:dyDescent="0.25">
      <c r="A4891" t="n">
        <v>25</v>
      </c>
      <c r="B4891" t="s">
        <v>14</v>
      </c>
      <c r="C4891" t="s">
        <v>22</v>
      </c>
      <c r="D4891" s="2" t="s">
        <f>=HYPERLINK("https://main.knesset.gov.il/APPS/legislation/main/bills/2202124", "הצעת חוק ביטוח בריאות ממלכתי (תיקון - מימון הסעה לבית חולים), התשפ""ג-2023")</f>
        <v>9671</v>
      </c>
      <c r="E4891" t="s">
        <v>9671</v>
      </c>
      <c r="F4891" t="s">
        <v>10057</v>
      </c>
      <c r="G4891" t="s">
        <v>14</v>
      </c>
      <c r="H4891">
             </c>
      <c r="I4891" t="s">
        <v>14</v>
      </c>
      <c r="J4891" t="s">
        <v>141</v>
      </c>
      <c r="K4891" t="s">
        <v>14</v>
      </c>
      <c r="L4891" t="s">
        <v>20</v>
      </c>
      <c r="M4891" t="s">
        <v>9990</v>
      </c>
      <c r="N4891" t="s">
        <v>14</v>
      </c>
    </row>
    <row r="4892" x14ac:dyDescent="0.25">
      <c r="A4892" t="n">
        <v>25</v>
      </c>
      <c r="B4892" t="s">
        <v>14</v>
      </c>
      <c r="C4892" t="s">
        <v>22</v>
      </c>
      <c r="D4892" s="2" t="s">
        <f>=HYPERLINK("https://main.knesset.gov.il/APPS/legislation/main/bills/2200639", "הצעת חוק החולה הנוטה למות (תיקון - העדפות טיפוליות), התשפ""ג-2023")</f>
        <v>10058</v>
      </c>
      <c r="E4892" t="s">
        <v>10058</v>
      </c>
      <c r="F4892" t="s">
        <v>10059</v>
      </c>
      <c r="G4892" t="s">
        <v>14</v>
      </c>
      <c r="H4892">
             </c>
      <c r="I4892" t="s">
        <v>14</v>
      </c>
      <c r="J4892" t="s">
        <v>141</v>
      </c>
      <c r="K4892" t="s">
        <v>14</v>
      </c>
      <c r="L4892" t="s">
        <v>20</v>
      </c>
      <c r="M4892" t="s">
        <v>9990</v>
      </c>
      <c r="N4892" t="s">
        <v>14</v>
      </c>
    </row>
    <row r="4893" x14ac:dyDescent="0.25">
      <c r="A4893" t="n">
        <v>25</v>
      </c>
      <c r="B4893" t="s">
        <v>14</v>
      </c>
      <c r="C4893" t="s">
        <v>22</v>
      </c>
      <c r="D4893" s="2" t="s">
        <f>=HYPERLINK("https://main.knesset.gov.il/APPS/legislation/main/bills/2202922", "הצעת חוק הביטוח הלאומי (תיקון - עבודה בחינוך וסיוע להוראה או בטיפול בילדים כעבודה מועדפת), התשפ""ג-2023")</f>
        <v>9730</v>
      </c>
      <c r="E4893" t="s">
        <v>9730</v>
      </c>
      <c r="F4893" t="s">
        <v>10060</v>
      </c>
      <c r="G4893" t="s">
        <v>14</v>
      </c>
      <c r="H4893">
             </c>
      <c r="I4893" t="s">
        <v>14</v>
      </c>
      <c r="J4893" t="s">
        <v>141</v>
      </c>
      <c r="K4893" t="s">
        <v>14</v>
      </c>
      <c r="L4893" t="s">
        <v>20</v>
      </c>
      <c r="M4893" t="s">
        <v>9990</v>
      </c>
      <c r="N4893" t="s">
        <v>14</v>
      </c>
    </row>
    <row r="4894" x14ac:dyDescent="0.25">
      <c r="A4894" t="n">
        <v>25</v>
      </c>
      <c r="B4894" t="s">
        <v>14</v>
      </c>
      <c r="C4894" t="s">
        <v>22</v>
      </c>
      <c r="D4894" s="2" t="s">
        <f>=HYPERLINK("https://main.knesset.gov.il/APPS/legislation/main/bills/2201655", "הצעת חוק שימוש בזרע של נפטר לשם הולדה, התשפ""ג-2023 ")</f>
        <v>7158</v>
      </c>
      <c r="E4894" t="s">
        <v>7158</v>
      </c>
      <c r="F4894" t="s">
        <v>10061</v>
      </c>
      <c r="G4894" t="s">
        <v>14</v>
      </c>
      <c r="H4894">
             </c>
      <c r="I4894" t="s">
        <v>14</v>
      </c>
      <c r="J4894" t="s">
        <v>141</v>
      </c>
      <c r="K4894" t="s">
        <v>14</v>
      </c>
      <c r="L4894" t="s">
        <v>20</v>
      </c>
      <c r="M4894" t="s">
        <v>9990</v>
      </c>
      <c r="N4894" t="s">
        <v>14</v>
      </c>
    </row>
    <row r="4895" x14ac:dyDescent="0.25">
      <c r="A4895" t="n">
        <v>25</v>
      </c>
      <c r="B4895" t="s">
        <v>14</v>
      </c>
      <c r="C4895" t="s">
        <v>22</v>
      </c>
      <c r="D4895" s="2" t="s">
        <f>=HYPERLINK("https://main.knesset.gov.il/APPS/legislation/main/bills/2202108", "הצעת חוק העונשין (תיקון - החמרת ענישה בעבירות החזקת נשק שלא כדין), התשפ""ג-2023")</f>
        <v>4125</v>
      </c>
      <c r="E4895" t="s">
        <v>4125</v>
      </c>
      <c r="F4895" t="s">
        <v>10062</v>
      </c>
      <c r="G4895" t="s">
        <v>14</v>
      </c>
      <c r="H4895">
             </c>
      <c r="I4895" t="s">
        <v>14</v>
      </c>
      <c r="J4895" t="s">
        <v>141</v>
      </c>
      <c r="K4895" t="s">
        <v>14</v>
      </c>
      <c r="L4895" t="s">
        <v>20</v>
      </c>
      <c r="M4895" t="s">
        <v>9990</v>
      </c>
      <c r="N4895" t="s">
        <v>14</v>
      </c>
    </row>
    <row r="4896" x14ac:dyDescent="0.25">
      <c r="A4896" t="n">
        <v>25</v>
      </c>
      <c r="B4896" t="s">
        <v>14</v>
      </c>
      <c r="C4896" t="s">
        <v>22</v>
      </c>
      <c r="D4896" s="2" t="s">
        <f>=HYPERLINK("https://main.knesset.gov.il/APPS/legislation/main/bills/2202798", "הצעת חוק זכויות נפגעי עבירה (תיקון - חובת בית המשפט לשמוע נפגעי עבירה כולל נפגעי מעשי טרור), התשפ""ג-2023")</f>
        <v>10063</v>
      </c>
      <c r="E4896" t="s">
        <v>10063</v>
      </c>
      <c r="F4896" t="s">
        <v>10064</v>
      </c>
      <c r="G4896" t="s">
        <v>14</v>
      </c>
      <c r="H4896">
             </c>
      <c r="I4896" t="s">
        <v>14</v>
      </c>
      <c r="J4896" t="s">
        <v>141</v>
      </c>
      <c r="K4896" t="s">
        <v>14</v>
      </c>
      <c r="L4896" t="s">
        <v>20</v>
      </c>
      <c r="M4896" t="s">
        <v>9990</v>
      </c>
      <c r="N4896" t="s">
        <v>14</v>
      </c>
    </row>
    <row r="4897" x14ac:dyDescent="0.25">
      <c r="A4897" t="n">
        <v>25</v>
      </c>
      <c r="B4897" t="s">
        <v>14</v>
      </c>
      <c r="C4897" t="s">
        <v>22</v>
      </c>
      <c r="D4897" s="2" t="s">
        <f>=HYPERLINK("https://main.knesset.gov.il/APPS/legislation/main/bills/2202708", "הצעת חוק התגמולים לנפגעי פעולות איבה (תיקון - זכאות לתגמולים ולפיצויים לפי חוק אחר), התשפ""ג-2023")</f>
        <v>8454</v>
      </c>
      <c r="E4897" t="s">
        <v>8454</v>
      </c>
      <c r="F4897" t="s">
        <v>10065</v>
      </c>
      <c r="G4897" t="s">
        <v>14</v>
      </c>
      <c r="H4897">
             </c>
      <c r="I4897" t="s">
        <v>14</v>
      </c>
      <c r="J4897" t="s">
        <v>141</v>
      </c>
      <c r="K4897" t="s">
        <v>14</v>
      </c>
      <c r="L4897" t="s">
        <v>20</v>
      </c>
      <c r="M4897" t="s">
        <v>9990</v>
      </c>
      <c r="N4897" t="s">
        <v>14</v>
      </c>
    </row>
    <row r="4898" x14ac:dyDescent="0.25">
      <c r="A4898" t="n">
        <v>25</v>
      </c>
      <c r="B4898" t="s">
        <v>14</v>
      </c>
      <c r="C4898" t="s">
        <v>22</v>
      </c>
      <c r="D4898" s="2" t="s">
        <f>=HYPERLINK("https://main.knesset.gov.il/APPS/legislation/main/bills/2202595", "הצעת חוק הביטוח הלאומי (תיקון - פטור מתשלום דמי ביטוח לאומי עד גיל 21), התשפ""ג-2023")</f>
        <v>9459</v>
      </c>
      <c r="E4898" t="s">
        <v>9459</v>
      </c>
      <c r="F4898" t="s">
        <v>10066</v>
      </c>
      <c r="G4898" t="s">
        <v>14</v>
      </c>
      <c r="H4898">
             </c>
      <c r="I4898" t="s">
        <v>14</v>
      </c>
      <c r="J4898" t="s">
        <v>141</v>
      </c>
      <c r="K4898" t="s">
        <v>14</v>
      </c>
      <c r="L4898" t="s">
        <v>20</v>
      </c>
      <c r="M4898" t="s">
        <v>9990</v>
      </c>
      <c r="N4898" t="s">
        <v>14</v>
      </c>
    </row>
    <row r="4899" x14ac:dyDescent="0.25">
      <c r="A4899" t="n">
        <v>25</v>
      </c>
      <c r="B4899" t="s">
        <v>14</v>
      </c>
      <c r="C4899" t="s">
        <v>22</v>
      </c>
      <c r="D4899" s="2" t="s">
        <f>=HYPERLINK("https://main.knesset.gov.il/APPS/legislation/main/bills/2200395", "הצעת חוק שכר מינימום (תיקון - שכר אחיד לעובד צעיר), התשפ""ג-2023")</f>
        <v>10067</v>
      </c>
      <c r="E4899" t="s">
        <v>10067</v>
      </c>
      <c r="F4899" t="s">
        <v>10068</v>
      </c>
      <c r="G4899" t="s">
        <v>14</v>
      </c>
      <c r="H4899">
             </c>
      <c r="I4899" t="s">
        <v>14</v>
      </c>
      <c r="J4899" t="s">
        <v>141</v>
      </c>
      <c r="K4899" t="s">
        <v>14</v>
      </c>
      <c r="L4899" t="s">
        <v>20</v>
      </c>
      <c r="M4899" t="s">
        <v>9990</v>
      </c>
      <c r="N4899" t="s">
        <v>14</v>
      </c>
    </row>
    <row r="4900" x14ac:dyDescent="0.25">
      <c r="A4900" t="n">
        <v>25</v>
      </c>
      <c r="B4900" t="s">
        <v>14</v>
      </c>
      <c r="C4900" t="s">
        <v>22</v>
      </c>
      <c r="D4900" s="2" t="s">
        <f>=HYPERLINK("https://main.knesset.gov.il/APPS/legislation/main/bills/2202900", "הצעת חוק שוויון זכויות לאנשים עם מוגבלות (תיקון - פטור מתשלום בעד כניסת מלווה בעבור כניסה למקום שאין בו מתקנים מתאימים ובעבור תחבורה ציבורית), התשפ""ג-2023")</f>
        <v>10069</v>
      </c>
      <c r="E4900" t="s">
        <v>10069</v>
      </c>
      <c r="F4900" t="s">
        <v>10070</v>
      </c>
      <c r="G4900" t="s">
        <v>14</v>
      </c>
      <c r="H4900">
             </c>
      <c r="I4900" t="s">
        <v>14</v>
      </c>
      <c r="J4900" t="s">
        <v>141</v>
      </c>
      <c r="K4900" t="s">
        <v>14</v>
      </c>
      <c r="L4900" t="s">
        <v>20</v>
      </c>
      <c r="M4900" t="s">
        <v>9990</v>
      </c>
      <c r="N4900" t="s">
        <v>14</v>
      </c>
    </row>
    <row r="4901" x14ac:dyDescent="0.25">
      <c r="A4901" t="n">
        <v>25</v>
      </c>
      <c r="B4901" t="s">
        <v>14</v>
      </c>
      <c r="C4901" t="s">
        <v>22</v>
      </c>
      <c r="D4901" s="2" t="s">
        <f>=HYPERLINK("https://main.knesset.gov.il/APPS/legislation/main/bills/2202165", "הצעת חוק השוואת תנאי שכר לקבוצות שאסור להפלותן (תיקוני חקיקה), התשפ""ג-2023")</f>
        <v>10071</v>
      </c>
      <c r="E4901" t="s">
        <v>10071</v>
      </c>
      <c r="F4901" t="s">
        <v>10072</v>
      </c>
      <c r="G4901" t="s">
        <v>14</v>
      </c>
      <c r="H4901">
             </c>
      <c r="I4901" t="s">
        <v>14</v>
      </c>
      <c r="J4901" t="s">
        <v>141</v>
      </c>
      <c r="K4901" t="s">
        <v>14</v>
      </c>
      <c r="L4901" t="s">
        <v>20</v>
      </c>
      <c r="M4901" t="s">
        <v>9990</v>
      </c>
      <c r="N4901" t="s">
        <v>14</v>
      </c>
    </row>
    <row r="4902" x14ac:dyDescent="0.25">
      <c r="A4902" t="n">
        <v>25</v>
      </c>
      <c r="B4902" t="s">
        <v>14</v>
      </c>
      <c r="C4902" t="s">
        <v>22</v>
      </c>
      <c r="D4902" s="2" t="s">
        <f>=HYPERLINK("https://main.knesset.gov.il/APPS/legislation/main/bills/2202687", "הצעת חוק זכויות ושירותים לילדים ולבני נוער עם קשיים נפשיים, התשפ""ג-2023")</f>
        <v>10073</v>
      </c>
      <c r="E4902" t="s">
        <v>10073</v>
      </c>
      <c r="F4902" t="s">
        <v>10074</v>
      </c>
      <c r="G4902" t="s">
        <v>14</v>
      </c>
      <c r="H4902">
             </c>
      <c r="I4902" t="s">
        <v>14</v>
      </c>
      <c r="J4902" t="s">
        <v>141</v>
      </c>
      <c r="K4902" t="s">
        <v>14</v>
      </c>
      <c r="L4902" t="s">
        <v>20</v>
      </c>
      <c r="M4902" t="s">
        <v>9990</v>
      </c>
      <c r="N4902" t="s">
        <v>14</v>
      </c>
    </row>
    <row r="4903" x14ac:dyDescent="0.25">
      <c r="A4903" t="n">
        <v>25</v>
      </c>
      <c r="B4903" t="s">
        <v>14</v>
      </c>
      <c r="C4903" t="s">
        <v>22</v>
      </c>
      <c r="D4903" s="2" t="s">
        <f>=HYPERLINK("https://main.knesset.gov.il/APPS/legislation/main/bills/2201177", "הצעת חוק הגנת השכר (תיקון - איסור ניכוי חוב או קנס), התשפ""ג-2023")</f>
        <v>1657</v>
      </c>
      <c r="E4903" t="s">
        <v>1657</v>
      </c>
      <c r="F4903" t="s">
        <v>10075</v>
      </c>
      <c r="G4903" t="s">
        <v>14</v>
      </c>
      <c r="H4903">
             </c>
      <c r="I4903" t="s">
        <v>14</v>
      </c>
      <c r="J4903" t="s">
        <v>141</v>
      </c>
      <c r="K4903" t="s">
        <v>14</v>
      </c>
      <c r="L4903" t="s">
        <v>20</v>
      </c>
      <c r="M4903" t="s">
        <v>9990</v>
      </c>
      <c r="N4903" t="s">
        <v>14</v>
      </c>
    </row>
    <row r="4904" x14ac:dyDescent="0.25">
      <c r="A4904" t="n">
        <v>25</v>
      </c>
      <c r="B4904" t="s">
        <v>14</v>
      </c>
      <c r="C4904" t="s">
        <v>22</v>
      </c>
      <c r="D4904" s="2" t="s">
        <f>=HYPERLINK("https://main.knesset.gov.il/APPS/legislation/main/bills/2202835", "הצעת חוק עובדים זרים (תיקון - הפחתת אגרה לעובדים בענף המלונאות), התשפ""ג-2023")</f>
        <v>8705</v>
      </c>
      <c r="E4904" t="s">
        <v>8705</v>
      </c>
      <c r="F4904" t="s">
        <v>10076</v>
      </c>
      <c r="G4904" t="s">
        <v>14</v>
      </c>
      <c r="H4904">
             </c>
      <c r="I4904" t="s">
        <v>14</v>
      </c>
      <c r="J4904" t="s">
        <v>141</v>
      </c>
      <c r="K4904" t="s">
        <v>14</v>
      </c>
      <c r="L4904" t="s">
        <v>20</v>
      </c>
      <c r="M4904" t="s">
        <v>9990</v>
      </c>
      <c r="N4904" t="s">
        <v>14</v>
      </c>
    </row>
    <row r="4905" x14ac:dyDescent="0.25">
      <c r="A4905" t="n">
        <v>25</v>
      </c>
      <c r="B4905" t="s">
        <v>14</v>
      </c>
      <c r="C4905" t="s">
        <v>22</v>
      </c>
      <c r="D4905" s="2" t="s">
        <f>=HYPERLINK("https://main.knesset.gov.il/APPS/legislation/main/bills/2202243", "הצעת חוק הנוער (טיפול והשגחה) (תיקון - טיפול בבריחה ממשמורת), התשפ""ג-2023")</f>
        <v>10077</v>
      </c>
      <c r="E4905" t="s">
        <v>10077</v>
      </c>
      <c r="F4905" t="s">
        <v>10078</v>
      </c>
      <c r="G4905" t="s">
        <v>14</v>
      </c>
      <c r="H4905">
             </c>
      <c r="I4905" t="s">
        <v>14</v>
      </c>
      <c r="J4905" t="s">
        <v>141</v>
      </c>
      <c r="K4905" t="s">
        <v>14</v>
      </c>
      <c r="L4905" t="s">
        <v>20</v>
      </c>
      <c r="M4905" t="s">
        <v>9990</v>
      </c>
      <c r="N4905" t="s">
        <v>14</v>
      </c>
    </row>
    <row r="4906" x14ac:dyDescent="0.25">
      <c r="A4906" t="n">
        <v>25</v>
      </c>
      <c r="B4906" t="s">
        <v>14</v>
      </c>
      <c r="C4906" t="s">
        <v>22</v>
      </c>
      <c r="D4906" s="2" t="s">
        <f>=HYPERLINK("https://main.knesset.gov.il/APPS/legislation/main/bills/2200731", "הצעת חוק דמי הבראה, התשפ""ג-2023")</f>
        <v>10079</v>
      </c>
      <c r="E4906" t="s">
        <v>10079</v>
      </c>
      <c r="F4906" t="s">
        <v>10080</v>
      </c>
      <c r="G4906" t="s">
        <v>14</v>
      </c>
      <c r="H4906">
             </c>
      <c r="I4906" t="s">
        <v>14</v>
      </c>
      <c r="J4906" t="s">
        <v>141</v>
      </c>
      <c r="K4906" t="s">
        <v>14</v>
      </c>
      <c r="L4906" t="s">
        <v>20</v>
      </c>
      <c r="M4906" t="s">
        <v>9990</v>
      </c>
      <c r="N4906" t="s">
        <v>14</v>
      </c>
    </row>
    <row r="4907" x14ac:dyDescent="0.25">
      <c r="A4907" t="n">
        <v>25</v>
      </c>
      <c r="B4907" t="s">
        <v>14</v>
      </c>
      <c r="C4907" t="s">
        <v>22</v>
      </c>
      <c r="D4907" s="2" t="s">
        <f>=HYPERLINK("https://main.knesset.gov.il/APPS/legislation/main/bills/2200782", "הצעת חוק הביטוח הלאומי (תיקון - דמי אבטלה לעצמאים), התשפ""ג-2023")</f>
        <v>9406</v>
      </c>
      <c r="E4907" t="s">
        <v>9406</v>
      </c>
      <c r="F4907" t="s">
        <v>10081</v>
      </c>
      <c r="G4907" t="s">
        <v>14</v>
      </c>
      <c r="H4907">
             </c>
      <c r="I4907" t="s">
        <v>14</v>
      </c>
      <c r="J4907" t="s">
        <v>141</v>
      </c>
      <c r="K4907" t="s">
        <v>14</v>
      </c>
      <c r="L4907" t="s">
        <v>20</v>
      </c>
      <c r="M4907" t="s">
        <v>9990</v>
      </c>
      <c r="N4907" t="s">
        <v>14</v>
      </c>
    </row>
    <row r="4908" x14ac:dyDescent="0.25">
      <c r="A4908" t="n">
        <v>25</v>
      </c>
      <c r="B4908" t="s">
        <v>14</v>
      </c>
      <c r="C4908" t="s">
        <v>22</v>
      </c>
      <c r="D4908" s="2" t="s">
        <f>=HYPERLINK("https://main.knesset.gov.il/APPS/legislation/main/bills/2202874", "הצעת חוק סדר הדין הפלילי (סמכויות אכיפה - מעצרים) (תיקון - החמרת תנאי שחרור בערובה), התשפ""ג-2023")</f>
        <v>10082</v>
      </c>
      <c r="E4908" t="s">
        <v>10082</v>
      </c>
      <c r="F4908" t="s">
        <v>10083</v>
      </c>
      <c r="G4908" t="s">
        <v>14</v>
      </c>
      <c r="H4908">
             </c>
      <c r="I4908" t="s">
        <v>14</v>
      </c>
      <c r="J4908" t="s">
        <v>141</v>
      </c>
      <c r="K4908" t="s">
        <v>14</v>
      </c>
      <c r="L4908" t="s">
        <v>20</v>
      </c>
      <c r="M4908" t="s">
        <v>9990</v>
      </c>
      <c r="N4908" t="s">
        <v>14</v>
      </c>
    </row>
    <row r="4909" x14ac:dyDescent="0.25">
      <c r="A4909" t="n">
        <v>25</v>
      </c>
      <c r="B4909" t="s">
        <v>14</v>
      </c>
      <c r="C4909" t="s">
        <v>22</v>
      </c>
      <c r="D4909" s="2" t="s">
        <f>=HYPERLINK("https://main.knesset.gov.il/APPS/legislation/main/bills/2203051", "הצעת חוק סדר הדין הפלילי (תיקון - מועד תשלום הקנס), התשפ""ג-2023")</f>
        <v>10084</v>
      </c>
      <c r="E4909" t="s">
        <v>10084</v>
      </c>
      <c r="F4909" t="s">
        <v>10085</v>
      </c>
      <c r="G4909" t="s">
        <v>14</v>
      </c>
      <c r="H4909">
             </c>
      <c r="I4909" t="s">
        <v>14</v>
      </c>
      <c r="J4909" t="s">
        <v>141</v>
      </c>
      <c r="K4909" t="s">
        <v>14</v>
      </c>
      <c r="L4909" t="s">
        <v>20</v>
      </c>
      <c r="M4909" t="s">
        <v>9990</v>
      </c>
      <c r="N4909" t="s">
        <v>14</v>
      </c>
    </row>
    <row r="4910" x14ac:dyDescent="0.25">
      <c r="A4910" t="n">
        <v>25</v>
      </c>
      <c r="B4910" t="s">
        <v>14</v>
      </c>
      <c r="C4910" t="s">
        <v>22</v>
      </c>
      <c r="D4910" s="2" t="s">
        <f>=HYPERLINK("https://main.knesset.gov.il/APPS/legislation/main/bills/2198313", "הצעת חוק החברות הממשלתיות (תיקון - ייצוג הולם בתאגידים ממשלתיים וגופים סטטוטוריים), התשפ""ג-2023")</f>
        <v>10086</v>
      </c>
      <c r="E4910" t="s">
        <v>10086</v>
      </c>
      <c r="F4910" t="s">
        <v>10087</v>
      </c>
      <c r="G4910" t="s">
        <v>14</v>
      </c>
      <c r="H4910">
             </c>
      <c r="I4910" t="s">
        <v>14</v>
      </c>
      <c r="J4910" t="s">
        <v>141</v>
      </c>
      <c r="K4910" t="s">
        <v>14</v>
      </c>
      <c r="L4910" t="s">
        <v>20</v>
      </c>
      <c r="M4910" t="s">
        <v>9990</v>
      </c>
      <c r="N4910" t="s">
        <v>14</v>
      </c>
    </row>
    <row r="4911" x14ac:dyDescent="0.25">
      <c r="A4911" t="n">
        <v>25</v>
      </c>
      <c r="B4911" t="s">
        <v>14</v>
      </c>
      <c r="C4911" t="s">
        <v>22</v>
      </c>
      <c r="D4911" s="2" t="s">
        <f>=HYPERLINK("https://main.knesset.gov.il/APPS/legislation/main/bills/2203066", "הצעת חוק העונשין (תיקון - ביטול עבירת השוטטות), התשפ""ג-2023")</f>
        <v>10088</v>
      </c>
      <c r="E4911" t="s">
        <v>10088</v>
      </c>
      <c r="F4911" t="s">
        <v>10089</v>
      </c>
      <c r="G4911" t="s">
        <v>14</v>
      </c>
      <c r="H4911">
             </c>
      <c r="I4911" t="s">
        <v>14</v>
      </c>
      <c r="J4911" t="s">
        <v>141</v>
      </c>
      <c r="K4911" t="s">
        <v>14</v>
      </c>
      <c r="L4911" t="s">
        <v>20</v>
      </c>
      <c r="M4911" t="s">
        <v>9990</v>
      </c>
      <c r="N4911" t="s">
        <v>14</v>
      </c>
    </row>
    <row r="4912" x14ac:dyDescent="0.25">
      <c r="A4912" t="n">
        <v>25</v>
      </c>
      <c r="B4912" t="s">
        <v>14</v>
      </c>
      <c r="C4912" t="s">
        <v>22</v>
      </c>
      <c r="D4912" s="2" t="s">
        <f>=HYPERLINK("https://main.knesset.gov.il/APPS/legislation/main/bills/2203065", "הצעת חוק העונשין (תיקון - תקיפת עורך דין כתקיפת עובד ציבור), התשפ""ג-2023")</f>
        <v>8627</v>
      </c>
      <c r="E4912" t="s">
        <v>8627</v>
      </c>
      <c r="F4912" t="s">
        <v>10090</v>
      </c>
      <c r="G4912" t="s">
        <v>14</v>
      </c>
      <c r="H4912">
             </c>
      <c r="I4912" t="s">
        <v>14</v>
      </c>
      <c r="J4912" t="s">
        <v>141</v>
      </c>
      <c r="K4912" t="s">
        <v>14</v>
      </c>
      <c r="L4912" t="s">
        <v>20</v>
      </c>
      <c r="M4912" t="s">
        <v>9990</v>
      </c>
      <c r="N4912" t="s">
        <v>14</v>
      </c>
    </row>
    <row r="4913" x14ac:dyDescent="0.25">
      <c r="A4913" t="n">
        <v>25</v>
      </c>
      <c r="B4913" t="s">
        <v>14</v>
      </c>
      <c r="C4913" t="s">
        <v>22</v>
      </c>
      <c r="D4913" s="2" t="s">
        <f>=HYPERLINK("https://main.knesset.gov.il/APPS/legislation/main/bills/2202789", "הצעת חוק הגנת הצרכן (תיקון - שינוי פרטים בכרטיס טיסה או בכרטיס לשיט), התשפ""ג-2023")</f>
        <v>9674</v>
      </c>
      <c r="E4913" t="s">
        <v>9674</v>
      </c>
      <c r="F4913" t="s">
        <v>10091</v>
      </c>
      <c r="G4913" t="s">
        <v>14</v>
      </c>
      <c r="H4913">
             </c>
      <c r="I4913" t="s">
        <v>14</v>
      </c>
      <c r="J4913" t="s">
        <v>141</v>
      </c>
      <c r="K4913" t="s">
        <v>14</v>
      </c>
      <c r="L4913" t="s">
        <v>20</v>
      </c>
      <c r="M4913" t="s">
        <v>9990</v>
      </c>
      <c r="N4913" t="s">
        <v>14</v>
      </c>
    </row>
    <row r="4914" x14ac:dyDescent="0.25">
      <c r="A4914" t="n">
        <v>25</v>
      </c>
      <c r="B4914" t="s">
        <v>14</v>
      </c>
      <c r="C4914" t="s">
        <v>22</v>
      </c>
      <c r="D4914" s="2" t="s">
        <f>=HYPERLINK("https://main.knesset.gov.il/APPS/legislation/main/bills/2202597", "הצעת חוק הגנת הצרכן (תיקון - שינוי פרטים בכרטיס טיסה או בכרטיס לשיט), התשפ""ג-2023")</f>
        <v>9674</v>
      </c>
      <c r="E4914" t="s">
        <v>9674</v>
      </c>
      <c r="F4914" t="s">
        <v>10092</v>
      </c>
      <c r="G4914" t="s">
        <v>14</v>
      </c>
      <c r="H4914">
             </c>
      <c r="I4914" t="s">
        <v>14</v>
      </c>
      <c r="J4914" t="s">
        <v>141</v>
      </c>
      <c r="K4914" t="s">
        <v>14</v>
      </c>
      <c r="L4914" t="s">
        <v>20</v>
      </c>
      <c r="M4914" t="s">
        <v>9990</v>
      </c>
      <c r="N4914" t="s">
        <v>14</v>
      </c>
    </row>
    <row r="4915" x14ac:dyDescent="0.25">
      <c r="A4915" t="n">
        <v>25</v>
      </c>
      <c r="B4915" t="s">
        <v>14</v>
      </c>
      <c r="C4915" t="s">
        <v>22</v>
      </c>
      <c r="D4915" s="2" t="s">
        <f>=HYPERLINK("https://main.knesset.gov.il/APPS/legislation/main/bills/2202667", "הצעת חוק חסינות חברי הכנסת, זכויותיהם וחובותיהם (תיקון - חסינות בפני דין פלילי), התשפ""ג-2023")</f>
        <v>10093</v>
      </c>
      <c r="E4915" t="s">
        <v>10093</v>
      </c>
      <c r="F4915" t="s">
        <v>10094</v>
      </c>
      <c r="G4915" t="s">
        <v>14</v>
      </c>
      <c r="H4915">
             </c>
      <c r="I4915" t="s">
        <v>14</v>
      </c>
      <c r="J4915" t="s">
        <v>141</v>
      </c>
      <c r="K4915" t="s">
        <v>14</v>
      </c>
      <c r="L4915" t="s">
        <v>20</v>
      </c>
      <c r="M4915" t="s">
        <v>9990</v>
      </c>
      <c r="N4915" t="s">
        <v>14</v>
      </c>
    </row>
    <row r="4916" x14ac:dyDescent="0.25">
      <c r="A4916" t="n">
        <v>25</v>
      </c>
      <c r="B4916" t="s">
        <v>14</v>
      </c>
      <c r="C4916" t="s">
        <v>22</v>
      </c>
      <c r="D4916" s="2" t="s">
        <f>=HYPERLINK("https://main.knesset.gov.il/APPS/legislation/main/bills/2202281", "הצעת חוק עידוד מעורבות סטודנטים בפעילות חברתית וקהילתית (תיקון - הקלות למשרתי מילואים), התשפ""ג-2023")</f>
        <v>10095</v>
      </c>
      <c r="E4916" t="s">
        <v>10095</v>
      </c>
      <c r="F4916" t="s">
        <v>10096</v>
      </c>
      <c r="G4916" t="s">
        <v>14</v>
      </c>
      <c r="H4916">
             </c>
      <c r="I4916" t="s">
        <v>14</v>
      </c>
      <c r="J4916" t="s">
        <v>141</v>
      </c>
      <c r="K4916" t="s">
        <v>14</v>
      </c>
      <c r="L4916" t="s">
        <v>20</v>
      </c>
      <c r="M4916" t="s">
        <v>9990</v>
      </c>
      <c r="N4916" t="s">
        <v>14</v>
      </c>
    </row>
    <row r="4917" x14ac:dyDescent="0.25">
      <c r="A4917" t="n">
        <v>25</v>
      </c>
      <c r="B4917" t="s">
        <v>14</v>
      </c>
      <c r="C4917" t="s">
        <v>22</v>
      </c>
      <c r="D4917" s="2" t="s">
        <f>=HYPERLINK("https://main.knesset.gov.il/APPS/legislation/main/bills/2202183", "הצעת חוק הביטוח הלאומי (תיקון - הגדלת סכום קצבאות הילדים), התשפ""ג-2023")</f>
        <v>9700</v>
      </c>
      <c r="E4917" t="s">
        <v>9700</v>
      </c>
      <c r="F4917" t="s">
        <v>10097</v>
      </c>
      <c r="G4917" t="s">
        <v>14</v>
      </c>
      <c r="H4917">
             </c>
      <c r="I4917" t="s">
        <v>14</v>
      </c>
      <c r="J4917" t="s">
        <v>141</v>
      </c>
      <c r="K4917" t="s">
        <v>14</v>
      </c>
      <c r="L4917" t="s">
        <v>20</v>
      </c>
      <c r="M4917" t="s">
        <v>9990</v>
      </c>
      <c r="N4917" t="s">
        <v>14</v>
      </c>
    </row>
    <row r="4918" x14ac:dyDescent="0.25">
      <c r="A4918" t="n">
        <v>25</v>
      </c>
      <c r="B4918" t="s">
        <v>14</v>
      </c>
      <c r="C4918" t="s">
        <v>22</v>
      </c>
      <c r="D4918" s="2" t="s">
        <f>=HYPERLINK("https://main.knesset.gov.il/APPS/legislation/main/bills/2199528", "הצעת חוק הביטוח הלאומי (תיקון - העלאת קצבת אזרח ותיק), התשפ""ג-2023")</f>
        <v>10098</v>
      </c>
      <c r="E4918" t="s">
        <v>10098</v>
      </c>
      <c r="F4918" t="s">
        <v>10099</v>
      </c>
      <c r="G4918" t="s">
        <v>14</v>
      </c>
      <c r="H4918">
             </c>
      <c r="I4918" t="s">
        <v>14</v>
      </c>
      <c r="J4918" t="s">
        <v>141</v>
      </c>
      <c r="K4918" t="s">
        <v>14</v>
      </c>
      <c r="L4918" t="s">
        <v>20</v>
      </c>
      <c r="M4918" t="s">
        <v>9990</v>
      </c>
      <c r="N4918" t="s">
        <v>14</v>
      </c>
    </row>
    <row r="4919" x14ac:dyDescent="0.25">
      <c r="A4919" t="n">
        <v>25</v>
      </c>
      <c r="B4919" t="s">
        <v>14</v>
      </c>
      <c r="C4919" t="s">
        <v>22</v>
      </c>
      <c r="D4919" s="2" t="s">
        <f>=HYPERLINK("https://main.knesset.gov.il/APPS/legislation/main/bills/2201850", "הצעת חוק הביטוח הלאומי (תיקון - הוראות לעניין עקרת בית), התשפ""ג-2023")</f>
        <v>10100</v>
      </c>
      <c r="E4919" t="s">
        <v>10100</v>
      </c>
      <c r="F4919" t="s">
        <v>10101</v>
      </c>
      <c r="G4919" t="s">
        <v>14</v>
      </c>
      <c r="H4919">
             </c>
      <c r="I4919" t="s">
        <v>14</v>
      </c>
      <c r="J4919" t="s">
        <v>141</v>
      </c>
      <c r="K4919" t="s">
        <v>14</v>
      </c>
      <c r="L4919" t="s">
        <v>20</v>
      </c>
      <c r="M4919" t="s">
        <v>9990</v>
      </c>
      <c r="N4919" t="s">
        <v>14</v>
      </c>
    </row>
    <row r="4920" x14ac:dyDescent="0.25">
      <c r="A4920" t="n">
        <v>25</v>
      </c>
      <c r="B4920" t="s">
        <v>14</v>
      </c>
      <c r="C4920" t="s">
        <v>22</v>
      </c>
      <c r="D4920" s="2" t="s">
        <f>=HYPERLINK("https://main.knesset.gov.il/APPS/legislation/main/bills/2202155", "הצעת חוק חינוך ממלכתי (תיקון - חובת לימוד עברית וערבית במוסדות חינוך תיכוניים), התשפ""ג-2023")</f>
        <v>10102</v>
      </c>
      <c r="E4920" t="s">
        <v>10102</v>
      </c>
      <c r="F4920" t="s">
        <v>10103</v>
      </c>
      <c r="G4920" t="s">
        <v>14</v>
      </c>
      <c r="H4920">
             </c>
      <c r="I4920" t="s">
        <v>14</v>
      </c>
      <c r="J4920" t="s">
        <v>141</v>
      </c>
      <c r="K4920" t="s">
        <v>14</v>
      </c>
      <c r="L4920" t="s">
        <v>20</v>
      </c>
      <c r="M4920" t="s">
        <v>9990</v>
      </c>
      <c r="N4920" t="s">
        <v>14</v>
      </c>
    </row>
    <row r="4921" x14ac:dyDescent="0.25">
      <c r="A4921" t="n">
        <v>25</v>
      </c>
      <c r="B4921" t="s">
        <v>14</v>
      </c>
      <c r="C4921" t="s">
        <v>22</v>
      </c>
      <c r="D4921" s="2" t="s">
        <f>=HYPERLINK("https://main.knesset.gov.il/APPS/legislation/main/bills/2201852", "הצעת חוק ביטוח בריאות ממלכתי (תיקון - החזר עבור פינוי באמבולנס), התשפ""ג-2023")</f>
        <v>9612</v>
      </c>
      <c r="E4921" t="s">
        <v>9612</v>
      </c>
      <c r="F4921" t="s">
        <v>10104</v>
      </c>
      <c r="G4921" t="s">
        <v>14</v>
      </c>
      <c r="H4921">
             </c>
      <c r="I4921" t="s">
        <v>14</v>
      </c>
      <c r="J4921" t="s">
        <v>141</v>
      </c>
      <c r="K4921" t="s">
        <v>14</v>
      </c>
      <c r="L4921" t="s">
        <v>20</v>
      </c>
      <c r="M4921" t="s">
        <v>9990</v>
      </c>
      <c r="N4921" t="s">
        <v>14</v>
      </c>
    </row>
    <row r="4922" x14ac:dyDescent="0.25">
      <c r="A4922" t="n">
        <v>25</v>
      </c>
      <c r="B4922" t="s">
        <v>14</v>
      </c>
      <c r="C4922" t="s">
        <v>22</v>
      </c>
      <c r="D4922" s="2" t="s">
        <f>=HYPERLINK("https://main.knesset.gov.il/APPS/legislation/main/bills/2200561", "הצעת חוק חינוך ממלכתי (תיקון - לימוד מורשת יהודי ברית המועצות לשעבר), התשפ""ג-2023")</f>
        <v>2030</v>
      </c>
      <c r="E4922" t="s">
        <v>2030</v>
      </c>
      <c r="F4922" t="s">
        <v>10105</v>
      </c>
      <c r="G4922" t="s">
        <v>14</v>
      </c>
      <c r="H4922">
             </c>
      <c r="I4922" t="s">
        <v>14</v>
      </c>
      <c r="J4922" t="s">
        <v>141</v>
      </c>
      <c r="K4922" t="s">
        <v>14</v>
      </c>
      <c r="L4922" t="s">
        <v>20</v>
      </c>
      <c r="M4922" t="s">
        <v>9990</v>
      </c>
      <c r="N4922" t="s">
        <v>14</v>
      </c>
    </row>
    <row r="4923" x14ac:dyDescent="0.25">
      <c r="A4923" t="n">
        <v>25</v>
      </c>
      <c r="B4923" t="s">
        <v>14</v>
      </c>
      <c r="C4923" t="s">
        <v>22</v>
      </c>
      <c r="D4923" s="2" t="s">
        <f>=HYPERLINK("https://main.knesset.gov.il/APPS/legislation/main/bills/2202882", "הצעת חוק להגבלת שכר טרחת כונסי נכסים (תיקוני חקיקה), התשפ""ג-2023")</f>
        <v>10106</v>
      </c>
      <c r="E4923" t="s">
        <v>10106</v>
      </c>
      <c r="F4923" t="s">
        <v>10107</v>
      </c>
      <c r="G4923" t="s">
        <v>14</v>
      </c>
      <c r="H4923">
             </c>
      <c r="I4923" t="s">
        <v>14</v>
      </c>
      <c r="J4923" t="s">
        <v>141</v>
      </c>
      <c r="K4923" t="s">
        <v>14</v>
      </c>
      <c r="L4923" t="s">
        <v>20</v>
      </c>
      <c r="M4923" t="s">
        <v>9990</v>
      </c>
      <c r="N4923" t="s">
        <v>14</v>
      </c>
    </row>
    <row r="4924" x14ac:dyDescent="0.25">
      <c r="A4924" t="n">
        <v>25</v>
      </c>
      <c r="B4924" t="s">
        <v>14</v>
      </c>
      <c r="C4924" t="s">
        <v>22</v>
      </c>
      <c r="D4924" s="2" t="s">
        <f>=HYPERLINK("https://main.knesset.gov.il/APPS/legislation/main/bills/2202839", "הצעת חוק הנגשת שירותי קבלת קהל הניתנים בגופי שלטון לשפות נוספות, התשפ""ג-2023")</f>
        <v>9616</v>
      </c>
      <c r="E4924" t="s">
        <v>9616</v>
      </c>
      <c r="F4924" t="s">
        <v>10108</v>
      </c>
      <c r="G4924" t="s">
        <v>14</v>
      </c>
      <c r="H4924">
             </c>
      <c r="I4924" t="s">
        <v>14</v>
      </c>
      <c r="J4924" t="s">
        <v>141</v>
      </c>
      <c r="K4924" t="s">
        <v>14</v>
      </c>
      <c r="L4924" t="s">
        <v>20</v>
      </c>
      <c r="M4924" t="s">
        <v>9990</v>
      </c>
      <c r="N4924" t="s">
        <v>14</v>
      </c>
    </row>
    <row r="4925" x14ac:dyDescent="0.25">
      <c r="A4925" t="n">
        <v>25</v>
      </c>
      <c r="B4925" t="s">
        <v>14</v>
      </c>
      <c r="C4925" t="s">
        <v>22</v>
      </c>
      <c r="D4925" s="2" t="s">
        <f>=HYPERLINK("https://main.knesset.gov.il/APPS/legislation/main/bills/2200682", "הצעת חוק ההוצאה לפועל (תיקון - הגבלת סכום עיקול בידי צד שלישי שהוא תאגיד בנקאי), התשפ""ג-2023")</f>
        <v>10109</v>
      </c>
      <c r="E4925" t="s">
        <v>10109</v>
      </c>
      <c r="F4925" t="s">
        <v>10110</v>
      </c>
      <c r="G4925" t="s">
        <v>14</v>
      </c>
      <c r="H4925">
             </c>
      <c r="I4925" t="s">
        <v>14</v>
      </c>
      <c r="J4925" t="s">
        <v>141</v>
      </c>
      <c r="K4925" t="s">
        <v>14</v>
      </c>
      <c r="L4925" t="s">
        <v>20</v>
      </c>
      <c r="M4925" t="s">
        <v>9990</v>
      </c>
      <c r="N4925" t="s">
        <v>14</v>
      </c>
    </row>
    <row r="4926" x14ac:dyDescent="0.25">
      <c r="A4926" t="n">
        <v>25</v>
      </c>
      <c r="B4926" t="s">
        <v>14</v>
      </c>
      <c r="C4926" t="s">
        <v>22</v>
      </c>
      <c r="D4926" s="2" t="s">
        <f>=HYPERLINK("https://main.knesset.gov.il/APPS/legislation/main/bills/2201041", "הצעת חוק עוסק זעיר, התשפ""ג-2023")</f>
        <v>9863</v>
      </c>
      <c r="E4926" t="s">
        <v>9863</v>
      </c>
      <c r="F4926" t="s">
        <v>10111</v>
      </c>
      <c r="G4926" t="s">
        <v>14</v>
      </c>
      <c r="H4926">
             </c>
      <c r="I4926" t="s">
        <v>14</v>
      </c>
      <c r="J4926" t="s">
        <v>141</v>
      </c>
      <c r="K4926" t="s">
        <v>14</v>
      </c>
      <c r="L4926" t="s">
        <v>20</v>
      </c>
      <c r="M4926" t="s">
        <v>9990</v>
      </c>
      <c r="N4926" t="s">
        <v>14</v>
      </c>
    </row>
    <row r="4927" x14ac:dyDescent="0.25">
      <c r="A4927" t="n">
        <v>25</v>
      </c>
      <c r="B4927" t="s">
        <v>14</v>
      </c>
      <c r="C4927" t="s">
        <v>22</v>
      </c>
      <c r="D4927" s="2" t="s">
        <f>=HYPERLINK("https://main.knesset.gov.il/APPS/legislation/main/bills/2202852", "הצעת חוק העונשין (תיקון - החמרת ענישה בשל תקיפת צוות רפואי), התשפ""ג-2023")</f>
        <v>6145</v>
      </c>
      <c r="E4927" t="s">
        <v>6145</v>
      </c>
      <c r="F4927" t="s">
        <v>10112</v>
      </c>
      <c r="G4927" t="s">
        <v>14</v>
      </c>
      <c r="H4927">
             </c>
      <c r="I4927" t="s">
        <v>14</v>
      </c>
      <c r="J4927" t="s">
        <v>141</v>
      </c>
      <c r="K4927" t="s">
        <v>14</v>
      </c>
      <c r="L4927" t="s">
        <v>20</v>
      </c>
      <c r="M4927" t="s">
        <v>9990</v>
      </c>
      <c r="N4927" t="s">
        <v>14</v>
      </c>
    </row>
    <row r="4928" x14ac:dyDescent="0.25">
      <c r="A4928" t="n">
        <v>25</v>
      </c>
      <c r="B4928" t="s">
        <v>14</v>
      </c>
      <c r="C4928" t="s">
        <v>22</v>
      </c>
      <c r="D4928" s="2" t="s">
        <f>=HYPERLINK("https://main.knesset.gov.il/APPS/legislation/main/bills/2202698", "הצעת חוק לתיקון פקודת המסים (גבייה) (תנאים למתן כתב הרשאה וצו עיקול), התשפ""ג-2023")</f>
        <v>9157</v>
      </c>
      <c r="E4928" t="s">
        <v>9157</v>
      </c>
      <c r="F4928" t="s">
        <v>10113</v>
      </c>
      <c r="G4928" t="s">
        <v>14</v>
      </c>
      <c r="H4928">
             </c>
      <c r="I4928" t="s">
        <v>14</v>
      </c>
      <c r="J4928" t="s">
        <v>343</v>
      </c>
      <c r="K4928" t="s">
        <v>14</v>
      </c>
      <c r="L4928" t="s">
        <v>20</v>
      </c>
      <c r="M4928" t="s">
        <v>9990</v>
      </c>
      <c r="N4928" t="s">
        <v>14</v>
      </c>
    </row>
    <row r="4929" x14ac:dyDescent="0.25">
      <c r="A4929" t="n">
        <v>25</v>
      </c>
      <c r="B4929" t="s">
        <v>14</v>
      </c>
      <c r="C4929" t="s">
        <v>22</v>
      </c>
      <c r="D4929" s="2" t="s">
        <f>=HYPERLINK("https://main.knesset.gov.il/APPS/legislation/main/bills/2200730", "הצעת חוק דמי מחלה (היעדרות בשל מחלת ילד) (תיקון - היעדרות בעקבות פגיעה בעבירת מין או אלימות חמורה), התשפ""ג-2023")</f>
        <v>8043</v>
      </c>
      <c r="E4929" t="s">
        <v>8043</v>
      </c>
      <c r="F4929" t="s">
        <v>10114</v>
      </c>
      <c r="G4929" t="s">
        <v>14</v>
      </c>
      <c r="H4929">
             </c>
      <c r="I4929" t="s">
        <v>14</v>
      </c>
      <c r="J4929" t="s">
        <v>141</v>
      </c>
      <c r="K4929" t="s">
        <v>14</v>
      </c>
      <c r="L4929" t="s">
        <v>20</v>
      </c>
      <c r="M4929" t="s">
        <v>9990</v>
      </c>
      <c r="N4929" t="s">
        <v>14</v>
      </c>
    </row>
    <row r="4930" x14ac:dyDescent="0.25">
      <c r="A4930" t="n">
        <v>25</v>
      </c>
      <c r="B4930" t="s">
        <v>14</v>
      </c>
      <c r="C4930" t="s">
        <v>22</v>
      </c>
      <c r="D4930" s="2" t="s">
        <f>=HYPERLINK("https://main.knesset.gov.il/APPS/legislation/main/bills/2200729", "הצעת חוק שוויון ההזדמנויות בעבודה (תיקון - עצמאות נציבות שוויון הזדמנויות בעבודה), התשפ""ג-2023")</f>
        <v>10115</v>
      </c>
      <c r="E4930" t="s">
        <v>10115</v>
      </c>
      <c r="F4930" t="s">
        <v>10116</v>
      </c>
      <c r="G4930" t="s">
        <v>14</v>
      </c>
      <c r="H4930">
             </c>
      <c r="I4930" t="s">
        <v>14</v>
      </c>
      <c r="J4930" t="s">
        <v>141</v>
      </c>
      <c r="K4930" t="s">
        <v>14</v>
      </c>
      <c r="L4930" t="s">
        <v>20</v>
      </c>
      <c r="M4930" t="s">
        <v>9990</v>
      </c>
      <c r="N4930" t="s">
        <v>14</v>
      </c>
    </row>
    <row r="4931" x14ac:dyDescent="0.25">
      <c r="A4931" t="n">
        <v>25</v>
      </c>
      <c r="B4931" t="s">
        <v>14</v>
      </c>
      <c r="C4931" t="s">
        <v>22</v>
      </c>
      <c r="D4931" s="2" t="s">
        <f>=HYPERLINK("https://main.knesset.gov.il/APPS/legislation/main/bills/2200398", "הצעת חוק דמי מחלה עבור מלווה בן משפחה לבדיקה רפואית (תיקוני חקיקה), התשפ""ג-2023")</f>
        <v>10117</v>
      </c>
      <c r="E4931" t="s">
        <v>10117</v>
      </c>
      <c r="F4931" t="s">
        <v>10118</v>
      </c>
      <c r="G4931" t="s">
        <v>14</v>
      </c>
      <c r="H4931">
             </c>
      <c r="I4931" t="s">
        <v>14</v>
      </c>
      <c r="J4931" t="s">
        <v>141</v>
      </c>
      <c r="K4931" t="s">
        <v>14</v>
      </c>
      <c r="L4931" t="s">
        <v>20</v>
      </c>
      <c r="M4931" t="s">
        <v>9990</v>
      </c>
      <c r="N4931" t="s">
        <v>14</v>
      </c>
    </row>
    <row r="4932" x14ac:dyDescent="0.25">
      <c r="A4932" t="n">
        <v>25</v>
      </c>
      <c r="B4932" t="s">
        <v>14</v>
      </c>
      <c r="C4932" t="s">
        <v>22</v>
      </c>
      <c r="D4932" s="2" t="s">
        <f>=HYPERLINK("https://main.knesset.gov.il/APPS/legislation/main/bills/2202685", "הצעת חוק חניה לנכים (תיקון - תג נכה אישי), התשפ""ג-2023")</f>
        <v>10119</v>
      </c>
      <c r="E4932" t="s">
        <v>10119</v>
      </c>
      <c r="F4932" t="s">
        <v>10120</v>
      </c>
      <c r="G4932" t="s">
        <v>14</v>
      </c>
      <c r="H4932">
             </c>
      <c r="I4932" t="s">
        <v>14</v>
      </c>
      <c r="J4932" t="s">
        <v>141</v>
      </c>
      <c r="K4932" t="s">
        <v>14</v>
      </c>
      <c r="L4932" t="s">
        <v>20</v>
      </c>
      <c r="M4932" t="s">
        <v>9990</v>
      </c>
      <c r="N4932" t="s">
        <v>14</v>
      </c>
    </row>
    <row r="4933" x14ac:dyDescent="0.25">
      <c r="A4933" t="n">
        <v>25</v>
      </c>
      <c r="B4933" t="s">
        <v>14</v>
      </c>
      <c r="C4933" t="s">
        <v>22</v>
      </c>
      <c r="D4933" s="2" t="s">
        <f>=HYPERLINK("https://main.knesset.gov.il/APPS/legislation/main/bills/2202277", "הצעת חוק לעידוד השקעות הון (תיקון - עידוד חברות ממשלתיות הפועלות בסביבה בין-לאומית תחרותית), התשפ""ג-2023")</f>
        <v>10121</v>
      </c>
      <c r="E4933" t="s">
        <v>10121</v>
      </c>
      <c r="F4933" t="s">
        <v>10122</v>
      </c>
      <c r="G4933" t="s">
        <v>14</v>
      </c>
      <c r="H4933">
             </c>
      <c r="I4933" t="s">
        <v>14</v>
      </c>
      <c r="J4933" t="s">
        <v>141</v>
      </c>
      <c r="K4933" t="s">
        <v>14</v>
      </c>
      <c r="L4933" t="s">
        <v>20</v>
      </c>
      <c r="M4933" t="s">
        <v>9990</v>
      </c>
      <c r="N4933" t="s">
        <v>14</v>
      </c>
    </row>
    <row r="4934" x14ac:dyDescent="0.25">
      <c r="A4934" t="n">
        <v>25</v>
      </c>
      <c r="B4934" t="s">
        <v>14</v>
      </c>
      <c r="C4934" t="s">
        <v>22</v>
      </c>
      <c r="D4934" s="2" t="s">
        <f>=HYPERLINK("https://main.knesset.gov.il/APPS/legislation/main/bills/2202700", "הצעת חוק לתיקון פקודת מס הכנסה (משיכה מקרן השתלמות) (הוראת שעה), התשפ""ג-2023")</f>
        <v>10123</v>
      </c>
      <c r="E4934" t="s">
        <v>10123</v>
      </c>
      <c r="F4934" t="s">
        <v>10124</v>
      </c>
      <c r="G4934" t="s">
        <v>14</v>
      </c>
      <c r="H4934">
             </c>
      <c r="I4934" t="s">
        <v>14</v>
      </c>
      <c r="J4934" t="s">
        <v>141</v>
      </c>
      <c r="K4934" t="s">
        <v>14</v>
      </c>
      <c r="L4934" t="s">
        <v>20</v>
      </c>
      <c r="M4934" t="s">
        <v>9990</v>
      </c>
      <c r="N4934" t="s">
        <v>14</v>
      </c>
    </row>
    <row r="4935" x14ac:dyDescent="0.25">
      <c r="A4935" t="n">
        <v>25</v>
      </c>
      <c r="B4935" t="s">
        <v>14</v>
      </c>
      <c r="C4935" t="s">
        <v>22</v>
      </c>
      <c r="D4935" s="2" t="s">
        <f>=HYPERLINK("https://main.knesset.gov.il/APPS/legislation/main/bills/2202928", "הצעת חוק זכויות נפגעי עבירה (תיקון - הקמת נציבות זכויות נפגעי עבירה), התשפ""ג-2023")</f>
        <v>10125</v>
      </c>
      <c r="E4935" t="s">
        <v>10125</v>
      </c>
      <c r="F4935" t="s">
        <v>10126</v>
      </c>
      <c r="G4935" t="s">
        <v>14</v>
      </c>
      <c r="H4935">
             </c>
      <c r="I4935" t="s">
        <v>14</v>
      </c>
      <c r="J4935" t="s">
        <v>343</v>
      </c>
      <c r="K4935" t="s">
        <v>14</v>
      </c>
      <c r="L4935" t="s">
        <v>20</v>
      </c>
      <c r="M4935" t="s">
        <v>9990</v>
      </c>
      <c r="N4935" t="s">
        <v>14</v>
      </c>
    </row>
    <row r="4936" x14ac:dyDescent="0.25">
      <c r="A4936" t="n">
        <v>25</v>
      </c>
      <c r="B4936" t="s">
        <v>14</v>
      </c>
      <c r="C4936" t="s">
        <v>22</v>
      </c>
      <c r="D4936" s="2" t="s">
        <f>=HYPERLINK("https://main.knesset.gov.il/APPS/legislation/main/bills/2200724", "הצעת חוק שוויון ההזדמנויות בעבודה (תיקון - הארכת תקופת ההתיישנות), התשפ""ג-2023")</f>
        <v>6000</v>
      </c>
      <c r="E4936" t="s">
        <v>6000</v>
      </c>
      <c r="F4936" t="s">
        <v>10127</v>
      </c>
      <c r="G4936" t="s">
        <v>14</v>
      </c>
      <c r="H4936">
             </c>
      <c r="I4936" t="s">
        <v>14</v>
      </c>
      <c r="J4936" t="s">
        <v>141</v>
      </c>
      <c r="K4936" t="s">
        <v>14</v>
      </c>
      <c r="L4936" t="s">
        <v>20</v>
      </c>
      <c r="M4936" t="s">
        <v>9990</v>
      </c>
      <c r="N4936" t="s">
        <v>14</v>
      </c>
    </row>
    <row r="4937" x14ac:dyDescent="0.25">
      <c r="A4937" t="n">
        <v>25</v>
      </c>
      <c r="B4937" t="s">
        <v>14</v>
      </c>
      <c r="C4937" t="s">
        <v>22</v>
      </c>
      <c r="D4937" s="2" t="s">
        <f>=HYPERLINK("https://main.knesset.gov.il/APPS/legislation/main/bills/2202724", "הצעת חוק הגנת הצרכן (תיקון - אחריות מנהל כללי ונושא משרה בשל הפרת הוראות החוק), התשפ""ג-2023")</f>
        <v>9484</v>
      </c>
      <c r="E4937" t="s">
        <v>9484</v>
      </c>
      <c r="F4937" t="s">
        <v>10128</v>
      </c>
      <c r="G4937" t="s">
        <v>14</v>
      </c>
      <c r="H4937">
             </c>
      <c r="I4937" t="s">
        <v>14</v>
      </c>
      <c r="J4937" t="s">
        <v>141</v>
      </c>
      <c r="K4937" t="s">
        <v>14</v>
      </c>
      <c r="L4937" t="s">
        <v>20</v>
      </c>
      <c r="M4937" t="s">
        <v>9990</v>
      </c>
      <c r="N4937" t="s">
        <v>14</v>
      </c>
    </row>
    <row r="4938" x14ac:dyDescent="0.25">
      <c r="A4938" t="n">
        <v>25</v>
      </c>
      <c r="B4938" t="s">
        <v>14</v>
      </c>
      <c r="C4938" t="s">
        <v>22</v>
      </c>
      <c r="D4938" s="2" t="s">
        <f>=HYPERLINK("https://main.knesset.gov.il/APPS/legislation/main/bills/2202560", "הצעת חוק הקמת חדר מיון בקריית שמונה, התשפ""ג-2023")</f>
        <v>9463</v>
      </c>
      <c r="E4938" t="s">
        <v>9463</v>
      </c>
      <c r="F4938" t="s">
        <v>10129</v>
      </c>
      <c r="G4938" t="s">
        <v>14</v>
      </c>
      <c r="H4938">
             </c>
      <c r="I4938" t="s">
        <v>14</v>
      </c>
      <c r="J4938" t="s">
        <v>141</v>
      </c>
      <c r="K4938" t="s">
        <v>14</v>
      </c>
      <c r="L4938" t="s">
        <v>20</v>
      </c>
      <c r="M4938" t="s">
        <v>9990</v>
      </c>
      <c r="N4938" t="s">
        <v>14</v>
      </c>
    </row>
    <row r="4939" x14ac:dyDescent="0.25">
      <c r="A4939" t="n">
        <v>25</v>
      </c>
      <c r="B4939" t="s">
        <v>14</v>
      </c>
      <c r="C4939" t="s">
        <v>22</v>
      </c>
      <c r="D4939" s="2" t="s">
        <f>=HYPERLINK("https://main.knesset.gov.il/APPS/legislation/main/bills/2202873", "הצעת חוק העונשין (תיקון - קביעת עונש מינימום בגין נטילת דמי חסות), התשפ""ג-2023")</f>
        <v>8740</v>
      </c>
      <c r="E4939" t="s">
        <v>8740</v>
      </c>
      <c r="F4939" t="s">
        <v>10130</v>
      </c>
      <c r="G4939" t="s">
        <v>14</v>
      </c>
      <c r="H4939">
             </c>
      <c r="I4939" t="s">
        <v>14</v>
      </c>
      <c r="J4939" t="s">
        <v>141</v>
      </c>
      <c r="K4939" t="s">
        <v>14</v>
      </c>
      <c r="L4939" t="s">
        <v>20</v>
      </c>
      <c r="M4939" t="s">
        <v>9990</v>
      </c>
      <c r="N4939" t="s">
        <v>14</v>
      </c>
    </row>
    <row r="4940" x14ac:dyDescent="0.25">
      <c r="A4940" t="n">
        <v>25</v>
      </c>
      <c r="B4940" t="s">
        <v>14</v>
      </c>
      <c r="C4940" t="s">
        <v>22</v>
      </c>
      <c r="D4940" s="2" t="s">
        <f>=HYPERLINK("https://main.knesset.gov.il/APPS/legislation/main/bills/2202888", "הצעת חוק מס ערך מוסף (תיקון - פטור ממס ממכירת תרופות מאריכות חיים שאינן כלולות בסל הבריאות), התשפ""ג-2023")</f>
        <v>10131</v>
      </c>
      <c r="E4940" t="s">
        <v>10131</v>
      </c>
      <c r="F4940" t="s">
        <v>10132</v>
      </c>
      <c r="G4940" t="s">
        <v>14</v>
      </c>
      <c r="H4940">
             </c>
      <c r="I4940" t="s">
        <v>14</v>
      </c>
      <c r="J4940" t="s">
        <v>141</v>
      </c>
      <c r="K4940" t="s">
        <v>14</v>
      </c>
      <c r="L4940" t="s">
        <v>20</v>
      </c>
      <c r="M4940" t="s">
        <v>9990</v>
      </c>
      <c r="N4940" t="s">
        <v>14</v>
      </c>
    </row>
    <row r="4941" x14ac:dyDescent="0.25">
      <c r="A4941" t="n">
        <v>25</v>
      </c>
      <c r="B4941" t="s">
        <v>14</v>
      </c>
      <c r="C4941" t="s">
        <v>22</v>
      </c>
      <c r="D4941" s="2" t="s">
        <f>=HYPERLINK("https://main.knesset.gov.il/APPS/legislation/main/bills/2202861", "הצעת חוק ליישוב תחת איום מיידי (הוראת שעה), התשפ""ג-2023")</f>
        <v>10133</v>
      </c>
      <c r="E4941" t="s">
        <v>10133</v>
      </c>
      <c r="F4941" t="s">
        <v>10134</v>
      </c>
      <c r="G4941" t="s">
        <v>14</v>
      </c>
      <c r="H4941">
             </c>
      <c r="I4941" t="s">
        <v>14</v>
      </c>
      <c r="J4941" t="s">
        <v>141</v>
      </c>
      <c r="K4941" t="s">
        <v>14</v>
      </c>
      <c r="L4941" t="s">
        <v>20</v>
      </c>
      <c r="M4941" t="s">
        <v>9990</v>
      </c>
      <c r="N4941" t="s">
        <v>14</v>
      </c>
    </row>
    <row r="4942" x14ac:dyDescent="0.25">
      <c r="A4942" t="n">
        <v>25</v>
      </c>
      <c r="B4942" t="s">
        <v>14</v>
      </c>
      <c r="C4942" t="s">
        <v>22</v>
      </c>
      <c r="D4942" s="2" t="s">
        <f>=HYPERLINK("https://main.knesset.gov.il/APPS/legislation/main/bills/2201878", "הצעת חוק עבודת נשים (תיקון - היעדרות עקב לידה של בת זוג), התשפ""ג-2023")</f>
        <v>10135</v>
      </c>
      <c r="E4942" t="s">
        <v>10135</v>
      </c>
      <c r="F4942" t="s">
        <v>10136</v>
      </c>
      <c r="G4942" t="s">
        <v>14</v>
      </c>
      <c r="H4942">
             </c>
      <c r="I4942" t="s">
        <v>14</v>
      </c>
      <c r="J4942" t="s">
        <v>141</v>
      </c>
      <c r="K4942" t="s">
        <v>14</v>
      </c>
      <c r="L4942" t="s">
        <v>20</v>
      </c>
      <c r="M4942" t="s">
        <v>9990</v>
      </c>
      <c r="N4942" t="s">
        <v>14</v>
      </c>
    </row>
    <row r="4943" x14ac:dyDescent="0.25">
      <c r="A4943" t="n">
        <v>25</v>
      </c>
      <c r="B4943" t="s">
        <v>14</v>
      </c>
      <c r="C4943" t="s">
        <v>22</v>
      </c>
      <c r="D4943" s="2" t="s">
        <f>=HYPERLINK("https://main.knesset.gov.il/APPS/legislation/main/bills/2201006", "הצעת חוק המאבק בכלי הנשק הבלתי חוקיים (תיקוני חקיקה) (הוראת שעה), התשפ""ג-2023")</f>
        <v>10137</v>
      </c>
      <c r="E4943" t="s">
        <v>10137</v>
      </c>
      <c r="F4943" t="s">
        <v>10138</v>
      </c>
      <c r="G4943" t="s">
        <v>14</v>
      </c>
      <c r="H4943">
             </c>
      <c r="I4943" t="s">
        <v>14</v>
      </c>
      <c r="J4943" t="s">
        <v>99</v>
      </c>
      <c r="K4943" t="s">
        <v>14</v>
      </c>
      <c r="L4943" t="s">
        <v>20</v>
      </c>
      <c r="M4943" t="s">
        <v>10139</v>
      </c>
      <c r="N4943" t="s">
        <v>14</v>
      </c>
    </row>
    <row r="4944" x14ac:dyDescent="0.25">
      <c r="A4944" t="n">
        <v>25</v>
      </c>
      <c r="B4944" t="s">
        <v>14</v>
      </c>
      <c r="C4944" t="s">
        <v>22</v>
      </c>
      <c r="D4944" s="2" t="s">
        <f>=HYPERLINK("https://main.knesset.gov.il/APPS/legislation/main/bills/2198963", "הצעת חוק-יסוד: הממשלה (תיקון – תקופת כהונה מרבית בתפקיד ראש הממשלה)")</f>
        <v>10140</v>
      </c>
      <c r="E4944" t="s">
        <v>10140</v>
      </c>
      <c r="F4944" t="s">
        <v>10141</v>
      </c>
      <c r="G4944" t="s">
        <v>14</v>
      </c>
      <c r="H4944">
             </c>
      <c r="I4944" t="s">
        <v>14</v>
      </c>
      <c r="J4944" t="s">
        <v>55</v>
      </c>
      <c r="K4944" t="s">
        <v>14</v>
      </c>
      <c r="L4944" t="s">
        <v>20</v>
      </c>
      <c r="M4944" t="s">
        <v>10139</v>
      </c>
      <c r="N4944" t="s">
        <v>14</v>
      </c>
    </row>
    <row r="4945" x14ac:dyDescent="0.25">
      <c r="A4945" t="n">
        <v>25</v>
      </c>
      <c r="B4945" t="s">
        <v>14</v>
      </c>
      <c r="C4945" t="s">
        <v>22</v>
      </c>
      <c r="D4945" s="2" t="s">
        <f>=HYPERLINK("https://main.knesset.gov.il/APPS/legislation/main/bills/2199518", "הצעת חוק הרשות לפיתוח הפריפריה החברתית, התשפ""ג-2023 ")</f>
        <v>10142</v>
      </c>
      <c r="E4945" t="s">
        <v>10142</v>
      </c>
      <c r="F4945" t="s">
        <v>10143</v>
      </c>
      <c r="G4945" t="s">
        <v>14</v>
      </c>
      <c r="H4945">
             </c>
      <c r="I4945" t="s">
        <v>14</v>
      </c>
      <c r="J4945" t="s">
        <v>31</v>
      </c>
      <c r="K4945" t="s">
        <v>19</v>
      </c>
      <c r="L4945" t="s">
        <v>20</v>
      </c>
      <c r="M4945" t="s">
        <v>10139</v>
      </c>
      <c r="N4945" t="s">
        <v>14</v>
      </c>
    </row>
    <row r="4946" x14ac:dyDescent="0.25">
      <c r="A4946" t="n">
        <v>25</v>
      </c>
      <c r="B4946" t="s">
        <v>14</v>
      </c>
      <c r="C4946" t="s">
        <v>22</v>
      </c>
      <c r="D4946" s="2" t="s">
        <f>=HYPERLINK("https://main.knesset.gov.il/APPS/legislation/main/bills/2201126", "הצעת חוק חינוך ממלכתי (תיקון – שלילת השתתפות בתקציב עקב הפליה), התשפ""ג–2023")</f>
        <v>10144</v>
      </c>
      <c r="E4946" t="s">
        <v>10144</v>
      </c>
      <c r="F4946" t="s">
        <v>10145</v>
      </c>
      <c r="G4946" t="s">
        <v>14</v>
      </c>
      <c r="H4946">
             </c>
      <c r="I4946" t="s">
        <v>14</v>
      </c>
      <c r="J4946" t="s">
        <v>55</v>
      </c>
      <c r="K4946" t="s">
        <v>14</v>
      </c>
      <c r="L4946" t="s">
        <v>20</v>
      </c>
      <c r="M4946" t="s">
        <v>10139</v>
      </c>
      <c r="N4946" t="s">
        <v>14</v>
      </c>
    </row>
    <row r="4947" x14ac:dyDescent="0.25">
      <c r="A4947" t="n">
        <v>25</v>
      </c>
      <c r="B4947" t="s">
        <v>14</v>
      </c>
      <c r="C4947" t="s">
        <v>22</v>
      </c>
      <c r="D4947" s="2" t="s">
        <f>=HYPERLINK("https://main.knesset.gov.il/APPS/legislation/main/bills/2199901", "הצעת חוק הביטוח הלאומי (תיקון - שמירה חקלאית כעבודה מועדפת), התשפ""ג-2023")</f>
        <v>8313</v>
      </c>
      <c r="E4947" t="s">
        <v>8313</v>
      </c>
      <c r="F4947" t="s">
        <v>10146</v>
      </c>
      <c r="G4947" t="s">
        <v>14</v>
      </c>
      <c r="H4947">
             </c>
      <c r="I4947" t="s">
        <v>14</v>
      </c>
      <c r="J4947" t="s">
        <v>343</v>
      </c>
      <c r="K4947" t="s">
        <v>14</v>
      </c>
      <c r="L4947" t="s">
        <v>20</v>
      </c>
      <c r="M4947" t="s">
        <v>10139</v>
      </c>
      <c r="N4947" t="s">
        <v>14</v>
      </c>
    </row>
    <row r="4948" x14ac:dyDescent="0.25">
      <c r="A4948" t="n">
        <v>25</v>
      </c>
      <c r="B4948" t="s">
        <v>14</v>
      </c>
      <c r="C4948" t="s">
        <v>22</v>
      </c>
      <c r="D4948" s="2" t="s">
        <f>=HYPERLINK("https://main.knesset.gov.il/APPS/legislation/main/bills/2199956", "הצעת חוק-יסוד: הממשלה (תיקון - הגבלת כהונת ראש הממשלה לשתי תקופות כהונה רצופות)")</f>
        <v>1247</v>
      </c>
      <c r="E4948" t="s">
        <v>1247</v>
      </c>
      <c r="F4948" t="s">
        <v>10147</v>
      </c>
      <c r="G4948" t="s">
        <v>14</v>
      </c>
      <c r="H4948">
             </c>
      <c r="I4948" t="s">
        <v>14</v>
      </c>
      <c r="J4948" t="s">
        <v>55</v>
      </c>
      <c r="K4948" t="s">
        <v>14</v>
      </c>
      <c r="L4948" t="s">
        <v>20</v>
      </c>
      <c r="M4948" t="s">
        <v>10139</v>
      </c>
      <c r="N4948" t="s">
        <v>14</v>
      </c>
    </row>
    <row r="4949" x14ac:dyDescent="0.25">
      <c r="A4949" t="n">
        <v>25</v>
      </c>
      <c r="B4949" t="s">
        <v>14</v>
      </c>
      <c r="C4949" t="s">
        <v>22</v>
      </c>
      <c r="D4949" s="2" t="s">
        <f>=HYPERLINK("https://main.knesset.gov.il/APPS/legislation/main/bills/2198957", "הצעת חוק-יסוד: הממשלה (תיקון - הגבלת כהונת ראש הממשלה לשתי תקופות כהונה רצופות)")</f>
        <v>1247</v>
      </c>
      <c r="E4949" t="s">
        <v>1247</v>
      </c>
      <c r="F4949" t="s">
        <v>10148</v>
      </c>
      <c r="G4949" t="s">
        <v>14</v>
      </c>
      <c r="H4949">
             </c>
      <c r="I4949" t="s">
        <v>14</v>
      </c>
      <c r="J4949" t="s">
        <v>55</v>
      </c>
      <c r="K4949" t="s">
        <v>14</v>
      </c>
      <c r="L4949" t="s">
        <v>20</v>
      </c>
      <c r="M4949" t="s">
        <v>10139</v>
      </c>
      <c r="N4949" t="s">
        <v>14</v>
      </c>
    </row>
    <row r="4950" x14ac:dyDescent="0.25">
      <c r="A4950" t="n">
        <v>25</v>
      </c>
      <c r="B4950" t="s">
        <v>14</v>
      </c>
      <c r="C4950" t="s">
        <v>22</v>
      </c>
      <c r="D4950" s="2" t="s">
        <f>=HYPERLINK("https://main.knesset.gov.il/APPS/legislation/main/bills/2197049", "הצעת חוק בטיחות בתעסוקה ובריאות תעסוקתית, התשפ""ג-2023")</f>
        <v>10149</v>
      </c>
      <c r="E4950" t="s">
        <v>10149</v>
      </c>
      <c r="F4950" t="s">
        <v>10150</v>
      </c>
      <c r="G4950" t="s">
        <v>14</v>
      </c>
      <c r="H4950">
             </c>
      <c r="I4950" t="s">
        <v>14</v>
      </c>
      <c r="J4950" t="s">
        <v>343</v>
      </c>
      <c r="K4950" t="s">
        <v>14</v>
      </c>
      <c r="L4950" t="s">
        <v>20</v>
      </c>
      <c r="M4950" t="s">
        <v>10139</v>
      </c>
      <c r="N4950" t="s">
        <v>14</v>
      </c>
    </row>
    <row r="4951" x14ac:dyDescent="0.25">
      <c r="A4951" t="n">
        <v>25</v>
      </c>
      <c r="B4951" t="s">
        <v>14</v>
      </c>
      <c r="C4951" t="s">
        <v>22</v>
      </c>
      <c r="D4951" s="2" t="s">
        <f>=HYPERLINK("https://main.knesset.gov.il/APPS/legislation/main/bills/2198938", "הצעת חוק החלת הריבונות הישראלית על בקעת הירדן, התשפ""ג-2023")</f>
        <v>4306</v>
      </c>
      <c r="E4951" t="s">
        <v>4306</v>
      </c>
      <c r="F4951" t="s">
        <v>10151</v>
      </c>
      <c r="G4951" t="s">
        <v>14</v>
      </c>
      <c r="H4951">
             </c>
      <c r="I4951" t="s">
        <v>14</v>
      </c>
      <c r="J4951" t="s">
        <v>55</v>
      </c>
      <c r="K4951" t="s">
        <v>14</v>
      </c>
      <c r="L4951" t="s">
        <v>20</v>
      </c>
      <c r="M4951" t="s">
        <v>10139</v>
      </c>
      <c r="N4951" t="s">
        <v>14</v>
      </c>
    </row>
    <row r="4952" x14ac:dyDescent="0.25">
      <c r="A4952" t="n">
        <v>25</v>
      </c>
      <c r="B4952" t="s">
        <v>14</v>
      </c>
      <c r="C4952" t="s">
        <v>22</v>
      </c>
      <c r="D4952" s="2" t="s">
        <f>=HYPERLINK("https://main.knesset.gov.il/APPS/legislation/main/bills/2199099", "הצעת חוק הגנה על ישראלים מפני מוסדות בין-לאומיים עוינים, התשפ""ג-2023")</f>
        <v>4411</v>
      </c>
      <c r="E4952" t="s">
        <v>4411</v>
      </c>
      <c r="F4952" t="s">
        <v>10152</v>
      </c>
      <c r="G4952" t="s">
        <v>14</v>
      </c>
      <c r="H4952">
             </c>
      <c r="I4952" t="s">
        <v>14</v>
      </c>
      <c r="J4952" t="s">
        <v>55</v>
      </c>
      <c r="K4952" t="s">
        <v>14</v>
      </c>
      <c r="L4952" t="s">
        <v>20</v>
      </c>
      <c r="M4952" t="s">
        <v>10139</v>
      </c>
      <c r="N4952" t="s">
        <v>14</v>
      </c>
    </row>
    <row r="4953" x14ac:dyDescent="0.25">
      <c r="A4953" t="n">
        <v>25</v>
      </c>
      <c r="B4953" t="s">
        <v>14</v>
      </c>
      <c r="C4953" t="s">
        <v>22</v>
      </c>
      <c r="D4953" s="2" t="s">
        <f>=HYPERLINK("https://main.knesset.gov.il/APPS/legislation/main/bills/2199014", "הצעת חוק שלילת תקצוב מוסדות חינוך המפלים תלמידים ברישום אליהם (תיקוני חקיקה), התשפ""ג-2023")</f>
        <v>10153</v>
      </c>
      <c r="E4953" t="s">
        <v>10153</v>
      </c>
      <c r="F4953" t="s">
        <v>10154</v>
      </c>
      <c r="G4953" t="s">
        <v>14</v>
      </c>
      <c r="H4953">
             </c>
      <c r="I4953" t="s">
        <v>14</v>
      </c>
      <c r="J4953" t="s">
        <v>55</v>
      </c>
      <c r="K4953" t="s">
        <v>14</v>
      </c>
      <c r="L4953" t="s">
        <v>20</v>
      </c>
      <c r="M4953" t="s">
        <v>10139</v>
      </c>
      <c r="N4953" t="s">
        <v>14</v>
      </c>
    </row>
    <row r="4954" x14ac:dyDescent="0.25">
      <c r="A4954" t="n">
        <v>25</v>
      </c>
      <c r="B4954" t="s">
        <v>14</v>
      </c>
      <c r="C4954" t="s">
        <v>22</v>
      </c>
      <c r="D4954" s="2" t="s">
        <f>=HYPERLINK("https://main.knesset.gov.il/APPS/legislation/main/bills/2197938", "הצעת חוק העונשין (תיקון - חילוט בעבירות החזקת נשק בלתי חוקי ללא אישום או הרשעה), התשפ""ג-2023")</f>
        <v>10155</v>
      </c>
      <c r="E4954" t="s">
        <v>10155</v>
      </c>
      <c r="F4954" t="s">
        <v>10156</v>
      </c>
      <c r="G4954" t="s">
        <v>14</v>
      </c>
      <c r="H4954">
             </c>
      <c r="I4954" t="s">
        <v>14</v>
      </c>
      <c r="J4954" t="s">
        <v>31</v>
      </c>
      <c r="K4954" t="s">
        <v>27</v>
      </c>
      <c r="L4954" t="s">
        <v>20</v>
      </c>
      <c r="M4954" t="s">
        <v>10139</v>
      </c>
      <c r="N4954" t="s">
        <v>14</v>
      </c>
    </row>
    <row r="4955" x14ac:dyDescent="0.25">
      <c r="A4955" t="n">
        <v>25</v>
      </c>
      <c r="B4955" t="s">
        <v>14</v>
      </c>
      <c r="C4955" t="s">
        <v>22</v>
      </c>
      <c r="D4955" s="2" t="s">
        <f>=HYPERLINK("https://main.knesset.gov.il/APPS/legislation/main/bills/2196684", "הצעת חוק-יסוד: הממשלה (תיקון - תקופה מרבית לכהונה בתפקיד כראש הממשלה)")</f>
        <v>948</v>
      </c>
      <c r="E4955" t="s">
        <v>948</v>
      </c>
      <c r="F4955" t="s">
        <v>10157</v>
      </c>
      <c r="G4955" t="s">
        <v>14</v>
      </c>
      <c r="H4955">
             </c>
      <c r="I4955" t="s">
        <v>14</v>
      </c>
      <c r="J4955" t="s">
        <v>55</v>
      </c>
      <c r="K4955" t="s">
        <v>14</v>
      </c>
      <c r="L4955" t="s">
        <v>20</v>
      </c>
      <c r="M4955" t="s">
        <v>10139</v>
      </c>
      <c r="N4955" t="s">
        <v>14</v>
      </c>
    </row>
    <row r="4956" x14ac:dyDescent="0.25">
      <c r="A4956" t="n">
        <v>25</v>
      </c>
      <c r="B4956" t="s">
        <v>14</v>
      </c>
      <c r="C4956" t="s">
        <v>22</v>
      </c>
      <c r="D4956" s="2" t="s">
        <f>=HYPERLINK("https://main.knesset.gov.il/APPS/legislation/main/bills/2198673", "החלק שפוצל מהצעת חוק לתיקון פקודת המשטרה (מס' 39) (סמכויות), התשפ""ג-2022 - סעיפים ")</f>
        <v>10158</v>
      </c>
      <c r="E4956" t="s">
        <v>10158</v>
      </c>
      <c r="F4956" t="s">
        <v>10159</v>
      </c>
      <c r="G4956" t="s">
        <v>10160</v>
      </c>
      <c r="H4956">
             </c>
      <c r="I4956" t="s">
        <v>14</v>
      </c>
      <c r="J4956" t="s">
        <v>18</v>
      </c>
      <c r="K4956" t="s">
        <v>10161</v>
      </c>
      <c r="L4956" t="s">
        <v>20</v>
      </c>
      <c r="M4956" t="s">
        <v>10162</v>
      </c>
      <c r="N4956" t="s">
        <v>14</v>
      </c>
    </row>
    <row r="4957" x14ac:dyDescent="0.25">
      <c r="A4957" t="n">
        <v>25</v>
      </c>
      <c r="B4957" t="s">
        <v>14</v>
      </c>
      <c r="C4957" t="s">
        <v>22</v>
      </c>
      <c r="D4957" s="2" t="s">
        <f>=HYPERLINK("https://main.knesset.gov.il/APPS/legislation/main/bills/2198838", "הצעת חוק דמי מחלה (היעדרות בשל מחלת ילד) (תיקון - היעדרות בשל אשפוז פג), התשפ""ג-2023")</f>
        <v>9380</v>
      </c>
      <c r="E4957" t="s">
        <v>9380</v>
      </c>
      <c r="F4957" t="s">
        <v>10163</v>
      </c>
      <c r="G4957" t="s">
        <v>14</v>
      </c>
      <c r="H4957">
             </c>
      <c r="I4957" t="s">
        <v>14</v>
      </c>
      <c r="J4957" t="s">
        <v>99</v>
      </c>
      <c r="K4957" t="s">
        <v>127</v>
      </c>
      <c r="L4957" t="s">
        <v>20</v>
      </c>
      <c r="M4957" t="s">
        <v>10164</v>
      </c>
      <c r="N4957" t="s">
        <v>14</v>
      </c>
    </row>
    <row r="4958" x14ac:dyDescent="0.25">
      <c r="A4958" t="n">
        <v>25</v>
      </c>
      <c r="B4958" t="s">
        <v>14</v>
      </c>
      <c r="C4958" t="s">
        <v>22</v>
      </c>
      <c r="D4958" s="2" t="s">
        <f>=HYPERLINK("https://main.knesset.gov.il/APPS/legislation/main/bills/2198143", "הצעת חוק דמי מחלה (היעדרות בשל מחלת ילד) (תיקון - היעדרות בשל אשפוז פג), התשפ""ג-2022")</f>
        <v>10165</v>
      </c>
      <c r="E4958" t="s">
        <v>10165</v>
      </c>
      <c r="F4958" t="s">
        <v>10166</v>
      </c>
      <c r="G4958" t="s">
        <v>14</v>
      </c>
      <c r="H4958">
             </c>
      <c r="I4958" t="s">
        <v>14</v>
      </c>
      <c r="J4958" t="s">
        <v>99</v>
      </c>
      <c r="K4958" t="s">
        <v>127</v>
      </c>
      <c r="L4958" t="s">
        <v>20</v>
      </c>
      <c r="M4958" t="s">
        <v>10164</v>
      </c>
      <c r="N4958" t="s">
        <v>14</v>
      </c>
    </row>
    <row r="4959" x14ac:dyDescent="0.25">
      <c r="A4959" t="n">
        <v>25</v>
      </c>
      <c r="B4959" t="s">
        <v>14</v>
      </c>
      <c r="C4959" t="s">
        <v>22</v>
      </c>
      <c r="D4959" s="2" t="s">
        <f>=HYPERLINK("https://main.knesset.gov.il/APPS/legislation/main/bills/2196071", "הצעת חוק ההוצאה לפועל (תיקון - ביטול האפשרות לצוות על עיכוב יציאה מהארץ בגין חוב כספי נמוך), התשפ""ג-2023")</f>
        <v>10167</v>
      </c>
      <c r="E4959" t="s">
        <v>10167</v>
      </c>
      <c r="F4959" t="s">
        <v>10168</v>
      </c>
      <c r="G4959" t="s">
        <v>14</v>
      </c>
      <c r="H4959">
             </c>
      <c r="I4959" t="s">
        <v>14</v>
      </c>
      <c r="J4959" t="s">
        <v>99</v>
      </c>
      <c r="K4959" t="s">
        <v>127</v>
      </c>
      <c r="L4959" t="s">
        <v>20</v>
      </c>
      <c r="M4959" t="s">
        <v>10164</v>
      </c>
      <c r="N4959" t="s">
        <v>14</v>
      </c>
    </row>
    <row r="4960" x14ac:dyDescent="0.25">
      <c r="A4960" t="n">
        <v>25</v>
      </c>
      <c r="B4960" t="s">
        <v>14</v>
      </c>
      <c r="C4960" t="s">
        <v>22</v>
      </c>
      <c r="D4960" s="2" t="s">
        <f>=HYPERLINK("https://main.knesset.gov.il/APPS/legislation/main/bills/2196921", "הצעת חוק עובדים זרים (תיקון - שימוש בכספים שלא הוצאו על ידי עובדים זרים ומסתננים), התשפ''ג-2022")</f>
        <v>10169</v>
      </c>
      <c r="E4960" t="s">
        <v>10169</v>
      </c>
      <c r="F4960" t="s">
        <v>10170</v>
      </c>
      <c r="G4960" t="s">
        <v>14</v>
      </c>
      <c r="H4960">
             </c>
      <c r="I4960" t="s">
        <v>14</v>
      </c>
      <c r="J4960" t="s">
        <v>31</v>
      </c>
      <c r="K4960" t="s">
        <v>127</v>
      </c>
      <c r="L4960" t="s">
        <v>20</v>
      </c>
      <c r="M4960" t="s">
        <v>10164</v>
      </c>
      <c r="N4960" t="s">
        <v>14</v>
      </c>
    </row>
    <row r="4961" x14ac:dyDescent="0.25">
      <c r="A4961" t="n">
        <v>25</v>
      </c>
      <c r="B4961" t="s">
        <v>14</v>
      </c>
      <c r="C4961" t="s">
        <v>22</v>
      </c>
      <c r="D4961" s="2" t="s">
        <f>=HYPERLINK("https://main.knesset.gov.il/APPS/legislation/main/bills/2202902", "הצעת חוק הספריה הלאומית (תיקון - הגברת הפיקוח הציבורי בספריה הלאומית), התשפ""ג-2023")</f>
        <v>10171</v>
      </c>
      <c r="E4961" t="s">
        <v>10171</v>
      </c>
      <c r="F4961" t="s">
        <v>10172</v>
      </c>
      <c r="G4961" t="s">
        <v>14</v>
      </c>
      <c r="H4961">
             </c>
      <c r="I4961" t="s">
        <v>14</v>
      </c>
      <c r="J4961" t="s">
        <v>141</v>
      </c>
      <c r="K4961" t="s">
        <v>14</v>
      </c>
      <c r="L4961" t="s">
        <v>20</v>
      </c>
      <c r="M4961" t="s">
        <v>10164</v>
      </c>
      <c r="N4961" t="s">
        <v>14</v>
      </c>
    </row>
    <row r="4962" x14ac:dyDescent="0.25">
      <c r="A4962" t="n">
        <v>25</v>
      </c>
      <c r="B4962" t="s">
        <v>14</v>
      </c>
      <c r="C4962" t="s">
        <v>22</v>
      </c>
      <c r="D4962" s="2" t="s">
        <f>=HYPERLINK("https://main.knesset.gov.il/APPS/legislation/main/bills/2201656", "הצעת חוק שכר נושאי משרה ברשויות השלטון, התשפ""ג-2023")</f>
        <v>10173</v>
      </c>
      <c r="E4962" t="s">
        <v>10173</v>
      </c>
      <c r="F4962" t="s">
        <v>10174</v>
      </c>
      <c r="G4962" t="s">
        <v>14</v>
      </c>
      <c r="H4962">
             </c>
      <c r="I4962" t="s">
        <v>14</v>
      </c>
      <c r="J4962" t="s">
        <v>141</v>
      </c>
      <c r="K4962" t="s">
        <v>14</v>
      </c>
      <c r="L4962" t="s">
        <v>20</v>
      </c>
      <c r="M4962" t="s">
        <v>10164</v>
      </c>
      <c r="N4962" t="s">
        <v>14</v>
      </c>
    </row>
    <row r="4963" x14ac:dyDescent="0.25">
      <c r="A4963" t="n">
        <v>25</v>
      </c>
      <c r="B4963" t="s">
        <v>14</v>
      </c>
      <c r="C4963" t="s">
        <v>22</v>
      </c>
      <c r="D4963" s="2" t="s">
        <f>=HYPERLINK("https://main.knesset.gov.il/APPS/legislation/main/bills/2202906", "הצעת חוק-יסוד: שכר נושאי משרה ברשויות השלטון (תיקוני חקיקה)")</f>
        <v>10175</v>
      </c>
      <c r="E4963" t="s">
        <v>10175</v>
      </c>
      <c r="F4963" t="s">
        <v>10176</v>
      </c>
      <c r="G4963" t="s">
        <v>14</v>
      </c>
      <c r="H4963">
             </c>
      <c r="I4963" t="s">
        <v>14</v>
      </c>
      <c r="J4963" t="s">
        <v>141</v>
      </c>
      <c r="K4963" t="s">
        <v>14</v>
      </c>
      <c r="L4963" t="s">
        <v>20</v>
      </c>
      <c r="M4963" t="s">
        <v>10164</v>
      </c>
      <c r="N4963" t="s">
        <v>14</v>
      </c>
    </row>
    <row r="4964" x14ac:dyDescent="0.25">
      <c r="A4964" t="n">
        <v>25</v>
      </c>
      <c r="B4964" t="s">
        <v>14</v>
      </c>
      <c r="C4964" t="s">
        <v>22</v>
      </c>
      <c r="D4964" s="2" t="s">
        <f>=HYPERLINK("https://main.knesset.gov.il/APPS/legislation/main/bills/2202670", "הצעת חוק הקמת ועדת חקירה ממלכתית לפרשת מסמך הרפז, התשפ""ג-2023")</f>
        <v>10177</v>
      </c>
      <c r="E4964" t="s">
        <v>10177</v>
      </c>
      <c r="F4964" t="s">
        <v>10178</v>
      </c>
      <c r="G4964" t="s">
        <v>14</v>
      </c>
      <c r="H4964">
             </c>
      <c r="I4964" t="s">
        <v>14</v>
      </c>
      <c r="J4964" t="s">
        <v>141</v>
      </c>
      <c r="K4964" t="s">
        <v>14</v>
      </c>
      <c r="L4964" t="s">
        <v>20</v>
      </c>
      <c r="M4964" t="s">
        <v>10164</v>
      </c>
      <c r="N4964" t="s">
        <v>14</v>
      </c>
    </row>
    <row r="4965" x14ac:dyDescent="0.25">
      <c r="A4965" t="n">
        <v>25</v>
      </c>
      <c r="B4965" t="s">
        <v>14</v>
      </c>
      <c r="C4965" t="s">
        <v>22</v>
      </c>
      <c r="D4965" s="2" t="s">
        <f>=HYPERLINK("https://main.knesset.gov.il/APPS/legislation/main/bills/2202673", "הצעת חוק המפלגות (תיקון - הגבלת מימון של נבחרי ציבור), התשפ""ג-2023")</f>
        <v>10179</v>
      </c>
      <c r="E4965" t="s">
        <v>10179</v>
      </c>
      <c r="F4965" t="s">
        <v>10180</v>
      </c>
      <c r="G4965" t="s">
        <v>14</v>
      </c>
      <c r="H4965">
             </c>
      <c r="I4965" t="s">
        <v>14</v>
      </c>
      <c r="J4965" t="s">
        <v>141</v>
      </c>
      <c r="K4965" t="s">
        <v>14</v>
      </c>
      <c r="L4965" t="s">
        <v>20</v>
      </c>
      <c r="M4965" t="s">
        <v>10164</v>
      </c>
      <c r="N4965" t="s">
        <v>14</v>
      </c>
    </row>
    <row r="4966" x14ac:dyDescent="0.25">
      <c r="A4966" t="n">
        <v>25</v>
      </c>
      <c r="B4966" t="s">
        <v>14</v>
      </c>
      <c r="C4966" t="s">
        <v>22</v>
      </c>
      <c r="D4966" s="2" t="s">
        <f>=HYPERLINK("https://main.knesset.gov.il/APPS/legislation/main/bills/2202672", "הצעת חוק הקמת ועדת חקירה ממלכתית לפרשת המימד החמישי, התשפ""ג-2023")</f>
        <v>10181</v>
      </c>
      <c r="E4966" t="s">
        <v>10181</v>
      </c>
      <c r="F4966" t="s">
        <v>10182</v>
      </c>
      <c r="G4966" t="s">
        <v>14</v>
      </c>
      <c r="H4966">
             </c>
      <c r="I4966" t="s">
        <v>14</v>
      </c>
      <c r="J4966" t="s">
        <v>141</v>
      </c>
      <c r="K4966" t="s">
        <v>14</v>
      </c>
      <c r="L4966" t="s">
        <v>20</v>
      </c>
      <c r="M4966" t="s">
        <v>10164</v>
      </c>
      <c r="N4966" t="s">
        <v>14</v>
      </c>
    </row>
    <row r="4967" x14ac:dyDescent="0.25">
      <c r="A4967" t="n">
        <v>25</v>
      </c>
      <c r="B4967" t="s">
        <v>14</v>
      </c>
      <c r="C4967" t="s">
        <v>22</v>
      </c>
      <c r="D4967" s="2" t="s">
        <f>=HYPERLINK("https://main.knesset.gov.il/APPS/legislation/main/bills/2202668", "הצעת חוק-יסוד: הממשלה (תיקון - מקום מושבו של ראש הממשלה)")</f>
        <v>10183</v>
      </c>
      <c r="E4967" t="s">
        <v>10183</v>
      </c>
      <c r="F4967" t="s">
        <v>10184</v>
      </c>
      <c r="G4967" t="s">
        <v>14</v>
      </c>
      <c r="H4967">
             </c>
      <c r="I4967" t="s">
        <v>14</v>
      </c>
      <c r="J4967" t="s">
        <v>141</v>
      </c>
      <c r="K4967" t="s">
        <v>14</v>
      </c>
      <c r="L4967" t="s">
        <v>20</v>
      </c>
      <c r="M4967" t="s">
        <v>10164</v>
      </c>
      <c r="N4967" t="s">
        <v>14</v>
      </c>
    </row>
    <row r="4968" x14ac:dyDescent="0.25">
      <c r="A4968" t="n">
        <v>25</v>
      </c>
      <c r="B4968" t="s">
        <v>14</v>
      </c>
      <c r="C4968" t="s">
        <v>22</v>
      </c>
      <c r="D4968" s="2" t="s">
        <f>=HYPERLINK("https://main.knesset.gov.il/APPS/legislation/main/bills/2202666", "הצעת חוק טובות הנאה לראש ממשלה או ראש ממשלה חלופי שחדל לכהן, התשפ""ג-2023")</f>
        <v>10185</v>
      </c>
      <c r="E4968" t="s">
        <v>10185</v>
      </c>
      <c r="F4968" t="s">
        <v>10186</v>
      </c>
      <c r="G4968" t="s">
        <v>14</v>
      </c>
      <c r="H4968">
             </c>
      <c r="I4968" t="s">
        <v>14</v>
      </c>
      <c r="J4968" t="s">
        <v>141</v>
      </c>
      <c r="K4968" t="s">
        <v>14</v>
      </c>
      <c r="L4968" t="s">
        <v>20</v>
      </c>
      <c r="M4968" t="s">
        <v>10164</v>
      </c>
      <c r="N4968" t="s">
        <v>14</v>
      </c>
    </row>
    <row r="4969" x14ac:dyDescent="0.25">
      <c r="A4969" t="n">
        <v>25</v>
      </c>
      <c r="B4969" t="s">
        <v>14</v>
      </c>
      <c r="C4969" t="s">
        <v>22</v>
      </c>
      <c r="D4969" s="2" t="s">
        <f>=HYPERLINK("https://main.knesset.gov.il/APPS/legislation/main/bills/2202665", "הצעת חוק בתי המשפט (תיקון - צווי איסור פרסום), התשפ""ג-2023")</f>
        <v>10187</v>
      </c>
      <c r="E4969" t="s">
        <v>10187</v>
      </c>
      <c r="F4969" t="s">
        <v>10188</v>
      </c>
      <c r="G4969" t="s">
        <v>14</v>
      </c>
      <c r="H4969">
             </c>
      <c r="I4969" t="s">
        <v>14</v>
      </c>
      <c r="J4969" t="s">
        <v>141</v>
      </c>
      <c r="K4969" t="s">
        <v>14</v>
      </c>
      <c r="L4969" t="s">
        <v>20</v>
      </c>
      <c r="M4969" t="s">
        <v>10164</v>
      </c>
      <c r="N4969" t="s">
        <v>14</v>
      </c>
    </row>
    <row r="4970" x14ac:dyDescent="0.25">
      <c r="A4970" t="n">
        <v>25</v>
      </c>
      <c r="B4970" t="s">
        <v>14</v>
      </c>
      <c r="C4970" t="s">
        <v>22</v>
      </c>
      <c r="D4970" s="2" t="s">
        <f>=HYPERLINK("https://main.knesset.gov.il/APPS/legislation/main/bills/2202664", "הצעת חוק שירות המדינה (מינויים) (תיקון - מינוי יועצים משפטיים של משרדים, היועץ המשפטי לממשלה ופרקליט מדינה), התשפ""ג-2023")</f>
        <v>10189</v>
      </c>
      <c r="E4970" t="s">
        <v>10189</v>
      </c>
      <c r="F4970" t="s">
        <v>10190</v>
      </c>
      <c r="G4970" t="s">
        <v>14</v>
      </c>
      <c r="H4970">
             </c>
      <c r="I4970" t="s">
        <v>14</v>
      </c>
      <c r="J4970" t="s">
        <v>141</v>
      </c>
      <c r="K4970" t="s">
        <v>14</v>
      </c>
      <c r="L4970" t="s">
        <v>20</v>
      </c>
      <c r="M4970" t="s">
        <v>10164</v>
      </c>
      <c r="N4970" t="s">
        <v>14</v>
      </c>
    </row>
    <row r="4971" x14ac:dyDescent="0.25">
      <c r="A4971" t="n">
        <v>25</v>
      </c>
      <c r="B4971" t="s">
        <v>14</v>
      </c>
      <c r="C4971" t="s">
        <v>22</v>
      </c>
      <c r="D4971" s="2" t="s">
        <f>=HYPERLINK("https://main.knesset.gov.il/APPS/legislation/main/bills/2202662", "הצעת חוק העונשין (תיקון - ביטול עבירת מרמה והפרת אמונים), התשפ""ג-2023")</f>
        <v>10191</v>
      </c>
      <c r="E4971" t="s">
        <v>10191</v>
      </c>
      <c r="F4971" t="s">
        <v>10192</v>
      </c>
      <c r="G4971" t="s">
        <v>14</v>
      </c>
      <c r="H4971">
             </c>
      <c r="I4971" t="s">
        <v>14</v>
      </c>
      <c r="J4971" t="s">
        <v>141</v>
      </c>
      <c r="K4971" t="s">
        <v>14</v>
      </c>
      <c r="L4971" t="s">
        <v>20</v>
      </c>
      <c r="M4971" t="s">
        <v>10164</v>
      </c>
      <c r="N4971" t="s">
        <v>14</v>
      </c>
    </row>
    <row r="4972" x14ac:dyDescent="0.25">
      <c r="A4972" t="n">
        <v>25</v>
      </c>
      <c r="B4972" t="s">
        <v>14</v>
      </c>
      <c r="C4972" t="s">
        <v>22</v>
      </c>
      <c r="D4972" s="2" t="s">
        <f>=HYPERLINK("https://main.knesset.gov.il/APPS/legislation/main/bills/2202661", "הצעת חוק-יסוד: הממשלה (תיקון - איסור חקירה פלילית נגד ראש הממשלה במהלך תקופת כהונתו)")</f>
        <v>10193</v>
      </c>
      <c r="E4972" t="s">
        <v>10193</v>
      </c>
      <c r="F4972" t="s">
        <v>10194</v>
      </c>
      <c r="G4972" t="s">
        <v>14</v>
      </c>
      <c r="H4972">
             </c>
      <c r="I4972" t="s">
        <v>14</v>
      </c>
      <c r="J4972" t="s">
        <v>141</v>
      </c>
      <c r="K4972" t="s">
        <v>14</v>
      </c>
      <c r="L4972" t="s">
        <v>20</v>
      </c>
      <c r="M4972" t="s">
        <v>10164</v>
      </c>
      <c r="N4972" t="s">
        <v>14</v>
      </c>
    </row>
    <row r="4973" x14ac:dyDescent="0.25">
      <c r="A4973" t="n">
        <v>25</v>
      </c>
      <c r="B4973" t="s">
        <v>14</v>
      </c>
      <c r="C4973" t="s">
        <v>22</v>
      </c>
      <c r="D4973" s="2" t="s">
        <f>=HYPERLINK("https://main.knesset.gov.il/APPS/legislation/main/bills/2201626", "הצעת חוק הביטוח הלאומי (תיקון - תשלום דמי אבטלה לנשים שיצאו לחופשה ללא תשלום לאחר לידה), התשפ""ג-2023")</f>
        <v>9325</v>
      </c>
      <c r="E4973" t="s">
        <v>9325</v>
      </c>
      <c r="F4973" t="s">
        <v>10195</v>
      </c>
      <c r="G4973" t="s">
        <v>14</v>
      </c>
      <c r="H4973">
             </c>
      <c r="I4973" t="s">
        <v>14</v>
      </c>
      <c r="J4973" t="s">
        <v>141</v>
      </c>
      <c r="K4973" t="s">
        <v>14</v>
      </c>
      <c r="L4973" t="s">
        <v>20</v>
      </c>
      <c r="M4973" t="s">
        <v>10164</v>
      </c>
      <c r="N4973" t="s">
        <v>14</v>
      </c>
    </row>
    <row r="4974" x14ac:dyDescent="0.25">
      <c r="A4974" t="n">
        <v>25</v>
      </c>
      <c r="B4974" t="s">
        <v>14</v>
      </c>
      <c r="C4974" t="s">
        <v>22</v>
      </c>
      <c r="D4974" s="2" t="s">
        <f>=HYPERLINK("https://main.knesset.gov.il/APPS/legislation/main/bills/2202275", "הצעת חוק דמי מחלה (היעדרות בשל מחלת ילד) (תיקון - היעדרות בשל אשפוז פג), התשפ""ג-2023")</f>
        <v>9380</v>
      </c>
      <c r="E4974" t="s">
        <v>9380</v>
      </c>
      <c r="F4974" t="s">
        <v>10196</v>
      </c>
      <c r="G4974" t="s">
        <v>14</v>
      </c>
      <c r="H4974">
             </c>
      <c r="I4974" t="s">
        <v>14</v>
      </c>
      <c r="J4974" t="s">
        <v>141</v>
      </c>
      <c r="K4974" t="s">
        <v>14</v>
      </c>
      <c r="L4974" t="s">
        <v>20</v>
      </c>
      <c r="M4974" t="s">
        <v>10164</v>
      </c>
      <c r="N4974" t="s">
        <v>14</v>
      </c>
    </row>
    <row r="4975" x14ac:dyDescent="0.25">
      <c r="A4975" t="n">
        <v>25</v>
      </c>
      <c r="B4975" t="s">
        <v>14</v>
      </c>
      <c r="C4975" t="s">
        <v>22</v>
      </c>
      <c r="D4975" s="2" t="s">
        <f>=HYPERLINK("https://main.knesset.gov.il/APPS/legislation/main/bills/2202190", "הצעת חוק דמי מחלה עבור מלווה בן משפחה לבדיקה רפואית (תיקוני חקיקה), התשפ""ג-2023")</f>
        <v>10117</v>
      </c>
      <c r="E4975" t="s">
        <v>10117</v>
      </c>
      <c r="F4975" t="s">
        <v>10197</v>
      </c>
      <c r="G4975" t="s">
        <v>14</v>
      </c>
      <c r="H4975">
             </c>
      <c r="I4975" t="s">
        <v>14</v>
      </c>
      <c r="J4975" t="s">
        <v>141</v>
      </c>
      <c r="K4975" t="s">
        <v>14</v>
      </c>
      <c r="L4975" t="s">
        <v>20</v>
      </c>
      <c r="M4975" t="s">
        <v>10164</v>
      </c>
      <c r="N4975" t="s">
        <v>14</v>
      </c>
    </row>
    <row r="4976" x14ac:dyDescent="0.25">
      <c r="A4976" t="n">
        <v>25</v>
      </c>
      <c r="B4976" t="s">
        <v>14</v>
      </c>
      <c r="C4976" t="s">
        <v>22</v>
      </c>
      <c r="D4976" s="2" t="s">
        <f>=HYPERLINK("https://main.knesset.gov.il/APPS/legislation/main/bills/2202169", "הצעת חוק דמי מחלה (היעדרות בשל מחלת ילד) (תיקון - היעדרות בשל אשפוז ילד), התשפ""ג-2023")</f>
        <v>10198</v>
      </c>
      <c r="E4976" t="s">
        <v>10198</v>
      </c>
      <c r="F4976" t="s">
        <v>10199</v>
      </c>
      <c r="G4976" t="s">
        <v>14</v>
      </c>
      <c r="H4976">
             </c>
      <c r="I4976" t="s">
        <v>14</v>
      </c>
      <c r="J4976" t="s">
        <v>141</v>
      </c>
      <c r="K4976" t="s">
        <v>14</v>
      </c>
      <c r="L4976" t="s">
        <v>20</v>
      </c>
      <c r="M4976" t="s">
        <v>10164</v>
      </c>
      <c r="N4976" t="s">
        <v>14</v>
      </c>
    </row>
    <row r="4977" x14ac:dyDescent="0.25">
      <c r="A4977" t="n">
        <v>25</v>
      </c>
      <c r="B4977" t="s">
        <v>14</v>
      </c>
      <c r="C4977" t="s">
        <v>22</v>
      </c>
      <c r="D4977" s="2" t="s">
        <f>=HYPERLINK("https://main.knesset.gov.il/APPS/legislation/main/bills/2202168", "הצעת חוק הביטוח הלאומי (תיקון - התפטרות הורה על מנת לטפל בילדו), התשפ""ג-2023")</f>
        <v>10200</v>
      </c>
      <c r="E4977" t="s">
        <v>10200</v>
      </c>
      <c r="F4977" t="s">
        <v>10201</v>
      </c>
      <c r="G4977" t="s">
        <v>14</v>
      </c>
      <c r="H4977">
             </c>
      <c r="I4977" t="s">
        <v>14</v>
      </c>
      <c r="J4977" t="s">
        <v>141</v>
      </c>
      <c r="K4977" t="s">
        <v>14</v>
      </c>
      <c r="L4977" t="s">
        <v>20</v>
      </c>
      <c r="M4977" t="s">
        <v>10164</v>
      </c>
      <c r="N4977" t="s">
        <v>14</v>
      </c>
    </row>
    <row r="4978" x14ac:dyDescent="0.25">
      <c r="A4978" t="n">
        <v>25</v>
      </c>
      <c r="B4978" t="s">
        <v>14</v>
      </c>
      <c r="C4978" t="s">
        <v>22</v>
      </c>
      <c r="D4978" s="2" t="s">
        <f>=HYPERLINK("https://main.knesset.gov.il/APPS/legislation/main/bills/2201220", "הצעת חוק הביטוח הלאומי (תיקון - קצבת ילדים כפולה בלידת תאומים או יותר), התשפ""ג-2023")</f>
        <v>8022</v>
      </c>
      <c r="E4978" t="s">
        <v>8022</v>
      </c>
      <c r="F4978" t="s">
        <v>10202</v>
      </c>
      <c r="G4978" t="s">
        <v>14</v>
      </c>
      <c r="H4978">
             </c>
      <c r="I4978" t="s">
        <v>14</v>
      </c>
      <c r="J4978" t="s">
        <v>141</v>
      </c>
      <c r="K4978" t="s">
        <v>14</v>
      </c>
      <c r="L4978" t="s">
        <v>20</v>
      </c>
      <c r="M4978" t="s">
        <v>10164</v>
      </c>
      <c r="N4978" t="s">
        <v>14</v>
      </c>
    </row>
    <row r="4979" x14ac:dyDescent="0.25">
      <c r="A4979" t="n">
        <v>25</v>
      </c>
      <c r="B4979" t="s">
        <v>14</v>
      </c>
      <c r="C4979" t="s">
        <v>22</v>
      </c>
      <c r="D4979" s="2" t="s">
        <f>=HYPERLINK("https://main.knesset.gov.il/APPS/legislation/main/bills/2201231", "הצעת חוק הביטוח הלאומי (תיקון - השוואת קצבת אזרח ותיק לשכר המינימום), התשפ""ג-2023")</f>
        <v>10203</v>
      </c>
      <c r="E4979" t="s">
        <v>10203</v>
      </c>
      <c r="F4979" t="s">
        <v>10204</v>
      </c>
      <c r="G4979" t="s">
        <v>14</v>
      </c>
      <c r="H4979">
             </c>
      <c r="I4979" t="s">
        <v>14</v>
      </c>
      <c r="J4979" t="s">
        <v>141</v>
      </c>
      <c r="K4979" t="s">
        <v>14</v>
      </c>
      <c r="L4979" t="s">
        <v>20</v>
      </c>
      <c r="M4979" t="s">
        <v>10164</v>
      </c>
      <c r="N4979" t="s">
        <v>14</v>
      </c>
    </row>
    <row r="4980" x14ac:dyDescent="0.25">
      <c r="A4980" t="n">
        <v>25</v>
      </c>
      <c r="B4980" t="s">
        <v>14</v>
      </c>
      <c r="C4980" t="s">
        <v>22</v>
      </c>
      <c r="D4980" s="2" t="s">
        <f>=HYPERLINK("https://main.knesset.gov.il/APPS/legislation/main/bills/2200717", "הצעת חוק הביטוח הלאומי (תיקון - מענק לכיסוי הוצאות בלידת בית), התשפ""ג-2023")</f>
        <v>9692</v>
      </c>
      <c r="E4980" t="s">
        <v>9692</v>
      </c>
      <c r="F4980" t="s">
        <v>10205</v>
      </c>
      <c r="G4980" t="s">
        <v>14</v>
      </c>
      <c r="H4980">
             </c>
      <c r="I4980" t="s">
        <v>14</v>
      </c>
      <c r="J4980" t="s">
        <v>141</v>
      </c>
      <c r="K4980" t="s">
        <v>14</v>
      </c>
      <c r="L4980" t="s">
        <v>20</v>
      </c>
      <c r="M4980" t="s">
        <v>10164</v>
      </c>
      <c r="N4980" t="s">
        <v>14</v>
      </c>
    </row>
    <row r="4981" x14ac:dyDescent="0.25">
      <c r="A4981" t="n">
        <v>25</v>
      </c>
      <c r="B4981" t="s">
        <v>14</v>
      </c>
      <c r="C4981" t="s">
        <v>22</v>
      </c>
      <c r="D4981" s="2" t="s">
        <f>=HYPERLINK("https://main.knesset.gov.il/APPS/legislation/main/bills/2202674", "הצעת חוק החברות הממשלתיות (תיקון - ביטול מעורבות רשות החברות הממשלתיות במינוי דירקטורים), התשפ""ג-2023")</f>
        <v>10206</v>
      </c>
      <c r="E4981" t="s">
        <v>10206</v>
      </c>
      <c r="F4981" t="s">
        <v>10207</v>
      </c>
      <c r="G4981" t="s">
        <v>14</v>
      </c>
      <c r="H4981">
             </c>
      <c r="I4981" t="s">
        <v>14</v>
      </c>
      <c r="J4981" t="s">
        <v>141</v>
      </c>
      <c r="K4981" t="s">
        <v>14</v>
      </c>
      <c r="L4981" t="s">
        <v>20</v>
      </c>
      <c r="M4981" t="s">
        <v>10164</v>
      </c>
      <c r="N4981" t="s">
        <v>14</v>
      </c>
    </row>
    <row r="4982" x14ac:dyDescent="0.25">
      <c r="A4982" t="n">
        <v>25</v>
      </c>
      <c r="B4982" t="s">
        <v>14</v>
      </c>
      <c r="C4982" t="s">
        <v>22</v>
      </c>
      <c r="D4982" s="2" t="s">
        <f>=HYPERLINK("https://main.knesset.gov.il/APPS/legislation/main/bills/2202087", "הצעת חוק התכנון והבנייה (תיקון - ייצוג הולם לאוכלוסייה הערבית במוסדות התכנון), התשפ""ג-2023")</f>
        <v>10208</v>
      </c>
      <c r="E4982" t="s">
        <v>10208</v>
      </c>
      <c r="F4982" t="s">
        <v>10209</v>
      </c>
      <c r="G4982" t="s">
        <v>14</v>
      </c>
      <c r="H4982">
             </c>
      <c r="I4982" t="s">
        <v>14</v>
      </c>
      <c r="J4982" t="s">
        <v>343</v>
      </c>
      <c r="K4982" t="s">
        <v>14</v>
      </c>
      <c r="L4982" t="s">
        <v>20</v>
      </c>
      <c r="M4982" t="s">
        <v>10164</v>
      </c>
      <c r="N4982" t="s">
        <v>14</v>
      </c>
    </row>
    <row r="4983" x14ac:dyDescent="0.25">
      <c r="A4983" t="n">
        <v>25</v>
      </c>
      <c r="B4983" t="s">
        <v>14</v>
      </c>
      <c r="C4983" t="s">
        <v>22</v>
      </c>
      <c r="D4983" s="2" t="s">
        <f>=HYPERLINK("https://main.knesset.gov.il/APPS/legislation/main/bills/2202552", "הצעת חוק סדר הדין הפלילי (תיקון - מועד תשלום הקנס), התשפ""ג-2023")</f>
        <v>10084</v>
      </c>
      <c r="E4983" t="s">
        <v>10084</v>
      </c>
      <c r="F4983" t="s">
        <v>10210</v>
      </c>
      <c r="G4983" t="s">
        <v>14</v>
      </c>
      <c r="H4983">
             </c>
      <c r="I4983" t="s">
        <v>14</v>
      </c>
      <c r="J4983" t="s">
        <v>141</v>
      </c>
      <c r="K4983" t="s">
        <v>14</v>
      </c>
      <c r="L4983" t="s">
        <v>20</v>
      </c>
      <c r="M4983" t="s">
        <v>10164</v>
      </c>
      <c r="N4983" t="s">
        <v>14</v>
      </c>
    </row>
    <row r="4984" x14ac:dyDescent="0.25">
      <c r="A4984" t="n">
        <v>25</v>
      </c>
      <c r="B4984" t="s">
        <v>14</v>
      </c>
      <c r="C4984" t="s">
        <v>22</v>
      </c>
      <c r="D4984" s="2" t="s">
        <f>=HYPERLINK("https://main.knesset.gov.il/APPS/legislation/main/bills/2202729", "הצעת חוק העונשין (תיקון - איסור הנפת דגל של רשות עוינת), התשפ""ג-2023")</f>
        <v>10211</v>
      </c>
      <c r="E4984" t="s">
        <v>10211</v>
      </c>
      <c r="F4984" t="s">
        <v>10212</v>
      </c>
      <c r="G4984" t="s">
        <v>14</v>
      </c>
      <c r="H4984">
             </c>
      <c r="I4984" t="s">
        <v>14</v>
      </c>
      <c r="J4984" t="s">
        <v>141</v>
      </c>
      <c r="K4984" t="s">
        <v>14</v>
      </c>
      <c r="L4984" t="s">
        <v>20</v>
      </c>
      <c r="M4984" t="s">
        <v>10164</v>
      </c>
      <c r="N4984" t="s">
        <v>14</v>
      </c>
    </row>
    <row r="4985" x14ac:dyDescent="0.25">
      <c r="A4985" t="n">
        <v>25</v>
      </c>
      <c r="B4985" t="s">
        <v>14</v>
      </c>
      <c r="C4985" t="s">
        <v>22</v>
      </c>
      <c r="D4985" s="2" t="s">
        <f>=HYPERLINK("https://main.knesset.gov.il/APPS/legislation/main/bills/2202696", "הצעת חוק הסיוע המשפטי (תיקון - סיוע משפטי לנפגעי הונאה ועושק), התשפ""ג-2023")</f>
        <v>8113</v>
      </c>
      <c r="E4985" t="s">
        <v>8113</v>
      </c>
      <c r="F4985" t="s">
        <v>10213</v>
      </c>
      <c r="G4985" t="s">
        <v>14</v>
      </c>
      <c r="H4985">
             </c>
      <c r="I4985" t="s">
        <v>14</v>
      </c>
      <c r="J4985" t="s">
        <v>343</v>
      </c>
      <c r="K4985" t="s">
        <v>14</v>
      </c>
      <c r="L4985" t="s">
        <v>20</v>
      </c>
      <c r="M4985" t="s">
        <v>10164</v>
      </c>
      <c r="N4985" t="s">
        <v>14</v>
      </c>
    </row>
    <row r="4986" x14ac:dyDescent="0.25">
      <c r="A4986" t="n">
        <v>25</v>
      </c>
      <c r="B4986" t="s">
        <v>14</v>
      </c>
      <c r="C4986" t="s">
        <v>22</v>
      </c>
      <c r="D4986" s="2" t="s">
        <f>=HYPERLINK("https://main.knesset.gov.il/APPS/legislation/main/bills/2202594", "הצעת חוק ההוצאה לפועל (תיקון - הקפאת ריבית פיגורים בימי שביתה), התשפ""ג-2023")</f>
        <v>10214</v>
      </c>
      <c r="E4986" t="s">
        <v>10214</v>
      </c>
      <c r="F4986" t="s">
        <v>10215</v>
      </c>
      <c r="G4986" t="s">
        <v>14</v>
      </c>
      <c r="H4986">
             </c>
      <c r="I4986" t="s">
        <v>14</v>
      </c>
      <c r="J4986" t="s">
        <v>141</v>
      </c>
      <c r="K4986" t="s">
        <v>14</v>
      </c>
      <c r="L4986" t="s">
        <v>20</v>
      </c>
      <c r="M4986" t="s">
        <v>10164</v>
      </c>
      <c r="N4986" t="s">
        <v>14</v>
      </c>
    </row>
    <row r="4987" x14ac:dyDescent="0.25">
      <c r="A4987" t="n">
        <v>25</v>
      </c>
      <c r="B4987" t="s">
        <v>14</v>
      </c>
      <c r="C4987" t="s">
        <v>22</v>
      </c>
      <c r="D4987" s="2" t="s">
        <f>=HYPERLINK("https://main.knesset.gov.il/APPS/legislation/main/bills/2201097", "הצעת חוק לתיקון פקודת מס הכנסה (הטבות במס במועצות אזוריות בעלות רוב מוטב), התשפ""ג-2023 ")</f>
        <v>10216</v>
      </c>
      <c r="E4987" t="s">
        <v>10216</v>
      </c>
      <c r="F4987" t="s">
        <v>10217</v>
      </c>
      <c r="G4987" t="s">
        <v>14</v>
      </c>
      <c r="H4987">
             </c>
      <c r="I4987" t="s">
        <v>14</v>
      </c>
      <c r="J4987" t="s">
        <v>343</v>
      </c>
      <c r="K4987" t="s">
        <v>14</v>
      </c>
      <c r="L4987" t="s">
        <v>20</v>
      </c>
      <c r="M4987" t="s">
        <v>10164</v>
      </c>
      <c r="N4987" t="s">
        <v>14</v>
      </c>
    </row>
    <row r="4988" x14ac:dyDescent="0.25">
      <c r="A4988" t="n">
        <v>25</v>
      </c>
      <c r="B4988" t="s">
        <v>14</v>
      </c>
      <c r="C4988" t="s">
        <v>22</v>
      </c>
      <c r="D4988" s="2" t="s">
        <f>=HYPERLINK("https://main.knesset.gov.il/APPS/legislation/main/bills/2202640", "הצעת חוק העונשין (תיקון - הפחתת ריבית פיגורים בשל אי-תשלום קנס), התשפ""ג-2023")</f>
        <v>10218</v>
      </c>
      <c r="E4988" t="s">
        <v>10218</v>
      </c>
      <c r="F4988" t="s">
        <v>10219</v>
      </c>
      <c r="G4988" t="s">
        <v>14</v>
      </c>
      <c r="H4988">
             </c>
      <c r="I4988" t="s">
        <v>14</v>
      </c>
      <c r="J4988" t="s">
        <v>141</v>
      </c>
      <c r="K4988" t="s">
        <v>14</v>
      </c>
      <c r="L4988" t="s">
        <v>20</v>
      </c>
      <c r="M4988" t="s">
        <v>10164</v>
      </c>
      <c r="N4988" t="s">
        <v>14</v>
      </c>
    </row>
    <row r="4989" x14ac:dyDescent="0.25">
      <c r="A4989" t="n">
        <v>25</v>
      </c>
      <c r="B4989" t="s">
        <v>14</v>
      </c>
      <c r="C4989" t="s">
        <v>22</v>
      </c>
      <c r="D4989" s="2" t="s">
        <f>=HYPERLINK("https://main.knesset.gov.il/APPS/legislation/main/bills/2201663", "הצעת חוק מס הכנסה (פטור ממס על הכנסה מהשכרת דירת מגורים) (תיקון - ניכוי דמי שכירות ששולמו בעד דירת מגורים), התשפ""ג-2023")</f>
        <v>10220</v>
      </c>
      <c r="E4989" t="s">
        <v>10220</v>
      </c>
      <c r="F4989" t="s">
        <v>10221</v>
      </c>
      <c r="G4989" t="s">
        <v>14</v>
      </c>
      <c r="H4989">
             </c>
      <c r="I4989" t="s">
        <v>14</v>
      </c>
      <c r="J4989" t="s">
        <v>141</v>
      </c>
      <c r="K4989" t="s">
        <v>14</v>
      </c>
      <c r="L4989" t="s">
        <v>20</v>
      </c>
      <c r="M4989" t="s">
        <v>10164</v>
      </c>
      <c r="N4989" t="s">
        <v>14</v>
      </c>
    </row>
    <row r="4990" x14ac:dyDescent="0.25">
      <c r="A4990" t="n">
        <v>25</v>
      </c>
      <c r="B4990" t="s">
        <v>14</v>
      </c>
      <c r="C4990" t="s">
        <v>22</v>
      </c>
      <c r="D4990" s="2" t="s">
        <f>=HYPERLINK("https://main.knesset.gov.il/APPS/legislation/main/bills/2202738", "הצעת חוק הפחתת תוספות פיגור שנוספו על קנסות הנגבים בידי המרכז לגביית קנסות, אגרות והוצאות (הוראת שעה), התשפ""ג-2023")</f>
        <v>10222</v>
      </c>
      <c r="E4990" t="s">
        <v>10222</v>
      </c>
      <c r="F4990" t="s">
        <v>10223</v>
      </c>
      <c r="G4990" t="s">
        <v>14</v>
      </c>
      <c r="H4990">
             </c>
      <c r="I4990" t="s">
        <v>14</v>
      </c>
      <c r="J4990" t="s">
        <v>141</v>
      </c>
      <c r="K4990" t="s">
        <v>14</v>
      </c>
      <c r="L4990" t="s">
        <v>20</v>
      </c>
      <c r="M4990" t="s">
        <v>10164</v>
      </c>
      <c r="N4990" t="s">
        <v>14</v>
      </c>
    </row>
    <row r="4991" x14ac:dyDescent="0.25">
      <c r="A4991" t="n">
        <v>25</v>
      </c>
      <c r="B4991" t="s">
        <v>14</v>
      </c>
      <c r="C4991" t="s">
        <v>22</v>
      </c>
      <c r="D4991" s="2" t="s">
        <f>=HYPERLINK("https://main.knesset.gov.il/APPS/legislation/main/bills/2202043", "הצעת חוק הכשרות המשפטית והאפוטרופסות (תיקון - שלילת אפוטרופסות בשל עבירת מעשה מגונה בנסיבות מחמירות), התשפ""ג-2023")</f>
        <v>8503</v>
      </c>
      <c r="E4991" t="s">
        <v>8503</v>
      </c>
      <c r="F4991" t="s">
        <v>10224</v>
      </c>
      <c r="G4991" t="s">
        <v>14</v>
      </c>
      <c r="H4991">
             </c>
      <c r="I4991" t="s">
        <v>14</v>
      </c>
      <c r="J4991" t="s">
        <v>141</v>
      </c>
      <c r="K4991" t="s">
        <v>14</v>
      </c>
      <c r="L4991" t="s">
        <v>20</v>
      </c>
      <c r="M4991" t="s">
        <v>10164</v>
      </c>
      <c r="N4991" t="s">
        <v>14</v>
      </c>
    </row>
    <row r="4992" x14ac:dyDescent="0.25">
      <c r="A4992" t="n">
        <v>25</v>
      </c>
      <c r="B4992" t="s">
        <v>14</v>
      </c>
      <c r="C4992" t="s">
        <v>22</v>
      </c>
      <c r="D4992" s="2" t="s">
        <f>=HYPERLINK("https://main.knesset.gov.il/APPS/legislation/main/bills/2202518", "הצעת חוק לתיקון פקודת מסי העירייה ומסי הממשלה (פטורין) (פטור מארנונה למעון), התשפ""ג-2023")</f>
        <v>10225</v>
      </c>
      <c r="E4992" t="s">
        <v>10225</v>
      </c>
      <c r="F4992" t="s">
        <v>10226</v>
      </c>
      <c r="G4992" t="s">
        <v>14</v>
      </c>
      <c r="H4992">
             </c>
      <c r="I4992" t="s">
        <v>14</v>
      </c>
      <c r="J4992" t="s">
        <v>141</v>
      </c>
      <c r="K4992" t="s">
        <v>14</v>
      </c>
      <c r="L4992" t="s">
        <v>20</v>
      </c>
      <c r="M4992" t="s">
        <v>10164</v>
      </c>
      <c r="N4992" t="s">
        <v>14</v>
      </c>
    </row>
    <row r="4993" x14ac:dyDescent="0.25">
      <c r="A4993" t="n">
        <v>25</v>
      </c>
      <c r="B4993" t="s">
        <v>14</v>
      </c>
      <c r="C4993" t="s">
        <v>22</v>
      </c>
      <c r="D4993" s="2" t="s">
        <f>=HYPERLINK("https://main.knesset.gov.il/APPS/legislation/main/bills/2201881", "הצעת חוק מיסוי מקרקעין (שבח ורכישה) (תיקון - דירה שאינה בבעלותם המשותפת של בני זוג), התשפ""ג-2023")</f>
        <v>10227</v>
      </c>
      <c r="E4993" t="s">
        <v>10227</v>
      </c>
      <c r="F4993" t="s">
        <v>10228</v>
      </c>
      <c r="G4993" t="s">
        <v>14</v>
      </c>
      <c r="H4993">
             </c>
      <c r="I4993" t="s">
        <v>14</v>
      </c>
      <c r="J4993" t="s">
        <v>141</v>
      </c>
      <c r="K4993" t="s">
        <v>14</v>
      </c>
      <c r="L4993" t="s">
        <v>20</v>
      </c>
      <c r="M4993" t="s">
        <v>10164</v>
      </c>
      <c r="N4993" t="s">
        <v>14</v>
      </c>
    </row>
    <row r="4994" x14ac:dyDescent="0.25">
      <c r="A4994" t="n">
        <v>25</v>
      </c>
      <c r="B4994" t="s">
        <v>14</v>
      </c>
      <c r="C4994" t="s">
        <v>22</v>
      </c>
      <c r="D4994" s="2" t="s">
        <f>=HYPERLINK("https://main.knesset.gov.il/APPS/legislation/main/bills/2201723", "הצעת חוק לתיקון פקודת הבנקאות (תקופת צינון למפקח על הבנקים), התשפ""ג-2023")</f>
        <v>10229</v>
      </c>
      <c r="E4994" t="s">
        <v>10229</v>
      </c>
      <c r="F4994" t="s">
        <v>10230</v>
      </c>
      <c r="G4994" t="s">
        <v>14</v>
      </c>
      <c r="H4994">
             </c>
      <c r="I4994" t="s">
        <v>14</v>
      </c>
      <c r="J4994" t="s">
        <v>141</v>
      </c>
      <c r="K4994" t="s">
        <v>14</v>
      </c>
      <c r="L4994" t="s">
        <v>20</v>
      </c>
      <c r="M4994" t="s">
        <v>10164</v>
      </c>
      <c r="N4994" t="s">
        <v>14</v>
      </c>
    </row>
    <row r="4995" x14ac:dyDescent="0.25">
      <c r="A4995" t="n">
        <v>25</v>
      </c>
      <c r="B4995" t="s">
        <v>14</v>
      </c>
      <c r="C4995" t="s">
        <v>22</v>
      </c>
      <c r="D4995" s="2" t="s">
        <f>=HYPERLINK("https://main.knesset.gov.il/APPS/legislation/main/bills/2198506", "הצעת חוק לתיקון פקודת מס הכנסה (נקודות זיכוי למשפחות אומנה), התשפ""ג-2023")</f>
        <v>10231</v>
      </c>
      <c r="E4995" t="s">
        <v>10231</v>
      </c>
      <c r="F4995" t="s">
        <v>10232</v>
      </c>
      <c r="G4995" t="s">
        <v>14</v>
      </c>
      <c r="H4995">
             </c>
      <c r="I4995" t="s">
        <v>14</v>
      </c>
      <c r="J4995" t="s">
        <v>141</v>
      </c>
      <c r="K4995" t="s">
        <v>14</v>
      </c>
      <c r="L4995" t="s">
        <v>20</v>
      </c>
      <c r="M4995" t="s">
        <v>10164</v>
      </c>
      <c r="N4995" t="s">
        <v>14</v>
      </c>
    </row>
    <row r="4996" x14ac:dyDescent="0.25">
      <c r="A4996" t="n">
        <v>25</v>
      </c>
      <c r="B4996" t="s">
        <v>14</v>
      </c>
      <c r="C4996" t="s">
        <v>22</v>
      </c>
      <c r="D4996" s="2" t="s">
        <f>=HYPERLINK("https://main.knesset.gov.il/APPS/legislation/main/bills/2202308", "הצעת חוק לתיקון פקודת מס הכנסה (זיכוי בעד לימודי תואר ראשון), התשפ""ג-2023")</f>
        <v>10233</v>
      </c>
      <c r="E4996" t="s">
        <v>10233</v>
      </c>
      <c r="F4996" t="s">
        <v>10234</v>
      </c>
      <c r="G4996" t="s">
        <v>14</v>
      </c>
      <c r="H4996">
             </c>
      <c r="I4996" t="s">
        <v>14</v>
      </c>
      <c r="J4996" t="s">
        <v>141</v>
      </c>
      <c r="K4996" t="s">
        <v>14</v>
      </c>
      <c r="L4996" t="s">
        <v>20</v>
      </c>
      <c r="M4996" t="s">
        <v>10164</v>
      </c>
      <c r="N4996" t="s">
        <v>14</v>
      </c>
    </row>
    <row r="4997" x14ac:dyDescent="0.25">
      <c r="A4997" t="n">
        <v>25</v>
      </c>
      <c r="B4997" t="s">
        <v>14</v>
      </c>
      <c r="C4997" t="s">
        <v>22</v>
      </c>
      <c r="D4997" s="2" t="s">
        <f>=HYPERLINK("https://main.knesset.gov.il/APPS/legislation/main/bills/2202371", "הצעת חוק העונשין (תיקון - חסימת כבישים), התשפ""ג-2023")</f>
        <v>10235</v>
      </c>
      <c r="E4997" t="s">
        <v>10235</v>
      </c>
      <c r="F4997" t="s">
        <v>10236</v>
      </c>
      <c r="G4997" t="s">
        <v>14</v>
      </c>
      <c r="H4997">
             </c>
      <c r="I4997" t="s">
        <v>14</v>
      </c>
      <c r="J4997" t="s">
        <v>1123</v>
      </c>
      <c r="K4997" t="s">
        <v>14</v>
      </c>
      <c r="L4997" t="s">
        <v>20</v>
      </c>
      <c r="M4997" t="s">
        <v>10164</v>
      </c>
      <c r="N4997" t="s">
        <v>14</v>
      </c>
    </row>
    <row r="4998" x14ac:dyDescent="0.25">
      <c r="A4998" t="n">
        <v>25</v>
      </c>
      <c r="B4998" t="s">
        <v>14</v>
      </c>
      <c r="C4998" t="s">
        <v>22</v>
      </c>
      <c r="D4998" s="2" t="s">
        <f>=HYPERLINK("https://main.knesset.gov.il/APPS/legislation/main/bills/2201857", "הצעת חוק הרשויות המקומיות (פטור חיילים, נפגעי מלחמה ושוטרים מארנונה) (תיקון - הארכת תקופת פטור מארנונה לחיילים בודדים), התשפ""ג-2023")</f>
        <v>10237</v>
      </c>
      <c r="E4998" t="s">
        <v>10237</v>
      </c>
      <c r="F4998" t="s">
        <v>10238</v>
      </c>
      <c r="G4998" t="s">
        <v>14</v>
      </c>
      <c r="H4998">
             </c>
      <c r="I4998" t="s">
        <v>14</v>
      </c>
      <c r="J4998" t="s">
        <v>141</v>
      </c>
      <c r="K4998" t="s">
        <v>14</v>
      </c>
      <c r="L4998" t="s">
        <v>20</v>
      </c>
      <c r="M4998" t="s">
        <v>10164</v>
      </c>
      <c r="N4998" t="s">
        <v>14</v>
      </c>
    </row>
    <row r="4999" x14ac:dyDescent="0.25">
      <c r="A4999" t="n">
        <v>25</v>
      </c>
      <c r="B4999" t="s">
        <v>14</v>
      </c>
      <c r="C4999" t="s">
        <v>22</v>
      </c>
      <c r="D4999" s="2" t="s">
        <f>=HYPERLINK("https://main.knesset.gov.il/APPS/legislation/main/bills/2200389", "הצעת חוק ביטול עונש המוות (תיקוני חקיקה), התשפ""ג-2023")</f>
        <v>10239</v>
      </c>
      <c r="E4999" t="s">
        <v>10239</v>
      </c>
      <c r="F4999" t="s">
        <v>10240</v>
      </c>
      <c r="G4999" t="s">
        <v>14</v>
      </c>
      <c r="H4999">
             </c>
      <c r="I4999" t="s">
        <v>14</v>
      </c>
      <c r="J4999" t="s">
        <v>141</v>
      </c>
      <c r="K4999" t="s">
        <v>14</v>
      </c>
      <c r="L4999" t="s">
        <v>20</v>
      </c>
      <c r="M4999" t="s">
        <v>10164</v>
      </c>
      <c r="N4999" t="s">
        <v>14</v>
      </c>
    </row>
    <row r="5000" x14ac:dyDescent="0.25">
      <c r="A5000" t="n">
        <v>25</v>
      </c>
      <c r="B5000" t="s">
        <v>14</v>
      </c>
      <c r="C5000" t="s">
        <v>22</v>
      </c>
      <c r="D5000" s="2" t="s">
        <f>=HYPERLINK("https://main.knesset.gov.il/APPS/legislation/main/bills/2202531", "הצעת חוק מס להפחתת גודש התנועה באזור גוש דן (תיקון - ביטול החוק), התשפ""ג-2023")</f>
        <v>10241</v>
      </c>
      <c r="E5000" t="s">
        <v>10241</v>
      </c>
      <c r="F5000" t="s">
        <v>10242</v>
      </c>
      <c r="G5000" t="s">
        <v>14</v>
      </c>
      <c r="H5000">
             </c>
      <c r="I5000" t="s">
        <v>14</v>
      </c>
      <c r="J5000" t="s">
        <v>141</v>
      </c>
      <c r="K5000" t="s">
        <v>14</v>
      </c>
      <c r="L5000" t="s">
        <v>20</v>
      </c>
      <c r="M5000" t="s">
        <v>10164</v>
      </c>
      <c r="N5000" t="s">
        <v>14</v>
      </c>
    </row>
    <row r="5001" x14ac:dyDescent="0.25">
      <c r="A5001" t="n">
        <v>25</v>
      </c>
      <c r="B5001" t="s">
        <v>14</v>
      </c>
      <c r="C5001" t="s">
        <v>22</v>
      </c>
      <c r="D5001" s="2" t="s">
        <f>=HYPERLINK("https://main.knesset.gov.il/APPS/legislation/main/bills/2201593", "הצעת חוק העונשין (תיקון - קביעת עונשים מזעריים לעבירות מין), התשפ""ג-2023")</f>
        <v>10243</v>
      </c>
      <c r="E5001" t="s">
        <v>10243</v>
      </c>
      <c r="F5001" t="s">
        <v>10244</v>
      </c>
      <c r="G5001" t="s">
        <v>14</v>
      </c>
      <c r="H5001">
             </c>
      <c r="I5001" t="s">
        <v>14</v>
      </c>
      <c r="J5001" t="s">
        <v>343</v>
      </c>
      <c r="K5001" t="s">
        <v>14</v>
      </c>
      <c r="L5001" t="s">
        <v>20</v>
      </c>
      <c r="M5001" t="s">
        <v>10164</v>
      </c>
      <c r="N5001" t="s">
        <v>14</v>
      </c>
    </row>
    <row r="5002" x14ac:dyDescent="0.25">
      <c r="A5002" t="n">
        <v>25</v>
      </c>
      <c r="B5002" t="s">
        <v>14</v>
      </c>
      <c r="C5002" t="s">
        <v>22</v>
      </c>
      <c r="D5002" s="2" t="s">
        <f>=HYPERLINK("https://main.knesset.gov.il/APPS/legislation/main/bills/2202534", "הצעת חוק הסדרים במשק המדינה (תיקוני חקיקה להשגת יעדי התקציב) (תיקון - חובת הענקת הנחה בארנונה לאדם בעל מוגבלות), התשפ""ג-2023")</f>
        <v>10245</v>
      </c>
      <c r="E5002" t="s">
        <v>10245</v>
      </c>
      <c r="F5002" t="s">
        <v>10246</v>
      </c>
      <c r="G5002" t="s">
        <v>14</v>
      </c>
      <c r="H5002">
             </c>
      <c r="I5002" t="s">
        <v>14</v>
      </c>
      <c r="J5002" t="s">
        <v>141</v>
      </c>
      <c r="K5002" t="s">
        <v>14</v>
      </c>
      <c r="L5002" t="s">
        <v>20</v>
      </c>
      <c r="M5002" t="s">
        <v>10164</v>
      </c>
      <c r="N5002" t="s">
        <v>14</v>
      </c>
    </row>
    <row r="5003" x14ac:dyDescent="0.25">
      <c r="A5003" t="n">
        <v>25</v>
      </c>
      <c r="B5003" t="s">
        <v>14</v>
      </c>
      <c r="C5003" t="s">
        <v>22</v>
      </c>
      <c r="D5003" s="2" t="s">
        <f>=HYPERLINK("https://main.knesset.gov.il/APPS/legislation/main/bills/2200868", "הצעת חוק לעידוד השקעות בשכירות ארוכת טווח (תיקוני חקיקה), התשפ""ג-2023")</f>
        <v>10247</v>
      </c>
      <c r="E5003" t="s">
        <v>10247</v>
      </c>
      <c r="F5003" t="s">
        <v>10248</v>
      </c>
      <c r="G5003" t="s">
        <v>14</v>
      </c>
      <c r="H5003">
             </c>
      <c r="I5003" t="s">
        <v>14</v>
      </c>
      <c r="J5003" t="s">
        <v>141</v>
      </c>
      <c r="K5003" t="s">
        <v>14</v>
      </c>
      <c r="L5003" t="s">
        <v>20</v>
      </c>
      <c r="M5003" t="s">
        <v>10164</v>
      </c>
      <c r="N5003" t="s">
        <v>14</v>
      </c>
    </row>
    <row r="5004" x14ac:dyDescent="0.25">
      <c r="A5004" t="n">
        <v>25</v>
      </c>
      <c r="B5004" t="s">
        <v>14</v>
      </c>
      <c r="C5004" t="s">
        <v>20</v>
      </c>
      <c r="D5004" s="2" t="s">
        <f>=HYPERLINK("https://main.knesset.gov.il/APPS/legislation/main/bills/2201660", "הצעת חוק-יסוד: השפיטה (תיקון מס' 4) (ביקורת שיפוטית בעניין תוקפו של חוק)")</f>
        <v>10249</v>
      </c>
      <c r="E5004" t="s">
        <v>10249</v>
      </c>
      <c r="F5004" t="s">
        <v>14</v>
      </c>
      <c r="G5004" t="s">
        <v>10250</v>
      </c>
      <c r="H5004">
             </c>
      <c r="I5004" t="s">
        <v>14</v>
      </c>
      <c r="J5004" t="s">
        <v>18</v>
      </c>
      <c r="K5004" t="s">
        <v>27</v>
      </c>
      <c r="L5004" t="s">
        <v>20</v>
      </c>
      <c r="M5004" t="s">
        <v>10164</v>
      </c>
      <c r="N5004" t="s">
        <v>14</v>
      </c>
    </row>
    <row r="5005" x14ac:dyDescent="0.25">
      <c r="A5005" t="n">
        <v>25</v>
      </c>
      <c r="B5005" t="s">
        <v>14</v>
      </c>
      <c r="C5005" t="s">
        <v>22</v>
      </c>
      <c r="D5005" s="2" t="s">
        <f>=HYPERLINK("https://main.knesset.gov.il/APPS/legislation/main/bills/2198761", "הצעת חוק יישום תוכנית ההתנתקות (תיקון - ביטול סעיפי הפינוי), התשפ""ג-2023")</f>
        <v>10251</v>
      </c>
      <c r="E5005" t="s">
        <v>10251</v>
      </c>
      <c r="F5005" t="s">
        <v>10252</v>
      </c>
      <c r="G5005" t="s">
        <v>14</v>
      </c>
      <c r="H5005">
             </c>
      <c r="I5005" t="s">
        <v>14</v>
      </c>
      <c r="J5005" t="s">
        <v>99</v>
      </c>
      <c r="K5005" t="s">
        <v>114</v>
      </c>
      <c r="L5005" t="s">
        <v>20</v>
      </c>
      <c r="M5005" t="s">
        <v>10253</v>
      </c>
      <c r="N5005" t="s">
        <v>14</v>
      </c>
    </row>
    <row r="5006" x14ac:dyDescent="0.25">
      <c r="A5006" t="n">
        <v>25</v>
      </c>
      <c r="B5006" t="s">
        <v>14</v>
      </c>
      <c r="C5006" t="s">
        <v>22</v>
      </c>
      <c r="D5006" s="2" t="s">
        <f>=HYPERLINK("https://main.knesset.gov.il/APPS/legislation/main/bills/2201860", "הצעת חוק פיצויי פיטורים (תיקון - התפטרות בשל השתתפות במכינה קדם צבאית), התשפ""ג-2023")</f>
        <v>10254</v>
      </c>
      <c r="E5006" t="s">
        <v>10254</v>
      </c>
      <c r="F5006" t="s">
        <v>10255</v>
      </c>
      <c r="G5006" t="s">
        <v>14</v>
      </c>
      <c r="H5006">
             </c>
      <c r="I5006" t="s">
        <v>14</v>
      </c>
      <c r="J5006" t="s">
        <v>141</v>
      </c>
      <c r="K5006" t="s">
        <v>14</v>
      </c>
      <c r="L5006" t="s">
        <v>20</v>
      </c>
      <c r="M5006" t="s">
        <v>10256</v>
      </c>
      <c r="N5006" t="s">
        <v>14</v>
      </c>
    </row>
    <row r="5007" x14ac:dyDescent="0.25">
      <c r="A5007" t="n">
        <v>25</v>
      </c>
      <c r="B5007" t="s">
        <v>14</v>
      </c>
      <c r="C5007" t="s">
        <v>22</v>
      </c>
      <c r="D5007" s="2" t="s">
        <f>=HYPERLINK("https://main.knesset.gov.il/APPS/legislation/main/bills/2202151", "הצעת חוק סיוע לצעירים חסרי עורף משפחתי, התשפ""ג-2023")</f>
        <v>10257</v>
      </c>
      <c r="E5007" t="s">
        <v>10257</v>
      </c>
      <c r="F5007" t="s">
        <v>10258</v>
      </c>
      <c r="G5007" t="s">
        <v>14</v>
      </c>
      <c r="H5007">
             </c>
      <c r="I5007" t="s">
        <v>14</v>
      </c>
      <c r="J5007" t="s">
        <v>343</v>
      </c>
      <c r="K5007" t="s">
        <v>14</v>
      </c>
      <c r="L5007" t="s">
        <v>20</v>
      </c>
      <c r="M5007" t="s">
        <v>10256</v>
      </c>
      <c r="N5007" t="s">
        <v>14</v>
      </c>
    </row>
    <row r="5008" x14ac:dyDescent="0.25">
      <c r="A5008" t="n">
        <v>25</v>
      </c>
      <c r="B5008" t="s">
        <v>14</v>
      </c>
      <c r="C5008" t="s">
        <v>22</v>
      </c>
      <c r="D5008" s="2" t="s">
        <f>=HYPERLINK("https://main.knesset.gov.il/APPS/legislation/main/bills/2201961", "הצעת חוק האזרחים הוותיקים (תיקון - חניה חינם לאזרח ותיק שמלאו לו 75 שנים), התשפ""ג-2023")</f>
        <v>10024</v>
      </c>
      <c r="E5008" t="s">
        <v>10024</v>
      </c>
      <c r="F5008" t="s">
        <v>10259</v>
      </c>
      <c r="G5008" t="s">
        <v>14</v>
      </c>
      <c r="H5008">
             </c>
      <c r="I5008" t="s">
        <v>14</v>
      </c>
      <c r="J5008" t="s">
        <v>141</v>
      </c>
      <c r="K5008" t="s">
        <v>14</v>
      </c>
      <c r="L5008" t="s">
        <v>20</v>
      </c>
      <c r="M5008" t="s">
        <v>10256</v>
      </c>
      <c r="N5008" t="s">
        <v>14</v>
      </c>
    </row>
    <row r="5009" x14ac:dyDescent="0.25">
      <c r="A5009" t="n">
        <v>25</v>
      </c>
      <c r="B5009" t="s">
        <v>14</v>
      </c>
      <c r="C5009" t="s">
        <v>22</v>
      </c>
      <c r="D5009" s="2" t="s">
        <f>=HYPERLINK("https://main.knesset.gov.il/APPS/legislation/main/bills/2201828", "הצעת חוק עבודת נשים (תיקון - הארכת תקופת הלידה וההורות להורי פעוט עם מוגבלות מורכבת), התשפ""ג-2023")</f>
        <v>3668</v>
      </c>
      <c r="E5009" t="s">
        <v>3668</v>
      </c>
      <c r="F5009" t="s">
        <v>10260</v>
      </c>
      <c r="G5009" t="s">
        <v>14</v>
      </c>
      <c r="H5009">
             </c>
      <c r="I5009" t="s">
        <v>14</v>
      </c>
      <c r="J5009" t="s">
        <v>141</v>
      </c>
      <c r="K5009" t="s">
        <v>14</v>
      </c>
      <c r="L5009" t="s">
        <v>20</v>
      </c>
      <c r="M5009" t="s">
        <v>10256</v>
      </c>
      <c r="N5009" t="s">
        <v>14</v>
      </c>
    </row>
    <row r="5010" x14ac:dyDescent="0.25">
      <c r="A5010" t="n">
        <v>25</v>
      </c>
      <c r="B5010" t="s">
        <v>14</v>
      </c>
      <c r="C5010" t="s">
        <v>22</v>
      </c>
      <c r="D5010" s="2" t="s">
        <f>=HYPERLINK("https://main.knesset.gov.il/APPS/legislation/main/bills/2202292", "הצעת חוק סיוע למשפחות ברוכות ילדים (תיקוני חקיקה), התשפ""ג-2023")</f>
        <v>9546</v>
      </c>
      <c r="E5010" t="s">
        <v>9546</v>
      </c>
      <c r="F5010" t="s">
        <v>10261</v>
      </c>
      <c r="G5010" t="s">
        <v>14</v>
      </c>
      <c r="H5010">
             </c>
      <c r="I5010" t="s">
        <v>14</v>
      </c>
      <c r="J5010" t="s">
        <v>141</v>
      </c>
      <c r="K5010" t="s">
        <v>14</v>
      </c>
      <c r="L5010" t="s">
        <v>20</v>
      </c>
      <c r="M5010" t="s">
        <v>10256</v>
      </c>
      <c r="N5010" t="s">
        <v>14</v>
      </c>
    </row>
    <row r="5011" x14ac:dyDescent="0.25">
      <c r="A5011" t="n">
        <v>25</v>
      </c>
      <c r="B5011" t="s">
        <v>14</v>
      </c>
      <c r="C5011" t="s">
        <v>22</v>
      </c>
      <c r="D5011" s="2" t="s">
        <f>=HYPERLINK("https://main.knesset.gov.il/APPS/legislation/main/bills/2202156", "הצעת חוק הביטוח הלאומי (תיקון - תשלום גמלת ילד נכה לאומן בעד ילד הנמצא אצלו באומנה), התשפ""ג-2023")</f>
        <v>7280</v>
      </c>
      <c r="E5011" t="s">
        <v>7280</v>
      </c>
      <c r="F5011" t="s">
        <v>10262</v>
      </c>
      <c r="G5011" t="s">
        <v>14</v>
      </c>
      <c r="H5011">
             </c>
      <c r="I5011" t="s">
        <v>14</v>
      </c>
      <c r="J5011" t="s">
        <v>141</v>
      </c>
      <c r="K5011" t="s">
        <v>14</v>
      </c>
      <c r="L5011" t="s">
        <v>20</v>
      </c>
      <c r="M5011" t="s">
        <v>10256</v>
      </c>
      <c r="N5011" t="s">
        <v>14</v>
      </c>
    </row>
    <row r="5012" x14ac:dyDescent="0.25">
      <c r="A5012" t="n">
        <v>25</v>
      </c>
      <c r="B5012" t="s">
        <v>14</v>
      </c>
      <c r="C5012" t="s">
        <v>22</v>
      </c>
      <c r="D5012" s="2" t="s">
        <f>=HYPERLINK("https://main.knesset.gov.il/APPS/legislation/main/bills/2200709", "הצעת חוק שירותי הדת היהודיים (תיקון - ביטול המועצות הדתיות), התשפ""ג-2023")</f>
        <v>10263</v>
      </c>
      <c r="E5012" t="s">
        <v>10263</v>
      </c>
      <c r="F5012" t="s">
        <v>10264</v>
      </c>
      <c r="G5012" t="s">
        <v>14</v>
      </c>
      <c r="H5012">
             </c>
      <c r="I5012" t="s">
        <v>14</v>
      </c>
      <c r="J5012" t="s">
        <v>141</v>
      </c>
      <c r="K5012" t="s">
        <v>14</v>
      </c>
      <c r="L5012" t="s">
        <v>20</v>
      </c>
      <c r="M5012" t="s">
        <v>10256</v>
      </c>
      <c r="N5012" t="s">
        <v>14</v>
      </c>
    </row>
    <row r="5013" x14ac:dyDescent="0.25">
      <c r="A5013" t="n">
        <v>25</v>
      </c>
      <c r="B5013" t="s">
        <v>14</v>
      </c>
      <c r="C5013" t="s">
        <v>22</v>
      </c>
      <c r="D5013" s="2" t="s">
        <f>=HYPERLINK("https://main.knesset.gov.il/APPS/legislation/main/bills/2201135", "הצעת חוק לקידום התחרות ולצמצום הריכוזיות (תיקון - קביעת תאגיד שאינו מדווח או שותפות כחברת שכבה), התשפ""ג-2023")</f>
        <v>10265</v>
      </c>
      <c r="E5013" t="s">
        <v>10265</v>
      </c>
      <c r="F5013" t="s">
        <v>10266</v>
      </c>
      <c r="G5013" t="s">
        <v>14</v>
      </c>
      <c r="H5013">
             </c>
      <c r="I5013" t="s">
        <v>14</v>
      </c>
      <c r="J5013" t="s">
        <v>141</v>
      </c>
      <c r="K5013" t="s">
        <v>14</v>
      </c>
      <c r="L5013" t="s">
        <v>20</v>
      </c>
      <c r="M5013" t="s">
        <v>10256</v>
      </c>
      <c r="N5013" t="s">
        <v>14</v>
      </c>
    </row>
    <row r="5014" x14ac:dyDescent="0.25">
      <c r="A5014" t="n">
        <v>25</v>
      </c>
      <c r="B5014" t="s">
        <v>14</v>
      </c>
      <c r="C5014" t="s">
        <v>22</v>
      </c>
      <c r="D5014" s="2" t="s">
        <f>=HYPERLINK("https://main.knesset.gov.il/APPS/legislation/main/bills/2202191", "הצעת חוק זכויות החולה (תיקון - טיפול בזמן סביר), התשפ""ג-2023")</f>
        <v>3849</v>
      </c>
      <c r="E5014" t="s">
        <v>3849</v>
      </c>
      <c r="F5014" t="s">
        <v>10267</v>
      </c>
      <c r="G5014" t="s">
        <v>14</v>
      </c>
      <c r="H5014">
             </c>
      <c r="I5014" t="s">
        <v>14</v>
      </c>
      <c r="J5014" t="s">
        <v>141</v>
      </c>
      <c r="K5014" t="s">
        <v>14</v>
      </c>
      <c r="L5014" t="s">
        <v>20</v>
      </c>
      <c r="M5014" t="s">
        <v>10256</v>
      </c>
      <c r="N5014" t="s">
        <v>14</v>
      </c>
    </row>
    <row r="5015" x14ac:dyDescent="0.25">
      <c r="A5015" t="n">
        <v>25</v>
      </c>
      <c r="B5015" t="s">
        <v>14</v>
      </c>
      <c r="C5015" t="s">
        <v>22</v>
      </c>
      <c r="D5015" s="2" t="s">
        <f>=HYPERLINK("https://main.knesset.gov.il/APPS/legislation/main/bills/2202103", "הצעת חוק יישום הסכם הביניים בדבר הגדה המערבית ורצועת עזה (הגבלת פעילות) (תיקון - עונשין על קיום פעילות וחובות דיווח לכנסת), התשפ""ג-2023")</f>
        <v>10268</v>
      </c>
      <c r="E5015" t="s">
        <v>10268</v>
      </c>
      <c r="F5015" t="s">
        <v>10269</v>
      </c>
      <c r="G5015" t="s">
        <v>14</v>
      </c>
      <c r="H5015">
             </c>
      <c r="I5015" t="s">
        <v>14</v>
      </c>
      <c r="J5015" t="s">
        <v>141</v>
      </c>
      <c r="K5015" t="s">
        <v>14</v>
      </c>
      <c r="L5015" t="s">
        <v>20</v>
      </c>
      <c r="M5015" t="s">
        <v>10256</v>
      </c>
      <c r="N5015" t="s">
        <v>14</v>
      </c>
    </row>
    <row r="5016" x14ac:dyDescent="0.25">
      <c r="A5016" t="n">
        <v>25</v>
      </c>
      <c r="B5016" t="s">
        <v>14</v>
      </c>
      <c r="C5016" t="s">
        <v>22</v>
      </c>
      <c r="D5016" s="2" t="s">
        <f>=HYPERLINK("https://main.knesset.gov.il/APPS/legislation/main/bills/2200845", "הצעת חוק הביטוח הלאומי (תיקון - הגבלת קצבאות הילדים), התשפ""ג-2023")</f>
        <v>10270</v>
      </c>
      <c r="E5016" t="s">
        <v>10270</v>
      </c>
      <c r="F5016" t="s">
        <v>10271</v>
      </c>
      <c r="G5016" t="s">
        <v>14</v>
      </c>
      <c r="H5016">
             </c>
      <c r="I5016" t="s">
        <v>14</v>
      </c>
      <c r="J5016" t="s">
        <v>141</v>
      </c>
      <c r="K5016" t="s">
        <v>14</v>
      </c>
      <c r="L5016" t="s">
        <v>20</v>
      </c>
      <c r="M5016" t="s">
        <v>10256</v>
      </c>
      <c r="N5016" t="s">
        <v>14</v>
      </c>
    </row>
    <row r="5017" x14ac:dyDescent="0.25">
      <c r="A5017" t="n">
        <v>25</v>
      </c>
      <c r="B5017" t="s">
        <v>14</v>
      </c>
      <c r="C5017" t="s">
        <v>22</v>
      </c>
      <c r="D5017" s="2" t="s">
        <f>=HYPERLINK("https://main.knesset.gov.il/APPS/legislation/main/bills/2200355", "הצעת חוק הצבת מכשירי החייאה במקומות ציבוריים (תיקון - צעדים ליישום מיטבי של החוק), התשפ""ג-2023")</f>
        <v>10272</v>
      </c>
      <c r="E5017" t="s">
        <v>10272</v>
      </c>
      <c r="F5017" t="s">
        <v>10273</v>
      </c>
      <c r="G5017" t="s">
        <v>14</v>
      </c>
      <c r="H5017">
             </c>
      <c r="I5017" t="s">
        <v>14</v>
      </c>
      <c r="J5017" t="s">
        <v>141</v>
      </c>
      <c r="K5017" t="s">
        <v>14</v>
      </c>
      <c r="L5017" t="s">
        <v>20</v>
      </c>
      <c r="M5017" t="s">
        <v>10256</v>
      </c>
      <c r="N5017" t="s">
        <v>14</v>
      </c>
    </row>
    <row r="5018" x14ac:dyDescent="0.25">
      <c r="A5018" t="n">
        <v>25</v>
      </c>
      <c r="B5018" t="s">
        <v>14</v>
      </c>
      <c r="C5018" t="s">
        <v>22</v>
      </c>
      <c r="D5018" s="2" t="s">
        <f>=HYPERLINK("https://main.knesset.gov.il/APPS/legislation/main/bills/2201545", "הצעת חוק ניירות ערך (תיקון - קנס מוגדל בגין הרצת מניות), התשפ""ג-2023")</f>
        <v>10274</v>
      </c>
      <c r="E5018" t="s">
        <v>10274</v>
      </c>
      <c r="F5018" t="s">
        <v>10275</v>
      </c>
      <c r="G5018" t="s">
        <v>14</v>
      </c>
      <c r="H5018">
             </c>
      <c r="I5018" t="s">
        <v>14</v>
      </c>
      <c r="J5018" t="s">
        <v>141</v>
      </c>
      <c r="K5018" t="s">
        <v>14</v>
      </c>
      <c r="L5018" t="s">
        <v>20</v>
      </c>
      <c r="M5018" t="s">
        <v>10256</v>
      </c>
      <c r="N5018" t="s">
        <v>14</v>
      </c>
    </row>
    <row r="5019" x14ac:dyDescent="0.25">
      <c r="A5019" t="n">
        <v>25</v>
      </c>
      <c r="B5019" t="s">
        <v>14</v>
      </c>
      <c r="C5019" t="s">
        <v>22</v>
      </c>
      <c r="D5019" s="2" t="s">
        <f>=HYPERLINK("https://main.knesset.gov.il/APPS/legislation/main/bills/2201952", "הצעת חוק ביטוח בריאות ממלכתי (תיקון - החזר הוצאות עבור נסיעה באמבולנס), התשפ""ג-2023")</f>
        <v>10276</v>
      </c>
      <c r="E5019" t="s">
        <v>10276</v>
      </c>
      <c r="F5019" t="s">
        <v>10277</v>
      </c>
      <c r="G5019" t="s">
        <v>14</v>
      </c>
      <c r="H5019">
             </c>
      <c r="I5019" t="s">
        <v>14</v>
      </c>
      <c r="J5019" t="s">
        <v>141</v>
      </c>
      <c r="K5019" t="s">
        <v>14</v>
      </c>
      <c r="L5019" t="s">
        <v>20</v>
      </c>
      <c r="M5019" t="s">
        <v>10256</v>
      </c>
      <c r="N5019" t="s">
        <v>14</v>
      </c>
    </row>
    <row r="5020" x14ac:dyDescent="0.25">
      <c r="A5020" t="n">
        <v>25</v>
      </c>
      <c r="B5020" t="s">
        <v>14</v>
      </c>
      <c r="C5020" t="s">
        <v>22</v>
      </c>
      <c r="D5020" s="2" t="s">
        <f>=HYPERLINK("https://main.knesset.gov.il/APPS/legislation/main/bills/2201175", "הצעת חוק ביטוח בריאות ממלכתי (תיקון - החזר הוצאות עבור נסיעה באמבולנס), התשפ""ג-2023")</f>
        <v>10276</v>
      </c>
      <c r="E5020" t="s">
        <v>10276</v>
      </c>
      <c r="F5020" t="s">
        <v>10278</v>
      </c>
      <c r="G5020" t="s">
        <v>14</v>
      </c>
      <c r="H5020">
             </c>
      <c r="I5020" t="s">
        <v>14</v>
      </c>
      <c r="J5020" t="s">
        <v>141</v>
      </c>
      <c r="K5020" t="s">
        <v>14</v>
      </c>
      <c r="L5020" t="s">
        <v>20</v>
      </c>
      <c r="M5020" t="s">
        <v>10256</v>
      </c>
      <c r="N5020" t="s">
        <v>14</v>
      </c>
    </row>
    <row r="5021" x14ac:dyDescent="0.25">
      <c r="A5021" t="n">
        <v>25</v>
      </c>
      <c r="B5021" t="s">
        <v>14</v>
      </c>
      <c r="C5021" t="s">
        <v>22</v>
      </c>
      <c r="D5021" s="2" t="s">
        <f>=HYPERLINK("https://main.knesset.gov.il/APPS/legislation/main/bills/2202127", "הצעת חוק הביטוח הלאומי (תיקון - תשלום תוספת לגמלת אזרח ותיק לנכה שהכנסתו נמוכה משכר המינימום), התשפ""ג-2023")</f>
        <v>9732</v>
      </c>
      <c r="E5021" t="s">
        <v>9732</v>
      </c>
      <c r="F5021" t="s">
        <v>10279</v>
      </c>
      <c r="G5021" t="s">
        <v>14</v>
      </c>
      <c r="H5021">
             </c>
      <c r="I5021" t="s">
        <v>14</v>
      </c>
      <c r="J5021" t="s">
        <v>141</v>
      </c>
      <c r="K5021" t="s">
        <v>14</v>
      </c>
      <c r="L5021" t="s">
        <v>20</v>
      </c>
      <c r="M5021" t="s">
        <v>10256</v>
      </c>
      <c r="N5021" t="s">
        <v>14</v>
      </c>
    </row>
    <row r="5022" x14ac:dyDescent="0.25">
      <c r="A5022" t="n">
        <v>25</v>
      </c>
      <c r="B5022" t="s">
        <v>14</v>
      </c>
      <c r="C5022" t="s">
        <v>22</v>
      </c>
      <c r="D5022" s="2" t="s">
        <f>=HYPERLINK("https://main.knesset.gov.il/APPS/legislation/main/bills/2202463", "הצעת חוק לתיקון פקודת העיריות (ייצוג הולם בשמות מקומות ציבוריים), התשפ""ג-2023")</f>
        <v>10007</v>
      </c>
      <c r="E5022" t="s">
        <v>10007</v>
      </c>
      <c r="F5022" t="s">
        <v>10280</v>
      </c>
      <c r="G5022" t="s">
        <v>14</v>
      </c>
      <c r="H5022">
             </c>
      <c r="I5022" t="s">
        <v>14</v>
      </c>
      <c r="J5022" t="s">
        <v>141</v>
      </c>
      <c r="K5022" t="s">
        <v>14</v>
      </c>
      <c r="L5022" t="s">
        <v>20</v>
      </c>
      <c r="M5022" t="s">
        <v>10256</v>
      </c>
      <c r="N5022" t="s">
        <v>14</v>
      </c>
    </row>
    <row r="5023" x14ac:dyDescent="0.25">
      <c r="A5023" t="n">
        <v>25</v>
      </c>
      <c r="B5023" t="s">
        <v>14</v>
      </c>
      <c r="C5023" t="s">
        <v>22</v>
      </c>
      <c r="D5023" s="2" t="s">
        <f>=HYPERLINK("https://main.knesset.gov.il/APPS/legislation/main/bills/2199500", "הצעת חוק לימודי בטיחות בדרכים בבתי ספר, התשפ""ג-2023")</f>
        <v>10281</v>
      </c>
      <c r="E5023" t="s">
        <v>10281</v>
      </c>
      <c r="F5023" t="s">
        <v>10282</v>
      </c>
      <c r="G5023" t="s">
        <v>14</v>
      </c>
      <c r="H5023">
             </c>
      <c r="I5023" t="s">
        <v>14</v>
      </c>
      <c r="J5023" t="s">
        <v>141</v>
      </c>
      <c r="K5023" t="s">
        <v>14</v>
      </c>
      <c r="L5023" t="s">
        <v>20</v>
      </c>
      <c r="M5023" t="s">
        <v>10256</v>
      </c>
      <c r="N5023" t="s">
        <v>14</v>
      </c>
    </row>
    <row r="5024" x14ac:dyDescent="0.25">
      <c r="A5024" t="n">
        <v>25</v>
      </c>
      <c r="B5024" t="s">
        <v>14</v>
      </c>
      <c r="C5024" t="s">
        <v>22</v>
      </c>
      <c r="D5024" s="2" t="s">
        <f>=HYPERLINK("https://main.knesset.gov.il/APPS/legislation/main/bills/2201197", "הצעת חוק לימוד חובה (תיקון - חובת לימודי ליבה), התשפ""ג-2023")</f>
        <v>10283</v>
      </c>
      <c r="E5024" t="s">
        <v>10283</v>
      </c>
      <c r="F5024" t="s">
        <v>10284</v>
      </c>
      <c r="G5024" t="s">
        <v>14</v>
      </c>
      <c r="H5024">
             </c>
      <c r="I5024" t="s">
        <v>14</v>
      </c>
      <c r="J5024" t="s">
        <v>141</v>
      </c>
      <c r="K5024" t="s">
        <v>14</v>
      </c>
      <c r="L5024" t="s">
        <v>20</v>
      </c>
      <c r="M5024" t="s">
        <v>10256</v>
      </c>
      <c r="N5024" t="s">
        <v>14</v>
      </c>
    </row>
    <row r="5025" x14ac:dyDescent="0.25">
      <c r="A5025" t="n">
        <v>25</v>
      </c>
      <c r="B5025" t="s">
        <v>14</v>
      </c>
      <c r="C5025" t="s">
        <v>22</v>
      </c>
      <c r="D5025" s="2" t="s">
        <f>=HYPERLINK("https://main.knesset.gov.il/APPS/legislation/main/bills/2201743", "הצעת חוק גנים לאומיים, שמורות טבע, אתרים לאומיים ואתרי הנצחה (תיקון - מניעת שוד והרס אתרי מורשת והעצמת תשתיות במדבר יהודה, ביהודה והשומרון ובקעת הירדן), התשפ""ג-2023")</f>
        <v>10285</v>
      </c>
      <c r="E5025" t="s">
        <v>10285</v>
      </c>
      <c r="F5025" t="s">
        <v>10286</v>
      </c>
      <c r="G5025" t="s">
        <v>14</v>
      </c>
      <c r="H5025">
             </c>
      <c r="I5025" t="s">
        <v>14</v>
      </c>
      <c r="J5025" t="s">
        <v>141</v>
      </c>
      <c r="K5025" t="s">
        <v>14</v>
      </c>
      <c r="L5025" t="s">
        <v>20</v>
      </c>
      <c r="M5025" t="s">
        <v>10256</v>
      </c>
      <c r="N5025" t="s">
        <v>14</v>
      </c>
    </row>
    <row r="5026" x14ac:dyDescent="0.25">
      <c r="A5026" t="n">
        <v>25</v>
      </c>
      <c r="B5026" t="s">
        <v>14</v>
      </c>
      <c r="C5026" t="s">
        <v>22</v>
      </c>
      <c r="D5026" s="2" t="s">
        <f>=HYPERLINK("https://main.knesset.gov.il/APPS/legislation/main/bills/2201865", "הצעת חוק כלי הירייה (תיקון - דמויי כלי ירייה), התשפ""ג-2023")</f>
        <v>9881</v>
      </c>
      <c r="E5026" t="s">
        <v>9881</v>
      </c>
      <c r="F5026" t="s">
        <v>10287</v>
      </c>
      <c r="G5026" t="s">
        <v>14</v>
      </c>
      <c r="H5026">
             </c>
      <c r="I5026" t="s">
        <v>14</v>
      </c>
      <c r="J5026" t="s">
        <v>141</v>
      </c>
      <c r="K5026" t="s">
        <v>14</v>
      </c>
      <c r="L5026" t="s">
        <v>20</v>
      </c>
      <c r="M5026" t="s">
        <v>10256</v>
      </c>
      <c r="N5026" t="s">
        <v>14</v>
      </c>
    </row>
    <row r="5027" x14ac:dyDescent="0.25">
      <c r="A5027" t="n">
        <v>25</v>
      </c>
      <c r="B5027" t="s">
        <v>14</v>
      </c>
      <c r="C5027" t="s">
        <v>22</v>
      </c>
      <c r="D5027" s="2" t="s">
        <f>=HYPERLINK("https://main.knesset.gov.il/APPS/legislation/main/bills/2201910", "הצעת חוק שריון איסור הפליה על רקע נטייה מינית או זהות מגדרית (תיקוני חקיקה), התשפ""ג-2023")</f>
        <v>10288</v>
      </c>
      <c r="E5027" t="s">
        <v>10288</v>
      </c>
      <c r="F5027" t="s">
        <v>10289</v>
      </c>
      <c r="G5027" t="s">
        <v>14</v>
      </c>
      <c r="H5027">
             </c>
      <c r="I5027" t="s">
        <v>14</v>
      </c>
      <c r="J5027" t="s">
        <v>141</v>
      </c>
      <c r="K5027" t="s">
        <v>14</v>
      </c>
      <c r="L5027" t="s">
        <v>20</v>
      </c>
      <c r="M5027" t="s">
        <v>10256</v>
      </c>
      <c r="N5027" t="s">
        <v>14</v>
      </c>
    </row>
    <row r="5028" x14ac:dyDescent="0.25">
      <c r="A5028" t="n">
        <v>25</v>
      </c>
      <c r="B5028" t="s">
        <v>14</v>
      </c>
      <c r="C5028" t="s">
        <v>22</v>
      </c>
      <c r="D5028" s="2" t="s">
        <f>=HYPERLINK("https://main.knesset.gov.il/APPS/legislation/main/bills/2198466", "הצעת חוק המלחמה בפדופיליה (מאגר מידע), התשפ""ג-2023")</f>
        <v>10290</v>
      </c>
      <c r="E5028" t="s">
        <v>10290</v>
      </c>
      <c r="F5028" t="s">
        <v>10291</v>
      </c>
      <c r="G5028" t="s">
        <v>14</v>
      </c>
      <c r="H5028">
             </c>
      <c r="I5028" t="s">
        <v>14</v>
      </c>
      <c r="J5028" t="s">
        <v>141</v>
      </c>
      <c r="K5028" t="s">
        <v>14</v>
      </c>
      <c r="L5028" t="s">
        <v>20</v>
      </c>
      <c r="M5028" t="s">
        <v>10256</v>
      </c>
      <c r="N5028" t="s">
        <v>14</v>
      </c>
    </row>
    <row r="5029" x14ac:dyDescent="0.25">
      <c r="A5029" t="n">
        <v>25</v>
      </c>
      <c r="B5029" t="s">
        <v>14</v>
      </c>
      <c r="C5029" t="s">
        <v>22</v>
      </c>
      <c r="D5029" s="2" t="s">
        <f>=HYPERLINK("https://main.knesset.gov.il/APPS/legislation/main/bills/2201312", "הצעת חוק המועצה להשכלה גבוהה (תיקון - שכר לימוד לסטודנטים יהודים זכאי חוק השבות), התשפ""ג-2023")</f>
        <v>10292</v>
      </c>
      <c r="E5029" t="s">
        <v>10292</v>
      </c>
      <c r="F5029" t="s">
        <v>10293</v>
      </c>
      <c r="G5029" t="s">
        <v>14</v>
      </c>
      <c r="H5029">
             </c>
      <c r="I5029" t="s">
        <v>14</v>
      </c>
      <c r="J5029" t="s">
        <v>141</v>
      </c>
      <c r="K5029" t="s">
        <v>14</v>
      </c>
      <c r="L5029" t="s">
        <v>20</v>
      </c>
      <c r="M5029" t="s">
        <v>10256</v>
      </c>
      <c r="N5029" t="s">
        <v>14</v>
      </c>
    </row>
    <row r="5030" x14ac:dyDescent="0.25">
      <c r="A5030" t="n">
        <v>25</v>
      </c>
      <c r="B5030" t="s">
        <v>14</v>
      </c>
      <c r="C5030" t="s">
        <v>22</v>
      </c>
      <c r="D5030" s="2" t="s">
        <f>=HYPERLINK("https://main.knesset.gov.il/APPS/legislation/main/bills/2201867", "הצעת חוק הביטוח הלאומי (תיקון - טיפול בפעוטות במעונות יום כעבודה מועדפת), התשפ""ג-2023")</f>
        <v>9837</v>
      </c>
      <c r="E5030" t="s">
        <v>9837</v>
      </c>
      <c r="F5030" t="s">
        <v>10294</v>
      </c>
      <c r="G5030" t="s">
        <v>14</v>
      </c>
      <c r="H5030">
             </c>
      <c r="I5030" t="s">
        <v>14</v>
      </c>
      <c r="J5030" t="s">
        <v>141</v>
      </c>
      <c r="K5030" t="s">
        <v>14</v>
      </c>
      <c r="L5030" t="s">
        <v>20</v>
      </c>
      <c r="M5030" t="s">
        <v>10256</v>
      </c>
      <c r="N5030" t="s">
        <v>14</v>
      </c>
    </row>
    <row r="5031" x14ac:dyDescent="0.25">
      <c r="A5031" t="n">
        <v>25</v>
      </c>
      <c r="B5031" t="s">
        <v>14</v>
      </c>
      <c r="C5031" t="s">
        <v>22</v>
      </c>
      <c r="D5031" s="2" t="s">
        <f>=HYPERLINK("https://main.knesset.gov.il/APPS/legislation/main/bills/2202004", "הצעת חוק ביטוח בריאות ממלכתי (תיקון - העברת תיק רפואי במעבר בין קופות), התשפ""ג-2023")</f>
        <v>10295</v>
      </c>
      <c r="E5031" t="s">
        <v>10295</v>
      </c>
      <c r="F5031" t="s">
        <v>10296</v>
      </c>
      <c r="G5031" t="s">
        <v>14</v>
      </c>
      <c r="H5031">
             </c>
      <c r="I5031" t="s">
        <v>14</v>
      </c>
      <c r="J5031" t="s">
        <v>141</v>
      </c>
      <c r="K5031" t="s">
        <v>14</v>
      </c>
      <c r="L5031" t="s">
        <v>20</v>
      </c>
      <c r="M5031" t="s">
        <v>10256</v>
      </c>
      <c r="N5031" t="s">
        <v>14</v>
      </c>
    </row>
    <row r="5032" x14ac:dyDescent="0.25">
      <c r="A5032" t="n">
        <v>25</v>
      </c>
      <c r="B5032" t="s">
        <v>14</v>
      </c>
      <c r="C5032" t="s">
        <v>22</v>
      </c>
      <c r="D5032" s="2" t="s">
        <f>=HYPERLINK("https://main.knesset.gov.il/APPS/legislation/main/bills/2201862", "הצעת חוק הסדרת מקומות רחצה (תיקון – קביעת מקומות לרחצה נפרדת), התשפ""ג–2023")</f>
        <v>10297</v>
      </c>
      <c r="E5032" t="s">
        <v>10297</v>
      </c>
      <c r="F5032" t="s">
        <v>10298</v>
      </c>
      <c r="G5032" t="s">
        <v>14</v>
      </c>
      <c r="H5032">
             </c>
      <c r="I5032" t="s">
        <v>14</v>
      </c>
      <c r="J5032" t="s">
        <v>141</v>
      </c>
      <c r="K5032" t="s">
        <v>14</v>
      </c>
      <c r="L5032" t="s">
        <v>20</v>
      </c>
      <c r="M5032" t="s">
        <v>10256</v>
      </c>
      <c r="N5032" t="s">
        <v>14</v>
      </c>
    </row>
    <row r="5033" x14ac:dyDescent="0.25">
      <c r="A5033" t="n">
        <v>25</v>
      </c>
      <c r="B5033" t="s">
        <v>14</v>
      </c>
      <c r="C5033" t="s">
        <v>22</v>
      </c>
      <c r="D5033" s="2" t="s">
        <f>=HYPERLINK("https://main.knesset.gov.il/APPS/legislation/main/bills/2202530", "הצעת חוק שירותי הדת היהודיים (תיקון - סכום ההשתתפות בהוצאות התקציב של מועצה דתית), התשפ""ג-2023")</f>
        <v>10299</v>
      </c>
      <c r="E5033" t="s">
        <v>10299</v>
      </c>
      <c r="F5033" t="s">
        <v>10300</v>
      </c>
      <c r="G5033" t="s">
        <v>14</v>
      </c>
      <c r="H5033">
             </c>
      <c r="I5033" t="s">
        <v>14</v>
      </c>
      <c r="J5033" t="s">
        <v>141</v>
      </c>
      <c r="K5033" t="s">
        <v>14</v>
      </c>
      <c r="L5033" t="s">
        <v>20</v>
      </c>
      <c r="M5033" t="s">
        <v>10256</v>
      </c>
      <c r="N5033" t="s">
        <v>14</v>
      </c>
    </row>
    <row r="5034" x14ac:dyDescent="0.25">
      <c r="A5034" t="n">
        <v>25</v>
      </c>
      <c r="B5034" t="s">
        <v>14</v>
      </c>
      <c r="C5034" t="s">
        <v>22</v>
      </c>
      <c r="D5034" s="2" t="s">
        <f>=HYPERLINK("https://main.knesset.gov.il/APPS/legislation/main/bills/2202017", "הצעת חוק להגדלת שיעור ההשתתפות בכוח העבודה ולצמצום פערים חברתיים (מענק עבודה) (תיקון - זכות במקרקעין בקבוצת רכישה), התשפ""ג-2023 ")</f>
        <v>10301</v>
      </c>
      <c r="E5034" t="s">
        <v>10301</v>
      </c>
      <c r="F5034" t="s">
        <v>10302</v>
      </c>
      <c r="G5034" t="s">
        <v>14</v>
      </c>
      <c r="H5034">
             </c>
      <c r="I5034" t="s">
        <v>14</v>
      </c>
      <c r="J5034" t="s">
        <v>141</v>
      </c>
      <c r="K5034" t="s">
        <v>14</v>
      </c>
      <c r="L5034" t="s">
        <v>20</v>
      </c>
      <c r="M5034" t="s">
        <v>10256</v>
      </c>
      <c r="N5034" t="s">
        <v>14</v>
      </c>
    </row>
    <row r="5035" x14ac:dyDescent="0.25">
      <c r="A5035" t="n">
        <v>25</v>
      </c>
      <c r="B5035" t="s">
        <v>14</v>
      </c>
      <c r="C5035" t="s">
        <v>22</v>
      </c>
      <c r="D5035" s="2" t="s">
        <f>=HYPERLINK("https://main.knesset.gov.il/APPS/legislation/main/bills/2200308", "הצעת חוק הפיקוח על מעונות יום לפעוטות (תיקון - העברת האחריות למשרד החינוך), התשפ""ג-2023")</f>
        <v>10303</v>
      </c>
      <c r="E5035" t="s">
        <v>10303</v>
      </c>
      <c r="F5035" t="s">
        <v>10304</v>
      </c>
      <c r="G5035" t="s">
        <v>14</v>
      </c>
      <c r="H5035">
             </c>
      <c r="I5035" t="s">
        <v>14</v>
      </c>
      <c r="J5035" t="s">
        <v>141</v>
      </c>
      <c r="K5035" t="s">
        <v>14</v>
      </c>
      <c r="L5035" t="s">
        <v>20</v>
      </c>
      <c r="M5035" t="s">
        <v>10256</v>
      </c>
      <c r="N5035" t="s">
        <v>14</v>
      </c>
    </row>
    <row r="5036" x14ac:dyDescent="0.25">
      <c r="A5036" t="n">
        <v>25</v>
      </c>
      <c r="B5036" t="s">
        <v>14</v>
      </c>
      <c r="C5036" t="s">
        <v>22</v>
      </c>
      <c r="D5036" s="2" t="s">
        <f>=HYPERLINK("https://main.knesset.gov.il/APPS/legislation/main/bills/2201900", "הצעת חוק הסדרת העיסוק במקצועות הבריאות (תיקון - הסדרת העיסוק בפודולוגיה), התשפ""ג-2023")</f>
        <v>7284</v>
      </c>
      <c r="E5036" t="s">
        <v>7284</v>
      </c>
      <c r="F5036" t="s">
        <v>10305</v>
      </c>
      <c r="G5036" t="s">
        <v>14</v>
      </c>
      <c r="H5036">
             </c>
      <c r="I5036" t="s">
        <v>14</v>
      </c>
      <c r="J5036" t="s">
        <v>141</v>
      </c>
      <c r="K5036" t="s">
        <v>14</v>
      </c>
      <c r="L5036" t="s">
        <v>20</v>
      </c>
      <c r="M5036" t="s">
        <v>10256</v>
      </c>
      <c r="N5036" t="s">
        <v>14</v>
      </c>
    </row>
    <row r="5037" x14ac:dyDescent="0.25">
      <c r="A5037" t="n">
        <v>25</v>
      </c>
      <c r="B5037" t="s">
        <v>14</v>
      </c>
      <c r="C5037" t="s">
        <v>22</v>
      </c>
      <c r="D5037" s="2" t="s">
        <f>=HYPERLINK("https://main.knesset.gov.il/APPS/legislation/main/bills/2202529", "הצעת חוק זכויות נפגעי עבירה (תיקון - חובת יידוע נפגעי עבירה בדבר זכויותיהם), התשפ""ג-2023")</f>
        <v>10306</v>
      </c>
      <c r="E5037" t="s">
        <v>10306</v>
      </c>
      <c r="F5037" t="s">
        <v>10307</v>
      </c>
      <c r="G5037" t="s">
        <v>14</v>
      </c>
      <c r="H5037">
             </c>
      <c r="I5037" t="s">
        <v>14</v>
      </c>
      <c r="J5037" t="s">
        <v>141</v>
      </c>
      <c r="K5037" t="s">
        <v>14</v>
      </c>
      <c r="L5037" t="s">
        <v>20</v>
      </c>
      <c r="M5037" t="s">
        <v>10256</v>
      </c>
      <c r="N5037" t="s">
        <v>14</v>
      </c>
    </row>
    <row r="5038" x14ac:dyDescent="0.25">
      <c r="A5038" t="n">
        <v>25</v>
      </c>
      <c r="B5038" t="s">
        <v>14</v>
      </c>
      <c r="C5038" t="s">
        <v>22</v>
      </c>
      <c r="D5038" s="2" t="s">
        <f>=HYPERLINK("https://main.knesset.gov.il/APPS/legislation/main/bills/2201192", "הצעת חוק לתיקון סדרי המינהל (החלטות והנמקות) (תיקון - קיצור זמן המענה בפניות ציבור), התשפ""ג-2023")</f>
        <v>10308</v>
      </c>
      <c r="E5038" t="s">
        <v>10308</v>
      </c>
      <c r="F5038" t="s">
        <v>10309</v>
      </c>
      <c r="G5038" t="s">
        <v>14</v>
      </c>
      <c r="H5038">
             </c>
      <c r="I5038" t="s">
        <v>14</v>
      </c>
      <c r="J5038" t="s">
        <v>141</v>
      </c>
      <c r="K5038" t="s">
        <v>14</v>
      </c>
      <c r="L5038" t="s">
        <v>20</v>
      </c>
      <c r="M5038" t="s">
        <v>10256</v>
      </c>
      <c r="N5038" t="s">
        <v>14</v>
      </c>
    </row>
    <row r="5039" x14ac:dyDescent="0.25">
      <c r="A5039" t="n">
        <v>25</v>
      </c>
      <c r="B5039" t="s">
        <v>14</v>
      </c>
      <c r="C5039" t="s">
        <v>22</v>
      </c>
      <c r="D5039" s="2" t="s">
        <f>=HYPERLINK("https://main.knesset.gov.il/APPS/legislation/main/bills/2202099", "הצעת חוק חוזה הביטוח (תיקון - התיישנות וריבית מיוחדת), התשפ""ג-2023")</f>
        <v>8881</v>
      </c>
      <c r="E5039" t="s">
        <v>8881</v>
      </c>
      <c r="F5039" t="s">
        <v>10310</v>
      </c>
      <c r="G5039" t="s">
        <v>14</v>
      </c>
      <c r="H5039">
             </c>
      <c r="I5039" t="s">
        <v>14</v>
      </c>
      <c r="J5039" t="s">
        <v>141</v>
      </c>
      <c r="K5039" t="s">
        <v>14</v>
      </c>
      <c r="L5039" t="s">
        <v>20</v>
      </c>
      <c r="M5039" t="s">
        <v>10256</v>
      </c>
      <c r="N5039" t="s">
        <v>14</v>
      </c>
    </row>
    <row r="5040" x14ac:dyDescent="0.25">
      <c r="A5040" t="n">
        <v>25</v>
      </c>
      <c r="B5040" t="s">
        <v>14</v>
      </c>
      <c r="C5040" t="s">
        <v>22</v>
      </c>
      <c r="D5040" s="2" t="s">
        <f>=HYPERLINK("https://main.knesset.gov.il/APPS/legislation/main/bills/2201232", "הצעת חוק-יסוד: כבוד האדם וחירותו (תיקון - הוספת סעיף שוויון)")</f>
        <v>2086</v>
      </c>
      <c r="E5040" t="s">
        <v>2086</v>
      </c>
      <c r="F5040" t="s">
        <v>10311</v>
      </c>
      <c r="G5040" t="s">
        <v>14</v>
      </c>
      <c r="H5040">
             </c>
      <c r="I5040" t="s">
        <v>14</v>
      </c>
      <c r="J5040" t="s">
        <v>141</v>
      </c>
      <c r="K5040" t="s">
        <v>14</v>
      </c>
      <c r="L5040" t="s">
        <v>20</v>
      </c>
      <c r="M5040" t="s">
        <v>10256</v>
      </c>
      <c r="N5040" t="s">
        <v>14</v>
      </c>
    </row>
    <row r="5041" x14ac:dyDescent="0.25">
      <c r="A5041" t="n">
        <v>25</v>
      </c>
      <c r="B5041" t="s">
        <v>14</v>
      </c>
      <c r="C5041" t="s">
        <v>22</v>
      </c>
      <c r="D5041" s="2" t="s">
        <f>=HYPERLINK("https://main.knesset.gov.il/APPS/legislation/main/bills/2202381", "הצעת חוק-יסוד: נשיא המדינה (תיקון - כשירות מועמדים לכהונה כנשיא המדינה)")</f>
        <v>2549</v>
      </c>
      <c r="E5041" t="s">
        <v>2549</v>
      </c>
      <c r="F5041" t="s">
        <v>10312</v>
      </c>
      <c r="G5041" t="s">
        <v>14</v>
      </c>
      <c r="H5041">
             </c>
      <c r="I5041" t="s">
        <v>14</v>
      </c>
      <c r="J5041" t="s">
        <v>141</v>
      </c>
      <c r="K5041" t="s">
        <v>14</v>
      </c>
      <c r="L5041" t="s">
        <v>20</v>
      </c>
      <c r="M5041" t="s">
        <v>10256</v>
      </c>
      <c r="N5041" t="s">
        <v>14</v>
      </c>
    </row>
    <row r="5042" x14ac:dyDescent="0.25">
      <c r="A5042" t="n">
        <v>25</v>
      </c>
      <c r="B5042" t="s">
        <v>14</v>
      </c>
      <c r="C5042" t="s">
        <v>22</v>
      </c>
      <c r="D5042" s="2" t="s">
        <f>=HYPERLINK("https://main.knesset.gov.il/APPS/legislation/main/bills/2201234", "הצעת חוק הרשות לפיתוח הנגב (תיקון מס' 4) (תיקון - ביטול החוק), התשפ""ג-2023")</f>
        <v>10313</v>
      </c>
      <c r="E5042" t="s">
        <v>10313</v>
      </c>
      <c r="F5042" t="s">
        <v>10314</v>
      </c>
      <c r="G5042" t="s">
        <v>14</v>
      </c>
      <c r="H5042">
             </c>
      <c r="I5042" t="s">
        <v>14</v>
      </c>
      <c r="J5042" t="s">
        <v>141</v>
      </c>
      <c r="K5042" t="s">
        <v>14</v>
      </c>
      <c r="L5042" t="s">
        <v>20</v>
      </c>
      <c r="M5042" t="s">
        <v>10256</v>
      </c>
      <c r="N5042" t="s">
        <v>14</v>
      </c>
    </row>
    <row r="5043" x14ac:dyDescent="0.25">
      <c r="A5043" t="n">
        <v>25</v>
      </c>
      <c r="B5043" t="s">
        <v>14</v>
      </c>
      <c r="C5043" t="s">
        <v>22</v>
      </c>
      <c r="D5043" s="2" t="s">
        <f>=HYPERLINK("https://main.knesset.gov.il/APPS/legislation/main/bills/2199068", "הצעת חוק עובדים זרים (תיקון - הפחתת אגרה לעובדים בענף המלונאות), התשפ""ג-2023")</f>
        <v>8705</v>
      </c>
      <c r="E5043" t="s">
        <v>8705</v>
      </c>
      <c r="F5043" t="s">
        <v>10315</v>
      </c>
      <c r="G5043" t="s">
        <v>14</v>
      </c>
      <c r="H5043">
             </c>
      <c r="I5043" t="s">
        <v>14</v>
      </c>
      <c r="J5043" t="s">
        <v>141</v>
      </c>
      <c r="K5043" t="s">
        <v>14</v>
      </c>
      <c r="L5043" t="s">
        <v>20</v>
      </c>
      <c r="M5043" t="s">
        <v>10256</v>
      </c>
      <c r="N5043" t="s">
        <v>14</v>
      </c>
    </row>
    <row r="5044" x14ac:dyDescent="0.25">
      <c r="A5044" t="n">
        <v>25</v>
      </c>
      <c r="B5044" t="s">
        <v>14</v>
      </c>
      <c r="C5044" t="s">
        <v>22</v>
      </c>
      <c r="D5044" s="2" t="s">
        <f>=HYPERLINK("https://main.knesset.gov.il/APPS/legislation/main/bills/2200784", "הצעת חוק נכסי נפקדים (תיקון - החזרת נכסים לנפקד שהפך לאזרח), התשפ""ג-2023")</f>
        <v>10316</v>
      </c>
      <c r="E5044" t="s">
        <v>10316</v>
      </c>
      <c r="F5044" t="s">
        <v>10317</v>
      </c>
      <c r="G5044" t="s">
        <v>14</v>
      </c>
      <c r="H5044">
             </c>
      <c r="I5044" t="s">
        <v>14</v>
      </c>
      <c r="J5044" t="s">
        <v>141</v>
      </c>
      <c r="K5044" t="s">
        <v>14</v>
      </c>
      <c r="L5044" t="s">
        <v>20</v>
      </c>
      <c r="M5044" t="s">
        <v>10256</v>
      </c>
      <c r="N5044" t="s">
        <v>14</v>
      </c>
    </row>
    <row r="5045" x14ac:dyDescent="0.25">
      <c r="A5045" t="n">
        <v>25</v>
      </c>
      <c r="B5045" t="s">
        <v>14</v>
      </c>
      <c r="C5045" t="s">
        <v>22</v>
      </c>
      <c r="D5045" s="2" t="s">
        <f>=HYPERLINK("https://main.knesset.gov.il/APPS/legislation/main/bills/2200727", "הצעת חוק איסור הפליה במוצרים, בשירותים ובכניסה למקומות בידור ולמקומות ציבוריים (תיקון - איסור הפליה בשל הובלת עגלת ילדים), התשפ""ג-2023")</f>
        <v>9918</v>
      </c>
      <c r="E5045" t="s">
        <v>9918</v>
      </c>
      <c r="F5045" t="s">
        <v>10318</v>
      </c>
      <c r="G5045" t="s">
        <v>14</v>
      </c>
      <c r="H5045">
             </c>
      <c r="I5045" t="s">
        <v>14</v>
      </c>
      <c r="J5045" t="s">
        <v>141</v>
      </c>
      <c r="K5045" t="s">
        <v>14</v>
      </c>
      <c r="L5045" t="s">
        <v>20</v>
      </c>
      <c r="M5045" t="s">
        <v>10256</v>
      </c>
      <c r="N5045" t="s">
        <v>14</v>
      </c>
    </row>
    <row r="5046" x14ac:dyDescent="0.25">
      <c r="A5046" t="n">
        <v>25</v>
      </c>
      <c r="B5046" t="s">
        <v>14</v>
      </c>
      <c r="C5046" t="s">
        <v>22</v>
      </c>
      <c r="D5046" s="2" t="s">
        <f>=HYPERLINK("https://main.knesset.gov.il/APPS/legislation/main/bills/2201890", "הצעת חוק הביטוח הלאומי (תיקון - זכאות לדמי אבטלה מגיל 19), התשפ""ג-2023")</f>
        <v>10031</v>
      </c>
      <c r="E5046" t="s">
        <v>10031</v>
      </c>
      <c r="F5046" t="s">
        <v>10319</v>
      </c>
      <c r="G5046" t="s">
        <v>14</v>
      </c>
      <c r="H5046">
             </c>
      <c r="I5046" t="s">
        <v>14</v>
      </c>
      <c r="J5046" t="s">
        <v>141</v>
      </c>
      <c r="K5046" t="s">
        <v>14</v>
      </c>
      <c r="L5046" t="s">
        <v>20</v>
      </c>
      <c r="M5046" t="s">
        <v>10256</v>
      </c>
      <c r="N5046" t="s">
        <v>14</v>
      </c>
    </row>
    <row r="5047" x14ac:dyDescent="0.25">
      <c r="A5047" t="n">
        <v>25</v>
      </c>
      <c r="B5047" t="s">
        <v>14</v>
      </c>
      <c r="C5047" t="s">
        <v>22</v>
      </c>
      <c r="D5047" s="2" t="s">
        <f>=HYPERLINK("https://main.knesset.gov.il/APPS/legislation/main/bills/2200902", "הצעת חוק לתיקון פקודת מסי העירייה ומסי הממשלה (פטורין) (פטור מארנונה למכללה טכנולוגית מוכרת), התשפ""ג-2023")</f>
        <v>10320</v>
      </c>
      <c r="E5047" t="s">
        <v>10320</v>
      </c>
      <c r="F5047" t="s">
        <v>10321</v>
      </c>
      <c r="G5047" t="s">
        <v>14</v>
      </c>
      <c r="H5047">
             </c>
      <c r="I5047" t="s">
        <v>14</v>
      </c>
      <c r="J5047" t="s">
        <v>141</v>
      </c>
      <c r="K5047" t="s">
        <v>14</v>
      </c>
      <c r="L5047" t="s">
        <v>20</v>
      </c>
      <c r="M5047" t="s">
        <v>10256</v>
      </c>
      <c r="N5047" t="s">
        <v>14</v>
      </c>
    </row>
    <row r="5048" x14ac:dyDescent="0.25">
      <c r="A5048" t="n">
        <v>25</v>
      </c>
      <c r="B5048" t="s">
        <v>14</v>
      </c>
      <c r="C5048" t="s">
        <v>22</v>
      </c>
      <c r="D5048" s="2" t="s">
        <f>=HYPERLINK("https://main.knesset.gov.il/APPS/legislation/main/bills/2201320", "הצעת חוק לעידוד השקעות הון (תיקון - ביטול מסלול הטבות המס), התשפ""ג-2023")</f>
        <v>10322</v>
      </c>
      <c r="E5048" t="s">
        <v>10322</v>
      </c>
      <c r="F5048" t="s">
        <v>10323</v>
      </c>
      <c r="G5048" t="s">
        <v>14</v>
      </c>
      <c r="H5048">
             </c>
      <c r="I5048" t="s">
        <v>14</v>
      </c>
      <c r="J5048" t="s">
        <v>141</v>
      </c>
      <c r="K5048" t="s">
        <v>14</v>
      </c>
      <c r="L5048" t="s">
        <v>20</v>
      </c>
      <c r="M5048" t="s">
        <v>10256</v>
      </c>
      <c r="N5048" t="s">
        <v>14</v>
      </c>
    </row>
    <row r="5049" x14ac:dyDescent="0.25">
      <c r="A5049" t="n">
        <v>25</v>
      </c>
      <c r="B5049" t="s">
        <v>14</v>
      </c>
      <c r="C5049" t="s">
        <v>22</v>
      </c>
      <c r="D5049" s="2" t="s">
        <f>=HYPERLINK("https://main.knesset.gov.il/APPS/legislation/main/bills/2199791", "הצעת חוק התכנון והבנייה (תיקון - התקנת תשתית לעמדת טעינה לרכב חשמלי), התשפ""ג-2023")</f>
        <v>10324</v>
      </c>
      <c r="E5049" t="s">
        <v>10324</v>
      </c>
      <c r="F5049" t="s">
        <v>10325</v>
      </c>
      <c r="G5049" t="s">
        <v>14</v>
      </c>
      <c r="H5049">
             </c>
      <c r="I5049" t="s">
        <v>14</v>
      </c>
      <c r="J5049" t="s">
        <v>141</v>
      </c>
      <c r="K5049" t="s">
        <v>14</v>
      </c>
      <c r="L5049" t="s">
        <v>20</v>
      </c>
      <c r="M5049" t="s">
        <v>10256</v>
      </c>
      <c r="N5049" t="s">
        <v>14</v>
      </c>
    </row>
    <row r="5050" x14ac:dyDescent="0.25">
      <c r="A5050" t="n">
        <v>25</v>
      </c>
      <c r="B5050" t="s">
        <v>14</v>
      </c>
      <c r="C5050" t="s">
        <v>22</v>
      </c>
      <c r="D5050" s="2" t="s">
        <f>=HYPERLINK("https://main.knesset.gov.il/APPS/legislation/main/bills/2200900", "הצעת חוק הפסיכולוגים (תיקון - איסור טיפולי המרה), התשפ""ג-2023")</f>
        <v>9343</v>
      </c>
      <c r="E5050" t="s">
        <v>9343</v>
      </c>
      <c r="F5050" t="s">
        <v>10326</v>
      </c>
      <c r="G5050" t="s">
        <v>14</v>
      </c>
      <c r="H5050">
             </c>
      <c r="I5050" t="s">
        <v>14</v>
      </c>
      <c r="J5050" t="s">
        <v>343</v>
      </c>
      <c r="K5050" t="s">
        <v>14</v>
      </c>
      <c r="L5050" t="s">
        <v>20</v>
      </c>
      <c r="M5050" t="s">
        <v>10256</v>
      </c>
      <c r="N5050" t="s">
        <v>14</v>
      </c>
    </row>
    <row r="5051" x14ac:dyDescent="0.25">
      <c r="A5051" t="n">
        <v>25</v>
      </c>
      <c r="B5051" t="s">
        <v>14</v>
      </c>
      <c r="C5051" t="s">
        <v>22</v>
      </c>
      <c r="D5051" s="2" t="s">
        <f>=HYPERLINK("https://main.knesset.gov.il/APPS/legislation/main/bills/2201936", "הצעת חוק לתיקון פקודת המסים (גבייה) (פיצוי עקב טעות), התשפ""ג-2023")</f>
        <v>10327</v>
      </c>
      <c r="E5051" t="s">
        <v>10327</v>
      </c>
      <c r="F5051" t="s">
        <v>10328</v>
      </c>
      <c r="G5051" t="s">
        <v>14</v>
      </c>
      <c r="H5051">
             </c>
      <c r="I5051" t="s">
        <v>14</v>
      </c>
      <c r="J5051" t="s">
        <v>141</v>
      </c>
      <c r="K5051" t="s">
        <v>14</v>
      </c>
      <c r="L5051" t="s">
        <v>20</v>
      </c>
      <c r="M5051" t="s">
        <v>10256</v>
      </c>
      <c r="N5051" t="s">
        <v>14</v>
      </c>
    </row>
    <row r="5052" x14ac:dyDescent="0.25">
      <c r="A5052" t="n">
        <v>25</v>
      </c>
      <c r="B5052" t="s">
        <v>14</v>
      </c>
      <c r="C5052" t="s">
        <v>22</v>
      </c>
      <c r="D5052" s="2" t="s">
        <f>=HYPERLINK("https://main.knesset.gov.il/APPS/legislation/main/bills/2201052", "הצעת חוק למניעת מפגעים (תיקון - הגבלת שימוש בזיקוקין די-נור באזורי מגורים), התשפ""ג-2023")</f>
        <v>10045</v>
      </c>
      <c r="E5052" t="s">
        <v>10045</v>
      </c>
      <c r="F5052" t="s">
        <v>10329</v>
      </c>
      <c r="G5052" t="s">
        <v>14</v>
      </c>
      <c r="H5052">
             </c>
      <c r="I5052" t="s">
        <v>14</v>
      </c>
      <c r="J5052" t="s">
        <v>141</v>
      </c>
      <c r="K5052" t="s">
        <v>14</v>
      </c>
      <c r="L5052" t="s">
        <v>20</v>
      </c>
      <c r="M5052" t="s">
        <v>10256</v>
      </c>
      <c r="N5052" t="s">
        <v>14</v>
      </c>
    </row>
    <row r="5053" x14ac:dyDescent="0.25">
      <c r="A5053" t="n">
        <v>25</v>
      </c>
      <c r="B5053" t="s">
        <v>14</v>
      </c>
      <c r="C5053" t="s">
        <v>22</v>
      </c>
      <c r="D5053" s="2" t="s">
        <f>=HYPERLINK("https://main.knesset.gov.il/APPS/legislation/main/bills/2201873", "הצעת חוק להקפאת כספים ששילמה הרשות הפלסטינית בזיקה לטרור מהכספים המועברים אליה מממשלת ישראל (תיקון - חילוט הכספים וניהולם), התשפ""ג-2023")</f>
        <v>9610</v>
      </c>
      <c r="E5053" t="s">
        <v>9610</v>
      </c>
      <c r="F5053" t="s">
        <v>10330</v>
      </c>
      <c r="G5053" t="s">
        <v>14</v>
      </c>
      <c r="H5053">
             </c>
      <c r="I5053" t="s">
        <v>14</v>
      </c>
      <c r="J5053" t="s">
        <v>141</v>
      </c>
      <c r="K5053" t="s">
        <v>14</v>
      </c>
      <c r="L5053" t="s">
        <v>20</v>
      </c>
      <c r="M5053" t="s">
        <v>10256</v>
      </c>
      <c r="N5053" t="s">
        <v>14</v>
      </c>
    </row>
    <row r="5054" x14ac:dyDescent="0.25">
      <c r="A5054" t="n">
        <v>25</v>
      </c>
      <c r="B5054" t="s">
        <v>14</v>
      </c>
      <c r="C5054" t="s">
        <v>22</v>
      </c>
      <c r="D5054" s="2" t="s">
        <f>=HYPERLINK("https://main.knesset.gov.il/APPS/legislation/main/bills/2202311", "הצעת חוק להארכת מועד לקבלת דברי דואר (הוראת שעה), התשפ""ג-2023")</f>
        <v>9582</v>
      </c>
      <c r="E5054" t="s">
        <v>9582</v>
      </c>
      <c r="F5054" t="s">
        <v>10331</v>
      </c>
      <c r="G5054" t="s">
        <v>14</v>
      </c>
      <c r="H5054">
             </c>
      <c r="I5054" t="s">
        <v>14</v>
      </c>
      <c r="J5054" t="s">
        <v>141</v>
      </c>
      <c r="K5054" t="s">
        <v>14</v>
      </c>
      <c r="L5054" t="s">
        <v>20</v>
      </c>
      <c r="M5054" t="s">
        <v>10256</v>
      </c>
      <c r="N5054" t="s">
        <v>14</v>
      </c>
    </row>
    <row r="5055" x14ac:dyDescent="0.25">
      <c r="A5055" t="n">
        <v>25</v>
      </c>
      <c r="B5055" t="s">
        <v>14</v>
      </c>
      <c r="C5055" t="s">
        <v>22</v>
      </c>
      <c r="D5055" s="2" t="s">
        <f>=HYPERLINK("https://main.knesset.gov.il/APPS/legislation/main/bills/2201657", "הצעת חוק הסדרים במשק המדינה (תיקוני חקיקה להשגת יעדי התקציב) (תיקון - חובת הענקת הנחה בארנונה לאדם בעל מוגבלות), התשפ""ג-2023")</f>
        <v>10245</v>
      </c>
      <c r="E5055" t="s">
        <v>10245</v>
      </c>
      <c r="F5055" t="s">
        <v>10332</v>
      </c>
      <c r="G5055" t="s">
        <v>14</v>
      </c>
      <c r="H5055">
             </c>
      <c r="I5055" t="s">
        <v>14</v>
      </c>
      <c r="J5055" t="s">
        <v>141</v>
      </c>
      <c r="K5055" t="s">
        <v>14</v>
      </c>
      <c r="L5055" t="s">
        <v>20</v>
      </c>
      <c r="M5055" t="s">
        <v>10256</v>
      </c>
      <c r="N5055" t="s">
        <v>14</v>
      </c>
    </row>
    <row r="5056" x14ac:dyDescent="0.25">
      <c r="A5056" t="n">
        <v>25</v>
      </c>
      <c r="B5056" t="s">
        <v>14</v>
      </c>
      <c r="C5056" t="s">
        <v>22</v>
      </c>
      <c r="D5056" s="2" t="s">
        <f>=HYPERLINK("https://main.knesset.gov.il/APPS/legislation/main/bills/2199770", "הצעת חוק הגבלת ייבוא צאן לישראל, התשפ''ג-2023")</f>
        <v>10333</v>
      </c>
      <c r="E5056" t="s">
        <v>10333</v>
      </c>
      <c r="F5056" t="s">
        <v>10334</v>
      </c>
      <c r="G5056" t="s">
        <v>14</v>
      </c>
      <c r="H5056">
             </c>
      <c r="I5056" t="s">
        <v>14</v>
      </c>
      <c r="J5056" t="s">
        <v>1123</v>
      </c>
      <c r="K5056" t="s">
        <v>14</v>
      </c>
      <c r="L5056" t="s">
        <v>20</v>
      </c>
      <c r="M5056" t="s">
        <v>10256</v>
      </c>
      <c r="N5056" t="s">
        <v>14</v>
      </c>
    </row>
    <row r="5057" x14ac:dyDescent="0.25">
      <c r="A5057" t="n">
        <v>25</v>
      </c>
      <c r="B5057" t="s">
        <v>14</v>
      </c>
      <c r="C5057" t="s">
        <v>22</v>
      </c>
      <c r="D5057" s="2" t="s">
        <f>=HYPERLINK("https://main.knesset.gov.il/APPS/legislation/main/bills/2201887", "הצעת חוק לתיקון פקודת מס הכנסה (ניכוי הוצאות בשל ארוחה עסקית לעצמאים), התשפ""ג-2023")</f>
        <v>10335</v>
      </c>
      <c r="E5057" t="s">
        <v>10335</v>
      </c>
      <c r="F5057" t="s">
        <v>10336</v>
      </c>
      <c r="G5057" t="s">
        <v>14</v>
      </c>
      <c r="H5057">
             </c>
      <c r="I5057" t="s">
        <v>14</v>
      </c>
      <c r="J5057" t="s">
        <v>141</v>
      </c>
      <c r="K5057" t="s">
        <v>14</v>
      </c>
      <c r="L5057" t="s">
        <v>20</v>
      </c>
      <c r="M5057" t="s">
        <v>10256</v>
      </c>
      <c r="N5057" t="s">
        <v>14</v>
      </c>
    </row>
    <row r="5058" x14ac:dyDescent="0.25">
      <c r="A5058" t="n">
        <v>25</v>
      </c>
      <c r="B5058" t="s">
        <v>14</v>
      </c>
      <c r="C5058" t="s">
        <v>22</v>
      </c>
      <c r="D5058" s="2" t="s">
        <f>=HYPERLINK("https://main.knesset.gov.il/APPS/legislation/main/bills/2201370", "הצעת חוק חינוך ממלכתי (תיקון - הטמעת עקרונות מגילת העצמאות בתוכנית הלימודים), התשפ""ג-2023")</f>
        <v>10337</v>
      </c>
      <c r="E5058" t="s">
        <v>10337</v>
      </c>
      <c r="F5058" t="s">
        <v>10338</v>
      </c>
      <c r="G5058" t="s">
        <v>14</v>
      </c>
      <c r="H5058">
             </c>
      <c r="I5058" t="s">
        <v>14</v>
      </c>
      <c r="J5058" t="s">
        <v>141</v>
      </c>
      <c r="K5058" t="s">
        <v>14</v>
      </c>
      <c r="L5058" t="s">
        <v>20</v>
      </c>
      <c r="M5058" t="s">
        <v>10256</v>
      </c>
      <c r="N5058" t="s">
        <v>14</v>
      </c>
    </row>
    <row r="5059" x14ac:dyDescent="0.25">
      <c r="A5059" t="n">
        <v>25</v>
      </c>
      <c r="B5059" t="s">
        <v>14</v>
      </c>
      <c r="C5059" t="s">
        <v>22</v>
      </c>
      <c r="D5059" s="2" t="s">
        <f>=HYPERLINK("https://main.knesset.gov.il/APPS/legislation/main/bills/2201925", "הצעת חוק הסדרת העיסוק במקצועות הבריאות (תיקון - הסדרת העיסוק בניתוח התנהגות), התשפ""ג-2023")</f>
        <v>9522</v>
      </c>
      <c r="E5059" t="s">
        <v>9522</v>
      </c>
      <c r="F5059" t="s">
        <v>10339</v>
      </c>
      <c r="G5059" t="s">
        <v>14</v>
      </c>
      <c r="H5059">
             </c>
      <c r="I5059" t="s">
        <v>14</v>
      </c>
      <c r="J5059" t="s">
        <v>141</v>
      </c>
      <c r="K5059" t="s">
        <v>14</v>
      </c>
      <c r="L5059" t="s">
        <v>20</v>
      </c>
      <c r="M5059" t="s">
        <v>10256</v>
      </c>
      <c r="N5059" t="s">
        <v>14</v>
      </c>
    </row>
    <row r="5060" x14ac:dyDescent="0.25">
      <c r="A5060" t="n">
        <v>25</v>
      </c>
      <c r="B5060" t="s">
        <v>14</v>
      </c>
      <c r="C5060" t="s">
        <v>22</v>
      </c>
      <c r="D5060" s="2" t="s">
        <f>=HYPERLINK("https://main.knesset.gov.il/APPS/legislation/main/bills/2201885", "הצעת חוק שעות עבודה ומנוחה (תיקון - הגבלת שעות העסקה של מתמחה ברפואה), התשפ""ג-2023")</f>
        <v>10340</v>
      </c>
      <c r="E5060" t="s">
        <v>10340</v>
      </c>
      <c r="F5060" t="s">
        <v>10341</v>
      </c>
      <c r="G5060" t="s">
        <v>14</v>
      </c>
      <c r="H5060">
             </c>
      <c r="I5060" t="s">
        <v>14</v>
      </c>
      <c r="J5060" t="s">
        <v>141</v>
      </c>
      <c r="K5060" t="s">
        <v>14</v>
      </c>
      <c r="L5060" t="s">
        <v>20</v>
      </c>
      <c r="M5060" t="s">
        <v>10256</v>
      </c>
      <c r="N5060" t="s">
        <v>14</v>
      </c>
    </row>
    <row r="5061" x14ac:dyDescent="0.25">
      <c r="A5061" t="n">
        <v>25</v>
      </c>
      <c r="B5061" t="s">
        <v>14</v>
      </c>
      <c r="C5061" t="s">
        <v>22</v>
      </c>
      <c r="D5061" s="2" t="s">
        <f>=HYPERLINK("https://main.knesset.gov.il/APPS/legislation/main/bills/2201665", "הצעת חוק לעידוד הנקה ושמירה על אופן הזנת תינוקות, התשפ""ג-2023")</f>
        <v>10342</v>
      </c>
      <c r="E5061" t="s">
        <v>10342</v>
      </c>
      <c r="F5061" t="s">
        <v>10343</v>
      </c>
      <c r="G5061" t="s">
        <v>14</v>
      </c>
      <c r="H5061">
             </c>
      <c r="I5061" t="s">
        <v>14</v>
      </c>
      <c r="J5061" t="s">
        <v>141</v>
      </c>
      <c r="K5061" t="s">
        <v>14</v>
      </c>
      <c r="L5061" t="s">
        <v>20</v>
      </c>
      <c r="M5061" t="s">
        <v>10256</v>
      </c>
      <c r="N5061" t="s">
        <v>14</v>
      </c>
    </row>
    <row r="5062" x14ac:dyDescent="0.25">
      <c r="A5062" t="n">
        <v>25</v>
      </c>
      <c r="B5062" t="s">
        <v>14</v>
      </c>
      <c r="C5062" t="s">
        <v>22</v>
      </c>
      <c r="D5062" s="2" t="s">
        <f>=HYPERLINK("https://main.knesset.gov.il/APPS/legislation/main/bills/2201889", "הצעת חוק עידוד תרומות מזון (תיקון - הצלת מזון), התשפ""ג-2023")</f>
        <v>10344</v>
      </c>
      <c r="E5062" t="s">
        <v>10344</v>
      </c>
      <c r="F5062" t="s">
        <v>10345</v>
      </c>
      <c r="G5062" t="s">
        <v>14</v>
      </c>
      <c r="H5062">
             </c>
      <c r="I5062" t="s">
        <v>14</v>
      </c>
      <c r="J5062" t="s">
        <v>141</v>
      </c>
      <c r="K5062" t="s">
        <v>14</v>
      </c>
      <c r="L5062" t="s">
        <v>20</v>
      </c>
      <c r="M5062" t="s">
        <v>10256</v>
      </c>
      <c r="N5062" t="s">
        <v>14</v>
      </c>
    </row>
    <row r="5063" x14ac:dyDescent="0.25">
      <c r="A5063" t="n">
        <v>25</v>
      </c>
      <c r="B5063" t="s">
        <v>14</v>
      </c>
      <c r="C5063" t="s">
        <v>22</v>
      </c>
      <c r="D5063" s="2" t="s">
        <f>=HYPERLINK("https://main.knesset.gov.il/APPS/legislation/main/bills/2200270", "הצעת חוק לימוד חובה (תיקון - חינוך חינם לגיל הרך), התשפ""ג-2023")</f>
        <v>9303</v>
      </c>
      <c r="E5063" t="s">
        <v>9303</v>
      </c>
      <c r="F5063" t="s">
        <v>10346</v>
      </c>
      <c r="G5063" t="s">
        <v>14</v>
      </c>
      <c r="H5063">
             </c>
      <c r="I5063" t="s">
        <v>14</v>
      </c>
      <c r="J5063" t="s">
        <v>141</v>
      </c>
      <c r="K5063" t="s">
        <v>14</v>
      </c>
      <c r="L5063" t="s">
        <v>20</v>
      </c>
      <c r="M5063" t="s">
        <v>10256</v>
      </c>
      <c r="N5063" t="s">
        <v>14</v>
      </c>
    </row>
    <row r="5064" x14ac:dyDescent="0.25">
      <c r="A5064" t="n">
        <v>25</v>
      </c>
      <c r="B5064" t="s">
        <v>14</v>
      </c>
      <c r="C5064" t="s">
        <v>22</v>
      </c>
      <c r="D5064" s="2" t="s">
        <f>=HYPERLINK("https://main.knesset.gov.il/APPS/legislation/main/bills/2201661", "הצעת חוק הסדרת העיסוק בייצוג דוגמנים, התשפ""ג-2023")</f>
        <v>10347</v>
      </c>
      <c r="E5064" t="s">
        <v>10347</v>
      </c>
      <c r="F5064" t="s">
        <v>10348</v>
      </c>
      <c r="G5064" t="s">
        <v>14</v>
      </c>
      <c r="H5064">
             </c>
      <c r="I5064" t="s">
        <v>14</v>
      </c>
      <c r="J5064" t="s">
        <v>141</v>
      </c>
      <c r="K5064" t="s">
        <v>14</v>
      </c>
      <c r="L5064" t="s">
        <v>20</v>
      </c>
      <c r="M5064" t="s">
        <v>10256</v>
      </c>
      <c r="N5064" t="s">
        <v>14</v>
      </c>
    </row>
    <row r="5065" x14ac:dyDescent="0.25">
      <c r="A5065" t="n">
        <v>25</v>
      </c>
      <c r="B5065" t="s">
        <v>14</v>
      </c>
      <c r="C5065" t="s">
        <v>22</v>
      </c>
      <c r="D5065" s="2" t="s">
        <f>=HYPERLINK("https://main.knesset.gov.il/APPS/legislation/main/bills/2201733", "הצעת חוק שירות המדינה (גמלאות) (תיקון - ביטול שלילת גמלאות מאלמנים שנישאו), התשפ""ג-2023")</f>
        <v>10349</v>
      </c>
      <c r="E5065" t="s">
        <v>10349</v>
      </c>
      <c r="F5065" t="s">
        <v>10350</v>
      </c>
      <c r="G5065" t="s">
        <v>14</v>
      </c>
      <c r="H5065">
             </c>
      <c r="I5065" t="s">
        <v>14</v>
      </c>
      <c r="J5065" t="s">
        <v>141</v>
      </c>
      <c r="K5065" t="s">
        <v>14</v>
      </c>
      <c r="L5065" t="s">
        <v>20</v>
      </c>
      <c r="M5065" t="s">
        <v>10256</v>
      </c>
      <c r="N5065" t="s">
        <v>14</v>
      </c>
    </row>
    <row r="5066" x14ac:dyDescent="0.25">
      <c r="A5066" t="n">
        <v>25</v>
      </c>
      <c r="B5066" t="s">
        <v>14</v>
      </c>
      <c r="C5066" t="s">
        <v>22</v>
      </c>
      <c r="D5066" s="2" t="s">
        <f>=HYPERLINK("https://main.knesset.gov.il/APPS/legislation/main/bills/2201695", "הצעת חוק המזונות (הבטחת תשלום) (תיקון - סכום שלא יובא בחשבון במבחן ההכנסה), התשפ""ג-2023")</f>
        <v>10351</v>
      </c>
      <c r="E5066" t="s">
        <v>10351</v>
      </c>
      <c r="F5066" t="s">
        <v>10352</v>
      </c>
      <c r="G5066" t="s">
        <v>14</v>
      </c>
      <c r="H5066">
             </c>
      <c r="I5066" t="s">
        <v>14</v>
      </c>
      <c r="J5066" t="s">
        <v>141</v>
      </c>
      <c r="K5066" t="s">
        <v>14</v>
      </c>
      <c r="L5066" t="s">
        <v>20</v>
      </c>
      <c r="M5066" t="s">
        <v>10256</v>
      </c>
      <c r="N5066" t="s">
        <v>14</v>
      </c>
    </row>
    <row r="5067" x14ac:dyDescent="0.25">
      <c r="A5067" t="n">
        <v>25</v>
      </c>
      <c r="B5067" t="s">
        <v>14</v>
      </c>
      <c r="C5067" t="s">
        <v>22</v>
      </c>
      <c r="D5067" s="2" t="s">
        <f>=HYPERLINK("https://main.knesset.gov.il/APPS/legislation/main/bills/2202024", "הצעת חוק הביטוח הלאומי (תיקון - דמי אבטלה למתמחים), התשפ""ג-2023")</f>
        <v>9810</v>
      </c>
      <c r="E5067" t="s">
        <v>9810</v>
      </c>
      <c r="F5067" t="s">
        <v>10353</v>
      </c>
      <c r="G5067" t="s">
        <v>14</v>
      </c>
      <c r="H5067">
             </c>
      <c r="I5067" t="s">
        <v>14</v>
      </c>
      <c r="J5067" t="s">
        <v>141</v>
      </c>
      <c r="K5067" t="s">
        <v>14</v>
      </c>
      <c r="L5067" t="s">
        <v>20</v>
      </c>
      <c r="M5067" t="s">
        <v>10256</v>
      </c>
      <c r="N5067" t="s">
        <v>14</v>
      </c>
    </row>
    <row r="5068" x14ac:dyDescent="0.25">
      <c r="A5068" t="n">
        <v>25</v>
      </c>
      <c r="B5068" t="s">
        <v>14</v>
      </c>
      <c r="C5068" t="s">
        <v>22</v>
      </c>
      <c r="D5068" s="2" t="s">
        <f>=HYPERLINK("https://main.knesset.gov.il/APPS/legislation/main/bills/2198649", "הצעת חוק לתיקון פקודת מס הכנסה (זיכוי בעד תרומת מזון), התשפ""ג-2023")</f>
        <v>9936</v>
      </c>
      <c r="E5068" t="s">
        <v>9936</v>
      </c>
      <c r="F5068" t="s">
        <v>10354</v>
      </c>
      <c r="G5068" t="s">
        <v>14</v>
      </c>
      <c r="H5068">
             </c>
      <c r="I5068" t="s">
        <v>14</v>
      </c>
      <c r="J5068" t="s">
        <v>141</v>
      </c>
      <c r="K5068" t="s">
        <v>14</v>
      </c>
      <c r="L5068" t="s">
        <v>20</v>
      </c>
      <c r="M5068" t="s">
        <v>10256</v>
      </c>
      <c r="N5068" t="s">
        <v>14</v>
      </c>
    </row>
    <row r="5069" x14ac:dyDescent="0.25">
      <c r="A5069" t="n">
        <v>25</v>
      </c>
      <c r="B5069" t="s">
        <v>14</v>
      </c>
      <c r="C5069" t="s">
        <v>22</v>
      </c>
      <c r="D5069" s="2" t="s">
        <f>=HYPERLINK("https://main.knesset.gov.il/APPS/legislation/main/bills/2197883", "הצעת חוק מענק יובל לעובדי הוראה עולים, התשפ""ג-2023")</f>
        <v>10355</v>
      </c>
      <c r="E5069" t="s">
        <v>10355</v>
      </c>
      <c r="F5069" t="s">
        <v>10356</v>
      </c>
      <c r="G5069" t="s">
        <v>14</v>
      </c>
      <c r="H5069">
             </c>
      <c r="I5069" t="s">
        <v>14</v>
      </c>
      <c r="J5069" t="s">
        <v>141</v>
      </c>
      <c r="K5069" t="s">
        <v>14</v>
      </c>
      <c r="L5069" t="s">
        <v>20</v>
      </c>
      <c r="M5069" t="s">
        <v>10256</v>
      </c>
      <c r="N5069" t="s">
        <v>14</v>
      </c>
    </row>
    <row r="5070" x14ac:dyDescent="0.25">
      <c r="A5070" t="n">
        <v>25</v>
      </c>
      <c r="B5070" t="s">
        <v>14</v>
      </c>
      <c r="C5070" t="s">
        <v>22</v>
      </c>
      <c r="D5070" s="2" t="s">
        <f>=HYPERLINK("https://main.knesset.gov.il/APPS/legislation/main/bills/2202285", "הצעת חוק הרשות לפיתוח הפריפריה החברתית, התשפ""ג-2023 ")</f>
        <v>10142</v>
      </c>
      <c r="E5070" t="s">
        <v>10142</v>
      </c>
      <c r="F5070" t="s">
        <v>10357</v>
      </c>
      <c r="G5070" t="s">
        <v>14</v>
      </c>
      <c r="H5070">
             </c>
      <c r="I5070" t="s">
        <v>14</v>
      </c>
      <c r="J5070" t="s">
        <v>141</v>
      </c>
      <c r="K5070" t="s">
        <v>14</v>
      </c>
      <c r="L5070" t="s">
        <v>20</v>
      </c>
      <c r="M5070" t="s">
        <v>10256</v>
      </c>
      <c r="N5070" t="s">
        <v>14</v>
      </c>
    </row>
    <row r="5071" x14ac:dyDescent="0.25">
      <c r="A5071" t="n">
        <v>25</v>
      </c>
      <c r="B5071" t="s">
        <v>14</v>
      </c>
      <c r="C5071" t="s">
        <v>22</v>
      </c>
      <c r="D5071" s="2" t="s">
        <f>=HYPERLINK("https://main.knesset.gov.il/APPS/legislation/main/bills/2202129", "הצעת חוק הרשות לפיתוח הפריפריה החברתית, התשפ""ג-2023")</f>
        <v>10358</v>
      </c>
      <c r="E5071" t="s">
        <v>10358</v>
      </c>
      <c r="F5071" t="s">
        <v>10359</v>
      </c>
      <c r="G5071" t="s">
        <v>14</v>
      </c>
      <c r="H5071">
             </c>
      <c r="I5071" t="s">
        <v>14</v>
      </c>
      <c r="J5071" t="s">
        <v>141</v>
      </c>
      <c r="K5071" t="s">
        <v>14</v>
      </c>
      <c r="L5071" t="s">
        <v>20</v>
      </c>
      <c r="M5071" t="s">
        <v>10256</v>
      </c>
      <c r="N5071" t="s">
        <v>14</v>
      </c>
    </row>
    <row r="5072" x14ac:dyDescent="0.25">
      <c r="A5072" t="n">
        <v>25</v>
      </c>
      <c r="B5072" t="s">
        <v>14</v>
      </c>
      <c r="C5072" t="s">
        <v>22</v>
      </c>
      <c r="D5072" s="2" t="s">
        <f>=HYPERLINK("https://main.knesset.gov.il/APPS/legislation/main/bills/2201625", "הצעת חוק הביטוח הלאומי (תיקון - ביטול מבחן ההכנסה לצורך קבלת גמלת סיעוד), התשפ""ג-2023")</f>
        <v>9510</v>
      </c>
      <c r="E5072" t="s">
        <v>9510</v>
      </c>
      <c r="F5072" t="s">
        <v>10360</v>
      </c>
      <c r="G5072" t="s">
        <v>14</v>
      </c>
      <c r="H5072">
             </c>
      <c r="I5072" t="s">
        <v>14</v>
      </c>
      <c r="J5072" t="s">
        <v>141</v>
      </c>
      <c r="K5072" t="s">
        <v>14</v>
      </c>
      <c r="L5072" t="s">
        <v>20</v>
      </c>
      <c r="M5072" t="s">
        <v>10256</v>
      </c>
      <c r="N5072" t="s">
        <v>14</v>
      </c>
    </row>
    <row r="5073" x14ac:dyDescent="0.25">
      <c r="A5073" t="n">
        <v>25</v>
      </c>
      <c r="B5073" t="s">
        <v>14</v>
      </c>
      <c r="C5073" t="s">
        <v>22</v>
      </c>
      <c r="D5073" s="2" t="s">
        <f>=HYPERLINK("https://main.knesset.gov.il/APPS/legislation/main/bills/2201268", "הצעת חוק לתיקון פקודת מס הכנסה (הטבות במס ליישוב מאוים באזור), התשפ""ג-2023")</f>
        <v>8394</v>
      </c>
      <c r="E5073" t="s">
        <v>8394</v>
      </c>
      <c r="F5073" t="s">
        <v>10361</v>
      </c>
      <c r="G5073" t="s">
        <v>14</v>
      </c>
      <c r="H5073">
             </c>
      <c r="I5073" t="s">
        <v>14</v>
      </c>
      <c r="J5073" t="s">
        <v>141</v>
      </c>
      <c r="K5073" t="s">
        <v>14</v>
      </c>
      <c r="L5073" t="s">
        <v>20</v>
      </c>
      <c r="M5073" t="s">
        <v>10256</v>
      </c>
      <c r="N5073" t="s">
        <v>14</v>
      </c>
    </row>
    <row r="5074" x14ac:dyDescent="0.25">
      <c r="A5074" t="n">
        <v>25</v>
      </c>
      <c r="B5074" t="s">
        <v>14</v>
      </c>
      <c r="C5074" t="s">
        <v>22</v>
      </c>
      <c r="D5074" s="2" t="s">
        <f>=HYPERLINK("https://main.knesset.gov.il/APPS/legislation/main/bills/2201710", "הצעת חוק ביטוח בריאות ממלכתי (תיקון - סבסוד מחוללי חמצן ניידים), התשפ""ג-2023")</f>
        <v>5013</v>
      </c>
      <c r="E5074" t="s">
        <v>5013</v>
      </c>
      <c r="F5074" t="s">
        <v>10362</v>
      </c>
      <c r="G5074" t="s">
        <v>14</v>
      </c>
      <c r="H5074">
             </c>
      <c r="I5074" t="s">
        <v>14</v>
      </c>
      <c r="J5074" t="s">
        <v>141</v>
      </c>
      <c r="K5074" t="s">
        <v>14</v>
      </c>
      <c r="L5074" t="s">
        <v>20</v>
      </c>
      <c r="M5074" t="s">
        <v>10256</v>
      </c>
      <c r="N5074" t="s">
        <v>14</v>
      </c>
    </row>
    <row r="5075" x14ac:dyDescent="0.25">
      <c r="A5075" t="n">
        <v>25</v>
      </c>
      <c r="B5075" t="s">
        <v>14</v>
      </c>
      <c r="C5075" t="s">
        <v>22</v>
      </c>
      <c r="D5075" s="2" t="s">
        <f>=HYPERLINK("https://main.knesset.gov.il/APPS/legislation/main/bills/2201896", "הצעת חוק מס ערך מוסף (תיקון - מס בשיעור אפס על תרופות), התשפ""ג-2023")</f>
        <v>8049</v>
      </c>
      <c r="E5075" t="s">
        <v>8049</v>
      </c>
      <c r="F5075" t="s">
        <v>10363</v>
      </c>
      <c r="G5075" t="s">
        <v>14</v>
      </c>
      <c r="H5075">
             </c>
      <c r="I5075" t="s">
        <v>14</v>
      </c>
      <c r="J5075" t="s">
        <v>141</v>
      </c>
      <c r="K5075" t="s">
        <v>14</v>
      </c>
      <c r="L5075" t="s">
        <v>20</v>
      </c>
      <c r="M5075" t="s">
        <v>10256</v>
      </c>
      <c r="N5075" t="s">
        <v>14</v>
      </c>
    </row>
    <row r="5076" x14ac:dyDescent="0.25">
      <c r="A5076" t="n">
        <v>25</v>
      </c>
      <c r="B5076" t="s">
        <v>14</v>
      </c>
      <c r="C5076" t="s">
        <v>22</v>
      </c>
      <c r="D5076" s="2" t="s">
        <f>=HYPERLINK("https://main.knesset.gov.il/APPS/legislation/main/bills/2201895", "הצעת חוק לתיקון פקודת מס הכנסה (ניכוי תשלומים לעצמאים), התשפ""ג-2023")</f>
        <v>10364</v>
      </c>
      <c r="E5076" t="s">
        <v>10364</v>
      </c>
      <c r="F5076" t="s">
        <v>10365</v>
      </c>
      <c r="G5076" t="s">
        <v>14</v>
      </c>
      <c r="H5076">
             </c>
      <c r="I5076" t="s">
        <v>14</v>
      </c>
      <c r="J5076" t="s">
        <v>141</v>
      </c>
      <c r="K5076" t="s">
        <v>14</v>
      </c>
      <c r="L5076" t="s">
        <v>20</v>
      </c>
      <c r="M5076" t="s">
        <v>10256</v>
      </c>
      <c r="N5076" t="s">
        <v>14</v>
      </c>
    </row>
    <row r="5077" x14ac:dyDescent="0.25">
      <c r="A5077" t="n">
        <v>25</v>
      </c>
      <c r="B5077" t="s">
        <v>14</v>
      </c>
      <c r="C5077" t="s">
        <v>22</v>
      </c>
      <c r="D5077" s="2" t="s">
        <f>=HYPERLINK("https://main.knesset.gov.il/APPS/legislation/main/bills/2201484", "הצעת חוק-יסוד: משק המדינה (תיקון - בחינת העלות לרשויות מקומיות)")</f>
        <v>2723</v>
      </c>
      <c r="E5077" t="s">
        <v>2723</v>
      </c>
      <c r="F5077" t="s">
        <v>10366</v>
      </c>
      <c r="G5077" t="s">
        <v>14</v>
      </c>
      <c r="H5077">
             </c>
      <c r="I5077" t="s">
        <v>14</v>
      </c>
      <c r="J5077" t="s">
        <v>141</v>
      </c>
      <c r="K5077" t="s">
        <v>14</v>
      </c>
      <c r="L5077" t="s">
        <v>20</v>
      </c>
      <c r="M5077" t="s">
        <v>10256</v>
      </c>
      <c r="N5077" t="s">
        <v>14</v>
      </c>
    </row>
    <row r="5078" x14ac:dyDescent="0.25">
      <c r="A5078" t="n">
        <v>25</v>
      </c>
      <c r="B5078" t="s">
        <v>14</v>
      </c>
      <c r="C5078" t="s">
        <v>22</v>
      </c>
      <c r="D5078" s="2" t="s">
        <f>=HYPERLINK("https://main.knesset.gov.il/APPS/legislation/main/bills/2202189", "הצעת חוק משק החשמל (תיקון - גביית תשלומים), התשפ""ג-2023")</f>
        <v>10367</v>
      </c>
      <c r="E5078" t="s">
        <v>10367</v>
      </c>
      <c r="F5078" t="s">
        <v>10368</v>
      </c>
      <c r="G5078" t="s">
        <v>14</v>
      </c>
      <c r="H5078">
             </c>
      <c r="I5078" t="s">
        <v>14</v>
      </c>
      <c r="J5078" t="s">
        <v>141</v>
      </c>
      <c r="K5078" t="s">
        <v>14</v>
      </c>
      <c r="L5078" t="s">
        <v>20</v>
      </c>
      <c r="M5078" t="s">
        <v>10256</v>
      </c>
      <c r="N5078" t="s">
        <v>14</v>
      </c>
    </row>
    <row r="5079" x14ac:dyDescent="0.25">
      <c r="A5079" t="n">
        <v>25</v>
      </c>
      <c r="B5079" t="s">
        <v>14</v>
      </c>
      <c r="C5079" t="s">
        <v>22</v>
      </c>
      <c r="D5079" s="2" t="s">
        <f>=HYPERLINK("https://main.knesset.gov.il/APPS/legislation/main/bills/2201168", "הצעת חוק שיעור ריבית פיגורים מקסימלי (תיקוני חקיקה), התשפ""ג-2023")</f>
        <v>10369</v>
      </c>
      <c r="E5079" t="s">
        <v>10369</v>
      </c>
      <c r="F5079" t="s">
        <v>10370</v>
      </c>
      <c r="G5079" t="s">
        <v>14</v>
      </c>
      <c r="H5079">
             </c>
      <c r="I5079" t="s">
        <v>14</v>
      </c>
      <c r="J5079" t="s">
        <v>141</v>
      </c>
      <c r="K5079" t="s">
        <v>14</v>
      </c>
      <c r="L5079" t="s">
        <v>20</v>
      </c>
      <c r="M5079" t="s">
        <v>10256</v>
      </c>
      <c r="N5079" t="s">
        <v>14</v>
      </c>
    </row>
    <row r="5080" x14ac:dyDescent="0.25">
      <c r="A5080" t="n">
        <v>25</v>
      </c>
      <c r="B5080" t="s">
        <v>14</v>
      </c>
      <c r="C5080" t="s">
        <v>22</v>
      </c>
      <c r="D5080" s="2" t="s">
        <f>=HYPERLINK("https://main.knesset.gov.il/APPS/legislation/main/bills/2201123", "הצעת חוק חינוך ממלכתי (תיקון - ביטול השתתפות רשות מקומית בתקציבי מוסדות חינוך מוכרים לא רשמיים), התשפ""ג-2023")</f>
        <v>10371</v>
      </c>
      <c r="E5080" t="s">
        <v>10371</v>
      </c>
      <c r="F5080" t="s">
        <v>10372</v>
      </c>
      <c r="G5080" t="s">
        <v>14</v>
      </c>
      <c r="H5080">
             </c>
      <c r="I5080" t="s">
        <v>14</v>
      </c>
      <c r="J5080" t="s">
        <v>141</v>
      </c>
      <c r="K5080" t="s">
        <v>14</v>
      </c>
      <c r="L5080" t="s">
        <v>20</v>
      </c>
      <c r="M5080" t="s">
        <v>10256</v>
      </c>
      <c r="N5080" t="s">
        <v>14</v>
      </c>
    </row>
    <row r="5081" x14ac:dyDescent="0.25">
      <c r="A5081" t="n">
        <v>25</v>
      </c>
      <c r="B5081" t="s">
        <v>14</v>
      </c>
      <c r="C5081" t="s">
        <v>22</v>
      </c>
      <c r="D5081" s="2" t="s">
        <f>=HYPERLINK("https://main.knesset.gov.il/APPS/legislation/main/bills/2202305", "הצעת חוק ההוצאה לפועל (תיקון - החרגת עיקול רכב), התשפ""ג-2023")</f>
        <v>9472</v>
      </c>
      <c r="E5081" t="s">
        <v>9472</v>
      </c>
      <c r="F5081" t="s">
        <v>10373</v>
      </c>
      <c r="G5081" t="s">
        <v>14</v>
      </c>
      <c r="H5081">
             </c>
      <c r="I5081" t="s">
        <v>14</v>
      </c>
      <c r="J5081" t="s">
        <v>141</v>
      </c>
      <c r="K5081" t="s">
        <v>14</v>
      </c>
      <c r="L5081" t="s">
        <v>20</v>
      </c>
      <c r="M5081" t="s">
        <v>10256</v>
      </c>
      <c r="N5081" t="s">
        <v>14</v>
      </c>
    </row>
    <row r="5082" x14ac:dyDescent="0.25">
      <c r="A5082" t="n">
        <v>25</v>
      </c>
      <c r="B5082" t="s">
        <v>14</v>
      </c>
      <c r="C5082" t="s">
        <v>22</v>
      </c>
      <c r="D5082" s="2" t="s">
        <f>=HYPERLINK("https://main.knesset.gov.il/APPS/legislation/main/bills/2200560", "הצעת חוק העונשין (תיקון - תקיפת איש כוחות הביטחון וההצלה), התשפ""ג-2023")</f>
        <v>10374</v>
      </c>
      <c r="E5082" t="s">
        <v>10374</v>
      </c>
      <c r="F5082" t="s">
        <v>10375</v>
      </c>
      <c r="G5082" t="s">
        <v>14</v>
      </c>
      <c r="H5082">
             </c>
      <c r="I5082" t="s">
        <v>14</v>
      </c>
      <c r="J5082" t="s">
        <v>343</v>
      </c>
      <c r="K5082" t="s">
        <v>14</v>
      </c>
      <c r="L5082" t="s">
        <v>20</v>
      </c>
      <c r="M5082" t="s">
        <v>10256</v>
      </c>
      <c r="N5082" t="s">
        <v>14</v>
      </c>
    </row>
    <row r="5083" x14ac:dyDescent="0.25">
      <c r="A5083" t="n">
        <v>25</v>
      </c>
      <c r="B5083" t="s">
        <v>14</v>
      </c>
      <c r="C5083" t="s">
        <v>22</v>
      </c>
      <c r="D5083" s="2" t="s">
        <f>=HYPERLINK("https://main.knesset.gov.il/APPS/legislation/main/bills/2202283", "הצעת חוק העונשין (תיקון - קביעת עונש מינימום בגין נטילת דמי חסות), התשפ""ג-2023")</f>
        <v>8740</v>
      </c>
      <c r="E5083" t="s">
        <v>8740</v>
      </c>
      <c r="F5083" t="s">
        <v>10376</v>
      </c>
      <c r="G5083" t="s">
        <v>14</v>
      </c>
      <c r="H5083">
             </c>
      <c r="I5083" t="s">
        <v>14</v>
      </c>
      <c r="J5083" t="s">
        <v>141</v>
      </c>
      <c r="K5083" t="s">
        <v>14</v>
      </c>
      <c r="L5083" t="s">
        <v>20</v>
      </c>
      <c r="M5083" t="s">
        <v>10256</v>
      </c>
      <c r="N5083" t="s">
        <v>14</v>
      </c>
    </row>
    <row r="5084" x14ac:dyDescent="0.25">
      <c r="A5084" t="n">
        <v>25</v>
      </c>
      <c r="B5084" t="s">
        <v>14</v>
      </c>
      <c r="C5084" t="s">
        <v>22</v>
      </c>
      <c r="D5084" s="2" t="s">
        <f>=HYPERLINK("https://main.knesset.gov.il/APPS/legislation/main/bills/2200548", "הצעת חוק העונשין (תיקון - עונש מינימום למצית נכס ציבורי) (הוראת שעה), התשפ""ג-2023")</f>
        <v>10377</v>
      </c>
      <c r="E5084" t="s">
        <v>10377</v>
      </c>
      <c r="F5084" t="s">
        <v>10378</v>
      </c>
      <c r="G5084" t="s">
        <v>14</v>
      </c>
      <c r="H5084">
             </c>
      <c r="I5084" t="s">
        <v>14</v>
      </c>
      <c r="J5084" t="s">
        <v>141</v>
      </c>
      <c r="K5084" t="s">
        <v>14</v>
      </c>
      <c r="L5084" t="s">
        <v>20</v>
      </c>
      <c r="M5084" t="s">
        <v>10256</v>
      </c>
      <c r="N5084" t="s">
        <v>14</v>
      </c>
    </row>
    <row r="5085" x14ac:dyDescent="0.25">
      <c r="A5085" t="n">
        <v>25</v>
      </c>
      <c r="B5085" t="s">
        <v>14</v>
      </c>
      <c r="C5085" t="s">
        <v>22</v>
      </c>
      <c r="D5085" s="2" t="s">
        <f>=HYPERLINK("https://main.knesset.gov.il/APPS/legislation/main/bills/2197743", "הצעת חוק לתיקון פקודת העיריות (קיצור תקופת הפטור מתשלום ארנונה לבניין שנהרס או ניזוק), התשפ""ג-2022")</f>
        <v>10379</v>
      </c>
      <c r="E5085" t="s">
        <v>10379</v>
      </c>
      <c r="F5085" t="s">
        <v>10380</v>
      </c>
      <c r="G5085" t="s">
        <v>14</v>
      </c>
      <c r="H5085">
             </c>
      <c r="I5085" t="s">
        <v>14</v>
      </c>
      <c r="J5085" t="s">
        <v>55</v>
      </c>
      <c r="K5085" t="s">
        <v>14</v>
      </c>
      <c r="L5085" t="s">
        <v>20</v>
      </c>
      <c r="M5085" t="s">
        <v>10256</v>
      </c>
      <c r="N5085" t="s">
        <v>14</v>
      </c>
    </row>
    <row r="5086" x14ac:dyDescent="0.25">
      <c r="A5086" t="n">
        <v>25</v>
      </c>
      <c r="B5086" t="s">
        <v>14</v>
      </c>
      <c r="C5086" t="s">
        <v>22</v>
      </c>
      <c r="D5086" s="2" t="s">
        <f>=HYPERLINK("https://main.knesset.gov.il/APPS/legislation/main/bills/2195963", "הצעת חוק השכירות והשאילה (תיקון - הגבלה על העלאת דמי השכירות), התשפ""ג-2022")</f>
        <v>10381</v>
      </c>
      <c r="E5086" t="s">
        <v>10381</v>
      </c>
      <c r="F5086" t="s">
        <v>10382</v>
      </c>
      <c r="G5086" t="s">
        <v>14</v>
      </c>
      <c r="H5086">
             </c>
      <c r="I5086" t="s">
        <v>14</v>
      </c>
      <c r="J5086" t="s">
        <v>55</v>
      </c>
      <c r="K5086" t="s">
        <v>14</v>
      </c>
      <c r="L5086" t="s">
        <v>20</v>
      </c>
      <c r="M5086" t="s">
        <v>10256</v>
      </c>
      <c r="N5086" t="s">
        <v>14</v>
      </c>
    </row>
    <row r="5087" x14ac:dyDescent="0.25">
      <c r="A5087" t="n">
        <v>25</v>
      </c>
      <c r="B5087" t="s">
        <v>14</v>
      </c>
      <c r="C5087" t="s">
        <v>22</v>
      </c>
      <c r="D5087" s="2" t="s">
        <f>=HYPERLINK("https://main.knesset.gov.il/APPS/legislation/main/bills/2196349", "הצעת חוק זכויות החולה (תיקון - קביעת הוראות לעניין הכנסת חפצים ודברי מאכל למוסד רפואי), התשפ""ג-2023")</f>
        <v>10383</v>
      </c>
      <c r="E5087" t="s">
        <v>10383</v>
      </c>
      <c r="F5087" t="s">
        <v>10384</v>
      </c>
      <c r="G5087" t="s">
        <v>14</v>
      </c>
      <c r="H5087">
             </c>
      <c r="I5087" t="s">
        <v>14</v>
      </c>
      <c r="J5087" t="s">
        <v>99</v>
      </c>
      <c r="K5087" t="s">
        <v>480</v>
      </c>
      <c r="L5087" t="s">
        <v>20</v>
      </c>
      <c r="M5087" t="s">
        <v>10385</v>
      </c>
      <c r="N5087" t="s">
        <v>14</v>
      </c>
    </row>
    <row r="5088" x14ac:dyDescent="0.25">
      <c r="A5088" t="n">
        <v>25</v>
      </c>
      <c r="B5088" t="s">
        <v>14</v>
      </c>
      <c r="C5088" t="s">
        <v>22</v>
      </c>
      <c r="D5088" s="2" t="s">
        <f>=HYPERLINK("https://main.knesset.gov.il/APPS/legislation/main/bills/2198887", "הצעת חוק זכויות החולה (תיקון - הכנסת מזון למוסדות רפואיים בחג הפסח), התשפ""ג-2023")</f>
        <v>10386</v>
      </c>
      <c r="E5088" t="s">
        <v>10386</v>
      </c>
      <c r="F5088" t="s">
        <v>10387</v>
      </c>
      <c r="G5088" t="s">
        <v>14</v>
      </c>
      <c r="H5088">
             </c>
      <c r="I5088" t="s">
        <v>14</v>
      </c>
      <c r="J5088" t="s">
        <v>99</v>
      </c>
      <c r="K5088" t="s">
        <v>480</v>
      </c>
      <c r="L5088" t="s">
        <v>20</v>
      </c>
      <c r="M5088" t="s">
        <v>10385</v>
      </c>
      <c r="N5088" t="s">
        <v>14</v>
      </c>
    </row>
    <row r="5089" x14ac:dyDescent="0.25">
      <c r="A5089" t="n">
        <v>25</v>
      </c>
      <c r="B5089" t="s">
        <v>14</v>
      </c>
      <c r="C5089" t="s">
        <v>22</v>
      </c>
      <c r="D5089" s="2" t="s">
        <f>=HYPERLINK("https://main.knesset.gov.il/APPS/legislation/main/bills/2197299", "הצעת חוק חג המצות (איסורי חמץ) (תיקון - איסור הצגת חמץ בפסח בבתי חולים), התשפ""ג-2022")</f>
        <v>10388</v>
      </c>
      <c r="E5089" t="s">
        <v>10388</v>
      </c>
      <c r="F5089" t="s">
        <v>10389</v>
      </c>
      <c r="G5089" t="s">
        <v>14</v>
      </c>
      <c r="H5089">
             </c>
      <c r="I5089" t="s">
        <v>14</v>
      </c>
      <c r="J5089" t="s">
        <v>99</v>
      </c>
      <c r="K5089" t="s">
        <v>480</v>
      </c>
      <c r="L5089" t="s">
        <v>20</v>
      </c>
      <c r="M5089" t="s">
        <v>10385</v>
      </c>
      <c r="N5089" t="s">
        <v>14</v>
      </c>
    </row>
    <row r="5090" x14ac:dyDescent="0.25">
      <c r="A5090" t="n">
        <v>25</v>
      </c>
      <c r="B5090" t="s">
        <v>14</v>
      </c>
      <c r="C5090" t="s">
        <v>22</v>
      </c>
      <c r="D5090" s="2" t="s">
        <f>=HYPERLINK("https://main.knesset.gov.il/APPS/legislation/main/bills/2197279", "הצעת חוק חג המצות (איסורי חמץ) (תיקון - איסור הצגת חמץ בפסח בבתי חולים), התשפ""ג-2022")</f>
        <v>10388</v>
      </c>
      <c r="E5090" t="s">
        <v>10388</v>
      </c>
      <c r="F5090" t="s">
        <v>10390</v>
      </c>
      <c r="G5090" t="s">
        <v>14</v>
      </c>
      <c r="H5090">
             </c>
      <c r="I5090" t="s">
        <v>14</v>
      </c>
      <c r="J5090" t="s">
        <v>99</v>
      </c>
      <c r="K5090" t="s">
        <v>480</v>
      </c>
      <c r="L5090" t="s">
        <v>20</v>
      </c>
      <c r="M5090" t="s">
        <v>10385</v>
      </c>
      <c r="N5090" t="s">
        <v>14</v>
      </c>
    </row>
    <row r="5091" x14ac:dyDescent="0.25">
      <c r="A5091" t="n">
        <v>25</v>
      </c>
      <c r="B5091" t="s">
        <v>14</v>
      </c>
      <c r="C5091" t="s">
        <v>22</v>
      </c>
      <c r="D5091" s="2" t="s">
        <f>=HYPERLINK("https://main.knesset.gov.il/APPS/legislation/main/bills/2196154", "הצעת חוק-יסוד: ההתגברות (תיקוני חקיקה) ")</f>
        <v>10391</v>
      </c>
      <c r="E5091" t="s">
        <v>10391</v>
      </c>
      <c r="F5091" t="s">
        <v>10392</v>
      </c>
      <c r="G5091" t="s">
        <v>14</v>
      </c>
      <c r="H5091">
             </c>
      <c r="I5091" t="s">
        <v>14</v>
      </c>
      <c r="J5091" t="s">
        <v>31</v>
      </c>
      <c r="K5091" t="s">
        <v>27</v>
      </c>
      <c r="L5091" t="s">
        <v>20</v>
      </c>
      <c r="M5091" t="s">
        <v>10385</v>
      </c>
      <c r="N5091" t="s">
        <v>14</v>
      </c>
    </row>
    <row r="5092" x14ac:dyDescent="0.25">
      <c r="A5092" t="n">
        <v>25</v>
      </c>
      <c r="B5092" t="s">
        <v>14</v>
      </c>
      <c r="C5092" t="s">
        <v>15</v>
      </c>
      <c r="D5092" s="2" t="s">
        <f>=HYPERLINK("https://main.knesset.gov.il/APPS/legislation/main/bills/2201568", "חוק תכנון משק החלב (תיקון מס' 5), התשפ""ג-2023")</f>
        <v>10393</v>
      </c>
      <c r="E5092" t="s">
        <v>10393</v>
      </c>
      <c r="F5092" t="s">
        <v>14</v>
      </c>
      <c r="G5092" t="s">
        <v>10394</v>
      </c>
      <c r="H5092" t="n">
        <v>3028</v>
      </c>
      <c r="I5092" t="s">
        <v>14</v>
      </c>
      <c r="J5092" t="s">
        <v>91</v>
      </c>
      <c r="K5092" t="s">
        <v>19</v>
      </c>
      <c r="L5092" t="s">
        <v>20</v>
      </c>
      <c r="M5092" t="s">
        <v>10395</v>
      </c>
      <c r="N5092" t="s">
        <v>10396</v>
      </c>
    </row>
    <row r="5093" x14ac:dyDescent="0.25">
      <c r="A5093" t="n">
        <v>25</v>
      </c>
      <c r="B5093" t="s">
        <v>14</v>
      </c>
      <c r="C5093" t="s">
        <v>22</v>
      </c>
      <c r="D5093" s="2" t="s">
        <f>=HYPERLINK("https://main.knesset.gov.il/APPS/legislation/main/bills/2201164", "הצעת חוק פיצויים בעד נזק עקב אסון טבע, התשפ""ג-2023")</f>
        <v>10397</v>
      </c>
      <c r="E5093" t="s">
        <v>10397</v>
      </c>
      <c r="F5093" t="s">
        <v>10398</v>
      </c>
      <c r="G5093" t="s">
        <v>14</v>
      </c>
      <c r="H5093">
             </c>
      <c r="I5093" t="s">
        <v>14</v>
      </c>
      <c r="J5093" t="s">
        <v>141</v>
      </c>
      <c r="K5093" t="s">
        <v>14</v>
      </c>
      <c r="L5093" t="s">
        <v>20</v>
      </c>
      <c r="M5093" t="s">
        <v>10395</v>
      </c>
      <c r="N5093" t="s">
        <v>14</v>
      </c>
    </row>
    <row r="5094" x14ac:dyDescent="0.25">
      <c r="A5094" t="n">
        <v>25</v>
      </c>
      <c r="B5094" t="s">
        <v>14</v>
      </c>
      <c r="C5094" t="s">
        <v>22</v>
      </c>
      <c r="D5094" s="2" t="s">
        <f>=HYPERLINK("https://main.knesset.gov.il/APPS/legislation/main/bills/2200738", "הצעת חוק מרשם שמות מתחם בישראל, התשפ""ג-2023")</f>
        <v>10399</v>
      </c>
      <c r="E5094" t="s">
        <v>10399</v>
      </c>
      <c r="F5094" t="s">
        <v>10400</v>
      </c>
      <c r="G5094" t="s">
        <v>14</v>
      </c>
      <c r="H5094">
             </c>
      <c r="I5094" t="s">
        <v>14</v>
      </c>
      <c r="J5094" t="s">
        <v>141</v>
      </c>
      <c r="K5094" t="s">
        <v>14</v>
      </c>
      <c r="L5094" t="s">
        <v>20</v>
      </c>
      <c r="M5094" t="s">
        <v>10395</v>
      </c>
      <c r="N5094" t="s">
        <v>14</v>
      </c>
    </row>
    <row r="5095" x14ac:dyDescent="0.25">
      <c r="A5095" t="n">
        <v>25</v>
      </c>
      <c r="B5095" t="s">
        <v>14</v>
      </c>
      <c r="C5095" t="s">
        <v>22</v>
      </c>
      <c r="D5095" s="2" t="s">
        <f>=HYPERLINK("https://main.knesset.gov.il/APPS/legislation/main/bills/2202306", "הצעת חוק הדיור הציבורי (זכויות רכישה) (תיקון - הארכת תוקף), התשפ""ג-2023")</f>
        <v>1967</v>
      </c>
      <c r="E5095" t="s">
        <v>1967</v>
      </c>
      <c r="F5095" t="s">
        <v>10401</v>
      </c>
      <c r="G5095" t="s">
        <v>14</v>
      </c>
      <c r="H5095">
             </c>
      <c r="I5095" t="s">
        <v>14</v>
      </c>
      <c r="J5095" t="s">
        <v>141</v>
      </c>
      <c r="K5095" t="s">
        <v>14</v>
      </c>
      <c r="L5095" t="s">
        <v>20</v>
      </c>
      <c r="M5095" t="s">
        <v>10395</v>
      </c>
      <c r="N5095" t="s">
        <v>14</v>
      </c>
    </row>
    <row r="5096" x14ac:dyDescent="0.25">
      <c r="A5096" t="n">
        <v>25</v>
      </c>
      <c r="B5096" t="s">
        <v>14</v>
      </c>
      <c r="C5096" t="s">
        <v>22</v>
      </c>
      <c r="D5096" s="2" t="s">
        <f>=HYPERLINK("https://main.knesset.gov.il/APPS/legislation/main/bills/2201667", "הצעת חוק להגבלה לאחר סיום כהונה של שר התקשורת, התשפ""ג-2023")</f>
        <v>10402</v>
      </c>
      <c r="E5096" t="s">
        <v>10402</v>
      </c>
      <c r="F5096" t="s">
        <v>10403</v>
      </c>
      <c r="G5096" t="s">
        <v>14</v>
      </c>
      <c r="H5096">
             </c>
      <c r="I5096" t="s">
        <v>14</v>
      </c>
      <c r="J5096" t="s">
        <v>141</v>
      </c>
      <c r="K5096" t="s">
        <v>14</v>
      </c>
      <c r="L5096" t="s">
        <v>20</v>
      </c>
      <c r="M5096" t="s">
        <v>10395</v>
      </c>
      <c r="N5096" t="s">
        <v>14</v>
      </c>
    </row>
    <row r="5097" x14ac:dyDescent="0.25">
      <c r="A5097" t="n">
        <v>25</v>
      </c>
      <c r="B5097" t="s">
        <v>14</v>
      </c>
      <c r="C5097" t="s">
        <v>22</v>
      </c>
      <c r="D5097" s="2" t="s">
        <f>=HYPERLINK("https://main.knesset.gov.il/APPS/legislation/main/bills/2198013", "הצעת חוק כביש אגרה (כביש ארצי לישראל) (תיקון - החזר לנוסעים בשל האטה משמעותית), התשפ""ג-2023")</f>
        <v>9721</v>
      </c>
      <c r="E5097" t="s">
        <v>9721</v>
      </c>
      <c r="F5097" t="s">
        <v>10404</v>
      </c>
      <c r="G5097" t="s">
        <v>14</v>
      </c>
      <c r="H5097">
             </c>
      <c r="I5097" t="s">
        <v>14</v>
      </c>
      <c r="J5097" t="s">
        <v>141</v>
      </c>
      <c r="K5097" t="s">
        <v>14</v>
      </c>
      <c r="L5097" t="s">
        <v>20</v>
      </c>
      <c r="M5097" t="s">
        <v>10395</v>
      </c>
      <c r="N5097" t="s">
        <v>14</v>
      </c>
    </row>
    <row r="5098" x14ac:dyDescent="0.25">
      <c r="A5098" t="n">
        <v>25</v>
      </c>
      <c r="B5098" t="s">
        <v>14</v>
      </c>
      <c r="C5098" t="s">
        <v>22</v>
      </c>
      <c r="D5098" s="2" t="s">
        <f>=HYPERLINK("https://main.knesset.gov.il/APPS/legislation/main/bills/2201045", "הצעת חוק לתיקון פקודת מס הכנסה (ניכוי הוצאות כיבוד בפגישה מחוץ למקום העיסוק), התשפ""ג-2023")</f>
        <v>10405</v>
      </c>
      <c r="E5098" t="s">
        <v>10405</v>
      </c>
      <c r="F5098" t="s">
        <v>10406</v>
      </c>
      <c r="G5098" t="s">
        <v>14</v>
      </c>
      <c r="H5098">
             </c>
      <c r="I5098" t="s">
        <v>14</v>
      </c>
      <c r="J5098" t="s">
        <v>141</v>
      </c>
      <c r="K5098" t="s">
        <v>14</v>
      </c>
      <c r="L5098" t="s">
        <v>20</v>
      </c>
      <c r="M5098" t="s">
        <v>10395</v>
      </c>
      <c r="N5098" t="s">
        <v>14</v>
      </c>
    </row>
    <row r="5099" x14ac:dyDescent="0.25">
      <c r="A5099" t="n">
        <v>25</v>
      </c>
      <c r="B5099" t="s">
        <v>14</v>
      </c>
      <c r="C5099" t="s">
        <v>22</v>
      </c>
      <c r="D5099" s="2" t="s">
        <f>=HYPERLINK("https://main.knesset.gov.il/APPS/legislation/main/bills/2201902", "הצעת חוק העונשין (תיקון - עונשי מינימום בעבירות נשק), התשפ""ג-2023")</f>
        <v>10407</v>
      </c>
      <c r="E5099" t="s">
        <v>10407</v>
      </c>
      <c r="F5099" t="s">
        <v>10408</v>
      </c>
      <c r="G5099" t="s">
        <v>14</v>
      </c>
      <c r="H5099">
             </c>
      <c r="I5099" t="s">
        <v>14</v>
      </c>
      <c r="J5099" t="s">
        <v>141</v>
      </c>
      <c r="K5099" t="s">
        <v>14</v>
      </c>
      <c r="L5099" t="s">
        <v>20</v>
      </c>
      <c r="M5099" t="s">
        <v>10395</v>
      </c>
      <c r="N5099" t="s">
        <v>14</v>
      </c>
    </row>
    <row r="5100" x14ac:dyDescent="0.25">
      <c r="A5100" t="n">
        <v>25</v>
      </c>
      <c r="B5100" t="s">
        <v>14</v>
      </c>
      <c r="C5100" t="s">
        <v>22</v>
      </c>
      <c r="D5100" s="2" t="s">
        <f>=HYPERLINK("https://main.knesset.gov.il/APPS/legislation/main/bills/2201321", "הצעת חוק לתיקון פקודת המסים (גבייה) (ביטול החוק), התשפ""ג–2023")</f>
        <v>10409</v>
      </c>
      <c r="E5100" t="s">
        <v>10409</v>
      </c>
      <c r="F5100" t="s">
        <v>10410</v>
      </c>
      <c r="G5100" t="s">
        <v>14</v>
      </c>
      <c r="H5100">
             </c>
      <c r="I5100" t="s">
        <v>14</v>
      </c>
      <c r="J5100" t="s">
        <v>141</v>
      </c>
      <c r="K5100" t="s">
        <v>14</v>
      </c>
      <c r="L5100" t="s">
        <v>20</v>
      </c>
      <c r="M5100" t="s">
        <v>10395</v>
      </c>
      <c r="N5100" t="s">
        <v>14</v>
      </c>
    </row>
    <row r="5101" x14ac:dyDescent="0.25">
      <c r="A5101" t="n">
        <v>25</v>
      </c>
      <c r="B5101" t="s">
        <v>14</v>
      </c>
      <c r="C5101" t="s">
        <v>22</v>
      </c>
      <c r="D5101" s="2" t="s">
        <f>=HYPERLINK("https://main.knesset.gov.il/APPS/legislation/main/bills/2201837", "הצעת חוק תאגידי מים וביוב (תיקון - חישוב תעריף דמי הקמה), התשפ""ג-2023")</f>
        <v>10411</v>
      </c>
      <c r="E5101" t="s">
        <v>10411</v>
      </c>
      <c r="F5101" t="s">
        <v>10412</v>
      </c>
      <c r="G5101" t="s">
        <v>14</v>
      </c>
      <c r="H5101">
             </c>
      <c r="I5101" t="s">
        <v>14</v>
      </c>
      <c r="J5101" t="s">
        <v>141</v>
      </c>
      <c r="K5101" t="s">
        <v>14</v>
      </c>
      <c r="L5101" t="s">
        <v>20</v>
      </c>
      <c r="M5101" t="s">
        <v>10395</v>
      </c>
      <c r="N5101" t="s">
        <v>14</v>
      </c>
    </row>
    <row r="5102" x14ac:dyDescent="0.25">
      <c r="A5102" t="n">
        <v>25</v>
      </c>
      <c r="B5102" t="s">
        <v>14</v>
      </c>
      <c r="C5102" t="s">
        <v>22</v>
      </c>
      <c r="D5102" s="2" t="s">
        <f>=HYPERLINK("https://main.knesset.gov.il/APPS/legislation/main/bills/2201953", "הצעת חוק התגמולים לנפגעי פעולות איבה (תיקון - זכאות לתגמולים ולפיצויים לפי חוק אחר), התשפ""ג-2023")</f>
        <v>8454</v>
      </c>
      <c r="E5102" t="s">
        <v>8454</v>
      </c>
      <c r="F5102" t="s">
        <v>10413</v>
      </c>
      <c r="G5102" t="s">
        <v>14</v>
      </c>
      <c r="H5102">
             </c>
      <c r="I5102" t="s">
        <v>14</v>
      </c>
      <c r="J5102" t="s">
        <v>141</v>
      </c>
      <c r="K5102" t="s">
        <v>14</v>
      </c>
      <c r="L5102" t="s">
        <v>20</v>
      </c>
      <c r="M5102" t="s">
        <v>10395</v>
      </c>
      <c r="N5102" t="s">
        <v>14</v>
      </c>
    </row>
    <row r="5103" x14ac:dyDescent="0.25">
      <c r="A5103" t="n">
        <v>25</v>
      </c>
      <c r="B5103" t="s">
        <v>14</v>
      </c>
      <c r="C5103" t="s">
        <v>22</v>
      </c>
      <c r="D5103" s="2" t="s">
        <f>=HYPERLINK("https://main.knesset.gov.il/APPS/legislation/main/bills/2201410", "הצעת חוק העונשין (תיקון - החמרת ענישה על העלבת עובד ציבור), התשפ''ג-2023")</f>
        <v>10414</v>
      </c>
      <c r="E5103" t="s">
        <v>10414</v>
      </c>
      <c r="F5103" t="s">
        <v>10415</v>
      </c>
      <c r="G5103" t="s">
        <v>14</v>
      </c>
      <c r="H5103">
             </c>
      <c r="I5103" t="s">
        <v>14</v>
      </c>
      <c r="J5103" t="s">
        <v>141</v>
      </c>
      <c r="K5103" t="s">
        <v>14</v>
      </c>
      <c r="L5103" t="s">
        <v>20</v>
      </c>
      <c r="M5103" t="s">
        <v>10395</v>
      </c>
      <c r="N5103" t="s">
        <v>14</v>
      </c>
    </row>
    <row r="5104" x14ac:dyDescent="0.25">
      <c r="A5104" t="n">
        <v>25</v>
      </c>
      <c r="B5104" t="s">
        <v>14</v>
      </c>
      <c r="C5104" t="s">
        <v>22</v>
      </c>
      <c r="D5104" s="2" t="s">
        <f>=HYPERLINK("https://main.knesset.gov.il/APPS/legislation/main/bills/2202116", "הצעת חוק הביטוח הלאומי (תיקון - דמי פגיעה לעובד עצמאי), התשפ""ג-2023")</f>
        <v>10026</v>
      </c>
      <c r="E5104" t="s">
        <v>10026</v>
      </c>
      <c r="F5104" t="s">
        <v>10416</v>
      </c>
      <c r="G5104" t="s">
        <v>14</v>
      </c>
      <c r="H5104">
             </c>
      <c r="I5104" t="s">
        <v>14</v>
      </c>
      <c r="J5104" t="s">
        <v>141</v>
      </c>
      <c r="K5104" t="s">
        <v>14</v>
      </c>
      <c r="L5104" t="s">
        <v>20</v>
      </c>
      <c r="M5104" t="s">
        <v>10395</v>
      </c>
      <c r="N5104" t="s">
        <v>14</v>
      </c>
    </row>
    <row r="5105" x14ac:dyDescent="0.25">
      <c r="A5105" t="n">
        <v>25</v>
      </c>
      <c r="B5105" t="s">
        <v>14</v>
      </c>
      <c r="C5105" t="s">
        <v>22</v>
      </c>
      <c r="D5105" s="2" t="s">
        <f>=HYPERLINK("https://main.knesset.gov.il/APPS/legislation/main/bills/2201745", "הצעת חוק הסכמים קיבוציים (תיקון - סייג לגביית דמי חבר ודמי טיפול מקצועי-ארגוני בארגון עובדים), התשפ""ג-2023")</f>
        <v>10417</v>
      </c>
      <c r="E5105" t="s">
        <v>10417</v>
      </c>
      <c r="F5105" t="s">
        <v>10418</v>
      </c>
      <c r="G5105" t="s">
        <v>14</v>
      </c>
      <c r="H5105">
             </c>
      <c r="I5105" t="s">
        <v>14</v>
      </c>
      <c r="J5105" t="s">
        <v>141</v>
      </c>
      <c r="K5105" t="s">
        <v>14</v>
      </c>
      <c r="L5105" t="s">
        <v>20</v>
      </c>
      <c r="M5105" t="s">
        <v>10395</v>
      </c>
      <c r="N5105" t="s">
        <v>14</v>
      </c>
    </row>
    <row r="5106" x14ac:dyDescent="0.25">
      <c r="A5106" t="n">
        <v>25</v>
      </c>
      <c r="B5106" t="s">
        <v>14</v>
      </c>
      <c r="C5106" t="s">
        <v>22</v>
      </c>
      <c r="D5106" s="2" t="s">
        <f>=HYPERLINK("https://main.knesset.gov.il/APPS/legislation/main/bills/2201720", "הצעת חוק שכר מינימום (תיקון - עוולה נזיקית וקובלנה), התשפ""ג-2023")</f>
        <v>10419</v>
      </c>
      <c r="E5106" t="s">
        <v>10419</v>
      </c>
      <c r="F5106" t="s">
        <v>10420</v>
      </c>
      <c r="G5106" t="s">
        <v>14</v>
      </c>
      <c r="H5106">
             </c>
      <c r="I5106" t="s">
        <v>14</v>
      </c>
      <c r="J5106" t="s">
        <v>141</v>
      </c>
      <c r="K5106" t="s">
        <v>14</v>
      </c>
      <c r="L5106" t="s">
        <v>20</v>
      </c>
      <c r="M5106" t="s">
        <v>10395</v>
      </c>
      <c r="N5106" t="s">
        <v>14</v>
      </c>
    </row>
    <row r="5107" x14ac:dyDescent="0.25">
      <c r="A5107" t="n">
        <v>25</v>
      </c>
      <c r="B5107" t="s">
        <v>14</v>
      </c>
      <c r="C5107" t="s">
        <v>22</v>
      </c>
      <c r="D5107" s="2" t="s">
        <f>=HYPERLINK("https://main.knesset.gov.il/APPS/legislation/main/bills/2201397", "הצעת חוק העונשין (תיקון - החמרת ענישה בפשיעה חקלאית) (הוראת שעה), התשפ""ג-2023")</f>
        <v>10421</v>
      </c>
      <c r="E5107" t="s">
        <v>10421</v>
      </c>
      <c r="F5107" t="s">
        <v>10422</v>
      </c>
      <c r="G5107" t="s">
        <v>14</v>
      </c>
      <c r="H5107">
             </c>
      <c r="I5107" t="s">
        <v>14</v>
      </c>
      <c r="J5107" t="s">
        <v>141</v>
      </c>
      <c r="K5107" t="s">
        <v>14</v>
      </c>
      <c r="L5107" t="s">
        <v>20</v>
      </c>
      <c r="M5107" t="s">
        <v>10395</v>
      </c>
      <c r="N5107" t="s">
        <v>14</v>
      </c>
    </row>
    <row r="5108" x14ac:dyDescent="0.25">
      <c r="A5108" t="n">
        <v>25</v>
      </c>
      <c r="B5108" t="s">
        <v>14</v>
      </c>
      <c r="C5108" t="s">
        <v>22</v>
      </c>
      <c r="D5108" s="2" t="s">
        <f>=HYPERLINK("https://main.knesset.gov.il/APPS/legislation/main/bills/2201706", "הצעת חוק הביטוח הלאומי (תיקון - הארכת המועד להגשת תביעה לגמלה והתקופה שבעדה תשולם), התשפ""ג-2023")</f>
        <v>8335</v>
      </c>
      <c r="E5108" t="s">
        <v>8335</v>
      </c>
      <c r="F5108" t="s">
        <v>10423</v>
      </c>
      <c r="G5108" t="s">
        <v>14</v>
      </c>
      <c r="H5108">
             </c>
      <c r="I5108" t="s">
        <v>14</v>
      </c>
      <c r="J5108" t="s">
        <v>141</v>
      </c>
      <c r="K5108" t="s">
        <v>14</v>
      </c>
      <c r="L5108" t="s">
        <v>20</v>
      </c>
      <c r="M5108" t="s">
        <v>10395</v>
      </c>
      <c r="N5108" t="s">
        <v>14</v>
      </c>
    </row>
    <row r="5109" x14ac:dyDescent="0.25">
      <c r="A5109" t="n">
        <v>25</v>
      </c>
      <c r="B5109" t="s">
        <v>14</v>
      </c>
      <c r="C5109" t="s">
        <v>22</v>
      </c>
      <c r="D5109" s="2" t="s">
        <f>=HYPERLINK("https://main.knesset.gov.il/APPS/legislation/main/bills/2201137", "הצעת חוק לתיקון פקודת מס הכנסה (פטור ממס על מלגה לחוקר), התשפ""ג-2023")</f>
        <v>10424</v>
      </c>
      <c r="E5109" t="s">
        <v>10424</v>
      </c>
      <c r="F5109" t="s">
        <v>10425</v>
      </c>
      <c r="G5109" t="s">
        <v>14</v>
      </c>
      <c r="H5109">
             </c>
      <c r="I5109" t="s">
        <v>14</v>
      </c>
      <c r="J5109" t="s">
        <v>141</v>
      </c>
      <c r="K5109" t="s">
        <v>14</v>
      </c>
      <c r="L5109" t="s">
        <v>20</v>
      </c>
      <c r="M5109" t="s">
        <v>10395</v>
      </c>
      <c r="N5109" t="s">
        <v>14</v>
      </c>
    </row>
    <row r="5110" x14ac:dyDescent="0.25">
      <c r="A5110" t="n">
        <v>25</v>
      </c>
      <c r="B5110" t="s">
        <v>14</v>
      </c>
      <c r="C5110" t="s">
        <v>22</v>
      </c>
      <c r="D5110" s="2" t="s">
        <f>=HYPERLINK("https://main.knesset.gov.il/APPS/legislation/main/bills/2201433", "הצעת חוק ירושלים רבתי, התשפ""ג-2023")</f>
        <v>10426</v>
      </c>
      <c r="E5110" t="s">
        <v>10426</v>
      </c>
      <c r="F5110" t="s">
        <v>10427</v>
      </c>
      <c r="G5110" t="s">
        <v>14</v>
      </c>
      <c r="H5110">
             </c>
      <c r="I5110" t="s">
        <v>14</v>
      </c>
      <c r="J5110" t="s">
        <v>141</v>
      </c>
      <c r="K5110" t="s">
        <v>14</v>
      </c>
      <c r="L5110" t="s">
        <v>20</v>
      </c>
      <c r="M5110" t="s">
        <v>10395</v>
      </c>
      <c r="N5110" t="s">
        <v>14</v>
      </c>
    </row>
    <row r="5111" x14ac:dyDescent="0.25">
      <c r="A5111" t="n">
        <v>25</v>
      </c>
      <c r="B5111" t="s">
        <v>14</v>
      </c>
      <c r="C5111" t="s">
        <v>22</v>
      </c>
      <c r="D5111" s="2" t="s">
        <f>=HYPERLINK("https://main.knesset.gov.il/APPS/legislation/main/bills/2201649", "הצעת חוק הביטוח הלאומי (תיקון - שלילת קצבאות ממחבלים), התשפ""ג-2023")</f>
        <v>10428</v>
      </c>
      <c r="E5111" t="s">
        <v>10428</v>
      </c>
      <c r="F5111" t="s">
        <v>10429</v>
      </c>
      <c r="G5111" t="s">
        <v>14</v>
      </c>
      <c r="H5111">
             </c>
      <c r="I5111" t="s">
        <v>14</v>
      </c>
      <c r="J5111" t="s">
        <v>141</v>
      </c>
      <c r="K5111" t="s">
        <v>14</v>
      </c>
      <c r="L5111" t="s">
        <v>20</v>
      </c>
      <c r="M5111" t="s">
        <v>10395</v>
      </c>
      <c r="N5111" t="s">
        <v>14</v>
      </c>
    </row>
    <row r="5112" x14ac:dyDescent="0.25">
      <c r="A5112" t="n">
        <v>25</v>
      </c>
      <c r="B5112" t="s">
        <v>14</v>
      </c>
      <c r="C5112" t="s">
        <v>22</v>
      </c>
      <c r="D5112" s="2" t="s">
        <f>=HYPERLINK("https://main.knesset.gov.il/APPS/legislation/main/bills/2201751", "הצעת חוק שוויון זכויות לאנשים עם מוגבלות (תיקון - חובת נגישות באוטובוסים בין-עירוניים), התשפ""ג-2023")</f>
        <v>10430</v>
      </c>
      <c r="E5112" t="s">
        <v>10430</v>
      </c>
      <c r="F5112" t="s">
        <v>10431</v>
      </c>
      <c r="G5112" t="s">
        <v>14</v>
      </c>
      <c r="H5112">
             </c>
      <c r="I5112" t="s">
        <v>14</v>
      </c>
      <c r="J5112" t="s">
        <v>141</v>
      </c>
      <c r="K5112" t="s">
        <v>14</v>
      </c>
      <c r="L5112" t="s">
        <v>20</v>
      </c>
      <c r="M5112" t="s">
        <v>10395</v>
      </c>
      <c r="N5112" t="s">
        <v>14</v>
      </c>
    </row>
    <row r="5113" x14ac:dyDescent="0.25">
      <c r="A5113" t="n">
        <v>25</v>
      </c>
      <c r="B5113" t="s">
        <v>14</v>
      </c>
      <c r="C5113" t="s">
        <v>22</v>
      </c>
      <c r="D5113" s="2" t="s">
        <f>=HYPERLINK("https://main.knesset.gov.il/APPS/legislation/main/bills/2201426", "הצעת חוק מעונות יום שיקומיים (תיקון - הקדמת גיל הזכאות), התשפ""ג-2023")</f>
        <v>9816</v>
      </c>
      <c r="E5113" t="s">
        <v>9816</v>
      </c>
      <c r="F5113" t="s">
        <v>10432</v>
      </c>
      <c r="G5113" t="s">
        <v>14</v>
      </c>
      <c r="H5113">
             </c>
      <c r="I5113" t="s">
        <v>14</v>
      </c>
      <c r="J5113" t="s">
        <v>141</v>
      </c>
      <c r="K5113" t="s">
        <v>14</v>
      </c>
      <c r="L5113" t="s">
        <v>20</v>
      </c>
      <c r="M5113" t="s">
        <v>10395</v>
      </c>
      <c r="N5113" t="s">
        <v>14</v>
      </c>
    </row>
    <row r="5114" x14ac:dyDescent="0.25">
      <c r="A5114" t="n">
        <v>25</v>
      </c>
      <c r="B5114" t="s">
        <v>14</v>
      </c>
      <c r="C5114" t="s">
        <v>22</v>
      </c>
      <c r="D5114" s="2" t="s">
        <f>=HYPERLINK("https://main.knesset.gov.il/APPS/legislation/main/bills/2201704", "הצעת חוק דמי מחלה (תיקון - יתרה שלילית של ימי מחלה), התשפ""ג-2023")</f>
        <v>10433</v>
      </c>
      <c r="E5114" t="s">
        <v>10433</v>
      </c>
      <c r="F5114" t="s">
        <v>10434</v>
      </c>
      <c r="G5114" t="s">
        <v>14</v>
      </c>
      <c r="H5114">
             </c>
      <c r="I5114" t="s">
        <v>14</v>
      </c>
      <c r="J5114" t="s">
        <v>141</v>
      </c>
      <c r="K5114" t="s">
        <v>14</v>
      </c>
      <c r="L5114" t="s">
        <v>20</v>
      </c>
      <c r="M5114" t="s">
        <v>10395</v>
      </c>
      <c r="N5114" t="s">
        <v>14</v>
      </c>
    </row>
    <row r="5115" x14ac:dyDescent="0.25">
      <c r="A5115" t="n">
        <v>25</v>
      </c>
      <c r="B5115" t="s">
        <v>14</v>
      </c>
      <c r="C5115" t="s">
        <v>22</v>
      </c>
      <c r="D5115" s="2" t="s">
        <f>=HYPERLINK("https://main.knesset.gov.il/APPS/legislation/main/bills/2200468", "הצעת חוק לתיקון פקודת מס הכנסה (הפקדות לקרן השתלמות לעצמאי), התשפ""ג-2023")</f>
        <v>10435</v>
      </c>
      <c r="E5115" t="s">
        <v>10435</v>
      </c>
      <c r="F5115" t="s">
        <v>10436</v>
      </c>
      <c r="G5115" t="s">
        <v>14</v>
      </c>
      <c r="H5115">
             </c>
      <c r="I5115" t="s">
        <v>14</v>
      </c>
      <c r="J5115" t="s">
        <v>141</v>
      </c>
      <c r="K5115" t="s">
        <v>14</v>
      </c>
      <c r="L5115" t="s">
        <v>20</v>
      </c>
      <c r="M5115" t="s">
        <v>10395</v>
      </c>
      <c r="N5115" t="s">
        <v>14</v>
      </c>
    </row>
    <row r="5116" x14ac:dyDescent="0.25">
      <c r="A5116" t="n">
        <v>25</v>
      </c>
      <c r="B5116" t="s">
        <v>14</v>
      </c>
      <c r="C5116" t="s">
        <v>22</v>
      </c>
      <c r="D5116" s="2" t="s">
        <f>=HYPERLINK("https://main.knesset.gov.il/APPS/legislation/main/bills/2201888", "הצעת חוק ביטוח בריאות ממלכתי (תיקון - תוספת שנתית קבועה לסל שירותי הבריאות לצורך הוספת תרופות, מכשור וטכנולוגיות רפואיות חדשות), התשפ""ג-2023")</f>
        <v>10437</v>
      </c>
      <c r="E5116" t="s">
        <v>10437</v>
      </c>
      <c r="F5116" t="s">
        <v>10438</v>
      </c>
      <c r="G5116" t="s">
        <v>14</v>
      </c>
      <c r="H5116">
             </c>
      <c r="I5116" t="s">
        <v>14</v>
      </c>
      <c r="J5116" t="s">
        <v>141</v>
      </c>
      <c r="K5116" t="s">
        <v>14</v>
      </c>
      <c r="L5116" t="s">
        <v>20</v>
      </c>
      <c r="M5116" t="s">
        <v>10395</v>
      </c>
      <c r="N5116" t="s">
        <v>14</v>
      </c>
    </row>
    <row r="5117" x14ac:dyDescent="0.25">
      <c r="A5117" t="n">
        <v>25</v>
      </c>
      <c r="B5117" t="s">
        <v>14</v>
      </c>
      <c r="C5117" t="s">
        <v>22</v>
      </c>
      <c r="D5117" s="2" t="s">
        <f>=HYPERLINK("https://main.knesset.gov.il/APPS/legislation/main/bills/2201960", "הצעת חוק דמי מחלה עבור מלווה בן משפחה לבדיקה רפואית (תיקוני חקיקה), התשפ""ג-2023")</f>
        <v>10117</v>
      </c>
      <c r="E5117" t="s">
        <v>10117</v>
      </c>
      <c r="F5117" t="s">
        <v>10439</v>
      </c>
      <c r="G5117" t="s">
        <v>14</v>
      </c>
      <c r="H5117">
             </c>
      <c r="I5117" t="s">
        <v>14</v>
      </c>
      <c r="J5117" t="s">
        <v>141</v>
      </c>
      <c r="K5117" t="s">
        <v>14</v>
      </c>
      <c r="L5117" t="s">
        <v>20</v>
      </c>
      <c r="M5117" t="s">
        <v>10395</v>
      </c>
      <c r="N5117" t="s">
        <v>14</v>
      </c>
    </row>
    <row r="5118" x14ac:dyDescent="0.25">
      <c r="A5118" t="n">
        <v>25</v>
      </c>
      <c r="B5118" t="s">
        <v>14</v>
      </c>
      <c r="C5118" t="s">
        <v>22</v>
      </c>
      <c r="D5118" s="2" t="s">
        <f>=HYPERLINK("https://main.knesset.gov.il/APPS/legislation/main/bills/2201698", "הצעת חוק הפנסיה (מועד תחילת הביטוח הפנסיוני), התשפ""ג-2023")</f>
        <v>10440</v>
      </c>
      <c r="E5118" t="s">
        <v>10440</v>
      </c>
      <c r="F5118" t="s">
        <v>10441</v>
      </c>
      <c r="G5118" t="s">
        <v>14</v>
      </c>
      <c r="H5118">
             </c>
      <c r="I5118" t="s">
        <v>14</v>
      </c>
      <c r="J5118" t="s">
        <v>141</v>
      </c>
      <c r="K5118" t="s">
        <v>14</v>
      </c>
      <c r="L5118" t="s">
        <v>20</v>
      </c>
      <c r="M5118" t="s">
        <v>10395</v>
      </c>
      <c r="N5118" t="s">
        <v>14</v>
      </c>
    </row>
    <row r="5119" x14ac:dyDescent="0.25">
      <c r="A5119" t="n">
        <v>25</v>
      </c>
      <c r="B5119" t="s">
        <v>14</v>
      </c>
      <c r="C5119" t="s">
        <v>22</v>
      </c>
      <c r="D5119" s="2" t="s">
        <f>=HYPERLINK("https://main.knesset.gov.il/APPS/legislation/main/bills/2201548", "הצעת חוק סיוע למשפחות שבראשן הורה עצמאי (תיקון - הרחבת תחולה), התשפ""ג-2023")</f>
        <v>10442</v>
      </c>
      <c r="E5119" t="s">
        <v>10442</v>
      </c>
      <c r="F5119" t="s">
        <v>10443</v>
      </c>
      <c r="G5119" t="s">
        <v>14</v>
      </c>
      <c r="H5119">
             </c>
      <c r="I5119" t="s">
        <v>14</v>
      </c>
      <c r="J5119" t="s">
        <v>141</v>
      </c>
      <c r="K5119" t="s">
        <v>14</v>
      </c>
      <c r="L5119" t="s">
        <v>20</v>
      </c>
      <c r="M5119" t="s">
        <v>10395</v>
      </c>
      <c r="N5119" t="s">
        <v>14</v>
      </c>
    </row>
    <row r="5120" x14ac:dyDescent="0.25">
      <c r="A5120" t="n">
        <v>25</v>
      </c>
      <c r="B5120" t="s">
        <v>14</v>
      </c>
      <c r="C5120" t="s">
        <v>22</v>
      </c>
      <c r="D5120" s="2" t="s">
        <f>=HYPERLINK("https://main.knesset.gov.il/APPS/legislation/main/bills/2201874", "הצעת חוק המכר (דירות) (תיקון - הסדרת בנייה במסגרת קבוצות רכישה), התשפ""ג-2023")</f>
        <v>10444</v>
      </c>
      <c r="E5120" t="s">
        <v>10444</v>
      </c>
      <c r="F5120" t="s">
        <v>10445</v>
      </c>
      <c r="G5120" t="s">
        <v>14</v>
      </c>
      <c r="H5120">
             </c>
      <c r="I5120" t="s">
        <v>14</v>
      </c>
      <c r="J5120" t="s">
        <v>141</v>
      </c>
      <c r="K5120" t="s">
        <v>14</v>
      </c>
      <c r="L5120" t="s">
        <v>20</v>
      </c>
      <c r="M5120" t="s">
        <v>10395</v>
      </c>
      <c r="N5120" t="s">
        <v>14</v>
      </c>
    </row>
    <row r="5121" x14ac:dyDescent="0.25">
      <c r="A5121" t="n">
        <v>25</v>
      </c>
      <c r="B5121" t="s">
        <v>14</v>
      </c>
      <c r="C5121" t="s">
        <v>22</v>
      </c>
      <c r="D5121" s="2" t="s">
        <f>=HYPERLINK("https://main.knesset.gov.il/APPS/legislation/main/bills/2201550", "הצעת חוק שוויון ההזדמנויות בעבודה (תיקון - עצמאות נציבות שוויון הזדמנויות בעבודה), התשפ""ג-2023")</f>
        <v>10115</v>
      </c>
      <c r="E5121" t="s">
        <v>10115</v>
      </c>
      <c r="F5121" t="s">
        <v>10446</v>
      </c>
      <c r="G5121" t="s">
        <v>14</v>
      </c>
      <c r="H5121">
             </c>
      <c r="I5121" t="s">
        <v>14</v>
      </c>
      <c r="J5121" t="s">
        <v>141</v>
      </c>
      <c r="K5121" t="s">
        <v>14</v>
      </c>
      <c r="L5121" t="s">
        <v>20</v>
      </c>
      <c r="M5121" t="s">
        <v>10395</v>
      </c>
      <c r="N5121" t="s">
        <v>14</v>
      </c>
    </row>
    <row r="5122" x14ac:dyDescent="0.25">
      <c r="A5122" t="n">
        <v>25</v>
      </c>
      <c r="B5122" t="s">
        <v>14</v>
      </c>
      <c r="C5122" t="s">
        <v>22</v>
      </c>
      <c r="D5122" s="2" t="s">
        <f>=HYPERLINK("https://main.knesset.gov.il/APPS/legislation/main/bills/2201483", "הצעת חוק לתיקון פקודת העיריות (חובת גילוי מסמכי תאגיד עירוני), התשפ""ג-2023")</f>
        <v>10447</v>
      </c>
      <c r="E5122" t="s">
        <v>10447</v>
      </c>
      <c r="F5122" t="s">
        <v>10448</v>
      </c>
      <c r="G5122" t="s">
        <v>14</v>
      </c>
      <c r="H5122">
             </c>
      <c r="I5122" t="s">
        <v>14</v>
      </c>
      <c r="J5122" t="s">
        <v>141</v>
      </c>
      <c r="K5122" t="s">
        <v>14</v>
      </c>
      <c r="L5122" t="s">
        <v>20</v>
      </c>
      <c r="M5122" t="s">
        <v>10395</v>
      </c>
      <c r="N5122" t="s">
        <v>14</v>
      </c>
    </row>
    <row r="5123" x14ac:dyDescent="0.25">
      <c r="A5123" t="n">
        <v>25</v>
      </c>
      <c r="B5123" t="s">
        <v>14</v>
      </c>
      <c r="C5123" t="s">
        <v>22</v>
      </c>
      <c r="D5123" s="2" t="s">
        <f>=HYPERLINK("https://main.knesset.gov.il/APPS/legislation/main/bills/2202121", "הצעת חוק הגנת הצרכן (תיקון - סימון תוצרת חקלאית שאינה ארוזה מראש), התשפ""ג-2023")</f>
        <v>10449</v>
      </c>
      <c r="E5123" t="s">
        <v>10449</v>
      </c>
      <c r="F5123" t="s">
        <v>10450</v>
      </c>
      <c r="G5123" t="s">
        <v>14</v>
      </c>
      <c r="H5123">
             </c>
      <c r="I5123" t="s">
        <v>14</v>
      </c>
      <c r="J5123" t="s">
        <v>141</v>
      </c>
      <c r="K5123" t="s">
        <v>14</v>
      </c>
      <c r="L5123" t="s">
        <v>20</v>
      </c>
      <c r="M5123" t="s">
        <v>10395</v>
      </c>
      <c r="N5123" t="s">
        <v>14</v>
      </c>
    </row>
    <row r="5124" x14ac:dyDescent="0.25">
      <c r="A5124" t="n">
        <v>25</v>
      </c>
      <c r="B5124" t="s">
        <v>14</v>
      </c>
      <c r="C5124" t="s">
        <v>22</v>
      </c>
      <c r="D5124" s="2" t="s">
        <f>=HYPERLINK("https://main.knesset.gov.il/APPS/legislation/main/bills/2202117", "הצעת חוק הגנת הצרכן (תיקון - סימון תוצרת חקלאית שאינה ארוזה מראש), התשפ""ג-2023")</f>
        <v>10449</v>
      </c>
      <c r="E5124" t="s">
        <v>10449</v>
      </c>
      <c r="F5124" t="s">
        <v>10451</v>
      </c>
      <c r="G5124" t="s">
        <v>14</v>
      </c>
      <c r="H5124">
             </c>
      <c r="I5124" t="s">
        <v>14</v>
      </c>
      <c r="J5124" t="s">
        <v>141</v>
      </c>
      <c r="K5124" t="s">
        <v>14</v>
      </c>
      <c r="L5124" t="s">
        <v>20</v>
      </c>
      <c r="M5124" t="s">
        <v>10395</v>
      </c>
      <c r="N5124" t="s">
        <v>14</v>
      </c>
    </row>
    <row r="5125" x14ac:dyDescent="0.25">
      <c r="A5125" t="n">
        <v>25</v>
      </c>
      <c r="B5125" t="s">
        <v>14</v>
      </c>
      <c r="C5125" t="s">
        <v>22</v>
      </c>
      <c r="D5125" s="2" t="s">
        <f>=HYPERLINK("https://main.knesset.gov.il/APPS/legislation/main/bills/2201262", "הצעת חוק השידור הציבורי הישראלי (תיקון - חברה ציבורית), התשפ""ג-2023")</f>
        <v>10452</v>
      </c>
      <c r="E5125" t="s">
        <v>10452</v>
      </c>
      <c r="F5125" t="s">
        <v>10453</v>
      </c>
      <c r="G5125" t="s">
        <v>14</v>
      </c>
      <c r="H5125">
             </c>
      <c r="I5125" t="s">
        <v>14</v>
      </c>
      <c r="J5125" t="s">
        <v>141</v>
      </c>
      <c r="K5125" t="s">
        <v>14</v>
      </c>
      <c r="L5125" t="s">
        <v>20</v>
      </c>
      <c r="M5125" t="s">
        <v>10395</v>
      </c>
      <c r="N5125" t="s">
        <v>14</v>
      </c>
    </row>
    <row r="5126" x14ac:dyDescent="0.25">
      <c r="A5126" t="n">
        <v>25</v>
      </c>
      <c r="B5126" t="s">
        <v>14</v>
      </c>
      <c r="C5126" t="s">
        <v>22</v>
      </c>
      <c r="D5126" s="2" t="s">
        <f>=HYPERLINK("https://main.knesset.gov.il/APPS/legislation/main/bills/2201738", "הצעת חוק למניעת מפגעים (תיקון - עידוד הפחתת שימוש בזיקוקי די-נור), התשפ""ג-2023")</f>
        <v>10454</v>
      </c>
      <c r="E5126" t="s">
        <v>10454</v>
      </c>
      <c r="F5126" t="s">
        <v>10455</v>
      </c>
      <c r="G5126" t="s">
        <v>14</v>
      </c>
      <c r="H5126">
             </c>
      <c r="I5126" t="s">
        <v>14</v>
      </c>
      <c r="J5126" t="s">
        <v>141</v>
      </c>
      <c r="K5126" t="s">
        <v>14</v>
      </c>
      <c r="L5126" t="s">
        <v>20</v>
      </c>
      <c r="M5126" t="s">
        <v>10395</v>
      </c>
      <c r="N5126" t="s">
        <v>14</v>
      </c>
    </row>
    <row r="5127" x14ac:dyDescent="0.25">
      <c r="A5127" t="n">
        <v>25</v>
      </c>
      <c r="B5127" t="s">
        <v>14</v>
      </c>
      <c r="C5127" t="s">
        <v>22</v>
      </c>
      <c r="D5127" s="2" t="s">
        <f>=HYPERLINK("https://main.knesset.gov.il/APPS/legislation/main/bills/2201994", "הצעת חוק-יסוד: מבקר המדינה (תיקון - כשירות מועמדים לכהונה כמבקר המדינה) ")</f>
        <v>10456</v>
      </c>
      <c r="E5127" t="s">
        <v>10456</v>
      </c>
      <c r="F5127" t="s">
        <v>10457</v>
      </c>
      <c r="G5127" t="s">
        <v>14</v>
      </c>
      <c r="H5127">
             </c>
      <c r="I5127" t="s">
        <v>14</v>
      </c>
      <c r="J5127" t="s">
        <v>141</v>
      </c>
      <c r="K5127" t="s">
        <v>14</v>
      </c>
      <c r="L5127" t="s">
        <v>20</v>
      </c>
      <c r="M5127" t="s">
        <v>10395</v>
      </c>
      <c r="N5127" t="s">
        <v>14</v>
      </c>
    </row>
    <row r="5128" x14ac:dyDescent="0.25">
      <c r="A5128" t="n">
        <v>25</v>
      </c>
      <c r="B5128" t="s">
        <v>14</v>
      </c>
      <c r="C5128" t="s">
        <v>22</v>
      </c>
      <c r="D5128" s="2" t="s">
        <f>=HYPERLINK("https://main.knesset.gov.il/APPS/legislation/main/bills/2200654", "הצעת חוק מרכזי חירום ושליטה ביישובים סמוכי גבול, התשפ""ג-2023")</f>
        <v>10458</v>
      </c>
      <c r="E5128" t="s">
        <v>10458</v>
      </c>
      <c r="F5128" t="s">
        <v>10459</v>
      </c>
      <c r="G5128" t="s">
        <v>14</v>
      </c>
      <c r="H5128">
             </c>
      <c r="I5128" t="s">
        <v>14</v>
      </c>
      <c r="J5128" t="s">
        <v>141</v>
      </c>
      <c r="K5128" t="s">
        <v>14</v>
      </c>
      <c r="L5128" t="s">
        <v>20</v>
      </c>
      <c r="M5128" t="s">
        <v>10395</v>
      </c>
      <c r="N5128" t="s">
        <v>14</v>
      </c>
    </row>
    <row r="5129" x14ac:dyDescent="0.25">
      <c r="A5129" t="n">
        <v>25</v>
      </c>
      <c r="B5129" t="s">
        <v>14</v>
      </c>
      <c r="C5129" t="s">
        <v>22</v>
      </c>
      <c r="D5129" s="2" t="s">
        <f>=HYPERLINK("https://main.knesset.gov.il/APPS/legislation/main/bills/2201645", "הצעת חוק קליטת חיילים משוחררים (תיקון - זכאות לתומכי לחימה מקרן ""ממדים ללימודים""), התשפ""ג-2023")</f>
        <v>10460</v>
      </c>
      <c r="E5129" t="s">
        <v>10460</v>
      </c>
      <c r="F5129" t="s">
        <v>10461</v>
      </c>
      <c r="G5129" t="s">
        <v>14</v>
      </c>
      <c r="H5129">
             </c>
      <c r="I5129" t="s">
        <v>14</v>
      </c>
      <c r="J5129" t="s">
        <v>141</v>
      </c>
      <c r="K5129" t="s">
        <v>14</v>
      </c>
      <c r="L5129" t="s">
        <v>20</v>
      </c>
      <c r="M5129" t="s">
        <v>10395</v>
      </c>
      <c r="N5129" t="s">
        <v>14</v>
      </c>
    </row>
    <row r="5130" x14ac:dyDescent="0.25">
      <c r="A5130" t="n">
        <v>25</v>
      </c>
      <c r="B5130" t="s">
        <v>14</v>
      </c>
      <c r="C5130" t="s">
        <v>22</v>
      </c>
      <c r="D5130" s="2" t="s">
        <f>=HYPERLINK("https://main.knesset.gov.il/APPS/legislation/main/bills/2199754", "הצעת חוק עסקאות במקרקעין (קיום מצוות שמיטה) (תיקון - החלת החוק על יהודה והשומרון), התשפ""ג-2023")</f>
        <v>10462</v>
      </c>
      <c r="E5130" t="s">
        <v>10462</v>
      </c>
      <c r="F5130" t="s">
        <v>10463</v>
      </c>
      <c r="G5130" t="s">
        <v>14</v>
      </c>
      <c r="H5130">
             </c>
      <c r="I5130" t="s">
        <v>14</v>
      </c>
      <c r="J5130" t="s">
        <v>141</v>
      </c>
      <c r="K5130" t="s">
        <v>14</v>
      </c>
      <c r="L5130" t="s">
        <v>20</v>
      </c>
      <c r="M5130" t="s">
        <v>10395</v>
      </c>
      <c r="N5130" t="s">
        <v>14</v>
      </c>
    </row>
    <row r="5131" x14ac:dyDescent="0.25">
      <c r="A5131" t="n">
        <v>25</v>
      </c>
      <c r="B5131" t="s">
        <v>14</v>
      </c>
      <c r="C5131" t="s">
        <v>22</v>
      </c>
      <c r="D5131" s="2" t="s">
        <f>=HYPERLINK("https://main.knesset.gov.il/APPS/legislation/main/bills/2201884", "הצעת חוק הרשויות המקומיות (גמול השתתפות בישיבות והחזר הוצאות לחברי מועצה), התשפ""ג-2023")</f>
        <v>2846</v>
      </c>
      <c r="E5131" t="s">
        <v>2846</v>
      </c>
      <c r="F5131" t="s">
        <v>10464</v>
      </c>
      <c r="G5131" t="s">
        <v>14</v>
      </c>
      <c r="H5131">
             </c>
      <c r="I5131" t="s">
        <v>14</v>
      </c>
      <c r="J5131" t="s">
        <v>343</v>
      </c>
      <c r="K5131" t="s">
        <v>14</v>
      </c>
      <c r="L5131" t="s">
        <v>20</v>
      </c>
      <c r="M5131" t="s">
        <v>10395</v>
      </c>
      <c r="N5131" t="s">
        <v>14</v>
      </c>
    </row>
    <row r="5132" x14ac:dyDescent="0.25">
      <c r="A5132" t="n">
        <v>25</v>
      </c>
      <c r="B5132" t="s">
        <v>14</v>
      </c>
      <c r="C5132" t="s">
        <v>22</v>
      </c>
      <c r="D5132" s="2" t="s">
        <f>=HYPERLINK("https://main.knesset.gov.il/APPS/legislation/main/bills/2200733", "הצעת חוק ליישוב תחת איום מיידי (הוראת שעה), התשפ""ג-2023")</f>
        <v>10133</v>
      </c>
      <c r="E5132" t="s">
        <v>10133</v>
      </c>
      <c r="F5132" t="s">
        <v>10465</v>
      </c>
      <c r="G5132" t="s">
        <v>14</v>
      </c>
      <c r="H5132">
             </c>
      <c r="I5132" t="s">
        <v>14</v>
      </c>
      <c r="J5132" t="s">
        <v>141</v>
      </c>
      <c r="K5132" t="s">
        <v>14</v>
      </c>
      <c r="L5132" t="s">
        <v>20</v>
      </c>
      <c r="M5132" t="s">
        <v>10395</v>
      </c>
      <c r="N5132" t="s">
        <v>14</v>
      </c>
    </row>
    <row r="5133" x14ac:dyDescent="0.25">
      <c r="A5133" t="n">
        <v>25</v>
      </c>
      <c r="B5133" t="s">
        <v>14</v>
      </c>
      <c r="C5133" t="s">
        <v>22</v>
      </c>
      <c r="D5133" s="2" t="s">
        <f>=HYPERLINK("https://main.knesset.gov.il/APPS/legislation/main/bills/2201074", "הצעת חוק העונשין (תיקון - החזרת הסעיף הסוציאלי כעילה להפסקת הריון), התשפ""ג-2023")</f>
        <v>10466</v>
      </c>
      <c r="E5133" t="s">
        <v>10466</v>
      </c>
      <c r="F5133" t="s">
        <v>10467</v>
      </c>
      <c r="G5133" t="s">
        <v>14</v>
      </c>
      <c r="H5133">
             </c>
      <c r="I5133" t="s">
        <v>14</v>
      </c>
      <c r="J5133" t="s">
        <v>141</v>
      </c>
      <c r="K5133" t="s">
        <v>14</v>
      </c>
      <c r="L5133" t="s">
        <v>20</v>
      </c>
      <c r="M5133" t="s">
        <v>10395</v>
      </c>
      <c r="N5133" t="s">
        <v>14</v>
      </c>
    </row>
    <row r="5134" x14ac:dyDescent="0.25">
      <c r="A5134" t="n">
        <v>25</v>
      </c>
      <c r="B5134" t="s">
        <v>14</v>
      </c>
      <c r="C5134" t="s">
        <v>22</v>
      </c>
      <c r="D5134" s="2" t="s">
        <f>=HYPERLINK("https://main.knesset.gov.il/APPS/legislation/main/bills/2201552", "הצעת חוק דמי מחלה (היעדרות בשל מחלת ילד) (תיקון - היעדרות בשל אשפוז פג), התשפ""ג-2023")</f>
        <v>9380</v>
      </c>
      <c r="E5134" t="s">
        <v>9380</v>
      </c>
      <c r="F5134" t="s">
        <v>10468</v>
      </c>
      <c r="G5134" t="s">
        <v>14</v>
      </c>
      <c r="H5134">
             </c>
      <c r="I5134" t="s">
        <v>14</v>
      </c>
      <c r="J5134" t="s">
        <v>141</v>
      </c>
      <c r="K5134" t="s">
        <v>14</v>
      </c>
      <c r="L5134" t="s">
        <v>20</v>
      </c>
      <c r="M5134" t="s">
        <v>10395</v>
      </c>
      <c r="N5134" t="s">
        <v>14</v>
      </c>
    </row>
    <row r="5135" x14ac:dyDescent="0.25">
      <c r="A5135" t="n">
        <v>25</v>
      </c>
      <c r="B5135" t="s">
        <v>14</v>
      </c>
      <c r="C5135" t="s">
        <v>22</v>
      </c>
      <c r="D5135" s="2" t="s">
        <f>=HYPERLINK("https://main.knesset.gov.il/APPS/legislation/main/bills/2199394", "הצעת חוק הסיוע המשפטי (תיקון - סיוע משפטי לנפגעי הונאה ועושק), התשפ""ג-2023")</f>
        <v>8113</v>
      </c>
      <c r="E5135" t="s">
        <v>8113</v>
      </c>
      <c r="F5135" t="s">
        <v>10469</v>
      </c>
      <c r="G5135" t="s">
        <v>14</v>
      </c>
      <c r="H5135">
             </c>
      <c r="I5135" t="s">
        <v>14</v>
      </c>
      <c r="J5135" t="s">
        <v>343</v>
      </c>
      <c r="K5135" t="s">
        <v>14</v>
      </c>
      <c r="L5135" t="s">
        <v>20</v>
      </c>
      <c r="M5135" t="s">
        <v>10395</v>
      </c>
      <c r="N5135" t="s">
        <v>14</v>
      </c>
    </row>
    <row r="5136" x14ac:dyDescent="0.25">
      <c r="A5136" t="n">
        <v>25</v>
      </c>
      <c r="B5136" t="s">
        <v>14</v>
      </c>
      <c r="C5136" t="s">
        <v>22</v>
      </c>
      <c r="D5136" s="2" t="s">
        <f>=HYPERLINK("https://main.knesset.gov.il/APPS/legislation/main/bills/2201611", "הצעת חוק הביטוח הלאומי (תיקון - קיזוז הכנסות שאינן מעבודה או ממשלח יד מקצבת נכות), התשפ""ג-2023")</f>
        <v>9433</v>
      </c>
      <c r="E5136" t="s">
        <v>9433</v>
      </c>
      <c r="F5136" t="s">
        <v>10470</v>
      </c>
      <c r="G5136" t="s">
        <v>14</v>
      </c>
      <c r="H5136">
             </c>
      <c r="I5136" t="s">
        <v>14</v>
      </c>
      <c r="J5136" t="s">
        <v>141</v>
      </c>
      <c r="K5136" t="s">
        <v>14</v>
      </c>
      <c r="L5136" t="s">
        <v>20</v>
      </c>
      <c r="M5136" t="s">
        <v>10395</v>
      </c>
      <c r="N5136" t="s">
        <v>14</v>
      </c>
    </row>
    <row r="5137" x14ac:dyDescent="0.25">
      <c r="A5137" t="n">
        <v>25</v>
      </c>
      <c r="B5137" t="s">
        <v>14</v>
      </c>
      <c r="C5137" t="s">
        <v>22</v>
      </c>
      <c r="D5137" s="2" t="s">
        <f>=HYPERLINK("https://main.knesset.gov.il/APPS/legislation/main/bills/2201149", "הצעת חוק מס ערך מוסף (תיקון - שיעור מס מופחת על מוצרי מזון בסיסיים), התשפ""ג-2023")</f>
        <v>10471</v>
      </c>
      <c r="E5137" t="s">
        <v>10471</v>
      </c>
      <c r="F5137" t="s">
        <v>10472</v>
      </c>
      <c r="G5137" t="s">
        <v>14</v>
      </c>
      <c r="H5137">
             </c>
      <c r="I5137" t="s">
        <v>14</v>
      </c>
      <c r="J5137" t="s">
        <v>141</v>
      </c>
      <c r="K5137" t="s">
        <v>14</v>
      </c>
      <c r="L5137" t="s">
        <v>20</v>
      </c>
      <c r="M5137" t="s">
        <v>10395</v>
      </c>
      <c r="N5137" t="s">
        <v>14</v>
      </c>
    </row>
    <row r="5138" x14ac:dyDescent="0.25">
      <c r="A5138" t="n">
        <v>25</v>
      </c>
      <c r="B5138" t="s">
        <v>14</v>
      </c>
      <c r="C5138" t="s">
        <v>22</v>
      </c>
      <c r="D5138" s="2" t="s">
        <f>=HYPERLINK("https://main.knesset.gov.il/APPS/legislation/main/bills/2201632", "הצעת חוק האזרחים הוותיקים (תיקון - הנחה בארנונה), התשפ""ג-2023")</f>
        <v>9494</v>
      </c>
      <c r="E5138" t="s">
        <v>9494</v>
      </c>
      <c r="F5138" t="s">
        <v>10473</v>
      </c>
      <c r="G5138" t="s">
        <v>14</v>
      </c>
      <c r="H5138">
             </c>
      <c r="I5138" t="s">
        <v>14</v>
      </c>
      <c r="J5138" t="s">
        <v>141</v>
      </c>
      <c r="K5138" t="s">
        <v>14</v>
      </c>
      <c r="L5138" t="s">
        <v>20</v>
      </c>
      <c r="M5138" t="s">
        <v>10395</v>
      </c>
      <c r="N5138" t="s">
        <v>14</v>
      </c>
    </row>
    <row r="5139" x14ac:dyDescent="0.25">
      <c r="A5139" t="n">
        <v>25</v>
      </c>
      <c r="B5139" t="s">
        <v>14</v>
      </c>
      <c r="C5139" t="s">
        <v>22</v>
      </c>
      <c r="D5139" s="2" t="s">
        <f>=HYPERLINK("https://main.knesset.gov.il/APPS/legislation/main/bills/2202132", "הצעת חוק מימון מפלגות (תיקון - שלילת מימון ממפלגה שקוראת להטלת חרם על מדינת ישראל), התשפ""ג-2023")</f>
        <v>10474</v>
      </c>
      <c r="E5139" t="s">
        <v>10474</v>
      </c>
      <c r="F5139" t="s">
        <v>10475</v>
      </c>
      <c r="G5139" t="s">
        <v>14</v>
      </c>
      <c r="H5139">
             </c>
      <c r="I5139" t="s">
        <v>14</v>
      </c>
      <c r="J5139" t="s">
        <v>141</v>
      </c>
      <c r="K5139" t="s">
        <v>14</v>
      </c>
      <c r="L5139" t="s">
        <v>20</v>
      </c>
      <c r="M5139" t="s">
        <v>10395</v>
      </c>
      <c r="N5139" t="s">
        <v>14</v>
      </c>
    </row>
    <row r="5140" x14ac:dyDescent="0.25">
      <c r="A5140" t="n">
        <v>25</v>
      </c>
      <c r="B5140" t="s">
        <v>14</v>
      </c>
      <c r="C5140" t="s">
        <v>22</v>
      </c>
      <c r="D5140" s="2" t="s">
        <f>=HYPERLINK("https://main.knesset.gov.il/APPS/legislation/main/bills/2202021", "הצעת חוק לימוד חובה (תיקון - חינוך חינם לגיל הרך), התשפ""ג-2023")</f>
        <v>9303</v>
      </c>
      <c r="E5140" t="s">
        <v>9303</v>
      </c>
      <c r="F5140" t="s">
        <v>10476</v>
      </c>
      <c r="G5140" t="s">
        <v>14</v>
      </c>
      <c r="H5140">
             </c>
      <c r="I5140" t="s">
        <v>14</v>
      </c>
      <c r="J5140" t="s">
        <v>141</v>
      </c>
      <c r="K5140" t="s">
        <v>14</v>
      </c>
      <c r="L5140" t="s">
        <v>20</v>
      </c>
      <c r="M5140" t="s">
        <v>10395</v>
      </c>
      <c r="N5140" t="s">
        <v>14</v>
      </c>
    </row>
    <row r="5141" x14ac:dyDescent="0.25">
      <c r="A5141" t="n">
        <v>25</v>
      </c>
      <c r="B5141" t="s">
        <v>14</v>
      </c>
      <c r="C5141" t="s">
        <v>22</v>
      </c>
      <c r="D5141" s="2" t="s">
        <f>=HYPERLINK("https://main.knesset.gov.il/APPS/legislation/main/bills/2201854", "הצעת חוק אבטחה במוסדות חינוך, התשפ""ג-2023")</f>
        <v>10477</v>
      </c>
      <c r="E5141" t="s">
        <v>10477</v>
      </c>
      <c r="F5141" t="s">
        <v>10478</v>
      </c>
      <c r="G5141" t="s">
        <v>14</v>
      </c>
      <c r="H5141">
             </c>
      <c r="I5141" t="s">
        <v>14</v>
      </c>
      <c r="J5141" t="s">
        <v>141</v>
      </c>
      <c r="K5141" t="s">
        <v>14</v>
      </c>
      <c r="L5141" t="s">
        <v>20</v>
      </c>
      <c r="M5141" t="s">
        <v>10395</v>
      </c>
      <c r="N5141" t="s">
        <v>14</v>
      </c>
    </row>
    <row r="5142" x14ac:dyDescent="0.25">
      <c r="A5142" t="n">
        <v>25</v>
      </c>
      <c r="B5142" t="s">
        <v>14</v>
      </c>
      <c r="C5142" t="s">
        <v>22</v>
      </c>
      <c r="D5142" s="2" t="s">
        <f>=HYPERLINK("https://main.knesset.gov.il/APPS/legislation/main/bills/2201954", "הצעת חוק למניעת העסקה בתחום החינוך והטיפול של אדם שהורשע או שמואשם בתקיפה או בהתעללות בחסר ישע, התשפ""ג-2023")</f>
        <v>10479</v>
      </c>
      <c r="E5142" t="s">
        <v>10479</v>
      </c>
      <c r="F5142" t="s">
        <v>10480</v>
      </c>
      <c r="G5142" t="s">
        <v>14</v>
      </c>
      <c r="H5142">
             </c>
      <c r="I5142" t="s">
        <v>14</v>
      </c>
      <c r="J5142" t="s">
        <v>141</v>
      </c>
      <c r="K5142" t="s">
        <v>14</v>
      </c>
      <c r="L5142" t="s">
        <v>20</v>
      </c>
      <c r="M5142" t="s">
        <v>10395</v>
      </c>
      <c r="N5142" t="s">
        <v>14</v>
      </c>
    </row>
    <row r="5143" x14ac:dyDescent="0.25">
      <c r="A5143" t="n">
        <v>25</v>
      </c>
      <c r="B5143" t="s">
        <v>14</v>
      </c>
      <c r="C5143" t="s">
        <v>22</v>
      </c>
      <c r="D5143" s="2" t="s">
        <f>=HYPERLINK("https://main.knesset.gov.il/APPS/legislation/main/bills/2202028", "הצעת חוק המועצה להשכלה גבוהה (תיקון - עידוד הנגשה להשכלה גבוהה), התשפ""ג-2023")</f>
        <v>10481</v>
      </c>
      <c r="E5143" t="s">
        <v>10481</v>
      </c>
      <c r="F5143" t="s">
        <v>10482</v>
      </c>
      <c r="G5143" t="s">
        <v>14</v>
      </c>
      <c r="H5143">
             </c>
      <c r="I5143" t="s">
        <v>14</v>
      </c>
      <c r="J5143" t="s">
        <v>141</v>
      </c>
      <c r="K5143" t="s">
        <v>14</v>
      </c>
      <c r="L5143" t="s">
        <v>20</v>
      </c>
      <c r="M5143" t="s">
        <v>10395</v>
      </c>
      <c r="N5143" t="s">
        <v>14</v>
      </c>
    </row>
    <row r="5144" x14ac:dyDescent="0.25">
      <c r="A5144" t="n">
        <v>25</v>
      </c>
      <c r="B5144" t="s">
        <v>14</v>
      </c>
      <c r="C5144" t="s">
        <v>22</v>
      </c>
      <c r="D5144" s="2" t="s">
        <f>=HYPERLINK("https://main.knesset.gov.il/APPS/legislation/main/bills/2202044", "הצעת חוק איסור הכחשת השואה (תיקון - איסור הבעת אהדה לשלטון הנאצי או הזדהות עימו ואיסור שימוש בסמלים נאציים), התשפ""ג-2023")</f>
        <v>10483</v>
      </c>
      <c r="E5144" t="s">
        <v>10483</v>
      </c>
      <c r="F5144" t="s">
        <v>10484</v>
      </c>
      <c r="G5144" t="s">
        <v>14</v>
      </c>
      <c r="H5144">
             </c>
      <c r="I5144" t="s">
        <v>14</v>
      </c>
      <c r="J5144" t="s">
        <v>141</v>
      </c>
      <c r="K5144" t="s">
        <v>14</v>
      </c>
      <c r="L5144" t="s">
        <v>20</v>
      </c>
      <c r="M5144" t="s">
        <v>10395</v>
      </c>
      <c r="N5144" t="s">
        <v>14</v>
      </c>
    </row>
    <row r="5145" x14ac:dyDescent="0.25">
      <c r="A5145" t="n">
        <v>25</v>
      </c>
      <c r="B5145" t="s">
        <v>14</v>
      </c>
      <c r="C5145" t="s">
        <v>22</v>
      </c>
      <c r="D5145" s="2" t="s">
        <f>=HYPERLINK("https://main.knesset.gov.il/APPS/legislation/main/bills/2200978", "הצעת חוק הפיקוח על שירותים פיננסיים (קופות גמל) (תיקון - הגבלת דמי ניהול לעמית שסיים את עבודתו), התשפ""ג-2023")</f>
        <v>10485</v>
      </c>
      <c r="E5145" t="s">
        <v>10485</v>
      </c>
      <c r="F5145" t="s">
        <v>10486</v>
      </c>
      <c r="G5145" t="s">
        <v>14</v>
      </c>
      <c r="H5145">
             </c>
      <c r="I5145" t="s">
        <v>14</v>
      </c>
      <c r="J5145" t="s">
        <v>141</v>
      </c>
      <c r="K5145" t="s">
        <v>14</v>
      </c>
      <c r="L5145" t="s">
        <v>20</v>
      </c>
      <c r="M5145" t="s">
        <v>10395</v>
      </c>
      <c r="N5145" t="s">
        <v>14</v>
      </c>
    </row>
    <row r="5146" x14ac:dyDescent="0.25">
      <c r="A5146" t="n">
        <v>25</v>
      </c>
      <c r="B5146" t="s">
        <v>14</v>
      </c>
      <c r="C5146" t="s">
        <v>22</v>
      </c>
      <c r="D5146" s="2" t="s">
        <f>=HYPERLINK("https://main.knesset.gov.il/APPS/legislation/main/bills/2201560", "הצעת חוק הביטוח הלאומי (תיקון - מועד לתביעת גמלת כסף והתקופה שבעדה שולמה), התשפ""ג-2023")</f>
        <v>10487</v>
      </c>
      <c r="E5146" t="s">
        <v>10487</v>
      </c>
      <c r="F5146" t="s">
        <v>10488</v>
      </c>
      <c r="G5146" t="s">
        <v>14</v>
      </c>
      <c r="H5146">
             </c>
      <c r="I5146" t="s">
        <v>14</v>
      </c>
      <c r="J5146" t="s">
        <v>141</v>
      </c>
      <c r="K5146" t="s">
        <v>14</v>
      </c>
      <c r="L5146" t="s">
        <v>20</v>
      </c>
      <c r="M5146" t="s">
        <v>10395</v>
      </c>
      <c r="N5146" t="s">
        <v>14</v>
      </c>
    </row>
    <row r="5147" x14ac:dyDescent="0.25">
      <c r="A5147" t="n">
        <v>25</v>
      </c>
      <c r="B5147" t="s">
        <v>14</v>
      </c>
      <c r="C5147" t="s">
        <v>22</v>
      </c>
      <c r="D5147" s="2" t="s">
        <f>=HYPERLINK("https://main.knesset.gov.il/APPS/legislation/main/bills/2200992", "הצעת חוק לתיקון פקודת מס הכנסה (שינוי הקריטריונים ליישוב מוטב), התשפ""ג-2023")</f>
        <v>9753</v>
      </c>
      <c r="E5147" t="s">
        <v>9753</v>
      </c>
      <c r="F5147" t="s">
        <v>10489</v>
      </c>
      <c r="G5147" t="s">
        <v>14</v>
      </c>
      <c r="H5147">
             </c>
      <c r="I5147" t="s">
        <v>14</v>
      </c>
      <c r="J5147" t="s">
        <v>141</v>
      </c>
      <c r="K5147" t="s">
        <v>14</v>
      </c>
      <c r="L5147" t="s">
        <v>20</v>
      </c>
      <c r="M5147" t="s">
        <v>10395</v>
      </c>
      <c r="N5147" t="s">
        <v>14</v>
      </c>
    </row>
    <row r="5148" x14ac:dyDescent="0.25">
      <c r="A5148" t="n">
        <v>25</v>
      </c>
      <c r="B5148" t="s">
        <v>14</v>
      </c>
      <c r="C5148" t="s">
        <v>22</v>
      </c>
      <c r="D5148" s="2" t="s">
        <f>=HYPERLINK("https://main.knesset.gov.il/APPS/legislation/main/bills/2200576", "הצעת חוק השיפוט הצבאי (תיקון - עתירות אסיר), התשפ""ג-2023")</f>
        <v>10490</v>
      </c>
      <c r="E5148" t="s">
        <v>10490</v>
      </c>
      <c r="F5148" t="s">
        <v>10491</v>
      </c>
      <c r="G5148" t="s">
        <v>14</v>
      </c>
      <c r="H5148">
             </c>
      <c r="I5148" t="s">
        <v>14</v>
      </c>
      <c r="J5148" t="s">
        <v>141</v>
      </c>
      <c r="K5148" t="s">
        <v>14</v>
      </c>
      <c r="L5148" t="s">
        <v>20</v>
      </c>
      <c r="M5148" t="s">
        <v>10395</v>
      </c>
      <c r="N5148" t="s">
        <v>14</v>
      </c>
    </row>
    <row r="5149" x14ac:dyDescent="0.25">
      <c r="A5149" t="n">
        <v>25</v>
      </c>
      <c r="B5149" t="s">
        <v>14</v>
      </c>
      <c r="C5149" t="s">
        <v>22</v>
      </c>
      <c r="D5149" s="2" t="s">
        <f>=HYPERLINK("https://main.knesset.gov.il/APPS/legislation/main/bills/2200754", "הצעת חוק מס רכוש וקרן פיצויים (תיקון - פיצוי בגין נזק עקב אסון טבע), התשפ""ג-2023")</f>
        <v>10492</v>
      </c>
      <c r="E5149" t="s">
        <v>10492</v>
      </c>
      <c r="F5149" t="s">
        <v>10493</v>
      </c>
      <c r="G5149" t="s">
        <v>14</v>
      </c>
      <c r="H5149">
             </c>
      <c r="I5149" t="s">
        <v>14</v>
      </c>
      <c r="J5149" t="s">
        <v>141</v>
      </c>
      <c r="K5149" t="s">
        <v>14</v>
      </c>
      <c r="L5149" t="s">
        <v>20</v>
      </c>
      <c r="M5149" t="s">
        <v>10395</v>
      </c>
      <c r="N5149" t="s">
        <v>14</v>
      </c>
    </row>
    <row r="5150" x14ac:dyDescent="0.25">
      <c r="A5150" t="n">
        <v>25</v>
      </c>
      <c r="B5150" t="s">
        <v>14</v>
      </c>
      <c r="C5150" t="s">
        <v>22</v>
      </c>
      <c r="D5150" s="2" t="s">
        <f>=HYPERLINK("https://main.knesset.gov.il/APPS/legislation/main/bills/2202025", "הצעת חוק הגנת הצרכן (תיקון - הנגשת הודעת תשלום לצרכנים שאינם דוברי עברית), התשפ""ג-2023")</f>
        <v>10494</v>
      </c>
      <c r="E5150" t="s">
        <v>10494</v>
      </c>
      <c r="F5150" t="s">
        <v>10495</v>
      </c>
      <c r="G5150" t="s">
        <v>14</v>
      </c>
      <c r="H5150">
             </c>
      <c r="I5150" t="s">
        <v>14</v>
      </c>
      <c r="J5150" t="s">
        <v>141</v>
      </c>
      <c r="K5150" t="s">
        <v>14</v>
      </c>
      <c r="L5150" t="s">
        <v>20</v>
      </c>
      <c r="M5150" t="s">
        <v>10395</v>
      </c>
      <c r="N5150" t="s">
        <v>14</v>
      </c>
    </row>
    <row r="5151" x14ac:dyDescent="0.25">
      <c r="A5151" t="n">
        <v>25</v>
      </c>
      <c r="B5151" t="s">
        <v>14</v>
      </c>
      <c r="C5151" t="s">
        <v>22</v>
      </c>
      <c r="D5151" s="2" t="s">
        <f>=HYPERLINK("https://main.knesset.gov.il/APPS/legislation/main/bills/2201546", "הצעת חוק נציבות תלונות אסירים, התשפ""ג-2023")</f>
        <v>10496</v>
      </c>
      <c r="E5151" t="s">
        <v>10496</v>
      </c>
      <c r="F5151" t="s">
        <v>10497</v>
      </c>
      <c r="G5151" t="s">
        <v>14</v>
      </c>
      <c r="H5151">
             </c>
      <c r="I5151" t="s">
        <v>14</v>
      </c>
      <c r="J5151" t="s">
        <v>141</v>
      </c>
      <c r="K5151" t="s">
        <v>14</v>
      </c>
      <c r="L5151" t="s">
        <v>20</v>
      </c>
      <c r="M5151" t="s">
        <v>10395</v>
      </c>
      <c r="N5151" t="s">
        <v>14</v>
      </c>
    </row>
    <row r="5152" x14ac:dyDescent="0.25">
      <c r="A5152" t="n">
        <v>25</v>
      </c>
      <c r="B5152" t="s">
        <v>14</v>
      </c>
      <c r="C5152" t="s">
        <v>22</v>
      </c>
      <c r="D5152" s="2" t="s">
        <f>=HYPERLINK("https://main.knesset.gov.il/APPS/legislation/main/bills/2201855", "הצעת חוק הבנקאות (שירות ללקוח) (תיקון - ריבית על יתרת זכות), התשפ""ג-2023")</f>
        <v>2315</v>
      </c>
      <c r="E5152" t="s">
        <v>2315</v>
      </c>
      <c r="F5152" t="s">
        <v>10498</v>
      </c>
      <c r="G5152" t="s">
        <v>14</v>
      </c>
      <c r="H5152">
             </c>
      <c r="I5152" t="s">
        <v>14</v>
      </c>
      <c r="J5152" t="s">
        <v>141</v>
      </c>
      <c r="K5152" t="s">
        <v>14</v>
      </c>
      <c r="L5152" t="s">
        <v>20</v>
      </c>
      <c r="M5152" t="s">
        <v>10395</v>
      </c>
      <c r="N5152" t="s">
        <v>14</v>
      </c>
    </row>
    <row r="5153" x14ac:dyDescent="0.25">
      <c r="A5153" t="n">
        <v>25</v>
      </c>
      <c r="B5153" t="s">
        <v>14</v>
      </c>
      <c r="C5153" t="s">
        <v>22</v>
      </c>
      <c r="D5153" s="2" t="s">
        <f>=HYPERLINK("https://main.knesset.gov.il/APPS/legislation/main/bills/2202026", "הצעת חוק לתיקון פקודת התעבורה (חניית נשים בהריון והורה לתינוק), התשפ""ג-2023")</f>
        <v>9690</v>
      </c>
      <c r="E5153" t="s">
        <v>9690</v>
      </c>
      <c r="F5153" t="s">
        <v>10499</v>
      </c>
      <c r="G5153" t="s">
        <v>14</v>
      </c>
      <c r="H5153">
             </c>
      <c r="I5153" t="s">
        <v>14</v>
      </c>
      <c r="J5153" t="s">
        <v>141</v>
      </c>
      <c r="K5153" t="s">
        <v>14</v>
      </c>
      <c r="L5153" t="s">
        <v>20</v>
      </c>
      <c r="M5153" t="s">
        <v>10395</v>
      </c>
      <c r="N5153" t="s">
        <v>14</v>
      </c>
    </row>
    <row r="5154" x14ac:dyDescent="0.25">
      <c r="A5154" t="n">
        <v>25</v>
      </c>
      <c r="B5154" t="s">
        <v>14</v>
      </c>
      <c r="C5154" t="s">
        <v>22</v>
      </c>
      <c r="D5154" s="2" t="s">
        <f>=HYPERLINK("https://main.knesset.gov.il/APPS/legislation/main/bills/2201866", "הצעת חוק טוס כחול לבן, התשפ""ג-2023")</f>
        <v>10500</v>
      </c>
      <c r="E5154" t="s">
        <v>10500</v>
      </c>
      <c r="F5154" t="s">
        <v>10501</v>
      </c>
      <c r="G5154" t="s">
        <v>14</v>
      </c>
      <c r="H5154">
             </c>
      <c r="I5154" t="s">
        <v>14</v>
      </c>
      <c r="J5154" t="s">
        <v>343</v>
      </c>
      <c r="K5154" t="s">
        <v>14</v>
      </c>
      <c r="L5154" t="s">
        <v>20</v>
      </c>
      <c r="M5154" t="s">
        <v>10395</v>
      </c>
      <c r="N5154" t="s">
        <v>14</v>
      </c>
    </row>
    <row r="5155" x14ac:dyDescent="0.25">
      <c r="A5155" t="n">
        <v>25</v>
      </c>
      <c r="B5155" t="s">
        <v>14</v>
      </c>
      <c r="C5155" t="s">
        <v>22</v>
      </c>
      <c r="D5155" s="2" t="s">
        <f>=HYPERLINK("https://main.knesset.gov.il/APPS/legislation/main/bills/2201899", "הצעת חוק העבירות המינהליות (תיקון - הפחתת תוספת הפיגור על אי-תשלום קנס), התשפ""ג-2023")</f>
        <v>10502</v>
      </c>
      <c r="E5155" t="s">
        <v>10502</v>
      </c>
      <c r="F5155" t="s">
        <v>10503</v>
      </c>
      <c r="G5155" t="s">
        <v>14</v>
      </c>
      <c r="H5155">
             </c>
      <c r="I5155" t="s">
        <v>14</v>
      </c>
      <c r="J5155" t="s">
        <v>141</v>
      </c>
      <c r="K5155" t="s">
        <v>14</v>
      </c>
      <c r="L5155" t="s">
        <v>20</v>
      </c>
      <c r="M5155" t="s">
        <v>10395</v>
      </c>
      <c r="N5155" t="s">
        <v>14</v>
      </c>
    </row>
    <row r="5156" x14ac:dyDescent="0.25">
      <c r="A5156" t="n">
        <v>25</v>
      </c>
      <c r="B5156" t="s">
        <v>14</v>
      </c>
      <c r="C5156" t="s">
        <v>22</v>
      </c>
      <c r="D5156" s="2" t="s">
        <f>=HYPERLINK("https://main.knesset.gov.il/APPS/legislation/main/bills/2201290", "הצעת חוק להגבלת כהונת ראש רשות מקומית (תיקוני חקיקה), התשפ""ג-2023")</f>
        <v>10504</v>
      </c>
      <c r="E5156" t="s">
        <v>10504</v>
      </c>
      <c r="F5156" t="s">
        <v>10505</v>
      </c>
      <c r="G5156" t="s">
        <v>14</v>
      </c>
      <c r="H5156">
             </c>
      <c r="I5156" t="s">
        <v>14</v>
      </c>
      <c r="J5156" t="s">
        <v>141</v>
      </c>
      <c r="K5156" t="s">
        <v>14</v>
      </c>
      <c r="L5156" t="s">
        <v>20</v>
      </c>
      <c r="M5156" t="s">
        <v>10395</v>
      </c>
      <c r="N5156" t="s">
        <v>14</v>
      </c>
    </row>
    <row r="5157" x14ac:dyDescent="0.25">
      <c r="A5157" t="n">
        <v>25</v>
      </c>
      <c r="B5157" t="s">
        <v>14</v>
      </c>
      <c r="C5157" t="s">
        <v>22</v>
      </c>
      <c r="D5157" s="2" t="s">
        <f>=HYPERLINK("https://main.knesset.gov.il/APPS/legislation/main/bills/2201591", "הצעת חוק הביטוח הלאומי (תיקון - ביטוח שאירים לאלמן), התשפ""ג-2023")</f>
        <v>8047</v>
      </c>
      <c r="E5157" t="s">
        <v>8047</v>
      </c>
      <c r="F5157" t="s">
        <v>10506</v>
      </c>
      <c r="G5157" t="s">
        <v>14</v>
      </c>
      <c r="H5157">
             </c>
      <c r="I5157" t="s">
        <v>14</v>
      </c>
      <c r="J5157" t="s">
        <v>141</v>
      </c>
      <c r="K5157" t="s">
        <v>14</v>
      </c>
      <c r="L5157" t="s">
        <v>20</v>
      </c>
      <c r="M5157" t="s">
        <v>10395</v>
      </c>
      <c r="N5157" t="s">
        <v>14</v>
      </c>
    </row>
    <row r="5158" x14ac:dyDescent="0.25">
      <c r="A5158" t="n">
        <v>25</v>
      </c>
      <c r="B5158" t="s">
        <v>14</v>
      </c>
      <c r="C5158" t="s">
        <v>22</v>
      </c>
      <c r="D5158" s="2" t="s">
        <f>=HYPERLINK("https://main.knesset.gov.il/APPS/legislation/main/bills/2201558", "הצעת חוק ביטוח בריאות ממלכתי (תיקון - אשפוז בית), התשפ""ג-2023")</f>
        <v>10507</v>
      </c>
      <c r="E5158" t="s">
        <v>10507</v>
      </c>
      <c r="F5158" t="s">
        <v>10508</v>
      </c>
      <c r="G5158" t="s">
        <v>14</v>
      </c>
      <c r="H5158">
             </c>
      <c r="I5158" t="s">
        <v>14</v>
      </c>
      <c r="J5158" t="s">
        <v>141</v>
      </c>
      <c r="K5158" t="s">
        <v>14</v>
      </c>
      <c r="L5158" t="s">
        <v>20</v>
      </c>
      <c r="M5158" t="s">
        <v>10395</v>
      </c>
      <c r="N5158" t="s">
        <v>14</v>
      </c>
    </row>
    <row r="5159" x14ac:dyDescent="0.25">
      <c r="A5159" t="n">
        <v>25</v>
      </c>
      <c r="B5159" t="s">
        <v>14</v>
      </c>
      <c r="C5159" t="s">
        <v>22</v>
      </c>
      <c r="D5159" s="2" t="s">
        <f>=HYPERLINK("https://main.knesset.gov.il/APPS/legislation/main/bills/2201898", "הצעת חוק החברות (תיקון - פרסום דוחות כספיים של מונופול), התשפ''ג-2023")</f>
        <v>10509</v>
      </c>
      <c r="E5159" t="s">
        <v>10509</v>
      </c>
      <c r="F5159" t="s">
        <v>10510</v>
      </c>
      <c r="G5159" t="s">
        <v>14</v>
      </c>
      <c r="H5159">
             </c>
      <c r="I5159" t="s">
        <v>14</v>
      </c>
      <c r="J5159" t="s">
        <v>141</v>
      </c>
      <c r="K5159" t="s">
        <v>14</v>
      </c>
      <c r="L5159" t="s">
        <v>20</v>
      </c>
      <c r="M5159" t="s">
        <v>10395</v>
      </c>
      <c r="N5159" t="s">
        <v>14</v>
      </c>
    </row>
    <row r="5160" x14ac:dyDescent="0.25">
      <c r="A5160" t="n">
        <v>25</v>
      </c>
      <c r="B5160" t="s">
        <v>14</v>
      </c>
      <c r="C5160" t="s">
        <v>22</v>
      </c>
      <c r="D5160" s="2" t="s">
        <f>=HYPERLINK("https://main.knesset.gov.il/APPS/legislation/main/bills/2201402", "הצעת חוק קליטת חיילים משוחררים (תיקון - זכאות לתומכי לחימה מקרן ""ממדים ללימודים""), התשפ""ג-2023")</f>
        <v>10460</v>
      </c>
      <c r="E5160" t="s">
        <v>10460</v>
      </c>
      <c r="F5160" t="s">
        <v>10511</v>
      </c>
      <c r="G5160" t="s">
        <v>14</v>
      </c>
      <c r="H5160">
             </c>
      <c r="I5160" t="s">
        <v>14</v>
      </c>
      <c r="J5160" t="s">
        <v>141</v>
      </c>
      <c r="K5160" t="s">
        <v>14</v>
      </c>
      <c r="L5160" t="s">
        <v>20</v>
      </c>
      <c r="M5160" t="s">
        <v>10395</v>
      </c>
      <c r="N5160" t="s">
        <v>14</v>
      </c>
    </row>
    <row r="5161" x14ac:dyDescent="0.25">
      <c r="A5161" t="n">
        <v>25</v>
      </c>
      <c r="B5161" t="s">
        <v>14</v>
      </c>
      <c r="C5161" t="s">
        <v>22</v>
      </c>
      <c r="D5161" s="2" t="s">
        <f>=HYPERLINK("https://main.knesset.gov.il/APPS/legislation/main/bills/2201333", "הצעת חוק לתיקון פקודת העיריות (שינוי מועד תשלום הארנונה), התשפ""ג-2023")</f>
        <v>10512</v>
      </c>
      <c r="E5161" t="s">
        <v>10512</v>
      </c>
      <c r="F5161" t="s">
        <v>10513</v>
      </c>
      <c r="G5161" t="s">
        <v>14</v>
      </c>
      <c r="H5161">
             </c>
      <c r="I5161" t="s">
        <v>14</v>
      </c>
      <c r="J5161" t="s">
        <v>141</v>
      </c>
      <c r="K5161" t="s">
        <v>14</v>
      </c>
      <c r="L5161" t="s">
        <v>20</v>
      </c>
      <c r="M5161" t="s">
        <v>10395</v>
      </c>
      <c r="N5161" t="s">
        <v>14</v>
      </c>
    </row>
    <row r="5162" x14ac:dyDescent="0.25">
      <c r="A5162" t="n">
        <v>25</v>
      </c>
      <c r="B5162" t="s">
        <v>14</v>
      </c>
      <c r="C5162" t="s">
        <v>22</v>
      </c>
      <c r="D5162" s="2" t="s">
        <f>=HYPERLINK("https://main.knesset.gov.il/APPS/legislation/main/bills/2201007", "הצעת חוק לתיקון פקודת העיריות (בניין שניזוק או נהרס), התשפ""ג-2023")</f>
        <v>10020</v>
      </c>
      <c r="E5162" t="s">
        <v>10020</v>
      </c>
      <c r="F5162" t="s">
        <v>10514</v>
      </c>
      <c r="G5162" t="s">
        <v>14</v>
      </c>
      <c r="H5162">
             </c>
      <c r="I5162" t="s">
        <v>14</v>
      </c>
      <c r="J5162" t="s">
        <v>141</v>
      </c>
      <c r="K5162" t="s">
        <v>14</v>
      </c>
      <c r="L5162" t="s">
        <v>20</v>
      </c>
      <c r="M5162" t="s">
        <v>10395</v>
      </c>
      <c r="N5162" t="s">
        <v>14</v>
      </c>
    </row>
    <row r="5163" x14ac:dyDescent="0.25">
      <c r="A5163" t="n">
        <v>25</v>
      </c>
      <c r="B5163" t="s">
        <v>14</v>
      </c>
      <c r="C5163" t="s">
        <v>22</v>
      </c>
      <c r="D5163" s="2" t="s">
        <f>=HYPERLINK("https://main.knesset.gov.il/APPS/legislation/main/bills/2201399", "הצעת חוק הביטוח הלאומי (תיקון - דמי אבטלה למתמחים), התשפ""ג-2023")</f>
        <v>9810</v>
      </c>
      <c r="E5163" t="s">
        <v>9810</v>
      </c>
      <c r="F5163" t="s">
        <v>10515</v>
      </c>
      <c r="G5163" t="s">
        <v>14</v>
      </c>
      <c r="H5163">
             </c>
      <c r="I5163" t="s">
        <v>14</v>
      </c>
      <c r="J5163" t="s">
        <v>141</v>
      </c>
      <c r="K5163" t="s">
        <v>14</v>
      </c>
      <c r="L5163" t="s">
        <v>20</v>
      </c>
      <c r="M5163" t="s">
        <v>10395</v>
      </c>
      <c r="N5163" t="s">
        <v>14</v>
      </c>
    </row>
    <row r="5164" x14ac:dyDescent="0.25">
      <c r="A5164" t="n">
        <v>25</v>
      </c>
      <c r="B5164" t="s">
        <v>14</v>
      </c>
      <c r="C5164" t="s">
        <v>22</v>
      </c>
      <c r="D5164" s="2" t="s">
        <f>=HYPERLINK("https://main.knesset.gov.il/APPS/legislation/main/bills/2201880", "הצעת חוק האזנת סתר (תיקון - האזנה בשל חשד להתעללות), התשפ""ג-2023 ")</f>
        <v>10516</v>
      </c>
      <c r="E5164" t="s">
        <v>10516</v>
      </c>
      <c r="F5164" t="s">
        <v>10517</v>
      </c>
      <c r="G5164" t="s">
        <v>14</v>
      </c>
      <c r="H5164">
             </c>
      <c r="I5164" t="s">
        <v>14</v>
      </c>
      <c r="J5164" t="s">
        <v>141</v>
      </c>
      <c r="K5164" t="s">
        <v>14</v>
      </c>
      <c r="L5164" t="s">
        <v>20</v>
      </c>
      <c r="M5164" t="s">
        <v>10395</v>
      </c>
      <c r="N5164" t="s">
        <v>14</v>
      </c>
    </row>
    <row r="5165" x14ac:dyDescent="0.25">
      <c r="A5165" t="n">
        <v>25</v>
      </c>
      <c r="B5165" t="s">
        <v>14</v>
      </c>
      <c r="C5165" t="s">
        <v>22</v>
      </c>
      <c r="D5165" s="2" t="s">
        <f>=HYPERLINK("https://main.knesset.gov.il/APPS/legislation/main/bills/2201498", "הצעת חוק לתיקון פקודת הרוקחים (הכשרת עוזרי רוקח), התשפ""ג-2023")</f>
        <v>10518</v>
      </c>
      <c r="E5165" t="s">
        <v>10518</v>
      </c>
      <c r="F5165" t="s">
        <v>10519</v>
      </c>
      <c r="G5165" t="s">
        <v>14</v>
      </c>
      <c r="H5165">
             </c>
      <c r="I5165" t="s">
        <v>14</v>
      </c>
      <c r="J5165" t="s">
        <v>141</v>
      </c>
      <c r="K5165" t="s">
        <v>14</v>
      </c>
      <c r="L5165" t="s">
        <v>20</v>
      </c>
      <c r="M5165" t="s">
        <v>10395</v>
      </c>
      <c r="N5165" t="s">
        <v>14</v>
      </c>
    </row>
    <row r="5166" x14ac:dyDescent="0.25">
      <c r="A5166" t="n">
        <v>25</v>
      </c>
      <c r="B5166" t="s">
        <v>14</v>
      </c>
      <c r="C5166" t="s">
        <v>22</v>
      </c>
      <c r="D5166" s="2" t="s">
        <f>=HYPERLINK("https://main.knesset.gov.il/APPS/legislation/main/bills/2201556", "הצעת חוק תרומת זרע, התשפ""ג-2023")</f>
        <v>9041</v>
      </c>
      <c r="E5166" t="s">
        <v>9041</v>
      </c>
      <c r="F5166" t="s">
        <v>10520</v>
      </c>
      <c r="G5166" t="s">
        <v>14</v>
      </c>
      <c r="H5166">
             </c>
      <c r="I5166" t="s">
        <v>14</v>
      </c>
      <c r="J5166" t="s">
        <v>141</v>
      </c>
      <c r="K5166" t="s">
        <v>14</v>
      </c>
      <c r="L5166" t="s">
        <v>20</v>
      </c>
      <c r="M5166" t="s">
        <v>10395</v>
      </c>
      <c r="N5166" t="s">
        <v>14</v>
      </c>
    </row>
    <row r="5167" x14ac:dyDescent="0.25">
      <c r="A5167" t="n">
        <v>25</v>
      </c>
      <c r="B5167" t="s">
        <v>14</v>
      </c>
      <c r="C5167" t="s">
        <v>22</v>
      </c>
      <c r="D5167" s="2" t="s">
        <f>=HYPERLINK("https://main.knesset.gov.il/APPS/legislation/main/bills/2201701", "הצעת חוק זכות ייצוג לקטין המתנגד לאשפוז פסיכיאטרי (תיקוני חקיקה), התשפ""ג-2023")</f>
        <v>10055</v>
      </c>
      <c r="E5167" t="s">
        <v>10055</v>
      </c>
      <c r="F5167" t="s">
        <v>10521</v>
      </c>
      <c r="G5167" t="s">
        <v>14</v>
      </c>
      <c r="H5167">
             </c>
      <c r="I5167" t="s">
        <v>14</v>
      </c>
      <c r="J5167" t="s">
        <v>141</v>
      </c>
      <c r="K5167" t="s">
        <v>14</v>
      </c>
      <c r="L5167" t="s">
        <v>20</v>
      </c>
      <c r="M5167" t="s">
        <v>10395</v>
      </c>
      <c r="N5167" t="s">
        <v>14</v>
      </c>
    </row>
    <row r="5168" x14ac:dyDescent="0.25">
      <c r="A5168" t="n">
        <v>25</v>
      </c>
      <c r="B5168" t="s">
        <v>14</v>
      </c>
      <c r="C5168" t="s">
        <v>22</v>
      </c>
      <c r="D5168" s="2" t="s">
        <f>=HYPERLINK("https://main.knesset.gov.il/APPS/legislation/main/bills/2201864", "הצעת חוק חובת המכרזים (תיקון - העדפת תוצרת מקומית), התשפ""ג-2023")</f>
        <v>10522</v>
      </c>
      <c r="E5168" t="s">
        <v>10522</v>
      </c>
      <c r="F5168" t="s">
        <v>10523</v>
      </c>
      <c r="G5168" t="s">
        <v>14</v>
      </c>
      <c r="H5168">
             </c>
      <c r="I5168" t="s">
        <v>14</v>
      </c>
      <c r="J5168" t="s">
        <v>141</v>
      </c>
      <c r="K5168" t="s">
        <v>14</v>
      </c>
      <c r="L5168" t="s">
        <v>20</v>
      </c>
      <c r="M5168" t="s">
        <v>10395</v>
      </c>
      <c r="N5168" t="s">
        <v>14</v>
      </c>
    </row>
    <row r="5169" x14ac:dyDescent="0.25">
      <c r="A5169" t="n">
        <v>25</v>
      </c>
      <c r="B5169" t="s">
        <v>14</v>
      </c>
      <c r="C5169" t="s">
        <v>22</v>
      </c>
      <c r="D5169" s="2" t="s">
        <f>=HYPERLINK("https://main.knesset.gov.il/APPS/legislation/main/bills/2201689", "הצעת חוק ההוצאה לפועל (תיקון - קביעת תעריף מקסימלי לשכר טרחת עורך דין), התשפ""ג-2023")</f>
        <v>10524</v>
      </c>
      <c r="E5169" t="s">
        <v>10524</v>
      </c>
      <c r="F5169" t="s">
        <v>10525</v>
      </c>
      <c r="G5169" t="s">
        <v>14</v>
      </c>
      <c r="H5169">
             </c>
      <c r="I5169" t="s">
        <v>14</v>
      </c>
      <c r="J5169" t="s">
        <v>141</v>
      </c>
      <c r="K5169" t="s">
        <v>14</v>
      </c>
      <c r="L5169" t="s">
        <v>20</v>
      </c>
      <c r="M5169" t="s">
        <v>10395</v>
      </c>
      <c r="N5169" t="s">
        <v>14</v>
      </c>
    </row>
    <row r="5170" x14ac:dyDescent="0.25">
      <c r="A5170" t="n">
        <v>25</v>
      </c>
      <c r="B5170" t="s">
        <v>14</v>
      </c>
      <c r="C5170" t="s">
        <v>22</v>
      </c>
      <c r="D5170" s="2" t="s">
        <f>=HYPERLINK("https://main.knesset.gov.il/APPS/legislation/main/bills/2201893", "הצעת חוק יום אבל במות קרוב מדרגה שנייה, התשפ""ג-2023")</f>
        <v>9865</v>
      </c>
      <c r="E5170" t="s">
        <v>9865</v>
      </c>
      <c r="F5170" t="s">
        <v>10526</v>
      </c>
      <c r="G5170" t="s">
        <v>14</v>
      </c>
      <c r="H5170">
             </c>
      <c r="I5170" t="s">
        <v>14</v>
      </c>
      <c r="J5170" t="s">
        <v>141</v>
      </c>
      <c r="K5170" t="s">
        <v>14</v>
      </c>
      <c r="L5170" t="s">
        <v>20</v>
      </c>
      <c r="M5170" t="s">
        <v>10395</v>
      </c>
      <c r="N5170" t="s">
        <v>14</v>
      </c>
    </row>
    <row r="5171" x14ac:dyDescent="0.25">
      <c r="A5171" t="n">
        <v>25</v>
      </c>
      <c r="B5171" t="s">
        <v>14</v>
      </c>
      <c r="C5171" t="s">
        <v>22</v>
      </c>
      <c r="D5171" s="2" t="s">
        <f>=HYPERLINK("https://main.knesset.gov.il/APPS/legislation/main/bills/2201337", "הצעת חוק לתיקון פקודת מס הכנסה (תלוש שכר לעצמאי), התשפ""ג-2023")</f>
        <v>10527</v>
      </c>
      <c r="E5171" t="s">
        <v>10527</v>
      </c>
      <c r="F5171" t="s">
        <v>10528</v>
      </c>
      <c r="G5171" t="s">
        <v>14</v>
      </c>
      <c r="H5171">
             </c>
      <c r="I5171" t="s">
        <v>14</v>
      </c>
      <c r="J5171" t="s">
        <v>141</v>
      </c>
      <c r="K5171" t="s">
        <v>14</v>
      </c>
      <c r="L5171" t="s">
        <v>20</v>
      </c>
      <c r="M5171" t="s">
        <v>10395</v>
      </c>
      <c r="N5171" t="s">
        <v>14</v>
      </c>
    </row>
    <row r="5172" x14ac:dyDescent="0.25">
      <c r="A5172" t="n">
        <v>25</v>
      </c>
      <c r="B5172" t="s">
        <v>14</v>
      </c>
      <c r="C5172" t="s">
        <v>22</v>
      </c>
      <c r="D5172" s="2" t="s">
        <f>=HYPERLINK("https://main.knesset.gov.il/APPS/legislation/main/bills/2200732", "הצעת חוק מטרופולין ירושלים, התשפ""ג-2023")</f>
        <v>10529</v>
      </c>
      <c r="E5172" t="s">
        <v>10529</v>
      </c>
      <c r="F5172" t="s">
        <v>10530</v>
      </c>
      <c r="G5172" t="s">
        <v>14</v>
      </c>
      <c r="H5172">
             </c>
      <c r="I5172" t="s">
        <v>14</v>
      </c>
      <c r="J5172" t="s">
        <v>141</v>
      </c>
      <c r="K5172" t="s">
        <v>14</v>
      </c>
      <c r="L5172" t="s">
        <v>20</v>
      </c>
      <c r="M5172" t="s">
        <v>10395</v>
      </c>
      <c r="N5172" t="s">
        <v>14</v>
      </c>
    </row>
    <row r="5173" x14ac:dyDescent="0.25">
      <c r="A5173" t="n">
        <v>25</v>
      </c>
      <c r="B5173" t="s">
        <v>14</v>
      </c>
      <c r="C5173" t="s">
        <v>22</v>
      </c>
      <c r="D5173" s="2" t="s">
        <f>=HYPERLINK("https://main.knesset.gov.il/APPS/legislation/main/bills/2201322", "הצעת חוק לתיקון פקודת מס הכנסה (נקודת זיכוי לאפוטרופוס), התשפ""ג-2023")</f>
        <v>10531</v>
      </c>
      <c r="E5173" t="s">
        <v>10531</v>
      </c>
      <c r="F5173" t="s">
        <v>10532</v>
      </c>
      <c r="G5173" t="s">
        <v>14</v>
      </c>
      <c r="H5173">
             </c>
      <c r="I5173" t="s">
        <v>14</v>
      </c>
      <c r="J5173" t="s">
        <v>141</v>
      </c>
      <c r="K5173" t="s">
        <v>14</v>
      </c>
      <c r="L5173" t="s">
        <v>20</v>
      </c>
      <c r="M5173" t="s">
        <v>10395</v>
      </c>
      <c r="N5173" t="s">
        <v>14</v>
      </c>
    </row>
    <row r="5174" x14ac:dyDescent="0.25">
      <c r="A5174" t="n">
        <v>25</v>
      </c>
      <c r="B5174" t="s">
        <v>14</v>
      </c>
      <c r="C5174" t="s">
        <v>22</v>
      </c>
      <c r="D5174" s="2" t="s">
        <f>=HYPERLINK("https://main.knesset.gov.il/APPS/legislation/main/bills/2201169", "הצעת חוק שירות הקבע בצבא הגנה לישראל (גמלאות) (תיקון - גמלה לאלמנה שנישאה מחדש), התשפ""ג-2023")</f>
        <v>10533</v>
      </c>
      <c r="E5174" t="s">
        <v>10533</v>
      </c>
      <c r="F5174" t="s">
        <v>10534</v>
      </c>
      <c r="G5174" t="s">
        <v>14</v>
      </c>
      <c r="H5174">
             </c>
      <c r="I5174" t="s">
        <v>14</v>
      </c>
      <c r="J5174" t="s">
        <v>141</v>
      </c>
      <c r="K5174" t="s">
        <v>14</v>
      </c>
      <c r="L5174" t="s">
        <v>20</v>
      </c>
      <c r="M5174" t="s">
        <v>10395</v>
      </c>
      <c r="N5174" t="s">
        <v>14</v>
      </c>
    </row>
    <row r="5175" x14ac:dyDescent="0.25">
      <c r="A5175" t="n">
        <v>25</v>
      </c>
      <c r="B5175" t="s">
        <v>14</v>
      </c>
      <c r="C5175" t="s">
        <v>22</v>
      </c>
      <c r="D5175" s="2" t="s">
        <f>=HYPERLINK("https://main.knesset.gov.il/APPS/legislation/main/bills/2200257", "הצעת חוק ליישוב תחת איום מיידי (הוראת שעה), התשפ""ג-2023")</f>
        <v>10133</v>
      </c>
      <c r="E5175" t="s">
        <v>10133</v>
      </c>
      <c r="F5175" t="s">
        <v>10535</v>
      </c>
      <c r="G5175" t="s">
        <v>14</v>
      </c>
      <c r="H5175">
             </c>
      <c r="I5175" t="s">
        <v>14</v>
      </c>
      <c r="J5175" t="s">
        <v>141</v>
      </c>
      <c r="K5175" t="s">
        <v>14</v>
      </c>
      <c r="L5175" t="s">
        <v>20</v>
      </c>
      <c r="M5175" t="s">
        <v>10395</v>
      </c>
      <c r="N5175" t="s">
        <v>14</v>
      </c>
    </row>
    <row r="5176" x14ac:dyDescent="0.25">
      <c r="A5176" t="n">
        <v>25</v>
      </c>
      <c r="B5176" t="s">
        <v>14</v>
      </c>
      <c r="C5176" t="s">
        <v>22</v>
      </c>
      <c r="D5176" s="2" t="s">
        <f>=HYPERLINK("https://main.knesset.gov.il/APPS/legislation/main/bills/2201821", "הצעת חוק ההוצאה לפועל (תיקון - הגבלת סכום עיקול בידי צד שלישי שהוא תאגיד בנקאי), התשפ""ג-2023")</f>
        <v>10109</v>
      </c>
      <c r="E5176" t="s">
        <v>10109</v>
      </c>
      <c r="F5176" t="s">
        <v>10536</v>
      </c>
      <c r="G5176" t="s">
        <v>14</v>
      </c>
      <c r="H5176">
             </c>
      <c r="I5176" t="s">
        <v>14</v>
      </c>
      <c r="J5176" t="s">
        <v>141</v>
      </c>
      <c r="K5176" t="s">
        <v>14</v>
      </c>
      <c r="L5176" t="s">
        <v>20</v>
      </c>
      <c r="M5176" t="s">
        <v>10395</v>
      </c>
      <c r="N5176" t="s">
        <v>14</v>
      </c>
    </row>
    <row r="5177" x14ac:dyDescent="0.25">
      <c r="A5177" t="n">
        <v>25</v>
      </c>
      <c r="B5177" t="s">
        <v>14</v>
      </c>
      <c r="C5177" t="s">
        <v>22</v>
      </c>
      <c r="D5177" s="2" t="s">
        <f>=HYPERLINK("https://main.knesset.gov.il/APPS/legislation/main/bills/2201684", "הצעת חוק ההוצאה לפועל (תיקון - הגבלת סכום עיקול בידי צד שלישי שהוא תאגיד בנקאי), התשפ""ג-2023")</f>
        <v>10109</v>
      </c>
      <c r="E5177" t="s">
        <v>10109</v>
      </c>
      <c r="F5177" t="s">
        <v>10537</v>
      </c>
      <c r="G5177" t="s">
        <v>14</v>
      </c>
      <c r="H5177">
             </c>
      <c r="I5177" t="s">
        <v>14</v>
      </c>
      <c r="J5177" t="s">
        <v>141</v>
      </c>
      <c r="K5177" t="s">
        <v>14</v>
      </c>
      <c r="L5177" t="s">
        <v>20</v>
      </c>
      <c r="M5177" t="s">
        <v>10395</v>
      </c>
      <c r="N5177" t="s">
        <v>14</v>
      </c>
    </row>
    <row r="5178" x14ac:dyDescent="0.25">
      <c r="A5178" t="n">
        <v>25</v>
      </c>
      <c r="B5178" t="s">
        <v>14</v>
      </c>
      <c r="C5178" t="s">
        <v>22</v>
      </c>
      <c r="D5178" s="2" t="s">
        <f>=HYPERLINK("https://main.knesset.gov.il/APPS/legislation/main/bills/2201724", "הצעת חוק תאגידי מים וביוב (תיקון - ביטול סמכויות גבייה ואכיפה מיוחדות), התשפ""ג-2023")</f>
        <v>9941</v>
      </c>
      <c r="E5178" t="s">
        <v>9941</v>
      </c>
      <c r="F5178" t="s">
        <v>10538</v>
      </c>
      <c r="G5178" t="s">
        <v>14</v>
      </c>
      <c r="H5178">
             </c>
      <c r="I5178" t="s">
        <v>14</v>
      </c>
      <c r="J5178" t="s">
        <v>141</v>
      </c>
      <c r="K5178" t="s">
        <v>14</v>
      </c>
      <c r="L5178" t="s">
        <v>20</v>
      </c>
      <c r="M5178" t="s">
        <v>10395</v>
      </c>
      <c r="N5178" t="s">
        <v>14</v>
      </c>
    </row>
    <row r="5179" x14ac:dyDescent="0.25">
      <c r="A5179" t="n">
        <v>25</v>
      </c>
      <c r="B5179" t="s">
        <v>14</v>
      </c>
      <c r="C5179" t="s">
        <v>22</v>
      </c>
      <c r="D5179" s="2" t="s">
        <f>=HYPERLINK("https://main.knesset.gov.il/APPS/legislation/main/bills/2201722", "הצעת חוק תאגידי מים וביוב (תיקון - ביטול סמכויות גבייה ואכיפה מיוחדות), התשפ""ג-2023")</f>
        <v>9941</v>
      </c>
      <c r="E5179" t="s">
        <v>9941</v>
      </c>
      <c r="F5179" t="s">
        <v>10539</v>
      </c>
      <c r="G5179" t="s">
        <v>14</v>
      </c>
      <c r="H5179">
             </c>
      <c r="I5179" t="s">
        <v>14</v>
      </c>
      <c r="J5179" t="s">
        <v>141</v>
      </c>
      <c r="K5179" t="s">
        <v>14</v>
      </c>
      <c r="L5179" t="s">
        <v>20</v>
      </c>
      <c r="M5179" t="s">
        <v>10395</v>
      </c>
      <c r="N5179" t="s">
        <v>14</v>
      </c>
    </row>
    <row r="5180" x14ac:dyDescent="0.25">
      <c r="A5180" t="n">
        <v>25</v>
      </c>
      <c r="B5180" t="s">
        <v>14</v>
      </c>
      <c r="C5180" t="s">
        <v>22</v>
      </c>
      <c r="D5180" s="2" t="s">
        <f>=HYPERLINK("https://main.knesset.gov.il/APPS/legislation/main/bills/2200652", "הצעת חוק שעות עבודה ומנוחה (תיקון - שבוע עבודה בן חמישה ימים וקביעת יום ראשון כיום חופשי), התשפ""ג-2023")</f>
        <v>10540</v>
      </c>
      <c r="E5180" t="s">
        <v>10540</v>
      </c>
      <c r="F5180" t="s">
        <v>10541</v>
      </c>
      <c r="G5180" t="s">
        <v>14</v>
      </c>
      <c r="H5180">
             </c>
      <c r="I5180" t="s">
        <v>14</v>
      </c>
      <c r="J5180" t="s">
        <v>141</v>
      </c>
      <c r="K5180" t="s">
        <v>14</v>
      </c>
      <c r="L5180" t="s">
        <v>20</v>
      </c>
      <c r="M5180" t="s">
        <v>10395</v>
      </c>
      <c r="N5180" t="s">
        <v>14</v>
      </c>
    </row>
    <row r="5181" x14ac:dyDescent="0.25">
      <c r="A5181" t="n">
        <v>25</v>
      </c>
      <c r="B5181" t="s">
        <v>14</v>
      </c>
      <c r="C5181" t="s">
        <v>22</v>
      </c>
      <c r="D5181" s="2" t="s">
        <f>=HYPERLINK("https://main.knesset.gov.il/APPS/legislation/main/bills/2199672", "הצעת חוק התכנון והבנייה (תיקון - ייצוג הולם לאוכלוסייה הערבית במועצה הארצית לתכנון ולבנייה), התשפ""ג-2023")</f>
        <v>10542</v>
      </c>
      <c r="E5181" t="s">
        <v>10542</v>
      </c>
      <c r="F5181" t="s">
        <v>10543</v>
      </c>
      <c r="G5181" t="s">
        <v>14</v>
      </c>
      <c r="H5181">
             </c>
      <c r="I5181" t="s">
        <v>14</v>
      </c>
      <c r="J5181" t="s">
        <v>141</v>
      </c>
      <c r="K5181" t="s">
        <v>14</v>
      </c>
      <c r="L5181" t="s">
        <v>20</v>
      </c>
      <c r="M5181" t="s">
        <v>10395</v>
      </c>
      <c r="N5181" t="s">
        <v>14</v>
      </c>
    </row>
    <row r="5182" x14ac:dyDescent="0.25">
      <c r="A5182" t="n">
        <v>25</v>
      </c>
      <c r="B5182" t="s">
        <v>14</v>
      </c>
      <c r="C5182" t="s">
        <v>15</v>
      </c>
      <c r="D5182" s="2" t="s">
        <f>=HYPERLINK("https://main.knesset.gov.il/APPS/legislation/main/bills/2161824", "הצעת חוק רכבת תחתית (מטרו) (תיקון), התשפ""א-2021")</f>
        <v>10544</v>
      </c>
      <c r="E5182" t="s">
        <v>10544</v>
      </c>
      <c r="F5182" t="s">
        <v>14</v>
      </c>
      <c r="G5182" t="s">
        <v>10545</v>
      </c>
      <c r="H5182">
             </c>
      <c r="I5182" t="s">
        <v>379</v>
      </c>
      <c r="J5182" t="s">
        <v>99</v>
      </c>
      <c r="K5182" t="s">
        <v>46</v>
      </c>
      <c r="L5182" t="s">
        <v>20</v>
      </c>
      <c r="M5182" t="s">
        <v>10546</v>
      </c>
      <c r="N5182" t="s">
        <v>14</v>
      </c>
    </row>
    <row r="5183" x14ac:dyDescent="0.25">
      <c r="A5183" t="n">
        <v>25</v>
      </c>
      <c r="B5183" t="s">
        <v>14</v>
      </c>
      <c r="C5183" t="s">
        <v>22</v>
      </c>
      <c r="D5183" s="2" t="s">
        <f>=HYPERLINK("https://main.knesset.gov.il/APPS/legislation/main/bills/2197664", "הצעת חוק אימוץ ילדים (תיקון - כשירות המאמץ), התשפ""ג-2022")</f>
        <v>10547</v>
      </c>
      <c r="E5183" t="s">
        <v>10547</v>
      </c>
      <c r="F5183" t="s">
        <v>10548</v>
      </c>
      <c r="G5183" t="s">
        <v>14</v>
      </c>
      <c r="H5183">
             </c>
      <c r="I5183" t="s">
        <v>14</v>
      </c>
      <c r="J5183" t="s">
        <v>55</v>
      </c>
      <c r="K5183" t="s">
        <v>14</v>
      </c>
      <c r="L5183" t="s">
        <v>20</v>
      </c>
      <c r="M5183" t="s">
        <v>10549</v>
      </c>
      <c r="N5183" t="s">
        <v>14</v>
      </c>
    </row>
    <row r="5184" x14ac:dyDescent="0.25">
      <c r="A5184" t="n">
        <v>25</v>
      </c>
      <c r="B5184" t="s">
        <v>14</v>
      </c>
      <c r="C5184" t="s">
        <v>15</v>
      </c>
      <c r="D5184" s="2" t="s">
        <f>=HYPERLINK("https://main.knesset.gov.il/APPS/legislation/main/bills/2201068", "חוק הרשות השנייה לטלוויזיה ורדיו (תיקון מס' 48), התשפ""ג-2023")</f>
        <v>10550</v>
      </c>
      <c r="E5184" t="s">
        <v>10550</v>
      </c>
      <c r="F5184" t="s">
        <v>14</v>
      </c>
      <c r="G5184" t="s">
        <v>10551</v>
      </c>
      <c r="H5184" t="n">
        <v>3026</v>
      </c>
      <c r="I5184" t="s">
        <v>14</v>
      </c>
      <c r="J5184" t="s">
        <v>91</v>
      </c>
      <c r="K5184" t="s">
        <v>19</v>
      </c>
      <c r="L5184" t="s">
        <v>20</v>
      </c>
      <c r="M5184" t="s">
        <v>10552</v>
      </c>
      <c r="N5184" t="s">
        <v>10553</v>
      </c>
    </row>
    <row r="5185" x14ac:dyDescent="0.25">
      <c r="A5185" t="n">
        <v>25</v>
      </c>
      <c r="B5185" t="s">
        <v>14</v>
      </c>
      <c r="C5185" t="s">
        <v>15</v>
      </c>
      <c r="D5185" s="2" t="s">
        <f>=HYPERLINK("https://main.knesset.gov.il/APPS/legislation/main/bills/2201678", "חוק שירות ביטחון (הוראת שעה) (הצבת יוצאי צבא בשירות בתי הסוהר) (תיקון מס' 10), התשפ""ג–2023")</f>
        <v>10554</v>
      </c>
      <c r="E5185" t="s">
        <v>10554</v>
      </c>
      <c r="F5185" t="s">
        <v>14</v>
      </c>
      <c r="G5185" t="s">
        <v>10555</v>
      </c>
      <c r="H5185" t="n">
        <v>3025</v>
      </c>
      <c r="I5185" t="s">
        <v>14</v>
      </c>
      <c r="J5185" t="s">
        <v>91</v>
      </c>
      <c r="K5185" t="s">
        <v>114</v>
      </c>
      <c r="L5185" t="s">
        <v>20</v>
      </c>
      <c r="M5185" t="s">
        <v>10552</v>
      </c>
      <c r="N5185" t="s">
        <v>10556</v>
      </c>
    </row>
    <row r="5186" x14ac:dyDescent="0.25">
      <c r="A5186" t="n">
        <v>25</v>
      </c>
      <c r="B5186" t="s">
        <v>14</v>
      </c>
      <c r="C5186" t="s">
        <v>15</v>
      </c>
      <c r="D5186" s="2" t="s">
        <f>=HYPERLINK("https://main.knesset.gov.il/APPS/legislation/main/bills/2189881", "חוק הכניסה לישראל (תיקון מס' 36), התשפ""ג-2023")</f>
        <v>10557</v>
      </c>
      <c r="E5186" t="s">
        <v>10557</v>
      </c>
      <c r="F5186" t="s">
        <v>14</v>
      </c>
      <c r="G5186" t="s">
        <v>10558</v>
      </c>
      <c r="H5186" t="n">
        <v>3027</v>
      </c>
      <c r="I5186" t="s">
        <v>14</v>
      </c>
      <c r="J5186" t="s">
        <v>91</v>
      </c>
      <c r="K5186" t="s">
        <v>46</v>
      </c>
      <c r="L5186" t="s">
        <v>20</v>
      </c>
      <c r="M5186" t="s">
        <v>10552</v>
      </c>
      <c r="N5186" t="s">
        <v>10559</v>
      </c>
    </row>
    <row r="5187" x14ac:dyDescent="0.25">
      <c r="A5187" t="n">
        <v>25</v>
      </c>
      <c r="B5187" t="s">
        <v>14</v>
      </c>
      <c r="C5187" t="s">
        <v>22</v>
      </c>
      <c r="D5187" s="2" t="s">
        <f>=HYPERLINK("https://main.knesset.gov.il/APPS/legislation/main/bills/2198775", "הצעת חוק הרשויות המקומיות (התאמת תקציב הרווחה), התשפ""ג-2023")</f>
        <v>10560</v>
      </c>
      <c r="E5187" t="s">
        <v>10560</v>
      </c>
      <c r="F5187" t="s">
        <v>10561</v>
      </c>
      <c r="G5187" t="s">
        <v>14</v>
      </c>
      <c r="H5187">
             </c>
      <c r="I5187" t="s">
        <v>14</v>
      </c>
      <c r="J5187" t="s">
        <v>141</v>
      </c>
      <c r="K5187" t="s">
        <v>14</v>
      </c>
      <c r="L5187" t="s">
        <v>20</v>
      </c>
      <c r="M5187" t="s">
        <v>10552</v>
      </c>
      <c r="N5187" t="s">
        <v>14</v>
      </c>
    </row>
    <row r="5188" x14ac:dyDescent="0.25">
      <c r="A5188" t="n">
        <v>25</v>
      </c>
      <c r="B5188" t="s">
        <v>14</v>
      </c>
      <c r="C5188" t="s">
        <v>22</v>
      </c>
      <c r="D5188" s="2" t="s">
        <f>=HYPERLINK("https://main.knesset.gov.il/APPS/legislation/main/bills/2199109", "הצעת חוק שוויון זכויות לאנשים עם מוגבלות (תיקון - פטור מתשלום בעד כניסת מלווה בעבור כניסה למקום שאין בו מתקנים מתאימים ובעבור תחבורה ציבורית), התשפ""ג-2023")</f>
        <v>10069</v>
      </c>
      <c r="E5188" t="s">
        <v>10069</v>
      </c>
      <c r="F5188" t="s">
        <v>10562</v>
      </c>
      <c r="G5188" t="s">
        <v>14</v>
      </c>
      <c r="H5188">
             </c>
      <c r="I5188" t="s">
        <v>14</v>
      </c>
      <c r="J5188" t="s">
        <v>141</v>
      </c>
      <c r="K5188" t="s">
        <v>14</v>
      </c>
      <c r="L5188" t="s">
        <v>20</v>
      </c>
      <c r="M5188" t="s">
        <v>10552</v>
      </c>
      <c r="N5188" t="s">
        <v>14</v>
      </c>
    </row>
    <row r="5189" x14ac:dyDescent="0.25">
      <c r="A5189" t="n">
        <v>25</v>
      </c>
      <c r="B5189" t="s">
        <v>14</v>
      </c>
      <c r="C5189" t="s">
        <v>22</v>
      </c>
      <c r="D5189" s="2" t="s">
        <f>=HYPERLINK("https://main.knesset.gov.il/APPS/legislation/main/bills/2200435", "הצעת חוק זכויות החולה (תיקון - קביעת הוראות לעניין הכנסת חפצים ודברי מאכל למוסד רפואי), התשפ""ג-2023")</f>
        <v>10383</v>
      </c>
      <c r="E5189" t="s">
        <v>10383</v>
      </c>
      <c r="F5189" t="s">
        <v>10563</v>
      </c>
      <c r="G5189" t="s">
        <v>14</v>
      </c>
      <c r="H5189">
             </c>
      <c r="I5189" t="s">
        <v>14</v>
      </c>
      <c r="J5189" t="s">
        <v>141</v>
      </c>
      <c r="K5189" t="s">
        <v>14</v>
      </c>
      <c r="L5189" t="s">
        <v>20</v>
      </c>
      <c r="M5189" t="s">
        <v>10552</v>
      </c>
      <c r="N5189" t="s">
        <v>14</v>
      </c>
    </row>
    <row r="5190" x14ac:dyDescent="0.25">
      <c r="A5190" t="n">
        <v>25</v>
      </c>
      <c r="B5190" t="s">
        <v>14</v>
      </c>
      <c r="C5190" t="s">
        <v>22</v>
      </c>
      <c r="D5190" s="2" t="s">
        <f>=HYPERLINK("https://main.knesset.gov.il/APPS/legislation/main/bills/2200449", "הצעת חוק הסדרת העיסוק במקצועות הבריאות (תיקון - מתן תעודה במקצועות הבריאות לבעלי הכשרה מקצועית) (הוראת שעה), התשפ""ג-2023")</f>
        <v>10564</v>
      </c>
      <c r="E5190" t="s">
        <v>10564</v>
      </c>
      <c r="F5190" t="s">
        <v>10565</v>
      </c>
      <c r="G5190" t="s">
        <v>14</v>
      </c>
      <c r="H5190">
             </c>
      <c r="I5190" t="s">
        <v>14</v>
      </c>
      <c r="J5190" t="s">
        <v>141</v>
      </c>
      <c r="K5190" t="s">
        <v>14</v>
      </c>
      <c r="L5190" t="s">
        <v>20</v>
      </c>
      <c r="M5190" t="s">
        <v>10552</v>
      </c>
      <c r="N5190" t="s">
        <v>14</v>
      </c>
    </row>
    <row r="5191" x14ac:dyDescent="0.25">
      <c r="A5191" t="n">
        <v>25</v>
      </c>
      <c r="B5191" t="s">
        <v>14</v>
      </c>
      <c r="C5191" t="s">
        <v>22</v>
      </c>
      <c r="D5191" s="2" t="s">
        <f>=HYPERLINK("https://main.knesset.gov.il/APPS/legislation/main/bills/2200545", "הצעת חוק הכשרות לאנשי מקצוע בנושא זיהוי ודיווח על התעללות בקטין או בחסר ישע, התשפ""ג-2023")</f>
        <v>10566</v>
      </c>
      <c r="E5191" t="s">
        <v>10566</v>
      </c>
      <c r="F5191" t="s">
        <v>10567</v>
      </c>
      <c r="G5191" t="s">
        <v>14</v>
      </c>
      <c r="H5191">
             </c>
      <c r="I5191" t="s">
        <v>14</v>
      </c>
      <c r="J5191" t="s">
        <v>141</v>
      </c>
      <c r="K5191" t="s">
        <v>14</v>
      </c>
      <c r="L5191" t="s">
        <v>20</v>
      </c>
      <c r="M5191" t="s">
        <v>10552</v>
      </c>
      <c r="N5191" t="s">
        <v>14</v>
      </c>
    </row>
    <row r="5192" x14ac:dyDescent="0.25">
      <c r="A5192" t="n">
        <v>25</v>
      </c>
      <c r="B5192" t="s">
        <v>14</v>
      </c>
      <c r="C5192" t="s">
        <v>22</v>
      </c>
      <c r="D5192" s="2" t="s">
        <f>=HYPERLINK("https://main.knesset.gov.il/APPS/legislation/main/bills/2200566", "הצעת חוק הביטוח הלאומי (תיקון - תשלום תוספת לגמלת אזרח ותיק לנכה שהכנסתו נמוכה משכר המינימום), התשפ""ג-2023")</f>
        <v>9732</v>
      </c>
      <c r="E5192" t="s">
        <v>9732</v>
      </c>
      <c r="F5192" t="s">
        <v>10568</v>
      </c>
      <c r="G5192" t="s">
        <v>14</v>
      </c>
      <c r="H5192">
             </c>
      <c r="I5192" t="s">
        <v>14</v>
      </c>
      <c r="J5192" t="s">
        <v>141</v>
      </c>
      <c r="K5192" t="s">
        <v>14</v>
      </c>
      <c r="L5192" t="s">
        <v>20</v>
      </c>
      <c r="M5192" t="s">
        <v>10552</v>
      </c>
      <c r="N5192" t="s">
        <v>14</v>
      </c>
    </row>
    <row r="5193" x14ac:dyDescent="0.25">
      <c r="A5193" t="n">
        <v>25</v>
      </c>
      <c r="B5193" t="s">
        <v>14</v>
      </c>
      <c r="C5193" t="s">
        <v>22</v>
      </c>
      <c r="D5193" s="2" t="s">
        <f>=HYPERLINK("https://main.knesset.gov.il/APPS/legislation/main/bills/2199189", "הצעת חוק גיל פרישה (תיקון - ביטול גיל פרישת חובה), התשפ""ג-2023")</f>
        <v>10569</v>
      </c>
      <c r="E5193" t="s">
        <v>10569</v>
      </c>
      <c r="F5193" t="s">
        <v>10570</v>
      </c>
      <c r="G5193" t="s">
        <v>14</v>
      </c>
      <c r="H5193">
             </c>
      <c r="I5193" t="s">
        <v>14</v>
      </c>
      <c r="J5193" t="s">
        <v>141</v>
      </c>
      <c r="K5193" t="s">
        <v>14</v>
      </c>
      <c r="L5193" t="s">
        <v>20</v>
      </c>
      <c r="M5193" t="s">
        <v>10552</v>
      </c>
      <c r="N5193" t="s">
        <v>14</v>
      </c>
    </row>
    <row r="5194" x14ac:dyDescent="0.25">
      <c r="A5194" t="n">
        <v>25</v>
      </c>
      <c r="B5194" t="s">
        <v>14</v>
      </c>
      <c r="C5194" t="s">
        <v>22</v>
      </c>
      <c r="D5194" s="2" t="s">
        <f>=HYPERLINK("https://main.knesset.gov.il/APPS/legislation/main/bills/2200564", "הצעת חוק הביטוח הלאומי (תיקון - הארכת המועד להגשת תביעה לגמלה והתקופה שבעדה תשולם), התשפ""ג-2023")</f>
        <v>8335</v>
      </c>
      <c r="E5194" t="s">
        <v>8335</v>
      </c>
      <c r="F5194" t="s">
        <v>10571</v>
      </c>
      <c r="G5194" t="s">
        <v>14</v>
      </c>
      <c r="H5194">
             </c>
      <c r="I5194" t="s">
        <v>14</v>
      </c>
      <c r="J5194" t="s">
        <v>141</v>
      </c>
      <c r="K5194" t="s">
        <v>14</v>
      </c>
      <c r="L5194" t="s">
        <v>20</v>
      </c>
      <c r="M5194" t="s">
        <v>10552</v>
      </c>
      <c r="N5194" t="s">
        <v>14</v>
      </c>
    </row>
    <row r="5195" x14ac:dyDescent="0.25">
      <c r="A5195" t="n">
        <v>25</v>
      </c>
      <c r="B5195" t="s">
        <v>14</v>
      </c>
      <c r="C5195" t="s">
        <v>22</v>
      </c>
      <c r="D5195" s="2" t="s">
        <f>=HYPERLINK("https://main.knesset.gov.il/APPS/legislation/main/bills/2200680", "הצעת חוק חופשה שנתית (תיקון - ימי חופשה להורים שילדם נפטר), התשפ""ג-2023")</f>
        <v>10041</v>
      </c>
      <c r="E5195" t="s">
        <v>10041</v>
      </c>
      <c r="F5195" t="s">
        <v>10572</v>
      </c>
      <c r="G5195" t="s">
        <v>14</v>
      </c>
      <c r="H5195">
             </c>
      <c r="I5195" t="s">
        <v>14</v>
      </c>
      <c r="J5195" t="s">
        <v>141</v>
      </c>
      <c r="K5195" t="s">
        <v>14</v>
      </c>
      <c r="L5195" t="s">
        <v>20</v>
      </c>
      <c r="M5195" t="s">
        <v>10552</v>
      </c>
      <c r="N5195" t="s">
        <v>14</v>
      </c>
    </row>
    <row r="5196" x14ac:dyDescent="0.25">
      <c r="A5196" t="n">
        <v>25</v>
      </c>
      <c r="B5196" t="s">
        <v>14</v>
      </c>
      <c r="C5196" t="s">
        <v>22</v>
      </c>
      <c r="D5196" s="2" t="s">
        <f>=HYPERLINK("https://main.knesset.gov.il/APPS/legislation/main/bills/2200567", "הצעת חוק הביטוח הלאומי (תיקון - שיעור ההטבה לפי הסכם בדבר גמלת ניידות), התשפ""ג-2023")</f>
        <v>9667</v>
      </c>
      <c r="E5196" t="s">
        <v>9667</v>
      </c>
      <c r="F5196" t="s">
        <v>10573</v>
      </c>
      <c r="G5196" t="s">
        <v>14</v>
      </c>
      <c r="H5196">
             </c>
      <c r="I5196" t="s">
        <v>14</v>
      </c>
      <c r="J5196" t="s">
        <v>141</v>
      </c>
      <c r="K5196" t="s">
        <v>14</v>
      </c>
      <c r="L5196" t="s">
        <v>20</v>
      </c>
      <c r="M5196" t="s">
        <v>10552</v>
      </c>
      <c r="N5196" t="s">
        <v>14</v>
      </c>
    </row>
    <row r="5197" x14ac:dyDescent="0.25">
      <c r="A5197" t="n">
        <v>25</v>
      </c>
      <c r="B5197" t="s">
        <v>14</v>
      </c>
      <c r="C5197" t="s">
        <v>22</v>
      </c>
      <c r="D5197" s="2" t="s">
        <f>=HYPERLINK("https://main.knesset.gov.il/APPS/legislation/main/bills/2200580", "הצעת חוק הביטוח הלאומי (תיקון - מענק לידה אחיד מילד שני ואילך), התשפ""ג-2023")</f>
        <v>9376</v>
      </c>
      <c r="E5197" t="s">
        <v>9376</v>
      </c>
      <c r="F5197" t="s">
        <v>10574</v>
      </c>
      <c r="G5197" t="s">
        <v>14</v>
      </c>
      <c r="H5197">
             </c>
      <c r="I5197" t="s">
        <v>14</v>
      </c>
      <c r="J5197" t="s">
        <v>141</v>
      </c>
      <c r="K5197" t="s">
        <v>14</v>
      </c>
      <c r="L5197" t="s">
        <v>20</v>
      </c>
      <c r="M5197" t="s">
        <v>10552</v>
      </c>
      <c r="N5197" t="s">
        <v>14</v>
      </c>
    </row>
    <row r="5198" x14ac:dyDescent="0.25">
      <c r="A5198" t="n">
        <v>25</v>
      </c>
      <c r="B5198" t="s">
        <v>14</v>
      </c>
      <c r="C5198" t="s">
        <v>22</v>
      </c>
      <c r="D5198" s="2" t="s">
        <f>=HYPERLINK("https://main.knesset.gov.il/APPS/legislation/main/bills/2201201", "הצעת חוק לתיקון דיני הרשויות המקומיות (ביטול סמכות שר הפנים לעניין חוקי עזר בדבר פתיחתם וסגירתם של עסקים בימי מנוחה), התשפ""ג-2023")</f>
        <v>10575</v>
      </c>
      <c r="E5198" t="s">
        <v>10575</v>
      </c>
      <c r="F5198" t="s">
        <v>10576</v>
      </c>
      <c r="G5198" t="s">
        <v>14</v>
      </c>
      <c r="H5198">
             </c>
      <c r="I5198" t="s">
        <v>14</v>
      </c>
      <c r="J5198" t="s">
        <v>141</v>
      </c>
      <c r="K5198" t="s">
        <v>14</v>
      </c>
      <c r="L5198" t="s">
        <v>20</v>
      </c>
      <c r="M5198" t="s">
        <v>10552</v>
      </c>
      <c r="N5198" t="s">
        <v>14</v>
      </c>
    </row>
    <row r="5199" x14ac:dyDescent="0.25">
      <c r="A5199" t="n">
        <v>25</v>
      </c>
      <c r="B5199" t="s">
        <v>14</v>
      </c>
      <c r="C5199" t="s">
        <v>22</v>
      </c>
      <c r="D5199" s="2" t="s">
        <f>=HYPERLINK("https://main.knesset.gov.il/APPS/legislation/main/bills/2201624", "הצעת חוק חיזוק מעמד חברי המועצה מקרב סיעות האופוזיציה (תיקוני חקיקה), התשפ""ג-2023")</f>
        <v>10577</v>
      </c>
      <c r="E5199" t="s">
        <v>10577</v>
      </c>
      <c r="F5199" t="s">
        <v>10578</v>
      </c>
      <c r="G5199" t="s">
        <v>14</v>
      </c>
      <c r="H5199">
             </c>
      <c r="I5199" t="s">
        <v>14</v>
      </c>
      <c r="J5199" t="s">
        <v>141</v>
      </c>
      <c r="K5199" t="s">
        <v>14</v>
      </c>
      <c r="L5199" t="s">
        <v>20</v>
      </c>
      <c r="M5199" t="s">
        <v>10552</v>
      </c>
      <c r="N5199" t="s">
        <v>14</v>
      </c>
    </row>
    <row r="5200" x14ac:dyDescent="0.25">
      <c r="A5200" t="n">
        <v>25</v>
      </c>
      <c r="B5200" t="s">
        <v>14</v>
      </c>
      <c r="C5200" t="s">
        <v>22</v>
      </c>
      <c r="D5200" s="2" t="s">
        <f>=HYPERLINK("https://main.knesset.gov.il/APPS/legislation/main/bills/2201172", "הצעת חוק הבלו על דלק (תיקון - הגבלת שיעור המס על הדלק), התשפ""ג-2023")</f>
        <v>9441</v>
      </c>
      <c r="E5200" t="s">
        <v>9441</v>
      </c>
      <c r="F5200" t="s">
        <v>10579</v>
      </c>
      <c r="G5200" t="s">
        <v>14</v>
      </c>
      <c r="H5200">
             </c>
      <c r="I5200" t="s">
        <v>14</v>
      </c>
      <c r="J5200" t="s">
        <v>141</v>
      </c>
      <c r="K5200" t="s">
        <v>14</v>
      </c>
      <c r="L5200" t="s">
        <v>20</v>
      </c>
      <c r="M5200" t="s">
        <v>10552</v>
      </c>
      <c r="N5200" t="s">
        <v>14</v>
      </c>
    </row>
    <row r="5201" x14ac:dyDescent="0.25">
      <c r="A5201" t="n">
        <v>25</v>
      </c>
      <c r="B5201" t="s">
        <v>14</v>
      </c>
      <c r="C5201" t="s">
        <v>22</v>
      </c>
      <c r="D5201" s="2" t="s">
        <f>=HYPERLINK("https://main.knesset.gov.il/APPS/legislation/main/bills/2201633", "הצעת חוק השוואת תנאי שכר לקבוצות שאסור להפלותן (תיקוני חקיקה), התשפ""ג-2023")</f>
        <v>10071</v>
      </c>
      <c r="E5201" t="s">
        <v>10071</v>
      </c>
      <c r="F5201" t="s">
        <v>10580</v>
      </c>
      <c r="G5201" t="s">
        <v>14</v>
      </c>
      <c r="H5201">
             </c>
      <c r="I5201" t="s">
        <v>14</v>
      </c>
      <c r="J5201" t="s">
        <v>141</v>
      </c>
      <c r="K5201" t="s">
        <v>14</v>
      </c>
      <c r="L5201" t="s">
        <v>20</v>
      </c>
      <c r="M5201" t="s">
        <v>10552</v>
      </c>
      <c r="N5201" t="s">
        <v>14</v>
      </c>
    </row>
    <row r="5202" x14ac:dyDescent="0.25">
      <c r="A5202" t="n">
        <v>25</v>
      </c>
      <c r="B5202" t="s">
        <v>14</v>
      </c>
      <c r="C5202" t="s">
        <v>22</v>
      </c>
      <c r="D5202" s="2" t="s">
        <f>=HYPERLINK("https://main.knesset.gov.il/APPS/legislation/main/bills/2200231", "הצעת חוק שירותי הדת היהודיים (תיקון - משך כהונת רב עיר), התשפ""ג-2023")</f>
        <v>10581</v>
      </c>
      <c r="E5202" t="s">
        <v>10581</v>
      </c>
      <c r="F5202" t="s">
        <v>10582</v>
      </c>
      <c r="G5202" t="s">
        <v>14</v>
      </c>
      <c r="H5202">
             </c>
      <c r="I5202" t="s">
        <v>14</v>
      </c>
      <c r="J5202" t="s">
        <v>141</v>
      </c>
      <c r="K5202" t="s">
        <v>14</v>
      </c>
      <c r="L5202" t="s">
        <v>20</v>
      </c>
      <c r="M5202" t="s">
        <v>10552</v>
      </c>
      <c r="N5202" t="s">
        <v>14</v>
      </c>
    </row>
    <row r="5203" x14ac:dyDescent="0.25">
      <c r="A5203" t="n">
        <v>25</v>
      </c>
      <c r="B5203" t="s">
        <v>14</v>
      </c>
      <c r="C5203" t="s">
        <v>22</v>
      </c>
      <c r="D5203" s="2" t="s">
        <f>=HYPERLINK("https://main.knesset.gov.il/APPS/legislation/main/bills/2201199", "הצעת חוק הביטוח הלאומי (תיקון - השוואת קצבת נכות לשכר המינימום), התשפ""ג-2023")</f>
        <v>10583</v>
      </c>
      <c r="E5203" t="s">
        <v>10583</v>
      </c>
      <c r="F5203" t="s">
        <v>10584</v>
      </c>
      <c r="G5203" t="s">
        <v>14</v>
      </c>
      <c r="H5203">
             </c>
      <c r="I5203" t="s">
        <v>14</v>
      </c>
      <c r="J5203" t="s">
        <v>141</v>
      </c>
      <c r="K5203" t="s">
        <v>14</v>
      </c>
      <c r="L5203" t="s">
        <v>20</v>
      </c>
      <c r="M5203" t="s">
        <v>10552</v>
      </c>
      <c r="N5203" t="s">
        <v>14</v>
      </c>
    </row>
    <row r="5204" x14ac:dyDescent="0.25">
      <c r="A5204" t="n">
        <v>25</v>
      </c>
      <c r="B5204" t="s">
        <v>14</v>
      </c>
      <c r="C5204" t="s">
        <v>22</v>
      </c>
      <c r="D5204" s="2" t="s">
        <f>=HYPERLINK("https://main.knesset.gov.il/APPS/legislation/main/bills/2201154", "הצעת חוק מרשם האוכלוסין (תיקון - הגדרת יהודי), התשפ""ג-2023")</f>
        <v>1372</v>
      </c>
      <c r="E5204" t="s">
        <v>1372</v>
      </c>
      <c r="F5204" t="s">
        <v>10585</v>
      </c>
      <c r="G5204" t="s">
        <v>14</v>
      </c>
      <c r="H5204">
             </c>
      <c r="I5204" t="s">
        <v>14</v>
      </c>
      <c r="J5204" t="s">
        <v>141</v>
      </c>
      <c r="K5204" t="s">
        <v>14</v>
      </c>
      <c r="L5204" t="s">
        <v>20</v>
      </c>
      <c r="M5204" t="s">
        <v>10552</v>
      </c>
      <c r="N5204" t="s">
        <v>14</v>
      </c>
    </row>
    <row r="5205" x14ac:dyDescent="0.25">
      <c r="A5205" t="n">
        <v>25</v>
      </c>
      <c r="B5205" t="s">
        <v>14</v>
      </c>
      <c r="C5205" t="s">
        <v>22</v>
      </c>
      <c r="D5205" s="2" t="s">
        <f>=HYPERLINK("https://main.knesset.gov.il/APPS/legislation/main/bills/2201622", "הצעת חוק הביטוח הלאומי (תיקון - חיסכון מוקדם לגיל פרישה), התשפ""ג-2023")</f>
        <v>10586</v>
      </c>
      <c r="E5205" t="s">
        <v>10586</v>
      </c>
      <c r="F5205" t="s">
        <v>10587</v>
      </c>
      <c r="G5205" t="s">
        <v>14</v>
      </c>
      <c r="H5205">
             </c>
      <c r="I5205" t="s">
        <v>14</v>
      </c>
      <c r="J5205" t="s">
        <v>141</v>
      </c>
      <c r="K5205" t="s">
        <v>14</v>
      </c>
      <c r="L5205" t="s">
        <v>20</v>
      </c>
      <c r="M5205" t="s">
        <v>10552</v>
      </c>
      <c r="N5205" t="s">
        <v>14</v>
      </c>
    </row>
    <row r="5206" x14ac:dyDescent="0.25">
      <c r="A5206" t="n">
        <v>25</v>
      </c>
      <c r="B5206" t="s">
        <v>14</v>
      </c>
      <c r="C5206" t="s">
        <v>22</v>
      </c>
      <c r="D5206" s="2" t="s">
        <f>=HYPERLINK("https://main.knesset.gov.il/APPS/legislation/main/bills/2201654", "הצעת חוק המתווכים במקרקעין (תיקון - הגבלת דמי תיווך), התשפ""ג-2023")</f>
        <v>10588</v>
      </c>
      <c r="E5206" t="s">
        <v>10588</v>
      </c>
      <c r="F5206" t="s">
        <v>10589</v>
      </c>
      <c r="G5206" t="s">
        <v>14</v>
      </c>
      <c r="H5206">
             </c>
      <c r="I5206" t="s">
        <v>14</v>
      </c>
      <c r="J5206" t="s">
        <v>141</v>
      </c>
      <c r="K5206" t="s">
        <v>14</v>
      </c>
      <c r="L5206" t="s">
        <v>20</v>
      </c>
      <c r="M5206" t="s">
        <v>10552</v>
      </c>
      <c r="N5206" t="s">
        <v>14</v>
      </c>
    </row>
    <row r="5207" x14ac:dyDescent="0.25">
      <c r="A5207" t="n">
        <v>25</v>
      </c>
      <c r="B5207" t="s">
        <v>14</v>
      </c>
      <c r="C5207" t="s">
        <v>22</v>
      </c>
      <c r="D5207" s="2" t="s">
        <f>=HYPERLINK("https://main.knesset.gov.il/APPS/legislation/main/bills/2201668", "הצעת חוק המקרקעין (תיקון - קביעת מנגנון נוסף לתשלומי ועד), התשפ""ג-2023")</f>
        <v>10590</v>
      </c>
      <c r="E5207" t="s">
        <v>10590</v>
      </c>
      <c r="F5207" t="s">
        <v>10591</v>
      </c>
      <c r="G5207" t="s">
        <v>14</v>
      </c>
      <c r="H5207">
             </c>
      <c r="I5207" t="s">
        <v>14</v>
      </c>
      <c r="J5207" t="s">
        <v>141</v>
      </c>
      <c r="K5207" t="s">
        <v>14</v>
      </c>
      <c r="L5207" t="s">
        <v>20</v>
      </c>
      <c r="M5207" t="s">
        <v>10552</v>
      </c>
      <c r="N5207" t="s">
        <v>14</v>
      </c>
    </row>
    <row r="5208" x14ac:dyDescent="0.25">
      <c r="A5208" t="n">
        <v>25</v>
      </c>
      <c r="B5208" t="s">
        <v>14</v>
      </c>
      <c r="C5208" t="s">
        <v>22</v>
      </c>
      <c r="D5208" s="2" t="s">
        <f>=HYPERLINK("https://main.knesset.gov.il/APPS/legislation/main/bills/2200404", "הצעת חוק שכר מינימום (תיקון - העלאת שכר המינימום), התשפ""ג-2023")</f>
        <v>10592</v>
      </c>
      <c r="E5208" t="s">
        <v>10592</v>
      </c>
      <c r="F5208" t="s">
        <v>10593</v>
      </c>
      <c r="G5208" t="s">
        <v>14</v>
      </c>
      <c r="H5208">
             </c>
      <c r="I5208" t="s">
        <v>14</v>
      </c>
      <c r="J5208" t="s">
        <v>141</v>
      </c>
      <c r="K5208" t="s">
        <v>14</v>
      </c>
      <c r="L5208" t="s">
        <v>20</v>
      </c>
      <c r="M5208" t="s">
        <v>10552</v>
      </c>
      <c r="N5208" t="s">
        <v>14</v>
      </c>
    </row>
    <row r="5209" x14ac:dyDescent="0.25">
      <c r="A5209" t="n">
        <v>25</v>
      </c>
      <c r="B5209" t="s">
        <v>14</v>
      </c>
      <c r="C5209" t="s">
        <v>22</v>
      </c>
      <c r="D5209" s="2" t="s">
        <f>=HYPERLINK("https://main.knesset.gov.il/APPS/legislation/main/bills/2201189", "הצעת חוק הקמת יישוב עירוני חדש, התשפ""ג-2023")</f>
        <v>10594</v>
      </c>
      <c r="E5209" t="s">
        <v>10594</v>
      </c>
      <c r="F5209" t="s">
        <v>10595</v>
      </c>
      <c r="G5209" t="s">
        <v>14</v>
      </c>
      <c r="H5209">
             </c>
      <c r="I5209" t="s">
        <v>14</v>
      </c>
      <c r="J5209" t="s">
        <v>141</v>
      </c>
      <c r="K5209" t="s">
        <v>14</v>
      </c>
      <c r="L5209" t="s">
        <v>20</v>
      </c>
      <c r="M5209" t="s">
        <v>10552</v>
      </c>
      <c r="N5209" t="s">
        <v>14</v>
      </c>
    </row>
    <row r="5210" x14ac:dyDescent="0.25">
      <c r="A5210" t="n">
        <v>25</v>
      </c>
      <c r="B5210" t="s">
        <v>14</v>
      </c>
      <c r="C5210" t="s">
        <v>22</v>
      </c>
      <c r="D5210" s="2" t="s">
        <f>=HYPERLINK("https://main.knesset.gov.il/APPS/legislation/main/bills/2200655", "הצעת חוק שוויון זכויות לאנשים עם מוגבלות (תיקון - נגישות להורה ולתלמיד במוסד חינוך), התשפ""ג-2023")</f>
        <v>10596</v>
      </c>
      <c r="E5210" t="s">
        <v>10596</v>
      </c>
      <c r="F5210" t="s">
        <v>10597</v>
      </c>
      <c r="G5210" t="s">
        <v>14</v>
      </c>
      <c r="H5210">
             </c>
      <c r="I5210" t="s">
        <v>14</v>
      </c>
      <c r="J5210" t="s">
        <v>141</v>
      </c>
      <c r="K5210" t="s">
        <v>14</v>
      </c>
      <c r="L5210" t="s">
        <v>20</v>
      </c>
      <c r="M5210" t="s">
        <v>10552</v>
      </c>
      <c r="N5210" t="s">
        <v>14</v>
      </c>
    </row>
    <row r="5211" x14ac:dyDescent="0.25">
      <c r="A5211" t="n">
        <v>25</v>
      </c>
      <c r="B5211" t="s">
        <v>14</v>
      </c>
      <c r="C5211" t="s">
        <v>22</v>
      </c>
      <c r="D5211" s="2" t="s">
        <f>=HYPERLINK("https://main.knesset.gov.il/APPS/legislation/main/bills/2200975", "הצעת חוק העסקת עובדים על ידי קבלני כוח אדם (תיקון - מגבלות ברישוי קבלני כוח אדם), התשפ""ג-2023")</f>
        <v>10598</v>
      </c>
      <c r="E5211" t="s">
        <v>10598</v>
      </c>
      <c r="F5211" t="s">
        <v>10599</v>
      </c>
      <c r="G5211" t="s">
        <v>14</v>
      </c>
      <c r="H5211">
             </c>
      <c r="I5211" t="s">
        <v>14</v>
      </c>
      <c r="J5211" t="s">
        <v>141</v>
      </c>
      <c r="K5211" t="s">
        <v>14</v>
      </c>
      <c r="L5211" t="s">
        <v>20</v>
      </c>
      <c r="M5211" t="s">
        <v>10552</v>
      </c>
      <c r="N5211" t="s">
        <v>14</v>
      </c>
    </row>
    <row r="5212" x14ac:dyDescent="0.25">
      <c r="A5212" t="n">
        <v>25</v>
      </c>
      <c r="B5212" t="s">
        <v>14</v>
      </c>
      <c r="C5212" t="s">
        <v>22</v>
      </c>
      <c r="D5212" s="2" t="s">
        <f>=HYPERLINK("https://main.knesset.gov.il/APPS/legislation/main/bills/2200536", "הצעת חוק סדר הדין הפלילי (תיקון - מועד תשלום הקנס), התשפ""ג-2023")</f>
        <v>10084</v>
      </c>
      <c r="E5212" t="s">
        <v>10084</v>
      </c>
      <c r="F5212" t="s">
        <v>10600</v>
      </c>
      <c r="G5212" t="s">
        <v>14</v>
      </c>
      <c r="H5212">
             </c>
      <c r="I5212" t="s">
        <v>14</v>
      </c>
      <c r="J5212" t="s">
        <v>141</v>
      </c>
      <c r="K5212" t="s">
        <v>14</v>
      </c>
      <c r="L5212" t="s">
        <v>20</v>
      </c>
      <c r="M5212" t="s">
        <v>10552</v>
      </c>
      <c r="N5212" t="s">
        <v>14</v>
      </c>
    </row>
    <row r="5213" x14ac:dyDescent="0.25">
      <c r="A5213" t="n">
        <v>25</v>
      </c>
      <c r="B5213" t="s">
        <v>14</v>
      </c>
      <c r="C5213" t="s">
        <v>22</v>
      </c>
      <c r="D5213" s="2" t="s">
        <f>=HYPERLINK("https://main.knesset.gov.il/APPS/legislation/main/bills/2201193", "הצעת חוק הרשות הלאומית למאבק בעוני, התשפ""ג-2023")</f>
        <v>6312</v>
      </c>
      <c r="E5213" t="s">
        <v>6312</v>
      </c>
      <c r="F5213" t="s">
        <v>10601</v>
      </c>
      <c r="G5213" t="s">
        <v>14</v>
      </c>
      <c r="H5213">
             </c>
      <c r="I5213" t="s">
        <v>14</v>
      </c>
      <c r="J5213" t="s">
        <v>141</v>
      </c>
      <c r="K5213" t="s">
        <v>14</v>
      </c>
      <c r="L5213" t="s">
        <v>20</v>
      </c>
      <c r="M5213" t="s">
        <v>10552</v>
      </c>
      <c r="N5213" t="s">
        <v>14</v>
      </c>
    </row>
    <row r="5214" x14ac:dyDescent="0.25">
      <c r="A5214" t="n">
        <v>25</v>
      </c>
      <c r="B5214" t="s">
        <v>14</v>
      </c>
      <c r="C5214" t="s">
        <v>22</v>
      </c>
      <c r="D5214" s="2" t="s">
        <f>=HYPERLINK("https://main.knesset.gov.il/APPS/legislation/main/bills/2198132", "הצעת חוק-יסוד: הכנסת (תיקון - הזכות להיבחר) ")</f>
        <v>4499</v>
      </c>
      <c r="E5214" t="s">
        <v>4499</v>
      </c>
      <c r="F5214" t="s">
        <v>10602</v>
      </c>
      <c r="G5214" t="s">
        <v>14</v>
      </c>
      <c r="H5214">
             </c>
      <c r="I5214" t="s">
        <v>14</v>
      </c>
      <c r="J5214" t="s">
        <v>141</v>
      </c>
      <c r="K5214" t="s">
        <v>14</v>
      </c>
      <c r="L5214" t="s">
        <v>20</v>
      </c>
      <c r="M5214" t="s">
        <v>10552</v>
      </c>
      <c r="N5214" t="s">
        <v>14</v>
      </c>
    </row>
    <row r="5215" x14ac:dyDescent="0.25">
      <c r="A5215" t="n">
        <v>25</v>
      </c>
      <c r="B5215" t="s">
        <v>14</v>
      </c>
      <c r="C5215" t="s">
        <v>22</v>
      </c>
      <c r="D5215" s="2" t="s">
        <f>=HYPERLINK("https://main.knesset.gov.il/APPS/legislation/main/bills/2201121", "הצעת חוק חזקת הסכמה לתרומת אברים (תיקוני חקיקה), התשפ""ג-2023")</f>
        <v>10603</v>
      </c>
      <c r="E5215" t="s">
        <v>10603</v>
      </c>
      <c r="F5215" t="s">
        <v>10604</v>
      </c>
      <c r="G5215" t="s">
        <v>14</v>
      </c>
      <c r="H5215">
             </c>
      <c r="I5215" t="s">
        <v>14</v>
      </c>
      <c r="J5215" t="s">
        <v>141</v>
      </c>
      <c r="K5215" t="s">
        <v>14</v>
      </c>
      <c r="L5215" t="s">
        <v>20</v>
      </c>
      <c r="M5215" t="s">
        <v>10552</v>
      </c>
      <c r="N5215" t="s">
        <v>14</v>
      </c>
    </row>
    <row r="5216" x14ac:dyDescent="0.25">
      <c r="A5216" t="n">
        <v>25</v>
      </c>
      <c r="B5216" t="s">
        <v>14</v>
      </c>
      <c r="C5216" t="s">
        <v>22</v>
      </c>
      <c r="D5216" s="2" t="s">
        <f>=HYPERLINK("https://main.knesset.gov.il/APPS/legislation/main/bills/2201128", "הצעת חוק טיפול בחולי נפש (תיקון - החלת הוראות על בגיר שסובל מאנורקסיה נרבוזה), התשפ""ג-2023")</f>
        <v>10605</v>
      </c>
      <c r="E5216" t="s">
        <v>10605</v>
      </c>
      <c r="F5216" t="s">
        <v>10606</v>
      </c>
      <c r="G5216" t="s">
        <v>14</v>
      </c>
      <c r="H5216">
             </c>
      <c r="I5216" t="s">
        <v>14</v>
      </c>
      <c r="J5216" t="s">
        <v>141</v>
      </c>
      <c r="K5216" t="s">
        <v>14</v>
      </c>
      <c r="L5216" t="s">
        <v>20</v>
      </c>
      <c r="M5216" t="s">
        <v>10552</v>
      </c>
      <c r="N5216" t="s">
        <v>14</v>
      </c>
    </row>
    <row r="5217" x14ac:dyDescent="0.25">
      <c r="A5217" t="n">
        <v>25</v>
      </c>
      <c r="B5217" t="s">
        <v>14</v>
      </c>
      <c r="C5217" t="s">
        <v>22</v>
      </c>
      <c r="D5217" s="2" t="s">
        <f>=HYPERLINK("https://main.knesset.gov.il/APPS/legislation/main/bills/2201171", "הצעת חוק הביטוח הלאומי (תיקון - גמלת אבל לעצמאים), התשפ""ג-2023")</f>
        <v>8103</v>
      </c>
      <c r="E5217" t="s">
        <v>8103</v>
      </c>
      <c r="F5217" t="s">
        <v>10607</v>
      </c>
      <c r="G5217" t="s">
        <v>14</v>
      </c>
      <c r="H5217">
             </c>
      <c r="I5217" t="s">
        <v>14</v>
      </c>
      <c r="J5217" t="s">
        <v>141</v>
      </c>
      <c r="K5217" t="s">
        <v>14</v>
      </c>
      <c r="L5217" t="s">
        <v>20</v>
      </c>
      <c r="M5217" t="s">
        <v>10552</v>
      </c>
      <c r="N5217" t="s">
        <v>14</v>
      </c>
    </row>
    <row r="5218" x14ac:dyDescent="0.25">
      <c r="A5218" t="n">
        <v>25</v>
      </c>
      <c r="B5218" t="s">
        <v>14</v>
      </c>
      <c r="C5218" t="s">
        <v>22</v>
      </c>
      <c r="D5218" s="2" t="s">
        <f>=HYPERLINK("https://main.knesset.gov.il/APPS/legislation/main/bills/2198084", "הצעת חוק יישום תוכנית ההתנתקות (תיקון - ביטול סעיפי הפינוי ושינוי שם החוק), התשפ""ג-2023")</f>
        <v>10608</v>
      </c>
      <c r="E5218" t="s">
        <v>10608</v>
      </c>
      <c r="F5218" t="s">
        <v>10609</v>
      </c>
      <c r="G5218" t="s">
        <v>14</v>
      </c>
      <c r="H5218">
             </c>
      <c r="I5218" t="s">
        <v>14</v>
      </c>
      <c r="J5218" t="s">
        <v>141</v>
      </c>
      <c r="K5218" t="s">
        <v>14</v>
      </c>
      <c r="L5218" t="s">
        <v>20</v>
      </c>
      <c r="M5218" t="s">
        <v>10552</v>
      </c>
      <c r="N5218" t="s">
        <v>14</v>
      </c>
    </row>
    <row r="5219" x14ac:dyDescent="0.25">
      <c r="A5219" t="n">
        <v>25</v>
      </c>
      <c r="B5219" t="s">
        <v>14</v>
      </c>
      <c r="C5219" t="s">
        <v>22</v>
      </c>
      <c r="D5219" s="2" t="s">
        <f>=HYPERLINK("https://main.knesset.gov.il/APPS/legislation/main/bills/2201176", "הצעת חוק להרחבת הזכאות לדמי מחלה בהיעדרות בשל מחלת בני משפחה (תיקוני חקיקה), התשפ""ג-2023")</f>
        <v>10610</v>
      </c>
      <c r="E5219" t="s">
        <v>10610</v>
      </c>
      <c r="F5219" t="s">
        <v>10611</v>
      </c>
      <c r="G5219" t="s">
        <v>14</v>
      </c>
      <c r="H5219">
             </c>
      <c r="I5219" t="s">
        <v>14</v>
      </c>
      <c r="J5219" t="s">
        <v>141</v>
      </c>
      <c r="K5219" t="s">
        <v>14</v>
      </c>
      <c r="L5219" t="s">
        <v>20</v>
      </c>
      <c r="M5219" t="s">
        <v>10552</v>
      </c>
      <c r="N5219" t="s">
        <v>14</v>
      </c>
    </row>
    <row r="5220" x14ac:dyDescent="0.25">
      <c r="A5220" t="n">
        <v>25</v>
      </c>
      <c r="B5220" t="s">
        <v>14</v>
      </c>
      <c r="C5220" t="s">
        <v>22</v>
      </c>
      <c r="D5220" s="2" t="s">
        <f>=HYPERLINK("https://main.knesset.gov.il/APPS/legislation/main/bills/2200981", "הצעת חוק הפקדות וזכויות סוציאליות לעצמאים (תיקוני חקיקה), התשפ""ג-2023")</f>
        <v>10612</v>
      </c>
      <c r="E5220" t="s">
        <v>10612</v>
      </c>
      <c r="F5220" t="s">
        <v>10613</v>
      </c>
      <c r="G5220" t="s">
        <v>14</v>
      </c>
      <c r="H5220">
             </c>
      <c r="I5220" t="s">
        <v>14</v>
      </c>
      <c r="J5220" t="s">
        <v>141</v>
      </c>
      <c r="K5220" t="s">
        <v>14</v>
      </c>
      <c r="L5220" t="s">
        <v>20</v>
      </c>
      <c r="M5220" t="s">
        <v>10552</v>
      </c>
      <c r="N5220" t="s">
        <v>14</v>
      </c>
    </row>
    <row r="5221" x14ac:dyDescent="0.25">
      <c r="A5221" t="n">
        <v>25</v>
      </c>
      <c r="B5221" t="s">
        <v>14</v>
      </c>
      <c r="C5221" t="s">
        <v>22</v>
      </c>
      <c r="D5221" s="2" t="s">
        <f>=HYPERLINK("https://main.knesset.gov.il/APPS/legislation/main/bills/2201430", "הצעת חוק החלת הריבונות הישראלית על בקעת הירדן, התשפ""ג-2023")</f>
        <v>4306</v>
      </c>
      <c r="E5221" t="s">
        <v>4306</v>
      </c>
      <c r="F5221" t="s">
        <v>10614</v>
      </c>
      <c r="G5221" t="s">
        <v>14</v>
      </c>
      <c r="H5221">
             </c>
      <c r="I5221" t="s">
        <v>14</v>
      </c>
      <c r="J5221" t="s">
        <v>141</v>
      </c>
      <c r="K5221" t="s">
        <v>14</v>
      </c>
      <c r="L5221" t="s">
        <v>20</v>
      </c>
      <c r="M5221" t="s">
        <v>10552</v>
      </c>
      <c r="N5221" t="s">
        <v>14</v>
      </c>
    </row>
    <row r="5222" x14ac:dyDescent="0.25">
      <c r="A5222" t="n">
        <v>25</v>
      </c>
      <c r="B5222" t="s">
        <v>14</v>
      </c>
      <c r="C5222" t="s">
        <v>22</v>
      </c>
      <c r="D5222" s="2" t="s">
        <f>=HYPERLINK("https://main.knesset.gov.il/APPS/legislation/main/bills/2201183", "הצעת חוק שעות עבודה ומנוחה (תיקון - הגבלת שעות העסקה של מתמחה ברפואה), התשפ""ג-2023")</f>
        <v>10340</v>
      </c>
      <c r="E5222" t="s">
        <v>10340</v>
      </c>
      <c r="F5222" t="s">
        <v>10615</v>
      </c>
      <c r="G5222" t="s">
        <v>14</v>
      </c>
      <c r="H5222">
             </c>
      <c r="I5222" t="s">
        <v>14</v>
      </c>
      <c r="J5222" t="s">
        <v>141</v>
      </c>
      <c r="K5222" t="s">
        <v>14</v>
      </c>
      <c r="L5222" t="s">
        <v>20</v>
      </c>
      <c r="M5222" t="s">
        <v>10552</v>
      </c>
      <c r="N5222" t="s">
        <v>14</v>
      </c>
    </row>
    <row r="5223" x14ac:dyDescent="0.25">
      <c r="A5223" t="n">
        <v>25</v>
      </c>
      <c r="B5223" t="s">
        <v>14</v>
      </c>
      <c r="C5223" t="s">
        <v>22</v>
      </c>
      <c r="D5223" s="2" t="s">
        <f>=HYPERLINK("https://main.knesset.gov.il/APPS/legislation/main/bills/2201594", "הצעת חוק זכויות נפגעי עבירה (תיקון - זכויות בהליך בפני שופט מגשר), התשפ""ג-2023")</f>
        <v>10616</v>
      </c>
      <c r="E5223" t="s">
        <v>10616</v>
      </c>
      <c r="F5223" t="s">
        <v>10617</v>
      </c>
      <c r="G5223" t="s">
        <v>14</v>
      </c>
      <c r="H5223">
             </c>
      <c r="I5223" t="s">
        <v>14</v>
      </c>
      <c r="J5223" t="s">
        <v>141</v>
      </c>
      <c r="K5223" t="s">
        <v>14</v>
      </c>
      <c r="L5223" t="s">
        <v>20</v>
      </c>
      <c r="M5223" t="s">
        <v>10552</v>
      </c>
      <c r="N5223" t="s">
        <v>14</v>
      </c>
    </row>
    <row r="5224" x14ac:dyDescent="0.25">
      <c r="A5224" t="n">
        <v>25</v>
      </c>
      <c r="B5224" t="s">
        <v>14</v>
      </c>
      <c r="C5224" t="s">
        <v>22</v>
      </c>
      <c r="D5224" s="2" t="s">
        <f>=HYPERLINK("https://main.knesset.gov.il/APPS/legislation/main/bills/2200411", "הצעת חוק בתי קברות צבאיים (תיקון - קבורה לסוהרים בבתי קברות צבאיים), התשפ""ג-2023")</f>
        <v>10618</v>
      </c>
      <c r="E5224" t="s">
        <v>10618</v>
      </c>
      <c r="F5224" t="s">
        <v>10619</v>
      </c>
      <c r="G5224" t="s">
        <v>14</v>
      </c>
      <c r="H5224">
             </c>
      <c r="I5224" t="s">
        <v>14</v>
      </c>
      <c r="J5224" t="s">
        <v>141</v>
      </c>
      <c r="K5224" t="s">
        <v>14</v>
      </c>
      <c r="L5224" t="s">
        <v>20</v>
      </c>
      <c r="M5224" t="s">
        <v>10552</v>
      </c>
      <c r="N5224" t="s">
        <v>14</v>
      </c>
    </row>
    <row r="5225" x14ac:dyDescent="0.25">
      <c r="A5225" t="n">
        <v>25</v>
      </c>
      <c r="B5225" t="s">
        <v>14</v>
      </c>
      <c r="C5225" t="s">
        <v>22</v>
      </c>
      <c r="D5225" s="2" t="s">
        <f>=HYPERLINK("https://main.knesset.gov.il/APPS/legislation/main/bills/2201563", "הצעת חוק-יסוד: הממשלה (תיקון - הפסקת כהונה של ראש הממשלה או שר מחמת הגשת כתב אישום)")</f>
        <v>5300</v>
      </c>
      <c r="E5225" t="s">
        <v>5300</v>
      </c>
      <c r="F5225" t="s">
        <v>10620</v>
      </c>
      <c r="G5225" t="s">
        <v>14</v>
      </c>
      <c r="H5225">
             </c>
      <c r="I5225" t="s">
        <v>14</v>
      </c>
      <c r="J5225" t="s">
        <v>141</v>
      </c>
      <c r="K5225" t="s">
        <v>14</v>
      </c>
      <c r="L5225" t="s">
        <v>20</v>
      </c>
      <c r="M5225" t="s">
        <v>10552</v>
      </c>
      <c r="N5225" t="s">
        <v>14</v>
      </c>
    </row>
    <row r="5226" x14ac:dyDescent="0.25">
      <c r="A5226" t="n">
        <v>25</v>
      </c>
      <c r="B5226" t="s">
        <v>14</v>
      </c>
      <c r="C5226" t="s">
        <v>22</v>
      </c>
      <c r="D5226" s="2" t="s">
        <f>=HYPERLINK("https://main.knesset.gov.il/APPS/legislation/main/bills/2201444", "הצעת חוק לקביעת מעמדם של בני זוג שבאו בהסכם הזוגיות, התשפ""ג-2023")</f>
        <v>10621</v>
      </c>
      <c r="E5226" t="s">
        <v>10621</v>
      </c>
      <c r="F5226" t="s">
        <v>10622</v>
      </c>
      <c r="G5226" t="s">
        <v>14</v>
      </c>
      <c r="H5226">
             </c>
      <c r="I5226" t="s">
        <v>14</v>
      </c>
      <c r="J5226" t="s">
        <v>141</v>
      </c>
      <c r="K5226" t="s">
        <v>14</v>
      </c>
      <c r="L5226" t="s">
        <v>20</v>
      </c>
      <c r="M5226" t="s">
        <v>10552</v>
      </c>
      <c r="N5226" t="s">
        <v>14</v>
      </c>
    </row>
    <row r="5227" x14ac:dyDescent="0.25">
      <c r="A5227" t="n">
        <v>25</v>
      </c>
      <c r="B5227" t="s">
        <v>14</v>
      </c>
      <c r="C5227" t="s">
        <v>22</v>
      </c>
      <c r="D5227" s="2" t="s">
        <f>=HYPERLINK("https://main.knesset.gov.il/APPS/legislation/main/bills/2199823", "הצעת חוק הביטוח הלאומי (תיקון - תשלום תוספת לגמלת אזרח ותיק לנכה שהכנסתו נמוכה משכר המינימום), התשפ""ג-2023 ")</f>
        <v>10623</v>
      </c>
      <c r="E5227" t="s">
        <v>10623</v>
      </c>
      <c r="F5227" t="s">
        <v>10624</v>
      </c>
      <c r="G5227" t="s">
        <v>14</v>
      </c>
      <c r="H5227">
             </c>
      <c r="I5227" t="s">
        <v>14</v>
      </c>
      <c r="J5227" t="s">
        <v>141</v>
      </c>
      <c r="K5227" t="s">
        <v>14</v>
      </c>
      <c r="L5227" t="s">
        <v>20</v>
      </c>
      <c r="M5227" t="s">
        <v>10552</v>
      </c>
      <c r="N5227" t="s">
        <v>14</v>
      </c>
    </row>
    <row r="5228" x14ac:dyDescent="0.25">
      <c r="A5228" t="n">
        <v>25</v>
      </c>
      <c r="B5228" t="s">
        <v>14</v>
      </c>
      <c r="C5228" t="s">
        <v>22</v>
      </c>
      <c r="D5228" s="2" t="s">
        <f>=HYPERLINK("https://main.knesset.gov.il/APPS/legislation/main/bills/2201438", "הצעת חוק הביטוח הלאומי (תיקון - דמי ביטוח מופחתים למעסיק קולט עלייה), התשפ""ג-2023")</f>
        <v>10625</v>
      </c>
      <c r="E5228" t="s">
        <v>10625</v>
      </c>
      <c r="F5228" t="s">
        <v>10626</v>
      </c>
      <c r="G5228" t="s">
        <v>14</v>
      </c>
      <c r="H5228">
             </c>
      <c r="I5228" t="s">
        <v>14</v>
      </c>
      <c r="J5228" t="s">
        <v>141</v>
      </c>
      <c r="K5228" t="s">
        <v>14</v>
      </c>
      <c r="L5228" t="s">
        <v>20</v>
      </c>
      <c r="M5228" t="s">
        <v>10552</v>
      </c>
      <c r="N5228" t="s">
        <v>14</v>
      </c>
    </row>
    <row r="5229" x14ac:dyDescent="0.25">
      <c r="A5229" t="n">
        <v>25</v>
      </c>
      <c r="B5229" t="s">
        <v>14</v>
      </c>
      <c r="C5229" t="s">
        <v>22</v>
      </c>
      <c r="D5229" s="2" t="s">
        <f>=HYPERLINK("https://main.knesset.gov.il/APPS/legislation/main/bills/2201159", "הצעת חוק עבודת נשים (תיקון - הגנה לעובדת העוברת טיפולי פוריות), התשפ""ג-2023")</f>
        <v>10627</v>
      </c>
      <c r="E5229" t="s">
        <v>10627</v>
      </c>
      <c r="F5229" t="s">
        <v>10628</v>
      </c>
      <c r="G5229" t="s">
        <v>14</v>
      </c>
      <c r="H5229">
             </c>
      <c r="I5229" t="s">
        <v>14</v>
      </c>
      <c r="J5229" t="s">
        <v>141</v>
      </c>
      <c r="K5229" t="s">
        <v>14</v>
      </c>
      <c r="L5229" t="s">
        <v>20</v>
      </c>
      <c r="M5229" t="s">
        <v>10552</v>
      </c>
      <c r="N5229" t="s">
        <v>14</v>
      </c>
    </row>
    <row r="5230" x14ac:dyDescent="0.25">
      <c r="A5230" t="n">
        <v>25</v>
      </c>
      <c r="B5230" t="s">
        <v>14</v>
      </c>
      <c r="C5230" t="s">
        <v>22</v>
      </c>
      <c r="D5230" s="2" t="s">
        <f>=HYPERLINK("https://main.knesset.gov.il/APPS/legislation/main/bills/2200979", "הצעת חוק הפסקת היריון, התשפ""ג-2023")</f>
        <v>8844</v>
      </c>
      <c r="E5230" t="s">
        <v>8844</v>
      </c>
      <c r="F5230" t="s">
        <v>10629</v>
      </c>
      <c r="G5230" t="s">
        <v>14</v>
      </c>
      <c r="H5230">
             </c>
      <c r="I5230" t="s">
        <v>14</v>
      </c>
      <c r="J5230" t="s">
        <v>141</v>
      </c>
      <c r="K5230" t="s">
        <v>14</v>
      </c>
      <c r="L5230" t="s">
        <v>20</v>
      </c>
      <c r="M5230" t="s">
        <v>10552</v>
      </c>
      <c r="N5230" t="s">
        <v>14</v>
      </c>
    </row>
    <row r="5231" x14ac:dyDescent="0.25">
      <c r="A5231" t="n">
        <v>25</v>
      </c>
      <c r="B5231" t="s">
        <v>14</v>
      </c>
      <c r="C5231" t="s">
        <v>22</v>
      </c>
      <c r="D5231" s="2" t="s">
        <f>=HYPERLINK("https://main.knesset.gov.il/APPS/legislation/main/bills/2200899", "הצעת חוק דמי מחלה (היעדרות בשל מחלת ילד) (תיקון - היעדרות בעקבות פגיעה בעבירת מין או אלימות חמורה), התשפ""ג-2023")</f>
        <v>8043</v>
      </c>
      <c r="E5231" t="s">
        <v>8043</v>
      </c>
      <c r="F5231" t="s">
        <v>10630</v>
      </c>
      <c r="G5231" t="s">
        <v>14</v>
      </c>
      <c r="H5231">
             </c>
      <c r="I5231" t="s">
        <v>14</v>
      </c>
      <c r="J5231" t="s">
        <v>141</v>
      </c>
      <c r="K5231" t="s">
        <v>14</v>
      </c>
      <c r="L5231" t="s">
        <v>20</v>
      </c>
      <c r="M5231" t="s">
        <v>10552</v>
      </c>
      <c r="N5231" t="s">
        <v>14</v>
      </c>
    </row>
    <row r="5232" x14ac:dyDescent="0.25">
      <c r="A5232" t="n">
        <v>25</v>
      </c>
      <c r="B5232" t="s">
        <v>14</v>
      </c>
      <c r="C5232" t="s">
        <v>22</v>
      </c>
      <c r="D5232" s="2" t="s">
        <f>=HYPERLINK("https://main.knesset.gov.il/APPS/legislation/main/bills/2200314", "הצעת חוק התחרות הכלכלית (תיקון - איסור פגיעה ביבוא מקביל או ביבוא אישי) (הוראת שעה), התשפ""ג-2023")</f>
        <v>10631</v>
      </c>
      <c r="E5232" t="s">
        <v>10631</v>
      </c>
      <c r="F5232" t="s">
        <v>10632</v>
      </c>
      <c r="G5232" t="s">
        <v>14</v>
      </c>
      <c r="H5232">
             </c>
      <c r="I5232" t="s">
        <v>14</v>
      </c>
      <c r="J5232" t="s">
        <v>141</v>
      </c>
      <c r="K5232" t="s">
        <v>14</v>
      </c>
      <c r="L5232" t="s">
        <v>20</v>
      </c>
      <c r="M5232" t="s">
        <v>10552</v>
      </c>
      <c r="N5232" t="s">
        <v>14</v>
      </c>
    </row>
    <row r="5233" x14ac:dyDescent="0.25">
      <c r="A5233" t="n">
        <v>25</v>
      </c>
      <c r="B5233" t="s">
        <v>14</v>
      </c>
      <c r="C5233" t="s">
        <v>22</v>
      </c>
      <c r="D5233" s="2" t="s">
        <f>=HYPERLINK("https://main.knesset.gov.il/APPS/legislation/main/bills/2197831", "הצעת חוק לתיקון פקודת העיריות (חלוקת הכנסות ממתחם הגורם למפגעים סביבתיים בין רשויות מקומיות), התשפ""ג-2023 ")</f>
        <v>10633</v>
      </c>
      <c r="E5233" t="s">
        <v>10633</v>
      </c>
      <c r="F5233" t="s">
        <v>10634</v>
      </c>
      <c r="G5233" t="s">
        <v>14</v>
      </c>
      <c r="H5233">
             </c>
      <c r="I5233" t="s">
        <v>14</v>
      </c>
      <c r="J5233" t="s">
        <v>141</v>
      </c>
      <c r="K5233" t="s">
        <v>14</v>
      </c>
      <c r="L5233" t="s">
        <v>20</v>
      </c>
      <c r="M5233" t="s">
        <v>10552</v>
      </c>
      <c r="N5233" t="s">
        <v>14</v>
      </c>
    </row>
    <row r="5234" x14ac:dyDescent="0.25">
      <c r="A5234" t="n">
        <v>25</v>
      </c>
      <c r="B5234" t="s">
        <v>14</v>
      </c>
      <c r="C5234" t="s">
        <v>22</v>
      </c>
      <c r="D5234" s="2" t="s">
        <f>=HYPERLINK("https://main.knesset.gov.il/APPS/legislation/main/bills/2201153", "הצעת חוק תוכנית למניעת אלימות מינית וקידום מיניות בריאה, התשפ""ג-2023")</f>
        <v>10635</v>
      </c>
      <c r="E5234" t="s">
        <v>10635</v>
      </c>
      <c r="F5234" t="s">
        <v>10636</v>
      </c>
      <c r="G5234" t="s">
        <v>14</v>
      </c>
      <c r="H5234">
             </c>
      <c r="I5234" t="s">
        <v>14</v>
      </c>
      <c r="J5234" t="s">
        <v>141</v>
      </c>
      <c r="K5234" t="s">
        <v>14</v>
      </c>
      <c r="L5234" t="s">
        <v>20</v>
      </c>
      <c r="M5234" t="s">
        <v>10552</v>
      </c>
      <c r="N5234" t="s">
        <v>14</v>
      </c>
    </row>
    <row r="5235" x14ac:dyDescent="0.25">
      <c r="A5235" t="n">
        <v>25</v>
      </c>
      <c r="B5235" t="s">
        <v>14</v>
      </c>
      <c r="C5235" t="s">
        <v>22</v>
      </c>
      <c r="D5235" s="2" t="s">
        <f>=HYPERLINK("https://main.knesset.gov.il/APPS/legislation/main/bills/2201319", "הצעת חוק המאבק בטרור (תיקון - אי-החזרת גופות מחבלים), התשפ""ג-2023")</f>
        <v>4827</v>
      </c>
      <c r="E5235" t="s">
        <v>4827</v>
      </c>
      <c r="F5235" t="s">
        <v>10637</v>
      </c>
      <c r="G5235" t="s">
        <v>14</v>
      </c>
      <c r="H5235">
             </c>
      <c r="I5235" t="s">
        <v>14</v>
      </c>
      <c r="J5235" t="s">
        <v>141</v>
      </c>
      <c r="K5235" t="s">
        <v>14</v>
      </c>
      <c r="L5235" t="s">
        <v>20</v>
      </c>
      <c r="M5235" t="s">
        <v>10552</v>
      </c>
      <c r="N5235" t="s">
        <v>14</v>
      </c>
    </row>
    <row r="5236" x14ac:dyDescent="0.25">
      <c r="A5236" t="n">
        <v>25</v>
      </c>
      <c r="B5236" t="s">
        <v>14</v>
      </c>
      <c r="C5236" t="s">
        <v>22</v>
      </c>
      <c r="D5236" s="2" t="s">
        <f>=HYPERLINK("https://main.knesset.gov.il/APPS/legislation/main/bills/2201547", "הצעת חוק סדר הדין הפלילי (סמכויות אכיפה - חיפוש בגוף ונטילת אמצעי זיהוי) (תיקון - בדיקה לגילוי נגיף HIV), התשפ""ג-2023")</f>
        <v>10638</v>
      </c>
      <c r="E5236" t="s">
        <v>10638</v>
      </c>
      <c r="F5236" t="s">
        <v>10639</v>
      </c>
      <c r="G5236" t="s">
        <v>14</v>
      </c>
      <c r="H5236">
             </c>
      <c r="I5236" t="s">
        <v>14</v>
      </c>
      <c r="J5236" t="s">
        <v>141</v>
      </c>
      <c r="K5236" t="s">
        <v>14</v>
      </c>
      <c r="L5236" t="s">
        <v>20</v>
      </c>
      <c r="M5236" t="s">
        <v>10552</v>
      </c>
      <c r="N5236" t="s">
        <v>14</v>
      </c>
    </row>
    <row r="5237" x14ac:dyDescent="0.25">
      <c r="A5237" t="n">
        <v>25</v>
      </c>
      <c r="B5237" t="s">
        <v>14</v>
      </c>
      <c r="C5237" t="s">
        <v>22</v>
      </c>
      <c r="D5237" s="2" t="s">
        <f>=HYPERLINK("https://main.knesset.gov.il/APPS/legislation/main/bills/2201549", "הצעת חוק צער בעלי חיים (הגנה על בעלי חיים) (תיקון - איסור ניצול בעלי חיים למטרות הימורים), התשפ""ג-2023")</f>
        <v>10640</v>
      </c>
      <c r="E5237" t="s">
        <v>10640</v>
      </c>
      <c r="F5237" t="s">
        <v>10641</v>
      </c>
      <c r="G5237" t="s">
        <v>14</v>
      </c>
      <c r="H5237">
             </c>
      <c r="I5237" t="s">
        <v>14</v>
      </c>
      <c r="J5237" t="s">
        <v>141</v>
      </c>
      <c r="K5237" t="s">
        <v>14</v>
      </c>
      <c r="L5237" t="s">
        <v>20</v>
      </c>
      <c r="M5237" t="s">
        <v>10552</v>
      </c>
      <c r="N5237" t="s">
        <v>14</v>
      </c>
    </row>
    <row r="5238" x14ac:dyDescent="0.25">
      <c r="A5238" t="n">
        <v>25</v>
      </c>
      <c r="B5238" t="s">
        <v>14</v>
      </c>
      <c r="C5238" t="s">
        <v>22</v>
      </c>
      <c r="D5238" s="2" t="s">
        <f>=HYPERLINK("https://main.knesset.gov.il/APPS/legislation/main/bills/2201669", "הצעת חוק הפיקוח על מעונות יום לפעוטות (תיקון - הרחבת הפיקוח על מעונות יום), התשפ""ג-2023")</f>
        <v>10642</v>
      </c>
      <c r="E5238" t="s">
        <v>10642</v>
      </c>
      <c r="F5238" t="s">
        <v>10643</v>
      </c>
      <c r="G5238" t="s">
        <v>14</v>
      </c>
      <c r="H5238">
             </c>
      <c r="I5238" t="s">
        <v>14</v>
      </c>
      <c r="J5238" t="s">
        <v>141</v>
      </c>
      <c r="K5238" t="s">
        <v>14</v>
      </c>
      <c r="L5238" t="s">
        <v>20</v>
      </c>
      <c r="M5238" t="s">
        <v>10552</v>
      </c>
      <c r="N5238" t="s">
        <v>14</v>
      </c>
    </row>
    <row r="5239" x14ac:dyDescent="0.25">
      <c r="A5239" t="n">
        <v>25</v>
      </c>
      <c r="B5239" t="s">
        <v>14</v>
      </c>
      <c r="C5239" t="s">
        <v>22</v>
      </c>
      <c r="D5239" s="2" t="s">
        <f>=HYPERLINK("https://main.knesset.gov.il/APPS/legislation/main/bills/2199975", "הצעת חוק לתיקון פקודת מס הכנסה (הפחתת מס רווחי הון), התשפ""ג-2023")</f>
        <v>10644</v>
      </c>
      <c r="E5239" t="s">
        <v>10644</v>
      </c>
      <c r="F5239" t="s">
        <v>10645</v>
      </c>
      <c r="G5239" t="s">
        <v>14</v>
      </c>
      <c r="H5239">
             </c>
      <c r="I5239" t="s">
        <v>14</v>
      </c>
      <c r="J5239" t="s">
        <v>141</v>
      </c>
      <c r="K5239" t="s">
        <v>14</v>
      </c>
      <c r="L5239" t="s">
        <v>20</v>
      </c>
      <c r="M5239" t="s">
        <v>10552</v>
      </c>
      <c r="N5239" t="s">
        <v>14</v>
      </c>
    </row>
    <row r="5240" x14ac:dyDescent="0.25">
      <c r="A5240" t="n">
        <v>25</v>
      </c>
      <c r="B5240" t="s">
        <v>14</v>
      </c>
      <c r="C5240" t="s">
        <v>22</v>
      </c>
      <c r="D5240" s="2" t="s">
        <f>=HYPERLINK("https://main.knesset.gov.il/APPS/legislation/main/bills/2201553", "הצעת חוק שיפוט בתי דין רבניים (נישואין וגירושין) (תיקון - איסור ביטול גיור), התשפ""ג-2023")</f>
        <v>10646</v>
      </c>
      <c r="E5240" t="s">
        <v>10646</v>
      </c>
      <c r="F5240" t="s">
        <v>10647</v>
      </c>
      <c r="G5240" t="s">
        <v>14</v>
      </c>
      <c r="H5240">
             </c>
      <c r="I5240" t="s">
        <v>14</v>
      </c>
      <c r="J5240" t="s">
        <v>141</v>
      </c>
      <c r="K5240" t="s">
        <v>14</v>
      </c>
      <c r="L5240" t="s">
        <v>20</v>
      </c>
      <c r="M5240" t="s">
        <v>10552</v>
      </c>
      <c r="N5240" t="s">
        <v>14</v>
      </c>
    </row>
    <row r="5241" x14ac:dyDescent="0.25">
      <c r="A5241" t="n">
        <v>25</v>
      </c>
      <c r="B5241" t="s">
        <v>14</v>
      </c>
      <c r="C5241" t="s">
        <v>22</v>
      </c>
      <c r="D5241" s="2" t="s">
        <f>=HYPERLINK("https://main.knesset.gov.il/APPS/legislation/main/bills/2200657", "הצעת חוק חינוך ממלכתי (תיקון - איסור נשיאת דברים במוסד חינוך למורשע בעבירות טרור ובבגידה), התשפ""ג-2023")</f>
        <v>10648</v>
      </c>
      <c r="E5241" t="s">
        <v>10648</v>
      </c>
      <c r="F5241" t="s">
        <v>10649</v>
      </c>
      <c r="G5241" t="s">
        <v>14</v>
      </c>
      <c r="H5241">
             </c>
      <c r="I5241" t="s">
        <v>14</v>
      </c>
      <c r="J5241" t="s">
        <v>141</v>
      </c>
      <c r="K5241" t="s">
        <v>14</v>
      </c>
      <c r="L5241" t="s">
        <v>20</v>
      </c>
      <c r="M5241" t="s">
        <v>10552</v>
      </c>
      <c r="N5241" t="s">
        <v>14</v>
      </c>
    </row>
    <row r="5242" x14ac:dyDescent="0.25">
      <c r="A5242" t="n">
        <v>25</v>
      </c>
      <c r="B5242" t="s">
        <v>14</v>
      </c>
      <c r="C5242" t="s">
        <v>22</v>
      </c>
      <c r="D5242" s="2" t="s">
        <f>=HYPERLINK("https://main.knesset.gov.il/APPS/legislation/main/bills/2201664", "הצעת חוק העונשין (תיקון - עבירות מין בנסיבות של יחסי מטופלת ורופא נשים), התשפ""ג-2023")</f>
        <v>10650</v>
      </c>
      <c r="E5242" t="s">
        <v>10650</v>
      </c>
      <c r="F5242" t="s">
        <v>10651</v>
      </c>
      <c r="G5242" t="s">
        <v>14</v>
      </c>
      <c r="H5242">
             </c>
      <c r="I5242" t="s">
        <v>14</v>
      </c>
      <c r="J5242" t="s">
        <v>141</v>
      </c>
      <c r="K5242" t="s">
        <v>14</v>
      </c>
      <c r="L5242" t="s">
        <v>20</v>
      </c>
      <c r="M5242" t="s">
        <v>10552</v>
      </c>
      <c r="N5242" t="s">
        <v>14</v>
      </c>
    </row>
    <row r="5243" x14ac:dyDescent="0.25">
      <c r="A5243" t="n">
        <v>25</v>
      </c>
      <c r="B5243" t="s">
        <v>14</v>
      </c>
      <c r="C5243" t="s">
        <v>22</v>
      </c>
      <c r="D5243" s="2" t="s">
        <f>=HYPERLINK("https://main.knesset.gov.il/APPS/legislation/main/bills/2200309", "הצעת חוק ניירות ערך (תיקון - בורסה ייעודית), התשפ""ג-2023")</f>
        <v>10652</v>
      </c>
      <c r="E5243" t="s">
        <v>10652</v>
      </c>
      <c r="F5243" t="s">
        <v>10653</v>
      </c>
      <c r="G5243" t="s">
        <v>14</v>
      </c>
      <c r="H5243">
             </c>
      <c r="I5243" t="s">
        <v>14</v>
      </c>
      <c r="J5243" t="s">
        <v>141</v>
      </c>
      <c r="K5243" t="s">
        <v>14</v>
      </c>
      <c r="L5243" t="s">
        <v>20</v>
      </c>
      <c r="M5243" t="s">
        <v>10552</v>
      </c>
      <c r="N5243" t="s">
        <v>14</v>
      </c>
    </row>
    <row r="5244" x14ac:dyDescent="0.25">
      <c r="A5244" t="n">
        <v>25</v>
      </c>
      <c r="B5244" t="s">
        <v>14</v>
      </c>
      <c r="C5244" t="s">
        <v>22</v>
      </c>
      <c r="D5244" s="2" t="s">
        <f>=HYPERLINK("https://main.knesset.gov.il/APPS/legislation/main/bills/2201131", "הצעת חוק להסדרת מינויים בשירות החוץ, התשפ""ג-2023")</f>
        <v>10654</v>
      </c>
      <c r="E5244" t="s">
        <v>10654</v>
      </c>
      <c r="F5244" t="s">
        <v>10655</v>
      </c>
      <c r="G5244" t="s">
        <v>14</v>
      </c>
      <c r="H5244">
             </c>
      <c r="I5244" t="s">
        <v>14</v>
      </c>
      <c r="J5244" t="s">
        <v>141</v>
      </c>
      <c r="K5244" t="s">
        <v>14</v>
      </c>
      <c r="L5244" t="s">
        <v>20</v>
      </c>
      <c r="M5244" t="s">
        <v>10552</v>
      </c>
      <c r="N5244" t="s">
        <v>14</v>
      </c>
    </row>
    <row r="5245" x14ac:dyDescent="0.25">
      <c r="A5245" t="n">
        <v>25</v>
      </c>
      <c r="B5245" t="s">
        <v>14</v>
      </c>
      <c r="C5245" t="s">
        <v>22</v>
      </c>
      <c r="D5245" s="2" t="s">
        <f>=HYPERLINK("https://main.knesset.gov.il/APPS/legislation/main/bills/2200279", "הצעת חוק הסדרת שוק הכשרות בישראל, התשפ""ג-2023")</f>
        <v>10656</v>
      </c>
      <c r="E5245" t="s">
        <v>10656</v>
      </c>
      <c r="F5245" t="s">
        <v>10657</v>
      </c>
      <c r="G5245" t="s">
        <v>14</v>
      </c>
      <c r="H5245">
             </c>
      <c r="I5245" t="s">
        <v>14</v>
      </c>
      <c r="J5245" t="s">
        <v>141</v>
      </c>
      <c r="K5245" t="s">
        <v>14</v>
      </c>
      <c r="L5245" t="s">
        <v>20</v>
      </c>
      <c r="M5245" t="s">
        <v>10552</v>
      </c>
      <c r="N5245" t="s">
        <v>14</v>
      </c>
    </row>
    <row r="5246" x14ac:dyDescent="0.25">
      <c r="A5246" t="n">
        <v>25</v>
      </c>
      <c r="B5246" t="s">
        <v>14</v>
      </c>
      <c r="C5246" t="s">
        <v>22</v>
      </c>
      <c r="D5246" s="2" t="s">
        <f>=HYPERLINK("https://main.knesset.gov.il/APPS/legislation/main/bills/2201420", "הצעת חוק זכויות הדייר בדיור הציבורי (תיקון - זכאות לאימהות יחידניות המקבלות מזונות ילדים), התשפ""ג-2023")</f>
        <v>10658</v>
      </c>
      <c r="E5246" t="s">
        <v>10658</v>
      </c>
      <c r="F5246" t="s">
        <v>10659</v>
      </c>
      <c r="G5246" t="s">
        <v>14</v>
      </c>
      <c r="H5246">
             </c>
      <c r="I5246" t="s">
        <v>14</v>
      </c>
      <c r="J5246" t="s">
        <v>141</v>
      </c>
      <c r="K5246" t="s">
        <v>14</v>
      </c>
      <c r="L5246" t="s">
        <v>20</v>
      </c>
      <c r="M5246" t="s">
        <v>10552</v>
      </c>
      <c r="N5246" t="s">
        <v>14</v>
      </c>
    </row>
    <row r="5247" x14ac:dyDescent="0.25">
      <c r="A5247" t="n">
        <v>25</v>
      </c>
      <c r="B5247" t="s">
        <v>14</v>
      </c>
      <c r="C5247" t="s">
        <v>22</v>
      </c>
      <c r="D5247" s="2" t="s">
        <f>=HYPERLINK("https://main.knesset.gov.il/APPS/legislation/main/bills/2201429", "הצעת חוק למניעת השתלטות תושבי הרשות הפלסטינית על שטחי c, התשפ""ג-2023")</f>
        <v>10660</v>
      </c>
      <c r="E5247" t="s">
        <v>10660</v>
      </c>
      <c r="F5247" t="s">
        <v>10661</v>
      </c>
      <c r="G5247" t="s">
        <v>14</v>
      </c>
      <c r="H5247">
             </c>
      <c r="I5247" t="s">
        <v>14</v>
      </c>
      <c r="J5247" t="s">
        <v>141</v>
      </c>
      <c r="K5247" t="s">
        <v>14</v>
      </c>
      <c r="L5247" t="s">
        <v>20</v>
      </c>
      <c r="M5247" t="s">
        <v>10552</v>
      </c>
      <c r="N5247" t="s">
        <v>14</v>
      </c>
    </row>
    <row r="5248" x14ac:dyDescent="0.25">
      <c r="A5248" t="n">
        <v>25</v>
      </c>
      <c r="B5248" t="s">
        <v>14</v>
      </c>
      <c r="C5248" t="s">
        <v>22</v>
      </c>
      <c r="D5248" s="2" t="s">
        <f>=HYPERLINK("https://main.knesset.gov.il/APPS/legislation/main/bills/2201666", "הצעת חוק העונשין (תיקון - חילוט רווחי סרסרות), התשפ""ג-2023")</f>
        <v>8866</v>
      </c>
      <c r="E5248" t="s">
        <v>8866</v>
      </c>
      <c r="F5248" t="s">
        <v>10662</v>
      </c>
      <c r="G5248" t="s">
        <v>14</v>
      </c>
      <c r="H5248">
             </c>
      <c r="I5248" t="s">
        <v>14</v>
      </c>
      <c r="J5248" t="s">
        <v>141</v>
      </c>
      <c r="K5248" t="s">
        <v>14</v>
      </c>
      <c r="L5248" t="s">
        <v>20</v>
      </c>
      <c r="M5248" t="s">
        <v>10552</v>
      </c>
      <c r="N5248" t="s">
        <v>14</v>
      </c>
    </row>
    <row r="5249" x14ac:dyDescent="0.25">
      <c r="A5249" t="n">
        <v>25</v>
      </c>
      <c r="B5249" t="s">
        <v>14</v>
      </c>
      <c r="C5249" t="s">
        <v>22</v>
      </c>
      <c r="D5249" s="2" t="s">
        <f>=HYPERLINK("https://main.knesset.gov.il/APPS/legislation/main/bills/2200838", "הצעת חוק רכזי ביטחון שוטף צבאיים, התשפ""ג-2023")</f>
        <v>10663</v>
      </c>
      <c r="E5249" t="s">
        <v>10663</v>
      </c>
      <c r="F5249" t="s">
        <v>10664</v>
      </c>
      <c r="G5249" t="s">
        <v>14</v>
      </c>
      <c r="H5249">
             </c>
      <c r="I5249" t="s">
        <v>14</v>
      </c>
      <c r="J5249" t="s">
        <v>141</v>
      </c>
      <c r="K5249" t="s">
        <v>14</v>
      </c>
      <c r="L5249" t="s">
        <v>20</v>
      </c>
      <c r="M5249" t="s">
        <v>10552</v>
      </c>
      <c r="N5249" t="s">
        <v>14</v>
      </c>
    </row>
    <row r="5250" x14ac:dyDescent="0.25">
      <c r="A5250" t="n">
        <v>25</v>
      </c>
      <c r="B5250" t="s">
        <v>14</v>
      </c>
      <c r="C5250" t="s">
        <v>22</v>
      </c>
      <c r="D5250" s="2" t="s">
        <f>=HYPERLINK("https://main.knesset.gov.il/APPS/legislation/main/bills/2201418", "הצעת חוק זכויות הדייר בדיור הציבורי (תיקון - עיגון זכויות דייר ממשיך בדיור הציבורי), התשפ""ג-2023")</f>
        <v>8396</v>
      </c>
      <c r="E5250" t="s">
        <v>8396</v>
      </c>
      <c r="F5250" t="s">
        <v>10665</v>
      </c>
      <c r="G5250" t="s">
        <v>14</v>
      </c>
      <c r="H5250">
             </c>
      <c r="I5250" t="s">
        <v>14</v>
      </c>
      <c r="J5250" t="s">
        <v>141</v>
      </c>
      <c r="K5250" t="s">
        <v>14</v>
      </c>
      <c r="L5250" t="s">
        <v>20</v>
      </c>
      <c r="M5250" t="s">
        <v>10552</v>
      </c>
      <c r="N5250" t="s">
        <v>14</v>
      </c>
    </row>
    <row r="5251" x14ac:dyDescent="0.25">
      <c r="A5251" t="n">
        <v>25</v>
      </c>
      <c r="B5251" t="s">
        <v>14</v>
      </c>
      <c r="C5251" t="s">
        <v>22</v>
      </c>
      <c r="D5251" s="2" t="s">
        <f>=HYPERLINK("https://main.knesset.gov.il/APPS/legislation/main/bills/2200098", "הצעת חוק איסור הונאה בכשרות (תיקון - מתן תעודת הכשר על ידי רב מקומי), התשפ""ג-2023")</f>
        <v>9108</v>
      </c>
      <c r="E5251" t="s">
        <v>9108</v>
      </c>
      <c r="F5251" t="s">
        <v>10666</v>
      </c>
      <c r="G5251" t="s">
        <v>14</v>
      </c>
      <c r="H5251">
             </c>
      <c r="I5251" t="s">
        <v>14</v>
      </c>
      <c r="J5251" t="s">
        <v>141</v>
      </c>
      <c r="K5251" t="s">
        <v>14</v>
      </c>
      <c r="L5251" t="s">
        <v>20</v>
      </c>
      <c r="M5251" t="s">
        <v>10552</v>
      </c>
      <c r="N5251" t="s">
        <v>14</v>
      </c>
    </row>
    <row r="5252" x14ac:dyDescent="0.25">
      <c r="A5252" t="n">
        <v>25</v>
      </c>
      <c r="B5252" t="s">
        <v>14</v>
      </c>
      <c r="C5252" t="s">
        <v>22</v>
      </c>
      <c r="D5252" s="2" t="s">
        <f>=HYPERLINK("https://main.knesset.gov.il/APPS/legislation/main/bills/2201554", "הצעת חוק שיפוט בתי דין רבניים (נישואין וגירושין) (תיקון - ביטול כריכה), התשפ""ג-2023")</f>
        <v>10667</v>
      </c>
      <c r="E5252" t="s">
        <v>10667</v>
      </c>
      <c r="F5252" t="s">
        <v>10668</v>
      </c>
      <c r="G5252" t="s">
        <v>14</v>
      </c>
      <c r="H5252">
             </c>
      <c r="I5252" t="s">
        <v>14</v>
      </c>
      <c r="J5252" t="s">
        <v>141</v>
      </c>
      <c r="K5252" t="s">
        <v>14</v>
      </c>
      <c r="L5252" t="s">
        <v>20</v>
      </c>
      <c r="M5252" t="s">
        <v>10552</v>
      </c>
      <c r="N5252" t="s">
        <v>14</v>
      </c>
    </row>
    <row r="5253" x14ac:dyDescent="0.25">
      <c r="A5253" t="n">
        <v>25</v>
      </c>
      <c r="B5253" t="s">
        <v>14</v>
      </c>
      <c r="C5253" t="s">
        <v>22</v>
      </c>
      <c r="D5253" s="2" t="s">
        <f>=HYPERLINK("https://main.knesset.gov.il/APPS/legislation/main/bills/2201419", "הצעת חוק לימוד חובה (תיקון - חינוך חינם לגיל הרך), התשפ""ג-2023")</f>
        <v>9303</v>
      </c>
      <c r="E5253" t="s">
        <v>9303</v>
      </c>
      <c r="F5253" t="s">
        <v>10669</v>
      </c>
      <c r="G5253" t="s">
        <v>14</v>
      </c>
      <c r="H5253">
             </c>
      <c r="I5253" t="s">
        <v>14</v>
      </c>
      <c r="J5253" t="s">
        <v>141</v>
      </c>
      <c r="K5253" t="s">
        <v>14</v>
      </c>
      <c r="L5253" t="s">
        <v>20</v>
      </c>
      <c r="M5253" t="s">
        <v>10552</v>
      </c>
      <c r="N5253" t="s">
        <v>14</v>
      </c>
    </row>
    <row r="5254" x14ac:dyDescent="0.25">
      <c r="A5254" t="n">
        <v>25</v>
      </c>
      <c r="B5254" t="s">
        <v>14</v>
      </c>
      <c r="C5254" t="s">
        <v>22</v>
      </c>
      <c r="D5254" s="2" t="s">
        <f>=HYPERLINK("https://main.knesset.gov.il/APPS/legislation/main/bills/2201440", "הצעת חוק גמול לחיילים בשירות סדיר, התשפ""ג-2023")</f>
        <v>5167</v>
      </c>
      <c r="E5254" t="s">
        <v>5167</v>
      </c>
      <c r="F5254" t="s">
        <v>10670</v>
      </c>
      <c r="G5254" t="s">
        <v>14</v>
      </c>
      <c r="H5254">
             </c>
      <c r="I5254" t="s">
        <v>14</v>
      </c>
      <c r="J5254" t="s">
        <v>141</v>
      </c>
      <c r="K5254" t="s">
        <v>14</v>
      </c>
      <c r="L5254" t="s">
        <v>20</v>
      </c>
      <c r="M5254" t="s">
        <v>10552</v>
      </c>
      <c r="N5254" t="s">
        <v>14</v>
      </c>
    </row>
    <row r="5255" x14ac:dyDescent="0.25">
      <c r="A5255" t="n">
        <v>25</v>
      </c>
      <c r="B5255" t="s">
        <v>14</v>
      </c>
      <c r="C5255" t="s">
        <v>22</v>
      </c>
      <c r="D5255" s="2" t="s">
        <f>=HYPERLINK("https://main.knesset.gov.il/APPS/legislation/main/bills/2201557", "הצעת חוק-יסוד: אוצרות הטבע ומשאבי סביבה")</f>
        <v>10671</v>
      </c>
      <c r="E5255" t="s">
        <v>10671</v>
      </c>
      <c r="F5255" t="s">
        <v>10672</v>
      </c>
      <c r="G5255" t="s">
        <v>14</v>
      </c>
      <c r="H5255">
             </c>
      <c r="I5255" t="s">
        <v>14</v>
      </c>
      <c r="J5255" t="s">
        <v>141</v>
      </c>
      <c r="K5255" t="s">
        <v>14</v>
      </c>
      <c r="L5255" t="s">
        <v>20</v>
      </c>
      <c r="M5255" t="s">
        <v>10552</v>
      </c>
      <c r="N5255" t="s">
        <v>14</v>
      </c>
    </row>
    <row r="5256" x14ac:dyDescent="0.25">
      <c r="A5256" t="n">
        <v>25</v>
      </c>
      <c r="B5256" t="s">
        <v>14</v>
      </c>
      <c r="C5256" t="s">
        <v>22</v>
      </c>
      <c r="D5256" s="2" t="s">
        <f>=HYPERLINK("https://main.knesset.gov.il/APPS/legislation/main/bills/2201442", "הצעת חוק חיבור בתים בהתיישבות הצעירה לחשמל, התשפ""ג-2023")</f>
        <v>10673</v>
      </c>
      <c r="E5256" t="s">
        <v>10673</v>
      </c>
      <c r="F5256" t="s">
        <v>10674</v>
      </c>
      <c r="G5256" t="s">
        <v>14</v>
      </c>
      <c r="H5256">
             </c>
      <c r="I5256" t="s">
        <v>14</v>
      </c>
      <c r="J5256" t="s">
        <v>141</v>
      </c>
      <c r="K5256" t="s">
        <v>14</v>
      </c>
      <c r="L5256" t="s">
        <v>20</v>
      </c>
      <c r="M5256" t="s">
        <v>10552</v>
      </c>
      <c r="N5256" t="s">
        <v>14</v>
      </c>
    </row>
    <row r="5257" x14ac:dyDescent="0.25">
      <c r="A5257" t="n">
        <v>25</v>
      </c>
      <c r="B5257" t="s">
        <v>14</v>
      </c>
      <c r="C5257" t="s">
        <v>22</v>
      </c>
      <c r="D5257" s="2" t="s">
        <f>=HYPERLINK("https://main.knesset.gov.il/APPS/legislation/main/bills/2200973", "הצעת חוק העונשין (תיקון - עבירות מין על ידי בן משפחה פונקציונאלי), התשפ""ג-2023")</f>
        <v>10675</v>
      </c>
      <c r="E5257" t="s">
        <v>10675</v>
      </c>
      <c r="F5257" t="s">
        <v>10676</v>
      </c>
      <c r="G5257" t="s">
        <v>14</v>
      </c>
      <c r="H5257">
             </c>
      <c r="I5257" t="s">
        <v>14</v>
      </c>
      <c r="J5257" t="s">
        <v>141</v>
      </c>
      <c r="K5257" t="s">
        <v>14</v>
      </c>
      <c r="L5257" t="s">
        <v>20</v>
      </c>
      <c r="M5257" t="s">
        <v>10552</v>
      </c>
      <c r="N5257" t="s">
        <v>14</v>
      </c>
    </row>
    <row r="5258" x14ac:dyDescent="0.25">
      <c r="A5258" t="n">
        <v>25</v>
      </c>
      <c r="B5258" t="s">
        <v>14</v>
      </c>
      <c r="C5258" t="s">
        <v>22</v>
      </c>
      <c r="D5258" s="2" t="s">
        <f>=HYPERLINK("https://main.knesset.gov.il/APPS/legislation/main/bills/2201670", "הצעת חוק לעידוד מחקר, פיתוח וחדשנות טכנולוגית בתעשייה (תיקון - תקציב הרשות הלאומית לחדשנות טכנולוגית), התשפ""ג-2023")</f>
        <v>10677</v>
      </c>
      <c r="E5258" t="s">
        <v>10677</v>
      </c>
      <c r="F5258" t="s">
        <v>10678</v>
      </c>
      <c r="G5258" t="s">
        <v>14</v>
      </c>
      <c r="H5258">
             </c>
      <c r="I5258" t="s">
        <v>14</v>
      </c>
      <c r="J5258" t="s">
        <v>141</v>
      </c>
      <c r="K5258" t="s">
        <v>14</v>
      </c>
      <c r="L5258" t="s">
        <v>20</v>
      </c>
      <c r="M5258" t="s">
        <v>10552</v>
      </c>
      <c r="N5258" t="s">
        <v>14</v>
      </c>
    </row>
    <row r="5259" x14ac:dyDescent="0.25">
      <c r="A5259" t="n">
        <v>25</v>
      </c>
      <c r="B5259" t="s">
        <v>14</v>
      </c>
      <c r="C5259" t="s">
        <v>22</v>
      </c>
      <c r="D5259" s="2" t="s">
        <f>=HYPERLINK("https://main.knesset.gov.il/APPS/legislation/main/bills/2201292", "הצעת חוק להגנה על האגן הצפוני של ים המלח, התשפ""ג-2023")</f>
        <v>10679</v>
      </c>
      <c r="E5259" t="s">
        <v>10679</v>
      </c>
      <c r="F5259" t="s">
        <v>10680</v>
      </c>
      <c r="G5259" t="s">
        <v>14</v>
      </c>
      <c r="H5259">
             </c>
      <c r="I5259" t="s">
        <v>14</v>
      </c>
      <c r="J5259" t="s">
        <v>141</v>
      </c>
      <c r="K5259" t="s">
        <v>14</v>
      </c>
      <c r="L5259" t="s">
        <v>20</v>
      </c>
      <c r="M5259" t="s">
        <v>10552</v>
      </c>
      <c r="N5259" t="s">
        <v>14</v>
      </c>
    </row>
    <row r="5260" x14ac:dyDescent="0.25">
      <c r="A5260" t="n">
        <v>25</v>
      </c>
      <c r="B5260" t="s">
        <v>14</v>
      </c>
      <c r="C5260" t="s">
        <v>22</v>
      </c>
      <c r="D5260" s="2" t="s">
        <f>=HYPERLINK("https://main.knesset.gov.il/APPS/legislation/main/bills/2201256", "הצעת חוק חובת ניהול ופרסום פרוטוקול של ועדות מייעצות (תיקוני חקיקה), התשפ""ג-2023")</f>
        <v>10681</v>
      </c>
      <c r="E5260" t="s">
        <v>10681</v>
      </c>
      <c r="F5260" t="s">
        <v>10682</v>
      </c>
      <c r="G5260" t="s">
        <v>14</v>
      </c>
      <c r="H5260">
             </c>
      <c r="I5260" t="s">
        <v>14</v>
      </c>
      <c r="J5260" t="s">
        <v>141</v>
      </c>
      <c r="K5260" t="s">
        <v>14</v>
      </c>
      <c r="L5260" t="s">
        <v>20</v>
      </c>
      <c r="M5260" t="s">
        <v>10552</v>
      </c>
      <c r="N5260" t="s">
        <v>14</v>
      </c>
    </row>
    <row r="5261" x14ac:dyDescent="0.25">
      <c r="A5261" t="n">
        <v>25</v>
      </c>
      <c r="B5261" t="s">
        <v>14</v>
      </c>
      <c r="C5261" t="s">
        <v>22</v>
      </c>
      <c r="D5261" s="2" t="s">
        <f>=HYPERLINK("https://main.knesset.gov.il/APPS/legislation/main/bills/2200695", "הצעת חוק הפיקוח על מעונות יום לפעוטות (תיקון - הרחבת הפיקוח על מעונות יום), התשפ""ג-2023")</f>
        <v>10642</v>
      </c>
      <c r="E5261" t="s">
        <v>10642</v>
      </c>
      <c r="F5261" t="s">
        <v>10683</v>
      </c>
      <c r="G5261" t="s">
        <v>14</v>
      </c>
      <c r="H5261">
             </c>
      <c r="I5261" t="s">
        <v>14</v>
      </c>
      <c r="J5261" t="s">
        <v>141</v>
      </c>
      <c r="K5261" t="s">
        <v>14</v>
      </c>
      <c r="L5261" t="s">
        <v>20</v>
      </c>
      <c r="M5261" t="s">
        <v>10552</v>
      </c>
      <c r="N5261" t="s">
        <v>14</v>
      </c>
    </row>
    <row r="5262" x14ac:dyDescent="0.25">
      <c r="A5262" t="n">
        <v>25</v>
      </c>
      <c r="B5262" t="s">
        <v>14</v>
      </c>
      <c r="C5262" t="s">
        <v>22</v>
      </c>
      <c r="D5262" s="2" t="s">
        <f>=HYPERLINK("https://main.knesset.gov.il/APPS/legislation/main/bills/2201253", "הצעת חוק זכויות, שירותים והתאמות בחינוך לילדים עם צרכים מיוחדים, התשפ""ג-2023")</f>
        <v>10684</v>
      </c>
      <c r="E5262" t="s">
        <v>10684</v>
      </c>
      <c r="F5262" t="s">
        <v>10685</v>
      </c>
      <c r="G5262" t="s">
        <v>14</v>
      </c>
      <c r="H5262">
             </c>
      <c r="I5262" t="s">
        <v>14</v>
      </c>
      <c r="J5262" t="s">
        <v>141</v>
      </c>
      <c r="K5262" t="s">
        <v>14</v>
      </c>
      <c r="L5262" t="s">
        <v>20</v>
      </c>
      <c r="M5262" t="s">
        <v>10552</v>
      </c>
      <c r="N5262" t="s">
        <v>14</v>
      </c>
    </row>
    <row r="5263" x14ac:dyDescent="0.25">
      <c r="A5263" t="n">
        <v>25</v>
      </c>
      <c r="B5263" t="s">
        <v>14</v>
      </c>
      <c r="C5263" t="s">
        <v>22</v>
      </c>
      <c r="D5263" s="2" t="s">
        <f>=HYPERLINK("https://main.knesset.gov.il/APPS/legislation/main/bills/2201251", "הצעת חוק זכויות נפגעי עבירה (תיקון - הרחבת זכויות נפגעי עבירות מין למידע על הליכים משפטיים), התשפ""ג-2023")</f>
        <v>10686</v>
      </c>
      <c r="E5263" t="s">
        <v>10686</v>
      </c>
      <c r="F5263" t="s">
        <v>10687</v>
      </c>
      <c r="G5263" t="s">
        <v>14</v>
      </c>
      <c r="H5263">
             </c>
      <c r="I5263" t="s">
        <v>14</v>
      </c>
      <c r="J5263" t="s">
        <v>141</v>
      </c>
      <c r="K5263" t="s">
        <v>14</v>
      </c>
      <c r="L5263" t="s">
        <v>20</v>
      </c>
      <c r="M5263" t="s">
        <v>10552</v>
      </c>
      <c r="N5263" t="s">
        <v>14</v>
      </c>
    </row>
    <row r="5264" x14ac:dyDescent="0.25">
      <c r="A5264" t="n">
        <v>25</v>
      </c>
      <c r="B5264" t="s">
        <v>14</v>
      </c>
      <c r="C5264" t="s">
        <v>22</v>
      </c>
      <c r="D5264" s="2" t="s">
        <f>=HYPERLINK("https://main.knesset.gov.il/APPS/legislation/main/bills/2201134", "הצעת חוק למניעת תשדירי פרסומת פוגעניים (תיקוני חקיקה), התשפ""ג-2023")</f>
        <v>10688</v>
      </c>
      <c r="E5264" t="s">
        <v>10688</v>
      </c>
      <c r="F5264" t="s">
        <v>10689</v>
      </c>
      <c r="G5264" t="s">
        <v>14</v>
      </c>
      <c r="H5264">
             </c>
      <c r="I5264" t="s">
        <v>14</v>
      </c>
      <c r="J5264" t="s">
        <v>141</v>
      </c>
      <c r="K5264" t="s">
        <v>14</v>
      </c>
      <c r="L5264" t="s">
        <v>20</v>
      </c>
      <c r="M5264" t="s">
        <v>10552</v>
      </c>
      <c r="N5264" t="s">
        <v>14</v>
      </c>
    </row>
    <row r="5265" x14ac:dyDescent="0.25">
      <c r="A5265" t="n">
        <v>25</v>
      </c>
      <c r="B5265" t="s">
        <v>14</v>
      </c>
      <c r="C5265" t="s">
        <v>22</v>
      </c>
      <c r="D5265" s="2" t="s">
        <f>=HYPERLINK("https://main.knesset.gov.il/APPS/legislation/main/bills/2201049", "הצעת חוק לעידוד מחקר, פיתוח וחדשנות טכנולוגית בתעשייה (תיקון - תקציב הרשות הלאומית לחדשנות טכנולוגית), התשפ""ג-2023")</f>
        <v>10677</v>
      </c>
      <c r="E5265" t="s">
        <v>10677</v>
      </c>
      <c r="F5265" t="s">
        <v>10690</v>
      </c>
      <c r="G5265" t="s">
        <v>14</v>
      </c>
      <c r="H5265">
             </c>
      <c r="I5265" t="s">
        <v>14</v>
      </c>
      <c r="J5265" t="s">
        <v>141</v>
      </c>
      <c r="K5265" t="s">
        <v>14</v>
      </c>
      <c r="L5265" t="s">
        <v>20</v>
      </c>
      <c r="M5265" t="s">
        <v>10552</v>
      </c>
      <c r="N5265" t="s">
        <v>14</v>
      </c>
    </row>
    <row r="5266" x14ac:dyDescent="0.25">
      <c r="A5266" t="n">
        <v>25</v>
      </c>
      <c r="B5266" t="s">
        <v>14</v>
      </c>
      <c r="C5266" t="s">
        <v>22</v>
      </c>
      <c r="D5266" s="2" t="s">
        <f>=HYPERLINK("https://main.knesset.gov.il/APPS/legislation/main/bills/2201167", "הצעת חוק רישוי עסקים (תיקון - דרישת רישוי לאירועים דתיים וטקסים), התשפ""ג-2023")</f>
        <v>9227</v>
      </c>
      <c r="E5266" t="s">
        <v>9227</v>
      </c>
      <c r="F5266" t="s">
        <v>10691</v>
      </c>
      <c r="G5266" t="s">
        <v>14</v>
      </c>
      <c r="H5266">
             </c>
      <c r="I5266" t="s">
        <v>14</v>
      </c>
      <c r="J5266" t="s">
        <v>141</v>
      </c>
      <c r="K5266" t="s">
        <v>14</v>
      </c>
      <c r="L5266" t="s">
        <v>20</v>
      </c>
      <c r="M5266" t="s">
        <v>10552</v>
      </c>
      <c r="N5266" t="s">
        <v>14</v>
      </c>
    </row>
    <row r="5267" x14ac:dyDescent="0.25">
      <c r="A5267" t="n">
        <v>25</v>
      </c>
      <c r="B5267" t="s">
        <v>14</v>
      </c>
      <c r="C5267" t="s">
        <v>22</v>
      </c>
      <c r="D5267" s="2" t="s">
        <f>=HYPERLINK("https://main.knesset.gov.il/APPS/legislation/main/bills/2201630", "הצעת חוק הגנת הצרכן (תיקון - פריסת תשלומים בעסקה מתמשכת), התשפ""ג-2023")</f>
        <v>10692</v>
      </c>
      <c r="E5267" t="s">
        <v>10692</v>
      </c>
      <c r="F5267" t="s">
        <v>10693</v>
      </c>
      <c r="G5267" t="s">
        <v>14</v>
      </c>
      <c r="H5267">
             </c>
      <c r="I5267" t="s">
        <v>14</v>
      </c>
      <c r="J5267" t="s">
        <v>141</v>
      </c>
      <c r="K5267" t="s">
        <v>14</v>
      </c>
      <c r="L5267" t="s">
        <v>20</v>
      </c>
      <c r="M5267" t="s">
        <v>10552</v>
      </c>
      <c r="N5267" t="s">
        <v>14</v>
      </c>
    </row>
    <row r="5268" x14ac:dyDescent="0.25">
      <c r="A5268" t="n">
        <v>25</v>
      </c>
      <c r="B5268" t="s">
        <v>14</v>
      </c>
      <c r="C5268" t="s">
        <v>22</v>
      </c>
      <c r="D5268" s="2" t="s">
        <f>=HYPERLINK("https://main.knesset.gov.il/APPS/legislation/main/bills/2201551", "הצעת חוק שיווי זכויות האישה (תיקון - ייצוג הולם לנשים בוועדות ציבוריות ברשויות המקומיות), התשפ""ג-2023")</f>
        <v>10694</v>
      </c>
      <c r="E5268" t="s">
        <v>10694</v>
      </c>
      <c r="F5268" t="s">
        <v>10695</v>
      </c>
      <c r="G5268" t="s">
        <v>14</v>
      </c>
      <c r="H5268">
             </c>
      <c r="I5268" t="s">
        <v>14</v>
      </c>
      <c r="J5268" t="s">
        <v>141</v>
      </c>
      <c r="K5268" t="s">
        <v>14</v>
      </c>
      <c r="L5268" t="s">
        <v>20</v>
      </c>
      <c r="M5268" t="s">
        <v>10552</v>
      </c>
      <c r="N5268" t="s">
        <v>14</v>
      </c>
    </row>
    <row r="5269" x14ac:dyDescent="0.25">
      <c r="A5269" t="n">
        <v>25</v>
      </c>
      <c r="B5269" t="s">
        <v>14</v>
      </c>
      <c r="C5269" t="s">
        <v>22</v>
      </c>
      <c r="D5269" s="2" t="s">
        <f>=HYPERLINK("https://main.knesset.gov.il/APPS/legislation/main/bills/2201188", "הצעת חוק המועצה להשכלה גבוהה (תיקון - ביטול דרישת מבחני כניסה וציון פסיכומטרי), התשפ""ג-2023")</f>
        <v>10696</v>
      </c>
      <c r="E5269" t="s">
        <v>10696</v>
      </c>
      <c r="F5269" t="s">
        <v>10697</v>
      </c>
      <c r="G5269" t="s">
        <v>14</v>
      </c>
      <c r="H5269">
             </c>
      <c r="I5269" t="s">
        <v>14</v>
      </c>
      <c r="J5269" t="s">
        <v>141</v>
      </c>
      <c r="K5269" t="s">
        <v>14</v>
      </c>
      <c r="L5269" t="s">
        <v>20</v>
      </c>
      <c r="M5269" t="s">
        <v>10552</v>
      </c>
      <c r="N5269" t="s">
        <v>14</v>
      </c>
    </row>
    <row r="5270" x14ac:dyDescent="0.25">
      <c r="A5270" t="n">
        <v>25</v>
      </c>
      <c r="B5270" t="s">
        <v>14</v>
      </c>
      <c r="C5270" t="s">
        <v>22</v>
      </c>
      <c r="D5270" s="2" t="s">
        <f>=HYPERLINK("https://main.knesset.gov.il/APPS/legislation/main/bills/2201294", "הצעת חוק להסדרת ההימורים החוקיים בישראל, התשפ""ג-2023")</f>
        <v>10698</v>
      </c>
      <c r="E5270" t="s">
        <v>10698</v>
      </c>
      <c r="F5270" t="s">
        <v>10699</v>
      </c>
      <c r="G5270" t="s">
        <v>14</v>
      </c>
      <c r="H5270">
             </c>
      <c r="I5270" t="s">
        <v>14</v>
      </c>
      <c r="J5270" t="s">
        <v>141</v>
      </c>
      <c r="K5270" t="s">
        <v>14</v>
      </c>
      <c r="L5270" t="s">
        <v>20</v>
      </c>
      <c r="M5270" t="s">
        <v>10552</v>
      </c>
      <c r="N5270" t="s">
        <v>14</v>
      </c>
    </row>
    <row r="5271" x14ac:dyDescent="0.25">
      <c r="A5271" t="n">
        <v>25</v>
      </c>
      <c r="B5271" t="s">
        <v>14</v>
      </c>
      <c r="C5271" t="s">
        <v>22</v>
      </c>
      <c r="D5271" s="2" t="s">
        <f>=HYPERLINK("https://main.knesset.gov.il/APPS/legislation/main/bills/2201369", "הצעת חוק התאמת טפסים ציבוריים (פרטי הורים), התשפ""ג-2023")</f>
        <v>10700</v>
      </c>
      <c r="E5271" t="s">
        <v>10700</v>
      </c>
      <c r="F5271" t="s">
        <v>10701</v>
      </c>
      <c r="G5271" t="s">
        <v>14</v>
      </c>
      <c r="H5271">
             </c>
      <c r="I5271" t="s">
        <v>14</v>
      </c>
      <c r="J5271" t="s">
        <v>141</v>
      </c>
      <c r="K5271" t="s">
        <v>14</v>
      </c>
      <c r="L5271" t="s">
        <v>20</v>
      </c>
      <c r="M5271" t="s">
        <v>10552</v>
      </c>
      <c r="N5271" t="s">
        <v>14</v>
      </c>
    </row>
    <row r="5272" x14ac:dyDescent="0.25">
      <c r="A5272" t="n">
        <v>25</v>
      </c>
      <c r="B5272" t="s">
        <v>14</v>
      </c>
      <c r="C5272" t="s">
        <v>22</v>
      </c>
      <c r="D5272" s="2" t="s">
        <f>=HYPERLINK("https://main.knesset.gov.il/APPS/legislation/main/bills/2201157", "הצעת חוק משפחות חיילים שנספו במערכה (תגמולים ושיקום) (תיקון - הגדרת אלמן ושכול), התשפ""ג-2023")</f>
        <v>10702</v>
      </c>
      <c r="E5272" t="s">
        <v>10702</v>
      </c>
      <c r="F5272" t="s">
        <v>10703</v>
      </c>
      <c r="G5272" t="s">
        <v>14</v>
      </c>
      <c r="H5272">
             </c>
      <c r="I5272" t="s">
        <v>14</v>
      </c>
      <c r="J5272" t="s">
        <v>141</v>
      </c>
      <c r="K5272" t="s">
        <v>14</v>
      </c>
      <c r="L5272" t="s">
        <v>20</v>
      </c>
      <c r="M5272" t="s">
        <v>10552</v>
      </c>
      <c r="N5272" t="s">
        <v>14</v>
      </c>
    </row>
    <row r="5273" x14ac:dyDescent="0.25">
      <c r="A5273" t="n">
        <v>25</v>
      </c>
      <c r="B5273" t="s">
        <v>14</v>
      </c>
      <c r="C5273" t="s">
        <v>22</v>
      </c>
      <c r="D5273" s="2" t="s">
        <f>=HYPERLINK("https://main.knesset.gov.il/APPS/legislation/main/bills/2201158", "הצעת חוק סדר הדין הפלילי (תיקון - התיישנות בעבירות מין שנעשו במסגרת יחסי תלות או מרות), התשפ""ג-2023")</f>
        <v>10704</v>
      </c>
      <c r="E5273" t="s">
        <v>10704</v>
      </c>
      <c r="F5273" t="s">
        <v>10705</v>
      </c>
      <c r="G5273" t="s">
        <v>14</v>
      </c>
      <c r="H5273">
             </c>
      <c r="I5273" t="s">
        <v>14</v>
      </c>
      <c r="J5273" t="s">
        <v>141</v>
      </c>
      <c r="K5273" t="s">
        <v>14</v>
      </c>
      <c r="L5273" t="s">
        <v>20</v>
      </c>
      <c r="M5273" t="s">
        <v>10552</v>
      </c>
      <c r="N5273" t="s">
        <v>14</v>
      </c>
    </row>
    <row r="5274" x14ac:dyDescent="0.25">
      <c r="A5274" t="n">
        <v>25</v>
      </c>
      <c r="B5274" t="s">
        <v>14</v>
      </c>
      <c r="C5274" t="s">
        <v>22</v>
      </c>
      <c r="D5274" s="2" t="s">
        <f>=HYPERLINK("https://main.knesset.gov.il/APPS/legislation/main/bills/2200656", "הצעת חוק בתי המשפט (תיקון - תובענת תושב אזור עימות), התשפ""ג-2023")</f>
        <v>10706</v>
      </c>
      <c r="E5274" t="s">
        <v>10706</v>
      </c>
      <c r="F5274" t="s">
        <v>10707</v>
      </c>
      <c r="G5274" t="s">
        <v>14</v>
      </c>
      <c r="H5274">
             </c>
      <c r="I5274" t="s">
        <v>14</v>
      </c>
      <c r="J5274" t="s">
        <v>141</v>
      </c>
      <c r="K5274" t="s">
        <v>14</v>
      </c>
      <c r="L5274" t="s">
        <v>20</v>
      </c>
      <c r="M5274" t="s">
        <v>10552</v>
      </c>
      <c r="N5274" t="s">
        <v>14</v>
      </c>
    </row>
    <row r="5275" x14ac:dyDescent="0.25">
      <c r="A5275" t="n">
        <v>25</v>
      </c>
      <c r="B5275" t="s">
        <v>14</v>
      </c>
      <c r="C5275" t="s">
        <v>22</v>
      </c>
      <c r="D5275" s="2" t="s">
        <f>=HYPERLINK("https://main.knesset.gov.il/APPS/legislation/main/bills/2201259", "הצעת חוק לביטול ההתיישנות בעבירות מין במשפחה (תיקוני חקיקה), התשפ""ג-2023")</f>
        <v>2869</v>
      </c>
      <c r="E5275" t="s">
        <v>2869</v>
      </c>
      <c r="F5275" t="s">
        <v>10708</v>
      </c>
      <c r="G5275" t="s">
        <v>14</v>
      </c>
      <c r="H5275">
             </c>
      <c r="I5275" t="s">
        <v>14</v>
      </c>
      <c r="J5275" t="s">
        <v>141</v>
      </c>
      <c r="K5275" t="s">
        <v>14</v>
      </c>
      <c r="L5275" t="s">
        <v>20</v>
      </c>
      <c r="M5275" t="s">
        <v>10552</v>
      </c>
      <c r="N5275" t="s">
        <v>14</v>
      </c>
    </row>
    <row r="5276" x14ac:dyDescent="0.25">
      <c r="A5276" t="n">
        <v>25</v>
      </c>
      <c r="B5276" t="s">
        <v>14</v>
      </c>
      <c r="C5276" t="s">
        <v>22</v>
      </c>
      <c r="D5276" s="2" t="s">
        <f>=HYPERLINK("https://main.knesset.gov.il/APPS/legislation/main/bills/2201329", "הצעת חוק לתיקון פקודת העיריות (ייצוג הולם בשמות מקומות ציבוריים), התשפ""ג-2023")</f>
        <v>10007</v>
      </c>
      <c r="E5276" t="s">
        <v>10007</v>
      </c>
      <c r="F5276" t="s">
        <v>10709</v>
      </c>
      <c r="G5276" t="s">
        <v>14</v>
      </c>
      <c r="H5276">
             </c>
      <c r="I5276" t="s">
        <v>14</v>
      </c>
      <c r="J5276" t="s">
        <v>141</v>
      </c>
      <c r="K5276" t="s">
        <v>14</v>
      </c>
      <c r="L5276" t="s">
        <v>20</v>
      </c>
      <c r="M5276" t="s">
        <v>10552</v>
      </c>
      <c r="N5276" t="s">
        <v>14</v>
      </c>
    </row>
    <row r="5277" x14ac:dyDescent="0.25">
      <c r="A5277" t="n">
        <v>25</v>
      </c>
      <c r="B5277" t="s">
        <v>14</v>
      </c>
      <c r="C5277" t="s">
        <v>22</v>
      </c>
      <c r="D5277" s="2" t="s">
        <f>=HYPERLINK("https://main.knesset.gov.il/APPS/legislation/main/bills/2201130", "הצעת חוק יום חינוך ארוך ולימודי העשרה (תיקון - תחולת החוק), התשפ""ג-2023")</f>
        <v>10710</v>
      </c>
      <c r="E5277" t="s">
        <v>10710</v>
      </c>
      <c r="F5277" t="s">
        <v>10711</v>
      </c>
      <c r="G5277" t="s">
        <v>14</v>
      </c>
      <c r="H5277">
             </c>
      <c r="I5277" t="s">
        <v>14</v>
      </c>
      <c r="J5277" t="s">
        <v>141</v>
      </c>
      <c r="K5277" t="s">
        <v>14</v>
      </c>
      <c r="L5277" t="s">
        <v>20</v>
      </c>
      <c r="M5277" t="s">
        <v>10552</v>
      </c>
      <c r="N5277" t="s">
        <v>14</v>
      </c>
    </row>
    <row r="5278" x14ac:dyDescent="0.25">
      <c r="A5278" t="n">
        <v>25</v>
      </c>
      <c r="B5278" t="s">
        <v>14</v>
      </c>
      <c r="C5278" t="s">
        <v>22</v>
      </c>
      <c r="D5278" s="2" t="s">
        <f>=HYPERLINK("https://main.knesset.gov.il/APPS/legislation/main/bills/2201376", "הצעת חוק חינוך ממלכתי (תיקון - איסור פעילות שיש בה שנאה בשל נטייה מינית, גזענות והדרת נשים במוסדות חינוך רשמיים), התשפ""ג-2023")</f>
        <v>10712</v>
      </c>
      <c r="E5278" t="s">
        <v>10712</v>
      </c>
      <c r="F5278" t="s">
        <v>10713</v>
      </c>
      <c r="G5278" t="s">
        <v>14</v>
      </c>
      <c r="H5278">
             </c>
      <c r="I5278" t="s">
        <v>14</v>
      </c>
      <c r="J5278" t="s">
        <v>141</v>
      </c>
      <c r="K5278" t="s">
        <v>14</v>
      </c>
      <c r="L5278" t="s">
        <v>20</v>
      </c>
      <c r="M5278" t="s">
        <v>10552</v>
      </c>
      <c r="N5278" t="s">
        <v>14</v>
      </c>
    </row>
    <row r="5279" x14ac:dyDescent="0.25">
      <c r="A5279" t="n">
        <v>25</v>
      </c>
      <c r="B5279" t="s">
        <v>14</v>
      </c>
      <c r="C5279" t="s">
        <v>22</v>
      </c>
      <c r="D5279" s="2" t="s">
        <f>=HYPERLINK("https://main.knesset.gov.il/APPS/legislation/main/bills/2201293", "הצעת חוק להגנת חיית הבר (תיקון - איסור מכירת פרוות), התשפ""ג-2023")</f>
        <v>10714</v>
      </c>
      <c r="E5279" t="s">
        <v>10714</v>
      </c>
      <c r="F5279" t="s">
        <v>10715</v>
      </c>
      <c r="G5279" t="s">
        <v>14</v>
      </c>
      <c r="H5279">
             </c>
      <c r="I5279" t="s">
        <v>14</v>
      </c>
      <c r="J5279" t="s">
        <v>141</v>
      </c>
      <c r="K5279" t="s">
        <v>14</v>
      </c>
      <c r="L5279" t="s">
        <v>20</v>
      </c>
      <c r="M5279" t="s">
        <v>10552</v>
      </c>
      <c r="N5279" t="s">
        <v>14</v>
      </c>
    </row>
    <row r="5280" x14ac:dyDescent="0.25">
      <c r="A5280" t="n">
        <v>25</v>
      </c>
      <c r="B5280" t="s">
        <v>14</v>
      </c>
      <c r="C5280" t="s">
        <v>22</v>
      </c>
      <c r="D5280" s="2" t="s">
        <f>=HYPERLINK("https://main.knesset.gov.il/APPS/legislation/main/bills/2201191", "הצעת חוק כביש אגרה (כביש ארצי לישראל) (תיקון - פטור מאגרה בשל האטה ממהירות הנסיעה המותרת), התשפ""ג-2023")</f>
        <v>10716</v>
      </c>
      <c r="E5280" t="s">
        <v>10716</v>
      </c>
      <c r="F5280" t="s">
        <v>10717</v>
      </c>
      <c r="G5280" t="s">
        <v>14</v>
      </c>
      <c r="H5280">
             </c>
      <c r="I5280" t="s">
        <v>14</v>
      </c>
      <c r="J5280" t="s">
        <v>141</v>
      </c>
      <c r="K5280" t="s">
        <v>14</v>
      </c>
      <c r="L5280" t="s">
        <v>20</v>
      </c>
      <c r="M5280" t="s">
        <v>10552</v>
      </c>
      <c r="N5280" t="s">
        <v>14</v>
      </c>
    </row>
    <row r="5281" x14ac:dyDescent="0.25">
      <c r="A5281" t="n">
        <v>25</v>
      </c>
      <c r="B5281" t="s">
        <v>14</v>
      </c>
      <c r="C5281" t="s">
        <v>22</v>
      </c>
      <c r="D5281" s="2" t="s">
        <f>=HYPERLINK("https://main.knesset.gov.il/APPS/legislation/main/bills/2201417", "הצעת חוק מעמדן של ההסתדרות הציונית העולמית ושל הסוכנות היהודית לארץ-ישראל (תיקון - ניהול והקצאת מקרקעין באזור יהודה והשומרון על ידי החטיבה להתיישבות), התשפ""ג-2023")</f>
        <v>10718</v>
      </c>
      <c r="E5281" t="s">
        <v>10718</v>
      </c>
      <c r="F5281" t="s">
        <v>10719</v>
      </c>
      <c r="G5281" t="s">
        <v>14</v>
      </c>
      <c r="H5281">
             </c>
      <c r="I5281" t="s">
        <v>14</v>
      </c>
      <c r="J5281" t="s">
        <v>141</v>
      </c>
      <c r="K5281" t="s">
        <v>14</v>
      </c>
      <c r="L5281" t="s">
        <v>20</v>
      </c>
      <c r="M5281" t="s">
        <v>10552</v>
      </c>
      <c r="N5281" t="s">
        <v>14</v>
      </c>
    </row>
    <row r="5282" x14ac:dyDescent="0.25">
      <c r="A5282" t="n">
        <v>25</v>
      </c>
      <c r="B5282" t="s">
        <v>14</v>
      </c>
      <c r="C5282" t="s">
        <v>22</v>
      </c>
      <c r="D5282" s="2" t="s">
        <f>=HYPERLINK("https://main.knesset.gov.il/APPS/legislation/main/bills/2201431", "הצעת חוק גוש אריאל, התשפ""ג-2023")</f>
        <v>9702</v>
      </c>
      <c r="E5282" t="s">
        <v>9702</v>
      </c>
      <c r="F5282" t="s">
        <v>10720</v>
      </c>
      <c r="G5282" t="s">
        <v>14</v>
      </c>
      <c r="H5282">
             </c>
      <c r="I5282" t="s">
        <v>14</v>
      </c>
      <c r="J5282" t="s">
        <v>141</v>
      </c>
      <c r="K5282" t="s">
        <v>14</v>
      </c>
      <c r="L5282" t="s">
        <v>20</v>
      </c>
      <c r="M5282" t="s">
        <v>10552</v>
      </c>
      <c r="N5282" t="s">
        <v>14</v>
      </c>
    </row>
    <row r="5283" x14ac:dyDescent="0.25">
      <c r="A5283" t="n">
        <v>25</v>
      </c>
      <c r="B5283" t="s">
        <v>14</v>
      </c>
      <c r="C5283" t="s">
        <v>22</v>
      </c>
      <c r="D5283" s="2" t="s">
        <f>=HYPERLINK("https://main.knesset.gov.il/APPS/legislation/main/bills/2201132", "הצעת חוק לימודי יסוד במערכת החינוך, התשפ""ג-2023")</f>
        <v>10721</v>
      </c>
      <c r="E5283" t="s">
        <v>10721</v>
      </c>
      <c r="F5283" t="s">
        <v>10722</v>
      </c>
      <c r="G5283" t="s">
        <v>14</v>
      </c>
      <c r="H5283">
             </c>
      <c r="I5283" t="s">
        <v>14</v>
      </c>
      <c r="J5283" t="s">
        <v>141</v>
      </c>
      <c r="K5283" t="s">
        <v>14</v>
      </c>
      <c r="L5283" t="s">
        <v>20</v>
      </c>
      <c r="M5283" t="s">
        <v>10552</v>
      </c>
      <c r="N5283" t="s">
        <v>14</v>
      </c>
    </row>
    <row r="5284" x14ac:dyDescent="0.25">
      <c r="A5284" t="n">
        <v>25</v>
      </c>
      <c r="B5284" t="s">
        <v>14</v>
      </c>
      <c r="C5284" t="s">
        <v>22</v>
      </c>
      <c r="D5284" s="2" t="s">
        <f>=HYPERLINK("https://main.knesset.gov.il/APPS/legislation/main/bills/2201401", "הצעת חוק העונשין (תיקון - קביעת עונש מינימום בגין נטילת דמי חסות), התשפ""ג-2023")</f>
        <v>8740</v>
      </c>
      <c r="E5284" t="s">
        <v>8740</v>
      </c>
      <c r="F5284" t="s">
        <v>10723</v>
      </c>
      <c r="G5284" t="s">
        <v>14</v>
      </c>
      <c r="H5284">
             </c>
      <c r="I5284" t="s">
        <v>14</v>
      </c>
      <c r="J5284" t="s">
        <v>141</v>
      </c>
      <c r="K5284" t="s">
        <v>14</v>
      </c>
      <c r="L5284" t="s">
        <v>20</v>
      </c>
      <c r="M5284" t="s">
        <v>10552</v>
      </c>
      <c r="N5284" t="s">
        <v>14</v>
      </c>
    </row>
    <row r="5285" x14ac:dyDescent="0.25">
      <c r="A5285" t="n">
        <v>25</v>
      </c>
      <c r="B5285" t="s">
        <v>14</v>
      </c>
      <c r="C5285" t="s">
        <v>22</v>
      </c>
      <c r="D5285" s="2" t="s">
        <f>=HYPERLINK("https://main.knesset.gov.il/APPS/legislation/main/bills/2201443", "הצעת חוק המועצה להשכלה גבוהה (תיקון - איסור פעילות פוגענית), התשפ""ג-2023")</f>
        <v>10724</v>
      </c>
      <c r="E5285" t="s">
        <v>10724</v>
      </c>
      <c r="F5285" t="s">
        <v>10725</v>
      </c>
      <c r="G5285" t="s">
        <v>14</v>
      </c>
      <c r="H5285">
             </c>
      <c r="I5285" t="s">
        <v>14</v>
      </c>
      <c r="J5285" t="s">
        <v>141</v>
      </c>
      <c r="K5285" t="s">
        <v>14</v>
      </c>
      <c r="L5285" t="s">
        <v>20</v>
      </c>
      <c r="M5285" t="s">
        <v>10552</v>
      </c>
      <c r="N5285" t="s">
        <v>14</v>
      </c>
    </row>
    <row r="5286" x14ac:dyDescent="0.25">
      <c r="A5286" t="n">
        <v>25</v>
      </c>
      <c r="B5286" t="s">
        <v>14</v>
      </c>
      <c r="C5286" t="s">
        <v>22</v>
      </c>
      <c r="D5286" s="2" t="s">
        <f>=HYPERLINK("https://main.knesset.gov.il/APPS/legislation/main/bills/2201393", "הצעת חוק איסור מכירת צעצועים המדמים כלי נשק, התשפ""ג-2023")</f>
        <v>8083</v>
      </c>
      <c r="E5286" t="s">
        <v>8083</v>
      </c>
      <c r="F5286" t="s">
        <v>10726</v>
      </c>
      <c r="G5286" t="s">
        <v>14</v>
      </c>
      <c r="H5286">
             </c>
      <c r="I5286" t="s">
        <v>14</v>
      </c>
      <c r="J5286" t="s">
        <v>343</v>
      </c>
      <c r="K5286" t="s">
        <v>14</v>
      </c>
      <c r="L5286" t="s">
        <v>20</v>
      </c>
      <c r="M5286" t="s">
        <v>10552</v>
      </c>
      <c r="N5286" t="s">
        <v>14</v>
      </c>
    </row>
    <row r="5287" x14ac:dyDescent="0.25">
      <c r="A5287" t="n">
        <v>25</v>
      </c>
      <c r="B5287" t="s">
        <v>14</v>
      </c>
      <c r="C5287" t="s">
        <v>22</v>
      </c>
      <c r="D5287" s="2" t="s">
        <f>=HYPERLINK("https://main.knesset.gov.il/APPS/legislation/main/bills/2201325", "הצעת חוק לתיקון פקודת העיריות (הסדרת מבנים לתנועות נוער), התשפ""ג-2023")</f>
        <v>10727</v>
      </c>
      <c r="E5287" t="s">
        <v>10727</v>
      </c>
      <c r="F5287" t="s">
        <v>10728</v>
      </c>
      <c r="G5287" t="s">
        <v>14</v>
      </c>
      <c r="H5287">
             </c>
      <c r="I5287" t="s">
        <v>14</v>
      </c>
      <c r="J5287" t="s">
        <v>141</v>
      </c>
      <c r="K5287" t="s">
        <v>14</v>
      </c>
      <c r="L5287" t="s">
        <v>20</v>
      </c>
      <c r="M5287" t="s">
        <v>10552</v>
      </c>
      <c r="N5287" t="s">
        <v>14</v>
      </c>
    </row>
    <row r="5288" x14ac:dyDescent="0.25">
      <c r="A5288" t="n">
        <v>25</v>
      </c>
      <c r="B5288" t="s">
        <v>14</v>
      </c>
      <c r="C5288" t="s">
        <v>22</v>
      </c>
      <c r="D5288" s="2" t="s">
        <f>=HYPERLINK("https://main.knesset.gov.il/APPS/legislation/main/bills/2201257", "הצעת חוק חוזה הביטוח (תיקון - הארכת תקופת ההתיישנות לביטוח חיים), התשפ""ג-2023")</f>
        <v>10729</v>
      </c>
      <c r="E5288" t="s">
        <v>10729</v>
      </c>
      <c r="F5288" t="s">
        <v>10730</v>
      </c>
      <c r="G5288" t="s">
        <v>14</v>
      </c>
      <c r="H5288">
             </c>
      <c r="I5288" t="s">
        <v>14</v>
      </c>
      <c r="J5288" t="s">
        <v>141</v>
      </c>
      <c r="K5288" t="s">
        <v>14</v>
      </c>
      <c r="L5288" t="s">
        <v>20</v>
      </c>
      <c r="M5288" t="s">
        <v>10552</v>
      </c>
      <c r="N5288" t="s">
        <v>14</v>
      </c>
    </row>
    <row r="5289" x14ac:dyDescent="0.25">
      <c r="A5289" t="n">
        <v>25</v>
      </c>
      <c r="B5289" t="s">
        <v>14</v>
      </c>
      <c r="C5289" t="s">
        <v>22</v>
      </c>
      <c r="D5289" s="2" t="s">
        <f>=HYPERLINK("https://main.knesset.gov.il/APPS/legislation/main/bills/2201295", "הצעת חוק למניעת הטרדה מינית (תיקון - דין התפטרות עקב הטרדה מינית או התנכלות כפיטורין), התשפ""ג-2023")</f>
        <v>10731</v>
      </c>
      <c r="E5289" t="s">
        <v>10731</v>
      </c>
      <c r="F5289" t="s">
        <v>10732</v>
      </c>
      <c r="G5289" t="s">
        <v>14</v>
      </c>
      <c r="H5289">
             </c>
      <c r="I5289" t="s">
        <v>14</v>
      </c>
      <c r="J5289" t="s">
        <v>141</v>
      </c>
      <c r="K5289" t="s">
        <v>14</v>
      </c>
      <c r="L5289" t="s">
        <v>20</v>
      </c>
      <c r="M5289" t="s">
        <v>10552</v>
      </c>
      <c r="N5289" t="s">
        <v>14</v>
      </c>
    </row>
    <row r="5290" x14ac:dyDescent="0.25">
      <c r="A5290" t="n">
        <v>25</v>
      </c>
      <c r="B5290" t="s">
        <v>14</v>
      </c>
      <c r="C5290" t="s">
        <v>22</v>
      </c>
      <c r="D5290" s="2" t="s">
        <f>=HYPERLINK("https://main.knesset.gov.il/APPS/legislation/main/bills/2200693", "הצעת חוק ביטוח בריאות ממלכתי (תיקון - מימון הסעה לבית חולים), התשפ""ג-2023")</f>
        <v>9671</v>
      </c>
      <c r="E5290" t="s">
        <v>9671</v>
      </c>
      <c r="F5290" t="s">
        <v>10733</v>
      </c>
      <c r="G5290" t="s">
        <v>14</v>
      </c>
      <c r="H5290">
             </c>
      <c r="I5290" t="s">
        <v>14</v>
      </c>
      <c r="J5290" t="s">
        <v>141</v>
      </c>
      <c r="K5290" t="s">
        <v>14</v>
      </c>
      <c r="L5290" t="s">
        <v>20</v>
      </c>
      <c r="M5290" t="s">
        <v>10552</v>
      </c>
      <c r="N5290" t="s">
        <v>14</v>
      </c>
    </row>
    <row r="5291" x14ac:dyDescent="0.25">
      <c r="A5291" t="n">
        <v>25</v>
      </c>
      <c r="B5291" t="s">
        <v>14</v>
      </c>
      <c r="C5291" t="s">
        <v>22</v>
      </c>
      <c r="D5291" s="2" t="s">
        <f>=HYPERLINK("https://main.knesset.gov.il/APPS/legislation/main/bills/2201029", "הצעת חוק המכינות הקדם-צבאיות (תיקון - שלילת הכרה ממכינות המעודדות סירוב פקודה והסתה), התשפ""ג-2023")</f>
        <v>10734</v>
      </c>
      <c r="E5291" t="s">
        <v>10734</v>
      </c>
      <c r="F5291" t="s">
        <v>10735</v>
      </c>
      <c r="G5291" t="s">
        <v>14</v>
      </c>
      <c r="H5291">
             </c>
      <c r="I5291" t="s">
        <v>14</v>
      </c>
      <c r="J5291" t="s">
        <v>141</v>
      </c>
      <c r="K5291" t="s">
        <v>14</v>
      </c>
      <c r="L5291" t="s">
        <v>20</v>
      </c>
      <c r="M5291" t="s">
        <v>10552</v>
      </c>
      <c r="N5291" t="s">
        <v>14</v>
      </c>
    </row>
    <row r="5292" x14ac:dyDescent="0.25">
      <c r="A5292" t="n">
        <v>25</v>
      </c>
      <c r="B5292" t="s">
        <v>14</v>
      </c>
      <c r="C5292" t="s">
        <v>22</v>
      </c>
      <c r="D5292" s="2" t="s">
        <f>=HYPERLINK("https://main.knesset.gov.il/APPS/legislation/main/bills/2201486", "הצעת חוק-יסוד: מגילת העצמאות")</f>
        <v>7662</v>
      </c>
      <c r="E5292" t="s">
        <v>7662</v>
      </c>
      <c r="F5292" t="s">
        <v>10736</v>
      </c>
      <c r="G5292" t="s">
        <v>14</v>
      </c>
      <c r="H5292">
             </c>
      <c r="I5292" t="s">
        <v>14</v>
      </c>
      <c r="J5292" t="s">
        <v>141</v>
      </c>
      <c r="K5292" t="s">
        <v>14</v>
      </c>
      <c r="L5292" t="s">
        <v>20</v>
      </c>
      <c r="M5292" t="s">
        <v>10552</v>
      </c>
      <c r="N5292" t="s">
        <v>14</v>
      </c>
    </row>
    <row r="5293" x14ac:dyDescent="0.25">
      <c r="A5293" t="n">
        <v>25</v>
      </c>
      <c r="B5293" t="s">
        <v>14</v>
      </c>
      <c r="C5293" t="s">
        <v>22</v>
      </c>
      <c r="D5293" s="2" t="s">
        <f>=HYPERLINK("https://main.knesset.gov.il/APPS/legislation/main/bills/2200870", "הצעת חוק קליטת חיילים משוחררים (תיקון - הטבות לחיילים בודדים), התשפ""ג-2023")</f>
        <v>10737</v>
      </c>
      <c r="E5293" t="s">
        <v>10737</v>
      </c>
      <c r="F5293" t="s">
        <v>10738</v>
      </c>
      <c r="G5293" t="s">
        <v>14</v>
      </c>
      <c r="H5293">
             </c>
      <c r="I5293" t="s">
        <v>14</v>
      </c>
      <c r="J5293" t="s">
        <v>141</v>
      </c>
      <c r="K5293" t="s">
        <v>14</v>
      </c>
      <c r="L5293" t="s">
        <v>20</v>
      </c>
      <c r="M5293" t="s">
        <v>10552</v>
      </c>
      <c r="N5293" t="s">
        <v>14</v>
      </c>
    </row>
    <row r="5294" x14ac:dyDescent="0.25">
      <c r="A5294" t="n">
        <v>25</v>
      </c>
      <c r="B5294" t="s">
        <v>14</v>
      </c>
      <c r="C5294" t="s">
        <v>22</v>
      </c>
      <c r="D5294" s="2" t="s">
        <f>=HYPERLINK("https://main.knesset.gov.il/APPS/legislation/main/bills/2200687", "הצעת חוק הסיוע המשפטי (תיקון - סיוע משפטי לנפגעי אלימות במשפחה), התשפ""ג-2023")</f>
        <v>10739</v>
      </c>
      <c r="E5294" t="s">
        <v>10739</v>
      </c>
      <c r="F5294" t="s">
        <v>10740</v>
      </c>
      <c r="G5294" t="s">
        <v>14</v>
      </c>
      <c r="H5294">
             </c>
      <c r="I5294" t="s">
        <v>14</v>
      </c>
      <c r="J5294" t="s">
        <v>141</v>
      </c>
      <c r="K5294" t="s">
        <v>14</v>
      </c>
      <c r="L5294" t="s">
        <v>20</v>
      </c>
      <c r="M5294" t="s">
        <v>10552</v>
      </c>
      <c r="N5294" t="s">
        <v>14</v>
      </c>
    </row>
    <row r="5295" x14ac:dyDescent="0.25">
      <c r="A5295" t="n">
        <v>25</v>
      </c>
      <c r="B5295" t="s">
        <v>14</v>
      </c>
      <c r="C5295" t="s">
        <v>22</v>
      </c>
      <c r="D5295" s="2" t="s">
        <f>=HYPERLINK("https://main.knesset.gov.il/APPS/legislation/main/bills/2201150", "הצעת חוק הדיור הציבורי (פתרונות דיור עבור ממתינים לדיור ציבורי), התשפ""ג-2023")</f>
        <v>10741</v>
      </c>
      <c r="E5295" t="s">
        <v>10741</v>
      </c>
      <c r="F5295" t="s">
        <v>10742</v>
      </c>
      <c r="G5295" t="s">
        <v>14</v>
      </c>
      <c r="H5295">
             </c>
      <c r="I5295" t="s">
        <v>14</v>
      </c>
      <c r="J5295" t="s">
        <v>141</v>
      </c>
      <c r="K5295" t="s">
        <v>14</v>
      </c>
      <c r="L5295" t="s">
        <v>20</v>
      </c>
      <c r="M5295" t="s">
        <v>10552</v>
      </c>
      <c r="N5295" t="s">
        <v>14</v>
      </c>
    </row>
    <row r="5296" x14ac:dyDescent="0.25">
      <c r="A5296" t="n">
        <v>25</v>
      </c>
      <c r="B5296" t="s">
        <v>14</v>
      </c>
      <c r="C5296" t="s">
        <v>22</v>
      </c>
      <c r="D5296" s="2" t="s">
        <f>=HYPERLINK("https://main.knesset.gov.il/APPS/legislation/main/bills/2201296", "הצעת חוק למניעת הטרדה מינית (תיקון - הטלת חובות לשם מניעת הטרדה מינית במוסד חינוך), התשפ""ג-2023")</f>
        <v>10743</v>
      </c>
      <c r="E5296" t="s">
        <v>10743</v>
      </c>
      <c r="F5296" t="s">
        <v>10744</v>
      </c>
      <c r="G5296" t="s">
        <v>14</v>
      </c>
      <c r="H5296">
             </c>
      <c r="I5296" t="s">
        <v>14</v>
      </c>
      <c r="J5296" t="s">
        <v>141</v>
      </c>
      <c r="K5296" t="s">
        <v>14</v>
      </c>
      <c r="L5296" t="s">
        <v>20</v>
      </c>
      <c r="M5296" t="s">
        <v>10552</v>
      </c>
      <c r="N5296" t="s">
        <v>14</v>
      </c>
    </row>
    <row r="5297" x14ac:dyDescent="0.25">
      <c r="A5297" t="n">
        <v>25</v>
      </c>
      <c r="B5297" t="s">
        <v>14</v>
      </c>
      <c r="C5297" t="s">
        <v>22</v>
      </c>
      <c r="D5297" s="2" t="s">
        <f>=HYPERLINK("https://main.knesset.gov.il/APPS/legislation/main/bills/2200582", "הצעת חוק הביטוח הלאומי (תיקון - מימון סייעת לילדים שאינם יכולים לשהות במעון), התשפ""ג-2023")</f>
        <v>10039</v>
      </c>
      <c r="E5297" t="s">
        <v>10039</v>
      </c>
      <c r="F5297" t="s">
        <v>10745</v>
      </c>
      <c r="G5297" t="s">
        <v>14</v>
      </c>
      <c r="H5297">
             </c>
      <c r="I5297" t="s">
        <v>14</v>
      </c>
      <c r="J5297" t="s">
        <v>141</v>
      </c>
      <c r="K5297" t="s">
        <v>14</v>
      </c>
      <c r="L5297" t="s">
        <v>20</v>
      </c>
      <c r="M5297" t="s">
        <v>10552</v>
      </c>
      <c r="N5297" t="s">
        <v>14</v>
      </c>
    </row>
    <row r="5298" x14ac:dyDescent="0.25">
      <c r="A5298" t="n">
        <v>25</v>
      </c>
      <c r="B5298" t="s">
        <v>14</v>
      </c>
      <c r="C5298" t="s">
        <v>22</v>
      </c>
      <c r="D5298" s="2" t="s">
        <f>=HYPERLINK("https://main.knesset.gov.il/APPS/legislation/main/bills/2201641", "הצעת חוק הגנת הצרכן (תיקון - הגבלת גביית עמלה בעסקת מכר מרחוק שעניינה רכישת כרטיס למופע), התשפ""ג-2023")</f>
        <v>10746</v>
      </c>
      <c r="E5298" t="s">
        <v>10746</v>
      </c>
      <c r="F5298" t="s">
        <v>10747</v>
      </c>
      <c r="G5298" t="s">
        <v>14</v>
      </c>
      <c r="H5298">
             </c>
      <c r="I5298" t="s">
        <v>14</v>
      </c>
      <c r="J5298" t="s">
        <v>141</v>
      </c>
      <c r="K5298" t="s">
        <v>14</v>
      </c>
      <c r="L5298" t="s">
        <v>20</v>
      </c>
      <c r="M5298" t="s">
        <v>10552</v>
      </c>
      <c r="N5298" t="s">
        <v>14</v>
      </c>
    </row>
    <row r="5299" x14ac:dyDescent="0.25">
      <c r="A5299" t="n">
        <v>25</v>
      </c>
      <c r="B5299" t="s">
        <v>14</v>
      </c>
      <c r="C5299" t="s">
        <v>22</v>
      </c>
      <c r="D5299" s="2" t="s">
        <f>=HYPERLINK("https://main.knesset.gov.il/APPS/legislation/main/bills/2201647", "הצעת חוק הגנת הצרכן (תיקון - מענה אנושי חינם ללקוחות חברות התעופה), התשפ""ג-2023")</f>
        <v>10748</v>
      </c>
      <c r="E5299" t="s">
        <v>10748</v>
      </c>
      <c r="F5299" t="s">
        <v>10749</v>
      </c>
      <c r="G5299" t="s">
        <v>14</v>
      </c>
      <c r="H5299">
             </c>
      <c r="I5299" t="s">
        <v>14</v>
      </c>
      <c r="J5299" t="s">
        <v>141</v>
      </c>
      <c r="K5299" t="s">
        <v>14</v>
      </c>
      <c r="L5299" t="s">
        <v>20</v>
      </c>
      <c r="M5299" t="s">
        <v>10552</v>
      </c>
      <c r="N5299" t="s">
        <v>14</v>
      </c>
    </row>
    <row r="5300" x14ac:dyDescent="0.25">
      <c r="A5300" t="n">
        <v>25</v>
      </c>
      <c r="B5300" t="s">
        <v>14</v>
      </c>
      <c r="C5300" t="s">
        <v>22</v>
      </c>
      <c r="D5300" s="2" t="s">
        <f>=HYPERLINK("https://main.knesset.gov.il/APPS/legislation/main/bills/2201416", "הצעת חוק העונשין (תיקון - עבירות אלימות במתחם הר הבית), התשפ""ג-2023")</f>
        <v>8961</v>
      </c>
      <c r="E5300" t="s">
        <v>8961</v>
      </c>
      <c r="F5300" t="s">
        <v>10750</v>
      </c>
      <c r="G5300" t="s">
        <v>14</v>
      </c>
      <c r="H5300">
             </c>
      <c r="I5300" t="s">
        <v>14</v>
      </c>
      <c r="J5300" t="s">
        <v>141</v>
      </c>
      <c r="K5300" t="s">
        <v>14</v>
      </c>
      <c r="L5300" t="s">
        <v>20</v>
      </c>
      <c r="M5300" t="s">
        <v>10552</v>
      </c>
      <c r="N5300" t="s">
        <v>14</v>
      </c>
    </row>
    <row r="5301" x14ac:dyDescent="0.25">
      <c r="A5301" t="n">
        <v>25</v>
      </c>
      <c r="B5301" t="s">
        <v>14</v>
      </c>
      <c r="C5301" t="s">
        <v>22</v>
      </c>
      <c r="D5301" s="2" t="s">
        <f>=HYPERLINK("https://main.knesset.gov.il/APPS/legislation/main/bills/2200765", "הצעת חוק הביטוח הלאומי (תיקון - אבטחה במוסד רפואי כעבודה מועדפת), התשפ""ג-2023")</f>
        <v>10751</v>
      </c>
      <c r="E5301" t="s">
        <v>10751</v>
      </c>
      <c r="F5301" t="s">
        <v>10752</v>
      </c>
      <c r="G5301" t="s">
        <v>14</v>
      </c>
      <c r="H5301">
             </c>
      <c r="I5301" t="s">
        <v>14</v>
      </c>
      <c r="J5301" t="s">
        <v>141</v>
      </c>
      <c r="K5301" t="s">
        <v>14</v>
      </c>
      <c r="L5301" t="s">
        <v>20</v>
      </c>
      <c r="M5301" t="s">
        <v>10552</v>
      </c>
      <c r="N5301" t="s">
        <v>14</v>
      </c>
    </row>
    <row r="5302" x14ac:dyDescent="0.25">
      <c r="A5302" t="n">
        <v>25</v>
      </c>
      <c r="B5302" t="s">
        <v>14</v>
      </c>
      <c r="C5302" t="s">
        <v>22</v>
      </c>
      <c r="D5302" s="2" t="s">
        <f>=HYPERLINK("https://main.knesset.gov.il/APPS/legislation/main/bills/2200495", "הצעת חוק איסור הונאה בכשרות (תיקון - פיקוח על מחירי תעודת הכשר), התשפ""ג-2023")</f>
        <v>10753</v>
      </c>
      <c r="E5302" t="s">
        <v>10753</v>
      </c>
      <c r="F5302" t="s">
        <v>10754</v>
      </c>
      <c r="G5302" t="s">
        <v>14</v>
      </c>
      <c r="H5302">
             </c>
      <c r="I5302" t="s">
        <v>14</v>
      </c>
      <c r="J5302" t="s">
        <v>141</v>
      </c>
      <c r="K5302" t="s">
        <v>14</v>
      </c>
      <c r="L5302" t="s">
        <v>20</v>
      </c>
      <c r="M5302" t="s">
        <v>10552</v>
      </c>
      <c r="N5302" t="s">
        <v>14</v>
      </c>
    </row>
    <row r="5303" x14ac:dyDescent="0.25">
      <c r="A5303" t="n">
        <v>25</v>
      </c>
      <c r="B5303" t="s">
        <v>14</v>
      </c>
      <c r="C5303" t="s">
        <v>22</v>
      </c>
      <c r="D5303" s="2" t="s">
        <f>=HYPERLINK("https://main.knesset.gov.il/APPS/legislation/main/bills/2199809", "הצעת חוק לתיקון פקודת העיריות (ייצוג הולם בשמות מקומות ציבוריים), התשפ""ג-2023")</f>
        <v>10007</v>
      </c>
      <c r="E5303" t="s">
        <v>10007</v>
      </c>
      <c r="F5303" t="s">
        <v>10755</v>
      </c>
      <c r="G5303" t="s">
        <v>14</v>
      </c>
      <c r="H5303">
             </c>
      <c r="I5303" t="s">
        <v>14</v>
      </c>
      <c r="J5303" t="s">
        <v>141</v>
      </c>
      <c r="K5303" t="s">
        <v>14</v>
      </c>
      <c r="L5303" t="s">
        <v>20</v>
      </c>
      <c r="M5303" t="s">
        <v>10552</v>
      </c>
      <c r="N5303" t="s">
        <v>14</v>
      </c>
    </row>
    <row r="5304" x14ac:dyDescent="0.25">
      <c r="A5304" t="n">
        <v>25</v>
      </c>
      <c r="B5304" t="s">
        <v>14</v>
      </c>
      <c r="C5304" t="s">
        <v>22</v>
      </c>
      <c r="D5304" s="2" t="s">
        <f>=HYPERLINK("https://main.knesset.gov.il/APPS/legislation/main/bills/2199338", "הצעת חוק הגנת הצרכן (תיקון - החלת חובת הודעה על סיום עסקה מתמשכת על תאגידים בנקאיים ופיננסיים), התשפ""ג-2023")</f>
        <v>10756</v>
      </c>
      <c r="E5304" t="s">
        <v>10756</v>
      </c>
      <c r="F5304" t="s">
        <v>10757</v>
      </c>
      <c r="G5304" t="s">
        <v>14</v>
      </c>
      <c r="H5304">
             </c>
      <c r="I5304" t="s">
        <v>14</v>
      </c>
      <c r="J5304" t="s">
        <v>141</v>
      </c>
      <c r="K5304" t="s">
        <v>14</v>
      </c>
      <c r="L5304" t="s">
        <v>20</v>
      </c>
      <c r="M5304" t="s">
        <v>10552</v>
      </c>
      <c r="N5304" t="s">
        <v>14</v>
      </c>
    </row>
    <row r="5305" x14ac:dyDescent="0.25">
      <c r="A5305" t="n">
        <v>25</v>
      </c>
      <c r="B5305" t="s">
        <v>14</v>
      </c>
      <c r="C5305" t="s">
        <v>22</v>
      </c>
      <c r="D5305" s="2" t="s">
        <f>=HYPERLINK("https://main.knesset.gov.il/APPS/legislation/main/bills/2198943", "הצעת חוק ההוצאה לפועל (תיקון - ריבית ודמי פיגורים), התשפ""ג-2023")</f>
        <v>10758</v>
      </c>
      <c r="E5305" t="s">
        <v>10758</v>
      </c>
      <c r="F5305" t="s">
        <v>10759</v>
      </c>
      <c r="G5305" t="s">
        <v>14</v>
      </c>
      <c r="H5305">
             </c>
      <c r="I5305" t="s">
        <v>14</v>
      </c>
      <c r="J5305" t="s">
        <v>141</v>
      </c>
      <c r="K5305" t="s">
        <v>14</v>
      </c>
      <c r="L5305" t="s">
        <v>20</v>
      </c>
      <c r="M5305" t="s">
        <v>10552</v>
      </c>
      <c r="N5305" t="s">
        <v>14</v>
      </c>
    </row>
    <row r="5306" x14ac:dyDescent="0.25">
      <c r="A5306" t="n">
        <v>25</v>
      </c>
      <c r="B5306" t="s">
        <v>14</v>
      </c>
      <c r="C5306" t="s">
        <v>22</v>
      </c>
      <c r="D5306" s="2" t="s">
        <f>=HYPERLINK("https://main.knesset.gov.il/APPS/legislation/main/bills/2196072", "הצעת חוק העונשין (תיקון - קביעת עונש מינימום לעבירות יידוי אבנים), התשפ""ג-2022")</f>
        <v>10760</v>
      </c>
      <c r="E5306" t="s">
        <v>10760</v>
      </c>
      <c r="F5306" t="s">
        <v>10761</v>
      </c>
      <c r="G5306" t="s">
        <v>14</v>
      </c>
      <c r="H5306">
             </c>
      <c r="I5306" t="s">
        <v>14</v>
      </c>
      <c r="J5306" t="s">
        <v>343</v>
      </c>
      <c r="K5306" t="s">
        <v>14</v>
      </c>
      <c r="L5306" t="s">
        <v>20</v>
      </c>
      <c r="M5306" t="s">
        <v>10762</v>
      </c>
      <c r="N5306" t="s">
        <v>14</v>
      </c>
    </row>
    <row r="5307" x14ac:dyDescent="0.25">
      <c r="A5307" t="n">
        <v>25</v>
      </c>
      <c r="B5307" t="s">
        <v>14</v>
      </c>
      <c r="C5307" t="s">
        <v>15</v>
      </c>
      <c r="D5307" s="2" t="s">
        <f>=HYPERLINK("https://main.knesset.gov.il/APPS/legislation/main/bills/2201084", "חוק שירות ביטחון (תיקון מס' 7 והוראת שעה) (שירות במשטרה ושירות מוכר) (תיקון מס' 18), התשפ""ג–2023")</f>
        <v>10763</v>
      </c>
      <c r="E5307" t="s">
        <v>10763</v>
      </c>
      <c r="F5307" t="s">
        <v>14</v>
      </c>
      <c r="G5307" t="s">
        <v>10555</v>
      </c>
      <c r="H5307" t="n">
        <v>3023</v>
      </c>
      <c r="I5307" t="s">
        <v>14</v>
      </c>
      <c r="J5307" t="s">
        <v>91</v>
      </c>
      <c r="K5307" t="s">
        <v>114</v>
      </c>
      <c r="L5307" t="s">
        <v>20</v>
      </c>
      <c r="M5307" t="s">
        <v>10764</v>
      </c>
      <c r="N5307" t="s">
        <v>10765</v>
      </c>
    </row>
    <row r="5308" x14ac:dyDescent="0.25">
      <c r="A5308" t="n">
        <v>25</v>
      </c>
      <c r="B5308" t="s">
        <v>14</v>
      </c>
      <c r="C5308" t="s">
        <v>15</v>
      </c>
      <c r="D5308" s="2" t="s">
        <f>=HYPERLINK("https://main.knesset.gov.il/APPS/legislation/main/bills/2200649", "חוק סמכויות מיוחדות להתמודדות עם נגיף הקורונה החדש (הוראת שעה) (תיקון מס' 12), התשפ""ג-2023")</f>
        <v>10766</v>
      </c>
      <c r="E5308" t="s">
        <v>10766</v>
      </c>
      <c r="F5308" t="s">
        <v>14</v>
      </c>
      <c r="G5308" t="s">
        <v>10767</v>
      </c>
      <c r="H5308" t="n">
        <v>3022</v>
      </c>
      <c r="I5308" t="s">
        <v>14</v>
      </c>
      <c r="J5308" t="s">
        <v>91</v>
      </c>
      <c r="K5308" t="s">
        <v>480</v>
      </c>
      <c r="L5308" t="s">
        <v>20</v>
      </c>
      <c r="M5308" t="s">
        <v>10768</v>
      </c>
      <c r="N5308" t="s">
        <v>10769</v>
      </c>
    </row>
    <row r="5309" x14ac:dyDescent="0.25">
      <c r="A5309" t="n">
        <v>25</v>
      </c>
      <c r="B5309" t="s">
        <v>14</v>
      </c>
      <c r="C5309" t="s">
        <v>15</v>
      </c>
      <c r="D5309" s="2" t="s">
        <f>=HYPERLINK("https://main.knesset.gov.il/APPS/legislation/main/bills/2199718", "חוק לפינוי שדות מוקשים ושטחי נפלים (תיקון מס' 2), התשפ""ג-2023")</f>
        <v>10770</v>
      </c>
      <c r="E5309" t="s">
        <v>10770</v>
      </c>
      <c r="F5309" t="s">
        <v>14</v>
      </c>
      <c r="G5309" t="s">
        <v>10771</v>
      </c>
      <c r="H5309" t="n">
        <v>3021</v>
      </c>
      <c r="I5309" t="s">
        <v>14</v>
      </c>
      <c r="J5309" t="s">
        <v>91</v>
      </c>
      <c r="K5309" t="s">
        <v>114</v>
      </c>
      <c r="L5309" t="s">
        <v>20</v>
      </c>
      <c r="M5309" t="s">
        <v>10768</v>
      </c>
      <c r="N5309" t="s">
        <v>10772</v>
      </c>
    </row>
    <row r="5310" x14ac:dyDescent="0.25">
      <c r="A5310" t="n">
        <v>25</v>
      </c>
      <c r="B5310" t="s">
        <v>14</v>
      </c>
      <c r="C5310" t="s">
        <v>15</v>
      </c>
      <c r="D5310" s="2" t="s">
        <f>=HYPERLINK("https://main.knesset.gov.il/APPS/legislation/main/bills/2191853", "חוק לייעול האכיפה והפיקוח העירוניים ברשויות המקומיות (הוראת שעה) (תיקון מס' 9), התשפ""ג-2023 ")</f>
        <v>10773</v>
      </c>
      <c r="E5310" t="s">
        <v>10773</v>
      </c>
      <c r="F5310" t="s">
        <v>14</v>
      </c>
      <c r="G5310" t="s">
        <v>8666</v>
      </c>
      <c r="H5310" t="n">
        <v>3020</v>
      </c>
      <c r="I5310" t="s">
        <v>14</v>
      </c>
      <c r="J5310" t="s">
        <v>91</v>
      </c>
      <c r="K5310" t="s">
        <v>105</v>
      </c>
      <c r="L5310" t="s">
        <v>20</v>
      </c>
      <c r="M5310" t="s">
        <v>10768</v>
      </c>
      <c r="N5310" t="s">
        <v>10774</v>
      </c>
    </row>
    <row r="5311" x14ac:dyDescent="0.25">
      <c r="A5311" t="n">
        <v>25</v>
      </c>
      <c r="B5311" t="s">
        <v>14</v>
      </c>
      <c r="C5311" t="s">
        <v>22</v>
      </c>
      <c r="D5311" s="2" t="s">
        <f>=HYPERLINK("https://main.knesset.gov.il/APPS/legislation/main/bills/2200475", "הצעת חוק שעות עבודה ומנוחה (תיקון - קיצור שבוע העבודה), התשפ""ג-2023")</f>
        <v>9349</v>
      </c>
      <c r="E5311" t="s">
        <v>9349</v>
      </c>
      <c r="F5311" t="s">
        <v>10775</v>
      </c>
      <c r="G5311" t="s">
        <v>14</v>
      </c>
      <c r="H5311">
             </c>
      <c r="I5311" t="s">
        <v>14</v>
      </c>
      <c r="J5311" t="s">
        <v>141</v>
      </c>
      <c r="K5311" t="s">
        <v>14</v>
      </c>
      <c r="L5311" t="s">
        <v>20</v>
      </c>
      <c r="M5311" t="s">
        <v>10768</v>
      </c>
      <c r="N5311" t="s">
        <v>14</v>
      </c>
    </row>
    <row r="5312" x14ac:dyDescent="0.25">
      <c r="A5312" t="n">
        <v>25</v>
      </c>
      <c r="B5312" t="s">
        <v>14</v>
      </c>
      <c r="C5312" t="s">
        <v>22</v>
      </c>
      <c r="D5312" s="2" t="s">
        <f>=HYPERLINK("https://main.knesset.gov.il/APPS/legislation/main/bills/2200450", "הצעת חוק גיל פרישה (תיקון - ביטול גיל פרישת חובה), התשפ""ג-2023")</f>
        <v>10569</v>
      </c>
      <c r="E5312" t="s">
        <v>10569</v>
      </c>
      <c r="F5312" t="s">
        <v>10776</v>
      </c>
      <c r="G5312" t="s">
        <v>14</v>
      </c>
      <c r="H5312">
             </c>
      <c r="I5312" t="s">
        <v>14</v>
      </c>
      <c r="J5312" t="s">
        <v>141</v>
      </c>
      <c r="K5312" t="s">
        <v>14</v>
      </c>
      <c r="L5312" t="s">
        <v>20</v>
      </c>
      <c r="M5312" t="s">
        <v>10768</v>
      </c>
      <c r="N5312" t="s">
        <v>14</v>
      </c>
    </row>
    <row r="5313" x14ac:dyDescent="0.25">
      <c r="A5313" t="n">
        <v>25</v>
      </c>
      <c r="B5313" t="s">
        <v>14</v>
      </c>
      <c r="C5313" t="s">
        <v>22</v>
      </c>
      <c r="D5313" s="2" t="s">
        <f>=HYPERLINK("https://main.knesset.gov.il/APPS/legislation/main/bills/2200353", "הצעת חוק מס ערך מוסף (תיקון - מס בשיעור אפס על תרופות), התשפ""ג-2023")</f>
        <v>8049</v>
      </c>
      <c r="E5313" t="s">
        <v>8049</v>
      </c>
      <c r="F5313" t="s">
        <v>10777</v>
      </c>
      <c r="G5313" t="s">
        <v>14</v>
      </c>
      <c r="H5313">
             </c>
      <c r="I5313" t="s">
        <v>14</v>
      </c>
      <c r="J5313" t="s">
        <v>141</v>
      </c>
      <c r="K5313" t="s">
        <v>14</v>
      </c>
      <c r="L5313" t="s">
        <v>20</v>
      </c>
      <c r="M5313" t="s">
        <v>10768</v>
      </c>
      <c r="N5313" t="s">
        <v>14</v>
      </c>
    </row>
    <row r="5314" x14ac:dyDescent="0.25">
      <c r="A5314" t="n">
        <v>25</v>
      </c>
      <c r="B5314" t="s">
        <v>14</v>
      </c>
      <c r="C5314" t="s">
        <v>22</v>
      </c>
      <c r="D5314" s="2" t="s">
        <f>=HYPERLINK("https://main.knesset.gov.il/APPS/legislation/main/bills/2200498", "הצעת חוק הבטחת הכנסה (תיקון - גמלה להורה עצמאי), התשפ""ג-2023")</f>
        <v>10778</v>
      </c>
      <c r="E5314" t="s">
        <v>10778</v>
      </c>
      <c r="F5314" t="s">
        <v>10779</v>
      </c>
      <c r="G5314" t="s">
        <v>14</v>
      </c>
      <c r="H5314">
             </c>
      <c r="I5314" t="s">
        <v>14</v>
      </c>
      <c r="J5314" t="s">
        <v>141</v>
      </c>
      <c r="K5314" t="s">
        <v>14</v>
      </c>
      <c r="L5314" t="s">
        <v>20</v>
      </c>
      <c r="M5314" t="s">
        <v>10768</v>
      </c>
      <c r="N5314" t="s">
        <v>14</v>
      </c>
    </row>
    <row r="5315" x14ac:dyDescent="0.25">
      <c r="A5315" t="n">
        <v>25</v>
      </c>
      <c r="B5315" t="s">
        <v>14</v>
      </c>
      <c r="C5315" t="s">
        <v>22</v>
      </c>
      <c r="D5315" s="2" t="s">
        <f>=HYPERLINK("https://main.knesset.gov.il/APPS/legislation/main/bills/2200759", "הצעת חוק הביטוח הלאומי (תיקון - קצבת נכות לעולים), התשפ""ג-2023")</f>
        <v>10780</v>
      </c>
      <c r="E5315" t="s">
        <v>10780</v>
      </c>
      <c r="F5315" t="s">
        <v>10781</v>
      </c>
      <c r="G5315" t="s">
        <v>14</v>
      </c>
      <c r="H5315">
             </c>
      <c r="I5315" t="s">
        <v>14</v>
      </c>
      <c r="J5315" t="s">
        <v>141</v>
      </c>
      <c r="K5315" t="s">
        <v>14</v>
      </c>
      <c r="L5315" t="s">
        <v>20</v>
      </c>
      <c r="M5315" t="s">
        <v>10768</v>
      </c>
      <c r="N5315" t="s">
        <v>14</v>
      </c>
    </row>
    <row r="5316" x14ac:dyDescent="0.25">
      <c r="A5316" t="n">
        <v>25</v>
      </c>
      <c r="B5316" t="s">
        <v>14</v>
      </c>
      <c r="C5316" t="s">
        <v>22</v>
      </c>
      <c r="D5316" s="2" t="s">
        <f>=HYPERLINK("https://main.knesset.gov.il/APPS/legislation/main/bills/2200843", "הצעת חוק יום אבל במות קרוב מדרגה שנייה, התשפ""ג-2023")</f>
        <v>9865</v>
      </c>
      <c r="E5316" t="s">
        <v>9865</v>
      </c>
      <c r="F5316" t="s">
        <v>10782</v>
      </c>
      <c r="G5316" t="s">
        <v>14</v>
      </c>
      <c r="H5316">
             </c>
      <c r="I5316" t="s">
        <v>14</v>
      </c>
      <c r="J5316" t="s">
        <v>141</v>
      </c>
      <c r="K5316" t="s">
        <v>14</v>
      </c>
      <c r="L5316" t="s">
        <v>20</v>
      </c>
      <c r="M5316" t="s">
        <v>10768</v>
      </c>
      <c r="N5316" t="s">
        <v>14</v>
      </c>
    </row>
    <row r="5317" x14ac:dyDescent="0.25">
      <c r="A5317" t="n">
        <v>25</v>
      </c>
      <c r="B5317" t="s">
        <v>14</v>
      </c>
      <c r="C5317" t="s">
        <v>22</v>
      </c>
      <c r="D5317" s="2" t="s">
        <f>=HYPERLINK("https://main.knesset.gov.il/APPS/legislation/main/bills/2200909", "הצעת חוק הסדרי עבודה גמישים, התשפ""ג-2023")</f>
        <v>10783</v>
      </c>
      <c r="E5317" t="s">
        <v>10783</v>
      </c>
      <c r="F5317" t="s">
        <v>10784</v>
      </c>
      <c r="G5317" t="s">
        <v>14</v>
      </c>
      <c r="H5317">
             </c>
      <c r="I5317" t="s">
        <v>14</v>
      </c>
      <c r="J5317" t="s">
        <v>141</v>
      </c>
      <c r="K5317" t="s">
        <v>14</v>
      </c>
      <c r="L5317" t="s">
        <v>20</v>
      </c>
      <c r="M5317" t="s">
        <v>10768</v>
      </c>
      <c r="N5317" t="s">
        <v>14</v>
      </c>
    </row>
    <row r="5318" x14ac:dyDescent="0.25">
      <c r="A5318" t="n">
        <v>25</v>
      </c>
      <c r="B5318" t="s">
        <v>14</v>
      </c>
      <c r="C5318" t="s">
        <v>22</v>
      </c>
      <c r="D5318" s="2" t="s">
        <f>=HYPERLINK("https://main.knesset.gov.il/APPS/legislation/main/bills/2200942", "הצעת חוק ביטוח בריאות ממלכתי (תיקון - הגבלת סכום ההשתתפות העצמית בתכשיר מרשם), התשפ""ג-2023")</f>
        <v>9714</v>
      </c>
      <c r="E5318" t="s">
        <v>9714</v>
      </c>
      <c r="F5318" t="s">
        <v>10785</v>
      </c>
      <c r="G5318" t="s">
        <v>14</v>
      </c>
      <c r="H5318">
             </c>
      <c r="I5318" t="s">
        <v>14</v>
      </c>
      <c r="J5318" t="s">
        <v>141</v>
      </c>
      <c r="K5318" t="s">
        <v>14</v>
      </c>
      <c r="L5318" t="s">
        <v>20</v>
      </c>
      <c r="M5318" t="s">
        <v>10768</v>
      </c>
      <c r="N5318" t="s">
        <v>14</v>
      </c>
    </row>
    <row r="5319" x14ac:dyDescent="0.25">
      <c r="A5319" t="n">
        <v>25</v>
      </c>
      <c r="B5319" t="s">
        <v>14</v>
      </c>
      <c r="C5319" t="s">
        <v>22</v>
      </c>
      <c r="D5319" s="2" t="s">
        <f>=HYPERLINK("https://main.knesset.gov.il/APPS/legislation/main/bills/2200530", "הצעת חוק המזונות (הבטחת תשלום) (תיקון - סכום שלא יובא בחשבון במבחן ההכנסה), התשפ""ג-2023")</f>
        <v>10351</v>
      </c>
      <c r="E5319" t="s">
        <v>10351</v>
      </c>
      <c r="F5319" t="s">
        <v>10786</v>
      </c>
      <c r="G5319" t="s">
        <v>14</v>
      </c>
      <c r="H5319">
             </c>
      <c r="I5319" t="s">
        <v>14</v>
      </c>
      <c r="J5319" t="s">
        <v>141</v>
      </c>
      <c r="K5319" t="s">
        <v>14</v>
      </c>
      <c r="L5319" t="s">
        <v>20</v>
      </c>
      <c r="M5319" t="s">
        <v>10768</v>
      </c>
      <c r="N5319" t="s">
        <v>14</v>
      </c>
    </row>
    <row r="5320" x14ac:dyDescent="0.25">
      <c r="A5320" t="n">
        <v>25</v>
      </c>
      <c r="B5320" t="s">
        <v>14</v>
      </c>
      <c r="C5320" t="s">
        <v>22</v>
      </c>
      <c r="D5320" s="2" t="s">
        <f>=HYPERLINK("https://main.knesset.gov.il/APPS/legislation/main/bills/2199154", "הצעת חוק הביטוח הלאומי (תיקון - ביטול הפחתה של גמלת סיעוד למי שמעסיק עובד זר), התשפ""ג-2023")</f>
        <v>9526</v>
      </c>
      <c r="E5320" t="s">
        <v>9526</v>
      </c>
      <c r="F5320" t="s">
        <v>10787</v>
      </c>
      <c r="G5320" t="s">
        <v>14</v>
      </c>
      <c r="H5320">
             </c>
      <c r="I5320" t="s">
        <v>14</v>
      </c>
      <c r="J5320" t="s">
        <v>141</v>
      </c>
      <c r="K5320" t="s">
        <v>14</v>
      </c>
      <c r="L5320" t="s">
        <v>20</v>
      </c>
      <c r="M5320" t="s">
        <v>10768</v>
      </c>
      <c r="N5320" t="s">
        <v>14</v>
      </c>
    </row>
    <row r="5321" x14ac:dyDescent="0.25">
      <c r="A5321" t="n">
        <v>25</v>
      </c>
      <c r="B5321" t="s">
        <v>14</v>
      </c>
      <c r="C5321" t="s">
        <v>22</v>
      </c>
      <c r="D5321" s="2" t="s">
        <f>=HYPERLINK("https://main.knesset.gov.il/APPS/legislation/main/bills/2200742", "הצעת חוק הביטוח הלאומי (תיקון - גמלת אבל לעצמאים), התשפ""ג-2023")</f>
        <v>8103</v>
      </c>
      <c r="E5321" t="s">
        <v>8103</v>
      </c>
      <c r="F5321" t="s">
        <v>10788</v>
      </c>
      <c r="G5321" t="s">
        <v>14</v>
      </c>
      <c r="H5321">
             </c>
      <c r="I5321" t="s">
        <v>14</v>
      </c>
      <c r="J5321" t="s">
        <v>141</v>
      </c>
      <c r="K5321" t="s">
        <v>14</v>
      </c>
      <c r="L5321" t="s">
        <v>20</v>
      </c>
      <c r="M5321" t="s">
        <v>10768</v>
      </c>
      <c r="N5321" t="s">
        <v>14</v>
      </c>
    </row>
    <row r="5322" x14ac:dyDescent="0.25">
      <c r="A5322" t="n">
        <v>25</v>
      </c>
      <c r="B5322" t="s">
        <v>14</v>
      </c>
      <c r="C5322" t="s">
        <v>22</v>
      </c>
      <c r="D5322" s="2" t="s">
        <f>=HYPERLINK("https://main.knesset.gov.il/APPS/legislation/main/bills/2198966", "הצעת חוק לתיקון פקודת סדר הדין הפלילי (מעצר וחיפוש) (סמכות חיפוש בלא צו) (הוראת שעה), התשפ""ג-2023")</f>
        <v>10789</v>
      </c>
      <c r="E5322" t="s">
        <v>10789</v>
      </c>
      <c r="F5322" t="s">
        <v>10790</v>
      </c>
      <c r="G5322" t="s">
        <v>14</v>
      </c>
      <c r="H5322">
             </c>
      <c r="I5322" t="s">
        <v>14</v>
      </c>
      <c r="J5322" t="s">
        <v>141</v>
      </c>
      <c r="K5322" t="s">
        <v>14</v>
      </c>
      <c r="L5322" t="s">
        <v>20</v>
      </c>
      <c r="M5322" t="s">
        <v>10768</v>
      </c>
      <c r="N5322" t="s">
        <v>14</v>
      </c>
    </row>
    <row r="5323" x14ac:dyDescent="0.25">
      <c r="A5323" t="n">
        <v>25</v>
      </c>
      <c r="B5323" t="s">
        <v>14</v>
      </c>
      <c r="C5323" t="s">
        <v>22</v>
      </c>
      <c r="D5323" s="2" t="s">
        <f>=HYPERLINK("https://main.knesset.gov.il/APPS/legislation/main/bills/2198019", "הצעת חוק למניעת הטרדה מינית (תיקון - פגיעה בפרטיות בעלת אופי מיני), התשפ""ג-2023")</f>
        <v>10791</v>
      </c>
      <c r="E5323" t="s">
        <v>10791</v>
      </c>
      <c r="F5323" t="s">
        <v>10792</v>
      </c>
      <c r="G5323" t="s">
        <v>14</v>
      </c>
      <c r="H5323">
             </c>
      <c r="I5323" t="s">
        <v>14</v>
      </c>
      <c r="J5323" t="s">
        <v>141</v>
      </c>
      <c r="K5323" t="s">
        <v>14</v>
      </c>
      <c r="L5323" t="s">
        <v>20</v>
      </c>
      <c r="M5323" t="s">
        <v>10768</v>
      </c>
      <c r="N5323" t="s">
        <v>14</v>
      </c>
    </row>
    <row r="5324" x14ac:dyDescent="0.25">
      <c r="A5324" t="n">
        <v>25</v>
      </c>
      <c r="B5324" t="s">
        <v>14</v>
      </c>
      <c r="C5324" t="s">
        <v>22</v>
      </c>
      <c r="D5324" s="2" t="s">
        <f>=HYPERLINK("https://main.knesset.gov.il/APPS/legislation/main/bills/2198024", "הצעת חוק העונשין (תיקון - איסור תיעוד של חיילי צה""ל), התשפ""ג-2023")</f>
        <v>10793</v>
      </c>
      <c r="E5324" t="s">
        <v>10793</v>
      </c>
      <c r="F5324" t="s">
        <v>10794</v>
      </c>
      <c r="G5324" t="s">
        <v>14</v>
      </c>
      <c r="H5324">
             </c>
      <c r="I5324" t="s">
        <v>14</v>
      </c>
      <c r="J5324" t="s">
        <v>141</v>
      </c>
      <c r="K5324" t="s">
        <v>14</v>
      </c>
      <c r="L5324" t="s">
        <v>20</v>
      </c>
      <c r="M5324" t="s">
        <v>10768</v>
      </c>
      <c r="N5324" t="s">
        <v>14</v>
      </c>
    </row>
    <row r="5325" x14ac:dyDescent="0.25">
      <c r="A5325" t="n">
        <v>25</v>
      </c>
      <c r="B5325" t="s">
        <v>14</v>
      </c>
      <c r="C5325" t="s">
        <v>22</v>
      </c>
      <c r="D5325" s="2" t="s">
        <f>=HYPERLINK("https://main.knesset.gov.il/APPS/legislation/main/bills/2198175", "הצעת חוק שירות המדינה (מינויים) (תיקון - מינוי סגני מנהלים כלליים), התשפ""ג-2023")</f>
        <v>10795</v>
      </c>
      <c r="E5325" t="s">
        <v>10795</v>
      </c>
      <c r="F5325" t="s">
        <v>10796</v>
      </c>
      <c r="G5325" t="s">
        <v>14</v>
      </c>
      <c r="H5325">
             </c>
      <c r="I5325" t="s">
        <v>14</v>
      </c>
      <c r="J5325" t="s">
        <v>141</v>
      </c>
      <c r="K5325" t="s">
        <v>14</v>
      </c>
      <c r="L5325" t="s">
        <v>20</v>
      </c>
      <c r="M5325" t="s">
        <v>10768</v>
      </c>
      <c r="N5325" t="s">
        <v>14</v>
      </c>
    </row>
    <row r="5326" x14ac:dyDescent="0.25">
      <c r="A5326" t="n">
        <v>25</v>
      </c>
      <c r="B5326" t="s">
        <v>14</v>
      </c>
      <c r="C5326" t="s">
        <v>22</v>
      </c>
      <c r="D5326" s="2" t="s">
        <f>=HYPERLINK("https://main.knesset.gov.il/APPS/legislation/main/bills/2200340", "הצעת חוק ביטוח בריאות ממלכתי (תיקון - החזר דמי נסיעות עבור חולה סיעודי וחולה שנפטר), התשפ""ג-2023")</f>
        <v>9808</v>
      </c>
      <c r="E5326" t="s">
        <v>9808</v>
      </c>
      <c r="F5326" t="s">
        <v>10797</v>
      </c>
      <c r="G5326" t="s">
        <v>14</v>
      </c>
      <c r="H5326">
             </c>
      <c r="I5326" t="s">
        <v>14</v>
      </c>
      <c r="J5326" t="s">
        <v>141</v>
      </c>
      <c r="K5326" t="s">
        <v>14</v>
      </c>
      <c r="L5326" t="s">
        <v>20</v>
      </c>
      <c r="M5326" t="s">
        <v>10768</v>
      </c>
      <c r="N5326" t="s">
        <v>14</v>
      </c>
    </row>
    <row r="5327" x14ac:dyDescent="0.25">
      <c r="A5327" t="n">
        <v>25</v>
      </c>
      <c r="B5327" t="s">
        <v>14</v>
      </c>
      <c r="C5327" t="s">
        <v>22</v>
      </c>
      <c r="D5327" s="2" t="s">
        <f>=HYPERLINK("https://main.knesset.gov.il/APPS/legislation/main/bills/2200502", "הצעת חוק הבטחת הכנסה (תיקון - זכויות נשים ששהו במקלט לנשים מוכות), התשפ""ג-2023")</f>
        <v>9190</v>
      </c>
      <c r="E5327" t="s">
        <v>9190</v>
      </c>
      <c r="F5327" t="s">
        <v>10798</v>
      </c>
      <c r="G5327" t="s">
        <v>14</v>
      </c>
      <c r="H5327">
             </c>
      <c r="I5327" t="s">
        <v>14</v>
      </c>
      <c r="J5327" t="s">
        <v>343</v>
      </c>
      <c r="K5327" t="s">
        <v>14</v>
      </c>
      <c r="L5327" t="s">
        <v>20</v>
      </c>
      <c r="M5327" t="s">
        <v>10768</v>
      </c>
      <c r="N5327" t="s">
        <v>14</v>
      </c>
    </row>
    <row r="5328" x14ac:dyDescent="0.25">
      <c r="A5328" t="n">
        <v>25</v>
      </c>
      <c r="B5328" t="s">
        <v>14</v>
      </c>
      <c r="C5328" t="s">
        <v>22</v>
      </c>
      <c r="D5328" s="2" t="s">
        <f>=HYPERLINK("https://main.knesset.gov.il/APPS/legislation/main/bills/2200364", "הצעת חוק הלוואות לדיור (תיקון - מענק מיוחד לרכישת דירת מגורים מזכה באזור עדיפות לאומית), התשפ""ג-2023")</f>
        <v>10799</v>
      </c>
      <c r="E5328" t="s">
        <v>10799</v>
      </c>
      <c r="F5328" t="s">
        <v>10800</v>
      </c>
      <c r="G5328" t="s">
        <v>14</v>
      </c>
      <c r="H5328">
             </c>
      <c r="I5328" t="s">
        <v>14</v>
      </c>
      <c r="J5328" t="s">
        <v>141</v>
      </c>
      <c r="K5328" t="s">
        <v>14</v>
      </c>
      <c r="L5328" t="s">
        <v>20</v>
      </c>
      <c r="M5328" t="s">
        <v>10768</v>
      </c>
      <c r="N5328" t="s">
        <v>14</v>
      </c>
    </row>
    <row r="5329" x14ac:dyDescent="0.25">
      <c r="A5329" t="n">
        <v>25</v>
      </c>
      <c r="B5329" t="s">
        <v>14</v>
      </c>
      <c r="C5329" t="s">
        <v>22</v>
      </c>
      <c r="D5329" s="2" t="s">
        <f>=HYPERLINK("https://main.knesset.gov.il/APPS/legislation/main/bills/2199005", "הצעת חוק הביטוח הלאומי (תיקון - זכאות לדמי אבטלה מגיל 19), התשפ""ג-2023")</f>
        <v>10031</v>
      </c>
      <c r="E5329" t="s">
        <v>10031</v>
      </c>
      <c r="F5329" t="s">
        <v>10801</v>
      </c>
      <c r="G5329" t="s">
        <v>14</v>
      </c>
      <c r="H5329">
             </c>
      <c r="I5329" t="s">
        <v>14</v>
      </c>
      <c r="J5329" t="s">
        <v>141</v>
      </c>
      <c r="K5329" t="s">
        <v>14</v>
      </c>
      <c r="L5329" t="s">
        <v>20</v>
      </c>
      <c r="M5329" t="s">
        <v>10768</v>
      </c>
      <c r="N5329" t="s">
        <v>14</v>
      </c>
    </row>
    <row r="5330" x14ac:dyDescent="0.25">
      <c r="A5330" t="n">
        <v>25</v>
      </c>
      <c r="B5330" t="s">
        <v>14</v>
      </c>
      <c r="C5330" t="s">
        <v>22</v>
      </c>
      <c r="D5330" s="2" t="s">
        <f>=HYPERLINK("https://main.knesset.gov.il/APPS/legislation/main/bills/2200984", "הצעת חוק השמירה על המקומות הקדושים (תיקון - הבטחת פלורליזם דתי), התשפ""ג-2023")</f>
        <v>10802</v>
      </c>
      <c r="E5330" t="s">
        <v>10802</v>
      </c>
      <c r="F5330" t="s">
        <v>10803</v>
      </c>
      <c r="G5330" t="s">
        <v>14</v>
      </c>
      <c r="H5330">
             </c>
      <c r="I5330" t="s">
        <v>14</v>
      </c>
      <c r="J5330" t="s">
        <v>141</v>
      </c>
      <c r="K5330" t="s">
        <v>14</v>
      </c>
      <c r="L5330" t="s">
        <v>20</v>
      </c>
      <c r="M5330" t="s">
        <v>10768</v>
      </c>
      <c r="N5330" t="s">
        <v>14</v>
      </c>
    </row>
    <row r="5331" x14ac:dyDescent="0.25">
      <c r="A5331" t="n">
        <v>25</v>
      </c>
      <c r="B5331" t="s">
        <v>14</v>
      </c>
      <c r="C5331" t="s">
        <v>22</v>
      </c>
      <c r="D5331" s="2" t="s">
        <f>=HYPERLINK("https://main.knesset.gov.il/APPS/legislation/main/bills/2200906", "הצעת חוק שיקום שכונות דרום תל אביב (תמריצים לפיזור גיאוגרפי של מסתננים) (הוראת שעה), התשפ""ג-2023")</f>
        <v>10804</v>
      </c>
      <c r="E5331" t="s">
        <v>10804</v>
      </c>
      <c r="F5331" t="s">
        <v>10805</v>
      </c>
      <c r="G5331" t="s">
        <v>14</v>
      </c>
      <c r="H5331">
             </c>
      <c r="I5331" t="s">
        <v>14</v>
      </c>
      <c r="J5331" t="s">
        <v>141</v>
      </c>
      <c r="K5331" t="s">
        <v>14</v>
      </c>
      <c r="L5331" t="s">
        <v>20</v>
      </c>
      <c r="M5331" t="s">
        <v>10768</v>
      </c>
      <c r="N5331" t="s">
        <v>14</v>
      </c>
    </row>
    <row r="5332" x14ac:dyDescent="0.25">
      <c r="A5332" t="n">
        <v>25</v>
      </c>
      <c r="B5332" t="s">
        <v>14</v>
      </c>
      <c r="C5332" t="s">
        <v>22</v>
      </c>
      <c r="D5332" s="2" t="s">
        <f>=HYPERLINK("https://main.knesset.gov.il/APPS/legislation/main/bills/2199817", "הצעת חוק שירות הביטחון הכללי (תיקון - סיוע בטיפול בפשיעה פלילית חמורה), התשפ""ג-2023")</f>
        <v>9251</v>
      </c>
      <c r="E5332" t="s">
        <v>9251</v>
      </c>
      <c r="F5332" t="s">
        <v>10806</v>
      </c>
      <c r="G5332" t="s">
        <v>14</v>
      </c>
      <c r="H5332">
             </c>
      <c r="I5332" t="s">
        <v>14</v>
      </c>
      <c r="J5332" t="s">
        <v>141</v>
      </c>
      <c r="K5332" t="s">
        <v>14</v>
      </c>
      <c r="L5332" t="s">
        <v>20</v>
      </c>
      <c r="M5332" t="s">
        <v>10768</v>
      </c>
      <c r="N5332" t="s">
        <v>14</v>
      </c>
    </row>
    <row r="5333" x14ac:dyDescent="0.25">
      <c r="A5333" t="n">
        <v>25</v>
      </c>
      <c r="B5333" t="s">
        <v>14</v>
      </c>
      <c r="C5333" t="s">
        <v>22</v>
      </c>
      <c r="D5333" s="2" t="s">
        <f>=HYPERLINK("https://main.knesset.gov.il/APPS/legislation/main/bills/2198383", "הצעת חוק עידוד תרומות מזון (תיקון - הצלת מזון), התשפ""ג-2023")</f>
        <v>10344</v>
      </c>
      <c r="E5333" t="s">
        <v>10344</v>
      </c>
      <c r="F5333" t="s">
        <v>10807</v>
      </c>
      <c r="G5333" t="s">
        <v>14</v>
      </c>
      <c r="H5333">
             </c>
      <c r="I5333" t="s">
        <v>14</v>
      </c>
      <c r="J5333" t="s">
        <v>141</v>
      </c>
      <c r="K5333" t="s">
        <v>14</v>
      </c>
      <c r="L5333" t="s">
        <v>20</v>
      </c>
      <c r="M5333" t="s">
        <v>10768</v>
      </c>
      <c r="N5333" t="s">
        <v>14</v>
      </c>
    </row>
    <row r="5334" x14ac:dyDescent="0.25">
      <c r="A5334" t="n">
        <v>25</v>
      </c>
      <c r="B5334" t="s">
        <v>14</v>
      </c>
      <c r="C5334" t="s">
        <v>22</v>
      </c>
      <c r="D5334" s="2" t="s">
        <f>=HYPERLINK("https://main.knesset.gov.il/APPS/legislation/main/bills/2199405", "הצעת חוק הנחות בתעריפי מים וחשמל לבתי תפילה (תיקוני חקיקה) (הוראת שעה), התשפ""ג-2023")</f>
        <v>10808</v>
      </c>
      <c r="E5334" t="s">
        <v>10808</v>
      </c>
      <c r="F5334" t="s">
        <v>10809</v>
      </c>
      <c r="G5334" t="s">
        <v>14</v>
      </c>
      <c r="H5334">
             </c>
      <c r="I5334" t="s">
        <v>14</v>
      </c>
      <c r="J5334" t="s">
        <v>343</v>
      </c>
      <c r="K5334" t="s">
        <v>14</v>
      </c>
      <c r="L5334" t="s">
        <v>20</v>
      </c>
      <c r="M5334" t="s">
        <v>10768</v>
      </c>
      <c r="N5334" t="s">
        <v>14</v>
      </c>
    </row>
    <row r="5335" x14ac:dyDescent="0.25">
      <c r="A5335" t="n">
        <v>25</v>
      </c>
      <c r="B5335" t="s">
        <v>14</v>
      </c>
      <c r="C5335" t="s">
        <v>22</v>
      </c>
      <c r="D5335" s="2" t="s">
        <f>=HYPERLINK("https://main.knesset.gov.il/APPS/legislation/main/bills/2199991", "הצעת חוק התכנון והבנייה (תיקון מס' 117 - הוראת שעה) (תיקון - הארכת הוראת השעה), התשפ""ג-2023")</f>
        <v>10810</v>
      </c>
      <c r="E5335" t="s">
        <v>10810</v>
      </c>
      <c r="F5335" t="s">
        <v>10811</v>
      </c>
      <c r="G5335" t="s">
        <v>14</v>
      </c>
      <c r="H5335">
             </c>
      <c r="I5335" t="s">
        <v>14</v>
      </c>
      <c r="J5335" t="s">
        <v>141</v>
      </c>
      <c r="K5335" t="s">
        <v>14</v>
      </c>
      <c r="L5335" t="s">
        <v>20</v>
      </c>
      <c r="M5335" t="s">
        <v>10768</v>
      </c>
      <c r="N5335" t="s">
        <v>14</v>
      </c>
    </row>
    <row r="5336" x14ac:dyDescent="0.25">
      <c r="A5336" t="n">
        <v>25</v>
      </c>
      <c r="B5336" t="s">
        <v>14</v>
      </c>
      <c r="C5336" t="s">
        <v>22</v>
      </c>
      <c r="D5336" s="2" t="s">
        <f>=HYPERLINK("https://main.knesset.gov.il/APPS/legislation/main/bills/2200986", "הצעת חוק התכנון והבנייה (תיקון - חובת שידור והקלטת ישיבות, ניהול פרוטוקול ופרסומו), התשפ""ג-2023")</f>
        <v>10812</v>
      </c>
      <c r="E5336" t="s">
        <v>10812</v>
      </c>
      <c r="F5336" t="s">
        <v>10813</v>
      </c>
      <c r="G5336" t="s">
        <v>14</v>
      </c>
      <c r="H5336">
             </c>
      <c r="I5336" t="s">
        <v>14</v>
      </c>
      <c r="J5336" t="s">
        <v>141</v>
      </c>
      <c r="K5336" t="s">
        <v>14</v>
      </c>
      <c r="L5336" t="s">
        <v>20</v>
      </c>
      <c r="M5336" t="s">
        <v>10768</v>
      </c>
      <c r="N5336" t="s">
        <v>14</v>
      </c>
    </row>
    <row r="5337" x14ac:dyDescent="0.25">
      <c r="A5337" t="n">
        <v>25</v>
      </c>
      <c r="B5337" t="s">
        <v>14</v>
      </c>
      <c r="C5337" t="s">
        <v>22</v>
      </c>
      <c r="D5337" s="2" t="s">
        <f>=HYPERLINK("https://main.knesset.gov.il/APPS/legislation/main/bills/2200720", "הצעת חוק לתיקון פקודת מס הכנסה (ניכוי הוצאות בשל ארוחה עסקית לעצמאים), התשפ""ג-2023")</f>
        <v>10335</v>
      </c>
      <c r="E5337" t="s">
        <v>10335</v>
      </c>
      <c r="F5337" t="s">
        <v>10814</v>
      </c>
      <c r="G5337" t="s">
        <v>14</v>
      </c>
      <c r="H5337">
             </c>
      <c r="I5337" t="s">
        <v>14</v>
      </c>
      <c r="J5337" t="s">
        <v>141</v>
      </c>
      <c r="K5337" t="s">
        <v>14</v>
      </c>
      <c r="L5337" t="s">
        <v>20</v>
      </c>
      <c r="M5337" t="s">
        <v>10768</v>
      </c>
      <c r="N5337" t="s">
        <v>14</v>
      </c>
    </row>
    <row r="5338" x14ac:dyDescent="0.25">
      <c r="A5338" t="n">
        <v>25</v>
      </c>
      <c r="B5338" t="s">
        <v>14</v>
      </c>
      <c r="C5338" t="s">
        <v>22</v>
      </c>
      <c r="D5338" s="2" t="s">
        <f>=HYPERLINK("https://main.knesset.gov.il/APPS/legislation/main/bills/2200933", "הצעת חוק איסור לשון הרע (תיקון - השתייכות חברתית), התשפ""ג-2023")</f>
        <v>10815</v>
      </c>
      <c r="E5338" t="s">
        <v>10815</v>
      </c>
      <c r="F5338" t="s">
        <v>10816</v>
      </c>
      <c r="G5338" t="s">
        <v>14</v>
      </c>
      <c r="H5338">
             </c>
      <c r="I5338" t="s">
        <v>14</v>
      </c>
      <c r="J5338" t="s">
        <v>141</v>
      </c>
      <c r="K5338" t="s">
        <v>14</v>
      </c>
      <c r="L5338" t="s">
        <v>20</v>
      </c>
      <c r="M5338" t="s">
        <v>10768</v>
      </c>
      <c r="N5338" t="s">
        <v>14</v>
      </c>
    </row>
    <row r="5339" x14ac:dyDescent="0.25">
      <c r="A5339" t="n">
        <v>25</v>
      </c>
      <c r="B5339" t="s">
        <v>14</v>
      </c>
      <c r="C5339" t="s">
        <v>22</v>
      </c>
      <c r="D5339" s="2" t="s">
        <f>=HYPERLINK("https://main.knesset.gov.il/APPS/legislation/main/bills/2198612", "הצעת חוק העונשין (תיקון - עונש מינימום למצית נכס ציבורי) (הוראת שעה), התשפ""ג-2023")</f>
        <v>10377</v>
      </c>
      <c r="E5339" t="s">
        <v>10377</v>
      </c>
      <c r="F5339" t="s">
        <v>10817</v>
      </c>
      <c r="G5339" t="s">
        <v>14</v>
      </c>
      <c r="H5339">
             </c>
      <c r="I5339" t="s">
        <v>14</v>
      </c>
      <c r="J5339" t="s">
        <v>141</v>
      </c>
      <c r="K5339" t="s">
        <v>14</v>
      </c>
      <c r="L5339" t="s">
        <v>20</v>
      </c>
      <c r="M5339" t="s">
        <v>10768</v>
      </c>
      <c r="N5339" t="s">
        <v>14</v>
      </c>
    </row>
    <row r="5340" x14ac:dyDescent="0.25">
      <c r="A5340" t="n">
        <v>25</v>
      </c>
      <c r="B5340" t="s">
        <v>14</v>
      </c>
      <c r="C5340" t="s">
        <v>22</v>
      </c>
      <c r="D5340" s="2" t="s">
        <f>=HYPERLINK("https://main.knesset.gov.il/APPS/legislation/main/bills/2200816", "הצעת חוק העונשין (תיקון - תקיפת עורך דין כתקיפת עובד ציבור), התשפ""ג-2023")</f>
        <v>8627</v>
      </c>
      <c r="E5340" t="s">
        <v>8627</v>
      </c>
      <c r="F5340" t="s">
        <v>10818</v>
      </c>
      <c r="G5340" t="s">
        <v>14</v>
      </c>
      <c r="H5340">
             </c>
      <c r="I5340" t="s">
        <v>14</v>
      </c>
      <c r="J5340" t="s">
        <v>141</v>
      </c>
      <c r="K5340" t="s">
        <v>14</v>
      </c>
      <c r="L5340" t="s">
        <v>20</v>
      </c>
      <c r="M5340" t="s">
        <v>10768</v>
      </c>
      <c r="N5340" t="s">
        <v>14</v>
      </c>
    </row>
    <row r="5341" x14ac:dyDescent="0.25">
      <c r="A5341" t="n">
        <v>25</v>
      </c>
      <c r="B5341" t="s">
        <v>14</v>
      </c>
      <c r="C5341" t="s">
        <v>22</v>
      </c>
      <c r="D5341" s="2" t="s">
        <f>=HYPERLINK("https://main.knesset.gov.il/APPS/legislation/main/bills/2200976", "הצעת חוק הערבות (תיקון - ביטול החוק), התשפ""ג-2023")</f>
        <v>10819</v>
      </c>
      <c r="E5341" t="s">
        <v>10819</v>
      </c>
      <c r="F5341" t="s">
        <v>10820</v>
      </c>
      <c r="G5341" t="s">
        <v>14</v>
      </c>
      <c r="H5341">
             </c>
      <c r="I5341" t="s">
        <v>14</v>
      </c>
      <c r="J5341" t="s">
        <v>141</v>
      </c>
      <c r="K5341" t="s">
        <v>14</v>
      </c>
      <c r="L5341" t="s">
        <v>20</v>
      </c>
      <c r="M5341" t="s">
        <v>10768</v>
      </c>
      <c r="N5341" t="s">
        <v>14</v>
      </c>
    </row>
    <row r="5342" x14ac:dyDescent="0.25">
      <c r="A5342" t="n">
        <v>25</v>
      </c>
      <c r="B5342" t="s">
        <v>14</v>
      </c>
      <c r="C5342" t="s">
        <v>22</v>
      </c>
      <c r="D5342" s="2" t="s">
        <f>=HYPERLINK("https://main.knesset.gov.il/APPS/legislation/main/bills/2200255", "הצעת חוק סל הקליטה (תיקון - עדכון סל הקליטה), התשפ""ג-2023")</f>
        <v>10821</v>
      </c>
      <c r="E5342" t="s">
        <v>10821</v>
      </c>
      <c r="F5342" t="s">
        <v>10822</v>
      </c>
      <c r="G5342" t="s">
        <v>14</v>
      </c>
      <c r="H5342">
             </c>
      <c r="I5342" t="s">
        <v>14</v>
      </c>
      <c r="J5342" t="s">
        <v>141</v>
      </c>
      <c r="K5342" t="s">
        <v>14</v>
      </c>
      <c r="L5342" t="s">
        <v>20</v>
      </c>
      <c r="M5342" t="s">
        <v>10768</v>
      </c>
      <c r="N5342" t="s">
        <v>14</v>
      </c>
    </row>
    <row r="5343" x14ac:dyDescent="0.25">
      <c r="A5343" t="n">
        <v>25</v>
      </c>
      <c r="B5343" t="s">
        <v>14</v>
      </c>
      <c r="C5343" t="s">
        <v>22</v>
      </c>
      <c r="D5343" s="2" t="s">
        <f>=HYPERLINK("https://main.knesset.gov.il/APPS/legislation/main/bills/2200972", "הצעת חוק העונשין (תיקון - עבירות מין במשפחה), התשפ""ג-2023")</f>
        <v>10823</v>
      </c>
      <c r="E5343" t="s">
        <v>10823</v>
      </c>
      <c r="F5343" t="s">
        <v>10824</v>
      </c>
      <c r="G5343" t="s">
        <v>14</v>
      </c>
      <c r="H5343">
             </c>
      <c r="I5343" t="s">
        <v>14</v>
      </c>
      <c r="J5343" t="s">
        <v>141</v>
      </c>
      <c r="K5343" t="s">
        <v>14</v>
      </c>
      <c r="L5343" t="s">
        <v>20</v>
      </c>
      <c r="M5343" t="s">
        <v>10768</v>
      </c>
      <c r="N5343" t="s">
        <v>14</v>
      </c>
    </row>
    <row r="5344" x14ac:dyDescent="0.25">
      <c r="A5344" t="n">
        <v>25</v>
      </c>
      <c r="B5344" t="s">
        <v>14</v>
      </c>
      <c r="C5344" t="s">
        <v>22</v>
      </c>
      <c r="D5344" s="2" t="s">
        <f>=HYPERLINK("https://main.knesset.gov.il/APPS/legislation/main/bills/2200581", "הצעת חוק לתיקון פקודת מס הכנסה (שינוי מדרגות המס), התשפ""ג-2023")</f>
        <v>10825</v>
      </c>
      <c r="E5344" t="s">
        <v>10825</v>
      </c>
      <c r="F5344" t="s">
        <v>10826</v>
      </c>
      <c r="G5344" t="s">
        <v>14</v>
      </c>
      <c r="H5344">
             </c>
      <c r="I5344" t="s">
        <v>14</v>
      </c>
      <c r="J5344" t="s">
        <v>141</v>
      </c>
      <c r="K5344" t="s">
        <v>14</v>
      </c>
      <c r="L5344" t="s">
        <v>20</v>
      </c>
      <c r="M5344" t="s">
        <v>10768</v>
      </c>
      <c r="N5344" t="s">
        <v>14</v>
      </c>
    </row>
    <row r="5345" x14ac:dyDescent="0.25">
      <c r="A5345" t="n">
        <v>25</v>
      </c>
      <c r="B5345" t="s">
        <v>14</v>
      </c>
      <c r="C5345" t="s">
        <v>22</v>
      </c>
      <c r="D5345" s="2" t="s">
        <f>=HYPERLINK("https://main.knesset.gov.il/APPS/legislation/main/bills/2200463", "הצעת חוק יסודות התקציב (תיקון - אישור הוועדה המשותפת לתקציב הביטחון להחלטות הממשלה להצטיידות או התעצמות), התשפ""ג-2023")</f>
        <v>10827</v>
      </c>
      <c r="E5345" t="s">
        <v>10827</v>
      </c>
      <c r="F5345" t="s">
        <v>10828</v>
      </c>
      <c r="G5345" t="s">
        <v>14</v>
      </c>
      <c r="H5345">
             </c>
      <c r="I5345" t="s">
        <v>14</v>
      </c>
      <c r="J5345" t="s">
        <v>141</v>
      </c>
      <c r="K5345" t="s">
        <v>14</v>
      </c>
      <c r="L5345" t="s">
        <v>20</v>
      </c>
      <c r="M5345" t="s">
        <v>10768</v>
      </c>
      <c r="N5345" t="s">
        <v>14</v>
      </c>
    </row>
    <row r="5346" x14ac:dyDescent="0.25">
      <c r="A5346" t="n">
        <v>25</v>
      </c>
      <c r="B5346" t="s">
        <v>14</v>
      </c>
      <c r="C5346" t="s">
        <v>22</v>
      </c>
      <c r="D5346" s="2" t="s">
        <f>=HYPERLINK("https://main.knesset.gov.il/APPS/legislation/main/bills/2200459", "הצעת חוק תשלומים לחיילים בשירות סדיר (הגנה על תשלומים) (תיקון - הגנה על תשלומים לעולה חדש), התשפ""ג-2023")</f>
        <v>10018</v>
      </c>
      <c r="E5346" t="s">
        <v>10018</v>
      </c>
      <c r="F5346" t="s">
        <v>10829</v>
      </c>
      <c r="G5346" t="s">
        <v>14</v>
      </c>
      <c r="H5346">
             </c>
      <c r="I5346" t="s">
        <v>14</v>
      </c>
      <c r="J5346" t="s">
        <v>141</v>
      </c>
      <c r="K5346" t="s">
        <v>14</v>
      </c>
      <c r="L5346" t="s">
        <v>20</v>
      </c>
      <c r="M5346" t="s">
        <v>10768</v>
      </c>
      <c r="N5346" t="s">
        <v>14</v>
      </c>
    </row>
    <row r="5347" x14ac:dyDescent="0.25">
      <c r="A5347" t="n">
        <v>25</v>
      </c>
      <c r="B5347" t="s">
        <v>14</v>
      </c>
      <c r="C5347" t="s">
        <v>22</v>
      </c>
      <c r="D5347" s="2" t="s">
        <f>=HYPERLINK("https://main.knesset.gov.il/APPS/legislation/main/bills/2196544", "הצעת חוק איסור אלימות בספורט (תיקון - מניעת הרחקה גורפת מאירועי ספורט), התשפ""ג-2023")</f>
        <v>8347</v>
      </c>
      <c r="E5347" t="s">
        <v>8347</v>
      </c>
      <c r="F5347" t="s">
        <v>10830</v>
      </c>
      <c r="G5347" t="s">
        <v>14</v>
      </c>
      <c r="H5347">
             </c>
      <c r="I5347" t="s">
        <v>14</v>
      </c>
      <c r="J5347" t="s">
        <v>141</v>
      </c>
      <c r="K5347" t="s">
        <v>14</v>
      </c>
      <c r="L5347" t="s">
        <v>20</v>
      </c>
      <c r="M5347" t="s">
        <v>10768</v>
      </c>
      <c r="N5347" t="s">
        <v>14</v>
      </c>
    </row>
    <row r="5348" x14ac:dyDescent="0.25">
      <c r="A5348" t="n">
        <v>25</v>
      </c>
      <c r="B5348" t="s">
        <v>14</v>
      </c>
      <c r="C5348" t="s">
        <v>22</v>
      </c>
      <c r="D5348" s="2" t="s">
        <f>=HYPERLINK("https://main.knesset.gov.il/APPS/legislation/main/bills/2198643", "הצעת חוק הסדרים במשק המדינה (תיקוני חקיקה להשגת יעדי התקציב) (תיקון - זכאות להנחה בארנונה בגין ילד נכה נוסף), התשפ""ג-2023")</f>
        <v>10831</v>
      </c>
      <c r="E5348" t="s">
        <v>10831</v>
      </c>
      <c r="F5348" t="s">
        <v>10832</v>
      </c>
      <c r="G5348" t="s">
        <v>14</v>
      </c>
      <c r="H5348">
             </c>
      <c r="I5348" t="s">
        <v>14</v>
      </c>
      <c r="J5348" t="s">
        <v>141</v>
      </c>
      <c r="K5348" t="s">
        <v>14</v>
      </c>
      <c r="L5348" t="s">
        <v>20</v>
      </c>
      <c r="M5348" t="s">
        <v>10768</v>
      </c>
      <c r="N5348" t="s">
        <v>14</v>
      </c>
    </row>
    <row r="5349" x14ac:dyDescent="0.25">
      <c r="A5349" t="n">
        <v>25</v>
      </c>
      <c r="B5349" t="s">
        <v>14</v>
      </c>
      <c r="C5349" t="s">
        <v>22</v>
      </c>
      <c r="D5349" s="2" t="s">
        <f>=HYPERLINK("https://main.knesset.gov.il/APPS/legislation/main/bills/2196517", "הצעת חוק הספורט (תיקון - צירוף נציג אוהדים להנהלת קבוצת כדורגל), התשפ""ג-2023")</f>
        <v>10833</v>
      </c>
      <c r="E5349" t="s">
        <v>10833</v>
      </c>
      <c r="F5349" t="s">
        <v>10834</v>
      </c>
      <c r="G5349" t="s">
        <v>14</v>
      </c>
      <c r="H5349">
             </c>
      <c r="I5349" t="s">
        <v>14</v>
      </c>
      <c r="J5349" t="s">
        <v>141</v>
      </c>
      <c r="K5349" t="s">
        <v>14</v>
      </c>
      <c r="L5349" t="s">
        <v>20</v>
      </c>
      <c r="M5349" t="s">
        <v>10768</v>
      </c>
      <c r="N5349" t="s">
        <v>14</v>
      </c>
    </row>
    <row r="5350" x14ac:dyDescent="0.25">
      <c r="A5350" t="n">
        <v>25</v>
      </c>
      <c r="B5350" t="s">
        <v>14</v>
      </c>
      <c r="C5350" t="s">
        <v>22</v>
      </c>
      <c r="D5350" s="2" t="s">
        <f>=HYPERLINK("https://main.knesset.gov.il/APPS/legislation/main/bills/2200983", "הצעת חוק הרשויות המקומיות (יועצת לענייני מעמד האשה) (תיקון - תקציב ייעודי וייחוד הכהונה), התשפ""ג-2023")</f>
        <v>10835</v>
      </c>
      <c r="E5350" t="s">
        <v>10835</v>
      </c>
      <c r="F5350" t="s">
        <v>10836</v>
      </c>
      <c r="G5350" t="s">
        <v>14</v>
      </c>
      <c r="H5350">
             </c>
      <c r="I5350" t="s">
        <v>14</v>
      </c>
      <c r="J5350" t="s">
        <v>141</v>
      </c>
      <c r="K5350" t="s">
        <v>14</v>
      </c>
      <c r="L5350" t="s">
        <v>20</v>
      </c>
      <c r="M5350" t="s">
        <v>10768</v>
      </c>
      <c r="N5350" t="s">
        <v>14</v>
      </c>
    </row>
    <row r="5351" x14ac:dyDescent="0.25">
      <c r="A5351" t="n">
        <v>25</v>
      </c>
      <c r="B5351" t="s">
        <v>14</v>
      </c>
      <c r="C5351" t="s">
        <v>22</v>
      </c>
      <c r="D5351" s="2" t="s">
        <f>=HYPERLINK("https://main.knesset.gov.il/APPS/legislation/main/bills/2199387", "הצעת חוק התחרות הכלכלית (תיקון - איסור פגיעה ביבוא מקביל או ביבוא אישי) (הוראת שעה), התשפ""ג-2023")</f>
        <v>10631</v>
      </c>
      <c r="E5351" t="s">
        <v>10631</v>
      </c>
      <c r="F5351" t="s">
        <v>10837</v>
      </c>
      <c r="G5351" t="s">
        <v>14</v>
      </c>
      <c r="H5351">
             </c>
      <c r="I5351" t="s">
        <v>14</v>
      </c>
      <c r="J5351" t="s">
        <v>141</v>
      </c>
      <c r="K5351" t="s">
        <v>14</v>
      </c>
      <c r="L5351" t="s">
        <v>20</v>
      </c>
      <c r="M5351" t="s">
        <v>10768</v>
      </c>
      <c r="N5351" t="s">
        <v>14</v>
      </c>
    </row>
    <row r="5352" x14ac:dyDescent="0.25">
      <c r="A5352" t="n">
        <v>25</v>
      </c>
      <c r="B5352" t="s">
        <v>14</v>
      </c>
      <c r="C5352" t="s">
        <v>22</v>
      </c>
      <c r="D5352" s="2" t="s">
        <f>=HYPERLINK("https://main.knesset.gov.il/APPS/legislation/main/bills/2200016", "הצעת חוק הביטוח הלאומי (תיקון - ביטול מעמד עקרת בית), התשפ""ג-2023")</f>
        <v>8039</v>
      </c>
      <c r="E5352" t="s">
        <v>8039</v>
      </c>
      <c r="F5352" t="s">
        <v>10838</v>
      </c>
      <c r="G5352" t="s">
        <v>14</v>
      </c>
      <c r="H5352">
             </c>
      <c r="I5352" t="s">
        <v>14</v>
      </c>
      <c r="J5352" t="s">
        <v>141</v>
      </c>
      <c r="K5352" t="s">
        <v>14</v>
      </c>
      <c r="L5352" t="s">
        <v>20</v>
      </c>
      <c r="M5352" t="s">
        <v>10768</v>
      </c>
      <c r="N5352" t="s">
        <v>14</v>
      </c>
    </row>
    <row r="5353" x14ac:dyDescent="0.25">
      <c r="A5353" t="n">
        <v>25</v>
      </c>
      <c r="B5353" t="s">
        <v>14</v>
      </c>
      <c r="C5353" t="s">
        <v>22</v>
      </c>
      <c r="D5353" s="2" t="s">
        <f>=HYPERLINK("https://main.knesset.gov.il/APPS/legislation/main/bills/2200910", "הצעת חוק הסדרת מעמדם של פליטים ומבקשי מקלט, התשפ""ג-2023")</f>
        <v>10839</v>
      </c>
      <c r="E5353" t="s">
        <v>10839</v>
      </c>
      <c r="F5353" t="s">
        <v>10840</v>
      </c>
      <c r="G5353" t="s">
        <v>14</v>
      </c>
      <c r="H5353">
             </c>
      <c r="I5353" t="s">
        <v>14</v>
      </c>
      <c r="J5353" t="s">
        <v>141</v>
      </c>
      <c r="K5353" t="s">
        <v>14</v>
      </c>
      <c r="L5353" t="s">
        <v>20</v>
      </c>
      <c r="M5353" t="s">
        <v>10768</v>
      </c>
      <c r="N5353" t="s">
        <v>14</v>
      </c>
    </row>
    <row r="5354" x14ac:dyDescent="0.25">
      <c r="A5354" t="n">
        <v>25</v>
      </c>
      <c r="B5354" t="s">
        <v>14</v>
      </c>
      <c r="C5354" t="s">
        <v>22</v>
      </c>
      <c r="D5354" s="2" t="s">
        <f>=HYPERLINK("https://main.knesset.gov.il/APPS/legislation/main/bills/2198945", "הצעת חוק-יסוד: הכנסת (תיקון - הגבלה על התפזרות הכנסת)")</f>
        <v>10841</v>
      </c>
      <c r="E5354" t="s">
        <v>10841</v>
      </c>
      <c r="F5354" t="s">
        <v>10842</v>
      </c>
      <c r="G5354" t="s">
        <v>14</v>
      </c>
      <c r="H5354">
             </c>
      <c r="I5354" t="s">
        <v>14</v>
      </c>
      <c r="J5354" t="s">
        <v>141</v>
      </c>
      <c r="K5354" t="s">
        <v>14</v>
      </c>
      <c r="L5354" t="s">
        <v>20</v>
      </c>
      <c r="M5354" t="s">
        <v>10768</v>
      </c>
      <c r="N5354" t="s">
        <v>14</v>
      </c>
    </row>
    <row r="5355" x14ac:dyDescent="0.25">
      <c r="A5355" t="n">
        <v>25</v>
      </c>
      <c r="B5355" t="s">
        <v>14</v>
      </c>
      <c r="C5355" t="s">
        <v>22</v>
      </c>
      <c r="D5355" s="2" t="s">
        <f>=HYPERLINK("https://main.knesset.gov.il/APPS/legislation/main/bills/2200766", "הצעת חוק איות שמות רחובות, דרכים ומקומות ציבוריים (תיקוני חקיקה), התשפ""ג-2023")</f>
        <v>10843</v>
      </c>
      <c r="E5355" t="s">
        <v>10843</v>
      </c>
      <c r="F5355" t="s">
        <v>10844</v>
      </c>
      <c r="G5355" t="s">
        <v>14</v>
      </c>
      <c r="H5355">
             </c>
      <c r="I5355" t="s">
        <v>14</v>
      </c>
      <c r="J5355" t="s">
        <v>141</v>
      </c>
      <c r="K5355" t="s">
        <v>14</v>
      </c>
      <c r="L5355" t="s">
        <v>20</v>
      </c>
      <c r="M5355" t="s">
        <v>10768</v>
      </c>
      <c r="N5355" t="s">
        <v>14</v>
      </c>
    </row>
    <row r="5356" x14ac:dyDescent="0.25">
      <c r="A5356" t="n">
        <v>25</v>
      </c>
      <c r="B5356" t="s">
        <v>14</v>
      </c>
      <c r="C5356" t="s">
        <v>22</v>
      </c>
      <c r="D5356" s="2" t="s">
        <f>=HYPERLINK("https://main.knesset.gov.il/APPS/legislation/main/bills/2200847", "הצעת חוק אבטחה במוסדות חינוך, התשפ""ג-2023")</f>
        <v>10477</v>
      </c>
      <c r="E5356" t="s">
        <v>10477</v>
      </c>
      <c r="F5356" t="s">
        <v>10845</v>
      </c>
      <c r="G5356" t="s">
        <v>14</v>
      </c>
      <c r="H5356">
             </c>
      <c r="I5356" t="s">
        <v>14</v>
      </c>
      <c r="J5356" t="s">
        <v>141</v>
      </c>
      <c r="K5356" t="s">
        <v>14</v>
      </c>
      <c r="L5356" t="s">
        <v>20</v>
      </c>
      <c r="M5356" t="s">
        <v>10768</v>
      </c>
      <c r="N5356" t="s">
        <v>14</v>
      </c>
    </row>
    <row r="5357" x14ac:dyDescent="0.25">
      <c r="A5357" t="n">
        <v>25</v>
      </c>
      <c r="B5357" t="s">
        <v>14</v>
      </c>
      <c r="C5357" t="s">
        <v>22</v>
      </c>
      <c r="D5357" s="2" t="s">
        <f>=HYPERLINK("https://main.knesset.gov.il/APPS/legislation/main/bills/2200988", "הצעת חוק זכויות הסטודנט (תיקון - פעילות ציבורית), התשפ""ג-2023")</f>
        <v>9716</v>
      </c>
      <c r="E5357" t="s">
        <v>9716</v>
      </c>
      <c r="F5357" t="s">
        <v>10846</v>
      </c>
      <c r="G5357" t="s">
        <v>14</v>
      </c>
      <c r="H5357">
             </c>
      <c r="I5357" t="s">
        <v>14</v>
      </c>
      <c r="J5357" t="s">
        <v>141</v>
      </c>
      <c r="K5357" t="s">
        <v>14</v>
      </c>
      <c r="L5357" t="s">
        <v>20</v>
      </c>
      <c r="M5357" t="s">
        <v>10768</v>
      </c>
      <c r="N5357" t="s">
        <v>14</v>
      </c>
    </row>
    <row r="5358" x14ac:dyDescent="0.25">
      <c r="A5358" t="n">
        <v>25</v>
      </c>
      <c r="B5358" t="s">
        <v>14</v>
      </c>
      <c r="C5358" t="s">
        <v>22</v>
      </c>
      <c r="D5358" s="2" t="s">
        <f>=HYPERLINK("https://main.knesset.gov.il/APPS/legislation/main/bills/2200987", "הצעת חוק התרבות והאומנות (תיקון - הקצאת תקציב שנתי לתרבות ולאומנות), התשפ""ג-2023")</f>
        <v>10847</v>
      </c>
      <c r="E5358" t="s">
        <v>10847</v>
      </c>
      <c r="F5358" t="s">
        <v>10848</v>
      </c>
      <c r="G5358" t="s">
        <v>14</v>
      </c>
      <c r="H5358">
             </c>
      <c r="I5358" t="s">
        <v>14</v>
      </c>
      <c r="J5358" t="s">
        <v>141</v>
      </c>
      <c r="K5358" t="s">
        <v>14</v>
      </c>
      <c r="L5358" t="s">
        <v>20</v>
      </c>
      <c r="M5358" t="s">
        <v>10768</v>
      </c>
      <c r="N5358" t="s">
        <v>14</v>
      </c>
    </row>
    <row r="5359" x14ac:dyDescent="0.25">
      <c r="A5359" t="n">
        <v>25</v>
      </c>
      <c r="B5359" t="s">
        <v>14</v>
      </c>
      <c r="C5359" t="s">
        <v>22</v>
      </c>
      <c r="D5359" s="2" t="s">
        <f>=HYPERLINK("https://main.knesset.gov.il/APPS/legislation/main/bills/2200982", "הצעת חוק הרבנות הראשית לישראל (תיקון - ביטול החוק), התשפ""ג-2023")</f>
        <v>10849</v>
      </c>
      <c r="E5359" t="s">
        <v>10849</v>
      </c>
      <c r="F5359" t="s">
        <v>10850</v>
      </c>
      <c r="G5359" t="s">
        <v>14</v>
      </c>
      <c r="H5359">
             </c>
      <c r="I5359" t="s">
        <v>14</v>
      </c>
      <c r="J5359" t="s">
        <v>141</v>
      </c>
      <c r="K5359" t="s">
        <v>14</v>
      </c>
      <c r="L5359" t="s">
        <v>20</v>
      </c>
      <c r="M5359" t="s">
        <v>10768</v>
      </c>
      <c r="N5359" t="s">
        <v>14</v>
      </c>
    </row>
    <row r="5360" x14ac:dyDescent="0.25">
      <c r="A5360" t="n">
        <v>25</v>
      </c>
      <c r="B5360" t="s">
        <v>14</v>
      </c>
      <c r="C5360" t="s">
        <v>22</v>
      </c>
      <c r="D5360" s="2" t="s">
        <f>=HYPERLINK("https://main.knesset.gov.il/APPS/legislation/main/bills/2200974", "הצעת חוק העסקת עובדי הוראה, התשפ""ג-2023")</f>
        <v>10851</v>
      </c>
      <c r="E5360" t="s">
        <v>10851</v>
      </c>
      <c r="F5360" t="s">
        <v>10852</v>
      </c>
      <c r="G5360" t="s">
        <v>14</v>
      </c>
      <c r="H5360">
             </c>
      <c r="I5360" t="s">
        <v>14</v>
      </c>
      <c r="J5360" t="s">
        <v>141</v>
      </c>
      <c r="K5360" t="s">
        <v>14</v>
      </c>
      <c r="L5360" t="s">
        <v>20</v>
      </c>
      <c r="M5360" t="s">
        <v>10768</v>
      </c>
      <c r="N5360" t="s">
        <v>14</v>
      </c>
    </row>
    <row r="5361" x14ac:dyDescent="0.25">
      <c r="A5361" t="n">
        <v>25</v>
      </c>
      <c r="B5361" t="s">
        <v>14</v>
      </c>
      <c r="C5361" t="s">
        <v>22</v>
      </c>
      <c r="D5361" s="2" t="s">
        <f>=HYPERLINK("https://main.knesset.gov.il/APPS/legislation/main/bills/2200903", "הצעת חוק ברל כצנלסון (ציון זכרו ופועלו), התשפ""ג-2023")</f>
        <v>10853</v>
      </c>
      <c r="E5361" t="s">
        <v>10853</v>
      </c>
      <c r="F5361" t="s">
        <v>10854</v>
      </c>
      <c r="G5361" t="s">
        <v>14</v>
      </c>
      <c r="H5361">
             </c>
      <c r="I5361" t="s">
        <v>14</v>
      </c>
      <c r="J5361" t="s">
        <v>141</v>
      </c>
      <c r="K5361" t="s">
        <v>14</v>
      </c>
      <c r="L5361" t="s">
        <v>20</v>
      </c>
      <c r="M5361" t="s">
        <v>10768</v>
      </c>
      <c r="N5361" t="s">
        <v>14</v>
      </c>
    </row>
    <row r="5362" x14ac:dyDescent="0.25">
      <c r="A5362" t="n">
        <v>25</v>
      </c>
      <c r="B5362" t="s">
        <v>14</v>
      </c>
      <c r="C5362" t="s">
        <v>22</v>
      </c>
      <c r="D5362" s="2" t="s">
        <f>=HYPERLINK("https://main.knesset.gov.il/APPS/legislation/main/bills/2198636", "הצעת חוק חסינות חיילי צה""ל בארועים מבצעיים, התשפ""ג-2023")</f>
        <v>10855</v>
      </c>
      <c r="E5362" t="s">
        <v>10855</v>
      </c>
      <c r="F5362" t="s">
        <v>10856</v>
      </c>
      <c r="G5362" t="s">
        <v>14</v>
      </c>
      <c r="H5362">
             </c>
      <c r="I5362" t="s">
        <v>14</v>
      </c>
      <c r="J5362" t="s">
        <v>141</v>
      </c>
      <c r="K5362" t="s">
        <v>14</v>
      </c>
      <c r="L5362" t="s">
        <v>20</v>
      </c>
      <c r="M5362" t="s">
        <v>10768</v>
      </c>
      <c r="N5362" t="s">
        <v>14</v>
      </c>
    </row>
    <row r="5363" x14ac:dyDescent="0.25">
      <c r="A5363" t="n">
        <v>25</v>
      </c>
      <c r="B5363" t="s">
        <v>14</v>
      </c>
      <c r="C5363" t="s">
        <v>22</v>
      </c>
      <c r="D5363" s="2" t="s">
        <f>=HYPERLINK("https://main.knesset.gov.il/APPS/legislation/main/bills/2200930", "הצעת חוק לתיקון פקודת התעבורה (מרכז שירות ארצי לעניין כרטיס רב-קו), התשפ""ג-2023")</f>
        <v>10857</v>
      </c>
      <c r="E5363" t="s">
        <v>10857</v>
      </c>
      <c r="F5363" t="s">
        <v>10858</v>
      </c>
      <c r="G5363" t="s">
        <v>14</v>
      </c>
      <c r="H5363">
             </c>
      <c r="I5363" t="s">
        <v>14</v>
      </c>
      <c r="J5363" t="s">
        <v>141</v>
      </c>
      <c r="K5363" t="s">
        <v>14</v>
      </c>
      <c r="L5363" t="s">
        <v>20</v>
      </c>
      <c r="M5363" t="s">
        <v>10768</v>
      </c>
      <c r="N5363" t="s">
        <v>14</v>
      </c>
    </row>
    <row r="5364" x14ac:dyDescent="0.25">
      <c r="A5364" t="n">
        <v>25</v>
      </c>
      <c r="B5364" t="s">
        <v>14</v>
      </c>
      <c r="C5364" t="s">
        <v>22</v>
      </c>
      <c r="D5364" s="2" t="s">
        <f>=HYPERLINK("https://main.knesset.gov.il/APPS/legislation/main/bills/2200168", "הצעת חוק הביטוח הלאומי (תיקון - הוראות לעניין עקרת בית), התשפ""ג-2023")</f>
        <v>10100</v>
      </c>
      <c r="E5364" t="s">
        <v>10100</v>
      </c>
      <c r="F5364" t="s">
        <v>10859</v>
      </c>
      <c r="G5364" t="s">
        <v>14</v>
      </c>
      <c r="H5364">
             </c>
      <c r="I5364" t="s">
        <v>14</v>
      </c>
      <c r="J5364" t="s">
        <v>141</v>
      </c>
      <c r="K5364" t="s">
        <v>14</v>
      </c>
      <c r="L5364" t="s">
        <v>20</v>
      </c>
      <c r="M5364" t="s">
        <v>10768</v>
      </c>
      <c r="N5364" t="s">
        <v>14</v>
      </c>
    </row>
    <row r="5365" x14ac:dyDescent="0.25">
      <c r="A5365" t="n">
        <v>25</v>
      </c>
      <c r="B5365" t="s">
        <v>14</v>
      </c>
      <c r="C5365" t="s">
        <v>22</v>
      </c>
      <c r="D5365" s="2" t="s">
        <f>=HYPERLINK("https://main.knesset.gov.il/APPS/legislation/main/bills/2200758", "הצעת חוק הבנקאות (שירות ללקוח) (תיקון - מסירת מידע על עמלות וריביות), התשפ""ג-2023")</f>
        <v>9556</v>
      </c>
      <c r="E5365" t="s">
        <v>9556</v>
      </c>
      <c r="F5365" t="s">
        <v>10860</v>
      </c>
      <c r="G5365" t="s">
        <v>14</v>
      </c>
      <c r="H5365">
             </c>
      <c r="I5365" t="s">
        <v>14</v>
      </c>
      <c r="J5365" t="s">
        <v>141</v>
      </c>
      <c r="K5365" t="s">
        <v>14</v>
      </c>
      <c r="L5365" t="s">
        <v>20</v>
      </c>
      <c r="M5365" t="s">
        <v>10768</v>
      </c>
      <c r="N5365" t="s">
        <v>14</v>
      </c>
    </row>
    <row r="5366" x14ac:dyDescent="0.25">
      <c r="A5366" t="n">
        <v>25</v>
      </c>
      <c r="B5366" t="s">
        <v>14</v>
      </c>
      <c r="C5366" t="s">
        <v>22</v>
      </c>
      <c r="D5366" s="2" t="s">
        <f>=HYPERLINK("https://main.knesset.gov.il/APPS/legislation/main/bills/2200170", "הצעת חוק הביטוח הלאומי (תיקון - עקר בית), התשפ""ג-2023")</f>
        <v>10861</v>
      </c>
      <c r="E5366" t="s">
        <v>10861</v>
      </c>
      <c r="F5366" t="s">
        <v>10862</v>
      </c>
      <c r="G5366" t="s">
        <v>14</v>
      </c>
      <c r="H5366">
             </c>
      <c r="I5366" t="s">
        <v>14</v>
      </c>
      <c r="J5366" t="s">
        <v>141</v>
      </c>
      <c r="K5366" t="s">
        <v>14</v>
      </c>
      <c r="L5366" t="s">
        <v>20</v>
      </c>
      <c r="M5366" t="s">
        <v>10768</v>
      </c>
      <c r="N5366" t="s">
        <v>14</v>
      </c>
    </row>
    <row r="5367" x14ac:dyDescent="0.25">
      <c r="A5367" t="n">
        <v>25</v>
      </c>
      <c r="B5367" t="s">
        <v>14</v>
      </c>
      <c r="C5367" t="s">
        <v>22</v>
      </c>
      <c r="D5367" s="2" t="s">
        <f>=HYPERLINK("https://main.knesset.gov.il/APPS/legislation/main/bills/2200837", "הצעת חוק לתיקון פקודת התעבורה (קביעת קנס בגין גביית יתר של שכר הסעה במונית), התשפ""ג-2023")</f>
        <v>10863</v>
      </c>
      <c r="E5367" t="s">
        <v>10863</v>
      </c>
      <c r="F5367" t="s">
        <v>10864</v>
      </c>
      <c r="G5367" t="s">
        <v>14</v>
      </c>
      <c r="H5367">
             </c>
      <c r="I5367" t="s">
        <v>14</v>
      </c>
      <c r="J5367" t="s">
        <v>141</v>
      </c>
      <c r="K5367" t="s">
        <v>14</v>
      </c>
      <c r="L5367" t="s">
        <v>20</v>
      </c>
      <c r="M5367" t="s">
        <v>10768</v>
      </c>
      <c r="N5367" t="s">
        <v>14</v>
      </c>
    </row>
    <row r="5368" x14ac:dyDescent="0.25">
      <c r="A5368" t="n">
        <v>25</v>
      </c>
      <c r="B5368" t="s">
        <v>14</v>
      </c>
      <c r="C5368" t="s">
        <v>22</v>
      </c>
      <c r="D5368" s="2" t="s">
        <f>=HYPERLINK("https://main.knesset.gov.il/APPS/legislation/main/bills/2200298", "הצעת חוק ביטוח בריאות ממלכתי (תיקון - החזר עבור פינוי באמבולנס), התשפ""ג-2023")</f>
        <v>9612</v>
      </c>
      <c r="E5368" t="s">
        <v>9612</v>
      </c>
      <c r="F5368" t="s">
        <v>10865</v>
      </c>
      <c r="G5368" t="s">
        <v>14</v>
      </c>
      <c r="H5368">
             </c>
      <c r="I5368" t="s">
        <v>14</v>
      </c>
      <c r="J5368" t="s">
        <v>141</v>
      </c>
      <c r="K5368" t="s">
        <v>14</v>
      </c>
      <c r="L5368" t="s">
        <v>20</v>
      </c>
      <c r="M5368" t="s">
        <v>10768</v>
      </c>
      <c r="N5368" t="s">
        <v>14</v>
      </c>
    </row>
    <row r="5369" x14ac:dyDescent="0.25">
      <c r="A5369" t="n">
        <v>25</v>
      </c>
      <c r="B5369" t="s">
        <v>14</v>
      </c>
      <c r="C5369" t="s">
        <v>22</v>
      </c>
      <c r="D5369" s="2" t="s">
        <f>=HYPERLINK("https://main.knesset.gov.il/APPS/legislation/main/bills/2197022", "הצעת חוק הבנקאות (שירות ללקוח) (תיקון - חובת הצבת מכשיר בנק ממוכן), התשפ""ג-2023")</f>
        <v>9551</v>
      </c>
      <c r="E5369" t="s">
        <v>9551</v>
      </c>
      <c r="F5369" t="s">
        <v>10866</v>
      </c>
      <c r="G5369" t="s">
        <v>14</v>
      </c>
      <c r="H5369">
             </c>
      <c r="I5369" t="s">
        <v>14</v>
      </c>
      <c r="J5369" t="s">
        <v>141</v>
      </c>
      <c r="K5369" t="s">
        <v>14</v>
      </c>
      <c r="L5369" t="s">
        <v>20</v>
      </c>
      <c r="M5369" t="s">
        <v>10768</v>
      </c>
      <c r="N5369" t="s">
        <v>14</v>
      </c>
    </row>
    <row r="5370" x14ac:dyDescent="0.25">
      <c r="A5370" t="n">
        <v>25</v>
      </c>
      <c r="B5370" t="s">
        <v>14</v>
      </c>
      <c r="C5370" t="s">
        <v>22</v>
      </c>
      <c r="D5370" s="2" t="s">
        <f>=HYPERLINK("https://main.knesset.gov.il/APPS/legislation/main/bills/2199354", "הצעת חוק שירותי הדת היהודיים (תיקון - סכום ההשתתפות בהוצאות התקציב של מועצה דתית), התשפ""ג-2023")</f>
        <v>10299</v>
      </c>
      <c r="E5370" t="s">
        <v>10299</v>
      </c>
      <c r="F5370" t="s">
        <v>10867</v>
      </c>
      <c r="G5370" t="s">
        <v>14</v>
      </c>
      <c r="H5370">
             </c>
      <c r="I5370" t="s">
        <v>14</v>
      </c>
      <c r="J5370" t="s">
        <v>343</v>
      </c>
      <c r="K5370" t="s">
        <v>14</v>
      </c>
      <c r="L5370" t="s">
        <v>20</v>
      </c>
      <c r="M5370" t="s">
        <v>10768</v>
      </c>
      <c r="N5370" t="s">
        <v>14</v>
      </c>
    </row>
    <row r="5371" x14ac:dyDescent="0.25">
      <c r="A5371" t="n">
        <v>25</v>
      </c>
      <c r="B5371" t="s">
        <v>14</v>
      </c>
      <c r="C5371" t="s">
        <v>22</v>
      </c>
      <c r="D5371" s="2" t="s">
        <f>=HYPERLINK("https://main.knesset.gov.il/APPS/legislation/main/bills/2200458", "הצעת חוק דמי מחלה (היעדרות בשל מחלת ילד) (תיקון - הורה ליותר מילד אחד), התשפ""ג-2023")</f>
        <v>9331</v>
      </c>
      <c r="E5371" t="s">
        <v>9331</v>
      </c>
      <c r="F5371" t="s">
        <v>10868</v>
      </c>
      <c r="G5371" t="s">
        <v>14</v>
      </c>
      <c r="H5371">
             </c>
      <c r="I5371" t="s">
        <v>14</v>
      </c>
      <c r="J5371" t="s">
        <v>141</v>
      </c>
      <c r="K5371" t="s">
        <v>14</v>
      </c>
      <c r="L5371" t="s">
        <v>20</v>
      </c>
      <c r="M5371" t="s">
        <v>10768</v>
      </c>
      <c r="N5371" t="s">
        <v>14</v>
      </c>
    </row>
    <row r="5372" x14ac:dyDescent="0.25">
      <c r="A5372" t="n">
        <v>25</v>
      </c>
      <c r="B5372" t="s">
        <v>14</v>
      </c>
      <c r="C5372" t="s">
        <v>22</v>
      </c>
      <c r="D5372" s="2" t="s">
        <f>=HYPERLINK("https://main.knesset.gov.il/APPS/legislation/main/bills/2200929", "הצעת חוק הלוואה מותנית ללימוד נהיגה, התשפ""ג-2023")</f>
        <v>10869</v>
      </c>
      <c r="E5372" t="s">
        <v>10869</v>
      </c>
      <c r="F5372" t="s">
        <v>10870</v>
      </c>
      <c r="G5372" t="s">
        <v>14</v>
      </c>
      <c r="H5372">
             </c>
      <c r="I5372" t="s">
        <v>14</v>
      </c>
      <c r="J5372" t="s">
        <v>141</v>
      </c>
      <c r="K5372" t="s">
        <v>14</v>
      </c>
      <c r="L5372" t="s">
        <v>20</v>
      </c>
      <c r="M5372" t="s">
        <v>10768</v>
      </c>
      <c r="N5372" t="s">
        <v>14</v>
      </c>
    </row>
    <row r="5373" x14ac:dyDescent="0.25">
      <c r="A5373" t="n">
        <v>25</v>
      </c>
      <c r="B5373" t="s">
        <v>14</v>
      </c>
      <c r="C5373" t="s">
        <v>22</v>
      </c>
      <c r="D5373" s="2" t="s">
        <f>=HYPERLINK("https://main.knesset.gov.il/APPS/legislation/main/bills/2199107", "הצעת חוק העונשין (תיקון - איסור הנפת דגל של מדינת אויב או של ארגון טרור או של הרשות הפלסטינית במרחב הציבורי), התשפ""ג-2023")</f>
        <v>9365</v>
      </c>
      <c r="E5373" t="s">
        <v>9365</v>
      </c>
      <c r="F5373" t="s">
        <v>10871</v>
      </c>
      <c r="G5373" t="s">
        <v>14</v>
      </c>
      <c r="H5373">
             </c>
      <c r="I5373" t="s">
        <v>14</v>
      </c>
      <c r="J5373" t="s">
        <v>141</v>
      </c>
      <c r="K5373" t="s">
        <v>14</v>
      </c>
      <c r="L5373" t="s">
        <v>20</v>
      </c>
      <c r="M5373" t="s">
        <v>10768</v>
      </c>
      <c r="N5373" t="s">
        <v>14</v>
      </c>
    </row>
    <row r="5374" x14ac:dyDescent="0.25">
      <c r="A5374" t="n">
        <v>25</v>
      </c>
      <c r="B5374" t="s">
        <v>14</v>
      </c>
      <c r="C5374" t="s">
        <v>22</v>
      </c>
      <c r="D5374" s="2" t="s">
        <f>=HYPERLINK("https://main.knesset.gov.il/APPS/legislation/main/bills/2200565", "הצעת חוק מס ערך מוסף (תיקון - עוסק פטור חדש), התשפ""ג-2023")</f>
        <v>10872</v>
      </c>
      <c r="E5374" t="s">
        <v>10872</v>
      </c>
      <c r="F5374" t="s">
        <v>10873</v>
      </c>
      <c r="G5374" t="s">
        <v>14</v>
      </c>
      <c r="H5374">
             </c>
      <c r="I5374" t="s">
        <v>14</v>
      </c>
      <c r="J5374" t="s">
        <v>141</v>
      </c>
      <c r="K5374" t="s">
        <v>14</v>
      </c>
      <c r="L5374" t="s">
        <v>20</v>
      </c>
      <c r="M5374" t="s">
        <v>10768</v>
      </c>
      <c r="N5374" t="s">
        <v>14</v>
      </c>
    </row>
    <row r="5375" x14ac:dyDescent="0.25">
      <c r="A5375" t="n">
        <v>25</v>
      </c>
      <c r="B5375" t="s">
        <v>14</v>
      </c>
      <c r="C5375" t="s">
        <v>22</v>
      </c>
      <c r="D5375" s="2" t="s">
        <f>=HYPERLINK("https://main.knesset.gov.il/APPS/legislation/main/bills/2200465", "הצעת חוק לתיקון פקודת מס הכנסה (משיכה מקרן השתלמות לאחר לידה או אימוץ), התשפ""ג-2023")</f>
        <v>10874</v>
      </c>
      <c r="E5375" t="s">
        <v>10874</v>
      </c>
      <c r="F5375" t="s">
        <v>10875</v>
      </c>
      <c r="G5375" t="s">
        <v>14</v>
      </c>
      <c r="H5375">
             </c>
      <c r="I5375" t="s">
        <v>14</v>
      </c>
      <c r="J5375" t="s">
        <v>141</v>
      </c>
      <c r="K5375" t="s">
        <v>14</v>
      </c>
      <c r="L5375" t="s">
        <v>20</v>
      </c>
      <c r="M5375" t="s">
        <v>10768</v>
      </c>
      <c r="N5375" t="s">
        <v>14</v>
      </c>
    </row>
    <row r="5376" x14ac:dyDescent="0.25">
      <c r="A5376" t="n">
        <v>25</v>
      </c>
      <c r="B5376" t="s">
        <v>14</v>
      </c>
      <c r="C5376" t="s">
        <v>22</v>
      </c>
      <c r="D5376" s="2" t="s">
        <f>=HYPERLINK("https://main.knesset.gov.il/APPS/legislation/main/bills/2200563", "הצעת חוק לתיקון פקודת מס הכנסה (נקודות זיכוי למשפחות אומנה), התשפ""ג-2023")</f>
        <v>10231</v>
      </c>
      <c r="E5376" t="s">
        <v>10231</v>
      </c>
      <c r="F5376" t="s">
        <v>10876</v>
      </c>
      <c r="G5376" t="s">
        <v>14</v>
      </c>
      <c r="H5376">
             </c>
      <c r="I5376" t="s">
        <v>14</v>
      </c>
      <c r="J5376" t="s">
        <v>141</v>
      </c>
      <c r="K5376" t="s">
        <v>14</v>
      </c>
      <c r="L5376" t="s">
        <v>20</v>
      </c>
      <c r="M5376" t="s">
        <v>10768</v>
      </c>
      <c r="N5376" t="s">
        <v>14</v>
      </c>
    </row>
    <row r="5377" x14ac:dyDescent="0.25">
      <c r="A5377" t="n">
        <v>25</v>
      </c>
      <c r="B5377" t="s">
        <v>14</v>
      </c>
      <c r="C5377" t="s">
        <v>22</v>
      </c>
      <c r="D5377" s="2" t="s">
        <f>=HYPERLINK("https://main.knesset.gov.il/APPS/legislation/main/bills/2200467", "הצעת חוק לתיקון פקודת מס הכנסה (ניכוי תשלומים לעצמאים), התשפ""ג-2023")</f>
        <v>10364</v>
      </c>
      <c r="E5377" t="s">
        <v>10364</v>
      </c>
      <c r="F5377" t="s">
        <v>10877</v>
      </c>
      <c r="G5377" t="s">
        <v>14</v>
      </c>
      <c r="H5377">
             </c>
      <c r="I5377" t="s">
        <v>14</v>
      </c>
      <c r="J5377" t="s">
        <v>141</v>
      </c>
      <c r="K5377" t="s">
        <v>14</v>
      </c>
      <c r="L5377" t="s">
        <v>20</v>
      </c>
      <c r="M5377" t="s">
        <v>10768</v>
      </c>
      <c r="N5377" t="s">
        <v>14</v>
      </c>
    </row>
    <row r="5378" x14ac:dyDescent="0.25">
      <c r="A5378" t="n">
        <v>25</v>
      </c>
      <c r="B5378" t="s">
        <v>14</v>
      </c>
      <c r="C5378" t="s">
        <v>22</v>
      </c>
      <c r="D5378" s="2" t="s">
        <f>=HYPERLINK("https://main.knesset.gov.il/APPS/legislation/main/bills/2200464", "הצעת חוק לאי-מתן הטבות מס למוסד המקיים הפליה (תיקוני חקיקה), התשפ""ג-2023")</f>
        <v>10878</v>
      </c>
      <c r="E5378" t="s">
        <v>10878</v>
      </c>
      <c r="F5378" t="s">
        <v>10879</v>
      </c>
      <c r="G5378" t="s">
        <v>14</v>
      </c>
      <c r="H5378">
             </c>
      <c r="I5378" t="s">
        <v>14</v>
      </c>
      <c r="J5378" t="s">
        <v>141</v>
      </c>
      <c r="K5378" t="s">
        <v>14</v>
      </c>
      <c r="L5378" t="s">
        <v>20</v>
      </c>
      <c r="M5378" t="s">
        <v>10768</v>
      </c>
      <c r="N5378" t="s">
        <v>14</v>
      </c>
    </row>
    <row r="5379" x14ac:dyDescent="0.25">
      <c r="A5379" t="n">
        <v>25</v>
      </c>
      <c r="B5379" t="s">
        <v>14</v>
      </c>
      <c r="C5379" t="s">
        <v>22</v>
      </c>
      <c r="D5379" s="2" t="s">
        <f>=HYPERLINK("https://main.knesset.gov.il/APPS/legislation/main/bills/2199819", "הצעת חוק לתיקון פקודת מס הכנסה (מיסוי תרומה מישות מדינית זרה), התשפ""ג-2023")</f>
        <v>10880</v>
      </c>
      <c r="E5379" t="s">
        <v>10880</v>
      </c>
      <c r="F5379" t="s">
        <v>10881</v>
      </c>
      <c r="G5379" t="s">
        <v>14</v>
      </c>
      <c r="H5379">
             </c>
      <c r="I5379" t="s">
        <v>14</v>
      </c>
      <c r="J5379" t="s">
        <v>141</v>
      </c>
      <c r="K5379" t="s">
        <v>14</v>
      </c>
      <c r="L5379" t="s">
        <v>20</v>
      </c>
      <c r="M5379" t="s">
        <v>10768</v>
      </c>
      <c r="N5379" t="s">
        <v>14</v>
      </c>
    </row>
    <row r="5380" x14ac:dyDescent="0.25">
      <c r="A5380" t="n">
        <v>25</v>
      </c>
      <c r="B5380" t="s">
        <v>14</v>
      </c>
      <c r="C5380" t="s">
        <v>22</v>
      </c>
      <c r="D5380" s="2" t="s">
        <f>=HYPERLINK("https://main.knesset.gov.il/APPS/legislation/main/bills/2200275", "הצעת חוק להגבלת העברת השליטה בתאגידים מרכזיים לגופים זרים, התשפ""ג-2023")</f>
        <v>10882</v>
      </c>
      <c r="E5380" t="s">
        <v>10882</v>
      </c>
      <c r="F5380" t="s">
        <v>10883</v>
      </c>
      <c r="G5380" t="s">
        <v>14</v>
      </c>
      <c r="H5380">
             </c>
      <c r="I5380" t="s">
        <v>14</v>
      </c>
      <c r="J5380" t="s">
        <v>141</v>
      </c>
      <c r="K5380" t="s">
        <v>14</v>
      </c>
      <c r="L5380" t="s">
        <v>20</v>
      </c>
      <c r="M5380" t="s">
        <v>10768</v>
      </c>
      <c r="N5380" t="s">
        <v>14</v>
      </c>
    </row>
    <row r="5381" x14ac:dyDescent="0.25">
      <c r="A5381" t="n">
        <v>25</v>
      </c>
      <c r="B5381" t="s">
        <v>14</v>
      </c>
      <c r="C5381" t="s">
        <v>22</v>
      </c>
      <c r="D5381" s="2" t="s">
        <f>=HYPERLINK("https://main.knesset.gov.il/APPS/legislation/main/bills/2200197", "הצעת חוק מס ערך מוסף (תיקון - פטור ממס ממכירת תרופות מאריכות חיים שאינן כלולות בסל הבריאות), התשפ""ג-2023")</f>
        <v>10131</v>
      </c>
      <c r="E5381" t="s">
        <v>10131</v>
      </c>
      <c r="F5381" t="s">
        <v>10884</v>
      </c>
      <c r="G5381" t="s">
        <v>14</v>
      </c>
      <c r="H5381">
             </c>
      <c r="I5381" t="s">
        <v>14</v>
      </c>
      <c r="J5381" t="s">
        <v>141</v>
      </c>
      <c r="K5381" t="s">
        <v>14</v>
      </c>
      <c r="L5381" t="s">
        <v>20</v>
      </c>
      <c r="M5381" t="s">
        <v>10768</v>
      </c>
      <c r="N5381" t="s">
        <v>14</v>
      </c>
    </row>
    <row r="5382" x14ac:dyDescent="0.25">
      <c r="A5382" t="n">
        <v>25</v>
      </c>
      <c r="B5382" t="s">
        <v>14</v>
      </c>
      <c r="C5382" t="s">
        <v>22</v>
      </c>
      <c r="D5382" s="2" t="s">
        <f>=HYPERLINK("https://main.knesset.gov.il/APPS/legislation/main/bills/2200971", "הצעת חוק העונשין (תיקון - חלופת מאסר לנשים הרות ואמהות), התשפ""ג-2023")</f>
        <v>10885</v>
      </c>
      <c r="E5382" t="s">
        <v>10885</v>
      </c>
      <c r="F5382" t="s">
        <v>10886</v>
      </c>
      <c r="G5382" t="s">
        <v>14</v>
      </c>
      <c r="H5382">
             </c>
      <c r="I5382" t="s">
        <v>14</v>
      </c>
      <c r="J5382" t="s">
        <v>141</v>
      </c>
      <c r="K5382" t="s">
        <v>14</v>
      </c>
      <c r="L5382" t="s">
        <v>20</v>
      </c>
      <c r="M5382" t="s">
        <v>10768</v>
      </c>
      <c r="N5382" t="s">
        <v>14</v>
      </c>
    </row>
    <row r="5383" x14ac:dyDescent="0.25">
      <c r="A5383" t="n">
        <v>25</v>
      </c>
      <c r="B5383" t="s">
        <v>14</v>
      </c>
      <c r="C5383" t="s">
        <v>22</v>
      </c>
      <c r="D5383" s="2" t="s">
        <f>=HYPERLINK("https://main.knesset.gov.il/APPS/legislation/main/bills/2200915", "הצעת חוק העונשין (תיקון - חילוט רווחי סרסרות), התשפ""ג-2023")</f>
        <v>8866</v>
      </c>
      <c r="E5383" t="s">
        <v>8866</v>
      </c>
      <c r="F5383" t="s">
        <v>10887</v>
      </c>
      <c r="G5383" t="s">
        <v>14</v>
      </c>
      <c r="H5383">
             </c>
      <c r="I5383" t="s">
        <v>14</v>
      </c>
      <c r="J5383" t="s">
        <v>141</v>
      </c>
      <c r="K5383" t="s">
        <v>14</v>
      </c>
      <c r="L5383" t="s">
        <v>20</v>
      </c>
      <c r="M5383" t="s">
        <v>10768</v>
      </c>
      <c r="N5383" t="s">
        <v>14</v>
      </c>
    </row>
    <row r="5384" x14ac:dyDescent="0.25">
      <c r="A5384" t="n">
        <v>25</v>
      </c>
      <c r="B5384" t="s">
        <v>14</v>
      </c>
      <c r="C5384" t="s">
        <v>22</v>
      </c>
      <c r="D5384" s="2" t="s">
        <f>=HYPERLINK("https://main.knesset.gov.il/APPS/legislation/main/bills/2200914", "הצעת חוק העונשין (תיקון - הסתה לגזענות), התשפ""ג-2023")</f>
        <v>10888</v>
      </c>
      <c r="E5384" t="s">
        <v>10888</v>
      </c>
      <c r="F5384" t="s">
        <v>10889</v>
      </c>
      <c r="G5384" t="s">
        <v>14</v>
      </c>
      <c r="H5384">
             </c>
      <c r="I5384" t="s">
        <v>14</v>
      </c>
      <c r="J5384" t="s">
        <v>141</v>
      </c>
      <c r="K5384" t="s">
        <v>14</v>
      </c>
      <c r="L5384" t="s">
        <v>20</v>
      </c>
      <c r="M5384" t="s">
        <v>10768</v>
      </c>
      <c r="N5384" t="s">
        <v>14</v>
      </c>
    </row>
    <row r="5385" x14ac:dyDescent="0.25">
      <c r="A5385" t="n">
        <v>25</v>
      </c>
      <c r="B5385" t="s">
        <v>14</v>
      </c>
      <c r="C5385" t="s">
        <v>22</v>
      </c>
      <c r="D5385" s="2" t="s">
        <f>=HYPERLINK("https://main.knesset.gov.il/APPS/legislation/main/bills/2200315", "הצעת חוק שיווי זכויות האישה (תיקון - ייצוג הולם לנשים בוועדות ציבוריות ברשויות המקומיות), התשפ""ג-2023")</f>
        <v>10694</v>
      </c>
      <c r="E5385" t="s">
        <v>10694</v>
      </c>
      <c r="F5385" t="s">
        <v>10890</v>
      </c>
      <c r="G5385" t="s">
        <v>14</v>
      </c>
      <c r="H5385">
             </c>
      <c r="I5385" t="s">
        <v>14</v>
      </c>
      <c r="J5385" t="s">
        <v>141</v>
      </c>
      <c r="K5385" t="s">
        <v>14</v>
      </c>
      <c r="L5385" t="s">
        <v>20</v>
      </c>
      <c r="M5385" t="s">
        <v>10768</v>
      </c>
      <c r="N5385" t="s">
        <v>14</v>
      </c>
    </row>
    <row r="5386" x14ac:dyDescent="0.25">
      <c r="A5386" t="n">
        <v>25</v>
      </c>
      <c r="B5386" t="s">
        <v>14</v>
      </c>
      <c r="C5386" t="s">
        <v>22</v>
      </c>
      <c r="D5386" s="2" t="s">
        <f>=HYPERLINK("https://main.knesset.gov.il/APPS/legislation/main/bills/2199153", "הצעת חוק הכניסה לישראל (תיקון - הארכת רישיון לישיבת ביקור לעובד זר המועסק במתן טיפול סיעודי), התשפ""ג-2023")</f>
        <v>10891</v>
      </c>
      <c r="E5386" t="s">
        <v>10891</v>
      </c>
      <c r="F5386" t="s">
        <v>10892</v>
      </c>
      <c r="G5386" t="s">
        <v>14</v>
      </c>
      <c r="H5386">
             </c>
      <c r="I5386" t="s">
        <v>14</v>
      </c>
      <c r="J5386" t="s">
        <v>141</v>
      </c>
      <c r="K5386" t="s">
        <v>14</v>
      </c>
      <c r="L5386" t="s">
        <v>20</v>
      </c>
      <c r="M5386" t="s">
        <v>10768</v>
      </c>
      <c r="N5386" t="s">
        <v>14</v>
      </c>
    </row>
    <row r="5387" x14ac:dyDescent="0.25">
      <c r="A5387" t="n">
        <v>25</v>
      </c>
      <c r="B5387" t="s">
        <v>14</v>
      </c>
      <c r="C5387" t="s">
        <v>22</v>
      </c>
      <c r="D5387" s="2" t="s">
        <f>=HYPERLINK("https://main.knesset.gov.il/APPS/legislation/main/bills/2200913", "הצעת חוק העונשין (תיקון - הגדרת גזענות), התשפ""ג-2023")</f>
        <v>9633</v>
      </c>
      <c r="E5387" t="s">
        <v>9633</v>
      </c>
      <c r="F5387" t="s">
        <v>10893</v>
      </c>
      <c r="G5387" t="s">
        <v>14</v>
      </c>
      <c r="H5387">
             </c>
      <c r="I5387" t="s">
        <v>14</v>
      </c>
      <c r="J5387" t="s">
        <v>141</v>
      </c>
      <c r="K5387" t="s">
        <v>14</v>
      </c>
      <c r="L5387" t="s">
        <v>20</v>
      </c>
      <c r="M5387" t="s">
        <v>10768</v>
      </c>
      <c r="N5387" t="s">
        <v>14</v>
      </c>
    </row>
    <row r="5388" x14ac:dyDescent="0.25">
      <c r="A5388" t="n">
        <v>25</v>
      </c>
      <c r="B5388" t="s">
        <v>14</v>
      </c>
      <c r="C5388" t="s">
        <v>22</v>
      </c>
      <c r="D5388" s="2" t="s">
        <f>=HYPERLINK("https://main.knesset.gov.il/APPS/legislation/main/bills/2200912", "הצעת חוק העונשין (תיקון - הארכת התיישנות בעבירות מין שבוצעו במסגרת הנישואין), התשפ""ג-2023")</f>
        <v>10894</v>
      </c>
      <c r="E5388" t="s">
        <v>10894</v>
      </c>
      <c r="F5388" t="s">
        <v>10895</v>
      </c>
      <c r="G5388" t="s">
        <v>14</v>
      </c>
      <c r="H5388">
             </c>
      <c r="I5388" t="s">
        <v>14</v>
      </c>
      <c r="J5388" t="s">
        <v>141</v>
      </c>
      <c r="K5388" t="s">
        <v>14</v>
      </c>
      <c r="L5388" t="s">
        <v>20</v>
      </c>
      <c r="M5388" t="s">
        <v>10768</v>
      </c>
      <c r="N5388" t="s">
        <v>14</v>
      </c>
    </row>
    <row r="5389" x14ac:dyDescent="0.25">
      <c r="A5389" t="n">
        <v>25</v>
      </c>
      <c r="B5389" t="s">
        <v>14</v>
      </c>
      <c r="C5389" t="s">
        <v>22</v>
      </c>
      <c r="D5389" s="2" t="s">
        <f>=HYPERLINK("https://main.knesset.gov.il/APPS/legislation/main/bills/2200911", "הצעת חוק העונשין (תיקון - איסור הצבת מכונות משחק של מפעל הפיס), התשפ""ג-2023")</f>
        <v>10896</v>
      </c>
      <c r="E5389" t="s">
        <v>10896</v>
      </c>
      <c r="F5389" t="s">
        <v>10897</v>
      </c>
      <c r="G5389" t="s">
        <v>14</v>
      </c>
      <c r="H5389">
             </c>
      <c r="I5389" t="s">
        <v>14</v>
      </c>
      <c r="J5389" t="s">
        <v>141</v>
      </c>
      <c r="K5389" t="s">
        <v>14</v>
      </c>
      <c r="L5389" t="s">
        <v>20</v>
      </c>
      <c r="M5389" t="s">
        <v>10768</v>
      </c>
      <c r="N5389" t="s">
        <v>14</v>
      </c>
    </row>
    <row r="5390" x14ac:dyDescent="0.25">
      <c r="A5390" t="n">
        <v>25</v>
      </c>
      <c r="B5390" t="s">
        <v>14</v>
      </c>
      <c r="C5390" t="s">
        <v>22</v>
      </c>
      <c r="D5390" s="2" t="s">
        <f>=HYPERLINK("https://main.knesset.gov.il/APPS/legislation/main/bills/2200764", "הצעת חוק למניעת הטרדה מינית (תיקון - הרחבת תחולה על עובדים עצמאים, מתנדבים ועובדי כלכלת הפלטפורמה), התשפ""ג-2023")</f>
        <v>8133</v>
      </c>
      <c r="E5390" t="s">
        <v>8133</v>
      </c>
      <c r="F5390" t="s">
        <v>10898</v>
      </c>
      <c r="G5390" t="s">
        <v>14</v>
      </c>
      <c r="H5390">
             </c>
      <c r="I5390" t="s">
        <v>14</v>
      </c>
      <c r="J5390" t="s">
        <v>141</v>
      </c>
      <c r="K5390" t="s">
        <v>14</v>
      </c>
      <c r="L5390" t="s">
        <v>20</v>
      </c>
      <c r="M5390" t="s">
        <v>10768</v>
      </c>
      <c r="N5390" t="s">
        <v>14</v>
      </c>
    </row>
    <row r="5391" x14ac:dyDescent="0.25">
      <c r="A5391" t="n">
        <v>25</v>
      </c>
      <c r="B5391" t="s">
        <v>14</v>
      </c>
      <c r="C5391" t="s">
        <v>22</v>
      </c>
      <c r="D5391" s="2" t="s">
        <f>=HYPERLINK("https://main.knesset.gov.il/APPS/legislation/main/bills/2200904", "הצעת חוק לביטול ההתיישנות בעבירות מין (תיקוני חקיקה), התשפ""ג-2023")</f>
        <v>2871</v>
      </c>
      <c r="E5391" t="s">
        <v>2871</v>
      </c>
      <c r="F5391" t="s">
        <v>10899</v>
      </c>
      <c r="G5391" t="s">
        <v>14</v>
      </c>
      <c r="H5391">
             </c>
      <c r="I5391" t="s">
        <v>14</v>
      </c>
      <c r="J5391" t="s">
        <v>141</v>
      </c>
      <c r="K5391" t="s">
        <v>14</v>
      </c>
      <c r="L5391" t="s">
        <v>20</v>
      </c>
      <c r="M5391" t="s">
        <v>10768</v>
      </c>
      <c r="N5391" t="s">
        <v>14</v>
      </c>
    </row>
    <row r="5392" x14ac:dyDescent="0.25">
      <c r="A5392" t="n">
        <v>25</v>
      </c>
      <c r="B5392" t="s">
        <v>14</v>
      </c>
      <c r="C5392" t="s">
        <v>22</v>
      </c>
      <c r="D5392" s="2" t="s">
        <f>=HYPERLINK("https://main.knesset.gov.il/APPS/legislation/main/bills/2200313", "הצעת חוק חובת המכרזים (תיקון - עידוד עסקים קטנים ובינוניים באזור פריפריה במכרז), התשפ""ג-2023")</f>
        <v>9943</v>
      </c>
      <c r="E5392" t="s">
        <v>9943</v>
      </c>
      <c r="F5392" t="s">
        <v>10900</v>
      </c>
      <c r="G5392" t="s">
        <v>14</v>
      </c>
      <c r="H5392">
             </c>
      <c r="I5392" t="s">
        <v>14</v>
      </c>
      <c r="J5392" t="s">
        <v>141</v>
      </c>
      <c r="K5392" t="s">
        <v>14</v>
      </c>
      <c r="L5392" t="s">
        <v>20</v>
      </c>
      <c r="M5392" t="s">
        <v>10768</v>
      </c>
      <c r="N5392" t="s">
        <v>14</v>
      </c>
    </row>
    <row r="5393" x14ac:dyDescent="0.25">
      <c r="A5393" t="n">
        <v>24</v>
      </c>
      <c r="B5393" t="s">
        <v>14</v>
      </c>
      <c r="C5393" t="s">
        <v>22</v>
      </c>
      <c r="D5393" s="2" t="s">
        <f>=HYPERLINK("https://main.knesset.gov.il/APPS/legislation/main/bills/2086395", "חוק למניעת אלימות במשפחה (תיקון מס' 18 - הוראת שעה), התשפ""ב-2021")</f>
        <v>10901</v>
      </c>
      <c r="E5393" t="s">
        <v>10901</v>
      </c>
      <c r="F5393" t="s">
        <v>10902</v>
      </c>
      <c r="G5393" t="s">
        <v>10903</v>
      </c>
      <c r="H5393" t="n">
        <v>2939</v>
      </c>
      <c r="I5393" t="s">
        <v>14</v>
      </c>
      <c r="J5393" t="s">
        <v>91</v>
      </c>
      <c r="K5393" t="s">
        <v>5735</v>
      </c>
      <c r="L5393" t="s">
        <v>20</v>
      </c>
      <c r="M5393" t="s">
        <v>10904</v>
      </c>
      <c r="N5393" t="s">
        <v>14</v>
      </c>
    </row>
    <row r="5394" x14ac:dyDescent="0.25">
      <c r="A5394" t="n">
        <v>25</v>
      </c>
      <c r="B5394" t="s">
        <v>14</v>
      </c>
      <c r="C5394" t="s">
        <v>15</v>
      </c>
      <c r="D5394" s="2" t="s">
        <f>=HYPERLINK("https://main.knesset.gov.il/APPS/legislation/main/bills/2199720", "חוק המרכז לגביית קנסות, אגרות והוצאות (תיקון מס' 19 והוראת שעה) (תיקון), התשפ""ג-2023")</f>
        <v>10905</v>
      </c>
      <c r="E5394" t="s">
        <v>10905</v>
      </c>
      <c r="F5394" t="s">
        <v>14</v>
      </c>
      <c r="G5394" t="s">
        <v>10906</v>
      </c>
      <c r="H5394" t="n">
        <v>3019</v>
      </c>
      <c r="I5394" t="s">
        <v>14</v>
      </c>
      <c r="J5394" t="s">
        <v>91</v>
      </c>
      <c r="K5394" t="s">
        <v>27</v>
      </c>
      <c r="L5394" t="s">
        <v>20</v>
      </c>
      <c r="M5394" t="s">
        <v>10904</v>
      </c>
      <c r="N5394" t="s">
        <v>10907</v>
      </c>
    </row>
    <row r="5395" x14ac:dyDescent="0.25">
      <c r="A5395" t="n">
        <v>25</v>
      </c>
      <c r="B5395" t="s">
        <v>14</v>
      </c>
      <c r="C5395" t="s">
        <v>15</v>
      </c>
      <c r="D5395" s="2" t="s">
        <f>=HYPERLINK("https://main.knesset.gov.il/APPS/legislation/main/bills/2200650", "חוק לתיקון פקודת מס הכנסה (מס' 263), התשפ""ג-2023")</f>
        <v>10908</v>
      </c>
      <c r="E5395" t="s">
        <v>10908</v>
      </c>
      <c r="F5395" t="s">
        <v>14</v>
      </c>
      <c r="G5395" t="s">
        <v>10909</v>
      </c>
      <c r="H5395" t="n">
        <v>3018</v>
      </c>
      <c r="I5395" t="s">
        <v>14</v>
      </c>
      <c r="J5395" t="s">
        <v>91</v>
      </c>
      <c r="K5395" t="s">
        <v>108</v>
      </c>
      <c r="L5395" t="s">
        <v>20</v>
      </c>
      <c r="M5395" t="s">
        <v>10904</v>
      </c>
      <c r="N5395" t="s">
        <v>10910</v>
      </c>
    </row>
    <row r="5396" x14ac:dyDescent="0.25">
      <c r="A5396" t="n">
        <v>25</v>
      </c>
      <c r="B5396" t="s">
        <v>14</v>
      </c>
      <c r="C5396" t="s">
        <v>15</v>
      </c>
      <c r="D5396" s="2" t="s">
        <f>=HYPERLINK("https://main.knesset.gov.il/APPS/legislation/main/bills/2200651", "חוק לתיקון פקודת בתי הסוהר (מס' 61 והוראת שעה), התשפ""ג-2023")</f>
        <v>10911</v>
      </c>
      <c r="E5396" t="s">
        <v>10911</v>
      </c>
      <c r="F5396" t="s">
        <v>14</v>
      </c>
      <c r="G5396" t="s">
        <v>10912</v>
      </c>
      <c r="H5396" t="n">
        <v>3017</v>
      </c>
      <c r="I5396" t="s">
        <v>14</v>
      </c>
      <c r="J5396" t="s">
        <v>91</v>
      </c>
      <c r="K5396" t="s">
        <v>105</v>
      </c>
      <c r="L5396" t="s">
        <v>20</v>
      </c>
      <c r="M5396" t="s">
        <v>10904</v>
      </c>
      <c r="N5396" t="s">
        <v>10913</v>
      </c>
    </row>
    <row r="5397" x14ac:dyDescent="0.25">
      <c r="A5397" t="n">
        <v>25</v>
      </c>
      <c r="B5397" t="s">
        <v>14</v>
      </c>
      <c r="C5397" t="s">
        <v>15</v>
      </c>
      <c r="D5397" s="2" t="s">
        <f>=HYPERLINK("https://main.knesset.gov.il/APPS/legislation/main/bills/2200135", "חוק ההוצאה לפועל (נגיף הקורונה החדש – תיקון מס' 68 והוראת שעה) (תיקון מס' 2), התשפ""ג-2023")</f>
        <v>10914</v>
      </c>
      <c r="E5397" t="s">
        <v>10914</v>
      </c>
      <c r="F5397" t="s">
        <v>14</v>
      </c>
      <c r="G5397" t="s">
        <v>10915</v>
      </c>
      <c r="H5397" t="n">
        <v>3015</v>
      </c>
      <c r="I5397" t="s">
        <v>14</v>
      </c>
      <c r="J5397" t="s">
        <v>91</v>
      </c>
      <c r="K5397" t="s">
        <v>27</v>
      </c>
      <c r="L5397" t="s">
        <v>20</v>
      </c>
      <c r="M5397" t="s">
        <v>10904</v>
      </c>
      <c r="N5397" t="s">
        <v>10916</v>
      </c>
    </row>
    <row r="5398" x14ac:dyDescent="0.25">
      <c r="A5398" t="n">
        <v>25</v>
      </c>
      <c r="B5398" t="s">
        <v>14</v>
      </c>
      <c r="C5398" t="s">
        <v>20</v>
      </c>
      <c r="D5398" s="2" t="s">
        <f>=HYPERLINK("https://main.knesset.gov.il/APPS/legislation/main/bills/2199304", "חוק לעניין ועדות הכנסת (תיקוני חקיקה והוראת שעה), התשפ""ג-2023")</f>
        <v>10917</v>
      </c>
      <c r="E5398" t="s">
        <v>10917</v>
      </c>
      <c r="F5398" t="s">
        <v>14</v>
      </c>
      <c r="G5398" t="s">
        <v>10918</v>
      </c>
      <c r="H5398" t="n">
        <v>3016</v>
      </c>
      <c r="I5398" t="s">
        <v>14</v>
      </c>
      <c r="J5398" t="s">
        <v>91</v>
      </c>
      <c r="K5398" t="s">
        <v>121</v>
      </c>
      <c r="L5398" t="s">
        <v>20</v>
      </c>
      <c r="M5398" t="s">
        <v>10919</v>
      </c>
      <c r="N5398" t="s">
        <v>10920</v>
      </c>
    </row>
    <row r="5399" x14ac:dyDescent="0.25">
      <c r="A5399" t="n">
        <v>25</v>
      </c>
      <c r="B5399" t="s">
        <v>14</v>
      </c>
      <c r="C5399" t="s">
        <v>22</v>
      </c>
      <c r="D5399" s="2" t="s">
        <f>=HYPERLINK("https://main.knesset.gov.il/APPS/legislation/main/bills/2197891", "הצעת חוק העונשין (תיקון - איסור הנפת דגל של מדינת אויב או של ארגון טרור או של הרשות הפלסטינית במרחב הציבורי), התשפ""ג-2023")</f>
        <v>9365</v>
      </c>
      <c r="E5399" t="s">
        <v>9365</v>
      </c>
      <c r="F5399" t="s">
        <v>10921</v>
      </c>
      <c r="G5399" t="s">
        <v>14</v>
      </c>
      <c r="H5399">
             </c>
      <c r="I5399" t="s">
        <v>14</v>
      </c>
      <c r="J5399" t="s">
        <v>141</v>
      </c>
      <c r="K5399" t="s">
        <v>14</v>
      </c>
      <c r="L5399" t="s">
        <v>20</v>
      </c>
      <c r="M5399" t="s">
        <v>10922</v>
      </c>
      <c r="N5399" t="s">
        <v>14</v>
      </c>
    </row>
    <row r="5400" x14ac:dyDescent="0.25">
      <c r="A5400" t="n">
        <v>25</v>
      </c>
      <c r="B5400" t="s">
        <v>14</v>
      </c>
      <c r="C5400" t="s">
        <v>22</v>
      </c>
      <c r="D5400" s="2" t="s">
        <f>=HYPERLINK("https://main.knesset.gov.il/APPS/legislation/main/bills/2199010", "הצעת חוק לתיקון פקודת מס הכנסה (הטבות מס ליישובים), התשפ""ג-2023")</f>
        <v>9296</v>
      </c>
      <c r="E5400" t="s">
        <v>9296</v>
      </c>
      <c r="F5400" t="s">
        <v>10923</v>
      </c>
      <c r="G5400" t="s">
        <v>14</v>
      </c>
      <c r="H5400">
             </c>
      <c r="I5400" t="s">
        <v>14</v>
      </c>
      <c r="J5400" t="s">
        <v>141</v>
      </c>
      <c r="K5400" t="s">
        <v>14</v>
      </c>
      <c r="L5400" t="s">
        <v>20</v>
      </c>
      <c r="M5400" t="s">
        <v>10922</v>
      </c>
      <c r="N5400" t="s">
        <v>14</v>
      </c>
    </row>
    <row r="5401" x14ac:dyDescent="0.25">
      <c r="A5401" t="n">
        <v>25</v>
      </c>
      <c r="B5401" t="s">
        <v>14</v>
      </c>
      <c r="C5401" t="s">
        <v>22</v>
      </c>
      <c r="D5401" s="2" t="s">
        <f>=HYPERLINK("https://main.knesset.gov.il/APPS/legislation/main/bills/2199996", "הצעת חוק הביטוח הלאומי (תיקון - הארכת תקופת הזכאות לדמי אבטלה לשכיר שהפך לעצמאי ועסקו נסגר), התשפ""ג-2023")</f>
        <v>10924</v>
      </c>
      <c r="E5401" t="s">
        <v>10924</v>
      </c>
      <c r="F5401" t="s">
        <v>10925</v>
      </c>
      <c r="G5401" t="s">
        <v>14</v>
      </c>
      <c r="H5401">
             </c>
      <c r="I5401" t="s">
        <v>14</v>
      </c>
      <c r="J5401" t="s">
        <v>141</v>
      </c>
      <c r="K5401" t="s">
        <v>14</v>
      </c>
      <c r="L5401" t="s">
        <v>20</v>
      </c>
      <c r="M5401" t="s">
        <v>10922</v>
      </c>
      <c r="N5401" t="s">
        <v>14</v>
      </c>
    </row>
    <row r="5402" x14ac:dyDescent="0.25">
      <c r="A5402" t="n">
        <v>25</v>
      </c>
      <c r="B5402" t="s">
        <v>14</v>
      </c>
      <c r="C5402" t="s">
        <v>22</v>
      </c>
      <c r="D5402" s="2" t="s">
        <f>=HYPERLINK("https://main.knesset.gov.il/APPS/legislation/main/bills/2200631", "הצעת חוק הביטוח הלאומי (תיקון - השוואת קצבת נכות לשכר מינימום), התשפ""ג-2023")</f>
        <v>10926</v>
      </c>
      <c r="E5402" t="s">
        <v>10926</v>
      </c>
      <c r="F5402" t="s">
        <v>10927</v>
      </c>
      <c r="G5402" t="s">
        <v>14</v>
      </c>
      <c r="H5402">
             </c>
      <c r="I5402" t="s">
        <v>14</v>
      </c>
      <c r="J5402" t="s">
        <v>141</v>
      </c>
      <c r="K5402" t="s">
        <v>14</v>
      </c>
      <c r="L5402" t="s">
        <v>20</v>
      </c>
      <c r="M5402" t="s">
        <v>10922</v>
      </c>
      <c r="N5402" t="s">
        <v>14</v>
      </c>
    </row>
    <row r="5403" x14ac:dyDescent="0.25">
      <c r="A5403" t="n">
        <v>25</v>
      </c>
      <c r="B5403" t="s">
        <v>14</v>
      </c>
      <c r="C5403" t="s">
        <v>22</v>
      </c>
      <c r="D5403" s="2" t="s">
        <f>=HYPERLINK("https://main.knesset.gov.il/APPS/legislation/main/bills/2200299", "הצעת חוק הביטוח הלאומי (תיקון - השוואת קצבת אזרח ותיק לשכר הממוצע במשק), התשפ""ג-2023")</f>
        <v>9661</v>
      </c>
      <c r="E5403" t="s">
        <v>9661</v>
      </c>
      <c r="F5403" t="s">
        <v>10928</v>
      </c>
      <c r="G5403" t="s">
        <v>14</v>
      </c>
      <c r="H5403">
             </c>
      <c r="I5403" t="s">
        <v>14</v>
      </c>
      <c r="J5403" t="s">
        <v>141</v>
      </c>
      <c r="K5403" t="s">
        <v>14</v>
      </c>
      <c r="L5403" t="s">
        <v>20</v>
      </c>
      <c r="M5403" t="s">
        <v>10922</v>
      </c>
      <c r="N5403" t="s">
        <v>14</v>
      </c>
    </row>
    <row r="5404" x14ac:dyDescent="0.25">
      <c r="A5404" t="n">
        <v>25</v>
      </c>
      <c r="B5404" t="s">
        <v>14</v>
      </c>
      <c r="C5404" t="s">
        <v>22</v>
      </c>
      <c r="D5404" s="2" t="s">
        <f>=HYPERLINK("https://main.knesset.gov.il/APPS/legislation/main/bills/2198841", "הצעת חוק הבטחת הכנסה (תיקון - תוספת לגמלה בעד הילד השלישי ואילך), התשפ""ג-2023")</f>
        <v>9044</v>
      </c>
      <c r="E5404" t="s">
        <v>9044</v>
      </c>
      <c r="F5404" t="s">
        <v>10929</v>
      </c>
      <c r="G5404" t="s">
        <v>14</v>
      </c>
      <c r="H5404">
             </c>
      <c r="I5404" t="s">
        <v>14</v>
      </c>
      <c r="J5404" t="s">
        <v>141</v>
      </c>
      <c r="K5404" t="s">
        <v>14</v>
      </c>
      <c r="L5404" t="s">
        <v>20</v>
      </c>
      <c r="M5404" t="s">
        <v>10922</v>
      </c>
      <c r="N5404" t="s">
        <v>14</v>
      </c>
    </row>
    <row r="5405" x14ac:dyDescent="0.25">
      <c r="A5405" t="n">
        <v>25</v>
      </c>
      <c r="B5405" t="s">
        <v>14</v>
      </c>
      <c r="C5405" t="s">
        <v>22</v>
      </c>
      <c r="D5405" s="2" t="s">
        <f>=HYPERLINK("https://main.knesset.gov.il/APPS/legislation/main/bills/2199759", "הצעת חוק יום ציון לאומי לתרומתה ולפועלה של העדה הדרוזית (תיקון - עיגון מעמדה של העדה הדרוזית כשוות זכויות במדינת ישראל), התשפ""ג-2023")</f>
        <v>10930</v>
      </c>
      <c r="E5405" t="s">
        <v>10930</v>
      </c>
      <c r="F5405" t="s">
        <v>10931</v>
      </c>
      <c r="G5405" t="s">
        <v>14</v>
      </c>
      <c r="H5405">
             </c>
      <c r="I5405" t="s">
        <v>14</v>
      </c>
      <c r="J5405" t="s">
        <v>343</v>
      </c>
      <c r="K5405" t="s">
        <v>14</v>
      </c>
      <c r="L5405" t="s">
        <v>20</v>
      </c>
      <c r="M5405" t="s">
        <v>10922</v>
      </c>
      <c r="N5405" t="s">
        <v>14</v>
      </c>
    </row>
    <row r="5406" x14ac:dyDescent="0.25">
      <c r="A5406" t="n">
        <v>25</v>
      </c>
      <c r="B5406" t="s">
        <v>14</v>
      </c>
      <c r="C5406" t="s">
        <v>22</v>
      </c>
      <c r="D5406" s="2" t="s">
        <f>=HYPERLINK("https://main.knesset.gov.il/APPS/legislation/main/bills/2198781", "הצעת חוק העונשין (תיקון - חיוב אוצר המדינה בהוצאות הגנה ובפיצוי על מאסר או מעצר בשל זיכוי או אישום שבוטל), התשפ""ג-2023")</f>
        <v>10932</v>
      </c>
      <c r="E5406" t="s">
        <v>10932</v>
      </c>
      <c r="F5406" t="s">
        <v>10933</v>
      </c>
      <c r="G5406" t="s">
        <v>14</v>
      </c>
      <c r="H5406">
             </c>
      <c r="I5406" t="s">
        <v>14</v>
      </c>
      <c r="J5406" t="s">
        <v>141</v>
      </c>
      <c r="K5406" t="s">
        <v>14</v>
      </c>
      <c r="L5406" t="s">
        <v>20</v>
      </c>
      <c r="M5406" t="s">
        <v>10922</v>
      </c>
      <c r="N5406" t="s">
        <v>14</v>
      </c>
    </row>
    <row r="5407" x14ac:dyDescent="0.25">
      <c r="A5407" t="n">
        <v>25</v>
      </c>
      <c r="B5407" t="s">
        <v>14</v>
      </c>
      <c r="C5407" t="s">
        <v>22</v>
      </c>
      <c r="D5407" s="2" t="s">
        <f>=HYPERLINK("https://main.knesset.gov.il/APPS/legislation/main/bills/2200249", "הצעת חוק הביטוח הלאומי (תיקון - ביטול מבחן ההכנסה לצורך קבלת גמלת סיעוד), התשפ""ג-2023")</f>
        <v>9510</v>
      </c>
      <c r="E5407" t="s">
        <v>9510</v>
      </c>
      <c r="F5407" t="s">
        <v>10934</v>
      </c>
      <c r="G5407" t="s">
        <v>14</v>
      </c>
      <c r="H5407">
             </c>
      <c r="I5407" t="s">
        <v>14</v>
      </c>
      <c r="J5407" t="s">
        <v>141</v>
      </c>
      <c r="K5407" t="s">
        <v>14</v>
      </c>
      <c r="L5407" t="s">
        <v>20</v>
      </c>
      <c r="M5407" t="s">
        <v>10922</v>
      </c>
      <c r="N5407" t="s">
        <v>14</v>
      </c>
    </row>
    <row r="5408" x14ac:dyDescent="0.25">
      <c r="A5408" t="n">
        <v>25</v>
      </c>
      <c r="B5408" t="s">
        <v>14</v>
      </c>
      <c r="C5408" t="s">
        <v>22</v>
      </c>
      <c r="D5408" s="2" t="s">
        <f>=HYPERLINK("https://main.knesset.gov.il/APPS/legislation/main/bills/2199872", "הצעת חוק עוסק זעיר, התשפ""ג-2023")</f>
        <v>9863</v>
      </c>
      <c r="E5408" t="s">
        <v>9863</v>
      </c>
      <c r="F5408" t="s">
        <v>10935</v>
      </c>
      <c r="G5408" t="s">
        <v>14</v>
      </c>
      <c r="H5408">
             </c>
      <c r="I5408" t="s">
        <v>14</v>
      </c>
      <c r="J5408" t="s">
        <v>141</v>
      </c>
      <c r="K5408" t="s">
        <v>14</v>
      </c>
      <c r="L5408" t="s">
        <v>20</v>
      </c>
      <c r="M5408" t="s">
        <v>10922</v>
      </c>
      <c r="N5408" t="s">
        <v>14</v>
      </c>
    </row>
    <row r="5409" x14ac:dyDescent="0.25">
      <c r="A5409" t="n">
        <v>25</v>
      </c>
      <c r="B5409" t="s">
        <v>14</v>
      </c>
      <c r="C5409" t="s">
        <v>22</v>
      </c>
      <c r="D5409" s="2" t="s">
        <f>=HYPERLINK("https://main.knesset.gov.il/APPS/legislation/main/bills/2200723", "הצעת חוק מאבק בארגוני פשיעה (תיקון - הרחבת הנסיבה המחמירה לזיקה לארגון פשיעה), התשפ""ג-2023")</f>
        <v>8672</v>
      </c>
      <c r="E5409" t="s">
        <v>8672</v>
      </c>
      <c r="F5409" t="s">
        <v>10936</v>
      </c>
      <c r="G5409" t="s">
        <v>14</v>
      </c>
      <c r="H5409">
             </c>
      <c r="I5409" t="s">
        <v>14</v>
      </c>
      <c r="J5409" t="s">
        <v>141</v>
      </c>
      <c r="K5409" t="s">
        <v>14</v>
      </c>
      <c r="L5409" t="s">
        <v>20</v>
      </c>
      <c r="M5409" t="s">
        <v>10922</v>
      </c>
      <c r="N5409" t="s">
        <v>14</v>
      </c>
    </row>
    <row r="5410" x14ac:dyDescent="0.25">
      <c r="A5410" t="n">
        <v>25</v>
      </c>
      <c r="B5410" t="s">
        <v>14</v>
      </c>
      <c r="C5410" t="s">
        <v>22</v>
      </c>
      <c r="D5410" s="2" t="s">
        <f>=HYPERLINK("https://main.knesset.gov.il/APPS/legislation/main/bills/2200627", "הצעת חוק הביטוח הלאומי (תיקון - משלוח הודעה בדבר זכאות המבוטח), התשפ""ג-2023")</f>
        <v>4645</v>
      </c>
      <c r="E5410" t="s">
        <v>4645</v>
      </c>
      <c r="F5410" t="s">
        <v>10937</v>
      </c>
      <c r="G5410" t="s">
        <v>14</v>
      </c>
      <c r="H5410">
             </c>
      <c r="I5410" t="s">
        <v>14</v>
      </c>
      <c r="J5410" t="s">
        <v>141</v>
      </c>
      <c r="K5410" t="s">
        <v>14</v>
      </c>
      <c r="L5410" t="s">
        <v>20</v>
      </c>
      <c r="M5410" t="s">
        <v>10922</v>
      </c>
      <c r="N5410" t="s">
        <v>14</v>
      </c>
    </row>
    <row r="5411" x14ac:dyDescent="0.25">
      <c r="A5411" t="n">
        <v>25</v>
      </c>
      <c r="B5411" t="s">
        <v>14</v>
      </c>
      <c r="C5411" t="s">
        <v>22</v>
      </c>
      <c r="D5411" s="2" t="s">
        <f>=HYPERLINK("https://main.knesset.gov.il/APPS/legislation/main/bills/2200634", "הצעת חוק הרשויות המקומיות (גמול השתתפות בישיבות והחזר הוצאות לחברי מועצה), התשפ""ג-2023")</f>
        <v>2846</v>
      </c>
      <c r="E5411" t="s">
        <v>2846</v>
      </c>
      <c r="F5411" t="s">
        <v>10938</v>
      </c>
      <c r="G5411" t="s">
        <v>14</v>
      </c>
      <c r="H5411">
             </c>
      <c r="I5411" t="s">
        <v>14</v>
      </c>
      <c r="J5411" t="s">
        <v>141</v>
      </c>
      <c r="K5411" t="s">
        <v>14</v>
      </c>
      <c r="L5411" t="s">
        <v>20</v>
      </c>
      <c r="M5411" t="s">
        <v>10922</v>
      </c>
      <c r="N5411" t="s">
        <v>14</v>
      </c>
    </row>
    <row r="5412" x14ac:dyDescent="0.25">
      <c r="A5412" t="n">
        <v>25</v>
      </c>
      <c r="B5412" t="s">
        <v>14</v>
      </c>
      <c r="C5412" t="s">
        <v>22</v>
      </c>
      <c r="D5412" s="2" t="s">
        <f>=HYPERLINK("https://main.knesset.gov.il/APPS/legislation/main/bills/2200470", "הצעת חוק מיקוד גמלאות לאזרחים ותיקים (תיקוני חקיקה), התשפ""ג-2023")</f>
        <v>9352</v>
      </c>
      <c r="E5412" t="s">
        <v>9352</v>
      </c>
      <c r="F5412" t="s">
        <v>10939</v>
      </c>
      <c r="G5412" t="s">
        <v>14</v>
      </c>
      <c r="H5412">
             </c>
      <c r="I5412" t="s">
        <v>14</v>
      </c>
      <c r="J5412" t="s">
        <v>141</v>
      </c>
      <c r="K5412" t="s">
        <v>14</v>
      </c>
      <c r="L5412" t="s">
        <v>20</v>
      </c>
      <c r="M5412" t="s">
        <v>10922</v>
      </c>
      <c r="N5412" t="s">
        <v>14</v>
      </c>
    </row>
    <row r="5413" x14ac:dyDescent="0.25">
      <c r="A5413" t="n">
        <v>25</v>
      </c>
      <c r="B5413" t="s">
        <v>14</v>
      </c>
      <c r="C5413" t="s">
        <v>22</v>
      </c>
      <c r="D5413" s="2" t="s">
        <f>=HYPERLINK("https://main.knesset.gov.il/APPS/legislation/main/bills/2200457", "הצעת חוק דמי מחלה (היעדרות בשל מחלת ילד) (תיקון - היעדרות בשל אשפוז ילד), התשפ""ג-2023")</f>
        <v>10198</v>
      </c>
      <c r="E5413" t="s">
        <v>10198</v>
      </c>
      <c r="F5413" t="s">
        <v>10940</v>
      </c>
      <c r="G5413" t="s">
        <v>14</v>
      </c>
      <c r="H5413">
             </c>
      <c r="I5413" t="s">
        <v>14</v>
      </c>
      <c r="J5413" t="s">
        <v>141</v>
      </c>
      <c r="K5413" t="s">
        <v>14</v>
      </c>
      <c r="L5413" t="s">
        <v>20</v>
      </c>
      <c r="M5413" t="s">
        <v>10922</v>
      </c>
      <c r="N5413" t="s">
        <v>14</v>
      </c>
    </row>
    <row r="5414" x14ac:dyDescent="0.25">
      <c r="A5414" t="n">
        <v>25</v>
      </c>
      <c r="B5414" t="s">
        <v>14</v>
      </c>
      <c r="C5414" t="s">
        <v>22</v>
      </c>
      <c r="D5414" s="2" t="s">
        <f>=HYPERLINK("https://main.knesset.gov.il/APPS/legislation/main/bills/2199702", "הצעת חוק חישוב דרגת הזכאות של מורה להשתתפות המדינה בדמי ההחזקה לילד במעונות יום ובמשפחתונים, התשפ""ג-2023")</f>
        <v>8359</v>
      </c>
      <c r="E5414" t="s">
        <v>8359</v>
      </c>
      <c r="F5414" t="s">
        <v>10941</v>
      </c>
      <c r="G5414" t="s">
        <v>14</v>
      </c>
      <c r="H5414">
             </c>
      <c r="I5414" t="s">
        <v>14</v>
      </c>
      <c r="J5414" t="s">
        <v>141</v>
      </c>
      <c r="K5414" t="s">
        <v>14</v>
      </c>
      <c r="L5414" t="s">
        <v>20</v>
      </c>
      <c r="M5414" t="s">
        <v>10922</v>
      </c>
      <c r="N5414" t="s">
        <v>14</v>
      </c>
    </row>
    <row r="5415" x14ac:dyDescent="0.25">
      <c r="A5415" t="n">
        <v>25</v>
      </c>
      <c r="B5415" t="s">
        <v>14</v>
      </c>
      <c r="C5415" t="s">
        <v>22</v>
      </c>
      <c r="D5415" s="2" t="s">
        <f>=HYPERLINK("https://main.knesset.gov.il/APPS/legislation/main/bills/2200227", "הצעת חוק שכר מינימום (תיקון - תוספת שלא תובא בחשבון בשכר המינימום), התשפ""ג-2023")</f>
        <v>10942</v>
      </c>
      <c r="E5415" t="s">
        <v>10942</v>
      </c>
      <c r="F5415" t="s">
        <v>10943</v>
      </c>
      <c r="G5415" t="s">
        <v>14</v>
      </c>
      <c r="H5415">
             </c>
      <c r="I5415" t="s">
        <v>14</v>
      </c>
      <c r="J5415" t="s">
        <v>141</v>
      </c>
      <c r="K5415" t="s">
        <v>14</v>
      </c>
      <c r="L5415" t="s">
        <v>20</v>
      </c>
      <c r="M5415" t="s">
        <v>10922</v>
      </c>
      <c r="N5415" t="s">
        <v>14</v>
      </c>
    </row>
    <row r="5416" x14ac:dyDescent="0.25">
      <c r="A5416" t="n">
        <v>25</v>
      </c>
      <c r="B5416" t="s">
        <v>14</v>
      </c>
      <c r="C5416" t="s">
        <v>22</v>
      </c>
      <c r="D5416" s="2" t="s">
        <f>=HYPERLINK("https://main.knesset.gov.il/APPS/legislation/main/bills/2200301", "הצעת חוק הביטוח הלאומי (תיקון - הכרה בפגיעה מינית בעבודה כפגיעה בעבודה), התשפ""ג-2023")</f>
        <v>10944</v>
      </c>
      <c r="E5416" t="s">
        <v>10944</v>
      </c>
      <c r="F5416" t="s">
        <v>10945</v>
      </c>
      <c r="G5416" t="s">
        <v>14</v>
      </c>
      <c r="H5416">
             </c>
      <c r="I5416" t="s">
        <v>14</v>
      </c>
      <c r="J5416" t="s">
        <v>141</v>
      </c>
      <c r="K5416" t="s">
        <v>14</v>
      </c>
      <c r="L5416" t="s">
        <v>20</v>
      </c>
      <c r="M5416" t="s">
        <v>10922</v>
      </c>
      <c r="N5416" t="s">
        <v>14</v>
      </c>
    </row>
    <row r="5417" x14ac:dyDescent="0.25">
      <c r="A5417" t="n">
        <v>25</v>
      </c>
      <c r="B5417" t="s">
        <v>14</v>
      </c>
      <c r="C5417" t="s">
        <v>22</v>
      </c>
      <c r="D5417" s="2" t="s">
        <f>=HYPERLINK("https://main.knesset.gov.il/APPS/legislation/main/bills/2200632", "הצעת חוק האזרחים הוותיקים (תיקון - הקמת קרן למימון תרופות לאזרחים ותיקים מעוטי יכולת), התשפ""ג-2023")</f>
        <v>10946</v>
      </c>
      <c r="E5417" t="s">
        <v>10946</v>
      </c>
      <c r="F5417" t="s">
        <v>10947</v>
      </c>
      <c r="G5417" t="s">
        <v>14</v>
      </c>
      <c r="H5417">
             </c>
      <c r="I5417" t="s">
        <v>14</v>
      </c>
      <c r="J5417" t="s">
        <v>141</v>
      </c>
      <c r="K5417" t="s">
        <v>14</v>
      </c>
      <c r="L5417" t="s">
        <v>20</v>
      </c>
      <c r="M5417" t="s">
        <v>10922</v>
      </c>
      <c r="N5417" t="s">
        <v>14</v>
      </c>
    </row>
    <row r="5418" x14ac:dyDescent="0.25">
      <c r="A5418" t="n">
        <v>25</v>
      </c>
      <c r="B5418" t="s">
        <v>14</v>
      </c>
      <c r="C5418" t="s">
        <v>22</v>
      </c>
      <c r="D5418" s="2" t="s">
        <f>=HYPERLINK("https://main.knesset.gov.il/APPS/legislation/main/bills/2200746", "הצעת חוק הביטוח הלאומי (תיקון - הרחבת הזכאות למענק פטירה), התשפ""ג-2023")</f>
        <v>10948</v>
      </c>
      <c r="E5418" t="s">
        <v>10948</v>
      </c>
      <c r="F5418" t="s">
        <v>10949</v>
      </c>
      <c r="G5418" t="s">
        <v>14</v>
      </c>
      <c r="H5418">
             </c>
      <c r="I5418" t="s">
        <v>14</v>
      </c>
      <c r="J5418" t="s">
        <v>141</v>
      </c>
      <c r="K5418" t="s">
        <v>14</v>
      </c>
      <c r="L5418" t="s">
        <v>20</v>
      </c>
      <c r="M5418" t="s">
        <v>10922</v>
      </c>
      <c r="N5418" t="s">
        <v>14</v>
      </c>
    </row>
    <row r="5419" x14ac:dyDescent="0.25">
      <c r="A5419" t="n">
        <v>25</v>
      </c>
      <c r="B5419" t="s">
        <v>14</v>
      </c>
      <c r="C5419" t="s">
        <v>22</v>
      </c>
      <c r="D5419" s="2" t="s">
        <f>=HYPERLINK("https://main.knesset.gov.il/APPS/legislation/main/bills/2200289", "הצעת חוק סיוע לקטינים נפגעי עבירות מין או אלימות (תיקון - טיפול נפשי לילדים נפגעי אלימות במשפחה), התשפ""ג-2023")</f>
        <v>10950</v>
      </c>
      <c r="E5419" t="s">
        <v>10950</v>
      </c>
      <c r="F5419" t="s">
        <v>10951</v>
      </c>
      <c r="G5419" t="s">
        <v>14</v>
      </c>
      <c r="H5419">
             </c>
      <c r="I5419" t="s">
        <v>14</v>
      </c>
      <c r="J5419" t="s">
        <v>141</v>
      </c>
      <c r="K5419" t="s">
        <v>14</v>
      </c>
      <c r="L5419" t="s">
        <v>20</v>
      </c>
      <c r="M5419" t="s">
        <v>10922</v>
      </c>
      <c r="N5419" t="s">
        <v>14</v>
      </c>
    </row>
    <row r="5420" x14ac:dyDescent="0.25">
      <c r="A5420" t="n">
        <v>25</v>
      </c>
      <c r="B5420" t="s">
        <v>14</v>
      </c>
      <c r="C5420" t="s">
        <v>22</v>
      </c>
      <c r="D5420" s="2" t="s">
        <f>=HYPERLINK("https://main.knesset.gov.il/APPS/legislation/main/bills/2199986", "הצעת חוק הבטחת הכנסה (תיקון - הצמדת הגמלה בגיל פרישה לשכר הממוצע במשק), התשפ""ג-2023")</f>
        <v>10952</v>
      </c>
      <c r="E5420" t="s">
        <v>10952</v>
      </c>
      <c r="F5420" t="s">
        <v>10953</v>
      </c>
      <c r="G5420" t="s">
        <v>14</v>
      </c>
      <c r="H5420">
             </c>
      <c r="I5420" t="s">
        <v>14</v>
      </c>
      <c r="J5420" t="s">
        <v>141</v>
      </c>
      <c r="K5420" t="s">
        <v>14</v>
      </c>
      <c r="L5420" t="s">
        <v>20</v>
      </c>
      <c r="M5420" t="s">
        <v>10922</v>
      </c>
      <c r="N5420" t="s">
        <v>14</v>
      </c>
    </row>
    <row r="5421" x14ac:dyDescent="0.25">
      <c r="A5421" t="n">
        <v>25</v>
      </c>
      <c r="B5421" t="s">
        <v>14</v>
      </c>
      <c r="C5421" t="s">
        <v>22</v>
      </c>
      <c r="D5421" s="2" t="s">
        <f>=HYPERLINK("https://main.knesset.gov.il/APPS/legislation/main/bills/2200013", "הצעת חוק הביטוח הלאומי (תיקון - דמי אבטלה לעובד שפוטר לאחר שהגיע לגיל פרישה), התשפ""ג-2023")</f>
        <v>10954</v>
      </c>
      <c r="E5421" t="s">
        <v>10954</v>
      </c>
      <c r="F5421" t="s">
        <v>10955</v>
      </c>
      <c r="G5421" t="s">
        <v>14</v>
      </c>
      <c r="H5421">
             </c>
      <c r="I5421" t="s">
        <v>14</v>
      </c>
      <c r="J5421" t="s">
        <v>141</v>
      </c>
      <c r="K5421" t="s">
        <v>14</v>
      </c>
      <c r="L5421" t="s">
        <v>20</v>
      </c>
      <c r="M5421" t="s">
        <v>10922</v>
      </c>
      <c r="N5421" t="s">
        <v>14</v>
      </c>
    </row>
    <row r="5422" x14ac:dyDescent="0.25">
      <c r="A5422" t="n">
        <v>25</v>
      </c>
      <c r="B5422" t="s">
        <v>14</v>
      </c>
      <c r="C5422" t="s">
        <v>22</v>
      </c>
      <c r="D5422" s="2" t="s">
        <f>=HYPERLINK("https://main.knesset.gov.il/APPS/legislation/main/bills/2198696", "הצעת חוק סיוע לקטינים נפגעי עבירות מין או אלימות (תיקון - טיפול נפשי לילדים נפגעי אלימות במשפחה), התשפ""ג-2023")</f>
        <v>10950</v>
      </c>
      <c r="E5422" t="s">
        <v>10950</v>
      </c>
      <c r="F5422" t="s">
        <v>10956</v>
      </c>
      <c r="G5422" t="s">
        <v>14</v>
      </c>
      <c r="H5422">
             </c>
      <c r="I5422" t="s">
        <v>14</v>
      </c>
      <c r="J5422" t="s">
        <v>141</v>
      </c>
      <c r="K5422" t="s">
        <v>14</v>
      </c>
      <c r="L5422" t="s">
        <v>20</v>
      </c>
      <c r="M5422" t="s">
        <v>10922</v>
      </c>
      <c r="N5422" t="s">
        <v>14</v>
      </c>
    </row>
    <row r="5423" x14ac:dyDescent="0.25">
      <c r="A5423" t="n">
        <v>25</v>
      </c>
      <c r="B5423" t="s">
        <v>14</v>
      </c>
      <c r="C5423" t="s">
        <v>22</v>
      </c>
      <c r="D5423" s="2" t="s">
        <f>=HYPERLINK("https://main.knesset.gov.il/APPS/legislation/main/bills/2200515", "הצעת חוק הגנת השכר (תיקון - צירוף פירוט שעות חודשי לתלוש השכר), התשפ""ג-2023")</f>
        <v>10957</v>
      </c>
      <c r="E5423" t="s">
        <v>10957</v>
      </c>
      <c r="F5423" t="s">
        <v>10958</v>
      </c>
      <c r="G5423" t="s">
        <v>14</v>
      </c>
      <c r="H5423">
             </c>
      <c r="I5423" t="s">
        <v>14</v>
      </c>
      <c r="J5423" t="s">
        <v>141</v>
      </c>
      <c r="K5423" t="s">
        <v>14</v>
      </c>
      <c r="L5423" t="s">
        <v>20</v>
      </c>
      <c r="M5423" t="s">
        <v>10922</v>
      </c>
      <c r="N5423" t="s">
        <v>14</v>
      </c>
    </row>
    <row r="5424" x14ac:dyDescent="0.25">
      <c r="A5424" t="n">
        <v>25</v>
      </c>
      <c r="B5424" t="s">
        <v>14</v>
      </c>
      <c r="C5424" t="s">
        <v>22</v>
      </c>
      <c r="D5424" s="2" t="s">
        <f>=HYPERLINK("https://main.knesset.gov.il/APPS/legislation/main/bills/2200685", "הצעת חוק דמי מחלה (תיקון - הצהרת מחלה), התשפ""ג-2023")</f>
        <v>10959</v>
      </c>
      <c r="E5424" t="s">
        <v>10959</v>
      </c>
      <c r="F5424" t="s">
        <v>10960</v>
      </c>
      <c r="G5424" t="s">
        <v>14</v>
      </c>
      <c r="H5424">
             </c>
      <c r="I5424" t="s">
        <v>14</v>
      </c>
      <c r="J5424" t="s">
        <v>141</v>
      </c>
      <c r="K5424" t="s">
        <v>14</v>
      </c>
      <c r="L5424" t="s">
        <v>20</v>
      </c>
      <c r="M5424" t="s">
        <v>10922</v>
      </c>
      <c r="N5424" t="s">
        <v>14</v>
      </c>
    </row>
    <row r="5425" x14ac:dyDescent="0.25">
      <c r="A5425" t="n">
        <v>25</v>
      </c>
      <c r="B5425" t="s">
        <v>14</v>
      </c>
      <c r="C5425" t="s">
        <v>22</v>
      </c>
      <c r="D5425" s="2" t="s">
        <f>=HYPERLINK("https://main.knesset.gov.il/APPS/legislation/main/bills/2200637", "הצעת חוק תומכות חינוך במוסדות חינוך, התשפ""ג-2023")</f>
        <v>10961</v>
      </c>
      <c r="E5425" t="s">
        <v>10961</v>
      </c>
      <c r="F5425" t="s">
        <v>10962</v>
      </c>
      <c r="G5425" t="s">
        <v>14</v>
      </c>
      <c r="H5425">
             </c>
      <c r="I5425" t="s">
        <v>14</v>
      </c>
      <c r="J5425" t="s">
        <v>141</v>
      </c>
      <c r="K5425" t="s">
        <v>14</v>
      </c>
      <c r="L5425" t="s">
        <v>20</v>
      </c>
      <c r="M5425" t="s">
        <v>10922</v>
      </c>
      <c r="N5425" t="s">
        <v>14</v>
      </c>
    </row>
    <row r="5426" x14ac:dyDescent="0.25">
      <c r="A5426" t="n">
        <v>25</v>
      </c>
      <c r="B5426" t="s">
        <v>14</v>
      </c>
      <c r="C5426" t="s">
        <v>22</v>
      </c>
      <c r="D5426" s="2" t="s">
        <f>=HYPERLINK("https://main.knesset.gov.il/APPS/legislation/main/bills/2200360", "הצעת חוק שכר מינימום (תיקון - שכר שווה לאנשים המתמודדים עם מוגבלות), התשפ""ג-2023")</f>
        <v>9450</v>
      </c>
      <c r="E5426" t="s">
        <v>9450</v>
      </c>
      <c r="F5426" t="s">
        <v>10963</v>
      </c>
      <c r="G5426" t="s">
        <v>14</v>
      </c>
      <c r="H5426">
             </c>
      <c r="I5426" t="s">
        <v>14</v>
      </c>
      <c r="J5426" t="s">
        <v>141</v>
      </c>
      <c r="K5426" t="s">
        <v>14</v>
      </c>
      <c r="L5426" t="s">
        <v>20</v>
      </c>
      <c r="M5426" t="s">
        <v>10922</v>
      </c>
      <c r="N5426" t="s">
        <v>14</v>
      </c>
    </row>
    <row r="5427" x14ac:dyDescent="0.25">
      <c r="A5427" t="n">
        <v>25</v>
      </c>
      <c r="B5427" t="s">
        <v>14</v>
      </c>
      <c r="C5427" t="s">
        <v>22</v>
      </c>
      <c r="D5427" s="2" t="s">
        <f>=HYPERLINK("https://main.knesset.gov.il/APPS/legislation/main/bills/2200529", "הצעת חוק היערכות אזרחית למצבי חירום, התשפ""ג-2023")</f>
        <v>10964</v>
      </c>
      <c r="E5427" t="s">
        <v>10964</v>
      </c>
      <c r="F5427" t="s">
        <v>10965</v>
      </c>
      <c r="G5427" t="s">
        <v>14</v>
      </c>
      <c r="H5427">
             </c>
      <c r="I5427" t="s">
        <v>14</v>
      </c>
      <c r="J5427" t="s">
        <v>141</v>
      </c>
      <c r="K5427" t="s">
        <v>14</v>
      </c>
      <c r="L5427" t="s">
        <v>20</v>
      </c>
      <c r="M5427" t="s">
        <v>10922</v>
      </c>
      <c r="N5427" t="s">
        <v>14</v>
      </c>
    </row>
    <row r="5428" x14ac:dyDescent="0.25">
      <c r="A5428" t="n">
        <v>25</v>
      </c>
      <c r="B5428" t="s">
        <v>14</v>
      </c>
      <c r="C5428" t="s">
        <v>22</v>
      </c>
      <c r="D5428" s="2" t="s">
        <f>=HYPERLINK("https://main.knesset.gov.il/APPS/legislation/main/bills/2200026", "הצעת חוק הבטחת הכנסה (תיקון - הגדלת הסכום להשתכרות בנוסף לקצבה), התשפ""ג-2023")</f>
        <v>9542</v>
      </c>
      <c r="E5428" t="s">
        <v>9542</v>
      </c>
      <c r="F5428" t="s">
        <v>10966</v>
      </c>
      <c r="G5428" t="s">
        <v>14</v>
      </c>
      <c r="H5428">
             </c>
      <c r="I5428" t="s">
        <v>14</v>
      </c>
      <c r="J5428" t="s">
        <v>141</v>
      </c>
      <c r="K5428" t="s">
        <v>14</v>
      </c>
      <c r="L5428" t="s">
        <v>20</v>
      </c>
      <c r="M5428" t="s">
        <v>10922</v>
      </c>
      <c r="N5428" t="s">
        <v>14</v>
      </c>
    </row>
    <row r="5429" x14ac:dyDescent="0.25">
      <c r="A5429" t="n">
        <v>25</v>
      </c>
      <c r="B5429" t="s">
        <v>14</v>
      </c>
      <c r="C5429" t="s">
        <v>22</v>
      </c>
      <c r="D5429" s="2" t="s">
        <f>=HYPERLINK("https://main.knesset.gov.il/APPS/legislation/main/bills/2200683", "הצעת חוק דמי מחלה (היעדרות בשל מחלת ילד) (תיקון - היעדרות בעקבות פגיעה בעבירת מין או אלימות חמורה), התשפ""ג-2023")</f>
        <v>8043</v>
      </c>
      <c r="E5429" t="s">
        <v>8043</v>
      </c>
      <c r="F5429" t="s">
        <v>10967</v>
      </c>
      <c r="G5429" t="s">
        <v>14</v>
      </c>
      <c r="H5429">
             </c>
      <c r="I5429" t="s">
        <v>14</v>
      </c>
      <c r="J5429" t="s">
        <v>141</v>
      </c>
      <c r="K5429" t="s">
        <v>14</v>
      </c>
      <c r="L5429" t="s">
        <v>20</v>
      </c>
      <c r="M5429" t="s">
        <v>10922</v>
      </c>
      <c r="N5429" t="s">
        <v>14</v>
      </c>
    </row>
    <row r="5430" x14ac:dyDescent="0.25">
      <c r="A5430" t="n">
        <v>25</v>
      </c>
      <c r="B5430" t="s">
        <v>14</v>
      </c>
      <c r="C5430" t="s">
        <v>22</v>
      </c>
      <c r="D5430" s="2" t="s">
        <f>=HYPERLINK("https://main.knesset.gov.il/APPS/legislation/main/bills/2200633", "הצעת חוק לתיקון פקודת העיריות (חובת גילוי מסמכי תאגיד עירוני), התשפ""ג-2023")</f>
        <v>10447</v>
      </c>
      <c r="E5430" t="s">
        <v>10447</v>
      </c>
      <c r="F5430" t="s">
        <v>10968</v>
      </c>
      <c r="G5430" t="s">
        <v>14</v>
      </c>
      <c r="H5430">
             </c>
      <c r="I5430" t="s">
        <v>14</v>
      </c>
      <c r="J5430" t="s">
        <v>141</v>
      </c>
      <c r="K5430" t="s">
        <v>14</v>
      </c>
      <c r="L5430" t="s">
        <v>20</v>
      </c>
      <c r="M5430" t="s">
        <v>10922</v>
      </c>
      <c r="N5430" t="s">
        <v>14</v>
      </c>
    </row>
    <row r="5431" x14ac:dyDescent="0.25">
      <c r="A5431" t="n">
        <v>25</v>
      </c>
      <c r="B5431" t="s">
        <v>14</v>
      </c>
      <c r="C5431" t="s">
        <v>22</v>
      </c>
      <c r="D5431" s="2" t="s">
        <f>=HYPERLINK("https://main.knesset.gov.il/APPS/legislation/main/bills/2200217", "הצעת חוק הגנה על עובדים (חשיפת עבירות ופגיעה בטוהר המידות או במינהל התקין) (תיקון - הגדלת סכום הפיצוי שאינו תלוי בנזק ושינוי נטל ההוכחה), התשפ""ג-2023")</f>
        <v>10969</v>
      </c>
      <c r="E5431" t="s">
        <v>10969</v>
      </c>
      <c r="F5431" t="s">
        <v>10970</v>
      </c>
      <c r="G5431" t="s">
        <v>14</v>
      </c>
      <c r="H5431">
             </c>
      <c r="I5431" t="s">
        <v>14</v>
      </c>
      <c r="J5431" t="s">
        <v>141</v>
      </c>
      <c r="K5431" t="s">
        <v>14</v>
      </c>
      <c r="L5431" t="s">
        <v>20</v>
      </c>
      <c r="M5431" t="s">
        <v>10922</v>
      </c>
      <c r="N5431" t="s">
        <v>14</v>
      </c>
    </row>
    <row r="5432" x14ac:dyDescent="0.25">
      <c r="A5432" t="n">
        <v>25</v>
      </c>
      <c r="B5432" t="s">
        <v>14</v>
      </c>
      <c r="C5432" t="s">
        <v>22</v>
      </c>
      <c r="D5432" s="2" t="s">
        <f>=HYPERLINK("https://main.knesset.gov.il/APPS/legislation/main/bills/2200015", "הצעת חוק הביטוח הלאומי (תיקון - הארכת תקופת הזכאות לדמי אבטלה לצעירים), התשפ""ג-2023")</f>
        <v>10971</v>
      </c>
      <c r="E5432" t="s">
        <v>10971</v>
      </c>
      <c r="F5432" t="s">
        <v>10972</v>
      </c>
      <c r="G5432" t="s">
        <v>14</v>
      </c>
      <c r="H5432">
             </c>
      <c r="I5432" t="s">
        <v>14</v>
      </c>
      <c r="J5432" t="s">
        <v>141</v>
      </c>
      <c r="K5432" t="s">
        <v>14</v>
      </c>
      <c r="L5432" t="s">
        <v>20</v>
      </c>
      <c r="M5432" t="s">
        <v>10922</v>
      </c>
      <c r="N5432" t="s">
        <v>14</v>
      </c>
    </row>
    <row r="5433" x14ac:dyDescent="0.25">
      <c r="A5433" t="n">
        <v>25</v>
      </c>
      <c r="B5433" t="s">
        <v>14</v>
      </c>
      <c r="C5433" t="s">
        <v>22</v>
      </c>
      <c r="D5433" s="2" t="s">
        <f>=HYPERLINK("https://main.knesset.gov.il/APPS/legislation/main/bills/2196516", "הצעת חוק הביטוח הלאומי (תיקון - הגדלת סכום קצבאות הילדים), התשפ""ג-2023")</f>
        <v>9700</v>
      </c>
      <c r="E5433" t="s">
        <v>9700</v>
      </c>
      <c r="F5433" t="s">
        <v>10973</v>
      </c>
      <c r="G5433" t="s">
        <v>14</v>
      </c>
      <c r="H5433">
             </c>
      <c r="I5433" t="s">
        <v>14</v>
      </c>
      <c r="J5433" t="s">
        <v>141</v>
      </c>
      <c r="K5433" t="s">
        <v>14</v>
      </c>
      <c r="L5433" t="s">
        <v>20</v>
      </c>
      <c r="M5433" t="s">
        <v>10922</v>
      </c>
      <c r="N5433" t="s">
        <v>14</v>
      </c>
    </row>
    <row r="5434" x14ac:dyDescent="0.25">
      <c r="A5434" t="n">
        <v>25</v>
      </c>
      <c r="B5434" t="s">
        <v>14</v>
      </c>
      <c r="C5434" t="s">
        <v>22</v>
      </c>
      <c r="D5434" s="2" t="s">
        <f>=HYPERLINK("https://main.knesset.gov.il/APPS/legislation/main/bills/2200571", "הצעת חוק איסור שימוש ברכב במימון ציבורי לחבר כנסת, שר וסגן שר ביום המנוחה השבועי ובחג, התשפ""ג-2023")</f>
        <v>10974</v>
      </c>
      <c r="E5434" t="s">
        <v>10974</v>
      </c>
      <c r="F5434" t="s">
        <v>10975</v>
      </c>
      <c r="G5434" t="s">
        <v>14</v>
      </c>
      <c r="H5434">
             </c>
      <c r="I5434" t="s">
        <v>14</v>
      </c>
      <c r="J5434" t="s">
        <v>141</v>
      </c>
      <c r="K5434" t="s">
        <v>14</v>
      </c>
      <c r="L5434" t="s">
        <v>20</v>
      </c>
      <c r="M5434" t="s">
        <v>10922</v>
      </c>
      <c r="N5434" t="s">
        <v>14</v>
      </c>
    </row>
    <row r="5435" x14ac:dyDescent="0.25">
      <c r="A5435" t="n">
        <v>25</v>
      </c>
      <c r="B5435" t="s">
        <v>14</v>
      </c>
      <c r="C5435" t="s">
        <v>22</v>
      </c>
      <c r="D5435" s="2" t="s">
        <f>=HYPERLINK("https://main.knesset.gov.il/APPS/legislation/main/bills/2200531", "הצעת חוק המים (תיקון - הוספת נציג ציבור לעניין איכות הסביבה למועצת רשות המים), התשפ""ג-2023")</f>
        <v>10976</v>
      </c>
      <c r="E5435" t="s">
        <v>10976</v>
      </c>
      <c r="F5435" t="s">
        <v>10977</v>
      </c>
      <c r="G5435" t="s">
        <v>14</v>
      </c>
      <c r="H5435">
             </c>
      <c r="I5435" t="s">
        <v>14</v>
      </c>
      <c r="J5435" t="s">
        <v>141</v>
      </c>
      <c r="K5435" t="s">
        <v>14</v>
      </c>
      <c r="L5435" t="s">
        <v>20</v>
      </c>
      <c r="M5435" t="s">
        <v>10922</v>
      </c>
      <c r="N5435" t="s">
        <v>14</v>
      </c>
    </row>
    <row r="5436" x14ac:dyDescent="0.25">
      <c r="A5436" t="n">
        <v>25</v>
      </c>
      <c r="B5436" t="s">
        <v>14</v>
      </c>
      <c r="C5436" t="s">
        <v>22</v>
      </c>
      <c r="D5436" s="2" t="s">
        <f>=HYPERLINK("https://main.knesset.gov.il/APPS/legislation/main/bills/2200616", "הצעת חוק שירותי הדת היהודיים (מועצות דתיות - בחירות), התשפ""ג-2023")</f>
        <v>10978</v>
      </c>
      <c r="E5436" t="s">
        <v>10978</v>
      </c>
      <c r="F5436" t="s">
        <v>10979</v>
      </c>
      <c r="G5436" t="s">
        <v>14</v>
      </c>
      <c r="H5436">
             </c>
      <c r="I5436" t="s">
        <v>14</v>
      </c>
      <c r="J5436" t="s">
        <v>141</v>
      </c>
      <c r="K5436" t="s">
        <v>14</v>
      </c>
      <c r="L5436" t="s">
        <v>20</v>
      </c>
      <c r="M5436" t="s">
        <v>10922</v>
      </c>
      <c r="N5436" t="s">
        <v>14</v>
      </c>
    </row>
    <row r="5437" x14ac:dyDescent="0.25">
      <c r="A5437" t="n">
        <v>25</v>
      </c>
      <c r="B5437" t="s">
        <v>14</v>
      </c>
      <c r="C5437" t="s">
        <v>22</v>
      </c>
      <c r="D5437" s="2" t="s">
        <f>=HYPERLINK("https://main.knesset.gov.il/APPS/legislation/main/bills/2200716", "הצעת חוק מפעל הזנה במוסדות חינוך על יסודיים לנוער בסיכון ולנוער נושר, התשפ''ג-2023")</f>
        <v>9486</v>
      </c>
      <c r="E5437" t="s">
        <v>9486</v>
      </c>
      <c r="F5437" t="s">
        <v>10980</v>
      </c>
      <c r="G5437" t="s">
        <v>14</v>
      </c>
      <c r="H5437">
             </c>
      <c r="I5437" t="s">
        <v>14</v>
      </c>
      <c r="J5437" t="s">
        <v>141</v>
      </c>
      <c r="K5437" t="s">
        <v>14</v>
      </c>
      <c r="L5437" t="s">
        <v>20</v>
      </c>
      <c r="M5437" t="s">
        <v>10922</v>
      </c>
      <c r="N5437" t="s">
        <v>14</v>
      </c>
    </row>
    <row r="5438" x14ac:dyDescent="0.25">
      <c r="A5438" t="n">
        <v>25</v>
      </c>
      <c r="B5438" t="s">
        <v>14</v>
      </c>
      <c r="C5438" t="s">
        <v>22</v>
      </c>
      <c r="D5438" s="2" t="s">
        <f>=HYPERLINK("https://main.knesset.gov.il/APPS/legislation/main/bills/2200454", "הצעת חוק הרשות הלאומית לתרבות ולשפה המרוקאית יהודית, התשפ""ג-2023")</f>
        <v>3076</v>
      </c>
      <c r="E5438" t="s">
        <v>3076</v>
      </c>
      <c r="F5438" t="s">
        <v>10981</v>
      </c>
      <c r="G5438" t="s">
        <v>14</v>
      </c>
      <c r="H5438">
             </c>
      <c r="I5438" t="s">
        <v>14</v>
      </c>
      <c r="J5438" t="s">
        <v>141</v>
      </c>
      <c r="K5438" t="s">
        <v>14</v>
      </c>
      <c r="L5438" t="s">
        <v>20</v>
      </c>
      <c r="M5438" t="s">
        <v>10922</v>
      </c>
      <c r="N5438" t="s">
        <v>14</v>
      </c>
    </row>
    <row r="5439" x14ac:dyDescent="0.25">
      <c r="A5439" t="n">
        <v>25</v>
      </c>
      <c r="B5439" t="s">
        <v>14</v>
      </c>
      <c r="C5439" t="s">
        <v>22</v>
      </c>
      <c r="D5439" s="2" t="s">
        <f>=HYPERLINK("https://main.knesset.gov.il/APPS/legislation/main/bills/2200644", "הצעת חוק הדיור הציבורי (זכויות רכישה) (תיקון - הארכת תוקף), התשפ""ג-2023")</f>
        <v>1967</v>
      </c>
      <c r="E5439" t="s">
        <v>1967</v>
      </c>
      <c r="F5439" t="s">
        <v>10982</v>
      </c>
      <c r="G5439" t="s">
        <v>14</v>
      </c>
      <c r="H5439">
             </c>
      <c r="I5439" t="s">
        <v>14</v>
      </c>
      <c r="J5439" t="s">
        <v>141</v>
      </c>
      <c r="K5439" t="s">
        <v>14</v>
      </c>
      <c r="L5439" t="s">
        <v>20</v>
      </c>
      <c r="M5439" t="s">
        <v>10922</v>
      </c>
      <c r="N5439" t="s">
        <v>14</v>
      </c>
    </row>
    <row r="5440" x14ac:dyDescent="0.25">
      <c r="A5440" t="n">
        <v>25</v>
      </c>
      <c r="B5440" t="s">
        <v>14</v>
      </c>
      <c r="C5440" t="s">
        <v>22</v>
      </c>
      <c r="D5440" s="2" t="s">
        <f>=HYPERLINK("https://main.knesset.gov.il/APPS/legislation/main/bills/2200462", "הצעת חוק לימוד חובה (תיקון - חינוך חינם לפעוטות), התשפ""ג-2023")</f>
        <v>10983</v>
      </c>
      <c r="E5440" t="s">
        <v>10983</v>
      </c>
      <c r="F5440" t="s">
        <v>10984</v>
      </c>
      <c r="G5440" t="s">
        <v>14</v>
      </c>
      <c r="H5440">
             </c>
      <c r="I5440" t="s">
        <v>14</v>
      </c>
      <c r="J5440" t="s">
        <v>141</v>
      </c>
      <c r="K5440" t="s">
        <v>14</v>
      </c>
      <c r="L5440" t="s">
        <v>20</v>
      </c>
      <c r="M5440" t="s">
        <v>10922</v>
      </c>
      <c r="N5440" t="s">
        <v>14</v>
      </c>
    </row>
    <row r="5441" x14ac:dyDescent="0.25">
      <c r="A5441" t="n">
        <v>25</v>
      </c>
      <c r="B5441" t="s">
        <v>14</v>
      </c>
      <c r="C5441" t="s">
        <v>22</v>
      </c>
      <c r="D5441" s="2" t="s">
        <f>=HYPERLINK("https://main.knesset.gov.il/APPS/legislation/main/bills/2200441", "הצעת חוק המועצה להשכלה גבוהה (תיקון - הגבלת שיתוף פעולה בין מוסד אקדמי לבין ארגון הפועל נגד מדינת ישראל), התשפ""ג-2023")</f>
        <v>10985</v>
      </c>
      <c r="E5441" t="s">
        <v>10985</v>
      </c>
      <c r="F5441" t="s">
        <v>10986</v>
      </c>
      <c r="G5441" t="s">
        <v>14</v>
      </c>
      <c r="H5441">
             </c>
      <c r="I5441" t="s">
        <v>14</v>
      </c>
      <c r="J5441" t="s">
        <v>141</v>
      </c>
      <c r="K5441" t="s">
        <v>14</v>
      </c>
      <c r="L5441" t="s">
        <v>20</v>
      </c>
      <c r="M5441" t="s">
        <v>10922</v>
      </c>
      <c r="N5441" t="s">
        <v>14</v>
      </c>
    </row>
    <row r="5442" x14ac:dyDescent="0.25">
      <c r="A5442" t="n">
        <v>25</v>
      </c>
      <c r="B5442" t="s">
        <v>14</v>
      </c>
      <c r="C5442" t="s">
        <v>22</v>
      </c>
      <c r="D5442" s="2" t="s">
        <f>=HYPERLINK("https://main.knesset.gov.il/APPS/legislation/main/bills/2200626", "הצעת חוק הדיור הציבורי (פתרונות דיור עבור ממתינים לדיור ציבורי), התשפ""ג-2023")</f>
        <v>10741</v>
      </c>
      <c r="E5442" t="s">
        <v>10741</v>
      </c>
      <c r="F5442" t="s">
        <v>10987</v>
      </c>
      <c r="G5442" t="s">
        <v>14</v>
      </c>
      <c r="H5442">
             </c>
      <c r="I5442" t="s">
        <v>14</v>
      </c>
      <c r="J5442" t="s">
        <v>141</v>
      </c>
      <c r="K5442" t="s">
        <v>14</v>
      </c>
      <c r="L5442" t="s">
        <v>20</v>
      </c>
      <c r="M5442" t="s">
        <v>10922</v>
      </c>
      <c r="N5442" t="s">
        <v>14</v>
      </c>
    </row>
    <row r="5443" x14ac:dyDescent="0.25">
      <c r="A5443" t="n">
        <v>25</v>
      </c>
      <c r="B5443" t="s">
        <v>14</v>
      </c>
      <c r="C5443" t="s">
        <v>22</v>
      </c>
      <c r="D5443" s="2" t="s">
        <f>=HYPERLINK("https://main.knesset.gov.il/APPS/legislation/main/bills/2199805", "הצעת חוק העונשין (תיקון - עונש מינימום וקנס על החזקת נשק בלתי חוקי), התשפ""ג-2023")</f>
        <v>10988</v>
      </c>
      <c r="E5443" t="s">
        <v>10988</v>
      </c>
      <c r="F5443" t="s">
        <v>10989</v>
      </c>
      <c r="G5443" t="s">
        <v>14</v>
      </c>
      <c r="H5443">
             </c>
      <c r="I5443" t="s">
        <v>14</v>
      </c>
      <c r="J5443" t="s">
        <v>141</v>
      </c>
      <c r="K5443" t="s">
        <v>14</v>
      </c>
      <c r="L5443" t="s">
        <v>20</v>
      </c>
      <c r="M5443" t="s">
        <v>10922</v>
      </c>
      <c r="N5443" t="s">
        <v>14</v>
      </c>
    </row>
    <row r="5444" x14ac:dyDescent="0.25">
      <c r="A5444" t="n">
        <v>25</v>
      </c>
      <c r="B5444" t="s">
        <v>14</v>
      </c>
      <c r="C5444" t="s">
        <v>22</v>
      </c>
      <c r="D5444" s="2" t="s">
        <f>=HYPERLINK("https://main.knesset.gov.il/APPS/legislation/main/bills/2198604", "הצעת חוק העונשין (תיקון - עבירות מין במשפחה), התשפ""ג-2023")</f>
        <v>10823</v>
      </c>
      <c r="E5444" t="s">
        <v>10823</v>
      </c>
      <c r="F5444" t="s">
        <v>10990</v>
      </c>
      <c r="G5444" t="s">
        <v>14</v>
      </c>
      <c r="H5444">
             </c>
      <c r="I5444" t="s">
        <v>14</v>
      </c>
      <c r="J5444" t="s">
        <v>141</v>
      </c>
      <c r="K5444" t="s">
        <v>14</v>
      </c>
      <c r="L5444" t="s">
        <v>20</v>
      </c>
      <c r="M5444" t="s">
        <v>10922</v>
      </c>
      <c r="N5444" t="s">
        <v>14</v>
      </c>
    </row>
    <row r="5445" x14ac:dyDescent="0.25">
      <c r="A5445" t="n">
        <v>25</v>
      </c>
      <c r="B5445" t="s">
        <v>14</v>
      </c>
      <c r="C5445" t="s">
        <v>22</v>
      </c>
      <c r="D5445" s="2" t="s">
        <f>=HYPERLINK("https://main.knesset.gov.il/APPS/legislation/main/bills/2200516", "הצעת חוק הדיינים (תיקון - כשירות מנהל בתי הדין הרבניים), התשפ""ג-2023")</f>
        <v>10991</v>
      </c>
      <c r="E5445" t="s">
        <v>10991</v>
      </c>
      <c r="F5445" t="s">
        <v>10992</v>
      </c>
      <c r="G5445" t="s">
        <v>14</v>
      </c>
      <c r="H5445">
             </c>
      <c r="I5445" t="s">
        <v>14</v>
      </c>
      <c r="J5445" t="s">
        <v>141</v>
      </c>
      <c r="K5445" t="s">
        <v>14</v>
      </c>
      <c r="L5445" t="s">
        <v>20</v>
      </c>
      <c r="M5445" t="s">
        <v>10922</v>
      </c>
      <c r="N5445" t="s">
        <v>14</v>
      </c>
    </row>
    <row r="5446" x14ac:dyDescent="0.25">
      <c r="A5446" t="n">
        <v>25</v>
      </c>
      <c r="B5446" t="s">
        <v>14</v>
      </c>
      <c r="C5446" t="s">
        <v>22</v>
      </c>
      <c r="D5446" s="2" t="s">
        <f>=HYPERLINK("https://main.knesset.gov.il/APPS/legislation/main/bills/2198387", "הצעת חוק שיווי זכויות האישה (תיקון - ייצוג הולם לנשים בכנסים במימון ציבורי), התשפ""ג-2023")</f>
        <v>10993</v>
      </c>
      <c r="E5446" t="s">
        <v>10993</v>
      </c>
      <c r="F5446" t="s">
        <v>10994</v>
      </c>
      <c r="G5446" t="s">
        <v>14</v>
      </c>
      <c r="H5446">
             </c>
      <c r="I5446" t="s">
        <v>14</v>
      </c>
      <c r="J5446" t="s">
        <v>141</v>
      </c>
      <c r="K5446" t="s">
        <v>14</v>
      </c>
      <c r="L5446" t="s">
        <v>20</v>
      </c>
      <c r="M5446" t="s">
        <v>10922</v>
      </c>
      <c r="N5446" t="s">
        <v>14</v>
      </c>
    </row>
    <row r="5447" x14ac:dyDescent="0.25">
      <c r="A5447" t="n">
        <v>25</v>
      </c>
      <c r="B5447" t="s">
        <v>14</v>
      </c>
      <c r="C5447" t="s">
        <v>22</v>
      </c>
      <c r="D5447" s="2" t="s">
        <f>=HYPERLINK("https://main.knesset.gov.il/APPS/legislation/main/bills/2200802", "הצעת חוק רכזי ביטחון שוטף צבאיים, התשפ""ג-2023")</f>
        <v>10663</v>
      </c>
      <c r="E5447" t="s">
        <v>10663</v>
      </c>
      <c r="F5447" t="s">
        <v>10995</v>
      </c>
      <c r="G5447" t="s">
        <v>14</v>
      </c>
      <c r="H5447">
             </c>
      <c r="I5447" t="s">
        <v>14</v>
      </c>
      <c r="J5447" t="s">
        <v>141</v>
      </c>
      <c r="K5447" t="s">
        <v>14</v>
      </c>
      <c r="L5447" t="s">
        <v>20</v>
      </c>
      <c r="M5447" t="s">
        <v>10922</v>
      </c>
      <c r="N5447" t="s">
        <v>14</v>
      </c>
    </row>
    <row r="5448" x14ac:dyDescent="0.25">
      <c r="A5448" t="n">
        <v>25</v>
      </c>
      <c r="B5448" t="s">
        <v>14</v>
      </c>
      <c r="C5448" t="s">
        <v>22</v>
      </c>
      <c r="D5448" s="2" t="s">
        <f>=HYPERLINK("https://main.knesset.gov.il/APPS/legislation/main/bills/2196632", "הצעת חוק למניעת פגיעה במדינת ישראל באמצעות חרם (תיקון - פיצוי בעלי עסקים), התשפ""ג-2023")</f>
        <v>10996</v>
      </c>
      <c r="E5448" t="s">
        <v>10996</v>
      </c>
      <c r="F5448" t="s">
        <v>10997</v>
      </c>
      <c r="G5448" t="s">
        <v>14</v>
      </c>
      <c r="H5448">
             </c>
      <c r="I5448" t="s">
        <v>14</v>
      </c>
      <c r="J5448" t="s">
        <v>141</v>
      </c>
      <c r="K5448" t="s">
        <v>14</v>
      </c>
      <c r="L5448" t="s">
        <v>20</v>
      </c>
      <c r="M5448" t="s">
        <v>10922</v>
      </c>
      <c r="N5448" t="s">
        <v>14</v>
      </c>
    </row>
    <row r="5449" x14ac:dyDescent="0.25">
      <c r="A5449" t="n">
        <v>25</v>
      </c>
      <c r="B5449" t="s">
        <v>14</v>
      </c>
      <c r="C5449" t="s">
        <v>22</v>
      </c>
      <c r="D5449" s="2" t="s">
        <f>=HYPERLINK("https://main.knesset.gov.il/APPS/legislation/main/bills/2200506", "הצעת חוק הגנה על הציבור מפני ביצוע עבירות מין (תיקון - מתן טיפול שיקום מונע ללא הרשעה), התשפ""ג-2023")</f>
        <v>10998</v>
      </c>
      <c r="E5449" t="s">
        <v>10998</v>
      </c>
      <c r="F5449" t="s">
        <v>10999</v>
      </c>
      <c r="G5449" t="s">
        <v>14</v>
      </c>
      <c r="H5449">
             </c>
      <c r="I5449" t="s">
        <v>14</v>
      </c>
      <c r="J5449" t="s">
        <v>141</v>
      </c>
      <c r="K5449" t="s">
        <v>14</v>
      </c>
      <c r="L5449" t="s">
        <v>20</v>
      </c>
      <c r="M5449" t="s">
        <v>10922</v>
      </c>
      <c r="N5449" t="s">
        <v>14</v>
      </c>
    </row>
    <row r="5450" x14ac:dyDescent="0.25">
      <c r="A5450" t="n">
        <v>25</v>
      </c>
      <c r="B5450" t="s">
        <v>14</v>
      </c>
      <c r="C5450" t="s">
        <v>22</v>
      </c>
      <c r="D5450" s="2" t="s">
        <f>=HYPERLINK("https://main.knesset.gov.il/APPS/legislation/main/bills/2200517", "הצעת חוק לקידום דיור בר השגה, התשפ""ג-2023")</f>
        <v>11000</v>
      </c>
      <c r="E5450" t="s">
        <v>11000</v>
      </c>
      <c r="F5450" t="s">
        <v>11001</v>
      </c>
      <c r="G5450" t="s">
        <v>14</v>
      </c>
      <c r="H5450">
             </c>
      <c r="I5450" t="s">
        <v>14</v>
      </c>
      <c r="J5450" t="s">
        <v>141</v>
      </c>
      <c r="K5450" t="s">
        <v>14</v>
      </c>
      <c r="L5450" t="s">
        <v>20</v>
      </c>
      <c r="M5450" t="s">
        <v>10922</v>
      </c>
      <c r="N5450" t="s">
        <v>14</v>
      </c>
    </row>
    <row r="5451" x14ac:dyDescent="0.25">
      <c r="A5451" t="n">
        <v>25</v>
      </c>
      <c r="B5451" t="s">
        <v>14</v>
      </c>
      <c r="C5451" t="s">
        <v>22</v>
      </c>
      <c r="D5451" s="2" t="s">
        <f>=HYPERLINK("https://main.knesset.gov.il/APPS/legislation/main/bills/2200524", "הצעת חוק החברות (תיקון - איסור חברות בדירקטוריון של בנק ושל חברה ציבורית נוספת), התשפ""ג-2023")</f>
        <v>11002</v>
      </c>
      <c r="E5451" t="s">
        <v>11002</v>
      </c>
      <c r="F5451" t="s">
        <v>11003</v>
      </c>
      <c r="G5451" t="s">
        <v>14</v>
      </c>
      <c r="H5451">
             </c>
      <c r="I5451" t="s">
        <v>14</v>
      </c>
      <c r="J5451" t="s">
        <v>141</v>
      </c>
      <c r="K5451" t="s">
        <v>14</v>
      </c>
      <c r="L5451" t="s">
        <v>20</v>
      </c>
      <c r="M5451" t="s">
        <v>10922</v>
      </c>
      <c r="N5451" t="s">
        <v>14</v>
      </c>
    </row>
    <row r="5452" x14ac:dyDescent="0.25">
      <c r="A5452" t="n">
        <v>25</v>
      </c>
      <c r="B5452" t="s">
        <v>14</v>
      </c>
      <c r="C5452" t="s">
        <v>22</v>
      </c>
      <c r="D5452" s="2" t="s">
        <f>=HYPERLINK("https://main.knesset.gov.il/APPS/legislation/main/bills/2200521", "הצעת חוק ההוצאה לפועל (תיקון - קביעת תעריף מקסימלי לשכר טרחת עורך דין), התשפ""ג-2023")</f>
        <v>10524</v>
      </c>
      <c r="E5452" t="s">
        <v>10524</v>
      </c>
      <c r="F5452" t="s">
        <v>11004</v>
      </c>
      <c r="G5452" t="s">
        <v>14</v>
      </c>
      <c r="H5452">
             </c>
      <c r="I5452" t="s">
        <v>14</v>
      </c>
      <c r="J5452" t="s">
        <v>141</v>
      </c>
      <c r="K5452" t="s">
        <v>14</v>
      </c>
      <c r="L5452" t="s">
        <v>20</v>
      </c>
      <c r="M5452" t="s">
        <v>10922</v>
      </c>
      <c r="N5452" t="s">
        <v>14</v>
      </c>
    </row>
    <row r="5453" x14ac:dyDescent="0.25">
      <c r="A5453" t="n">
        <v>25</v>
      </c>
      <c r="B5453" t="s">
        <v>14</v>
      </c>
      <c r="C5453" t="s">
        <v>22</v>
      </c>
      <c r="D5453" s="2" t="s">
        <f>=HYPERLINK("https://main.knesset.gov.il/APPS/legislation/main/bills/2200514", "הצעת חוק זכויות הדייר בדיור הציבורי (תיקון - זכאות לאימהות יחידניות המקבלות מזונות ילדים), התשפ""ג-2023")</f>
        <v>10658</v>
      </c>
      <c r="E5453" t="s">
        <v>10658</v>
      </c>
      <c r="F5453" t="s">
        <v>11005</v>
      </c>
      <c r="G5453" t="s">
        <v>14</v>
      </c>
      <c r="H5453">
             </c>
      <c r="I5453" t="s">
        <v>14</v>
      </c>
      <c r="J5453" t="s">
        <v>141</v>
      </c>
      <c r="K5453" t="s">
        <v>14</v>
      </c>
      <c r="L5453" t="s">
        <v>20</v>
      </c>
      <c r="M5453" t="s">
        <v>10922</v>
      </c>
      <c r="N5453" t="s">
        <v>14</v>
      </c>
    </row>
    <row r="5454" x14ac:dyDescent="0.25">
      <c r="A5454" t="n">
        <v>25</v>
      </c>
      <c r="B5454" t="s">
        <v>14</v>
      </c>
      <c r="C5454" t="s">
        <v>22</v>
      </c>
      <c r="D5454" s="2" t="s">
        <f>=HYPERLINK("https://main.knesset.gov.il/APPS/legislation/main/bills/2200461", "הצעת חוק זכויות נפגעי עבירה (תיקון - מרכזי טיפול ייעודיים לנפגעות ונפגעי עבירות מין בגירים), התשפ""ג-2023")</f>
        <v>11006</v>
      </c>
      <c r="E5454" t="s">
        <v>11006</v>
      </c>
      <c r="F5454" t="s">
        <v>11007</v>
      </c>
      <c r="G5454" t="s">
        <v>14</v>
      </c>
      <c r="H5454">
             </c>
      <c r="I5454" t="s">
        <v>14</v>
      </c>
      <c r="J5454" t="s">
        <v>141</v>
      </c>
      <c r="K5454" t="s">
        <v>14</v>
      </c>
      <c r="L5454" t="s">
        <v>20</v>
      </c>
      <c r="M5454" t="s">
        <v>10922</v>
      </c>
      <c r="N5454" t="s">
        <v>14</v>
      </c>
    </row>
    <row r="5455" x14ac:dyDescent="0.25">
      <c r="A5455" t="n">
        <v>25</v>
      </c>
      <c r="B5455" t="s">
        <v>14</v>
      </c>
      <c r="C5455" t="s">
        <v>22</v>
      </c>
      <c r="D5455" s="2" t="s">
        <f>=HYPERLINK("https://main.knesset.gov.il/APPS/legislation/main/bills/2200292", "הצעת חוק הביטוח הלאומי (תיקון - גמלת סיעוד למבוטח הנמצא במוסד סיעודי), התשפ""ג-2023")</f>
        <v>11008</v>
      </c>
      <c r="E5455" t="s">
        <v>11008</v>
      </c>
      <c r="F5455" t="s">
        <v>11009</v>
      </c>
      <c r="G5455" t="s">
        <v>14</v>
      </c>
      <c r="H5455">
             </c>
      <c r="I5455" t="s">
        <v>14</v>
      </c>
      <c r="J5455" t="s">
        <v>141</v>
      </c>
      <c r="K5455" t="s">
        <v>14</v>
      </c>
      <c r="L5455" t="s">
        <v>20</v>
      </c>
      <c r="M5455" t="s">
        <v>10922</v>
      </c>
      <c r="N5455" t="s">
        <v>14</v>
      </c>
    </row>
    <row r="5456" x14ac:dyDescent="0.25">
      <c r="A5456" t="n">
        <v>25</v>
      </c>
      <c r="B5456" t="s">
        <v>14</v>
      </c>
      <c r="C5456" t="s">
        <v>22</v>
      </c>
      <c r="D5456" s="2" t="s">
        <f>=HYPERLINK("https://main.knesset.gov.il/APPS/legislation/main/bills/2198646", "הצעת חוק צירוף משפחות נפגעי טרור כצד להליך המשפטי (תיקוני חקיקה), התשפ""ג-2023")</f>
        <v>11010</v>
      </c>
      <c r="E5456" t="s">
        <v>11010</v>
      </c>
      <c r="F5456" t="s">
        <v>11011</v>
      </c>
      <c r="G5456" t="s">
        <v>14</v>
      </c>
      <c r="H5456">
             </c>
      <c r="I5456" t="s">
        <v>14</v>
      </c>
      <c r="J5456" t="s">
        <v>141</v>
      </c>
      <c r="K5456" t="s">
        <v>14</v>
      </c>
      <c r="L5456" t="s">
        <v>20</v>
      </c>
      <c r="M5456" t="s">
        <v>10922</v>
      </c>
      <c r="N5456" t="s">
        <v>14</v>
      </c>
    </row>
    <row r="5457" x14ac:dyDescent="0.25">
      <c r="A5457" t="n">
        <v>25</v>
      </c>
      <c r="B5457" t="s">
        <v>14</v>
      </c>
      <c r="C5457" t="s">
        <v>22</v>
      </c>
      <c r="D5457" s="2" t="s">
        <f>=HYPERLINK("https://main.knesset.gov.il/APPS/legislation/main/bills/2200519", "הצעת חוק ההוצאה לפועל (תיקון - הגבלת עיקול מיטלטליו של קשיש), התשפ""ג-2023")</f>
        <v>11012</v>
      </c>
      <c r="E5457" t="s">
        <v>11012</v>
      </c>
      <c r="F5457" t="s">
        <v>11013</v>
      </c>
      <c r="G5457" t="s">
        <v>14</v>
      </c>
      <c r="H5457">
             </c>
      <c r="I5457" t="s">
        <v>14</v>
      </c>
      <c r="J5457" t="s">
        <v>141</v>
      </c>
      <c r="K5457" t="s">
        <v>14</v>
      </c>
      <c r="L5457" t="s">
        <v>20</v>
      </c>
      <c r="M5457" t="s">
        <v>10922</v>
      </c>
      <c r="N5457" t="s">
        <v>14</v>
      </c>
    </row>
    <row r="5458" x14ac:dyDescent="0.25">
      <c r="A5458" t="n">
        <v>25</v>
      </c>
      <c r="B5458" t="s">
        <v>14</v>
      </c>
      <c r="C5458" t="s">
        <v>22</v>
      </c>
      <c r="D5458" s="2" t="s">
        <f>=HYPERLINK("https://main.knesset.gov.il/APPS/legislation/main/bills/2200513", "הצעת חוק החברות (תיקון - ייצוג הולם של נשים בדירקטוריונים של חברות ציבוריות), התשפ""ג-2023")</f>
        <v>11014</v>
      </c>
      <c r="E5458" t="s">
        <v>11014</v>
      </c>
      <c r="F5458" t="s">
        <v>11015</v>
      </c>
      <c r="G5458" t="s">
        <v>14</v>
      </c>
      <c r="H5458">
             </c>
      <c r="I5458" t="s">
        <v>14</v>
      </c>
      <c r="J5458" t="s">
        <v>141</v>
      </c>
      <c r="K5458" t="s">
        <v>14</v>
      </c>
      <c r="L5458" t="s">
        <v>20</v>
      </c>
      <c r="M5458" t="s">
        <v>10922</v>
      </c>
      <c r="N5458" t="s">
        <v>14</v>
      </c>
    </row>
    <row r="5459" x14ac:dyDescent="0.25">
      <c r="A5459" t="n">
        <v>25</v>
      </c>
      <c r="B5459" t="s">
        <v>14</v>
      </c>
      <c r="C5459" t="s">
        <v>22</v>
      </c>
      <c r="D5459" s="2" t="s">
        <f>=HYPERLINK("https://main.knesset.gov.il/APPS/legislation/main/bills/2200253", "הצעת חוק הביטוח הלאומי (תיקון - דמי אבטלה לעצמאים), התשפ""ג-2023")</f>
        <v>9406</v>
      </c>
      <c r="E5459" t="s">
        <v>9406</v>
      </c>
      <c r="F5459" t="s">
        <v>11016</v>
      </c>
      <c r="G5459" t="s">
        <v>14</v>
      </c>
      <c r="H5459">
             </c>
      <c r="I5459" t="s">
        <v>14</v>
      </c>
      <c r="J5459" t="s">
        <v>141</v>
      </c>
      <c r="K5459" t="s">
        <v>14</v>
      </c>
      <c r="L5459" t="s">
        <v>20</v>
      </c>
      <c r="M5459" t="s">
        <v>10922</v>
      </c>
      <c r="N5459" t="s">
        <v>14</v>
      </c>
    </row>
    <row r="5460" x14ac:dyDescent="0.25">
      <c r="A5460" t="n">
        <v>25</v>
      </c>
      <c r="B5460" t="s">
        <v>14</v>
      </c>
      <c r="C5460" t="s">
        <v>22</v>
      </c>
      <c r="D5460" s="2" t="s">
        <f>=HYPERLINK("https://main.knesset.gov.il/APPS/legislation/main/bills/2199967", "הצעת חוק החזר דמי נסיעה במונית לבית החולים (תיקוני חקיקה), התשפ""ג-2023")</f>
        <v>11017</v>
      </c>
      <c r="E5460" t="s">
        <v>11017</v>
      </c>
      <c r="F5460" t="s">
        <v>11018</v>
      </c>
      <c r="G5460" t="s">
        <v>14</v>
      </c>
      <c r="H5460">
             </c>
      <c r="I5460" t="s">
        <v>14</v>
      </c>
      <c r="J5460" t="s">
        <v>141</v>
      </c>
      <c r="K5460" t="s">
        <v>14</v>
      </c>
      <c r="L5460" t="s">
        <v>20</v>
      </c>
      <c r="M5460" t="s">
        <v>10922</v>
      </c>
      <c r="N5460" t="s">
        <v>14</v>
      </c>
    </row>
    <row r="5461" x14ac:dyDescent="0.25">
      <c r="A5461" t="n">
        <v>25</v>
      </c>
      <c r="B5461" t="s">
        <v>14</v>
      </c>
      <c r="C5461" t="s">
        <v>22</v>
      </c>
      <c r="D5461" s="2" t="s">
        <f>=HYPERLINK("https://main.knesset.gov.il/APPS/legislation/main/bills/2200096", "הצעת חוק חוזה עבודה (הגבלות לעניין סיום העסקה של עובד), התשפ""ג-2023 ")</f>
        <v>9032</v>
      </c>
      <c r="E5461" t="s">
        <v>9032</v>
      </c>
      <c r="F5461" t="s">
        <v>11019</v>
      </c>
      <c r="G5461" t="s">
        <v>14</v>
      </c>
      <c r="H5461">
             </c>
      <c r="I5461" t="s">
        <v>14</v>
      </c>
      <c r="J5461" t="s">
        <v>141</v>
      </c>
      <c r="K5461" t="s">
        <v>14</v>
      </c>
      <c r="L5461" t="s">
        <v>20</v>
      </c>
      <c r="M5461" t="s">
        <v>10922</v>
      </c>
      <c r="N5461" t="s">
        <v>14</v>
      </c>
    </row>
    <row r="5462" x14ac:dyDescent="0.25">
      <c r="A5462" t="n">
        <v>25</v>
      </c>
      <c r="B5462" t="s">
        <v>14</v>
      </c>
      <c r="C5462" t="s">
        <v>22</v>
      </c>
      <c r="D5462" s="2" t="s">
        <f>=HYPERLINK("https://main.knesset.gov.il/APPS/legislation/main/bills/2200636", "הצעת חוק-יסוד: משק המדינה (תיקון - בחינת העלות לרשויות מקומיות)")</f>
        <v>2723</v>
      </c>
      <c r="E5462" t="s">
        <v>2723</v>
      </c>
      <c r="F5462" t="s">
        <v>11020</v>
      </c>
      <c r="G5462" t="s">
        <v>14</v>
      </c>
      <c r="H5462">
             </c>
      <c r="I5462" t="s">
        <v>14</v>
      </c>
      <c r="J5462" t="s">
        <v>141</v>
      </c>
      <c r="K5462" t="s">
        <v>14</v>
      </c>
      <c r="L5462" t="s">
        <v>20</v>
      </c>
      <c r="M5462" t="s">
        <v>10922</v>
      </c>
      <c r="N5462" t="s">
        <v>14</v>
      </c>
    </row>
    <row r="5463" x14ac:dyDescent="0.25">
      <c r="A5463" t="n">
        <v>25</v>
      </c>
      <c r="B5463" t="s">
        <v>14</v>
      </c>
      <c r="C5463" t="s">
        <v>22</v>
      </c>
      <c r="D5463" s="2" t="s">
        <f>=HYPERLINK("https://main.knesset.gov.il/APPS/legislation/main/bills/2200587", "הצעת חוק לתיקון פקודת התעבורה (ביטול מופע אור ירוק ברמזור פנייה ימינה בעת הופעת אור ירוק ברמזור להולכי רגל), התשפ""ג-2023")</f>
        <v>11021</v>
      </c>
      <c r="E5463" t="s">
        <v>11021</v>
      </c>
      <c r="F5463" t="s">
        <v>11022</v>
      </c>
      <c r="G5463" t="s">
        <v>14</v>
      </c>
      <c r="H5463">
             </c>
      <c r="I5463" t="s">
        <v>14</v>
      </c>
      <c r="J5463" t="s">
        <v>141</v>
      </c>
      <c r="K5463" t="s">
        <v>14</v>
      </c>
      <c r="L5463" t="s">
        <v>20</v>
      </c>
      <c r="M5463" t="s">
        <v>10922</v>
      </c>
      <c r="N5463" t="s">
        <v>14</v>
      </c>
    </row>
    <row r="5464" x14ac:dyDescent="0.25">
      <c r="A5464" t="n">
        <v>25</v>
      </c>
      <c r="B5464" t="s">
        <v>14</v>
      </c>
      <c r="C5464" t="s">
        <v>22</v>
      </c>
      <c r="D5464" s="2" t="s">
        <f>=HYPERLINK("https://main.knesset.gov.il/APPS/legislation/main/bills/2200512", "הצעת חוק המקרקעין (תיקון - התקנת מעלית מטעמים מיוחדים), התשפ""ג-2023")</f>
        <v>8854</v>
      </c>
      <c r="E5464" t="s">
        <v>8854</v>
      </c>
      <c r="F5464" t="s">
        <v>11023</v>
      </c>
      <c r="G5464" t="s">
        <v>14</v>
      </c>
      <c r="H5464">
             </c>
      <c r="I5464" t="s">
        <v>14</v>
      </c>
      <c r="J5464" t="s">
        <v>141</v>
      </c>
      <c r="K5464" t="s">
        <v>14</v>
      </c>
      <c r="L5464" t="s">
        <v>20</v>
      </c>
      <c r="M5464" t="s">
        <v>10922</v>
      </c>
      <c r="N5464" t="s">
        <v>14</v>
      </c>
    </row>
    <row r="5465" x14ac:dyDescent="0.25">
      <c r="A5465" t="n">
        <v>25</v>
      </c>
      <c r="B5465" t="s">
        <v>14</v>
      </c>
      <c r="C5465" t="s">
        <v>22</v>
      </c>
      <c r="D5465" s="2" t="s">
        <f>=HYPERLINK("https://main.knesset.gov.il/APPS/legislation/main/bills/2200533", "הצעת חוק הממשלה (תיקון - ועדת שרים לענייני חקיקה), התשפ""ג-2023")</f>
        <v>11024</v>
      </c>
      <c r="E5465" t="s">
        <v>11024</v>
      </c>
      <c r="F5465" t="s">
        <v>11025</v>
      </c>
      <c r="G5465" t="s">
        <v>14</v>
      </c>
      <c r="H5465">
             </c>
      <c r="I5465" t="s">
        <v>14</v>
      </c>
      <c r="J5465" t="s">
        <v>141</v>
      </c>
      <c r="K5465" t="s">
        <v>14</v>
      </c>
      <c r="L5465" t="s">
        <v>20</v>
      </c>
      <c r="M5465" t="s">
        <v>10922</v>
      </c>
      <c r="N5465" t="s">
        <v>14</v>
      </c>
    </row>
    <row r="5466" x14ac:dyDescent="0.25">
      <c r="A5466" t="n">
        <v>25</v>
      </c>
      <c r="B5466" t="s">
        <v>14</v>
      </c>
      <c r="C5466" t="s">
        <v>22</v>
      </c>
      <c r="D5466" s="2" t="s">
        <f>=HYPERLINK("https://main.knesset.gov.il/APPS/legislation/main/bills/2199671", "הצעת חוק להסדרת מקצוע עוזר רופא, התשפ""ג-2023")</f>
        <v>8701</v>
      </c>
      <c r="E5466" t="s">
        <v>8701</v>
      </c>
      <c r="F5466" t="s">
        <v>11026</v>
      </c>
      <c r="G5466" t="s">
        <v>14</v>
      </c>
      <c r="H5466">
             </c>
      <c r="I5466" t="s">
        <v>14</v>
      </c>
      <c r="J5466" t="s">
        <v>141</v>
      </c>
      <c r="K5466" t="s">
        <v>14</v>
      </c>
      <c r="L5466" t="s">
        <v>20</v>
      </c>
      <c r="M5466" t="s">
        <v>10922</v>
      </c>
      <c r="N5466" t="s">
        <v>14</v>
      </c>
    </row>
    <row r="5467" x14ac:dyDescent="0.25">
      <c r="A5467" t="n">
        <v>25</v>
      </c>
      <c r="B5467" t="s">
        <v>14</v>
      </c>
      <c r="C5467" t="s">
        <v>22</v>
      </c>
      <c r="D5467" s="2" t="s">
        <f>=HYPERLINK("https://main.knesset.gov.il/APPS/legislation/main/bills/2200256", "הצעת חוק שוויון זכויות לאנשים עם מוגבלות (תיקון - חובת נגישות באוטובוסים בין-עירוניים), התשפ""ג-2023")</f>
        <v>10430</v>
      </c>
      <c r="E5467" t="s">
        <v>10430</v>
      </c>
      <c r="F5467" t="s">
        <v>11027</v>
      </c>
      <c r="G5467" t="s">
        <v>14</v>
      </c>
      <c r="H5467">
             </c>
      <c r="I5467" t="s">
        <v>14</v>
      </c>
      <c r="J5467" t="s">
        <v>141</v>
      </c>
      <c r="K5467" t="s">
        <v>14</v>
      </c>
      <c r="L5467" t="s">
        <v>20</v>
      </c>
      <c r="M5467" t="s">
        <v>10922</v>
      </c>
      <c r="N5467" t="s">
        <v>14</v>
      </c>
    </row>
    <row r="5468" x14ac:dyDescent="0.25">
      <c r="A5468" t="n">
        <v>25</v>
      </c>
      <c r="B5468" t="s">
        <v>14</v>
      </c>
      <c r="C5468" t="s">
        <v>22</v>
      </c>
      <c r="D5468" s="2" t="s">
        <f>=HYPERLINK("https://main.knesset.gov.il/APPS/legislation/main/bills/2200497", "הצעת חוק הבחירות לכנסת (תיקון - עדכון כתובת לצורכי בחירות), התשפ""ג-2023")</f>
        <v>11028</v>
      </c>
      <c r="E5468" t="s">
        <v>11028</v>
      </c>
      <c r="F5468" t="s">
        <v>11029</v>
      </c>
      <c r="G5468" t="s">
        <v>14</v>
      </c>
      <c r="H5468">
             </c>
      <c r="I5468" t="s">
        <v>14</v>
      </c>
      <c r="J5468" t="s">
        <v>343</v>
      </c>
      <c r="K5468" t="s">
        <v>14</v>
      </c>
      <c r="L5468" t="s">
        <v>20</v>
      </c>
      <c r="M5468" t="s">
        <v>10922</v>
      </c>
      <c r="N5468" t="s">
        <v>14</v>
      </c>
    </row>
    <row r="5469" x14ac:dyDescent="0.25">
      <c r="A5469" t="n">
        <v>25</v>
      </c>
      <c r="B5469" t="s">
        <v>14</v>
      </c>
      <c r="C5469" t="s">
        <v>22</v>
      </c>
      <c r="D5469" s="2" t="s">
        <f>=HYPERLINK("https://main.knesset.gov.il/APPS/legislation/main/bills/2200496", "הצעת חוק הבחירות לכנסת (תיקון - ביטול עקרון הריתוק לקלפי), התשפ""ג-2023")</f>
        <v>11030</v>
      </c>
      <c r="E5469" t="s">
        <v>11030</v>
      </c>
      <c r="F5469" t="s">
        <v>11031</v>
      </c>
      <c r="G5469" t="s">
        <v>14</v>
      </c>
      <c r="H5469">
             </c>
      <c r="I5469" t="s">
        <v>14</v>
      </c>
      <c r="J5469" t="s">
        <v>141</v>
      </c>
      <c r="K5469" t="s">
        <v>14</v>
      </c>
      <c r="L5469" t="s">
        <v>20</v>
      </c>
      <c r="M5469" t="s">
        <v>10922</v>
      </c>
      <c r="N5469" t="s">
        <v>14</v>
      </c>
    </row>
    <row r="5470" x14ac:dyDescent="0.25">
      <c r="A5470" t="n">
        <v>25</v>
      </c>
      <c r="B5470" t="s">
        <v>14</v>
      </c>
      <c r="C5470" t="s">
        <v>22</v>
      </c>
      <c r="D5470" s="2" t="s">
        <f>=HYPERLINK("https://main.knesset.gov.il/APPS/legislation/main/bills/2200527", "הצעת חוק הביטוח הלאומי (תיקון - קצבת תלויים וקצבת אזרח ותיק), התשפ""ג-2023")</f>
        <v>9461</v>
      </c>
      <c r="E5470" t="s">
        <v>9461</v>
      </c>
      <c r="F5470" t="s">
        <v>11032</v>
      </c>
      <c r="G5470" t="s">
        <v>14</v>
      </c>
      <c r="H5470">
             </c>
      <c r="I5470" t="s">
        <v>14</v>
      </c>
      <c r="J5470" t="s">
        <v>141</v>
      </c>
      <c r="K5470" t="s">
        <v>14</v>
      </c>
      <c r="L5470" t="s">
        <v>20</v>
      </c>
      <c r="M5470" t="s">
        <v>10922</v>
      </c>
      <c r="N5470" t="s">
        <v>14</v>
      </c>
    </row>
    <row r="5471" x14ac:dyDescent="0.25">
      <c r="A5471" t="n">
        <v>25</v>
      </c>
      <c r="B5471" t="s">
        <v>14</v>
      </c>
      <c r="C5471" t="s">
        <v>22</v>
      </c>
      <c r="D5471" s="2" t="s">
        <f>=HYPERLINK("https://main.knesset.gov.il/APPS/legislation/main/bills/2200525", "הצעת חוק החברות (תיקון - הגבלת כהונת דירקטור לשלוש חברות), התשפ""ג-2023")</f>
        <v>11033</v>
      </c>
      <c r="E5471" t="s">
        <v>11033</v>
      </c>
      <c r="F5471" t="s">
        <v>11034</v>
      </c>
      <c r="G5471" t="s">
        <v>14</v>
      </c>
      <c r="H5471">
             </c>
      <c r="I5471" t="s">
        <v>14</v>
      </c>
      <c r="J5471" t="s">
        <v>141</v>
      </c>
      <c r="K5471" t="s">
        <v>14</v>
      </c>
      <c r="L5471" t="s">
        <v>20</v>
      </c>
      <c r="M5471" t="s">
        <v>10922</v>
      </c>
      <c r="N5471" t="s">
        <v>14</v>
      </c>
    </row>
    <row r="5472" x14ac:dyDescent="0.25">
      <c r="A5472" t="n">
        <v>25</v>
      </c>
      <c r="B5472" t="s">
        <v>14</v>
      </c>
      <c r="C5472" t="s">
        <v>22</v>
      </c>
      <c r="D5472" s="2" t="s">
        <f>=HYPERLINK("https://main.knesset.gov.il/APPS/legislation/main/bills/2198727", "הצעת חוק הביטוח הלאומי (תיקון - השוואת קצבת אזרח ותיק לשכר המינימום), התשפ""ג-2023")</f>
        <v>10203</v>
      </c>
      <c r="E5472" t="s">
        <v>10203</v>
      </c>
      <c r="F5472" t="s">
        <v>11035</v>
      </c>
      <c r="G5472" t="s">
        <v>14</v>
      </c>
      <c r="H5472">
             </c>
      <c r="I5472" t="s">
        <v>14</v>
      </c>
      <c r="J5472" t="s">
        <v>141</v>
      </c>
      <c r="K5472" t="s">
        <v>14</v>
      </c>
      <c r="L5472" t="s">
        <v>20</v>
      </c>
      <c r="M5472" t="s">
        <v>10922</v>
      </c>
      <c r="N5472" t="s">
        <v>14</v>
      </c>
    </row>
    <row r="5473" x14ac:dyDescent="0.25">
      <c r="A5473" t="n">
        <v>25</v>
      </c>
      <c r="B5473" t="s">
        <v>14</v>
      </c>
      <c r="C5473" t="s">
        <v>22</v>
      </c>
      <c r="D5473" s="2" t="s">
        <f>=HYPERLINK("https://main.knesset.gov.il/APPS/legislation/main/bills/2200520", "הצעת חוק ההוצאה לפועל (תיקון - מסלול מקוצר חובה), התשפ""ג-2023")</f>
        <v>11036</v>
      </c>
      <c r="E5473" t="s">
        <v>11036</v>
      </c>
      <c r="F5473" t="s">
        <v>11037</v>
      </c>
      <c r="G5473" t="s">
        <v>14</v>
      </c>
      <c r="H5473">
             </c>
      <c r="I5473" t="s">
        <v>14</v>
      </c>
      <c r="J5473" t="s">
        <v>141</v>
      </c>
      <c r="K5473" t="s">
        <v>14</v>
      </c>
      <c r="L5473" t="s">
        <v>20</v>
      </c>
      <c r="M5473" t="s">
        <v>10922</v>
      </c>
      <c r="N5473" t="s">
        <v>14</v>
      </c>
    </row>
    <row r="5474" x14ac:dyDescent="0.25">
      <c r="A5474" t="n">
        <v>25</v>
      </c>
      <c r="B5474" t="s">
        <v>14</v>
      </c>
      <c r="C5474" t="s">
        <v>22</v>
      </c>
      <c r="D5474" s="2" t="s">
        <f>=HYPERLINK("https://main.knesset.gov.il/APPS/legislation/main/bills/2199747", "הצעת חוק הביטוח הלאומי (תיקון - הרחבת הזכאות למענק לימודים), התשפ""ג-2023")</f>
        <v>9049</v>
      </c>
      <c r="E5474" t="s">
        <v>9049</v>
      </c>
      <c r="F5474" t="s">
        <v>11038</v>
      </c>
      <c r="G5474" t="s">
        <v>14</v>
      </c>
      <c r="H5474">
             </c>
      <c r="I5474" t="s">
        <v>14</v>
      </c>
      <c r="J5474" t="s">
        <v>141</v>
      </c>
      <c r="K5474" t="s">
        <v>14</v>
      </c>
      <c r="L5474" t="s">
        <v>20</v>
      </c>
      <c r="M5474" t="s">
        <v>10922</v>
      </c>
      <c r="N5474" t="s">
        <v>14</v>
      </c>
    </row>
    <row r="5475" x14ac:dyDescent="0.25">
      <c r="A5475" t="n">
        <v>25</v>
      </c>
      <c r="B5475" t="s">
        <v>14</v>
      </c>
      <c r="C5475" t="s">
        <v>22</v>
      </c>
      <c r="D5475" s="2" t="s">
        <f>=HYPERLINK("https://main.knesset.gov.il/APPS/legislation/main/bills/2199574", "הצעת חוק איסור הכחשת השואה (תיקון - איסור הבעת אהדה לשלטון הנאצי או הזדהות עמו ואיסור שימוש בסמלים נאציים), התשפ""ג-2023")</f>
        <v>9558</v>
      </c>
      <c r="E5475" t="s">
        <v>9558</v>
      </c>
      <c r="F5475" t="s">
        <v>11039</v>
      </c>
      <c r="G5475" t="s">
        <v>14</v>
      </c>
      <c r="H5475">
             </c>
      <c r="I5475" t="s">
        <v>14</v>
      </c>
      <c r="J5475" t="s">
        <v>141</v>
      </c>
      <c r="K5475" t="s">
        <v>14</v>
      </c>
      <c r="L5475" t="s">
        <v>20</v>
      </c>
      <c r="M5475" t="s">
        <v>10922</v>
      </c>
      <c r="N5475" t="s">
        <v>14</v>
      </c>
    </row>
    <row r="5476" x14ac:dyDescent="0.25">
      <c r="A5476" t="n">
        <v>25</v>
      </c>
      <c r="B5476" t="s">
        <v>14</v>
      </c>
      <c r="C5476" t="s">
        <v>22</v>
      </c>
      <c r="D5476" s="2" t="s">
        <f>=HYPERLINK("https://main.knesset.gov.il/APPS/legislation/main/bills/2200504", "הצעת חוק הגבלת תקופת עסקה בעניין הגרלות או הימורים, התשפ""ג-2023")</f>
        <v>11040</v>
      </c>
      <c r="E5476" t="s">
        <v>11040</v>
      </c>
      <c r="F5476" t="s">
        <v>11041</v>
      </c>
      <c r="G5476" t="s">
        <v>14</v>
      </c>
      <c r="H5476">
             </c>
      <c r="I5476" t="s">
        <v>14</v>
      </c>
      <c r="J5476" t="s">
        <v>141</v>
      </c>
      <c r="K5476" t="s">
        <v>14</v>
      </c>
      <c r="L5476" t="s">
        <v>20</v>
      </c>
      <c r="M5476" t="s">
        <v>10922</v>
      </c>
      <c r="N5476" t="s">
        <v>14</v>
      </c>
    </row>
    <row r="5477" x14ac:dyDescent="0.25">
      <c r="A5477" t="n">
        <v>25</v>
      </c>
      <c r="B5477" t="s">
        <v>14</v>
      </c>
      <c r="C5477" t="s">
        <v>22</v>
      </c>
      <c r="D5477" s="2" t="s">
        <f>=HYPERLINK("https://main.knesset.gov.il/APPS/legislation/main/bills/2198990", "הצעת חוק ביטוח בריאות ממלכתי (תיקון - החזר אגרת נסיעה באמבולנס), התשפ""ג-2023")</f>
        <v>11042</v>
      </c>
      <c r="E5477" t="s">
        <v>11042</v>
      </c>
      <c r="F5477" t="s">
        <v>11043</v>
      </c>
      <c r="G5477" t="s">
        <v>14</v>
      </c>
      <c r="H5477">
             </c>
      <c r="I5477" t="s">
        <v>14</v>
      </c>
      <c r="J5477" t="s">
        <v>141</v>
      </c>
      <c r="K5477" t="s">
        <v>14</v>
      </c>
      <c r="L5477" t="s">
        <v>20</v>
      </c>
      <c r="M5477" t="s">
        <v>10922</v>
      </c>
      <c r="N5477" t="s">
        <v>14</v>
      </c>
    </row>
    <row r="5478" x14ac:dyDescent="0.25">
      <c r="A5478" t="n">
        <v>25</v>
      </c>
      <c r="B5478" t="s">
        <v>14</v>
      </c>
      <c r="C5478" t="s">
        <v>22</v>
      </c>
      <c r="D5478" s="2" t="s">
        <f>=HYPERLINK("https://main.knesset.gov.il/APPS/legislation/main/bills/2200460", "הצעת חוק הכשרות המשפטית והאפוטרופסות (תיקון - תשלום שכר והוצאות של אפוטרופוס מאוצר המדינה), התשפ""ג-2023")</f>
        <v>11044</v>
      </c>
      <c r="E5478" t="s">
        <v>11044</v>
      </c>
      <c r="F5478" t="s">
        <v>11045</v>
      </c>
      <c r="G5478" t="s">
        <v>14</v>
      </c>
      <c r="H5478">
             </c>
      <c r="I5478" t="s">
        <v>14</v>
      </c>
      <c r="J5478" t="s">
        <v>141</v>
      </c>
      <c r="K5478" t="s">
        <v>14</v>
      </c>
      <c r="L5478" t="s">
        <v>20</v>
      </c>
      <c r="M5478" t="s">
        <v>10922</v>
      </c>
      <c r="N5478" t="s">
        <v>14</v>
      </c>
    </row>
    <row r="5479" x14ac:dyDescent="0.25">
      <c r="A5479" t="n">
        <v>25</v>
      </c>
      <c r="B5479" t="s">
        <v>14</v>
      </c>
      <c r="C5479" t="s">
        <v>22</v>
      </c>
      <c r="D5479" s="2" t="s">
        <f>=HYPERLINK("https://main.knesset.gov.il/APPS/legislation/main/bills/2200361", "הצעת חוק זכויות החולה (תיקון - טיפול בזמן סביר), התשפ""ג-2023")</f>
        <v>3849</v>
      </c>
      <c r="E5479" t="s">
        <v>3849</v>
      </c>
      <c r="F5479" t="s">
        <v>11046</v>
      </c>
      <c r="G5479" t="s">
        <v>14</v>
      </c>
      <c r="H5479">
             </c>
      <c r="I5479" t="s">
        <v>14</v>
      </c>
      <c r="J5479" t="s">
        <v>141</v>
      </c>
      <c r="K5479" t="s">
        <v>14</v>
      </c>
      <c r="L5479" t="s">
        <v>20</v>
      </c>
      <c r="M5479" t="s">
        <v>10922</v>
      </c>
      <c r="N5479" t="s">
        <v>14</v>
      </c>
    </row>
    <row r="5480" x14ac:dyDescent="0.25">
      <c r="A5480" t="n">
        <v>25</v>
      </c>
      <c r="B5480" t="s">
        <v>14</v>
      </c>
      <c r="C5480" t="s">
        <v>22</v>
      </c>
      <c r="D5480" s="2" t="s">
        <f>=HYPERLINK("https://main.knesset.gov.il/APPS/legislation/main/bills/2200505", "הצעת חוק הגישור, התשפ""ג-2023")</f>
        <v>11047</v>
      </c>
      <c r="E5480" t="s">
        <v>11047</v>
      </c>
      <c r="F5480" t="s">
        <v>11048</v>
      </c>
      <c r="G5480" t="s">
        <v>14</v>
      </c>
      <c r="H5480">
             </c>
      <c r="I5480" t="s">
        <v>14</v>
      </c>
      <c r="J5480" t="s">
        <v>141</v>
      </c>
      <c r="K5480" t="s">
        <v>14</v>
      </c>
      <c r="L5480" t="s">
        <v>20</v>
      </c>
      <c r="M5480" t="s">
        <v>10922</v>
      </c>
      <c r="N5480" t="s">
        <v>14</v>
      </c>
    </row>
    <row r="5481" x14ac:dyDescent="0.25">
      <c r="A5481" t="n">
        <v>25</v>
      </c>
      <c r="B5481" t="s">
        <v>14</v>
      </c>
      <c r="C5481" t="s">
        <v>22</v>
      </c>
      <c r="D5481" s="2" t="s">
        <f>=HYPERLINK("https://main.knesset.gov.il/APPS/legislation/main/bills/2200493", "הצעת חוק אימוץ ילדים (תיקון - הוספת סמכות בנושא דתו של המאומץ), התשפ""ג-2023")</f>
        <v>11049</v>
      </c>
      <c r="E5481" t="s">
        <v>11049</v>
      </c>
      <c r="F5481" t="s">
        <v>11050</v>
      </c>
      <c r="G5481" t="s">
        <v>14</v>
      </c>
      <c r="H5481">
             </c>
      <c r="I5481" t="s">
        <v>14</v>
      </c>
      <c r="J5481" t="s">
        <v>141</v>
      </c>
      <c r="K5481" t="s">
        <v>14</v>
      </c>
      <c r="L5481" t="s">
        <v>20</v>
      </c>
      <c r="M5481" t="s">
        <v>10922</v>
      </c>
      <c r="N5481" t="s">
        <v>14</v>
      </c>
    </row>
    <row r="5482" x14ac:dyDescent="0.25">
      <c r="A5482" t="n">
        <v>25</v>
      </c>
      <c r="B5482" t="s">
        <v>14</v>
      </c>
      <c r="C5482" t="s">
        <v>22</v>
      </c>
      <c r="D5482" s="2" t="s">
        <f>=HYPERLINK("https://main.knesset.gov.il/APPS/legislation/main/bills/2200370", "הצעת חוק האזרחים הוותיקים (תיקון - סבסוד מלא של נסיעות בתחבורה ציבורית לניצולי שואה ולאסירי ציון), התשפ""ג-2023")</f>
        <v>11051</v>
      </c>
      <c r="E5482" t="s">
        <v>11051</v>
      </c>
      <c r="F5482" t="s">
        <v>11052</v>
      </c>
      <c r="G5482" t="s">
        <v>14</v>
      </c>
      <c r="H5482">
             </c>
      <c r="I5482" t="s">
        <v>14</v>
      </c>
      <c r="J5482" t="s">
        <v>141</v>
      </c>
      <c r="K5482" t="s">
        <v>14</v>
      </c>
      <c r="L5482" t="s">
        <v>20</v>
      </c>
      <c r="M5482" t="s">
        <v>10922</v>
      </c>
      <c r="N5482" t="s">
        <v>14</v>
      </c>
    </row>
    <row r="5483" x14ac:dyDescent="0.25">
      <c r="A5483" t="n">
        <v>25</v>
      </c>
      <c r="B5483" t="s">
        <v>14</v>
      </c>
      <c r="C5483" t="s">
        <v>22</v>
      </c>
      <c r="D5483" s="2" t="s">
        <f>=HYPERLINK("https://main.knesset.gov.il/APPS/legislation/main/bills/2200745", "הצעת חוק בית המשפט לענייני משפחה (תיקון - פטור מתשלום אגרה למקבלי הבטחת הכנסה), התשפ""ג-2023")</f>
        <v>11053</v>
      </c>
      <c r="E5483" t="s">
        <v>11053</v>
      </c>
      <c r="F5483" t="s">
        <v>11054</v>
      </c>
      <c r="G5483" t="s">
        <v>14</v>
      </c>
      <c r="H5483">
             </c>
      <c r="I5483" t="s">
        <v>14</v>
      </c>
      <c r="J5483" t="s">
        <v>141</v>
      </c>
      <c r="K5483" t="s">
        <v>14</v>
      </c>
      <c r="L5483" t="s">
        <v>20</v>
      </c>
      <c r="M5483" t="s">
        <v>10922</v>
      </c>
      <c r="N5483" t="s">
        <v>14</v>
      </c>
    </row>
    <row r="5484" x14ac:dyDescent="0.25">
      <c r="A5484" t="n">
        <v>25</v>
      </c>
      <c r="B5484" t="s">
        <v>14</v>
      </c>
      <c r="C5484" t="s">
        <v>22</v>
      </c>
      <c r="D5484" s="2" t="s">
        <f>=HYPERLINK("https://main.knesset.gov.il/APPS/legislation/main/bills/2199838", "הצעת חוק שירות המדינה (מינויים) (תיקון - מינוי יועצים משפטיים של משרדים), התשפ""ג-2023")</f>
        <v>11055</v>
      </c>
      <c r="E5484" t="s">
        <v>11055</v>
      </c>
      <c r="F5484" t="s">
        <v>11056</v>
      </c>
      <c r="G5484" t="s">
        <v>14</v>
      </c>
      <c r="H5484">
             </c>
      <c r="I5484" t="s">
        <v>14</v>
      </c>
      <c r="J5484" t="s">
        <v>141</v>
      </c>
      <c r="K5484" t="s">
        <v>14</v>
      </c>
      <c r="L5484" t="s">
        <v>20</v>
      </c>
      <c r="M5484" t="s">
        <v>10922</v>
      </c>
      <c r="N5484" t="s">
        <v>14</v>
      </c>
    </row>
    <row r="5485" x14ac:dyDescent="0.25">
      <c r="A5485" t="n">
        <v>25</v>
      </c>
      <c r="B5485" t="s">
        <v>14</v>
      </c>
      <c r="C5485" t="s">
        <v>22</v>
      </c>
      <c r="D5485" s="2" t="s">
        <f>=HYPERLINK("https://main.knesset.gov.il/APPS/legislation/main/bills/2198644", "הצעת חוק הביטוח הלאומי (תיקון - העלאת קצבת הילדים), התשפ""ג-2023")</f>
        <v>11057</v>
      </c>
      <c r="E5485" t="s">
        <v>11057</v>
      </c>
      <c r="F5485" t="s">
        <v>11058</v>
      </c>
      <c r="G5485" t="s">
        <v>14</v>
      </c>
      <c r="H5485">
             </c>
      <c r="I5485" t="s">
        <v>14</v>
      </c>
      <c r="J5485" t="s">
        <v>141</v>
      </c>
      <c r="K5485" t="s">
        <v>14</v>
      </c>
      <c r="L5485" t="s">
        <v>20</v>
      </c>
      <c r="M5485" t="s">
        <v>10922</v>
      </c>
      <c r="N5485" t="s">
        <v>14</v>
      </c>
    </row>
    <row r="5486" x14ac:dyDescent="0.25">
      <c r="A5486" t="n">
        <v>25</v>
      </c>
      <c r="B5486" t="s">
        <v>14</v>
      </c>
      <c r="C5486" t="s">
        <v>22</v>
      </c>
      <c r="D5486" s="2" t="s">
        <f>=HYPERLINK("https://main.knesset.gov.il/APPS/legislation/main/bills/2200446", "הצעת חוק בית המשפט לענייני משפחה (תיקון - מימון ניהול ההליך המשפטי), התשפ""ג-2023")</f>
        <v>11059</v>
      </c>
      <c r="E5486" t="s">
        <v>11059</v>
      </c>
      <c r="F5486" t="s">
        <v>11060</v>
      </c>
      <c r="G5486" t="s">
        <v>14</v>
      </c>
      <c r="H5486">
             </c>
      <c r="I5486" t="s">
        <v>14</v>
      </c>
      <c r="J5486" t="s">
        <v>141</v>
      </c>
      <c r="K5486" t="s">
        <v>14</v>
      </c>
      <c r="L5486" t="s">
        <v>20</v>
      </c>
      <c r="M5486" t="s">
        <v>10922</v>
      </c>
      <c r="N5486" t="s">
        <v>14</v>
      </c>
    </row>
    <row r="5487" x14ac:dyDescent="0.25">
      <c r="A5487" t="n">
        <v>25</v>
      </c>
      <c r="B5487" t="s">
        <v>14</v>
      </c>
      <c r="C5487" t="s">
        <v>22</v>
      </c>
      <c r="D5487" s="2" t="s">
        <f>=HYPERLINK("https://main.knesset.gov.il/APPS/legislation/main/bills/2199040", "הצעת חוק הבטחת הכנסה (תיקון - הגדלת שווי רכב המאפשר זכאות לגמלה), התשפ""ג-2023")</f>
        <v>11061</v>
      </c>
      <c r="E5487" t="s">
        <v>11061</v>
      </c>
      <c r="F5487" t="s">
        <v>11062</v>
      </c>
      <c r="G5487" t="s">
        <v>14</v>
      </c>
      <c r="H5487">
             </c>
      <c r="I5487" t="s">
        <v>14</v>
      </c>
      <c r="J5487" t="s">
        <v>141</v>
      </c>
      <c r="K5487" t="s">
        <v>14</v>
      </c>
      <c r="L5487" t="s">
        <v>20</v>
      </c>
      <c r="M5487" t="s">
        <v>10922</v>
      </c>
      <c r="N5487" t="s">
        <v>14</v>
      </c>
    </row>
    <row r="5488" x14ac:dyDescent="0.25">
      <c r="A5488" t="n">
        <v>25</v>
      </c>
      <c r="B5488" t="s">
        <v>14</v>
      </c>
      <c r="C5488" t="s">
        <v>22</v>
      </c>
      <c r="D5488" s="2" t="s">
        <f>=HYPERLINK("https://main.knesset.gov.il/APPS/legislation/main/bills/2200384", "הצעת חוק דמי מחלה עבור מלווה בן משפחה לבדיקה רפואית (תיקוני חקיקה), התשפ""ג-2023")</f>
        <v>10117</v>
      </c>
      <c r="E5488" t="s">
        <v>10117</v>
      </c>
      <c r="F5488" t="s">
        <v>11063</v>
      </c>
      <c r="G5488" t="s">
        <v>14</v>
      </c>
      <c r="H5488">
             </c>
      <c r="I5488" t="s">
        <v>14</v>
      </c>
      <c r="J5488" t="s">
        <v>141</v>
      </c>
      <c r="K5488" t="s">
        <v>14</v>
      </c>
      <c r="L5488" t="s">
        <v>20</v>
      </c>
      <c r="M5488" t="s">
        <v>10922</v>
      </c>
      <c r="N5488" t="s">
        <v>14</v>
      </c>
    </row>
    <row r="5489" x14ac:dyDescent="0.25">
      <c r="A5489" t="n">
        <v>25</v>
      </c>
      <c r="B5489" t="s">
        <v>14</v>
      </c>
      <c r="C5489" t="s">
        <v>22</v>
      </c>
      <c r="D5489" s="2" t="s">
        <f>=HYPERLINK("https://main.knesset.gov.il/APPS/legislation/main/bills/2200700", "הצעת חוק התניית יום שבתון בהצבעה בבחירות (תיקוני חקיקה), התשפ""ג-2023")</f>
        <v>11064</v>
      </c>
      <c r="E5489" t="s">
        <v>11064</v>
      </c>
      <c r="F5489" t="s">
        <v>11065</v>
      </c>
      <c r="G5489" t="s">
        <v>14</v>
      </c>
      <c r="H5489">
             </c>
      <c r="I5489" t="s">
        <v>14</v>
      </c>
      <c r="J5489" t="s">
        <v>141</v>
      </c>
      <c r="K5489" t="s">
        <v>14</v>
      </c>
      <c r="L5489" t="s">
        <v>20</v>
      </c>
      <c r="M5489" t="s">
        <v>10922</v>
      </c>
      <c r="N5489" t="s">
        <v>14</v>
      </c>
    </row>
    <row r="5490" x14ac:dyDescent="0.25">
      <c r="A5490" t="n">
        <v>25</v>
      </c>
      <c r="B5490" t="s">
        <v>14</v>
      </c>
      <c r="C5490" t="s">
        <v>22</v>
      </c>
      <c r="D5490" s="2" t="s">
        <f>=HYPERLINK("https://main.knesset.gov.il/APPS/legislation/main/bills/2200444", "הצעת חוק איסור הפליה בשל מין, נטיה מינית או זהות מגדרית (תיקוני חקיקה), התשפ""ג-2023")</f>
        <v>11066</v>
      </c>
      <c r="E5490" t="s">
        <v>11066</v>
      </c>
      <c r="F5490" t="s">
        <v>11067</v>
      </c>
      <c r="G5490" t="s">
        <v>14</v>
      </c>
      <c r="H5490">
             </c>
      <c r="I5490" t="s">
        <v>14</v>
      </c>
      <c r="J5490" t="s">
        <v>141</v>
      </c>
      <c r="K5490" t="s">
        <v>14</v>
      </c>
      <c r="L5490" t="s">
        <v>20</v>
      </c>
      <c r="M5490" t="s">
        <v>10922</v>
      </c>
      <c r="N5490" t="s">
        <v>14</v>
      </c>
    </row>
    <row r="5491" x14ac:dyDescent="0.25">
      <c r="A5491" t="n">
        <v>25</v>
      </c>
      <c r="B5491" t="s">
        <v>14</v>
      </c>
      <c r="C5491" t="s">
        <v>22</v>
      </c>
      <c r="D5491" s="2" t="s">
        <f>=HYPERLINK("https://main.knesset.gov.il/APPS/legislation/main/bills/2200718", "הצעת חוק שיפוט בתי דין רבניים (נישואין וגירושין) (תיקון - ביטול כריכה), התשפ""ג-2023")</f>
        <v>10667</v>
      </c>
      <c r="E5491" t="s">
        <v>10667</v>
      </c>
      <c r="F5491" t="s">
        <v>11068</v>
      </c>
      <c r="G5491" t="s">
        <v>14</v>
      </c>
      <c r="H5491">
             </c>
      <c r="I5491" t="s">
        <v>14</v>
      </c>
      <c r="J5491" t="s">
        <v>141</v>
      </c>
      <c r="K5491" t="s">
        <v>14</v>
      </c>
      <c r="L5491" t="s">
        <v>20</v>
      </c>
      <c r="M5491" t="s">
        <v>10922</v>
      </c>
      <c r="N5491" t="s">
        <v>14</v>
      </c>
    </row>
    <row r="5492" x14ac:dyDescent="0.25">
      <c r="A5492" t="n">
        <v>25</v>
      </c>
      <c r="B5492" t="s">
        <v>14</v>
      </c>
      <c r="C5492" t="s">
        <v>22</v>
      </c>
      <c r="D5492" s="2" t="s">
        <f>=HYPERLINK("https://main.knesset.gov.il/APPS/legislation/main/bills/2200023", "הצעת חוק הביטוח הלאומי (תיקון - ביטול מבחן הכנסה לצורך קביעת זכאות ניצול שואה לגמלת סיעוד), התשפ""ג-2023")</f>
        <v>11069</v>
      </c>
      <c r="E5492" t="s">
        <v>11069</v>
      </c>
      <c r="F5492" t="s">
        <v>11070</v>
      </c>
      <c r="G5492" t="s">
        <v>14</v>
      </c>
      <c r="H5492">
             </c>
      <c r="I5492" t="s">
        <v>14</v>
      </c>
      <c r="J5492" t="s">
        <v>141</v>
      </c>
      <c r="K5492" t="s">
        <v>14</v>
      </c>
      <c r="L5492" t="s">
        <v>20</v>
      </c>
      <c r="M5492" t="s">
        <v>10922</v>
      </c>
      <c r="N5492" t="s">
        <v>14</v>
      </c>
    </row>
    <row r="5493" x14ac:dyDescent="0.25">
      <c r="A5493" t="n">
        <v>25</v>
      </c>
      <c r="B5493" t="s">
        <v>14</v>
      </c>
      <c r="C5493" t="s">
        <v>22</v>
      </c>
      <c r="D5493" s="2" t="s">
        <f>=HYPERLINK("https://main.knesset.gov.il/APPS/legislation/main/bills/2200209", "הצעת חוק הביטוח הלאומי (תיקון - תוספת לקצבה של מי שמעסיק עובד בענף הסיעוד), התשפ""ג-2023")</f>
        <v>11071</v>
      </c>
      <c r="E5493" t="s">
        <v>11071</v>
      </c>
      <c r="F5493" t="s">
        <v>11072</v>
      </c>
      <c r="G5493" t="s">
        <v>14</v>
      </c>
      <c r="H5493">
             </c>
      <c r="I5493" t="s">
        <v>14</v>
      </c>
      <c r="J5493" t="s">
        <v>141</v>
      </c>
      <c r="K5493" t="s">
        <v>14</v>
      </c>
      <c r="L5493" t="s">
        <v>20</v>
      </c>
      <c r="M5493" t="s">
        <v>10922</v>
      </c>
      <c r="N5493" t="s">
        <v>14</v>
      </c>
    </row>
    <row r="5494" x14ac:dyDescent="0.25">
      <c r="A5494" t="n">
        <v>25</v>
      </c>
      <c r="B5494" t="s">
        <v>14</v>
      </c>
      <c r="C5494" t="s">
        <v>22</v>
      </c>
      <c r="D5494" s="2" t="s">
        <f>=HYPERLINK("https://main.knesset.gov.il/APPS/legislation/main/bills/2197726", "הצעת חוק החברות (תיקון - פרסום דוחות כספיים של מונופול), התשפ""ג-2023")</f>
        <v>11073</v>
      </c>
      <c r="E5494" t="s">
        <v>11073</v>
      </c>
      <c r="F5494" t="s">
        <v>11074</v>
      </c>
      <c r="G5494" t="s">
        <v>14</v>
      </c>
      <c r="H5494">
             </c>
      <c r="I5494" t="s">
        <v>14</v>
      </c>
      <c r="J5494" t="s">
        <v>141</v>
      </c>
      <c r="K5494" t="s">
        <v>14</v>
      </c>
      <c r="L5494" t="s">
        <v>20</v>
      </c>
      <c r="M5494" t="s">
        <v>10922</v>
      </c>
      <c r="N5494" t="s">
        <v>14</v>
      </c>
    </row>
    <row r="5495" x14ac:dyDescent="0.25">
      <c r="A5495" t="n">
        <v>25</v>
      </c>
      <c r="B5495" t="s">
        <v>14</v>
      </c>
      <c r="C5495" t="s">
        <v>22</v>
      </c>
      <c r="D5495" s="2" t="s">
        <f>=HYPERLINK("https://main.knesset.gov.il/APPS/legislation/main/bills/2200167", "הצעת חוק הביטוח הלאומי (תיקון - ביטוח זכויות עצמאי שעיקר הכנסתו מעסק בהליכי חדלות פירעון), התשפ""ג-2023")</f>
        <v>11075</v>
      </c>
      <c r="E5495" t="s">
        <v>11075</v>
      </c>
      <c r="F5495" t="s">
        <v>11076</v>
      </c>
      <c r="G5495" t="s">
        <v>14</v>
      </c>
      <c r="H5495">
             </c>
      <c r="I5495" t="s">
        <v>14</v>
      </c>
      <c r="J5495" t="s">
        <v>141</v>
      </c>
      <c r="K5495" t="s">
        <v>14</v>
      </c>
      <c r="L5495" t="s">
        <v>20</v>
      </c>
      <c r="M5495" t="s">
        <v>10922</v>
      </c>
      <c r="N5495" t="s">
        <v>14</v>
      </c>
    </row>
    <row r="5496" x14ac:dyDescent="0.25">
      <c r="A5496" t="n">
        <v>25</v>
      </c>
      <c r="B5496" t="s">
        <v>14</v>
      </c>
      <c r="C5496" t="s">
        <v>22</v>
      </c>
      <c r="D5496" s="2" t="s">
        <f>=HYPERLINK("https://main.knesset.gov.il/APPS/legislation/main/bills/2200244", "הצעת חוק המשתתף החופשי, התשפ""ג-2023")</f>
        <v>11077</v>
      </c>
      <c r="E5496" t="s">
        <v>11077</v>
      </c>
      <c r="F5496" t="s">
        <v>11078</v>
      </c>
      <c r="G5496" t="s">
        <v>14</v>
      </c>
      <c r="H5496">
             </c>
      <c r="I5496" t="s">
        <v>14</v>
      </c>
      <c r="J5496" t="s">
        <v>141</v>
      </c>
      <c r="K5496" t="s">
        <v>14</v>
      </c>
      <c r="L5496" t="s">
        <v>20</v>
      </c>
      <c r="M5496" t="s">
        <v>10922</v>
      </c>
      <c r="N5496" t="s">
        <v>14</v>
      </c>
    </row>
    <row r="5497" x14ac:dyDescent="0.25">
      <c r="A5497" t="n">
        <v>25</v>
      </c>
      <c r="B5497" t="s">
        <v>14</v>
      </c>
      <c r="C5497" t="s">
        <v>22</v>
      </c>
      <c r="D5497" s="2" t="s">
        <f>=HYPERLINK("https://main.knesset.gov.il/APPS/legislation/main/bills/2197842", "הצעת חוק סיוע למשפחות ברוכות ילדים (תיקוני חקיקה), התשפ""ג-2023")</f>
        <v>9546</v>
      </c>
      <c r="E5497" t="s">
        <v>9546</v>
      </c>
      <c r="F5497" t="s">
        <v>11079</v>
      </c>
      <c r="G5497" t="s">
        <v>14</v>
      </c>
      <c r="H5497">
             </c>
      <c r="I5497" t="s">
        <v>14</v>
      </c>
      <c r="J5497" t="s">
        <v>141</v>
      </c>
      <c r="K5497" t="s">
        <v>14</v>
      </c>
      <c r="L5497" t="s">
        <v>20</v>
      </c>
      <c r="M5497" t="s">
        <v>10922</v>
      </c>
      <c r="N5497" t="s">
        <v>14</v>
      </c>
    </row>
    <row r="5498" x14ac:dyDescent="0.25">
      <c r="A5498" t="n">
        <v>25</v>
      </c>
      <c r="B5498" t="s">
        <v>14</v>
      </c>
      <c r="C5498" t="s">
        <v>22</v>
      </c>
      <c r="D5498" s="2" t="s">
        <f>=HYPERLINK("https://main.knesset.gov.il/APPS/legislation/main/bills/2200164", "הצעת חוק דמי מחלה (היעדרות בשל מחלת נכד), התשפ""ג-2023")</f>
        <v>11080</v>
      </c>
      <c r="E5498" t="s">
        <v>11080</v>
      </c>
      <c r="F5498" t="s">
        <v>11081</v>
      </c>
      <c r="G5498" t="s">
        <v>14</v>
      </c>
      <c r="H5498">
             </c>
      <c r="I5498" t="s">
        <v>14</v>
      </c>
      <c r="J5498" t="s">
        <v>141</v>
      </c>
      <c r="K5498" t="s">
        <v>14</v>
      </c>
      <c r="L5498" t="s">
        <v>20</v>
      </c>
      <c r="M5498" t="s">
        <v>10922</v>
      </c>
      <c r="N5498" t="s">
        <v>14</v>
      </c>
    </row>
    <row r="5499" x14ac:dyDescent="0.25">
      <c r="A5499" t="n">
        <v>25</v>
      </c>
      <c r="B5499" t="s">
        <v>14</v>
      </c>
      <c r="C5499" t="s">
        <v>22</v>
      </c>
      <c r="D5499" s="2" t="s">
        <f>=HYPERLINK("https://main.knesset.gov.il/APPS/legislation/main/bills/2198625", "הצעת חוק הסדרת העיסוק במקצועות הבריאות (תיקון - הסדרת העיסוק בפודולוגיה), התשפ""ג-2023")</f>
        <v>7284</v>
      </c>
      <c r="E5499" t="s">
        <v>7284</v>
      </c>
      <c r="F5499" t="s">
        <v>11082</v>
      </c>
      <c r="G5499" t="s">
        <v>14</v>
      </c>
      <c r="H5499">
             </c>
      <c r="I5499" t="s">
        <v>14</v>
      </c>
      <c r="J5499" t="s">
        <v>141</v>
      </c>
      <c r="K5499" t="s">
        <v>14</v>
      </c>
      <c r="L5499" t="s">
        <v>20</v>
      </c>
      <c r="M5499" t="s">
        <v>10922</v>
      </c>
      <c r="N5499" t="s">
        <v>14</v>
      </c>
    </row>
    <row r="5500" x14ac:dyDescent="0.25">
      <c r="A5500" t="n">
        <v>25</v>
      </c>
      <c r="B5500" t="s">
        <v>14</v>
      </c>
      <c r="C5500" t="s">
        <v>22</v>
      </c>
      <c r="D5500" s="2" t="s">
        <f>=HYPERLINK("https://main.knesset.gov.il/APPS/legislation/main/bills/2200473", "הצעת חוק סמכות ואחריות הורית (משמורת), התשפ""ג-2023")</f>
        <v>11083</v>
      </c>
      <c r="E5500" t="s">
        <v>11083</v>
      </c>
      <c r="F5500" t="s">
        <v>11084</v>
      </c>
      <c r="G5500" t="s">
        <v>14</v>
      </c>
      <c r="H5500">
             </c>
      <c r="I5500" t="s">
        <v>14</v>
      </c>
      <c r="J5500" t="s">
        <v>141</v>
      </c>
      <c r="K5500" t="s">
        <v>14</v>
      </c>
      <c r="L5500" t="s">
        <v>20</v>
      </c>
      <c r="M5500" t="s">
        <v>10922</v>
      </c>
      <c r="N5500" t="s">
        <v>14</v>
      </c>
    </row>
    <row r="5501" x14ac:dyDescent="0.25">
      <c r="A5501" t="n">
        <v>25</v>
      </c>
      <c r="B5501" t="s">
        <v>14</v>
      </c>
      <c r="C5501" t="s">
        <v>22</v>
      </c>
      <c r="D5501" s="2" t="s">
        <f>=HYPERLINK("https://main.knesset.gov.il/APPS/legislation/main/bills/2200031", "הצעת חוק תאגידי מים וביוב (תיקון - הקמת ועדת הנחות), התשפ""ג-2023")</f>
        <v>7225</v>
      </c>
      <c r="E5501" t="s">
        <v>7225</v>
      </c>
      <c r="F5501" t="s">
        <v>11085</v>
      </c>
      <c r="G5501" t="s">
        <v>14</v>
      </c>
      <c r="H5501">
             </c>
      <c r="I5501" t="s">
        <v>14</v>
      </c>
      <c r="J5501" t="s">
        <v>141</v>
      </c>
      <c r="K5501" t="s">
        <v>14</v>
      </c>
      <c r="L5501" t="s">
        <v>20</v>
      </c>
      <c r="M5501" t="s">
        <v>10922</v>
      </c>
      <c r="N5501" t="s">
        <v>14</v>
      </c>
    </row>
    <row r="5502" x14ac:dyDescent="0.25">
      <c r="A5502" t="n">
        <v>25</v>
      </c>
      <c r="B5502" t="s">
        <v>14</v>
      </c>
      <c r="C5502" t="s">
        <v>22</v>
      </c>
      <c r="D5502" s="2" t="s">
        <f>=HYPERLINK("https://main.knesset.gov.il/APPS/legislation/main/bills/2199085", "הצעת חוק הכשרות לאנשי מקצוע בתחום החינוך בנושא מגדר ונטייה מינית, התשפ""ג-2023")</f>
        <v>11086</v>
      </c>
      <c r="E5502" t="s">
        <v>11086</v>
      </c>
      <c r="F5502" t="s">
        <v>11087</v>
      </c>
      <c r="G5502" t="s">
        <v>14</v>
      </c>
      <c r="H5502">
             </c>
      <c r="I5502" t="s">
        <v>14</v>
      </c>
      <c r="J5502" t="s">
        <v>141</v>
      </c>
      <c r="K5502" t="s">
        <v>14</v>
      </c>
      <c r="L5502" t="s">
        <v>20</v>
      </c>
      <c r="M5502" t="s">
        <v>10922</v>
      </c>
      <c r="N5502" t="s">
        <v>14</v>
      </c>
    </row>
    <row r="5503" x14ac:dyDescent="0.25">
      <c r="A5503" t="n">
        <v>25</v>
      </c>
      <c r="B5503" t="s">
        <v>14</v>
      </c>
      <c r="C5503" t="s">
        <v>22</v>
      </c>
      <c r="D5503" s="2" t="s">
        <f>=HYPERLINK("https://main.knesset.gov.il/APPS/legislation/main/bills/2200523", "הצעת חוק ההתגוננות האזרחית (תיקון - הקמת תשתית חיבור לרשת אינטרנט אלחוטית במקלטים שביישובי קו העימות), התשפ""ג-2023")</f>
        <v>11088</v>
      </c>
      <c r="E5503" t="s">
        <v>11088</v>
      </c>
      <c r="F5503" t="s">
        <v>11089</v>
      </c>
      <c r="G5503" t="s">
        <v>14</v>
      </c>
      <c r="H5503">
             </c>
      <c r="I5503" t="s">
        <v>14</v>
      </c>
      <c r="J5503" t="s">
        <v>141</v>
      </c>
      <c r="K5503" t="s">
        <v>14</v>
      </c>
      <c r="L5503" t="s">
        <v>20</v>
      </c>
      <c r="M5503" t="s">
        <v>10922</v>
      </c>
      <c r="N5503" t="s">
        <v>14</v>
      </c>
    </row>
    <row r="5504" x14ac:dyDescent="0.25">
      <c r="A5504" t="n">
        <v>25</v>
      </c>
      <c r="B5504" t="s">
        <v>14</v>
      </c>
      <c r="C5504" t="s">
        <v>22</v>
      </c>
      <c r="D5504" s="2" t="s">
        <f>=HYPERLINK("https://main.knesset.gov.il/APPS/legislation/main/bills/2200466", "הצעת חוק מרשם האוכלוסין (תיקון - רישום בת זוג או בן זוג כהורה), התשפ""ג-2023")</f>
        <v>9005</v>
      </c>
      <c r="E5504" t="s">
        <v>9005</v>
      </c>
      <c r="F5504" t="s">
        <v>11090</v>
      </c>
      <c r="G5504" t="s">
        <v>14</v>
      </c>
      <c r="H5504">
             </c>
      <c r="I5504" t="s">
        <v>14</v>
      </c>
      <c r="J5504" t="s">
        <v>141</v>
      </c>
      <c r="K5504" t="s">
        <v>14</v>
      </c>
      <c r="L5504" t="s">
        <v>20</v>
      </c>
      <c r="M5504" t="s">
        <v>10922</v>
      </c>
      <c r="N5504" t="s">
        <v>14</v>
      </c>
    </row>
    <row r="5505" x14ac:dyDescent="0.25">
      <c r="A5505" t="n">
        <v>25</v>
      </c>
      <c r="B5505" t="s">
        <v>14</v>
      </c>
      <c r="C5505" t="s">
        <v>22</v>
      </c>
      <c r="D5505" s="2" t="s">
        <f>=HYPERLINK("https://main.knesset.gov.il/APPS/legislation/main/bills/2200522", "הצעת חוק משק החשמל (תיקון - גביית תשלומים), התשפ""ג-2023")</f>
        <v>10367</v>
      </c>
      <c r="E5505" t="s">
        <v>10367</v>
      </c>
      <c r="F5505" t="s">
        <v>11091</v>
      </c>
      <c r="G5505" t="s">
        <v>14</v>
      </c>
      <c r="H5505">
             </c>
      <c r="I5505" t="s">
        <v>14</v>
      </c>
      <c r="J5505" t="s">
        <v>141</v>
      </c>
      <c r="K5505" t="s">
        <v>14</v>
      </c>
      <c r="L5505" t="s">
        <v>20</v>
      </c>
      <c r="M5505" t="s">
        <v>10922</v>
      </c>
      <c r="N5505" t="s">
        <v>14</v>
      </c>
    </row>
    <row r="5506" x14ac:dyDescent="0.25">
      <c r="A5506" t="n">
        <v>25</v>
      </c>
      <c r="B5506" t="s">
        <v>14</v>
      </c>
      <c r="C5506" t="s">
        <v>22</v>
      </c>
      <c r="D5506" s="2" t="s">
        <f>=HYPERLINK("https://main.knesset.gov.il/APPS/legislation/main/bills/2200448", "הצעת חוק בתי קברות צבאיים (תיקון - חיילים זכאי חוק השבות), התשפ""ג-2023")</f>
        <v>9256</v>
      </c>
      <c r="E5506" t="s">
        <v>9256</v>
      </c>
      <c r="F5506" t="s">
        <v>11092</v>
      </c>
      <c r="G5506" t="s">
        <v>14</v>
      </c>
      <c r="H5506">
             </c>
      <c r="I5506" t="s">
        <v>14</v>
      </c>
      <c r="J5506" t="s">
        <v>141</v>
      </c>
      <c r="K5506" t="s">
        <v>14</v>
      </c>
      <c r="L5506" t="s">
        <v>20</v>
      </c>
      <c r="M5506" t="s">
        <v>10922</v>
      </c>
      <c r="N5506" t="s">
        <v>14</v>
      </c>
    </row>
    <row r="5507" x14ac:dyDescent="0.25">
      <c r="A5507" t="n">
        <v>25</v>
      </c>
      <c r="B5507" t="s">
        <v>14</v>
      </c>
      <c r="C5507" t="s">
        <v>22</v>
      </c>
      <c r="D5507" s="2" t="s">
        <f>=HYPERLINK("https://main.knesset.gov.il/APPS/legislation/main/bills/2200518", "הצעת חוק משק החשמל (תיקון - איסור ניתוק חשמל), התשפ""ג-2023")</f>
        <v>11093</v>
      </c>
      <c r="E5507" t="s">
        <v>11093</v>
      </c>
      <c r="F5507" t="s">
        <v>11094</v>
      </c>
      <c r="G5507" t="s">
        <v>14</v>
      </c>
      <c r="H5507">
             </c>
      <c r="I5507" t="s">
        <v>14</v>
      </c>
      <c r="J5507" t="s">
        <v>141</v>
      </c>
      <c r="K5507" t="s">
        <v>14</v>
      </c>
      <c r="L5507" t="s">
        <v>20</v>
      </c>
      <c r="M5507" t="s">
        <v>10922</v>
      </c>
      <c r="N5507" t="s">
        <v>14</v>
      </c>
    </row>
    <row r="5508" x14ac:dyDescent="0.25">
      <c r="A5508" t="n">
        <v>25</v>
      </c>
      <c r="B5508" t="s">
        <v>14</v>
      </c>
      <c r="C5508" t="s">
        <v>22</v>
      </c>
      <c r="D5508" s="2" t="s">
        <f>=HYPERLINK("https://main.knesset.gov.il/APPS/legislation/main/bills/2200337", "הצעת חוק ביטוח בריאות ממלכתי (תיקון - אשפוז בית), התשפ""ג-2023")</f>
        <v>10507</v>
      </c>
      <c r="E5508" t="s">
        <v>10507</v>
      </c>
      <c r="F5508" t="s">
        <v>11095</v>
      </c>
      <c r="G5508" t="s">
        <v>14</v>
      </c>
      <c r="H5508">
             </c>
      <c r="I5508" t="s">
        <v>14</v>
      </c>
      <c r="J5508" t="s">
        <v>141</v>
      </c>
      <c r="K5508" t="s">
        <v>14</v>
      </c>
      <c r="L5508" t="s">
        <v>20</v>
      </c>
      <c r="M5508" t="s">
        <v>10922</v>
      </c>
      <c r="N5508" t="s">
        <v>14</v>
      </c>
    </row>
    <row r="5509" x14ac:dyDescent="0.25">
      <c r="A5509" t="n">
        <v>25</v>
      </c>
      <c r="B5509" t="s">
        <v>14</v>
      </c>
      <c r="C5509" t="s">
        <v>22</v>
      </c>
      <c r="D5509" s="2" t="s">
        <f>=HYPERLINK("https://main.knesset.gov.il/APPS/legislation/main/bills/2200171", "הצעת חוק הביטוח הלאומי (תיקון - קצבת שאירים למי שמנהל משק בית משותף), התשפ""ג-2023")</f>
        <v>11096</v>
      </c>
      <c r="E5509" t="s">
        <v>11096</v>
      </c>
      <c r="F5509" t="s">
        <v>11097</v>
      </c>
      <c r="G5509" t="s">
        <v>14</v>
      </c>
      <c r="H5509">
             </c>
      <c r="I5509" t="s">
        <v>14</v>
      </c>
      <c r="J5509" t="s">
        <v>141</v>
      </c>
      <c r="K5509" t="s">
        <v>14</v>
      </c>
      <c r="L5509" t="s">
        <v>20</v>
      </c>
      <c r="M5509" t="s">
        <v>10922</v>
      </c>
      <c r="N5509" t="s">
        <v>14</v>
      </c>
    </row>
    <row r="5510" x14ac:dyDescent="0.25">
      <c r="A5510" t="n">
        <v>25</v>
      </c>
      <c r="B5510" t="s">
        <v>14</v>
      </c>
      <c r="C5510" t="s">
        <v>22</v>
      </c>
      <c r="D5510" s="2" t="s">
        <f>=HYPERLINK("https://main.knesset.gov.il/APPS/legislation/main/bills/2200386", "הצעת חוק הביטוח הלאומי (תיקון - דמי לידה לעצמאיות - מתן זכות לעבודה חלקית), התשפ""ג-2023")</f>
        <v>1797</v>
      </c>
      <c r="E5510" t="s">
        <v>1797</v>
      </c>
      <c r="F5510" t="s">
        <v>11098</v>
      </c>
      <c r="G5510" t="s">
        <v>14</v>
      </c>
      <c r="H5510">
             </c>
      <c r="I5510" t="s">
        <v>14</v>
      </c>
      <c r="J5510" t="s">
        <v>141</v>
      </c>
      <c r="K5510" t="s">
        <v>14</v>
      </c>
      <c r="L5510" t="s">
        <v>20</v>
      </c>
      <c r="M5510" t="s">
        <v>10922</v>
      </c>
      <c r="N5510" t="s">
        <v>14</v>
      </c>
    </row>
    <row r="5511" x14ac:dyDescent="0.25">
      <c r="A5511" t="n">
        <v>25</v>
      </c>
      <c r="B5511" t="s">
        <v>14</v>
      </c>
      <c r="C5511" t="s">
        <v>22</v>
      </c>
      <c r="D5511" s="2" t="s">
        <f>=HYPERLINK("https://main.knesset.gov.il/APPS/legislation/main/bills/2200214", "הצעת חוק טיפול בחולי נפש (תיקון - בחירת מקום אשפוז), התשפ""ג-2023")</f>
        <v>11099</v>
      </c>
      <c r="E5511" t="s">
        <v>11099</v>
      </c>
      <c r="F5511" t="s">
        <v>11100</v>
      </c>
      <c r="G5511" t="s">
        <v>14</v>
      </c>
      <c r="H5511">
             </c>
      <c r="I5511" t="s">
        <v>14</v>
      </c>
      <c r="J5511" t="s">
        <v>141</v>
      </c>
      <c r="K5511" t="s">
        <v>14</v>
      </c>
      <c r="L5511" t="s">
        <v>20</v>
      </c>
      <c r="M5511" t="s">
        <v>10922</v>
      </c>
      <c r="N5511" t="s">
        <v>14</v>
      </c>
    </row>
    <row r="5512" x14ac:dyDescent="0.25">
      <c r="A5512" t="n">
        <v>25</v>
      </c>
      <c r="B5512" t="s">
        <v>14</v>
      </c>
      <c r="C5512" t="s">
        <v>22</v>
      </c>
      <c r="D5512" s="2" t="s">
        <f>=HYPERLINK("https://main.knesset.gov.il/APPS/legislation/main/bills/2200507", "הצעת חוק הגנת הצרכן (תיקון - פיצויים בלא הוכחת נזק בשל חריגה מזמני המתנה במוקד שירות טלפוני), התשפ""ג-2023")</f>
        <v>11101</v>
      </c>
      <c r="E5512" t="s">
        <v>11101</v>
      </c>
      <c r="F5512" t="s">
        <v>11102</v>
      </c>
      <c r="G5512" t="s">
        <v>14</v>
      </c>
      <c r="H5512">
             </c>
      <c r="I5512" t="s">
        <v>14</v>
      </c>
      <c r="J5512" t="s">
        <v>141</v>
      </c>
      <c r="K5512" t="s">
        <v>14</v>
      </c>
      <c r="L5512" t="s">
        <v>20</v>
      </c>
      <c r="M5512" t="s">
        <v>10922</v>
      </c>
      <c r="N5512" t="s">
        <v>14</v>
      </c>
    </row>
    <row r="5513" x14ac:dyDescent="0.25">
      <c r="A5513" t="n">
        <v>25</v>
      </c>
      <c r="B5513" t="s">
        <v>14</v>
      </c>
      <c r="C5513" t="s">
        <v>22</v>
      </c>
      <c r="D5513" s="2" t="s">
        <f>=HYPERLINK("https://main.knesset.gov.il/APPS/legislation/main/bills/2200528", "הצעת חוק הגנת הצרכן (תיקון - חובת הקלטה של עסקה טלפונית), התשפ""ג-2023")</f>
        <v>2750</v>
      </c>
      <c r="E5513" t="s">
        <v>2750</v>
      </c>
      <c r="F5513" t="s">
        <v>11103</v>
      </c>
      <c r="G5513" t="s">
        <v>14</v>
      </c>
      <c r="H5513">
             </c>
      <c r="I5513" t="s">
        <v>14</v>
      </c>
      <c r="J5513" t="s">
        <v>141</v>
      </c>
      <c r="K5513" t="s">
        <v>14</v>
      </c>
      <c r="L5513" t="s">
        <v>20</v>
      </c>
      <c r="M5513" t="s">
        <v>10922</v>
      </c>
      <c r="N5513" t="s">
        <v>14</v>
      </c>
    </row>
    <row r="5514" x14ac:dyDescent="0.25">
      <c r="A5514" t="n">
        <v>25</v>
      </c>
      <c r="B5514" t="s">
        <v>14</v>
      </c>
      <c r="C5514" t="s">
        <v>22</v>
      </c>
      <c r="D5514" s="2" t="s">
        <f>=HYPERLINK("https://main.knesset.gov.il/APPS/legislation/main/bills/2200471", "הצעת חוק תאגידי מים וביוב (תיקון - הפעלת שירותי מים וביוב על ידי רשות מקומית), התשפ""ג-2023")</f>
        <v>8541</v>
      </c>
      <c r="E5514" t="s">
        <v>8541</v>
      </c>
      <c r="F5514" t="s">
        <v>11104</v>
      </c>
      <c r="G5514" t="s">
        <v>14</v>
      </c>
      <c r="H5514">
             </c>
      <c r="I5514" t="s">
        <v>14</v>
      </c>
      <c r="J5514" t="s">
        <v>141</v>
      </c>
      <c r="K5514" t="s">
        <v>14</v>
      </c>
      <c r="L5514" t="s">
        <v>20</v>
      </c>
      <c r="M5514" t="s">
        <v>10922</v>
      </c>
      <c r="N5514" t="s">
        <v>14</v>
      </c>
    </row>
    <row r="5515" x14ac:dyDescent="0.25">
      <c r="A5515" t="n">
        <v>25</v>
      </c>
      <c r="B5515" t="s">
        <v>14</v>
      </c>
      <c r="C5515" t="s">
        <v>22</v>
      </c>
      <c r="D5515" s="2" t="s">
        <f>=HYPERLINK("https://main.knesset.gov.il/APPS/legislation/main/bills/2200323", "הצעת חוק חובת דיווח שנתי על מצב הטבע והמגוון הביולוגי בישראל, התשפ""ג-2023")</f>
        <v>11105</v>
      </c>
      <c r="E5515" t="s">
        <v>11105</v>
      </c>
      <c r="F5515" t="s">
        <v>11106</v>
      </c>
      <c r="G5515" t="s">
        <v>14</v>
      </c>
      <c r="H5515">
             </c>
      <c r="I5515" t="s">
        <v>14</v>
      </c>
      <c r="J5515" t="s">
        <v>343</v>
      </c>
      <c r="K5515" t="s">
        <v>14</v>
      </c>
      <c r="L5515" t="s">
        <v>20</v>
      </c>
      <c r="M5515" t="s">
        <v>10922</v>
      </c>
      <c r="N5515" t="s">
        <v>14</v>
      </c>
    </row>
    <row r="5516" x14ac:dyDescent="0.25">
      <c r="A5516" t="n">
        <v>25</v>
      </c>
      <c r="B5516" t="s">
        <v>14</v>
      </c>
      <c r="C5516" t="s">
        <v>22</v>
      </c>
      <c r="D5516" s="2" t="s">
        <f>=HYPERLINK("https://main.knesset.gov.il/APPS/legislation/main/bills/2200335", "הצעת חוק הסדרת מקומות רחצה (תיקון - קביעת מקומות לרחצה נפרדת), התשפ""ג-2023")</f>
        <v>11107</v>
      </c>
      <c r="E5516" t="s">
        <v>11107</v>
      </c>
      <c r="F5516" t="s">
        <v>11108</v>
      </c>
      <c r="G5516" t="s">
        <v>14</v>
      </c>
      <c r="H5516">
             </c>
      <c r="I5516" t="s">
        <v>14</v>
      </c>
      <c r="J5516" t="s">
        <v>141</v>
      </c>
      <c r="K5516" t="s">
        <v>14</v>
      </c>
      <c r="L5516" t="s">
        <v>20</v>
      </c>
      <c r="M5516" t="s">
        <v>10922</v>
      </c>
      <c r="N5516" t="s">
        <v>14</v>
      </c>
    </row>
    <row r="5517" x14ac:dyDescent="0.25">
      <c r="A5517" t="n">
        <v>25</v>
      </c>
      <c r="B5517" t="s">
        <v>14</v>
      </c>
      <c r="C5517" t="s">
        <v>22</v>
      </c>
      <c r="D5517" s="2" t="s">
        <f>=HYPERLINK("https://main.knesset.gov.il/APPS/legislation/main/bills/2200169", "הצעת חוק הביטוח הלאומי (תיקון - זכאות לדמי לידה לחיילות בשירות קבע), התשפ""ג-2023")</f>
        <v>11109</v>
      </c>
      <c r="E5517" t="s">
        <v>11109</v>
      </c>
      <c r="F5517" t="s">
        <v>11110</v>
      </c>
      <c r="G5517" t="s">
        <v>14</v>
      </c>
      <c r="H5517">
             </c>
      <c r="I5517" t="s">
        <v>14</v>
      </c>
      <c r="J5517" t="s">
        <v>141</v>
      </c>
      <c r="K5517" t="s">
        <v>14</v>
      </c>
      <c r="L5517" t="s">
        <v>20</v>
      </c>
      <c r="M5517" t="s">
        <v>10922</v>
      </c>
      <c r="N5517" t="s">
        <v>14</v>
      </c>
    </row>
    <row r="5518" x14ac:dyDescent="0.25">
      <c r="A5518" t="n">
        <v>25</v>
      </c>
      <c r="B5518" t="s">
        <v>14</v>
      </c>
      <c r="C5518" t="s">
        <v>22</v>
      </c>
      <c r="D5518" s="2" t="s">
        <f>=HYPERLINK("https://main.knesset.gov.il/APPS/legislation/main/bills/2200300", "הצעת חוק תשלום קצבאות לחיילי מילואים ולבני משפחותיהם (תיקון - השוואת תנאי אלמנות חללי המילואים), התשפ""ג-2023")</f>
        <v>8757</v>
      </c>
      <c r="E5518" t="s">
        <v>8757</v>
      </c>
      <c r="F5518" t="s">
        <v>11111</v>
      </c>
      <c r="G5518" t="s">
        <v>14</v>
      </c>
      <c r="H5518">
             </c>
      <c r="I5518" t="s">
        <v>14</v>
      </c>
      <c r="J5518" t="s">
        <v>141</v>
      </c>
      <c r="K5518" t="s">
        <v>14</v>
      </c>
      <c r="L5518" t="s">
        <v>20</v>
      </c>
      <c r="M5518" t="s">
        <v>10922</v>
      </c>
      <c r="N5518" t="s">
        <v>14</v>
      </c>
    </row>
    <row r="5519" x14ac:dyDescent="0.25">
      <c r="A5519" t="n">
        <v>25</v>
      </c>
      <c r="B5519" t="s">
        <v>14</v>
      </c>
      <c r="C5519" t="s">
        <v>22</v>
      </c>
      <c r="D5519" s="2" t="s">
        <f>=HYPERLINK("https://main.knesset.gov.il/APPS/legislation/main/bills/2200239", "הצעת חוק הביטוח הלאומי (תיקון - דמי מחלה לעובד עצמאי), התשפ""ב-2023")</f>
        <v>11112</v>
      </c>
      <c r="E5519" t="s">
        <v>11112</v>
      </c>
      <c r="F5519" t="s">
        <v>11113</v>
      </c>
      <c r="G5519" t="s">
        <v>14</v>
      </c>
      <c r="H5519">
             </c>
      <c r="I5519" t="s">
        <v>14</v>
      </c>
      <c r="J5519" t="s">
        <v>141</v>
      </c>
      <c r="K5519" t="s">
        <v>14</v>
      </c>
      <c r="L5519" t="s">
        <v>20</v>
      </c>
      <c r="M5519" t="s">
        <v>10922</v>
      </c>
      <c r="N5519" t="s">
        <v>14</v>
      </c>
    </row>
    <row r="5520" x14ac:dyDescent="0.25">
      <c r="A5520" t="n">
        <v>25</v>
      </c>
      <c r="B5520" t="s">
        <v>14</v>
      </c>
      <c r="C5520" t="s">
        <v>22</v>
      </c>
      <c r="D5520" s="2" t="s">
        <f>=HYPERLINK("https://main.knesset.gov.il/APPS/legislation/main/bills/2200234", "הצעת חוק שירותי הדת היהודיים (תיקון - הנחה ברכישת קבר זוגי), התשפ""ג-2023")</f>
        <v>11114</v>
      </c>
      <c r="E5520" t="s">
        <v>11114</v>
      </c>
      <c r="F5520" t="s">
        <v>11115</v>
      </c>
      <c r="G5520" t="s">
        <v>14</v>
      </c>
      <c r="H5520">
             </c>
      <c r="I5520" t="s">
        <v>14</v>
      </c>
      <c r="J5520" t="s">
        <v>141</v>
      </c>
      <c r="K5520" t="s">
        <v>14</v>
      </c>
      <c r="L5520" t="s">
        <v>20</v>
      </c>
      <c r="M5520" t="s">
        <v>10922</v>
      </c>
      <c r="N5520" t="s">
        <v>14</v>
      </c>
    </row>
    <row r="5521" x14ac:dyDescent="0.25">
      <c r="A5521" t="n">
        <v>25</v>
      </c>
      <c r="B5521" t="s">
        <v>14</v>
      </c>
      <c r="C5521" t="s">
        <v>22</v>
      </c>
      <c r="D5521" s="2" t="s">
        <f>=HYPERLINK("https://main.knesset.gov.il/APPS/legislation/main/bills/2200390", "הצעת חוק שירות המילואים (תיקון - קביעת נקודות זיכוי), התשפ""ג-2023")</f>
        <v>11116</v>
      </c>
      <c r="E5521" t="s">
        <v>11116</v>
      </c>
      <c r="F5521" t="s">
        <v>11117</v>
      </c>
      <c r="G5521" t="s">
        <v>14</v>
      </c>
      <c r="H5521">
             </c>
      <c r="I5521" t="s">
        <v>14</v>
      </c>
      <c r="J5521" t="s">
        <v>141</v>
      </c>
      <c r="K5521" t="s">
        <v>14</v>
      </c>
      <c r="L5521" t="s">
        <v>20</v>
      </c>
      <c r="M5521" t="s">
        <v>10922</v>
      </c>
      <c r="N5521" t="s">
        <v>14</v>
      </c>
    </row>
    <row r="5522" x14ac:dyDescent="0.25">
      <c r="A5522" t="n">
        <v>25</v>
      </c>
      <c r="B5522" t="s">
        <v>14</v>
      </c>
      <c r="C5522" t="s">
        <v>22</v>
      </c>
      <c r="D5522" s="2" t="s">
        <f>=HYPERLINK("https://main.knesset.gov.il/APPS/legislation/main/bills/2200166", "הצעת חוק הבטחת הכנסה (תיקון - מסגרת שיקומית מזנות), התשפ""ג-2023")</f>
        <v>11118</v>
      </c>
      <c r="E5522" t="s">
        <v>11118</v>
      </c>
      <c r="F5522" t="s">
        <v>11119</v>
      </c>
      <c r="G5522" t="s">
        <v>14</v>
      </c>
      <c r="H5522">
             </c>
      <c r="I5522" t="s">
        <v>14</v>
      </c>
      <c r="J5522" t="s">
        <v>141</v>
      </c>
      <c r="K5522" t="s">
        <v>14</v>
      </c>
      <c r="L5522" t="s">
        <v>20</v>
      </c>
      <c r="M5522" t="s">
        <v>10922</v>
      </c>
      <c r="N5522" t="s">
        <v>14</v>
      </c>
    </row>
    <row r="5523" x14ac:dyDescent="0.25">
      <c r="A5523" t="n">
        <v>25</v>
      </c>
      <c r="B5523" t="s">
        <v>14</v>
      </c>
      <c r="C5523" t="s">
        <v>22</v>
      </c>
      <c r="D5523" s="2" t="s">
        <f>=HYPERLINK("https://main.knesset.gov.il/APPS/legislation/main/bills/2200272", "הצעת חוק ביטוח בריאות ממלכתי (תיקון - סבסוד מחוללי חמצן ניידים), התשפ""ג-2023")</f>
        <v>5013</v>
      </c>
      <c r="E5523" t="s">
        <v>5013</v>
      </c>
      <c r="F5523" t="s">
        <v>11120</v>
      </c>
      <c r="G5523" t="s">
        <v>14</v>
      </c>
      <c r="H5523">
             </c>
      <c r="I5523" t="s">
        <v>14</v>
      </c>
      <c r="J5523" t="s">
        <v>141</v>
      </c>
      <c r="K5523" t="s">
        <v>14</v>
      </c>
      <c r="L5523" t="s">
        <v>20</v>
      </c>
      <c r="M5523" t="s">
        <v>10922</v>
      </c>
      <c r="N5523" t="s">
        <v>14</v>
      </c>
    </row>
    <row r="5524" x14ac:dyDescent="0.25">
      <c r="A5524" t="n">
        <v>25</v>
      </c>
      <c r="B5524" t="s">
        <v>14</v>
      </c>
      <c r="C5524" t="s">
        <v>22</v>
      </c>
      <c r="D5524" s="2" t="s">
        <f>=HYPERLINK("https://main.knesset.gov.il/APPS/legislation/main/bills/2200193", "הצעת חוק שירותי הסעד (תיקון - הגבלת מספר התיקים בטיפול עובד סוציאלי המטפל במשפחות), התשפ""ג-2023")</f>
        <v>8219</v>
      </c>
      <c r="E5524" t="s">
        <v>8219</v>
      </c>
      <c r="F5524" t="s">
        <v>11121</v>
      </c>
      <c r="G5524" t="s">
        <v>14</v>
      </c>
      <c r="H5524">
             </c>
      <c r="I5524" t="s">
        <v>14</v>
      </c>
      <c r="J5524" t="s">
        <v>141</v>
      </c>
      <c r="K5524" t="s">
        <v>14</v>
      </c>
      <c r="L5524" t="s">
        <v>20</v>
      </c>
      <c r="M5524" t="s">
        <v>10922</v>
      </c>
      <c r="N5524" t="s">
        <v>14</v>
      </c>
    </row>
    <row r="5525" x14ac:dyDescent="0.25">
      <c r="A5525" t="n">
        <v>25</v>
      </c>
      <c r="B5525" t="s">
        <v>14</v>
      </c>
      <c r="C5525" t="s">
        <v>22</v>
      </c>
      <c r="D5525" s="2" t="s">
        <f>=HYPERLINK("https://main.knesset.gov.il/APPS/legislation/main/bills/2200161", "הצעת חוק ביטוח בריאות ממלכתי (תיקון - צמצום פערים בין הפריפריה למרכז), התשפ""ג-2023")</f>
        <v>696</v>
      </c>
      <c r="E5525" t="s">
        <v>696</v>
      </c>
      <c r="F5525" t="s">
        <v>11122</v>
      </c>
      <c r="G5525" t="s">
        <v>14</v>
      </c>
      <c r="H5525">
             </c>
      <c r="I5525" t="s">
        <v>14</v>
      </c>
      <c r="J5525" t="s">
        <v>343</v>
      </c>
      <c r="K5525" t="s">
        <v>14</v>
      </c>
      <c r="L5525" t="s">
        <v>20</v>
      </c>
      <c r="M5525" t="s">
        <v>10922</v>
      </c>
      <c r="N5525" t="s">
        <v>14</v>
      </c>
    </row>
    <row r="5526" x14ac:dyDescent="0.25">
      <c r="A5526" t="n">
        <v>25</v>
      </c>
      <c r="B5526" t="s">
        <v>14</v>
      </c>
      <c r="C5526" t="s">
        <v>22</v>
      </c>
      <c r="D5526" s="2" t="s">
        <f>=HYPERLINK("https://main.knesset.gov.il/APPS/legislation/main/bills/2199543", "הצעת חוק להגדלת שיעור ההשתתפות בכוח העבודה ולצמצום פערים חברתיים (מענק עבודה) (תיקון - גיל הזכאות), התשפ""ג-2023")</f>
        <v>11123</v>
      </c>
      <c r="E5526" t="s">
        <v>11123</v>
      </c>
      <c r="F5526" t="s">
        <v>11124</v>
      </c>
      <c r="G5526" t="s">
        <v>14</v>
      </c>
      <c r="H5526">
             </c>
      <c r="I5526" t="s">
        <v>14</v>
      </c>
      <c r="J5526" t="s">
        <v>141</v>
      </c>
      <c r="K5526" t="s">
        <v>14</v>
      </c>
      <c r="L5526" t="s">
        <v>20</v>
      </c>
      <c r="M5526" t="s">
        <v>10922</v>
      </c>
      <c r="N5526" t="s">
        <v>14</v>
      </c>
    </row>
    <row r="5527" x14ac:dyDescent="0.25">
      <c r="A5527" t="n">
        <v>25</v>
      </c>
      <c r="B5527" t="s">
        <v>14</v>
      </c>
      <c r="C5527" t="s">
        <v>22</v>
      </c>
      <c r="D5527" s="2" t="s">
        <f>=HYPERLINK("https://main.knesset.gov.il/APPS/legislation/main/bills/2199129", "הצעת חוק הגנה על בריאות הציבור (מזון) (תיקון - הגבלת השימוש בחומצות שומן טראנס), התשפ""ג-2023")</f>
        <v>11125</v>
      </c>
      <c r="E5527" t="s">
        <v>11125</v>
      </c>
      <c r="F5527" t="s">
        <v>11126</v>
      </c>
      <c r="G5527" t="s">
        <v>14</v>
      </c>
      <c r="H5527">
             </c>
      <c r="I5527" t="s">
        <v>14</v>
      </c>
      <c r="J5527" t="s">
        <v>141</v>
      </c>
      <c r="K5527" t="s">
        <v>14</v>
      </c>
      <c r="L5527" t="s">
        <v>20</v>
      </c>
      <c r="M5527" t="s">
        <v>10922</v>
      </c>
      <c r="N5527" t="s">
        <v>14</v>
      </c>
    </row>
    <row r="5528" x14ac:dyDescent="0.25">
      <c r="A5528" t="n">
        <v>25</v>
      </c>
      <c r="B5528" t="s">
        <v>14</v>
      </c>
      <c r="C5528" t="s">
        <v>22</v>
      </c>
      <c r="D5528" s="2" t="s">
        <f>=HYPERLINK("https://main.knesset.gov.il/APPS/legislation/main/bills/2200141", "הצעת חוק רשות מקרקעי ישראל (תיקון - העדפת בני המקום בשיווק קרקעות), התשפ""ג-2023")</f>
        <v>11127</v>
      </c>
      <c r="E5528" t="s">
        <v>11127</v>
      </c>
      <c r="F5528" t="s">
        <v>11128</v>
      </c>
      <c r="G5528" t="s">
        <v>14</v>
      </c>
      <c r="H5528">
             </c>
      <c r="I5528" t="s">
        <v>14</v>
      </c>
      <c r="J5528" t="s">
        <v>141</v>
      </c>
      <c r="K5528" t="s">
        <v>14</v>
      </c>
      <c r="L5528" t="s">
        <v>20</v>
      </c>
      <c r="M5528" t="s">
        <v>10922</v>
      </c>
      <c r="N5528" t="s">
        <v>14</v>
      </c>
    </row>
    <row r="5529" x14ac:dyDescent="0.25">
      <c r="A5529" t="n">
        <v>25</v>
      </c>
      <c r="B5529" t="s">
        <v>14</v>
      </c>
      <c r="C5529" t="s">
        <v>22</v>
      </c>
      <c r="D5529" s="2" t="s">
        <f>=HYPERLINK("https://main.knesset.gov.il/APPS/legislation/main/bills/2199104", "הצעת חוק לתיקון בריאות העם (הוספת מכשור רפואי לפריפריה), התשפ""ג-2023")</f>
        <v>11129</v>
      </c>
      <c r="E5529" t="s">
        <v>11129</v>
      </c>
      <c r="F5529" t="s">
        <v>11130</v>
      </c>
      <c r="G5529" t="s">
        <v>14</v>
      </c>
      <c r="H5529">
             </c>
      <c r="I5529" t="s">
        <v>14</v>
      </c>
      <c r="J5529" t="s">
        <v>141</v>
      </c>
      <c r="K5529" t="s">
        <v>14</v>
      </c>
      <c r="L5529" t="s">
        <v>20</v>
      </c>
      <c r="M5529" t="s">
        <v>10922</v>
      </c>
      <c r="N5529" t="s">
        <v>14</v>
      </c>
    </row>
    <row r="5530" x14ac:dyDescent="0.25">
      <c r="A5530" t="n">
        <v>25</v>
      </c>
      <c r="B5530" t="s">
        <v>14</v>
      </c>
      <c r="C5530" t="s">
        <v>22</v>
      </c>
      <c r="D5530" s="2" t="s">
        <f>=HYPERLINK("https://main.knesset.gov.il/APPS/legislation/main/bills/2199094", "הצעת חוק מרשם האוכלוסין (תיקון - רישום הורה נוסף), התשפ""ג-2023")</f>
        <v>11131</v>
      </c>
      <c r="E5530" t="s">
        <v>11131</v>
      </c>
      <c r="F5530" t="s">
        <v>11132</v>
      </c>
      <c r="G5530" t="s">
        <v>14</v>
      </c>
      <c r="H5530">
             </c>
      <c r="I5530" t="s">
        <v>14</v>
      </c>
      <c r="J5530" t="s">
        <v>141</v>
      </c>
      <c r="K5530" t="s">
        <v>14</v>
      </c>
      <c r="L5530" t="s">
        <v>20</v>
      </c>
      <c r="M5530" t="s">
        <v>10922</v>
      </c>
      <c r="N5530" t="s">
        <v>14</v>
      </c>
    </row>
    <row r="5531" x14ac:dyDescent="0.25">
      <c r="A5531" t="n">
        <v>25</v>
      </c>
      <c r="B5531" t="s">
        <v>14</v>
      </c>
      <c r="C5531" t="s">
        <v>22</v>
      </c>
      <c r="D5531" s="2" t="s">
        <f>=HYPERLINK("https://main.knesset.gov.il/APPS/legislation/main/bills/2198926", "הצעת חוק הביטוח הלאומי (תיקון - ביטול מבחני התלות לקבלת גמלת סיעוד לאזרח שמלאו לו 80 שנים), התשפ""ג-2023")</f>
        <v>11133</v>
      </c>
      <c r="E5531" t="s">
        <v>11133</v>
      </c>
      <c r="F5531" t="s">
        <v>11134</v>
      </c>
      <c r="G5531" t="s">
        <v>14</v>
      </c>
      <c r="H5531">
             </c>
      <c r="I5531" t="s">
        <v>14</v>
      </c>
      <c r="J5531" t="s">
        <v>343</v>
      </c>
      <c r="K5531" t="s">
        <v>14</v>
      </c>
      <c r="L5531" t="s">
        <v>20</v>
      </c>
      <c r="M5531" t="s">
        <v>10922</v>
      </c>
      <c r="N5531" t="s">
        <v>14</v>
      </c>
    </row>
    <row r="5532" x14ac:dyDescent="0.25">
      <c r="A5532" t="n">
        <v>25</v>
      </c>
      <c r="B5532" t="s">
        <v>14</v>
      </c>
      <c r="C5532" t="s">
        <v>22</v>
      </c>
      <c r="D5532" s="2" t="s">
        <f>=HYPERLINK("https://main.knesset.gov.il/APPS/legislation/main/bills/2200282", "הצעת חוק צירוף משפחות נפגעי טרור כצד להליך המשפטי (תיקוני חקיקה), התשפ""ג-2023 ")</f>
        <v>11135</v>
      </c>
      <c r="E5532" t="s">
        <v>11135</v>
      </c>
      <c r="F5532" t="s">
        <v>11136</v>
      </c>
      <c r="G5532" t="s">
        <v>14</v>
      </c>
      <c r="H5532">
             </c>
      <c r="I5532" t="s">
        <v>14</v>
      </c>
      <c r="J5532" t="s">
        <v>141</v>
      </c>
      <c r="K5532" t="s">
        <v>14</v>
      </c>
      <c r="L5532" t="s">
        <v>20</v>
      </c>
      <c r="M5532" t="s">
        <v>11137</v>
      </c>
      <c r="N5532" t="s">
        <v>14</v>
      </c>
    </row>
    <row r="5533" x14ac:dyDescent="0.25">
      <c r="A5533" t="n">
        <v>25</v>
      </c>
      <c r="B5533" t="s">
        <v>14</v>
      </c>
      <c r="C5533" t="s">
        <v>22</v>
      </c>
      <c r="D5533" s="2" t="s">
        <f>=HYPERLINK("https://main.knesset.gov.il/APPS/legislation/main/bills/2198638", "הצעת חוק העונשין (תיקון מס' 140 - הוראת שעה) (תיקון - הארכת תוקף והגדלת עונש המינימום), התשפ""ג-2023")</f>
        <v>11138</v>
      </c>
      <c r="E5533" t="s">
        <v>11138</v>
      </c>
      <c r="F5533" t="s">
        <v>11139</v>
      </c>
      <c r="G5533" t="s">
        <v>14</v>
      </c>
      <c r="H5533">
             </c>
      <c r="I5533" t="s">
        <v>14</v>
      </c>
      <c r="J5533" t="s">
        <v>141</v>
      </c>
      <c r="K5533" t="s">
        <v>14</v>
      </c>
      <c r="L5533" t="s">
        <v>20</v>
      </c>
      <c r="M5533" t="s">
        <v>11137</v>
      </c>
      <c r="N5533" t="s">
        <v>14</v>
      </c>
    </row>
    <row r="5534" x14ac:dyDescent="0.25">
      <c r="A5534" t="n">
        <v>25</v>
      </c>
      <c r="B5534" t="s">
        <v>14</v>
      </c>
      <c r="C5534" t="s">
        <v>22</v>
      </c>
      <c r="D5534" s="2" t="s">
        <f>=HYPERLINK("https://main.knesset.gov.il/APPS/legislation/main/bills/2198777", "הצעת חוק הסדרת העיסוק במקצועות הבריאות (תיקון - הסדרת העיסוק במקצועות הבריאות עוזר רופא ודימותנות רפואית), התשפ""ג-2023")</f>
        <v>11140</v>
      </c>
      <c r="E5534" t="s">
        <v>11140</v>
      </c>
      <c r="F5534" t="s">
        <v>11141</v>
      </c>
      <c r="G5534" t="s">
        <v>14</v>
      </c>
      <c r="H5534">
             </c>
      <c r="I5534" t="s">
        <v>14</v>
      </c>
      <c r="J5534" t="s">
        <v>141</v>
      </c>
      <c r="K5534" t="s">
        <v>14</v>
      </c>
      <c r="L5534" t="s">
        <v>20</v>
      </c>
      <c r="M5534" t="s">
        <v>11137</v>
      </c>
      <c r="N5534" t="s">
        <v>14</v>
      </c>
    </row>
    <row r="5535" x14ac:dyDescent="0.25">
      <c r="A5535" t="n">
        <v>25</v>
      </c>
      <c r="B5535" t="s">
        <v>14</v>
      </c>
      <c r="C5535" t="s">
        <v>22</v>
      </c>
      <c r="D5535" s="2" t="s">
        <f>=HYPERLINK("https://main.knesset.gov.il/APPS/legislation/main/bills/2198965", "הצעת חוק הסדרים במשק המדינה (תיקוני חקיקה להשגת יעדי התקציב) (תיקון - פטור מארנונה למגורים), התשפ""ג-2023")</f>
        <v>11142</v>
      </c>
      <c r="E5535" t="s">
        <v>11142</v>
      </c>
      <c r="F5535" t="s">
        <v>11143</v>
      </c>
      <c r="G5535" t="s">
        <v>14</v>
      </c>
      <c r="H5535">
             </c>
      <c r="I5535" t="s">
        <v>14</v>
      </c>
      <c r="J5535" t="s">
        <v>141</v>
      </c>
      <c r="K5535" t="s">
        <v>14</v>
      </c>
      <c r="L5535" t="s">
        <v>20</v>
      </c>
      <c r="M5535" t="s">
        <v>11137</v>
      </c>
      <c r="N5535" t="s">
        <v>14</v>
      </c>
    </row>
    <row r="5536" x14ac:dyDescent="0.25">
      <c r="A5536" t="n">
        <v>25</v>
      </c>
      <c r="B5536" t="s">
        <v>14</v>
      </c>
      <c r="C5536" t="s">
        <v>22</v>
      </c>
      <c r="D5536" s="2" t="s">
        <f>=HYPERLINK("https://main.knesset.gov.il/APPS/legislation/main/bills/2200163", "הצעת חוק בתי דין רבניים (קיום פסקי דין של גירושין) (תיקון - סמכות בית המשפט לענייני משפחה), התשפ""ג-2023")</f>
        <v>11144</v>
      </c>
      <c r="E5536" t="s">
        <v>11144</v>
      </c>
      <c r="F5536" t="s">
        <v>11145</v>
      </c>
      <c r="G5536" t="s">
        <v>14</v>
      </c>
      <c r="H5536">
             </c>
      <c r="I5536" t="s">
        <v>14</v>
      </c>
      <c r="J5536" t="s">
        <v>141</v>
      </c>
      <c r="K5536" t="s">
        <v>14</v>
      </c>
      <c r="L5536" t="s">
        <v>20</v>
      </c>
      <c r="M5536" t="s">
        <v>11137</v>
      </c>
      <c r="N5536" t="s">
        <v>14</v>
      </c>
    </row>
    <row r="5537" x14ac:dyDescent="0.25">
      <c r="A5537" t="n">
        <v>25</v>
      </c>
      <c r="B5537" t="s">
        <v>14</v>
      </c>
      <c r="C5537" t="s">
        <v>22</v>
      </c>
      <c r="D5537" s="2" t="s">
        <f>=HYPERLINK("https://main.knesset.gov.il/APPS/legislation/main/bills/2199424", "הצעת חוק ביטוח בריאות ממלכתי (תיקון - החזר דמי נסיעה באמבולנס למי שהגיע לגיל פרישה), התשפ""ג-2023")</f>
        <v>3978</v>
      </c>
      <c r="E5537" t="s">
        <v>3978</v>
      </c>
      <c r="F5537" t="s">
        <v>11146</v>
      </c>
      <c r="G5537" t="s">
        <v>14</v>
      </c>
      <c r="H5537">
             </c>
      <c r="I5537" t="s">
        <v>14</v>
      </c>
      <c r="J5537" t="s">
        <v>141</v>
      </c>
      <c r="K5537" t="s">
        <v>14</v>
      </c>
      <c r="L5537" t="s">
        <v>20</v>
      </c>
      <c r="M5537" t="s">
        <v>11137</v>
      </c>
      <c r="N5537" t="s">
        <v>14</v>
      </c>
    </row>
    <row r="5538" x14ac:dyDescent="0.25">
      <c r="A5538" t="n">
        <v>25</v>
      </c>
      <c r="B5538" t="s">
        <v>14</v>
      </c>
      <c r="C5538" t="s">
        <v>22</v>
      </c>
      <c r="D5538" s="2" t="s">
        <f>=HYPERLINK("https://main.knesset.gov.il/APPS/legislation/main/bills/2200118", "הצעת חוק הביטוח הלאומי (תיקון - דמי פגיעה לעובד עצמאי), התשפ""ג-2023")</f>
        <v>10026</v>
      </c>
      <c r="E5538" t="s">
        <v>10026</v>
      </c>
      <c r="F5538" t="s">
        <v>11147</v>
      </c>
      <c r="G5538" t="s">
        <v>14</v>
      </c>
      <c r="H5538">
             </c>
      <c r="I5538" t="s">
        <v>14</v>
      </c>
      <c r="J5538" t="s">
        <v>141</v>
      </c>
      <c r="K5538" t="s">
        <v>14</v>
      </c>
      <c r="L5538" t="s">
        <v>20</v>
      </c>
      <c r="M5538" t="s">
        <v>11137</v>
      </c>
      <c r="N5538" t="s">
        <v>14</v>
      </c>
    </row>
    <row r="5539" x14ac:dyDescent="0.25">
      <c r="A5539" t="n">
        <v>25</v>
      </c>
      <c r="B5539" t="s">
        <v>14</v>
      </c>
      <c r="C5539" t="s">
        <v>22</v>
      </c>
      <c r="D5539" s="2" t="s">
        <f>=HYPERLINK("https://main.knesset.gov.il/APPS/legislation/main/bills/2199932", "הצעת חוק הביטוח הלאומי (תיקון - דמי פגיעה לעובד עצמאי), התשפ""ג-2023")</f>
        <v>10026</v>
      </c>
      <c r="E5539" t="s">
        <v>10026</v>
      </c>
      <c r="F5539" t="s">
        <v>11148</v>
      </c>
      <c r="G5539" t="s">
        <v>14</v>
      </c>
      <c r="H5539">
             </c>
      <c r="I5539" t="s">
        <v>14</v>
      </c>
      <c r="J5539" t="s">
        <v>141</v>
      </c>
      <c r="K5539" t="s">
        <v>14</v>
      </c>
      <c r="L5539" t="s">
        <v>20</v>
      </c>
      <c r="M5539" t="s">
        <v>11137</v>
      </c>
      <c r="N5539" t="s">
        <v>14</v>
      </c>
    </row>
    <row r="5540" x14ac:dyDescent="0.25">
      <c r="A5540" t="n">
        <v>25</v>
      </c>
      <c r="B5540" t="s">
        <v>14</v>
      </c>
      <c r="C5540" t="s">
        <v>22</v>
      </c>
      <c r="D5540" s="2" t="s">
        <f>=HYPERLINK("https://main.knesset.gov.il/APPS/legislation/main/bills/2200165", "הצעת חוק האפוטרופוס הכללי (תיקון - הקמת מאגר מידע לעניין כספים ללא דורש), התשפ""ג-2023")</f>
        <v>11149</v>
      </c>
      <c r="E5540" t="s">
        <v>11149</v>
      </c>
      <c r="F5540" t="s">
        <v>11150</v>
      </c>
      <c r="G5540" t="s">
        <v>14</v>
      </c>
      <c r="H5540">
             </c>
      <c r="I5540" t="s">
        <v>14</v>
      </c>
      <c r="J5540" t="s">
        <v>141</v>
      </c>
      <c r="K5540" t="s">
        <v>14</v>
      </c>
      <c r="L5540" t="s">
        <v>20</v>
      </c>
      <c r="M5540" t="s">
        <v>11137</v>
      </c>
      <c r="N5540" t="s">
        <v>14</v>
      </c>
    </row>
    <row r="5541" x14ac:dyDescent="0.25">
      <c r="A5541" t="n">
        <v>25</v>
      </c>
      <c r="B5541" t="s">
        <v>14</v>
      </c>
      <c r="C5541" t="s">
        <v>22</v>
      </c>
      <c r="D5541" s="2" t="s">
        <f>=HYPERLINK("https://main.knesset.gov.il/APPS/legislation/main/bills/2200326", "הצעת חוק שמירת הסביבה החופית (בחינה ועדכון של תכניות), התשפ""ג-2023")</f>
        <v>11151</v>
      </c>
      <c r="E5541" t="s">
        <v>11151</v>
      </c>
      <c r="F5541" t="s">
        <v>11152</v>
      </c>
      <c r="G5541" t="s">
        <v>14</v>
      </c>
      <c r="H5541">
             </c>
      <c r="I5541" t="s">
        <v>14</v>
      </c>
      <c r="J5541" t="s">
        <v>141</v>
      </c>
      <c r="K5541" t="s">
        <v>14</v>
      </c>
      <c r="L5541" t="s">
        <v>20</v>
      </c>
      <c r="M5541" t="s">
        <v>11137</v>
      </c>
      <c r="N5541" t="s">
        <v>14</v>
      </c>
    </row>
    <row r="5542" x14ac:dyDescent="0.25">
      <c r="A5542" t="n">
        <v>25</v>
      </c>
      <c r="B5542" t="s">
        <v>14</v>
      </c>
      <c r="C5542" t="s">
        <v>22</v>
      </c>
      <c r="D5542" s="2" t="s">
        <f>=HYPERLINK("https://main.knesset.gov.il/APPS/legislation/main/bills/2200363", "הצעת חוק ההוצאה לפועל (תיקון - הגבלת סכום עיקול בידי צד שלישי שהוא תאגיד בנקאי), התשפ""ג-2023")</f>
        <v>10109</v>
      </c>
      <c r="E5542" t="s">
        <v>10109</v>
      </c>
      <c r="F5542" t="s">
        <v>11153</v>
      </c>
      <c r="G5542" t="s">
        <v>14</v>
      </c>
      <c r="H5542">
             </c>
      <c r="I5542" t="s">
        <v>14</v>
      </c>
      <c r="J5542" t="s">
        <v>141</v>
      </c>
      <c r="K5542" t="s">
        <v>14</v>
      </c>
      <c r="L5542" t="s">
        <v>20</v>
      </c>
      <c r="M5542" t="s">
        <v>11137</v>
      </c>
      <c r="N5542" t="s">
        <v>14</v>
      </c>
    </row>
    <row r="5543" x14ac:dyDescent="0.25">
      <c r="A5543" t="n">
        <v>25</v>
      </c>
      <c r="B5543" t="s">
        <v>14</v>
      </c>
      <c r="C5543" t="s">
        <v>22</v>
      </c>
      <c r="D5543" s="2" t="s">
        <f>=HYPERLINK("https://main.knesset.gov.il/APPS/legislation/main/bills/2200349", "הצעת חוק המקרקעין (חיזוק בתים משותפים מפני רעידות אדמה) (תיקון - פינוי קשישים), התשפ""ג-2023")</f>
        <v>11154</v>
      </c>
      <c r="E5543" t="s">
        <v>11154</v>
      </c>
      <c r="F5543" t="s">
        <v>11155</v>
      </c>
      <c r="G5543" t="s">
        <v>14</v>
      </c>
      <c r="H5543">
             </c>
      <c r="I5543" t="s">
        <v>14</v>
      </c>
      <c r="J5543" t="s">
        <v>141</v>
      </c>
      <c r="K5543" t="s">
        <v>14</v>
      </c>
      <c r="L5543" t="s">
        <v>20</v>
      </c>
      <c r="M5543" t="s">
        <v>11137</v>
      </c>
      <c r="N5543" t="s">
        <v>14</v>
      </c>
    </row>
    <row r="5544" x14ac:dyDescent="0.25">
      <c r="A5544" t="n">
        <v>25</v>
      </c>
      <c r="B5544" t="s">
        <v>14</v>
      </c>
      <c r="C5544" t="s">
        <v>22</v>
      </c>
      <c r="D5544" s="2" t="s">
        <f>=HYPERLINK("https://main.knesset.gov.il/APPS/legislation/main/bills/2200006", "הצעת חוק השוואת תשלומים לחיילים בודדים ילידי ישראל וחיילים בודדים שנולדו מחוץ לישראל, התשפ""ג-2023")</f>
        <v>11156</v>
      </c>
      <c r="E5544" t="s">
        <v>11156</v>
      </c>
      <c r="F5544" t="s">
        <v>11157</v>
      </c>
      <c r="G5544" t="s">
        <v>14</v>
      </c>
      <c r="H5544">
             </c>
      <c r="I5544" t="s">
        <v>14</v>
      </c>
      <c r="J5544" t="s">
        <v>141</v>
      </c>
      <c r="K5544" t="s">
        <v>14</v>
      </c>
      <c r="L5544" t="s">
        <v>20</v>
      </c>
      <c r="M5544" t="s">
        <v>11137</v>
      </c>
      <c r="N5544" t="s">
        <v>14</v>
      </c>
    </row>
    <row r="5545" x14ac:dyDescent="0.25">
      <c r="A5545" t="n">
        <v>25</v>
      </c>
      <c r="B5545" t="s">
        <v>14</v>
      </c>
      <c r="C5545" t="s">
        <v>22</v>
      </c>
      <c r="D5545" s="2" t="s">
        <f>=HYPERLINK("https://main.knesset.gov.il/APPS/legislation/main/bills/2200375", "הצעת חוק הסדרת מקומות רחצה (תיקון - ייעוד זמנים לרחצה נפרדת באתרי טבע), התשפ""ג-2023")</f>
        <v>11158</v>
      </c>
      <c r="E5545" t="s">
        <v>11158</v>
      </c>
      <c r="F5545" t="s">
        <v>11159</v>
      </c>
      <c r="G5545" t="s">
        <v>14</v>
      </c>
      <c r="H5545">
             </c>
      <c r="I5545" t="s">
        <v>14</v>
      </c>
      <c r="J5545" t="s">
        <v>141</v>
      </c>
      <c r="K5545" t="s">
        <v>14</v>
      </c>
      <c r="L5545" t="s">
        <v>20</v>
      </c>
      <c r="M5545" t="s">
        <v>11137</v>
      </c>
      <c r="N5545" t="s">
        <v>14</v>
      </c>
    </row>
    <row r="5546" x14ac:dyDescent="0.25">
      <c r="A5546" t="n">
        <v>25</v>
      </c>
      <c r="B5546" t="s">
        <v>14</v>
      </c>
      <c r="C5546" t="s">
        <v>22</v>
      </c>
      <c r="D5546" s="2" t="s">
        <f>=HYPERLINK("https://main.knesset.gov.il/APPS/legislation/main/bills/2200291", "הצעת חוק חינוך ממלכתי (תיקון – מעמד החינוך הממלכתי המשלב), התשפ""ג–2023")</f>
        <v>11160</v>
      </c>
      <c r="E5546" t="s">
        <v>11160</v>
      </c>
      <c r="F5546" t="s">
        <v>11161</v>
      </c>
      <c r="G5546" t="s">
        <v>14</v>
      </c>
      <c r="H5546">
             </c>
      <c r="I5546" t="s">
        <v>14</v>
      </c>
      <c r="J5546" t="s">
        <v>141</v>
      </c>
      <c r="K5546" t="s">
        <v>14</v>
      </c>
      <c r="L5546" t="s">
        <v>20</v>
      </c>
      <c r="M5546" t="s">
        <v>11137</v>
      </c>
      <c r="N5546" t="s">
        <v>14</v>
      </c>
    </row>
    <row r="5547" x14ac:dyDescent="0.25">
      <c r="A5547" t="n">
        <v>25</v>
      </c>
      <c r="B5547" t="s">
        <v>14</v>
      </c>
      <c r="C5547" t="s">
        <v>22</v>
      </c>
      <c r="D5547" s="2" t="s">
        <f>=HYPERLINK("https://main.knesset.gov.il/APPS/legislation/main/bills/2200277", "הצעת חוק למניעת העסקה של עברייני מין במוסדות מסוימים (תיקון - הגדרת עבירת מין), התשפ""ג-2023")</f>
        <v>11162</v>
      </c>
      <c r="E5547" t="s">
        <v>11162</v>
      </c>
      <c r="F5547" t="s">
        <v>11163</v>
      </c>
      <c r="G5547" t="s">
        <v>14</v>
      </c>
      <c r="H5547">
             </c>
      <c r="I5547" t="s">
        <v>14</v>
      </c>
      <c r="J5547" t="s">
        <v>141</v>
      </c>
      <c r="K5547" t="s">
        <v>14</v>
      </c>
      <c r="L5547" t="s">
        <v>20</v>
      </c>
      <c r="M5547" t="s">
        <v>11137</v>
      </c>
      <c r="N5547" t="s">
        <v>14</v>
      </c>
    </row>
    <row r="5548" x14ac:dyDescent="0.25">
      <c r="A5548" t="n">
        <v>25</v>
      </c>
      <c r="B5548" t="s">
        <v>14</v>
      </c>
      <c r="C5548" t="s">
        <v>22</v>
      </c>
      <c r="D5548" s="2" t="s">
        <f>=HYPERLINK("https://main.knesset.gov.il/APPS/legislation/main/bills/2199913", "הצעת חוק עבודת נשים (תיקון - זכאות להשתתפות בעלות מעון יום בתקופת הלידה וההורות), התשפ""ג-2023")</f>
        <v>11164</v>
      </c>
      <c r="E5548" t="s">
        <v>11164</v>
      </c>
      <c r="F5548" t="s">
        <v>11165</v>
      </c>
      <c r="G5548" t="s">
        <v>14</v>
      </c>
      <c r="H5548">
             </c>
      <c r="I5548" t="s">
        <v>14</v>
      </c>
      <c r="J5548" t="s">
        <v>141</v>
      </c>
      <c r="K5548" t="s">
        <v>14</v>
      </c>
      <c r="L5548" t="s">
        <v>20</v>
      </c>
      <c r="M5548" t="s">
        <v>11137</v>
      </c>
      <c r="N5548" t="s">
        <v>14</v>
      </c>
    </row>
    <row r="5549" x14ac:dyDescent="0.25">
      <c r="A5549" t="n">
        <v>25</v>
      </c>
      <c r="B5549" t="s">
        <v>14</v>
      </c>
      <c r="C5549" t="s">
        <v>22</v>
      </c>
      <c r="D5549" s="2" t="s">
        <f>=HYPERLINK("https://main.knesset.gov.il/APPS/legislation/main/bills/2199862", "הצעת חוק בתי המשפט (תיקון - הרכב מלא בדיון בתיקי בג""ץ), התשפ""ג-2023")</f>
        <v>11166</v>
      </c>
      <c r="E5549" t="s">
        <v>11166</v>
      </c>
      <c r="F5549" t="s">
        <v>11167</v>
      </c>
      <c r="G5549" t="s">
        <v>14</v>
      </c>
      <c r="H5549">
             </c>
      <c r="I5549" t="s">
        <v>14</v>
      </c>
      <c r="J5549" t="s">
        <v>141</v>
      </c>
      <c r="K5549" t="s">
        <v>14</v>
      </c>
      <c r="L5549" t="s">
        <v>20</v>
      </c>
      <c r="M5549" t="s">
        <v>11137</v>
      </c>
      <c r="N5549" t="s">
        <v>14</v>
      </c>
    </row>
    <row r="5550" x14ac:dyDescent="0.25">
      <c r="A5550" t="n">
        <v>25</v>
      </c>
      <c r="B5550" t="s">
        <v>14</v>
      </c>
      <c r="C5550" t="s">
        <v>22</v>
      </c>
      <c r="D5550" s="2" t="s">
        <f>=HYPERLINK("https://main.knesset.gov.il/APPS/legislation/main/bills/2199336", "הצעת חוק עבודת נשים (תיקון - הארכת תקופת לידה והורות בתשלום), התשפ""ג-2023")</f>
        <v>11168</v>
      </c>
      <c r="E5550" t="s">
        <v>11168</v>
      </c>
      <c r="F5550" t="s">
        <v>11169</v>
      </c>
      <c r="G5550" t="s">
        <v>14</v>
      </c>
      <c r="H5550">
             </c>
      <c r="I5550" t="s">
        <v>14</v>
      </c>
      <c r="J5550" t="s">
        <v>141</v>
      </c>
      <c r="K5550" t="s">
        <v>14</v>
      </c>
      <c r="L5550" t="s">
        <v>20</v>
      </c>
      <c r="M5550" t="s">
        <v>11137</v>
      </c>
      <c r="N5550" t="s">
        <v>14</v>
      </c>
    </row>
    <row r="5551" x14ac:dyDescent="0.25">
      <c r="A5551" t="n">
        <v>25</v>
      </c>
      <c r="B5551" t="s">
        <v>14</v>
      </c>
      <c r="C5551" t="s">
        <v>22</v>
      </c>
      <c r="D5551" s="2" t="s">
        <f>=HYPERLINK("https://main.knesset.gov.il/APPS/legislation/main/bills/2200215", "הצעת חוק הגבלת פעולות אנשי דת בלתי מורשים בצבא הגנה לישראל ובמשטרת ישראל, התשפ""ג-2023")</f>
        <v>11170</v>
      </c>
      <c r="E5551" t="s">
        <v>11170</v>
      </c>
      <c r="F5551" t="s">
        <v>11171</v>
      </c>
      <c r="G5551" t="s">
        <v>14</v>
      </c>
      <c r="H5551">
             </c>
      <c r="I5551" t="s">
        <v>14</v>
      </c>
      <c r="J5551" t="s">
        <v>141</v>
      </c>
      <c r="K5551" t="s">
        <v>14</v>
      </c>
      <c r="L5551" t="s">
        <v>20</v>
      </c>
      <c r="M5551" t="s">
        <v>11137</v>
      </c>
      <c r="N5551" t="s">
        <v>14</v>
      </c>
    </row>
    <row r="5552" x14ac:dyDescent="0.25">
      <c r="A5552" t="n">
        <v>25</v>
      </c>
      <c r="B5552" t="s">
        <v>14</v>
      </c>
      <c r="C5552" t="s">
        <v>22</v>
      </c>
      <c r="D5552" s="2" t="s">
        <f>=HYPERLINK("https://main.knesset.gov.il/APPS/legislation/main/bills/2200285", "הצעת חוק סייעות במוסדות חינוך, התשפ""ג-2023")</f>
        <v>9490</v>
      </c>
      <c r="E5552" t="s">
        <v>9490</v>
      </c>
      <c r="F5552" t="s">
        <v>11172</v>
      </c>
      <c r="G5552" t="s">
        <v>14</v>
      </c>
      <c r="H5552">
             </c>
      <c r="I5552" t="s">
        <v>14</v>
      </c>
      <c r="J5552" t="s">
        <v>141</v>
      </c>
      <c r="K5552" t="s">
        <v>14</v>
      </c>
      <c r="L5552" t="s">
        <v>20</v>
      </c>
      <c r="M5552" t="s">
        <v>11137</v>
      </c>
      <c r="N5552" t="s">
        <v>14</v>
      </c>
    </row>
    <row r="5553" x14ac:dyDescent="0.25">
      <c r="A5553" t="n">
        <v>25</v>
      </c>
      <c r="B5553" t="s">
        <v>14</v>
      </c>
      <c r="C5553" t="s">
        <v>22</v>
      </c>
      <c r="D5553" s="2" t="s">
        <f>=HYPERLINK("https://main.knesset.gov.il/APPS/legislation/main/bills/2200329", "הצעת חוק אימוץ ילדים (תיקון - כשירות המאמץ), התשפ""ג-2023")</f>
        <v>11173</v>
      </c>
      <c r="E5553" t="s">
        <v>11173</v>
      </c>
      <c r="F5553" t="s">
        <v>11174</v>
      </c>
      <c r="G5553" t="s">
        <v>14</v>
      </c>
      <c r="H5553">
             </c>
      <c r="I5553" t="s">
        <v>14</v>
      </c>
      <c r="J5553" t="s">
        <v>141</v>
      </c>
      <c r="K5553" t="s">
        <v>14</v>
      </c>
      <c r="L5553" t="s">
        <v>20</v>
      </c>
      <c r="M5553" t="s">
        <v>11137</v>
      </c>
      <c r="N5553" t="s">
        <v>14</v>
      </c>
    </row>
    <row r="5554" x14ac:dyDescent="0.25">
      <c r="A5554" t="n">
        <v>25</v>
      </c>
      <c r="B5554" t="s">
        <v>14</v>
      </c>
      <c r="C5554" t="s">
        <v>22</v>
      </c>
      <c r="D5554" s="2" t="s">
        <f>=HYPERLINK("https://main.knesset.gov.il/APPS/legislation/main/bills/2200097", "הצעת חוק איסור הפליה במוצרים, בשירותים ובכניסה למקומות בידור ולמקומות ציבוריים (תיקון - הגדלת סכום הפיצוי בלא הוכחת נזק), התשפ""ג-2023")</f>
        <v>4823</v>
      </c>
      <c r="E5554" t="s">
        <v>4823</v>
      </c>
      <c r="F5554" t="s">
        <v>11175</v>
      </c>
      <c r="G5554" t="s">
        <v>14</v>
      </c>
      <c r="H5554">
             </c>
      <c r="I5554" t="s">
        <v>14</v>
      </c>
      <c r="J5554" t="s">
        <v>141</v>
      </c>
      <c r="K5554" t="s">
        <v>14</v>
      </c>
      <c r="L5554" t="s">
        <v>20</v>
      </c>
      <c r="M5554" t="s">
        <v>11137</v>
      </c>
      <c r="N5554" t="s">
        <v>14</v>
      </c>
    </row>
    <row r="5555" x14ac:dyDescent="0.25">
      <c r="A5555" t="n">
        <v>25</v>
      </c>
      <c r="B5555" t="s">
        <v>14</v>
      </c>
      <c r="C5555" t="s">
        <v>22</v>
      </c>
      <c r="D5555" s="2" t="s">
        <f>=HYPERLINK("https://main.knesset.gov.il/APPS/legislation/main/bills/2199002", "הצעת חוק לתיקון פקודת הרופאים (ביצוע פעולות בבית החולה), התשפ""ג-2023")</f>
        <v>11176</v>
      </c>
      <c r="E5555" t="s">
        <v>11176</v>
      </c>
      <c r="F5555" t="s">
        <v>11177</v>
      </c>
      <c r="G5555" t="s">
        <v>14</v>
      </c>
      <c r="H5555">
             </c>
      <c r="I5555" t="s">
        <v>14</v>
      </c>
      <c r="J5555" t="s">
        <v>141</v>
      </c>
      <c r="K5555" t="s">
        <v>14</v>
      </c>
      <c r="L5555" t="s">
        <v>20</v>
      </c>
      <c r="M5555" t="s">
        <v>11137</v>
      </c>
      <c r="N5555" t="s">
        <v>14</v>
      </c>
    </row>
    <row r="5556" x14ac:dyDescent="0.25">
      <c r="A5556" t="n">
        <v>25</v>
      </c>
      <c r="B5556" t="s">
        <v>14</v>
      </c>
      <c r="C5556" t="s">
        <v>22</v>
      </c>
      <c r="D5556" s="2" t="s">
        <f>=HYPERLINK("https://main.knesset.gov.il/APPS/legislation/main/bills/2200192", "הצעת חוק זכויות הדייר בדיור הציבורי (תיקון - הארכת תוקף זכאות לדירה ציבורית), התשפ""ג-2023")</f>
        <v>11178</v>
      </c>
      <c r="E5556" t="s">
        <v>11178</v>
      </c>
      <c r="F5556" t="s">
        <v>11179</v>
      </c>
      <c r="G5556" t="s">
        <v>14</v>
      </c>
      <c r="H5556">
             </c>
      <c r="I5556" t="s">
        <v>14</v>
      </c>
      <c r="J5556" t="s">
        <v>141</v>
      </c>
      <c r="K5556" t="s">
        <v>14</v>
      </c>
      <c r="L5556" t="s">
        <v>20</v>
      </c>
      <c r="M5556" t="s">
        <v>11137</v>
      </c>
      <c r="N5556" t="s">
        <v>14</v>
      </c>
    </row>
    <row r="5557" x14ac:dyDescent="0.25">
      <c r="A5557" t="n">
        <v>25</v>
      </c>
      <c r="B5557" t="s">
        <v>14</v>
      </c>
      <c r="C5557" t="s">
        <v>22</v>
      </c>
      <c r="D5557" s="2" t="s">
        <f>=HYPERLINK("https://main.knesset.gov.il/APPS/legislation/main/bills/2200136", "הצעת חוק הנישואין ופירוקם, התשפ""ג-2023")</f>
        <v>11180</v>
      </c>
      <c r="E5557" t="s">
        <v>11180</v>
      </c>
      <c r="F5557" t="s">
        <v>11181</v>
      </c>
      <c r="G5557" t="s">
        <v>14</v>
      </c>
      <c r="H5557">
             </c>
      <c r="I5557" t="s">
        <v>14</v>
      </c>
      <c r="J5557" t="s">
        <v>141</v>
      </c>
      <c r="K5557" t="s">
        <v>14</v>
      </c>
      <c r="L5557" t="s">
        <v>20</v>
      </c>
      <c r="M5557" t="s">
        <v>11137</v>
      </c>
      <c r="N5557" t="s">
        <v>14</v>
      </c>
    </row>
    <row r="5558" x14ac:dyDescent="0.25">
      <c r="A5558" t="n">
        <v>25</v>
      </c>
      <c r="B5558" t="s">
        <v>14</v>
      </c>
      <c r="C5558" t="s">
        <v>22</v>
      </c>
      <c r="D5558" s="2" t="s">
        <f>=HYPERLINK("https://main.knesset.gov.il/APPS/legislation/main/bills/2200284", "הצעת חוק הפיקוח על מעונות יום לפעוטות (תיקון - החמרת ענישה), התשפ""ג-2023")</f>
        <v>9508</v>
      </c>
      <c r="E5558" t="s">
        <v>9508</v>
      </c>
      <c r="F5558" t="s">
        <v>11182</v>
      </c>
      <c r="G5558" t="s">
        <v>14</v>
      </c>
      <c r="H5558">
             </c>
      <c r="I5558" t="s">
        <v>14</v>
      </c>
      <c r="J5558" t="s">
        <v>141</v>
      </c>
      <c r="K5558" t="s">
        <v>14</v>
      </c>
      <c r="L5558" t="s">
        <v>20</v>
      </c>
      <c r="M5558" t="s">
        <v>11137</v>
      </c>
      <c r="N5558" t="s">
        <v>14</v>
      </c>
    </row>
    <row r="5559" x14ac:dyDescent="0.25">
      <c r="A5559" t="n">
        <v>25</v>
      </c>
      <c r="B5559" t="s">
        <v>14</v>
      </c>
      <c r="C5559" t="s">
        <v>22</v>
      </c>
      <c r="D5559" s="2" t="s">
        <f>=HYPERLINK("https://main.knesset.gov.il/APPS/legislation/main/bills/2200116", "הצעת חוק שירותי הדת היהודיים (תיקון - פיזור מועצה דתית בידי מועצת הרשות המקומית), התשפ""ג-2023")</f>
        <v>11183</v>
      </c>
      <c r="E5559" t="s">
        <v>11183</v>
      </c>
      <c r="F5559" t="s">
        <v>11184</v>
      </c>
      <c r="G5559" t="s">
        <v>14</v>
      </c>
      <c r="H5559">
             </c>
      <c r="I5559" t="s">
        <v>14</v>
      </c>
      <c r="J5559" t="s">
        <v>141</v>
      </c>
      <c r="K5559" t="s">
        <v>14</v>
      </c>
      <c r="L5559" t="s">
        <v>20</v>
      </c>
      <c r="M5559" t="s">
        <v>11137</v>
      </c>
      <c r="N5559" t="s">
        <v>14</v>
      </c>
    </row>
    <row r="5560" x14ac:dyDescent="0.25">
      <c r="A5560" t="n">
        <v>25</v>
      </c>
      <c r="B5560" t="s">
        <v>14</v>
      </c>
      <c r="C5560" t="s">
        <v>22</v>
      </c>
      <c r="D5560" s="2" t="s">
        <f>=HYPERLINK("https://main.knesset.gov.il/APPS/legislation/main/bills/2197125", "הצעת חוק חינוך מיוחד (תיקון - הרחבה לגבי מוסדות שאינם מוכרים), התשפ""ג-2023")</f>
        <v>11185</v>
      </c>
      <c r="E5560" t="s">
        <v>11185</v>
      </c>
      <c r="F5560" t="s">
        <v>11186</v>
      </c>
      <c r="G5560" t="s">
        <v>14</v>
      </c>
      <c r="H5560">
             </c>
      <c r="I5560" t="s">
        <v>14</v>
      </c>
      <c r="J5560" t="s">
        <v>141</v>
      </c>
      <c r="K5560" t="s">
        <v>14</v>
      </c>
      <c r="L5560" t="s">
        <v>20</v>
      </c>
      <c r="M5560" t="s">
        <v>11137</v>
      </c>
      <c r="N5560" t="s">
        <v>14</v>
      </c>
    </row>
    <row r="5561" x14ac:dyDescent="0.25">
      <c r="A5561" t="n">
        <v>25</v>
      </c>
      <c r="B5561" t="s">
        <v>14</v>
      </c>
      <c r="C5561" t="s">
        <v>22</v>
      </c>
      <c r="D5561" s="2" t="s">
        <f>=HYPERLINK("https://main.knesset.gov.il/APPS/legislation/main/bills/2198498", "הצעת חוק מפעל הזנה במוסדות חינוך על יסודיים לנוער בסיכון ולנוער נושר, התשפ''ג-2023")</f>
        <v>9486</v>
      </c>
      <c r="E5561" t="s">
        <v>9486</v>
      </c>
      <c r="F5561" t="s">
        <v>11187</v>
      </c>
      <c r="G5561" t="s">
        <v>14</v>
      </c>
      <c r="H5561">
             </c>
      <c r="I5561" t="s">
        <v>14</v>
      </c>
      <c r="J5561" t="s">
        <v>141</v>
      </c>
      <c r="K5561" t="s">
        <v>14</v>
      </c>
      <c r="L5561" t="s">
        <v>20</v>
      </c>
      <c r="M5561" t="s">
        <v>11137</v>
      </c>
      <c r="N5561" t="s">
        <v>14</v>
      </c>
    </row>
    <row r="5562" x14ac:dyDescent="0.25">
      <c r="A5562" t="n">
        <v>25</v>
      </c>
      <c r="B5562" t="s">
        <v>14</v>
      </c>
      <c r="C5562" t="s">
        <v>22</v>
      </c>
      <c r="D5562" s="2" t="s">
        <f>=HYPERLINK("https://main.knesset.gov.il/APPS/legislation/main/bills/2199949", "הצעת חוק האזרחים הוותיקים (תיקון - לחצן מצוקה לקשיש), התשפ""ג-2023")</f>
        <v>9698</v>
      </c>
      <c r="E5562" t="s">
        <v>9698</v>
      </c>
      <c r="F5562" t="s">
        <v>11188</v>
      </c>
      <c r="G5562" t="s">
        <v>14</v>
      </c>
      <c r="H5562">
             </c>
      <c r="I5562" t="s">
        <v>14</v>
      </c>
      <c r="J5562" t="s">
        <v>141</v>
      </c>
      <c r="K5562" t="s">
        <v>14</v>
      </c>
      <c r="L5562" t="s">
        <v>20</v>
      </c>
      <c r="M5562" t="s">
        <v>11137</v>
      </c>
      <c r="N5562" t="s">
        <v>14</v>
      </c>
    </row>
    <row r="5563" x14ac:dyDescent="0.25">
      <c r="A5563" t="n">
        <v>25</v>
      </c>
      <c r="B5563" t="s">
        <v>14</v>
      </c>
      <c r="C5563" t="s">
        <v>22</v>
      </c>
      <c r="D5563" s="2" t="s">
        <f>=HYPERLINK("https://main.knesset.gov.il/APPS/legislation/main/bills/2200066", "הצעת חוק הגנת השכר (תיקון - מתכונת אחידה לפנקס שכר ותלוש שכר), התשפ""ג-2023")</f>
        <v>11189</v>
      </c>
      <c r="E5563" t="s">
        <v>11189</v>
      </c>
      <c r="F5563" t="s">
        <v>11190</v>
      </c>
      <c r="G5563" t="s">
        <v>14</v>
      </c>
      <c r="H5563">
             </c>
      <c r="I5563" t="s">
        <v>14</v>
      </c>
      <c r="J5563" t="s">
        <v>141</v>
      </c>
      <c r="K5563" t="s">
        <v>14</v>
      </c>
      <c r="L5563" t="s">
        <v>20</v>
      </c>
      <c r="M5563" t="s">
        <v>11137</v>
      </c>
      <c r="N5563" t="s">
        <v>14</v>
      </c>
    </row>
    <row r="5564" x14ac:dyDescent="0.25">
      <c r="A5564" t="n">
        <v>25</v>
      </c>
      <c r="B5564" t="s">
        <v>14</v>
      </c>
      <c r="C5564" t="s">
        <v>22</v>
      </c>
      <c r="D5564" s="2" t="s">
        <f>=HYPERLINK("https://main.knesset.gov.il/APPS/legislation/main/bills/2200022", "הצעת חוק עבודת נשים (תיקון - שעות היעדרות מעבודה לאישה בהריון בר-סיכון), התשפ""ג-2023")</f>
        <v>9806</v>
      </c>
      <c r="E5564" t="s">
        <v>9806</v>
      </c>
      <c r="F5564" t="s">
        <v>11191</v>
      </c>
      <c r="G5564" t="s">
        <v>14</v>
      </c>
      <c r="H5564">
             </c>
      <c r="I5564" t="s">
        <v>14</v>
      </c>
      <c r="J5564" t="s">
        <v>141</v>
      </c>
      <c r="K5564" t="s">
        <v>14</v>
      </c>
      <c r="L5564" t="s">
        <v>20</v>
      </c>
      <c r="M5564" t="s">
        <v>11137</v>
      </c>
      <c r="N5564" t="s">
        <v>14</v>
      </c>
    </row>
    <row r="5565" x14ac:dyDescent="0.25">
      <c r="A5565" t="n">
        <v>25</v>
      </c>
      <c r="B5565" t="s">
        <v>14</v>
      </c>
      <c r="C5565" t="s">
        <v>22</v>
      </c>
      <c r="D5565" s="2" t="s">
        <f>=HYPERLINK("https://main.knesset.gov.il/APPS/legislation/main/bills/2200293", "הצעת חוק שימוש חוזר במים אפורים, התשפ""ג-2023")</f>
        <v>11192</v>
      </c>
      <c r="E5565" t="s">
        <v>11192</v>
      </c>
      <c r="F5565" t="s">
        <v>11193</v>
      </c>
      <c r="G5565" t="s">
        <v>14</v>
      </c>
      <c r="H5565">
             </c>
      <c r="I5565" t="s">
        <v>14</v>
      </c>
      <c r="J5565" t="s">
        <v>141</v>
      </c>
      <c r="K5565" t="s">
        <v>14</v>
      </c>
      <c r="L5565" t="s">
        <v>20</v>
      </c>
      <c r="M5565" t="s">
        <v>11137</v>
      </c>
      <c r="N5565" t="s">
        <v>14</v>
      </c>
    </row>
    <row r="5566" x14ac:dyDescent="0.25">
      <c r="A5566" t="n">
        <v>25</v>
      </c>
      <c r="B5566" t="s">
        <v>14</v>
      </c>
      <c r="C5566" t="s">
        <v>22</v>
      </c>
      <c r="D5566" s="2" t="s">
        <f>=HYPERLINK("https://main.knesset.gov.il/APPS/legislation/main/bills/2200271", "הצעת חוק חינוך ממלכתי (תיקון - חובת לימוד עברית וערבית במוסדות חינוך תיכוניים), התשפ""ג-2023")</f>
        <v>10102</v>
      </c>
      <c r="E5566" t="s">
        <v>10102</v>
      </c>
      <c r="F5566" t="s">
        <v>11194</v>
      </c>
      <c r="G5566" t="s">
        <v>14</v>
      </c>
      <c r="H5566">
             </c>
      <c r="I5566" t="s">
        <v>14</v>
      </c>
      <c r="J5566" t="s">
        <v>141</v>
      </c>
      <c r="K5566" t="s">
        <v>14</v>
      </c>
      <c r="L5566" t="s">
        <v>20</v>
      </c>
      <c r="M5566" t="s">
        <v>11137</v>
      </c>
      <c r="N5566" t="s">
        <v>14</v>
      </c>
    </row>
    <row r="5567" x14ac:dyDescent="0.25">
      <c r="A5567" t="n">
        <v>25</v>
      </c>
      <c r="B5567" t="s">
        <v>14</v>
      </c>
      <c r="C5567" t="s">
        <v>22</v>
      </c>
      <c r="D5567" s="2" t="s">
        <f>=HYPERLINK("https://main.knesset.gov.il/APPS/legislation/main/bills/2199966", "הצעת חוק החזקת תכשיר אפינפרין במוסדות חינוך ובמקומות ציבוריים (תיקון - החזקת תכשיר אפינפרין בבית אוכל), התשפ""ג-2023")</f>
        <v>11195</v>
      </c>
      <c r="E5567" t="s">
        <v>11195</v>
      </c>
      <c r="F5567" t="s">
        <v>11196</v>
      </c>
      <c r="G5567" t="s">
        <v>14</v>
      </c>
      <c r="H5567">
             </c>
      <c r="I5567" t="s">
        <v>14</v>
      </c>
      <c r="J5567" t="s">
        <v>141</v>
      </c>
      <c r="K5567" t="s">
        <v>14</v>
      </c>
      <c r="L5567" t="s">
        <v>20</v>
      </c>
      <c r="M5567" t="s">
        <v>11137</v>
      </c>
      <c r="N5567" t="s">
        <v>14</v>
      </c>
    </row>
    <row r="5568" x14ac:dyDescent="0.25">
      <c r="A5568" t="n">
        <v>25</v>
      </c>
      <c r="B5568" t="s">
        <v>14</v>
      </c>
      <c r="C5568" t="s">
        <v>22</v>
      </c>
      <c r="D5568" s="2" t="s">
        <f>=HYPERLINK("https://main.knesset.gov.il/APPS/legislation/main/bills/2200225", "הצעת חוק הרבנות הראשית לישראל (תיקון - סייג לבחירה או למינוי לתפקיד רב ראשי לישראל או לחבר מועצה), התשפ""ג-2023")</f>
        <v>11197</v>
      </c>
      <c r="E5568" t="s">
        <v>11197</v>
      </c>
      <c r="F5568" t="s">
        <v>11198</v>
      </c>
      <c r="G5568" t="s">
        <v>14</v>
      </c>
      <c r="H5568">
             </c>
      <c r="I5568" t="s">
        <v>14</v>
      </c>
      <c r="J5568" t="s">
        <v>141</v>
      </c>
      <c r="K5568" t="s">
        <v>14</v>
      </c>
      <c r="L5568" t="s">
        <v>20</v>
      </c>
      <c r="M5568" t="s">
        <v>11137</v>
      </c>
      <c r="N5568" t="s">
        <v>14</v>
      </c>
    </row>
    <row r="5569" x14ac:dyDescent="0.25">
      <c r="A5569" t="n">
        <v>25</v>
      </c>
      <c r="B5569" t="s">
        <v>14</v>
      </c>
      <c r="C5569" t="s">
        <v>22</v>
      </c>
      <c r="D5569" s="2" t="s">
        <f>=HYPERLINK("https://main.knesset.gov.il/APPS/legislation/main/bills/2199839", "הצעת חוק הגנת הצרכן (תיקון - מגבלות על חיוב חשבון של צרכן בתשלומים), התשפ""ג-2023")</f>
        <v>11199</v>
      </c>
      <c r="E5569" t="s">
        <v>11199</v>
      </c>
      <c r="F5569" t="s">
        <v>11200</v>
      </c>
      <c r="G5569" t="s">
        <v>14</v>
      </c>
      <c r="H5569">
             </c>
      <c r="I5569" t="s">
        <v>14</v>
      </c>
      <c r="J5569" t="s">
        <v>141</v>
      </c>
      <c r="K5569" t="s">
        <v>14</v>
      </c>
      <c r="L5569" t="s">
        <v>20</v>
      </c>
      <c r="M5569" t="s">
        <v>11137</v>
      </c>
      <c r="N5569" t="s">
        <v>14</v>
      </c>
    </row>
    <row r="5570" x14ac:dyDescent="0.25">
      <c r="A5570" t="n">
        <v>25</v>
      </c>
      <c r="B5570" t="s">
        <v>14</v>
      </c>
      <c r="C5570" t="s">
        <v>22</v>
      </c>
      <c r="D5570" s="2" t="s">
        <f>=HYPERLINK("https://main.knesset.gov.il/APPS/legislation/main/bills/2199821", "הצעת חוק הביטוח הלאומי (תיקון - השוואת קצבת אזרח ותיק לשכר המינימום), התשפ""ג-2023")</f>
        <v>10203</v>
      </c>
      <c r="E5570" t="s">
        <v>10203</v>
      </c>
      <c r="F5570" t="s">
        <v>11201</v>
      </c>
      <c r="G5570" t="s">
        <v>14</v>
      </c>
      <c r="H5570">
             </c>
      <c r="I5570" t="s">
        <v>14</v>
      </c>
      <c r="J5570" t="s">
        <v>141</v>
      </c>
      <c r="K5570" t="s">
        <v>14</v>
      </c>
      <c r="L5570" t="s">
        <v>20</v>
      </c>
      <c r="M5570" t="s">
        <v>11137</v>
      </c>
      <c r="N5570" t="s">
        <v>14</v>
      </c>
    </row>
    <row r="5571" x14ac:dyDescent="0.25">
      <c r="A5571" t="n">
        <v>25</v>
      </c>
      <c r="B5571" t="s">
        <v>14</v>
      </c>
      <c r="C5571" t="s">
        <v>22</v>
      </c>
      <c r="D5571" s="2" t="s">
        <f>=HYPERLINK("https://main.knesset.gov.il/APPS/legislation/main/bills/2199824", "הצעת חוק דיני העבודה (תיקוני חקיקה), התשפ""ג-2023")</f>
        <v>9457</v>
      </c>
      <c r="E5571" t="s">
        <v>9457</v>
      </c>
      <c r="F5571" t="s">
        <v>11202</v>
      </c>
      <c r="G5571" t="s">
        <v>14</v>
      </c>
      <c r="H5571">
             </c>
      <c r="I5571" t="s">
        <v>14</v>
      </c>
      <c r="J5571" t="s">
        <v>141</v>
      </c>
      <c r="K5571" t="s">
        <v>14</v>
      </c>
      <c r="L5571" t="s">
        <v>20</v>
      </c>
      <c r="M5571" t="s">
        <v>11137</v>
      </c>
      <c r="N5571" t="s">
        <v>14</v>
      </c>
    </row>
    <row r="5572" x14ac:dyDescent="0.25">
      <c r="A5572" t="n">
        <v>25</v>
      </c>
      <c r="B5572" t="s">
        <v>14</v>
      </c>
      <c r="C5572" t="s">
        <v>22</v>
      </c>
      <c r="D5572" s="2" t="s">
        <f>=HYPERLINK("https://main.knesset.gov.il/APPS/legislation/main/bills/2199517", "הצעת חוק ביטוח בריאות ממלכתי (תיקון - מחלה יתומה), התשפ""ג-2023")</f>
        <v>11203</v>
      </c>
      <c r="E5572" t="s">
        <v>11203</v>
      </c>
      <c r="F5572" t="s">
        <v>11204</v>
      </c>
      <c r="G5572" t="s">
        <v>14</v>
      </c>
      <c r="H5572">
             </c>
      <c r="I5572" t="s">
        <v>14</v>
      </c>
      <c r="J5572" t="s">
        <v>141</v>
      </c>
      <c r="K5572" t="s">
        <v>14</v>
      </c>
      <c r="L5572" t="s">
        <v>20</v>
      </c>
      <c r="M5572" t="s">
        <v>11137</v>
      </c>
      <c r="N5572" t="s">
        <v>14</v>
      </c>
    </row>
    <row r="5573" x14ac:dyDescent="0.25">
      <c r="A5573" t="n">
        <v>25</v>
      </c>
      <c r="B5573" t="s">
        <v>14</v>
      </c>
      <c r="C5573" t="s">
        <v>22</v>
      </c>
      <c r="D5573" s="2" t="s">
        <f>=HYPERLINK("https://main.knesset.gov.il/APPS/legislation/main/bills/2200229", "הצעת חוק-יסוד: השפיטה (תיקון - משפט חוזר אזרחי)")</f>
        <v>11205</v>
      </c>
      <c r="E5573" t="s">
        <v>11205</v>
      </c>
      <c r="F5573" t="s">
        <v>11206</v>
      </c>
      <c r="G5573" t="s">
        <v>14</v>
      </c>
      <c r="H5573">
             </c>
      <c r="I5573" t="s">
        <v>14</v>
      </c>
      <c r="J5573" t="s">
        <v>141</v>
      </c>
      <c r="K5573" t="s">
        <v>14</v>
      </c>
      <c r="L5573" t="s">
        <v>20</v>
      </c>
      <c r="M5573" t="s">
        <v>11137</v>
      </c>
      <c r="N5573" t="s">
        <v>14</v>
      </c>
    </row>
    <row r="5574" x14ac:dyDescent="0.25">
      <c r="A5574" t="n">
        <v>25</v>
      </c>
      <c r="B5574" t="s">
        <v>14</v>
      </c>
      <c r="C5574" t="s">
        <v>22</v>
      </c>
      <c r="D5574" s="2" t="s">
        <f>=HYPERLINK("https://main.knesset.gov.il/APPS/legislation/main/bills/2200172", "הצעת חוק החזר הוצאות כספיות בגין עריכת נישואין אזרחיים בחוץ לארץ למי שאינם רשאים להינשא על פי הדין הדתי, התשפ""ג-2023")</f>
        <v>11207</v>
      </c>
      <c r="E5574" t="s">
        <v>11207</v>
      </c>
      <c r="F5574" t="s">
        <v>11208</v>
      </c>
      <c r="G5574" t="s">
        <v>14</v>
      </c>
      <c r="H5574">
             </c>
      <c r="I5574" t="s">
        <v>14</v>
      </c>
      <c r="J5574" t="s">
        <v>141</v>
      </c>
      <c r="K5574" t="s">
        <v>14</v>
      </c>
      <c r="L5574" t="s">
        <v>20</v>
      </c>
      <c r="M5574" t="s">
        <v>11137</v>
      </c>
      <c r="N5574" t="s">
        <v>14</v>
      </c>
    </row>
    <row r="5575" x14ac:dyDescent="0.25">
      <c r="A5575" t="n">
        <v>25</v>
      </c>
      <c r="B5575" t="s">
        <v>14</v>
      </c>
      <c r="C5575" t="s">
        <v>22</v>
      </c>
      <c r="D5575" s="2" t="s">
        <f>=HYPERLINK("https://main.knesset.gov.il/APPS/legislation/main/bills/2200288", "הצעת חוק סדר הדין הפלילי (חקירת חשודים) (תיקון - יידוע זכויות חשודים), התשפ""ג-2023")</f>
        <v>11209</v>
      </c>
      <c r="E5575" t="s">
        <v>11209</v>
      </c>
      <c r="F5575" t="s">
        <v>11210</v>
      </c>
      <c r="G5575" t="s">
        <v>14</v>
      </c>
      <c r="H5575">
             </c>
      <c r="I5575" t="s">
        <v>14</v>
      </c>
      <c r="J5575" t="s">
        <v>141</v>
      </c>
      <c r="K5575" t="s">
        <v>14</v>
      </c>
      <c r="L5575" t="s">
        <v>20</v>
      </c>
      <c r="M5575" t="s">
        <v>11137</v>
      </c>
      <c r="N5575" t="s">
        <v>14</v>
      </c>
    </row>
    <row r="5576" x14ac:dyDescent="0.25">
      <c r="A5576" t="n">
        <v>25</v>
      </c>
      <c r="B5576" t="s">
        <v>14</v>
      </c>
      <c r="C5576" t="s">
        <v>22</v>
      </c>
      <c r="D5576" s="2" t="s">
        <f>=HYPERLINK("https://main.knesset.gov.il/APPS/legislation/main/bills/2199272", "הצעת חוק שוויון זכויות לאנשים עם מוגבלות (תיקון - הרחבת הזכאות למתן שירות בלא המתנה בתור), התשפ""ג-2023")</f>
        <v>11211</v>
      </c>
      <c r="E5576" t="s">
        <v>11211</v>
      </c>
      <c r="F5576" t="s">
        <v>11212</v>
      </c>
      <c r="G5576" t="s">
        <v>14</v>
      </c>
      <c r="H5576">
             </c>
      <c r="I5576" t="s">
        <v>14</v>
      </c>
      <c r="J5576" t="s">
        <v>141</v>
      </c>
      <c r="K5576" t="s">
        <v>14</v>
      </c>
      <c r="L5576" t="s">
        <v>20</v>
      </c>
      <c r="M5576" t="s">
        <v>11137</v>
      </c>
      <c r="N5576" t="s">
        <v>14</v>
      </c>
    </row>
    <row r="5577" x14ac:dyDescent="0.25">
      <c r="A5577" t="n">
        <v>25</v>
      </c>
      <c r="B5577" t="s">
        <v>14</v>
      </c>
      <c r="C5577" t="s">
        <v>22</v>
      </c>
      <c r="D5577" s="2" t="s">
        <f>=HYPERLINK("https://main.knesset.gov.il/APPS/legislation/main/bills/2200283", "הצעת חוק מניעת עבירות מין בקטינים (תיקוני חקיקה), התשפ""ג-2023")</f>
        <v>11213</v>
      </c>
      <c r="E5577" t="s">
        <v>11213</v>
      </c>
      <c r="F5577" t="s">
        <v>11214</v>
      </c>
      <c r="G5577" t="s">
        <v>14</v>
      </c>
      <c r="H5577">
             </c>
      <c r="I5577" t="s">
        <v>14</v>
      </c>
      <c r="J5577" t="s">
        <v>141</v>
      </c>
      <c r="K5577" t="s">
        <v>14</v>
      </c>
      <c r="L5577" t="s">
        <v>20</v>
      </c>
      <c r="M5577" t="s">
        <v>11137</v>
      </c>
      <c r="N5577" t="s">
        <v>14</v>
      </c>
    </row>
    <row r="5578" x14ac:dyDescent="0.25">
      <c r="A5578" t="n">
        <v>25</v>
      </c>
      <c r="B5578" t="s">
        <v>14</v>
      </c>
      <c r="C5578" t="s">
        <v>22</v>
      </c>
      <c r="D5578" s="2" t="s">
        <f>=HYPERLINK("https://main.knesset.gov.il/APPS/legislation/main/bills/2199433", "הצעת חוק הביטוח הלאומי (תיקון - דמי אבטלה למתמחים), התשפ""ג-2023")</f>
        <v>9810</v>
      </c>
      <c r="E5578" t="s">
        <v>9810</v>
      </c>
      <c r="F5578" t="s">
        <v>11215</v>
      </c>
      <c r="G5578" t="s">
        <v>14</v>
      </c>
      <c r="H5578">
             </c>
      <c r="I5578" t="s">
        <v>14</v>
      </c>
      <c r="J5578" t="s">
        <v>141</v>
      </c>
      <c r="K5578" t="s">
        <v>14</v>
      </c>
      <c r="L5578" t="s">
        <v>20</v>
      </c>
      <c r="M5578" t="s">
        <v>11137</v>
      </c>
      <c r="N5578" t="s">
        <v>14</v>
      </c>
    </row>
    <row r="5579" x14ac:dyDescent="0.25">
      <c r="A5579" t="n">
        <v>25</v>
      </c>
      <c r="B5579" t="s">
        <v>14</v>
      </c>
      <c r="C5579" t="s">
        <v>22</v>
      </c>
      <c r="D5579" s="2" t="s">
        <f>=HYPERLINK("https://main.knesset.gov.il/APPS/legislation/main/bills/2199217", "הצעת חוק הביטוח הלאומי (תיקון - דמי אבטלה למתמחים), התשפ""ג-2023")</f>
        <v>9810</v>
      </c>
      <c r="E5579" t="s">
        <v>9810</v>
      </c>
      <c r="F5579" t="s">
        <v>11216</v>
      </c>
      <c r="G5579" t="s">
        <v>14</v>
      </c>
      <c r="H5579">
             </c>
      <c r="I5579" t="s">
        <v>14</v>
      </c>
      <c r="J5579" t="s">
        <v>141</v>
      </c>
      <c r="K5579" t="s">
        <v>14</v>
      </c>
      <c r="L5579" t="s">
        <v>20</v>
      </c>
      <c r="M5579" t="s">
        <v>11137</v>
      </c>
      <c r="N5579" t="s">
        <v>14</v>
      </c>
    </row>
    <row r="5580" x14ac:dyDescent="0.25">
      <c r="A5580" t="n">
        <v>25</v>
      </c>
      <c r="B5580" t="s">
        <v>14</v>
      </c>
      <c r="C5580" t="s">
        <v>22</v>
      </c>
      <c r="D5580" s="2" t="s">
        <f>=HYPERLINK("https://main.knesset.gov.il/APPS/legislation/main/bills/2200213", "הצעת חוק הבנקאות (שירות ללקוח) (תיקון - מרווח שיעורי הריבית), התשפ""ג-2023")</f>
        <v>11217</v>
      </c>
      <c r="E5580" t="s">
        <v>11217</v>
      </c>
      <c r="F5580" t="s">
        <v>11218</v>
      </c>
      <c r="G5580" t="s">
        <v>14</v>
      </c>
      <c r="H5580">
             </c>
      <c r="I5580" t="s">
        <v>14</v>
      </c>
      <c r="J5580" t="s">
        <v>141</v>
      </c>
      <c r="K5580" t="s">
        <v>14</v>
      </c>
      <c r="L5580" t="s">
        <v>20</v>
      </c>
      <c r="M5580" t="s">
        <v>11137</v>
      </c>
      <c r="N5580" t="s">
        <v>14</v>
      </c>
    </row>
    <row r="5581" x14ac:dyDescent="0.25">
      <c r="A5581" t="n">
        <v>25</v>
      </c>
      <c r="B5581" t="s">
        <v>14</v>
      </c>
      <c r="C5581" t="s">
        <v>22</v>
      </c>
      <c r="D5581" s="2" t="s">
        <f>=HYPERLINK("https://main.knesset.gov.il/APPS/legislation/main/bills/2197971", "הצעת חוק הבנקאות (שירות ללקוח) (תיקון - ריבית על כספי פיקדונות), התשפ""ג-2023")</f>
        <v>9562</v>
      </c>
      <c r="E5581" t="s">
        <v>9562</v>
      </c>
      <c r="F5581" t="s">
        <v>11219</v>
      </c>
      <c r="G5581" t="s">
        <v>14</v>
      </c>
      <c r="H5581">
             </c>
      <c r="I5581" t="s">
        <v>14</v>
      </c>
      <c r="J5581" t="s">
        <v>141</v>
      </c>
      <c r="K5581" t="s">
        <v>14</v>
      </c>
      <c r="L5581" t="s">
        <v>20</v>
      </c>
      <c r="M5581" t="s">
        <v>11137</v>
      </c>
      <c r="N5581" t="s">
        <v>14</v>
      </c>
    </row>
    <row r="5582" x14ac:dyDescent="0.25">
      <c r="A5582" t="n">
        <v>25</v>
      </c>
      <c r="B5582" t="s">
        <v>14</v>
      </c>
      <c r="C5582" t="s">
        <v>22</v>
      </c>
      <c r="D5582" s="2" t="s">
        <f>=HYPERLINK("https://main.knesset.gov.il/APPS/legislation/main/bills/2200158", "הצעת חוק הסניגוריה הציבורית (תיקון - פיקוח על החזקה בבידוד או על החזקה באיפול תקשורתי), התשפ""ג-2023")</f>
        <v>11220</v>
      </c>
      <c r="E5582" t="s">
        <v>11220</v>
      </c>
      <c r="F5582" t="s">
        <v>11221</v>
      </c>
      <c r="G5582" t="s">
        <v>14</v>
      </c>
      <c r="H5582">
             </c>
      <c r="I5582" t="s">
        <v>14</v>
      </c>
      <c r="J5582" t="s">
        <v>141</v>
      </c>
      <c r="K5582" t="s">
        <v>14</v>
      </c>
      <c r="L5582" t="s">
        <v>20</v>
      </c>
      <c r="M5582" t="s">
        <v>11137</v>
      </c>
      <c r="N5582" t="s">
        <v>14</v>
      </c>
    </row>
    <row r="5583" x14ac:dyDescent="0.25">
      <c r="A5583" t="n">
        <v>25</v>
      </c>
      <c r="B5583" t="s">
        <v>14</v>
      </c>
      <c r="C5583" t="s">
        <v>22</v>
      </c>
      <c r="D5583" s="2" t="s">
        <f>=HYPERLINK("https://main.knesset.gov.il/APPS/legislation/main/bills/2199873", "הצעת חוק מגן דוד אדום (תיקון - הענקת שירותי רפואה מרחוק), התשפ""ג-2023")</f>
        <v>9870</v>
      </c>
      <c r="E5583" t="s">
        <v>9870</v>
      </c>
      <c r="F5583" t="s">
        <v>11222</v>
      </c>
      <c r="G5583" t="s">
        <v>14</v>
      </c>
      <c r="H5583">
             </c>
      <c r="I5583" t="s">
        <v>14</v>
      </c>
      <c r="J5583" t="s">
        <v>141</v>
      </c>
      <c r="K5583" t="s">
        <v>14</v>
      </c>
      <c r="L5583" t="s">
        <v>20</v>
      </c>
      <c r="M5583" t="s">
        <v>11137</v>
      </c>
      <c r="N5583" t="s">
        <v>14</v>
      </c>
    </row>
    <row r="5584" x14ac:dyDescent="0.25">
      <c r="A5584" t="n">
        <v>25</v>
      </c>
      <c r="B5584" t="s">
        <v>14</v>
      </c>
      <c r="C5584" t="s">
        <v>22</v>
      </c>
      <c r="D5584" s="2" t="s">
        <f>=HYPERLINK("https://main.knesset.gov.il/APPS/legislation/main/bills/2200274", "הצעת חוק שוויון ההזדמנויות בעבודה (תיקון - איסור הפליה מחמת מצב כלכלי), התשפ""ג-2023")</f>
        <v>11223</v>
      </c>
      <c r="E5584" t="s">
        <v>11223</v>
      </c>
      <c r="F5584" t="s">
        <v>11224</v>
      </c>
      <c r="G5584" t="s">
        <v>14</v>
      </c>
      <c r="H5584">
             </c>
      <c r="I5584" t="s">
        <v>14</v>
      </c>
      <c r="J5584" t="s">
        <v>141</v>
      </c>
      <c r="K5584" t="s">
        <v>14</v>
      </c>
      <c r="L5584" t="s">
        <v>20</v>
      </c>
      <c r="M5584" t="s">
        <v>11137</v>
      </c>
      <c r="N5584" t="s">
        <v>14</v>
      </c>
    </row>
    <row r="5585" x14ac:dyDescent="0.25">
      <c r="A5585" t="n">
        <v>25</v>
      </c>
      <c r="B5585" t="s">
        <v>14</v>
      </c>
      <c r="C5585" t="s">
        <v>22</v>
      </c>
      <c r="D5585" s="2" t="s">
        <f>=HYPERLINK("https://main.knesset.gov.il/APPS/legislation/main/bills/2200280", "הצעת חוק למניעת עיגון מנישואין, התשפ""ג-2023")</f>
        <v>11225</v>
      </c>
      <c r="E5585" t="s">
        <v>11225</v>
      </c>
      <c r="F5585" t="s">
        <v>11226</v>
      </c>
      <c r="G5585" t="s">
        <v>14</v>
      </c>
      <c r="H5585">
             </c>
      <c r="I5585" t="s">
        <v>14</v>
      </c>
      <c r="J5585" t="s">
        <v>141</v>
      </c>
      <c r="K5585" t="s">
        <v>14</v>
      </c>
      <c r="L5585" t="s">
        <v>20</v>
      </c>
      <c r="M5585" t="s">
        <v>11137</v>
      </c>
      <c r="N5585" t="s">
        <v>14</v>
      </c>
    </row>
    <row r="5586" x14ac:dyDescent="0.25">
      <c r="A5586" t="n">
        <v>25</v>
      </c>
      <c r="B5586" t="s">
        <v>14</v>
      </c>
      <c r="C5586" t="s">
        <v>22</v>
      </c>
      <c r="D5586" s="2" t="s">
        <f>=HYPERLINK("https://main.knesset.gov.il/APPS/legislation/main/bills/2200230", "הצעת חוק-יסוד: נשיא המדינה (תיקון - איסור מועמדות וכהונה לנאשם או מורשע בפלילים)")</f>
        <v>11227</v>
      </c>
      <c r="E5586" t="s">
        <v>11227</v>
      </c>
      <c r="F5586" t="s">
        <v>11228</v>
      </c>
      <c r="G5586" t="s">
        <v>14</v>
      </c>
      <c r="H5586">
             </c>
      <c r="I5586" t="s">
        <v>14</v>
      </c>
      <c r="J5586" t="s">
        <v>141</v>
      </c>
      <c r="K5586" t="s">
        <v>14</v>
      </c>
      <c r="L5586" t="s">
        <v>20</v>
      </c>
      <c r="M5586" t="s">
        <v>11137</v>
      </c>
      <c r="N5586" t="s">
        <v>14</v>
      </c>
    </row>
    <row r="5587" x14ac:dyDescent="0.25">
      <c r="A5587" t="n">
        <v>25</v>
      </c>
      <c r="B5587" t="s">
        <v>14</v>
      </c>
      <c r="C5587" t="s">
        <v>22</v>
      </c>
      <c r="D5587" s="2" t="s">
        <f>=HYPERLINK("https://main.knesset.gov.il/APPS/legislation/main/bills/2200190", "הצעת חוק זכויות הדייר בדיור הציבורי (תיקון - סיוע ריאלי בשכר דירה), התשפ""ג-2023")</f>
        <v>9258</v>
      </c>
      <c r="E5587" t="s">
        <v>9258</v>
      </c>
      <c r="F5587" t="s">
        <v>11229</v>
      </c>
      <c r="G5587" t="s">
        <v>14</v>
      </c>
      <c r="H5587">
             </c>
      <c r="I5587" t="s">
        <v>14</v>
      </c>
      <c r="J5587" t="s">
        <v>141</v>
      </c>
      <c r="K5587" t="s">
        <v>14</v>
      </c>
      <c r="L5587" t="s">
        <v>20</v>
      </c>
      <c r="M5587" t="s">
        <v>11137</v>
      </c>
      <c r="N5587" t="s">
        <v>14</v>
      </c>
    </row>
    <row r="5588" x14ac:dyDescent="0.25">
      <c r="A5588" t="n">
        <v>25</v>
      </c>
      <c r="B5588" t="s">
        <v>14</v>
      </c>
      <c r="C5588" t="s">
        <v>22</v>
      </c>
      <c r="D5588" s="2" t="s">
        <f>=HYPERLINK("https://main.knesset.gov.il/APPS/legislation/main/bills/2200134", "הצעת חוק ההוצאה לפועל (תיקון - שכר עורך דין), התשפ""ג-2023")</f>
        <v>11230</v>
      </c>
      <c r="E5588" t="s">
        <v>11230</v>
      </c>
      <c r="F5588" t="s">
        <v>11231</v>
      </c>
      <c r="G5588" t="s">
        <v>14</v>
      </c>
      <c r="H5588">
             </c>
      <c r="I5588" t="s">
        <v>14</v>
      </c>
      <c r="J5588" t="s">
        <v>141</v>
      </c>
      <c r="K5588" t="s">
        <v>14</v>
      </c>
      <c r="L5588" t="s">
        <v>20</v>
      </c>
      <c r="M5588" t="s">
        <v>11137</v>
      </c>
      <c r="N5588" t="s">
        <v>14</v>
      </c>
    </row>
    <row r="5589" x14ac:dyDescent="0.25">
      <c r="A5589" t="n">
        <v>25</v>
      </c>
      <c r="B5589" t="s">
        <v>14</v>
      </c>
      <c r="C5589" t="s">
        <v>22</v>
      </c>
      <c r="D5589" s="2" t="s">
        <f>=HYPERLINK("https://main.knesset.gov.il/APPS/legislation/main/bills/2200252", "הצעת חוק לתיקון פקודת התעבורה (חניה במקום ציבורי למשתמשים בעגלת ילדים), התשפ""ג-2023")</f>
        <v>11232</v>
      </c>
      <c r="E5589" t="s">
        <v>11232</v>
      </c>
      <c r="F5589" t="s">
        <v>11233</v>
      </c>
      <c r="G5589" t="s">
        <v>14</v>
      </c>
      <c r="H5589">
             </c>
      <c r="I5589" t="s">
        <v>14</v>
      </c>
      <c r="J5589" t="s">
        <v>141</v>
      </c>
      <c r="K5589" t="s">
        <v>14</v>
      </c>
      <c r="L5589" t="s">
        <v>20</v>
      </c>
      <c r="M5589" t="s">
        <v>11137</v>
      </c>
      <c r="N5589" t="s">
        <v>14</v>
      </c>
    </row>
    <row r="5590" x14ac:dyDescent="0.25">
      <c r="A5590" t="n">
        <v>25</v>
      </c>
      <c r="B5590" t="s">
        <v>14</v>
      </c>
      <c r="C5590" t="s">
        <v>22</v>
      </c>
      <c r="D5590" s="2" t="s">
        <f>=HYPERLINK("https://main.knesset.gov.il/APPS/legislation/main/bills/2199938", "הצעת חוק הביטוח הלאומי (תיקון - דמי מחלה לעובד עצמאי), התשפ""ג-2023")</f>
        <v>9354</v>
      </c>
      <c r="E5590" t="s">
        <v>9354</v>
      </c>
      <c r="F5590" t="s">
        <v>11234</v>
      </c>
      <c r="G5590" t="s">
        <v>14</v>
      </c>
      <c r="H5590">
             </c>
      <c r="I5590" t="s">
        <v>14</v>
      </c>
      <c r="J5590" t="s">
        <v>141</v>
      </c>
      <c r="K5590" t="s">
        <v>14</v>
      </c>
      <c r="L5590" t="s">
        <v>20</v>
      </c>
      <c r="M5590" t="s">
        <v>11137</v>
      </c>
      <c r="N5590" t="s">
        <v>14</v>
      </c>
    </row>
    <row r="5591" x14ac:dyDescent="0.25">
      <c r="A5591" t="n">
        <v>25</v>
      </c>
      <c r="B5591" t="s">
        <v>14</v>
      </c>
      <c r="C5591" t="s">
        <v>22</v>
      </c>
      <c r="D5591" s="2" t="s">
        <f>=HYPERLINK("https://main.knesset.gov.il/APPS/legislation/main/bills/2199542", "הצעת חוק עבודת נשים (תיקון - שעות היעדרות מעבודה לאישה בהריון בר-סיכון), התשפ""ג-2023")</f>
        <v>9806</v>
      </c>
      <c r="E5591" t="s">
        <v>9806</v>
      </c>
      <c r="F5591" t="s">
        <v>11235</v>
      </c>
      <c r="G5591" t="s">
        <v>14</v>
      </c>
      <c r="H5591">
             </c>
      <c r="I5591" t="s">
        <v>14</v>
      </c>
      <c r="J5591" t="s">
        <v>141</v>
      </c>
      <c r="K5591" t="s">
        <v>14</v>
      </c>
      <c r="L5591" t="s">
        <v>20</v>
      </c>
      <c r="M5591" t="s">
        <v>11137</v>
      </c>
      <c r="N5591" t="s">
        <v>14</v>
      </c>
    </row>
    <row r="5592" x14ac:dyDescent="0.25">
      <c r="A5592" t="n">
        <v>25</v>
      </c>
      <c r="B5592" t="s">
        <v>14</v>
      </c>
      <c r="C5592" t="s">
        <v>22</v>
      </c>
      <c r="D5592" s="2" t="s">
        <f>=HYPERLINK("https://main.knesset.gov.il/APPS/legislation/main/bills/2200224", "הצעת חוק למניעת אלימות כלכלית בין בני זוג ובני משפחה, התשפ""ג-2023")</f>
        <v>11236</v>
      </c>
      <c r="E5592" t="s">
        <v>11236</v>
      </c>
      <c r="F5592" t="s">
        <v>11237</v>
      </c>
      <c r="G5592" t="s">
        <v>14</v>
      </c>
      <c r="H5592">
             </c>
      <c r="I5592" t="s">
        <v>14</v>
      </c>
      <c r="J5592" t="s">
        <v>141</v>
      </c>
      <c r="K5592" t="s">
        <v>14</v>
      </c>
      <c r="L5592" t="s">
        <v>20</v>
      </c>
      <c r="M5592" t="s">
        <v>11137</v>
      </c>
      <c r="N5592" t="s">
        <v>14</v>
      </c>
    </row>
    <row r="5593" x14ac:dyDescent="0.25">
      <c r="A5593" t="n">
        <v>25</v>
      </c>
      <c r="B5593" t="s">
        <v>14</v>
      </c>
      <c r="C5593" t="s">
        <v>22</v>
      </c>
      <c r="D5593" s="2" t="s">
        <f>=HYPERLINK("https://main.knesset.gov.il/APPS/legislation/main/bills/2200268", "הצעת חוק העונשין (תיקון - החריגים לעבירת ריבוי נישואין), התשפ""ג-2023")</f>
        <v>11238</v>
      </c>
      <c r="E5593" t="s">
        <v>11238</v>
      </c>
      <c r="F5593" t="s">
        <v>11239</v>
      </c>
      <c r="G5593" t="s">
        <v>14</v>
      </c>
      <c r="H5593">
             </c>
      <c r="I5593" t="s">
        <v>14</v>
      </c>
      <c r="J5593" t="s">
        <v>141</v>
      </c>
      <c r="K5593" t="s">
        <v>14</v>
      </c>
      <c r="L5593" t="s">
        <v>20</v>
      </c>
      <c r="M5593" t="s">
        <v>11137</v>
      </c>
      <c r="N5593" t="s">
        <v>14</v>
      </c>
    </row>
    <row r="5594" x14ac:dyDescent="0.25">
      <c r="A5594" t="n">
        <v>25</v>
      </c>
      <c r="B5594" t="s">
        <v>14</v>
      </c>
      <c r="C5594" t="s">
        <v>22</v>
      </c>
      <c r="D5594" s="2" t="s">
        <f>=HYPERLINK("https://main.knesset.gov.il/APPS/legislation/main/bills/2200020", "הצעת חוק האזרחים הוותיקים (תיקון - חניה חינם לאזרח ותיק שמלאו לו 70 שנים), התשפ""ג-2023")</f>
        <v>11240</v>
      </c>
      <c r="E5594" t="s">
        <v>11240</v>
      </c>
      <c r="F5594" t="s">
        <v>11241</v>
      </c>
      <c r="G5594" t="s">
        <v>14</v>
      </c>
      <c r="H5594">
             </c>
      <c r="I5594" t="s">
        <v>14</v>
      </c>
      <c r="J5594" t="s">
        <v>141</v>
      </c>
      <c r="K5594" t="s">
        <v>14</v>
      </c>
      <c r="L5594" t="s">
        <v>20</v>
      </c>
      <c r="M5594" t="s">
        <v>11137</v>
      </c>
      <c r="N5594" t="s">
        <v>14</v>
      </c>
    </row>
    <row r="5595" x14ac:dyDescent="0.25">
      <c r="A5595" t="n">
        <v>25</v>
      </c>
      <c r="B5595" t="s">
        <v>14</v>
      </c>
      <c r="C5595" t="s">
        <v>22</v>
      </c>
      <c r="D5595" s="2" t="s">
        <f>=HYPERLINK("https://main.knesset.gov.il/APPS/legislation/main/bills/2199673", "הצעת חוק להקמת קרן למוצרי מזון בריא, התשפ''ג-2023")</f>
        <v>11242</v>
      </c>
      <c r="E5595" t="s">
        <v>11242</v>
      </c>
      <c r="F5595" t="s">
        <v>11243</v>
      </c>
      <c r="G5595" t="s">
        <v>14</v>
      </c>
      <c r="H5595">
             </c>
      <c r="I5595" t="s">
        <v>14</v>
      </c>
      <c r="J5595" t="s">
        <v>141</v>
      </c>
      <c r="K5595" t="s">
        <v>14</v>
      </c>
      <c r="L5595" t="s">
        <v>20</v>
      </c>
      <c r="M5595" t="s">
        <v>11137</v>
      </c>
      <c r="N5595" t="s">
        <v>14</v>
      </c>
    </row>
    <row r="5596" x14ac:dyDescent="0.25">
      <c r="A5596" t="n">
        <v>25</v>
      </c>
      <c r="B5596" t="s">
        <v>14</v>
      </c>
      <c r="C5596" t="s">
        <v>22</v>
      </c>
      <c r="D5596" s="2" t="s">
        <f>=HYPERLINK("https://main.knesset.gov.il/APPS/legislation/main/bills/2199898", "הצעת חוק רכזי ביטחון שוטף צבאיים, התשפ""ג-2023")</f>
        <v>10663</v>
      </c>
      <c r="E5596" t="s">
        <v>10663</v>
      </c>
      <c r="F5596" t="s">
        <v>11244</v>
      </c>
      <c r="G5596" t="s">
        <v>14</v>
      </c>
      <c r="H5596">
             </c>
      <c r="I5596" t="s">
        <v>14</v>
      </c>
      <c r="J5596" t="s">
        <v>141</v>
      </c>
      <c r="K5596" t="s">
        <v>14</v>
      </c>
      <c r="L5596" t="s">
        <v>20</v>
      </c>
      <c r="M5596" t="s">
        <v>11137</v>
      </c>
      <c r="N5596" t="s">
        <v>14</v>
      </c>
    </row>
    <row r="5597" x14ac:dyDescent="0.25">
      <c r="A5597" t="n">
        <v>25</v>
      </c>
      <c r="B5597" t="s">
        <v>14</v>
      </c>
      <c r="C5597" t="s">
        <v>22</v>
      </c>
      <c r="D5597" s="2" t="s">
        <f>=HYPERLINK("https://main.knesset.gov.il/APPS/legislation/main/bills/2199407", "הצעת חוק ביטוח בריאות ממלכתי (תיקון - צמצום פערים בין הפריפריה למרכז), התשפ""ג-2023")</f>
        <v>696</v>
      </c>
      <c r="E5597" t="s">
        <v>696</v>
      </c>
      <c r="F5597" t="s">
        <v>11245</v>
      </c>
      <c r="G5597" t="s">
        <v>14</v>
      </c>
      <c r="H5597">
             </c>
      <c r="I5597" t="s">
        <v>14</v>
      </c>
      <c r="J5597" t="s">
        <v>141</v>
      </c>
      <c r="K5597" t="s">
        <v>14</v>
      </c>
      <c r="L5597" t="s">
        <v>20</v>
      </c>
      <c r="M5597" t="s">
        <v>11137</v>
      </c>
      <c r="N5597" t="s">
        <v>14</v>
      </c>
    </row>
    <row r="5598" x14ac:dyDescent="0.25">
      <c r="A5598" t="n">
        <v>25</v>
      </c>
      <c r="B5598" t="s">
        <v>14</v>
      </c>
      <c r="C5598" t="s">
        <v>22</v>
      </c>
      <c r="D5598" s="2" t="s">
        <f>=HYPERLINK("https://main.knesset.gov.il/APPS/legislation/main/bills/2199941", "הצעת חוק שירות הציבור (הגבלות לאחר פרישה) (תיקון - תקופת צינון לנושאי משרה בכירה בשירות הציבור), התשפ""ג-2023")</f>
        <v>11246</v>
      </c>
      <c r="E5598" t="s">
        <v>11246</v>
      </c>
      <c r="F5598" t="s">
        <v>11247</v>
      </c>
      <c r="G5598" t="s">
        <v>14</v>
      </c>
      <c r="H5598">
             </c>
      <c r="I5598" t="s">
        <v>14</v>
      </c>
      <c r="J5598" t="s">
        <v>141</v>
      </c>
      <c r="K5598" t="s">
        <v>14</v>
      </c>
      <c r="L5598" t="s">
        <v>20</v>
      </c>
      <c r="M5598" t="s">
        <v>11137</v>
      </c>
      <c r="N5598" t="s">
        <v>14</v>
      </c>
    </row>
    <row r="5599" x14ac:dyDescent="0.25">
      <c r="A5599" t="n">
        <v>25</v>
      </c>
      <c r="B5599" t="s">
        <v>14</v>
      </c>
      <c r="C5599" t="s">
        <v>22</v>
      </c>
      <c r="D5599" s="2" t="s">
        <f>=HYPERLINK("https://main.knesset.gov.il/APPS/legislation/main/bills/2199962", "הצעת חוק הבנקאות (שירות ללקוח) (תיקון - קיצור משך זמן לביטול שעבוד), התשפ""ג-2023")</f>
        <v>11248</v>
      </c>
      <c r="E5599" t="s">
        <v>11248</v>
      </c>
      <c r="F5599" t="s">
        <v>11249</v>
      </c>
      <c r="G5599" t="s">
        <v>14</v>
      </c>
      <c r="H5599">
             </c>
      <c r="I5599" t="s">
        <v>14</v>
      </c>
      <c r="J5599" t="s">
        <v>141</v>
      </c>
      <c r="K5599" t="s">
        <v>14</v>
      </c>
      <c r="L5599" t="s">
        <v>20</v>
      </c>
      <c r="M5599" t="s">
        <v>11137</v>
      </c>
      <c r="N5599" t="s">
        <v>14</v>
      </c>
    </row>
    <row r="5600" x14ac:dyDescent="0.25">
      <c r="A5600" t="n">
        <v>25</v>
      </c>
      <c r="B5600" t="s">
        <v>14</v>
      </c>
      <c r="C5600" t="s">
        <v>22</v>
      </c>
      <c r="D5600" s="2" t="s">
        <f>=HYPERLINK("https://main.knesset.gov.il/APPS/legislation/main/bills/2199578", "הצעת חוק רכזי ביטחון שוטף צבאיים, התשפ""ג-2023")</f>
        <v>10663</v>
      </c>
      <c r="E5600" t="s">
        <v>10663</v>
      </c>
      <c r="F5600" t="s">
        <v>11250</v>
      </c>
      <c r="G5600" t="s">
        <v>14</v>
      </c>
      <c r="H5600">
             </c>
      <c r="I5600" t="s">
        <v>14</v>
      </c>
      <c r="J5600" t="s">
        <v>141</v>
      </c>
      <c r="K5600" t="s">
        <v>14</v>
      </c>
      <c r="L5600" t="s">
        <v>20</v>
      </c>
      <c r="M5600" t="s">
        <v>11137</v>
      </c>
      <c r="N5600" t="s">
        <v>14</v>
      </c>
    </row>
    <row r="5601" x14ac:dyDescent="0.25">
      <c r="A5601" t="n">
        <v>25</v>
      </c>
      <c r="B5601" t="s">
        <v>14</v>
      </c>
      <c r="C5601" t="s">
        <v>22</v>
      </c>
      <c r="D5601" s="2" t="s">
        <f>=HYPERLINK("https://main.knesset.gov.il/APPS/legislation/main/bills/2200265", "הצעת חוק המכר (דירות) (תיקון - הגבלת הסכום הנקוב במפרט בשל שינוי מיקומו של פריט בדירה חדשה), התשפ""ג-2023")</f>
        <v>11251</v>
      </c>
      <c r="E5601" t="s">
        <v>11251</v>
      </c>
      <c r="F5601" t="s">
        <v>11252</v>
      </c>
      <c r="G5601" t="s">
        <v>14</v>
      </c>
      <c r="H5601">
             </c>
      <c r="I5601" t="s">
        <v>14</v>
      </c>
      <c r="J5601" t="s">
        <v>141</v>
      </c>
      <c r="K5601" t="s">
        <v>14</v>
      </c>
      <c r="L5601" t="s">
        <v>20</v>
      </c>
      <c r="M5601" t="s">
        <v>11137</v>
      </c>
      <c r="N5601" t="s">
        <v>14</v>
      </c>
    </row>
    <row r="5602" x14ac:dyDescent="0.25">
      <c r="A5602" t="n">
        <v>25</v>
      </c>
      <c r="B5602" t="s">
        <v>14</v>
      </c>
      <c r="C5602" t="s">
        <v>22</v>
      </c>
      <c r="D5602" s="2" t="s">
        <f>=HYPERLINK("https://main.knesset.gov.il/APPS/legislation/main/bills/2200294", "הצעת חוק שיפוט בתי דין רבניים (נישואין וגירושין) (תיקון - דרישת הסכמה בכתב), התשפ""ג-2023")</f>
        <v>9476</v>
      </c>
      <c r="E5602" t="s">
        <v>9476</v>
      </c>
      <c r="F5602" t="s">
        <v>11253</v>
      </c>
      <c r="G5602" t="s">
        <v>14</v>
      </c>
      <c r="H5602">
             </c>
      <c r="I5602" t="s">
        <v>14</v>
      </c>
      <c r="J5602" t="s">
        <v>141</v>
      </c>
      <c r="K5602" t="s">
        <v>14</v>
      </c>
      <c r="L5602" t="s">
        <v>20</v>
      </c>
      <c r="M5602" t="s">
        <v>11137</v>
      </c>
      <c r="N5602" t="s">
        <v>14</v>
      </c>
    </row>
    <row r="5603" x14ac:dyDescent="0.25">
      <c r="A5603" t="n">
        <v>25</v>
      </c>
      <c r="B5603" t="s">
        <v>14</v>
      </c>
      <c r="C5603" t="s">
        <v>22</v>
      </c>
      <c r="D5603" s="2" t="s">
        <f>=HYPERLINK("https://main.knesset.gov.il/APPS/legislation/main/bills/2200152", "הצעת חוק פריסת תשלום חוב ללא תוספת ריבית או אגרה, התשפ""ג-2023")</f>
        <v>9567</v>
      </c>
      <c r="E5603" t="s">
        <v>9567</v>
      </c>
      <c r="F5603" t="s">
        <v>11254</v>
      </c>
      <c r="G5603" t="s">
        <v>14</v>
      </c>
      <c r="H5603">
             </c>
      <c r="I5603" t="s">
        <v>14</v>
      </c>
      <c r="J5603" t="s">
        <v>141</v>
      </c>
      <c r="K5603" t="s">
        <v>14</v>
      </c>
      <c r="L5603" t="s">
        <v>20</v>
      </c>
      <c r="M5603" t="s">
        <v>11137</v>
      </c>
      <c r="N5603" t="s">
        <v>14</v>
      </c>
    </row>
    <row r="5604" x14ac:dyDescent="0.25">
      <c r="A5604" t="n">
        <v>25</v>
      </c>
      <c r="B5604" t="s">
        <v>14</v>
      </c>
      <c r="C5604" t="s">
        <v>22</v>
      </c>
      <c r="D5604" s="2" t="s">
        <f>=HYPERLINK("https://main.knesset.gov.il/APPS/legislation/main/bills/2200128", "הצעת חוק שיפוט בתי דין רבניים (נישואין וגירושין) (תיקון - קציבת זמן לכריכת ענייני ממון ומשמורת), התשפ""ג-2023")</f>
        <v>11255</v>
      </c>
      <c r="E5604" t="s">
        <v>11255</v>
      </c>
      <c r="F5604" t="s">
        <v>11256</v>
      </c>
      <c r="G5604" t="s">
        <v>14</v>
      </c>
      <c r="H5604">
             </c>
      <c r="I5604" t="s">
        <v>14</v>
      </c>
      <c r="J5604" t="s">
        <v>141</v>
      </c>
      <c r="K5604" t="s">
        <v>14</v>
      </c>
      <c r="L5604" t="s">
        <v>20</v>
      </c>
      <c r="M5604" t="s">
        <v>11137</v>
      </c>
      <c r="N5604" t="s">
        <v>14</v>
      </c>
    </row>
    <row r="5605" x14ac:dyDescent="0.25">
      <c r="A5605" t="n">
        <v>25</v>
      </c>
      <c r="B5605" t="s">
        <v>14</v>
      </c>
      <c r="C5605" t="s">
        <v>22</v>
      </c>
      <c r="D5605" s="2" t="s">
        <f>=HYPERLINK("https://main.knesset.gov.il/APPS/legislation/main/bills/2200027", "הצעת חוק הגנת הצרכן (תיקון - מענה אנושי בשירות טלפוני לאזרח ותיק), התשפ""ג-2023")</f>
        <v>5340</v>
      </c>
      <c r="E5605" t="s">
        <v>5340</v>
      </c>
      <c r="F5605" t="s">
        <v>11257</v>
      </c>
      <c r="G5605" t="s">
        <v>14</v>
      </c>
      <c r="H5605">
             </c>
      <c r="I5605" t="s">
        <v>14</v>
      </c>
      <c r="J5605" t="s">
        <v>141</v>
      </c>
      <c r="K5605" t="s">
        <v>14</v>
      </c>
      <c r="L5605" t="s">
        <v>20</v>
      </c>
      <c r="M5605" t="s">
        <v>11137</v>
      </c>
      <c r="N5605" t="s">
        <v>14</v>
      </c>
    </row>
    <row r="5606" x14ac:dyDescent="0.25">
      <c r="A5606" t="n">
        <v>25</v>
      </c>
      <c r="B5606" t="s">
        <v>14</v>
      </c>
      <c r="C5606" t="s">
        <v>22</v>
      </c>
      <c r="D5606" s="2" t="s">
        <f>=HYPERLINK("https://main.knesset.gov.il/APPS/legislation/main/bills/2200093", "הצעת חוק איסור הפליה במוצרים, בשירותים ובכניסה למקומות בידור ולמקומות ציבוריים (תיקון - איסור בקשה לשינוי בהסדר במתן השירות), התשפ""ג-2023")</f>
        <v>11258</v>
      </c>
      <c r="E5606" t="s">
        <v>11258</v>
      </c>
      <c r="F5606" t="s">
        <v>11259</v>
      </c>
      <c r="G5606" t="s">
        <v>14</v>
      </c>
      <c r="H5606">
             </c>
      <c r="I5606" t="s">
        <v>14</v>
      </c>
      <c r="J5606" t="s">
        <v>141</v>
      </c>
      <c r="K5606" t="s">
        <v>14</v>
      </c>
      <c r="L5606" t="s">
        <v>20</v>
      </c>
      <c r="M5606" t="s">
        <v>11137</v>
      </c>
      <c r="N5606" t="s">
        <v>14</v>
      </c>
    </row>
    <row r="5607" x14ac:dyDescent="0.25">
      <c r="A5607" t="n">
        <v>25</v>
      </c>
      <c r="B5607" t="s">
        <v>14</v>
      </c>
      <c r="C5607" t="s">
        <v>22</v>
      </c>
      <c r="D5607" s="2" t="s">
        <f>=HYPERLINK("https://main.knesset.gov.il/APPS/legislation/main/bills/2200159", "הצעת חוק איסור פרסום הפליה (תיקוני חקיקה), התשפ""ג-2023")</f>
        <v>11260</v>
      </c>
      <c r="E5607" t="s">
        <v>11260</v>
      </c>
      <c r="F5607" t="s">
        <v>11261</v>
      </c>
      <c r="G5607" t="s">
        <v>14</v>
      </c>
      <c r="H5607">
             </c>
      <c r="I5607" t="s">
        <v>14</v>
      </c>
      <c r="J5607" t="s">
        <v>141</v>
      </c>
      <c r="K5607" t="s">
        <v>14</v>
      </c>
      <c r="L5607" t="s">
        <v>20</v>
      </c>
      <c r="M5607" t="s">
        <v>11137</v>
      </c>
      <c r="N5607" t="s">
        <v>14</v>
      </c>
    </row>
    <row r="5608" x14ac:dyDescent="0.25">
      <c r="A5608" t="n">
        <v>25</v>
      </c>
      <c r="B5608" t="s">
        <v>14</v>
      </c>
      <c r="C5608" t="s">
        <v>22</v>
      </c>
      <c r="D5608" s="2" t="s">
        <f>=HYPERLINK("https://main.knesset.gov.il/APPS/legislation/main/bills/2200057", "הצעת חוק לתיקון פקודת התעבורה (שירות טלפוני לדיווח ולקבלת תלונות על עבירות תעבורה או נהיגה מסוכנת של נהג אוטובוס), התשפ""ג-2023")</f>
        <v>11262</v>
      </c>
      <c r="E5608" t="s">
        <v>11262</v>
      </c>
      <c r="F5608" t="s">
        <v>11263</v>
      </c>
      <c r="G5608" t="s">
        <v>14</v>
      </c>
      <c r="H5608">
             </c>
      <c r="I5608" t="s">
        <v>14</v>
      </c>
      <c r="J5608" t="s">
        <v>141</v>
      </c>
      <c r="K5608" t="s">
        <v>14</v>
      </c>
      <c r="L5608" t="s">
        <v>20</v>
      </c>
      <c r="M5608" t="s">
        <v>11137</v>
      </c>
      <c r="N5608" t="s">
        <v>14</v>
      </c>
    </row>
    <row r="5609" x14ac:dyDescent="0.25">
      <c r="A5609" t="n">
        <v>25</v>
      </c>
      <c r="B5609" t="s">
        <v>14</v>
      </c>
      <c r="C5609" t="s">
        <v>22</v>
      </c>
      <c r="D5609" s="2" t="s">
        <f>=HYPERLINK("https://main.knesset.gov.il/APPS/legislation/main/bills/2200089", "הצעת חוק הרבנות הראשית לישראל (תיקון - ייצוג הציבור באסיפה הבוחרת), התשפ""ג-2023")</f>
        <v>11264</v>
      </c>
      <c r="E5609" t="s">
        <v>11264</v>
      </c>
      <c r="F5609" t="s">
        <v>11265</v>
      </c>
      <c r="G5609" t="s">
        <v>14</v>
      </c>
      <c r="H5609">
             </c>
      <c r="I5609" t="s">
        <v>14</v>
      </c>
      <c r="J5609" t="s">
        <v>141</v>
      </c>
      <c r="K5609" t="s">
        <v>14</v>
      </c>
      <c r="L5609" t="s">
        <v>20</v>
      </c>
      <c r="M5609" t="s">
        <v>11137</v>
      </c>
      <c r="N5609" t="s">
        <v>14</v>
      </c>
    </row>
    <row r="5610" x14ac:dyDescent="0.25">
      <c r="A5610" t="n">
        <v>25</v>
      </c>
      <c r="B5610" t="s">
        <v>14</v>
      </c>
      <c r="C5610" t="s">
        <v>22</v>
      </c>
      <c r="D5610" s="2" t="s">
        <f>=HYPERLINK("https://main.knesset.gov.il/APPS/legislation/main/bills/2200068", "הצעת חוק לתיקון פקודת התעבורה (פיצוי למתלונן), התשפ""ג-2023")</f>
        <v>11266</v>
      </c>
      <c r="E5610" t="s">
        <v>11266</v>
      </c>
      <c r="F5610" t="s">
        <v>11267</v>
      </c>
      <c r="G5610" t="s">
        <v>14</v>
      </c>
      <c r="H5610">
             </c>
      <c r="I5610" t="s">
        <v>14</v>
      </c>
      <c r="J5610" t="s">
        <v>141</v>
      </c>
      <c r="K5610" t="s">
        <v>14</v>
      </c>
      <c r="L5610" t="s">
        <v>20</v>
      </c>
      <c r="M5610" t="s">
        <v>11137</v>
      </c>
      <c r="N5610" t="s">
        <v>14</v>
      </c>
    </row>
    <row r="5611" x14ac:dyDescent="0.25">
      <c r="A5611" t="n">
        <v>25</v>
      </c>
      <c r="B5611" t="s">
        <v>14</v>
      </c>
      <c r="C5611" t="s">
        <v>22</v>
      </c>
      <c r="D5611" s="2" t="s">
        <f>=HYPERLINK("https://main.knesset.gov.il/APPS/legislation/main/bills/2200004", "הצעת חוק בית המשפט לענייני משפחה (תיקון - פטור מתשלום אגרה למקבלי הבטחת הכנסה), התשפ""ג-2023")</f>
        <v>11053</v>
      </c>
      <c r="E5611" t="s">
        <v>11053</v>
      </c>
      <c r="F5611" t="s">
        <v>11268</v>
      </c>
      <c r="G5611" t="s">
        <v>14</v>
      </c>
      <c r="H5611">
             </c>
      <c r="I5611" t="s">
        <v>14</v>
      </c>
      <c r="J5611" t="s">
        <v>141</v>
      </c>
      <c r="K5611" t="s">
        <v>14</v>
      </c>
      <c r="L5611" t="s">
        <v>20</v>
      </c>
      <c r="M5611" t="s">
        <v>11137</v>
      </c>
      <c r="N5611" t="s">
        <v>14</v>
      </c>
    </row>
    <row r="5612" x14ac:dyDescent="0.25">
      <c r="A5612" t="n">
        <v>25</v>
      </c>
      <c r="B5612" t="s">
        <v>14</v>
      </c>
      <c r="C5612" t="s">
        <v>22</v>
      </c>
      <c r="D5612" s="2" t="s">
        <f>=HYPERLINK("https://main.knesset.gov.il/APPS/legislation/main/bills/2200290", "הצעת חוק סמכות ואחריות הורית (מזונות), התשפ""ג-2023")</f>
        <v>11269</v>
      </c>
      <c r="E5612" t="s">
        <v>11269</v>
      </c>
      <c r="F5612" t="s">
        <v>11270</v>
      </c>
      <c r="G5612" t="s">
        <v>14</v>
      </c>
      <c r="H5612">
             </c>
      <c r="I5612" t="s">
        <v>14</v>
      </c>
      <c r="J5612" t="s">
        <v>141</v>
      </c>
      <c r="K5612" t="s">
        <v>14</v>
      </c>
      <c r="L5612" t="s">
        <v>20</v>
      </c>
      <c r="M5612" t="s">
        <v>11137</v>
      </c>
      <c r="N5612" t="s">
        <v>14</v>
      </c>
    </row>
    <row r="5613" x14ac:dyDescent="0.25">
      <c r="A5613" t="n">
        <v>25</v>
      </c>
      <c r="B5613" t="s">
        <v>14</v>
      </c>
      <c r="C5613" t="s">
        <v>22</v>
      </c>
      <c r="D5613" s="2" t="s">
        <f>=HYPERLINK("https://main.knesset.gov.il/APPS/legislation/main/bills/2200002", "הצעת חוק שכר מינימום (תיקון - עוולה נזיקית וקובלנה), התשפ""ג-2023")</f>
        <v>10419</v>
      </c>
      <c r="E5613" t="s">
        <v>10419</v>
      </c>
      <c r="F5613" t="s">
        <v>11271</v>
      </c>
      <c r="G5613" t="s">
        <v>14</v>
      </c>
      <c r="H5613">
             </c>
      <c r="I5613" t="s">
        <v>14</v>
      </c>
      <c r="J5613" t="s">
        <v>141</v>
      </c>
      <c r="K5613" t="s">
        <v>14</v>
      </c>
      <c r="L5613" t="s">
        <v>20</v>
      </c>
      <c r="M5613" t="s">
        <v>11137</v>
      </c>
      <c r="N5613" t="s">
        <v>14</v>
      </c>
    </row>
    <row r="5614" x14ac:dyDescent="0.25">
      <c r="A5614" t="n">
        <v>25</v>
      </c>
      <c r="B5614" t="s">
        <v>14</v>
      </c>
      <c r="C5614" t="s">
        <v>22</v>
      </c>
      <c r="D5614" s="2" t="s">
        <f>=HYPERLINK("https://main.knesset.gov.il/APPS/legislation/main/bills/2200241", "הצעת חוק הגנת הצרכן (תיקון - תאריך ייצור ומועד תפוגה בגודל גופן קריא), התשפ""ג-2023")</f>
        <v>11272</v>
      </c>
      <c r="E5614" t="s">
        <v>11272</v>
      </c>
      <c r="F5614" t="s">
        <v>11273</v>
      </c>
      <c r="G5614" t="s">
        <v>14</v>
      </c>
      <c r="H5614">
             </c>
      <c r="I5614" t="s">
        <v>14</v>
      </c>
      <c r="J5614" t="s">
        <v>141</v>
      </c>
      <c r="K5614" t="s">
        <v>14</v>
      </c>
      <c r="L5614" t="s">
        <v>20</v>
      </c>
      <c r="M5614" t="s">
        <v>11137</v>
      </c>
      <c r="N5614" t="s">
        <v>14</v>
      </c>
    </row>
    <row r="5615" x14ac:dyDescent="0.25">
      <c r="A5615" t="n">
        <v>25</v>
      </c>
      <c r="B5615" t="s">
        <v>14</v>
      </c>
      <c r="C5615" t="s">
        <v>22</v>
      </c>
      <c r="D5615" s="2" t="s">
        <f>=HYPERLINK("https://main.knesset.gov.il/APPS/legislation/main/bills/2200011", "הצעת חוק הביטוח הלאומי (תיקון - תשלום גמלה בעד תקופה שקדמה להגשת התביעה), התשפ""ג-2023")</f>
        <v>8087</v>
      </c>
      <c r="E5615" t="s">
        <v>8087</v>
      </c>
      <c r="F5615" t="s">
        <v>11274</v>
      </c>
      <c r="G5615" t="s">
        <v>14</v>
      </c>
      <c r="H5615">
             </c>
      <c r="I5615" t="s">
        <v>14</v>
      </c>
      <c r="J5615" t="s">
        <v>141</v>
      </c>
      <c r="K5615" t="s">
        <v>14</v>
      </c>
      <c r="L5615" t="s">
        <v>20</v>
      </c>
      <c r="M5615" t="s">
        <v>11137</v>
      </c>
      <c r="N5615" t="s">
        <v>14</v>
      </c>
    </row>
    <row r="5616" x14ac:dyDescent="0.25">
      <c r="A5616" t="n">
        <v>25</v>
      </c>
      <c r="B5616" t="s">
        <v>14</v>
      </c>
      <c r="C5616" t="s">
        <v>22</v>
      </c>
      <c r="D5616" s="2" t="s">
        <f>=HYPERLINK("https://main.knesset.gov.il/APPS/legislation/main/bills/2200010", "הצעת חוק הצבת מכשירי החייאה במקומות ציבוריים (תיקון - בדיקות תקינות שנתיות ותיעודן), התשפ""ג-2023")</f>
        <v>11275</v>
      </c>
      <c r="E5616" t="s">
        <v>11275</v>
      </c>
      <c r="F5616" t="s">
        <v>11276</v>
      </c>
      <c r="G5616" t="s">
        <v>14</v>
      </c>
      <c r="H5616">
             </c>
      <c r="I5616" t="s">
        <v>14</v>
      </c>
      <c r="J5616" t="s">
        <v>141</v>
      </c>
      <c r="K5616" t="s">
        <v>14</v>
      </c>
      <c r="L5616" t="s">
        <v>20</v>
      </c>
      <c r="M5616" t="s">
        <v>11137</v>
      </c>
      <c r="N5616" t="s">
        <v>14</v>
      </c>
    </row>
    <row r="5617" x14ac:dyDescent="0.25">
      <c r="A5617" t="n">
        <v>25</v>
      </c>
      <c r="B5617" t="s">
        <v>14</v>
      </c>
      <c r="C5617" t="s">
        <v>22</v>
      </c>
      <c r="D5617" s="2" t="s">
        <f>=HYPERLINK("https://main.knesset.gov.il/APPS/legislation/main/bills/2200019", "הצעת חוק הביטוח הלאומי (תיקון - הרחבת הזכאות למענק פטירה), התשפ""ג-2023")</f>
        <v>10948</v>
      </c>
      <c r="E5617" t="s">
        <v>10948</v>
      </c>
      <c r="F5617" t="s">
        <v>11277</v>
      </c>
      <c r="G5617" t="s">
        <v>14</v>
      </c>
      <c r="H5617">
             </c>
      <c r="I5617" t="s">
        <v>14</v>
      </c>
      <c r="J5617" t="s">
        <v>141</v>
      </c>
      <c r="K5617" t="s">
        <v>14</v>
      </c>
      <c r="L5617" t="s">
        <v>20</v>
      </c>
      <c r="M5617" t="s">
        <v>11137</v>
      </c>
      <c r="N5617" t="s">
        <v>14</v>
      </c>
    </row>
    <row r="5618" x14ac:dyDescent="0.25">
      <c r="A5618" t="n">
        <v>25</v>
      </c>
      <c r="B5618" t="s">
        <v>14</v>
      </c>
      <c r="C5618" t="s">
        <v>22</v>
      </c>
      <c r="D5618" s="2" t="s">
        <f>=HYPERLINK("https://main.knesset.gov.il/APPS/legislation/main/bills/2200281", "הצעת חוק העונשין (תיקון - החמרת ענישה על תקיפת קטין או חסר ישע), התשפ""ג-2023")</f>
        <v>11278</v>
      </c>
      <c r="E5618" t="s">
        <v>11278</v>
      </c>
      <c r="F5618" t="s">
        <v>11279</v>
      </c>
      <c r="G5618" t="s">
        <v>14</v>
      </c>
      <c r="H5618">
             </c>
      <c r="I5618" t="s">
        <v>14</v>
      </c>
      <c r="J5618" t="s">
        <v>141</v>
      </c>
      <c r="K5618" t="s">
        <v>14</v>
      </c>
      <c r="L5618" t="s">
        <v>20</v>
      </c>
      <c r="M5618" t="s">
        <v>11137</v>
      </c>
      <c r="N5618" t="s">
        <v>14</v>
      </c>
    </row>
    <row r="5619" x14ac:dyDescent="0.25">
      <c r="A5619" t="n">
        <v>25</v>
      </c>
      <c r="B5619" t="s">
        <v>14</v>
      </c>
      <c r="C5619" t="s">
        <v>22</v>
      </c>
      <c r="D5619" s="2" t="s">
        <f>=HYPERLINK("https://main.knesset.gov.il/APPS/legislation/main/bills/2200286", "הצעת חוק השכירות והשאילה (תיקון - הגבלה על העלאת דמי השכירות), התשפ""ג-2023")</f>
        <v>11280</v>
      </c>
      <c r="E5619" t="s">
        <v>11280</v>
      </c>
      <c r="F5619" t="s">
        <v>11281</v>
      </c>
      <c r="G5619" t="s">
        <v>14</v>
      </c>
      <c r="H5619">
             </c>
      <c r="I5619" t="s">
        <v>14</v>
      </c>
      <c r="J5619" t="s">
        <v>141</v>
      </c>
      <c r="K5619" t="s">
        <v>14</v>
      </c>
      <c r="L5619" t="s">
        <v>20</v>
      </c>
      <c r="M5619" t="s">
        <v>11137</v>
      </c>
      <c r="N5619" t="s">
        <v>14</v>
      </c>
    </row>
    <row r="5620" x14ac:dyDescent="0.25">
      <c r="A5620" t="n">
        <v>25</v>
      </c>
      <c r="B5620" t="s">
        <v>14</v>
      </c>
      <c r="C5620" t="s">
        <v>22</v>
      </c>
      <c r="D5620" s="2" t="s">
        <f>=HYPERLINK("https://main.knesset.gov.il/APPS/legislation/main/bills/2200018", "הצעת חוק שוויון זכויות לאנשים עם מוגבלות (תיקון - הכשרה מתאימה לממונה תעסוקה), התשפ""ג-2023")</f>
        <v>11282</v>
      </c>
      <c r="E5620" t="s">
        <v>11282</v>
      </c>
      <c r="F5620" t="s">
        <v>11283</v>
      </c>
      <c r="G5620" t="s">
        <v>14</v>
      </c>
      <c r="H5620">
             </c>
      <c r="I5620" t="s">
        <v>14</v>
      </c>
      <c r="J5620" t="s">
        <v>141</v>
      </c>
      <c r="K5620" t="s">
        <v>14</v>
      </c>
      <c r="L5620" t="s">
        <v>20</v>
      </c>
      <c r="M5620" t="s">
        <v>11137</v>
      </c>
      <c r="N5620" t="s">
        <v>14</v>
      </c>
    </row>
    <row r="5621" x14ac:dyDescent="0.25">
      <c r="A5621" t="n">
        <v>25</v>
      </c>
      <c r="B5621" t="s">
        <v>14</v>
      </c>
      <c r="C5621" t="s">
        <v>22</v>
      </c>
      <c r="D5621" s="2" t="s">
        <f>=HYPERLINK("https://main.knesset.gov.il/APPS/legislation/main/bills/2199977", "הצעת חוק הביטוח הלאומי (תיקון - ביטוח זכויות בהליכי חדלות פירעון לעובד עצמאי שעיקר הכנסתו ממקור אחד), התשפ""ג-2023")</f>
        <v>11284</v>
      </c>
      <c r="E5621" t="s">
        <v>11284</v>
      </c>
      <c r="F5621" t="s">
        <v>11285</v>
      </c>
      <c r="G5621" t="s">
        <v>14</v>
      </c>
      <c r="H5621">
             </c>
      <c r="I5621" t="s">
        <v>14</v>
      </c>
      <c r="J5621" t="s">
        <v>141</v>
      </c>
      <c r="K5621" t="s">
        <v>14</v>
      </c>
      <c r="L5621" t="s">
        <v>20</v>
      </c>
      <c r="M5621" t="s">
        <v>11137</v>
      </c>
      <c r="N5621" t="s">
        <v>14</v>
      </c>
    </row>
    <row r="5622" x14ac:dyDescent="0.25">
      <c r="A5622" t="n">
        <v>25</v>
      </c>
      <c r="B5622" t="s">
        <v>14</v>
      </c>
      <c r="C5622" t="s">
        <v>22</v>
      </c>
      <c r="D5622" s="2" t="s">
        <f>=HYPERLINK("https://main.knesset.gov.il/APPS/legislation/main/bills/2199964", "הצעת חוק חובת מיגון לנכים, קשישים, דיירי הדיור הציבורי ולמתגוררים ביישובי קו העימות בעוטף עזה, התשפ""ג-2023")</f>
        <v>11286</v>
      </c>
      <c r="E5622" t="s">
        <v>11286</v>
      </c>
      <c r="F5622" t="s">
        <v>11287</v>
      </c>
      <c r="G5622" t="s">
        <v>14</v>
      </c>
      <c r="H5622">
             </c>
      <c r="I5622" t="s">
        <v>14</v>
      </c>
      <c r="J5622" t="s">
        <v>141</v>
      </c>
      <c r="K5622" t="s">
        <v>14</v>
      </c>
      <c r="L5622" t="s">
        <v>20</v>
      </c>
      <c r="M5622" t="s">
        <v>11137</v>
      </c>
      <c r="N5622" t="s">
        <v>14</v>
      </c>
    </row>
    <row r="5623" x14ac:dyDescent="0.25">
      <c r="A5623" t="n">
        <v>25</v>
      </c>
      <c r="B5623" t="s">
        <v>14</v>
      </c>
      <c r="C5623" t="s">
        <v>22</v>
      </c>
      <c r="D5623" s="2" t="s">
        <f>=HYPERLINK("https://main.knesset.gov.il/APPS/legislation/main/bills/2200228", "הצעת חוק תגמול נושאי משרה בחברות ציבוריות, התשפ""ג-2023")</f>
        <v>11288</v>
      </c>
      <c r="E5623" t="s">
        <v>11288</v>
      </c>
      <c r="F5623" t="s">
        <v>11289</v>
      </c>
      <c r="G5623" t="s">
        <v>14</v>
      </c>
      <c r="H5623">
             </c>
      <c r="I5623" t="s">
        <v>14</v>
      </c>
      <c r="J5623" t="s">
        <v>141</v>
      </c>
      <c r="K5623" t="s">
        <v>14</v>
      </c>
      <c r="L5623" t="s">
        <v>20</v>
      </c>
      <c r="M5623" t="s">
        <v>11137</v>
      </c>
      <c r="N5623" t="s">
        <v>14</v>
      </c>
    </row>
    <row r="5624" x14ac:dyDescent="0.25">
      <c r="A5624" t="n">
        <v>25</v>
      </c>
      <c r="B5624" t="s">
        <v>14</v>
      </c>
      <c r="C5624" t="s">
        <v>22</v>
      </c>
      <c r="D5624" s="2" t="s">
        <f>=HYPERLINK("https://main.knesset.gov.il/APPS/legislation/main/bills/2199965", "הצעת חוק דמי נסיעה לסטודנטים בתחבורה ציבורית (תיקוני חקיקה), התשפ""ג-2023")</f>
        <v>11290</v>
      </c>
      <c r="E5624" t="s">
        <v>11290</v>
      </c>
      <c r="F5624" t="s">
        <v>11291</v>
      </c>
      <c r="G5624" t="s">
        <v>14</v>
      </c>
      <c r="H5624">
             </c>
      <c r="I5624" t="s">
        <v>14</v>
      </c>
      <c r="J5624" t="s">
        <v>141</v>
      </c>
      <c r="K5624" t="s">
        <v>14</v>
      </c>
      <c r="L5624" t="s">
        <v>20</v>
      </c>
      <c r="M5624" t="s">
        <v>11137</v>
      </c>
      <c r="N5624" t="s">
        <v>14</v>
      </c>
    </row>
    <row r="5625" x14ac:dyDescent="0.25">
      <c r="A5625" t="n">
        <v>25</v>
      </c>
      <c r="B5625" t="s">
        <v>14</v>
      </c>
      <c r="C5625" t="s">
        <v>22</v>
      </c>
      <c r="D5625" s="2" t="s">
        <f>=HYPERLINK("https://main.knesset.gov.il/APPS/legislation/main/bills/2199961", "הצעת חוק לתיקון פקודת התעבורה (הסדר ארצי אחיד לעניין גרירת רכב), התשפ""ג-2023")</f>
        <v>11292</v>
      </c>
      <c r="E5625" t="s">
        <v>11292</v>
      </c>
      <c r="F5625" t="s">
        <v>11293</v>
      </c>
      <c r="G5625" t="s">
        <v>14</v>
      </c>
      <c r="H5625">
             </c>
      <c r="I5625" t="s">
        <v>14</v>
      </c>
      <c r="J5625" t="s">
        <v>141</v>
      </c>
      <c r="K5625" t="s">
        <v>14</v>
      </c>
      <c r="L5625" t="s">
        <v>20</v>
      </c>
      <c r="M5625" t="s">
        <v>11137</v>
      </c>
      <c r="N5625" t="s">
        <v>14</v>
      </c>
    </row>
    <row r="5626" x14ac:dyDescent="0.25">
      <c r="A5626" t="n">
        <v>25</v>
      </c>
      <c r="B5626" t="s">
        <v>14</v>
      </c>
      <c r="C5626" t="s">
        <v>22</v>
      </c>
      <c r="D5626" s="2" t="s">
        <f>=HYPERLINK("https://main.knesset.gov.il/APPS/legislation/main/bills/2200191", "הצעת חוק המים (תיקון - הנחות לאוכלוסיות זכאיות), התשפ""ג-2023")</f>
        <v>11294</v>
      </c>
      <c r="E5626" t="s">
        <v>11294</v>
      </c>
      <c r="F5626" t="s">
        <v>11295</v>
      </c>
      <c r="G5626" t="s">
        <v>14</v>
      </c>
      <c r="H5626">
             </c>
      <c r="I5626" t="s">
        <v>14</v>
      </c>
      <c r="J5626" t="s">
        <v>141</v>
      </c>
      <c r="K5626" t="s">
        <v>14</v>
      </c>
      <c r="L5626" t="s">
        <v>20</v>
      </c>
      <c r="M5626" t="s">
        <v>11137</v>
      </c>
      <c r="N5626" t="s">
        <v>14</v>
      </c>
    </row>
    <row r="5627" x14ac:dyDescent="0.25">
      <c r="A5627" t="n">
        <v>25</v>
      </c>
      <c r="B5627" t="s">
        <v>14</v>
      </c>
      <c r="C5627" t="s">
        <v>22</v>
      </c>
      <c r="D5627" s="2" t="s">
        <f>=HYPERLINK("https://main.knesset.gov.il/APPS/legislation/main/bills/2199951", "הצעת חוק הגנת הצרכן (תיקון - חובת גילוי הוזלה במחיר בעסקה מתמשכת), התשפ""ג-2023")</f>
        <v>11296</v>
      </c>
      <c r="E5627" t="s">
        <v>11296</v>
      </c>
      <c r="F5627" t="s">
        <v>11297</v>
      </c>
      <c r="G5627" t="s">
        <v>14</v>
      </c>
      <c r="H5627">
             </c>
      <c r="I5627" t="s">
        <v>14</v>
      </c>
      <c r="J5627" t="s">
        <v>141</v>
      </c>
      <c r="K5627" t="s">
        <v>14</v>
      </c>
      <c r="L5627" t="s">
        <v>20</v>
      </c>
      <c r="M5627" t="s">
        <v>11137</v>
      </c>
      <c r="N5627" t="s">
        <v>14</v>
      </c>
    </row>
    <row r="5628" x14ac:dyDescent="0.25">
      <c r="A5628" t="n">
        <v>25</v>
      </c>
      <c r="B5628" t="s">
        <v>14</v>
      </c>
      <c r="C5628" t="s">
        <v>22</v>
      </c>
      <c r="D5628" s="2" t="s">
        <f>=HYPERLINK("https://main.knesset.gov.il/APPS/legislation/main/bills/2200025", "הצעת חוק חניה לנכים (תיקון - תג נכה אישי), התשפ""ג-2023")</f>
        <v>10119</v>
      </c>
      <c r="E5628" t="s">
        <v>10119</v>
      </c>
      <c r="F5628" t="s">
        <v>11298</v>
      </c>
      <c r="G5628" t="s">
        <v>14</v>
      </c>
      <c r="H5628">
             </c>
      <c r="I5628" t="s">
        <v>14</v>
      </c>
      <c r="J5628" t="s">
        <v>141</v>
      </c>
      <c r="K5628" t="s">
        <v>14</v>
      </c>
      <c r="L5628" t="s">
        <v>20</v>
      </c>
      <c r="M5628" t="s">
        <v>11137</v>
      </c>
      <c r="N5628" t="s">
        <v>14</v>
      </c>
    </row>
    <row r="5629" x14ac:dyDescent="0.25">
      <c r="A5629" t="n">
        <v>25</v>
      </c>
      <c r="B5629" t="s">
        <v>14</v>
      </c>
      <c r="C5629" t="s">
        <v>22</v>
      </c>
      <c r="D5629" s="2" t="s">
        <f>=HYPERLINK("https://main.knesset.gov.il/APPS/legislation/main/bills/2200024", "הצעת חוק חוזה העבודה (הסדרי עבודה מרחוק), התשפ""ג-2023")</f>
        <v>11299</v>
      </c>
      <c r="E5629" t="s">
        <v>11299</v>
      </c>
      <c r="F5629" t="s">
        <v>11300</v>
      </c>
      <c r="G5629" t="s">
        <v>14</v>
      </c>
      <c r="H5629">
             </c>
      <c r="I5629" t="s">
        <v>14</v>
      </c>
      <c r="J5629" t="s">
        <v>141</v>
      </c>
      <c r="K5629" t="s">
        <v>14</v>
      </c>
      <c r="L5629" t="s">
        <v>20</v>
      </c>
      <c r="M5629" t="s">
        <v>11137</v>
      </c>
      <c r="N5629" t="s">
        <v>14</v>
      </c>
    </row>
    <row r="5630" x14ac:dyDescent="0.25">
      <c r="A5630" t="n">
        <v>25</v>
      </c>
      <c r="B5630" t="s">
        <v>14</v>
      </c>
      <c r="C5630" t="s">
        <v>22</v>
      </c>
      <c r="D5630" s="2" t="s">
        <f>=HYPERLINK("https://main.knesset.gov.il/APPS/legislation/main/bills/2200021", "הצעת חוק דמי מחלה (תיקון - קרן ימי מחלה), התשפ""ג-2023")</f>
        <v>11301</v>
      </c>
      <c r="E5630" t="s">
        <v>11301</v>
      </c>
      <c r="F5630" t="s">
        <v>11302</v>
      </c>
      <c r="G5630" t="s">
        <v>14</v>
      </c>
      <c r="H5630">
             </c>
      <c r="I5630" t="s">
        <v>14</v>
      </c>
      <c r="J5630" t="s">
        <v>141</v>
      </c>
      <c r="K5630" t="s">
        <v>14</v>
      </c>
      <c r="L5630" t="s">
        <v>20</v>
      </c>
      <c r="M5630" t="s">
        <v>11137</v>
      </c>
      <c r="N5630" t="s">
        <v>14</v>
      </c>
    </row>
    <row r="5631" x14ac:dyDescent="0.25">
      <c r="A5631" t="n">
        <v>25</v>
      </c>
      <c r="B5631" t="s">
        <v>14</v>
      </c>
      <c r="C5631" t="s">
        <v>22</v>
      </c>
      <c r="D5631" s="2" t="s">
        <f>=HYPERLINK("https://main.knesset.gov.il/APPS/legislation/main/bills/2199926", "הצעת חוק הפעלת תחבורה ציבורית בשבת, התשפ""ג-2023")</f>
        <v>1956</v>
      </c>
      <c r="E5631" t="s">
        <v>1956</v>
      </c>
      <c r="F5631" t="s">
        <v>11303</v>
      </c>
      <c r="G5631" t="s">
        <v>14</v>
      </c>
      <c r="H5631">
             </c>
      <c r="I5631" t="s">
        <v>14</v>
      </c>
      <c r="J5631" t="s">
        <v>141</v>
      </c>
      <c r="K5631" t="s">
        <v>14</v>
      </c>
      <c r="L5631" t="s">
        <v>20</v>
      </c>
      <c r="M5631" t="s">
        <v>11137</v>
      </c>
      <c r="N5631" t="s">
        <v>14</v>
      </c>
    </row>
    <row r="5632" x14ac:dyDescent="0.25">
      <c r="A5632" t="n">
        <v>25</v>
      </c>
      <c r="B5632" t="s">
        <v>14</v>
      </c>
      <c r="C5632" t="s">
        <v>22</v>
      </c>
      <c r="D5632" s="2" t="s">
        <f>=HYPERLINK("https://main.knesset.gov.il/APPS/legislation/main/bills/2199924", "הצעת חוק לתיקון פקודת הסטטיסטיקה (סטטיסטיקה לפי מגדר), התשפ""ג-2023")</f>
        <v>11304</v>
      </c>
      <c r="E5632" t="s">
        <v>11304</v>
      </c>
      <c r="F5632" t="s">
        <v>11305</v>
      </c>
      <c r="G5632" t="s">
        <v>14</v>
      </c>
      <c r="H5632">
             </c>
      <c r="I5632" t="s">
        <v>14</v>
      </c>
      <c r="J5632" t="s">
        <v>141</v>
      </c>
      <c r="K5632" t="s">
        <v>14</v>
      </c>
      <c r="L5632" t="s">
        <v>20</v>
      </c>
      <c r="M5632" t="s">
        <v>11137</v>
      </c>
      <c r="N5632" t="s">
        <v>14</v>
      </c>
    </row>
    <row r="5633" x14ac:dyDescent="0.25">
      <c r="A5633" t="n">
        <v>25</v>
      </c>
      <c r="B5633" t="s">
        <v>14</v>
      </c>
      <c r="C5633" t="s">
        <v>22</v>
      </c>
      <c r="D5633" s="2" t="s">
        <f>=HYPERLINK("https://main.knesset.gov.il/APPS/legislation/main/bills/2200008", "הצעת חוק שוויון זכויות לאנשים עם מוגבלות (תיקון - בירור תלונות ופיקוח על שמירת זכויות של אנשים עם מוגבלות במסגרות מגורים), התשפ""ג-2023")</f>
        <v>11306</v>
      </c>
      <c r="E5633" t="s">
        <v>11306</v>
      </c>
      <c r="F5633" t="s">
        <v>11307</v>
      </c>
      <c r="G5633" t="s">
        <v>14</v>
      </c>
      <c r="H5633">
             </c>
      <c r="I5633" t="s">
        <v>14</v>
      </c>
      <c r="J5633" t="s">
        <v>141</v>
      </c>
      <c r="K5633" t="s">
        <v>14</v>
      </c>
      <c r="L5633" t="s">
        <v>20</v>
      </c>
      <c r="M5633" t="s">
        <v>11137</v>
      </c>
      <c r="N5633" t="s">
        <v>14</v>
      </c>
    </row>
    <row r="5634" x14ac:dyDescent="0.25">
      <c r="A5634" t="n">
        <v>25</v>
      </c>
      <c r="B5634" t="s">
        <v>14</v>
      </c>
      <c r="C5634" t="s">
        <v>22</v>
      </c>
      <c r="D5634" s="2" t="s">
        <f>=HYPERLINK("https://main.knesset.gov.il/APPS/legislation/main/bills/2200222", "הצעת חוק למניעת אלימות במשפחה (תיקון - דיון במעמד צד אחד באלימות נפשית), התשפ""ג-2023")</f>
        <v>11308</v>
      </c>
      <c r="E5634" t="s">
        <v>11308</v>
      </c>
      <c r="F5634" t="s">
        <v>11309</v>
      </c>
      <c r="G5634" t="s">
        <v>14</v>
      </c>
      <c r="H5634">
             </c>
      <c r="I5634" t="s">
        <v>14</v>
      </c>
      <c r="J5634" t="s">
        <v>141</v>
      </c>
      <c r="K5634" t="s">
        <v>14</v>
      </c>
      <c r="L5634" t="s">
        <v>20</v>
      </c>
      <c r="M5634" t="s">
        <v>11137</v>
      </c>
      <c r="N5634" t="s">
        <v>14</v>
      </c>
    </row>
    <row r="5635" x14ac:dyDescent="0.25">
      <c r="A5635" t="n">
        <v>25</v>
      </c>
      <c r="B5635" t="s">
        <v>14</v>
      </c>
      <c r="C5635" t="s">
        <v>22</v>
      </c>
      <c r="D5635" s="2" t="s">
        <f>=HYPERLINK("https://main.knesset.gov.il/APPS/legislation/main/bills/2199954", "הצעת חוק הקמת מאגר מידע דיגיטלי בנושא הכשרות מקצועיות, התשפ""ג-2023")</f>
        <v>11310</v>
      </c>
      <c r="E5635" t="s">
        <v>11310</v>
      </c>
      <c r="F5635" t="s">
        <v>11311</v>
      </c>
      <c r="G5635" t="s">
        <v>14</v>
      </c>
      <c r="H5635">
             </c>
      <c r="I5635" t="s">
        <v>14</v>
      </c>
      <c r="J5635" t="s">
        <v>141</v>
      </c>
      <c r="K5635" t="s">
        <v>14</v>
      </c>
      <c r="L5635" t="s">
        <v>20</v>
      </c>
      <c r="M5635" t="s">
        <v>11137</v>
      </c>
      <c r="N5635" t="s">
        <v>14</v>
      </c>
    </row>
    <row r="5636" x14ac:dyDescent="0.25">
      <c r="A5636" t="n">
        <v>25</v>
      </c>
      <c r="B5636" t="s">
        <v>14</v>
      </c>
      <c r="C5636" t="s">
        <v>22</v>
      </c>
      <c r="D5636" s="2" t="s">
        <f>=HYPERLINK("https://main.knesset.gov.il/APPS/legislation/main/bills/2199918", "הצעת חוק הגנת הצרכן (תיקון - חובת סימון נפח האריזה וקביעת הנפח בשימוש), התשפ""ג-2023")</f>
        <v>11312</v>
      </c>
      <c r="E5636" t="s">
        <v>11312</v>
      </c>
      <c r="F5636" t="s">
        <v>11313</v>
      </c>
      <c r="G5636" t="s">
        <v>14</v>
      </c>
      <c r="H5636">
             </c>
      <c r="I5636" t="s">
        <v>14</v>
      </c>
      <c r="J5636" t="s">
        <v>141</v>
      </c>
      <c r="K5636" t="s">
        <v>14</v>
      </c>
      <c r="L5636" t="s">
        <v>20</v>
      </c>
      <c r="M5636" t="s">
        <v>11137</v>
      </c>
      <c r="N5636" t="s">
        <v>14</v>
      </c>
    </row>
    <row r="5637" x14ac:dyDescent="0.25">
      <c r="A5637" t="n">
        <v>25</v>
      </c>
      <c r="B5637" t="s">
        <v>14</v>
      </c>
      <c r="C5637" t="s">
        <v>22</v>
      </c>
      <c r="D5637" s="2" t="s">
        <f>=HYPERLINK("https://main.knesset.gov.il/APPS/legislation/main/bills/2199084", "הצעת חוק הכשרות לאנשי מקצוע בתחום הבריאות בנושא מגדר ונטייה מינית, התשפ""ג-2023")</f>
        <v>11314</v>
      </c>
      <c r="E5637" t="s">
        <v>11314</v>
      </c>
      <c r="F5637" t="s">
        <v>11315</v>
      </c>
      <c r="G5637" t="s">
        <v>14</v>
      </c>
      <c r="H5637">
             </c>
      <c r="I5637" t="s">
        <v>14</v>
      </c>
      <c r="J5637" t="s">
        <v>141</v>
      </c>
      <c r="K5637" t="s">
        <v>14</v>
      </c>
      <c r="L5637" t="s">
        <v>20</v>
      </c>
      <c r="M5637" t="s">
        <v>11137</v>
      </c>
      <c r="N5637" t="s">
        <v>14</v>
      </c>
    </row>
    <row r="5638" x14ac:dyDescent="0.25">
      <c r="A5638" t="n">
        <v>25</v>
      </c>
      <c r="B5638" t="s">
        <v>14</v>
      </c>
      <c r="C5638" t="s">
        <v>22</v>
      </c>
      <c r="D5638" s="2" t="s">
        <f>=HYPERLINK("https://main.knesset.gov.il/APPS/legislation/main/bills/2199875", "הצעת חוק זכויות החולה (תיקון - הזכות למינוי מתורגמן רפואי), התשפ""ג-2023")</f>
        <v>10043</v>
      </c>
      <c r="E5638" t="s">
        <v>10043</v>
      </c>
      <c r="F5638" t="s">
        <v>11316</v>
      </c>
      <c r="G5638" t="s">
        <v>14</v>
      </c>
      <c r="H5638">
             </c>
      <c r="I5638" t="s">
        <v>14</v>
      </c>
      <c r="J5638" t="s">
        <v>141</v>
      </c>
      <c r="K5638" t="s">
        <v>14</v>
      </c>
      <c r="L5638" t="s">
        <v>20</v>
      </c>
      <c r="M5638" t="s">
        <v>11137</v>
      </c>
      <c r="N5638" t="s">
        <v>14</v>
      </c>
    </row>
    <row r="5639" x14ac:dyDescent="0.25">
      <c r="A5639" t="n">
        <v>25</v>
      </c>
      <c r="B5639" t="s">
        <v>14</v>
      </c>
      <c r="C5639" t="s">
        <v>22</v>
      </c>
      <c r="D5639" s="2" t="s">
        <f>=HYPERLINK("https://main.knesset.gov.il/APPS/legislation/main/bills/2199947", "הצעת חוק המרכז לגביית קנסות, אגרות והוצאות (תיקון - גביית חובות עבור רשות המים הארצית), התשפ""ג-2023")</f>
        <v>11317</v>
      </c>
      <c r="E5639" t="s">
        <v>11317</v>
      </c>
      <c r="F5639" t="s">
        <v>11318</v>
      </c>
      <c r="G5639" t="s">
        <v>14</v>
      </c>
      <c r="H5639">
             </c>
      <c r="I5639" t="s">
        <v>14</v>
      </c>
      <c r="J5639" t="s">
        <v>141</v>
      </c>
      <c r="K5639" t="s">
        <v>14</v>
      </c>
      <c r="L5639" t="s">
        <v>20</v>
      </c>
      <c r="M5639" t="s">
        <v>11137</v>
      </c>
      <c r="N5639" t="s">
        <v>14</v>
      </c>
    </row>
    <row r="5640" x14ac:dyDescent="0.25">
      <c r="A5640" t="n">
        <v>25</v>
      </c>
      <c r="B5640" t="s">
        <v>14</v>
      </c>
      <c r="C5640" t="s">
        <v>22</v>
      </c>
      <c r="D5640" s="2" t="s">
        <f>=HYPERLINK("https://main.knesset.gov.il/APPS/legislation/main/bills/2199922", "הצעת חוק לתיקון פקודת התעבורה (פטור מתשלום דמי חניה לרכב של כונן רפואת חירום עם ציוד), התשפ""ג-2023")</f>
        <v>11319</v>
      </c>
      <c r="E5640" t="s">
        <v>11319</v>
      </c>
      <c r="F5640" t="s">
        <v>11320</v>
      </c>
      <c r="G5640" t="s">
        <v>14</v>
      </c>
      <c r="H5640">
             </c>
      <c r="I5640" t="s">
        <v>14</v>
      </c>
      <c r="J5640" t="s">
        <v>141</v>
      </c>
      <c r="K5640" t="s">
        <v>14</v>
      </c>
      <c r="L5640" t="s">
        <v>20</v>
      </c>
      <c r="M5640" t="s">
        <v>11137</v>
      </c>
      <c r="N5640" t="s">
        <v>14</v>
      </c>
    </row>
    <row r="5641" x14ac:dyDescent="0.25">
      <c r="A5641" t="n">
        <v>25</v>
      </c>
      <c r="B5641" t="s">
        <v>14</v>
      </c>
      <c r="C5641" t="s">
        <v>22</v>
      </c>
      <c r="D5641" s="2" t="s">
        <f>=HYPERLINK("https://main.knesset.gov.il/APPS/legislation/main/bills/2199917", "הצעת חוק אימוץ ילדים (תיקון - אימוץ על ידי הורה יחיד), התשפ״ג-2023")</f>
        <v>11321</v>
      </c>
      <c r="E5641" t="s">
        <v>11321</v>
      </c>
      <c r="F5641" t="s">
        <v>11322</v>
      </c>
      <c r="G5641" t="s">
        <v>14</v>
      </c>
      <c r="H5641">
             </c>
      <c r="I5641" t="s">
        <v>14</v>
      </c>
      <c r="J5641" t="s">
        <v>343</v>
      </c>
      <c r="K5641" t="s">
        <v>14</v>
      </c>
      <c r="L5641" t="s">
        <v>20</v>
      </c>
      <c r="M5641" t="s">
        <v>11137</v>
      </c>
      <c r="N5641" t="s">
        <v>14</v>
      </c>
    </row>
    <row r="5642" x14ac:dyDescent="0.25">
      <c r="A5642" t="n">
        <v>25</v>
      </c>
      <c r="B5642" t="s">
        <v>14</v>
      </c>
      <c r="C5642" t="s">
        <v>22</v>
      </c>
      <c r="D5642" s="2" t="s">
        <f>=HYPERLINK("https://main.knesset.gov.il/APPS/legislation/main/bills/2199959", "הצעת חוק הגנת הצרכן (תיקון - הארכת תקופת האחריות), התשפ""ג-2023")</f>
        <v>11323</v>
      </c>
      <c r="E5642" t="s">
        <v>11323</v>
      </c>
      <c r="F5642" t="s">
        <v>11324</v>
      </c>
      <c r="G5642" t="s">
        <v>14</v>
      </c>
      <c r="H5642">
             </c>
      <c r="I5642" t="s">
        <v>14</v>
      </c>
      <c r="J5642" t="s">
        <v>141</v>
      </c>
      <c r="K5642" t="s">
        <v>14</v>
      </c>
      <c r="L5642" t="s">
        <v>20</v>
      </c>
      <c r="M5642" t="s">
        <v>11137</v>
      </c>
      <c r="N5642" t="s">
        <v>14</v>
      </c>
    </row>
    <row r="5643" x14ac:dyDescent="0.25">
      <c r="A5643" t="n">
        <v>25</v>
      </c>
      <c r="B5643" t="s">
        <v>14</v>
      </c>
      <c r="C5643" t="s">
        <v>22</v>
      </c>
      <c r="D5643" s="2" t="s">
        <f>=HYPERLINK("https://main.knesset.gov.il/APPS/legislation/main/bills/2199811", "הצעת חוק העונשין (תיקון - מרמה והפרת אמונים), התשפ""ג-2023")</f>
        <v>11325</v>
      </c>
      <c r="E5643" t="s">
        <v>11325</v>
      </c>
      <c r="F5643" t="s">
        <v>11326</v>
      </c>
      <c r="G5643" t="s">
        <v>14</v>
      </c>
      <c r="H5643">
             </c>
      <c r="I5643" t="s">
        <v>14</v>
      </c>
      <c r="J5643" t="s">
        <v>141</v>
      </c>
      <c r="K5643" t="s">
        <v>14</v>
      </c>
      <c r="L5643" t="s">
        <v>20</v>
      </c>
      <c r="M5643" t="s">
        <v>11137</v>
      </c>
      <c r="N5643" t="s">
        <v>14</v>
      </c>
    </row>
    <row r="5644" x14ac:dyDescent="0.25">
      <c r="A5644" t="n">
        <v>25</v>
      </c>
      <c r="B5644" t="s">
        <v>14</v>
      </c>
      <c r="C5644" t="s">
        <v>22</v>
      </c>
      <c r="D5644" s="2" t="s">
        <f>=HYPERLINK("https://main.knesset.gov.il/APPS/legislation/main/bills/2199730", "הצעת חוק התמודדות עם תופעת נטילת דמי חסות, התשפ""ג-2023")</f>
        <v>9792</v>
      </c>
      <c r="E5644" t="s">
        <v>9792</v>
      </c>
      <c r="F5644" t="s">
        <v>11327</v>
      </c>
      <c r="G5644" t="s">
        <v>14</v>
      </c>
      <c r="H5644">
             </c>
      <c r="I5644" t="s">
        <v>14</v>
      </c>
      <c r="J5644" t="s">
        <v>141</v>
      </c>
      <c r="K5644" t="s">
        <v>14</v>
      </c>
      <c r="L5644" t="s">
        <v>20</v>
      </c>
      <c r="M5644" t="s">
        <v>11137</v>
      </c>
      <c r="N5644" t="s">
        <v>14</v>
      </c>
    </row>
    <row r="5645" x14ac:dyDescent="0.25">
      <c r="A5645" t="n">
        <v>25</v>
      </c>
      <c r="B5645" t="s">
        <v>14</v>
      </c>
      <c r="C5645" t="s">
        <v>22</v>
      </c>
      <c r="D5645" s="2" t="s">
        <f>=HYPERLINK("https://main.knesset.gov.il/APPS/legislation/main/bills/2199645", "הצעת חוק זכויות החולה (תיקון - הסדר חניה למאושפזים בבית חולים ולמבקריהם), התשפ""ג-2023")</f>
        <v>11328</v>
      </c>
      <c r="E5645" t="s">
        <v>11328</v>
      </c>
      <c r="F5645" t="s">
        <v>11329</v>
      </c>
      <c r="G5645" t="s">
        <v>14</v>
      </c>
      <c r="H5645">
             </c>
      <c r="I5645" t="s">
        <v>14</v>
      </c>
      <c r="J5645" t="s">
        <v>141</v>
      </c>
      <c r="K5645" t="s">
        <v>14</v>
      </c>
      <c r="L5645" t="s">
        <v>20</v>
      </c>
      <c r="M5645" t="s">
        <v>11137</v>
      </c>
      <c r="N5645" t="s">
        <v>14</v>
      </c>
    </row>
    <row r="5646" x14ac:dyDescent="0.25">
      <c r="A5646" t="n">
        <v>25</v>
      </c>
      <c r="B5646" t="s">
        <v>14</v>
      </c>
      <c r="C5646" t="s">
        <v>22</v>
      </c>
      <c r="D5646" s="2" t="s">
        <f>=HYPERLINK("https://main.knesset.gov.il/APPS/legislation/main/bills/2199776", "הצעת חוק המועצה להשכלה גבוהה (תיקון - ביטול דרישת מבחני כניסה וציון פסיכומטרי), התשפ""ג-2023")</f>
        <v>10696</v>
      </c>
      <c r="E5646" t="s">
        <v>10696</v>
      </c>
      <c r="F5646" t="s">
        <v>11330</v>
      </c>
      <c r="G5646" t="s">
        <v>14</v>
      </c>
      <c r="H5646">
             </c>
      <c r="I5646" t="s">
        <v>14</v>
      </c>
      <c r="J5646" t="s">
        <v>141</v>
      </c>
      <c r="K5646" t="s">
        <v>14</v>
      </c>
      <c r="L5646" t="s">
        <v>20</v>
      </c>
      <c r="M5646" t="s">
        <v>11137</v>
      </c>
      <c r="N5646" t="s">
        <v>14</v>
      </c>
    </row>
    <row r="5647" x14ac:dyDescent="0.25">
      <c r="A5647" t="n">
        <v>25</v>
      </c>
      <c r="B5647" t="s">
        <v>14</v>
      </c>
      <c r="C5647" t="s">
        <v>22</v>
      </c>
      <c r="D5647" s="2" t="s">
        <f>=HYPERLINK("https://main.knesset.gov.il/APPS/legislation/main/bills/2199388", "הצעת חוק התקנת מצלמות לשם הגנה על פעוטות במעונות יום לפעוטות (תיקון - זכות ההורים לצפות בצילומים), התשפ""ג-2023")</f>
        <v>11331</v>
      </c>
      <c r="E5647" t="s">
        <v>11331</v>
      </c>
      <c r="F5647" t="s">
        <v>11332</v>
      </c>
      <c r="G5647" t="s">
        <v>14</v>
      </c>
      <c r="H5647">
             </c>
      <c r="I5647" t="s">
        <v>14</v>
      </c>
      <c r="J5647" t="s">
        <v>141</v>
      </c>
      <c r="K5647" t="s">
        <v>14</v>
      </c>
      <c r="L5647" t="s">
        <v>20</v>
      </c>
      <c r="M5647" t="s">
        <v>11137</v>
      </c>
      <c r="N5647" t="s">
        <v>14</v>
      </c>
    </row>
    <row r="5648" x14ac:dyDescent="0.25">
      <c r="A5648" t="n">
        <v>25</v>
      </c>
      <c r="B5648" t="s">
        <v>14</v>
      </c>
      <c r="C5648" t="s">
        <v>22</v>
      </c>
      <c r="D5648" s="2" t="s">
        <f>=HYPERLINK("https://main.knesset.gov.il/APPS/legislation/main/bills/2198955", "הצעת חוק לתיקון פקודת העיריות (חובות וזכויות חברי מועצה), התשפ''ג-2023")</f>
        <v>11333</v>
      </c>
      <c r="E5648" t="s">
        <v>11333</v>
      </c>
      <c r="F5648" t="s">
        <v>11334</v>
      </c>
      <c r="G5648" t="s">
        <v>14</v>
      </c>
      <c r="H5648">
             </c>
      <c r="I5648" t="s">
        <v>14</v>
      </c>
      <c r="J5648" t="s">
        <v>141</v>
      </c>
      <c r="K5648" t="s">
        <v>14</v>
      </c>
      <c r="L5648" t="s">
        <v>20</v>
      </c>
      <c r="M5648" t="s">
        <v>11137</v>
      </c>
      <c r="N5648" t="s">
        <v>14</v>
      </c>
    </row>
    <row r="5649" x14ac:dyDescent="0.25">
      <c r="A5649" t="n">
        <v>25</v>
      </c>
      <c r="B5649" t="s">
        <v>14</v>
      </c>
      <c r="C5649" t="s">
        <v>22</v>
      </c>
      <c r="D5649" s="2" t="s">
        <f>=HYPERLINK("https://main.knesset.gov.il/APPS/legislation/main/bills/2199859", "הצעת חוק חסינות חברי הכנסת, זכויותיהם וחובותיהם (תיקון - חיפוש בחומר מחשב וסמכות יושב ראש הכנסת), התשפ""ג-2023")</f>
        <v>11335</v>
      </c>
      <c r="E5649" t="s">
        <v>11335</v>
      </c>
      <c r="F5649" t="s">
        <v>11336</v>
      </c>
      <c r="G5649" t="s">
        <v>14</v>
      </c>
      <c r="H5649">
             </c>
      <c r="I5649" t="s">
        <v>14</v>
      </c>
      <c r="J5649" t="s">
        <v>141</v>
      </c>
      <c r="K5649" t="s">
        <v>14</v>
      </c>
      <c r="L5649" t="s">
        <v>20</v>
      </c>
      <c r="M5649" t="s">
        <v>11137</v>
      </c>
      <c r="N5649" t="s">
        <v>14</v>
      </c>
    </row>
    <row r="5650" x14ac:dyDescent="0.25">
      <c r="A5650" t="n">
        <v>25</v>
      </c>
      <c r="B5650" t="s">
        <v>14</v>
      </c>
      <c r="C5650" t="s">
        <v>22</v>
      </c>
      <c r="D5650" s="2" t="s">
        <f>=HYPERLINK("https://main.knesset.gov.il/APPS/legislation/main/bills/2200007", "הצעת חוק ההוצאה לפועל (תיקון - הגבלת עיקול מיטלטליו של קשיש), התשפ""ג-2023")</f>
        <v>11012</v>
      </c>
      <c r="E5650" t="s">
        <v>11012</v>
      </c>
      <c r="F5650" t="s">
        <v>11337</v>
      </c>
      <c r="G5650" t="s">
        <v>14</v>
      </c>
      <c r="H5650">
             </c>
      <c r="I5650" t="s">
        <v>14</v>
      </c>
      <c r="J5650" t="s">
        <v>141</v>
      </c>
      <c r="K5650" t="s">
        <v>14</v>
      </c>
      <c r="L5650" t="s">
        <v>20</v>
      </c>
      <c r="M5650" t="s">
        <v>11137</v>
      </c>
      <c r="N5650" t="s">
        <v>14</v>
      </c>
    </row>
    <row r="5651" x14ac:dyDescent="0.25">
      <c r="A5651" t="n">
        <v>25</v>
      </c>
      <c r="B5651" t="s">
        <v>14</v>
      </c>
      <c r="C5651" t="s">
        <v>22</v>
      </c>
      <c r="D5651" s="2" t="s">
        <f>=HYPERLINK("https://main.knesset.gov.il/APPS/legislation/main/bills/2200038", "הצעת חוק התכנון והבנייה (תיקון - גני ילדים ומעונות יום), התשפ""ג-2023")</f>
        <v>11338</v>
      </c>
      <c r="E5651" t="s">
        <v>11338</v>
      </c>
      <c r="F5651" t="s">
        <v>11339</v>
      </c>
      <c r="G5651" t="s">
        <v>14</v>
      </c>
      <c r="H5651">
             </c>
      <c r="I5651" t="s">
        <v>14</v>
      </c>
      <c r="J5651" t="s">
        <v>141</v>
      </c>
      <c r="K5651" t="s">
        <v>14</v>
      </c>
      <c r="L5651" t="s">
        <v>20</v>
      </c>
      <c r="M5651" t="s">
        <v>11137</v>
      </c>
      <c r="N5651" t="s">
        <v>14</v>
      </c>
    </row>
    <row r="5652" x14ac:dyDescent="0.25">
      <c r="A5652" t="n">
        <v>25</v>
      </c>
      <c r="B5652" t="s">
        <v>14</v>
      </c>
      <c r="C5652" t="s">
        <v>22</v>
      </c>
      <c r="D5652" s="2" t="s">
        <f>=HYPERLINK("https://main.knesset.gov.il/APPS/legislation/main/bills/2199870", "הצעת חוק קליטת חיילים משוחררים (תיקון - הוקרת שירות הלוחם והלוחמת), התשפ""ג-2023")</f>
        <v>8677</v>
      </c>
      <c r="E5652" t="s">
        <v>8677</v>
      </c>
      <c r="F5652" t="s">
        <v>11340</v>
      </c>
      <c r="G5652" t="s">
        <v>14</v>
      </c>
      <c r="H5652">
             </c>
      <c r="I5652" t="s">
        <v>14</v>
      </c>
      <c r="J5652" t="s">
        <v>141</v>
      </c>
      <c r="K5652" t="s">
        <v>14</v>
      </c>
      <c r="L5652" t="s">
        <v>20</v>
      </c>
      <c r="M5652" t="s">
        <v>11137</v>
      </c>
      <c r="N5652" t="s">
        <v>14</v>
      </c>
    </row>
    <row r="5653" x14ac:dyDescent="0.25">
      <c r="A5653" t="n">
        <v>25</v>
      </c>
      <c r="B5653" t="s">
        <v>14</v>
      </c>
      <c r="C5653" t="s">
        <v>22</v>
      </c>
      <c r="D5653" s="2" t="s">
        <f>=HYPERLINK("https://main.knesset.gov.il/APPS/legislation/main/bills/2199123", "הצעת חוק קליטת חיילים משוחררים (תיקון - הוקרת שירות הלוחם והלוחמת), התשפ""ג-2023")</f>
        <v>8677</v>
      </c>
      <c r="E5653" t="s">
        <v>8677</v>
      </c>
      <c r="F5653" t="s">
        <v>11341</v>
      </c>
      <c r="G5653" t="s">
        <v>14</v>
      </c>
      <c r="H5653">
             </c>
      <c r="I5653" t="s">
        <v>14</v>
      </c>
      <c r="J5653" t="s">
        <v>141</v>
      </c>
      <c r="K5653" t="s">
        <v>14</v>
      </c>
      <c r="L5653" t="s">
        <v>20</v>
      </c>
      <c r="M5653" t="s">
        <v>11137</v>
      </c>
      <c r="N5653" t="s">
        <v>14</v>
      </c>
    </row>
    <row r="5654" x14ac:dyDescent="0.25">
      <c r="A5654" t="n">
        <v>25</v>
      </c>
      <c r="B5654" t="s">
        <v>14</v>
      </c>
      <c r="C5654" t="s">
        <v>22</v>
      </c>
      <c r="D5654" s="2" t="s">
        <f>=HYPERLINK("https://main.knesset.gov.il/APPS/legislation/main/bills/2200017", "הצעת חוק האזרחים הוותיקים (תיקון - הנחה בארנונה), התשפ""ג-2023")</f>
        <v>9494</v>
      </c>
      <c r="E5654" t="s">
        <v>9494</v>
      </c>
      <c r="F5654" t="s">
        <v>11342</v>
      </c>
      <c r="G5654" t="s">
        <v>14</v>
      </c>
      <c r="H5654">
             </c>
      <c r="I5654" t="s">
        <v>14</v>
      </c>
      <c r="J5654" t="s">
        <v>141</v>
      </c>
      <c r="K5654" t="s">
        <v>14</v>
      </c>
      <c r="L5654" t="s">
        <v>20</v>
      </c>
      <c r="M5654" t="s">
        <v>11137</v>
      </c>
      <c r="N5654" t="s">
        <v>14</v>
      </c>
    </row>
    <row r="5655" x14ac:dyDescent="0.25">
      <c r="A5655" t="n">
        <v>25</v>
      </c>
      <c r="B5655" t="s">
        <v>14</v>
      </c>
      <c r="C5655" t="s">
        <v>22</v>
      </c>
      <c r="D5655" s="2" t="s">
        <f>=HYPERLINK("https://main.knesset.gov.il/APPS/legislation/main/bills/2199848", "הצעת חוק-יסוד: הכנסת (תיקון - ביטול הדרישה לוויתור על אזרחות זרה)")</f>
        <v>11343</v>
      </c>
      <c r="E5655" t="s">
        <v>11343</v>
      </c>
      <c r="F5655" t="s">
        <v>11344</v>
      </c>
      <c r="G5655" t="s">
        <v>14</v>
      </c>
      <c r="H5655">
             </c>
      <c r="I5655" t="s">
        <v>14</v>
      </c>
      <c r="J5655" t="s">
        <v>141</v>
      </c>
      <c r="K5655" t="s">
        <v>14</v>
      </c>
      <c r="L5655" t="s">
        <v>20</v>
      </c>
      <c r="M5655" t="s">
        <v>11137</v>
      </c>
      <c r="N5655" t="s">
        <v>14</v>
      </c>
    </row>
    <row r="5656" x14ac:dyDescent="0.25">
      <c r="A5656" t="n">
        <v>25</v>
      </c>
      <c r="B5656" t="s">
        <v>14</v>
      </c>
      <c r="C5656" t="s">
        <v>22</v>
      </c>
      <c r="D5656" s="2" t="s">
        <f>=HYPERLINK("https://main.knesset.gov.il/APPS/legislation/main/bills/2199979", "הצעת חוק הביטוח הלאומי (תיקון - נכה שהגיע לגיל פרישה), התשפ""ג-2023")</f>
        <v>9431</v>
      </c>
      <c r="E5656" t="s">
        <v>9431</v>
      </c>
      <c r="F5656" t="s">
        <v>11345</v>
      </c>
      <c r="G5656" t="s">
        <v>14</v>
      </c>
      <c r="H5656">
             </c>
      <c r="I5656" t="s">
        <v>14</v>
      </c>
      <c r="J5656" t="s">
        <v>141</v>
      </c>
      <c r="K5656" t="s">
        <v>14</v>
      </c>
      <c r="L5656" t="s">
        <v>20</v>
      </c>
      <c r="M5656" t="s">
        <v>11137</v>
      </c>
      <c r="N5656" t="s">
        <v>14</v>
      </c>
    </row>
    <row r="5657" x14ac:dyDescent="0.25">
      <c r="A5657" t="n">
        <v>25</v>
      </c>
      <c r="B5657" t="s">
        <v>14</v>
      </c>
      <c r="C5657" t="s">
        <v>22</v>
      </c>
      <c r="D5657" s="2" t="s">
        <f>=HYPERLINK("https://main.knesset.gov.il/APPS/legislation/main/bills/2200000", "הצעת חוק חופש המידע (תיקון - מידע על נגישות), התשפ""ג-2023")</f>
        <v>11346</v>
      </c>
      <c r="E5657" t="s">
        <v>11346</v>
      </c>
      <c r="F5657" t="s">
        <v>11347</v>
      </c>
      <c r="G5657" t="s">
        <v>14</v>
      </c>
      <c r="H5657">
             </c>
      <c r="I5657" t="s">
        <v>14</v>
      </c>
      <c r="J5657" t="s">
        <v>141</v>
      </c>
      <c r="K5657" t="s">
        <v>14</v>
      </c>
      <c r="L5657" t="s">
        <v>20</v>
      </c>
      <c r="M5657" t="s">
        <v>11137</v>
      </c>
      <c r="N5657" t="s">
        <v>14</v>
      </c>
    </row>
    <row r="5658" x14ac:dyDescent="0.25">
      <c r="A5658" t="n">
        <v>25</v>
      </c>
      <c r="B5658" t="s">
        <v>14</v>
      </c>
      <c r="C5658" t="s">
        <v>22</v>
      </c>
      <c r="D5658" s="2" t="s">
        <f>=HYPERLINK("https://main.knesset.gov.il/APPS/legislation/main/bills/2199277", "הצעת חוק הביטוח הלאומי (תיקון - העלאת דמי האבטלה למי שטרם מלאו לו 28 שנים ויש עמו ילד), התשפ""ג-2023 ")</f>
        <v>11348</v>
      </c>
      <c r="E5658" t="s">
        <v>11348</v>
      </c>
      <c r="F5658" t="s">
        <v>11349</v>
      </c>
      <c r="G5658" t="s">
        <v>14</v>
      </c>
      <c r="H5658">
             </c>
      <c r="I5658" t="s">
        <v>14</v>
      </c>
      <c r="J5658" t="s">
        <v>141</v>
      </c>
      <c r="K5658" t="s">
        <v>14</v>
      </c>
      <c r="L5658" t="s">
        <v>20</v>
      </c>
      <c r="M5658" t="s">
        <v>11137</v>
      </c>
      <c r="N5658" t="s">
        <v>14</v>
      </c>
    </row>
    <row r="5659" x14ac:dyDescent="0.25">
      <c r="A5659" t="n">
        <v>25</v>
      </c>
      <c r="B5659" t="s">
        <v>14</v>
      </c>
      <c r="C5659" t="s">
        <v>22</v>
      </c>
      <c r="D5659" s="2" t="s">
        <f>=HYPERLINK("https://main.knesset.gov.il/APPS/legislation/main/bills/2198930", "הצעת חוק החלת הריבונות הישראלית על בקעת הירדן רבתי, התשפ""ג-2023")</f>
        <v>8382</v>
      </c>
      <c r="E5659" t="s">
        <v>8382</v>
      </c>
      <c r="F5659" t="s">
        <v>11350</v>
      </c>
      <c r="G5659" t="s">
        <v>14</v>
      </c>
      <c r="H5659">
             </c>
      <c r="I5659" t="s">
        <v>14</v>
      </c>
      <c r="J5659" t="s">
        <v>141</v>
      </c>
      <c r="K5659" t="s">
        <v>14</v>
      </c>
      <c r="L5659" t="s">
        <v>20</v>
      </c>
      <c r="M5659" t="s">
        <v>11137</v>
      </c>
      <c r="N5659" t="s">
        <v>14</v>
      </c>
    </row>
    <row r="5660" x14ac:dyDescent="0.25">
      <c r="A5660" t="n">
        <v>25</v>
      </c>
      <c r="B5660" t="s">
        <v>14</v>
      </c>
      <c r="C5660" t="s">
        <v>22</v>
      </c>
      <c r="D5660" s="2" t="s">
        <f>=HYPERLINK("https://main.knesset.gov.il/APPS/legislation/main/bills/2199952", "הצעת חוק הגנת הצרכן (תיקון - חובת פרסום שם יצרן ודגם מוצר), התשפ""ג-2023")</f>
        <v>9922</v>
      </c>
      <c r="E5660" t="s">
        <v>9922</v>
      </c>
      <c r="F5660" t="s">
        <v>11351</v>
      </c>
      <c r="G5660" t="s">
        <v>14</v>
      </c>
      <c r="H5660">
             </c>
      <c r="I5660" t="s">
        <v>14</v>
      </c>
      <c r="J5660" t="s">
        <v>141</v>
      </c>
      <c r="K5660" t="s">
        <v>14</v>
      </c>
      <c r="L5660" t="s">
        <v>20</v>
      </c>
      <c r="M5660" t="s">
        <v>11137</v>
      </c>
      <c r="N5660" t="s">
        <v>14</v>
      </c>
    </row>
    <row r="5661" x14ac:dyDescent="0.25">
      <c r="A5661" t="n">
        <v>25</v>
      </c>
      <c r="B5661" t="s">
        <v>14</v>
      </c>
      <c r="C5661" t="s">
        <v>22</v>
      </c>
      <c r="D5661" s="2" t="s">
        <f>=HYPERLINK("https://main.knesset.gov.il/APPS/legislation/main/bills/2199259", "הצעת חוק גיל פרישה (תיקון - ביטול גיל פרישת חובה), התשפ""ג-2023")</f>
        <v>10569</v>
      </c>
      <c r="E5661" t="s">
        <v>10569</v>
      </c>
      <c r="F5661" t="s">
        <v>11352</v>
      </c>
      <c r="G5661" t="s">
        <v>14</v>
      </c>
      <c r="H5661">
             </c>
      <c r="I5661" t="s">
        <v>14</v>
      </c>
      <c r="J5661" t="s">
        <v>141</v>
      </c>
      <c r="K5661" t="s">
        <v>14</v>
      </c>
      <c r="L5661" t="s">
        <v>20</v>
      </c>
      <c r="M5661" t="s">
        <v>11137</v>
      </c>
      <c r="N5661" t="s">
        <v>14</v>
      </c>
    </row>
    <row r="5662" x14ac:dyDescent="0.25">
      <c r="A5662" t="n">
        <v>25</v>
      </c>
      <c r="B5662" t="s">
        <v>14</v>
      </c>
      <c r="C5662" t="s">
        <v>22</v>
      </c>
      <c r="D5662" s="2" t="s">
        <f>=HYPERLINK("https://main.knesset.gov.il/APPS/legislation/main/bills/2199995", "הצעת חוק ביטוח בריאות ממלכתי (תיקון - ביטול הגבלת זכותו של תושב גלמוד ששהה מחוץ לישראל), התשפ""ג-2023")</f>
        <v>11353</v>
      </c>
      <c r="E5662" t="s">
        <v>11353</v>
      </c>
      <c r="F5662" t="s">
        <v>11354</v>
      </c>
      <c r="G5662" t="s">
        <v>14</v>
      </c>
      <c r="H5662">
             </c>
      <c r="I5662" t="s">
        <v>14</v>
      </c>
      <c r="J5662" t="s">
        <v>141</v>
      </c>
      <c r="K5662" t="s">
        <v>14</v>
      </c>
      <c r="L5662" t="s">
        <v>20</v>
      </c>
      <c r="M5662" t="s">
        <v>11137</v>
      </c>
      <c r="N5662" t="s">
        <v>14</v>
      </c>
    </row>
    <row r="5663" x14ac:dyDescent="0.25">
      <c r="A5663" t="n">
        <v>25</v>
      </c>
      <c r="B5663" t="s">
        <v>14</v>
      </c>
      <c r="C5663" t="s">
        <v>22</v>
      </c>
      <c r="D5663" s="2" t="s">
        <f>=HYPERLINK("https://main.knesset.gov.il/APPS/legislation/main/bills/2199994", "הצעת חוק מגן דוד אדום (תיקון - פריסת ניידות טיפול נמרץ ברחבי המדינה), התשפ""ג-2023 ")</f>
        <v>8137</v>
      </c>
      <c r="E5663" t="s">
        <v>8137</v>
      </c>
      <c r="F5663" t="s">
        <v>11355</v>
      </c>
      <c r="G5663" t="s">
        <v>14</v>
      </c>
      <c r="H5663">
             </c>
      <c r="I5663" t="s">
        <v>14</v>
      </c>
      <c r="J5663" t="s">
        <v>141</v>
      </c>
      <c r="K5663" t="s">
        <v>14</v>
      </c>
      <c r="L5663" t="s">
        <v>20</v>
      </c>
      <c r="M5663" t="s">
        <v>11137</v>
      </c>
      <c r="N5663" t="s">
        <v>14</v>
      </c>
    </row>
    <row r="5664" x14ac:dyDescent="0.25">
      <c r="A5664" t="n">
        <v>25</v>
      </c>
      <c r="B5664" t="s">
        <v>14</v>
      </c>
      <c r="C5664" t="s">
        <v>22</v>
      </c>
      <c r="D5664" s="2" t="s">
        <f>=HYPERLINK("https://main.knesset.gov.il/APPS/legislation/main/bills/2199613", "הצעת חוק סיוע בקידום תעסוקתי למשפחות של עובדים מעוטי הכנסה, התשפ""ג-2023")</f>
        <v>11356</v>
      </c>
      <c r="E5664" t="s">
        <v>11356</v>
      </c>
      <c r="F5664" t="s">
        <v>11357</v>
      </c>
      <c r="G5664" t="s">
        <v>14</v>
      </c>
      <c r="H5664">
             </c>
      <c r="I5664" t="s">
        <v>14</v>
      </c>
      <c r="J5664" t="s">
        <v>141</v>
      </c>
      <c r="K5664" t="s">
        <v>14</v>
      </c>
      <c r="L5664" t="s">
        <v>20</v>
      </c>
      <c r="M5664" t="s">
        <v>11137</v>
      </c>
      <c r="N5664" t="s">
        <v>14</v>
      </c>
    </row>
    <row r="5665" x14ac:dyDescent="0.25">
      <c r="A5665" t="n">
        <v>25</v>
      </c>
      <c r="B5665" t="s">
        <v>14</v>
      </c>
      <c r="C5665" t="s">
        <v>22</v>
      </c>
      <c r="D5665" s="2" t="s">
        <f>=HYPERLINK("https://main.knesset.gov.il/APPS/legislation/main/bills/2199993", "הצעת חוק הפנסיה (מועד תחילת הביטוח הפנסיוני), התשפ""ג-2023")</f>
        <v>10440</v>
      </c>
      <c r="E5665" t="s">
        <v>10440</v>
      </c>
      <c r="F5665" t="s">
        <v>11358</v>
      </c>
      <c r="G5665" t="s">
        <v>14</v>
      </c>
      <c r="H5665">
             </c>
      <c r="I5665" t="s">
        <v>14</v>
      </c>
      <c r="J5665" t="s">
        <v>141</v>
      </c>
      <c r="K5665" t="s">
        <v>14</v>
      </c>
      <c r="L5665" t="s">
        <v>20</v>
      </c>
      <c r="M5665" t="s">
        <v>11137</v>
      </c>
      <c r="N5665" t="s">
        <v>14</v>
      </c>
    </row>
    <row r="5666" x14ac:dyDescent="0.25">
      <c r="A5666" t="n">
        <v>25</v>
      </c>
      <c r="B5666" t="s">
        <v>14</v>
      </c>
      <c r="C5666" t="s">
        <v>22</v>
      </c>
      <c r="D5666" s="2" t="s">
        <f>=HYPERLINK("https://main.knesset.gov.il/APPS/legislation/main/bills/2196543", "הצעת חוק ביטוח בריאות ממלכתי (תיקון - מימון הסעה לבית חולים), התשפ""ג-2023")</f>
        <v>9671</v>
      </c>
      <c r="E5666" t="s">
        <v>9671</v>
      </c>
      <c r="F5666" t="s">
        <v>11359</v>
      </c>
      <c r="G5666" t="s">
        <v>14</v>
      </c>
      <c r="H5666">
             </c>
      <c r="I5666" t="s">
        <v>14</v>
      </c>
      <c r="J5666" t="s">
        <v>141</v>
      </c>
      <c r="K5666" t="s">
        <v>14</v>
      </c>
      <c r="L5666" t="s">
        <v>20</v>
      </c>
      <c r="M5666" t="s">
        <v>11137</v>
      </c>
      <c r="N5666" t="s">
        <v>14</v>
      </c>
    </row>
    <row r="5667" x14ac:dyDescent="0.25">
      <c r="A5667" t="n">
        <v>25</v>
      </c>
      <c r="B5667" t="s">
        <v>14</v>
      </c>
      <c r="C5667" t="s">
        <v>22</v>
      </c>
      <c r="D5667" s="2" t="s">
        <f>=HYPERLINK("https://main.knesset.gov.il/APPS/legislation/main/bills/2199989", "הצעת חוק השוואת תנאי שכר לקבוצות שאסור להפלותן (תיקוני חקיקה), התשפ""ג-2023")</f>
        <v>10071</v>
      </c>
      <c r="E5667" t="s">
        <v>10071</v>
      </c>
      <c r="F5667" t="s">
        <v>11360</v>
      </c>
      <c r="G5667" t="s">
        <v>14</v>
      </c>
      <c r="H5667">
             </c>
      <c r="I5667" t="s">
        <v>14</v>
      </c>
      <c r="J5667" t="s">
        <v>141</v>
      </c>
      <c r="K5667" t="s">
        <v>14</v>
      </c>
      <c r="L5667" t="s">
        <v>20</v>
      </c>
      <c r="M5667" t="s">
        <v>11137</v>
      </c>
      <c r="N5667" t="s">
        <v>14</v>
      </c>
    </row>
    <row r="5668" x14ac:dyDescent="0.25">
      <c r="A5668" t="n">
        <v>25</v>
      </c>
      <c r="B5668" t="s">
        <v>14</v>
      </c>
      <c r="C5668" t="s">
        <v>22</v>
      </c>
      <c r="D5668" s="2" t="s">
        <f>=HYPERLINK("https://main.knesset.gov.il/APPS/legislation/main/bills/2199833", "הצעת חוק סינון אתרים פוגעניים במקומות ציבוריים, התשפ""ג-2023")</f>
        <v>11361</v>
      </c>
      <c r="E5668" t="s">
        <v>11361</v>
      </c>
      <c r="F5668" t="s">
        <v>11362</v>
      </c>
      <c r="G5668" t="s">
        <v>14</v>
      </c>
      <c r="H5668">
             </c>
      <c r="I5668" t="s">
        <v>14</v>
      </c>
      <c r="J5668" t="s">
        <v>141</v>
      </c>
      <c r="K5668" t="s">
        <v>14</v>
      </c>
      <c r="L5668" t="s">
        <v>20</v>
      </c>
      <c r="M5668" t="s">
        <v>11137</v>
      </c>
      <c r="N5668" t="s">
        <v>14</v>
      </c>
    </row>
    <row r="5669" x14ac:dyDescent="0.25">
      <c r="A5669" t="n">
        <v>25</v>
      </c>
      <c r="B5669" t="s">
        <v>14</v>
      </c>
      <c r="C5669" t="s">
        <v>22</v>
      </c>
      <c r="D5669" s="2" t="s">
        <f>=HYPERLINK("https://main.knesset.gov.il/APPS/legislation/main/bills/2199988", "הצעת חוק הצמדת תשלומים לחיילים בודדים למדד המחירים לצרכן, התשפ""ג-2023")</f>
        <v>11363</v>
      </c>
      <c r="E5669" t="s">
        <v>11363</v>
      </c>
      <c r="F5669" t="s">
        <v>11364</v>
      </c>
      <c r="G5669" t="s">
        <v>14</v>
      </c>
      <c r="H5669">
             </c>
      <c r="I5669" t="s">
        <v>14</v>
      </c>
      <c r="J5669" t="s">
        <v>141</v>
      </c>
      <c r="K5669" t="s">
        <v>14</v>
      </c>
      <c r="L5669" t="s">
        <v>20</v>
      </c>
      <c r="M5669" t="s">
        <v>11137</v>
      </c>
      <c r="N5669" t="s">
        <v>14</v>
      </c>
    </row>
    <row r="5670" x14ac:dyDescent="0.25">
      <c r="A5670" t="n">
        <v>25</v>
      </c>
      <c r="B5670" t="s">
        <v>14</v>
      </c>
      <c r="C5670" t="s">
        <v>22</v>
      </c>
      <c r="D5670" s="2" t="s">
        <f>=HYPERLINK("https://main.knesset.gov.il/APPS/legislation/main/bills/2199940", "הצעת חוק למניעת כפייה מינית, התשפ""ג-2023")</f>
        <v>11365</v>
      </c>
      <c r="E5670" t="s">
        <v>11365</v>
      </c>
      <c r="F5670" t="s">
        <v>11366</v>
      </c>
      <c r="G5670" t="s">
        <v>14</v>
      </c>
      <c r="H5670">
             </c>
      <c r="I5670" t="s">
        <v>14</v>
      </c>
      <c r="J5670" t="s">
        <v>141</v>
      </c>
      <c r="K5670" t="s">
        <v>14</v>
      </c>
      <c r="L5670" t="s">
        <v>20</v>
      </c>
      <c r="M5670" t="s">
        <v>11137</v>
      </c>
      <c r="N5670" t="s">
        <v>14</v>
      </c>
    </row>
    <row r="5671" x14ac:dyDescent="0.25">
      <c r="A5671" t="n">
        <v>25</v>
      </c>
      <c r="B5671" t="s">
        <v>14</v>
      </c>
      <c r="C5671" t="s">
        <v>22</v>
      </c>
      <c r="D5671" s="2" t="s">
        <f>=HYPERLINK("https://main.knesset.gov.il/APPS/legislation/main/bills/2200012", "הצעת חוק דמי מחלה (תיקון - יתרה שלילית של ימי מחלה), התשפ""ג-2023")</f>
        <v>10433</v>
      </c>
      <c r="E5671" t="s">
        <v>10433</v>
      </c>
      <c r="F5671" t="s">
        <v>11367</v>
      </c>
      <c r="G5671" t="s">
        <v>14</v>
      </c>
      <c r="H5671">
             </c>
      <c r="I5671" t="s">
        <v>14</v>
      </c>
      <c r="J5671" t="s">
        <v>141</v>
      </c>
      <c r="K5671" t="s">
        <v>14</v>
      </c>
      <c r="L5671" t="s">
        <v>20</v>
      </c>
      <c r="M5671" t="s">
        <v>11137</v>
      </c>
      <c r="N5671" t="s">
        <v>14</v>
      </c>
    </row>
    <row r="5672" x14ac:dyDescent="0.25">
      <c r="A5672" t="n">
        <v>25</v>
      </c>
      <c r="B5672" t="s">
        <v>14</v>
      </c>
      <c r="C5672" t="s">
        <v>22</v>
      </c>
      <c r="D5672" s="2" t="s">
        <f>=HYPERLINK("https://main.knesset.gov.il/APPS/legislation/main/bills/2199881", "הצעת חוק-יסוד: השפיטה (תיקון - מינוי שופטים לבית המשפט העליון וקציבת כהונתם)")</f>
        <v>11368</v>
      </c>
      <c r="E5672" t="s">
        <v>11368</v>
      </c>
      <c r="F5672" t="s">
        <v>11369</v>
      </c>
      <c r="G5672" t="s">
        <v>14</v>
      </c>
      <c r="H5672">
             </c>
      <c r="I5672" t="s">
        <v>14</v>
      </c>
      <c r="J5672" t="s">
        <v>141</v>
      </c>
      <c r="K5672" t="s">
        <v>14</v>
      </c>
      <c r="L5672" t="s">
        <v>20</v>
      </c>
      <c r="M5672" t="s">
        <v>11137</v>
      </c>
      <c r="N5672" t="s">
        <v>14</v>
      </c>
    </row>
    <row r="5673" x14ac:dyDescent="0.25">
      <c r="A5673" t="n">
        <v>25</v>
      </c>
      <c r="B5673" t="s">
        <v>14</v>
      </c>
      <c r="C5673" t="s">
        <v>22</v>
      </c>
      <c r="D5673" s="2" t="s">
        <f>=HYPERLINK("https://main.knesset.gov.il/APPS/legislation/main/bills/2199935", "הצעת חוק למניעת התעמרות בעבודה, התשפ""ג-2023")</f>
        <v>11370</v>
      </c>
      <c r="E5673" t="s">
        <v>11370</v>
      </c>
      <c r="F5673" t="s">
        <v>11371</v>
      </c>
      <c r="G5673" t="s">
        <v>14</v>
      </c>
      <c r="H5673">
             </c>
      <c r="I5673" t="s">
        <v>14</v>
      </c>
      <c r="J5673" t="s">
        <v>141</v>
      </c>
      <c r="K5673" t="s">
        <v>14</v>
      </c>
      <c r="L5673" t="s">
        <v>20</v>
      </c>
      <c r="M5673" t="s">
        <v>11137</v>
      </c>
      <c r="N5673" t="s">
        <v>14</v>
      </c>
    </row>
    <row r="5674" x14ac:dyDescent="0.25">
      <c r="A5674" t="n">
        <v>25</v>
      </c>
      <c r="B5674" t="s">
        <v>14</v>
      </c>
      <c r="C5674" t="s">
        <v>22</v>
      </c>
      <c r="D5674" s="2" t="s">
        <f>=HYPERLINK("https://main.knesset.gov.il/APPS/legislation/main/bills/2200273", "הצעת חוק זכויות נפגעי עבירה (תיקון - החלת זכויות בדין האזרחי), התשפ""ג-2023")</f>
        <v>11372</v>
      </c>
      <c r="E5674" t="s">
        <v>11372</v>
      </c>
      <c r="F5674" t="s">
        <v>11373</v>
      </c>
      <c r="G5674" t="s">
        <v>14</v>
      </c>
      <c r="H5674">
             </c>
      <c r="I5674" t="s">
        <v>14</v>
      </c>
      <c r="J5674" t="s">
        <v>141</v>
      </c>
      <c r="K5674" t="s">
        <v>14</v>
      </c>
      <c r="L5674" t="s">
        <v>20</v>
      </c>
      <c r="M5674" t="s">
        <v>11137</v>
      </c>
      <c r="N5674" t="s">
        <v>14</v>
      </c>
    </row>
    <row r="5675" x14ac:dyDescent="0.25">
      <c r="A5675" t="n">
        <v>25</v>
      </c>
      <c r="B5675" t="s">
        <v>14</v>
      </c>
      <c r="C5675" t="s">
        <v>22</v>
      </c>
      <c r="D5675" s="2" t="s">
        <f>=HYPERLINK("https://main.knesset.gov.il/APPS/legislation/main/bills/2200014", "הצעת חוק דמי מחלה (תיקון - הצהרת מחלה), התשפ""ג-2023")</f>
        <v>10959</v>
      </c>
      <c r="E5675" t="s">
        <v>10959</v>
      </c>
      <c r="F5675" t="s">
        <v>11374</v>
      </c>
      <c r="G5675" t="s">
        <v>14</v>
      </c>
      <c r="H5675">
             </c>
      <c r="I5675" t="s">
        <v>14</v>
      </c>
      <c r="J5675" t="s">
        <v>141</v>
      </c>
      <c r="K5675" t="s">
        <v>14</v>
      </c>
      <c r="L5675" t="s">
        <v>20</v>
      </c>
      <c r="M5675" t="s">
        <v>11137</v>
      </c>
      <c r="N5675" t="s">
        <v>14</v>
      </c>
    </row>
    <row r="5676" x14ac:dyDescent="0.25">
      <c r="A5676" t="n">
        <v>25</v>
      </c>
      <c r="B5676" t="s">
        <v>14</v>
      </c>
      <c r="C5676" t="s">
        <v>22</v>
      </c>
      <c r="D5676" s="2" t="s">
        <f>=HYPERLINK("https://main.knesset.gov.il/APPS/legislation/main/bills/2199741", "הצעת חוק להגברת האכיפה של דיני העבודה (תיקון - הפרות בטיחות בעבודה בתחום הבנייה), התשפ""ג-2023")</f>
        <v>9445</v>
      </c>
      <c r="E5676" t="s">
        <v>9445</v>
      </c>
      <c r="F5676" t="s">
        <v>11375</v>
      </c>
      <c r="G5676" t="s">
        <v>14</v>
      </c>
      <c r="H5676">
             </c>
      <c r="I5676" t="s">
        <v>14</v>
      </c>
      <c r="J5676" t="s">
        <v>141</v>
      </c>
      <c r="K5676" t="s">
        <v>14</v>
      </c>
      <c r="L5676" t="s">
        <v>20</v>
      </c>
      <c r="M5676" t="s">
        <v>11137</v>
      </c>
      <c r="N5676" t="s">
        <v>14</v>
      </c>
    </row>
    <row r="5677" x14ac:dyDescent="0.25">
      <c r="A5677" t="n">
        <v>25</v>
      </c>
      <c r="B5677" t="s">
        <v>14</v>
      </c>
      <c r="C5677" t="s">
        <v>22</v>
      </c>
      <c r="D5677" s="2" t="s">
        <f>=HYPERLINK("https://main.knesset.gov.il/APPS/legislation/main/bills/2196266", "הצעת חוק הביטוח הלאומי (תיקון - הכפלת קצבת הילדים בחודשי החגים), התשפ""ג-2023")</f>
        <v>11376</v>
      </c>
      <c r="E5677" t="s">
        <v>11376</v>
      </c>
      <c r="F5677" t="s">
        <v>11377</v>
      </c>
      <c r="G5677" t="s">
        <v>14</v>
      </c>
      <c r="H5677">
             </c>
      <c r="I5677" t="s">
        <v>14</v>
      </c>
      <c r="J5677" t="s">
        <v>141</v>
      </c>
      <c r="K5677" t="s">
        <v>14</v>
      </c>
      <c r="L5677" t="s">
        <v>20</v>
      </c>
      <c r="M5677" t="s">
        <v>11137</v>
      </c>
      <c r="N5677" t="s">
        <v>14</v>
      </c>
    </row>
    <row r="5678" x14ac:dyDescent="0.25">
      <c r="A5678" t="n">
        <v>25</v>
      </c>
      <c r="B5678" t="s">
        <v>14</v>
      </c>
      <c r="C5678" t="s">
        <v>22</v>
      </c>
      <c r="D5678" s="2" t="s">
        <f>=HYPERLINK("https://main.knesset.gov.il/APPS/legislation/main/bills/2199928", "הצעת חוק ארוחת בוקר במוסדות חינוך, התשפ""ג-2023")</f>
        <v>11378</v>
      </c>
      <c r="E5678" t="s">
        <v>11378</v>
      </c>
      <c r="F5678" t="s">
        <v>11379</v>
      </c>
      <c r="G5678" t="s">
        <v>14</v>
      </c>
      <c r="H5678">
             </c>
      <c r="I5678" t="s">
        <v>14</v>
      </c>
      <c r="J5678" t="s">
        <v>141</v>
      </c>
      <c r="K5678" t="s">
        <v>14</v>
      </c>
      <c r="L5678" t="s">
        <v>20</v>
      </c>
      <c r="M5678" t="s">
        <v>11137</v>
      </c>
      <c r="N5678" t="s">
        <v>14</v>
      </c>
    </row>
    <row r="5679" x14ac:dyDescent="0.25">
      <c r="A5679" t="n">
        <v>25</v>
      </c>
      <c r="B5679" t="s">
        <v>14</v>
      </c>
      <c r="C5679" t="s">
        <v>22</v>
      </c>
      <c r="D5679" s="2" t="s">
        <f>=HYPERLINK("https://main.knesset.gov.il/APPS/legislation/main/bills/2199931", "הצעת חוק הגנת הצרכן (תיקון - איסור הפליית מחירים בשל מגדר), התשפ""ג-2023 ")</f>
        <v>9548</v>
      </c>
      <c r="E5679" t="s">
        <v>9548</v>
      </c>
      <c r="F5679" t="s">
        <v>11380</v>
      </c>
      <c r="G5679" t="s">
        <v>14</v>
      </c>
      <c r="H5679">
             </c>
      <c r="I5679" t="s">
        <v>14</v>
      </c>
      <c r="J5679" t="s">
        <v>141</v>
      </c>
      <c r="K5679" t="s">
        <v>14</v>
      </c>
      <c r="L5679" t="s">
        <v>20</v>
      </c>
      <c r="M5679" t="s">
        <v>11137</v>
      </c>
      <c r="N5679" t="s">
        <v>14</v>
      </c>
    </row>
    <row r="5680" x14ac:dyDescent="0.25">
      <c r="A5680" t="n">
        <v>25</v>
      </c>
      <c r="B5680" t="s">
        <v>14</v>
      </c>
      <c r="C5680" t="s">
        <v>22</v>
      </c>
      <c r="D5680" s="2" t="s">
        <f>=HYPERLINK("https://main.knesset.gov.il/APPS/legislation/main/bills/2199982", "הצעת חוק הודעה לעובד ולמועמד לעבודה (תנאי עבודה והליכי מיון וקבלה לעבודה) (תיקון - הגברת השקיפות בעניין הפרשות לפנסיה), התשפ""ג-2023")</f>
        <v>11381</v>
      </c>
      <c r="E5680" t="s">
        <v>11381</v>
      </c>
      <c r="F5680" t="s">
        <v>11382</v>
      </c>
      <c r="G5680" t="s">
        <v>14</v>
      </c>
      <c r="H5680">
             </c>
      <c r="I5680" t="s">
        <v>14</v>
      </c>
      <c r="J5680" t="s">
        <v>141</v>
      </c>
      <c r="K5680" t="s">
        <v>14</v>
      </c>
      <c r="L5680" t="s">
        <v>20</v>
      </c>
      <c r="M5680" t="s">
        <v>11137</v>
      </c>
      <c r="N5680" t="s">
        <v>14</v>
      </c>
    </row>
    <row r="5681" x14ac:dyDescent="0.25">
      <c r="A5681" t="n">
        <v>25</v>
      </c>
      <c r="B5681" t="s">
        <v>14</v>
      </c>
      <c r="C5681" t="s">
        <v>22</v>
      </c>
      <c r="D5681" s="2" t="s">
        <f>=HYPERLINK("https://main.knesset.gov.il/APPS/legislation/main/bills/2199801", "הצעת חוק להסדרת הפיקוח על כלבים (תיקון - כלבי הפקר), התשפ""ג-2023")</f>
        <v>8687</v>
      </c>
      <c r="E5681" t="s">
        <v>8687</v>
      </c>
      <c r="F5681" t="s">
        <v>11383</v>
      </c>
      <c r="G5681" t="s">
        <v>14</v>
      </c>
      <c r="H5681">
             </c>
      <c r="I5681" t="s">
        <v>14</v>
      </c>
      <c r="J5681" t="s">
        <v>343</v>
      </c>
      <c r="K5681" t="s">
        <v>14</v>
      </c>
      <c r="L5681" t="s">
        <v>20</v>
      </c>
      <c r="M5681" t="s">
        <v>11137</v>
      </c>
      <c r="N5681" t="s">
        <v>14</v>
      </c>
    </row>
    <row r="5682" x14ac:dyDescent="0.25">
      <c r="A5682" t="n">
        <v>25</v>
      </c>
      <c r="B5682" t="s">
        <v>14</v>
      </c>
      <c r="C5682" t="s">
        <v>22</v>
      </c>
      <c r="D5682" s="2" t="s">
        <f>=HYPERLINK("https://main.knesset.gov.il/APPS/legislation/main/bills/2200119", "הצעת חוק הבנקאות (שירות ללקוח) (תיקון - ריבית על יתרת זכות), התשפ""ג-2023")</f>
        <v>2315</v>
      </c>
      <c r="E5682" t="s">
        <v>2315</v>
      </c>
      <c r="F5682" t="s">
        <v>11384</v>
      </c>
      <c r="G5682" t="s">
        <v>14</v>
      </c>
      <c r="H5682">
             </c>
      <c r="I5682" t="s">
        <v>14</v>
      </c>
      <c r="J5682" t="s">
        <v>141</v>
      </c>
      <c r="K5682" t="s">
        <v>14</v>
      </c>
      <c r="L5682" t="s">
        <v>20</v>
      </c>
      <c r="M5682" t="s">
        <v>11137</v>
      </c>
      <c r="N5682" t="s">
        <v>14</v>
      </c>
    </row>
    <row r="5683" x14ac:dyDescent="0.25">
      <c r="A5683" t="n">
        <v>25</v>
      </c>
      <c r="B5683" t="s">
        <v>14</v>
      </c>
      <c r="C5683" t="s">
        <v>22</v>
      </c>
      <c r="D5683" s="2" t="s">
        <f>=HYPERLINK("https://main.knesset.gov.il/APPS/legislation/main/bills/2199150", "הצעת חוק הביטוח הלאומי (תיקון - גמלת סיעוד למבוטח הנמצא במוסד סיעודי), התשפ""ג-2023")</f>
        <v>11008</v>
      </c>
      <c r="E5683" t="s">
        <v>11008</v>
      </c>
      <c r="F5683" t="s">
        <v>11385</v>
      </c>
      <c r="G5683" t="s">
        <v>14</v>
      </c>
      <c r="H5683">
             </c>
      <c r="I5683" t="s">
        <v>14</v>
      </c>
      <c r="J5683" t="s">
        <v>141</v>
      </c>
      <c r="K5683" t="s">
        <v>14</v>
      </c>
      <c r="L5683" t="s">
        <v>20</v>
      </c>
      <c r="M5683" t="s">
        <v>11137</v>
      </c>
      <c r="N5683" t="s">
        <v>14</v>
      </c>
    </row>
    <row r="5684" x14ac:dyDescent="0.25">
      <c r="A5684" t="n">
        <v>25</v>
      </c>
      <c r="B5684" t="s">
        <v>14</v>
      </c>
      <c r="C5684" t="s">
        <v>22</v>
      </c>
      <c r="D5684" s="2" t="s">
        <f>=HYPERLINK("https://main.knesset.gov.il/APPS/legislation/main/bills/2199431", "הצעת חוק הפסיכולוגים (תיקון - פסיכולוג שהורשע בעבירת מין), התשפ""ג-2023")</f>
        <v>11386</v>
      </c>
      <c r="E5684" t="s">
        <v>11386</v>
      </c>
      <c r="F5684" t="s">
        <v>11387</v>
      </c>
      <c r="G5684" t="s">
        <v>14</v>
      </c>
      <c r="H5684">
             </c>
      <c r="I5684" t="s">
        <v>14</v>
      </c>
      <c r="J5684" t="s">
        <v>141</v>
      </c>
      <c r="K5684" t="s">
        <v>14</v>
      </c>
      <c r="L5684" t="s">
        <v>20</v>
      </c>
      <c r="M5684" t="s">
        <v>11137</v>
      </c>
      <c r="N5684" t="s">
        <v>14</v>
      </c>
    </row>
    <row r="5685" x14ac:dyDescent="0.25">
      <c r="A5685" t="n">
        <v>25</v>
      </c>
      <c r="B5685" t="s">
        <v>14</v>
      </c>
      <c r="C5685" t="s">
        <v>22</v>
      </c>
      <c r="D5685" s="2" t="s">
        <f>=HYPERLINK("https://main.knesset.gov.il/APPS/legislation/main/bills/2199912", "הצעת חוק איסור הפליה במוצרים, בשירותים ובכניסה למקומות בידור ולמקומות ציבוריים (תיקון - איסור הפרדה), התשפ""ג-2023")</f>
        <v>8820</v>
      </c>
      <c r="E5685" t="s">
        <v>8820</v>
      </c>
      <c r="F5685" t="s">
        <v>11388</v>
      </c>
      <c r="G5685" t="s">
        <v>14</v>
      </c>
      <c r="H5685">
             </c>
      <c r="I5685" t="s">
        <v>14</v>
      </c>
      <c r="J5685" t="s">
        <v>141</v>
      </c>
      <c r="K5685" t="s">
        <v>14</v>
      </c>
      <c r="L5685" t="s">
        <v>20</v>
      </c>
      <c r="M5685" t="s">
        <v>11137</v>
      </c>
      <c r="N5685" t="s">
        <v>14</v>
      </c>
    </row>
    <row r="5686" x14ac:dyDescent="0.25">
      <c r="A5686" t="n">
        <v>25</v>
      </c>
      <c r="B5686" t="s">
        <v>14</v>
      </c>
      <c r="C5686" t="s">
        <v>22</v>
      </c>
      <c r="D5686" s="2" t="s">
        <f>=HYPERLINK("https://main.knesset.gov.il/APPS/legislation/main/bills/2199908", "הצעת חוק בתי המשפט (תיקון - מחלקות לעבירות מין), התשפ""ג-2023")</f>
        <v>8751</v>
      </c>
      <c r="E5686" t="s">
        <v>8751</v>
      </c>
      <c r="F5686" t="s">
        <v>11389</v>
      </c>
      <c r="G5686" t="s">
        <v>14</v>
      </c>
      <c r="H5686">
             </c>
      <c r="I5686" t="s">
        <v>14</v>
      </c>
      <c r="J5686" t="s">
        <v>343</v>
      </c>
      <c r="K5686" t="s">
        <v>14</v>
      </c>
      <c r="L5686" t="s">
        <v>20</v>
      </c>
      <c r="M5686" t="s">
        <v>11137</v>
      </c>
      <c r="N5686" t="s">
        <v>14</v>
      </c>
    </row>
    <row r="5687" x14ac:dyDescent="0.25">
      <c r="A5687" t="n">
        <v>25</v>
      </c>
      <c r="B5687" t="s">
        <v>14</v>
      </c>
      <c r="C5687" t="s">
        <v>22</v>
      </c>
      <c r="D5687" s="2" t="s">
        <f>=HYPERLINK("https://main.knesset.gov.il/APPS/legislation/main/bills/2199882", "הצעת חוק הרשתות החברתיות, התשפ""ג-2023")</f>
        <v>11390</v>
      </c>
      <c r="E5687" t="s">
        <v>11390</v>
      </c>
      <c r="F5687" t="s">
        <v>11391</v>
      </c>
      <c r="G5687" t="s">
        <v>14</v>
      </c>
      <c r="H5687">
             </c>
      <c r="I5687" t="s">
        <v>14</v>
      </c>
      <c r="J5687" t="s">
        <v>141</v>
      </c>
      <c r="K5687" t="s">
        <v>14</v>
      </c>
      <c r="L5687" t="s">
        <v>20</v>
      </c>
      <c r="M5687" t="s">
        <v>11137</v>
      </c>
      <c r="N5687" t="s">
        <v>14</v>
      </c>
    </row>
    <row r="5688" x14ac:dyDescent="0.25">
      <c r="A5688" t="n">
        <v>25</v>
      </c>
      <c r="B5688" t="s">
        <v>14</v>
      </c>
      <c r="C5688" t="s">
        <v>22</v>
      </c>
      <c r="D5688" s="2" t="s">
        <f>=HYPERLINK("https://main.knesset.gov.il/APPS/legislation/main/bills/2199822", "הצעת חוק בחינת חלופות מדיניות לא-צבאיות (תיקוני חקיקה), התשפ""ג-2023")</f>
        <v>11392</v>
      </c>
      <c r="E5688" t="s">
        <v>11392</v>
      </c>
      <c r="F5688" t="s">
        <v>11393</v>
      </c>
      <c r="G5688" t="s">
        <v>14</v>
      </c>
      <c r="H5688">
             </c>
      <c r="I5688" t="s">
        <v>14</v>
      </c>
      <c r="J5688" t="s">
        <v>343</v>
      </c>
      <c r="K5688" t="s">
        <v>14</v>
      </c>
      <c r="L5688" t="s">
        <v>20</v>
      </c>
      <c r="M5688" t="s">
        <v>11137</v>
      </c>
      <c r="N5688" t="s">
        <v>14</v>
      </c>
    </row>
    <row r="5689" x14ac:dyDescent="0.25">
      <c r="A5689" t="n">
        <v>25</v>
      </c>
      <c r="B5689" t="s">
        <v>14</v>
      </c>
      <c r="C5689" t="s">
        <v>22</v>
      </c>
      <c r="D5689" s="2" t="s">
        <f>=HYPERLINK("https://main.knesset.gov.il/APPS/legislation/main/bills/2199466", "הצעת חוק לשיפור השירות במגזר הציבורי, התשפ""ג-2023")</f>
        <v>11394</v>
      </c>
      <c r="E5689" t="s">
        <v>11394</v>
      </c>
      <c r="F5689" t="s">
        <v>11395</v>
      </c>
      <c r="G5689" t="s">
        <v>14</v>
      </c>
      <c r="H5689">
             </c>
      <c r="I5689" t="s">
        <v>14</v>
      </c>
      <c r="J5689" t="s">
        <v>141</v>
      </c>
      <c r="K5689" t="s">
        <v>14</v>
      </c>
      <c r="L5689" t="s">
        <v>20</v>
      </c>
      <c r="M5689" t="s">
        <v>11137</v>
      </c>
      <c r="N5689" t="s">
        <v>14</v>
      </c>
    </row>
    <row r="5690" x14ac:dyDescent="0.25">
      <c r="A5690" t="n">
        <v>25</v>
      </c>
      <c r="B5690" t="s">
        <v>14</v>
      </c>
      <c r="C5690" t="s">
        <v>22</v>
      </c>
      <c r="D5690" s="2" t="s">
        <f>=HYPERLINK("https://main.knesset.gov.il/APPS/legislation/main/bills/2199461", "הצעת חוק משפחות חיילים שנספו במערכה (תגמולים ושיקום) (תיקון - תשלום לבן זוגו של שכול שנפטר), התשפ""ג-2023")</f>
        <v>11396</v>
      </c>
      <c r="E5690" t="s">
        <v>11396</v>
      </c>
      <c r="F5690" t="s">
        <v>11397</v>
      </c>
      <c r="G5690" t="s">
        <v>14</v>
      </c>
      <c r="H5690">
             </c>
      <c r="I5690" t="s">
        <v>14</v>
      </c>
      <c r="J5690" t="s">
        <v>141</v>
      </c>
      <c r="K5690" t="s">
        <v>14</v>
      </c>
      <c r="L5690" t="s">
        <v>20</v>
      </c>
      <c r="M5690" t="s">
        <v>11137</v>
      </c>
      <c r="N5690" t="s">
        <v>14</v>
      </c>
    </row>
    <row r="5691" x14ac:dyDescent="0.25">
      <c r="A5691" t="n">
        <v>25</v>
      </c>
      <c r="B5691" t="s">
        <v>14</v>
      </c>
      <c r="C5691" t="s">
        <v>22</v>
      </c>
      <c r="D5691" s="2" t="s">
        <f>=HYPERLINK("https://main.knesset.gov.il/APPS/legislation/main/bills/2199406", "הצעת חוק גיל פרישה (תיקון - שינוי גיל הפרישה לעובדים בענף הבניין), התשפ""ג-2023")</f>
        <v>11398</v>
      </c>
      <c r="E5691" t="s">
        <v>11398</v>
      </c>
      <c r="F5691" t="s">
        <v>11399</v>
      </c>
      <c r="G5691" t="s">
        <v>14</v>
      </c>
      <c r="H5691">
             </c>
      <c r="I5691" t="s">
        <v>14</v>
      </c>
      <c r="J5691" t="s">
        <v>141</v>
      </c>
      <c r="K5691" t="s">
        <v>14</v>
      </c>
      <c r="L5691" t="s">
        <v>20</v>
      </c>
      <c r="M5691" t="s">
        <v>11137</v>
      </c>
      <c r="N5691" t="s">
        <v>14</v>
      </c>
    </row>
    <row r="5692" x14ac:dyDescent="0.25">
      <c r="A5692" t="n">
        <v>25</v>
      </c>
      <c r="B5692" t="s">
        <v>14</v>
      </c>
      <c r="C5692" t="s">
        <v>22</v>
      </c>
      <c r="D5692" s="2" t="s">
        <f>=HYPERLINK("https://main.knesset.gov.il/APPS/legislation/main/bills/2199399", "הצעת חוק שוויון ההזדמנויות בעבודה (תיקון - ייצוג הולם לאוכלוסייה הערבית), התשפ""ג-2023")</f>
        <v>11400</v>
      </c>
      <c r="E5692" t="s">
        <v>11400</v>
      </c>
      <c r="F5692" t="s">
        <v>11401</v>
      </c>
      <c r="G5692" t="s">
        <v>14</v>
      </c>
      <c r="H5692">
             </c>
      <c r="I5692" t="s">
        <v>14</v>
      </c>
      <c r="J5692" t="s">
        <v>141</v>
      </c>
      <c r="K5692" t="s">
        <v>14</v>
      </c>
      <c r="L5692" t="s">
        <v>20</v>
      </c>
      <c r="M5692" t="s">
        <v>11137</v>
      </c>
      <c r="N5692" t="s">
        <v>14</v>
      </c>
    </row>
    <row r="5693" x14ac:dyDescent="0.25">
      <c r="A5693" t="n">
        <v>25</v>
      </c>
      <c r="B5693" t="s">
        <v>14</v>
      </c>
      <c r="C5693" t="s">
        <v>22</v>
      </c>
      <c r="D5693" s="2" t="s">
        <f>=HYPERLINK("https://main.knesset.gov.il/APPS/legislation/main/bills/2198680", "הצעת חוק הביטוח הלאומי (תיקון - חישוב דמי לידה לפי שנה שקדמה ליום הקובע), התשפ""ג-2023")</f>
        <v>11402</v>
      </c>
      <c r="E5693" t="s">
        <v>11402</v>
      </c>
      <c r="F5693" t="s">
        <v>11403</v>
      </c>
      <c r="G5693" t="s">
        <v>14</v>
      </c>
      <c r="H5693">
             </c>
      <c r="I5693" t="s">
        <v>14</v>
      </c>
      <c r="J5693" t="s">
        <v>141</v>
      </c>
      <c r="K5693" t="s">
        <v>14</v>
      </c>
      <c r="L5693" t="s">
        <v>20</v>
      </c>
      <c r="M5693" t="s">
        <v>11137</v>
      </c>
      <c r="N5693" t="s">
        <v>14</v>
      </c>
    </row>
    <row r="5694" x14ac:dyDescent="0.25">
      <c r="A5694" t="n">
        <v>25</v>
      </c>
      <c r="B5694" t="s">
        <v>14</v>
      </c>
      <c r="C5694" t="s">
        <v>22</v>
      </c>
      <c r="D5694" s="2" t="s">
        <f>=HYPERLINK("https://main.knesset.gov.il/APPS/legislation/main/bills/2199454", "הצעת חוק מס ערך מוסף (תיקון - פטור ממס במכירת תרופות מצילות חיים שאינן כלולות בסל הבריאות), התשפ""ג-2023")</f>
        <v>9512</v>
      </c>
      <c r="E5694" t="s">
        <v>9512</v>
      </c>
      <c r="F5694" t="s">
        <v>11404</v>
      </c>
      <c r="G5694" t="s">
        <v>14</v>
      </c>
      <c r="H5694">
             </c>
      <c r="I5694" t="s">
        <v>14</v>
      </c>
      <c r="J5694" t="s">
        <v>141</v>
      </c>
      <c r="K5694" t="s">
        <v>14</v>
      </c>
      <c r="L5694" t="s">
        <v>20</v>
      </c>
      <c r="M5694" t="s">
        <v>11137</v>
      </c>
      <c r="N5694" t="s">
        <v>14</v>
      </c>
    </row>
    <row r="5695" x14ac:dyDescent="0.25">
      <c r="A5695" t="n">
        <v>25</v>
      </c>
      <c r="B5695" t="s">
        <v>14</v>
      </c>
      <c r="C5695" t="s">
        <v>22</v>
      </c>
      <c r="D5695" s="2" t="s">
        <f>=HYPERLINK("https://main.knesset.gov.il/APPS/legislation/main/bills/2198065", "הצעת חוק-יסוד: הדגל, הסמל והמנון המדינה")</f>
        <v>11405</v>
      </c>
      <c r="E5695" t="s">
        <v>11405</v>
      </c>
      <c r="F5695" t="s">
        <v>11406</v>
      </c>
      <c r="G5695" t="s">
        <v>14</v>
      </c>
      <c r="H5695">
             </c>
      <c r="I5695" t="s">
        <v>14</v>
      </c>
      <c r="J5695" t="s">
        <v>141</v>
      </c>
      <c r="K5695" t="s">
        <v>14</v>
      </c>
      <c r="L5695" t="s">
        <v>20</v>
      </c>
      <c r="M5695" t="s">
        <v>11137</v>
      </c>
      <c r="N5695" t="s">
        <v>14</v>
      </c>
    </row>
    <row r="5696" x14ac:dyDescent="0.25">
      <c r="A5696" t="n">
        <v>25</v>
      </c>
      <c r="B5696" t="s">
        <v>14</v>
      </c>
      <c r="C5696" t="s">
        <v>22</v>
      </c>
      <c r="D5696" s="2" t="s">
        <f>=HYPERLINK("https://main.knesset.gov.il/APPS/legislation/main/bills/2199561", "הצעת חוק לתיקון פקודת מס הכנסה (ניכוי סכומים שהוצאו לצורך טיפול בילד), התשפ""ג-2023")</f>
        <v>8014</v>
      </c>
      <c r="E5696" t="s">
        <v>8014</v>
      </c>
      <c r="F5696" t="s">
        <v>11407</v>
      </c>
      <c r="G5696" t="s">
        <v>14</v>
      </c>
      <c r="H5696">
             </c>
      <c r="I5696" t="s">
        <v>14</v>
      </c>
      <c r="J5696" t="s">
        <v>141</v>
      </c>
      <c r="K5696" t="s">
        <v>14</v>
      </c>
      <c r="L5696" t="s">
        <v>20</v>
      </c>
      <c r="M5696" t="s">
        <v>11137</v>
      </c>
      <c r="N5696" t="s">
        <v>14</v>
      </c>
    </row>
    <row r="5697" x14ac:dyDescent="0.25">
      <c r="A5697" t="n">
        <v>25</v>
      </c>
      <c r="B5697" t="s">
        <v>14</v>
      </c>
      <c r="C5697" t="s">
        <v>22</v>
      </c>
      <c r="D5697" s="2" t="s">
        <f>=HYPERLINK("https://main.knesset.gov.il/APPS/legislation/main/bills/2199549", "הצעת חוק הרשויות המקומיות (ריבית והפרשי הצמדה על תשלומי חובה) (תיקון - הפחתת אחוז הריבית ברשויות המקומיות), התשפ""ג-2023")</f>
        <v>10009</v>
      </c>
      <c r="E5697" t="s">
        <v>10009</v>
      </c>
      <c r="F5697" t="s">
        <v>11408</v>
      </c>
      <c r="G5697" t="s">
        <v>14</v>
      </c>
      <c r="H5697">
             </c>
      <c r="I5697" t="s">
        <v>14</v>
      </c>
      <c r="J5697" t="s">
        <v>141</v>
      </c>
      <c r="K5697" t="s">
        <v>14</v>
      </c>
      <c r="L5697" t="s">
        <v>20</v>
      </c>
      <c r="M5697" t="s">
        <v>11137</v>
      </c>
      <c r="N5697" t="s">
        <v>14</v>
      </c>
    </row>
    <row r="5698" x14ac:dyDescent="0.25">
      <c r="A5698" t="n">
        <v>25</v>
      </c>
      <c r="B5698" t="s">
        <v>14</v>
      </c>
      <c r="C5698" t="s">
        <v>22</v>
      </c>
      <c r="D5698" s="2" t="s">
        <f>=HYPERLINK("https://main.knesset.gov.il/APPS/legislation/main/bills/2199345", "הצעת חוק צער בעלי חיים (הגנה על בעלי חיים) (תיקון - איסור משלוחים חיים לשחיטה), התשפ""ג-2023")</f>
        <v>11409</v>
      </c>
      <c r="E5698" t="s">
        <v>11409</v>
      </c>
      <c r="F5698" t="s">
        <v>11410</v>
      </c>
      <c r="G5698" t="s">
        <v>14</v>
      </c>
      <c r="H5698">
             </c>
      <c r="I5698" t="s">
        <v>14</v>
      </c>
      <c r="J5698" t="s">
        <v>141</v>
      </c>
      <c r="K5698" t="s">
        <v>14</v>
      </c>
      <c r="L5698" t="s">
        <v>20</v>
      </c>
      <c r="M5698" t="s">
        <v>11137</v>
      </c>
      <c r="N5698" t="s">
        <v>14</v>
      </c>
    </row>
    <row r="5699" x14ac:dyDescent="0.25">
      <c r="A5699" t="n">
        <v>25</v>
      </c>
      <c r="B5699" t="s">
        <v>14</v>
      </c>
      <c r="C5699" t="s">
        <v>22</v>
      </c>
      <c r="D5699" s="2" t="s">
        <f>=HYPERLINK("https://main.knesset.gov.il/APPS/legislation/main/bills/2197794", "הצעת חוק הביטוח הלאומי (תיקון - אי-שלילת זכאות לגמלת סיעוד מקשיש לאחר פטירת בן הזוג), התשפ""ג-2023")</f>
        <v>11411</v>
      </c>
      <c r="E5699" t="s">
        <v>11411</v>
      </c>
      <c r="F5699" t="s">
        <v>11412</v>
      </c>
      <c r="G5699" t="s">
        <v>14</v>
      </c>
      <c r="H5699">
             </c>
      <c r="I5699" t="s">
        <v>14</v>
      </c>
      <c r="J5699" t="s">
        <v>141</v>
      </c>
      <c r="K5699" t="s">
        <v>14</v>
      </c>
      <c r="L5699" t="s">
        <v>20</v>
      </c>
      <c r="M5699" t="s">
        <v>11137</v>
      </c>
      <c r="N5699" t="s">
        <v>14</v>
      </c>
    </row>
    <row r="5700" x14ac:dyDescent="0.25">
      <c r="A5700" t="n">
        <v>25</v>
      </c>
      <c r="B5700" t="s">
        <v>14</v>
      </c>
      <c r="C5700" t="s">
        <v>22</v>
      </c>
      <c r="D5700" s="2" t="s">
        <f>=HYPERLINK("https://main.knesset.gov.il/APPS/legislation/main/bills/2199545", "הצעת חוק לתיקון פקודת הרוקחים (הכשרת עוזרי רוקח), התשפ""ג-2023")</f>
        <v>10518</v>
      </c>
      <c r="E5700" t="s">
        <v>10518</v>
      </c>
      <c r="F5700" t="s">
        <v>11413</v>
      </c>
      <c r="G5700" t="s">
        <v>14</v>
      </c>
      <c r="H5700">
             </c>
      <c r="I5700" t="s">
        <v>14</v>
      </c>
      <c r="J5700" t="s">
        <v>141</v>
      </c>
      <c r="K5700" t="s">
        <v>14</v>
      </c>
      <c r="L5700" t="s">
        <v>20</v>
      </c>
      <c r="M5700" t="s">
        <v>11137</v>
      </c>
      <c r="N5700" t="s">
        <v>14</v>
      </c>
    </row>
    <row r="5701" x14ac:dyDescent="0.25">
      <c r="A5701" t="n">
        <v>25</v>
      </c>
      <c r="B5701" t="s">
        <v>14</v>
      </c>
      <c r="C5701" t="s">
        <v>22</v>
      </c>
      <c r="D5701" s="2" t="s">
        <f>=HYPERLINK("https://main.knesset.gov.il/APPS/legislation/main/bills/2199477", "הצעת חוק פיצוי עסקים קטנים בשל אירועי איבה מתמשכים או מצב חירום כלכלי, התשפ""ג-2023")</f>
        <v>11414</v>
      </c>
      <c r="E5701" t="s">
        <v>11414</v>
      </c>
      <c r="F5701" t="s">
        <v>11415</v>
      </c>
      <c r="G5701" t="s">
        <v>14</v>
      </c>
      <c r="H5701">
             </c>
      <c r="I5701" t="s">
        <v>14</v>
      </c>
      <c r="J5701" t="s">
        <v>141</v>
      </c>
      <c r="K5701" t="s">
        <v>14</v>
      </c>
      <c r="L5701" t="s">
        <v>20</v>
      </c>
      <c r="M5701" t="s">
        <v>11137</v>
      </c>
      <c r="N5701" t="s">
        <v>14</v>
      </c>
    </row>
    <row r="5702" x14ac:dyDescent="0.25">
      <c r="A5702" t="n">
        <v>25</v>
      </c>
      <c r="B5702" t="s">
        <v>14</v>
      </c>
      <c r="C5702" t="s">
        <v>22</v>
      </c>
      <c r="D5702" s="2" t="s">
        <f>=HYPERLINK("https://main.knesset.gov.il/APPS/legislation/main/bills/2199335", "הצעת חוק לתיקון פקודת מס הכנסה (ניכוי תשלומים לביטוח בריאות לעצמאים), התשפ""ג-2023 ")</f>
        <v>11416</v>
      </c>
      <c r="E5702" t="s">
        <v>11416</v>
      </c>
      <c r="F5702" t="s">
        <v>11417</v>
      </c>
      <c r="G5702" t="s">
        <v>14</v>
      </c>
      <c r="H5702">
             </c>
      <c r="I5702" t="s">
        <v>14</v>
      </c>
      <c r="J5702" t="s">
        <v>141</v>
      </c>
      <c r="K5702" t="s">
        <v>14</v>
      </c>
      <c r="L5702" t="s">
        <v>20</v>
      </c>
      <c r="M5702" t="s">
        <v>11137</v>
      </c>
      <c r="N5702" t="s">
        <v>14</v>
      </c>
    </row>
    <row r="5703" x14ac:dyDescent="0.25">
      <c r="A5703" t="n">
        <v>25</v>
      </c>
      <c r="B5703" t="s">
        <v>14</v>
      </c>
      <c r="C5703" t="s">
        <v>22</v>
      </c>
      <c r="D5703" s="2" t="s">
        <f>=HYPERLINK("https://main.knesset.gov.il/APPS/legislation/main/bills/2197793", "הצעת חוק הביטוח הלאומי (תיקון - בדיקת תלות בידי רופא מומחה למבוטח שמלאו לו 75 שנים), התשפ""ג-2023")</f>
        <v>11418</v>
      </c>
      <c r="E5703" t="s">
        <v>11418</v>
      </c>
      <c r="F5703" t="s">
        <v>11419</v>
      </c>
      <c r="G5703" t="s">
        <v>14</v>
      </c>
      <c r="H5703">
             </c>
      <c r="I5703" t="s">
        <v>14</v>
      </c>
      <c r="J5703" t="s">
        <v>141</v>
      </c>
      <c r="K5703" t="s">
        <v>14</v>
      </c>
      <c r="L5703" t="s">
        <v>20</v>
      </c>
      <c r="M5703" t="s">
        <v>11137</v>
      </c>
      <c r="N5703" t="s">
        <v>14</v>
      </c>
    </row>
    <row r="5704" x14ac:dyDescent="0.25">
      <c r="A5704" t="n">
        <v>25</v>
      </c>
      <c r="B5704" t="s">
        <v>14</v>
      </c>
      <c r="C5704" t="s">
        <v>22</v>
      </c>
      <c r="D5704" s="2" t="s">
        <f>=HYPERLINK("https://main.knesset.gov.il/APPS/legislation/main/bills/2198223", "הצעת חוק התוכנית הכלכלית (תיקוני חקיקה ליישום המדיניות הכלכלית לשנות התקציב 2021 ו-2022) (תיקון - דחיית יישום רפורמת הכשרות וביטול הוראת שעה), התשפ""ג-2023")</f>
        <v>11420</v>
      </c>
      <c r="E5704" t="s">
        <v>11420</v>
      </c>
      <c r="F5704" t="s">
        <v>11421</v>
      </c>
      <c r="G5704" t="s">
        <v>14</v>
      </c>
      <c r="H5704">
             </c>
      <c r="I5704" t="s">
        <v>14</v>
      </c>
      <c r="J5704" t="s">
        <v>141</v>
      </c>
      <c r="K5704" t="s">
        <v>14</v>
      </c>
      <c r="L5704" t="s">
        <v>20</v>
      </c>
      <c r="M5704" t="s">
        <v>11137</v>
      </c>
      <c r="N5704" t="s">
        <v>14</v>
      </c>
    </row>
    <row r="5705" x14ac:dyDescent="0.25">
      <c r="A5705" t="n">
        <v>25</v>
      </c>
      <c r="B5705" t="s">
        <v>14</v>
      </c>
      <c r="C5705" t="s">
        <v>22</v>
      </c>
      <c r="D5705" s="2" t="s">
        <f>=HYPERLINK("https://main.knesset.gov.il/APPS/legislation/main/bills/2200131", "הצעת חוק הגנת הצרכן (תיקון - סיכום פנייה), התשפ""ג-2023")</f>
        <v>11422</v>
      </c>
      <c r="E5705" t="s">
        <v>11422</v>
      </c>
      <c r="F5705" t="s">
        <v>11423</v>
      </c>
      <c r="G5705" t="s">
        <v>14</v>
      </c>
      <c r="H5705">
             </c>
      <c r="I5705" t="s">
        <v>14</v>
      </c>
      <c r="J5705" t="s">
        <v>141</v>
      </c>
      <c r="K5705" t="s">
        <v>14</v>
      </c>
      <c r="L5705" t="s">
        <v>20</v>
      </c>
      <c r="M5705" t="s">
        <v>11137</v>
      </c>
      <c r="N5705" t="s">
        <v>14</v>
      </c>
    </row>
    <row r="5706" x14ac:dyDescent="0.25">
      <c r="A5706" t="n">
        <v>25</v>
      </c>
      <c r="B5706" t="s">
        <v>14</v>
      </c>
      <c r="C5706" t="s">
        <v>22</v>
      </c>
      <c r="D5706" s="2" t="s">
        <f>=HYPERLINK("https://main.knesset.gov.il/APPS/legislation/main/bills/2199910", "הצעת חוק הגנת הצרכן (תיקון - סיכום פנייה), התשפ""ג-2023")</f>
        <v>11422</v>
      </c>
      <c r="E5706" t="s">
        <v>11422</v>
      </c>
      <c r="F5706" t="s">
        <v>11424</v>
      </c>
      <c r="G5706" t="s">
        <v>14</v>
      </c>
      <c r="H5706">
             </c>
      <c r="I5706" t="s">
        <v>14</v>
      </c>
      <c r="J5706" t="s">
        <v>141</v>
      </c>
      <c r="K5706" t="s">
        <v>14</v>
      </c>
      <c r="L5706" t="s">
        <v>20</v>
      </c>
      <c r="M5706" t="s">
        <v>11137</v>
      </c>
      <c r="N5706" t="s">
        <v>14</v>
      </c>
    </row>
    <row r="5707" x14ac:dyDescent="0.25">
      <c r="A5707" t="n">
        <v>25</v>
      </c>
      <c r="B5707" t="s">
        <v>14</v>
      </c>
      <c r="C5707" t="s">
        <v>22</v>
      </c>
      <c r="D5707" s="2" t="s">
        <f>=HYPERLINK("https://main.knesset.gov.il/APPS/legislation/main/bills/2198934", "הצעת חוק ביטוח בריאות ממלכתי (תיקון - החזר דמי נסיעות והסעות לטיפולי אונקולוגיה ודיאליזה), התשפ""ג-2023")</f>
        <v>11425</v>
      </c>
      <c r="E5707" t="s">
        <v>11425</v>
      </c>
      <c r="F5707" t="s">
        <v>11426</v>
      </c>
      <c r="G5707" t="s">
        <v>14</v>
      </c>
      <c r="H5707">
             </c>
      <c r="I5707" t="s">
        <v>14</v>
      </c>
      <c r="J5707" t="s">
        <v>141</v>
      </c>
      <c r="K5707" t="s">
        <v>14</v>
      </c>
      <c r="L5707" t="s">
        <v>20</v>
      </c>
      <c r="M5707" t="s">
        <v>11137</v>
      </c>
      <c r="N5707" t="s">
        <v>14</v>
      </c>
    </row>
    <row r="5708" x14ac:dyDescent="0.25">
      <c r="A5708" t="n">
        <v>25</v>
      </c>
      <c r="B5708" t="s">
        <v>14</v>
      </c>
      <c r="C5708" t="s">
        <v>22</v>
      </c>
      <c r="D5708" s="2" t="s">
        <f>=HYPERLINK("https://main.knesset.gov.il/APPS/legislation/main/bills/2198771", "הצעת חוק ביטוח בריאות ממלכתי (תיקון - החזר דמי נסיעות והסעות לטיפולי אונקולוגיה ודיאליזה), התשפ""ג-2023")</f>
        <v>11425</v>
      </c>
      <c r="E5708" t="s">
        <v>11425</v>
      </c>
      <c r="F5708" t="s">
        <v>11427</v>
      </c>
      <c r="G5708" t="s">
        <v>14</v>
      </c>
      <c r="H5708">
             </c>
      <c r="I5708" t="s">
        <v>14</v>
      </c>
      <c r="J5708" t="s">
        <v>141</v>
      </c>
      <c r="K5708" t="s">
        <v>14</v>
      </c>
      <c r="L5708" t="s">
        <v>20</v>
      </c>
      <c r="M5708" t="s">
        <v>11137</v>
      </c>
      <c r="N5708" t="s">
        <v>14</v>
      </c>
    </row>
    <row r="5709" x14ac:dyDescent="0.25">
      <c r="A5709" t="n">
        <v>25</v>
      </c>
      <c r="B5709" t="s">
        <v>14</v>
      </c>
      <c r="C5709" t="s">
        <v>22</v>
      </c>
      <c r="D5709" s="2" t="s">
        <f>=HYPERLINK("https://main.knesset.gov.il/APPS/legislation/main/bills/2198679", "הצעת חוק הבטחת הכנסה (תיקון - גמלה להורה עצמאי), התשפ""ג-2023")</f>
        <v>10778</v>
      </c>
      <c r="E5709" t="s">
        <v>10778</v>
      </c>
      <c r="F5709" t="s">
        <v>11428</v>
      </c>
      <c r="G5709" t="s">
        <v>14</v>
      </c>
      <c r="H5709">
             </c>
      <c r="I5709" t="s">
        <v>14</v>
      </c>
      <c r="J5709" t="s">
        <v>141</v>
      </c>
      <c r="K5709" t="s">
        <v>14</v>
      </c>
      <c r="L5709" t="s">
        <v>20</v>
      </c>
      <c r="M5709" t="s">
        <v>11137</v>
      </c>
      <c r="N5709" t="s">
        <v>14</v>
      </c>
    </row>
    <row r="5710" x14ac:dyDescent="0.25">
      <c r="A5710" t="n">
        <v>25</v>
      </c>
      <c r="B5710" t="s">
        <v>14</v>
      </c>
      <c r="C5710" t="s">
        <v>22</v>
      </c>
      <c r="D5710" s="2" t="s">
        <f>=HYPERLINK("https://main.knesset.gov.il/APPS/legislation/main/bills/2198640", "הצעת חוק התכנון והבנייה (תיקון מס' 116) (תיקון - ביטול החוק), התשפ""ג-2023")</f>
        <v>11429</v>
      </c>
      <c r="E5710" t="s">
        <v>11429</v>
      </c>
      <c r="F5710" t="s">
        <v>11430</v>
      </c>
      <c r="G5710" t="s">
        <v>14</v>
      </c>
      <c r="H5710">
             </c>
      <c r="I5710" t="s">
        <v>14</v>
      </c>
      <c r="J5710" t="s">
        <v>141</v>
      </c>
      <c r="K5710" t="s">
        <v>14</v>
      </c>
      <c r="L5710" t="s">
        <v>20</v>
      </c>
      <c r="M5710" t="s">
        <v>11137</v>
      </c>
      <c r="N5710" t="s">
        <v>14</v>
      </c>
    </row>
    <row r="5711" x14ac:dyDescent="0.25">
      <c r="A5711" t="n">
        <v>25</v>
      </c>
      <c r="B5711" t="s">
        <v>14</v>
      </c>
      <c r="C5711" t="s">
        <v>22</v>
      </c>
      <c r="D5711" s="2" t="s">
        <f>=HYPERLINK("https://main.knesset.gov.il/APPS/legislation/main/bills/2198629", "הצעת חוק הביטוח הלאומי (תיקון - גמלה בשל דיכאון לאחר לידה), התשפ""ג-2023")</f>
        <v>11431</v>
      </c>
      <c r="E5711" t="s">
        <v>11431</v>
      </c>
      <c r="F5711" t="s">
        <v>11432</v>
      </c>
      <c r="G5711" t="s">
        <v>14</v>
      </c>
      <c r="H5711">
             </c>
      <c r="I5711" t="s">
        <v>14</v>
      </c>
      <c r="J5711" t="s">
        <v>141</v>
      </c>
      <c r="K5711" t="s">
        <v>14</v>
      </c>
      <c r="L5711" t="s">
        <v>20</v>
      </c>
      <c r="M5711" t="s">
        <v>11137</v>
      </c>
      <c r="N5711" t="s">
        <v>14</v>
      </c>
    </row>
    <row r="5712" x14ac:dyDescent="0.25">
      <c r="A5712" t="n">
        <v>25</v>
      </c>
      <c r="B5712" t="s">
        <v>14</v>
      </c>
      <c r="C5712" t="s">
        <v>15</v>
      </c>
      <c r="D5712" s="2" t="s">
        <f>=HYPERLINK("https://main.knesset.gov.il/APPS/legislation/main/bills/2199293", "חוק להארכת תוקפן של תקנות שעת חירום (יהודה והשומרון – שיפוט בעבירות ועזרה משפטית), התשפ""ג-2023")</f>
        <v>11433</v>
      </c>
      <c r="E5712" t="s">
        <v>11433</v>
      </c>
      <c r="F5712" t="s">
        <v>14</v>
      </c>
      <c r="G5712" t="s">
        <v>11434</v>
      </c>
      <c r="H5712" t="n">
        <v>3014</v>
      </c>
      <c r="I5712" t="s">
        <v>14</v>
      </c>
      <c r="J5712" t="s">
        <v>91</v>
      </c>
      <c r="K5712" t="s">
        <v>114</v>
      </c>
      <c r="L5712" t="s">
        <v>20</v>
      </c>
      <c r="M5712" t="s">
        <v>11435</v>
      </c>
      <c r="N5712" t="s">
        <v>11436</v>
      </c>
    </row>
    <row r="5713" x14ac:dyDescent="0.25">
      <c r="A5713" t="n">
        <v>25</v>
      </c>
      <c r="B5713" t="s">
        <v>14</v>
      </c>
      <c r="C5713" t="s">
        <v>20</v>
      </c>
      <c r="D5713" s="2" t="s">
        <f>=HYPERLINK("https://main.knesset.gov.il/APPS/legislation/main/bills/2199174", "חוק-יסוד: הכנסת (תיקון מס' 52)")</f>
        <v>11437</v>
      </c>
      <c r="E5713" t="s">
        <v>11437</v>
      </c>
      <c r="F5713" t="s">
        <v>14</v>
      </c>
      <c r="G5713" t="s">
        <v>11438</v>
      </c>
      <c r="H5713" t="n">
        <v>3013</v>
      </c>
      <c r="I5713" t="s">
        <v>14</v>
      </c>
      <c r="J5713" t="s">
        <v>91</v>
      </c>
      <c r="K5713" t="s">
        <v>27</v>
      </c>
      <c r="L5713" t="s">
        <v>20</v>
      </c>
      <c r="M5713" t="s">
        <v>11439</v>
      </c>
      <c r="N5713" t="s">
        <v>11440</v>
      </c>
    </row>
    <row r="5714" x14ac:dyDescent="0.25">
      <c r="A5714" t="n">
        <v>25</v>
      </c>
      <c r="B5714" t="s">
        <v>14</v>
      </c>
      <c r="C5714" t="s">
        <v>22</v>
      </c>
      <c r="D5714" s="2" t="s">
        <f>=HYPERLINK("https://main.knesset.gov.il/APPS/legislation/main/bills/2199653", "הצעת חוק בתי המשפט (תיקון - הוועדה לבחירת שופטים), התשפ""ג-2023")</f>
        <v>11441</v>
      </c>
      <c r="E5714" t="s">
        <v>11441</v>
      </c>
      <c r="F5714" t="s">
        <v>11442</v>
      </c>
      <c r="G5714" t="s">
        <v>14</v>
      </c>
      <c r="H5714">
             </c>
      <c r="I5714" t="s">
        <v>14</v>
      </c>
      <c r="J5714" t="s">
        <v>141</v>
      </c>
      <c r="K5714" t="s">
        <v>14</v>
      </c>
      <c r="L5714" t="s">
        <v>20</v>
      </c>
      <c r="M5714" t="s">
        <v>11439</v>
      </c>
      <c r="N5714" t="s">
        <v>14</v>
      </c>
    </row>
    <row r="5715" x14ac:dyDescent="0.25">
      <c r="A5715" t="n">
        <v>25</v>
      </c>
      <c r="B5715" t="s">
        <v>14</v>
      </c>
      <c r="C5715" t="s">
        <v>22</v>
      </c>
      <c r="D5715" s="2" t="s">
        <f>=HYPERLINK("https://main.knesset.gov.il/APPS/legislation/main/bills/2199654", "הצעת חוק-יסוד: השפיטה (תיקון - רפורמה במשפט)")</f>
        <v>11443</v>
      </c>
      <c r="E5715" t="s">
        <v>11443</v>
      </c>
      <c r="F5715" t="s">
        <v>11444</v>
      </c>
      <c r="G5715" t="s">
        <v>14</v>
      </c>
      <c r="H5715">
             </c>
      <c r="I5715" t="s">
        <v>14</v>
      </c>
      <c r="J5715" t="s">
        <v>141</v>
      </c>
      <c r="K5715" t="s">
        <v>14</v>
      </c>
      <c r="L5715" t="s">
        <v>20</v>
      </c>
      <c r="M5715" t="s">
        <v>11439</v>
      </c>
      <c r="N5715" t="s">
        <v>14</v>
      </c>
    </row>
    <row r="5716" x14ac:dyDescent="0.25">
      <c r="A5716" t="n">
        <v>25</v>
      </c>
      <c r="B5716" t="s">
        <v>14</v>
      </c>
      <c r="C5716" t="s">
        <v>22</v>
      </c>
      <c r="D5716" s="2" t="s">
        <f>=HYPERLINK("https://main.knesset.gov.il/APPS/legislation/main/bills/2197607", "הצעת חוק הרשות הלאומית לאיחוד העם, התשפ""ג-2023")</f>
        <v>11445</v>
      </c>
      <c r="E5716" t="s">
        <v>11445</v>
      </c>
      <c r="F5716" t="s">
        <v>11446</v>
      </c>
      <c r="G5716" t="s">
        <v>14</v>
      </c>
      <c r="H5716">
             </c>
      <c r="I5716" t="s">
        <v>14</v>
      </c>
      <c r="J5716" t="s">
        <v>141</v>
      </c>
      <c r="K5716" t="s">
        <v>14</v>
      </c>
      <c r="L5716" t="s">
        <v>20</v>
      </c>
      <c r="M5716" t="s">
        <v>11439</v>
      </c>
      <c r="N5716" t="s">
        <v>14</v>
      </c>
    </row>
    <row r="5717" x14ac:dyDescent="0.25">
      <c r="A5717" t="n">
        <v>25</v>
      </c>
      <c r="B5717" t="s">
        <v>14</v>
      </c>
      <c r="C5717" t="s">
        <v>22</v>
      </c>
      <c r="D5717" s="2" t="s">
        <f>=HYPERLINK("https://main.knesset.gov.il/APPS/legislation/main/bills/2197376", "הצעת חוק שכר מינימום (תיקון - העלאת שכר המינימום ועדכונו לפי פריון העבודה), התשפ""ג-2023")</f>
        <v>11447</v>
      </c>
      <c r="E5717" t="s">
        <v>11447</v>
      </c>
      <c r="F5717" t="s">
        <v>11448</v>
      </c>
      <c r="G5717" t="s">
        <v>14</v>
      </c>
      <c r="H5717">
             </c>
      <c r="I5717" t="s">
        <v>14</v>
      </c>
      <c r="J5717" t="s">
        <v>141</v>
      </c>
      <c r="K5717" t="s">
        <v>14</v>
      </c>
      <c r="L5717" t="s">
        <v>20</v>
      </c>
      <c r="M5717" t="s">
        <v>11439</v>
      </c>
      <c r="N5717" t="s">
        <v>14</v>
      </c>
    </row>
    <row r="5718" x14ac:dyDescent="0.25">
      <c r="A5718" t="n">
        <v>25</v>
      </c>
      <c r="B5718" t="s">
        <v>14</v>
      </c>
      <c r="C5718" t="s">
        <v>22</v>
      </c>
      <c r="D5718" s="2" t="s">
        <f>=HYPERLINK("https://main.knesset.gov.il/APPS/legislation/main/bills/2198779", "הצעת חוק רשת ביטחון לעצמאים - הפקדות וזכויות סוציאליות (תיקוני חקיקה), התשפ""ג-2023")</f>
        <v>11449</v>
      </c>
      <c r="E5718" t="s">
        <v>11449</v>
      </c>
      <c r="F5718" t="s">
        <v>11450</v>
      </c>
      <c r="G5718" t="s">
        <v>14</v>
      </c>
      <c r="H5718">
             </c>
      <c r="I5718" t="s">
        <v>14</v>
      </c>
      <c r="J5718" t="s">
        <v>141</v>
      </c>
      <c r="K5718" t="s">
        <v>14</v>
      </c>
      <c r="L5718" t="s">
        <v>20</v>
      </c>
      <c r="M5718" t="s">
        <v>11439</v>
      </c>
      <c r="N5718" t="s">
        <v>14</v>
      </c>
    </row>
    <row r="5719" x14ac:dyDescent="0.25">
      <c r="A5719" t="n">
        <v>25</v>
      </c>
      <c r="B5719" t="s">
        <v>14</v>
      </c>
      <c r="C5719" t="s">
        <v>22</v>
      </c>
      <c r="D5719" s="2" t="s">
        <f>=HYPERLINK("https://main.knesset.gov.il/APPS/legislation/main/bills/2199470", "הצעת חוק שירות ביטחון (תיקון - שילוב תלמידי ישיבות), התשפ""ג-2023")</f>
        <v>11451</v>
      </c>
      <c r="E5719" t="s">
        <v>11451</v>
      </c>
      <c r="F5719" t="s">
        <v>11452</v>
      </c>
      <c r="G5719" t="s">
        <v>14</v>
      </c>
      <c r="H5719">
             </c>
      <c r="I5719" t="s">
        <v>14</v>
      </c>
      <c r="J5719" t="s">
        <v>141</v>
      </c>
      <c r="K5719" t="s">
        <v>14</v>
      </c>
      <c r="L5719" t="s">
        <v>20</v>
      </c>
      <c r="M5719" t="s">
        <v>11439</v>
      </c>
      <c r="N5719" t="s">
        <v>14</v>
      </c>
    </row>
    <row r="5720" x14ac:dyDescent="0.25">
      <c r="A5720" t="n">
        <v>25</v>
      </c>
      <c r="B5720" t="s">
        <v>14</v>
      </c>
      <c r="C5720" t="s">
        <v>22</v>
      </c>
      <c r="D5720" s="2" t="s">
        <f>=HYPERLINK("https://main.knesset.gov.il/APPS/legislation/main/bills/2198687", "הצעת חוק לתיקון פקודת מס הכנסה (דחיית מימוש נקודות זיכוי לחיילים משוחררים), התשפ""ג-2023")</f>
        <v>8565</v>
      </c>
      <c r="E5720" t="s">
        <v>8565</v>
      </c>
      <c r="F5720" t="s">
        <v>11453</v>
      </c>
      <c r="G5720" t="s">
        <v>14</v>
      </c>
      <c r="H5720">
             </c>
      <c r="I5720" t="s">
        <v>14</v>
      </c>
      <c r="J5720" t="s">
        <v>343</v>
      </c>
      <c r="K5720" t="s">
        <v>14</v>
      </c>
      <c r="L5720" t="s">
        <v>20</v>
      </c>
      <c r="M5720" t="s">
        <v>11439</v>
      </c>
      <c r="N5720" t="s">
        <v>14</v>
      </c>
    </row>
    <row r="5721" x14ac:dyDescent="0.25">
      <c r="A5721" t="n">
        <v>25</v>
      </c>
      <c r="B5721" t="s">
        <v>14</v>
      </c>
      <c r="C5721" t="s">
        <v>22</v>
      </c>
      <c r="D5721" s="2" t="s">
        <f>=HYPERLINK("https://main.knesset.gov.il/APPS/legislation/main/bills/2199551", "הצעת חוק לתיקון פקודת מס הכנסה (נקודות זיכוי למשפחות אומנה), התשפ""ג-2023")</f>
        <v>10231</v>
      </c>
      <c r="E5721" t="s">
        <v>10231</v>
      </c>
      <c r="F5721" t="s">
        <v>11454</v>
      </c>
      <c r="G5721" t="s">
        <v>14</v>
      </c>
      <c r="H5721">
             </c>
      <c r="I5721" t="s">
        <v>14</v>
      </c>
      <c r="J5721" t="s">
        <v>141</v>
      </c>
      <c r="K5721" t="s">
        <v>14</v>
      </c>
      <c r="L5721" t="s">
        <v>20</v>
      </c>
      <c r="M5721" t="s">
        <v>11439</v>
      </c>
      <c r="N5721" t="s">
        <v>14</v>
      </c>
    </row>
    <row r="5722" x14ac:dyDescent="0.25">
      <c r="A5722" t="n">
        <v>25</v>
      </c>
      <c r="B5722" t="s">
        <v>14</v>
      </c>
      <c r="C5722" t="s">
        <v>22</v>
      </c>
      <c r="D5722" s="2" t="s">
        <f>=HYPERLINK("https://main.knesset.gov.il/APPS/legislation/main/bills/2198811", "הצעת חוק לתיקון פקודת מס הכנסה (נקודות זיכוי למשפחות אומנה), התשפ""ג-2023")</f>
        <v>10231</v>
      </c>
      <c r="E5722" t="s">
        <v>10231</v>
      </c>
      <c r="F5722" t="s">
        <v>11455</v>
      </c>
      <c r="G5722" t="s">
        <v>14</v>
      </c>
      <c r="H5722">
             </c>
      <c r="I5722" t="s">
        <v>14</v>
      </c>
      <c r="J5722" t="s">
        <v>141</v>
      </c>
      <c r="K5722" t="s">
        <v>14</v>
      </c>
      <c r="L5722" t="s">
        <v>20</v>
      </c>
      <c r="M5722" t="s">
        <v>11439</v>
      </c>
      <c r="N5722" t="s">
        <v>14</v>
      </c>
    </row>
    <row r="5723" x14ac:dyDescent="0.25">
      <c r="A5723" t="n">
        <v>25</v>
      </c>
      <c r="B5723" t="s">
        <v>14</v>
      </c>
      <c r="C5723" t="s">
        <v>22</v>
      </c>
      <c r="D5723" s="2" t="s">
        <f>=HYPERLINK("https://main.knesset.gov.il/APPS/legislation/main/bills/2198900", "הצעת חוק לתיקון פקודת מס הכנסה (סמכות ועדת הכספים באישור מוסד ציבורי לעניין הטבות מס), התשפ""ג-2023")</f>
        <v>11456</v>
      </c>
      <c r="E5723" t="s">
        <v>11456</v>
      </c>
      <c r="F5723" t="s">
        <v>11457</v>
      </c>
      <c r="G5723" t="s">
        <v>14</v>
      </c>
      <c r="H5723">
             </c>
      <c r="I5723" t="s">
        <v>14</v>
      </c>
      <c r="J5723" t="s">
        <v>141</v>
      </c>
      <c r="K5723" t="s">
        <v>14</v>
      </c>
      <c r="L5723" t="s">
        <v>20</v>
      </c>
      <c r="M5723" t="s">
        <v>11439</v>
      </c>
      <c r="N5723" t="s">
        <v>14</v>
      </c>
    </row>
    <row r="5724" x14ac:dyDescent="0.25">
      <c r="A5724" t="n">
        <v>25</v>
      </c>
      <c r="B5724" t="s">
        <v>14</v>
      </c>
      <c r="C5724" t="s">
        <v>22</v>
      </c>
      <c r="D5724" s="2" t="s">
        <f>=HYPERLINK("https://main.knesset.gov.il/APPS/legislation/main/bills/2199356", "הצעת חוק מס להפחתת גודש התנועה באזור גוש דן (תיקון - ביטול החוק), התשפ""ג-2023")</f>
        <v>10241</v>
      </c>
      <c r="E5724" t="s">
        <v>10241</v>
      </c>
      <c r="F5724" t="s">
        <v>11458</v>
      </c>
      <c r="G5724" t="s">
        <v>14</v>
      </c>
      <c r="H5724">
             </c>
      <c r="I5724" t="s">
        <v>14</v>
      </c>
      <c r="J5724" t="s">
        <v>141</v>
      </c>
      <c r="K5724" t="s">
        <v>14</v>
      </c>
      <c r="L5724" t="s">
        <v>20</v>
      </c>
      <c r="M5724" t="s">
        <v>11439</v>
      </c>
      <c r="N5724" t="s">
        <v>14</v>
      </c>
    </row>
    <row r="5725" x14ac:dyDescent="0.25">
      <c r="A5725" t="n">
        <v>25</v>
      </c>
      <c r="B5725" t="s">
        <v>14</v>
      </c>
      <c r="C5725" t="s">
        <v>22</v>
      </c>
      <c r="D5725" s="2" t="s">
        <f>=HYPERLINK("https://main.knesset.gov.il/APPS/legislation/main/bills/2198912", "הצעת חוק הסדרים במשק המדינה (תיקוני חקיקה להשגת יעדי התקציב) (תיקון - חובת הענקת הנחה בארנונה לאדם בעל מוגבלות), התשפ""ג-2023")</f>
        <v>10245</v>
      </c>
      <c r="E5725" t="s">
        <v>10245</v>
      </c>
      <c r="F5725" t="s">
        <v>11459</v>
      </c>
      <c r="G5725" t="s">
        <v>14</v>
      </c>
      <c r="H5725">
             </c>
      <c r="I5725" t="s">
        <v>14</v>
      </c>
      <c r="J5725" t="s">
        <v>141</v>
      </c>
      <c r="K5725" t="s">
        <v>14</v>
      </c>
      <c r="L5725" t="s">
        <v>20</v>
      </c>
      <c r="M5725" t="s">
        <v>11439</v>
      </c>
      <c r="N5725" t="s">
        <v>14</v>
      </c>
    </row>
    <row r="5726" x14ac:dyDescent="0.25">
      <c r="A5726" t="n">
        <v>25</v>
      </c>
      <c r="B5726" t="s">
        <v>14</v>
      </c>
      <c r="C5726" t="s">
        <v>22</v>
      </c>
      <c r="D5726" s="2" t="s">
        <f>=HYPERLINK("https://main.knesset.gov.il/APPS/legislation/main/bills/2199514", "הצעת חוק שוויון זכויות לאנשים עם מוגבלות (תיקון - מידע בדבר עמידת מעסיקים פרטיים גדולים ביעד הייצוג ההולם), התשפ""ג-2023")</f>
        <v>8806</v>
      </c>
      <c r="E5726" t="s">
        <v>8806</v>
      </c>
      <c r="F5726" t="s">
        <v>11460</v>
      </c>
      <c r="G5726" t="s">
        <v>14</v>
      </c>
      <c r="H5726">
             </c>
      <c r="I5726" t="s">
        <v>14</v>
      </c>
      <c r="J5726" t="s">
        <v>141</v>
      </c>
      <c r="K5726" t="s">
        <v>14</v>
      </c>
      <c r="L5726" t="s">
        <v>20</v>
      </c>
      <c r="M5726" t="s">
        <v>11439</v>
      </c>
      <c r="N5726" t="s">
        <v>14</v>
      </c>
    </row>
    <row r="5727" x14ac:dyDescent="0.25">
      <c r="A5727" t="n">
        <v>25</v>
      </c>
      <c r="B5727" t="s">
        <v>14</v>
      </c>
      <c r="C5727" t="s">
        <v>22</v>
      </c>
      <c r="D5727" s="2" t="s">
        <f>=HYPERLINK("https://main.knesset.gov.il/APPS/legislation/main/bills/2199176", "הצעת חוק הביטוח הלאומי (תיקון - קצבת תלויים וקצבת אזרח ותיק), התשפ""ג-2023")</f>
        <v>9461</v>
      </c>
      <c r="E5727" t="s">
        <v>9461</v>
      </c>
      <c r="F5727" t="s">
        <v>11461</v>
      </c>
      <c r="G5727" t="s">
        <v>14</v>
      </c>
      <c r="H5727">
             </c>
      <c r="I5727" t="s">
        <v>14</v>
      </c>
      <c r="J5727" t="s">
        <v>141</v>
      </c>
      <c r="K5727" t="s">
        <v>14</v>
      </c>
      <c r="L5727" t="s">
        <v>20</v>
      </c>
      <c r="M5727" t="s">
        <v>11439</v>
      </c>
      <c r="N5727" t="s">
        <v>14</v>
      </c>
    </row>
    <row r="5728" x14ac:dyDescent="0.25">
      <c r="A5728" t="n">
        <v>25</v>
      </c>
      <c r="B5728" t="s">
        <v>14</v>
      </c>
      <c r="C5728" t="s">
        <v>22</v>
      </c>
      <c r="D5728" s="2" t="s">
        <f>=HYPERLINK("https://main.knesset.gov.il/APPS/legislation/main/bills/2198173", "הצעת חוק הביטוח הלאומי (תיקון - הגדלת קצבת הנכות), התשפ""ג-2023")</f>
        <v>11462</v>
      </c>
      <c r="E5728" t="s">
        <v>11462</v>
      </c>
      <c r="F5728" t="s">
        <v>11463</v>
      </c>
      <c r="G5728" t="s">
        <v>14</v>
      </c>
      <c r="H5728">
             </c>
      <c r="I5728" t="s">
        <v>14</v>
      </c>
      <c r="J5728" t="s">
        <v>141</v>
      </c>
      <c r="K5728" t="s">
        <v>14</v>
      </c>
      <c r="L5728" t="s">
        <v>20</v>
      </c>
      <c r="M5728" t="s">
        <v>11439</v>
      </c>
      <c r="N5728" t="s">
        <v>14</v>
      </c>
    </row>
    <row r="5729" x14ac:dyDescent="0.25">
      <c r="A5729" t="n">
        <v>25</v>
      </c>
      <c r="B5729" t="s">
        <v>14</v>
      </c>
      <c r="C5729" t="s">
        <v>22</v>
      </c>
      <c r="D5729" s="2" t="s">
        <f>=HYPERLINK("https://main.knesset.gov.il/APPS/legislation/main/bills/2198675", "הצעת חוק להגדלת שיעור ההשתתפות בכוח העבודה ולצמצום פערים חברתיים (מענק עבודה) (תיקון - פטור מהשבת מענקים להתמודדות עם השלכות נגיף הקורונה), התשפ""ג-2023")</f>
        <v>11464</v>
      </c>
      <c r="E5729" t="s">
        <v>11464</v>
      </c>
      <c r="F5729" t="s">
        <v>11465</v>
      </c>
      <c r="G5729" t="s">
        <v>14</v>
      </c>
      <c r="H5729">
             </c>
      <c r="I5729" t="s">
        <v>14</v>
      </c>
      <c r="J5729" t="s">
        <v>141</v>
      </c>
      <c r="K5729" t="s">
        <v>14</v>
      </c>
      <c r="L5729" t="s">
        <v>20</v>
      </c>
      <c r="M5729" t="s">
        <v>11439</v>
      </c>
      <c r="N5729" t="s">
        <v>14</v>
      </c>
    </row>
    <row r="5730" x14ac:dyDescent="0.25">
      <c r="A5730" t="n">
        <v>25</v>
      </c>
      <c r="B5730" t="s">
        <v>14</v>
      </c>
      <c r="C5730" t="s">
        <v>22</v>
      </c>
      <c r="D5730" s="2" t="s">
        <f>=HYPERLINK("https://main.knesset.gov.il/APPS/legislation/main/bills/2199539", "הצעת חוק לתיקון פקודת מס הכנסה (הכרה בניכוי הפקדות לביטוח סיעודי), התשפ""ג-2023")</f>
        <v>11466</v>
      </c>
      <c r="E5730" t="s">
        <v>11466</v>
      </c>
      <c r="F5730" t="s">
        <v>11467</v>
      </c>
      <c r="G5730" t="s">
        <v>14</v>
      </c>
      <c r="H5730">
             </c>
      <c r="I5730" t="s">
        <v>14</v>
      </c>
      <c r="J5730" t="s">
        <v>141</v>
      </c>
      <c r="K5730" t="s">
        <v>14</v>
      </c>
      <c r="L5730" t="s">
        <v>20</v>
      </c>
      <c r="M5730" t="s">
        <v>11439</v>
      </c>
      <c r="N5730" t="s">
        <v>14</v>
      </c>
    </row>
    <row r="5731" x14ac:dyDescent="0.25">
      <c r="A5731" t="n">
        <v>25</v>
      </c>
      <c r="B5731" t="s">
        <v>14</v>
      </c>
      <c r="C5731" t="s">
        <v>22</v>
      </c>
      <c r="D5731" s="2" t="s">
        <f>=HYPERLINK("https://main.knesset.gov.il/APPS/legislation/main/bills/2199204", "הצעת חוק ביטוח בריאות ממלכתי (תיקון - העברת תיק רפואי במעבר בין קופות), התשפ""ג-2023")</f>
        <v>10295</v>
      </c>
      <c r="E5731" t="s">
        <v>10295</v>
      </c>
      <c r="F5731" t="s">
        <v>11468</v>
      </c>
      <c r="G5731" t="s">
        <v>14</v>
      </c>
      <c r="H5731">
             </c>
      <c r="I5731" t="s">
        <v>14</v>
      </c>
      <c r="J5731" t="s">
        <v>141</v>
      </c>
      <c r="K5731" t="s">
        <v>14</v>
      </c>
      <c r="L5731" t="s">
        <v>20</v>
      </c>
      <c r="M5731" t="s">
        <v>11439</v>
      </c>
      <c r="N5731" t="s">
        <v>14</v>
      </c>
    </row>
    <row r="5732" x14ac:dyDescent="0.25">
      <c r="A5732" t="n">
        <v>25</v>
      </c>
      <c r="B5732" t="s">
        <v>14</v>
      </c>
      <c r="C5732" t="s">
        <v>22</v>
      </c>
      <c r="D5732" s="2" t="s">
        <f>=HYPERLINK("https://main.knesset.gov.il/APPS/legislation/main/bills/2198682", "הצעת חוק האזרחות והכניסה לישראל (הוראת שעה) (תיקון - היתר לגבי בני זוג), התשפ""ג-2023")</f>
        <v>11469</v>
      </c>
      <c r="E5732" t="s">
        <v>11469</v>
      </c>
      <c r="F5732" t="s">
        <v>11470</v>
      </c>
      <c r="G5732" t="s">
        <v>14</v>
      </c>
      <c r="H5732">
             </c>
      <c r="I5732" t="s">
        <v>14</v>
      </c>
      <c r="J5732" t="s">
        <v>141</v>
      </c>
      <c r="K5732" t="s">
        <v>14</v>
      </c>
      <c r="L5732" t="s">
        <v>20</v>
      </c>
      <c r="M5732" t="s">
        <v>11439</v>
      </c>
      <c r="N5732" t="s">
        <v>14</v>
      </c>
    </row>
    <row r="5733" x14ac:dyDescent="0.25">
      <c r="A5733" t="n">
        <v>25</v>
      </c>
      <c r="B5733" t="s">
        <v>14</v>
      </c>
      <c r="C5733" t="s">
        <v>22</v>
      </c>
      <c r="D5733" s="2" t="s">
        <f>=HYPERLINK("https://main.knesset.gov.il/APPS/legislation/main/bills/2198933", "הצעת חוק ביטוח בריאות ממלכתי (תיקון - הרחבת הסדרי הבחירה), התשפ""ג-2023")</f>
        <v>9335</v>
      </c>
      <c r="E5733" t="s">
        <v>9335</v>
      </c>
      <c r="F5733" t="s">
        <v>11471</v>
      </c>
      <c r="G5733" t="s">
        <v>14</v>
      </c>
      <c r="H5733">
             </c>
      <c r="I5733" t="s">
        <v>14</v>
      </c>
      <c r="J5733" t="s">
        <v>141</v>
      </c>
      <c r="K5733" t="s">
        <v>14</v>
      </c>
      <c r="L5733" t="s">
        <v>20</v>
      </c>
      <c r="M5733" t="s">
        <v>11439</v>
      </c>
      <c r="N5733" t="s">
        <v>14</v>
      </c>
    </row>
    <row r="5734" x14ac:dyDescent="0.25">
      <c r="A5734" t="n">
        <v>25</v>
      </c>
      <c r="B5734" t="s">
        <v>14</v>
      </c>
      <c r="C5734" t="s">
        <v>22</v>
      </c>
      <c r="D5734" s="2" t="s">
        <f>=HYPERLINK("https://main.knesset.gov.il/APPS/legislation/main/bills/2199184", "הצעת חוק הביטוח הלאומי (תיקון - ערעור על החלטת ועדה לעררים), התשפ""ג-2023")</f>
        <v>9829</v>
      </c>
      <c r="E5734" t="s">
        <v>9829</v>
      </c>
      <c r="F5734" t="s">
        <v>11472</v>
      </c>
      <c r="G5734" t="s">
        <v>14</v>
      </c>
      <c r="H5734">
             </c>
      <c r="I5734" t="s">
        <v>14</v>
      </c>
      <c r="J5734" t="s">
        <v>141</v>
      </c>
      <c r="K5734" t="s">
        <v>14</v>
      </c>
      <c r="L5734" t="s">
        <v>20</v>
      </c>
      <c r="M5734" t="s">
        <v>11439</v>
      </c>
      <c r="N5734" t="s">
        <v>14</v>
      </c>
    </row>
    <row r="5735" x14ac:dyDescent="0.25">
      <c r="A5735" t="n">
        <v>25</v>
      </c>
      <c r="B5735" t="s">
        <v>14</v>
      </c>
      <c r="C5735" t="s">
        <v>22</v>
      </c>
      <c r="D5735" s="2" t="s">
        <f>=HYPERLINK("https://main.knesset.gov.il/APPS/legislation/main/bills/2199003", "הצעת חוק הגנת הצרכן (תיקון - איסור גביית עמלה בהרשאה לחיוב חשבון בהוראת קבע), התשפ""ג-2023")</f>
        <v>11473</v>
      </c>
      <c r="E5735" t="s">
        <v>11473</v>
      </c>
      <c r="F5735" t="s">
        <v>11474</v>
      </c>
      <c r="G5735" t="s">
        <v>14</v>
      </c>
      <c r="H5735">
             </c>
      <c r="I5735" t="s">
        <v>14</v>
      </c>
      <c r="J5735" t="s">
        <v>141</v>
      </c>
      <c r="K5735" t="s">
        <v>14</v>
      </c>
      <c r="L5735" t="s">
        <v>20</v>
      </c>
      <c r="M5735" t="s">
        <v>11439</v>
      </c>
      <c r="N5735" t="s">
        <v>14</v>
      </c>
    </row>
    <row r="5736" x14ac:dyDescent="0.25">
      <c r="A5736" t="n">
        <v>25</v>
      </c>
      <c r="B5736" t="s">
        <v>14</v>
      </c>
      <c r="C5736" t="s">
        <v>22</v>
      </c>
      <c r="D5736" s="2" t="s">
        <f>=HYPERLINK("https://main.knesset.gov.il/APPS/legislation/main/bills/2199201", "הצעת חוק מעונות יום שיקומיים (תיקון - הקדמת גיל הזכאות), התשפ""ג-2023")</f>
        <v>9816</v>
      </c>
      <c r="E5736" t="s">
        <v>9816</v>
      </c>
      <c r="F5736" t="s">
        <v>11475</v>
      </c>
      <c r="G5736" t="s">
        <v>14</v>
      </c>
      <c r="H5736">
             </c>
      <c r="I5736" t="s">
        <v>14</v>
      </c>
      <c r="J5736" t="s">
        <v>141</v>
      </c>
      <c r="K5736" t="s">
        <v>14</v>
      </c>
      <c r="L5736" t="s">
        <v>20</v>
      </c>
      <c r="M5736" t="s">
        <v>11439</v>
      </c>
      <c r="N5736" t="s">
        <v>14</v>
      </c>
    </row>
    <row r="5737" x14ac:dyDescent="0.25">
      <c r="A5737" t="n">
        <v>25</v>
      </c>
      <c r="B5737" t="s">
        <v>14</v>
      </c>
      <c r="C5737" t="s">
        <v>22</v>
      </c>
      <c r="D5737" s="2" t="s">
        <f>=HYPERLINK("https://main.knesset.gov.il/APPS/legislation/main/bills/2198921", "הצעת חוק חופשה שנתית (תיקון - ימים שאינם נמנים בימי חופשה), התשפ""ג-2023 ")</f>
        <v>11476</v>
      </c>
      <c r="E5737" t="s">
        <v>11476</v>
      </c>
      <c r="F5737" t="s">
        <v>11477</v>
      </c>
      <c r="G5737" t="s">
        <v>14</v>
      </c>
      <c r="H5737">
             </c>
      <c r="I5737" t="s">
        <v>14</v>
      </c>
      <c r="J5737" t="s">
        <v>141</v>
      </c>
      <c r="K5737" t="s">
        <v>14</v>
      </c>
      <c r="L5737" t="s">
        <v>20</v>
      </c>
      <c r="M5737" t="s">
        <v>11439</v>
      </c>
      <c r="N5737" t="s">
        <v>14</v>
      </c>
    </row>
    <row r="5738" x14ac:dyDescent="0.25">
      <c r="A5738" t="n">
        <v>25</v>
      </c>
      <c r="B5738" t="s">
        <v>14</v>
      </c>
      <c r="C5738" t="s">
        <v>22</v>
      </c>
      <c r="D5738" s="2" t="s">
        <f>=HYPERLINK("https://main.knesset.gov.il/APPS/legislation/main/bills/2199479", "הצעת חוק ביטוח בריאות ממלכתי (תיקון - העברת שירותי הגמילה לאחריות קופות החולים וטיפול בהתמכרויות), התשפ""ג-2023")</f>
        <v>11478</v>
      </c>
      <c r="E5738" t="s">
        <v>11478</v>
      </c>
      <c r="F5738" t="s">
        <v>11479</v>
      </c>
      <c r="G5738" t="s">
        <v>14</v>
      </c>
      <c r="H5738">
             </c>
      <c r="I5738" t="s">
        <v>14</v>
      </c>
      <c r="J5738" t="s">
        <v>141</v>
      </c>
      <c r="K5738" t="s">
        <v>14</v>
      </c>
      <c r="L5738" t="s">
        <v>20</v>
      </c>
      <c r="M5738" t="s">
        <v>11439</v>
      </c>
      <c r="N5738" t="s">
        <v>14</v>
      </c>
    </row>
    <row r="5739" x14ac:dyDescent="0.25">
      <c r="A5739" t="n">
        <v>25</v>
      </c>
      <c r="B5739" t="s">
        <v>14</v>
      </c>
      <c r="C5739" t="s">
        <v>22</v>
      </c>
      <c r="D5739" s="2" t="s">
        <f>=HYPERLINK("https://main.knesset.gov.il/APPS/legislation/main/bills/2198731", "הצעת חוק הביטוח הלאומי (תיקון - תשלום תוספת לגמלת אזרח ותיק לנכה שהכנסתו נמוכה משכר המינימום), התשפ""ג-2023")</f>
        <v>9732</v>
      </c>
      <c r="E5739" t="s">
        <v>9732</v>
      </c>
      <c r="F5739" t="s">
        <v>11480</v>
      </c>
      <c r="G5739" t="s">
        <v>14</v>
      </c>
      <c r="H5739">
             </c>
      <c r="I5739" t="s">
        <v>14</v>
      </c>
      <c r="J5739" t="s">
        <v>141</v>
      </c>
      <c r="K5739" t="s">
        <v>14</v>
      </c>
      <c r="L5739" t="s">
        <v>20</v>
      </c>
      <c r="M5739" t="s">
        <v>11439</v>
      </c>
      <c r="N5739" t="s">
        <v>14</v>
      </c>
    </row>
    <row r="5740" x14ac:dyDescent="0.25">
      <c r="A5740" t="n">
        <v>25</v>
      </c>
      <c r="B5740" t="s">
        <v>14</v>
      </c>
      <c r="C5740" t="s">
        <v>22</v>
      </c>
      <c r="D5740" s="2" t="s">
        <f>=HYPERLINK("https://main.knesset.gov.il/APPS/legislation/main/bills/2199322", "הצעת חוק הביטוח הלאומי (תיקון - פטור מתשלום דמי ביטוח לאומי עד גיל 21), התשפ""ג-2023")</f>
        <v>9459</v>
      </c>
      <c r="E5740" t="s">
        <v>9459</v>
      </c>
      <c r="F5740" t="s">
        <v>11481</v>
      </c>
      <c r="G5740" t="s">
        <v>14</v>
      </c>
      <c r="H5740">
             </c>
      <c r="I5740" t="s">
        <v>14</v>
      </c>
      <c r="J5740" t="s">
        <v>141</v>
      </c>
      <c r="K5740" t="s">
        <v>14</v>
      </c>
      <c r="L5740" t="s">
        <v>20</v>
      </c>
      <c r="M5740" t="s">
        <v>11439</v>
      </c>
      <c r="N5740" t="s">
        <v>14</v>
      </c>
    </row>
    <row r="5741" x14ac:dyDescent="0.25">
      <c r="A5741" t="n">
        <v>25</v>
      </c>
      <c r="B5741" t="s">
        <v>14</v>
      </c>
      <c r="C5741" t="s">
        <v>22</v>
      </c>
      <c r="D5741" s="2" t="s">
        <f>=HYPERLINK("https://main.knesset.gov.il/APPS/legislation/main/bills/2198782", "הצעת חוק איסור הפליה ברישוי מחמת מצב בריאותי (תיקוני חקיקה), התשפ""ג-2023")</f>
        <v>11482</v>
      </c>
      <c r="E5741" t="s">
        <v>11482</v>
      </c>
      <c r="F5741" t="s">
        <v>11483</v>
      </c>
      <c r="G5741" t="s">
        <v>14</v>
      </c>
      <c r="H5741">
             </c>
      <c r="I5741" t="s">
        <v>14</v>
      </c>
      <c r="J5741" t="s">
        <v>141</v>
      </c>
      <c r="K5741" t="s">
        <v>14</v>
      </c>
      <c r="L5741" t="s">
        <v>20</v>
      </c>
      <c r="M5741" t="s">
        <v>11439</v>
      </c>
      <c r="N5741" t="s">
        <v>14</v>
      </c>
    </row>
    <row r="5742" x14ac:dyDescent="0.25">
      <c r="A5742" t="n">
        <v>25</v>
      </c>
      <c r="B5742" t="s">
        <v>14</v>
      </c>
      <c r="C5742" t="s">
        <v>22</v>
      </c>
      <c r="D5742" s="2" t="s">
        <f>=HYPERLINK("https://main.knesset.gov.il/APPS/legislation/main/bills/2199284", "הצעת חוק הביטוח הלאומי (תיקון - הארכת המועד להגשת תביעות ליקוי שמיעה), התשפ""ג-2023")</f>
        <v>8508</v>
      </c>
      <c r="E5742" t="s">
        <v>8508</v>
      </c>
      <c r="F5742" t="s">
        <v>11484</v>
      </c>
      <c r="G5742" t="s">
        <v>14</v>
      </c>
      <c r="H5742">
             </c>
      <c r="I5742" t="s">
        <v>14</v>
      </c>
      <c r="J5742" t="s">
        <v>141</v>
      </c>
      <c r="K5742" t="s">
        <v>14</v>
      </c>
      <c r="L5742" t="s">
        <v>20</v>
      </c>
      <c r="M5742" t="s">
        <v>11439</v>
      </c>
      <c r="N5742" t="s">
        <v>14</v>
      </c>
    </row>
    <row r="5743" x14ac:dyDescent="0.25">
      <c r="A5743" t="n">
        <v>25</v>
      </c>
      <c r="B5743" t="s">
        <v>14</v>
      </c>
      <c r="C5743" t="s">
        <v>22</v>
      </c>
      <c r="D5743" s="2" t="s">
        <f>=HYPERLINK("https://main.knesset.gov.il/APPS/legislation/main/bills/2199149", "הצעת חוק הטבות לניצולי שואה (תיקון - הגדלת מענק שנתי), התשפ""ג-2023")</f>
        <v>11485</v>
      </c>
      <c r="E5743" t="s">
        <v>11485</v>
      </c>
      <c r="F5743" t="s">
        <v>11486</v>
      </c>
      <c r="G5743" t="s">
        <v>14</v>
      </c>
      <c r="H5743">
             </c>
      <c r="I5743" t="s">
        <v>14</v>
      </c>
      <c r="J5743" t="s">
        <v>141</v>
      </c>
      <c r="K5743" t="s">
        <v>14</v>
      </c>
      <c r="L5743" t="s">
        <v>20</v>
      </c>
      <c r="M5743" t="s">
        <v>11439</v>
      </c>
      <c r="N5743" t="s">
        <v>14</v>
      </c>
    </row>
    <row r="5744" x14ac:dyDescent="0.25">
      <c r="A5744" t="n">
        <v>25</v>
      </c>
      <c r="B5744" t="s">
        <v>14</v>
      </c>
      <c r="C5744" t="s">
        <v>22</v>
      </c>
      <c r="D5744" s="2" t="s">
        <f>=HYPERLINK("https://main.knesset.gov.il/APPS/legislation/main/bills/2199694", "הצעת חוק הפיקוח על מעונות יום לפעוטות (תיקון - כשירותם של מחנכים-מטפלים), התשפ""ג-2023")</f>
        <v>9653</v>
      </c>
      <c r="E5744" t="s">
        <v>9653</v>
      </c>
      <c r="F5744" t="s">
        <v>11487</v>
      </c>
      <c r="G5744" t="s">
        <v>14</v>
      </c>
      <c r="H5744">
             </c>
      <c r="I5744" t="s">
        <v>14</v>
      </c>
      <c r="J5744" t="s">
        <v>141</v>
      </c>
      <c r="K5744" t="s">
        <v>14</v>
      </c>
      <c r="L5744" t="s">
        <v>20</v>
      </c>
      <c r="M5744" t="s">
        <v>11439</v>
      </c>
      <c r="N5744" t="s">
        <v>14</v>
      </c>
    </row>
    <row r="5745" x14ac:dyDescent="0.25">
      <c r="A5745" t="n">
        <v>25</v>
      </c>
      <c r="B5745" t="s">
        <v>14</v>
      </c>
      <c r="C5745" t="s">
        <v>22</v>
      </c>
      <c r="D5745" s="2" t="s">
        <f>=HYPERLINK("https://main.knesset.gov.il/APPS/legislation/main/bills/2198684", "הצעת חוק ההתייעלות הכלכלית (תיקוני חקיקה להשגת יעדי התקציב לשנות התקציב 2017 ו-2018) (תיקון - הקצאת סכום לרשויות המקומיות הסמוכות לנמל התעופה בן-גוריון), התשפ""ג-2023")</f>
        <v>9924</v>
      </c>
      <c r="E5745" t="s">
        <v>9924</v>
      </c>
      <c r="F5745" t="s">
        <v>11488</v>
      </c>
      <c r="G5745" t="s">
        <v>14</v>
      </c>
      <c r="H5745">
             </c>
      <c r="I5745" t="s">
        <v>14</v>
      </c>
      <c r="J5745" t="s">
        <v>141</v>
      </c>
      <c r="K5745" t="s">
        <v>14</v>
      </c>
      <c r="L5745" t="s">
        <v>20</v>
      </c>
      <c r="M5745" t="s">
        <v>11439</v>
      </c>
      <c r="N5745" t="s">
        <v>14</v>
      </c>
    </row>
    <row r="5746" x14ac:dyDescent="0.25">
      <c r="A5746" t="n">
        <v>25</v>
      </c>
      <c r="B5746" t="s">
        <v>14</v>
      </c>
      <c r="C5746" t="s">
        <v>22</v>
      </c>
      <c r="D5746" s="2" t="s">
        <f>=HYPERLINK("https://main.knesset.gov.il/APPS/legislation/main/bills/2198627", "הצעת חוק מס ערך מוסף (תיקון - פטור ממס במכירת תרופות מצילות חיים שאינן כלולות בסל הבריאות), התשפ""ג-2023")</f>
        <v>9512</v>
      </c>
      <c r="E5746" t="s">
        <v>9512</v>
      </c>
      <c r="F5746" t="s">
        <v>11489</v>
      </c>
      <c r="G5746" t="s">
        <v>14</v>
      </c>
      <c r="H5746">
             </c>
      <c r="I5746" t="s">
        <v>14</v>
      </c>
      <c r="J5746" t="s">
        <v>141</v>
      </c>
      <c r="K5746" t="s">
        <v>14</v>
      </c>
      <c r="L5746" t="s">
        <v>20</v>
      </c>
      <c r="M5746" t="s">
        <v>11439</v>
      </c>
      <c r="N5746" t="s">
        <v>14</v>
      </c>
    </row>
    <row r="5747" x14ac:dyDescent="0.25">
      <c r="A5747" t="n">
        <v>25</v>
      </c>
      <c r="B5747" t="s">
        <v>14</v>
      </c>
      <c r="C5747" t="s">
        <v>22</v>
      </c>
      <c r="D5747" s="2" t="s">
        <f>=HYPERLINK("https://main.knesset.gov.il/APPS/legislation/main/bills/2199020", "הצעת חוק דמי מחלה (היעדרות בשל מחלת ילד) (תיקון - היעדרות בעקבות תקיפה או התעללות בילד), התשפ""ג-2023")</f>
        <v>8215</v>
      </c>
      <c r="E5747" t="s">
        <v>8215</v>
      </c>
      <c r="F5747" t="s">
        <v>11490</v>
      </c>
      <c r="G5747" t="s">
        <v>14</v>
      </c>
      <c r="H5747">
             </c>
      <c r="I5747" t="s">
        <v>14</v>
      </c>
      <c r="J5747" t="s">
        <v>141</v>
      </c>
      <c r="K5747" t="s">
        <v>14</v>
      </c>
      <c r="L5747" t="s">
        <v>20</v>
      </c>
      <c r="M5747" t="s">
        <v>11439</v>
      </c>
      <c r="N5747" t="s">
        <v>14</v>
      </c>
    </row>
    <row r="5748" x14ac:dyDescent="0.25">
      <c r="A5748" t="n">
        <v>25</v>
      </c>
      <c r="B5748" t="s">
        <v>14</v>
      </c>
      <c r="C5748" t="s">
        <v>22</v>
      </c>
      <c r="D5748" s="2" t="s">
        <f>=HYPERLINK("https://main.knesset.gov.il/APPS/legislation/main/bills/2199148", "הצעת חוק משק החשמל (תיקון - הרחבת ההנחה בתשלומי חשמל), התשפ""ג-2023")</f>
        <v>11491</v>
      </c>
      <c r="E5748" t="s">
        <v>11491</v>
      </c>
      <c r="F5748" t="s">
        <v>11492</v>
      </c>
      <c r="G5748" t="s">
        <v>14</v>
      </c>
      <c r="H5748">
             </c>
      <c r="I5748" t="s">
        <v>14</v>
      </c>
      <c r="J5748" t="s">
        <v>141</v>
      </c>
      <c r="K5748" t="s">
        <v>14</v>
      </c>
      <c r="L5748" t="s">
        <v>20</v>
      </c>
      <c r="M5748" t="s">
        <v>11439</v>
      </c>
      <c r="N5748" t="s">
        <v>14</v>
      </c>
    </row>
    <row r="5749" x14ac:dyDescent="0.25">
      <c r="A5749" t="n">
        <v>25</v>
      </c>
      <c r="B5749" t="s">
        <v>14</v>
      </c>
      <c r="C5749" t="s">
        <v>22</v>
      </c>
      <c r="D5749" s="2" t="s">
        <f>=HYPERLINK("https://main.knesset.gov.il/APPS/legislation/main/bills/2199349", "הצעת חוק העונשין (תיקון - החמרת ענישה בעבירות אלימות), התשפ""ג-2023")</f>
        <v>9708</v>
      </c>
      <c r="E5749" t="s">
        <v>9708</v>
      </c>
      <c r="F5749" t="s">
        <v>11493</v>
      </c>
      <c r="G5749" t="s">
        <v>14</v>
      </c>
      <c r="H5749">
             </c>
      <c r="I5749" t="s">
        <v>14</v>
      </c>
      <c r="J5749" t="s">
        <v>141</v>
      </c>
      <c r="K5749" t="s">
        <v>14</v>
      </c>
      <c r="L5749" t="s">
        <v>20</v>
      </c>
      <c r="M5749" t="s">
        <v>11439</v>
      </c>
      <c r="N5749" t="s">
        <v>14</v>
      </c>
    </row>
    <row r="5750" x14ac:dyDescent="0.25">
      <c r="A5750" t="n">
        <v>25</v>
      </c>
      <c r="B5750" t="s">
        <v>14</v>
      </c>
      <c r="C5750" t="s">
        <v>22</v>
      </c>
      <c r="D5750" s="2" t="s">
        <f>=HYPERLINK("https://main.knesset.gov.il/APPS/legislation/main/bills/2197870", "הצעת חוק איסור שימוש ברכב ממשלתי לשר וסגן שר ביום המנוחה השבועי ובחג, התשפ""ג-2023")</f>
        <v>11494</v>
      </c>
      <c r="E5750" t="s">
        <v>11494</v>
      </c>
      <c r="F5750" t="s">
        <v>11495</v>
      </c>
      <c r="G5750" t="s">
        <v>14</v>
      </c>
      <c r="H5750">
             </c>
      <c r="I5750" t="s">
        <v>14</v>
      </c>
      <c r="J5750" t="s">
        <v>141</v>
      </c>
      <c r="K5750" t="s">
        <v>14</v>
      </c>
      <c r="L5750" t="s">
        <v>20</v>
      </c>
      <c r="M5750" t="s">
        <v>11439</v>
      </c>
      <c r="N5750" t="s">
        <v>14</v>
      </c>
    </row>
    <row r="5751" x14ac:dyDescent="0.25">
      <c r="A5751" t="n">
        <v>25</v>
      </c>
      <c r="B5751" t="s">
        <v>14</v>
      </c>
      <c r="C5751" t="s">
        <v>22</v>
      </c>
      <c r="D5751" s="2" t="s">
        <f>=HYPERLINK("https://main.knesset.gov.il/APPS/legislation/main/bills/2199617", "הצעת חוק זכויות החולה (תיקון - זכות מטופל לקבל רשומות רפואיות), התשפ""ג-2023")</f>
        <v>11496</v>
      </c>
      <c r="E5751" t="s">
        <v>11496</v>
      </c>
      <c r="F5751" t="s">
        <v>11497</v>
      </c>
      <c r="G5751" t="s">
        <v>14</v>
      </c>
      <c r="H5751">
             </c>
      <c r="I5751" t="s">
        <v>14</v>
      </c>
      <c r="J5751" t="s">
        <v>141</v>
      </c>
      <c r="K5751" t="s">
        <v>14</v>
      </c>
      <c r="L5751" t="s">
        <v>20</v>
      </c>
      <c r="M5751" t="s">
        <v>11439</v>
      </c>
      <c r="N5751" t="s">
        <v>14</v>
      </c>
    </row>
    <row r="5752" x14ac:dyDescent="0.25">
      <c r="A5752" t="n">
        <v>25</v>
      </c>
      <c r="B5752" t="s">
        <v>14</v>
      </c>
      <c r="C5752" t="s">
        <v>22</v>
      </c>
      <c r="D5752" s="2" t="s">
        <f>=HYPERLINK("https://main.knesset.gov.il/APPS/legislation/main/bills/2198324", "הצעת חוק לתיקון פקודת ביטוח רכב מנועי (חיוב שיווק פוליסה), התשפ""ג-2023")</f>
        <v>11498</v>
      </c>
      <c r="E5752" t="s">
        <v>11498</v>
      </c>
      <c r="F5752" t="s">
        <v>11499</v>
      </c>
      <c r="G5752" t="s">
        <v>14</v>
      </c>
      <c r="H5752">
             </c>
      <c r="I5752" t="s">
        <v>14</v>
      </c>
      <c r="J5752" t="s">
        <v>141</v>
      </c>
      <c r="K5752" t="s">
        <v>14</v>
      </c>
      <c r="L5752" t="s">
        <v>20</v>
      </c>
      <c r="M5752" t="s">
        <v>11439</v>
      </c>
      <c r="N5752" t="s">
        <v>14</v>
      </c>
    </row>
    <row r="5753" x14ac:dyDescent="0.25">
      <c r="A5753" t="n">
        <v>25</v>
      </c>
      <c r="B5753" t="s">
        <v>14</v>
      </c>
      <c r="C5753" t="s">
        <v>22</v>
      </c>
      <c r="D5753" s="2" t="s">
        <f>=HYPERLINK("https://main.knesset.gov.il/APPS/legislation/main/bills/2198956", "הצעת חוק העדה הדרוזית, התשפ""ג-2023")</f>
        <v>9234</v>
      </c>
      <c r="E5753" t="s">
        <v>9234</v>
      </c>
      <c r="F5753" t="s">
        <v>11500</v>
      </c>
      <c r="G5753" t="s">
        <v>14</v>
      </c>
      <c r="H5753">
             </c>
      <c r="I5753" t="s">
        <v>14</v>
      </c>
      <c r="J5753" t="s">
        <v>141</v>
      </c>
      <c r="K5753" t="s">
        <v>14</v>
      </c>
      <c r="L5753" t="s">
        <v>20</v>
      </c>
      <c r="M5753" t="s">
        <v>11439</v>
      </c>
      <c r="N5753" t="s">
        <v>14</v>
      </c>
    </row>
    <row r="5754" x14ac:dyDescent="0.25">
      <c r="A5754" t="n">
        <v>25</v>
      </c>
      <c r="B5754" t="s">
        <v>14</v>
      </c>
      <c r="C5754" t="s">
        <v>22</v>
      </c>
      <c r="D5754" s="2" t="s">
        <f>=HYPERLINK("https://main.knesset.gov.il/APPS/legislation/main/bills/2199207", "הצעת חוק שירות התעסוקה (תיקון - נגישות לתחבורה ציבורית), התשפ""ג-2023")</f>
        <v>11501</v>
      </c>
      <c r="E5754" t="s">
        <v>11501</v>
      </c>
      <c r="F5754" t="s">
        <v>11502</v>
      </c>
      <c r="G5754" t="s">
        <v>14</v>
      </c>
      <c r="H5754">
             </c>
      <c r="I5754" t="s">
        <v>14</v>
      </c>
      <c r="J5754" t="s">
        <v>141</v>
      </c>
      <c r="K5754" t="s">
        <v>14</v>
      </c>
      <c r="L5754" t="s">
        <v>20</v>
      </c>
      <c r="M5754" t="s">
        <v>11439</v>
      </c>
      <c r="N5754" t="s">
        <v>14</v>
      </c>
    </row>
    <row r="5755" x14ac:dyDescent="0.25">
      <c r="A5755" t="n">
        <v>25</v>
      </c>
      <c r="B5755" t="s">
        <v>14</v>
      </c>
      <c r="C5755" t="s">
        <v>22</v>
      </c>
      <c r="D5755" s="2" t="s">
        <f>=HYPERLINK("https://main.knesset.gov.il/APPS/legislation/main/bills/2199408", "הצעת חוק הביטוח הלאומי (תיקון - גמלת אבל), התשפ""ג-2023")</f>
        <v>8107</v>
      </c>
      <c r="E5755" t="s">
        <v>8107</v>
      </c>
      <c r="F5755" t="s">
        <v>11503</v>
      </c>
      <c r="G5755" t="s">
        <v>14</v>
      </c>
      <c r="H5755">
             </c>
      <c r="I5755" t="s">
        <v>14</v>
      </c>
      <c r="J5755" t="s">
        <v>141</v>
      </c>
      <c r="K5755" t="s">
        <v>14</v>
      </c>
      <c r="L5755" t="s">
        <v>20</v>
      </c>
      <c r="M5755" t="s">
        <v>11439</v>
      </c>
      <c r="N5755" t="s">
        <v>14</v>
      </c>
    </row>
    <row r="5756" x14ac:dyDescent="0.25">
      <c r="A5756" t="n">
        <v>25</v>
      </c>
      <c r="B5756" t="s">
        <v>14</v>
      </c>
      <c r="C5756" t="s">
        <v>22</v>
      </c>
      <c r="D5756" s="2" t="s">
        <f>=HYPERLINK("https://main.knesset.gov.il/APPS/legislation/main/bills/2199270", "הצעת חוק הביטוח הלאומי (תיקון - גמלה לשמירת היריון לאם שילדה פג), התשפ""ג-2023")</f>
        <v>11504</v>
      </c>
      <c r="E5756" t="s">
        <v>11504</v>
      </c>
      <c r="F5756" t="s">
        <v>11505</v>
      </c>
      <c r="G5756" t="s">
        <v>14</v>
      </c>
      <c r="H5756">
             </c>
      <c r="I5756" t="s">
        <v>14</v>
      </c>
      <c r="J5756" t="s">
        <v>141</v>
      </c>
      <c r="K5756" t="s">
        <v>14</v>
      </c>
      <c r="L5756" t="s">
        <v>20</v>
      </c>
      <c r="M5756" t="s">
        <v>11439</v>
      </c>
      <c r="N5756" t="s">
        <v>14</v>
      </c>
    </row>
    <row r="5757" x14ac:dyDescent="0.25">
      <c r="A5757" t="n">
        <v>25</v>
      </c>
      <c r="B5757" t="s">
        <v>14</v>
      </c>
      <c r="C5757" t="s">
        <v>22</v>
      </c>
      <c r="D5757" s="2" t="s">
        <f>=HYPERLINK("https://main.knesset.gov.il/APPS/legislation/main/bills/2199206", "הצעת חוק הגנת הצרכן (תיקון - צירוף הוראות שימוש בשפה העברית ובשפה הערבית למכשיר חשמלי), התשפ""ג-2023 ")</f>
        <v>11506</v>
      </c>
      <c r="E5757" t="s">
        <v>11506</v>
      </c>
      <c r="F5757" t="s">
        <v>11507</v>
      </c>
      <c r="G5757" t="s">
        <v>14</v>
      </c>
      <c r="H5757">
             </c>
      <c r="I5757" t="s">
        <v>14</v>
      </c>
      <c r="J5757" t="s">
        <v>141</v>
      </c>
      <c r="K5757" t="s">
        <v>14</v>
      </c>
      <c r="L5757" t="s">
        <v>20</v>
      </c>
      <c r="M5757" t="s">
        <v>11439</v>
      </c>
      <c r="N5757" t="s">
        <v>14</v>
      </c>
    </row>
    <row r="5758" x14ac:dyDescent="0.25">
      <c r="A5758" t="n">
        <v>25</v>
      </c>
      <c r="B5758" t="s">
        <v>14</v>
      </c>
      <c r="C5758" t="s">
        <v>22</v>
      </c>
      <c r="D5758" s="2" t="s">
        <f>=HYPERLINK("https://main.knesset.gov.il/APPS/legislation/main/bills/2198590", "הצעת חוק-יסוד: הכנסת (תיקון - מניעת השתתפות של תומכי חרם בישראל בבחירות)")</f>
        <v>11508</v>
      </c>
      <c r="E5758" t="s">
        <v>11508</v>
      </c>
      <c r="F5758" t="s">
        <v>11509</v>
      </c>
      <c r="G5758" t="s">
        <v>14</v>
      </c>
      <c r="H5758">
             </c>
      <c r="I5758" t="s">
        <v>14</v>
      </c>
      <c r="J5758" t="s">
        <v>141</v>
      </c>
      <c r="K5758" t="s">
        <v>14</v>
      </c>
      <c r="L5758" t="s">
        <v>20</v>
      </c>
      <c r="M5758" t="s">
        <v>11439</v>
      </c>
      <c r="N5758" t="s">
        <v>14</v>
      </c>
    </row>
    <row r="5759" x14ac:dyDescent="0.25">
      <c r="A5759" t="n">
        <v>25</v>
      </c>
      <c r="B5759" t="s">
        <v>14</v>
      </c>
      <c r="C5759" t="s">
        <v>22</v>
      </c>
      <c r="D5759" s="2" t="s">
        <f>=HYPERLINK("https://main.knesset.gov.il/APPS/legislation/main/bills/2199534", "הצעת חוק הגנת השכר (תיקון - פיצויי פיטורים בזמן אמת), התשפ""ג-2023")</f>
        <v>11510</v>
      </c>
      <c r="E5759" t="s">
        <v>11510</v>
      </c>
      <c r="F5759" t="s">
        <v>11511</v>
      </c>
      <c r="G5759" t="s">
        <v>14</v>
      </c>
      <c r="H5759">
             </c>
      <c r="I5759" t="s">
        <v>14</v>
      </c>
      <c r="J5759" t="s">
        <v>141</v>
      </c>
      <c r="K5759" t="s">
        <v>14</v>
      </c>
      <c r="L5759" t="s">
        <v>20</v>
      </c>
      <c r="M5759" t="s">
        <v>11439</v>
      </c>
      <c r="N5759" t="s">
        <v>14</v>
      </c>
    </row>
    <row r="5760" x14ac:dyDescent="0.25">
      <c r="A5760" t="n">
        <v>25</v>
      </c>
      <c r="B5760" t="s">
        <v>14</v>
      </c>
      <c r="C5760" t="s">
        <v>22</v>
      </c>
      <c r="D5760" s="2" t="s">
        <f>=HYPERLINK("https://main.knesset.gov.il/APPS/legislation/main/bills/2198654", "הצעת חוק המזונות (הבטחת תשלום) (תיקון - סכום שלא יובא בחשבון במבחן ההכנסה), התשפ""ג-2023")</f>
        <v>10351</v>
      </c>
      <c r="E5760" t="s">
        <v>10351</v>
      </c>
      <c r="F5760" t="s">
        <v>11512</v>
      </c>
      <c r="G5760" t="s">
        <v>14</v>
      </c>
      <c r="H5760">
             </c>
      <c r="I5760" t="s">
        <v>14</v>
      </c>
      <c r="J5760" t="s">
        <v>141</v>
      </c>
      <c r="K5760" t="s">
        <v>14</v>
      </c>
      <c r="L5760" t="s">
        <v>20</v>
      </c>
      <c r="M5760" t="s">
        <v>11439</v>
      </c>
      <c r="N5760" t="s">
        <v>14</v>
      </c>
    </row>
    <row r="5761" x14ac:dyDescent="0.25">
      <c r="A5761" t="n">
        <v>25</v>
      </c>
      <c r="B5761" t="s">
        <v>14</v>
      </c>
      <c r="C5761" t="s">
        <v>22</v>
      </c>
      <c r="D5761" s="2" t="s">
        <f>=HYPERLINK("https://main.knesset.gov.il/APPS/legislation/main/bills/2199648", "הצעת חוק דמי מחלה (היעדרות בשל מחלת ילד) (תיקון - הורה ליותר מילד אחד), התשפ""ג-2023")</f>
        <v>9331</v>
      </c>
      <c r="E5761" t="s">
        <v>9331</v>
      </c>
      <c r="F5761" t="s">
        <v>11513</v>
      </c>
      <c r="G5761" t="s">
        <v>14</v>
      </c>
      <c r="H5761">
             </c>
      <c r="I5761" t="s">
        <v>14</v>
      </c>
      <c r="J5761" t="s">
        <v>141</v>
      </c>
      <c r="K5761" t="s">
        <v>14</v>
      </c>
      <c r="L5761" t="s">
        <v>20</v>
      </c>
      <c r="M5761" t="s">
        <v>11439</v>
      </c>
      <c r="N5761" t="s">
        <v>14</v>
      </c>
    </row>
    <row r="5762" x14ac:dyDescent="0.25">
      <c r="A5762" t="n">
        <v>25</v>
      </c>
      <c r="B5762" t="s">
        <v>14</v>
      </c>
      <c r="C5762" t="s">
        <v>22</v>
      </c>
      <c r="D5762" s="2" t="s">
        <f>=HYPERLINK("https://main.knesset.gov.il/APPS/legislation/main/bills/2199216", "הצעת חוק לתיקון פקודת התעבורה (איסור עישון ברכב שנמצא בו קטין שטרם מלאו לו 15 שנים), התשפ""ג-2023")</f>
        <v>11514</v>
      </c>
      <c r="E5762" t="s">
        <v>11514</v>
      </c>
      <c r="F5762" t="s">
        <v>11515</v>
      </c>
      <c r="G5762" t="s">
        <v>14</v>
      </c>
      <c r="H5762">
             </c>
      <c r="I5762" t="s">
        <v>14</v>
      </c>
      <c r="J5762" t="s">
        <v>141</v>
      </c>
      <c r="K5762" t="s">
        <v>14</v>
      </c>
      <c r="L5762" t="s">
        <v>20</v>
      </c>
      <c r="M5762" t="s">
        <v>11439</v>
      </c>
      <c r="N5762" t="s">
        <v>14</v>
      </c>
    </row>
    <row r="5763" x14ac:dyDescent="0.25">
      <c r="A5763" t="n">
        <v>25</v>
      </c>
      <c r="B5763" t="s">
        <v>14</v>
      </c>
      <c r="C5763" t="s">
        <v>22</v>
      </c>
      <c r="D5763" s="2" t="s">
        <f>=HYPERLINK("https://main.knesset.gov.il/APPS/legislation/main/bills/2199579", "הצעת חוק הנכים (תגמולים ושיקום) (תיקון - הארכת תקופת הערעור על החלטת קצין התגמולים), התשפ""ג-2023")</f>
        <v>11516</v>
      </c>
      <c r="E5763" t="s">
        <v>11516</v>
      </c>
      <c r="F5763" t="s">
        <v>11517</v>
      </c>
      <c r="G5763" t="s">
        <v>14</v>
      </c>
      <c r="H5763">
             </c>
      <c r="I5763" t="s">
        <v>14</v>
      </c>
      <c r="J5763" t="s">
        <v>141</v>
      </c>
      <c r="K5763" t="s">
        <v>14</v>
      </c>
      <c r="L5763" t="s">
        <v>20</v>
      </c>
      <c r="M5763" t="s">
        <v>11439</v>
      </c>
      <c r="N5763" t="s">
        <v>14</v>
      </c>
    </row>
    <row r="5764" x14ac:dyDescent="0.25">
      <c r="A5764" t="n">
        <v>25</v>
      </c>
      <c r="B5764" t="s">
        <v>14</v>
      </c>
      <c r="C5764" t="s">
        <v>22</v>
      </c>
      <c r="D5764" s="2" t="s">
        <f>=HYPERLINK("https://main.knesset.gov.il/APPS/legislation/main/bills/2197935", "הצעת חוק שכר מינימום (תיקון - העלאת שכר המינימום), התשפ""ג-2023")</f>
        <v>10592</v>
      </c>
      <c r="E5764" t="s">
        <v>10592</v>
      </c>
      <c r="F5764" t="s">
        <v>11518</v>
      </c>
      <c r="G5764" t="s">
        <v>14</v>
      </c>
      <c r="H5764">
             </c>
      <c r="I5764" t="s">
        <v>14</v>
      </c>
      <c r="J5764" t="s">
        <v>141</v>
      </c>
      <c r="K5764" t="s">
        <v>14</v>
      </c>
      <c r="L5764" t="s">
        <v>20</v>
      </c>
      <c r="M5764" t="s">
        <v>11439</v>
      </c>
      <c r="N5764" t="s">
        <v>14</v>
      </c>
    </row>
    <row r="5765" x14ac:dyDescent="0.25">
      <c r="A5765" t="n">
        <v>25</v>
      </c>
      <c r="B5765" t="s">
        <v>14</v>
      </c>
      <c r="C5765" t="s">
        <v>22</v>
      </c>
      <c r="D5765" s="2" t="s">
        <f>=HYPERLINK("https://main.knesset.gov.il/APPS/legislation/main/bills/2196649", "הצעת חוק העונשין (תיקון - מרמה והפרת אמונים), התשפ""ג-2023")</f>
        <v>11325</v>
      </c>
      <c r="E5765" t="s">
        <v>11325</v>
      </c>
      <c r="F5765" t="s">
        <v>11519</v>
      </c>
      <c r="G5765" t="s">
        <v>14</v>
      </c>
      <c r="H5765">
             </c>
      <c r="I5765" t="s">
        <v>14</v>
      </c>
      <c r="J5765" t="s">
        <v>141</v>
      </c>
      <c r="K5765" t="s">
        <v>14</v>
      </c>
      <c r="L5765" t="s">
        <v>20</v>
      </c>
      <c r="M5765" t="s">
        <v>11439</v>
      </c>
      <c r="N5765" t="s">
        <v>14</v>
      </c>
    </row>
    <row r="5766" x14ac:dyDescent="0.25">
      <c r="A5766" t="n">
        <v>25</v>
      </c>
      <c r="B5766" t="s">
        <v>14</v>
      </c>
      <c r="C5766" t="s">
        <v>22</v>
      </c>
      <c r="D5766" s="2" t="s">
        <f>=HYPERLINK("https://main.knesset.gov.il/APPS/legislation/main/bills/2199275", "הצעת חוק לתיקון פקודת הרוקחים (חיוב רישום רכיבי תמרוקים ומוצרי ניקיון), התשפ""ג-2023")</f>
        <v>11520</v>
      </c>
      <c r="E5766" t="s">
        <v>11520</v>
      </c>
      <c r="F5766" t="s">
        <v>11521</v>
      </c>
      <c r="G5766" t="s">
        <v>14</v>
      </c>
      <c r="H5766">
             </c>
      <c r="I5766" t="s">
        <v>14</v>
      </c>
      <c r="J5766" t="s">
        <v>141</v>
      </c>
      <c r="K5766" t="s">
        <v>14</v>
      </c>
      <c r="L5766" t="s">
        <v>20</v>
      </c>
      <c r="M5766" t="s">
        <v>11439</v>
      </c>
      <c r="N5766" t="s">
        <v>14</v>
      </c>
    </row>
    <row r="5767" x14ac:dyDescent="0.25">
      <c r="A5767" t="n">
        <v>25</v>
      </c>
      <c r="B5767" t="s">
        <v>14</v>
      </c>
      <c r="C5767" t="s">
        <v>22</v>
      </c>
      <c r="D5767" s="2" t="s">
        <f>=HYPERLINK("https://main.knesset.gov.il/APPS/legislation/main/bills/2199360", "הצעת חוק הסדרת העיסוק במקצועות הבריאות (תיקון - הסדרת העיסוק בניתוח התנהגות), התשפ""ג-2023")</f>
        <v>9522</v>
      </c>
      <c r="E5767" t="s">
        <v>9522</v>
      </c>
      <c r="F5767" t="s">
        <v>11522</v>
      </c>
      <c r="G5767" t="s">
        <v>14</v>
      </c>
      <c r="H5767">
             </c>
      <c r="I5767" t="s">
        <v>14</v>
      </c>
      <c r="J5767" t="s">
        <v>141</v>
      </c>
      <c r="K5767" t="s">
        <v>14</v>
      </c>
      <c r="L5767" t="s">
        <v>20</v>
      </c>
      <c r="M5767" t="s">
        <v>11439</v>
      </c>
      <c r="N5767" t="s">
        <v>14</v>
      </c>
    </row>
    <row r="5768" x14ac:dyDescent="0.25">
      <c r="A5768" t="n">
        <v>25</v>
      </c>
      <c r="B5768" t="s">
        <v>14</v>
      </c>
      <c r="C5768" t="s">
        <v>22</v>
      </c>
      <c r="D5768" s="2" t="s">
        <f>=HYPERLINK("https://main.knesset.gov.il/APPS/legislation/main/bills/2199680", "הצעת חוק הסדרת העיסוק במקצועות הבריאות (תיקון - טיפול באמצעות אמנויות), התשפ""ג-2023")</f>
        <v>8532</v>
      </c>
      <c r="E5768" t="s">
        <v>8532</v>
      </c>
      <c r="F5768" t="s">
        <v>11523</v>
      </c>
      <c r="G5768" t="s">
        <v>14</v>
      </c>
      <c r="H5768">
             </c>
      <c r="I5768" t="s">
        <v>14</v>
      </c>
      <c r="J5768" t="s">
        <v>141</v>
      </c>
      <c r="K5768" t="s">
        <v>14</v>
      </c>
      <c r="L5768" t="s">
        <v>20</v>
      </c>
      <c r="M5768" t="s">
        <v>11439</v>
      </c>
      <c r="N5768" t="s">
        <v>14</v>
      </c>
    </row>
    <row r="5769" x14ac:dyDescent="0.25">
      <c r="A5769" t="n">
        <v>25</v>
      </c>
      <c r="B5769" t="s">
        <v>14</v>
      </c>
      <c r="C5769" t="s">
        <v>22</v>
      </c>
      <c r="D5769" s="2" t="s">
        <f>=HYPERLINK("https://main.knesset.gov.il/APPS/legislation/main/bills/2199280", "הצעת חוק הביטוח הלאומי (תיקון - ביטוח שאירים לאלמן), התשפ""ג- 2023 ")</f>
        <v>11524</v>
      </c>
      <c r="E5769" t="s">
        <v>11524</v>
      </c>
      <c r="F5769" t="s">
        <v>11525</v>
      </c>
      <c r="G5769" t="s">
        <v>14</v>
      </c>
      <c r="H5769">
             </c>
      <c r="I5769" t="s">
        <v>14</v>
      </c>
      <c r="J5769" t="s">
        <v>141</v>
      </c>
      <c r="K5769" t="s">
        <v>14</v>
      </c>
      <c r="L5769" t="s">
        <v>20</v>
      </c>
      <c r="M5769" t="s">
        <v>11439</v>
      </c>
      <c r="N5769" t="s">
        <v>14</v>
      </c>
    </row>
    <row r="5770" x14ac:dyDescent="0.25">
      <c r="A5770" t="n">
        <v>25</v>
      </c>
      <c r="B5770" t="s">
        <v>14</v>
      </c>
      <c r="C5770" t="s">
        <v>22</v>
      </c>
      <c r="D5770" s="2" t="s">
        <f>=HYPERLINK("https://main.knesset.gov.il/APPS/legislation/main/bills/2199126", "הצעת חוק הביטוח הלאומי (תיקון - ביטוח שאירים לאלמן), התשפ""ג-2023")</f>
        <v>8047</v>
      </c>
      <c r="E5770" t="s">
        <v>8047</v>
      </c>
      <c r="F5770" t="s">
        <v>11526</v>
      </c>
      <c r="G5770" t="s">
        <v>14</v>
      </c>
      <c r="H5770">
             </c>
      <c r="I5770" t="s">
        <v>14</v>
      </c>
      <c r="J5770" t="s">
        <v>141</v>
      </c>
      <c r="K5770" t="s">
        <v>14</v>
      </c>
      <c r="L5770" t="s">
        <v>20</v>
      </c>
      <c r="M5770" t="s">
        <v>11439</v>
      </c>
      <c r="N5770" t="s">
        <v>14</v>
      </c>
    </row>
    <row r="5771" x14ac:dyDescent="0.25">
      <c r="A5771" t="n">
        <v>25</v>
      </c>
      <c r="B5771" t="s">
        <v>14</v>
      </c>
      <c r="C5771" t="s">
        <v>22</v>
      </c>
      <c r="D5771" s="2" t="s">
        <f>=HYPERLINK("https://main.knesset.gov.il/APPS/legislation/main/bills/2198729", "הצעת חוק הביטוח הלאומי (תיקון - ביטוח שאירים לאלמן), התשפ""ג-2023")</f>
        <v>8047</v>
      </c>
      <c r="E5771" t="s">
        <v>8047</v>
      </c>
      <c r="F5771" t="s">
        <v>11527</v>
      </c>
      <c r="G5771" t="s">
        <v>14</v>
      </c>
      <c r="H5771">
             </c>
      <c r="I5771" t="s">
        <v>14</v>
      </c>
      <c r="J5771" t="s">
        <v>141</v>
      </c>
      <c r="K5771" t="s">
        <v>14</v>
      </c>
      <c r="L5771" t="s">
        <v>20</v>
      </c>
      <c r="M5771" t="s">
        <v>11439</v>
      </c>
      <c r="N5771" t="s">
        <v>14</v>
      </c>
    </row>
    <row r="5772" x14ac:dyDescent="0.25">
      <c r="A5772" t="n">
        <v>25</v>
      </c>
      <c r="B5772" t="s">
        <v>14</v>
      </c>
      <c r="C5772" t="s">
        <v>22</v>
      </c>
      <c r="D5772" s="2" t="s">
        <f>=HYPERLINK("https://main.knesset.gov.il/APPS/legislation/main/bills/2198935", "הצעת חוק הגנת הצרכן (תיקון - הנגשת הודעת תשלום לצרכנים שאינם דוברי עברית), התשפ""ג-2023")</f>
        <v>10494</v>
      </c>
      <c r="E5772" t="s">
        <v>10494</v>
      </c>
      <c r="F5772" t="s">
        <v>11528</v>
      </c>
      <c r="G5772" t="s">
        <v>14</v>
      </c>
      <c r="H5772">
             </c>
      <c r="I5772" t="s">
        <v>14</v>
      </c>
      <c r="J5772" t="s">
        <v>141</v>
      </c>
      <c r="K5772" t="s">
        <v>14</v>
      </c>
      <c r="L5772" t="s">
        <v>20</v>
      </c>
      <c r="M5772" t="s">
        <v>11439</v>
      </c>
      <c r="N5772" t="s">
        <v>14</v>
      </c>
    </row>
    <row r="5773" x14ac:dyDescent="0.25">
      <c r="A5773" t="n">
        <v>25</v>
      </c>
      <c r="B5773" t="s">
        <v>14</v>
      </c>
      <c r="C5773" t="s">
        <v>22</v>
      </c>
      <c r="D5773" s="2" t="s">
        <f>=HYPERLINK("https://main.knesset.gov.il/APPS/legislation/main/bills/2199037", "הצעת חוק הודעה לעובד ולמועמד לעבודה (תנאי עבודה והליכי מיון וקבלה לעבודה) (תיקון - הגברת השקיפות בעניין הפרשות לפנסיה), התשפ""ג-2023")</f>
        <v>11381</v>
      </c>
      <c r="E5773" t="s">
        <v>11381</v>
      </c>
      <c r="F5773" t="s">
        <v>11529</v>
      </c>
      <c r="G5773" t="s">
        <v>14</v>
      </c>
      <c r="H5773">
             </c>
      <c r="I5773" t="s">
        <v>14</v>
      </c>
      <c r="J5773" t="s">
        <v>141</v>
      </c>
      <c r="K5773" t="s">
        <v>14</v>
      </c>
      <c r="L5773" t="s">
        <v>20</v>
      </c>
      <c r="M5773" t="s">
        <v>11439</v>
      </c>
      <c r="N5773" t="s">
        <v>14</v>
      </c>
    </row>
    <row r="5774" x14ac:dyDescent="0.25">
      <c r="A5774" t="n">
        <v>25</v>
      </c>
      <c r="B5774" t="s">
        <v>14</v>
      </c>
      <c r="C5774" t="s">
        <v>22</v>
      </c>
      <c r="D5774" s="2" t="s">
        <f>=HYPERLINK("https://main.knesset.gov.il/APPS/legislation/main/bills/2199550", "הצעת חוק הסדרת הטיפול בחולי נפש (תיקוני חקיקה), התשפ""ג-2023")</f>
        <v>11530</v>
      </c>
      <c r="E5774" t="s">
        <v>11530</v>
      </c>
      <c r="F5774" t="s">
        <v>11531</v>
      </c>
      <c r="G5774" t="s">
        <v>14</v>
      </c>
      <c r="H5774">
             </c>
      <c r="I5774" t="s">
        <v>14</v>
      </c>
      <c r="J5774" t="s">
        <v>141</v>
      </c>
      <c r="K5774" t="s">
        <v>14</v>
      </c>
      <c r="L5774" t="s">
        <v>20</v>
      </c>
      <c r="M5774" t="s">
        <v>11439</v>
      </c>
      <c r="N5774" t="s">
        <v>14</v>
      </c>
    </row>
    <row r="5775" x14ac:dyDescent="0.25">
      <c r="A5775" t="n">
        <v>25</v>
      </c>
      <c r="B5775" t="s">
        <v>14</v>
      </c>
      <c r="C5775" t="s">
        <v>22</v>
      </c>
      <c r="D5775" s="2" t="s">
        <f>=HYPERLINK("https://main.knesset.gov.il/APPS/legislation/main/bills/2199048", "הצעת חוק שעות עבודה ומנוחה (תיקון - הפסקה בין יום עבודה למשנהו שלא עולה על 8 שעות), התשפ""ג-2023")</f>
        <v>11532</v>
      </c>
      <c r="E5775" t="s">
        <v>11532</v>
      </c>
      <c r="F5775" t="s">
        <v>11533</v>
      </c>
      <c r="G5775" t="s">
        <v>14</v>
      </c>
      <c r="H5775">
             </c>
      <c r="I5775" t="s">
        <v>14</v>
      </c>
      <c r="J5775" t="s">
        <v>141</v>
      </c>
      <c r="K5775" t="s">
        <v>14</v>
      </c>
      <c r="L5775" t="s">
        <v>20</v>
      </c>
      <c r="M5775" t="s">
        <v>11439</v>
      </c>
      <c r="N5775" t="s">
        <v>14</v>
      </c>
    </row>
    <row r="5776" x14ac:dyDescent="0.25">
      <c r="A5776" t="n">
        <v>25</v>
      </c>
      <c r="B5776" t="s">
        <v>14</v>
      </c>
      <c r="C5776" t="s">
        <v>22</v>
      </c>
      <c r="D5776" s="2" t="s">
        <f>=HYPERLINK("https://main.knesset.gov.il/APPS/legislation/main/bills/2199423", "הצעת חוק שכר מינימום (תיקון - שכר מינימום לעובד שטרם מלאו לו 18 שנים), התשפ""ג-2023")</f>
        <v>11534</v>
      </c>
      <c r="E5776" t="s">
        <v>11534</v>
      </c>
      <c r="F5776" t="s">
        <v>11535</v>
      </c>
      <c r="G5776" t="s">
        <v>14</v>
      </c>
      <c r="H5776">
             </c>
      <c r="I5776" t="s">
        <v>14</v>
      </c>
      <c r="J5776" t="s">
        <v>141</v>
      </c>
      <c r="K5776" t="s">
        <v>14</v>
      </c>
      <c r="L5776" t="s">
        <v>20</v>
      </c>
      <c r="M5776" t="s">
        <v>11439</v>
      </c>
      <c r="N5776" t="s">
        <v>14</v>
      </c>
    </row>
    <row r="5777" x14ac:dyDescent="0.25">
      <c r="A5777" t="n">
        <v>25</v>
      </c>
      <c r="B5777" t="s">
        <v>14</v>
      </c>
      <c r="C5777" t="s">
        <v>22</v>
      </c>
      <c r="D5777" s="2" t="s">
        <f>=HYPERLINK("https://main.knesset.gov.il/APPS/legislation/main/bills/2199481", "הצעת חוק הצבת מכשירי החייאה במקומות ציבוריים (תיקון - צעדים ליישום מיטבי של החוק), התשפ""ג-2023")</f>
        <v>10272</v>
      </c>
      <c r="E5777" t="s">
        <v>10272</v>
      </c>
      <c r="F5777" t="s">
        <v>11536</v>
      </c>
      <c r="G5777" t="s">
        <v>14</v>
      </c>
      <c r="H5777">
             </c>
      <c r="I5777" t="s">
        <v>14</v>
      </c>
      <c r="J5777" t="s">
        <v>141</v>
      </c>
      <c r="K5777" t="s">
        <v>14</v>
      </c>
      <c r="L5777" t="s">
        <v>20</v>
      </c>
      <c r="M5777" t="s">
        <v>11439</v>
      </c>
      <c r="N5777" t="s">
        <v>14</v>
      </c>
    </row>
    <row r="5778" x14ac:dyDescent="0.25">
      <c r="A5778" t="n">
        <v>25</v>
      </c>
      <c r="B5778" t="s">
        <v>14</v>
      </c>
      <c r="C5778" t="s">
        <v>22</v>
      </c>
      <c r="D5778" s="2" t="s">
        <f>=HYPERLINK("https://main.knesset.gov.il/APPS/legislation/main/bills/2199115", "הצעת חוק עבודת נשים (תיקון - איסור פיטורים בעת טיפולי פוריות), התשפ""ג-2023")</f>
        <v>11537</v>
      </c>
      <c r="E5778" t="s">
        <v>11537</v>
      </c>
      <c r="F5778" t="s">
        <v>11538</v>
      </c>
      <c r="G5778" t="s">
        <v>14</v>
      </c>
      <c r="H5778">
             </c>
      <c r="I5778" t="s">
        <v>14</v>
      </c>
      <c r="J5778" t="s">
        <v>141</v>
      </c>
      <c r="K5778" t="s">
        <v>14</v>
      </c>
      <c r="L5778" t="s">
        <v>20</v>
      </c>
      <c r="M5778" t="s">
        <v>11439</v>
      </c>
      <c r="N5778" t="s">
        <v>14</v>
      </c>
    </row>
    <row r="5779" x14ac:dyDescent="0.25">
      <c r="A5779" t="n">
        <v>25</v>
      </c>
      <c r="B5779" t="s">
        <v>14</v>
      </c>
      <c r="C5779" t="s">
        <v>22</v>
      </c>
      <c r="D5779" s="2" t="s">
        <f>=HYPERLINK("https://main.knesset.gov.il/APPS/legislation/main/bills/2199209", "הצעת חוק לימוד חובה (תיקון - חובת דיווח על היעדרות תלמיד), התשפ""ג-2023")</f>
        <v>4413</v>
      </c>
      <c r="E5779" t="s">
        <v>4413</v>
      </c>
      <c r="F5779" t="s">
        <v>11539</v>
      </c>
      <c r="G5779" t="s">
        <v>14</v>
      </c>
      <c r="H5779">
             </c>
      <c r="I5779" t="s">
        <v>14</v>
      </c>
      <c r="J5779" t="s">
        <v>141</v>
      </c>
      <c r="K5779" t="s">
        <v>14</v>
      </c>
      <c r="L5779" t="s">
        <v>20</v>
      </c>
      <c r="M5779" t="s">
        <v>11439</v>
      </c>
      <c r="N5779" t="s">
        <v>14</v>
      </c>
    </row>
    <row r="5780" x14ac:dyDescent="0.25">
      <c r="A5780" t="n">
        <v>25</v>
      </c>
      <c r="B5780" t="s">
        <v>14</v>
      </c>
      <c r="C5780" t="s">
        <v>22</v>
      </c>
      <c r="D5780" s="2" t="s">
        <f>=HYPERLINK("https://main.knesset.gov.il/APPS/legislation/main/bills/2198850", "הצעת חוק לתיקון פקודת התעבורה (ריבית פיגורים בשל אי-תשלום קנס על עבירת חניה), התשפ""ג-2023")</f>
        <v>11540</v>
      </c>
      <c r="E5780" t="s">
        <v>11540</v>
      </c>
      <c r="F5780" t="s">
        <v>11541</v>
      </c>
      <c r="G5780" t="s">
        <v>14</v>
      </c>
      <c r="H5780">
             </c>
      <c r="I5780" t="s">
        <v>14</v>
      </c>
      <c r="J5780" t="s">
        <v>141</v>
      </c>
      <c r="K5780" t="s">
        <v>14</v>
      </c>
      <c r="L5780" t="s">
        <v>20</v>
      </c>
      <c r="M5780" t="s">
        <v>11439</v>
      </c>
      <c r="N5780" t="s">
        <v>14</v>
      </c>
    </row>
    <row r="5781" x14ac:dyDescent="0.25">
      <c r="A5781" t="n">
        <v>25</v>
      </c>
      <c r="B5781" t="s">
        <v>14</v>
      </c>
      <c r="C5781" t="s">
        <v>22</v>
      </c>
      <c r="D5781" s="2" t="s">
        <f>=HYPERLINK("https://main.knesset.gov.il/APPS/legislation/main/bills/2199212", "הצעת חוק הגנת השכר (תיקון - איסור ניכוי חוב או קנס), התשפ""ג-2023")</f>
        <v>1657</v>
      </c>
      <c r="E5781" t="s">
        <v>1657</v>
      </c>
      <c r="F5781" t="s">
        <v>11542</v>
      </c>
      <c r="G5781" t="s">
        <v>14</v>
      </c>
      <c r="H5781">
             </c>
      <c r="I5781" t="s">
        <v>14</v>
      </c>
      <c r="J5781" t="s">
        <v>141</v>
      </c>
      <c r="K5781" t="s">
        <v>14</v>
      </c>
      <c r="L5781" t="s">
        <v>20</v>
      </c>
      <c r="M5781" t="s">
        <v>11439</v>
      </c>
      <c r="N5781" t="s">
        <v>14</v>
      </c>
    </row>
    <row r="5782" x14ac:dyDescent="0.25">
      <c r="A5782" t="n">
        <v>25</v>
      </c>
      <c r="B5782" t="s">
        <v>14</v>
      </c>
      <c r="C5782" t="s">
        <v>22</v>
      </c>
      <c r="D5782" s="2" t="s">
        <f>=HYPERLINK("https://main.knesset.gov.il/APPS/legislation/main/bills/2199223", "הצעת חוק איסור הפליה במוצרים, בשירותים ובכניסה למקומות בידור ולמקומות ציבוריים (תיקון - איסור הפליה בדיור), התשפ""ג-2023")</f>
        <v>9537</v>
      </c>
      <c r="E5782" t="s">
        <v>9537</v>
      </c>
      <c r="F5782" t="s">
        <v>11543</v>
      </c>
      <c r="G5782" t="s">
        <v>14</v>
      </c>
      <c r="H5782">
             </c>
      <c r="I5782" t="s">
        <v>14</v>
      </c>
      <c r="J5782" t="s">
        <v>141</v>
      </c>
      <c r="K5782" t="s">
        <v>14</v>
      </c>
      <c r="L5782" t="s">
        <v>20</v>
      </c>
      <c r="M5782" t="s">
        <v>11439</v>
      </c>
      <c r="N5782" t="s">
        <v>14</v>
      </c>
    </row>
    <row r="5783" x14ac:dyDescent="0.25">
      <c r="A5783" t="n">
        <v>25</v>
      </c>
      <c r="B5783" t="s">
        <v>14</v>
      </c>
      <c r="C5783" t="s">
        <v>22</v>
      </c>
      <c r="D5783" s="2" t="s">
        <f>=HYPERLINK("https://main.knesset.gov.il/APPS/legislation/main/bills/2198932", "הצעת חוק הבנקאות (שירות ללקוח) (תיקון - שינוי תקופת החזר של הלוואה לדיור), התשפ""ג-2023")</f>
        <v>11544</v>
      </c>
      <c r="E5783" t="s">
        <v>11544</v>
      </c>
      <c r="F5783" t="s">
        <v>11545</v>
      </c>
      <c r="G5783" t="s">
        <v>14</v>
      </c>
      <c r="H5783">
             </c>
      <c r="I5783" t="s">
        <v>14</v>
      </c>
      <c r="J5783" t="s">
        <v>141</v>
      </c>
      <c r="K5783" t="s">
        <v>14</v>
      </c>
      <c r="L5783" t="s">
        <v>20</v>
      </c>
      <c r="M5783" t="s">
        <v>11439</v>
      </c>
      <c r="N5783" t="s">
        <v>14</v>
      </c>
    </row>
    <row r="5784" x14ac:dyDescent="0.25">
      <c r="A5784" t="n">
        <v>25</v>
      </c>
      <c r="B5784" t="s">
        <v>14</v>
      </c>
      <c r="C5784" t="s">
        <v>22</v>
      </c>
      <c r="D5784" s="2" t="s">
        <f>=HYPERLINK("https://main.knesset.gov.il/APPS/legislation/main/bills/2199333", "הצעת חוק הגנת השכר (תיקון - תשלום שכר עבודה בעת הליכי מיון והשמה), התשפ""ג-2023")</f>
        <v>11546</v>
      </c>
      <c r="E5784" t="s">
        <v>11546</v>
      </c>
      <c r="F5784" t="s">
        <v>11547</v>
      </c>
      <c r="G5784" t="s">
        <v>14</v>
      </c>
      <c r="H5784">
             </c>
      <c r="I5784" t="s">
        <v>14</v>
      </c>
      <c r="J5784" t="s">
        <v>141</v>
      </c>
      <c r="K5784" t="s">
        <v>14</v>
      </c>
      <c r="L5784" t="s">
        <v>20</v>
      </c>
      <c r="M5784" t="s">
        <v>11439</v>
      </c>
      <c r="N5784" t="s">
        <v>14</v>
      </c>
    </row>
    <row r="5785" x14ac:dyDescent="0.25">
      <c r="A5785" t="n">
        <v>25</v>
      </c>
      <c r="B5785" t="s">
        <v>14</v>
      </c>
      <c r="C5785" t="s">
        <v>22</v>
      </c>
      <c r="D5785" s="2" t="s">
        <f>=HYPERLINK("https://main.knesset.gov.il/APPS/legislation/main/bills/2199422", "הצעת חוק פיקוח על מחירי מצרכים ושירותים (תיקון - קביעת ההפרש בין מחיר מצרך לצרכן ומחיר מצרך לקמעונאי כרווח מרבי), התשפ""ג-2023")</f>
        <v>11548</v>
      </c>
      <c r="E5785" t="s">
        <v>11548</v>
      </c>
      <c r="F5785" t="s">
        <v>11549</v>
      </c>
      <c r="G5785" t="s">
        <v>14</v>
      </c>
      <c r="H5785">
             </c>
      <c r="I5785" t="s">
        <v>14</v>
      </c>
      <c r="J5785" t="s">
        <v>141</v>
      </c>
      <c r="K5785" t="s">
        <v>14</v>
      </c>
      <c r="L5785" t="s">
        <v>20</v>
      </c>
      <c r="M5785" t="s">
        <v>11439</v>
      </c>
      <c r="N5785" t="s">
        <v>14</v>
      </c>
    </row>
    <row r="5786" x14ac:dyDescent="0.25">
      <c r="A5786" t="n">
        <v>25</v>
      </c>
      <c r="B5786" t="s">
        <v>14</v>
      </c>
      <c r="C5786" t="s">
        <v>22</v>
      </c>
      <c r="D5786" s="2" t="s">
        <f>=HYPERLINK("https://main.knesset.gov.il/APPS/legislation/main/bills/2199462", "הצעת חוק הביטוח הלאומי (תיקון - התפטרות הורה על מנת לטפל בילדו), התשפ""ג-2023")</f>
        <v>10200</v>
      </c>
      <c r="E5786" t="s">
        <v>10200</v>
      </c>
      <c r="F5786" t="s">
        <v>11550</v>
      </c>
      <c r="G5786" t="s">
        <v>14</v>
      </c>
      <c r="H5786">
             </c>
      <c r="I5786" t="s">
        <v>14</v>
      </c>
      <c r="J5786" t="s">
        <v>141</v>
      </c>
      <c r="K5786" t="s">
        <v>14</v>
      </c>
      <c r="L5786" t="s">
        <v>20</v>
      </c>
      <c r="M5786" t="s">
        <v>11439</v>
      </c>
      <c r="N5786" t="s">
        <v>14</v>
      </c>
    </row>
    <row r="5787" x14ac:dyDescent="0.25">
      <c r="A5787" t="n">
        <v>25</v>
      </c>
      <c r="B5787" t="s">
        <v>14</v>
      </c>
      <c r="C5787" t="s">
        <v>22</v>
      </c>
      <c r="D5787" s="2" t="s">
        <f>=HYPERLINK("https://main.knesset.gov.il/APPS/legislation/main/bills/2199211", "הצעת חוק האזרחים הוותיקים (תיקון - הטבות למקבלי פנסיה מזערית), התשפ""ג-2023")</f>
        <v>11551</v>
      </c>
      <c r="E5787" t="s">
        <v>11551</v>
      </c>
      <c r="F5787" t="s">
        <v>11552</v>
      </c>
      <c r="G5787" t="s">
        <v>14</v>
      </c>
      <c r="H5787">
             </c>
      <c r="I5787" t="s">
        <v>14</v>
      </c>
      <c r="J5787" t="s">
        <v>141</v>
      </c>
      <c r="K5787" t="s">
        <v>14</v>
      </c>
      <c r="L5787" t="s">
        <v>20</v>
      </c>
      <c r="M5787" t="s">
        <v>11439</v>
      </c>
      <c r="N5787" t="s">
        <v>14</v>
      </c>
    </row>
    <row r="5788" x14ac:dyDescent="0.25">
      <c r="A5788" t="n">
        <v>25</v>
      </c>
      <c r="B5788" t="s">
        <v>14</v>
      </c>
      <c r="C5788" t="s">
        <v>22</v>
      </c>
      <c r="D5788" s="2" t="s">
        <f>=HYPERLINK("https://main.knesset.gov.il/APPS/legislation/main/bills/2199646", "הצעת חוק הגנת הצרכן (תיקון - חובת הצגת מחיר מוצר בעת עריכת החשבון בקופה), התשפ""ג-2023")</f>
        <v>11553</v>
      </c>
      <c r="E5788" t="s">
        <v>11553</v>
      </c>
      <c r="F5788" t="s">
        <v>11554</v>
      </c>
      <c r="G5788" t="s">
        <v>14</v>
      </c>
      <c r="H5788">
             </c>
      <c r="I5788" t="s">
        <v>14</v>
      </c>
      <c r="J5788" t="s">
        <v>141</v>
      </c>
      <c r="K5788" t="s">
        <v>14</v>
      </c>
      <c r="L5788" t="s">
        <v>20</v>
      </c>
      <c r="M5788" t="s">
        <v>11439</v>
      </c>
      <c r="N5788" t="s">
        <v>14</v>
      </c>
    </row>
    <row r="5789" x14ac:dyDescent="0.25">
      <c r="A5789" t="n">
        <v>25</v>
      </c>
      <c r="B5789" t="s">
        <v>14</v>
      </c>
      <c r="C5789" t="s">
        <v>22</v>
      </c>
      <c r="D5789" s="2" t="s">
        <f>=HYPERLINK("https://main.knesset.gov.il/APPS/legislation/main/bills/2199205", "הצעת חוק הפנסיה (מועד תחילת הביטוח הפנסיוני), התשפ""ג-2023")</f>
        <v>10440</v>
      </c>
      <c r="E5789" t="s">
        <v>10440</v>
      </c>
      <c r="F5789" t="s">
        <v>11555</v>
      </c>
      <c r="G5789" t="s">
        <v>14</v>
      </c>
      <c r="H5789">
             </c>
      <c r="I5789" t="s">
        <v>14</v>
      </c>
      <c r="J5789" t="s">
        <v>141</v>
      </c>
      <c r="K5789" t="s">
        <v>14</v>
      </c>
      <c r="L5789" t="s">
        <v>20</v>
      </c>
      <c r="M5789" t="s">
        <v>11439</v>
      </c>
      <c r="N5789" t="s">
        <v>14</v>
      </c>
    </row>
    <row r="5790" x14ac:dyDescent="0.25">
      <c r="A5790" t="n">
        <v>25</v>
      </c>
      <c r="B5790" t="s">
        <v>14</v>
      </c>
      <c r="C5790" t="s">
        <v>22</v>
      </c>
      <c r="D5790" s="2" t="s">
        <f>=HYPERLINK("https://main.knesset.gov.il/APPS/legislation/main/bills/2199737", "הצעת חוק הגנת הפרטיות (תיקון - מניעת פרסום פרטיו של אדם שנהרג או נפגע ברבים בטרם נמסרה הודעה למשפחה), התשפ""ג-2023")</f>
        <v>11556</v>
      </c>
      <c r="E5790" t="s">
        <v>11556</v>
      </c>
      <c r="F5790" t="s">
        <v>11557</v>
      </c>
      <c r="G5790" t="s">
        <v>14</v>
      </c>
      <c r="H5790">
             </c>
      <c r="I5790" t="s">
        <v>14</v>
      </c>
      <c r="J5790" t="s">
        <v>343</v>
      </c>
      <c r="K5790" t="s">
        <v>14</v>
      </c>
      <c r="L5790" t="s">
        <v>20</v>
      </c>
      <c r="M5790" t="s">
        <v>11439</v>
      </c>
      <c r="N5790" t="s">
        <v>14</v>
      </c>
    </row>
    <row r="5791" x14ac:dyDescent="0.25">
      <c r="A5791" t="n">
        <v>25</v>
      </c>
      <c r="B5791" t="s">
        <v>14</v>
      </c>
      <c r="C5791" t="s">
        <v>22</v>
      </c>
      <c r="D5791" s="2" t="s">
        <f>=HYPERLINK("https://main.knesset.gov.il/APPS/legislation/main/bills/2196298", "הצעת חוק ביטוח בריאות ממלכתי (תיקון - הגבלת סכום ההשתתפות העצמית בתכשיר מרשם), התשפ""ג-2023")</f>
        <v>9714</v>
      </c>
      <c r="E5791" t="s">
        <v>9714</v>
      </c>
      <c r="F5791" t="s">
        <v>11558</v>
      </c>
      <c r="G5791" t="s">
        <v>14</v>
      </c>
      <c r="H5791">
             </c>
      <c r="I5791" t="s">
        <v>14</v>
      </c>
      <c r="J5791" t="s">
        <v>141</v>
      </c>
      <c r="K5791" t="s">
        <v>14</v>
      </c>
      <c r="L5791" t="s">
        <v>20</v>
      </c>
      <c r="M5791" t="s">
        <v>11439</v>
      </c>
      <c r="N5791" t="s">
        <v>14</v>
      </c>
    </row>
    <row r="5792" x14ac:dyDescent="0.25">
      <c r="A5792" t="n">
        <v>25</v>
      </c>
      <c r="B5792" t="s">
        <v>14</v>
      </c>
      <c r="C5792" t="s">
        <v>22</v>
      </c>
      <c r="D5792" s="2" t="s">
        <f>=HYPERLINK("https://main.knesset.gov.il/APPS/legislation/main/bills/2199008", "הצעת חוק הביטוח הלאומי (תיקון - העלאת קצבת הילדים), התשפ""ג-2023")</f>
        <v>11057</v>
      </c>
      <c r="E5792" t="s">
        <v>11057</v>
      </c>
      <c r="F5792" t="s">
        <v>11559</v>
      </c>
      <c r="G5792" t="s">
        <v>14</v>
      </c>
      <c r="H5792">
             </c>
      <c r="I5792" t="s">
        <v>14</v>
      </c>
      <c r="J5792" t="s">
        <v>141</v>
      </c>
      <c r="K5792" t="s">
        <v>14</v>
      </c>
      <c r="L5792" t="s">
        <v>20</v>
      </c>
      <c r="M5792" t="s">
        <v>11439</v>
      </c>
      <c r="N5792" t="s">
        <v>14</v>
      </c>
    </row>
    <row r="5793" x14ac:dyDescent="0.25">
      <c r="A5793" t="n">
        <v>25</v>
      </c>
      <c r="B5793" t="s">
        <v>14</v>
      </c>
      <c r="C5793" t="s">
        <v>22</v>
      </c>
      <c r="D5793" s="2" t="s">
        <f>=HYPERLINK("https://main.knesset.gov.il/APPS/legislation/main/bills/2198991", "הצעת חוק הביטוח הלאומי (תיקון - זכות טיעון לפני שלילת גמלה), התשפ""ג-2023")</f>
        <v>11560</v>
      </c>
      <c r="E5793" t="s">
        <v>11560</v>
      </c>
      <c r="F5793" t="s">
        <v>11561</v>
      </c>
      <c r="G5793" t="s">
        <v>14</v>
      </c>
      <c r="H5793">
             </c>
      <c r="I5793" t="s">
        <v>14</v>
      </c>
      <c r="J5793" t="s">
        <v>141</v>
      </c>
      <c r="K5793" t="s">
        <v>14</v>
      </c>
      <c r="L5793" t="s">
        <v>20</v>
      </c>
      <c r="M5793" t="s">
        <v>11439</v>
      </c>
      <c r="N5793" t="s">
        <v>14</v>
      </c>
    </row>
    <row r="5794" x14ac:dyDescent="0.25">
      <c r="A5794" t="n">
        <v>25</v>
      </c>
      <c r="B5794" t="s">
        <v>14</v>
      </c>
      <c r="C5794" t="s">
        <v>22</v>
      </c>
      <c r="D5794" s="2" t="s">
        <f>=HYPERLINK("https://main.knesset.gov.il/APPS/legislation/main/bills/2199122", "הצעת חוק הביטוח הלאומי (תיקון - דמי אבטלה לעצמאים), התשפ""ג-2023")</f>
        <v>9406</v>
      </c>
      <c r="E5794" t="s">
        <v>9406</v>
      </c>
      <c r="F5794" t="s">
        <v>11562</v>
      </c>
      <c r="G5794" t="s">
        <v>14</v>
      </c>
      <c r="H5794">
             </c>
      <c r="I5794" t="s">
        <v>14</v>
      </c>
      <c r="J5794" t="s">
        <v>141</v>
      </c>
      <c r="K5794" t="s">
        <v>14</v>
      </c>
      <c r="L5794" t="s">
        <v>20</v>
      </c>
      <c r="M5794" t="s">
        <v>11439</v>
      </c>
      <c r="N5794" t="s">
        <v>14</v>
      </c>
    </row>
    <row r="5795" x14ac:dyDescent="0.25">
      <c r="A5795" t="n">
        <v>25</v>
      </c>
      <c r="B5795" t="s">
        <v>14</v>
      </c>
      <c r="C5795" t="s">
        <v>22</v>
      </c>
      <c r="D5795" s="2" t="s">
        <f>=HYPERLINK("https://main.knesset.gov.il/APPS/legislation/main/bills/2199537", "הצעת חוק לימודי הכנה למבחנים פסיכומטריים לתלמידים, התשפ""ג-2023")</f>
        <v>9482</v>
      </c>
      <c r="E5795" t="s">
        <v>9482</v>
      </c>
      <c r="F5795" t="s">
        <v>11563</v>
      </c>
      <c r="G5795" t="s">
        <v>14</v>
      </c>
      <c r="H5795">
             </c>
      <c r="I5795" t="s">
        <v>14</v>
      </c>
      <c r="J5795" t="s">
        <v>141</v>
      </c>
      <c r="K5795" t="s">
        <v>14</v>
      </c>
      <c r="L5795" t="s">
        <v>20</v>
      </c>
      <c r="M5795" t="s">
        <v>11439</v>
      </c>
      <c r="N5795" t="s">
        <v>14</v>
      </c>
    </row>
    <row r="5796" x14ac:dyDescent="0.25">
      <c r="A5796" t="n">
        <v>25</v>
      </c>
      <c r="B5796" t="s">
        <v>14</v>
      </c>
      <c r="C5796" t="s">
        <v>22</v>
      </c>
      <c r="D5796" s="2" t="s">
        <f>=HYPERLINK("https://main.knesset.gov.il/APPS/legislation/main/bills/2199584", "הצעת חוק לתיקון פקודת התעבורה (הוראות לעניין סככות המתנה בתחנות אוטובוס), התשפ""ג-2023")</f>
        <v>8588</v>
      </c>
      <c r="E5796" t="s">
        <v>8588</v>
      </c>
      <c r="F5796" t="s">
        <v>11564</v>
      </c>
      <c r="G5796" t="s">
        <v>14</v>
      </c>
      <c r="H5796">
             </c>
      <c r="I5796" t="s">
        <v>14</v>
      </c>
      <c r="J5796" t="s">
        <v>141</v>
      </c>
      <c r="K5796" t="s">
        <v>14</v>
      </c>
      <c r="L5796" t="s">
        <v>20</v>
      </c>
      <c r="M5796" t="s">
        <v>11439</v>
      </c>
      <c r="N5796" t="s">
        <v>14</v>
      </c>
    </row>
    <row r="5797" x14ac:dyDescent="0.25">
      <c r="A5797" t="n">
        <v>25</v>
      </c>
      <c r="B5797" t="s">
        <v>14</v>
      </c>
      <c r="C5797" t="s">
        <v>22</v>
      </c>
      <c r="D5797" s="2" t="s">
        <f>=HYPERLINK("https://main.knesset.gov.il/APPS/legislation/main/bills/2198995", "הצעת חוק להארכת מועד לקבלת דברי דואר (הוראת שעה), התשפ""ג-2023")</f>
        <v>9582</v>
      </c>
      <c r="E5797" t="s">
        <v>9582</v>
      </c>
      <c r="F5797" t="s">
        <v>11565</v>
      </c>
      <c r="G5797" t="s">
        <v>14</v>
      </c>
      <c r="H5797">
             </c>
      <c r="I5797" t="s">
        <v>14</v>
      </c>
      <c r="J5797" t="s">
        <v>141</v>
      </c>
      <c r="K5797" t="s">
        <v>14</v>
      </c>
      <c r="L5797" t="s">
        <v>20</v>
      </c>
      <c r="M5797" t="s">
        <v>11439</v>
      </c>
      <c r="N5797" t="s">
        <v>14</v>
      </c>
    </row>
    <row r="5798" x14ac:dyDescent="0.25">
      <c r="A5798" t="n">
        <v>25</v>
      </c>
      <c r="B5798" t="s">
        <v>14</v>
      </c>
      <c r="C5798" t="s">
        <v>22</v>
      </c>
      <c r="D5798" s="2" t="s">
        <f>=HYPERLINK("https://main.knesset.gov.il/APPS/legislation/main/bills/2199432", "הצעת חוק הגנת הצרכן (תיקון - איסור גביית תשלום בכרטיסי חיוב בלבד), התשפ""ג-2023")</f>
        <v>7027</v>
      </c>
      <c r="E5798" t="s">
        <v>7027</v>
      </c>
      <c r="F5798" t="s">
        <v>11566</v>
      </c>
      <c r="G5798" t="s">
        <v>14</v>
      </c>
      <c r="H5798">
             </c>
      <c r="I5798" t="s">
        <v>14</v>
      </c>
      <c r="J5798" t="s">
        <v>141</v>
      </c>
      <c r="K5798" t="s">
        <v>14</v>
      </c>
      <c r="L5798" t="s">
        <v>20</v>
      </c>
      <c r="M5798" t="s">
        <v>11439</v>
      </c>
      <c r="N5798" t="s">
        <v>14</v>
      </c>
    </row>
    <row r="5799" x14ac:dyDescent="0.25">
      <c r="A5799" t="n">
        <v>25</v>
      </c>
      <c r="B5799" t="s">
        <v>14</v>
      </c>
      <c r="C5799" t="s">
        <v>22</v>
      </c>
      <c r="D5799" s="2" t="s">
        <f>=HYPERLINK("https://main.knesset.gov.il/APPS/legislation/main/bills/2199591", "הצעת חוק הרישום למוסדות להשכלה גבוהה, התשפ""ג-2023")</f>
        <v>11567</v>
      </c>
      <c r="E5799" t="s">
        <v>11567</v>
      </c>
      <c r="F5799" t="s">
        <v>11568</v>
      </c>
      <c r="G5799" t="s">
        <v>14</v>
      </c>
      <c r="H5799">
             </c>
      <c r="I5799" t="s">
        <v>14</v>
      </c>
      <c r="J5799" t="s">
        <v>141</v>
      </c>
      <c r="K5799" t="s">
        <v>14</v>
      </c>
      <c r="L5799" t="s">
        <v>20</v>
      </c>
      <c r="M5799" t="s">
        <v>11439</v>
      </c>
      <c r="N5799" t="s">
        <v>14</v>
      </c>
    </row>
    <row r="5800" x14ac:dyDescent="0.25">
      <c r="A5800" t="n">
        <v>25</v>
      </c>
      <c r="B5800" t="s">
        <v>14</v>
      </c>
      <c r="C5800" t="s">
        <v>22</v>
      </c>
      <c r="D5800" s="2" t="s">
        <f>=HYPERLINK("https://main.knesset.gov.il/APPS/legislation/main/bills/2199429", "הצעת חוק התכנון והבנייה (תיקון - איסור שימוש ברכב או ציוד מכני הנדסי), התשפ""ג-2023")</f>
        <v>11569</v>
      </c>
      <c r="E5800" t="s">
        <v>11569</v>
      </c>
      <c r="F5800" t="s">
        <v>11570</v>
      </c>
      <c r="G5800" t="s">
        <v>14</v>
      </c>
      <c r="H5800">
             </c>
      <c r="I5800" t="s">
        <v>14</v>
      </c>
      <c r="J5800" t="s">
        <v>141</v>
      </c>
      <c r="K5800" t="s">
        <v>14</v>
      </c>
      <c r="L5800" t="s">
        <v>20</v>
      </c>
      <c r="M5800" t="s">
        <v>11439</v>
      </c>
      <c r="N5800" t="s">
        <v>14</v>
      </c>
    </row>
    <row r="5801" x14ac:dyDescent="0.25">
      <c r="A5801" t="n">
        <v>25</v>
      </c>
      <c r="B5801" t="s">
        <v>14</v>
      </c>
      <c r="C5801" t="s">
        <v>22</v>
      </c>
      <c r="D5801" s="2" t="s">
        <f>=HYPERLINK("https://main.knesset.gov.il/APPS/legislation/main/bills/2199438", "הצעת חוק הגנת הצרכן (תיקון - הגבלות על מכירה מיוחדת), התשפ""ג-2023")</f>
        <v>9905</v>
      </c>
      <c r="E5801" t="s">
        <v>9905</v>
      </c>
      <c r="F5801" t="s">
        <v>11571</v>
      </c>
      <c r="G5801" t="s">
        <v>14</v>
      </c>
      <c r="H5801">
             </c>
      <c r="I5801" t="s">
        <v>14</v>
      </c>
      <c r="J5801" t="s">
        <v>141</v>
      </c>
      <c r="K5801" t="s">
        <v>14</v>
      </c>
      <c r="L5801" t="s">
        <v>20</v>
      </c>
      <c r="M5801" t="s">
        <v>11439</v>
      </c>
      <c r="N5801" t="s">
        <v>14</v>
      </c>
    </row>
    <row r="5802" x14ac:dyDescent="0.25">
      <c r="A5802" t="n">
        <v>25</v>
      </c>
      <c r="B5802" t="s">
        <v>14</v>
      </c>
      <c r="C5802" t="s">
        <v>22</v>
      </c>
      <c r="D5802" s="2" t="s">
        <f>=HYPERLINK("https://main.knesset.gov.il/APPS/legislation/main/bills/2199707", "הצעת חוק הגנת הצרכן (תיקון - השוואת תנאי צרכן ונותן שירות בעניין החזרת טובין), התשפ""ג-2023")</f>
        <v>11572</v>
      </c>
      <c r="E5802" t="s">
        <v>11572</v>
      </c>
      <c r="F5802" t="s">
        <v>11573</v>
      </c>
      <c r="G5802" t="s">
        <v>14</v>
      </c>
      <c r="H5802">
             </c>
      <c r="I5802" t="s">
        <v>14</v>
      </c>
      <c r="J5802" t="s">
        <v>141</v>
      </c>
      <c r="K5802" t="s">
        <v>14</v>
      </c>
      <c r="L5802" t="s">
        <v>20</v>
      </c>
      <c r="M5802" t="s">
        <v>11439</v>
      </c>
      <c r="N5802" t="s">
        <v>14</v>
      </c>
    </row>
    <row r="5803" x14ac:dyDescent="0.25">
      <c r="A5803" t="n">
        <v>25</v>
      </c>
      <c r="B5803" t="s">
        <v>14</v>
      </c>
      <c r="C5803" t="s">
        <v>22</v>
      </c>
      <c r="D5803" s="2" t="s">
        <f>=HYPERLINK("https://main.knesset.gov.il/APPS/legislation/main/bills/2199708", "הצעת חוק הגנת הצרכן (תיקון - שינוי פרטים בכרטיס טיסה או בכרטיס לשיט), התשפ""ג-2023")</f>
        <v>9674</v>
      </c>
      <c r="E5803" t="s">
        <v>9674</v>
      </c>
      <c r="F5803" t="s">
        <v>11574</v>
      </c>
      <c r="G5803" t="s">
        <v>14</v>
      </c>
      <c r="H5803">
             </c>
      <c r="I5803" t="s">
        <v>14</v>
      </c>
      <c r="J5803" t="s">
        <v>141</v>
      </c>
      <c r="K5803" t="s">
        <v>14</v>
      </c>
      <c r="L5803" t="s">
        <v>20</v>
      </c>
      <c r="M5803" t="s">
        <v>11439</v>
      </c>
      <c r="N5803" t="s">
        <v>14</v>
      </c>
    </row>
    <row r="5804" x14ac:dyDescent="0.25">
      <c r="A5804" t="n">
        <v>25</v>
      </c>
      <c r="B5804" t="s">
        <v>14</v>
      </c>
      <c r="C5804" t="s">
        <v>22</v>
      </c>
      <c r="D5804" s="2" t="s">
        <f>=HYPERLINK("https://main.knesset.gov.il/APPS/legislation/main/bills/2199000", "הצעת חוק הסדרת העיסוק במקצועות הבריאות (תיקון - הסדרת העיסוק בניתוח התנהגות), התשפ""ג-2023")</f>
        <v>9522</v>
      </c>
      <c r="E5804" t="s">
        <v>9522</v>
      </c>
      <c r="F5804" t="s">
        <v>11575</v>
      </c>
      <c r="G5804" t="s">
        <v>14</v>
      </c>
      <c r="H5804">
             </c>
      <c r="I5804" t="s">
        <v>14</v>
      </c>
      <c r="J5804" t="s">
        <v>141</v>
      </c>
      <c r="K5804" t="s">
        <v>14</v>
      </c>
      <c r="L5804" t="s">
        <v>20</v>
      </c>
      <c r="M5804" t="s">
        <v>11439</v>
      </c>
      <c r="N5804" t="s">
        <v>14</v>
      </c>
    </row>
    <row r="5805" x14ac:dyDescent="0.25">
      <c r="A5805" t="n">
        <v>25</v>
      </c>
      <c r="B5805" t="s">
        <v>14</v>
      </c>
      <c r="C5805" t="s">
        <v>22</v>
      </c>
      <c r="D5805" s="2" t="s">
        <f>=HYPERLINK("https://main.knesset.gov.il/APPS/legislation/main/bills/2199186", "הצעת חוק דמי מחלה (תיקון - איסור פיטורים בעת היעדרות בשל מחלת ילד), התשפ""ג-2023")</f>
        <v>11576</v>
      </c>
      <c r="E5805" t="s">
        <v>11576</v>
      </c>
      <c r="F5805" t="s">
        <v>11577</v>
      </c>
      <c r="G5805" t="s">
        <v>14</v>
      </c>
      <c r="H5805">
             </c>
      <c r="I5805" t="s">
        <v>14</v>
      </c>
      <c r="J5805" t="s">
        <v>141</v>
      </c>
      <c r="K5805" t="s">
        <v>14</v>
      </c>
      <c r="L5805" t="s">
        <v>20</v>
      </c>
      <c r="M5805" t="s">
        <v>11439</v>
      </c>
      <c r="N5805" t="s">
        <v>14</v>
      </c>
    </row>
    <row r="5806" x14ac:dyDescent="0.25">
      <c r="A5806" t="n">
        <v>25</v>
      </c>
      <c r="B5806" t="s">
        <v>14</v>
      </c>
      <c r="C5806" t="s">
        <v>22</v>
      </c>
      <c r="D5806" s="2" t="s">
        <f>=HYPERLINK("https://main.knesset.gov.il/APPS/legislation/main/bills/2196577", "הצעת חוק הסכמים קיבוציים (תיקון - סייג לגביית דמי חבר ודמי טיפול מקצועי-ארגוני בארגון עובדים), התשפ""ג-2023")</f>
        <v>10417</v>
      </c>
      <c r="E5806" t="s">
        <v>10417</v>
      </c>
      <c r="F5806" t="s">
        <v>11578</v>
      </c>
      <c r="G5806" t="s">
        <v>14</v>
      </c>
      <c r="H5806">
             </c>
      <c r="I5806" t="s">
        <v>14</v>
      </c>
      <c r="J5806" t="s">
        <v>141</v>
      </c>
      <c r="K5806" t="s">
        <v>14</v>
      </c>
      <c r="L5806" t="s">
        <v>20</v>
      </c>
      <c r="M5806" t="s">
        <v>11439</v>
      </c>
      <c r="N5806" t="s">
        <v>14</v>
      </c>
    </row>
    <row r="5807" x14ac:dyDescent="0.25">
      <c r="A5807" t="n">
        <v>25</v>
      </c>
      <c r="B5807" t="s">
        <v>14</v>
      </c>
      <c r="C5807" t="s">
        <v>22</v>
      </c>
      <c r="D5807" s="2" t="s">
        <f>=HYPERLINK("https://main.knesset.gov.il/APPS/legislation/main/bills/2198993", "הצעת חוק דמי מחלה (היעדרות בשל מחלת ילד) (תיקון - מחלת תינוק), התשפ""ג-2023")</f>
        <v>9847</v>
      </c>
      <c r="E5807" t="s">
        <v>9847</v>
      </c>
      <c r="F5807" t="s">
        <v>11579</v>
      </c>
      <c r="G5807" t="s">
        <v>14</v>
      </c>
      <c r="H5807">
             </c>
      <c r="I5807" t="s">
        <v>14</v>
      </c>
      <c r="J5807" t="s">
        <v>141</v>
      </c>
      <c r="K5807" t="s">
        <v>14</v>
      </c>
      <c r="L5807" t="s">
        <v>20</v>
      </c>
      <c r="M5807" t="s">
        <v>11439</v>
      </c>
      <c r="N5807" t="s">
        <v>14</v>
      </c>
    </row>
    <row r="5808" x14ac:dyDescent="0.25">
      <c r="A5808" t="n">
        <v>25</v>
      </c>
      <c r="B5808" t="s">
        <v>14</v>
      </c>
      <c r="C5808" t="s">
        <v>22</v>
      </c>
      <c r="D5808" s="2" t="s">
        <f>=HYPERLINK("https://main.knesset.gov.il/APPS/legislation/main/bills/2199647", "הצעת חוק הגנת הצרכן (תיקון - ביטול אפשרות להארכה אוטומטית של עסקה לתקופה קצובה), התשפ""ג-2023")</f>
        <v>11580</v>
      </c>
      <c r="E5808" t="s">
        <v>11580</v>
      </c>
      <c r="F5808" t="s">
        <v>11581</v>
      </c>
      <c r="G5808" t="s">
        <v>14</v>
      </c>
      <c r="H5808">
             </c>
      <c r="I5808" t="s">
        <v>14</v>
      </c>
      <c r="J5808" t="s">
        <v>141</v>
      </c>
      <c r="K5808" t="s">
        <v>14</v>
      </c>
      <c r="L5808" t="s">
        <v>20</v>
      </c>
      <c r="M5808" t="s">
        <v>11439</v>
      </c>
      <c r="N5808" t="s">
        <v>14</v>
      </c>
    </row>
    <row r="5809" x14ac:dyDescent="0.25">
      <c r="A5809" t="n">
        <v>25</v>
      </c>
      <c r="B5809" t="s">
        <v>14</v>
      </c>
      <c r="C5809" t="s">
        <v>22</v>
      </c>
      <c r="D5809" s="2" t="s">
        <f>=HYPERLINK("https://main.knesset.gov.il/APPS/legislation/main/bills/2199677", "הצעת חוק טיפול בחולי נפש (תיקון - תנאי אשפוז הולמים), התשפ""ג-2023")</f>
        <v>8085</v>
      </c>
      <c r="E5809" t="s">
        <v>8085</v>
      </c>
      <c r="F5809" t="s">
        <v>11582</v>
      </c>
      <c r="G5809" t="s">
        <v>14</v>
      </c>
      <c r="H5809">
             </c>
      <c r="I5809" t="s">
        <v>14</v>
      </c>
      <c r="J5809" t="s">
        <v>141</v>
      </c>
      <c r="K5809" t="s">
        <v>14</v>
      </c>
      <c r="L5809" t="s">
        <v>20</v>
      </c>
      <c r="M5809" t="s">
        <v>11439</v>
      </c>
      <c r="N5809" t="s">
        <v>14</v>
      </c>
    </row>
    <row r="5810" x14ac:dyDescent="0.25">
      <c r="A5810" t="n">
        <v>25</v>
      </c>
      <c r="B5810" t="s">
        <v>14</v>
      </c>
      <c r="C5810" t="s">
        <v>22</v>
      </c>
      <c r="D5810" s="2" t="s">
        <f>=HYPERLINK("https://main.knesset.gov.il/APPS/legislation/main/bills/2199227", "הצעת חוק ביטוח בריאות ממלכתי (תיקון - תנאים להחלפת תרופה, טיפול, מטפל, נותן שירותים או מוסד רפואי), התשפ""ג-2023")</f>
        <v>11583</v>
      </c>
      <c r="E5810" t="s">
        <v>11583</v>
      </c>
      <c r="F5810" t="s">
        <v>11584</v>
      </c>
      <c r="G5810" t="s">
        <v>14</v>
      </c>
      <c r="H5810">
             </c>
      <c r="I5810" t="s">
        <v>14</v>
      </c>
      <c r="J5810" t="s">
        <v>141</v>
      </c>
      <c r="K5810" t="s">
        <v>14</v>
      </c>
      <c r="L5810" t="s">
        <v>20</v>
      </c>
      <c r="M5810" t="s">
        <v>11439</v>
      </c>
      <c r="N5810" t="s">
        <v>14</v>
      </c>
    </row>
    <row r="5811" x14ac:dyDescent="0.25">
      <c r="A5811" t="n">
        <v>25</v>
      </c>
      <c r="B5811" t="s">
        <v>14</v>
      </c>
      <c r="C5811" t="s">
        <v>22</v>
      </c>
      <c r="D5811" s="2" t="s">
        <f>=HYPERLINK("https://main.knesset.gov.il/APPS/legislation/main/bills/2198792", "הצעת חוק טיפול בחולי נפש (תיקון - תנאי אשפוז הולמים), התשפ""ג-2023")</f>
        <v>8085</v>
      </c>
      <c r="E5811" t="s">
        <v>8085</v>
      </c>
      <c r="F5811" t="s">
        <v>11585</v>
      </c>
      <c r="G5811" t="s">
        <v>14</v>
      </c>
      <c r="H5811">
             </c>
      <c r="I5811" t="s">
        <v>14</v>
      </c>
      <c r="J5811" t="s">
        <v>141</v>
      </c>
      <c r="K5811" t="s">
        <v>14</v>
      </c>
      <c r="L5811" t="s">
        <v>20</v>
      </c>
      <c r="M5811" t="s">
        <v>11439</v>
      </c>
      <c r="N5811" t="s">
        <v>14</v>
      </c>
    </row>
    <row r="5812" x14ac:dyDescent="0.25">
      <c r="A5812" t="n">
        <v>25</v>
      </c>
      <c r="B5812" t="s">
        <v>14</v>
      </c>
      <c r="C5812" t="s">
        <v>22</v>
      </c>
      <c r="D5812" s="2" t="s">
        <f>=HYPERLINK("https://main.knesset.gov.il/APPS/legislation/main/bills/2198884", "הצעת חוק החקלאות, התשפ""ג-2023 ")</f>
        <v>11586</v>
      </c>
      <c r="E5812" t="s">
        <v>11586</v>
      </c>
      <c r="F5812" t="s">
        <v>11587</v>
      </c>
      <c r="G5812" t="s">
        <v>14</v>
      </c>
      <c r="H5812">
             </c>
      <c r="I5812" t="s">
        <v>14</v>
      </c>
      <c r="J5812" t="s">
        <v>141</v>
      </c>
      <c r="K5812" t="s">
        <v>14</v>
      </c>
      <c r="L5812" t="s">
        <v>20</v>
      </c>
      <c r="M5812" t="s">
        <v>11439</v>
      </c>
      <c r="N5812" t="s">
        <v>14</v>
      </c>
    </row>
    <row r="5813" x14ac:dyDescent="0.25">
      <c r="A5813" t="n">
        <v>25</v>
      </c>
      <c r="B5813" t="s">
        <v>14</v>
      </c>
      <c r="C5813" t="s">
        <v>22</v>
      </c>
      <c r="D5813" s="2" t="s">
        <f>=HYPERLINK("https://main.knesset.gov.il/APPS/legislation/main/bills/2196568", "הצעת חוק הביטוח הלאומי (תיקון - שיעור ההטבה לפי הסכם בדבר גמלת ניידות), התשפ""ג-2023")</f>
        <v>9667</v>
      </c>
      <c r="E5813" t="s">
        <v>9667</v>
      </c>
      <c r="F5813" t="s">
        <v>11588</v>
      </c>
      <c r="G5813" t="s">
        <v>14</v>
      </c>
      <c r="H5813">
             </c>
      <c r="I5813" t="s">
        <v>14</v>
      </c>
      <c r="J5813" t="s">
        <v>141</v>
      </c>
      <c r="K5813" t="s">
        <v>14</v>
      </c>
      <c r="L5813" t="s">
        <v>20</v>
      </c>
      <c r="M5813" t="s">
        <v>11439</v>
      </c>
      <c r="N5813" t="s">
        <v>14</v>
      </c>
    </row>
    <row r="5814" x14ac:dyDescent="0.25">
      <c r="A5814" t="n">
        <v>25</v>
      </c>
      <c r="B5814" t="s">
        <v>14</v>
      </c>
      <c r="C5814" t="s">
        <v>22</v>
      </c>
      <c r="D5814" s="2" t="s">
        <f>=HYPERLINK("https://main.knesset.gov.il/APPS/legislation/main/bills/2199341", "הצעת חוק לתיקון פקודת מס הכנסה (ניכוי בגין הוצאות טיפול בילדים), התשפ""ג-2023")</f>
        <v>11589</v>
      </c>
      <c r="E5814" t="s">
        <v>11589</v>
      </c>
      <c r="F5814" t="s">
        <v>11590</v>
      </c>
      <c r="G5814" t="s">
        <v>14</v>
      </c>
      <c r="H5814">
             </c>
      <c r="I5814" t="s">
        <v>14</v>
      </c>
      <c r="J5814" t="s">
        <v>141</v>
      </c>
      <c r="K5814" t="s">
        <v>14</v>
      </c>
      <c r="L5814" t="s">
        <v>20</v>
      </c>
      <c r="M5814" t="s">
        <v>11439</v>
      </c>
      <c r="N5814" t="s">
        <v>14</v>
      </c>
    </row>
    <row r="5815" x14ac:dyDescent="0.25">
      <c r="A5815" t="n">
        <v>25</v>
      </c>
      <c r="B5815" t="s">
        <v>14</v>
      </c>
      <c r="C5815" t="s">
        <v>22</v>
      </c>
      <c r="D5815" s="2" t="s">
        <f>=HYPERLINK("https://main.knesset.gov.il/APPS/legislation/main/bills/2199315", "הצעת חוק לתיקון פקודת התעבורה (תמרור סימון על פני הכביש - שימוש באמצעי מונע החלקה), התשפ""ג-2023")</f>
        <v>11591</v>
      </c>
      <c r="E5815" t="s">
        <v>11591</v>
      </c>
      <c r="F5815" t="s">
        <v>11592</v>
      </c>
      <c r="G5815" t="s">
        <v>14</v>
      </c>
      <c r="H5815">
             </c>
      <c r="I5815" t="s">
        <v>14</v>
      </c>
      <c r="J5815" t="s">
        <v>141</v>
      </c>
      <c r="K5815" t="s">
        <v>14</v>
      </c>
      <c r="L5815" t="s">
        <v>20</v>
      </c>
      <c r="M5815" t="s">
        <v>11439</v>
      </c>
      <c r="N5815" t="s">
        <v>14</v>
      </c>
    </row>
    <row r="5816" x14ac:dyDescent="0.25">
      <c r="A5816" t="n">
        <v>25</v>
      </c>
      <c r="B5816" t="s">
        <v>14</v>
      </c>
      <c r="C5816" t="s">
        <v>22</v>
      </c>
      <c r="D5816" s="2" t="s">
        <f>=HYPERLINK("https://main.knesset.gov.il/APPS/legislation/main/bills/2197791", "הצעת חוק שכר מינימום (תיקון - הצמדת שכר המינימום למדד המחירים לצרכן), התשפ""ג-2023")</f>
        <v>11593</v>
      </c>
      <c r="E5816" t="s">
        <v>11593</v>
      </c>
      <c r="F5816" t="s">
        <v>11594</v>
      </c>
      <c r="G5816" t="s">
        <v>14</v>
      </c>
      <c r="H5816">
             </c>
      <c r="I5816" t="s">
        <v>14</v>
      </c>
      <c r="J5816" t="s">
        <v>141</v>
      </c>
      <c r="K5816" t="s">
        <v>14</v>
      </c>
      <c r="L5816" t="s">
        <v>20</v>
      </c>
      <c r="M5816" t="s">
        <v>11439</v>
      </c>
      <c r="N5816" t="s">
        <v>14</v>
      </c>
    </row>
    <row r="5817" x14ac:dyDescent="0.25">
      <c r="A5817" t="n">
        <v>25</v>
      </c>
      <c r="B5817" t="s">
        <v>14</v>
      </c>
      <c r="C5817" t="s">
        <v>22</v>
      </c>
      <c r="D5817" s="2" t="s">
        <f>=HYPERLINK("https://main.knesset.gov.il/APPS/legislation/main/bills/2196212", "הצעת חוק דמי מחלה (היעדרות בשל מחלת ילד) (תיקון - בן זוג לומד), התשפ""ג-2023")</f>
        <v>11595</v>
      </c>
      <c r="E5817" t="s">
        <v>11595</v>
      </c>
      <c r="F5817" t="s">
        <v>11596</v>
      </c>
      <c r="G5817" t="s">
        <v>14</v>
      </c>
      <c r="H5817">
             </c>
      <c r="I5817" t="s">
        <v>14</v>
      </c>
      <c r="J5817" t="s">
        <v>141</v>
      </c>
      <c r="K5817" t="s">
        <v>14</v>
      </c>
      <c r="L5817" t="s">
        <v>20</v>
      </c>
      <c r="M5817" t="s">
        <v>11439</v>
      </c>
      <c r="N5817" t="s">
        <v>14</v>
      </c>
    </row>
    <row r="5818" x14ac:dyDescent="0.25">
      <c r="A5818" t="n">
        <v>25</v>
      </c>
      <c r="B5818" t="s">
        <v>14</v>
      </c>
      <c r="C5818" t="s">
        <v>22</v>
      </c>
      <c r="D5818" s="2" t="s">
        <f>=HYPERLINK("https://main.knesset.gov.il/APPS/legislation/main/bills/2199214", "הצעת חוק כביש אגרה (כביש ארצי לישראל) (תיקון - תנאי לגביית אגרה), התשפ""ג-2023")</f>
        <v>9061</v>
      </c>
      <c r="E5818" t="s">
        <v>9061</v>
      </c>
      <c r="F5818" t="s">
        <v>11597</v>
      </c>
      <c r="G5818" t="s">
        <v>14</v>
      </c>
      <c r="H5818">
             </c>
      <c r="I5818" t="s">
        <v>14</v>
      </c>
      <c r="J5818" t="s">
        <v>141</v>
      </c>
      <c r="K5818" t="s">
        <v>14</v>
      </c>
      <c r="L5818" t="s">
        <v>20</v>
      </c>
      <c r="M5818" t="s">
        <v>11439</v>
      </c>
      <c r="N5818" t="s">
        <v>14</v>
      </c>
    </row>
    <row r="5819" x14ac:dyDescent="0.25">
      <c r="A5819" t="n">
        <v>25</v>
      </c>
      <c r="B5819" t="s">
        <v>14</v>
      </c>
      <c r="C5819" t="s">
        <v>22</v>
      </c>
      <c r="D5819" s="2" t="s">
        <f>=HYPERLINK("https://main.knesset.gov.il/APPS/legislation/main/bills/2199612", "הצעת חוק הפיקוח על מעונות יום לפעוטות (תיקון - חובת החזקת ערכת עזרה ראשונה), התשפ""ג-2023")</f>
        <v>11598</v>
      </c>
      <c r="E5819" t="s">
        <v>11598</v>
      </c>
      <c r="F5819" t="s">
        <v>11599</v>
      </c>
      <c r="G5819" t="s">
        <v>14</v>
      </c>
      <c r="H5819">
             </c>
      <c r="I5819" t="s">
        <v>14</v>
      </c>
      <c r="J5819" t="s">
        <v>141</v>
      </c>
      <c r="K5819" t="s">
        <v>14</v>
      </c>
      <c r="L5819" t="s">
        <v>20</v>
      </c>
      <c r="M5819" t="s">
        <v>11439</v>
      </c>
      <c r="N5819" t="s">
        <v>14</v>
      </c>
    </row>
    <row r="5820" x14ac:dyDescent="0.25">
      <c r="A5820" t="n">
        <v>25</v>
      </c>
      <c r="B5820" t="s">
        <v>14</v>
      </c>
      <c r="C5820" t="s">
        <v>22</v>
      </c>
      <c r="D5820" s="2" t="s">
        <f>=HYPERLINK("https://main.knesset.gov.il/APPS/legislation/main/bills/2199469", "הצעת חוק לתיקון פקודת התעבורה (הסדרי תנועה בקרבת בית ספר), התשפ""ג-2023")</f>
        <v>11600</v>
      </c>
      <c r="E5820" t="s">
        <v>11600</v>
      </c>
      <c r="F5820" t="s">
        <v>11601</v>
      </c>
      <c r="G5820" t="s">
        <v>14</v>
      </c>
      <c r="H5820">
             </c>
      <c r="I5820" t="s">
        <v>14</v>
      </c>
      <c r="J5820" t="s">
        <v>141</v>
      </c>
      <c r="K5820" t="s">
        <v>14</v>
      </c>
      <c r="L5820" t="s">
        <v>20</v>
      </c>
      <c r="M5820" t="s">
        <v>11439</v>
      </c>
      <c r="N5820" t="s">
        <v>14</v>
      </c>
    </row>
    <row r="5821" x14ac:dyDescent="0.25">
      <c r="A5821" t="n">
        <v>25</v>
      </c>
      <c r="B5821" t="s">
        <v>14</v>
      </c>
      <c r="C5821" t="s">
        <v>22</v>
      </c>
      <c r="D5821" s="2" t="s">
        <f>=HYPERLINK("https://main.knesset.gov.il/APPS/legislation/main/bills/2198992", "הצעת חוק חניה לנכים (תיקון - החלטה בבקשה לתג נכה), התשפ""ג-2023")</f>
        <v>8494</v>
      </c>
      <c r="E5821" t="s">
        <v>8494</v>
      </c>
      <c r="F5821" t="s">
        <v>11602</v>
      </c>
      <c r="G5821" t="s">
        <v>14</v>
      </c>
      <c r="H5821">
             </c>
      <c r="I5821" t="s">
        <v>14</v>
      </c>
      <c r="J5821" t="s">
        <v>141</v>
      </c>
      <c r="K5821" t="s">
        <v>14</v>
      </c>
      <c r="L5821" t="s">
        <v>20</v>
      </c>
      <c r="M5821" t="s">
        <v>11439</v>
      </c>
      <c r="N5821" t="s">
        <v>14</v>
      </c>
    </row>
    <row r="5822" x14ac:dyDescent="0.25">
      <c r="A5822" t="n">
        <v>25</v>
      </c>
      <c r="B5822" t="s">
        <v>14</v>
      </c>
      <c r="C5822" t="s">
        <v>22</v>
      </c>
      <c r="D5822" s="2" t="s">
        <f>=HYPERLINK("https://main.knesset.gov.il/APPS/legislation/main/bills/2199475", "הצעת חוק שמירת הניקיון (תיקון - קרן לשמירת הניקיון), התשפ""ג-2023")</f>
        <v>11603</v>
      </c>
      <c r="E5822" t="s">
        <v>11603</v>
      </c>
      <c r="F5822" t="s">
        <v>11604</v>
      </c>
      <c r="G5822" t="s">
        <v>14</v>
      </c>
      <c r="H5822">
             </c>
      <c r="I5822" t="s">
        <v>14</v>
      </c>
      <c r="J5822" t="s">
        <v>141</v>
      </c>
      <c r="K5822" t="s">
        <v>14</v>
      </c>
      <c r="L5822" t="s">
        <v>20</v>
      </c>
      <c r="M5822" t="s">
        <v>11439</v>
      </c>
      <c r="N5822" t="s">
        <v>14</v>
      </c>
    </row>
    <row r="5823" x14ac:dyDescent="0.25">
      <c r="A5823" t="n">
        <v>25</v>
      </c>
      <c r="B5823" t="s">
        <v>14</v>
      </c>
      <c r="C5823" t="s">
        <v>22</v>
      </c>
      <c r="D5823" s="2" t="s">
        <f>=HYPERLINK("https://main.knesset.gov.il/APPS/legislation/main/bills/2199701", "הצעת חוק צער בעלי חיים (הגנה על בעלי חיים) (תיקון - איסור משלוחים חיים לשחיטה), התשפ""ג-2023")</f>
        <v>11409</v>
      </c>
      <c r="E5823" t="s">
        <v>11409</v>
      </c>
      <c r="F5823" t="s">
        <v>11605</v>
      </c>
      <c r="G5823" t="s">
        <v>14</v>
      </c>
      <c r="H5823">
             </c>
      <c r="I5823" t="s">
        <v>14</v>
      </c>
      <c r="J5823" t="s">
        <v>141</v>
      </c>
      <c r="K5823" t="s">
        <v>14</v>
      </c>
      <c r="L5823" t="s">
        <v>20</v>
      </c>
      <c r="M5823" t="s">
        <v>11439</v>
      </c>
      <c r="N5823" t="s">
        <v>14</v>
      </c>
    </row>
    <row r="5824" x14ac:dyDescent="0.25">
      <c r="A5824" t="n">
        <v>25</v>
      </c>
      <c r="B5824" t="s">
        <v>14</v>
      </c>
      <c r="C5824" t="s">
        <v>22</v>
      </c>
      <c r="D5824" s="2" t="s">
        <f>=HYPERLINK("https://main.knesset.gov.il/APPS/legislation/main/bills/2199192", "הצעת חוק הבלו על דלק (תיקון - הגבלת שיעור המס על הדלק), התשפ""ג-2023")</f>
        <v>9441</v>
      </c>
      <c r="E5824" t="s">
        <v>9441</v>
      </c>
      <c r="F5824" t="s">
        <v>11606</v>
      </c>
      <c r="G5824" t="s">
        <v>14</v>
      </c>
      <c r="H5824">
             </c>
      <c r="I5824" t="s">
        <v>14</v>
      </c>
      <c r="J5824" t="s">
        <v>141</v>
      </c>
      <c r="K5824" t="s">
        <v>14</v>
      </c>
      <c r="L5824" t="s">
        <v>20</v>
      </c>
      <c r="M5824" t="s">
        <v>11439</v>
      </c>
      <c r="N5824" t="s">
        <v>14</v>
      </c>
    </row>
    <row r="5825" x14ac:dyDescent="0.25">
      <c r="A5825" t="n">
        <v>25</v>
      </c>
      <c r="B5825" t="s">
        <v>14</v>
      </c>
      <c r="C5825" t="s">
        <v>22</v>
      </c>
      <c r="D5825" s="2" t="s">
        <f>=HYPERLINK("https://main.knesset.gov.il/APPS/legislation/main/bills/2198972", "הצעת חוק הסכמים קיבוציים (תיקון - אי-תחולה על עובד זר בענף החקלאות), התשפ""ג-2023")</f>
        <v>11607</v>
      </c>
      <c r="E5825" t="s">
        <v>11607</v>
      </c>
      <c r="F5825" t="s">
        <v>11608</v>
      </c>
      <c r="G5825" t="s">
        <v>14</v>
      </c>
      <c r="H5825">
             </c>
      <c r="I5825" t="s">
        <v>14</v>
      </c>
      <c r="J5825" t="s">
        <v>141</v>
      </c>
      <c r="K5825" t="s">
        <v>14</v>
      </c>
      <c r="L5825" t="s">
        <v>20</v>
      </c>
      <c r="M5825" t="s">
        <v>11439</v>
      </c>
      <c r="N5825" t="s">
        <v>14</v>
      </c>
    </row>
    <row r="5826" x14ac:dyDescent="0.25">
      <c r="A5826" t="n">
        <v>25</v>
      </c>
      <c r="B5826" t="s">
        <v>14</v>
      </c>
      <c r="C5826" t="s">
        <v>22</v>
      </c>
      <c r="D5826" s="2" t="s">
        <f>=HYPERLINK("https://main.knesset.gov.il/APPS/legislation/main/bills/2196352", "הצעת חוק שעות עבודה ומנוחה (תיקון - תשלום בעד שעות המנוחה השבועית), התשפ""ג-2023")</f>
        <v>11609</v>
      </c>
      <c r="E5826" t="s">
        <v>11609</v>
      </c>
      <c r="F5826" t="s">
        <v>11610</v>
      </c>
      <c r="G5826" t="s">
        <v>14</v>
      </c>
      <c r="H5826">
             </c>
      <c r="I5826" t="s">
        <v>14</v>
      </c>
      <c r="J5826" t="s">
        <v>141</v>
      </c>
      <c r="K5826" t="s">
        <v>14</v>
      </c>
      <c r="L5826" t="s">
        <v>20</v>
      </c>
      <c r="M5826" t="s">
        <v>11439</v>
      </c>
      <c r="N5826" t="s">
        <v>14</v>
      </c>
    </row>
    <row r="5827" x14ac:dyDescent="0.25">
      <c r="A5827" t="n">
        <v>25</v>
      </c>
      <c r="B5827" t="s">
        <v>14</v>
      </c>
      <c r="C5827" t="s">
        <v>22</v>
      </c>
      <c r="D5827" s="2" t="s">
        <f>=HYPERLINK("https://main.knesset.gov.il/APPS/legislation/main/bills/2199355", "הצעת חוק הגנת הצרכן (תיקון - מענה אנושי בשירות טלפוני לאזרח ותיק), התשפ""ג-2023")</f>
        <v>5340</v>
      </c>
      <c r="E5827" t="s">
        <v>5340</v>
      </c>
      <c r="F5827" t="s">
        <v>11611</v>
      </c>
      <c r="G5827" t="s">
        <v>14</v>
      </c>
      <c r="H5827">
             </c>
      <c r="I5827" t="s">
        <v>14</v>
      </c>
      <c r="J5827" t="s">
        <v>141</v>
      </c>
      <c r="K5827" t="s">
        <v>14</v>
      </c>
      <c r="L5827" t="s">
        <v>20</v>
      </c>
      <c r="M5827" t="s">
        <v>11439</v>
      </c>
      <c r="N5827" t="s">
        <v>14</v>
      </c>
    </row>
    <row r="5828" x14ac:dyDescent="0.25">
      <c r="A5828" t="n">
        <v>25</v>
      </c>
      <c r="B5828" t="s">
        <v>14</v>
      </c>
      <c r="C5828" t="s">
        <v>22</v>
      </c>
      <c r="D5828" s="2" t="s">
        <f>=HYPERLINK("https://main.knesset.gov.il/APPS/legislation/main/bills/2198989", "הצעת חוק המים (תיקון - הנחות לאוכלוסיות זכאיות), התשפ""ג-2023")</f>
        <v>11294</v>
      </c>
      <c r="E5828" t="s">
        <v>11294</v>
      </c>
      <c r="F5828" t="s">
        <v>11612</v>
      </c>
      <c r="G5828" t="s">
        <v>14</v>
      </c>
      <c r="H5828">
             </c>
      <c r="I5828" t="s">
        <v>14</v>
      </c>
      <c r="J5828" t="s">
        <v>141</v>
      </c>
      <c r="K5828" t="s">
        <v>14</v>
      </c>
      <c r="L5828" t="s">
        <v>20</v>
      </c>
      <c r="M5828" t="s">
        <v>11439</v>
      </c>
      <c r="N5828" t="s">
        <v>14</v>
      </c>
    </row>
    <row r="5829" x14ac:dyDescent="0.25">
      <c r="A5829" t="n">
        <v>25</v>
      </c>
      <c r="B5829" t="s">
        <v>14</v>
      </c>
      <c r="C5829" t="s">
        <v>22</v>
      </c>
      <c r="D5829" s="2" t="s">
        <f>=HYPERLINK("https://main.knesset.gov.il/APPS/legislation/main/bills/2199225", "הצעת חוק התגמולים לנפגעי פעולות שנאה, התשפ""ג-2023")</f>
        <v>1461</v>
      </c>
      <c r="E5829" t="s">
        <v>1461</v>
      </c>
      <c r="F5829" t="s">
        <v>11613</v>
      </c>
      <c r="G5829" t="s">
        <v>14</v>
      </c>
      <c r="H5829">
             </c>
      <c r="I5829" t="s">
        <v>14</v>
      </c>
      <c r="J5829" t="s">
        <v>141</v>
      </c>
      <c r="K5829" t="s">
        <v>14</v>
      </c>
      <c r="L5829" t="s">
        <v>20</v>
      </c>
      <c r="M5829" t="s">
        <v>11439</v>
      </c>
      <c r="N5829" t="s">
        <v>14</v>
      </c>
    </row>
    <row r="5830" x14ac:dyDescent="0.25">
      <c r="A5830" t="n">
        <v>25</v>
      </c>
      <c r="B5830" t="s">
        <v>14</v>
      </c>
      <c r="C5830" t="s">
        <v>22</v>
      </c>
      <c r="D5830" s="2" t="s">
        <f>=HYPERLINK("https://main.knesset.gov.il/APPS/legislation/main/bills/2196500", "הצעת חוק התאמת אופן ההעסקה של מטפלות במשפחתונים המפוקחים על ידי האגף למעונות יום ומשפחתונים במשרד הכלכלה והתעשייה, התשפ""ג-2023")</f>
        <v>11614</v>
      </c>
      <c r="E5830" t="s">
        <v>11614</v>
      </c>
      <c r="F5830" t="s">
        <v>11615</v>
      </c>
      <c r="G5830" t="s">
        <v>14</v>
      </c>
      <c r="H5830">
             </c>
      <c r="I5830" t="s">
        <v>14</v>
      </c>
      <c r="J5830" t="s">
        <v>141</v>
      </c>
      <c r="K5830" t="s">
        <v>14</v>
      </c>
      <c r="L5830" t="s">
        <v>20</v>
      </c>
      <c r="M5830" t="s">
        <v>11439</v>
      </c>
      <c r="N5830" t="s">
        <v>14</v>
      </c>
    </row>
    <row r="5831" x14ac:dyDescent="0.25">
      <c r="A5831" t="n">
        <v>25</v>
      </c>
      <c r="B5831" t="s">
        <v>14</v>
      </c>
      <c r="C5831" t="s">
        <v>22</v>
      </c>
      <c r="D5831" s="2" t="s">
        <f>=HYPERLINK("https://main.knesset.gov.il/APPS/legislation/main/bills/2198996", "הצעת חוק ביטוח בריאות ממלכתי (תיקון - מחלה נדירה), התשפ""ג-2023")</f>
        <v>9657</v>
      </c>
      <c r="E5831" t="s">
        <v>9657</v>
      </c>
      <c r="F5831" t="s">
        <v>11616</v>
      </c>
      <c r="G5831" t="s">
        <v>14</v>
      </c>
      <c r="H5831">
             </c>
      <c r="I5831" t="s">
        <v>14</v>
      </c>
      <c r="J5831" t="s">
        <v>141</v>
      </c>
      <c r="K5831" t="s">
        <v>14</v>
      </c>
      <c r="L5831" t="s">
        <v>20</v>
      </c>
      <c r="M5831" t="s">
        <v>11439</v>
      </c>
      <c r="N5831" t="s">
        <v>14</v>
      </c>
    </row>
    <row r="5832" x14ac:dyDescent="0.25">
      <c r="A5832" t="n">
        <v>25</v>
      </c>
      <c r="B5832" t="s">
        <v>14</v>
      </c>
      <c r="C5832" t="s">
        <v>22</v>
      </c>
      <c r="D5832" s="2" t="s">
        <f>=HYPERLINK("https://main.knesset.gov.il/APPS/legislation/main/bills/2198846", "הצעת חוק הביטוח הלאומי (תיקון - שמירה חקלאית כעבודה מועדפת), התשפ""ג-2023")</f>
        <v>8313</v>
      </c>
      <c r="E5832" t="s">
        <v>8313</v>
      </c>
      <c r="F5832" t="s">
        <v>11617</v>
      </c>
      <c r="G5832" t="s">
        <v>14</v>
      </c>
      <c r="H5832">
             </c>
      <c r="I5832" t="s">
        <v>14</v>
      </c>
      <c r="J5832" t="s">
        <v>141</v>
      </c>
      <c r="K5832" t="s">
        <v>14</v>
      </c>
      <c r="L5832" t="s">
        <v>20</v>
      </c>
      <c r="M5832" t="s">
        <v>11439</v>
      </c>
      <c r="N5832" t="s">
        <v>14</v>
      </c>
    </row>
    <row r="5833" x14ac:dyDescent="0.25">
      <c r="A5833" t="n">
        <v>25</v>
      </c>
      <c r="B5833" t="s">
        <v>14</v>
      </c>
      <c r="C5833" t="s">
        <v>22</v>
      </c>
      <c r="D5833" s="2" t="s">
        <f>=HYPERLINK("https://main.knesset.gov.il/APPS/legislation/main/bills/2198889", "הצעת חוק התאמת אופן ההעסקה של מטפלות במשפחתונים המפוקחים על ידי האגף למעונות יום ומשפחתונים במשרד הכלכלה והתעשייה, התשפ""ג-2023")</f>
        <v>11614</v>
      </c>
      <c r="E5833" t="s">
        <v>11614</v>
      </c>
      <c r="F5833" t="s">
        <v>11618</v>
      </c>
      <c r="G5833" t="s">
        <v>14</v>
      </c>
      <c r="H5833">
             </c>
      <c r="I5833" t="s">
        <v>14</v>
      </c>
      <c r="J5833" t="s">
        <v>141</v>
      </c>
      <c r="K5833" t="s">
        <v>14</v>
      </c>
      <c r="L5833" t="s">
        <v>20</v>
      </c>
      <c r="M5833" t="s">
        <v>11439</v>
      </c>
      <c r="N5833" t="s">
        <v>14</v>
      </c>
    </row>
    <row r="5834" x14ac:dyDescent="0.25">
      <c r="A5834" t="n">
        <v>25</v>
      </c>
      <c r="B5834" t="s">
        <v>14</v>
      </c>
      <c r="C5834" t="s">
        <v>22</v>
      </c>
      <c r="D5834" s="2" t="s">
        <f>=HYPERLINK("https://main.knesset.gov.il/APPS/legislation/main/bills/2199183", "הצעת חוק הגנת הצרכן (תיקון - איסור התניית עסקה באופן תשלום), התשפ""ג-2023")</f>
        <v>11619</v>
      </c>
      <c r="E5834" t="s">
        <v>11619</v>
      </c>
      <c r="F5834" t="s">
        <v>11620</v>
      </c>
      <c r="G5834" t="s">
        <v>14</v>
      </c>
      <c r="H5834">
             </c>
      <c r="I5834" t="s">
        <v>14</v>
      </c>
      <c r="J5834" t="s">
        <v>141</v>
      </c>
      <c r="K5834" t="s">
        <v>14</v>
      </c>
      <c r="L5834" t="s">
        <v>20</v>
      </c>
      <c r="M5834" t="s">
        <v>11439</v>
      </c>
      <c r="N5834" t="s">
        <v>14</v>
      </c>
    </row>
    <row r="5835" x14ac:dyDescent="0.25">
      <c r="A5835" t="n">
        <v>25</v>
      </c>
      <c r="B5835" t="s">
        <v>14</v>
      </c>
      <c r="C5835" t="s">
        <v>22</v>
      </c>
      <c r="D5835" s="2" t="s">
        <f>=HYPERLINK("https://main.knesset.gov.il/APPS/legislation/main/bills/2198697", "הצעת חוק העונשין (תיקון - סחר בבני אדם למטרות נישואין), התשפ""ג-2023")</f>
        <v>11621</v>
      </c>
      <c r="E5835" t="s">
        <v>11621</v>
      </c>
      <c r="F5835" t="s">
        <v>11622</v>
      </c>
      <c r="G5835" t="s">
        <v>14</v>
      </c>
      <c r="H5835">
             </c>
      <c r="I5835" t="s">
        <v>14</v>
      </c>
      <c r="J5835" t="s">
        <v>141</v>
      </c>
      <c r="K5835" t="s">
        <v>14</v>
      </c>
      <c r="L5835" t="s">
        <v>20</v>
      </c>
      <c r="M5835" t="s">
        <v>11439</v>
      </c>
      <c r="N5835" t="s">
        <v>14</v>
      </c>
    </row>
    <row r="5836" x14ac:dyDescent="0.25">
      <c r="A5836" t="n">
        <v>25</v>
      </c>
      <c r="B5836" t="s">
        <v>14</v>
      </c>
      <c r="C5836" t="s">
        <v>22</v>
      </c>
      <c r="D5836" s="2" t="s">
        <f>=HYPERLINK("https://main.knesset.gov.il/APPS/legislation/main/bills/2199703", "הצעת חוק הספורט (תיקון - ייצוג הולם לאוכלוסייה הערבית), התשפ""ג-2023")</f>
        <v>10050</v>
      </c>
      <c r="E5836" t="s">
        <v>10050</v>
      </c>
      <c r="F5836" t="s">
        <v>11623</v>
      </c>
      <c r="G5836" t="s">
        <v>14</v>
      </c>
      <c r="H5836">
             </c>
      <c r="I5836" t="s">
        <v>14</v>
      </c>
      <c r="J5836" t="s">
        <v>141</v>
      </c>
      <c r="K5836" t="s">
        <v>14</v>
      </c>
      <c r="L5836" t="s">
        <v>20</v>
      </c>
      <c r="M5836" t="s">
        <v>11439</v>
      </c>
      <c r="N5836" t="s">
        <v>14</v>
      </c>
    </row>
    <row r="5837" x14ac:dyDescent="0.25">
      <c r="A5837" t="n">
        <v>25</v>
      </c>
      <c r="B5837" t="s">
        <v>14</v>
      </c>
      <c r="C5837" t="s">
        <v>22</v>
      </c>
      <c r="D5837" s="2" t="s">
        <f>=HYPERLINK("https://main.knesset.gov.il/APPS/legislation/main/bills/2196570", "הצעת חוק יישוב סכסוכי עבודה (תיקון - איסור שביתה ללא הודעה מראש), התשפ""ג-2023")</f>
        <v>11624</v>
      </c>
      <c r="E5837" t="s">
        <v>11624</v>
      </c>
      <c r="F5837" t="s">
        <v>11625</v>
      </c>
      <c r="G5837" t="s">
        <v>14</v>
      </c>
      <c r="H5837">
             </c>
      <c r="I5837" t="s">
        <v>14</v>
      </c>
      <c r="J5837" t="s">
        <v>141</v>
      </c>
      <c r="K5837" t="s">
        <v>14</v>
      </c>
      <c r="L5837" t="s">
        <v>20</v>
      </c>
      <c r="M5837" t="s">
        <v>11439</v>
      </c>
      <c r="N5837" t="s">
        <v>14</v>
      </c>
    </row>
    <row r="5838" x14ac:dyDescent="0.25">
      <c r="A5838" t="n">
        <v>25</v>
      </c>
      <c r="B5838" t="s">
        <v>14</v>
      </c>
      <c r="C5838" t="s">
        <v>22</v>
      </c>
      <c r="D5838" s="2" t="s">
        <f>=HYPERLINK("https://main.knesset.gov.il/APPS/legislation/main/bills/2198922", "הצעת חוק הביטוח הלאומי (תיקון - תגמולים למתנדב בצוות חירום יישובי או שכונתי), התשפ""ג-2023")</f>
        <v>11626</v>
      </c>
      <c r="E5838" t="s">
        <v>11626</v>
      </c>
      <c r="F5838" t="s">
        <v>11627</v>
      </c>
      <c r="G5838" t="s">
        <v>14</v>
      </c>
      <c r="H5838">
             </c>
      <c r="I5838" t="s">
        <v>14</v>
      </c>
      <c r="J5838" t="s">
        <v>141</v>
      </c>
      <c r="K5838" t="s">
        <v>14</v>
      </c>
      <c r="L5838" t="s">
        <v>20</v>
      </c>
      <c r="M5838" t="s">
        <v>11439</v>
      </c>
      <c r="N5838" t="s">
        <v>14</v>
      </c>
    </row>
    <row r="5839" x14ac:dyDescent="0.25">
      <c r="A5839" t="n">
        <v>25</v>
      </c>
      <c r="B5839" t="s">
        <v>14</v>
      </c>
      <c r="C5839" t="s">
        <v>22</v>
      </c>
      <c r="D5839" s="2" t="s">
        <f>=HYPERLINK("https://main.knesset.gov.il/APPS/legislation/main/bills/2198681", "הצעת חוק איסור ניתוק משירותי חשמל, מים וגז (תיקוני חקיקה), התשפ""ג-2023")</f>
        <v>11628</v>
      </c>
      <c r="E5839" t="s">
        <v>11628</v>
      </c>
      <c r="F5839" t="s">
        <v>11629</v>
      </c>
      <c r="G5839" t="s">
        <v>14</v>
      </c>
      <c r="H5839">
             </c>
      <c r="I5839" t="s">
        <v>14</v>
      </c>
      <c r="J5839" t="s">
        <v>141</v>
      </c>
      <c r="K5839" t="s">
        <v>14</v>
      </c>
      <c r="L5839" t="s">
        <v>20</v>
      </c>
      <c r="M5839" t="s">
        <v>11439</v>
      </c>
      <c r="N5839" t="s">
        <v>14</v>
      </c>
    </row>
    <row r="5840" x14ac:dyDescent="0.25">
      <c r="A5840" t="n">
        <v>25</v>
      </c>
      <c r="B5840" t="s">
        <v>14</v>
      </c>
      <c r="C5840" t="s">
        <v>22</v>
      </c>
      <c r="D5840" s="2" t="s">
        <f>=HYPERLINK("https://main.knesset.gov.il/APPS/legislation/main/bills/2199544", "הצעת חוק השבות (תיקון - זכויות בני משפחה), התשפ""ג-2023")</f>
        <v>2768</v>
      </c>
      <c r="E5840" t="s">
        <v>2768</v>
      </c>
      <c r="F5840" t="s">
        <v>11630</v>
      </c>
      <c r="G5840" t="s">
        <v>14</v>
      </c>
      <c r="H5840">
             </c>
      <c r="I5840" t="s">
        <v>14</v>
      </c>
      <c r="J5840" t="s">
        <v>141</v>
      </c>
      <c r="K5840" t="s">
        <v>14</v>
      </c>
      <c r="L5840" t="s">
        <v>20</v>
      </c>
      <c r="M5840" t="s">
        <v>11439</v>
      </c>
      <c r="N5840" t="s">
        <v>14</v>
      </c>
    </row>
    <row r="5841" x14ac:dyDescent="0.25">
      <c r="A5841" t="n">
        <v>25</v>
      </c>
      <c r="B5841" t="s">
        <v>14</v>
      </c>
      <c r="C5841" t="s">
        <v>22</v>
      </c>
      <c r="D5841" s="2" t="s">
        <f>=HYPERLINK("https://main.knesset.gov.il/APPS/legislation/main/bills/2196594", "הצעת חוק ביטוח בריאות ממלכתי (תיקון - בחירה מבין נותני השירותים), התשפ""ג-2023")</f>
        <v>6388</v>
      </c>
      <c r="E5841" t="s">
        <v>6388</v>
      </c>
      <c r="F5841" t="s">
        <v>11631</v>
      </c>
      <c r="G5841" t="s">
        <v>14</v>
      </c>
      <c r="H5841">
             </c>
      <c r="I5841" t="s">
        <v>14</v>
      </c>
      <c r="J5841" t="s">
        <v>141</v>
      </c>
      <c r="K5841" t="s">
        <v>14</v>
      </c>
      <c r="L5841" t="s">
        <v>20</v>
      </c>
      <c r="M5841" t="s">
        <v>11439</v>
      </c>
      <c r="N5841" t="s">
        <v>14</v>
      </c>
    </row>
    <row r="5842" x14ac:dyDescent="0.25">
      <c r="A5842" t="n">
        <v>25</v>
      </c>
      <c r="B5842" t="s">
        <v>14</v>
      </c>
      <c r="C5842" t="s">
        <v>22</v>
      </c>
      <c r="D5842" s="2" t="s">
        <f>=HYPERLINK("https://main.knesset.gov.il/APPS/legislation/main/bills/2196150", "הצעת חוק שיקים ללא כיסוי (תיקון - קביעת סכום מינימום להגבלת חשבון בנק והגבלת לקוח), התשפ""ג-2023")</f>
        <v>9560</v>
      </c>
      <c r="E5842" t="s">
        <v>9560</v>
      </c>
      <c r="F5842" t="s">
        <v>11632</v>
      </c>
      <c r="G5842" t="s">
        <v>14</v>
      </c>
      <c r="H5842">
             </c>
      <c r="I5842" t="s">
        <v>14</v>
      </c>
      <c r="J5842" t="s">
        <v>141</v>
      </c>
      <c r="K5842" t="s">
        <v>14</v>
      </c>
      <c r="L5842" t="s">
        <v>20</v>
      </c>
      <c r="M5842" t="s">
        <v>11439</v>
      </c>
      <c r="N5842" t="s">
        <v>14</v>
      </c>
    </row>
    <row r="5843" x14ac:dyDescent="0.25">
      <c r="A5843" t="n">
        <v>25</v>
      </c>
      <c r="B5843" t="s">
        <v>14</v>
      </c>
      <c r="C5843" t="s">
        <v>22</v>
      </c>
      <c r="D5843" s="2" t="s">
        <f>=HYPERLINK("https://main.knesset.gov.il/APPS/legislation/main/bills/2199001", "הצעת חוק לתיקון פקודת התעבורה (הפחתת גובה קנס בשל תשלום מיידי), התשפ""ג-2023")</f>
        <v>11633</v>
      </c>
      <c r="E5843" t="s">
        <v>11633</v>
      </c>
      <c r="F5843" t="s">
        <v>11634</v>
      </c>
      <c r="G5843" t="s">
        <v>14</v>
      </c>
      <c r="H5843">
             </c>
      <c r="I5843" t="s">
        <v>14</v>
      </c>
      <c r="J5843" t="s">
        <v>141</v>
      </c>
      <c r="K5843" t="s">
        <v>14</v>
      </c>
      <c r="L5843" t="s">
        <v>20</v>
      </c>
      <c r="M5843" t="s">
        <v>11439</v>
      </c>
      <c r="N5843" t="s">
        <v>14</v>
      </c>
    </row>
    <row r="5844" x14ac:dyDescent="0.25">
      <c r="A5844" t="n">
        <v>25</v>
      </c>
      <c r="B5844" t="s">
        <v>14</v>
      </c>
      <c r="C5844" t="s">
        <v>22</v>
      </c>
      <c r="D5844" s="2" t="s">
        <f>=HYPERLINK("https://main.knesset.gov.il/APPS/legislation/main/bills/2197461", "הצעת חוק ביטוח בריאות ממלכתי (תיקון - פטור מתקופת המתנה לסטודנטים הלומדים בחו""ל), התשפ""ג-2023")</f>
        <v>9037</v>
      </c>
      <c r="E5844" t="s">
        <v>9037</v>
      </c>
      <c r="F5844" t="s">
        <v>11635</v>
      </c>
      <c r="G5844" t="s">
        <v>14</v>
      </c>
      <c r="H5844">
             </c>
      <c r="I5844" t="s">
        <v>14</v>
      </c>
      <c r="J5844" t="s">
        <v>141</v>
      </c>
      <c r="K5844" t="s">
        <v>14</v>
      </c>
      <c r="L5844" t="s">
        <v>20</v>
      </c>
      <c r="M5844" t="s">
        <v>11439</v>
      </c>
      <c r="N5844" t="s">
        <v>14</v>
      </c>
    </row>
    <row r="5845" x14ac:dyDescent="0.25">
      <c r="A5845" t="n">
        <v>25</v>
      </c>
      <c r="B5845" t="s">
        <v>14</v>
      </c>
      <c r="C5845" t="s">
        <v>22</v>
      </c>
      <c r="D5845" s="2" t="s">
        <f>=HYPERLINK("https://main.knesset.gov.il/APPS/legislation/main/bills/2196521", "הצעת חוק הביטוח הלאומי (תיקון - פטור מתשלום דמי ביטוח לתלמיד על יסודי), התשפ""ג-2023")</f>
        <v>8063</v>
      </c>
      <c r="E5845" t="s">
        <v>8063</v>
      </c>
      <c r="F5845" t="s">
        <v>11636</v>
      </c>
      <c r="G5845" t="s">
        <v>14</v>
      </c>
      <c r="H5845">
             </c>
      <c r="I5845" t="s">
        <v>14</v>
      </c>
      <c r="J5845" t="s">
        <v>141</v>
      </c>
      <c r="K5845" t="s">
        <v>14</v>
      </c>
      <c r="L5845" t="s">
        <v>20</v>
      </c>
      <c r="M5845" t="s">
        <v>11439</v>
      </c>
      <c r="N5845" t="s">
        <v>14</v>
      </c>
    </row>
    <row r="5846" x14ac:dyDescent="0.25">
      <c r="A5846" t="n">
        <v>25</v>
      </c>
      <c r="B5846" t="s">
        <v>14</v>
      </c>
      <c r="C5846" t="s">
        <v>22</v>
      </c>
      <c r="D5846" s="2" t="s">
        <f>=HYPERLINK("https://main.knesset.gov.il/APPS/legislation/main/bills/2197790", "הצעת חוק האזרחים הוותיקים (תיקון - פטור מתשלום בתחבורה ציבורית), התשפ""ג-2023")</f>
        <v>11637</v>
      </c>
      <c r="E5846" t="s">
        <v>11637</v>
      </c>
      <c r="F5846" t="s">
        <v>11638</v>
      </c>
      <c r="G5846" t="s">
        <v>14</v>
      </c>
      <c r="H5846">
             </c>
      <c r="I5846" t="s">
        <v>14</v>
      </c>
      <c r="J5846" t="s">
        <v>141</v>
      </c>
      <c r="K5846" t="s">
        <v>14</v>
      </c>
      <c r="L5846" t="s">
        <v>20</v>
      </c>
      <c r="M5846" t="s">
        <v>11439</v>
      </c>
      <c r="N5846" t="s">
        <v>14</v>
      </c>
    </row>
    <row r="5847" x14ac:dyDescent="0.25">
      <c r="A5847" t="n">
        <v>25</v>
      </c>
      <c r="B5847" t="s">
        <v>14</v>
      </c>
      <c r="C5847" t="s">
        <v>22</v>
      </c>
      <c r="D5847" s="2" t="s">
        <f>=HYPERLINK("https://main.knesset.gov.il/APPS/legislation/main/bills/2199478", "הצעת חוק חובת המכרזים (תיקון - עידוד עסקים להעסקת בני החברה הערבית והחרדית), התשפ""ג-2023")</f>
        <v>8174</v>
      </c>
      <c r="E5847" t="s">
        <v>8174</v>
      </c>
      <c r="F5847" t="s">
        <v>11639</v>
      </c>
      <c r="G5847" t="s">
        <v>14</v>
      </c>
      <c r="H5847">
             </c>
      <c r="I5847" t="s">
        <v>14</v>
      </c>
      <c r="J5847" t="s">
        <v>141</v>
      </c>
      <c r="K5847" t="s">
        <v>14</v>
      </c>
      <c r="L5847" t="s">
        <v>20</v>
      </c>
      <c r="M5847" t="s">
        <v>11439</v>
      </c>
      <c r="N5847" t="s">
        <v>14</v>
      </c>
    </row>
    <row r="5848" x14ac:dyDescent="0.25">
      <c r="A5848" t="n">
        <v>25</v>
      </c>
      <c r="B5848" t="s">
        <v>14</v>
      </c>
      <c r="C5848" t="s">
        <v>22</v>
      </c>
      <c r="D5848" s="2" t="s">
        <f>=HYPERLINK("https://main.knesset.gov.il/APPS/legislation/main/bills/2198628", "הצעת חוק תשלום פיצויים בשל נזקי אסון טבע, התשפ""ג-2023")</f>
        <v>11640</v>
      </c>
      <c r="E5848" t="s">
        <v>11640</v>
      </c>
      <c r="F5848" t="s">
        <v>11641</v>
      </c>
      <c r="G5848" t="s">
        <v>14</v>
      </c>
      <c r="H5848">
             </c>
      <c r="I5848" t="s">
        <v>14</v>
      </c>
      <c r="J5848" t="s">
        <v>141</v>
      </c>
      <c r="K5848" t="s">
        <v>14</v>
      </c>
      <c r="L5848" t="s">
        <v>20</v>
      </c>
      <c r="M5848" t="s">
        <v>11439</v>
      </c>
      <c r="N5848" t="s">
        <v>14</v>
      </c>
    </row>
    <row r="5849" x14ac:dyDescent="0.25">
      <c r="A5849" t="n">
        <v>25</v>
      </c>
      <c r="B5849" t="s">
        <v>14</v>
      </c>
      <c r="C5849" t="s">
        <v>22</v>
      </c>
      <c r="D5849" s="2" t="s">
        <f>=HYPERLINK("https://main.knesset.gov.il/APPS/legislation/main/bills/2199310", "הצעת חוק חסינות כוחות הביטחון באירועים מבצעיים, התשפ""ג-2023")</f>
        <v>11642</v>
      </c>
      <c r="E5849" t="s">
        <v>11642</v>
      </c>
      <c r="F5849" t="s">
        <v>11643</v>
      </c>
      <c r="G5849" t="s">
        <v>14</v>
      </c>
      <c r="H5849">
             </c>
      <c r="I5849" t="s">
        <v>14</v>
      </c>
      <c r="J5849" t="s">
        <v>141</v>
      </c>
      <c r="K5849" t="s">
        <v>14</v>
      </c>
      <c r="L5849" t="s">
        <v>20</v>
      </c>
      <c r="M5849" t="s">
        <v>11439</v>
      </c>
      <c r="N5849" t="s">
        <v>14</v>
      </c>
    </row>
    <row r="5850" x14ac:dyDescent="0.25">
      <c r="A5850" t="n">
        <v>25</v>
      </c>
      <c r="B5850" t="s">
        <v>14</v>
      </c>
      <c r="C5850" t="s">
        <v>22</v>
      </c>
      <c r="D5850" s="2" t="s">
        <f>=HYPERLINK("https://main.knesset.gov.il/APPS/legislation/main/bills/2198836", "הצעת חוק הכללת חוב עונשי בהפטר (תיקוני חקיקה), התשפ""ג-2023")</f>
        <v>11644</v>
      </c>
      <c r="E5850" t="s">
        <v>11644</v>
      </c>
      <c r="F5850" t="s">
        <v>11645</v>
      </c>
      <c r="G5850" t="s">
        <v>14</v>
      </c>
      <c r="H5850">
             </c>
      <c r="I5850" t="s">
        <v>14</v>
      </c>
      <c r="J5850" t="s">
        <v>141</v>
      </c>
      <c r="K5850" t="s">
        <v>14</v>
      </c>
      <c r="L5850" t="s">
        <v>20</v>
      </c>
      <c r="M5850" t="s">
        <v>11439</v>
      </c>
      <c r="N5850" t="s">
        <v>14</v>
      </c>
    </row>
    <row r="5851" x14ac:dyDescent="0.25">
      <c r="A5851" t="n">
        <v>25</v>
      </c>
      <c r="B5851" t="s">
        <v>14</v>
      </c>
      <c r="C5851" t="s">
        <v>22</v>
      </c>
      <c r="D5851" s="2" t="s">
        <f>=HYPERLINK("https://main.knesset.gov.il/APPS/legislation/main/bills/2198715", "הצעת חוק-יסוד: המיעוט הערבי")</f>
        <v>11646</v>
      </c>
      <c r="E5851" t="s">
        <v>11646</v>
      </c>
      <c r="F5851" t="s">
        <v>11647</v>
      </c>
      <c r="G5851" t="s">
        <v>14</v>
      </c>
      <c r="H5851">
             </c>
      <c r="I5851" t="s">
        <v>14</v>
      </c>
      <c r="J5851" t="s">
        <v>141</v>
      </c>
      <c r="K5851" t="s">
        <v>14</v>
      </c>
      <c r="L5851" t="s">
        <v>20</v>
      </c>
      <c r="M5851" t="s">
        <v>11439</v>
      </c>
      <c r="N5851" t="s">
        <v>14</v>
      </c>
    </row>
    <row r="5852" x14ac:dyDescent="0.25">
      <c r="A5852" t="n">
        <v>25</v>
      </c>
      <c r="B5852" t="s">
        <v>14</v>
      </c>
      <c r="C5852" t="s">
        <v>22</v>
      </c>
      <c r="D5852" s="2" t="s">
        <f>=HYPERLINK("https://main.knesset.gov.il/APPS/legislation/main/bills/2198165", "הצעת חוק לימודי פסיכומטרי, התשפ""ג-2023")</f>
        <v>11648</v>
      </c>
      <c r="E5852" t="s">
        <v>11648</v>
      </c>
      <c r="F5852" t="s">
        <v>11649</v>
      </c>
      <c r="G5852" t="s">
        <v>14</v>
      </c>
      <c r="H5852">
             </c>
      <c r="I5852" t="s">
        <v>14</v>
      </c>
      <c r="J5852" t="s">
        <v>141</v>
      </c>
      <c r="K5852" t="s">
        <v>14</v>
      </c>
      <c r="L5852" t="s">
        <v>20</v>
      </c>
      <c r="M5852" t="s">
        <v>11439</v>
      </c>
      <c r="N5852" t="s">
        <v>14</v>
      </c>
    </row>
    <row r="5853" x14ac:dyDescent="0.25">
      <c r="A5853" t="n">
        <v>25</v>
      </c>
      <c r="B5853" t="s">
        <v>14</v>
      </c>
      <c r="C5853" t="s">
        <v>22</v>
      </c>
      <c r="D5853" s="2" t="s">
        <f>=HYPERLINK("https://main.knesset.gov.il/APPS/legislation/main/bills/2196575", "הצעת חוק ביטוח בריאות ממלכתי (תיקון - העברת מידע בין קופות החולים בעת מעבר תושב), התשפ""ג-2023")</f>
        <v>6155</v>
      </c>
      <c r="E5853" t="s">
        <v>6155</v>
      </c>
      <c r="F5853" t="s">
        <v>11650</v>
      </c>
      <c r="G5853" t="s">
        <v>14</v>
      </c>
      <c r="H5853">
             </c>
      <c r="I5853" t="s">
        <v>14</v>
      </c>
      <c r="J5853" t="s">
        <v>141</v>
      </c>
      <c r="K5853" t="s">
        <v>14</v>
      </c>
      <c r="L5853" t="s">
        <v>20</v>
      </c>
      <c r="M5853" t="s">
        <v>11439</v>
      </c>
      <c r="N5853" t="s">
        <v>14</v>
      </c>
    </row>
    <row r="5854" x14ac:dyDescent="0.25">
      <c r="A5854" t="n">
        <v>25</v>
      </c>
      <c r="B5854" t="s">
        <v>14</v>
      </c>
      <c r="C5854" t="s">
        <v>22</v>
      </c>
      <c r="D5854" s="2" t="s">
        <f>=HYPERLINK("https://main.knesset.gov.il/APPS/legislation/main/bills/2196156", "הצעת חוק לתיקון פקודת הנזיקין (העברת נטל ההוכחה בתביעות בגין הליכים משפטיים שהתמשכו), התשפ""ג-2023")</f>
        <v>11651</v>
      </c>
      <c r="E5854" t="s">
        <v>11651</v>
      </c>
      <c r="F5854" t="s">
        <v>11652</v>
      </c>
      <c r="G5854" t="s">
        <v>14</v>
      </c>
      <c r="H5854">
             </c>
      <c r="I5854" t="s">
        <v>14</v>
      </c>
      <c r="J5854" t="s">
        <v>141</v>
      </c>
      <c r="K5854" t="s">
        <v>14</v>
      </c>
      <c r="L5854" t="s">
        <v>20</v>
      </c>
      <c r="M5854" t="s">
        <v>11439</v>
      </c>
      <c r="N5854" t="s">
        <v>14</v>
      </c>
    </row>
    <row r="5855" x14ac:dyDescent="0.25">
      <c r="A5855" t="n">
        <v>25</v>
      </c>
      <c r="B5855" t="s">
        <v>14</v>
      </c>
      <c r="C5855" t="s">
        <v>22</v>
      </c>
      <c r="D5855" s="2" t="s">
        <f>=HYPERLINK("https://main.knesset.gov.il/APPS/legislation/main/bills/2199386", "הצעת חוק מועצת הצמחים (ייצור ושיווק) (תיקון - ביטול מועצת הצמחים), התשפ""ג-2023")</f>
        <v>9948</v>
      </c>
      <c r="E5855" t="s">
        <v>9948</v>
      </c>
      <c r="F5855" t="s">
        <v>11653</v>
      </c>
      <c r="G5855" t="s">
        <v>14</v>
      </c>
      <c r="H5855">
             </c>
      <c r="I5855" t="s">
        <v>14</v>
      </c>
      <c r="J5855" t="s">
        <v>141</v>
      </c>
      <c r="K5855" t="s">
        <v>14</v>
      </c>
      <c r="L5855" t="s">
        <v>20</v>
      </c>
      <c r="M5855" t="s">
        <v>11439</v>
      </c>
      <c r="N5855" t="s">
        <v>14</v>
      </c>
    </row>
    <row r="5856" x14ac:dyDescent="0.25">
      <c r="A5856" t="n">
        <v>25</v>
      </c>
      <c r="B5856" t="s">
        <v>14</v>
      </c>
      <c r="C5856" t="s">
        <v>22</v>
      </c>
      <c r="D5856" s="2" t="s">
        <f>=HYPERLINK("https://main.knesset.gov.il/APPS/legislation/main/bills/2198512", "הצעת חוק הרשויות המקומיות (יועצת לקידום מעמד האישה) (תיקון - תפקיד וסמכויות), התשפ""ג-2023")</f>
        <v>11654</v>
      </c>
      <c r="E5856" t="s">
        <v>11654</v>
      </c>
      <c r="F5856" t="s">
        <v>11655</v>
      </c>
      <c r="G5856" t="s">
        <v>14</v>
      </c>
      <c r="H5856">
             </c>
      <c r="I5856" t="s">
        <v>14</v>
      </c>
      <c r="J5856" t="s">
        <v>141</v>
      </c>
      <c r="K5856" t="s">
        <v>14</v>
      </c>
      <c r="L5856" t="s">
        <v>20</v>
      </c>
      <c r="M5856" t="s">
        <v>11439</v>
      </c>
      <c r="N5856" t="s">
        <v>14</v>
      </c>
    </row>
    <row r="5857" x14ac:dyDescent="0.25">
      <c r="A5857" t="n">
        <v>25</v>
      </c>
      <c r="B5857" t="s">
        <v>14</v>
      </c>
      <c r="C5857" t="s">
        <v>22</v>
      </c>
      <c r="D5857" s="2" t="s">
        <f>=HYPERLINK("https://main.knesset.gov.il/APPS/legislation/main/bills/2199016", "הצעת חוק הנגשת שירותי קבלת קהל הניתנים בגופי שלטון לשפות נוספות, התשפ""ג-2023")</f>
        <v>9616</v>
      </c>
      <c r="E5857" t="s">
        <v>9616</v>
      </c>
      <c r="F5857" t="s">
        <v>11656</v>
      </c>
      <c r="G5857" t="s">
        <v>14</v>
      </c>
      <c r="H5857">
             </c>
      <c r="I5857" t="s">
        <v>14</v>
      </c>
      <c r="J5857" t="s">
        <v>141</v>
      </c>
      <c r="K5857" t="s">
        <v>14</v>
      </c>
      <c r="L5857" t="s">
        <v>20</v>
      </c>
      <c r="M5857" t="s">
        <v>11439</v>
      </c>
      <c r="N5857" t="s">
        <v>14</v>
      </c>
    </row>
    <row r="5858" x14ac:dyDescent="0.25">
      <c r="A5858" t="n">
        <v>25</v>
      </c>
      <c r="B5858" t="s">
        <v>14</v>
      </c>
      <c r="C5858" t="s">
        <v>22</v>
      </c>
      <c r="D5858" s="2" t="s">
        <f>=HYPERLINK("https://main.knesset.gov.il/APPS/legislation/main/bills/2199334", "הצעת חוק מס רכוש וקרן פיצויים (תיקון - הרחבת הגדרת נזק), התשפ""ג-2023")</f>
        <v>11657</v>
      </c>
      <c r="E5858" t="s">
        <v>11657</v>
      </c>
      <c r="F5858" t="s">
        <v>11658</v>
      </c>
      <c r="G5858" t="s">
        <v>14</v>
      </c>
      <c r="H5858">
             </c>
      <c r="I5858" t="s">
        <v>14</v>
      </c>
      <c r="J5858" t="s">
        <v>141</v>
      </c>
      <c r="K5858" t="s">
        <v>14</v>
      </c>
      <c r="L5858" t="s">
        <v>20</v>
      </c>
      <c r="M5858" t="s">
        <v>11439</v>
      </c>
      <c r="N5858" t="s">
        <v>14</v>
      </c>
    </row>
    <row r="5859" x14ac:dyDescent="0.25">
      <c r="A5859" t="n">
        <v>25</v>
      </c>
      <c r="B5859" t="s">
        <v>14</v>
      </c>
      <c r="C5859" t="s">
        <v>22</v>
      </c>
      <c r="D5859" s="2" t="s">
        <f>=HYPERLINK("https://main.knesset.gov.il/APPS/legislation/main/bills/2198689", "הצעת חוק לתיקון פקודת מס הכנסה (זיכוי בעד לימודי תואר ראשון), התשפ""ג-2023")</f>
        <v>10233</v>
      </c>
      <c r="E5859" t="s">
        <v>10233</v>
      </c>
      <c r="F5859" t="s">
        <v>11659</v>
      </c>
      <c r="G5859" t="s">
        <v>14</v>
      </c>
      <c r="H5859">
             </c>
      <c r="I5859" t="s">
        <v>14</v>
      </c>
      <c r="J5859" t="s">
        <v>141</v>
      </c>
      <c r="K5859" t="s">
        <v>14</v>
      </c>
      <c r="L5859" t="s">
        <v>20</v>
      </c>
      <c r="M5859" t="s">
        <v>11439</v>
      </c>
      <c r="N5859" t="s">
        <v>14</v>
      </c>
    </row>
    <row r="5860" x14ac:dyDescent="0.25">
      <c r="A5860" t="n">
        <v>25</v>
      </c>
      <c r="B5860" t="s">
        <v>14</v>
      </c>
      <c r="C5860" t="s">
        <v>22</v>
      </c>
      <c r="D5860" s="2" t="s">
        <f>=HYPERLINK("https://main.knesset.gov.il/APPS/legislation/main/bills/2199530", "הצעת חוק המים (תיקון - מתן הנחות בתעריפי מים לאוכלוסיות נזקקות), התשפ""ג-2023")</f>
        <v>11660</v>
      </c>
      <c r="E5860" t="s">
        <v>11660</v>
      </c>
      <c r="F5860" t="s">
        <v>11661</v>
      </c>
      <c r="G5860" t="s">
        <v>14</v>
      </c>
      <c r="H5860">
             </c>
      <c r="I5860" t="s">
        <v>14</v>
      </c>
      <c r="J5860" t="s">
        <v>141</v>
      </c>
      <c r="K5860" t="s">
        <v>14</v>
      </c>
      <c r="L5860" t="s">
        <v>20</v>
      </c>
      <c r="M5860" t="s">
        <v>11439</v>
      </c>
      <c r="N5860" t="s">
        <v>14</v>
      </c>
    </row>
    <row r="5861" x14ac:dyDescent="0.25">
      <c r="A5861" t="n">
        <v>25</v>
      </c>
      <c r="B5861" t="s">
        <v>14</v>
      </c>
      <c r="C5861" t="s">
        <v>22</v>
      </c>
      <c r="D5861" s="2" t="s">
        <f>=HYPERLINK("https://main.knesset.gov.il/APPS/legislation/main/bills/2199533", "הצעת חוק הפעלת תחבורה ציבורית ביום המנוחה השבועי, התשפ""ג-2023")</f>
        <v>11662</v>
      </c>
      <c r="E5861" t="s">
        <v>11662</v>
      </c>
      <c r="F5861" t="s">
        <v>11663</v>
      </c>
      <c r="G5861" t="s">
        <v>14</v>
      </c>
      <c r="H5861">
             </c>
      <c r="I5861" t="s">
        <v>14</v>
      </c>
      <c r="J5861" t="s">
        <v>343</v>
      </c>
      <c r="K5861" t="s">
        <v>14</v>
      </c>
      <c r="L5861" t="s">
        <v>20</v>
      </c>
      <c r="M5861" t="s">
        <v>11439</v>
      </c>
      <c r="N5861" t="s">
        <v>14</v>
      </c>
    </row>
    <row r="5862" x14ac:dyDescent="0.25">
      <c r="A5862" t="n">
        <v>25</v>
      </c>
      <c r="B5862" t="s">
        <v>14</v>
      </c>
      <c r="C5862" t="s">
        <v>20</v>
      </c>
      <c r="D5862" s="2" t="s">
        <f>=HYPERLINK("https://main.knesset.gov.il/APPS/legislation/main/bills/2201926", "הצעת חוק-יסוד: הממשלה (סמכות הממשלה והשרים לקבוע את עמדתם המשפטית בפעולתם השוטפת ובפני ערכאות שיפוטיות)")</f>
        <v>11664</v>
      </c>
      <c r="E5862" t="s">
        <v>11664</v>
      </c>
      <c r="F5862" t="s">
        <v>14</v>
      </c>
      <c r="G5862" t="s">
        <v>14</v>
      </c>
      <c r="H5862">
             </c>
      <c r="I5862" t="s">
        <v>14</v>
      </c>
      <c r="J5862" t="s">
        <v>31</v>
      </c>
      <c r="K5862" t="s">
        <v>27</v>
      </c>
      <c r="L5862" t="s">
        <v>20</v>
      </c>
      <c r="M5862" t="s">
        <v>11665</v>
      </c>
      <c r="N5862" t="s">
        <v>14</v>
      </c>
    </row>
    <row r="5863" x14ac:dyDescent="0.25">
      <c r="A5863" t="n">
        <v>25</v>
      </c>
      <c r="B5863" t="s">
        <v>14</v>
      </c>
      <c r="C5863" t="s">
        <v>22</v>
      </c>
      <c r="D5863" s="2" t="s">
        <f>=HYPERLINK("https://main.knesset.gov.il/APPS/legislation/main/bills/2199385", "הצעת חוק לביטול אזרחותו או תושבותו של פעיל טרור שמקבל תגמול עבור ביצוע מעשה הטרור (תיקוני חקיקה), התשפ""ג-2023")</f>
        <v>11666</v>
      </c>
      <c r="E5863" t="s">
        <v>11666</v>
      </c>
      <c r="F5863" t="s">
        <v>11667</v>
      </c>
      <c r="G5863" t="s">
        <v>14</v>
      </c>
      <c r="H5863">
             </c>
      <c r="I5863" t="s">
        <v>14</v>
      </c>
      <c r="J5863" t="s">
        <v>99</v>
      </c>
      <c r="K5863" t="s">
        <v>14</v>
      </c>
      <c r="L5863" t="s">
        <v>20</v>
      </c>
      <c r="M5863" t="s">
        <v>11668</v>
      </c>
      <c r="N5863" t="s">
        <v>14</v>
      </c>
    </row>
    <row r="5864" x14ac:dyDescent="0.25">
      <c r="A5864" t="n">
        <v>25</v>
      </c>
      <c r="B5864" t="s">
        <v>14</v>
      </c>
      <c r="C5864" t="s">
        <v>22</v>
      </c>
      <c r="D5864" s="2" t="s">
        <f>=HYPERLINK("https://main.knesset.gov.il/APPS/legislation/main/bills/2199296", "הצעת חוק לביטול אזרחותו או תושבותו של פעיל טרור שמקבל תגמול עבור ביצוע מעשה הטרור (תיקוני חקיקה), התשפ""ג-2023")</f>
        <v>11666</v>
      </c>
      <c r="E5864" t="s">
        <v>11666</v>
      </c>
      <c r="F5864" t="s">
        <v>11669</v>
      </c>
      <c r="G5864" t="s">
        <v>14</v>
      </c>
      <c r="H5864">
             </c>
      <c r="I5864" t="s">
        <v>14</v>
      </c>
      <c r="J5864" t="s">
        <v>99</v>
      </c>
      <c r="K5864" t="s">
        <v>14</v>
      </c>
      <c r="L5864" t="s">
        <v>20</v>
      </c>
      <c r="M5864" t="s">
        <v>11668</v>
      </c>
      <c r="N5864" t="s">
        <v>14</v>
      </c>
    </row>
    <row r="5865" x14ac:dyDescent="0.25">
      <c r="A5865" t="n">
        <v>25</v>
      </c>
      <c r="B5865" t="s">
        <v>14</v>
      </c>
      <c r="C5865" t="s">
        <v>22</v>
      </c>
      <c r="D5865" s="2" t="s">
        <f>=HYPERLINK("https://main.knesset.gov.il/APPS/legislation/main/bills/2199287", "הצעת חוק לביטול אזרחותו או תושבותו של פעיל טרור שמקבל תגמול עבור ביצוע מעשה הטרור (תיקוני חקיקה), התשפ""ג-2023")</f>
        <v>11666</v>
      </c>
      <c r="E5865" t="s">
        <v>11666</v>
      </c>
      <c r="F5865" t="s">
        <v>11670</v>
      </c>
      <c r="G5865" t="s">
        <v>14</v>
      </c>
      <c r="H5865">
             </c>
      <c r="I5865" t="s">
        <v>14</v>
      </c>
      <c r="J5865" t="s">
        <v>99</v>
      </c>
      <c r="K5865" t="s">
        <v>14</v>
      </c>
      <c r="L5865" t="s">
        <v>20</v>
      </c>
      <c r="M5865" t="s">
        <v>11668</v>
      </c>
      <c r="N5865" t="s">
        <v>14</v>
      </c>
    </row>
    <row r="5866" x14ac:dyDescent="0.25">
      <c r="A5866" t="n">
        <v>25</v>
      </c>
      <c r="B5866" t="s">
        <v>14</v>
      </c>
      <c r="C5866" t="s">
        <v>22</v>
      </c>
      <c r="D5866" s="2" t="s">
        <f>=HYPERLINK("https://main.knesset.gov.il/APPS/legislation/main/bills/2198982", "הצעת חוק לביטול אזרחותו או תושבותו של פעיל טרור שמקבל תגמול עבור ביצוע מעשה הטרור (תיקוני חקיקה), התשפ""ג-2023")</f>
        <v>11666</v>
      </c>
      <c r="E5866" t="s">
        <v>11666</v>
      </c>
      <c r="F5866" t="s">
        <v>11671</v>
      </c>
      <c r="G5866" t="s">
        <v>14</v>
      </c>
      <c r="H5866">
             </c>
      <c r="I5866" t="s">
        <v>14</v>
      </c>
      <c r="J5866" t="s">
        <v>99</v>
      </c>
      <c r="K5866" t="s">
        <v>14</v>
      </c>
      <c r="L5866" t="s">
        <v>20</v>
      </c>
      <c r="M5866" t="s">
        <v>11668</v>
      </c>
      <c r="N5866" t="s">
        <v>14</v>
      </c>
    </row>
    <row r="5867" x14ac:dyDescent="0.25">
      <c r="A5867" t="n">
        <v>25</v>
      </c>
      <c r="B5867" t="s">
        <v>14</v>
      </c>
      <c r="C5867" t="s">
        <v>22</v>
      </c>
      <c r="D5867" s="2" t="s">
        <f>=HYPERLINK("https://main.knesset.gov.il/APPS/legislation/main/bills/2197572", "הצעת חוק לביטול אזרחותו או תושבותו של פעיל טרור שמקבל תגמול עבור ביצוע מעשה הטרור (תיקוני חקיקה), התשפ""ג-2022")</f>
        <v>11672</v>
      </c>
      <c r="E5867" t="s">
        <v>11672</v>
      </c>
      <c r="F5867" t="s">
        <v>11673</v>
      </c>
      <c r="G5867" t="s">
        <v>14</v>
      </c>
      <c r="H5867">
             </c>
      <c r="I5867" t="s">
        <v>14</v>
      </c>
      <c r="J5867" t="s">
        <v>99</v>
      </c>
      <c r="K5867" t="s">
        <v>14</v>
      </c>
      <c r="L5867" t="s">
        <v>20</v>
      </c>
      <c r="M5867" t="s">
        <v>11668</v>
      </c>
      <c r="N5867" t="s">
        <v>14</v>
      </c>
    </row>
    <row r="5868" x14ac:dyDescent="0.25">
      <c r="A5868" t="n">
        <v>25</v>
      </c>
      <c r="B5868" t="s">
        <v>14</v>
      </c>
      <c r="C5868" t="s">
        <v>22</v>
      </c>
      <c r="D5868" s="2" t="s">
        <f>=HYPERLINK("https://main.knesset.gov.il/APPS/legislation/main/bills/2197196", "הצעת חוק לביטול אזרחותו או תושבותו של פעיל טרור שמקבל תגמול עבור ביצוע מעשה הטרור (תיקוני חקיקה), התשפ""ג-2022")</f>
        <v>11672</v>
      </c>
      <c r="E5868" t="s">
        <v>11672</v>
      </c>
      <c r="F5868" t="s">
        <v>11674</v>
      </c>
      <c r="G5868" t="s">
        <v>14</v>
      </c>
      <c r="H5868">
             </c>
      <c r="I5868" t="s">
        <v>14</v>
      </c>
      <c r="J5868" t="s">
        <v>99</v>
      </c>
      <c r="K5868" t="s">
        <v>14</v>
      </c>
      <c r="L5868" t="s">
        <v>20</v>
      </c>
      <c r="M5868" t="s">
        <v>11668</v>
      </c>
      <c r="N5868" t="s">
        <v>14</v>
      </c>
    </row>
    <row r="5869" x14ac:dyDescent="0.25">
      <c r="A5869" t="n">
        <v>25</v>
      </c>
      <c r="B5869" t="s">
        <v>14</v>
      </c>
      <c r="C5869" t="s">
        <v>22</v>
      </c>
      <c r="D5869" s="2" t="s">
        <f>=HYPERLINK("https://main.knesset.gov.il/APPS/legislation/main/bills/2199460", "הצעת חוק התמודדות עם תופעת נטילת דמי חסות, התשפ""ג-2023")</f>
        <v>9792</v>
      </c>
      <c r="E5869" t="s">
        <v>9792</v>
      </c>
      <c r="F5869" t="s">
        <v>11675</v>
      </c>
      <c r="G5869" t="s">
        <v>14</v>
      </c>
      <c r="H5869">
             </c>
      <c r="I5869" t="s">
        <v>14</v>
      </c>
      <c r="J5869" t="s">
        <v>141</v>
      </c>
      <c r="K5869" t="s">
        <v>14</v>
      </c>
      <c r="L5869" t="s">
        <v>20</v>
      </c>
      <c r="M5869" t="s">
        <v>11676</v>
      </c>
      <c r="N5869" t="s">
        <v>14</v>
      </c>
    </row>
    <row r="5870" x14ac:dyDescent="0.25">
      <c r="A5870" t="n">
        <v>25</v>
      </c>
      <c r="B5870" t="s">
        <v>14</v>
      </c>
      <c r="C5870" t="s">
        <v>22</v>
      </c>
      <c r="D5870" s="2" t="s">
        <f>=HYPERLINK("https://main.knesset.gov.il/APPS/legislation/main/bills/2198800", "הצעת חוק הביטוח הלאומי (תיקון - קצבת אזרח ותיק לנכה), התשפ""ג-2023")</f>
        <v>11677</v>
      </c>
      <c r="E5870" t="s">
        <v>11677</v>
      </c>
      <c r="F5870" t="s">
        <v>11678</v>
      </c>
      <c r="G5870" t="s">
        <v>14</v>
      </c>
      <c r="H5870">
             </c>
      <c r="I5870" t="s">
        <v>14</v>
      </c>
      <c r="J5870" t="s">
        <v>141</v>
      </c>
      <c r="K5870" t="s">
        <v>14</v>
      </c>
      <c r="L5870" t="s">
        <v>20</v>
      </c>
      <c r="M5870" t="s">
        <v>11676</v>
      </c>
      <c r="N5870" t="s">
        <v>14</v>
      </c>
    </row>
    <row r="5871" x14ac:dyDescent="0.25">
      <c r="A5871" t="n">
        <v>25</v>
      </c>
      <c r="B5871" t="s">
        <v>14</v>
      </c>
      <c r="C5871" t="s">
        <v>22</v>
      </c>
      <c r="D5871" s="2" t="s">
        <f>=HYPERLINK("https://main.knesset.gov.il/APPS/legislation/main/bills/2199402", "הצעת חוק לתיקון פקודת בתי הסוהר (תוכניות שיקום בערבית ומידע בשפה הערבית), התשפ""ג-2023")</f>
        <v>11679</v>
      </c>
      <c r="E5871" t="s">
        <v>11679</v>
      </c>
      <c r="F5871" t="s">
        <v>11680</v>
      </c>
      <c r="G5871" t="s">
        <v>14</v>
      </c>
      <c r="H5871">
             </c>
      <c r="I5871" t="s">
        <v>14</v>
      </c>
      <c r="J5871" t="s">
        <v>141</v>
      </c>
      <c r="K5871" t="s">
        <v>14</v>
      </c>
      <c r="L5871" t="s">
        <v>20</v>
      </c>
      <c r="M5871" t="s">
        <v>11676</v>
      </c>
      <c r="N5871" t="s">
        <v>14</v>
      </c>
    </row>
    <row r="5872" x14ac:dyDescent="0.25">
      <c r="A5872" t="n">
        <v>25</v>
      </c>
      <c r="B5872" t="s">
        <v>14</v>
      </c>
      <c r="C5872" t="s">
        <v>22</v>
      </c>
      <c r="D5872" s="2" t="s">
        <f>=HYPERLINK("https://main.knesset.gov.il/APPS/legislation/main/bills/2196317", "הצעת חוק השירות הצבאי או האזרחי, התשפ""ג-2023")</f>
        <v>11681</v>
      </c>
      <c r="E5872" t="s">
        <v>11681</v>
      </c>
      <c r="F5872" t="s">
        <v>11682</v>
      </c>
      <c r="G5872" t="s">
        <v>14</v>
      </c>
      <c r="H5872">
             </c>
      <c r="I5872" t="s">
        <v>14</v>
      </c>
      <c r="J5872" t="s">
        <v>141</v>
      </c>
      <c r="K5872" t="s">
        <v>14</v>
      </c>
      <c r="L5872" t="s">
        <v>20</v>
      </c>
      <c r="M5872" t="s">
        <v>11676</v>
      </c>
      <c r="N5872" t="s">
        <v>14</v>
      </c>
    </row>
    <row r="5873" x14ac:dyDescent="0.25">
      <c r="A5873" t="n">
        <v>25</v>
      </c>
      <c r="B5873" t="s">
        <v>14</v>
      </c>
      <c r="C5873" t="s">
        <v>22</v>
      </c>
      <c r="D5873" s="2" t="s">
        <f>=HYPERLINK("https://main.knesset.gov.il/APPS/legislation/main/bills/2196599", "הצעת חוק לתיקון פקודת בתי הסוהר (קביעת משך הביקור), התשפ""ג-2023")</f>
        <v>11683</v>
      </c>
      <c r="E5873" t="s">
        <v>11683</v>
      </c>
      <c r="F5873" t="s">
        <v>11684</v>
      </c>
      <c r="G5873" t="s">
        <v>14</v>
      </c>
      <c r="H5873">
             </c>
      <c r="I5873" t="s">
        <v>14</v>
      </c>
      <c r="J5873" t="s">
        <v>141</v>
      </c>
      <c r="K5873" t="s">
        <v>14</v>
      </c>
      <c r="L5873" t="s">
        <v>20</v>
      </c>
      <c r="M5873" t="s">
        <v>11676</v>
      </c>
      <c r="N5873" t="s">
        <v>14</v>
      </c>
    </row>
    <row r="5874" x14ac:dyDescent="0.25">
      <c r="A5874" t="n">
        <v>25</v>
      </c>
      <c r="B5874" t="s">
        <v>14</v>
      </c>
      <c r="C5874" t="s">
        <v>22</v>
      </c>
      <c r="D5874" s="2" t="s">
        <f>=HYPERLINK("https://main.knesset.gov.il/APPS/legislation/main/bills/2196560", "הצעת חוק אבטחה במוסדות חינוך, התשפ""ג-2023")</f>
        <v>10477</v>
      </c>
      <c r="E5874" t="s">
        <v>10477</v>
      </c>
      <c r="F5874" t="s">
        <v>11685</v>
      </c>
      <c r="G5874" t="s">
        <v>14</v>
      </c>
      <c r="H5874">
             </c>
      <c r="I5874" t="s">
        <v>14</v>
      </c>
      <c r="J5874" t="s">
        <v>141</v>
      </c>
      <c r="K5874" t="s">
        <v>14</v>
      </c>
      <c r="L5874" t="s">
        <v>20</v>
      </c>
      <c r="M5874" t="s">
        <v>11676</v>
      </c>
      <c r="N5874" t="s">
        <v>14</v>
      </c>
    </row>
    <row r="5875" x14ac:dyDescent="0.25">
      <c r="A5875" t="n">
        <v>25</v>
      </c>
      <c r="B5875" t="s">
        <v>14</v>
      </c>
      <c r="C5875" t="s">
        <v>22</v>
      </c>
      <c r="D5875" s="2" t="s">
        <f>=HYPERLINK("https://main.knesset.gov.il/APPS/legislation/main/bills/2198733", "הצעת חוק קליטת חיילים משוחררים (תיקון - מימון שכר לימוד מלא ללוחמים), התשפ""ג-2023")</f>
        <v>7545</v>
      </c>
      <c r="E5875" t="s">
        <v>7545</v>
      </c>
      <c r="F5875" t="s">
        <v>11686</v>
      </c>
      <c r="G5875" t="s">
        <v>14</v>
      </c>
      <c r="H5875">
             </c>
      <c r="I5875" t="s">
        <v>14</v>
      </c>
      <c r="J5875" t="s">
        <v>141</v>
      </c>
      <c r="K5875" t="s">
        <v>14</v>
      </c>
      <c r="L5875" t="s">
        <v>20</v>
      </c>
      <c r="M5875" t="s">
        <v>11676</v>
      </c>
      <c r="N5875" t="s">
        <v>14</v>
      </c>
    </row>
    <row r="5876" x14ac:dyDescent="0.25">
      <c r="A5876" t="n">
        <v>25</v>
      </c>
      <c r="B5876" t="s">
        <v>14</v>
      </c>
      <c r="C5876" t="s">
        <v>22</v>
      </c>
      <c r="D5876" s="2" t="s">
        <f>=HYPERLINK("https://main.knesset.gov.il/APPS/legislation/main/bills/2198686", "הצעת חוק שירותי תעופה (פיצוי וסיוע בשל ביטול טיסה או שינוי בתנאיה) (תיקון - הוראות שונות), התשפ""ג-2023")</f>
        <v>11687</v>
      </c>
      <c r="E5876" t="s">
        <v>11687</v>
      </c>
      <c r="F5876" t="s">
        <v>11688</v>
      </c>
      <c r="G5876" t="s">
        <v>14</v>
      </c>
      <c r="H5876">
             </c>
      <c r="I5876" t="s">
        <v>14</v>
      </c>
      <c r="J5876" t="s">
        <v>141</v>
      </c>
      <c r="K5876" t="s">
        <v>14</v>
      </c>
      <c r="L5876" t="s">
        <v>20</v>
      </c>
      <c r="M5876" t="s">
        <v>11676</v>
      </c>
      <c r="N5876" t="s">
        <v>14</v>
      </c>
    </row>
    <row r="5877" x14ac:dyDescent="0.25">
      <c r="A5877" t="n">
        <v>25</v>
      </c>
      <c r="B5877" t="s">
        <v>14</v>
      </c>
      <c r="C5877" t="s">
        <v>22</v>
      </c>
      <c r="D5877" s="2" t="s">
        <f>=HYPERLINK("https://main.knesset.gov.il/APPS/legislation/main/bills/2198849", "הצעת חוק משק החשמל (תיקון - גביית תשלומים), התשפ""ג-2023")</f>
        <v>10367</v>
      </c>
      <c r="E5877" t="s">
        <v>10367</v>
      </c>
      <c r="F5877" t="s">
        <v>11689</v>
      </c>
      <c r="G5877" t="s">
        <v>14</v>
      </c>
      <c r="H5877">
             </c>
      <c r="I5877" t="s">
        <v>14</v>
      </c>
      <c r="J5877" t="s">
        <v>141</v>
      </c>
      <c r="K5877" t="s">
        <v>14</v>
      </c>
      <c r="L5877" t="s">
        <v>20</v>
      </c>
      <c r="M5877" t="s">
        <v>11676</v>
      </c>
      <c r="N5877" t="s">
        <v>14</v>
      </c>
    </row>
    <row r="5878" x14ac:dyDescent="0.25">
      <c r="A5878" t="n">
        <v>25</v>
      </c>
      <c r="B5878" t="s">
        <v>14</v>
      </c>
      <c r="C5878" t="s">
        <v>22</v>
      </c>
      <c r="D5878" s="2" t="s">
        <f>=HYPERLINK("https://main.knesset.gov.il/APPS/legislation/main/bills/2198812", "הצעת חוק הפקדות וזכויות סוציאליות לעצמאים (תיקוני חקיקה), התשפ""ג-2023")</f>
        <v>10612</v>
      </c>
      <c r="E5878" t="s">
        <v>10612</v>
      </c>
      <c r="F5878" t="s">
        <v>11690</v>
      </c>
      <c r="G5878" t="s">
        <v>14</v>
      </c>
      <c r="H5878">
             </c>
      <c r="I5878" t="s">
        <v>14</v>
      </c>
      <c r="J5878" t="s">
        <v>141</v>
      </c>
      <c r="K5878" t="s">
        <v>14</v>
      </c>
      <c r="L5878" t="s">
        <v>20</v>
      </c>
      <c r="M5878" t="s">
        <v>11676</v>
      </c>
      <c r="N5878" t="s">
        <v>14</v>
      </c>
    </row>
    <row r="5879" x14ac:dyDescent="0.25">
      <c r="A5879" t="n">
        <v>25</v>
      </c>
      <c r="B5879" t="s">
        <v>14</v>
      </c>
      <c r="C5879" t="s">
        <v>22</v>
      </c>
      <c r="D5879" s="2" t="s">
        <f>=HYPERLINK("https://main.knesset.gov.il/APPS/legislation/main/bills/2198961", "הצעת חוק לתיקון פקודת מס הכנסה (ניכוי הוצאות בשל ארוחה עסקית לעצמאים), התשפ""ג-2023")</f>
        <v>10335</v>
      </c>
      <c r="E5879" t="s">
        <v>10335</v>
      </c>
      <c r="F5879" t="s">
        <v>11691</v>
      </c>
      <c r="G5879" t="s">
        <v>14</v>
      </c>
      <c r="H5879">
             </c>
      <c r="I5879" t="s">
        <v>14</v>
      </c>
      <c r="J5879" t="s">
        <v>141</v>
      </c>
      <c r="K5879" t="s">
        <v>14</v>
      </c>
      <c r="L5879" t="s">
        <v>20</v>
      </c>
      <c r="M5879" t="s">
        <v>11676</v>
      </c>
      <c r="N5879" t="s">
        <v>14</v>
      </c>
    </row>
    <row r="5880" x14ac:dyDescent="0.25">
      <c r="A5880" t="n">
        <v>25</v>
      </c>
      <c r="B5880" t="s">
        <v>14</v>
      </c>
      <c r="C5880" t="s">
        <v>22</v>
      </c>
      <c r="D5880" s="2" t="s">
        <f>=HYPERLINK("https://main.knesset.gov.il/APPS/legislation/main/bills/2198839", "הצעת חוק הגנת הצרכן (תיקון - איסור גביית עמלה בעסקה שבוצעה באמצעות האינטרנט), התשפ""ג-2023")</f>
        <v>11692</v>
      </c>
      <c r="E5880" t="s">
        <v>11692</v>
      </c>
      <c r="F5880" t="s">
        <v>11693</v>
      </c>
      <c r="G5880" t="s">
        <v>14</v>
      </c>
      <c r="H5880">
             </c>
      <c r="I5880" t="s">
        <v>14</v>
      </c>
      <c r="J5880" t="s">
        <v>141</v>
      </c>
      <c r="K5880" t="s">
        <v>14</v>
      </c>
      <c r="L5880" t="s">
        <v>20</v>
      </c>
      <c r="M5880" t="s">
        <v>11676</v>
      </c>
      <c r="N5880" t="s">
        <v>14</v>
      </c>
    </row>
    <row r="5881" x14ac:dyDescent="0.25">
      <c r="A5881" t="n">
        <v>25</v>
      </c>
      <c r="B5881" t="s">
        <v>14</v>
      </c>
      <c r="C5881" t="s">
        <v>22</v>
      </c>
      <c r="D5881" s="2" t="s">
        <f>=HYPERLINK("https://main.knesset.gov.il/APPS/legislation/main/bills/2198891", "הצעת חוק לתיקון פקודת מס הכנסה (הכרה בהוצאות אש""ל לעצמאים), התשפ""ג-2023")</f>
        <v>11694</v>
      </c>
      <c r="E5881" t="s">
        <v>11694</v>
      </c>
      <c r="F5881" t="s">
        <v>11695</v>
      </c>
      <c r="G5881" t="s">
        <v>14</v>
      </c>
      <c r="H5881">
             </c>
      <c r="I5881" t="s">
        <v>14</v>
      </c>
      <c r="J5881" t="s">
        <v>141</v>
      </c>
      <c r="K5881" t="s">
        <v>14</v>
      </c>
      <c r="L5881" t="s">
        <v>20</v>
      </c>
      <c r="M5881" t="s">
        <v>11676</v>
      </c>
      <c r="N5881" t="s">
        <v>14</v>
      </c>
    </row>
    <row r="5882" x14ac:dyDescent="0.25">
      <c r="A5882" t="n">
        <v>25</v>
      </c>
      <c r="B5882" t="s">
        <v>14</v>
      </c>
      <c r="C5882" t="s">
        <v>22</v>
      </c>
      <c r="D5882" s="2" t="s">
        <f>=HYPERLINK("https://main.knesset.gov.il/APPS/legislation/main/bills/2198764", "הצעת חוק שוויון זכויות לאנשים עם מוגבלות (תיקון - מידע בדבר עמידת מעסיקים פרטיים גדולים ביעד הייצוג ההולם), התשפ""ג-2023")</f>
        <v>8806</v>
      </c>
      <c r="E5882" t="s">
        <v>8806</v>
      </c>
      <c r="F5882" t="s">
        <v>11696</v>
      </c>
      <c r="G5882" t="s">
        <v>14</v>
      </c>
      <c r="H5882">
             </c>
      <c r="I5882" t="s">
        <v>14</v>
      </c>
      <c r="J5882" t="s">
        <v>141</v>
      </c>
      <c r="K5882" t="s">
        <v>14</v>
      </c>
      <c r="L5882" t="s">
        <v>20</v>
      </c>
      <c r="M5882" t="s">
        <v>11676</v>
      </c>
      <c r="N5882" t="s">
        <v>14</v>
      </c>
    </row>
    <row r="5883" x14ac:dyDescent="0.25">
      <c r="A5883" t="n">
        <v>25</v>
      </c>
      <c r="B5883" t="s">
        <v>14</v>
      </c>
      <c r="C5883" t="s">
        <v>22</v>
      </c>
      <c r="D5883" s="2" t="s">
        <f>=HYPERLINK("https://main.knesset.gov.il/APPS/legislation/main/bills/2199006", "הצעת חוק התכנון והבנייה (הוראות מיוחדות לעניין יישובי מיעוטים) (הוראת שעה), התשפ""ג-2023")</f>
        <v>11697</v>
      </c>
      <c r="E5883" t="s">
        <v>11697</v>
      </c>
      <c r="F5883" t="s">
        <v>11698</v>
      </c>
      <c r="G5883" t="s">
        <v>14</v>
      </c>
      <c r="H5883">
             </c>
      <c r="I5883" t="s">
        <v>14</v>
      </c>
      <c r="J5883" t="s">
        <v>141</v>
      </c>
      <c r="K5883" t="s">
        <v>14</v>
      </c>
      <c r="L5883" t="s">
        <v>20</v>
      </c>
      <c r="M5883" t="s">
        <v>11676</v>
      </c>
      <c r="N5883" t="s">
        <v>14</v>
      </c>
    </row>
    <row r="5884" x14ac:dyDescent="0.25">
      <c r="A5884" t="n">
        <v>25</v>
      </c>
      <c r="B5884" t="s">
        <v>14</v>
      </c>
      <c r="C5884" t="s">
        <v>22</v>
      </c>
      <c r="D5884" s="2" t="s">
        <f>=HYPERLINK("https://main.knesset.gov.il/APPS/legislation/main/bills/2198778", "הצעת חוק הכנסת (תיקון - ועדה לפיקוח על רשויות פיקוח פיננסיות), התשפ""ג-2023")</f>
        <v>11699</v>
      </c>
      <c r="E5884" t="s">
        <v>11699</v>
      </c>
      <c r="F5884" t="s">
        <v>11700</v>
      </c>
      <c r="G5884" t="s">
        <v>14</v>
      </c>
      <c r="H5884">
             </c>
      <c r="I5884" t="s">
        <v>14</v>
      </c>
      <c r="J5884" t="s">
        <v>141</v>
      </c>
      <c r="K5884" t="s">
        <v>14</v>
      </c>
      <c r="L5884" t="s">
        <v>20</v>
      </c>
      <c r="M5884" t="s">
        <v>11676</v>
      </c>
      <c r="N5884" t="s">
        <v>14</v>
      </c>
    </row>
    <row r="5885" x14ac:dyDescent="0.25">
      <c r="A5885" t="n">
        <v>25</v>
      </c>
      <c r="B5885" t="s">
        <v>14</v>
      </c>
      <c r="C5885" t="s">
        <v>22</v>
      </c>
      <c r="D5885" s="2" t="s">
        <f>=HYPERLINK("https://main.knesset.gov.il/APPS/legislation/main/bills/2199218", "הצעת חוק האזנת סתר (תיקון - האזנה בשל חשד להתעללות בילדים ובחסרי ישע), התשפ״ג-2023")</f>
        <v>11701</v>
      </c>
      <c r="E5885" t="s">
        <v>11701</v>
      </c>
      <c r="F5885" t="s">
        <v>11702</v>
      </c>
      <c r="G5885" t="s">
        <v>14</v>
      </c>
      <c r="H5885">
             </c>
      <c r="I5885" t="s">
        <v>14</v>
      </c>
      <c r="J5885" t="s">
        <v>141</v>
      </c>
      <c r="K5885" t="s">
        <v>14</v>
      </c>
      <c r="L5885" t="s">
        <v>20</v>
      </c>
      <c r="M5885" t="s">
        <v>11676</v>
      </c>
      <c r="N5885" t="s">
        <v>14</v>
      </c>
    </row>
    <row r="5886" x14ac:dyDescent="0.25">
      <c r="A5886" t="n">
        <v>25</v>
      </c>
      <c r="B5886" t="s">
        <v>14</v>
      </c>
      <c r="C5886" t="s">
        <v>22</v>
      </c>
      <c r="D5886" s="2" t="s">
        <f>=HYPERLINK("https://main.knesset.gov.il/APPS/legislation/main/bills/2198969", "הצעת חוק הרשויות המקומיות (בחירת ראש הרשות וסגניו וכהונתם) (תיקון - הליכים משפטיים נגד ראש רשות), התשפ""ג-2023")</f>
        <v>11703</v>
      </c>
      <c r="E5886" t="s">
        <v>11703</v>
      </c>
      <c r="F5886" t="s">
        <v>11704</v>
      </c>
      <c r="G5886" t="s">
        <v>14</v>
      </c>
      <c r="H5886">
             </c>
      <c r="I5886" t="s">
        <v>14</v>
      </c>
      <c r="J5886" t="s">
        <v>343</v>
      </c>
      <c r="K5886" t="s">
        <v>14</v>
      </c>
      <c r="L5886" t="s">
        <v>20</v>
      </c>
      <c r="M5886" t="s">
        <v>11676</v>
      </c>
      <c r="N5886" t="s">
        <v>14</v>
      </c>
    </row>
    <row r="5887" x14ac:dyDescent="0.25">
      <c r="A5887" t="n">
        <v>25</v>
      </c>
      <c r="B5887" t="s">
        <v>14</v>
      </c>
      <c r="C5887" t="s">
        <v>22</v>
      </c>
      <c r="D5887" s="2" t="s">
        <f>=HYPERLINK("https://main.knesset.gov.il/APPS/legislation/main/bills/2198908", "הצעת חוק מס ערך מוסף (תיקון - העברת מס בין עוסקים מורשים), התשפ""ג-2023")</f>
        <v>11705</v>
      </c>
      <c r="E5887" t="s">
        <v>11705</v>
      </c>
      <c r="F5887" t="s">
        <v>11706</v>
      </c>
      <c r="G5887" t="s">
        <v>14</v>
      </c>
      <c r="H5887">
             </c>
      <c r="I5887" t="s">
        <v>14</v>
      </c>
      <c r="J5887" t="s">
        <v>141</v>
      </c>
      <c r="K5887" t="s">
        <v>14</v>
      </c>
      <c r="L5887" t="s">
        <v>20</v>
      </c>
      <c r="M5887" t="s">
        <v>11676</v>
      </c>
      <c r="N5887" t="s">
        <v>14</v>
      </c>
    </row>
    <row r="5888" x14ac:dyDescent="0.25">
      <c r="A5888" t="n">
        <v>25</v>
      </c>
      <c r="B5888" t="s">
        <v>14</v>
      </c>
      <c r="C5888" t="s">
        <v>22</v>
      </c>
      <c r="D5888" s="2" t="s">
        <f>=HYPERLINK("https://main.knesset.gov.il/APPS/legislation/main/bills/2198694", "הצעת חוק לימוד חובה (תיקון - חינוך חינם לפעוטות ולילדים), התשפ""ג-2023")</f>
        <v>9298</v>
      </c>
      <c r="E5888" t="s">
        <v>9298</v>
      </c>
      <c r="F5888" t="s">
        <v>11707</v>
      </c>
      <c r="G5888" t="s">
        <v>14</v>
      </c>
      <c r="H5888">
             </c>
      <c r="I5888" t="s">
        <v>14</v>
      </c>
      <c r="J5888" t="s">
        <v>343</v>
      </c>
      <c r="K5888" t="s">
        <v>14</v>
      </c>
      <c r="L5888" t="s">
        <v>20</v>
      </c>
      <c r="M5888" t="s">
        <v>11676</v>
      </c>
      <c r="N5888" t="s">
        <v>14</v>
      </c>
    </row>
    <row r="5889" x14ac:dyDescent="0.25">
      <c r="A5889" t="n">
        <v>25</v>
      </c>
      <c r="B5889" t="s">
        <v>14</v>
      </c>
      <c r="C5889" t="s">
        <v>22</v>
      </c>
      <c r="D5889" s="2" t="s">
        <f>=HYPERLINK("https://main.knesset.gov.il/APPS/legislation/main/bills/2199281", "הצעת חוק החברות הממשלתיות (תיקון - ייצוג הולם בתאגידים שהוקמו בחוק ובחברות ממשלתיות), התשפ""ג-2023")</f>
        <v>11708</v>
      </c>
      <c r="E5889" t="s">
        <v>11708</v>
      </c>
      <c r="F5889" t="s">
        <v>11709</v>
      </c>
      <c r="G5889" t="s">
        <v>14</v>
      </c>
      <c r="H5889">
             </c>
      <c r="I5889" t="s">
        <v>14</v>
      </c>
      <c r="J5889" t="s">
        <v>141</v>
      </c>
      <c r="K5889" t="s">
        <v>14</v>
      </c>
      <c r="L5889" t="s">
        <v>20</v>
      </c>
      <c r="M5889" t="s">
        <v>11676</v>
      </c>
      <c r="N5889" t="s">
        <v>14</v>
      </c>
    </row>
    <row r="5890" x14ac:dyDescent="0.25">
      <c r="A5890" t="n">
        <v>25</v>
      </c>
      <c r="B5890" t="s">
        <v>14</v>
      </c>
      <c r="C5890" t="s">
        <v>22</v>
      </c>
      <c r="D5890" s="2" t="s">
        <f>=HYPERLINK("https://main.knesset.gov.il/APPS/legislation/main/bills/2199274", "הצעת חוק חוזה הביטוח (תיקון - מניעת כפל ביטוחים), התשפ""ג-2023")</f>
        <v>11710</v>
      </c>
      <c r="E5890" t="s">
        <v>11710</v>
      </c>
      <c r="F5890" t="s">
        <v>11711</v>
      </c>
      <c r="G5890" t="s">
        <v>14</v>
      </c>
      <c r="H5890">
             </c>
      <c r="I5890" t="s">
        <v>14</v>
      </c>
      <c r="J5890" t="s">
        <v>343</v>
      </c>
      <c r="K5890" t="s">
        <v>14</v>
      </c>
      <c r="L5890" t="s">
        <v>20</v>
      </c>
      <c r="M5890" t="s">
        <v>11676</v>
      </c>
      <c r="N5890" t="s">
        <v>14</v>
      </c>
    </row>
    <row r="5891" x14ac:dyDescent="0.25">
      <c r="A5891" t="n">
        <v>25</v>
      </c>
      <c r="B5891" t="s">
        <v>14</v>
      </c>
      <c r="C5891" t="s">
        <v>22</v>
      </c>
      <c r="D5891" s="2" t="s">
        <f>=HYPERLINK("https://main.knesset.gov.il/APPS/legislation/main/bills/2198784", "הצעת חוק צוותי התערבות במשבר, התשפ""ג-2023")</f>
        <v>11712</v>
      </c>
      <c r="E5891" t="s">
        <v>11712</v>
      </c>
      <c r="F5891" t="s">
        <v>11713</v>
      </c>
      <c r="G5891" t="s">
        <v>14</v>
      </c>
      <c r="H5891">
             </c>
      <c r="I5891" t="s">
        <v>14</v>
      </c>
      <c r="J5891" t="s">
        <v>141</v>
      </c>
      <c r="K5891" t="s">
        <v>14</v>
      </c>
      <c r="L5891" t="s">
        <v>20</v>
      </c>
      <c r="M5891" t="s">
        <v>11676</v>
      </c>
      <c r="N5891" t="s">
        <v>14</v>
      </c>
    </row>
    <row r="5892" x14ac:dyDescent="0.25">
      <c r="A5892" t="n">
        <v>25</v>
      </c>
      <c r="B5892" t="s">
        <v>14</v>
      </c>
      <c r="C5892" t="s">
        <v>22</v>
      </c>
      <c r="D5892" s="2" t="s">
        <f>=HYPERLINK("https://main.knesset.gov.il/APPS/legislation/main/bills/2198163", "הצעת חוק שכר מינימום (תיקון - העלאת שכר המינימום), התשפ""ג-2023")</f>
        <v>10592</v>
      </c>
      <c r="E5892" t="s">
        <v>10592</v>
      </c>
      <c r="F5892" t="s">
        <v>11714</v>
      </c>
      <c r="G5892" t="s">
        <v>14</v>
      </c>
      <c r="H5892">
             </c>
      <c r="I5892" t="s">
        <v>14</v>
      </c>
      <c r="J5892" t="s">
        <v>141</v>
      </c>
      <c r="K5892" t="s">
        <v>14</v>
      </c>
      <c r="L5892" t="s">
        <v>20</v>
      </c>
      <c r="M5892" t="s">
        <v>11676</v>
      </c>
      <c r="N5892" t="s">
        <v>14</v>
      </c>
    </row>
    <row r="5893" x14ac:dyDescent="0.25">
      <c r="A5893" t="n">
        <v>25</v>
      </c>
      <c r="B5893" t="s">
        <v>14</v>
      </c>
      <c r="C5893" t="s">
        <v>22</v>
      </c>
      <c r="D5893" s="2" t="s">
        <f>=HYPERLINK("https://main.knesset.gov.il/APPS/legislation/main/bills/2199350", "הצעת חוק לתיקון פקודת המסים (גבייה) (גבייה לפי חוק ההוצאה לפועל), התשפ""ג-2023")</f>
        <v>11715</v>
      </c>
      <c r="E5893" t="s">
        <v>11715</v>
      </c>
      <c r="F5893" t="s">
        <v>11716</v>
      </c>
      <c r="G5893" t="s">
        <v>14</v>
      </c>
      <c r="H5893">
             </c>
      <c r="I5893" t="s">
        <v>14</v>
      </c>
      <c r="J5893" t="s">
        <v>141</v>
      </c>
      <c r="K5893" t="s">
        <v>14</v>
      </c>
      <c r="L5893" t="s">
        <v>20</v>
      </c>
      <c r="M5893" t="s">
        <v>11676</v>
      </c>
      <c r="N5893" t="s">
        <v>14</v>
      </c>
    </row>
    <row r="5894" x14ac:dyDescent="0.25">
      <c r="A5894" t="n">
        <v>25</v>
      </c>
      <c r="B5894" t="s">
        <v>14</v>
      </c>
      <c r="C5894" t="s">
        <v>22</v>
      </c>
      <c r="D5894" s="2" t="s">
        <f>=HYPERLINK("https://main.knesset.gov.il/APPS/legislation/main/bills/2199427", "הצעת חוק ההוצאה לפועל (תיקון - הקפאת ריבית פיגורים בימי שביתה), התשפ""ג-2023")</f>
        <v>10214</v>
      </c>
      <c r="E5894" t="s">
        <v>10214</v>
      </c>
      <c r="F5894" t="s">
        <v>11717</v>
      </c>
      <c r="G5894" t="s">
        <v>14</v>
      </c>
      <c r="H5894">
             </c>
      <c r="I5894" t="s">
        <v>14</v>
      </c>
      <c r="J5894" t="s">
        <v>141</v>
      </c>
      <c r="K5894" t="s">
        <v>14</v>
      </c>
      <c r="L5894" t="s">
        <v>20</v>
      </c>
      <c r="M5894" t="s">
        <v>11676</v>
      </c>
      <c r="N5894" t="s">
        <v>14</v>
      </c>
    </row>
    <row r="5895" x14ac:dyDescent="0.25">
      <c r="A5895" t="n">
        <v>25</v>
      </c>
      <c r="B5895" t="s">
        <v>14</v>
      </c>
      <c r="C5895" t="s">
        <v>22</v>
      </c>
      <c r="D5895" s="2" t="s">
        <f>=HYPERLINK("https://main.knesset.gov.il/APPS/legislation/main/bills/2199450", "הצעת חוק התקנת מצלמות לשם פיקוח והגנה בחינוך המיוחד, התשפ""ג-2023")</f>
        <v>11718</v>
      </c>
      <c r="E5895" t="s">
        <v>11718</v>
      </c>
      <c r="F5895" t="s">
        <v>11719</v>
      </c>
      <c r="G5895" t="s">
        <v>14</v>
      </c>
      <c r="H5895">
             </c>
      <c r="I5895" t="s">
        <v>14</v>
      </c>
      <c r="J5895" t="s">
        <v>141</v>
      </c>
      <c r="K5895" t="s">
        <v>14</v>
      </c>
      <c r="L5895" t="s">
        <v>20</v>
      </c>
      <c r="M5895" t="s">
        <v>11676</v>
      </c>
      <c r="N5895" t="s">
        <v>14</v>
      </c>
    </row>
    <row r="5896" x14ac:dyDescent="0.25">
      <c r="A5896" t="n">
        <v>25</v>
      </c>
      <c r="B5896" t="s">
        <v>14</v>
      </c>
      <c r="C5896" t="s">
        <v>22</v>
      </c>
      <c r="D5896" s="2" t="s">
        <f>=HYPERLINK("https://main.knesset.gov.il/APPS/legislation/main/bills/2198947", "הצעת חוק שירות ביטחון (תיקון - שילוב תלמידי ישיבות), התשפ""ג-2023")</f>
        <v>11451</v>
      </c>
      <c r="E5896" t="s">
        <v>11451</v>
      </c>
      <c r="F5896" t="s">
        <v>11720</v>
      </c>
      <c r="G5896" t="s">
        <v>14</v>
      </c>
      <c r="H5896">
             </c>
      <c r="I5896" t="s">
        <v>14</v>
      </c>
      <c r="J5896" t="s">
        <v>141</v>
      </c>
      <c r="K5896" t="s">
        <v>14</v>
      </c>
      <c r="L5896" t="s">
        <v>20</v>
      </c>
      <c r="M5896" t="s">
        <v>11676</v>
      </c>
      <c r="N5896" t="s">
        <v>14</v>
      </c>
    </row>
    <row r="5897" x14ac:dyDescent="0.25">
      <c r="A5897" t="n">
        <v>25</v>
      </c>
      <c r="B5897" t="s">
        <v>14</v>
      </c>
      <c r="C5897" t="s">
        <v>22</v>
      </c>
      <c r="D5897" s="2" t="s">
        <f>=HYPERLINK("https://main.knesset.gov.il/APPS/legislation/main/bills/2198699", "הצעת חוק הגנת השכר (תיקון - פנקס שכר, תלוש שכר וגליון אלקטרוני), התשפ""ג-2023")</f>
        <v>9818</v>
      </c>
      <c r="E5897" t="s">
        <v>9818</v>
      </c>
      <c r="F5897" t="s">
        <v>11721</v>
      </c>
      <c r="G5897" t="s">
        <v>14</v>
      </c>
      <c r="H5897">
             </c>
      <c r="I5897" t="s">
        <v>14</v>
      </c>
      <c r="J5897" t="s">
        <v>141</v>
      </c>
      <c r="K5897" t="s">
        <v>14</v>
      </c>
      <c r="L5897" t="s">
        <v>20</v>
      </c>
      <c r="M5897" t="s">
        <v>11676</v>
      </c>
      <c r="N5897" t="s">
        <v>14</v>
      </c>
    </row>
    <row r="5898" x14ac:dyDescent="0.25">
      <c r="A5898" t="n">
        <v>25</v>
      </c>
      <c r="B5898" t="s">
        <v>14</v>
      </c>
      <c r="C5898" t="s">
        <v>22</v>
      </c>
      <c r="D5898" s="2" t="s">
        <f>=HYPERLINK("https://main.knesset.gov.il/APPS/legislation/main/bills/2199465", "הצעת חוק הבנקאות (שירות ללקוח) (תיקון - חובת הצבת מכשיר אוטומטי למשיכת והפקדת מזומנים ושיקים), התשפ""ג-2023")</f>
        <v>9946</v>
      </c>
      <c r="E5898" t="s">
        <v>9946</v>
      </c>
      <c r="F5898" t="s">
        <v>11722</v>
      </c>
      <c r="G5898" t="s">
        <v>14</v>
      </c>
      <c r="H5898">
             </c>
      <c r="I5898" t="s">
        <v>14</v>
      </c>
      <c r="J5898" t="s">
        <v>141</v>
      </c>
      <c r="K5898" t="s">
        <v>14</v>
      </c>
      <c r="L5898" t="s">
        <v>20</v>
      </c>
      <c r="M5898" t="s">
        <v>11676</v>
      </c>
      <c r="N5898" t="s">
        <v>14</v>
      </c>
    </row>
    <row r="5899" x14ac:dyDescent="0.25">
      <c r="A5899" t="n">
        <v>25</v>
      </c>
      <c r="B5899" t="s">
        <v>14</v>
      </c>
      <c r="C5899" t="s">
        <v>22</v>
      </c>
      <c r="D5899" s="2" t="s">
        <f>=HYPERLINK("https://main.knesset.gov.il/APPS/legislation/main/bills/2198647", "הצעת חוק רשות שדות התעופה (תיקון - פטור מתשלום אגרה לסטודנטים הלומדים באוניברסיטאות בירדן), התשפ""ג-2023")</f>
        <v>11723</v>
      </c>
      <c r="E5899" t="s">
        <v>11723</v>
      </c>
      <c r="F5899" t="s">
        <v>11724</v>
      </c>
      <c r="G5899" t="s">
        <v>14</v>
      </c>
      <c r="H5899">
             </c>
      <c r="I5899" t="s">
        <v>14</v>
      </c>
      <c r="J5899" t="s">
        <v>141</v>
      </c>
      <c r="K5899" t="s">
        <v>14</v>
      </c>
      <c r="L5899" t="s">
        <v>20</v>
      </c>
      <c r="M5899" t="s">
        <v>11676</v>
      </c>
      <c r="N5899" t="s">
        <v>14</v>
      </c>
    </row>
    <row r="5900" x14ac:dyDescent="0.25">
      <c r="A5900" t="n">
        <v>25</v>
      </c>
      <c r="B5900" t="s">
        <v>14</v>
      </c>
      <c r="C5900" t="s">
        <v>22</v>
      </c>
      <c r="D5900" s="2" t="s">
        <f>=HYPERLINK("https://main.knesset.gov.il/APPS/legislation/main/bills/2196416", "הצעת חוק מיסוי מקרקעין (שבח ורכישה) (תיקון - הרחבת הקלה לרוכשים דירה מקבלן), התשפ""ג-2023")</f>
        <v>11725</v>
      </c>
      <c r="E5900" t="s">
        <v>11725</v>
      </c>
      <c r="F5900" t="s">
        <v>11726</v>
      </c>
      <c r="G5900" t="s">
        <v>14</v>
      </c>
      <c r="H5900">
             </c>
      <c r="I5900" t="s">
        <v>14</v>
      </c>
      <c r="J5900" t="s">
        <v>141</v>
      </c>
      <c r="K5900" t="s">
        <v>14</v>
      </c>
      <c r="L5900" t="s">
        <v>20</v>
      </c>
      <c r="M5900" t="s">
        <v>11676</v>
      </c>
      <c r="N5900" t="s">
        <v>14</v>
      </c>
    </row>
    <row r="5901" x14ac:dyDescent="0.25">
      <c r="A5901" t="n">
        <v>25</v>
      </c>
      <c r="B5901" t="s">
        <v>14</v>
      </c>
      <c r="C5901" t="s">
        <v>22</v>
      </c>
      <c r="D5901" s="2" t="s">
        <f>=HYPERLINK("https://main.knesset.gov.il/APPS/legislation/main/bills/2196434", "הצעת חוק יסודות התקציב (תיקון - פיקוח אחיד על שימוש בתמיכה), התשפ""ג-2023")</f>
        <v>11727</v>
      </c>
      <c r="E5901" t="s">
        <v>11727</v>
      </c>
      <c r="F5901" t="s">
        <v>11728</v>
      </c>
      <c r="G5901" t="s">
        <v>14</v>
      </c>
      <c r="H5901">
             </c>
      <c r="I5901" t="s">
        <v>14</v>
      </c>
      <c r="J5901" t="s">
        <v>141</v>
      </c>
      <c r="K5901" t="s">
        <v>14</v>
      </c>
      <c r="L5901" t="s">
        <v>20</v>
      </c>
      <c r="M5901" t="s">
        <v>11676</v>
      </c>
      <c r="N5901" t="s">
        <v>14</v>
      </c>
    </row>
    <row r="5902" x14ac:dyDescent="0.25">
      <c r="A5902" t="n">
        <v>25</v>
      </c>
      <c r="B5902" t="s">
        <v>14</v>
      </c>
      <c r="C5902" t="s">
        <v>22</v>
      </c>
      <c r="D5902" s="2" t="s">
        <f>=HYPERLINK("https://main.knesset.gov.il/APPS/legislation/main/bills/2199486", "הצעת חוק העונשין (תיקון - תקיפת נהג אוטובוס ציבורי), התשפ""ג-2023")</f>
        <v>9501</v>
      </c>
      <c r="E5902" t="s">
        <v>9501</v>
      </c>
      <c r="F5902" t="s">
        <v>11729</v>
      </c>
      <c r="G5902" t="s">
        <v>14</v>
      </c>
      <c r="H5902">
             </c>
      <c r="I5902" t="s">
        <v>14</v>
      </c>
      <c r="J5902" t="s">
        <v>141</v>
      </c>
      <c r="K5902" t="s">
        <v>14</v>
      </c>
      <c r="L5902" t="s">
        <v>20</v>
      </c>
      <c r="M5902" t="s">
        <v>11676</v>
      </c>
      <c r="N5902" t="s">
        <v>14</v>
      </c>
    </row>
    <row r="5903" x14ac:dyDescent="0.25">
      <c r="A5903" t="n">
        <v>25</v>
      </c>
      <c r="B5903" t="s">
        <v>14</v>
      </c>
      <c r="C5903" t="s">
        <v>22</v>
      </c>
      <c r="D5903" s="2" t="s">
        <f>=HYPERLINK("https://main.knesset.gov.il/APPS/legislation/main/bills/2198690", "הצעת חוק לתיקון פקודת התעבורה (רישום סוג הדם ברישיון נהיגה), התשפ""ג-2023")</f>
        <v>11730</v>
      </c>
      <c r="E5903" t="s">
        <v>11730</v>
      </c>
      <c r="F5903" t="s">
        <v>11731</v>
      </c>
      <c r="G5903" t="s">
        <v>14</v>
      </c>
      <c r="H5903">
             </c>
      <c r="I5903" t="s">
        <v>14</v>
      </c>
      <c r="J5903" t="s">
        <v>141</v>
      </c>
      <c r="K5903" t="s">
        <v>14</v>
      </c>
      <c r="L5903" t="s">
        <v>20</v>
      </c>
      <c r="M5903" t="s">
        <v>11676</v>
      </c>
      <c r="N5903" t="s">
        <v>14</v>
      </c>
    </row>
    <row r="5904" x14ac:dyDescent="0.25">
      <c r="A5904" t="n">
        <v>25</v>
      </c>
      <c r="B5904" t="s">
        <v>14</v>
      </c>
      <c r="C5904" t="s">
        <v>22</v>
      </c>
      <c r="D5904" s="2" t="s">
        <f>=HYPERLINK("https://main.knesset.gov.il/APPS/legislation/main/bills/2198695", "הצעת חוק העונשין (תיקון - תקיפת נהגי אוטובוס בקווי תחבורה ציבורית), התשפ""ג-2023")</f>
        <v>9469</v>
      </c>
      <c r="E5904" t="s">
        <v>9469</v>
      </c>
      <c r="F5904" t="s">
        <v>11732</v>
      </c>
      <c r="G5904" t="s">
        <v>14</v>
      </c>
      <c r="H5904">
             </c>
      <c r="I5904" t="s">
        <v>14</v>
      </c>
      <c r="J5904" t="s">
        <v>141</v>
      </c>
      <c r="K5904" t="s">
        <v>14</v>
      </c>
      <c r="L5904" t="s">
        <v>20</v>
      </c>
      <c r="M5904" t="s">
        <v>11676</v>
      </c>
      <c r="N5904" t="s">
        <v>14</v>
      </c>
    </row>
    <row r="5905" x14ac:dyDescent="0.25">
      <c r="A5905" t="n">
        <v>25</v>
      </c>
      <c r="B5905" t="s">
        <v>14</v>
      </c>
      <c r="C5905" t="s">
        <v>22</v>
      </c>
      <c r="D5905" s="2" t="s">
        <f>=HYPERLINK("https://main.knesset.gov.il/APPS/legislation/main/bills/2198676", "הצעת חוק העונשין (תיקון - החמרת ענישה בגין ירי מנשק חם שלא כדין), התשפ""ג-2023")</f>
        <v>1195</v>
      </c>
      <c r="E5905" t="s">
        <v>1195</v>
      </c>
      <c r="F5905" t="s">
        <v>11733</v>
      </c>
      <c r="G5905" t="s">
        <v>14</v>
      </c>
      <c r="H5905">
             </c>
      <c r="I5905" t="s">
        <v>14</v>
      </c>
      <c r="J5905" t="s">
        <v>141</v>
      </c>
      <c r="K5905" t="s">
        <v>14</v>
      </c>
      <c r="L5905" t="s">
        <v>20</v>
      </c>
      <c r="M5905" t="s">
        <v>11676</v>
      </c>
      <c r="N5905" t="s">
        <v>14</v>
      </c>
    </row>
    <row r="5906" x14ac:dyDescent="0.25">
      <c r="A5906" t="n">
        <v>25</v>
      </c>
      <c r="B5906" t="s">
        <v>14</v>
      </c>
      <c r="C5906" t="s">
        <v>22</v>
      </c>
      <c r="D5906" s="2" t="s">
        <f>=HYPERLINK("https://main.knesset.gov.il/APPS/legislation/main/bills/2198668", "הצעת חוק-יסוד: הממשלה (תיקון - הפסקת כהונה של ראש הממשלה, שר או סגן שר מחמת הגשת כתב אישום)")</f>
        <v>11734</v>
      </c>
      <c r="E5906" t="s">
        <v>11734</v>
      </c>
      <c r="F5906" t="s">
        <v>11735</v>
      </c>
      <c r="G5906" t="s">
        <v>14</v>
      </c>
      <c r="H5906">
             </c>
      <c r="I5906" t="s">
        <v>14</v>
      </c>
      <c r="J5906" t="s">
        <v>141</v>
      </c>
      <c r="K5906" t="s">
        <v>14</v>
      </c>
      <c r="L5906" t="s">
        <v>20</v>
      </c>
      <c r="M5906" t="s">
        <v>11676</v>
      </c>
      <c r="N5906" t="s">
        <v>14</v>
      </c>
    </row>
    <row r="5907" x14ac:dyDescent="0.25">
      <c r="A5907" t="n">
        <v>25</v>
      </c>
      <c r="B5907" t="s">
        <v>14</v>
      </c>
      <c r="C5907" t="s">
        <v>22</v>
      </c>
      <c r="D5907" s="2" t="s">
        <f>=HYPERLINK("https://main.knesset.gov.il/APPS/legislation/main/bills/2198648", "הצעת חוק לתיקון פקודת התעבורה (הגבלת סכום אגרת רישיון רכב), התשפ""ג-2023")</f>
        <v>8486</v>
      </c>
      <c r="E5907" t="s">
        <v>8486</v>
      </c>
      <c r="F5907" t="s">
        <v>11736</v>
      </c>
      <c r="G5907" t="s">
        <v>14</v>
      </c>
      <c r="H5907">
             </c>
      <c r="I5907" t="s">
        <v>14</v>
      </c>
      <c r="J5907" t="s">
        <v>141</v>
      </c>
      <c r="K5907" t="s">
        <v>14</v>
      </c>
      <c r="L5907" t="s">
        <v>20</v>
      </c>
      <c r="M5907" t="s">
        <v>11676</v>
      </c>
      <c r="N5907" t="s">
        <v>14</v>
      </c>
    </row>
    <row r="5908" x14ac:dyDescent="0.25">
      <c r="A5908" t="n">
        <v>25</v>
      </c>
      <c r="B5908" t="s">
        <v>14</v>
      </c>
      <c r="C5908" t="s">
        <v>22</v>
      </c>
      <c r="D5908" s="2" t="s">
        <f>=HYPERLINK("https://main.knesset.gov.il/APPS/legislation/main/bills/2197826", "הצעת חוק התכנון והבנייה (תיקון - בדיקות נוכחות מזהמים בקרקע, באוויר ובמקורות מים), התשפ״ג-2023")</f>
        <v>11737</v>
      </c>
      <c r="E5908" t="s">
        <v>11737</v>
      </c>
      <c r="F5908" t="s">
        <v>11738</v>
      </c>
      <c r="G5908" t="s">
        <v>14</v>
      </c>
      <c r="H5908">
             </c>
      <c r="I5908" t="s">
        <v>14</v>
      </c>
      <c r="J5908" t="s">
        <v>141</v>
      </c>
      <c r="K5908" t="s">
        <v>14</v>
      </c>
      <c r="L5908" t="s">
        <v>20</v>
      </c>
      <c r="M5908" t="s">
        <v>11676</v>
      </c>
      <c r="N5908" t="s">
        <v>14</v>
      </c>
    </row>
    <row r="5909" x14ac:dyDescent="0.25">
      <c r="A5909" t="n">
        <v>25</v>
      </c>
      <c r="B5909" t="s">
        <v>14</v>
      </c>
      <c r="C5909" t="s">
        <v>22</v>
      </c>
      <c r="D5909" s="2" t="s">
        <f>=HYPERLINK("https://main.knesset.gov.il/APPS/legislation/main/bills/2196578", "הצעת חוק מס ערך מוסף (תיקון - פטור בעת קניית דירה ראשונה לזוגות צעירים), התשפ""ג-2023")</f>
        <v>11739</v>
      </c>
      <c r="E5909" t="s">
        <v>11739</v>
      </c>
      <c r="F5909" t="s">
        <v>11740</v>
      </c>
      <c r="G5909" t="s">
        <v>14</v>
      </c>
      <c r="H5909">
             </c>
      <c r="I5909" t="s">
        <v>14</v>
      </c>
      <c r="J5909" t="s">
        <v>141</v>
      </c>
      <c r="K5909" t="s">
        <v>14</v>
      </c>
      <c r="L5909" t="s">
        <v>20</v>
      </c>
      <c r="M5909" t="s">
        <v>11676</v>
      </c>
      <c r="N5909" t="s">
        <v>14</v>
      </c>
    </row>
    <row r="5910" x14ac:dyDescent="0.25">
      <c r="A5910" t="n">
        <v>25</v>
      </c>
      <c r="B5910" t="s">
        <v>14</v>
      </c>
      <c r="C5910" t="s">
        <v>22</v>
      </c>
      <c r="D5910" s="2" t="s">
        <f>=HYPERLINK("https://main.knesset.gov.il/APPS/legislation/main/bills/2198660", "הצעת חוק משכן הכנסת, רחבתו ומשמר הכנסת (תיקון - איסור העסקה קבלנית), התשפ""ג-2023")</f>
        <v>11741</v>
      </c>
      <c r="E5910" t="s">
        <v>11741</v>
      </c>
      <c r="F5910" t="s">
        <v>11742</v>
      </c>
      <c r="G5910" t="s">
        <v>14</v>
      </c>
      <c r="H5910">
             </c>
      <c r="I5910" t="s">
        <v>14</v>
      </c>
      <c r="J5910" t="s">
        <v>141</v>
      </c>
      <c r="K5910" t="s">
        <v>14</v>
      </c>
      <c r="L5910" t="s">
        <v>20</v>
      </c>
      <c r="M5910" t="s">
        <v>11676</v>
      </c>
      <c r="N5910" t="s">
        <v>14</v>
      </c>
    </row>
    <row r="5911" x14ac:dyDescent="0.25">
      <c r="A5911" t="n">
        <v>25</v>
      </c>
      <c r="B5911" t="s">
        <v>14</v>
      </c>
      <c r="C5911" t="s">
        <v>22</v>
      </c>
      <c r="D5911" s="2" t="s">
        <f>=HYPERLINK("https://main.knesset.gov.il/APPS/legislation/main/bills/2197784", "הצעת חוק טיפול בחולי נפש (תיקון - בחירת מקום אשפוז), התשפ""ג-2023")</f>
        <v>11099</v>
      </c>
      <c r="E5911" t="s">
        <v>11099</v>
      </c>
      <c r="F5911" t="s">
        <v>11743</v>
      </c>
      <c r="G5911" t="s">
        <v>14</v>
      </c>
      <c r="H5911">
             </c>
      <c r="I5911" t="s">
        <v>14</v>
      </c>
      <c r="J5911" t="s">
        <v>141</v>
      </c>
      <c r="K5911" t="s">
        <v>14</v>
      </c>
      <c r="L5911" t="s">
        <v>20</v>
      </c>
      <c r="M5911" t="s">
        <v>11676</v>
      </c>
      <c r="N5911" t="s">
        <v>14</v>
      </c>
    </row>
    <row r="5912" x14ac:dyDescent="0.25">
      <c r="A5912" t="n">
        <v>25</v>
      </c>
      <c r="B5912" t="s">
        <v>14</v>
      </c>
      <c r="C5912" t="s">
        <v>22</v>
      </c>
      <c r="D5912" s="2" t="s">
        <f>=HYPERLINK("https://main.knesset.gov.il/APPS/legislation/main/bills/2198789", "הצעת חוק טיפול בחולי נפש (תיקון - בחירת מקום אשפוז), התשפ""ג-2023")</f>
        <v>11099</v>
      </c>
      <c r="E5912" t="s">
        <v>11099</v>
      </c>
      <c r="F5912" t="s">
        <v>11744</v>
      </c>
      <c r="G5912" t="s">
        <v>14</v>
      </c>
      <c r="H5912">
             </c>
      <c r="I5912" t="s">
        <v>14</v>
      </c>
      <c r="J5912" t="s">
        <v>141</v>
      </c>
      <c r="K5912" t="s">
        <v>14</v>
      </c>
      <c r="L5912" t="s">
        <v>20</v>
      </c>
      <c r="M5912" t="s">
        <v>11676</v>
      </c>
      <c r="N5912" t="s">
        <v>14</v>
      </c>
    </row>
    <row r="5913" x14ac:dyDescent="0.25">
      <c r="A5913" t="n">
        <v>25</v>
      </c>
      <c r="B5913" t="s">
        <v>14</v>
      </c>
      <c r="C5913" t="s">
        <v>22</v>
      </c>
      <c r="D5913" s="2" t="s">
        <f>=HYPERLINK("https://main.knesset.gov.il/APPS/legislation/main/bills/2198630", "הצעת חוק המועצה להשכלה גבוהה (תיקון - קביעת שכר לימוד במוסדות מוכרים שהמדינה אינה משתתפת בתקציביהם), התשפ""ג-2023")</f>
        <v>11745</v>
      </c>
      <c r="E5913" t="s">
        <v>11745</v>
      </c>
      <c r="F5913" t="s">
        <v>11746</v>
      </c>
      <c r="G5913" t="s">
        <v>14</v>
      </c>
      <c r="H5913">
             </c>
      <c r="I5913" t="s">
        <v>14</v>
      </c>
      <c r="J5913" t="s">
        <v>141</v>
      </c>
      <c r="K5913" t="s">
        <v>14</v>
      </c>
      <c r="L5913" t="s">
        <v>20</v>
      </c>
      <c r="M5913" t="s">
        <v>11676</v>
      </c>
      <c r="N5913" t="s">
        <v>14</v>
      </c>
    </row>
    <row r="5914" x14ac:dyDescent="0.25">
      <c r="A5914" t="n">
        <v>25</v>
      </c>
      <c r="B5914" t="s">
        <v>14</v>
      </c>
      <c r="C5914" t="s">
        <v>22</v>
      </c>
      <c r="D5914" s="2" t="s">
        <f>=HYPERLINK("https://main.knesset.gov.il/APPS/legislation/main/bills/2197782", "הצעת חוק-יסוד: השוויון")</f>
        <v>11747</v>
      </c>
      <c r="E5914" t="s">
        <v>11747</v>
      </c>
      <c r="F5914" t="s">
        <v>11748</v>
      </c>
      <c r="G5914" t="s">
        <v>14</v>
      </c>
      <c r="H5914">
             </c>
      <c r="I5914" t="s">
        <v>14</v>
      </c>
      <c r="J5914" t="s">
        <v>141</v>
      </c>
      <c r="K5914" t="s">
        <v>14</v>
      </c>
      <c r="L5914" t="s">
        <v>20</v>
      </c>
      <c r="M5914" t="s">
        <v>11676</v>
      </c>
      <c r="N5914" t="s">
        <v>14</v>
      </c>
    </row>
    <row r="5915" x14ac:dyDescent="0.25">
      <c r="A5915" t="n">
        <v>25</v>
      </c>
      <c r="B5915" t="s">
        <v>14</v>
      </c>
      <c r="C5915" t="s">
        <v>22</v>
      </c>
      <c r="D5915" s="2" t="s">
        <f>=HYPERLINK("https://main.knesset.gov.il/APPS/legislation/main/bills/2196331", "הצעת חוק לתיקון פקודת מס הכנסה (חישוב שווי שימוש ברכב לשומרי שבת וחג), התשפ""ג-2023")</f>
        <v>11749</v>
      </c>
      <c r="E5915" t="s">
        <v>11749</v>
      </c>
      <c r="F5915" t="s">
        <v>11750</v>
      </c>
      <c r="G5915" t="s">
        <v>14</v>
      </c>
      <c r="H5915">
             </c>
      <c r="I5915" t="s">
        <v>14</v>
      </c>
      <c r="J5915" t="s">
        <v>141</v>
      </c>
      <c r="K5915" t="s">
        <v>14</v>
      </c>
      <c r="L5915" t="s">
        <v>20</v>
      </c>
      <c r="M5915" t="s">
        <v>11676</v>
      </c>
      <c r="N5915" t="s">
        <v>14</v>
      </c>
    </row>
    <row r="5916" x14ac:dyDescent="0.25">
      <c r="A5916" t="n">
        <v>25</v>
      </c>
      <c r="B5916" t="s">
        <v>14</v>
      </c>
      <c r="C5916" t="s">
        <v>22</v>
      </c>
      <c r="D5916" s="2" t="s">
        <f>=HYPERLINK("https://main.knesset.gov.il/APPS/legislation/main/bills/2199328", "הצעת חוק זכאות לאבחון לקויות למידה לילדים ממשפחות מעוטות יכולת, התשפ""ג-2023 ")</f>
        <v>11751</v>
      </c>
      <c r="E5916" t="s">
        <v>11751</v>
      </c>
      <c r="F5916" t="s">
        <v>11752</v>
      </c>
      <c r="G5916" t="s">
        <v>14</v>
      </c>
      <c r="H5916">
             </c>
      <c r="I5916" t="s">
        <v>14</v>
      </c>
      <c r="J5916" t="s">
        <v>141</v>
      </c>
      <c r="K5916" t="s">
        <v>14</v>
      </c>
      <c r="L5916" t="s">
        <v>20</v>
      </c>
      <c r="M5916" t="s">
        <v>11676</v>
      </c>
      <c r="N5916" t="s">
        <v>14</v>
      </c>
    </row>
    <row r="5917" x14ac:dyDescent="0.25">
      <c r="A5917" t="n">
        <v>25</v>
      </c>
      <c r="B5917" t="s">
        <v>14</v>
      </c>
      <c r="C5917" t="s">
        <v>22</v>
      </c>
      <c r="D5917" s="2" t="s">
        <f>=HYPERLINK("https://main.knesset.gov.il/APPS/legislation/main/bills/2199329", "הצעת חוק הארכת השעיה של עובד המדינה ופיטורים של עובד הוראה לשם הגנה על קטין או חסר ישע (תיקוני חקיקה), התשפ""ג-2023")</f>
        <v>11753</v>
      </c>
      <c r="E5917" t="s">
        <v>11753</v>
      </c>
      <c r="F5917" t="s">
        <v>11754</v>
      </c>
      <c r="G5917" t="s">
        <v>14</v>
      </c>
      <c r="H5917">
             </c>
      <c r="I5917" t="s">
        <v>14</v>
      </c>
      <c r="J5917" t="s">
        <v>141</v>
      </c>
      <c r="K5917" t="s">
        <v>14</v>
      </c>
      <c r="L5917" t="s">
        <v>20</v>
      </c>
      <c r="M5917" t="s">
        <v>11676</v>
      </c>
      <c r="N5917" t="s">
        <v>14</v>
      </c>
    </row>
    <row r="5918" x14ac:dyDescent="0.25">
      <c r="A5918" t="n">
        <v>25</v>
      </c>
      <c r="B5918" t="s">
        <v>14</v>
      </c>
      <c r="C5918" t="s">
        <v>22</v>
      </c>
      <c r="D5918" s="2" t="s">
        <f>=HYPERLINK("https://main.knesset.gov.il/APPS/legislation/main/bills/2199221", "הצעת חוק לתיקון פקודת מס הכנסה (פטור ממס לגמלאים על תשלומי הפנסיה), התשפ""ג-2023")</f>
        <v>11755</v>
      </c>
      <c r="E5918" t="s">
        <v>11755</v>
      </c>
      <c r="F5918" t="s">
        <v>11756</v>
      </c>
      <c r="G5918" t="s">
        <v>14</v>
      </c>
      <c r="H5918">
             </c>
      <c r="I5918" t="s">
        <v>14</v>
      </c>
      <c r="J5918" t="s">
        <v>141</v>
      </c>
      <c r="K5918" t="s">
        <v>14</v>
      </c>
      <c r="L5918" t="s">
        <v>20</v>
      </c>
      <c r="M5918" t="s">
        <v>11676</v>
      </c>
      <c r="N5918" t="s">
        <v>14</v>
      </c>
    </row>
    <row r="5919" x14ac:dyDescent="0.25">
      <c r="A5919" t="n">
        <v>25</v>
      </c>
      <c r="B5919" t="s">
        <v>14</v>
      </c>
      <c r="C5919" t="s">
        <v>22</v>
      </c>
      <c r="D5919" s="2" t="s">
        <f>=HYPERLINK("https://main.knesset.gov.il/APPS/legislation/main/bills/2199421", "הצעת חוק לתיקון פקודת התעבורה (הסמכת רשות מקומית לביצוע תפקידי רישוי), התשפ""ג-2023")</f>
        <v>11757</v>
      </c>
      <c r="E5919" t="s">
        <v>11757</v>
      </c>
      <c r="F5919" t="s">
        <v>11758</v>
      </c>
      <c r="G5919" t="s">
        <v>14</v>
      </c>
      <c r="H5919">
             </c>
      <c r="I5919" t="s">
        <v>14</v>
      </c>
      <c r="J5919" t="s">
        <v>141</v>
      </c>
      <c r="K5919" t="s">
        <v>14</v>
      </c>
      <c r="L5919" t="s">
        <v>20</v>
      </c>
      <c r="M5919" t="s">
        <v>11676</v>
      </c>
      <c r="N5919" t="s">
        <v>14</v>
      </c>
    </row>
    <row r="5920" x14ac:dyDescent="0.25">
      <c r="A5920" t="n">
        <v>25</v>
      </c>
      <c r="B5920" t="s">
        <v>14</v>
      </c>
      <c r="C5920" t="s">
        <v>22</v>
      </c>
      <c r="D5920" s="2" t="s">
        <f>=HYPERLINK("https://main.knesset.gov.il/APPS/legislation/main/bills/2198645", "הצעת חוק להקמת אוניברסיטה ערבית ביישוב ערבי, התשפ""ג-2023")</f>
        <v>11759</v>
      </c>
      <c r="E5920" t="s">
        <v>11759</v>
      </c>
      <c r="F5920" t="s">
        <v>11760</v>
      </c>
      <c r="G5920" t="s">
        <v>14</v>
      </c>
      <c r="H5920">
             </c>
      <c r="I5920" t="s">
        <v>14</v>
      </c>
      <c r="J5920" t="s">
        <v>141</v>
      </c>
      <c r="K5920" t="s">
        <v>14</v>
      </c>
      <c r="L5920" t="s">
        <v>20</v>
      </c>
      <c r="M5920" t="s">
        <v>11676</v>
      </c>
      <c r="N5920" t="s">
        <v>14</v>
      </c>
    </row>
    <row r="5921" x14ac:dyDescent="0.25">
      <c r="A5921" t="n">
        <v>25</v>
      </c>
      <c r="B5921" t="s">
        <v>14</v>
      </c>
      <c r="C5921" t="s">
        <v>22</v>
      </c>
      <c r="D5921" s="2" t="s">
        <f>=HYPERLINK("https://main.knesset.gov.il/APPS/legislation/main/bills/2197834", "הצעת חוק מס ערך מוסף (תיקון - פטור ממס ערך מוסף במכירת תרופות לחולים סופניים), התשפ""ג-2023")</f>
        <v>11761</v>
      </c>
      <c r="E5921" t="s">
        <v>11761</v>
      </c>
      <c r="F5921" t="s">
        <v>11762</v>
      </c>
      <c r="G5921" t="s">
        <v>14</v>
      </c>
      <c r="H5921">
             </c>
      <c r="I5921" t="s">
        <v>14</v>
      </c>
      <c r="J5921" t="s">
        <v>141</v>
      </c>
      <c r="K5921" t="s">
        <v>14</v>
      </c>
      <c r="L5921" t="s">
        <v>20</v>
      </c>
      <c r="M5921" t="s">
        <v>11676</v>
      </c>
      <c r="N5921" t="s">
        <v>14</v>
      </c>
    </row>
    <row r="5922" x14ac:dyDescent="0.25">
      <c r="A5922" t="n">
        <v>25</v>
      </c>
      <c r="B5922" t="s">
        <v>14</v>
      </c>
      <c r="C5922" t="s">
        <v>22</v>
      </c>
      <c r="D5922" s="2" t="s">
        <f>=HYPERLINK("https://main.knesset.gov.il/APPS/legislation/main/bills/2198928", "הצעת חוק שירות ביטחון (תיקון - חובת תשלום מס למי שאינו משרת שירות צבאי או שירות אזרחי), התשפ""ג-2023")</f>
        <v>11763</v>
      </c>
      <c r="E5922" t="s">
        <v>11763</v>
      </c>
      <c r="F5922" t="s">
        <v>11764</v>
      </c>
      <c r="G5922" t="s">
        <v>14</v>
      </c>
      <c r="H5922">
             </c>
      <c r="I5922" t="s">
        <v>14</v>
      </c>
      <c r="J5922" t="s">
        <v>141</v>
      </c>
      <c r="K5922" t="s">
        <v>14</v>
      </c>
      <c r="L5922" t="s">
        <v>20</v>
      </c>
      <c r="M5922" t="s">
        <v>11676</v>
      </c>
      <c r="N5922" t="s">
        <v>14</v>
      </c>
    </row>
    <row r="5923" x14ac:dyDescent="0.25">
      <c r="A5923" t="n">
        <v>25</v>
      </c>
      <c r="B5923" t="s">
        <v>14</v>
      </c>
      <c r="C5923" t="s">
        <v>22</v>
      </c>
      <c r="D5923" s="2" t="s">
        <f>=HYPERLINK("https://main.knesset.gov.il/APPS/legislation/main/bills/2196021", "הצעת חוק לתיקון פקודת המכס (ביטול חיוב בעד בדיקת טובין), התשפ""ג-2023")</f>
        <v>9867</v>
      </c>
      <c r="E5923" t="s">
        <v>9867</v>
      </c>
      <c r="F5923" t="s">
        <v>11765</v>
      </c>
      <c r="G5923" t="s">
        <v>14</v>
      </c>
      <c r="H5923">
             </c>
      <c r="I5923" t="s">
        <v>14</v>
      </c>
      <c r="J5923" t="s">
        <v>141</v>
      </c>
      <c r="K5923" t="s">
        <v>14</v>
      </c>
      <c r="L5923" t="s">
        <v>20</v>
      </c>
      <c r="M5923" t="s">
        <v>11676</v>
      </c>
      <c r="N5923" t="s">
        <v>14</v>
      </c>
    </row>
    <row r="5924" x14ac:dyDescent="0.25">
      <c r="A5924" t="n">
        <v>25</v>
      </c>
      <c r="B5924" t="s">
        <v>14</v>
      </c>
      <c r="C5924" t="s">
        <v>22</v>
      </c>
      <c r="D5924" s="2" t="s">
        <f>=HYPERLINK("https://main.knesset.gov.il/APPS/legislation/main/bills/2199452", "הצעת חוק לתיקון סדרי המינהל (החלטות והנמקות) (תיקון - קיצור זמן המענה בפניות ציבור), התשפ""ג-2023")</f>
        <v>10308</v>
      </c>
      <c r="E5924" t="s">
        <v>10308</v>
      </c>
      <c r="F5924" t="s">
        <v>11766</v>
      </c>
      <c r="G5924" t="s">
        <v>14</v>
      </c>
      <c r="H5924">
             </c>
      <c r="I5924" t="s">
        <v>14</v>
      </c>
      <c r="J5924" t="s">
        <v>141</v>
      </c>
      <c r="K5924" t="s">
        <v>14</v>
      </c>
      <c r="L5924" t="s">
        <v>20</v>
      </c>
      <c r="M5924" t="s">
        <v>11676</v>
      </c>
      <c r="N5924" t="s">
        <v>14</v>
      </c>
    </row>
    <row r="5925" x14ac:dyDescent="0.25">
      <c r="A5925" t="n">
        <v>25</v>
      </c>
      <c r="B5925" t="s">
        <v>14</v>
      </c>
      <c r="C5925" t="s">
        <v>22</v>
      </c>
      <c r="D5925" s="2" t="s">
        <f>=HYPERLINK("https://main.knesset.gov.il/APPS/legislation/main/bills/2198611", "הצעת חוק העונשין (תיקון - קביעת עונש מינימום לעבירות יידוי אבנים), התשפ""ג-2023")</f>
        <v>3774</v>
      </c>
      <c r="E5925" t="s">
        <v>3774</v>
      </c>
      <c r="F5925" t="s">
        <v>11767</v>
      </c>
      <c r="G5925" t="s">
        <v>14</v>
      </c>
      <c r="H5925">
             </c>
      <c r="I5925" t="s">
        <v>14</v>
      </c>
      <c r="J5925" t="s">
        <v>141</v>
      </c>
      <c r="K5925" t="s">
        <v>14</v>
      </c>
      <c r="L5925" t="s">
        <v>20</v>
      </c>
      <c r="M5925" t="s">
        <v>11676</v>
      </c>
      <c r="N5925" t="s">
        <v>14</v>
      </c>
    </row>
    <row r="5926" x14ac:dyDescent="0.25">
      <c r="A5926" t="n">
        <v>25</v>
      </c>
      <c r="B5926" t="s">
        <v>14</v>
      </c>
      <c r="C5926" t="s">
        <v>22</v>
      </c>
      <c r="D5926" s="2" t="s">
        <f>=HYPERLINK("https://main.knesset.gov.il/APPS/legislation/main/bills/2199400", "הצעת חוק חובת המכרזים (תיקון - עידוד עסקים להעסקת בני החברה הערבית והחרדית), התשפ""ג-2023")</f>
        <v>8174</v>
      </c>
      <c r="E5926" t="s">
        <v>8174</v>
      </c>
      <c r="F5926" t="s">
        <v>11768</v>
      </c>
      <c r="G5926" t="s">
        <v>14</v>
      </c>
      <c r="H5926">
             </c>
      <c r="I5926" t="s">
        <v>14</v>
      </c>
      <c r="J5926" t="s">
        <v>141</v>
      </c>
      <c r="K5926" t="s">
        <v>14</v>
      </c>
      <c r="L5926" t="s">
        <v>20</v>
      </c>
      <c r="M5926" t="s">
        <v>11676</v>
      </c>
      <c r="N5926" t="s">
        <v>14</v>
      </c>
    </row>
    <row r="5927" x14ac:dyDescent="0.25">
      <c r="A5927" t="n">
        <v>25</v>
      </c>
      <c r="B5927" t="s">
        <v>14</v>
      </c>
      <c r="C5927" t="s">
        <v>22</v>
      </c>
      <c r="D5927" s="2" t="s">
        <f>=HYPERLINK("https://main.knesset.gov.il/APPS/legislation/main/bills/2197792", "הצעת חוק שכירות הוגנת (רשם השכירויות), התשפ""ג-2023")</f>
        <v>11769</v>
      </c>
      <c r="E5927" t="s">
        <v>11769</v>
      </c>
      <c r="F5927" t="s">
        <v>11770</v>
      </c>
      <c r="G5927" t="s">
        <v>14</v>
      </c>
      <c r="H5927">
             </c>
      <c r="I5927" t="s">
        <v>14</v>
      </c>
      <c r="J5927" t="s">
        <v>141</v>
      </c>
      <c r="K5927" t="s">
        <v>14</v>
      </c>
      <c r="L5927" t="s">
        <v>20</v>
      </c>
      <c r="M5927" t="s">
        <v>11676</v>
      </c>
      <c r="N5927" t="s">
        <v>14</v>
      </c>
    </row>
    <row r="5928" x14ac:dyDescent="0.25">
      <c r="A5928" t="n">
        <v>25</v>
      </c>
      <c r="B5928" t="s">
        <v>14</v>
      </c>
      <c r="C5928" t="s">
        <v>22</v>
      </c>
      <c r="D5928" s="2" t="s">
        <f>=HYPERLINK("https://main.knesset.gov.il/APPS/legislation/main/bills/2198631", "הצעת חוק איסור הפליה במוצרים, בשירותים ובכניסה למקומות בידור ולמקומות ציבוריים (תיקון - חובת הודעה מוקדמת על אירוע סגור), התשפ""ג-2023")</f>
        <v>11771</v>
      </c>
      <c r="E5928" t="s">
        <v>11771</v>
      </c>
      <c r="F5928" t="s">
        <v>11772</v>
      </c>
      <c r="G5928" t="s">
        <v>14</v>
      </c>
      <c r="H5928">
             </c>
      <c r="I5928" t="s">
        <v>14</v>
      </c>
      <c r="J5928" t="s">
        <v>141</v>
      </c>
      <c r="K5928" t="s">
        <v>14</v>
      </c>
      <c r="L5928" t="s">
        <v>20</v>
      </c>
      <c r="M5928" t="s">
        <v>11676</v>
      </c>
      <c r="N5928" t="s">
        <v>14</v>
      </c>
    </row>
    <row r="5929" x14ac:dyDescent="0.25">
      <c r="A5929" t="n">
        <v>25</v>
      </c>
      <c r="B5929" t="s">
        <v>14</v>
      </c>
      <c r="C5929" t="s">
        <v>22</v>
      </c>
      <c r="D5929" s="2" t="s">
        <f>=HYPERLINK("https://main.knesset.gov.il/APPS/legislation/main/bills/2198148", "הצעת חוק כביש אגרה (כביש ארצי לישראל) (תיקון - פטור מאגרה בשל האטה ממהירות הנסיעה המותרת), התשפ""ג-2023")</f>
        <v>10716</v>
      </c>
      <c r="E5929" t="s">
        <v>10716</v>
      </c>
      <c r="F5929" t="s">
        <v>11773</v>
      </c>
      <c r="G5929" t="s">
        <v>14</v>
      </c>
      <c r="H5929">
             </c>
      <c r="I5929" t="s">
        <v>14</v>
      </c>
      <c r="J5929" t="s">
        <v>141</v>
      </c>
      <c r="K5929" t="s">
        <v>14</v>
      </c>
      <c r="L5929" t="s">
        <v>20</v>
      </c>
      <c r="M5929" t="s">
        <v>11676</v>
      </c>
      <c r="N5929" t="s">
        <v>14</v>
      </c>
    </row>
    <row r="5930" x14ac:dyDescent="0.25">
      <c r="A5930" t="n">
        <v>25</v>
      </c>
      <c r="B5930" t="s">
        <v>14</v>
      </c>
      <c r="C5930" t="s">
        <v>22</v>
      </c>
      <c r="D5930" s="2" t="s">
        <f>=HYPERLINK("https://main.knesset.gov.il/APPS/legislation/main/bills/2198248", "הצעת חוק משק החשמל (תיקון - תשלומי חשמל מופחתים לקשישים נכים), התשפ""ג-2023")</f>
        <v>11774</v>
      </c>
      <c r="E5930" t="s">
        <v>11774</v>
      </c>
      <c r="F5930" t="s">
        <v>11775</v>
      </c>
      <c r="G5930" t="s">
        <v>14</v>
      </c>
      <c r="H5930">
             </c>
      <c r="I5930" t="s">
        <v>14</v>
      </c>
      <c r="J5930" t="s">
        <v>141</v>
      </c>
      <c r="K5930" t="s">
        <v>14</v>
      </c>
      <c r="L5930" t="s">
        <v>20</v>
      </c>
      <c r="M5930" t="s">
        <v>11676</v>
      </c>
      <c r="N5930" t="s">
        <v>14</v>
      </c>
    </row>
    <row r="5931" x14ac:dyDescent="0.25">
      <c r="A5931" t="n">
        <v>25</v>
      </c>
      <c r="B5931" t="s">
        <v>14</v>
      </c>
      <c r="C5931" t="s">
        <v>22</v>
      </c>
      <c r="D5931" s="2" t="s">
        <f>=HYPERLINK("https://main.knesset.gov.il/APPS/legislation/main/bills/2199451", "הצעת חוק לתיקון פקודת התעבורה (מאסר מינימום למי שהפקיר אדם שנפגע בתאונה), התשפ""ג-2023")</f>
        <v>11776</v>
      </c>
      <c r="E5931" t="s">
        <v>11776</v>
      </c>
      <c r="F5931" t="s">
        <v>11777</v>
      </c>
      <c r="G5931" t="s">
        <v>14</v>
      </c>
      <c r="H5931">
             </c>
      <c r="I5931" t="s">
        <v>14</v>
      </c>
      <c r="J5931" t="s">
        <v>141</v>
      </c>
      <c r="K5931" t="s">
        <v>14</v>
      </c>
      <c r="L5931" t="s">
        <v>20</v>
      </c>
      <c r="M5931" t="s">
        <v>11676</v>
      </c>
      <c r="N5931" t="s">
        <v>14</v>
      </c>
    </row>
    <row r="5932" x14ac:dyDescent="0.25">
      <c r="A5932" t="n">
        <v>25</v>
      </c>
      <c r="B5932" t="s">
        <v>14</v>
      </c>
      <c r="C5932" t="s">
        <v>22</v>
      </c>
      <c r="D5932" s="2" t="s">
        <f>=HYPERLINK("https://main.knesset.gov.il/APPS/legislation/main/bills/2196034", "הצעת חוק האזרחות (תיקון - אזרחות לצאצא אזרח ישראלי המתגורר מחוץ לישראל), התשפ""ג-2023")</f>
        <v>11778</v>
      </c>
      <c r="E5932" t="s">
        <v>11778</v>
      </c>
      <c r="F5932" t="s">
        <v>11779</v>
      </c>
      <c r="G5932" t="s">
        <v>14</v>
      </c>
      <c r="H5932">
             </c>
      <c r="I5932" t="s">
        <v>14</v>
      </c>
      <c r="J5932" t="s">
        <v>141</v>
      </c>
      <c r="K5932" t="s">
        <v>14</v>
      </c>
      <c r="L5932" t="s">
        <v>20</v>
      </c>
      <c r="M5932" t="s">
        <v>11676</v>
      </c>
      <c r="N5932" t="s">
        <v>14</v>
      </c>
    </row>
    <row r="5933" x14ac:dyDescent="0.25">
      <c r="A5933" t="n">
        <v>25</v>
      </c>
      <c r="B5933" t="s">
        <v>14</v>
      </c>
      <c r="C5933" t="s">
        <v>22</v>
      </c>
      <c r="D5933" s="2" t="s">
        <f>=HYPERLINK("https://main.knesset.gov.il/APPS/legislation/main/bills/2199398", "הצעת חוק זכויות הסטודנט (תיקון - התאמות לאוכלוסייה הערבית - חגים), התשפ""ג-2023")</f>
        <v>5987</v>
      </c>
      <c r="E5933" t="s">
        <v>5987</v>
      </c>
      <c r="F5933" t="s">
        <v>11780</v>
      </c>
      <c r="G5933" t="s">
        <v>14</v>
      </c>
      <c r="H5933">
             </c>
      <c r="I5933" t="s">
        <v>14</v>
      </c>
      <c r="J5933" t="s">
        <v>141</v>
      </c>
      <c r="K5933" t="s">
        <v>14</v>
      </c>
      <c r="L5933" t="s">
        <v>20</v>
      </c>
      <c r="M5933" t="s">
        <v>11676</v>
      </c>
      <c r="N5933" t="s">
        <v>14</v>
      </c>
    </row>
    <row r="5934" x14ac:dyDescent="0.25">
      <c r="A5934" t="n">
        <v>25</v>
      </c>
      <c r="B5934" t="s">
        <v>14</v>
      </c>
      <c r="C5934" t="s">
        <v>22</v>
      </c>
      <c r="D5934" s="2" t="s">
        <f>=HYPERLINK("https://main.knesset.gov.il/APPS/legislation/main/bills/2199397", "הצעת חוק זכויות הסטודנט (תיקון - ייעוץ אקדמי בערבית), התשפ""ג-2023")</f>
        <v>11781</v>
      </c>
      <c r="E5934" t="s">
        <v>11781</v>
      </c>
      <c r="F5934" t="s">
        <v>11782</v>
      </c>
      <c r="G5934" t="s">
        <v>14</v>
      </c>
      <c r="H5934">
             </c>
      <c r="I5934" t="s">
        <v>14</v>
      </c>
      <c r="J5934" t="s">
        <v>141</v>
      </c>
      <c r="K5934" t="s">
        <v>14</v>
      </c>
      <c r="L5934" t="s">
        <v>20</v>
      </c>
      <c r="M5934" t="s">
        <v>11676</v>
      </c>
      <c r="N5934" t="s">
        <v>14</v>
      </c>
    </row>
    <row r="5935" x14ac:dyDescent="0.25">
      <c r="A5935" t="n">
        <v>25</v>
      </c>
      <c r="B5935" t="s">
        <v>14</v>
      </c>
      <c r="C5935" t="s">
        <v>22</v>
      </c>
      <c r="D5935" s="2" t="s">
        <f>=HYPERLINK("https://main.knesset.gov.il/APPS/legislation/main/bills/2198637", "הצעת חוק יום הזיכרון לנכבה, התשפ""ג-2023")</f>
        <v>11783</v>
      </c>
      <c r="E5935" t="s">
        <v>11783</v>
      </c>
      <c r="F5935" t="s">
        <v>11784</v>
      </c>
      <c r="G5935" t="s">
        <v>14</v>
      </c>
      <c r="H5935">
             </c>
      <c r="I5935" t="s">
        <v>14</v>
      </c>
      <c r="J5935" t="s">
        <v>141</v>
      </c>
      <c r="K5935" t="s">
        <v>14</v>
      </c>
      <c r="L5935" t="s">
        <v>20</v>
      </c>
      <c r="M5935" t="s">
        <v>11676</v>
      </c>
      <c r="N5935" t="s">
        <v>14</v>
      </c>
    </row>
    <row r="5936" x14ac:dyDescent="0.25">
      <c r="A5936" t="n">
        <v>25</v>
      </c>
      <c r="B5936" t="s">
        <v>14</v>
      </c>
      <c r="C5936" t="s">
        <v>22</v>
      </c>
      <c r="D5936" s="2" t="s">
        <f>=HYPERLINK("https://main.knesset.gov.il/APPS/legislation/main/bills/2199497", "הצעת חוק לתיקון פקודת התעבורה (קביעת קנס בגין גביית יתר של שכר הסעה במונית), התשפ""ג-2023")</f>
        <v>10863</v>
      </c>
      <c r="E5936" t="s">
        <v>10863</v>
      </c>
      <c r="F5936" t="s">
        <v>11785</v>
      </c>
      <c r="G5936" t="s">
        <v>14</v>
      </c>
      <c r="H5936">
             </c>
      <c r="I5936" t="s">
        <v>14</v>
      </c>
      <c r="J5936" t="s">
        <v>141</v>
      </c>
      <c r="K5936" t="s">
        <v>14</v>
      </c>
      <c r="L5936" t="s">
        <v>20</v>
      </c>
      <c r="M5936" t="s">
        <v>11676</v>
      </c>
      <c r="N5936" t="s">
        <v>14</v>
      </c>
    </row>
    <row r="5937" x14ac:dyDescent="0.25">
      <c r="A5937" t="n">
        <v>25</v>
      </c>
      <c r="B5937" t="s">
        <v>14</v>
      </c>
      <c r="C5937" t="s">
        <v>22</v>
      </c>
      <c r="D5937" s="2" t="s">
        <f>=HYPERLINK("https://main.knesset.gov.il/APPS/legislation/main/bills/2199409", "הצעת חוק לתיקון פקודת המסים (גבייה) (גבייה לפי חוק ההוצאה לפועל), התשפ""ג-2023")</f>
        <v>11715</v>
      </c>
      <c r="E5937" t="s">
        <v>11715</v>
      </c>
      <c r="F5937" t="s">
        <v>11786</v>
      </c>
      <c r="G5937" t="s">
        <v>14</v>
      </c>
      <c r="H5937">
             </c>
      <c r="I5937" t="s">
        <v>14</v>
      </c>
      <c r="J5937" t="s">
        <v>141</v>
      </c>
      <c r="K5937" t="s">
        <v>14</v>
      </c>
      <c r="L5937" t="s">
        <v>20</v>
      </c>
      <c r="M5937" t="s">
        <v>11676</v>
      </c>
      <c r="N5937" t="s">
        <v>14</v>
      </c>
    </row>
    <row r="5938" x14ac:dyDescent="0.25">
      <c r="A5938" t="n">
        <v>25</v>
      </c>
      <c r="B5938" t="s">
        <v>14</v>
      </c>
      <c r="C5938" t="s">
        <v>22</v>
      </c>
      <c r="D5938" s="2" t="s">
        <f>=HYPERLINK("https://main.knesset.gov.il/APPS/legislation/main/bills/2198698", "הצעת חוק הגנת השכר (תיקון - מתכונת אחידה לפנקס שכר ותלוש שכר), התשפ""ג-2023")</f>
        <v>11189</v>
      </c>
      <c r="E5938" t="s">
        <v>11189</v>
      </c>
      <c r="F5938" t="s">
        <v>11787</v>
      </c>
      <c r="G5938" t="s">
        <v>14</v>
      </c>
      <c r="H5938">
             </c>
      <c r="I5938" t="s">
        <v>14</v>
      </c>
      <c r="J5938" t="s">
        <v>141</v>
      </c>
      <c r="K5938" t="s">
        <v>14</v>
      </c>
      <c r="L5938" t="s">
        <v>20</v>
      </c>
      <c r="M5938" t="s">
        <v>11676</v>
      </c>
      <c r="N5938" t="s">
        <v>14</v>
      </c>
    </row>
    <row r="5939" x14ac:dyDescent="0.25">
      <c r="A5939" t="n">
        <v>25</v>
      </c>
      <c r="B5939" t="s">
        <v>14</v>
      </c>
      <c r="C5939" t="s">
        <v>22</v>
      </c>
      <c r="D5939" s="2" t="s">
        <f>=HYPERLINK("https://main.knesset.gov.il/APPS/legislation/main/bills/2198917", "הצעת חוק הרשויות המקומיות (בחירות) (תיקון - בחירה של בעל עסק בתחום רשות מקומית שעסקו רשום בה), התשפ""ג-2023")</f>
        <v>11788</v>
      </c>
      <c r="E5939" t="s">
        <v>11788</v>
      </c>
      <c r="F5939" t="s">
        <v>11789</v>
      </c>
      <c r="G5939" t="s">
        <v>14</v>
      </c>
      <c r="H5939">
             </c>
      <c r="I5939" t="s">
        <v>14</v>
      </c>
      <c r="J5939" t="s">
        <v>141</v>
      </c>
      <c r="K5939" t="s">
        <v>14</v>
      </c>
      <c r="L5939" t="s">
        <v>20</v>
      </c>
      <c r="M5939" t="s">
        <v>11676</v>
      </c>
      <c r="N5939" t="s">
        <v>14</v>
      </c>
    </row>
    <row r="5940" x14ac:dyDescent="0.25">
      <c r="A5940" t="n">
        <v>25</v>
      </c>
      <c r="B5940" t="s">
        <v>14</v>
      </c>
      <c r="C5940" t="s">
        <v>22</v>
      </c>
      <c r="D5940" s="2" t="s">
        <f>=HYPERLINK("https://main.knesset.gov.il/APPS/legislation/main/bills/2199458", "הצעת חוק הנוטריונים (תיקון - ביטול תעריף מינימום לשירות נוטריוני), התשפ""ג-2023")</f>
        <v>11790</v>
      </c>
      <c r="E5940" t="s">
        <v>11790</v>
      </c>
      <c r="F5940" t="s">
        <v>11791</v>
      </c>
      <c r="G5940" t="s">
        <v>14</v>
      </c>
      <c r="H5940">
             </c>
      <c r="I5940" t="s">
        <v>14</v>
      </c>
      <c r="J5940" t="s">
        <v>141</v>
      </c>
      <c r="K5940" t="s">
        <v>14</v>
      </c>
      <c r="L5940" t="s">
        <v>20</v>
      </c>
      <c r="M5940" t="s">
        <v>11676</v>
      </c>
      <c r="N5940" t="s">
        <v>14</v>
      </c>
    </row>
    <row r="5941" x14ac:dyDescent="0.25">
      <c r="A5941" t="n">
        <v>25</v>
      </c>
      <c r="B5941" t="s">
        <v>14</v>
      </c>
      <c r="C5941" t="s">
        <v>22</v>
      </c>
      <c r="D5941" s="2" t="s">
        <f>=HYPERLINK("https://main.knesset.gov.il/APPS/legislation/main/bills/2199463", "הצעת חוק חובת תשלום בשוברים, התשפ""ג-2023")</f>
        <v>11792</v>
      </c>
      <c r="E5941" t="s">
        <v>11792</v>
      </c>
      <c r="F5941" t="s">
        <v>11793</v>
      </c>
      <c r="G5941" t="s">
        <v>14</v>
      </c>
      <c r="H5941">
             </c>
      <c r="I5941" t="s">
        <v>14</v>
      </c>
      <c r="J5941" t="s">
        <v>141</v>
      </c>
      <c r="K5941" t="s">
        <v>14</v>
      </c>
      <c r="L5941" t="s">
        <v>20</v>
      </c>
      <c r="M5941" t="s">
        <v>11676</v>
      </c>
      <c r="N5941" t="s">
        <v>14</v>
      </c>
    </row>
    <row r="5942" x14ac:dyDescent="0.25">
      <c r="A5942" t="n">
        <v>25</v>
      </c>
      <c r="B5942" t="s">
        <v>14</v>
      </c>
      <c r="C5942" t="s">
        <v>22</v>
      </c>
      <c r="D5942" s="2" t="s">
        <f>=HYPERLINK("https://main.knesset.gov.il/APPS/legislation/main/bills/2199446", "הצעת חוק לתיקון פקודת התעבורה (חובת בדיקת תקינות כריות האוויר ברכב בעת מתן רישיון רכב, חידושו או העברתו), התשפ""ג-2023")</f>
        <v>11794</v>
      </c>
      <c r="E5942" t="s">
        <v>11794</v>
      </c>
      <c r="F5942" t="s">
        <v>11795</v>
      </c>
      <c r="G5942" t="s">
        <v>14</v>
      </c>
      <c r="H5942">
             </c>
      <c r="I5942" t="s">
        <v>14</v>
      </c>
      <c r="J5942" t="s">
        <v>141</v>
      </c>
      <c r="K5942" t="s">
        <v>14</v>
      </c>
      <c r="L5942" t="s">
        <v>20</v>
      </c>
      <c r="M5942" t="s">
        <v>11676</v>
      </c>
      <c r="N5942" t="s">
        <v>14</v>
      </c>
    </row>
    <row r="5943" x14ac:dyDescent="0.25">
      <c r="A5943" t="n">
        <v>25</v>
      </c>
      <c r="B5943" t="s">
        <v>14</v>
      </c>
      <c r="C5943" t="s">
        <v>22</v>
      </c>
      <c r="D5943" s="2" t="s">
        <f>=HYPERLINK("https://main.knesset.gov.il/APPS/legislation/main/bills/2199456", "הצעת חוק לתיקון פקודת התעבורה (הפחתת גובה קנס בשל תשלום מיידי), התשפ""ג-2023")</f>
        <v>11633</v>
      </c>
      <c r="E5943" t="s">
        <v>11633</v>
      </c>
      <c r="F5943" t="s">
        <v>11796</v>
      </c>
      <c r="G5943" t="s">
        <v>14</v>
      </c>
      <c r="H5943">
             </c>
      <c r="I5943" t="s">
        <v>14</v>
      </c>
      <c r="J5943" t="s">
        <v>141</v>
      </c>
      <c r="K5943" t="s">
        <v>14</v>
      </c>
      <c r="L5943" t="s">
        <v>20</v>
      </c>
      <c r="M5943" t="s">
        <v>11676</v>
      </c>
      <c r="N5943" t="s">
        <v>14</v>
      </c>
    </row>
    <row r="5944" x14ac:dyDescent="0.25">
      <c r="A5944" t="n">
        <v>25</v>
      </c>
      <c r="B5944" t="s">
        <v>14</v>
      </c>
      <c r="C5944" t="s">
        <v>22</v>
      </c>
      <c r="D5944" s="2" t="s">
        <f>=HYPERLINK("https://main.knesset.gov.il/APPS/legislation/main/bills/2199403", "הצעת חוק התכנון והבנייה (תיקון - ייצוג הולם לאוכלוסייה הערבית והחרדית במוסדות התכנון), התשפ""ג-2023")</f>
        <v>11797</v>
      </c>
      <c r="E5944" t="s">
        <v>11797</v>
      </c>
      <c r="F5944" t="s">
        <v>11798</v>
      </c>
      <c r="G5944" t="s">
        <v>14</v>
      </c>
      <c r="H5944">
             </c>
      <c r="I5944" t="s">
        <v>14</v>
      </c>
      <c r="J5944" t="s">
        <v>141</v>
      </c>
      <c r="K5944" t="s">
        <v>14</v>
      </c>
      <c r="L5944" t="s">
        <v>20</v>
      </c>
      <c r="M5944" t="s">
        <v>11676</v>
      </c>
      <c r="N5944" t="s">
        <v>14</v>
      </c>
    </row>
    <row r="5945" x14ac:dyDescent="0.25">
      <c r="A5945" t="n">
        <v>25</v>
      </c>
      <c r="B5945" t="s">
        <v>14</v>
      </c>
      <c r="C5945" t="s">
        <v>22</v>
      </c>
      <c r="D5945" s="2" t="s">
        <f>=HYPERLINK("https://main.knesset.gov.il/APPS/legislation/main/bills/2199047", "הצעת חוק משק החשמל (תיקון - תעריף מופחת לבתי חולים בפריפריה), התשפ""ג-2023")</f>
        <v>1850</v>
      </c>
      <c r="E5945" t="s">
        <v>1850</v>
      </c>
      <c r="F5945" t="s">
        <v>11799</v>
      </c>
      <c r="G5945" t="s">
        <v>14</v>
      </c>
      <c r="H5945">
             </c>
      <c r="I5945" t="s">
        <v>14</v>
      </c>
      <c r="J5945" t="s">
        <v>141</v>
      </c>
      <c r="K5945" t="s">
        <v>14</v>
      </c>
      <c r="L5945" t="s">
        <v>20</v>
      </c>
      <c r="M5945" t="s">
        <v>11676</v>
      </c>
      <c r="N5945" t="s">
        <v>14</v>
      </c>
    </row>
    <row r="5946" x14ac:dyDescent="0.25">
      <c r="A5946" t="n">
        <v>25</v>
      </c>
      <c r="B5946" t="s">
        <v>14</v>
      </c>
      <c r="C5946" t="s">
        <v>22</v>
      </c>
      <c r="D5946" s="2" t="s">
        <f>=HYPERLINK("https://main.knesset.gov.il/APPS/legislation/main/bills/2198171", "הצעת חוק הביטוח הלאומי (תיקון - קצבת אזרח ותיק לנכה), התשפ""ג-2023")</f>
        <v>11677</v>
      </c>
      <c r="E5946" t="s">
        <v>11677</v>
      </c>
      <c r="F5946" t="s">
        <v>11800</v>
      </c>
      <c r="G5946" t="s">
        <v>14</v>
      </c>
      <c r="H5946">
             </c>
      <c r="I5946" t="s">
        <v>14</v>
      </c>
      <c r="J5946" t="s">
        <v>141</v>
      </c>
      <c r="K5946" t="s">
        <v>14</v>
      </c>
      <c r="L5946" t="s">
        <v>20</v>
      </c>
      <c r="M5946" t="s">
        <v>11676</v>
      </c>
      <c r="N5946" t="s">
        <v>14</v>
      </c>
    </row>
    <row r="5947" x14ac:dyDescent="0.25">
      <c r="A5947" t="n">
        <v>25</v>
      </c>
      <c r="B5947" t="s">
        <v>14</v>
      </c>
      <c r="C5947" t="s">
        <v>22</v>
      </c>
      <c r="D5947" s="2" t="s">
        <f>=HYPERLINK("https://main.knesset.gov.il/APPS/legislation/main/bills/2199436", "הצעת חוק ההוצאה לפועל (תיקון - החרגת עיקול רכב), התשפ""ג-2023")</f>
        <v>9472</v>
      </c>
      <c r="E5947" t="s">
        <v>9472</v>
      </c>
      <c r="F5947" t="s">
        <v>11801</v>
      </c>
      <c r="G5947" t="s">
        <v>14</v>
      </c>
      <c r="H5947">
             </c>
      <c r="I5947" t="s">
        <v>14</v>
      </c>
      <c r="J5947" t="s">
        <v>343</v>
      </c>
      <c r="K5947" t="s">
        <v>14</v>
      </c>
      <c r="L5947" t="s">
        <v>20</v>
      </c>
      <c r="M5947" t="s">
        <v>11676</v>
      </c>
      <c r="N5947" t="s">
        <v>14</v>
      </c>
    </row>
    <row r="5948" x14ac:dyDescent="0.25">
      <c r="A5948" t="n">
        <v>25</v>
      </c>
      <c r="B5948" t="s">
        <v>14</v>
      </c>
      <c r="C5948" t="s">
        <v>22</v>
      </c>
      <c r="D5948" s="2" t="s">
        <f>=HYPERLINK("https://main.knesset.gov.il/APPS/legislation/main/bills/2199439", "הצעת חוק התכנון והבנייה (תיקון מס' 116) (תיקון - ביטול החוק), התשפ""ג-2023")</f>
        <v>11429</v>
      </c>
      <c r="E5948" t="s">
        <v>11429</v>
      </c>
      <c r="F5948" t="s">
        <v>11802</v>
      </c>
      <c r="G5948" t="s">
        <v>14</v>
      </c>
      <c r="H5948">
             </c>
      <c r="I5948" t="s">
        <v>14</v>
      </c>
      <c r="J5948" t="s">
        <v>141</v>
      </c>
      <c r="K5948" t="s">
        <v>14</v>
      </c>
      <c r="L5948" t="s">
        <v>20</v>
      </c>
      <c r="M5948" t="s">
        <v>11676</v>
      </c>
      <c r="N5948" t="s">
        <v>14</v>
      </c>
    </row>
    <row r="5949" x14ac:dyDescent="0.25">
      <c r="A5949" t="n">
        <v>25</v>
      </c>
      <c r="B5949" t="s">
        <v>14</v>
      </c>
      <c r="C5949" t="s">
        <v>22</v>
      </c>
      <c r="D5949" s="2" t="s">
        <f>=HYPERLINK("https://main.knesset.gov.il/APPS/legislation/main/bills/2199501", "הצעת חוק לתיקון פקודת התעבורה (חובת נשיאת לוחית זיהוי באופניים ממונעים ובקורקינט ממונע), התשפ""ג-2023")</f>
        <v>7926</v>
      </c>
      <c r="E5949" t="s">
        <v>7926</v>
      </c>
      <c r="F5949" t="s">
        <v>11803</v>
      </c>
      <c r="G5949" t="s">
        <v>14</v>
      </c>
      <c r="H5949">
             </c>
      <c r="I5949" t="s">
        <v>14</v>
      </c>
      <c r="J5949" t="s">
        <v>141</v>
      </c>
      <c r="K5949" t="s">
        <v>14</v>
      </c>
      <c r="L5949" t="s">
        <v>20</v>
      </c>
      <c r="M5949" t="s">
        <v>11676</v>
      </c>
      <c r="N5949" t="s">
        <v>14</v>
      </c>
    </row>
    <row r="5950" x14ac:dyDescent="0.25">
      <c r="A5950" t="n">
        <v>25</v>
      </c>
      <c r="B5950" t="s">
        <v>14</v>
      </c>
      <c r="C5950" t="s">
        <v>22</v>
      </c>
      <c r="D5950" s="2" t="s">
        <f>=HYPERLINK("https://main.knesset.gov.il/APPS/legislation/main/bills/2198098", "הצעת חוק תשלום קצבאות לחיילי מילואים ולבני משפחותיהם (תיקון - השוואת תנאי אלמנות חללי המילואים), התשפ""ג-2023")</f>
        <v>8757</v>
      </c>
      <c r="E5950" t="s">
        <v>8757</v>
      </c>
      <c r="F5950" t="s">
        <v>11804</v>
      </c>
      <c r="G5950" t="s">
        <v>14</v>
      </c>
      <c r="H5950">
             </c>
      <c r="I5950" t="s">
        <v>14</v>
      </c>
      <c r="J5950" t="s">
        <v>141</v>
      </c>
      <c r="K5950" t="s">
        <v>14</v>
      </c>
      <c r="L5950" t="s">
        <v>20</v>
      </c>
      <c r="M5950" t="s">
        <v>11676</v>
      </c>
      <c r="N5950" t="s">
        <v>14</v>
      </c>
    </row>
    <row r="5951" x14ac:dyDescent="0.25">
      <c r="A5951" t="n">
        <v>25</v>
      </c>
      <c r="B5951" t="s">
        <v>14</v>
      </c>
      <c r="C5951" t="s">
        <v>22</v>
      </c>
      <c r="D5951" s="2" t="s">
        <f>=HYPERLINK("https://main.knesset.gov.il/APPS/legislation/main/bills/2197830", "הצעת חוק הביטוח הלאומי (תיקון - השוואת קצבת נכות לשכר המינימום), התשפ""ג-2023")</f>
        <v>10583</v>
      </c>
      <c r="E5951" t="s">
        <v>10583</v>
      </c>
      <c r="F5951" t="s">
        <v>11805</v>
      </c>
      <c r="G5951" t="s">
        <v>14</v>
      </c>
      <c r="H5951">
             </c>
      <c r="I5951" t="s">
        <v>14</v>
      </c>
      <c r="J5951" t="s">
        <v>141</v>
      </c>
      <c r="K5951" t="s">
        <v>14</v>
      </c>
      <c r="L5951" t="s">
        <v>20</v>
      </c>
      <c r="M5951" t="s">
        <v>11676</v>
      </c>
      <c r="N5951" t="s">
        <v>14</v>
      </c>
    </row>
    <row r="5952" x14ac:dyDescent="0.25">
      <c r="A5952" t="n">
        <v>25</v>
      </c>
      <c r="B5952" t="s">
        <v>14</v>
      </c>
      <c r="C5952" t="s">
        <v>22</v>
      </c>
      <c r="D5952" s="2" t="s">
        <f>=HYPERLINK("https://main.knesset.gov.il/APPS/legislation/main/bills/2198724", "הצעת חוק הביטוח הלאומי (תיקון - השוואת קצבת נכות לשכר המינימום), התשפ""ג-2023")</f>
        <v>10583</v>
      </c>
      <c r="E5952" t="s">
        <v>10583</v>
      </c>
      <c r="F5952" t="s">
        <v>11806</v>
      </c>
      <c r="G5952" t="s">
        <v>14</v>
      </c>
      <c r="H5952">
             </c>
      <c r="I5952" t="s">
        <v>14</v>
      </c>
      <c r="J5952" t="s">
        <v>141</v>
      </c>
      <c r="K5952" t="s">
        <v>14</v>
      </c>
      <c r="L5952" t="s">
        <v>20</v>
      </c>
      <c r="M5952" t="s">
        <v>11676</v>
      </c>
      <c r="N5952" t="s">
        <v>14</v>
      </c>
    </row>
    <row r="5953" x14ac:dyDescent="0.25">
      <c r="A5953" t="n">
        <v>25</v>
      </c>
      <c r="B5953" t="s">
        <v>14</v>
      </c>
      <c r="C5953" t="s">
        <v>22</v>
      </c>
      <c r="D5953" s="2" t="s">
        <f>=HYPERLINK("https://main.knesset.gov.il/APPS/legislation/main/bills/2199038", "הצעת חוק ההוצאה לפועל (תיקון - קבלת קהל בשעות אחר הצהריים), התשפ""ג-2023")</f>
        <v>11807</v>
      </c>
      <c r="E5953" t="s">
        <v>11807</v>
      </c>
      <c r="F5953" t="s">
        <v>11808</v>
      </c>
      <c r="G5953" t="s">
        <v>14</v>
      </c>
      <c r="H5953">
             </c>
      <c r="I5953" t="s">
        <v>14</v>
      </c>
      <c r="J5953" t="s">
        <v>141</v>
      </c>
      <c r="K5953" t="s">
        <v>14</v>
      </c>
      <c r="L5953" t="s">
        <v>20</v>
      </c>
      <c r="M5953" t="s">
        <v>11676</v>
      </c>
      <c r="N5953" t="s">
        <v>14</v>
      </c>
    </row>
    <row r="5954" x14ac:dyDescent="0.25">
      <c r="A5954" t="n">
        <v>25</v>
      </c>
      <c r="B5954" t="s">
        <v>14</v>
      </c>
      <c r="C5954" t="s">
        <v>22</v>
      </c>
      <c r="D5954" s="2" t="s">
        <f>=HYPERLINK("https://main.knesset.gov.il/APPS/legislation/main/bills/2198713", "הצעת חוק הביטוח הלאומי (תיקון - עבודה בחינוך וסיוע להוראה או בטיפול בילדים כעבודה מועדפת), התשפ""ב-2023")</f>
        <v>11809</v>
      </c>
      <c r="E5954" t="s">
        <v>11809</v>
      </c>
      <c r="F5954" t="s">
        <v>11810</v>
      </c>
      <c r="G5954" t="s">
        <v>14</v>
      </c>
      <c r="H5954">
             </c>
      <c r="I5954" t="s">
        <v>14</v>
      </c>
      <c r="J5954" t="s">
        <v>141</v>
      </c>
      <c r="K5954" t="s">
        <v>14</v>
      </c>
      <c r="L5954" t="s">
        <v>20</v>
      </c>
      <c r="M5954" t="s">
        <v>11676</v>
      </c>
      <c r="N5954" t="s">
        <v>14</v>
      </c>
    </row>
    <row r="5955" x14ac:dyDescent="0.25">
      <c r="A5955" t="n">
        <v>25</v>
      </c>
      <c r="B5955" t="s">
        <v>14</v>
      </c>
      <c r="C5955" t="s">
        <v>22</v>
      </c>
      <c r="D5955" s="2" t="s">
        <f>=HYPERLINK("https://main.knesset.gov.il/APPS/legislation/main/bills/2198642", "הצעת חוק הביטוח הלאומי (תיקון - השוואת קצבת נכות לשכר המינימום), התשפ""ג-2023")</f>
        <v>10583</v>
      </c>
      <c r="E5955" t="s">
        <v>10583</v>
      </c>
      <c r="F5955" t="s">
        <v>11811</v>
      </c>
      <c r="G5955" t="s">
        <v>14</v>
      </c>
      <c r="H5955">
             </c>
      <c r="I5955" t="s">
        <v>14</v>
      </c>
      <c r="J5955" t="s">
        <v>141</v>
      </c>
      <c r="K5955" t="s">
        <v>14</v>
      </c>
      <c r="L5955" t="s">
        <v>20</v>
      </c>
      <c r="M5955" t="s">
        <v>11676</v>
      </c>
      <c r="N5955" t="s">
        <v>14</v>
      </c>
    </row>
    <row r="5956" x14ac:dyDescent="0.25">
      <c r="A5956" t="n">
        <v>25</v>
      </c>
      <c r="B5956" t="s">
        <v>14</v>
      </c>
      <c r="C5956" t="s">
        <v>22</v>
      </c>
      <c r="D5956" s="2" t="s">
        <f>=HYPERLINK("https://main.knesset.gov.il/APPS/legislation/main/bills/2199492", "הצעת חוק לתיקון פקודת התעבורה (ביטול מופע אור ירוק ברמזור פנייה ימינה בעת הופעת אור ירוק ברמזור להולכי רגל), התשפ""ג-2023")</f>
        <v>11021</v>
      </c>
      <c r="E5956" t="s">
        <v>11021</v>
      </c>
      <c r="F5956" t="s">
        <v>11812</v>
      </c>
      <c r="G5956" t="s">
        <v>14</v>
      </c>
      <c r="H5956">
             </c>
      <c r="I5956" t="s">
        <v>14</v>
      </c>
      <c r="J5956" t="s">
        <v>141</v>
      </c>
      <c r="K5956" t="s">
        <v>14</v>
      </c>
      <c r="L5956" t="s">
        <v>20</v>
      </c>
      <c r="M5956" t="s">
        <v>11676</v>
      </c>
      <c r="N5956" t="s">
        <v>14</v>
      </c>
    </row>
    <row r="5957" x14ac:dyDescent="0.25">
      <c r="A5957" t="n">
        <v>25</v>
      </c>
      <c r="B5957" t="s">
        <v>14</v>
      </c>
      <c r="C5957" t="s">
        <v>22</v>
      </c>
      <c r="D5957" s="2" t="s">
        <f>=HYPERLINK("https://main.knesset.gov.il/APPS/legislation/main/bills/2198688", "הצעת חוק הגבלת מימון מפעלים מזהמים (תיקוני חקיקה), התשפ""ג-2023")</f>
        <v>11813</v>
      </c>
      <c r="E5957" t="s">
        <v>11813</v>
      </c>
      <c r="F5957" t="s">
        <v>11814</v>
      </c>
      <c r="G5957" t="s">
        <v>14</v>
      </c>
      <c r="H5957">
             </c>
      <c r="I5957" t="s">
        <v>14</v>
      </c>
      <c r="J5957" t="s">
        <v>141</v>
      </c>
      <c r="K5957" t="s">
        <v>14</v>
      </c>
      <c r="L5957" t="s">
        <v>20</v>
      </c>
      <c r="M5957" t="s">
        <v>11676</v>
      </c>
      <c r="N5957" t="s">
        <v>14</v>
      </c>
    </row>
    <row r="5958" x14ac:dyDescent="0.25">
      <c r="A5958" t="n">
        <v>25</v>
      </c>
      <c r="B5958" t="s">
        <v>14</v>
      </c>
      <c r="C5958" t="s">
        <v>22</v>
      </c>
      <c r="D5958" s="2" t="s">
        <f>=HYPERLINK("https://main.knesset.gov.il/APPS/legislation/main/bills/2198693", "הצעת חוק להגבלת שכר טרחת כונסי נכסים (תיקוני חקיקה), התשפ""ג-2023")</f>
        <v>10106</v>
      </c>
      <c r="E5958" t="s">
        <v>10106</v>
      </c>
      <c r="F5958" t="s">
        <v>11815</v>
      </c>
      <c r="G5958" t="s">
        <v>14</v>
      </c>
      <c r="H5958">
             </c>
      <c r="I5958" t="s">
        <v>14</v>
      </c>
      <c r="J5958" t="s">
        <v>141</v>
      </c>
      <c r="K5958" t="s">
        <v>14</v>
      </c>
      <c r="L5958" t="s">
        <v>20</v>
      </c>
      <c r="M5958" t="s">
        <v>11676</v>
      </c>
      <c r="N5958" t="s">
        <v>14</v>
      </c>
    </row>
    <row r="5959" x14ac:dyDescent="0.25">
      <c r="A5959" t="n">
        <v>25</v>
      </c>
      <c r="B5959" t="s">
        <v>14</v>
      </c>
      <c r="C5959" t="s">
        <v>22</v>
      </c>
      <c r="D5959" s="2" t="s">
        <f>=HYPERLINK("https://main.knesset.gov.il/APPS/legislation/main/bills/2199401", "הצעת חוק להגבלת הריסה וענישה על בנייה בלתי חוקית במגזר הערבי (הוראת שעה), התשפ""ג-2023")</f>
        <v>11816</v>
      </c>
      <c r="E5959" t="s">
        <v>11816</v>
      </c>
      <c r="F5959" t="s">
        <v>11817</v>
      </c>
      <c r="G5959" t="s">
        <v>14</v>
      </c>
      <c r="H5959">
             </c>
      <c r="I5959" t="s">
        <v>14</v>
      </c>
      <c r="J5959" t="s">
        <v>343</v>
      </c>
      <c r="K5959" t="s">
        <v>14</v>
      </c>
      <c r="L5959" t="s">
        <v>20</v>
      </c>
      <c r="M5959" t="s">
        <v>11676</v>
      </c>
      <c r="N5959" t="s">
        <v>14</v>
      </c>
    </row>
    <row r="5960" x14ac:dyDescent="0.25">
      <c r="A5960" t="n">
        <v>25</v>
      </c>
      <c r="B5960" t="s">
        <v>14</v>
      </c>
      <c r="C5960" t="s">
        <v>22</v>
      </c>
      <c r="D5960" s="2" t="s">
        <f>=HYPERLINK("https://main.knesset.gov.il/APPS/legislation/main/bills/2198634", "הצעת חוק להגבלת הריסה וענישה על בנייה בלתי חוקית במגזר הערבי (הוראת שעה), התשפ""ג-2023")</f>
        <v>11816</v>
      </c>
      <c r="E5960" t="s">
        <v>11816</v>
      </c>
      <c r="F5960" t="s">
        <v>11818</v>
      </c>
      <c r="G5960" t="s">
        <v>14</v>
      </c>
      <c r="H5960">
             </c>
      <c r="I5960" t="s">
        <v>14</v>
      </c>
      <c r="J5960" t="s">
        <v>141</v>
      </c>
      <c r="K5960" t="s">
        <v>14</v>
      </c>
      <c r="L5960" t="s">
        <v>20</v>
      </c>
      <c r="M5960" t="s">
        <v>11676</v>
      </c>
      <c r="N5960" t="s">
        <v>14</v>
      </c>
    </row>
    <row r="5961" x14ac:dyDescent="0.25">
      <c r="A5961" t="n">
        <v>25</v>
      </c>
      <c r="B5961" t="s">
        <v>14</v>
      </c>
      <c r="C5961" t="s">
        <v>22</v>
      </c>
      <c r="D5961" s="2" t="s">
        <f>=HYPERLINK("https://main.knesset.gov.il/APPS/legislation/main/bills/2197829", "הצעת חוק איסוף ופינוי פסולת למיחזור (תיקון - מיחזור במוסדות חינוך), התשפ""ב-2023")</f>
        <v>11819</v>
      </c>
      <c r="E5961" t="s">
        <v>11819</v>
      </c>
      <c r="F5961" t="s">
        <v>11820</v>
      </c>
      <c r="G5961" t="s">
        <v>14</v>
      </c>
      <c r="H5961">
             </c>
      <c r="I5961" t="s">
        <v>14</v>
      </c>
      <c r="J5961" t="s">
        <v>141</v>
      </c>
      <c r="K5961" t="s">
        <v>14</v>
      </c>
      <c r="L5961" t="s">
        <v>20</v>
      </c>
      <c r="M5961" t="s">
        <v>11676</v>
      </c>
      <c r="N5961" t="s">
        <v>14</v>
      </c>
    </row>
    <row r="5962" x14ac:dyDescent="0.25">
      <c r="A5962" t="n">
        <v>25</v>
      </c>
      <c r="B5962" t="s">
        <v>14</v>
      </c>
      <c r="C5962" t="s">
        <v>22</v>
      </c>
      <c r="D5962" s="2" t="s">
        <f>=HYPERLINK("https://main.knesset.gov.il/APPS/legislation/main/bills/2198808", "הצעת חוק שכר נושאי משרה ברשויות השלטון, התשפ""ג-2023")</f>
        <v>10173</v>
      </c>
      <c r="E5962" t="s">
        <v>10173</v>
      </c>
      <c r="F5962" t="s">
        <v>11821</v>
      </c>
      <c r="G5962" t="s">
        <v>14</v>
      </c>
      <c r="H5962">
             </c>
      <c r="I5962" t="s">
        <v>14</v>
      </c>
      <c r="J5962" t="s">
        <v>343</v>
      </c>
      <c r="K5962" t="s">
        <v>14</v>
      </c>
      <c r="L5962" t="s">
        <v>20</v>
      </c>
      <c r="M5962" t="s">
        <v>11676</v>
      </c>
      <c r="N5962" t="s">
        <v>14</v>
      </c>
    </row>
    <row r="5963" x14ac:dyDescent="0.25">
      <c r="A5963" t="n">
        <v>25</v>
      </c>
      <c r="B5963" t="s">
        <v>14</v>
      </c>
      <c r="C5963" t="s">
        <v>22</v>
      </c>
      <c r="D5963" s="2" t="s">
        <f>=HYPERLINK("https://main.knesset.gov.il/APPS/legislation/main/bills/2198809", "הצעת חוק-יסוד: שכר נושאי משרה ברשויות השלטון (תיקוני חקיקה)")</f>
        <v>10175</v>
      </c>
      <c r="E5963" t="s">
        <v>10175</v>
      </c>
      <c r="F5963" t="s">
        <v>11822</v>
      </c>
      <c r="G5963" t="s">
        <v>14</v>
      </c>
      <c r="H5963">
             </c>
      <c r="I5963" t="s">
        <v>14</v>
      </c>
      <c r="J5963" t="s">
        <v>141</v>
      </c>
      <c r="K5963" t="s">
        <v>14</v>
      </c>
      <c r="L5963" t="s">
        <v>20</v>
      </c>
      <c r="M5963" t="s">
        <v>11676</v>
      </c>
      <c r="N5963" t="s">
        <v>14</v>
      </c>
    </row>
    <row r="5964" x14ac:dyDescent="0.25">
      <c r="A5964" t="n">
        <v>25</v>
      </c>
      <c r="B5964" t="s">
        <v>14</v>
      </c>
      <c r="C5964" t="s">
        <v>22</v>
      </c>
      <c r="D5964" s="2" t="s">
        <f>=HYPERLINK("https://main.knesset.gov.il/APPS/legislation/main/bills/2198797", "הצעת חוק מגן דוד אדום (תיקון - הענקת שירותי רפואה מרחוק), התשפ""ג-2023")</f>
        <v>9870</v>
      </c>
      <c r="E5964" t="s">
        <v>9870</v>
      </c>
      <c r="F5964" t="s">
        <v>11823</v>
      </c>
      <c r="G5964" t="s">
        <v>14</v>
      </c>
      <c r="H5964">
             </c>
      <c r="I5964" t="s">
        <v>14</v>
      </c>
      <c r="J5964" t="s">
        <v>141</v>
      </c>
      <c r="K5964" t="s">
        <v>14</v>
      </c>
      <c r="L5964" t="s">
        <v>20</v>
      </c>
      <c r="M5964" t="s">
        <v>11676</v>
      </c>
      <c r="N5964" t="s">
        <v>14</v>
      </c>
    </row>
    <row r="5965" x14ac:dyDescent="0.25">
      <c r="A5965" t="n">
        <v>25</v>
      </c>
      <c r="B5965" t="s">
        <v>14</v>
      </c>
      <c r="C5965" t="s">
        <v>22</v>
      </c>
      <c r="D5965" s="2" t="s">
        <f>=HYPERLINK("https://main.knesset.gov.il/APPS/legislation/main/bills/2199045", "הצעת חוק לתיקון פקודת התעבורה (איסור שימוש במצלמות ניידות לאכיפת עבירות חניה), התשפ""ג-2023")</f>
        <v>8018</v>
      </c>
      <c r="E5965" t="s">
        <v>8018</v>
      </c>
      <c r="F5965" t="s">
        <v>11824</v>
      </c>
      <c r="G5965" t="s">
        <v>14</v>
      </c>
      <c r="H5965">
             </c>
      <c r="I5965" t="s">
        <v>14</v>
      </c>
      <c r="J5965" t="s">
        <v>141</v>
      </c>
      <c r="K5965" t="s">
        <v>14</v>
      </c>
      <c r="L5965" t="s">
        <v>20</v>
      </c>
      <c r="M5965" t="s">
        <v>11676</v>
      </c>
      <c r="N5965" t="s">
        <v>14</v>
      </c>
    </row>
    <row r="5966" x14ac:dyDescent="0.25">
      <c r="A5966" t="n">
        <v>25</v>
      </c>
      <c r="B5966" t="s">
        <v>14</v>
      </c>
      <c r="C5966" t="s">
        <v>22</v>
      </c>
      <c r="D5966" s="2" t="s">
        <f>=HYPERLINK("https://main.knesset.gov.il/APPS/legislation/main/bills/2198725", "הצעת חוק מגן דוד אדום (תיקון - הענקת שירותי רפואה מרחוק), התשפ""ג-2023")</f>
        <v>9870</v>
      </c>
      <c r="E5966" t="s">
        <v>9870</v>
      </c>
      <c r="F5966" t="s">
        <v>11825</v>
      </c>
      <c r="G5966" t="s">
        <v>14</v>
      </c>
      <c r="H5966">
             </c>
      <c r="I5966" t="s">
        <v>14</v>
      </c>
      <c r="J5966" t="s">
        <v>141</v>
      </c>
      <c r="K5966" t="s">
        <v>14</v>
      </c>
      <c r="L5966" t="s">
        <v>20</v>
      </c>
      <c r="M5966" t="s">
        <v>11676</v>
      </c>
      <c r="N5966" t="s">
        <v>14</v>
      </c>
    </row>
    <row r="5967" x14ac:dyDescent="0.25">
      <c r="A5967" t="n">
        <v>25</v>
      </c>
      <c r="B5967" t="s">
        <v>14</v>
      </c>
      <c r="C5967" t="s">
        <v>22</v>
      </c>
      <c r="D5967" s="2" t="s">
        <f>=HYPERLINK("https://main.knesset.gov.il/APPS/legislation/main/bills/2198837", "הצעת חוק לתיקון פקודת התעבורה (איסור שימוש במצלמות ניידות לאכיפת עבירות חניה), התשפ""ג-2023")</f>
        <v>8018</v>
      </c>
      <c r="E5967" t="s">
        <v>8018</v>
      </c>
      <c r="F5967" t="s">
        <v>11826</v>
      </c>
      <c r="G5967" t="s">
        <v>14</v>
      </c>
      <c r="H5967">
             </c>
      <c r="I5967" t="s">
        <v>14</v>
      </c>
      <c r="J5967" t="s">
        <v>141</v>
      </c>
      <c r="K5967" t="s">
        <v>14</v>
      </c>
      <c r="L5967" t="s">
        <v>20</v>
      </c>
      <c r="M5967" t="s">
        <v>11676</v>
      </c>
      <c r="N5967" t="s">
        <v>14</v>
      </c>
    </row>
    <row r="5968" x14ac:dyDescent="0.25">
      <c r="A5968" t="n">
        <v>25</v>
      </c>
      <c r="B5968" t="s">
        <v>14</v>
      </c>
      <c r="C5968" t="s">
        <v>22</v>
      </c>
      <c r="D5968" s="2" t="s">
        <f>=HYPERLINK("https://main.knesset.gov.il/APPS/legislation/main/bills/2198902", "הצעת חוק רכבת תחתית (מטרו) (תיקון), התשפ""ג-2023")</f>
        <v>11827</v>
      </c>
      <c r="E5968" t="s">
        <v>11827</v>
      </c>
      <c r="F5968" t="s">
        <v>11828</v>
      </c>
      <c r="G5968" t="s">
        <v>14</v>
      </c>
      <c r="H5968">
             </c>
      <c r="I5968" t="s">
        <v>14</v>
      </c>
      <c r="J5968" t="s">
        <v>141</v>
      </c>
      <c r="K5968" t="s">
        <v>14</v>
      </c>
      <c r="L5968" t="s">
        <v>20</v>
      </c>
      <c r="M5968" t="s">
        <v>11676</v>
      </c>
      <c r="N5968" t="s">
        <v>14</v>
      </c>
    </row>
    <row r="5969" x14ac:dyDescent="0.25">
      <c r="A5969" t="n">
        <v>25</v>
      </c>
      <c r="B5969" t="s">
        <v>14</v>
      </c>
      <c r="C5969" t="s">
        <v>22</v>
      </c>
      <c r="D5969" s="2" t="s">
        <f>=HYPERLINK("https://main.knesset.gov.il/APPS/legislation/main/bills/2196250", "הצעת חוק התכנון והבנייה (תיקון - פיצול דירות) (הוראת שעה), התשפ""ג-2023")</f>
        <v>11829</v>
      </c>
      <c r="E5969" t="s">
        <v>11829</v>
      </c>
      <c r="F5969" t="s">
        <v>11830</v>
      </c>
      <c r="G5969" t="s">
        <v>14</v>
      </c>
      <c r="H5969">
             </c>
      <c r="I5969" t="s">
        <v>14</v>
      </c>
      <c r="J5969" t="s">
        <v>141</v>
      </c>
      <c r="K5969" t="s">
        <v>14</v>
      </c>
      <c r="L5969" t="s">
        <v>20</v>
      </c>
      <c r="M5969" t="s">
        <v>11676</v>
      </c>
      <c r="N5969" t="s">
        <v>14</v>
      </c>
    </row>
    <row r="5970" x14ac:dyDescent="0.25">
      <c r="A5970" t="n">
        <v>25</v>
      </c>
      <c r="B5970" t="s">
        <v>14</v>
      </c>
      <c r="C5970" t="s">
        <v>22</v>
      </c>
      <c r="D5970" s="2" t="s">
        <f>=HYPERLINK("https://main.knesset.gov.il/APPS/legislation/main/bills/2196602", "הצעת חוק לצמצום השימוש בשקיות נשיאה חד-פעמיות (תיקון - פטור מהיטל), התשפ""ג-2023")</f>
        <v>11831</v>
      </c>
      <c r="E5970" t="s">
        <v>11831</v>
      </c>
      <c r="F5970" t="s">
        <v>11832</v>
      </c>
      <c r="G5970" t="s">
        <v>14</v>
      </c>
      <c r="H5970">
             </c>
      <c r="I5970" t="s">
        <v>14</v>
      </c>
      <c r="J5970" t="s">
        <v>141</v>
      </c>
      <c r="K5970" t="s">
        <v>14</v>
      </c>
      <c r="L5970" t="s">
        <v>20</v>
      </c>
      <c r="M5970" t="s">
        <v>11676</v>
      </c>
      <c r="N5970" t="s">
        <v>14</v>
      </c>
    </row>
    <row r="5971" x14ac:dyDescent="0.25">
      <c r="A5971" t="n">
        <v>25</v>
      </c>
      <c r="B5971" t="s">
        <v>14</v>
      </c>
      <c r="C5971" t="s">
        <v>22</v>
      </c>
      <c r="D5971" s="2" t="s">
        <f>=HYPERLINK("https://main.knesset.gov.il/APPS/legislation/main/bills/2198931", "הצעת חוק-יסוד: הממשלה (תיקון - הצהרת האמונים של ראש הממשלה והשרים)")</f>
        <v>11833</v>
      </c>
      <c r="E5971" t="s">
        <v>11833</v>
      </c>
      <c r="F5971" t="s">
        <v>11834</v>
      </c>
      <c r="G5971" t="s">
        <v>14</v>
      </c>
      <c r="H5971">
             </c>
      <c r="I5971" t="s">
        <v>14</v>
      </c>
      <c r="J5971" t="s">
        <v>141</v>
      </c>
      <c r="K5971" t="s">
        <v>14</v>
      </c>
      <c r="L5971" t="s">
        <v>20</v>
      </c>
      <c r="M5971" t="s">
        <v>11676</v>
      </c>
      <c r="N5971" t="s">
        <v>14</v>
      </c>
    </row>
    <row r="5972" x14ac:dyDescent="0.25">
      <c r="A5972" t="n">
        <v>25</v>
      </c>
      <c r="B5972" t="s">
        <v>14</v>
      </c>
      <c r="C5972" t="s">
        <v>22</v>
      </c>
      <c r="D5972" s="2" t="s">
        <f>=HYPERLINK("https://main.knesset.gov.il/APPS/legislation/main/bills/2198942", "הצעת חוק לעידוד תעשייה עתירת ידע, התשפ""ג-2023")</f>
        <v>11835</v>
      </c>
      <c r="E5972" t="s">
        <v>11835</v>
      </c>
      <c r="F5972" t="s">
        <v>11836</v>
      </c>
      <c r="G5972" t="s">
        <v>14</v>
      </c>
      <c r="H5972">
             </c>
      <c r="I5972" t="s">
        <v>14</v>
      </c>
      <c r="J5972" t="s">
        <v>141</v>
      </c>
      <c r="K5972" t="s">
        <v>14</v>
      </c>
      <c r="L5972" t="s">
        <v>20</v>
      </c>
      <c r="M5972" t="s">
        <v>11676</v>
      </c>
      <c r="N5972" t="s">
        <v>14</v>
      </c>
    </row>
    <row r="5973" x14ac:dyDescent="0.25">
      <c r="A5973" t="n">
        <v>25</v>
      </c>
      <c r="B5973" t="s">
        <v>14</v>
      </c>
      <c r="C5973" t="s">
        <v>22</v>
      </c>
      <c r="D5973" s="2" t="s">
        <f>=HYPERLINK("https://main.knesset.gov.il/APPS/legislation/main/bills/2198962", "הצעת חוק לתיקון פקודת העיריות (פרסום מכרז באתר האינטרנט), התשפ""ג-2023")</f>
        <v>11837</v>
      </c>
      <c r="E5973" t="s">
        <v>11837</v>
      </c>
      <c r="F5973" t="s">
        <v>11838</v>
      </c>
      <c r="G5973" t="s">
        <v>14</v>
      </c>
      <c r="H5973">
             </c>
      <c r="I5973" t="s">
        <v>14</v>
      </c>
      <c r="J5973" t="s">
        <v>141</v>
      </c>
      <c r="K5973" t="s">
        <v>14</v>
      </c>
      <c r="L5973" t="s">
        <v>20</v>
      </c>
      <c r="M5973" t="s">
        <v>11676</v>
      </c>
      <c r="N5973" t="s">
        <v>14</v>
      </c>
    </row>
    <row r="5974" x14ac:dyDescent="0.25">
      <c r="A5974" t="n">
        <v>25</v>
      </c>
      <c r="B5974" t="s">
        <v>14</v>
      </c>
      <c r="C5974" t="s">
        <v>22</v>
      </c>
      <c r="D5974" s="2" t="s">
        <f>=HYPERLINK("https://main.knesset.gov.il/APPS/legislation/main/bills/2199404", "הצעת חוק רשות מקרקעי ישראל (תיקון - הקצאה שוויונית לאוכלוסייה הערבית), התשפ""ג-2023")</f>
        <v>11839</v>
      </c>
      <c r="E5974" t="s">
        <v>11839</v>
      </c>
      <c r="F5974" t="s">
        <v>11840</v>
      </c>
      <c r="G5974" t="s">
        <v>14</v>
      </c>
      <c r="H5974">
             </c>
      <c r="I5974" t="s">
        <v>14</v>
      </c>
      <c r="J5974" t="s">
        <v>141</v>
      </c>
      <c r="K5974" t="s">
        <v>14</v>
      </c>
      <c r="L5974" t="s">
        <v>20</v>
      </c>
      <c r="M5974" t="s">
        <v>11676</v>
      </c>
      <c r="N5974" t="s">
        <v>14</v>
      </c>
    </row>
    <row r="5975" x14ac:dyDescent="0.25">
      <c r="A5975" t="n">
        <v>25</v>
      </c>
      <c r="B5975" t="s">
        <v>14</v>
      </c>
      <c r="C5975" t="s">
        <v>22</v>
      </c>
      <c r="D5975" s="2" t="s">
        <f>=HYPERLINK("https://main.knesset.gov.il/APPS/legislation/main/bills/2198632", "הצעת חוק רשות מקרקעי ישראל (תיקון - הקצאה שוויונית לאוכלוסייה הערבית), התשפ""ג-2023")</f>
        <v>11839</v>
      </c>
      <c r="E5975" t="s">
        <v>11839</v>
      </c>
      <c r="F5975" t="s">
        <v>11841</v>
      </c>
      <c r="G5975" t="s">
        <v>14</v>
      </c>
      <c r="H5975">
             </c>
      <c r="I5975" t="s">
        <v>14</v>
      </c>
      <c r="J5975" t="s">
        <v>141</v>
      </c>
      <c r="K5975" t="s">
        <v>14</v>
      </c>
      <c r="L5975" t="s">
        <v>20</v>
      </c>
      <c r="M5975" t="s">
        <v>11676</v>
      </c>
      <c r="N5975" t="s">
        <v>14</v>
      </c>
    </row>
    <row r="5976" x14ac:dyDescent="0.25">
      <c r="A5976" t="n">
        <v>25</v>
      </c>
      <c r="B5976" t="s">
        <v>14</v>
      </c>
      <c r="C5976" t="s">
        <v>22</v>
      </c>
      <c r="D5976" s="2" t="s">
        <f>=HYPERLINK("https://main.knesset.gov.il/APPS/legislation/main/bills/2198149", "הצעת חוק הספורט (תיקון - מחיר מרבי לכרטיס לפעילות ספורט מאורגנת), התשפ""ג-2023")</f>
        <v>11842</v>
      </c>
      <c r="E5976" t="s">
        <v>11842</v>
      </c>
      <c r="F5976" t="s">
        <v>11843</v>
      </c>
      <c r="G5976" t="s">
        <v>14</v>
      </c>
      <c r="H5976">
             </c>
      <c r="I5976" t="s">
        <v>14</v>
      </c>
      <c r="J5976" t="s">
        <v>141</v>
      </c>
      <c r="K5976" t="s">
        <v>14</v>
      </c>
      <c r="L5976" t="s">
        <v>20</v>
      </c>
      <c r="M5976" t="s">
        <v>11676</v>
      </c>
      <c r="N5976" t="s">
        <v>14</v>
      </c>
    </row>
    <row r="5977" x14ac:dyDescent="0.25">
      <c r="A5977" t="n">
        <v>25</v>
      </c>
      <c r="B5977" t="s">
        <v>14</v>
      </c>
      <c r="C5977" t="s">
        <v>22</v>
      </c>
      <c r="D5977" s="2" t="s">
        <f>=HYPERLINK("https://main.knesset.gov.il/APPS/legislation/main/bills/2199083", "הצעת חוק הפרשנות (תיקון - הגדרת הפליה על רקע זהות מגדרית או נטייה מינית), התשפ""ג-2023")</f>
        <v>11844</v>
      </c>
      <c r="E5977" t="s">
        <v>11844</v>
      </c>
      <c r="F5977" t="s">
        <v>11845</v>
      </c>
      <c r="G5977" t="s">
        <v>14</v>
      </c>
      <c r="H5977">
             </c>
      <c r="I5977" t="s">
        <v>14</v>
      </c>
      <c r="J5977" t="s">
        <v>343</v>
      </c>
      <c r="K5977" t="s">
        <v>14</v>
      </c>
      <c r="L5977" t="s">
        <v>20</v>
      </c>
      <c r="M5977" t="s">
        <v>11676</v>
      </c>
      <c r="N5977" t="s">
        <v>14</v>
      </c>
    </row>
    <row r="5978" x14ac:dyDescent="0.25">
      <c r="A5978" t="n">
        <v>25</v>
      </c>
      <c r="B5978" t="s">
        <v>14</v>
      </c>
      <c r="C5978" t="s">
        <v>22</v>
      </c>
      <c r="D5978" s="2" t="s">
        <f>=HYPERLINK("https://main.knesset.gov.il/APPS/legislation/main/bills/2198920", "הצעת חוק האזרחות והכניסה לישראל (הוראת שעה) (תיקון - מניעת ריבוי נישואין), התשפ""ג-2023")</f>
        <v>11846</v>
      </c>
      <c r="E5978" t="s">
        <v>11846</v>
      </c>
      <c r="F5978" t="s">
        <v>11847</v>
      </c>
      <c r="G5978" t="s">
        <v>14</v>
      </c>
      <c r="H5978">
             </c>
      <c r="I5978" t="s">
        <v>14</v>
      </c>
      <c r="J5978" t="s">
        <v>141</v>
      </c>
      <c r="K5978" t="s">
        <v>14</v>
      </c>
      <c r="L5978" t="s">
        <v>20</v>
      </c>
      <c r="M5978" t="s">
        <v>11676</v>
      </c>
      <c r="N5978" t="s">
        <v>14</v>
      </c>
    </row>
    <row r="5979" x14ac:dyDescent="0.25">
      <c r="A5979" t="n">
        <v>25</v>
      </c>
      <c r="B5979" t="s">
        <v>14</v>
      </c>
      <c r="C5979" t="s">
        <v>22</v>
      </c>
      <c r="D5979" s="2" t="s">
        <f>=HYPERLINK("https://main.knesset.gov.il/APPS/legislation/main/bills/2198915", "הצעת חוק התאמת לוח חופשות הלימודים לשעות העבודה והמנוחה במשק (תיקוני חקיקה), התשפ""ג-2023")</f>
        <v>11848</v>
      </c>
      <c r="E5979" t="s">
        <v>11848</v>
      </c>
      <c r="F5979" t="s">
        <v>11849</v>
      </c>
      <c r="G5979" t="s">
        <v>14</v>
      </c>
      <c r="H5979">
             </c>
      <c r="I5979" t="s">
        <v>14</v>
      </c>
      <c r="J5979" t="s">
        <v>141</v>
      </c>
      <c r="K5979" t="s">
        <v>14</v>
      </c>
      <c r="L5979" t="s">
        <v>20</v>
      </c>
      <c r="M5979" t="s">
        <v>11676</v>
      </c>
      <c r="N5979" t="s">
        <v>14</v>
      </c>
    </row>
    <row r="5980" x14ac:dyDescent="0.25">
      <c r="A5980" t="n">
        <v>25</v>
      </c>
      <c r="B5980" t="s">
        <v>14</v>
      </c>
      <c r="C5980" t="s">
        <v>22</v>
      </c>
      <c r="D5980" s="2" t="s">
        <f>=HYPERLINK("https://main.knesset.gov.il/APPS/legislation/main/bills/2197786", "הצעת חוק איסור ניתוק שירותי חשמל ומים למוסדות חינוך (תיקוני חקיקה), התשפ""ג-2023")</f>
        <v>11850</v>
      </c>
      <c r="E5980" t="s">
        <v>11850</v>
      </c>
      <c r="F5980" t="s">
        <v>11851</v>
      </c>
      <c r="G5980" t="s">
        <v>14</v>
      </c>
      <c r="H5980">
             </c>
      <c r="I5980" t="s">
        <v>14</v>
      </c>
      <c r="J5980" t="s">
        <v>141</v>
      </c>
      <c r="K5980" t="s">
        <v>14</v>
      </c>
      <c r="L5980" t="s">
        <v>20</v>
      </c>
      <c r="M5980" t="s">
        <v>11676</v>
      </c>
      <c r="N5980" t="s">
        <v>14</v>
      </c>
    </row>
    <row r="5981" x14ac:dyDescent="0.25">
      <c r="A5981" t="n">
        <v>25</v>
      </c>
      <c r="B5981" t="s">
        <v>14</v>
      </c>
      <c r="C5981" t="s">
        <v>22</v>
      </c>
      <c r="D5981" s="2" t="s">
        <f>=HYPERLINK("https://main.knesset.gov.il/APPS/legislation/main/bills/2198810", "הצעת חוק הביטוח הלאומי (תיקון - טיפול בפעוטות במעונות יום כעבודה מועדפת), התשפ""ג-2023")</f>
        <v>9837</v>
      </c>
      <c r="E5981" t="s">
        <v>9837</v>
      </c>
      <c r="F5981" t="s">
        <v>11852</v>
      </c>
      <c r="G5981" t="s">
        <v>14</v>
      </c>
      <c r="H5981">
             </c>
      <c r="I5981" t="s">
        <v>14</v>
      </c>
      <c r="J5981" t="s">
        <v>141</v>
      </c>
      <c r="K5981" t="s">
        <v>14</v>
      </c>
      <c r="L5981" t="s">
        <v>20</v>
      </c>
      <c r="M5981" t="s">
        <v>11676</v>
      </c>
      <c r="N5981" t="s">
        <v>14</v>
      </c>
    </row>
    <row r="5982" x14ac:dyDescent="0.25">
      <c r="A5982" t="n">
        <v>25</v>
      </c>
      <c r="B5982" t="s">
        <v>14</v>
      </c>
      <c r="C5982" t="s">
        <v>22</v>
      </c>
      <c r="D5982" s="2" t="s">
        <f>=HYPERLINK("https://main.knesset.gov.il/APPS/legislation/main/bills/2196538", "הצעת חוק הגנת הצרכן (תיקון - תשלום על פי צריכה בעסקה מתמשכת), התשפ""ג-2023")</f>
        <v>9962</v>
      </c>
      <c r="E5982" t="s">
        <v>9962</v>
      </c>
      <c r="F5982" t="s">
        <v>11853</v>
      </c>
      <c r="G5982" t="s">
        <v>14</v>
      </c>
      <c r="H5982">
             </c>
      <c r="I5982" t="s">
        <v>14</v>
      </c>
      <c r="J5982" t="s">
        <v>141</v>
      </c>
      <c r="K5982" t="s">
        <v>14</v>
      </c>
      <c r="L5982" t="s">
        <v>20</v>
      </c>
      <c r="M5982" t="s">
        <v>11676</v>
      </c>
      <c r="N5982" t="s">
        <v>14</v>
      </c>
    </row>
    <row r="5983" x14ac:dyDescent="0.25">
      <c r="A5983" t="n">
        <v>25</v>
      </c>
      <c r="B5983" t="s">
        <v>14</v>
      </c>
      <c r="C5983" t="s">
        <v>22</v>
      </c>
      <c r="D5983" s="2" t="s">
        <f>=HYPERLINK("https://main.knesset.gov.il/APPS/legislation/main/bills/2198336", "הצעת חוק זכויות הסטודנט (תיקון - פרסום ושילוט בשפה ערבית), התשפ""ג-2023")</f>
        <v>11854</v>
      </c>
      <c r="E5983" t="s">
        <v>11854</v>
      </c>
      <c r="F5983" t="s">
        <v>11855</v>
      </c>
      <c r="G5983" t="s">
        <v>14</v>
      </c>
      <c r="H5983">
             </c>
      <c r="I5983" t="s">
        <v>14</v>
      </c>
      <c r="J5983" t="s">
        <v>141</v>
      </c>
      <c r="K5983" t="s">
        <v>14</v>
      </c>
      <c r="L5983" t="s">
        <v>20</v>
      </c>
      <c r="M5983" t="s">
        <v>11676</v>
      </c>
      <c r="N5983" t="s">
        <v>14</v>
      </c>
    </row>
    <row r="5984" x14ac:dyDescent="0.25">
      <c r="A5984" t="n">
        <v>25</v>
      </c>
      <c r="B5984" t="s">
        <v>14</v>
      </c>
      <c r="C5984" t="s">
        <v>22</v>
      </c>
      <c r="D5984" s="2" t="s">
        <f>=HYPERLINK("https://main.knesset.gov.il/APPS/legislation/main/bills/2196524", "הצעת חוק תאגידי מים וביוב (תיקון - ביטול סמכויות גבייה ואכיפה מיוחדות), התשפ""ג-2023")</f>
        <v>9941</v>
      </c>
      <c r="E5984" t="s">
        <v>9941</v>
      </c>
      <c r="F5984" t="s">
        <v>11856</v>
      </c>
      <c r="G5984" t="s">
        <v>14</v>
      </c>
      <c r="H5984">
             </c>
      <c r="I5984" t="s">
        <v>14</v>
      </c>
      <c r="J5984" t="s">
        <v>141</v>
      </c>
      <c r="K5984" t="s">
        <v>14</v>
      </c>
      <c r="L5984" t="s">
        <v>20</v>
      </c>
      <c r="M5984" t="s">
        <v>11676</v>
      </c>
      <c r="N5984" t="s">
        <v>14</v>
      </c>
    </row>
    <row r="5985" x14ac:dyDescent="0.25">
      <c r="A5985" t="n">
        <v>25</v>
      </c>
      <c r="B5985" t="s">
        <v>14</v>
      </c>
      <c r="C5985" t="s">
        <v>22</v>
      </c>
      <c r="D5985" s="2" t="s">
        <f>=HYPERLINK("https://main.knesset.gov.il/APPS/legislation/main/bills/2197778", "הצעת חוק הגנת הצרכן (תיקון - איסור פרסום כפוי במענה טלפוני), התשפ""ג-2023")</f>
        <v>11857</v>
      </c>
      <c r="E5985" t="s">
        <v>11857</v>
      </c>
      <c r="F5985" t="s">
        <v>11858</v>
      </c>
      <c r="G5985" t="s">
        <v>14</v>
      </c>
      <c r="H5985">
             </c>
      <c r="I5985" t="s">
        <v>14</v>
      </c>
      <c r="J5985" t="s">
        <v>141</v>
      </c>
      <c r="K5985" t="s">
        <v>14</v>
      </c>
      <c r="L5985" t="s">
        <v>20</v>
      </c>
      <c r="M5985" t="s">
        <v>11676</v>
      </c>
      <c r="N5985" t="s">
        <v>14</v>
      </c>
    </row>
    <row r="5986" x14ac:dyDescent="0.25">
      <c r="A5986" t="n">
        <v>25</v>
      </c>
      <c r="B5986" t="s">
        <v>14</v>
      </c>
      <c r="C5986" t="s">
        <v>22</v>
      </c>
      <c r="D5986" s="2" t="s">
        <f>=HYPERLINK("https://main.knesset.gov.il/APPS/legislation/main/bills/2198460", "הצעת חוק הביטוח הלאומי (תיקון - הוראות לעניין עקרת בית), התשפ""ג-2023")</f>
        <v>10100</v>
      </c>
      <c r="E5986" t="s">
        <v>10100</v>
      </c>
      <c r="F5986" t="s">
        <v>11859</v>
      </c>
      <c r="G5986" t="s">
        <v>14</v>
      </c>
      <c r="H5986">
             </c>
      <c r="I5986" t="s">
        <v>14</v>
      </c>
      <c r="J5986" t="s">
        <v>141</v>
      </c>
      <c r="K5986" t="s">
        <v>14</v>
      </c>
      <c r="L5986" t="s">
        <v>20</v>
      </c>
      <c r="M5986" t="s">
        <v>11676</v>
      </c>
      <c r="N5986" t="s">
        <v>14</v>
      </c>
    </row>
    <row r="5987" x14ac:dyDescent="0.25">
      <c r="A5987" t="n">
        <v>25</v>
      </c>
      <c r="B5987" t="s">
        <v>14</v>
      </c>
      <c r="C5987" t="s">
        <v>22</v>
      </c>
      <c r="D5987" s="2" t="s">
        <f>=HYPERLINK("https://main.knesset.gov.il/APPS/legislation/main/bills/2198347", "הצעת חוק הבטחת הכנסה (תיקון - ניכוי לעניין הורה עצמאי שלילדו טרם מלאו שנתיים), התשפ""ג-2023")</f>
        <v>11860</v>
      </c>
      <c r="E5987" t="s">
        <v>11860</v>
      </c>
      <c r="F5987" t="s">
        <v>11861</v>
      </c>
      <c r="G5987" t="s">
        <v>14</v>
      </c>
      <c r="H5987">
             </c>
      <c r="I5987" t="s">
        <v>14</v>
      </c>
      <c r="J5987" t="s">
        <v>141</v>
      </c>
      <c r="K5987" t="s">
        <v>14</v>
      </c>
      <c r="L5987" t="s">
        <v>20</v>
      </c>
      <c r="M5987" t="s">
        <v>11676</v>
      </c>
      <c r="N5987" t="s">
        <v>14</v>
      </c>
    </row>
    <row r="5988" x14ac:dyDescent="0.25">
      <c r="A5988" t="n">
        <v>25</v>
      </c>
      <c r="B5988" t="s">
        <v>14</v>
      </c>
      <c r="C5988" t="s">
        <v>22</v>
      </c>
      <c r="D5988" s="2" t="s">
        <f>=HYPERLINK("https://main.knesset.gov.il/APPS/legislation/main/bills/2198345", "הצעת חוק שירות ביטחון (תיקון - אי-הצבת חיילות בשירות בתי הסוהר), התשפ""ג-2023")</f>
        <v>11862</v>
      </c>
      <c r="E5988" t="s">
        <v>11862</v>
      </c>
      <c r="F5988" t="s">
        <v>11863</v>
      </c>
      <c r="G5988" t="s">
        <v>14</v>
      </c>
      <c r="H5988">
             </c>
      <c r="I5988" t="s">
        <v>14</v>
      </c>
      <c r="J5988" t="s">
        <v>141</v>
      </c>
      <c r="K5988" t="s">
        <v>14</v>
      </c>
      <c r="L5988" t="s">
        <v>20</v>
      </c>
      <c r="M5988" t="s">
        <v>11676</v>
      </c>
      <c r="N5988" t="s">
        <v>14</v>
      </c>
    </row>
    <row r="5989" x14ac:dyDescent="0.25">
      <c r="A5989" t="n">
        <v>25</v>
      </c>
      <c r="B5989" t="s">
        <v>14</v>
      </c>
      <c r="C5989" t="s">
        <v>22</v>
      </c>
      <c r="D5989" s="2" t="s">
        <f>=HYPERLINK("https://main.knesset.gov.il/APPS/legislation/main/bills/2195989", "הצעת חוק לתיקון פקודת התעבורה (ריבית פיגורים בגין אי תשלום קנס על עבירת חניה), התשפ""ג-2023")</f>
        <v>11864</v>
      </c>
      <c r="E5989" t="s">
        <v>11864</v>
      </c>
      <c r="F5989" t="s">
        <v>11865</v>
      </c>
      <c r="G5989" t="s">
        <v>14</v>
      </c>
      <c r="H5989">
             </c>
      <c r="I5989" t="s">
        <v>14</v>
      </c>
      <c r="J5989" t="s">
        <v>141</v>
      </c>
      <c r="K5989" t="s">
        <v>14</v>
      </c>
      <c r="L5989" t="s">
        <v>20</v>
      </c>
      <c r="M5989" t="s">
        <v>11676</v>
      </c>
      <c r="N5989" t="s">
        <v>14</v>
      </c>
    </row>
    <row r="5990" x14ac:dyDescent="0.25">
      <c r="A5990" t="n">
        <v>25</v>
      </c>
      <c r="B5990" t="s">
        <v>14</v>
      </c>
      <c r="C5990" t="s">
        <v>22</v>
      </c>
      <c r="D5990" s="2" t="s">
        <f>=HYPERLINK("https://main.knesset.gov.il/APPS/legislation/main/bills/2197480", "הצעת חוק הביטוח הלאומי (תיקון - קצבת נכות לעקרת בית), התשפ""ג-2023")</f>
        <v>11866</v>
      </c>
      <c r="E5990" t="s">
        <v>11866</v>
      </c>
      <c r="F5990" t="s">
        <v>11867</v>
      </c>
      <c r="G5990" t="s">
        <v>14</v>
      </c>
      <c r="H5990">
             </c>
      <c r="I5990" t="s">
        <v>14</v>
      </c>
      <c r="J5990" t="s">
        <v>141</v>
      </c>
      <c r="K5990" t="s">
        <v>14</v>
      </c>
      <c r="L5990" t="s">
        <v>20</v>
      </c>
      <c r="M5990" t="s">
        <v>11676</v>
      </c>
      <c r="N5990" t="s">
        <v>14</v>
      </c>
    </row>
    <row r="5991" x14ac:dyDescent="0.25">
      <c r="A5991" t="n">
        <v>25</v>
      </c>
      <c r="B5991" t="s">
        <v>14</v>
      </c>
      <c r="C5991" t="s">
        <v>22</v>
      </c>
      <c r="D5991" s="2" t="s">
        <f>=HYPERLINK("https://main.knesset.gov.il/APPS/legislation/main/bills/2197460", "הצעת חוק הפיקוח על מעונות (תיקון - הסדרת מעמד המטפלות במשפחתונים), התשפ""ג-2023")</f>
        <v>11868</v>
      </c>
      <c r="E5991" t="s">
        <v>11868</v>
      </c>
      <c r="F5991" t="s">
        <v>11869</v>
      </c>
      <c r="G5991" t="s">
        <v>14</v>
      </c>
      <c r="H5991">
             </c>
      <c r="I5991" t="s">
        <v>14</v>
      </c>
      <c r="J5991" t="s">
        <v>141</v>
      </c>
      <c r="K5991" t="s">
        <v>14</v>
      </c>
      <c r="L5991" t="s">
        <v>20</v>
      </c>
      <c r="M5991" t="s">
        <v>11676</v>
      </c>
      <c r="N5991" t="s">
        <v>14</v>
      </c>
    </row>
    <row r="5992" x14ac:dyDescent="0.25">
      <c r="A5992" t="n">
        <v>25</v>
      </c>
      <c r="B5992" t="s">
        <v>14</v>
      </c>
      <c r="C5992" t="s">
        <v>22</v>
      </c>
      <c r="D5992" s="2" t="s">
        <f>=HYPERLINK("https://main.knesset.gov.il/APPS/legislation/main/bills/2198172", "הצעת חוק הביטוח הלאומי (תיקון - קצבת נכות לעקרת בית), התשפ""ג-2023")</f>
        <v>11866</v>
      </c>
      <c r="E5992" t="s">
        <v>11866</v>
      </c>
      <c r="F5992" t="s">
        <v>11870</v>
      </c>
      <c r="G5992" t="s">
        <v>14</v>
      </c>
      <c r="H5992">
             </c>
      <c r="I5992" t="s">
        <v>14</v>
      </c>
      <c r="J5992" t="s">
        <v>141</v>
      </c>
      <c r="K5992" t="s">
        <v>14</v>
      </c>
      <c r="L5992" t="s">
        <v>20</v>
      </c>
      <c r="M5992" t="s">
        <v>11676</v>
      </c>
      <c r="N5992" t="s">
        <v>14</v>
      </c>
    </row>
    <row r="5993" x14ac:dyDescent="0.25">
      <c r="A5993" t="n">
        <v>25</v>
      </c>
      <c r="B5993" t="s">
        <v>14</v>
      </c>
      <c r="C5993" t="s">
        <v>22</v>
      </c>
      <c r="D5993" s="2" t="s">
        <f>=HYPERLINK("https://main.knesset.gov.il/APPS/legislation/main/bills/2197788", "הצעת חוק משק החשמל (תיקון - איסור ניתוק חשמל), התשפ""ג-2023")</f>
        <v>11093</v>
      </c>
      <c r="E5993" t="s">
        <v>11093</v>
      </c>
      <c r="F5993" t="s">
        <v>11871</v>
      </c>
      <c r="G5993" t="s">
        <v>14</v>
      </c>
      <c r="H5993">
             </c>
      <c r="I5993" t="s">
        <v>14</v>
      </c>
      <c r="J5993" t="s">
        <v>141</v>
      </c>
      <c r="K5993" t="s">
        <v>14</v>
      </c>
      <c r="L5993" t="s">
        <v>20</v>
      </c>
      <c r="M5993" t="s">
        <v>11676</v>
      </c>
      <c r="N5993" t="s">
        <v>14</v>
      </c>
    </row>
    <row r="5994" x14ac:dyDescent="0.25">
      <c r="A5994" t="n">
        <v>25</v>
      </c>
      <c r="B5994" t="s">
        <v>14</v>
      </c>
      <c r="C5994" t="s">
        <v>22</v>
      </c>
      <c r="D5994" s="2" t="s">
        <f>=HYPERLINK("https://main.knesset.gov.il/APPS/legislation/main/bills/2198813", "הצעת חוק הביטוח הלאומי (תיקון - הארכת המועד להגשת תביעה לגמלה והתקופה שבעדה תשולם), התשפ""ג-2023")</f>
        <v>8335</v>
      </c>
      <c r="E5994" t="s">
        <v>8335</v>
      </c>
      <c r="F5994" t="s">
        <v>11872</v>
      </c>
      <c r="G5994" t="s">
        <v>14</v>
      </c>
      <c r="H5994">
             </c>
      <c r="I5994" t="s">
        <v>14</v>
      </c>
      <c r="J5994" t="s">
        <v>141</v>
      </c>
      <c r="K5994" t="s">
        <v>14</v>
      </c>
      <c r="L5994" t="s">
        <v>20</v>
      </c>
      <c r="M5994" t="s">
        <v>11676</v>
      </c>
      <c r="N5994" t="s">
        <v>14</v>
      </c>
    </row>
    <row r="5995" x14ac:dyDescent="0.25">
      <c r="A5995" t="n">
        <v>25</v>
      </c>
      <c r="B5995" t="s">
        <v>14</v>
      </c>
      <c r="C5995" t="s">
        <v>22</v>
      </c>
      <c r="D5995" s="2" t="s">
        <f>=HYPERLINK("https://main.knesset.gov.il/APPS/legislation/main/bills/2195927", "הצעת חוק חובת תשלום בשוברים, התשפ""ג-2023")</f>
        <v>11792</v>
      </c>
      <c r="E5995" t="s">
        <v>11792</v>
      </c>
      <c r="F5995" t="s">
        <v>11873</v>
      </c>
      <c r="G5995" t="s">
        <v>14</v>
      </c>
      <c r="H5995">
             </c>
      <c r="I5995" t="s">
        <v>14</v>
      </c>
      <c r="J5995" t="s">
        <v>141</v>
      </c>
      <c r="K5995" t="s">
        <v>14</v>
      </c>
      <c r="L5995" t="s">
        <v>20</v>
      </c>
      <c r="M5995" t="s">
        <v>11676</v>
      </c>
      <c r="N5995" t="s">
        <v>14</v>
      </c>
    </row>
    <row r="5996" x14ac:dyDescent="0.25">
      <c r="A5996" t="n">
        <v>25</v>
      </c>
      <c r="B5996" t="s">
        <v>14</v>
      </c>
      <c r="C5996" t="s">
        <v>22</v>
      </c>
      <c r="D5996" s="2" t="s">
        <f>=HYPERLINK("https://main.knesset.gov.il/APPS/legislation/main/bills/2196044", "הצעת חוק הגנת הצרכן (תיקון - פריסת תשלומים בעסקה מתמשכת), התשפ""ג-2023")</f>
        <v>10692</v>
      </c>
      <c r="E5996" t="s">
        <v>10692</v>
      </c>
      <c r="F5996" t="s">
        <v>11874</v>
      </c>
      <c r="G5996" t="s">
        <v>14</v>
      </c>
      <c r="H5996">
             </c>
      <c r="I5996" t="s">
        <v>14</v>
      </c>
      <c r="J5996" t="s">
        <v>141</v>
      </c>
      <c r="K5996" t="s">
        <v>14</v>
      </c>
      <c r="L5996" t="s">
        <v>20</v>
      </c>
      <c r="M5996" t="s">
        <v>11676</v>
      </c>
      <c r="N5996" t="s">
        <v>14</v>
      </c>
    </row>
    <row r="5997" x14ac:dyDescent="0.25">
      <c r="A5997" t="n">
        <v>25</v>
      </c>
      <c r="B5997" t="s">
        <v>14</v>
      </c>
      <c r="C5997" t="s">
        <v>22</v>
      </c>
      <c r="D5997" s="2" t="s">
        <f>=HYPERLINK("https://main.knesset.gov.il/APPS/legislation/main/bills/2197454", "הצעת חוק הביטוח הלאומי (תיקון - דמי אבטלה בעד חופשה ללא תשלום), התשפ""ג-2023")</f>
        <v>11875</v>
      </c>
      <c r="E5997" t="s">
        <v>11875</v>
      </c>
      <c r="F5997" t="s">
        <v>11876</v>
      </c>
      <c r="G5997" t="s">
        <v>14</v>
      </c>
      <c r="H5997">
             </c>
      <c r="I5997" t="s">
        <v>14</v>
      </c>
      <c r="J5997" t="s">
        <v>141</v>
      </c>
      <c r="K5997" t="s">
        <v>14</v>
      </c>
      <c r="L5997" t="s">
        <v>20</v>
      </c>
      <c r="M5997" t="s">
        <v>11676</v>
      </c>
      <c r="N5997" t="s">
        <v>14</v>
      </c>
    </row>
    <row r="5998" x14ac:dyDescent="0.25">
      <c r="A5998" t="n">
        <v>25</v>
      </c>
      <c r="B5998" t="s">
        <v>14</v>
      </c>
      <c r="C5998" t="s">
        <v>22</v>
      </c>
      <c r="D5998" s="2" t="s">
        <f>=HYPERLINK("https://main.knesset.gov.il/APPS/legislation/main/bills/2197055", "הצעת חוק הבטחת פיצויים לתושבי מתחם פארק חורשות (אבו-כביר), התשפ""ג-2023")</f>
        <v>11877</v>
      </c>
      <c r="E5998" t="s">
        <v>11877</v>
      </c>
      <c r="F5998" t="s">
        <v>11878</v>
      </c>
      <c r="G5998" t="s">
        <v>14</v>
      </c>
      <c r="H5998">
             </c>
      <c r="I5998" t="s">
        <v>14</v>
      </c>
      <c r="J5998" t="s">
        <v>141</v>
      </c>
      <c r="K5998" t="s">
        <v>14</v>
      </c>
      <c r="L5998" t="s">
        <v>20</v>
      </c>
      <c r="M5998" t="s">
        <v>11676</v>
      </c>
      <c r="N5998" t="s">
        <v>14</v>
      </c>
    </row>
    <row r="5999" x14ac:dyDescent="0.25">
      <c r="A5999" t="n">
        <v>25</v>
      </c>
      <c r="B5999" t="s">
        <v>14</v>
      </c>
      <c r="C5999" t="s">
        <v>22</v>
      </c>
      <c r="D5999" s="2" t="s">
        <f>=HYPERLINK("https://main.knesset.gov.il/APPS/legislation/main/bills/2196532", "הצעת חוק הגנת הצרכן (תיקון - קביעת סכום מרבי לחיוב חשבון), התשפ""ג-2023")</f>
        <v>9575</v>
      </c>
      <c r="E5999" t="s">
        <v>9575</v>
      </c>
      <c r="F5999" t="s">
        <v>11879</v>
      </c>
      <c r="G5999" t="s">
        <v>14</v>
      </c>
      <c r="H5999">
             </c>
      <c r="I5999" t="s">
        <v>14</v>
      </c>
      <c r="J5999" t="s">
        <v>141</v>
      </c>
      <c r="K5999" t="s">
        <v>14</v>
      </c>
      <c r="L5999" t="s">
        <v>20</v>
      </c>
      <c r="M5999" t="s">
        <v>11676</v>
      </c>
      <c r="N5999" t="s">
        <v>14</v>
      </c>
    </row>
    <row r="6000" x14ac:dyDescent="0.25">
      <c r="A6000" t="n">
        <v>25</v>
      </c>
      <c r="B6000" t="s">
        <v>14</v>
      </c>
      <c r="C6000" t="s">
        <v>22</v>
      </c>
      <c r="D6000" s="2" t="s">
        <f>=HYPERLINK("https://main.knesset.gov.il/APPS/legislation/main/bills/2196083", "הצעת חוק תאגידי מים וביוב (תיקון - ועדת חריגים), התשפ""ג-2023")</f>
        <v>11880</v>
      </c>
      <c r="E6000" t="s">
        <v>11880</v>
      </c>
      <c r="F6000" t="s">
        <v>11881</v>
      </c>
      <c r="G6000" t="s">
        <v>14</v>
      </c>
      <c r="H6000">
             </c>
      <c r="I6000" t="s">
        <v>14</v>
      </c>
      <c r="J6000" t="s">
        <v>141</v>
      </c>
      <c r="K6000" t="s">
        <v>14</v>
      </c>
      <c r="L6000" t="s">
        <v>20</v>
      </c>
      <c r="M6000" t="s">
        <v>11676</v>
      </c>
      <c r="N6000" t="s">
        <v>14</v>
      </c>
    </row>
    <row r="6001" x14ac:dyDescent="0.25">
      <c r="A6001" t="n">
        <v>25</v>
      </c>
      <c r="B6001" t="s">
        <v>14</v>
      </c>
      <c r="C6001" t="s">
        <v>22</v>
      </c>
      <c r="D6001" s="2" t="s">
        <f>=HYPERLINK("https://main.knesset.gov.il/APPS/legislation/main/bills/2199108", "הצעת חוק זיכרון השואה והגבורה - יד ושם (תיקון - יהודים שהצילו יהודים), התשפ""ג-2023")</f>
        <v>11882</v>
      </c>
      <c r="E6001" t="s">
        <v>11882</v>
      </c>
      <c r="F6001" t="s">
        <v>11883</v>
      </c>
      <c r="G6001" t="s">
        <v>14</v>
      </c>
      <c r="H6001">
             </c>
      <c r="I6001" t="s">
        <v>14</v>
      </c>
      <c r="J6001" t="s">
        <v>141</v>
      </c>
      <c r="K6001" t="s">
        <v>14</v>
      </c>
      <c r="L6001" t="s">
        <v>20</v>
      </c>
      <c r="M6001" t="s">
        <v>11676</v>
      </c>
      <c r="N6001" t="s">
        <v>14</v>
      </c>
    </row>
    <row r="6002" x14ac:dyDescent="0.25">
      <c r="A6002" t="n">
        <v>25</v>
      </c>
      <c r="B6002" t="s">
        <v>14</v>
      </c>
      <c r="C6002" t="s">
        <v>22</v>
      </c>
      <c r="D6002" s="2" t="s">
        <f>=HYPERLINK("https://main.knesset.gov.il/APPS/legislation/main/bills/2198783", "הצעת חוק הביטוח הלאומי (תיקון - דמי פגיעה לעובד עצמאי), התשפ""ג-2023")</f>
        <v>10026</v>
      </c>
      <c r="E6002" t="s">
        <v>10026</v>
      </c>
      <c r="F6002" t="s">
        <v>11884</v>
      </c>
      <c r="G6002" t="s">
        <v>14</v>
      </c>
      <c r="H6002">
             </c>
      <c r="I6002" t="s">
        <v>14</v>
      </c>
      <c r="J6002" t="s">
        <v>141</v>
      </c>
      <c r="K6002" t="s">
        <v>14</v>
      </c>
      <c r="L6002" t="s">
        <v>20</v>
      </c>
      <c r="M6002" t="s">
        <v>11676</v>
      </c>
      <c r="N6002" t="s">
        <v>14</v>
      </c>
    </row>
    <row r="6003" x14ac:dyDescent="0.25">
      <c r="A6003" t="n">
        <v>25</v>
      </c>
      <c r="B6003" t="s">
        <v>14</v>
      </c>
      <c r="C6003" t="s">
        <v>22</v>
      </c>
      <c r="D6003" s="2" t="s">
        <f>=HYPERLINK("https://main.knesset.gov.il/APPS/legislation/main/bills/2198772", "הצעת חוק הביטוח הלאומי (תיקון - דמי פגיעה לעובד עצמאי), התשפ""ג-2023")</f>
        <v>10026</v>
      </c>
      <c r="E6003" t="s">
        <v>10026</v>
      </c>
      <c r="F6003" t="s">
        <v>11885</v>
      </c>
      <c r="G6003" t="s">
        <v>14</v>
      </c>
      <c r="H6003">
             </c>
      <c r="I6003" t="s">
        <v>14</v>
      </c>
      <c r="J6003" t="s">
        <v>141</v>
      </c>
      <c r="K6003" t="s">
        <v>14</v>
      </c>
      <c r="L6003" t="s">
        <v>20</v>
      </c>
      <c r="M6003" t="s">
        <v>11676</v>
      </c>
      <c r="N6003" t="s">
        <v>14</v>
      </c>
    </row>
    <row r="6004" x14ac:dyDescent="0.25">
      <c r="A6004" t="n">
        <v>25</v>
      </c>
      <c r="B6004" t="s">
        <v>14</v>
      </c>
      <c r="C6004" t="s">
        <v>22</v>
      </c>
      <c r="D6004" s="2" t="s">
        <f>=HYPERLINK("https://main.knesset.gov.il/APPS/legislation/main/bills/2199029", "הצעת חוק פיצוי למי שפונה ממבנה בשל סכנה לקריסתו או בשל קריסתו, התשפ""ג-2023")</f>
        <v>11886</v>
      </c>
      <c r="E6004" t="s">
        <v>11886</v>
      </c>
      <c r="F6004" t="s">
        <v>11887</v>
      </c>
      <c r="G6004" t="s">
        <v>14</v>
      </c>
      <c r="H6004">
             </c>
      <c r="I6004" t="s">
        <v>14</v>
      </c>
      <c r="J6004" t="s">
        <v>141</v>
      </c>
      <c r="K6004" t="s">
        <v>14</v>
      </c>
      <c r="L6004" t="s">
        <v>20</v>
      </c>
      <c r="M6004" t="s">
        <v>11676</v>
      </c>
      <c r="N6004" t="s">
        <v>14</v>
      </c>
    </row>
    <row r="6005" x14ac:dyDescent="0.25">
      <c r="A6005" t="n">
        <v>25</v>
      </c>
      <c r="B6005" t="s">
        <v>14</v>
      </c>
      <c r="C6005" t="s">
        <v>22</v>
      </c>
      <c r="D6005" s="2" t="s">
        <f>=HYPERLINK("https://main.knesset.gov.il/APPS/legislation/main/bills/2198888", "הצעת חוק לתיקון פקודת העדה הדתית (המרה) (גיור על ידי רב עיר), התשפ""ג-2023")</f>
        <v>9194</v>
      </c>
      <c r="E6005" t="s">
        <v>9194</v>
      </c>
      <c r="F6005" t="s">
        <v>11888</v>
      </c>
      <c r="G6005" t="s">
        <v>14</v>
      </c>
      <c r="H6005">
             </c>
      <c r="I6005" t="s">
        <v>14</v>
      </c>
      <c r="J6005" t="s">
        <v>141</v>
      </c>
      <c r="K6005" t="s">
        <v>14</v>
      </c>
      <c r="L6005" t="s">
        <v>20</v>
      </c>
      <c r="M6005" t="s">
        <v>11676</v>
      </c>
      <c r="N6005" t="s">
        <v>14</v>
      </c>
    </row>
    <row r="6006" x14ac:dyDescent="0.25">
      <c r="A6006" t="n">
        <v>25</v>
      </c>
      <c r="B6006" t="s">
        <v>14</v>
      </c>
      <c r="C6006" t="s">
        <v>22</v>
      </c>
      <c r="D6006" s="2" t="s">
        <f>=HYPERLINK("https://main.knesset.gov.il/APPS/legislation/main/bills/2198984", "הצעת חוק שירותי הדת היהודיים (תיקון - דין משמעתי לרבני ערים), התשפ""ג-2023")</f>
        <v>11889</v>
      </c>
      <c r="E6006" t="s">
        <v>11889</v>
      </c>
      <c r="F6006" t="s">
        <v>11890</v>
      </c>
      <c r="G6006" t="s">
        <v>14</v>
      </c>
      <c r="H6006">
             </c>
      <c r="I6006" t="s">
        <v>14</v>
      </c>
      <c r="J6006" t="s">
        <v>141</v>
      </c>
      <c r="K6006" t="s">
        <v>14</v>
      </c>
      <c r="L6006" t="s">
        <v>20</v>
      </c>
      <c r="M6006" t="s">
        <v>11676</v>
      </c>
      <c r="N6006" t="s">
        <v>14</v>
      </c>
    </row>
    <row r="6007" x14ac:dyDescent="0.25">
      <c r="A6007" t="n">
        <v>25</v>
      </c>
      <c r="B6007" t="s">
        <v>14</v>
      </c>
      <c r="C6007" t="s">
        <v>22</v>
      </c>
      <c r="D6007" s="2" t="s">
        <f>=HYPERLINK("https://main.knesset.gov.il/APPS/legislation/main/bills/2198960", "הצעת חוק-יסוד: הממשלה (תיקון - אי-כשירות של נאשם להרכיב את הממשלה) ")</f>
        <v>11891</v>
      </c>
      <c r="E6007" t="s">
        <v>11891</v>
      </c>
      <c r="F6007" t="s">
        <v>11892</v>
      </c>
      <c r="G6007" t="s">
        <v>14</v>
      </c>
      <c r="H6007">
             </c>
      <c r="I6007" t="s">
        <v>14</v>
      </c>
      <c r="J6007" t="s">
        <v>141</v>
      </c>
      <c r="K6007" t="s">
        <v>14</v>
      </c>
      <c r="L6007" t="s">
        <v>20</v>
      </c>
      <c r="M6007" t="s">
        <v>11676</v>
      </c>
      <c r="N6007" t="s">
        <v>14</v>
      </c>
    </row>
    <row r="6008" x14ac:dyDescent="0.25">
      <c r="A6008" t="n">
        <v>25</v>
      </c>
      <c r="B6008" t="s">
        <v>14</v>
      </c>
      <c r="C6008" t="s">
        <v>22</v>
      </c>
      <c r="D6008" s="2" t="s">
        <f>=HYPERLINK("https://main.knesset.gov.il/APPS/legislation/main/bills/2199095", "הצעת חוק החברות (תיקון - ייצוג הולם לבני שני המינים בדירקטוריונים של חברות ציבוריות), התשפ""ג-2023")</f>
        <v>8736</v>
      </c>
      <c r="E6008" t="s">
        <v>8736</v>
      </c>
      <c r="F6008" t="s">
        <v>11893</v>
      </c>
      <c r="G6008" t="s">
        <v>14</v>
      </c>
      <c r="H6008">
             </c>
      <c r="I6008" t="s">
        <v>14</v>
      </c>
      <c r="J6008" t="s">
        <v>141</v>
      </c>
      <c r="K6008" t="s">
        <v>14</v>
      </c>
      <c r="L6008" t="s">
        <v>20</v>
      </c>
      <c r="M6008" t="s">
        <v>11676</v>
      </c>
      <c r="N6008" t="s">
        <v>14</v>
      </c>
    </row>
    <row r="6009" x14ac:dyDescent="0.25">
      <c r="A6009" t="n">
        <v>25</v>
      </c>
      <c r="B6009" t="s">
        <v>14</v>
      </c>
      <c r="C6009" t="s">
        <v>22</v>
      </c>
      <c r="D6009" s="2" t="s">
        <f>=HYPERLINK("https://main.knesset.gov.il/APPS/legislation/main/bills/2198742", "הצעת חוק המועצה להשכלה גבוהה (תיקון - הגבלת שיתוף פעולה בין מוסד אקדמי לבין ארגון הפועל נגד מדינת ישראל), התשפ""ג-2023")</f>
        <v>10985</v>
      </c>
      <c r="E6009" t="s">
        <v>10985</v>
      </c>
      <c r="F6009" t="s">
        <v>11894</v>
      </c>
      <c r="G6009" t="s">
        <v>14</v>
      </c>
      <c r="H6009">
             </c>
      <c r="I6009" t="s">
        <v>14</v>
      </c>
      <c r="J6009" t="s">
        <v>141</v>
      </c>
      <c r="K6009" t="s">
        <v>14</v>
      </c>
      <c r="L6009" t="s">
        <v>20</v>
      </c>
      <c r="M6009" t="s">
        <v>11676</v>
      </c>
      <c r="N6009" t="s">
        <v>14</v>
      </c>
    </row>
    <row r="6010" x14ac:dyDescent="0.25">
      <c r="A6010" t="n">
        <v>25</v>
      </c>
      <c r="B6010" t="s">
        <v>14</v>
      </c>
      <c r="C6010" t="s">
        <v>22</v>
      </c>
      <c r="D6010" s="2" t="s">
        <f>=HYPERLINK("https://main.knesset.gov.il/APPS/legislation/main/bills/2199059", "הצעת חוק רישום נישואין אזרחיים בעיר אילת (תיקוני חקיקה), התשפ""ג-2023")</f>
        <v>11895</v>
      </c>
      <c r="E6010" t="s">
        <v>11895</v>
      </c>
      <c r="F6010" t="s">
        <v>11896</v>
      </c>
      <c r="G6010" t="s">
        <v>14</v>
      </c>
      <c r="H6010">
             </c>
      <c r="I6010" t="s">
        <v>14</v>
      </c>
      <c r="J6010" t="s">
        <v>141</v>
      </c>
      <c r="K6010" t="s">
        <v>14</v>
      </c>
      <c r="L6010" t="s">
        <v>20</v>
      </c>
      <c r="M6010" t="s">
        <v>11676</v>
      </c>
      <c r="N6010" t="s">
        <v>14</v>
      </c>
    </row>
    <row r="6011" x14ac:dyDescent="0.25">
      <c r="A6011" t="n">
        <v>25</v>
      </c>
      <c r="B6011" t="s">
        <v>14</v>
      </c>
      <c r="C6011" t="s">
        <v>22</v>
      </c>
      <c r="D6011" s="2" t="s">
        <f>=HYPERLINK("https://main.knesset.gov.il/APPS/legislation/main/bills/2196588", "הצעת חוק הממשלה (תיקון - דיווח שר בדבר אי-התקנת תקנות במועד), התשפ""ג-2023")</f>
        <v>11897</v>
      </c>
      <c r="E6011" t="s">
        <v>11897</v>
      </c>
      <c r="F6011" t="s">
        <v>11898</v>
      </c>
      <c r="G6011" t="s">
        <v>14</v>
      </c>
      <c r="H6011">
             </c>
      <c r="I6011" t="s">
        <v>14</v>
      </c>
      <c r="J6011" t="s">
        <v>141</v>
      </c>
      <c r="K6011" t="s">
        <v>14</v>
      </c>
      <c r="L6011" t="s">
        <v>20</v>
      </c>
      <c r="M6011" t="s">
        <v>11676</v>
      </c>
      <c r="N6011" t="s">
        <v>14</v>
      </c>
    </row>
    <row r="6012" x14ac:dyDescent="0.25">
      <c r="A6012" t="n">
        <v>25</v>
      </c>
      <c r="B6012" t="s">
        <v>14</v>
      </c>
      <c r="C6012" t="s">
        <v>22</v>
      </c>
      <c r="D6012" s="2" t="s">
        <f>=HYPERLINK("https://main.knesset.gov.il/APPS/legislation/main/bills/2196555", "הצעת חוק הדיינים (תיקון - נציגי הוועדה לבחירת דיינים), התשפ""ג-2023")</f>
        <v>11899</v>
      </c>
      <c r="E6012" t="s">
        <v>11899</v>
      </c>
      <c r="F6012" t="s">
        <v>11900</v>
      </c>
      <c r="G6012" t="s">
        <v>14</v>
      </c>
      <c r="H6012">
             </c>
      <c r="I6012" t="s">
        <v>14</v>
      </c>
      <c r="J6012" t="s">
        <v>141</v>
      </c>
      <c r="K6012" t="s">
        <v>14</v>
      </c>
      <c r="L6012" t="s">
        <v>20</v>
      </c>
      <c r="M6012" t="s">
        <v>11676</v>
      </c>
      <c r="N6012" t="s">
        <v>14</v>
      </c>
    </row>
    <row r="6013" x14ac:dyDescent="0.25">
      <c r="A6013" t="n">
        <v>25</v>
      </c>
      <c r="B6013" t="s">
        <v>14</v>
      </c>
      <c r="C6013" t="s">
        <v>22</v>
      </c>
      <c r="D6013" s="2" t="s">
        <f>=HYPERLINK("https://main.knesset.gov.il/APPS/legislation/main/bills/2198822", "הצעת חוק הביטוח הלאומי (תיקון - אבטחה במוסד רפואי כעבודה מועדפת), התשפ""ג-2023")</f>
        <v>10751</v>
      </c>
      <c r="E6013" t="s">
        <v>10751</v>
      </c>
      <c r="F6013" t="s">
        <v>11901</v>
      </c>
      <c r="G6013" t="s">
        <v>14</v>
      </c>
      <c r="H6013">
             </c>
      <c r="I6013" t="s">
        <v>14</v>
      </c>
      <c r="J6013" t="s">
        <v>141</v>
      </c>
      <c r="K6013" t="s">
        <v>14</v>
      </c>
      <c r="L6013" t="s">
        <v>20</v>
      </c>
      <c r="M6013" t="s">
        <v>11676</v>
      </c>
      <c r="N6013" t="s">
        <v>14</v>
      </c>
    </row>
    <row r="6014" x14ac:dyDescent="0.25">
      <c r="A6014" t="n">
        <v>25</v>
      </c>
      <c r="B6014" t="s">
        <v>14</v>
      </c>
      <c r="C6014" t="s">
        <v>22</v>
      </c>
      <c r="D6014" s="2" t="s">
        <f>=HYPERLINK("https://main.knesset.gov.il/APPS/legislation/main/bills/2198787", "הצעת חוק לימוד חובה (תיקון - חינוך חינם לגיל הרך), התשפ""ג-2023")</f>
        <v>9303</v>
      </c>
      <c r="E6014" t="s">
        <v>9303</v>
      </c>
      <c r="F6014" t="s">
        <v>11902</v>
      </c>
      <c r="G6014" t="s">
        <v>14</v>
      </c>
      <c r="H6014">
             </c>
      <c r="I6014" t="s">
        <v>14</v>
      </c>
      <c r="J6014" t="s">
        <v>141</v>
      </c>
      <c r="K6014" t="s">
        <v>14</v>
      </c>
      <c r="L6014" t="s">
        <v>20</v>
      </c>
      <c r="M6014" t="s">
        <v>11676</v>
      </c>
      <c r="N6014" t="s">
        <v>14</v>
      </c>
    </row>
    <row r="6015" x14ac:dyDescent="0.25">
      <c r="A6015" t="n">
        <v>25</v>
      </c>
      <c r="B6015" t="s">
        <v>14</v>
      </c>
      <c r="C6015" t="s">
        <v>22</v>
      </c>
      <c r="D6015" s="2" t="s">
        <f>=HYPERLINK("https://main.knesset.gov.il/APPS/legislation/main/bills/2199050", "הצעת חוק הממשלה (תיקון - ועדת שרים לענייני חקיקה), התשפ""ג-2023")</f>
        <v>11024</v>
      </c>
      <c r="E6015" t="s">
        <v>11024</v>
      </c>
      <c r="F6015" t="s">
        <v>11903</v>
      </c>
      <c r="G6015" t="s">
        <v>14</v>
      </c>
      <c r="H6015">
             </c>
      <c r="I6015" t="s">
        <v>14</v>
      </c>
      <c r="J6015" t="s">
        <v>141</v>
      </c>
      <c r="K6015" t="s">
        <v>14</v>
      </c>
      <c r="L6015" t="s">
        <v>20</v>
      </c>
      <c r="M6015" t="s">
        <v>11676</v>
      </c>
      <c r="N6015" t="s">
        <v>14</v>
      </c>
    </row>
    <row r="6016" x14ac:dyDescent="0.25">
      <c r="A6016" t="n">
        <v>25</v>
      </c>
      <c r="B6016" t="s">
        <v>14</v>
      </c>
      <c r="C6016" t="s">
        <v>22</v>
      </c>
      <c r="D6016" s="2" t="s">
        <f>=HYPERLINK("https://main.knesset.gov.il/APPS/legislation/main/bills/2198765", "הצעת חוק העונשין (תיקון - תקיפת עובד מערך בריאות), התשפ""ג-2023")</f>
        <v>8619</v>
      </c>
      <c r="E6016" t="s">
        <v>8619</v>
      </c>
      <c r="F6016" t="s">
        <v>11904</v>
      </c>
      <c r="G6016" t="s">
        <v>14</v>
      </c>
      <c r="H6016">
             </c>
      <c r="I6016" t="s">
        <v>14</v>
      </c>
      <c r="J6016" t="s">
        <v>141</v>
      </c>
      <c r="K6016" t="s">
        <v>14</v>
      </c>
      <c r="L6016" t="s">
        <v>20</v>
      </c>
      <c r="M6016" t="s">
        <v>11676</v>
      </c>
      <c r="N6016" t="s">
        <v>14</v>
      </c>
    </row>
    <row r="6017" x14ac:dyDescent="0.25">
      <c r="A6017" t="n">
        <v>25</v>
      </c>
      <c r="B6017" t="s">
        <v>14</v>
      </c>
      <c r="C6017" t="s">
        <v>22</v>
      </c>
      <c r="D6017" s="2" t="s">
        <f>=HYPERLINK("https://main.knesset.gov.il/APPS/legislation/main/bills/2199224", "הצעת חוק איסור טיפול המרה לקטין, התשפ""ג-2023")</f>
        <v>8772</v>
      </c>
      <c r="E6017" t="s">
        <v>8772</v>
      </c>
      <c r="F6017" t="s">
        <v>11905</v>
      </c>
      <c r="G6017" t="s">
        <v>14</v>
      </c>
      <c r="H6017">
             </c>
      <c r="I6017" t="s">
        <v>14</v>
      </c>
      <c r="J6017" t="s">
        <v>141</v>
      </c>
      <c r="K6017" t="s">
        <v>14</v>
      </c>
      <c r="L6017" t="s">
        <v>20</v>
      </c>
      <c r="M6017" t="s">
        <v>11676</v>
      </c>
      <c r="N6017" t="s">
        <v>14</v>
      </c>
    </row>
    <row r="6018" x14ac:dyDescent="0.25">
      <c r="A6018" t="n">
        <v>25</v>
      </c>
      <c r="B6018" t="s">
        <v>14</v>
      </c>
      <c r="C6018" t="s">
        <v>22</v>
      </c>
      <c r="D6018" s="2" t="s">
        <f>=HYPERLINK("https://main.knesset.gov.il/APPS/legislation/main/bills/2196548", "הצעת חוק אי-נקיטת הליכים לפני מועדי ישראל (תיקוני חקיקה), התשפ""ג-2023")</f>
        <v>11906</v>
      </c>
      <c r="E6018" t="s">
        <v>11906</v>
      </c>
      <c r="F6018" t="s">
        <v>11907</v>
      </c>
      <c r="G6018" t="s">
        <v>14</v>
      </c>
      <c r="H6018">
             </c>
      <c r="I6018" t="s">
        <v>14</v>
      </c>
      <c r="J6018" t="s">
        <v>141</v>
      </c>
      <c r="K6018" t="s">
        <v>14</v>
      </c>
      <c r="L6018" t="s">
        <v>20</v>
      </c>
      <c r="M6018" t="s">
        <v>11676</v>
      </c>
      <c r="N6018" t="s">
        <v>14</v>
      </c>
    </row>
    <row r="6019" x14ac:dyDescent="0.25">
      <c r="A6019" t="n">
        <v>25</v>
      </c>
      <c r="B6019" t="s">
        <v>14</v>
      </c>
      <c r="C6019" t="s">
        <v>22</v>
      </c>
      <c r="D6019" s="2" t="s">
        <f>=HYPERLINK("https://main.knesset.gov.il/APPS/legislation/main/bills/2199226", "הצעת חוק איסור הפליה במוצרים, בשירותים ובכניסה למקומות בידור ולמקומות ציבוריים (תיקון - איסור הפליה בדיור), התשפ""ג-2023")</f>
        <v>9537</v>
      </c>
      <c r="E6019" t="s">
        <v>9537</v>
      </c>
      <c r="F6019" t="s">
        <v>11908</v>
      </c>
      <c r="G6019" t="s">
        <v>14</v>
      </c>
      <c r="H6019">
             </c>
      <c r="I6019" t="s">
        <v>14</v>
      </c>
      <c r="J6019" t="s">
        <v>141</v>
      </c>
      <c r="K6019" t="s">
        <v>14</v>
      </c>
      <c r="L6019" t="s">
        <v>20</v>
      </c>
      <c r="M6019" t="s">
        <v>11676</v>
      </c>
      <c r="N6019" t="s">
        <v>14</v>
      </c>
    </row>
    <row r="6020" x14ac:dyDescent="0.25">
      <c r="A6020" t="n">
        <v>25</v>
      </c>
      <c r="B6020" t="s">
        <v>14</v>
      </c>
      <c r="C6020" t="s">
        <v>22</v>
      </c>
      <c r="D6020" s="2" t="s">
        <f>=HYPERLINK("https://main.knesset.gov.il/APPS/legislation/main/bills/2196486", "הצעת חוק תיעוד הדבקה של כתבי בית דין (תיקוני חקיקה), התשפ""ג-2023")</f>
        <v>11909</v>
      </c>
      <c r="E6020" t="s">
        <v>11909</v>
      </c>
      <c r="F6020" t="s">
        <v>11910</v>
      </c>
      <c r="G6020" t="s">
        <v>14</v>
      </c>
      <c r="H6020">
             </c>
      <c r="I6020" t="s">
        <v>14</v>
      </c>
      <c r="J6020" t="s">
        <v>141</v>
      </c>
      <c r="K6020" t="s">
        <v>14</v>
      </c>
      <c r="L6020" t="s">
        <v>20</v>
      </c>
      <c r="M6020" t="s">
        <v>11676</v>
      </c>
      <c r="N6020" t="s">
        <v>14</v>
      </c>
    </row>
    <row r="6021" x14ac:dyDescent="0.25">
      <c r="A6021" t="n">
        <v>25</v>
      </c>
      <c r="B6021" t="s">
        <v>14</v>
      </c>
      <c r="C6021" t="s">
        <v>22</v>
      </c>
      <c r="D6021" s="2" t="s">
        <f>=HYPERLINK("https://main.knesset.gov.il/APPS/legislation/main/bills/2199063", "הצעת חוק ידועים בציבור, התשפ""ג-2023")</f>
        <v>11911</v>
      </c>
      <c r="E6021" t="s">
        <v>11911</v>
      </c>
      <c r="F6021" t="s">
        <v>11912</v>
      </c>
      <c r="G6021" t="s">
        <v>14</v>
      </c>
      <c r="H6021">
             </c>
      <c r="I6021" t="s">
        <v>14</v>
      </c>
      <c r="J6021" t="s">
        <v>141</v>
      </c>
      <c r="K6021" t="s">
        <v>14</v>
      </c>
      <c r="L6021" t="s">
        <v>20</v>
      </c>
      <c r="M6021" t="s">
        <v>11676</v>
      </c>
      <c r="N6021" t="s">
        <v>14</v>
      </c>
    </row>
    <row r="6022" x14ac:dyDescent="0.25">
      <c r="A6022" t="n">
        <v>25</v>
      </c>
      <c r="B6022" t="s">
        <v>14</v>
      </c>
      <c r="C6022" t="s">
        <v>22</v>
      </c>
      <c r="D6022" s="2" t="s">
        <f>=HYPERLINK("https://main.knesset.gov.il/APPS/legislation/main/bills/2198909", "הצעת חוק איסור הונאה בכשרות (תיקון - הגדרת המינוח כשר לעניין הטעיה), התשפ""ג-2023")</f>
        <v>11913</v>
      </c>
      <c r="E6022" t="s">
        <v>11913</v>
      </c>
      <c r="F6022" t="s">
        <v>11914</v>
      </c>
      <c r="G6022" t="s">
        <v>14</v>
      </c>
      <c r="H6022">
             </c>
      <c r="I6022" t="s">
        <v>14</v>
      </c>
      <c r="J6022" t="s">
        <v>141</v>
      </c>
      <c r="K6022" t="s">
        <v>14</v>
      </c>
      <c r="L6022" t="s">
        <v>20</v>
      </c>
      <c r="M6022" t="s">
        <v>11676</v>
      </c>
      <c r="N6022" t="s">
        <v>14</v>
      </c>
    </row>
    <row r="6023" x14ac:dyDescent="0.25">
      <c r="A6023" t="n">
        <v>25</v>
      </c>
      <c r="B6023" t="s">
        <v>14</v>
      </c>
      <c r="C6023" t="s">
        <v>22</v>
      </c>
      <c r="D6023" s="2" t="s">
        <f>=HYPERLINK("https://main.knesset.gov.il/APPS/legislation/main/bills/2197837", "הצעת חוק איסור לשון הרע (תיקון - הגבלת סעד לאישי ציבור ותאגידים), התשפ""ג-2023")</f>
        <v>11915</v>
      </c>
      <c r="E6023" t="s">
        <v>11915</v>
      </c>
      <c r="F6023" t="s">
        <v>11916</v>
      </c>
      <c r="G6023" t="s">
        <v>14</v>
      </c>
      <c r="H6023">
             </c>
      <c r="I6023" t="s">
        <v>14</v>
      </c>
      <c r="J6023" t="s">
        <v>141</v>
      </c>
      <c r="K6023" t="s">
        <v>14</v>
      </c>
      <c r="L6023" t="s">
        <v>20</v>
      </c>
      <c r="M6023" t="s">
        <v>11676</v>
      </c>
      <c r="N6023" t="s">
        <v>14</v>
      </c>
    </row>
    <row r="6024" x14ac:dyDescent="0.25">
      <c r="A6024" t="n">
        <v>25</v>
      </c>
      <c r="B6024" t="s">
        <v>14</v>
      </c>
      <c r="C6024" t="s">
        <v>22</v>
      </c>
      <c r="D6024" s="2" t="s">
        <f>=HYPERLINK("https://main.knesset.gov.il/APPS/legislation/main/bills/2197836", "הצעת חוק הקמת המוסד העליון לשפת הסימנים הישראלית, התשפ""ג-2023")</f>
        <v>11917</v>
      </c>
      <c r="E6024" t="s">
        <v>11917</v>
      </c>
      <c r="F6024" t="s">
        <v>11918</v>
      </c>
      <c r="G6024" t="s">
        <v>14</v>
      </c>
      <c r="H6024">
             </c>
      <c r="I6024" t="s">
        <v>14</v>
      </c>
      <c r="J6024" t="s">
        <v>141</v>
      </c>
      <c r="K6024" t="s">
        <v>14</v>
      </c>
      <c r="L6024" t="s">
        <v>20</v>
      </c>
      <c r="M6024" t="s">
        <v>11676</v>
      </c>
      <c r="N6024" t="s">
        <v>14</v>
      </c>
    </row>
    <row r="6025" x14ac:dyDescent="0.25">
      <c r="A6025" t="n">
        <v>25</v>
      </c>
      <c r="B6025" t="s">
        <v>14</v>
      </c>
      <c r="C6025" t="s">
        <v>22</v>
      </c>
      <c r="D6025" s="2" t="s">
        <f>=HYPERLINK("https://main.knesset.gov.il/APPS/legislation/main/bills/2197783", "הצעת חוק-יסוד: הזכות לדיור")</f>
        <v>11919</v>
      </c>
      <c r="E6025" t="s">
        <v>11919</v>
      </c>
      <c r="F6025" t="s">
        <v>11920</v>
      </c>
      <c r="G6025" t="s">
        <v>14</v>
      </c>
      <c r="H6025">
             </c>
      <c r="I6025" t="s">
        <v>14</v>
      </c>
      <c r="J6025" t="s">
        <v>141</v>
      </c>
      <c r="K6025" t="s">
        <v>14</v>
      </c>
      <c r="L6025" t="s">
        <v>20</v>
      </c>
      <c r="M6025" t="s">
        <v>11676</v>
      </c>
      <c r="N6025" t="s">
        <v>14</v>
      </c>
    </row>
    <row r="6026" x14ac:dyDescent="0.25">
      <c r="A6026" t="n">
        <v>25</v>
      </c>
      <c r="B6026" t="s">
        <v>14</v>
      </c>
      <c r="C6026" t="s">
        <v>22</v>
      </c>
      <c r="D6026" s="2" t="s">
        <f>=HYPERLINK("https://main.knesset.gov.il/APPS/legislation/main/bills/2198916", "הצעת חוק שירות המדינה (מינויים) (תיקון - ניסיון ניהולי במגזר הפרטי), התשפ""ג-2023")</f>
        <v>11921</v>
      </c>
      <c r="E6026" t="s">
        <v>11921</v>
      </c>
      <c r="F6026" t="s">
        <v>11922</v>
      </c>
      <c r="G6026" t="s">
        <v>14</v>
      </c>
      <c r="H6026">
             </c>
      <c r="I6026" t="s">
        <v>14</v>
      </c>
      <c r="J6026" t="s">
        <v>141</v>
      </c>
      <c r="K6026" t="s">
        <v>14</v>
      </c>
      <c r="L6026" t="s">
        <v>20</v>
      </c>
      <c r="M6026" t="s">
        <v>11676</v>
      </c>
      <c r="N6026" t="s">
        <v>14</v>
      </c>
    </row>
    <row r="6027" x14ac:dyDescent="0.25">
      <c r="A6027" t="n">
        <v>25</v>
      </c>
      <c r="B6027" t="s">
        <v>14</v>
      </c>
      <c r="C6027" t="s">
        <v>22</v>
      </c>
      <c r="D6027" s="2" t="s">
        <f>=HYPERLINK("https://main.knesset.gov.il/APPS/legislation/main/bills/2196622", "הצעת חוק לימוד חובה (תיקון - הסעת תלמידים), התשפ""ג-2023")</f>
        <v>11923</v>
      </c>
      <c r="E6027" t="s">
        <v>11923</v>
      </c>
      <c r="F6027" t="s">
        <v>11924</v>
      </c>
      <c r="G6027" t="s">
        <v>14</v>
      </c>
      <c r="H6027">
             </c>
      <c r="I6027" t="s">
        <v>14</v>
      </c>
      <c r="J6027" t="s">
        <v>141</v>
      </c>
      <c r="K6027" t="s">
        <v>14</v>
      </c>
      <c r="L6027" t="s">
        <v>20</v>
      </c>
      <c r="M6027" t="s">
        <v>11676</v>
      </c>
      <c r="N6027" t="s">
        <v>14</v>
      </c>
    </row>
    <row r="6028" x14ac:dyDescent="0.25">
      <c r="A6028" t="n">
        <v>25</v>
      </c>
      <c r="B6028" t="s">
        <v>14</v>
      </c>
      <c r="C6028" t="s">
        <v>22</v>
      </c>
      <c r="D6028" s="2" t="s">
        <f>=HYPERLINK("https://main.knesset.gov.il/APPS/legislation/main/bills/2198886", "הצעת חוק הבחירות לכנסת (תיקון - אחוז החסימה), התשפ""ג-2023")</f>
        <v>11925</v>
      </c>
      <c r="E6028" t="s">
        <v>11925</v>
      </c>
      <c r="F6028" t="s">
        <v>11926</v>
      </c>
      <c r="G6028" t="s">
        <v>14</v>
      </c>
      <c r="H6028">
             </c>
      <c r="I6028" t="s">
        <v>14</v>
      </c>
      <c r="J6028" t="s">
        <v>141</v>
      </c>
      <c r="K6028" t="s">
        <v>14</v>
      </c>
      <c r="L6028" t="s">
        <v>20</v>
      </c>
      <c r="M6028" t="s">
        <v>11676</v>
      </c>
      <c r="N6028" t="s">
        <v>14</v>
      </c>
    </row>
    <row r="6029" x14ac:dyDescent="0.25">
      <c r="A6029" t="n">
        <v>25</v>
      </c>
      <c r="B6029" t="s">
        <v>14</v>
      </c>
      <c r="C6029" t="s">
        <v>22</v>
      </c>
      <c r="D6029" s="2" t="s">
        <f>=HYPERLINK("https://main.knesset.gov.il/APPS/legislation/main/bills/2198848", "הצעת חוק לעידוד חקלאות גגות (תיקוני חקיקה), התשפ""ג-2023")</f>
        <v>11927</v>
      </c>
      <c r="E6029" t="s">
        <v>11927</v>
      </c>
      <c r="F6029" t="s">
        <v>11928</v>
      </c>
      <c r="G6029" t="s">
        <v>14</v>
      </c>
      <c r="H6029">
             </c>
      <c r="I6029" t="s">
        <v>14</v>
      </c>
      <c r="J6029" t="s">
        <v>141</v>
      </c>
      <c r="K6029" t="s">
        <v>14</v>
      </c>
      <c r="L6029" t="s">
        <v>20</v>
      </c>
      <c r="M6029" t="s">
        <v>11676</v>
      </c>
      <c r="N6029" t="s">
        <v>14</v>
      </c>
    </row>
    <row r="6030" x14ac:dyDescent="0.25">
      <c r="A6030" t="n">
        <v>25</v>
      </c>
      <c r="B6030" t="s">
        <v>14</v>
      </c>
      <c r="C6030" t="s">
        <v>22</v>
      </c>
      <c r="D6030" s="2" t="s">
        <f>=HYPERLINK("https://main.knesset.gov.il/APPS/legislation/main/bills/2196596", "הצעת חוק פיקוח על בתי ספר (תיקון - הרחבת תוקפו של רישיון), התשפ""ג-2023")</f>
        <v>11929</v>
      </c>
      <c r="E6030" t="s">
        <v>11929</v>
      </c>
      <c r="F6030" t="s">
        <v>11930</v>
      </c>
      <c r="G6030" t="s">
        <v>14</v>
      </c>
      <c r="H6030">
             </c>
      <c r="I6030" t="s">
        <v>14</v>
      </c>
      <c r="J6030" t="s">
        <v>141</v>
      </c>
      <c r="K6030" t="s">
        <v>14</v>
      </c>
      <c r="L6030" t="s">
        <v>20</v>
      </c>
      <c r="M6030" t="s">
        <v>11676</v>
      </c>
      <c r="N6030" t="s">
        <v>14</v>
      </c>
    </row>
    <row r="6031" x14ac:dyDescent="0.25">
      <c r="A6031" t="n">
        <v>25</v>
      </c>
      <c r="B6031" t="s">
        <v>14</v>
      </c>
      <c r="C6031" t="s">
        <v>22</v>
      </c>
      <c r="D6031" s="2" t="s">
        <f>=HYPERLINK("https://main.knesset.gov.il/APPS/legislation/main/bills/2197835", "הצעת חוק התכנון והבנייה (תיקון - ייצוג הולם לאוכלוסייה הערבית במוסדות התכנון), התשפ""ג-2023")</f>
        <v>10208</v>
      </c>
      <c r="E6031" t="s">
        <v>10208</v>
      </c>
      <c r="F6031" t="s">
        <v>11931</v>
      </c>
      <c r="G6031" t="s">
        <v>14</v>
      </c>
      <c r="H6031">
             </c>
      <c r="I6031" t="s">
        <v>14</v>
      </c>
      <c r="J6031" t="s">
        <v>141</v>
      </c>
      <c r="K6031" t="s">
        <v>14</v>
      </c>
      <c r="L6031" t="s">
        <v>20</v>
      </c>
      <c r="M6031" t="s">
        <v>11676</v>
      </c>
      <c r="N6031" t="s">
        <v>14</v>
      </c>
    </row>
    <row r="6032" x14ac:dyDescent="0.25">
      <c r="A6032" t="n">
        <v>25</v>
      </c>
      <c r="B6032" t="s">
        <v>14</v>
      </c>
      <c r="C6032" t="s">
        <v>22</v>
      </c>
      <c r="D6032" s="2" t="s">
        <f>=HYPERLINK("https://main.knesset.gov.il/APPS/legislation/main/bills/2198767", "הצעת חוק הרשויות המקומיות (גמול השתתפות בישיבות והחזר הוצאות לחברי מועצה), התשפ""ג-2023")</f>
        <v>2846</v>
      </c>
      <c r="E6032" t="s">
        <v>2846</v>
      </c>
      <c r="F6032" t="s">
        <v>11932</v>
      </c>
      <c r="G6032" t="s">
        <v>14</v>
      </c>
      <c r="H6032">
             </c>
      <c r="I6032" t="s">
        <v>14</v>
      </c>
      <c r="J6032" t="s">
        <v>141</v>
      </c>
      <c r="K6032" t="s">
        <v>14</v>
      </c>
      <c r="L6032" t="s">
        <v>20</v>
      </c>
      <c r="M6032" t="s">
        <v>11676</v>
      </c>
      <c r="N6032" t="s">
        <v>14</v>
      </c>
    </row>
    <row r="6033" x14ac:dyDescent="0.25">
      <c r="A6033" t="n">
        <v>25</v>
      </c>
      <c r="B6033" t="s">
        <v>14</v>
      </c>
      <c r="C6033" t="s">
        <v>22</v>
      </c>
      <c r="D6033" s="2" t="s">
        <f>=HYPERLINK("https://main.knesset.gov.il/APPS/legislation/main/bills/2196188", "הצעת חוק שופט עמית ודיין עמית (תיקוני חקיקה), התשפ""ג-2023")</f>
        <v>11933</v>
      </c>
      <c r="E6033" t="s">
        <v>11933</v>
      </c>
      <c r="F6033" t="s">
        <v>11934</v>
      </c>
      <c r="G6033" t="s">
        <v>14</v>
      </c>
      <c r="H6033">
             </c>
      <c r="I6033" t="s">
        <v>14</v>
      </c>
      <c r="J6033" t="s">
        <v>141</v>
      </c>
      <c r="K6033" t="s">
        <v>14</v>
      </c>
      <c r="L6033" t="s">
        <v>20</v>
      </c>
      <c r="M6033" t="s">
        <v>11676</v>
      </c>
      <c r="N6033" t="s">
        <v>14</v>
      </c>
    </row>
    <row r="6034" x14ac:dyDescent="0.25">
      <c r="A6034" t="n">
        <v>25</v>
      </c>
      <c r="B6034" t="s">
        <v>14</v>
      </c>
      <c r="C6034" t="s">
        <v>22</v>
      </c>
      <c r="D6034" s="2" t="s">
        <f>=HYPERLINK("https://main.knesset.gov.il/APPS/legislation/main/bills/2198913", "הצעת חוק לתיקון פקודת מס הכנסה (ביטול מס בגין זקיפה סלולרית), התשפ""ג-2023")</f>
        <v>11935</v>
      </c>
      <c r="E6034" t="s">
        <v>11935</v>
      </c>
      <c r="F6034" t="s">
        <v>11936</v>
      </c>
      <c r="G6034" t="s">
        <v>14</v>
      </c>
      <c r="H6034">
             </c>
      <c r="I6034" t="s">
        <v>14</v>
      </c>
      <c r="J6034" t="s">
        <v>141</v>
      </c>
      <c r="K6034" t="s">
        <v>14</v>
      </c>
      <c r="L6034" t="s">
        <v>20</v>
      </c>
      <c r="M6034" t="s">
        <v>11676</v>
      </c>
      <c r="N6034" t="s">
        <v>14</v>
      </c>
    </row>
    <row r="6035" x14ac:dyDescent="0.25">
      <c r="A6035" t="n">
        <v>25</v>
      </c>
      <c r="B6035" t="s">
        <v>14</v>
      </c>
      <c r="C6035" t="s">
        <v>22</v>
      </c>
      <c r="D6035" s="2" t="s">
        <f>=HYPERLINK("https://main.knesset.gov.il/APPS/legislation/main/bills/2196192", "הצעת חוק שיפוט בתי דין רבניים (נישואין וגירושין) (תיקון - סמכות שיפוט בהסכמה בעניין אזרחי), התשפ""ג-2023")</f>
        <v>11937</v>
      </c>
      <c r="E6035" t="s">
        <v>11937</v>
      </c>
      <c r="F6035" t="s">
        <v>11938</v>
      </c>
      <c r="G6035" t="s">
        <v>14</v>
      </c>
      <c r="H6035">
             </c>
      <c r="I6035" t="s">
        <v>14</v>
      </c>
      <c r="J6035" t="s">
        <v>141</v>
      </c>
      <c r="K6035" t="s">
        <v>14</v>
      </c>
      <c r="L6035" t="s">
        <v>20</v>
      </c>
      <c r="M6035" t="s">
        <v>11676</v>
      </c>
      <c r="N6035" t="s">
        <v>14</v>
      </c>
    </row>
    <row r="6036" x14ac:dyDescent="0.25">
      <c r="A6036" t="n">
        <v>25</v>
      </c>
      <c r="B6036" t="s">
        <v>14</v>
      </c>
      <c r="C6036" t="s">
        <v>22</v>
      </c>
      <c r="D6036" s="2" t="s">
        <f>=HYPERLINK("https://main.knesset.gov.il/APPS/legislation/main/bills/2198589", "הצעת חוק מימון מפלגות (תיקון - שלילת מימון ממפלגה שקוראת להטלת חרם על מדינת ישראל), התשפ""ג-2023")</f>
        <v>10474</v>
      </c>
      <c r="E6036" t="s">
        <v>10474</v>
      </c>
      <c r="F6036" t="s">
        <v>11939</v>
      </c>
      <c r="G6036" t="s">
        <v>14</v>
      </c>
      <c r="H6036">
             </c>
      <c r="I6036" t="s">
        <v>14</v>
      </c>
      <c r="J6036" t="s">
        <v>141</v>
      </c>
      <c r="K6036" t="s">
        <v>14</v>
      </c>
      <c r="L6036" t="s">
        <v>20</v>
      </c>
      <c r="M6036" t="s">
        <v>11676</v>
      </c>
      <c r="N6036" t="s">
        <v>14</v>
      </c>
    </row>
    <row r="6037" x14ac:dyDescent="0.25">
      <c r="A6037" t="n">
        <v>25</v>
      </c>
      <c r="B6037" t="s">
        <v>14</v>
      </c>
      <c r="C6037" t="s">
        <v>22</v>
      </c>
      <c r="D6037" s="2" t="s">
        <f>=HYPERLINK("https://main.knesset.gov.il/APPS/legislation/main/bills/2196175", "הצעת חוק ההוצאה לפועל (תיקון - הגבלת סכום עיקול בידי צד שלישי שהוא תאגיד בנקאי), התשפ""ג-2023")</f>
        <v>10109</v>
      </c>
      <c r="E6037" t="s">
        <v>10109</v>
      </c>
      <c r="F6037" t="s">
        <v>11940</v>
      </c>
      <c r="G6037" t="s">
        <v>14</v>
      </c>
      <c r="H6037">
             </c>
      <c r="I6037" t="s">
        <v>14</v>
      </c>
      <c r="J6037" t="s">
        <v>343</v>
      </c>
      <c r="K6037" t="s">
        <v>14</v>
      </c>
      <c r="L6037" t="s">
        <v>20</v>
      </c>
      <c r="M6037" t="s">
        <v>11676</v>
      </c>
      <c r="N6037" t="s">
        <v>14</v>
      </c>
    </row>
    <row r="6038" x14ac:dyDescent="0.25">
      <c r="A6038" t="n">
        <v>25</v>
      </c>
      <c r="B6038" t="s">
        <v>14</v>
      </c>
      <c r="C6038" t="s">
        <v>22</v>
      </c>
      <c r="D6038" s="2" t="s">
        <f>=HYPERLINK("https://main.knesset.gov.il/APPS/legislation/main/bills/2196183", "הצעת חוק המסייעים לנטרול תוצאות אסון צ'רנוביל (תיקון - הגדלת המענק השנתי ושיפור זכויות), התשפ""ג-2023")</f>
        <v>11941</v>
      </c>
      <c r="E6038" t="s">
        <v>11941</v>
      </c>
      <c r="F6038" t="s">
        <v>11942</v>
      </c>
      <c r="G6038" t="s">
        <v>14</v>
      </c>
      <c r="H6038">
             </c>
      <c r="I6038" t="s">
        <v>14</v>
      </c>
      <c r="J6038" t="s">
        <v>141</v>
      </c>
      <c r="K6038" t="s">
        <v>14</v>
      </c>
      <c r="L6038" t="s">
        <v>20</v>
      </c>
      <c r="M6038" t="s">
        <v>11676</v>
      </c>
      <c r="N6038" t="s">
        <v>14</v>
      </c>
    </row>
    <row r="6039" x14ac:dyDescent="0.25">
      <c r="A6039" t="n">
        <v>25</v>
      </c>
      <c r="B6039" t="s">
        <v>14</v>
      </c>
      <c r="C6039" t="s">
        <v>22</v>
      </c>
      <c r="D6039" s="2" t="s">
        <f>=HYPERLINK("https://main.knesset.gov.il/APPS/legislation/main/bills/2196186", "הצעת חוק לתיקון פקודת התעבורה (מרכז שירות ארצי לעניין כרטיס רב-קו), התשפ""ג-2023")</f>
        <v>10857</v>
      </c>
      <c r="E6039" t="s">
        <v>10857</v>
      </c>
      <c r="F6039" t="s">
        <v>11943</v>
      </c>
      <c r="G6039" t="s">
        <v>14</v>
      </c>
      <c r="H6039">
             </c>
      <c r="I6039" t="s">
        <v>14</v>
      </c>
      <c r="J6039" t="s">
        <v>141</v>
      </c>
      <c r="K6039" t="s">
        <v>14</v>
      </c>
      <c r="L6039" t="s">
        <v>20</v>
      </c>
      <c r="M6039" t="s">
        <v>11676</v>
      </c>
      <c r="N6039" t="s">
        <v>14</v>
      </c>
    </row>
    <row r="6040" x14ac:dyDescent="0.25">
      <c r="A6040" t="n">
        <v>25</v>
      </c>
      <c r="B6040" t="s">
        <v>14</v>
      </c>
      <c r="C6040" t="s">
        <v>22</v>
      </c>
      <c r="D6040" s="2" t="s">
        <f>=HYPERLINK("https://main.knesset.gov.il/APPS/legislation/main/bills/2196131", "הצעת חוק-יסוד: כבוד האדם וחירותו (תיקון - תוקפו של חוק חורג)")</f>
        <v>11944</v>
      </c>
      <c r="E6040" t="s">
        <v>11944</v>
      </c>
      <c r="F6040" t="s">
        <v>11945</v>
      </c>
      <c r="G6040" t="s">
        <v>14</v>
      </c>
      <c r="H6040">
             </c>
      <c r="I6040" t="s">
        <v>14</v>
      </c>
      <c r="J6040" t="s">
        <v>141</v>
      </c>
      <c r="K6040" t="s">
        <v>14</v>
      </c>
      <c r="L6040" t="s">
        <v>20</v>
      </c>
      <c r="M6040" t="s">
        <v>11676</v>
      </c>
      <c r="N6040" t="s">
        <v>14</v>
      </c>
    </row>
    <row r="6041" x14ac:dyDescent="0.25">
      <c r="A6041" t="n">
        <v>25</v>
      </c>
      <c r="B6041" t="s">
        <v>14</v>
      </c>
      <c r="C6041" t="s">
        <v>22</v>
      </c>
      <c r="D6041" s="2" t="s">
        <f>=HYPERLINK("https://main.knesset.gov.il/APPS/legislation/main/bills/2196573", "הצעת חוק העונשין (תיקון - איסור שידול קטינים להוצאה בשאלה), התשפ""ג-2023")</f>
        <v>11946</v>
      </c>
      <c r="E6041" t="s">
        <v>11946</v>
      </c>
      <c r="F6041" t="s">
        <v>11947</v>
      </c>
      <c r="G6041" t="s">
        <v>14</v>
      </c>
      <c r="H6041">
             </c>
      <c r="I6041" t="s">
        <v>14</v>
      </c>
      <c r="J6041" t="s">
        <v>141</v>
      </c>
      <c r="K6041" t="s">
        <v>14</v>
      </c>
      <c r="L6041" t="s">
        <v>20</v>
      </c>
      <c r="M6041" t="s">
        <v>11676</v>
      </c>
      <c r="N6041" t="s">
        <v>14</v>
      </c>
    </row>
    <row r="6042" x14ac:dyDescent="0.25">
      <c r="A6042" t="n">
        <v>25</v>
      </c>
      <c r="B6042" t="s">
        <v>14</v>
      </c>
      <c r="C6042" t="s">
        <v>22</v>
      </c>
      <c r="D6042" s="2" t="s">
        <f>=HYPERLINK("https://main.knesset.gov.il/APPS/legislation/main/bills/2198971", "הצעת חוק הרשויות המקומיות (מימון בחירות) (תיקון - הגברת עידוד התמודדות נשים לראשות רשות מקומית או מועצה אזורית), התשפ""ג-2023")</f>
        <v>11948</v>
      </c>
      <c r="E6042" t="s">
        <v>11948</v>
      </c>
      <c r="F6042" t="s">
        <v>11949</v>
      </c>
      <c r="G6042" t="s">
        <v>14</v>
      </c>
      <c r="H6042">
             </c>
      <c r="I6042" t="s">
        <v>14</v>
      </c>
      <c r="J6042" t="s">
        <v>141</v>
      </c>
      <c r="K6042" t="s">
        <v>14</v>
      </c>
      <c r="L6042" t="s">
        <v>20</v>
      </c>
      <c r="M6042" t="s">
        <v>11676</v>
      </c>
      <c r="N6042" t="s">
        <v>14</v>
      </c>
    </row>
    <row r="6043" x14ac:dyDescent="0.25">
      <c r="A6043" t="n">
        <v>25</v>
      </c>
      <c r="B6043" t="s">
        <v>14</v>
      </c>
      <c r="C6043" t="s">
        <v>22</v>
      </c>
      <c r="D6043" s="2" t="s">
        <f>=HYPERLINK("https://main.knesset.gov.il/APPS/legislation/main/bills/2196363", "הצעת חוק לתיקון פקודת התעבורה (פיצוי כספי בגין איחור אוטובוס), התשפ""ג-2023")</f>
        <v>9262</v>
      </c>
      <c r="E6043" t="s">
        <v>9262</v>
      </c>
      <c r="F6043" t="s">
        <v>11950</v>
      </c>
      <c r="G6043" t="s">
        <v>14</v>
      </c>
      <c r="H6043">
             </c>
      <c r="I6043" t="s">
        <v>14</v>
      </c>
      <c r="J6043" t="s">
        <v>141</v>
      </c>
      <c r="K6043" t="s">
        <v>14</v>
      </c>
      <c r="L6043" t="s">
        <v>20</v>
      </c>
      <c r="M6043" t="s">
        <v>11676</v>
      </c>
      <c r="N6043" t="s">
        <v>14</v>
      </c>
    </row>
    <row r="6044" x14ac:dyDescent="0.25">
      <c r="A6044" t="n">
        <v>25</v>
      </c>
      <c r="B6044" t="s">
        <v>14</v>
      </c>
      <c r="C6044" t="s">
        <v>22</v>
      </c>
      <c r="D6044" s="2" t="s">
        <f>=HYPERLINK("https://main.knesset.gov.il/APPS/legislation/main/bills/2197827", "הצעת חוק התכנון והבנייה (תיקון - זימון נציג הגופים הציבוריים שעניינם בשמירת איכות הסביבה לדיוני הוועדה המקומית), התשפ״ג-2023")</f>
        <v>11951</v>
      </c>
      <c r="E6044" t="s">
        <v>11951</v>
      </c>
      <c r="F6044" t="s">
        <v>11952</v>
      </c>
      <c r="G6044" t="s">
        <v>14</v>
      </c>
      <c r="H6044">
             </c>
      <c r="I6044" t="s">
        <v>14</v>
      </c>
      <c r="J6044" t="s">
        <v>141</v>
      </c>
      <c r="K6044" t="s">
        <v>14</v>
      </c>
      <c r="L6044" t="s">
        <v>20</v>
      </c>
      <c r="M6044" t="s">
        <v>11676</v>
      </c>
      <c r="N6044" t="s">
        <v>14</v>
      </c>
    </row>
    <row r="6045" x14ac:dyDescent="0.25">
      <c r="A6045" t="n">
        <v>25</v>
      </c>
      <c r="B6045" t="s">
        <v>14</v>
      </c>
      <c r="C6045" t="s">
        <v>22</v>
      </c>
      <c r="D6045" s="2" t="s">
        <f>=HYPERLINK("https://main.knesset.gov.il/APPS/legislation/main/bills/2196180", "הצעת חוק חסינות רבנים, התשפ""ג-2023")</f>
        <v>11953</v>
      </c>
      <c r="E6045" t="s">
        <v>11953</v>
      </c>
      <c r="F6045" t="s">
        <v>11954</v>
      </c>
      <c r="G6045" t="s">
        <v>14</v>
      </c>
      <c r="H6045">
             </c>
      <c r="I6045" t="s">
        <v>14</v>
      </c>
      <c r="J6045" t="s">
        <v>141</v>
      </c>
      <c r="K6045" t="s">
        <v>14</v>
      </c>
      <c r="L6045" t="s">
        <v>20</v>
      </c>
      <c r="M6045" t="s">
        <v>11676</v>
      </c>
      <c r="N6045" t="s">
        <v>14</v>
      </c>
    </row>
    <row r="6046" x14ac:dyDescent="0.25">
      <c r="A6046" t="n">
        <v>25</v>
      </c>
      <c r="B6046" t="s">
        <v>14</v>
      </c>
      <c r="C6046" t="s">
        <v>22</v>
      </c>
      <c r="D6046" s="2" t="s">
        <f>=HYPERLINK("https://main.knesset.gov.il/APPS/legislation/main/bills/2196058", "הצעת חוק שירות ביטחון (תיקון - ביטול גיוס חובה), התשפ""ג-2023")</f>
        <v>11955</v>
      </c>
      <c r="E6046" t="s">
        <v>11955</v>
      </c>
      <c r="F6046" t="s">
        <v>11956</v>
      </c>
      <c r="G6046" t="s">
        <v>14</v>
      </c>
      <c r="H6046">
             </c>
      <c r="I6046" t="s">
        <v>14</v>
      </c>
      <c r="J6046" t="s">
        <v>141</v>
      </c>
      <c r="K6046" t="s">
        <v>14</v>
      </c>
      <c r="L6046" t="s">
        <v>20</v>
      </c>
      <c r="M6046" t="s">
        <v>11676</v>
      </c>
      <c r="N6046" t="s">
        <v>14</v>
      </c>
    </row>
    <row r="6047" x14ac:dyDescent="0.25">
      <c r="A6047" t="n">
        <v>25</v>
      </c>
      <c r="B6047" t="s">
        <v>14</v>
      </c>
      <c r="C6047" t="s">
        <v>22</v>
      </c>
      <c r="D6047" s="2" t="s">
        <f>=HYPERLINK("https://main.knesset.gov.il/APPS/legislation/main/bills/2197789", "הצעת חוק לימוד חובה (תיקון - הבטחת פיקוח פרלמנטרי על תשלומי הורים), התשפ""ג-2023")</f>
        <v>11957</v>
      </c>
      <c r="E6047" t="s">
        <v>11957</v>
      </c>
      <c r="F6047" t="s">
        <v>11958</v>
      </c>
      <c r="G6047" t="s">
        <v>14</v>
      </c>
      <c r="H6047">
             </c>
      <c r="I6047" t="s">
        <v>14</v>
      </c>
      <c r="J6047" t="s">
        <v>141</v>
      </c>
      <c r="K6047" t="s">
        <v>14</v>
      </c>
      <c r="L6047" t="s">
        <v>20</v>
      </c>
      <c r="M6047" t="s">
        <v>11676</v>
      </c>
      <c r="N6047" t="s">
        <v>14</v>
      </c>
    </row>
    <row r="6048" x14ac:dyDescent="0.25">
      <c r="A6048" t="n">
        <v>25</v>
      </c>
      <c r="B6048" t="s">
        <v>14</v>
      </c>
      <c r="C6048" t="s">
        <v>22</v>
      </c>
      <c r="D6048" s="2" t="s">
        <f>=HYPERLINK("https://main.knesset.gov.il/APPS/legislation/main/bills/2196190", "הצעת חוק איסור לשון הרע (תיקון - השתייכות חברתית), התשפ""ג-2023")</f>
        <v>10815</v>
      </c>
      <c r="E6048" t="s">
        <v>10815</v>
      </c>
      <c r="F6048" t="s">
        <v>11959</v>
      </c>
      <c r="G6048" t="s">
        <v>14</v>
      </c>
      <c r="H6048">
             </c>
      <c r="I6048" t="s">
        <v>14</v>
      </c>
      <c r="J6048" t="s">
        <v>141</v>
      </c>
      <c r="K6048" t="s">
        <v>14</v>
      </c>
      <c r="L6048" t="s">
        <v>20</v>
      </c>
      <c r="M6048" t="s">
        <v>11676</v>
      </c>
      <c r="N6048" t="s">
        <v>14</v>
      </c>
    </row>
    <row r="6049" x14ac:dyDescent="0.25">
      <c r="A6049" t="n">
        <v>25</v>
      </c>
      <c r="B6049" t="s">
        <v>14</v>
      </c>
      <c r="C6049" t="s">
        <v>22</v>
      </c>
      <c r="D6049" s="2" t="s">
        <f>=HYPERLINK("https://main.knesset.gov.il/APPS/legislation/main/bills/2198901", "הצעת חוק הסדרת מקומות רחצה (תיקון - ייעוד זמנים לרחצה נפרדת באתרי טבע), התשפ""ג-2023")</f>
        <v>11158</v>
      </c>
      <c r="E6049" t="s">
        <v>11158</v>
      </c>
      <c r="F6049" t="s">
        <v>11960</v>
      </c>
      <c r="G6049" t="s">
        <v>14</v>
      </c>
      <c r="H6049">
             </c>
      <c r="I6049" t="s">
        <v>14</v>
      </c>
      <c r="J6049" t="s">
        <v>141</v>
      </c>
      <c r="K6049" t="s">
        <v>14</v>
      </c>
      <c r="L6049" t="s">
        <v>20</v>
      </c>
      <c r="M6049" t="s">
        <v>11676</v>
      </c>
      <c r="N6049" t="s">
        <v>14</v>
      </c>
    </row>
    <row r="6050" x14ac:dyDescent="0.25">
      <c r="A6050" t="n">
        <v>25</v>
      </c>
      <c r="B6050" t="s">
        <v>14</v>
      </c>
      <c r="C6050" t="s">
        <v>22</v>
      </c>
      <c r="D6050" s="2" t="s">
        <f>=HYPERLINK("https://main.knesset.gov.il/APPS/legislation/main/bills/2196167", "הצעת חוק הבחירות לכנסת (תיקון - אחוז החסימה), התשפ""ג-2023")</f>
        <v>11925</v>
      </c>
      <c r="E6050" t="s">
        <v>11925</v>
      </c>
      <c r="F6050" t="s">
        <v>11961</v>
      </c>
      <c r="G6050" t="s">
        <v>14</v>
      </c>
      <c r="H6050">
             </c>
      <c r="I6050" t="s">
        <v>14</v>
      </c>
      <c r="J6050" t="s">
        <v>141</v>
      </c>
      <c r="K6050" t="s">
        <v>14</v>
      </c>
      <c r="L6050" t="s">
        <v>20</v>
      </c>
      <c r="M6050" t="s">
        <v>11676</v>
      </c>
      <c r="N6050" t="s">
        <v>14</v>
      </c>
    </row>
    <row r="6051" x14ac:dyDescent="0.25">
      <c r="A6051" t="n">
        <v>25</v>
      </c>
      <c r="B6051" t="s">
        <v>14</v>
      </c>
      <c r="C6051" t="s">
        <v>22</v>
      </c>
      <c r="D6051" s="2" t="s">
        <f>=HYPERLINK("https://main.knesset.gov.il/APPS/legislation/main/bills/2198948", "הצעת חוק-יסוד: זכויות בהליך פלילי")</f>
        <v>2388</v>
      </c>
      <c r="E6051" t="s">
        <v>2388</v>
      </c>
      <c r="F6051" t="s">
        <v>11962</v>
      </c>
      <c r="G6051" t="s">
        <v>14</v>
      </c>
      <c r="H6051">
             </c>
      <c r="I6051" t="s">
        <v>14</v>
      </c>
      <c r="J6051" t="s">
        <v>141</v>
      </c>
      <c r="K6051" t="s">
        <v>14</v>
      </c>
      <c r="L6051" t="s">
        <v>20</v>
      </c>
      <c r="M6051" t="s">
        <v>11676</v>
      </c>
      <c r="N6051" t="s">
        <v>14</v>
      </c>
    </row>
    <row r="6052" x14ac:dyDescent="0.25">
      <c r="A6052" t="n">
        <v>25</v>
      </c>
      <c r="B6052" t="s">
        <v>14</v>
      </c>
      <c r="C6052" t="s">
        <v>22</v>
      </c>
      <c r="D6052" s="2" t="s">
        <f>=HYPERLINK("https://main.knesset.gov.il/APPS/legislation/main/bills/2198539", "הצעת חוק התחרות הכלכלית (תיקון - הכרזה על בעל מונופולין), התשפ""ג-2023")</f>
        <v>11963</v>
      </c>
      <c r="E6052" t="s">
        <v>11963</v>
      </c>
      <c r="F6052" t="s">
        <v>11964</v>
      </c>
      <c r="G6052" t="s">
        <v>14</v>
      </c>
      <c r="H6052">
             </c>
      <c r="I6052" t="s">
        <v>14</v>
      </c>
      <c r="J6052" t="s">
        <v>141</v>
      </c>
      <c r="K6052" t="s">
        <v>14</v>
      </c>
      <c r="L6052" t="s">
        <v>20</v>
      </c>
      <c r="M6052" t="s">
        <v>11676</v>
      </c>
      <c r="N6052" t="s">
        <v>14</v>
      </c>
    </row>
    <row r="6053" x14ac:dyDescent="0.25">
      <c r="A6053" t="n">
        <v>25</v>
      </c>
      <c r="B6053" t="s">
        <v>14</v>
      </c>
      <c r="C6053" t="s">
        <v>22</v>
      </c>
      <c r="D6053" s="2" t="s">
        <f>=HYPERLINK("https://main.knesset.gov.il/APPS/legislation/main/bills/2199112", "הצעת חוק תאגידי מים וביוב (תיקון - הקמת ועדת הנחות), התשפ""ג-2023")</f>
        <v>7225</v>
      </c>
      <c r="E6053" t="s">
        <v>7225</v>
      </c>
      <c r="F6053" t="s">
        <v>11965</v>
      </c>
      <c r="G6053" t="s">
        <v>14</v>
      </c>
      <c r="H6053">
             </c>
      <c r="I6053" t="s">
        <v>14</v>
      </c>
      <c r="J6053" t="s">
        <v>141</v>
      </c>
      <c r="K6053" t="s">
        <v>14</v>
      </c>
      <c r="L6053" t="s">
        <v>20</v>
      </c>
      <c r="M6053" t="s">
        <v>11676</v>
      </c>
      <c r="N6053" t="s">
        <v>14</v>
      </c>
    </row>
    <row r="6054" x14ac:dyDescent="0.25">
      <c r="A6054" t="n">
        <v>25</v>
      </c>
      <c r="B6054" t="s">
        <v>14</v>
      </c>
      <c r="C6054" t="s">
        <v>22</v>
      </c>
      <c r="D6054" s="2" t="s">
        <f>=HYPERLINK("https://main.knesset.gov.il/APPS/legislation/main/bills/2198953", "הצעת חוק-יסוד: הכנסת (תיקון - הצהרת אמונים)")</f>
        <v>11966</v>
      </c>
      <c r="E6054" t="s">
        <v>11966</v>
      </c>
      <c r="F6054" t="s">
        <v>11967</v>
      </c>
      <c r="G6054" t="s">
        <v>14</v>
      </c>
      <c r="H6054">
             </c>
      <c r="I6054" t="s">
        <v>14</v>
      </c>
      <c r="J6054" t="s">
        <v>141</v>
      </c>
      <c r="K6054" t="s">
        <v>14</v>
      </c>
      <c r="L6054" t="s">
        <v>20</v>
      </c>
      <c r="M6054" t="s">
        <v>11676</v>
      </c>
      <c r="N6054" t="s">
        <v>14</v>
      </c>
    </row>
    <row r="6055" x14ac:dyDescent="0.25">
      <c r="A6055" t="n">
        <v>25</v>
      </c>
      <c r="B6055" t="s">
        <v>14</v>
      </c>
      <c r="C6055" t="s">
        <v>22</v>
      </c>
      <c r="D6055" s="2" t="s">
        <f>=HYPERLINK("https://main.knesset.gov.il/APPS/legislation/main/bills/2199117", "הצעת חוק זכויות הדייר בדיור הציבורי (תיקון - זכאות לאימהות יחידניות המקבלות מזונות ילדים), התשפ""ג-2023")</f>
        <v>10658</v>
      </c>
      <c r="E6055" t="s">
        <v>10658</v>
      </c>
      <c r="F6055" t="s">
        <v>11968</v>
      </c>
      <c r="G6055" t="s">
        <v>14</v>
      </c>
      <c r="H6055">
             </c>
      <c r="I6055" t="s">
        <v>14</v>
      </c>
      <c r="J6055" t="s">
        <v>141</v>
      </c>
      <c r="K6055" t="s">
        <v>14</v>
      </c>
      <c r="L6055" t="s">
        <v>20</v>
      </c>
      <c r="M6055" t="s">
        <v>11676</v>
      </c>
      <c r="N6055" t="s">
        <v>14</v>
      </c>
    </row>
    <row r="6056" x14ac:dyDescent="0.25">
      <c r="A6056" t="n">
        <v>25</v>
      </c>
      <c r="B6056" t="s">
        <v>14</v>
      </c>
      <c r="C6056" t="s">
        <v>22</v>
      </c>
      <c r="D6056" s="2" t="s">
        <f>=HYPERLINK("https://main.knesset.gov.il/APPS/legislation/main/bills/2198895", "הצעת חוק שירות המדינה (מינויים) (תיקון - מינוי יועצים משפטיים של משרדים), התשפ""ג-2023")</f>
        <v>11055</v>
      </c>
      <c r="E6056" t="s">
        <v>11055</v>
      </c>
      <c r="F6056" t="s">
        <v>11969</v>
      </c>
      <c r="G6056" t="s">
        <v>14</v>
      </c>
      <c r="H6056">
             </c>
      <c r="I6056" t="s">
        <v>14</v>
      </c>
      <c r="J6056" t="s">
        <v>141</v>
      </c>
      <c r="K6056" t="s">
        <v>14</v>
      </c>
      <c r="L6056" t="s">
        <v>20</v>
      </c>
      <c r="M6056" t="s">
        <v>11676</v>
      </c>
      <c r="N6056" t="s">
        <v>14</v>
      </c>
    </row>
    <row r="6057" x14ac:dyDescent="0.25">
      <c r="A6057" t="n">
        <v>25</v>
      </c>
      <c r="B6057" t="s">
        <v>14</v>
      </c>
      <c r="C6057" t="s">
        <v>22</v>
      </c>
      <c r="D6057" s="2" t="s">
        <f>=HYPERLINK("https://main.knesset.gov.il/APPS/legislation/main/bills/2198918", "הצעת חוק לשיפור השירות במגזר הציבורי ולמניעת התעמרות של עובדי הציבור בתושבי המדינה ובמגזר העסקי, התשפ""ג-2023")</f>
        <v>11970</v>
      </c>
      <c r="E6057" t="s">
        <v>11970</v>
      </c>
      <c r="F6057" t="s">
        <v>11971</v>
      </c>
      <c r="G6057" t="s">
        <v>14</v>
      </c>
      <c r="H6057">
             </c>
      <c r="I6057" t="s">
        <v>14</v>
      </c>
      <c r="J6057" t="s">
        <v>141</v>
      </c>
      <c r="K6057" t="s">
        <v>14</v>
      </c>
      <c r="L6057" t="s">
        <v>20</v>
      </c>
      <c r="M6057" t="s">
        <v>11676</v>
      </c>
      <c r="N6057" t="s">
        <v>14</v>
      </c>
    </row>
    <row r="6058" x14ac:dyDescent="0.25">
      <c r="A6058" t="n">
        <v>25</v>
      </c>
      <c r="B6058" t="s">
        <v>14</v>
      </c>
      <c r="C6058" t="s">
        <v>22</v>
      </c>
      <c r="D6058" s="2" t="s">
        <f>=HYPERLINK("https://main.knesset.gov.il/APPS/legislation/main/bills/2197468", "הצעת חוק כבילת עצורים ואסירים שלא כדין - עוולה אזרחית (תיקוני חקיקה), התשפ""ג-2023")</f>
        <v>11972</v>
      </c>
      <c r="E6058" t="s">
        <v>11972</v>
      </c>
      <c r="F6058" t="s">
        <v>11973</v>
      </c>
      <c r="G6058" t="s">
        <v>14</v>
      </c>
      <c r="H6058">
             </c>
      <c r="I6058" t="s">
        <v>14</v>
      </c>
      <c r="J6058" t="s">
        <v>141</v>
      </c>
      <c r="K6058" t="s">
        <v>14</v>
      </c>
      <c r="L6058" t="s">
        <v>20</v>
      </c>
      <c r="M6058" t="s">
        <v>11676</v>
      </c>
      <c r="N6058" t="s">
        <v>14</v>
      </c>
    </row>
    <row r="6059" x14ac:dyDescent="0.25">
      <c r="A6059" t="n">
        <v>25</v>
      </c>
      <c r="B6059" t="s">
        <v>14</v>
      </c>
      <c r="C6059" t="s">
        <v>22</v>
      </c>
      <c r="D6059" s="2" t="s">
        <f>=HYPERLINK("https://main.knesset.gov.il/APPS/legislation/main/bills/2198899", "הצעת חוק איסור חקירה בדבר עברו המיני של נפגע עבירה (תיקוני חקיקה), התשפ""ג-2023")</f>
        <v>11974</v>
      </c>
      <c r="E6059" t="s">
        <v>11974</v>
      </c>
      <c r="F6059" t="s">
        <v>11975</v>
      </c>
      <c r="G6059" t="s">
        <v>14</v>
      </c>
      <c r="H6059">
             </c>
      <c r="I6059" t="s">
        <v>14</v>
      </c>
      <c r="J6059" t="s">
        <v>141</v>
      </c>
      <c r="K6059" t="s">
        <v>14</v>
      </c>
      <c r="L6059" t="s">
        <v>20</v>
      </c>
      <c r="M6059" t="s">
        <v>11676</v>
      </c>
      <c r="N6059" t="s">
        <v>14</v>
      </c>
    </row>
    <row r="6060" x14ac:dyDescent="0.25">
      <c r="A6060" t="n">
        <v>25</v>
      </c>
      <c r="B6060" t="s">
        <v>14</v>
      </c>
      <c r="C6060" t="s">
        <v>22</v>
      </c>
      <c r="D6060" s="2" t="s">
        <f>=HYPERLINK("https://main.knesset.gov.il/APPS/legislation/main/bills/2198892", "הצעת חוק-יסוד: כבוד האדם וחירותו (תיקון - תוקפו של חוק חורג)")</f>
        <v>11944</v>
      </c>
      <c r="E6060" t="s">
        <v>11944</v>
      </c>
      <c r="F6060" t="s">
        <v>11976</v>
      </c>
      <c r="G6060" t="s">
        <v>14</v>
      </c>
      <c r="H6060">
             </c>
      <c r="I6060" t="s">
        <v>14</v>
      </c>
      <c r="J6060" t="s">
        <v>141</v>
      </c>
      <c r="K6060" t="s">
        <v>14</v>
      </c>
      <c r="L6060" t="s">
        <v>20</v>
      </c>
      <c r="M6060" t="s">
        <v>11676</v>
      </c>
      <c r="N6060" t="s">
        <v>14</v>
      </c>
    </row>
    <row r="6061" x14ac:dyDescent="0.25">
      <c r="A6061" t="n">
        <v>25</v>
      </c>
      <c r="B6061" t="s">
        <v>14</v>
      </c>
      <c r="C6061" t="s">
        <v>22</v>
      </c>
      <c r="D6061" s="2" t="s">
        <f>=HYPERLINK("https://main.knesset.gov.il/APPS/legislation/main/bills/2198967", "הצעת חוק ההוצאה לפועל (תיקון - ביטול האפשרות לצוות על עיכוב יציאה מהארץ בגין חוב כספי נמוך), התשפ""ג-2023")</f>
        <v>10167</v>
      </c>
      <c r="E6061" t="s">
        <v>10167</v>
      </c>
      <c r="F6061" t="s">
        <v>11977</v>
      </c>
      <c r="G6061" t="s">
        <v>14</v>
      </c>
      <c r="H6061">
             </c>
      <c r="I6061" t="s">
        <v>14</v>
      </c>
      <c r="J6061" t="s">
        <v>343</v>
      </c>
      <c r="K6061" t="s">
        <v>14</v>
      </c>
      <c r="L6061" t="s">
        <v>20</v>
      </c>
      <c r="M6061" t="s">
        <v>11676</v>
      </c>
      <c r="N6061" t="s">
        <v>14</v>
      </c>
    </row>
    <row r="6062" x14ac:dyDescent="0.25">
      <c r="A6062" t="n">
        <v>25</v>
      </c>
      <c r="B6062" t="s">
        <v>14</v>
      </c>
      <c r="C6062" t="s">
        <v>22</v>
      </c>
      <c r="D6062" s="2" t="s">
        <f>=HYPERLINK("https://main.knesset.gov.il/APPS/legislation/main/bills/2199004", "הצעת חוק-יסוד: השפיטה (תיקון - מינוי שופטים לבית המשפט העליון וקציבת כהונתם)")</f>
        <v>11368</v>
      </c>
      <c r="E6062" t="s">
        <v>11368</v>
      </c>
      <c r="F6062" t="s">
        <v>11978</v>
      </c>
      <c r="G6062" t="s">
        <v>14</v>
      </c>
      <c r="H6062">
             </c>
      <c r="I6062" t="s">
        <v>14</v>
      </c>
      <c r="J6062" t="s">
        <v>141</v>
      </c>
      <c r="K6062" t="s">
        <v>14</v>
      </c>
      <c r="L6062" t="s">
        <v>20</v>
      </c>
      <c r="M6062" t="s">
        <v>11979</v>
      </c>
      <c r="N6062" t="s">
        <v>14</v>
      </c>
    </row>
    <row r="6063" x14ac:dyDescent="0.25">
      <c r="A6063" t="n">
        <v>25</v>
      </c>
      <c r="B6063" t="s">
        <v>14</v>
      </c>
      <c r="C6063" t="s">
        <v>22</v>
      </c>
      <c r="D6063" s="2" t="s">
        <f>=HYPERLINK("https://main.knesset.gov.il/APPS/legislation/main/bills/2198998", "הצעת חוק זכויות נפגעי עבירה (תיקון - הרחבת זכות העמידה לנפגעי ונפגעות עבירה), התשפ""ג-2023")</f>
        <v>11980</v>
      </c>
      <c r="E6063" t="s">
        <v>11980</v>
      </c>
      <c r="F6063" t="s">
        <v>11981</v>
      </c>
      <c r="G6063" t="s">
        <v>14</v>
      </c>
      <c r="H6063">
             </c>
      <c r="I6063" t="s">
        <v>14</v>
      </c>
      <c r="J6063" t="s">
        <v>141</v>
      </c>
      <c r="K6063" t="s">
        <v>14</v>
      </c>
      <c r="L6063" t="s">
        <v>20</v>
      </c>
      <c r="M6063" t="s">
        <v>11979</v>
      </c>
      <c r="N6063" t="s">
        <v>14</v>
      </c>
    </row>
    <row r="6064" x14ac:dyDescent="0.25">
      <c r="A6064" t="n">
        <v>25</v>
      </c>
      <c r="B6064" t="s">
        <v>14</v>
      </c>
      <c r="C6064" t="s">
        <v>22</v>
      </c>
      <c r="D6064" s="2" t="s">
        <f>=HYPERLINK("https://main.knesset.gov.il/APPS/legislation/main/bills/2198924", "הצעת חוק הרחבת לימודי הבסיס בחינוך שאינו ממלכתי (הוראת שעה), התשפ""ג-2023")</f>
        <v>4304</v>
      </c>
      <c r="E6064" t="s">
        <v>4304</v>
      </c>
      <c r="F6064" t="s">
        <v>11982</v>
      </c>
      <c r="G6064" t="s">
        <v>14</v>
      </c>
      <c r="H6064">
             </c>
      <c r="I6064" t="s">
        <v>14</v>
      </c>
      <c r="J6064" t="s">
        <v>141</v>
      </c>
      <c r="K6064" t="s">
        <v>14</v>
      </c>
      <c r="L6064" t="s">
        <v>20</v>
      </c>
      <c r="M6064" t="s">
        <v>11979</v>
      </c>
      <c r="N6064" t="s">
        <v>14</v>
      </c>
    </row>
    <row r="6065" x14ac:dyDescent="0.25">
      <c r="A6065" t="n">
        <v>25</v>
      </c>
      <c r="B6065" t="s">
        <v>14</v>
      </c>
      <c r="C6065" t="s">
        <v>22</v>
      </c>
      <c r="D6065" s="2" t="s">
        <f>=HYPERLINK("https://main.knesset.gov.il/APPS/legislation/main/bills/2198939", "הצעת חוק העונשין (תיקון - החמרת ענישה בפשיעה חקלאית) (הוראת שעה), התשפ""ג-2023")</f>
        <v>10421</v>
      </c>
      <c r="E6065" t="s">
        <v>10421</v>
      </c>
      <c r="F6065" t="s">
        <v>11983</v>
      </c>
      <c r="G6065" t="s">
        <v>14</v>
      </c>
      <c r="H6065">
             </c>
      <c r="I6065" t="s">
        <v>14</v>
      </c>
      <c r="J6065" t="s">
        <v>141</v>
      </c>
      <c r="K6065" t="s">
        <v>14</v>
      </c>
      <c r="L6065" t="s">
        <v>20</v>
      </c>
      <c r="M6065" t="s">
        <v>11979</v>
      </c>
      <c r="N6065" t="s">
        <v>14</v>
      </c>
    </row>
    <row r="6066" x14ac:dyDescent="0.25">
      <c r="A6066" t="n">
        <v>25</v>
      </c>
      <c r="B6066" t="s">
        <v>14</v>
      </c>
      <c r="C6066" t="s">
        <v>22</v>
      </c>
      <c r="D6066" s="2" t="s">
        <f>=HYPERLINK("https://main.knesset.gov.il/APPS/legislation/main/bills/2198904", "הצעת חוק העונשין (תיקון - איסור שידול להמרת דת), התשפ""ג-2023")</f>
        <v>11984</v>
      </c>
      <c r="E6066" t="s">
        <v>11984</v>
      </c>
      <c r="F6066" t="s">
        <v>11985</v>
      </c>
      <c r="G6066" t="s">
        <v>14</v>
      </c>
      <c r="H6066">
             </c>
      <c r="I6066" t="s">
        <v>14</v>
      </c>
      <c r="J6066" t="s">
        <v>141</v>
      </c>
      <c r="K6066" t="s">
        <v>14</v>
      </c>
      <c r="L6066" t="s">
        <v>20</v>
      </c>
      <c r="M6066" t="s">
        <v>11979</v>
      </c>
      <c r="N6066" t="s">
        <v>14</v>
      </c>
    </row>
    <row r="6067" x14ac:dyDescent="0.25">
      <c r="A6067" t="n">
        <v>25</v>
      </c>
      <c r="B6067" t="s">
        <v>14</v>
      </c>
      <c r="C6067" t="s">
        <v>22</v>
      </c>
      <c r="D6067" s="2" t="s">
        <f>=HYPERLINK("https://main.knesset.gov.il/APPS/legislation/main/bills/2198896", "הצעת חוק פריסת תשלום חוב ללא תוספת ריבית או אגרה, התשפ""ג-2023")</f>
        <v>9567</v>
      </c>
      <c r="E6067" t="s">
        <v>9567</v>
      </c>
      <c r="F6067" t="s">
        <v>11986</v>
      </c>
      <c r="G6067" t="s">
        <v>14</v>
      </c>
      <c r="H6067">
             </c>
      <c r="I6067" t="s">
        <v>14</v>
      </c>
      <c r="J6067" t="s">
        <v>141</v>
      </c>
      <c r="K6067" t="s">
        <v>14</v>
      </c>
      <c r="L6067" t="s">
        <v>20</v>
      </c>
      <c r="M6067" t="s">
        <v>11979</v>
      </c>
      <c r="N6067" t="s">
        <v>14</v>
      </c>
    </row>
    <row r="6068" x14ac:dyDescent="0.25">
      <c r="A6068" t="n">
        <v>25</v>
      </c>
      <c r="B6068" t="s">
        <v>14</v>
      </c>
      <c r="C6068" t="s">
        <v>22</v>
      </c>
      <c r="D6068" s="2" t="s">
        <f>=HYPERLINK("https://main.knesset.gov.il/APPS/legislation/main/bills/2198894", "הצעת חוק לשכת עורכי הדין (תיקון - הגבלת שכר טרחה על מכתבי התראה לפני גביית חוב), התשפ""ג-2023")</f>
        <v>11987</v>
      </c>
      <c r="E6068" t="s">
        <v>11987</v>
      </c>
      <c r="F6068" t="s">
        <v>11988</v>
      </c>
      <c r="G6068" t="s">
        <v>14</v>
      </c>
      <c r="H6068">
             </c>
      <c r="I6068" t="s">
        <v>14</v>
      </c>
      <c r="J6068" t="s">
        <v>141</v>
      </c>
      <c r="K6068" t="s">
        <v>14</v>
      </c>
      <c r="L6068" t="s">
        <v>20</v>
      </c>
      <c r="M6068" t="s">
        <v>11979</v>
      </c>
      <c r="N6068" t="s">
        <v>14</v>
      </c>
    </row>
    <row r="6069" x14ac:dyDescent="0.25">
      <c r="A6069" t="n">
        <v>25</v>
      </c>
      <c r="B6069" t="s">
        <v>14</v>
      </c>
      <c r="C6069" t="s">
        <v>22</v>
      </c>
      <c r="D6069" s="2" t="s">
        <f>=HYPERLINK("https://main.knesset.gov.il/APPS/legislation/main/bills/2198796", "הצעת חוק-יסוד: השפיטה (תיקון - הגבלת ערעורים של המדינה על פסקי דין פליליים)")</f>
        <v>5442</v>
      </c>
      <c r="E6069" t="s">
        <v>5442</v>
      </c>
      <c r="F6069" t="s">
        <v>11989</v>
      </c>
      <c r="G6069" t="s">
        <v>14</v>
      </c>
      <c r="H6069">
             </c>
      <c r="I6069" t="s">
        <v>14</v>
      </c>
      <c r="J6069" t="s">
        <v>141</v>
      </c>
      <c r="K6069" t="s">
        <v>14</v>
      </c>
      <c r="L6069" t="s">
        <v>20</v>
      </c>
      <c r="M6069" t="s">
        <v>11979</v>
      </c>
      <c r="N6069" t="s">
        <v>14</v>
      </c>
    </row>
    <row r="6070" x14ac:dyDescent="0.25">
      <c r="A6070" t="n">
        <v>25</v>
      </c>
      <c r="B6070" t="s">
        <v>14</v>
      </c>
      <c r="C6070" t="s">
        <v>22</v>
      </c>
      <c r="D6070" s="2" t="s">
        <f>=HYPERLINK("https://main.knesset.gov.il/APPS/legislation/main/bills/2198793", "הצעת חוק-יסוד: השפיטה (תיקון - זכות עמידה בבית המשפט הגבוה לצדק)")</f>
        <v>5401</v>
      </c>
      <c r="E6070" t="s">
        <v>5401</v>
      </c>
      <c r="F6070" t="s">
        <v>11990</v>
      </c>
      <c r="G6070" t="s">
        <v>14</v>
      </c>
      <c r="H6070">
             </c>
      <c r="I6070" t="s">
        <v>14</v>
      </c>
      <c r="J6070" t="s">
        <v>141</v>
      </c>
      <c r="K6070" t="s">
        <v>14</v>
      </c>
      <c r="L6070" t="s">
        <v>20</v>
      </c>
      <c r="M6070" t="s">
        <v>11979</v>
      </c>
      <c r="N6070" t="s">
        <v>14</v>
      </c>
    </row>
    <row r="6071" x14ac:dyDescent="0.25">
      <c r="A6071" t="n">
        <v>25</v>
      </c>
      <c r="B6071" t="s">
        <v>14</v>
      </c>
      <c r="C6071" t="s">
        <v>22</v>
      </c>
      <c r="D6071" s="2" t="s">
        <f>=HYPERLINK("https://main.knesset.gov.il/APPS/legislation/main/bills/2198740", "הצעת חוק חכירה הוגנת, התשפ""ג-2023")</f>
        <v>11991</v>
      </c>
      <c r="E6071" t="s">
        <v>11991</v>
      </c>
      <c r="F6071" t="s">
        <v>11992</v>
      </c>
      <c r="G6071" t="s">
        <v>14</v>
      </c>
      <c r="H6071">
             </c>
      <c r="I6071" t="s">
        <v>14</v>
      </c>
      <c r="J6071" t="s">
        <v>141</v>
      </c>
      <c r="K6071" t="s">
        <v>14</v>
      </c>
      <c r="L6071" t="s">
        <v>20</v>
      </c>
      <c r="M6071" t="s">
        <v>11979</v>
      </c>
      <c r="N6071" t="s">
        <v>14</v>
      </c>
    </row>
    <row r="6072" x14ac:dyDescent="0.25">
      <c r="A6072" t="n">
        <v>25</v>
      </c>
      <c r="B6072" t="s">
        <v>14</v>
      </c>
      <c r="C6072" t="s">
        <v>22</v>
      </c>
      <c r="D6072" s="2" t="s">
        <f>=HYPERLINK("https://main.knesset.gov.il/APPS/legislation/main/bills/2198776", "הצעת חוק מתן סיוע ריאלי בשכר דירה לזכאים, התשפ""ג-2023")</f>
        <v>11993</v>
      </c>
      <c r="E6072" t="s">
        <v>11993</v>
      </c>
      <c r="F6072" t="s">
        <v>11994</v>
      </c>
      <c r="G6072" t="s">
        <v>14</v>
      </c>
      <c r="H6072">
             </c>
      <c r="I6072" t="s">
        <v>14</v>
      </c>
      <c r="J6072" t="s">
        <v>141</v>
      </c>
      <c r="K6072" t="s">
        <v>14</v>
      </c>
      <c r="L6072" t="s">
        <v>20</v>
      </c>
      <c r="M6072" t="s">
        <v>11979</v>
      </c>
      <c r="N6072" t="s">
        <v>14</v>
      </c>
    </row>
    <row r="6073" x14ac:dyDescent="0.25">
      <c r="A6073" t="n">
        <v>25</v>
      </c>
      <c r="B6073" t="s">
        <v>14</v>
      </c>
      <c r="C6073" t="s">
        <v>22</v>
      </c>
      <c r="D6073" s="2" t="s">
        <f>=HYPERLINK("https://main.knesset.gov.il/APPS/legislation/main/bills/2197380", "הצעת חוק הביטוח הלאומי (תיקון - השוואת קצבת נכות לשכר המינימום), התשפ""ג-2023")</f>
        <v>10583</v>
      </c>
      <c r="E6073" t="s">
        <v>10583</v>
      </c>
      <c r="F6073" t="s">
        <v>11995</v>
      </c>
      <c r="G6073" t="s">
        <v>14</v>
      </c>
      <c r="H6073">
             </c>
      <c r="I6073" t="s">
        <v>14</v>
      </c>
      <c r="J6073" t="s">
        <v>141</v>
      </c>
      <c r="K6073" t="s">
        <v>14</v>
      </c>
      <c r="L6073" t="s">
        <v>20</v>
      </c>
      <c r="M6073" t="s">
        <v>11979</v>
      </c>
      <c r="N6073" t="s">
        <v>14</v>
      </c>
    </row>
    <row r="6074" x14ac:dyDescent="0.25">
      <c r="A6074" t="n">
        <v>25</v>
      </c>
      <c r="B6074" t="s">
        <v>14</v>
      </c>
      <c r="C6074" t="s">
        <v>22</v>
      </c>
      <c r="D6074" s="2" t="s">
        <f>=HYPERLINK("https://main.knesset.gov.il/APPS/legislation/main/bills/2196824", "הצעת חוק ליישוב תחת איום מיידי (הוראת שעה), התשפ""ג-2023")</f>
        <v>10133</v>
      </c>
      <c r="E6074" t="s">
        <v>10133</v>
      </c>
      <c r="F6074" t="s">
        <v>11996</v>
      </c>
      <c r="G6074" t="s">
        <v>14</v>
      </c>
      <c r="H6074">
             </c>
      <c r="I6074" t="s">
        <v>14</v>
      </c>
      <c r="J6074" t="s">
        <v>141</v>
      </c>
      <c r="K6074" t="s">
        <v>14</v>
      </c>
      <c r="L6074" t="s">
        <v>20</v>
      </c>
      <c r="M6074" t="s">
        <v>11979</v>
      </c>
      <c r="N6074" t="s">
        <v>14</v>
      </c>
    </row>
    <row r="6075" x14ac:dyDescent="0.25">
      <c r="A6075" t="n">
        <v>25</v>
      </c>
      <c r="B6075" t="s">
        <v>14</v>
      </c>
      <c r="C6075" t="s">
        <v>22</v>
      </c>
      <c r="D6075" s="2" t="s">
        <f>=HYPERLINK("https://main.knesset.gov.il/APPS/legislation/main/bills/2198757", "הצעת חוק להגברת השקיפות בפעילותם של גופים פיננסיים (תיקוני חקיקה), התשפ""ג-2023")</f>
        <v>11997</v>
      </c>
      <c r="E6075" t="s">
        <v>11997</v>
      </c>
      <c r="F6075" t="s">
        <v>11998</v>
      </c>
      <c r="G6075" t="s">
        <v>14</v>
      </c>
      <c r="H6075">
             </c>
      <c r="I6075" t="s">
        <v>14</v>
      </c>
      <c r="J6075" t="s">
        <v>141</v>
      </c>
      <c r="K6075" t="s">
        <v>14</v>
      </c>
      <c r="L6075" t="s">
        <v>20</v>
      </c>
      <c r="M6075" t="s">
        <v>11979</v>
      </c>
      <c r="N6075" t="s">
        <v>14</v>
      </c>
    </row>
    <row r="6076" x14ac:dyDescent="0.25">
      <c r="A6076" t="n">
        <v>25</v>
      </c>
      <c r="B6076" t="s">
        <v>14</v>
      </c>
      <c r="C6076" t="s">
        <v>22</v>
      </c>
      <c r="D6076" s="2" t="s">
        <f>=HYPERLINK("https://main.knesset.gov.il/APPS/legislation/main/bills/2196888", "הצעת חוק להגברת השקיפות בפעילותם של גופים פיננסיים (תיקוני חקיקה), התשפ""ג-2023")</f>
        <v>11997</v>
      </c>
      <c r="E6076" t="s">
        <v>11997</v>
      </c>
      <c r="F6076" t="s">
        <v>11999</v>
      </c>
      <c r="G6076" t="s">
        <v>14</v>
      </c>
      <c r="H6076">
             </c>
      <c r="I6076" t="s">
        <v>14</v>
      </c>
      <c r="J6076" t="s">
        <v>141</v>
      </c>
      <c r="K6076" t="s">
        <v>14</v>
      </c>
      <c r="L6076" t="s">
        <v>20</v>
      </c>
      <c r="M6076" t="s">
        <v>11979</v>
      </c>
      <c r="N6076" t="s">
        <v>14</v>
      </c>
    </row>
    <row r="6077" x14ac:dyDescent="0.25">
      <c r="A6077" t="n">
        <v>25</v>
      </c>
      <c r="B6077" t="s">
        <v>14</v>
      </c>
      <c r="C6077" t="s">
        <v>22</v>
      </c>
      <c r="D6077" s="2" t="s">
        <f>=HYPERLINK("https://main.knesset.gov.il/APPS/legislation/main/bills/2198609", "הצעת חוק העונשין (תיקון - תקיפת נהגי אוטובוס בקווי תחבורה ציבורית), התשפ""ג-2023")</f>
        <v>9469</v>
      </c>
      <c r="E6077" t="s">
        <v>9469</v>
      </c>
      <c r="F6077" t="s">
        <v>12000</v>
      </c>
      <c r="G6077" t="s">
        <v>14</v>
      </c>
      <c r="H6077">
             </c>
      <c r="I6077" t="s">
        <v>14</v>
      </c>
      <c r="J6077" t="s">
        <v>141</v>
      </c>
      <c r="K6077" t="s">
        <v>14</v>
      </c>
      <c r="L6077" t="s">
        <v>20</v>
      </c>
      <c r="M6077" t="s">
        <v>11979</v>
      </c>
      <c r="N6077" t="s">
        <v>14</v>
      </c>
    </row>
    <row r="6078" x14ac:dyDescent="0.25">
      <c r="A6078" t="n">
        <v>25</v>
      </c>
      <c r="B6078" t="s">
        <v>14</v>
      </c>
      <c r="C6078" t="s">
        <v>22</v>
      </c>
      <c r="D6078" s="2" t="s">
        <f>=HYPERLINK("https://main.knesset.gov.il/APPS/legislation/main/bills/2198588", "הצעת חוק המפלגות (תיקון - העלאת תנאי הסף להקמת מפלגה ומניעת חברות כפולה בעת רישום מפלגה), התשפ''ג-2023")</f>
        <v>12001</v>
      </c>
      <c r="E6078" t="s">
        <v>12001</v>
      </c>
      <c r="F6078" t="s">
        <v>12002</v>
      </c>
      <c r="G6078" t="s">
        <v>14</v>
      </c>
      <c r="H6078">
             </c>
      <c r="I6078" t="s">
        <v>14</v>
      </c>
      <c r="J6078" t="s">
        <v>141</v>
      </c>
      <c r="K6078" t="s">
        <v>14</v>
      </c>
      <c r="L6078" t="s">
        <v>20</v>
      </c>
      <c r="M6078" t="s">
        <v>11979</v>
      </c>
      <c r="N6078" t="s">
        <v>14</v>
      </c>
    </row>
    <row r="6079" x14ac:dyDescent="0.25">
      <c r="A6079" t="n">
        <v>25</v>
      </c>
      <c r="B6079" t="s">
        <v>14</v>
      </c>
      <c r="C6079" t="s">
        <v>22</v>
      </c>
      <c r="D6079" s="2" t="s">
        <f>=HYPERLINK("https://main.knesset.gov.il/APPS/legislation/main/bills/2198348", "הצעת חוק התרבות והאמנות (תיקון - הקצאה שוויונית בתקציב), התשפ""ג-2023")</f>
        <v>12003</v>
      </c>
      <c r="E6079" t="s">
        <v>12003</v>
      </c>
      <c r="F6079" t="s">
        <v>12004</v>
      </c>
      <c r="G6079" t="s">
        <v>14</v>
      </c>
      <c r="H6079">
             </c>
      <c r="I6079" t="s">
        <v>14</v>
      </c>
      <c r="J6079" t="s">
        <v>141</v>
      </c>
      <c r="K6079" t="s">
        <v>14</v>
      </c>
      <c r="L6079" t="s">
        <v>20</v>
      </c>
      <c r="M6079" t="s">
        <v>11979</v>
      </c>
      <c r="N6079" t="s">
        <v>14</v>
      </c>
    </row>
    <row r="6080" x14ac:dyDescent="0.25">
      <c r="A6080" t="n">
        <v>25</v>
      </c>
      <c r="B6080" t="s">
        <v>14</v>
      </c>
      <c r="C6080" t="s">
        <v>22</v>
      </c>
      <c r="D6080" s="2" t="s">
        <f>=HYPERLINK("https://main.knesset.gov.il/APPS/legislation/main/bills/2198362", "הצעת חוק חינוך ממלכתי (תיקון - חובת הטמעת ערכי הסובלנות ומיגור האלימות), התשפ""ג-2023")</f>
        <v>12005</v>
      </c>
      <c r="E6080" t="s">
        <v>12005</v>
      </c>
      <c r="F6080" t="s">
        <v>12006</v>
      </c>
      <c r="G6080" t="s">
        <v>14</v>
      </c>
      <c r="H6080">
             </c>
      <c r="I6080" t="s">
        <v>14</v>
      </c>
      <c r="J6080" t="s">
        <v>141</v>
      </c>
      <c r="K6080" t="s">
        <v>14</v>
      </c>
      <c r="L6080" t="s">
        <v>20</v>
      </c>
      <c r="M6080" t="s">
        <v>11979</v>
      </c>
      <c r="N6080" t="s">
        <v>14</v>
      </c>
    </row>
    <row r="6081" x14ac:dyDescent="0.25">
      <c r="A6081" t="n">
        <v>25</v>
      </c>
      <c r="B6081" t="s">
        <v>14</v>
      </c>
      <c r="C6081" t="s">
        <v>22</v>
      </c>
      <c r="D6081" s="2" t="s">
        <f>=HYPERLINK("https://main.knesset.gov.il/APPS/legislation/main/bills/2198847", "הצעת חוק התכנון והבנייה (תיקון - מכירה ישירה של תוצרת חקלאית), התשפ""ג-2023")</f>
        <v>8763</v>
      </c>
      <c r="E6081" t="s">
        <v>8763</v>
      </c>
      <c r="F6081" t="s">
        <v>12007</v>
      </c>
      <c r="G6081" t="s">
        <v>14</v>
      </c>
      <c r="H6081">
             </c>
      <c r="I6081" t="s">
        <v>14</v>
      </c>
      <c r="J6081" t="s">
        <v>141</v>
      </c>
      <c r="K6081" t="s">
        <v>14</v>
      </c>
      <c r="L6081" t="s">
        <v>20</v>
      </c>
      <c r="M6081" t="s">
        <v>11979</v>
      </c>
      <c r="N6081" t="s">
        <v>14</v>
      </c>
    </row>
    <row r="6082" x14ac:dyDescent="0.25">
      <c r="A6082" t="n">
        <v>25</v>
      </c>
      <c r="B6082" t="s">
        <v>14</v>
      </c>
      <c r="C6082" t="s">
        <v>22</v>
      </c>
      <c r="D6082" s="2" t="s">
        <f>=HYPERLINK("https://main.knesset.gov.il/APPS/legislation/main/bills/2198469", "הצעת חוק הביטוח הלאומי (תיקון - הגדלת קצבת אזרח ותיק והצמדתה לשכר הממוצע), התשפ""ג-2023")</f>
        <v>12008</v>
      </c>
      <c r="E6082" t="s">
        <v>12008</v>
      </c>
      <c r="F6082" t="s">
        <v>12009</v>
      </c>
      <c r="G6082" t="s">
        <v>14</v>
      </c>
      <c r="H6082">
             </c>
      <c r="I6082" t="s">
        <v>14</v>
      </c>
      <c r="J6082" t="s">
        <v>141</v>
      </c>
      <c r="K6082" t="s">
        <v>14</v>
      </c>
      <c r="L6082" t="s">
        <v>20</v>
      </c>
      <c r="M6082" t="s">
        <v>11979</v>
      </c>
      <c r="N6082" t="s">
        <v>14</v>
      </c>
    </row>
    <row r="6083" x14ac:dyDescent="0.25">
      <c r="A6083" t="n">
        <v>25</v>
      </c>
      <c r="B6083" t="s">
        <v>14</v>
      </c>
      <c r="C6083" t="s">
        <v>22</v>
      </c>
      <c r="D6083" s="2" t="s">
        <f>=HYPERLINK("https://main.knesset.gov.il/APPS/legislation/main/bills/2199018", "הצעת חוק הקצאת דירות לדיור בר השגה ולדיור ציבורי, התשפ""ג-2023")</f>
        <v>12010</v>
      </c>
      <c r="E6083" t="s">
        <v>12010</v>
      </c>
      <c r="F6083" t="s">
        <v>12011</v>
      </c>
      <c r="G6083" t="s">
        <v>14</v>
      </c>
      <c r="H6083">
             </c>
      <c r="I6083" t="s">
        <v>14</v>
      </c>
      <c r="J6083" t="s">
        <v>141</v>
      </c>
      <c r="K6083" t="s">
        <v>14</v>
      </c>
      <c r="L6083" t="s">
        <v>20</v>
      </c>
      <c r="M6083" t="s">
        <v>11979</v>
      </c>
      <c r="N6083" t="s">
        <v>14</v>
      </c>
    </row>
    <row r="6084" x14ac:dyDescent="0.25">
      <c r="A6084" t="n">
        <v>25</v>
      </c>
      <c r="B6084" t="s">
        <v>14</v>
      </c>
      <c r="C6084" t="s">
        <v>22</v>
      </c>
      <c r="D6084" s="2" t="s">
        <f>=HYPERLINK("https://main.knesset.gov.il/APPS/legislation/main/bills/2197916", "הצעת חוק הבנקאות (שירות ללקוח) (תיקון - מסירת מידע על עמלות וריביות), התשפ""ג-2023")</f>
        <v>9556</v>
      </c>
      <c r="E6084" t="s">
        <v>9556</v>
      </c>
      <c r="F6084" t="s">
        <v>12012</v>
      </c>
      <c r="G6084" t="s">
        <v>14</v>
      </c>
      <c r="H6084">
             </c>
      <c r="I6084" t="s">
        <v>14</v>
      </c>
      <c r="J6084" t="s">
        <v>141</v>
      </c>
      <c r="K6084" t="s">
        <v>14</v>
      </c>
      <c r="L6084" t="s">
        <v>20</v>
      </c>
      <c r="M6084" t="s">
        <v>11979</v>
      </c>
      <c r="N6084" t="s">
        <v>14</v>
      </c>
    </row>
    <row r="6085" x14ac:dyDescent="0.25">
      <c r="A6085" t="n">
        <v>25</v>
      </c>
      <c r="B6085" t="s">
        <v>14</v>
      </c>
      <c r="C6085" t="s">
        <v>22</v>
      </c>
      <c r="D6085" s="2" t="s">
        <f>=HYPERLINK("https://main.knesset.gov.il/APPS/legislation/main/bills/2198994", "הצעת חוק העבירות המינהליות (תיקון - ביטול קנסות תכנון ובנייה), התשפ""ג-2023")</f>
        <v>12013</v>
      </c>
      <c r="E6085" t="s">
        <v>12013</v>
      </c>
      <c r="F6085" t="s">
        <v>12014</v>
      </c>
      <c r="G6085" t="s">
        <v>14</v>
      </c>
      <c r="H6085">
             </c>
      <c r="I6085" t="s">
        <v>14</v>
      </c>
      <c r="J6085" t="s">
        <v>141</v>
      </c>
      <c r="K6085" t="s">
        <v>14</v>
      </c>
      <c r="L6085" t="s">
        <v>20</v>
      </c>
      <c r="M6085" t="s">
        <v>11979</v>
      </c>
      <c r="N6085" t="s">
        <v>14</v>
      </c>
    </row>
    <row r="6086" x14ac:dyDescent="0.25">
      <c r="A6086" t="n">
        <v>25</v>
      </c>
      <c r="B6086" t="s">
        <v>14</v>
      </c>
      <c r="C6086" t="s">
        <v>22</v>
      </c>
      <c r="D6086" s="2" t="s">
        <f>=HYPERLINK("https://main.knesset.gov.il/APPS/legislation/main/bills/2198914", "הצעת חוק הסדרת מקומות רחצה (תיקון - קביעת מקומות לרחצה נפרדת), התשפ""ג-2023 ")</f>
        <v>12015</v>
      </c>
      <c r="E6086" t="s">
        <v>12015</v>
      </c>
      <c r="F6086" t="s">
        <v>12016</v>
      </c>
      <c r="G6086" t="s">
        <v>14</v>
      </c>
      <c r="H6086">
             </c>
      <c r="I6086" t="s">
        <v>14</v>
      </c>
      <c r="J6086" t="s">
        <v>141</v>
      </c>
      <c r="K6086" t="s">
        <v>14</v>
      </c>
      <c r="L6086" t="s">
        <v>20</v>
      </c>
      <c r="M6086" t="s">
        <v>11979</v>
      </c>
      <c r="N6086" t="s">
        <v>14</v>
      </c>
    </row>
    <row r="6087" x14ac:dyDescent="0.25">
      <c r="A6087" t="n">
        <v>25</v>
      </c>
      <c r="B6087" t="s">
        <v>14</v>
      </c>
      <c r="C6087" t="s">
        <v>22</v>
      </c>
      <c r="D6087" s="2" t="s">
        <f>=HYPERLINK("https://main.knesset.gov.il/APPS/legislation/main/bills/2197371", "הצעת חוק פיקוח על מחירי מצרכים ושירותים (תיקון - קביעת ההפרש בין מחיר מצרך לצרכן ומחיר מצרך לקמעונאי כרווח מרבי), התשפ""ג-2023")</f>
        <v>11548</v>
      </c>
      <c r="E6087" t="s">
        <v>11548</v>
      </c>
      <c r="F6087" t="s">
        <v>12017</v>
      </c>
      <c r="G6087" t="s">
        <v>14</v>
      </c>
      <c r="H6087">
             </c>
      <c r="I6087" t="s">
        <v>14</v>
      </c>
      <c r="J6087" t="s">
        <v>141</v>
      </c>
      <c r="K6087" t="s">
        <v>14</v>
      </c>
      <c r="L6087" t="s">
        <v>20</v>
      </c>
      <c r="M6087" t="s">
        <v>11979</v>
      </c>
      <c r="N6087" t="s">
        <v>14</v>
      </c>
    </row>
    <row r="6088" x14ac:dyDescent="0.25">
      <c r="A6088" t="n">
        <v>25</v>
      </c>
      <c r="B6088" t="s">
        <v>14</v>
      </c>
      <c r="C6088" t="s">
        <v>22</v>
      </c>
      <c r="D6088" s="2" t="s">
        <f>=HYPERLINK("https://main.knesset.gov.il/APPS/legislation/main/bills/2197370", "הצעת חוק עבודת נשים (תיקון - זכאות להשתתפות בעלות מעון יום בתקופת הלידה וההורות), התשפ""ג-2023")</f>
        <v>11164</v>
      </c>
      <c r="E6088" t="s">
        <v>11164</v>
      </c>
      <c r="F6088" t="s">
        <v>12018</v>
      </c>
      <c r="G6088" t="s">
        <v>14</v>
      </c>
      <c r="H6088">
             </c>
      <c r="I6088" t="s">
        <v>14</v>
      </c>
      <c r="J6088" t="s">
        <v>141</v>
      </c>
      <c r="K6088" t="s">
        <v>14</v>
      </c>
      <c r="L6088" t="s">
        <v>20</v>
      </c>
      <c r="M6088" t="s">
        <v>11979</v>
      </c>
      <c r="N6088" t="s">
        <v>14</v>
      </c>
    </row>
    <row r="6089" x14ac:dyDescent="0.25">
      <c r="A6089" t="n">
        <v>25</v>
      </c>
      <c r="B6089" t="s">
        <v>14</v>
      </c>
      <c r="C6089" t="s">
        <v>22</v>
      </c>
      <c r="D6089" s="2" t="s">
        <f>=HYPERLINK("https://main.knesset.gov.il/APPS/legislation/main/bills/2197353", "הצעת חוק המכר (דירות) (תיקון - חובת מסירת תוכניות הדירה לקונה), התשפ""ג-2023")</f>
        <v>9067</v>
      </c>
      <c r="E6089" t="s">
        <v>9067</v>
      </c>
      <c r="F6089" t="s">
        <v>12019</v>
      </c>
      <c r="G6089" t="s">
        <v>14</v>
      </c>
      <c r="H6089">
             </c>
      <c r="I6089" t="s">
        <v>14</v>
      </c>
      <c r="J6089" t="s">
        <v>141</v>
      </c>
      <c r="K6089" t="s">
        <v>14</v>
      </c>
      <c r="L6089" t="s">
        <v>20</v>
      </c>
      <c r="M6089" t="s">
        <v>11979</v>
      </c>
      <c r="N6089" t="s">
        <v>14</v>
      </c>
    </row>
    <row r="6090" x14ac:dyDescent="0.25">
      <c r="A6090" t="n">
        <v>25</v>
      </c>
      <c r="B6090" t="s">
        <v>14</v>
      </c>
      <c r="C6090" t="s">
        <v>22</v>
      </c>
      <c r="D6090" s="2" t="s">
        <f>=HYPERLINK("https://main.knesset.gov.il/APPS/legislation/main/bills/2198655", "הצעת חוק זכויות הסטודנט (תיקון - העדפה מתקנת ללוחמים), התשפ""ג-2023")</f>
        <v>5276</v>
      </c>
      <c r="E6090" t="s">
        <v>5276</v>
      </c>
      <c r="F6090" t="s">
        <v>12020</v>
      </c>
      <c r="G6090" t="s">
        <v>14</v>
      </c>
      <c r="H6090">
             </c>
      <c r="I6090" t="s">
        <v>14</v>
      </c>
      <c r="J6090" t="s">
        <v>141</v>
      </c>
      <c r="K6090" t="s">
        <v>14</v>
      </c>
      <c r="L6090" t="s">
        <v>20</v>
      </c>
      <c r="M6090" t="s">
        <v>11979</v>
      </c>
      <c r="N6090" t="s">
        <v>14</v>
      </c>
    </row>
    <row r="6091" x14ac:dyDescent="0.25">
      <c r="A6091" t="n">
        <v>25</v>
      </c>
      <c r="B6091" t="s">
        <v>14</v>
      </c>
      <c r="C6091" t="s">
        <v>22</v>
      </c>
      <c r="D6091" s="2" t="s">
        <f>=HYPERLINK("https://main.knesset.gov.il/APPS/legislation/main/bills/2198626", "הצעת חוק אחזקת כבישים ראשיים ברשויות מקומיות, התשפ""ג-2023")</f>
        <v>12021</v>
      </c>
      <c r="E6091" t="s">
        <v>12021</v>
      </c>
      <c r="F6091" t="s">
        <v>12022</v>
      </c>
      <c r="G6091" t="s">
        <v>14</v>
      </c>
      <c r="H6091">
             </c>
      <c r="I6091" t="s">
        <v>14</v>
      </c>
      <c r="J6091" t="s">
        <v>141</v>
      </c>
      <c r="K6091" t="s">
        <v>14</v>
      </c>
      <c r="L6091" t="s">
        <v>20</v>
      </c>
      <c r="M6091" t="s">
        <v>11979</v>
      </c>
      <c r="N6091" t="s">
        <v>14</v>
      </c>
    </row>
    <row r="6092" x14ac:dyDescent="0.25">
      <c r="A6092" t="n">
        <v>25</v>
      </c>
      <c r="B6092" t="s">
        <v>14</v>
      </c>
      <c r="C6092" t="s">
        <v>22</v>
      </c>
      <c r="D6092" s="2" t="s">
        <f>=HYPERLINK("https://main.knesset.gov.il/APPS/legislation/main/bills/2197322", "הצעת חוק הביטוח הלאומי (תיקון - מימון סייעת לילדים שאינם יכולים לשהות במעון), התשפ""ג-2023")</f>
        <v>10039</v>
      </c>
      <c r="E6092" t="s">
        <v>10039</v>
      </c>
      <c r="F6092" t="s">
        <v>12023</v>
      </c>
      <c r="G6092" t="s">
        <v>14</v>
      </c>
      <c r="H6092">
             </c>
      <c r="I6092" t="s">
        <v>14</v>
      </c>
      <c r="J6092" t="s">
        <v>141</v>
      </c>
      <c r="K6092" t="s">
        <v>14</v>
      </c>
      <c r="L6092" t="s">
        <v>20</v>
      </c>
      <c r="M6092" t="s">
        <v>11979</v>
      </c>
      <c r="N6092" t="s">
        <v>14</v>
      </c>
    </row>
    <row r="6093" x14ac:dyDescent="0.25">
      <c r="A6093" t="n">
        <v>25</v>
      </c>
      <c r="B6093" t="s">
        <v>14</v>
      </c>
      <c r="C6093" t="s">
        <v>22</v>
      </c>
      <c r="D6093" s="2" t="s">
        <f>=HYPERLINK("https://main.knesset.gov.il/APPS/legislation/main/bills/2196078", "הצעת חוק יום אבל במות קרוב מדרגה שנייה, התשפ""ג-2023")</f>
        <v>9865</v>
      </c>
      <c r="E6093" t="s">
        <v>9865</v>
      </c>
      <c r="F6093" t="s">
        <v>12024</v>
      </c>
      <c r="G6093" t="s">
        <v>14</v>
      </c>
      <c r="H6093">
             </c>
      <c r="I6093" t="s">
        <v>14</v>
      </c>
      <c r="J6093" t="s">
        <v>141</v>
      </c>
      <c r="K6093" t="s">
        <v>14</v>
      </c>
      <c r="L6093" t="s">
        <v>20</v>
      </c>
      <c r="M6093" t="s">
        <v>11979</v>
      </c>
      <c r="N6093" t="s">
        <v>14</v>
      </c>
    </row>
    <row r="6094" x14ac:dyDescent="0.25">
      <c r="A6094" t="n">
        <v>25</v>
      </c>
      <c r="B6094" t="s">
        <v>14</v>
      </c>
      <c r="C6094" t="s">
        <v>22</v>
      </c>
      <c r="D6094" s="2" t="s">
        <f>=HYPERLINK("https://main.knesset.gov.il/APPS/legislation/main/bills/2198944", "הצעת חוק פיקוח על רווחי שיווק בתוצרת חקלאית, התשפ""ג-2023")</f>
        <v>12025</v>
      </c>
      <c r="E6094" t="s">
        <v>12025</v>
      </c>
      <c r="F6094" t="s">
        <v>12026</v>
      </c>
      <c r="G6094" t="s">
        <v>14</v>
      </c>
      <c r="H6094">
             </c>
      <c r="I6094" t="s">
        <v>14</v>
      </c>
      <c r="J6094" t="s">
        <v>141</v>
      </c>
      <c r="K6094" t="s">
        <v>14</v>
      </c>
      <c r="L6094" t="s">
        <v>20</v>
      </c>
      <c r="M6094" t="s">
        <v>11979</v>
      </c>
      <c r="N6094" t="s">
        <v>14</v>
      </c>
    </row>
    <row r="6095" x14ac:dyDescent="0.25">
      <c r="A6095" t="n">
        <v>25</v>
      </c>
      <c r="B6095" t="s">
        <v>14</v>
      </c>
      <c r="C6095" t="s">
        <v>22</v>
      </c>
      <c r="D6095" s="2" t="s">
        <f>=HYPERLINK("https://main.knesset.gov.il/APPS/legislation/main/bills/2198820", "הצעת חוק הגנת הצרכן (תיקון - איסור גביית עמלה בעסקה שבוצעה באמצעות האינטרנט), התשפ""ג-2023")</f>
        <v>11692</v>
      </c>
      <c r="E6095" t="s">
        <v>11692</v>
      </c>
      <c r="F6095" t="s">
        <v>12027</v>
      </c>
      <c r="G6095" t="s">
        <v>14</v>
      </c>
      <c r="H6095">
             </c>
      <c r="I6095" t="s">
        <v>14</v>
      </c>
      <c r="J6095" t="s">
        <v>141</v>
      </c>
      <c r="K6095" t="s">
        <v>14</v>
      </c>
      <c r="L6095" t="s">
        <v>20</v>
      </c>
      <c r="M6095" t="s">
        <v>11979</v>
      </c>
      <c r="N6095" t="s">
        <v>14</v>
      </c>
    </row>
    <row r="6096" x14ac:dyDescent="0.25">
      <c r="A6096" t="n">
        <v>25</v>
      </c>
      <c r="B6096" t="s">
        <v>14</v>
      </c>
      <c r="C6096" t="s">
        <v>22</v>
      </c>
      <c r="D6096" s="2" t="s">
        <f>=HYPERLINK("https://main.knesset.gov.il/APPS/legislation/main/bills/2198197", "הצעת חוק ביטוח בריאות ממלכתי (תיקון - רפואת שיניים למי שמלאו להם 60 שנים), התשפ""ג-2023")</f>
        <v>12028</v>
      </c>
      <c r="E6096" t="s">
        <v>12028</v>
      </c>
      <c r="F6096" t="s">
        <v>12029</v>
      </c>
      <c r="G6096" t="s">
        <v>14</v>
      </c>
      <c r="H6096">
             </c>
      <c r="I6096" t="s">
        <v>14</v>
      </c>
      <c r="J6096" t="s">
        <v>141</v>
      </c>
      <c r="K6096" t="s">
        <v>14</v>
      </c>
      <c r="L6096" t="s">
        <v>20</v>
      </c>
      <c r="M6096" t="s">
        <v>11979</v>
      </c>
      <c r="N6096" t="s">
        <v>14</v>
      </c>
    </row>
    <row r="6097" x14ac:dyDescent="0.25">
      <c r="A6097" t="n">
        <v>25</v>
      </c>
      <c r="B6097" t="s">
        <v>14</v>
      </c>
      <c r="C6097" t="s">
        <v>22</v>
      </c>
      <c r="D6097" s="2" t="s">
        <f>=HYPERLINK("https://main.knesset.gov.il/APPS/legislation/main/bills/2196155", "הצעת חוק ביטוח בריאות ממלכתי (תיקון - רפואת שיניים למי שמלאו להם 60 שנים), התשפ""ג-2023")</f>
        <v>12028</v>
      </c>
      <c r="E6097" t="s">
        <v>12028</v>
      </c>
      <c r="F6097" t="s">
        <v>12030</v>
      </c>
      <c r="G6097" t="s">
        <v>14</v>
      </c>
      <c r="H6097">
             </c>
      <c r="I6097" t="s">
        <v>14</v>
      </c>
      <c r="J6097" t="s">
        <v>141</v>
      </c>
      <c r="K6097" t="s">
        <v>14</v>
      </c>
      <c r="L6097" t="s">
        <v>20</v>
      </c>
      <c r="M6097" t="s">
        <v>11979</v>
      </c>
      <c r="N6097" t="s">
        <v>14</v>
      </c>
    </row>
    <row r="6098" x14ac:dyDescent="0.25">
      <c r="A6098" t="n">
        <v>25</v>
      </c>
      <c r="B6098" t="s">
        <v>14</v>
      </c>
      <c r="C6098" t="s">
        <v>22</v>
      </c>
      <c r="D6098" s="2" t="s">
        <f>=HYPERLINK("https://main.knesset.gov.il/APPS/legislation/main/bills/2196531", "הצעת חוק הספורט (תיקון - זכויות ספורטאי בוגר), התשפ""ג-2023")</f>
        <v>12031</v>
      </c>
      <c r="E6098" t="s">
        <v>12031</v>
      </c>
      <c r="F6098" t="s">
        <v>12032</v>
      </c>
      <c r="G6098" t="s">
        <v>14</v>
      </c>
      <c r="H6098">
             </c>
      <c r="I6098" t="s">
        <v>14</v>
      </c>
      <c r="J6098" t="s">
        <v>141</v>
      </c>
      <c r="K6098" t="s">
        <v>14</v>
      </c>
      <c r="L6098" t="s">
        <v>20</v>
      </c>
      <c r="M6098" t="s">
        <v>11979</v>
      </c>
      <c r="N6098" t="s">
        <v>14</v>
      </c>
    </row>
    <row r="6099" x14ac:dyDescent="0.25">
      <c r="A6099" t="n">
        <v>25</v>
      </c>
      <c r="B6099" t="s">
        <v>14</v>
      </c>
      <c r="C6099" t="s">
        <v>22</v>
      </c>
      <c r="D6099" s="2" t="s">
        <f>=HYPERLINK("https://main.knesset.gov.il/APPS/legislation/main/bills/2197374", "הצעת חוק שירות המדינה (גמלאות) (תיקון - ביטול שלילת גמלאות מאלמנים שנישאו), התשפ""ג-2023")</f>
        <v>10349</v>
      </c>
      <c r="E6099" t="s">
        <v>10349</v>
      </c>
      <c r="F6099" t="s">
        <v>12033</v>
      </c>
      <c r="G6099" t="s">
        <v>14</v>
      </c>
      <c r="H6099">
             </c>
      <c r="I6099" t="s">
        <v>14</v>
      </c>
      <c r="J6099" t="s">
        <v>141</v>
      </c>
      <c r="K6099" t="s">
        <v>14</v>
      </c>
      <c r="L6099" t="s">
        <v>20</v>
      </c>
      <c r="M6099" t="s">
        <v>11979</v>
      </c>
      <c r="N6099" t="s">
        <v>14</v>
      </c>
    </row>
    <row r="6100" x14ac:dyDescent="0.25">
      <c r="A6100" t="n">
        <v>25</v>
      </c>
      <c r="B6100" t="s">
        <v>14</v>
      </c>
      <c r="C6100" t="s">
        <v>22</v>
      </c>
      <c r="D6100" s="2" t="s">
        <f>=HYPERLINK("https://main.knesset.gov.il/APPS/legislation/main/bills/2197352", "הצעת חוק הנגשת מוקדי פניות חירום באמצעות שיחוח ומסרון, התשפ""ג-2023")</f>
        <v>12034</v>
      </c>
      <c r="E6100" t="s">
        <v>12034</v>
      </c>
      <c r="F6100" t="s">
        <v>12035</v>
      </c>
      <c r="G6100" t="s">
        <v>14</v>
      </c>
      <c r="H6100">
             </c>
      <c r="I6100" t="s">
        <v>14</v>
      </c>
      <c r="J6100" t="s">
        <v>141</v>
      </c>
      <c r="K6100" t="s">
        <v>14</v>
      </c>
      <c r="L6100" t="s">
        <v>20</v>
      </c>
      <c r="M6100" t="s">
        <v>11979</v>
      </c>
      <c r="N6100" t="s">
        <v>14</v>
      </c>
    </row>
    <row r="6101" x14ac:dyDescent="0.25">
      <c r="A6101" t="n">
        <v>25</v>
      </c>
      <c r="B6101" t="s">
        <v>14</v>
      </c>
      <c r="C6101" t="s">
        <v>22</v>
      </c>
      <c r="D6101" s="2" t="s">
        <f>=HYPERLINK("https://main.knesset.gov.il/APPS/legislation/main/bills/2197368", "הצעת חוק ארוחה יומית לתלמיד (תיקון - הרחבת תחולת החוק), התשפ""ג-2023")</f>
        <v>9584</v>
      </c>
      <c r="E6101" t="s">
        <v>9584</v>
      </c>
      <c r="F6101" t="s">
        <v>12036</v>
      </c>
      <c r="G6101" t="s">
        <v>14</v>
      </c>
      <c r="H6101">
             </c>
      <c r="I6101" t="s">
        <v>14</v>
      </c>
      <c r="J6101" t="s">
        <v>141</v>
      </c>
      <c r="K6101" t="s">
        <v>14</v>
      </c>
      <c r="L6101" t="s">
        <v>20</v>
      </c>
      <c r="M6101" t="s">
        <v>11979</v>
      </c>
      <c r="N6101" t="s">
        <v>14</v>
      </c>
    </row>
    <row r="6102" x14ac:dyDescent="0.25">
      <c r="A6102" t="n">
        <v>25</v>
      </c>
      <c r="B6102" t="s">
        <v>14</v>
      </c>
      <c r="C6102" t="s">
        <v>22</v>
      </c>
      <c r="D6102" s="2" t="s">
        <f>=HYPERLINK("https://main.knesset.gov.il/APPS/legislation/main/bills/2197363", "הצעת חוק הפיקוח על מעונות יום לפעוטות (תיקון - חובת החזקת ערכת עזרה ראשונה), התשפ""ג-2023")</f>
        <v>11598</v>
      </c>
      <c r="E6102" t="s">
        <v>11598</v>
      </c>
      <c r="F6102" t="s">
        <v>12037</v>
      </c>
      <c r="G6102" t="s">
        <v>14</v>
      </c>
      <c r="H6102">
             </c>
      <c r="I6102" t="s">
        <v>14</v>
      </c>
      <c r="J6102" t="s">
        <v>141</v>
      </c>
      <c r="K6102" t="s">
        <v>14</v>
      </c>
      <c r="L6102" t="s">
        <v>20</v>
      </c>
      <c r="M6102" t="s">
        <v>11979</v>
      </c>
      <c r="N6102" t="s">
        <v>14</v>
      </c>
    </row>
    <row r="6103" x14ac:dyDescent="0.25">
      <c r="A6103" t="n">
        <v>25</v>
      </c>
      <c r="B6103" t="s">
        <v>14</v>
      </c>
      <c r="C6103" t="s">
        <v>22</v>
      </c>
      <c r="D6103" s="2" t="s">
        <f>=HYPERLINK("https://main.knesset.gov.il/APPS/legislation/main/bills/2197995", "הצעת חוק המשטרה (תיקון - התיישנות עבירות), התשפ""ג-2023")</f>
        <v>12038</v>
      </c>
      <c r="E6103" t="s">
        <v>12038</v>
      </c>
      <c r="F6103" t="s">
        <v>12039</v>
      </c>
      <c r="G6103" t="s">
        <v>14</v>
      </c>
      <c r="H6103">
             </c>
      <c r="I6103" t="s">
        <v>14</v>
      </c>
      <c r="J6103" t="s">
        <v>141</v>
      </c>
      <c r="K6103" t="s">
        <v>14</v>
      </c>
      <c r="L6103" t="s">
        <v>20</v>
      </c>
      <c r="M6103" t="s">
        <v>11979</v>
      </c>
      <c r="N6103" t="s">
        <v>14</v>
      </c>
    </row>
    <row r="6104" x14ac:dyDescent="0.25">
      <c r="A6104" t="n">
        <v>25</v>
      </c>
      <c r="B6104" t="s">
        <v>14</v>
      </c>
      <c r="C6104" t="s">
        <v>22</v>
      </c>
      <c r="D6104" s="2" t="s">
        <f>=HYPERLINK("https://main.knesset.gov.il/APPS/legislation/main/bills/2198806", "הצעת חוק הפיקוח על שירותים פיננסיים (ביטוח) (תיקון - הוספת רישיון הנפקה), התשפ""ג-2023")</f>
        <v>12040</v>
      </c>
      <c r="E6104" t="s">
        <v>12040</v>
      </c>
      <c r="F6104" t="s">
        <v>12041</v>
      </c>
      <c r="G6104" t="s">
        <v>14</v>
      </c>
      <c r="H6104">
             </c>
      <c r="I6104" t="s">
        <v>14</v>
      </c>
      <c r="J6104" t="s">
        <v>141</v>
      </c>
      <c r="K6104" t="s">
        <v>14</v>
      </c>
      <c r="L6104" t="s">
        <v>20</v>
      </c>
      <c r="M6104" t="s">
        <v>11979</v>
      </c>
      <c r="N6104" t="s">
        <v>14</v>
      </c>
    </row>
    <row r="6105" x14ac:dyDescent="0.25">
      <c r="A6105" t="n">
        <v>25</v>
      </c>
      <c r="B6105" t="s">
        <v>14</v>
      </c>
      <c r="C6105" t="s">
        <v>22</v>
      </c>
      <c r="D6105" s="2" t="s">
        <f>=HYPERLINK("https://main.knesset.gov.il/APPS/legislation/main/bills/2198807", "הצעת חוק רשת ביטחון לעצמאים בעת אירוע חירום, התשפ""ג-2023")</f>
        <v>12042</v>
      </c>
      <c r="E6105" t="s">
        <v>12042</v>
      </c>
      <c r="F6105" t="s">
        <v>12043</v>
      </c>
      <c r="G6105" t="s">
        <v>14</v>
      </c>
      <c r="H6105">
             </c>
      <c r="I6105" t="s">
        <v>14</v>
      </c>
      <c r="J6105" t="s">
        <v>141</v>
      </c>
      <c r="K6105" t="s">
        <v>14</v>
      </c>
      <c r="L6105" t="s">
        <v>20</v>
      </c>
      <c r="M6105" t="s">
        <v>11979</v>
      </c>
      <c r="N6105" t="s">
        <v>14</v>
      </c>
    </row>
    <row r="6106" x14ac:dyDescent="0.25">
      <c r="A6106" t="n">
        <v>25</v>
      </c>
      <c r="B6106" t="s">
        <v>14</v>
      </c>
      <c r="C6106" t="s">
        <v>22</v>
      </c>
      <c r="D6106" s="2" t="s">
        <f>=HYPERLINK("https://main.knesset.gov.il/APPS/legislation/main/bills/2198768", "הצעת חוק נתוני אשראי (תיקון - קיצור תקופת שמירת הנתונים במאגר נתוני אשראי), התשפ""ג-2023")</f>
        <v>12044</v>
      </c>
      <c r="E6106" t="s">
        <v>12044</v>
      </c>
      <c r="F6106" t="s">
        <v>12045</v>
      </c>
      <c r="G6106" t="s">
        <v>14</v>
      </c>
      <c r="H6106">
             </c>
      <c r="I6106" t="s">
        <v>14</v>
      </c>
      <c r="J6106" t="s">
        <v>141</v>
      </c>
      <c r="K6106" t="s">
        <v>14</v>
      </c>
      <c r="L6106" t="s">
        <v>20</v>
      </c>
      <c r="M6106" t="s">
        <v>11979</v>
      </c>
      <c r="N6106" t="s">
        <v>14</v>
      </c>
    </row>
    <row r="6107" x14ac:dyDescent="0.25">
      <c r="A6107" t="n">
        <v>25</v>
      </c>
      <c r="B6107" t="s">
        <v>14</v>
      </c>
      <c r="C6107" t="s">
        <v>22</v>
      </c>
      <c r="D6107" s="2" t="s">
        <f>=HYPERLINK("https://main.knesset.gov.il/APPS/legislation/main/bills/2198819", "הצעת חוק משק החשמל (תיקון - גביית תשלומים), התשפ""ג-2023")</f>
        <v>10367</v>
      </c>
      <c r="E6107" t="s">
        <v>10367</v>
      </c>
      <c r="F6107" t="s">
        <v>12046</v>
      </c>
      <c r="G6107" t="s">
        <v>14</v>
      </c>
      <c r="H6107">
             </c>
      <c r="I6107" t="s">
        <v>14</v>
      </c>
      <c r="J6107" t="s">
        <v>141</v>
      </c>
      <c r="K6107" t="s">
        <v>14</v>
      </c>
      <c r="L6107" t="s">
        <v>20</v>
      </c>
      <c r="M6107" t="s">
        <v>11979</v>
      </c>
      <c r="N6107" t="s">
        <v>14</v>
      </c>
    </row>
    <row r="6108" x14ac:dyDescent="0.25">
      <c r="A6108" t="n">
        <v>25</v>
      </c>
      <c r="B6108" t="s">
        <v>14</v>
      </c>
      <c r="C6108" t="s">
        <v>22</v>
      </c>
      <c r="D6108" s="2" t="s">
        <f>=HYPERLINK("https://main.knesset.gov.il/APPS/legislation/main/bills/2198803", "הצעת חוק עוסק זעיר, התשפ""ג-2023")</f>
        <v>9863</v>
      </c>
      <c r="E6108" t="s">
        <v>9863</v>
      </c>
      <c r="F6108" t="s">
        <v>12047</v>
      </c>
      <c r="G6108" t="s">
        <v>14</v>
      </c>
      <c r="H6108">
             </c>
      <c r="I6108" t="s">
        <v>14</v>
      </c>
      <c r="J6108" t="s">
        <v>141</v>
      </c>
      <c r="K6108" t="s">
        <v>14</v>
      </c>
      <c r="L6108" t="s">
        <v>20</v>
      </c>
      <c r="M6108" t="s">
        <v>11979</v>
      </c>
      <c r="N6108" t="s">
        <v>14</v>
      </c>
    </row>
    <row r="6109" x14ac:dyDescent="0.25">
      <c r="A6109" t="n">
        <v>25</v>
      </c>
      <c r="B6109" t="s">
        <v>14</v>
      </c>
      <c r="C6109" t="s">
        <v>22</v>
      </c>
      <c r="D6109" s="2" t="s">
        <f>=HYPERLINK("https://main.knesset.gov.il/APPS/legislation/main/bills/2198758", "הצעת חוק הבנקאות (רישוי) (תיקון - הפרדה בין בנקים), התשפ""ג-2023")</f>
        <v>12048</v>
      </c>
      <c r="E6109" t="s">
        <v>12048</v>
      </c>
      <c r="F6109" t="s">
        <v>12049</v>
      </c>
      <c r="G6109" t="s">
        <v>14</v>
      </c>
      <c r="H6109">
             </c>
      <c r="I6109" t="s">
        <v>14</v>
      </c>
      <c r="J6109" t="s">
        <v>141</v>
      </c>
      <c r="K6109" t="s">
        <v>14</v>
      </c>
      <c r="L6109" t="s">
        <v>20</v>
      </c>
      <c r="M6109" t="s">
        <v>11979</v>
      </c>
      <c r="N6109" t="s">
        <v>14</v>
      </c>
    </row>
    <row r="6110" x14ac:dyDescent="0.25">
      <c r="A6110" t="n">
        <v>25</v>
      </c>
      <c r="B6110" t="s">
        <v>14</v>
      </c>
      <c r="C6110" t="s">
        <v>22</v>
      </c>
      <c r="D6110" s="2" t="s">
        <f>=HYPERLINK("https://main.knesset.gov.il/APPS/legislation/main/bills/2198746", "הצעת חוק הגבלת עמלת פירעון מוקדם ואיחוד הליכים של הלוואה לדיור (תיקוני חקיקה), התשפ""ג-2023")</f>
        <v>12050</v>
      </c>
      <c r="E6110" t="s">
        <v>12050</v>
      </c>
      <c r="F6110" t="s">
        <v>12051</v>
      </c>
      <c r="G6110" t="s">
        <v>14</v>
      </c>
      <c r="H6110">
             </c>
      <c r="I6110" t="s">
        <v>14</v>
      </c>
      <c r="J6110" t="s">
        <v>141</v>
      </c>
      <c r="K6110" t="s">
        <v>14</v>
      </c>
      <c r="L6110" t="s">
        <v>20</v>
      </c>
      <c r="M6110" t="s">
        <v>11979</v>
      </c>
      <c r="N6110" t="s">
        <v>14</v>
      </c>
    </row>
    <row r="6111" x14ac:dyDescent="0.25">
      <c r="A6111" t="n">
        <v>25</v>
      </c>
      <c r="B6111" t="s">
        <v>14</v>
      </c>
      <c r="C6111" t="s">
        <v>22</v>
      </c>
      <c r="D6111" s="2" t="s">
        <f>=HYPERLINK("https://main.knesset.gov.il/APPS/legislation/main/bills/2197373", "הצעת חוק סדר הדין הפלילי (תיקון - ביטול פסק דין שניתן בהיעדרו של הנאשם), התשפ""ג-2023")</f>
        <v>12052</v>
      </c>
      <c r="E6111" t="s">
        <v>12052</v>
      </c>
      <c r="F6111" t="s">
        <v>12053</v>
      </c>
      <c r="G6111" t="s">
        <v>14</v>
      </c>
      <c r="H6111">
             </c>
      <c r="I6111" t="s">
        <v>14</v>
      </c>
      <c r="J6111" t="s">
        <v>141</v>
      </c>
      <c r="K6111" t="s">
        <v>14</v>
      </c>
      <c r="L6111" t="s">
        <v>20</v>
      </c>
      <c r="M6111" t="s">
        <v>11979</v>
      </c>
      <c r="N6111" t="s">
        <v>14</v>
      </c>
    </row>
    <row r="6112" x14ac:dyDescent="0.25">
      <c r="A6112" t="n">
        <v>25</v>
      </c>
      <c r="B6112" t="s">
        <v>14</v>
      </c>
      <c r="C6112" t="s">
        <v>22</v>
      </c>
      <c r="D6112" s="2" t="s">
        <f>=HYPERLINK("https://main.knesset.gov.il/APPS/legislation/main/bills/2198755", "הצעת חוק היטלי סחר ואמצעי הגנה (תיקון - אי פתיחת חקירה בשל יבוא בהיצף בשוק מונופוליסטי או ריכוזי), התשפ""ג-2023")</f>
        <v>9874</v>
      </c>
      <c r="E6112" t="s">
        <v>9874</v>
      </c>
      <c r="F6112" t="s">
        <v>12054</v>
      </c>
      <c r="G6112" t="s">
        <v>14</v>
      </c>
      <c r="H6112">
             </c>
      <c r="I6112" t="s">
        <v>14</v>
      </c>
      <c r="J6112" t="s">
        <v>141</v>
      </c>
      <c r="K6112" t="s">
        <v>14</v>
      </c>
      <c r="L6112" t="s">
        <v>20</v>
      </c>
      <c r="M6112" t="s">
        <v>11979</v>
      </c>
      <c r="N6112" t="s">
        <v>14</v>
      </c>
    </row>
    <row r="6113" x14ac:dyDescent="0.25">
      <c r="A6113" t="n">
        <v>25</v>
      </c>
      <c r="B6113" t="s">
        <v>14</v>
      </c>
      <c r="C6113" t="s">
        <v>22</v>
      </c>
      <c r="D6113" s="2" t="s">
        <f>=HYPERLINK("https://main.knesset.gov.il/APPS/legislation/main/bills/2198633", "הצעת חוק הביטוח הלאומי (תיקון - השוואת זכויות אלמן ואלמנה), התשפ""ג-2023")</f>
        <v>8065</v>
      </c>
      <c r="E6113" t="s">
        <v>8065</v>
      </c>
      <c r="F6113" t="s">
        <v>12055</v>
      </c>
      <c r="G6113" t="s">
        <v>14</v>
      </c>
      <c r="H6113">
             </c>
      <c r="I6113" t="s">
        <v>14</v>
      </c>
      <c r="J6113" t="s">
        <v>343</v>
      </c>
      <c r="K6113" t="s">
        <v>14</v>
      </c>
      <c r="L6113" t="s">
        <v>20</v>
      </c>
      <c r="M6113" t="s">
        <v>11979</v>
      </c>
      <c r="N6113" t="s">
        <v>14</v>
      </c>
    </row>
    <row r="6114" x14ac:dyDescent="0.25">
      <c r="A6114" t="n">
        <v>25</v>
      </c>
      <c r="B6114" t="s">
        <v>14</v>
      </c>
      <c r="C6114" t="s">
        <v>22</v>
      </c>
      <c r="D6114" s="2" t="s">
        <f>=HYPERLINK("https://main.knesset.gov.il/APPS/legislation/main/bills/2198748", "הצעת חוק להגדלת שיעור ההשתתפות בכוח העבודה ולצמצום פערים חברתיים (מענק עבודה) (תיקון - אוטומציה בקבלת מענק העבודה), התשפ""ג-2023")</f>
        <v>12056</v>
      </c>
      <c r="E6114" t="s">
        <v>12056</v>
      </c>
      <c r="F6114" t="s">
        <v>12057</v>
      </c>
      <c r="G6114" t="s">
        <v>14</v>
      </c>
      <c r="H6114">
             </c>
      <c r="I6114" t="s">
        <v>14</v>
      </c>
      <c r="J6114" t="s">
        <v>141</v>
      </c>
      <c r="K6114" t="s">
        <v>14</v>
      </c>
      <c r="L6114" t="s">
        <v>20</v>
      </c>
      <c r="M6114" t="s">
        <v>11979</v>
      </c>
      <c r="N6114" t="s">
        <v>14</v>
      </c>
    </row>
    <row r="6115" x14ac:dyDescent="0.25">
      <c r="A6115" t="n">
        <v>25</v>
      </c>
      <c r="B6115" t="s">
        <v>14</v>
      </c>
      <c r="C6115" t="s">
        <v>22</v>
      </c>
      <c r="D6115" s="2" t="s">
        <f>=HYPERLINK("https://main.knesset.gov.il/APPS/legislation/main/bills/2198258", "הצעת חוק לימוד חובה (תיקון - הגבלת מספר התלמידים בגן חובה ובבית ספר יסודי), התשפ""ג-2023")</f>
        <v>12058</v>
      </c>
      <c r="E6115" t="s">
        <v>12058</v>
      </c>
      <c r="F6115" t="s">
        <v>12059</v>
      </c>
      <c r="G6115" t="s">
        <v>14</v>
      </c>
      <c r="H6115">
             </c>
      <c r="I6115" t="s">
        <v>14</v>
      </c>
      <c r="J6115" t="s">
        <v>141</v>
      </c>
      <c r="K6115" t="s">
        <v>14</v>
      </c>
      <c r="L6115" t="s">
        <v>20</v>
      </c>
      <c r="M6115" t="s">
        <v>11979</v>
      </c>
      <c r="N6115" t="s">
        <v>14</v>
      </c>
    </row>
    <row r="6116" x14ac:dyDescent="0.25">
      <c r="A6116" t="n">
        <v>25</v>
      </c>
      <c r="B6116" t="s">
        <v>14</v>
      </c>
      <c r="C6116" t="s">
        <v>22</v>
      </c>
      <c r="D6116" s="2" t="s">
        <f>=HYPERLINK("https://main.knesset.gov.il/APPS/legislation/main/bills/2197351", "הצעת חוק הנוטריונים (תיקון - ביטול תעריף מינימום לשירות נוטריוני), התשפ""ג-2023")</f>
        <v>11790</v>
      </c>
      <c r="E6116" t="s">
        <v>11790</v>
      </c>
      <c r="F6116" t="s">
        <v>12060</v>
      </c>
      <c r="G6116" t="s">
        <v>14</v>
      </c>
      <c r="H6116">
             </c>
      <c r="I6116" t="s">
        <v>14</v>
      </c>
      <c r="J6116" t="s">
        <v>141</v>
      </c>
      <c r="K6116" t="s">
        <v>14</v>
      </c>
      <c r="L6116" t="s">
        <v>20</v>
      </c>
      <c r="M6116" t="s">
        <v>11979</v>
      </c>
      <c r="N6116" t="s">
        <v>14</v>
      </c>
    </row>
    <row r="6117" x14ac:dyDescent="0.25">
      <c r="A6117" t="n">
        <v>25</v>
      </c>
      <c r="B6117" t="s">
        <v>14</v>
      </c>
      <c r="C6117" t="s">
        <v>22</v>
      </c>
      <c r="D6117" s="2" t="s">
        <f>=HYPERLINK("https://main.knesset.gov.il/APPS/legislation/main/bills/2198199", "הצעת חוק לתיקון פקודת בריאות העם (הוספת מכשור רפואי לפריפריה), התשפ""ג-2023")</f>
        <v>958</v>
      </c>
      <c r="E6117" t="s">
        <v>958</v>
      </c>
      <c r="F6117" t="s">
        <v>12061</v>
      </c>
      <c r="G6117" t="s">
        <v>14</v>
      </c>
      <c r="H6117">
             </c>
      <c r="I6117" t="s">
        <v>14</v>
      </c>
      <c r="J6117" t="s">
        <v>141</v>
      </c>
      <c r="K6117" t="s">
        <v>14</v>
      </c>
      <c r="L6117" t="s">
        <v>20</v>
      </c>
      <c r="M6117" t="s">
        <v>11979</v>
      </c>
      <c r="N6117" t="s">
        <v>14</v>
      </c>
    </row>
    <row r="6118" x14ac:dyDescent="0.25">
      <c r="A6118" t="n">
        <v>25</v>
      </c>
      <c r="B6118" t="s">
        <v>14</v>
      </c>
      <c r="C6118" t="s">
        <v>22</v>
      </c>
      <c r="D6118" s="2" t="s">
        <f>=HYPERLINK("https://main.knesset.gov.il/APPS/legislation/main/bills/2197362", "הצעת חוק סיוע בקידום תעסוקתי למשפחות של עובדים מעוטי הכנסה, התשפ""ג-2023")</f>
        <v>11356</v>
      </c>
      <c r="E6118" t="s">
        <v>11356</v>
      </c>
      <c r="F6118" t="s">
        <v>12062</v>
      </c>
      <c r="G6118" t="s">
        <v>14</v>
      </c>
      <c r="H6118">
             </c>
      <c r="I6118" t="s">
        <v>14</v>
      </c>
      <c r="J6118" t="s">
        <v>141</v>
      </c>
      <c r="K6118" t="s">
        <v>14</v>
      </c>
      <c r="L6118" t="s">
        <v>20</v>
      </c>
      <c r="M6118" t="s">
        <v>11979</v>
      </c>
      <c r="N6118" t="s">
        <v>14</v>
      </c>
    </row>
    <row r="6119" x14ac:dyDescent="0.25">
      <c r="A6119" t="n">
        <v>25</v>
      </c>
      <c r="B6119" t="s">
        <v>14</v>
      </c>
      <c r="C6119" t="s">
        <v>22</v>
      </c>
      <c r="D6119" s="2" t="s">
        <f>=HYPERLINK("https://main.knesset.gov.il/APPS/legislation/main/bills/2198059", "הצעת חוק זכויות החולה (תיקון - הזכות למינוי מתורגמן רפואי), התשפ""ג-2023")</f>
        <v>10043</v>
      </c>
      <c r="E6119" t="s">
        <v>10043</v>
      </c>
      <c r="F6119" t="s">
        <v>12063</v>
      </c>
      <c r="G6119" t="s">
        <v>14</v>
      </c>
      <c r="H6119">
             </c>
      <c r="I6119" t="s">
        <v>14</v>
      </c>
      <c r="J6119" t="s">
        <v>141</v>
      </c>
      <c r="K6119" t="s">
        <v>14</v>
      </c>
      <c r="L6119" t="s">
        <v>20</v>
      </c>
      <c r="M6119" t="s">
        <v>11979</v>
      </c>
      <c r="N6119" t="s">
        <v>14</v>
      </c>
    </row>
    <row r="6120" x14ac:dyDescent="0.25">
      <c r="A6120" t="n">
        <v>25</v>
      </c>
      <c r="B6120" t="s">
        <v>14</v>
      </c>
      <c r="C6120" t="s">
        <v>22</v>
      </c>
      <c r="D6120" s="2" t="s">
        <f>=HYPERLINK("https://main.knesset.gov.il/APPS/legislation/main/bills/2197350", "הצעת חוק לתיקון פקודת בריאות העם (הוספת מגנזיום למי השתייה), התשפ""ג-2023")</f>
        <v>12064</v>
      </c>
      <c r="E6120" t="s">
        <v>12064</v>
      </c>
      <c r="F6120" t="s">
        <v>12065</v>
      </c>
      <c r="G6120" t="s">
        <v>14</v>
      </c>
      <c r="H6120">
             </c>
      <c r="I6120" t="s">
        <v>14</v>
      </c>
      <c r="J6120" t="s">
        <v>141</v>
      </c>
      <c r="K6120" t="s">
        <v>14</v>
      </c>
      <c r="L6120" t="s">
        <v>20</v>
      </c>
      <c r="M6120" t="s">
        <v>11979</v>
      </c>
      <c r="N6120" t="s">
        <v>14</v>
      </c>
    </row>
    <row r="6121" x14ac:dyDescent="0.25">
      <c r="A6121" t="n">
        <v>25</v>
      </c>
      <c r="B6121" t="s">
        <v>14</v>
      </c>
      <c r="C6121" t="s">
        <v>22</v>
      </c>
      <c r="D6121" s="2" t="s">
        <f>=HYPERLINK("https://main.knesset.gov.il/APPS/legislation/main/bills/2197349", "הצעת חוק לתיקון פקודת הראיות (התייחסות איש צוות רפואי שלא תשמש ראיה), התשפ""ג-2023")</f>
        <v>12066</v>
      </c>
      <c r="E6121" t="s">
        <v>12066</v>
      </c>
      <c r="F6121" t="s">
        <v>12067</v>
      </c>
      <c r="G6121" t="s">
        <v>14</v>
      </c>
      <c r="H6121">
             </c>
      <c r="I6121" t="s">
        <v>14</v>
      </c>
      <c r="J6121" t="s">
        <v>141</v>
      </c>
      <c r="K6121" t="s">
        <v>14</v>
      </c>
      <c r="L6121" t="s">
        <v>20</v>
      </c>
      <c r="M6121" t="s">
        <v>11979</v>
      </c>
      <c r="N6121" t="s">
        <v>14</v>
      </c>
    </row>
    <row r="6122" x14ac:dyDescent="0.25">
      <c r="A6122" t="n">
        <v>25</v>
      </c>
      <c r="B6122" t="s">
        <v>14</v>
      </c>
      <c r="C6122" t="s">
        <v>22</v>
      </c>
      <c r="D6122" s="2" t="s">
        <f>=HYPERLINK("https://main.knesset.gov.il/APPS/legislation/main/bills/2198187", "הצעת חוק למניעת השתלטות תושבי הרשות הפלסטינית על שטחי c, התשפ""ג-2023")</f>
        <v>10660</v>
      </c>
      <c r="E6122" t="s">
        <v>10660</v>
      </c>
      <c r="F6122" t="s">
        <v>12068</v>
      </c>
      <c r="G6122" t="s">
        <v>14</v>
      </c>
      <c r="H6122">
             </c>
      <c r="I6122" t="s">
        <v>14</v>
      </c>
      <c r="J6122" t="s">
        <v>141</v>
      </c>
      <c r="K6122" t="s">
        <v>14</v>
      </c>
      <c r="L6122" t="s">
        <v>20</v>
      </c>
      <c r="M6122" t="s">
        <v>11979</v>
      </c>
      <c r="N6122" t="s">
        <v>14</v>
      </c>
    </row>
    <row r="6123" x14ac:dyDescent="0.25">
      <c r="A6123" t="n">
        <v>25</v>
      </c>
      <c r="B6123" t="s">
        <v>14</v>
      </c>
      <c r="C6123" t="s">
        <v>22</v>
      </c>
      <c r="D6123" s="2" t="s">
        <f>=HYPERLINK("https://main.knesset.gov.il/APPS/legislation/main/bills/2198651", "הצעת חוק הרשויות המקומיות (יועצת לענייני מעמד האישה) (תיקון - תקציב ייעודי וייחוד הכהונה), התשפ""ג-2023")</f>
        <v>12069</v>
      </c>
      <c r="E6123" t="s">
        <v>12069</v>
      </c>
      <c r="F6123" t="s">
        <v>12070</v>
      </c>
      <c r="G6123" t="s">
        <v>14</v>
      </c>
      <c r="H6123">
             </c>
      <c r="I6123" t="s">
        <v>14</v>
      </c>
      <c r="J6123" t="s">
        <v>141</v>
      </c>
      <c r="K6123" t="s">
        <v>14</v>
      </c>
      <c r="L6123" t="s">
        <v>20</v>
      </c>
      <c r="M6123" t="s">
        <v>11979</v>
      </c>
      <c r="N6123" t="s">
        <v>14</v>
      </c>
    </row>
    <row r="6124" x14ac:dyDescent="0.25">
      <c r="A6124" t="n">
        <v>25</v>
      </c>
      <c r="B6124" t="s">
        <v>14</v>
      </c>
      <c r="C6124" t="s">
        <v>22</v>
      </c>
      <c r="D6124" s="2" t="s">
        <f>=HYPERLINK("https://main.knesset.gov.il/APPS/legislation/main/bills/2198741", "הצעת חוק הבנקאות (שירות ללקוח) (תיקון - העברת משכנתה בין בנקים), התשפ""ג-2023")</f>
        <v>12071</v>
      </c>
      <c r="E6124" t="s">
        <v>12071</v>
      </c>
      <c r="F6124" t="s">
        <v>12072</v>
      </c>
      <c r="G6124" t="s">
        <v>14</v>
      </c>
      <c r="H6124">
             </c>
      <c r="I6124" t="s">
        <v>14</v>
      </c>
      <c r="J6124" t="s">
        <v>141</v>
      </c>
      <c r="K6124" t="s">
        <v>14</v>
      </c>
      <c r="L6124" t="s">
        <v>20</v>
      </c>
      <c r="M6124" t="s">
        <v>11979</v>
      </c>
      <c r="N6124" t="s">
        <v>14</v>
      </c>
    </row>
    <row r="6125" x14ac:dyDescent="0.25">
      <c r="A6125" t="n">
        <v>25</v>
      </c>
      <c r="B6125" t="s">
        <v>14</v>
      </c>
      <c r="C6125" t="s">
        <v>22</v>
      </c>
      <c r="D6125" s="2" t="s">
        <f>=HYPERLINK("https://main.knesset.gov.il/APPS/legislation/main/bills/2198732", "הצעת חוק הבנקאות (שירות ללקוח) (תיקון - הפחתת יוקר תשלומי הלוואה לדיור), התשפ""ג-2023")</f>
        <v>12073</v>
      </c>
      <c r="E6125" t="s">
        <v>12073</v>
      </c>
      <c r="F6125" t="s">
        <v>12074</v>
      </c>
      <c r="G6125" t="s">
        <v>14</v>
      </c>
      <c r="H6125">
             </c>
      <c r="I6125" t="s">
        <v>14</v>
      </c>
      <c r="J6125" t="s">
        <v>141</v>
      </c>
      <c r="K6125" t="s">
        <v>14</v>
      </c>
      <c r="L6125" t="s">
        <v>20</v>
      </c>
      <c r="M6125" t="s">
        <v>11979</v>
      </c>
      <c r="N6125" t="s">
        <v>14</v>
      </c>
    </row>
    <row r="6126" x14ac:dyDescent="0.25">
      <c r="A6126" t="n">
        <v>25</v>
      </c>
      <c r="B6126" t="s">
        <v>14</v>
      </c>
      <c r="C6126" t="s">
        <v>22</v>
      </c>
      <c r="D6126" s="2" t="s">
        <f>=HYPERLINK("https://main.knesset.gov.il/APPS/legislation/main/bills/2198404", "הצעת חוק עסקאות גופים ציבוריים (תיקון - איסור על התקשרות קבלנית להעסקת עובדים), התשפ""ג-2023")</f>
        <v>12075</v>
      </c>
      <c r="E6126" t="s">
        <v>12075</v>
      </c>
      <c r="F6126" t="s">
        <v>12076</v>
      </c>
      <c r="G6126" t="s">
        <v>14</v>
      </c>
      <c r="H6126">
             </c>
      <c r="I6126" t="s">
        <v>14</v>
      </c>
      <c r="J6126" t="s">
        <v>141</v>
      </c>
      <c r="K6126" t="s">
        <v>14</v>
      </c>
      <c r="L6126" t="s">
        <v>20</v>
      </c>
      <c r="M6126" t="s">
        <v>11979</v>
      </c>
      <c r="N6126" t="s">
        <v>14</v>
      </c>
    </row>
    <row r="6127" x14ac:dyDescent="0.25">
      <c r="A6127" t="n">
        <v>25</v>
      </c>
      <c r="B6127" t="s">
        <v>14</v>
      </c>
      <c r="C6127" t="s">
        <v>22</v>
      </c>
      <c r="D6127" s="2" t="s">
        <f>=HYPERLINK("https://main.knesset.gov.il/APPS/legislation/main/bills/2197375", "הצעת חוק המועצה הישראלית לצרכנות (תיקון - ודאות תקציבית), התשפ""ג-2023")</f>
        <v>8716</v>
      </c>
      <c r="E6127" t="s">
        <v>8716</v>
      </c>
      <c r="F6127" t="s">
        <v>12077</v>
      </c>
      <c r="G6127" t="s">
        <v>14</v>
      </c>
      <c r="H6127">
             </c>
      <c r="I6127" t="s">
        <v>14</v>
      </c>
      <c r="J6127" t="s">
        <v>141</v>
      </c>
      <c r="K6127" t="s">
        <v>14</v>
      </c>
      <c r="L6127" t="s">
        <v>20</v>
      </c>
      <c r="M6127" t="s">
        <v>11979</v>
      </c>
      <c r="N6127" t="s">
        <v>14</v>
      </c>
    </row>
    <row r="6128" x14ac:dyDescent="0.25">
      <c r="A6128" t="n">
        <v>25</v>
      </c>
      <c r="B6128" t="s">
        <v>14</v>
      </c>
      <c r="C6128" t="s">
        <v>22</v>
      </c>
      <c r="D6128" s="2" t="s">
        <f>=HYPERLINK("https://main.knesset.gov.il/APPS/legislation/main/bills/2197356", "הצעת חוק ההתגוננות האזרחית (תיקון - התקן בטיחותי על דלת מרחב מוגן דירתי), התשפ""ג-2023")</f>
        <v>12078</v>
      </c>
      <c r="E6128" t="s">
        <v>12078</v>
      </c>
      <c r="F6128" t="s">
        <v>12079</v>
      </c>
      <c r="G6128" t="s">
        <v>14</v>
      </c>
      <c r="H6128">
             </c>
      <c r="I6128" t="s">
        <v>14</v>
      </c>
      <c r="J6128" t="s">
        <v>141</v>
      </c>
      <c r="K6128" t="s">
        <v>14</v>
      </c>
      <c r="L6128" t="s">
        <v>20</v>
      </c>
      <c r="M6128" t="s">
        <v>11979</v>
      </c>
      <c r="N6128" t="s">
        <v>14</v>
      </c>
    </row>
    <row r="6129" x14ac:dyDescent="0.25">
      <c r="A6129" t="n">
        <v>25</v>
      </c>
      <c r="B6129" t="s">
        <v>14</v>
      </c>
      <c r="C6129" t="s">
        <v>22</v>
      </c>
      <c r="D6129" s="2" t="s">
        <f>=HYPERLINK("https://main.knesset.gov.il/APPS/legislation/main/bills/2198341", "הצעת חוק למניעת התנכלות תעסוקתית, התשפ""ג-2023")</f>
        <v>8710</v>
      </c>
      <c r="E6129" t="s">
        <v>8710</v>
      </c>
      <c r="F6129" t="s">
        <v>12080</v>
      </c>
      <c r="G6129" t="s">
        <v>14</v>
      </c>
      <c r="H6129">
             </c>
      <c r="I6129" t="s">
        <v>14</v>
      </c>
      <c r="J6129" t="s">
        <v>141</v>
      </c>
      <c r="K6129" t="s">
        <v>14</v>
      </c>
      <c r="L6129" t="s">
        <v>20</v>
      </c>
      <c r="M6129" t="s">
        <v>11979</v>
      </c>
      <c r="N6129" t="s">
        <v>14</v>
      </c>
    </row>
    <row r="6130" x14ac:dyDescent="0.25">
      <c r="A6130" t="n">
        <v>25</v>
      </c>
      <c r="B6130" t="s">
        <v>14</v>
      </c>
      <c r="C6130" t="s">
        <v>22</v>
      </c>
      <c r="D6130" s="2" t="s">
        <f>=HYPERLINK("https://main.knesset.gov.il/APPS/legislation/main/bills/2197428", "הצעת חוק חובת המכרזים (תיקון - עסק קולט עלייה), התשפ""ג-2023")</f>
        <v>12081</v>
      </c>
      <c r="E6130" t="s">
        <v>12081</v>
      </c>
      <c r="F6130" t="s">
        <v>12082</v>
      </c>
      <c r="G6130" t="s">
        <v>14</v>
      </c>
      <c r="H6130">
             </c>
      <c r="I6130" t="s">
        <v>14</v>
      </c>
      <c r="J6130" t="s">
        <v>141</v>
      </c>
      <c r="K6130" t="s">
        <v>14</v>
      </c>
      <c r="L6130" t="s">
        <v>20</v>
      </c>
      <c r="M6130" t="s">
        <v>11979</v>
      </c>
      <c r="N6130" t="s">
        <v>14</v>
      </c>
    </row>
    <row r="6131" x14ac:dyDescent="0.25">
      <c r="A6131" t="n">
        <v>25</v>
      </c>
      <c r="B6131" t="s">
        <v>14</v>
      </c>
      <c r="C6131" t="s">
        <v>22</v>
      </c>
      <c r="D6131" s="2" t="s">
        <f>=HYPERLINK("https://main.knesset.gov.il/APPS/legislation/main/bills/2197346", "הצעת חוק דמי מחלה (היעדרות בשל מחלת ילד) (תיקון - הורה ליותר מילד אחד), התשפ""ג-2023")</f>
        <v>9331</v>
      </c>
      <c r="E6131" t="s">
        <v>9331</v>
      </c>
      <c r="F6131" t="s">
        <v>12083</v>
      </c>
      <c r="G6131" t="s">
        <v>14</v>
      </c>
      <c r="H6131">
             </c>
      <c r="I6131" t="s">
        <v>14</v>
      </c>
      <c r="J6131" t="s">
        <v>141</v>
      </c>
      <c r="K6131" t="s">
        <v>14</v>
      </c>
      <c r="L6131" t="s">
        <v>20</v>
      </c>
      <c r="M6131" t="s">
        <v>11979</v>
      </c>
      <c r="N6131" t="s">
        <v>14</v>
      </c>
    </row>
    <row r="6132" x14ac:dyDescent="0.25">
      <c r="A6132" t="n">
        <v>25</v>
      </c>
      <c r="B6132" t="s">
        <v>14</v>
      </c>
      <c r="C6132" t="s">
        <v>22</v>
      </c>
      <c r="D6132" s="2" t="s">
        <f>=HYPERLINK("https://main.knesset.gov.il/APPS/legislation/main/bills/2197340", "הצעת חוק הגנת הצרכן (תיקון - סיכום פנייה), התשפ""ג-2023")</f>
        <v>11422</v>
      </c>
      <c r="E6132" t="s">
        <v>11422</v>
      </c>
      <c r="F6132" t="s">
        <v>12084</v>
      </c>
      <c r="G6132" t="s">
        <v>14</v>
      </c>
      <c r="H6132">
             </c>
      <c r="I6132" t="s">
        <v>14</v>
      </c>
      <c r="J6132" t="s">
        <v>141</v>
      </c>
      <c r="K6132" t="s">
        <v>14</v>
      </c>
      <c r="L6132" t="s">
        <v>20</v>
      </c>
      <c r="M6132" t="s">
        <v>11979</v>
      </c>
      <c r="N6132" t="s">
        <v>14</v>
      </c>
    </row>
    <row r="6133" x14ac:dyDescent="0.25">
      <c r="A6133" t="n">
        <v>25</v>
      </c>
      <c r="B6133" t="s">
        <v>14</v>
      </c>
      <c r="C6133" t="s">
        <v>22</v>
      </c>
      <c r="D6133" s="2" t="s">
        <f>=HYPERLINK("https://main.knesset.gov.il/APPS/legislation/main/bills/2197136", "הצעת חוק גיל פרישה (תיקון - הקדמת גיל הפרישה), התשפ""ג-2023")</f>
        <v>12085</v>
      </c>
      <c r="E6133" t="s">
        <v>12085</v>
      </c>
      <c r="F6133" t="s">
        <v>12086</v>
      </c>
      <c r="G6133" t="s">
        <v>14</v>
      </c>
      <c r="H6133">
             </c>
      <c r="I6133" t="s">
        <v>14</v>
      </c>
      <c r="J6133" t="s">
        <v>141</v>
      </c>
      <c r="K6133" t="s">
        <v>14</v>
      </c>
      <c r="L6133" t="s">
        <v>20</v>
      </c>
      <c r="M6133" t="s">
        <v>11979</v>
      </c>
      <c r="N6133" t="s">
        <v>14</v>
      </c>
    </row>
    <row r="6134" x14ac:dyDescent="0.25">
      <c r="A6134" t="n">
        <v>25</v>
      </c>
      <c r="B6134" t="s">
        <v>14</v>
      </c>
      <c r="C6134" t="s">
        <v>22</v>
      </c>
      <c r="D6134" s="2" t="s">
        <f>=HYPERLINK("https://main.knesset.gov.il/APPS/legislation/main/bills/2197464", "הצעת חוק הביטוח הלאומי (תיקון - העלאת קצבת הילדים), התשפ""ג-2023")</f>
        <v>11057</v>
      </c>
      <c r="E6134" t="s">
        <v>11057</v>
      </c>
      <c r="F6134" t="s">
        <v>12087</v>
      </c>
      <c r="G6134" t="s">
        <v>14</v>
      </c>
      <c r="H6134">
             </c>
      <c r="I6134" t="s">
        <v>14</v>
      </c>
      <c r="J6134" t="s">
        <v>141</v>
      </c>
      <c r="K6134" t="s">
        <v>14</v>
      </c>
      <c r="L6134" t="s">
        <v>20</v>
      </c>
      <c r="M6134" t="s">
        <v>11979</v>
      </c>
      <c r="N6134" t="s">
        <v>14</v>
      </c>
    </row>
    <row r="6135" x14ac:dyDescent="0.25">
      <c r="A6135" t="n">
        <v>25</v>
      </c>
      <c r="B6135" t="s">
        <v>14</v>
      </c>
      <c r="C6135" t="s">
        <v>22</v>
      </c>
      <c r="D6135" s="2" t="s">
        <f>=HYPERLINK("https://main.knesset.gov.il/APPS/legislation/main/bills/2198754", "הצעת חוק התכנון והבנייה (תיקון - מכירה ישירה של תוצרת חקלאית), התשפ""ג-2023")</f>
        <v>8763</v>
      </c>
      <c r="E6135" t="s">
        <v>8763</v>
      </c>
      <c r="F6135" t="s">
        <v>12088</v>
      </c>
      <c r="G6135" t="s">
        <v>14</v>
      </c>
      <c r="H6135">
             </c>
      <c r="I6135" t="s">
        <v>14</v>
      </c>
      <c r="J6135" t="s">
        <v>343</v>
      </c>
      <c r="K6135" t="s">
        <v>14</v>
      </c>
      <c r="L6135" t="s">
        <v>20</v>
      </c>
      <c r="M6135" t="s">
        <v>11979</v>
      </c>
      <c r="N6135" t="s">
        <v>14</v>
      </c>
    </row>
    <row r="6136" x14ac:dyDescent="0.25">
      <c r="A6136" t="n">
        <v>25</v>
      </c>
      <c r="B6136" t="s">
        <v>14</v>
      </c>
      <c r="C6136" t="s">
        <v>22</v>
      </c>
      <c r="D6136" s="2" t="s">
        <f>=HYPERLINK("https://main.knesset.gov.il/APPS/legislation/main/bills/2196509", "הצעת חוק לתיקון פקודת התעבורה (הגבלת הפעלת רכב ציבורי בימי מנוחה), התשפ""ג-2023")</f>
        <v>9051</v>
      </c>
      <c r="E6136" t="s">
        <v>9051</v>
      </c>
      <c r="F6136" t="s">
        <v>12089</v>
      </c>
      <c r="G6136" t="s">
        <v>14</v>
      </c>
      <c r="H6136">
             </c>
      <c r="I6136" t="s">
        <v>14</v>
      </c>
      <c r="J6136" t="s">
        <v>141</v>
      </c>
      <c r="K6136" t="s">
        <v>14</v>
      </c>
      <c r="L6136" t="s">
        <v>20</v>
      </c>
      <c r="M6136" t="s">
        <v>11979</v>
      </c>
      <c r="N6136" t="s">
        <v>14</v>
      </c>
    </row>
    <row r="6137" x14ac:dyDescent="0.25">
      <c r="A6137" t="n">
        <v>25</v>
      </c>
      <c r="B6137" t="s">
        <v>14</v>
      </c>
      <c r="C6137" t="s">
        <v>22</v>
      </c>
      <c r="D6137" s="2" t="s">
        <f>=HYPERLINK("https://main.knesset.gov.il/APPS/legislation/main/bills/2197360", "הצעת חוק מידע גנטי (תיקון - עריכת בדיקה גנטית לאיתור בן משפחה שעלה בין השנים 1948 עד 1959), התשפ""ג-2023")</f>
        <v>12090</v>
      </c>
      <c r="E6137" t="s">
        <v>12090</v>
      </c>
      <c r="F6137" t="s">
        <v>12091</v>
      </c>
      <c r="G6137" t="s">
        <v>14</v>
      </c>
      <c r="H6137">
             </c>
      <c r="I6137" t="s">
        <v>14</v>
      </c>
      <c r="J6137" t="s">
        <v>141</v>
      </c>
      <c r="K6137" t="s">
        <v>14</v>
      </c>
      <c r="L6137" t="s">
        <v>20</v>
      </c>
      <c r="M6137" t="s">
        <v>11979</v>
      </c>
      <c r="N6137" t="s">
        <v>14</v>
      </c>
    </row>
    <row r="6138" x14ac:dyDescent="0.25">
      <c r="A6138" t="n">
        <v>25</v>
      </c>
      <c r="B6138" t="s">
        <v>14</v>
      </c>
      <c r="C6138" t="s">
        <v>22</v>
      </c>
      <c r="D6138" s="2" t="s">
        <f>=HYPERLINK("https://main.knesset.gov.il/APPS/legislation/main/bills/2197339", "הצעת חוק הגנת הצרכן (תיקון - מתן שירות טלפוני על ידי בעל רישיון להפעלת קו שירות לאוטובוס), התשפ""ג-2023")</f>
        <v>12092</v>
      </c>
      <c r="E6138" t="s">
        <v>12092</v>
      </c>
      <c r="F6138" t="s">
        <v>12093</v>
      </c>
      <c r="G6138" t="s">
        <v>14</v>
      </c>
      <c r="H6138">
             </c>
      <c r="I6138" t="s">
        <v>14</v>
      </c>
      <c r="J6138" t="s">
        <v>141</v>
      </c>
      <c r="K6138" t="s">
        <v>14</v>
      </c>
      <c r="L6138" t="s">
        <v>20</v>
      </c>
      <c r="M6138" t="s">
        <v>11979</v>
      </c>
      <c r="N6138" t="s">
        <v>14</v>
      </c>
    </row>
    <row r="6139" x14ac:dyDescent="0.25">
      <c r="A6139" t="n">
        <v>25</v>
      </c>
      <c r="B6139" t="s">
        <v>14</v>
      </c>
      <c r="C6139" t="s">
        <v>22</v>
      </c>
      <c r="D6139" s="2" t="s">
        <f>=HYPERLINK("https://main.knesset.gov.il/APPS/legislation/main/bills/2198749", "הצעת חוק תגמול לנושאי משרה בתאגידים פיננסיים (אישור מיוחד ואי-התרת הוצאה לצורכי מס בשל תגמול חריג) (תיקון - הרחבת התחולה על ספקים וקמעונאים גדולים), התשפ""ג-2023")</f>
        <v>12094</v>
      </c>
      <c r="E6139" t="s">
        <v>12094</v>
      </c>
      <c r="F6139" t="s">
        <v>12095</v>
      </c>
      <c r="G6139" t="s">
        <v>14</v>
      </c>
      <c r="H6139">
             </c>
      <c r="I6139" t="s">
        <v>14</v>
      </c>
      <c r="J6139" t="s">
        <v>141</v>
      </c>
      <c r="K6139" t="s">
        <v>14</v>
      </c>
      <c r="L6139" t="s">
        <v>20</v>
      </c>
      <c r="M6139" t="s">
        <v>11979</v>
      </c>
      <c r="N6139" t="s">
        <v>14</v>
      </c>
    </row>
    <row r="6140" x14ac:dyDescent="0.25">
      <c r="A6140" t="n">
        <v>25</v>
      </c>
      <c r="B6140" t="s">
        <v>14</v>
      </c>
      <c r="C6140" t="s">
        <v>22</v>
      </c>
      <c r="D6140" s="2" t="s">
        <f>=HYPERLINK("https://main.knesset.gov.il/APPS/legislation/main/bills/2198328", "הצעת חוק הבטחת הכנסה (תיקון - זכאות להטבות הניתנות לזכאים לגמלת הבטחת הכנסה), התשפ""ג-2023")</f>
        <v>12096</v>
      </c>
      <c r="E6140" t="s">
        <v>12096</v>
      </c>
      <c r="F6140" t="s">
        <v>12097</v>
      </c>
      <c r="G6140" t="s">
        <v>14</v>
      </c>
      <c r="H6140">
             </c>
      <c r="I6140" t="s">
        <v>14</v>
      </c>
      <c r="J6140" t="s">
        <v>141</v>
      </c>
      <c r="K6140" t="s">
        <v>14</v>
      </c>
      <c r="L6140" t="s">
        <v>20</v>
      </c>
      <c r="M6140" t="s">
        <v>11979</v>
      </c>
      <c r="N6140" t="s">
        <v>14</v>
      </c>
    </row>
    <row r="6141" x14ac:dyDescent="0.25">
      <c r="A6141" t="n">
        <v>25</v>
      </c>
      <c r="B6141" t="s">
        <v>14</v>
      </c>
      <c r="C6141" t="s">
        <v>22</v>
      </c>
      <c r="D6141" s="2" t="s">
        <f>=HYPERLINK("https://main.knesset.gov.il/APPS/legislation/main/bills/2198817", "הצעת חוק לתיקון פקודת העיריות (צדק חלוקתי בכל הרשויות המתוקצבות במדינת ישראל), התשפ""ג-2023")</f>
        <v>7935</v>
      </c>
      <c r="E6141" t="s">
        <v>7935</v>
      </c>
      <c r="F6141" t="s">
        <v>12098</v>
      </c>
      <c r="G6141" t="s">
        <v>14</v>
      </c>
      <c r="H6141">
             </c>
      <c r="I6141" t="s">
        <v>14</v>
      </c>
      <c r="J6141" t="s">
        <v>141</v>
      </c>
      <c r="K6141" t="s">
        <v>14</v>
      </c>
      <c r="L6141" t="s">
        <v>20</v>
      </c>
      <c r="M6141" t="s">
        <v>11979</v>
      </c>
      <c r="N6141" t="s">
        <v>14</v>
      </c>
    </row>
    <row r="6142" x14ac:dyDescent="0.25">
      <c r="A6142" t="n">
        <v>25</v>
      </c>
      <c r="B6142" t="s">
        <v>14</v>
      </c>
      <c r="C6142" t="s">
        <v>22</v>
      </c>
      <c r="D6142" s="2" t="s">
        <f>=HYPERLINK("https://main.knesset.gov.il/APPS/legislation/main/bills/2198570", "הצעת חוק-יסוד: ירושלים בירת ישראל (תיקון - איסור על פתיחת נציגות דיפלומטית זרה)")</f>
        <v>5998</v>
      </c>
      <c r="E6142" t="s">
        <v>5998</v>
      </c>
      <c r="F6142" t="s">
        <v>12099</v>
      </c>
      <c r="G6142" t="s">
        <v>14</v>
      </c>
      <c r="H6142">
             </c>
      <c r="I6142" t="s">
        <v>14</v>
      </c>
      <c r="J6142" t="s">
        <v>141</v>
      </c>
      <c r="K6142" t="s">
        <v>14</v>
      </c>
      <c r="L6142" t="s">
        <v>20</v>
      </c>
      <c r="M6142" t="s">
        <v>11979</v>
      </c>
      <c r="N6142" t="s">
        <v>14</v>
      </c>
    </row>
    <row r="6143" x14ac:dyDescent="0.25">
      <c r="A6143" t="n">
        <v>25</v>
      </c>
      <c r="B6143" t="s">
        <v>14</v>
      </c>
      <c r="C6143" t="s">
        <v>22</v>
      </c>
      <c r="D6143" s="2" t="s">
        <f>=HYPERLINK("https://main.knesset.gov.il/APPS/legislation/main/bills/2198815", "הצעת חוק-יסוד: הפסקת חברות של חבר כנסת והעברת שר וראש ממשלה מכהונתם מחמת הפרת הבטחת בחירות (תיקוני חקיקה)")</f>
        <v>12100</v>
      </c>
      <c r="E6143" t="s">
        <v>12100</v>
      </c>
      <c r="F6143" t="s">
        <v>12101</v>
      </c>
      <c r="G6143" t="s">
        <v>14</v>
      </c>
      <c r="H6143">
             </c>
      <c r="I6143" t="s">
        <v>14</v>
      </c>
      <c r="J6143" t="s">
        <v>141</v>
      </c>
      <c r="K6143" t="s">
        <v>14</v>
      </c>
      <c r="L6143" t="s">
        <v>20</v>
      </c>
      <c r="M6143" t="s">
        <v>11979</v>
      </c>
      <c r="N6143" t="s">
        <v>14</v>
      </c>
    </row>
    <row r="6144" x14ac:dyDescent="0.25">
      <c r="A6144" t="n">
        <v>25</v>
      </c>
      <c r="B6144" t="s">
        <v>14</v>
      </c>
      <c r="C6144" t="s">
        <v>22</v>
      </c>
      <c r="D6144" s="2" t="s">
        <f>=HYPERLINK("https://main.knesset.gov.il/APPS/legislation/main/bills/2198196", "הצעת חוק דמי מחלה (תיקון - תשלום דמי מחלה החל מהיום הראשון להיעדרות), התשפ""ג-2023")</f>
        <v>12102</v>
      </c>
      <c r="E6144" t="s">
        <v>12102</v>
      </c>
      <c r="F6144" t="s">
        <v>12103</v>
      </c>
      <c r="G6144" t="s">
        <v>14</v>
      </c>
      <c r="H6144">
             </c>
      <c r="I6144" t="s">
        <v>14</v>
      </c>
      <c r="J6144" t="s">
        <v>141</v>
      </c>
      <c r="K6144" t="s">
        <v>14</v>
      </c>
      <c r="L6144" t="s">
        <v>20</v>
      </c>
      <c r="M6144" t="s">
        <v>11979</v>
      </c>
      <c r="N6144" t="s">
        <v>14</v>
      </c>
    </row>
    <row r="6145" x14ac:dyDescent="0.25">
      <c r="A6145" t="n">
        <v>25</v>
      </c>
      <c r="B6145" t="s">
        <v>14</v>
      </c>
      <c r="C6145" t="s">
        <v>22</v>
      </c>
      <c r="D6145" s="2" t="s">
        <f>=HYPERLINK("https://main.knesset.gov.il/APPS/legislation/main/bills/2198759", "הצעת חוק חובת המכרזים (תיקון - עידוד עסקים קטנים ובינוניים באזור פריפריה במכרז), התשפ""ג-2023")</f>
        <v>9943</v>
      </c>
      <c r="E6145" t="s">
        <v>9943</v>
      </c>
      <c r="F6145" t="s">
        <v>12104</v>
      </c>
      <c r="G6145" t="s">
        <v>14</v>
      </c>
      <c r="H6145">
             </c>
      <c r="I6145" t="s">
        <v>14</v>
      </c>
      <c r="J6145" t="s">
        <v>141</v>
      </c>
      <c r="K6145" t="s">
        <v>14</v>
      </c>
      <c r="L6145" t="s">
        <v>20</v>
      </c>
      <c r="M6145" t="s">
        <v>11979</v>
      </c>
      <c r="N6145" t="s">
        <v>14</v>
      </c>
    </row>
    <row r="6146" x14ac:dyDescent="0.25">
      <c r="A6146" t="n">
        <v>25</v>
      </c>
      <c r="B6146" t="s">
        <v>14</v>
      </c>
      <c r="C6146" t="s">
        <v>22</v>
      </c>
      <c r="D6146" s="2" t="s">
        <f>=HYPERLINK("https://main.knesset.gov.il/APPS/legislation/main/bills/2198203", "הצעת חוק לתיקון פקודת בריאות העם (העדפות מתן רישיון למכשור רפואי בפריפריה), התשפ""ג-2023")</f>
        <v>8001</v>
      </c>
      <c r="E6146" t="s">
        <v>8001</v>
      </c>
      <c r="F6146" t="s">
        <v>12105</v>
      </c>
      <c r="G6146" t="s">
        <v>14</v>
      </c>
      <c r="H6146">
             </c>
      <c r="I6146" t="s">
        <v>14</v>
      </c>
      <c r="J6146" t="s">
        <v>141</v>
      </c>
      <c r="K6146" t="s">
        <v>14</v>
      </c>
      <c r="L6146" t="s">
        <v>20</v>
      </c>
      <c r="M6146" t="s">
        <v>11979</v>
      </c>
      <c r="N6146" t="s">
        <v>14</v>
      </c>
    </row>
    <row r="6147" x14ac:dyDescent="0.25">
      <c r="A6147" t="n">
        <v>25</v>
      </c>
      <c r="B6147" t="s">
        <v>14</v>
      </c>
      <c r="C6147" t="s">
        <v>22</v>
      </c>
      <c r="D6147" s="2" t="s">
        <f>=HYPERLINK("https://main.knesset.gov.il/APPS/legislation/main/bills/2198202", "הצעת חוק ביטוח בריאות ממלכתי (תיקון - החזר דמי נסיעות והסעות לטיפולי אונקולוגיה ודיאליזה), התשפ""ג-2023")</f>
        <v>11425</v>
      </c>
      <c r="E6147" t="s">
        <v>11425</v>
      </c>
      <c r="F6147" t="s">
        <v>12106</v>
      </c>
      <c r="G6147" t="s">
        <v>14</v>
      </c>
      <c r="H6147">
             </c>
      <c r="I6147" t="s">
        <v>14</v>
      </c>
      <c r="J6147" t="s">
        <v>141</v>
      </c>
      <c r="K6147" t="s">
        <v>14</v>
      </c>
      <c r="L6147" t="s">
        <v>20</v>
      </c>
      <c r="M6147" t="s">
        <v>11979</v>
      </c>
      <c r="N6147" t="s">
        <v>14</v>
      </c>
    </row>
    <row r="6148" x14ac:dyDescent="0.25">
      <c r="A6148" t="n">
        <v>25</v>
      </c>
      <c r="B6148" t="s">
        <v>14</v>
      </c>
      <c r="C6148" t="s">
        <v>22</v>
      </c>
      <c r="D6148" s="2" t="s">
        <f>=HYPERLINK("https://main.knesset.gov.il/APPS/legislation/main/bills/2198567", "הצעת חוק ארוחה יומית לתלמיד (תיקון - הרחבת תחולת החוק), התשפ""ג-2023")</f>
        <v>9584</v>
      </c>
      <c r="E6148" t="s">
        <v>9584</v>
      </c>
      <c r="F6148" t="s">
        <v>12107</v>
      </c>
      <c r="G6148" t="s">
        <v>14</v>
      </c>
      <c r="H6148">
             </c>
      <c r="I6148" t="s">
        <v>14</v>
      </c>
      <c r="J6148" t="s">
        <v>141</v>
      </c>
      <c r="K6148" t="s">
        <v>14</v>
      </c>
      <c r="L6148" t="s">
        <v>20</v>
      </c>
      <c r="M6148" t="s">
        <v>11979</v>
      </c>
      <c r="N6148" t="s">
        <v>14</v>
      </c>
    </row>
    <row r="6149" x14ac:dyDescent="0.25">
      <c r="A6149" t="n">
        <v>25</v>
      </c>
      <c r="B6149" t="s">
        <v>14</v>
      </c>
      <c r="C6149" t="s">
        <v>22</v>
      </c>
      <c r="D6149" s="2" t="s">
        <f>=HYPERLINK("https://main.knesset.gov.il/APPS/legislation/main/bills/2198519", "הצעת חוק התכנון והבנייה (תיקון - ייצוג הולם לאוכלוסייה החרדית במועצה הארצית לתכנון ולבנייה), התשפ""ג-2023")</f>
        <v>12108</v>
      </c>
      <c r="E6149" t="s">
        <v>12108</v>
      </c>
      <c r="F6149" t="s">
        <v>12109</v>
      </c>
      <c r="G6149" t="s">
        <v>14</v>
      </c>
      <c r="H6149">
             </c>
      <c r="I6149" t="s">
        <v>14</v>
      </c>
      <c r="J6149" t="s">
        <v>141</v>
      </c>
      <c r="K6149" t="s">
        <v>14</v>
      </c>
      <c r="L6149" t="s">
        <v>20</v>
      </c>
      <c r="M6149" t="s">
        <v>11979</v>
      </c>
      <c r="N6149" t="s">
        <v>14</v>
      </c>
    </row>
    <row r="6150" x14ac:dyDescent="0.25">
      <c r="A6150" t="n">
        <v>25</v>
      </c>
      <c r="B6150" t="s">
        <v>14</v>
      </c>
      <c r="C6150" t="s">
        <v>22</v>
      </c>
      <c r="D6150" s="2" t="s">
        <f>=HYPERLINK("https://main.knesset.gov.il/APPS/legislation/main/bills/2198206", "הצעת חוק ביטוח בריאות ממלכתי (תיקון - הפחתה בדמי ביטוח בריאות לתושבי הפריפריה), התשפ""ג-2023")</f>
        <v>9435</v>
      </c>
      <c r="E6150" t="s">
        <v>9435</v>
      </c>
      <c r="F6150" t="s">
        <v>12110</v>
      </c>
      <c r="G6150" t="s">
        <v>14</v>
      </c>
      <c r="H6150">
             </c>
      <c r="I6150" t="s">
        <v>14</v>
      </c>
      <c r="J6150" t="s">
        <v>141</v>
      </c>
      <c r="K6150" t="s">
        <v>14</v>
      </c>
      <c r="L6150" t="s">
        <v>20</v>
      </c>
      <c r="M6150" t="s">
        <v>11979</v>
      </c>
      <c r="N6150" t="s">
        <v>14</v>
      </c>
    </row>
    <row r="6151" x14ac:dyDescent="0.25">
      <c r="A6151" t="n">
        <v>25</v>
      </c>
      <c r="B6151" t="s">
        <v>14</v>
      </c>
      <c r="C6151" t="s">
        <v>22</v>
      </c>
      <c r="D6151" s="2" t="s">
        <f>=HYPERLINK("https://main.knesset.gov.il/APPS/legislation/main/bills/2198301", "הצעת חוק הגנת השכר (תיקון - פטור מדמי טיפול מקצועי-ארגוני), התשפ""ג-2023")</f>
        <v>12111</v>
      </c>
      <c r="E6151" t="s">
        <v>12111</v>
      </c>
      <c r="F6151" t="s">
        <v>12112</v>
      </c>
      <c r="G6151" t="s">
        <v>14</v>
      </c>
      <c r="H6151">
             </c>
      <c r="I6151" t="s">
        <v>14</v>
      </c>
      <c r="J6151" t="s">
        <v>141</v>
      </c>
      <c r="K6151" t="s">
        <v>14</v>
      </c>
      <c r="L6151" t="s">
        <v>20</v>
      </c>
      <c r="M6151" t="s">
        <v>11979</v>
      </c>
      <c r="N6151" t="s">
        <v>14</v>
      </c>
    </row>
    <row r="6152" x14ac:dyDescent="0.25">
      <c r="A6152" t="n">
        <v>25</v>
      </c>
      <c r="B6152" t="s">
        <v>14</v>
      </c>
      <c r="C6152" t="s">
        <v>22</v>
      </c>
      <c r="D6152" s="2" t="s">
        <f>=HYPERLINK("https://main.knesset.gov.il/APPS/legislation/main/bills/2198260", "הצעת חוק הפיקוח על שירותים פיננסיים (ביטוח) (תיקון - איסור הפליה במתן שירותי ביטוח), התשפ""ג-2023")</f>
        <v>12113</v>
      </c>
      <c r="E6152" t="s">
        <v>12113</v>
      </c>
      <c r="F6152" t="s">
        <v>12114</v>
      </c>
      <c r="G6152" t="s">
        <v>14</v>
      </c>
      <c r="H6152">
             </c>
      <c r="I6152" t="s">
        <v>14</v>
      </c>
      <c r="J6152" t="s">
        <v>141</v>
      </c>
      <c r="K6152" t="s">
        <v>14</v>
      </c>
      <c r="L6152" t="s">
        <v>20</v>
      </c>
      <c r="M6152" t="s">
        <v>11979</v>
      </c>
      <c r="N6152" t="s">
        <v>14</v>
      </c>
    </row>
    <row r="6153" x14ac:dyDescent="0.25">
      <c r="A6153" t="n">
        <v>25</v>
      </c>
      <c r="B6153" t="s">
        <v>14</v>
      </c>
      <c r="C6153" t="s">
        <v>22</v>
      </c>
      <c r="D6153" s="2" t="s">
        <f>=HYPERLINK("https://main.knesset.gov.il/APPS/legislation/main/bills/2197996", "הצעת חוק טיפול בחולי נפש (תיקון - תנאי אשפוז הולמים), התשפ""ג-2023")</f>
        <v>8085</v>
      </c>
      <c r="E6153" t="s">
        <v>8085</v>
      </c>
      <c r="F6153" t="s">
        <v>12115</v>
      </c>
      <c r="G6153" t="s">
        <v>14</v>
      </c>
      <c r="H6153">
             </c>
      <c r="I6153" t="s">
        <v>14</v>
      </c>
      <c r="J6153" t="s">
        <v>141</v>
      </c>
      <c r="K6153" t="s">
        <v>14</v>
      </c>
      <c r="L6153" t="s">
        <v>20</v>
      </c>
      <c r="M6153" t="s">
        <v>11979</v>
      </c>
      <c r="N6153" t="s">
        <v>14</v>
      </c>
    </row>
    <row r="6154" x14ac:dyDescent="0.25">
      <c r="A6154" t="n">
        <v>25</v>
      </c>
      <c r="B6154" t="s">
        <v>14</v>
      </c>
      <c r="C6154" t="s">
        <v>22</v>
      </c>
      <c r="D6154" s="2" t="s">
        <f>=HYPERLINK("https://main.knesset.gov.il/APPS/legislation/main/bills/2198183", "הצעת חוק משמר מקומי, התשפ""ג-2023")</f>
        <v>12116</v>
      </c>
      <c r="E6154" t="s">
        <v>12116</v>
      </c>
      <c r="F6154" t="s">
        <v>12117</v>
      </c>
      <c r="G6154" t="s">
        <v>14</v>
      </c>
      <c r="H6154">
             </c>
      <c r="I6154" t="s">
        <v>14</v>
      </c>
      <c r="J6154" t="s">
        <v>141</v>
      </c>
      <c r="K6154" t="s">
        <v>14</v>
      </c>
      <c r="L6154" t="s">
        <v>20</v>
      </c>
      <c r="M6154" t="s">
        <v>11979</v>
      </c>
      <c r="N6154" t="s">
        <v>14</v>
      </c>
    </row>
    <row r="6155" x14ac:dyDescent="0.25">
      <c r="A6155" t="n">
        <v>25</v>
      </c>
      <c r="B6155" t="s">
        <v>14</v>
      </c>
      <c r="C6155" t="s">
        <v>22</v>
      </c>
      <c r="D6155" s="2" t="s">
        <f>=HYPERLINK("https://main.knesset.gov.il/APPS/legislation/main/bills/2197432", "הצעת חוק השבת זכויות במקרקעין שנשללו ביהודה ושומרון לפני קום המדינה, התשפ""ג-2023")</f>
        <v>12118</v>
      </c>
      <c r="E6155" t="s">
        <v>12118</v>
      </c>
      <c r="F6155" t="s">
        <v>12119</v>
      </c>
      <c r="G6155" t="s">
        <v>14</v>
      </c>
      <c r="H6155">
             </c>
      <c r="I6155" t="s">
        <v>14</v>
      </c>
      <c r="J6155" t="s">
        <v>141</v>
      </c>
      <c r="K6155" t="s">
        <v>14</v>
      </c>
      <c r="L6155" t="s">
        <v>20</v>
      </c>
      <c r="M6155" t="s">
        <v>11979</v>
      </c>
      <c r="N6155" t="s">
        <v>14</v>
      </c>
    </row>
    <row r="6156" x14ac:dyDescent="0.25">
      <c r="A6156" t="n">
        <v>25</v>
      </c>
      <c r="B6156" t="s">
        <v>14</v>
      </c>
      <c r="C6156" t="s">
        <v>22</v>
      </c>
      <c r="D6156" s="2" t="s">
        <f>=HYPERLINK("https://main.knesset.gov.il/APPS/legislation/main/bills/2197348", "הצעת חוק סינון אתרים פוגעניים במקומות ציבוריים, התשפ""ג-2023")</f>
        <v>11361</v>
      </c>
      <c r="E6156" t="s">
        <v>11361</v>
      </c>
      <c r="F6156" t="s">
        <v>12120</v>
      </c>
      <c r="G6156" t="s">
        <v>14</v>
      </c>
      <c r="H6156">
             </c>
      <c r="I6156" t="s">
        <v>14</v>
      </c>
      <c r="J6156" t="s">
        <v>141</v>
      </c>
      <c r="K6156" t="s">
        <v>14</v>
      </c>
      <c r="L6156" t="s">
        <v>20</v>
      </c>
      <c r="M6156" t="s">
        <v>11979</v>
      </c>
      <c r="N6156" t="s">
        <v>14</v>
      </c>
    </row>
    <row r="6157" x14ac:dyDescent="0.25">
      <c r="A6157" t="n">
        <v>25</v>
      </c>
      <c r="B6157" t="s">
        <v>14</v>
      </c>
      <c r="C6157" t="s">
        <v>22</v>
      </c>
      <c r="D6157" s="2" t="s">
        <f>=HYPERLINK("https://main.knesset.gov.il/APPS/legislation/main/bills/2197347", "הצעת חוק דמי מחלה (היעדרות בשל מחלת ילד) (תיקון - בן זוג לומד), התשפ""ג-2023")</f>
        <v>11595</v>
      </c>
      <c r="E6157" t="s">
        <v>11595</v>
      </c>
      <c r="F6157" t="s">
        <v>12121</v>
      </c>
      <c r="G6157" t="s">
        <v>14</v>
      </c>
      <c r="H6157">
             </c>
      <c r="I6157" t="s">
        <v>14</v>
      </c>
      <c r="J6157" t="s">
        <v>141</v>
      </c>
      <c r="K6157" t="s">
        <v>14</v>
      </c>
      <c r="L6157" t="s">
        <v>20</v>
      </c>
      <c r="M6157" t="s">
        <v>11979</v>
      </c>
      <c r="N6157" t="s">
        <v>14</v>
      </c>
    </row>
    <row r="6158" x14ac:dyDescent="0.25">
      <c r="A6158" t="n">
        <v>25</v>
      </c>
      <c r="B6158" t="s">
        <v>14</v>
      </c>
      <c r="C6158" t="s">
        <v>22</v>
      </c>
      <c r="D6158" s="2" t="s">
        <f>=HYPERLINK("https://main.knesset.gov.il/APPS/legislation/main/bills/2198141", "הצעת חוק ההוצאה לפועל (תיקון - הקפאת ריבית פיגורים בימי שביתה), התשפ""ג-2023")</f>
        <v>10214</v>
      </c>
      <c r="E6158" t="s">
        <v>10214</v>
      </c>
      <c r="F6158" t="s">
        <v>12122</v>
      </c>
      <c r="G6158" t="s">
        <v>14</v>
      </c>
      <c r="H6158">
             </c>
      <c r="I6158" t="s">
        <v>14</v>
      </c>
      <c r="J6158" t="s">
        <v>141</v>
      </c>
      <c r="K6158" t="s">
        <v>14</v>
      </c>
      <c r="L6158" t="s">
        <v>20</v>
      </c>
      <c r="M6158" t="s">
        <v>11979</v>
      </c>
      <c r="N6158" t="s">
        <v>14</v>
      </c>
    </row>
    <row r="6159" x14ac:dyDescent="0.25">
      <c r="A6159" t="n">
        <v>25</v>
      </c>
      <c r="B6159" t="s">
        <v>14</v>
      </c>
      <c r="C6159" t="s">
        <v>22</v>
      </c>
      <c r="D6159" s="2" t="s">
        <f>=HYPERLINK("https://main.knesset.gov.il/APPS/legislation/main/bills/2197980", "הצעת חוק להפחתת השימוש ברכב פרטי ולעידוד שימוש בתחבורה הציבורית, התשפ""ג-2023 ")</f>
        <v>12123</v>
      </c>
      <c r="E6159" t="s">
        <v>12123</v>
      </c>
      <c r="F6159" t="s">
        <v>12124</v>
      </c>
      <c r="G6159" t="s">
        <v>14</v>
      </c>
      <c r="H6159">
             </c>
      <c r="I6159" t="s">
        <v>14</v>
      </c>
      <c r="J6159" t="s">
        <v>141</v>
      </c>
      <c r="K6159" t="s">
        <v>14</v>
      </c>
      <c r="L6159" t="s">
        <v>20</v>
      </c>
      <c r="M6159" t="s">
        <v>11979</v>
      </c>
      <c r="N6159" t="s">
        <v>14</v>
      </c>
    </row>
    <row r="6160" x14ac:dyDescent="0.25">
      <c r="A6160" t="n">
        <v>25</v>
      </c>
      <c r="B6160" t="s">
        <v>14</v>
      </c>
      <c r="C6160" t="s">
        <v>22</v>
      </c>
      <c r="D6160" s="2" t="s">
        <f>=HYPERLINK("https://main.knesset.gov.il/APPS/legislation/main/bills/2197895", "הצעת חוק-יסוד: הממשלה (תיקון - הטלת התפקיד להרכיב ממשלה והגבלת מנגנון התפזרות הכנסת)")</f>
        <v>12125</v>
      </c>
      <c r="E6160" t="s">
        <v>12125</v>
      </c>
      <c r="F6160" t="s">
        <v>12126</v>
      </c>
      <c r="G6160" t="s">
        <v>14</v>
      </c>
      <c r="H6160">
             </c>
      <c r="I6160" t="s">
        <v>14</v>
      </c>
      <c r="J6160" t="s">
        <v>141</v>
      </c>
      <c r="K6160" t="s">
        <v>14</v>
      </c>
      <c r="L6160" t="s">
        <v>20</v>
      </c>
      <c r="M6160" t="s">
        <v>11979</v>
      </c>
      <c r="N6160" t="s">
        <v>14</v>
      </c>
    </row>
    <row r="6161" x14ac:dyDescent="0.25">
      <c r="A6161" t="n">
        <v>25</v>
      </c>
      <c r="B6161" t="s">
        <v>14</v>
      </c>
      <c r="C6161" t="s">
        <v>22</v>
      </c>
      <c r="D6161" s="2" t="s">
        <f>=HYPERLINK("https://main.knesset.gov.il/APPS/legislation/main/bills/2197798", "הצעת חוק הפיקוח על מעונות יום לפעוטות (תיקון - כשירותם של מחנכים-מטפלים), התשפ""ג-2023")</f>
        <v>9653</v>
      </c>
      <c r="E6161" t="s">
        <v>9653</v>
      </c>
      <c r="F6161" t="s">
        <v>12127</v>
      </c>
      <c r="G6161" t="s">
        <v>14</v>
      </c>
      <c r="H6161">
             </c>
      <c r="I6161" t="s">
        <v>14</v>
      </c>
      <c r="J6161" t="s">
        <v>141</v>
      </c>
      <c r="K6161" t="s">
        <v>14</v>
      </c>
      <c r="L6161" t="s">
        <v>20</v>
      </c>
      <c r="M6161" t="s">
        <v>11979</v>
      </c>
      <c r="N6161" t="s">
        <v>14</v>
      </c>
    </row>
    <row r="6162" x14ac:dyDescent="0.25">
      <c r="A6162" t="n">
        <v>25</v>
      </c>
      <c r="B6162" t="s">
        <v>14</v>
      </c>
      <c r="C6162" t="s">
        <v>22</v>
      </c>
      <c r="D6162" s="2" t="s">
        <f>=HYPERLINK("https://main.knesset.gov.il/APPS/legislation/main/bills/2197424", "הצעת חוק אתרי התיישבות בהליכי הסדרה, התשפ""ג-2023")</f>
        <v>12128</v>
      </c>
      <c r="E6162" t="s">
        <v>12128</v>
      </c>
      <c r="F6162" t="s">
        <v>12129</v>
      </c>
      <c r="G6162" t="s">
        <v>14</v>
      </c>
      <c r="H6162">
             </c>
      <c r="I6162" t="s">
        <v>14</v>
      </c>
      <c r="J6162" t="s">
        <v>141</v>
      </c>
      <c r="K6162" t="s">
        <v>14</v>
      </c>
      <c r="L6162" t="s">
        <v>20</v>
      </c>
      <c r="M6162" t="s">
        <v>11979</v>
      </c>
      <c r="N6162" t="s">
        <v>14</v>
      </c>
    </row>
    <row r="6163" x14ac:dyDescent="0.25">
      <c r="A6163" t="n">
        <v>25</v>
      </c>
      <c r="B6163" t="s">
        <v>14</v>
      </c>
      <c r="C6163" t="s">
        <v>22</v>
      </c>
      <c r="D6163" s="2" t="s">
        <f>=HYPERLINK("https://main.knesset.gov.il/APPS/legislation/main/bills/2197278", "הצעת חוק איסור הונאה בכשרות (תיקון - ביטול רפורמת הכשרות), התשפ""ג-2023")</f>
        <v>12130</v>
      </c>
      <c r="E6163" t="s">
        <v>12130</v>
      </c>
      <c r="F6163" t="s">
        <v>12131</v>
      </c>
      <c r="G6163" t="s">
        <v>14</v>
      </c>
      <c r="H6163">
             </c>
      <c r="I6163" t="s">
        <v>14</v>
      </c>
      <c r="J6163" t="s">
        <v>141</v>
      </c>
      <c r="K6163" t="s">
        <v>14</v>
      </c>
      <c r="L6163" t="s">
        <v>20</v>
      </c>
      <c r="M6163" t="s">
        <v>11979</v>
      </c>
      <c r="N6163" t="s">
        <v>14</v>
      </c>
    </row>
    <row r="6164" x14ac:dyDescent="0.25">
      <c r="A6164" t="n">
        <v>25</v>
      </c>
      <c r="B6164" t="s">
        <v>14</v>
      </c>
      <c r="C6164" t="s">
        <v>22</v>
      </c>
      <c r="D6164" s="2" t="s">
        <f>=HYPERLINK("https://main.knesset.gov.il/APPS/legislation/main/bills/2197207", "הצעת חוק הביטוח הלאומי (תיקון - פטור מתשלום דמי ביטוח לתלמיד על יסודי), התשפ""ג-2023")</f>
        <v>8063</v>
      </c>
      <c r="E6164" t="s">
        <v>8063</v>
      </c>
      <c r="F6164" t="s">
        <v>12132</v>
      </c>
      <c r="G6164" t="s">
        <v>14</v>
      </c>
      <c r="H6164">
             </c>
      <c r="I6164" t="s">
        <v>14</v>
      </c>
      <c r="J6164" t="s">
        <v>141</v>
      </c>
      <c r="K6164" t="s">
        <v>14</v>
      </c>
      <c r="L6164" t="s">
        <v>20</v>
      </c>
      <c r="M6164" t="s">
        <v>11979</v>
      </c>
      <c r="N6164" t="s">
        <v>14</v>
      </c>
    </row>
    <row r="6165" x14ac:dyDescent="0.25">
      <c r="A6165" t="n">
        <v>25</v>
      </c>
      <c r="B6165" t="s">
        <v>14</v>
      </c>
      <c r="C6165" t="s">
        <v>22</v>
      </c>
      <c r="D6165" s="2" t="s">
        <f>=HYPERLINK("https://main.knesset.gov.il/APPS/legislation/main/bills/2197354", "הצעת חוק חובת המכרזים (תיקון - חובה לשקול שיקולי הגנת צרכן במכרזים), התשפ""ג-2023")</f>
        <v>12133</v>
      </c>
      <c r="E6165" t="s">
        <v>12133</v>
      </c>
      <c r="F6165" t="s">
        <v>12134</v>
      </c>
      <c r="G6165" t="s">
        <v>14</v>
      </c>
      <c r="H6165">
             </c>
      <c r="I6165" t="s">
        <v>14</v>
      </c>
      <c r="J6165" t="s">
        <v>141</v>
      </c>
      <c r="K6165" t="s">
        <v>14</v>
      </c>
      <c r="L6165" t="s">
        <v>20</v>
      </c>
      <c r="M6165" t="s">
        <v>11979</v>
      </c>
      <c r="N6165" t="s">
        <v>14</v>
      </c>
    </row>
    <row r="6166" x14ac:dyDescent="0.25">
      <c r="A6166" t="n">
        <v>25</v>
      </c>
      <c r="B6166" t="s">
        <v>14</v>
      </c>
      <c r="C6166" t="s">
        <v>22</v>
      </c>
      <c r="D6166" s="2" t="s">
        <f>=HYPERLINK("https://main.knesset.gov.il/APPS/legislation/main/bills/2197457", "הצעת חוק דמי מחלה (היעדרות בשל מחלת ילד) (תיקון - ימי מחלה נוספים בשל מחלת ילד), התשפ""ג-2023")</f>
        <v>12135</v>
      </c>
      <c r="E6166" t="s">
        <v>12135</v>
      </c>
      <c r="F6166" t="s">
        <v>12136</v>
      </c>
      <c r="G6166" t="s">
        <v>14</v>
      </c>
      <c r="H6166">
             </c>
      <c r="I6166" t="s">
        <v>14</v>
      </c>
      <c r="J6166" t="s">
        <v>141</v>
      </c>
      <c r="K6166" t="s">
        <v>14</v>
      </c>
      <c r="L6166" t="s">
        <v>20</v>
      </c>
      <c r="M6166" t="s">
        <v>11979</v>
      </c>
      <c r="N6166" t="s">
        <v>14</v>
      </c>
    </row>
    <row r="6167" x14ac:dyDescent="0.25">
      <c r="A6167" t="n">
        <v>25</v>
      </c>
      <c r="B6167" t="s">
        <v>14</v>
      </c>
      <c r="C6167" t="s">
        <v>22</v>
      </c>
      <c r="D6167" s="2" t="s">
        <f>=HYPERLINK("https://main.knesset.gov.il/APPS/legislation/main/bills/2198061", "הצעת חוק-יסוד: קיצור תקופת הקמת ממשלה חדשה (תיקוני חקיקה)")</f>
        <v>12137</v>
      </c>
      <c r="E6167" t="s">
        <v>12137</v>
      </c>
      <c r="F6167" t="s">
        <v>12138</v>
      </c>
      <c r="G6167" t="s">
        <v>14</v>
      </c>
      <c r="H6167">
             </c>
      <c r="I6167" t="s">
        <v>14</v>
      </c>
      <c r="J6167" t="s">
        <v>141</v>
      </c>
      <c r="K6167" t="s">
        <v>14</v>
      </c>
      <c r="L6167" t="s">
        <v>20</v>
      </c>
      <c r="M6167" t="s">
        <v>11979</v>
      </c>
      <c r="N6167" t="s">
        <v>14</v>
      </c>
    </row>
    <row r="6168" x14ac:dyDescent="0.25">
      <c r="A6168" t="n">
        <v>25</v>
      </c>
      <c r="B6168" t="s">
        <v>14</v>
      </c>
      <c r="C6168" t="s">
        <v>22</v>
      </c>
      <c r="D6168" s="2" t="s">
        <f>=HYPERLINK("https://main.knesset.gov.il/APPS/legislation/main/bills/2197344", "הצעת חוק זכויות החולה (תיקון - הסדר חניה למאושפזים בבית חולים ולמבקריהם), התשפ""ג-2023")</f>
        <v>11328</v>
      </c>
      <c r="E6168" t="s">
        <v>11328</v>
      </c>
      <c r="F6168" t="s">
        <v>12139</v>
      </c>
      <c r="G6168" t="s">
        <v>14</v>
      </c>
      <c r="H6168">
             </c>
      <c r="I6168" t="s">
        <v>14</v>
      </c>
      <c r="J6168" t="s">
        <v>141</v>
      </c>
      <c r="K6168" t="s">
        <v>14</v>
      </c>
      <c r="L6168" t="s">
        <v>20</v>
      </c>
      <c r="M6168" t="s">
        <v>11979</v>
      </c>
      <c r="N6168" t="s">
        <v>14</v>
      </c>
    </row>
    <row r="6169" x14ac:dyDescent="0.25">
      <c r="A6169" t="n">
        <v>25</v>
      </c>
      <c r="B6169" t="s">
        <v>14</v>
      </c>
      <c r="C6169" t="s">
        <v>22</v>
      </c>
      <c r="D6169" s="2" t="s">
        <f>=HYPERLINK("https://main.knesset.gov.il/APPS/legislation/main/bills/2197338", "הצעת חוק הגנת הצרכן (תיקון - מגבלות על חיוב חשבון של צרכן בתשלומים), התשפ""ג-2023")</f>
        <v>11199</v>
      </c>
      <c r="E6169" t="s">
        <v>11199</v>
      </c>
      <c r="F6169" t="s">
        <v>12140</v>
      </c>
      <c r="G6169" t="s">
        <v>14</v>
      </c>
      <c r="H6169">
             </c>
      <c r="I6169" t="s">
        <v>14</v>
      </c>
      <c r="J6169" t="s">
        <v>141</v>
      </c>
      <c r="K6169" t="s">
        <v>14</v>
      </c>
      <c r="L6169" t="s">
        <v>20</v>
      </c>
      <c r="M6169" t="s">
        <v>11979</v>
      </c>
      <c r="N6169" t="s">
        <v>14</v>
      </c>
    </row>
    <row r="6170" x14ac:dyDescent="0.25">
      <c r="A6170" t="n">
        <v>25</v>
      </c>
      <c r="B6170" t="s">
        <v>14</v>
      </c>
      <c r="C6170" t="s">
        <v>22</v>
      </c>
      <c r="D6170" s="2" t="s">
        <f>=HYPERLINK("https://main.knesset.gov.il/APPS/legislation/main/bills/2198824", "הצעת חוק ההוצאה לפועל (תיקון - קביעת תעריף מקסימלי לשכר טרחת עורך דין), התשפ""ג-2023 ")</f>
        <v>12141</v>
      </c>
      <c r="E6170" t="s">
        <v>12141</v>
      </c>
      <c r="F6170" t="s">
        <v>12142</v>
      </c>
      <c r="G6170" t="s">
        <v>14</v>
      </c>
      <c r="H6170">
             </c>
      <c r="I6170" t="s">
        <v>14</v>
      </c>
      <c r="J6170" t="s">
        <v>141</v>
      </c>
      <c r="K6170" t="s">
        <v>14</v>
      </c>
      <c r="L6170" t="s">
        <v>20</v>
      </c>
      <c r="M6170" t="s">
        <v>11979</v>
      </c>
      <c r="N6170" t="s">
        <v>14</v>
      </c>
    </row>
    <row r="6171" x14ac:dyDescent="0.25">
      <c r="A6171" t="n">
        <v>25</v>
      </c>
      <c r="B6171" t="s">
        <v>14</v>
      </c>
      <c r="C6171" t="s">
        <v>22</v>
      </c>
      <c r="D6171" s="2" t="s">
        <f>=HYPERLINK("https://main.knesset.gov.il/APPS/legislation/main/bills/2198773", "הצעת חוק החברה למתנ""סים, התשפ""ג-2023")</f>
        <v>12143</v>
      </c>
      <c r="E6171" t="s">
        <v>12143</v>
      </c>
      <c r="F6171" t="s">
        <v>12144</v>
      </c>
      <c r="G6171" t="s">
        <v>14</v>
      </c>
      <c r="H6171">
             </c>
      <c r="I6171" t="s">
        <v>14</v>
      </c>
      <c r="J6171" t="s">
        <v>141</v>
      </c>
      <c r="K6171" t="s">
        <v>14</v>
      </c>
      <c r="L6171" t="s">
        <v>20</v>
      </c>
      <c r="M6171" t="s">
        <v>11979</v>
      </c>
      <c r="N6171" t="s">
        <v>14</v>
      </c>
    </row>
    <row r="6172" x14ac:dyDescent="0.25">
      <c r="A6172" t="n">
        <v>25</v>
      </c>
      <c r="B6172" t="s">
        <v>14</v>
      </c>
      <c r="C6172" t="s">
        <v>22</v>
      </c>
      <c r="D6172" s="2" t="s">
        <f>=HYPERLINK("https://main.knesset.gov.il/APPS/legislation/main/bills/2198321", "הצעת חוק אורח חיים בריא, התשפ""ג-2023")</f>
        <v>12145</v>
      </c>
      <c r="E6172" t="s">
        <v>12145</v>
      </c>
      <c r="F6172" t="s">
        <v>12146</v>
      </c>
      <c r="G6172" t="s">
        <v>14</v>
      </c>
      <c r="H6172">
             </c>
      <c r="I6172" t="s">
        <v>14</v>
      </c>
      <c r="J6172" t="s">
        <v>141</v>
      </c>
      <c r="K6172" t="s">
        <v>14</v>
      </c>
      <c r="L6172" t="s">
        <v>20</v>
      </c>
      <c r="M6172" t="s">
        <v>11979</v>
      </c>
      <c r="N6172" t="s">
        <v>14</v>
      </c>
    </row>
    <row r="6173" x14ac:dyDescent="0.25">
      <c r="A6173" t="n">
        <v>25</v>
      </c>
      <c r="B6173" t="s">
        <v>14</v>
      </c>
      <c r="C6173" t="s">
        <v>22</v>
      </c>
      <c r="D6173" s="2" t="s">
        <f>=HYPERLINK("https://main.knesset.gov.il/APPS/legislation/main/bills/2198664", "הצעת חוק זכויות הדייר בדיור הציבורי (תיקון - הארכת תוקף זכאות לדירה הציבורית), התשפ""ג-2023")</f>
        <v>12147</v>
      </c>
      <c r="E6173" t="s">
        <v>12147</v>
      </c>
      <c r="F6173" t="s">
        <v>12148</v>
      </c>
      <c r="G6173" t="s">
        <v>14</v>
      </c>
      <c r="H6173">
             </c>
      <c r="I6173" t="s">
        <v>14</v>
      </c>
      <c r="J6173" t="s">
        <v>141</v>
      </c>
      <c r="K6173" t="s">
        <v>14</v>
      </c>
      <c r="L6173" t="s">
        <v>20</v>
      </c>
      <c r="M6173" t="s">
        <v>11979</v>
      </c>
      <c r="N6173" t="s">
        <v>14</v>
      </c>
    </row>
    <row r="6174" x14ac:dyDescent="0.25">
      <c r="A6174" t="n">
        <v>25</v>
      </c>
      <c r="B6174" t="s">
        <v>14</v>
      </c>
      <c r="C6174" t="s">
        <v>22</v>
      </c>
      <c r="D6174" s="2" t="s">
        <f>=HYPERLINK("https://main.knesset.gov.il/APPS/legislation/main/bills/2198538", "הצעת חוק לימודי הכנה למבחנים פסיכומטריים לתלמידים, התשפ""ג-2023‏ ")</f>
        <v>12149</v>
      </c>
      <c r="E6174" t="s">
        <v>12149</v>
      </c>
      <c r="F6174" t="s">
        <v>12150</v>
      </c>
      <c r="G6174" t="s">
        <v>14</v>
      </c>
      <c r="H6174">
             </c>
      <c r="I6174" t="s">
        <v>14</v>
      </c>
      <c r="J6174" t="s">
        <v>141</v>
      </c>
      <c r="K6174" t="s">
        <v>14</v>
      </c>
      <c r="L6174" t="s">
        <v>20</v>
      </c>
      <c r="M6174" t="s">
        <v>11979</v>
      </c>
      <c r="N6174" t="s">
        <v>14</v>
      </c>
    </row>
    <row r="6175" x14ac:dyDescent="0.25">
      <c r="A6175" t="n">
        <v>25</v>
      </c>
      <c r="B6175" t="s">
        <v>14</v>
      </c>
      <c r="C6175" t="s">
        <v>22</v>
      </c>
      <c r="D6175" s="2" t="s">
        <f>=HYPERLINK("https://main.knesset.gov.il/APPS/legislation/main/bills/2198718", "הצעת חוק חג המימונה, התשפ""ג-2023")</f>
        <v>12151</v>
      </c>
      <c r="E6175" t="s">
        <v>12151</v>
      </c>
      <c r="F6175" t="s">
        <v>12152</v>
      </c>
      <c r="G6175" t="s">
        <v>14</v>
      </c>
      <c r="H6175">
             </c>
      <c r="I6175" t="s">
        <v>14</v>
      </c>
      <c r="J6175" t="s">
        <v>141</v>
      </c>
      <c r="K6175" t="s">
        <v>14</v>
      </c>
      <c r="L6175" t="s">
        <v>20</v>
      </c>
      <c r="M6175" t="s">
        <v>11979</v>
      </c>
      <c r="N6175" t="s">
        <v>14</v>
      </c>
    </row>
    <row r="6176" x14ac:dyDescent="0.25">
      <c r="A6176" t="n">
        <v>25</v>
      </c>
      <c r="B6176" t="s">
        <v>14</v>
      </c>
      <c r="C6176" t="s">
        <v>22</v>
      </c>
      <c r="D6176" s="2" t="s">
        <f>=HYPERLINK("https://main.knesset.gov.il/APPS/legislation/main/bills/2198766", "הצעת חוק החברות הממשלתיות (תיקון - ייצוג הולם בתאגידים שהוקמו בחוק ובחברות ממשלתיות), התשפ""ג-2023")</f>
        <v>11708</v>
      </c>
      <c r="E6176" t="s">
        <v>11708</v>
      </c>
      <c r="F6176" t="s">
        <v>12153</v>
      </c>
      <c r="G6176" t="s">
        <v>14</v>
      </c>
      <c r="H6176">
             </c>
      <c r="I6176" t="s">
        <v>14</v>
      </c>
      <c r="J6176" t="s">
        <v>141</v>
      </c>
      <c r="K6176" t="s">
        <v>14</v>
      </c>
      <c r="L6176" t="s">
        <v>20</v>
      </c>
      <c r="M6176" t="s">
        <v>11979</v>
      </c>
      <c r="N6176" t="s">
        <v>14</v>
      </c>
    </row>
    <row r="6177" x14ac:dyDescent="0.25">
      <c r="A6177" t="n">
        <v>25</v>
      </c>
      <c r="B6177" t="s">
        <v>14</v>
      </c>
      <c r="C6177" t="s">
        <v>22</v>
      </c>
      <c r="D6177" s="2" t="s">
        <f>=HYPERLINK("https://main.knesset.gov.il/APPS/legislation/main/bills/2197890", "הצעת חוק הבחירות (דרכי תעמולה) (תיקון - איסור על תעמולה גזענית), התשפ""ג-2023")</f>
        <v>12154</v>
      </c>
      <c r="E6177" t="s">
        <v>12154</v>
      </c>
      <c r="F6177" t="s">
        <v>12155</v>
      </c>
      <c r="G6177" t="s">
        <v>14</v>
      </c>
      <c r="H6177">
             </c>
      <c r="I6177" t="s">
        <v>14</v>
      </c>
      <c r="J6177" t="s">
        <v>141</v>
      </c>
      <c r="K6177" t="s">
        <v>14</v>
      </c>
      <c r="L6177" t="s">
        <v>20</v>
      </c>
      <c r="M6177" t="s">
        <v>11979</v>
      </c>
      <c r="N6177" t="s">
        <v>14</v>
      </c>
    </row>
    <row r="6178" x14ac:dyDescent="0.25">
      <c r="A6178" t="n">
        <v>25</v>
      </c>
      <c r="B6178" t="s">
        <v>14</v>
      </c>
      <c r="C6178" t="s">
        <v>22</v>
      </c>
      <c r="D6178" s="2" t="s">
        <f>=HYPERLINK("https://main.knesset.gov.il/APPS/legislation/main/bills/2198720", "הצעת חוק לימוד חובה (תיקון - חינוך חינם לפעוטות ולילדים), התשפ""ג-2023")</f>
        <v>9298</v>
      </c>
      <c r="E6178" t="s">
        <v>9298</v>
      </c>
      <c r="F6178" t="s">
        <v>12156</v>
      </c>
      <c r="G6178" t="s">
        <v>14</v>
      </c>
      <c r="H6178">
             </c>
      <c r="I6178" t="s">
        <v>14</v>
      </c>
      <c r="J6178" t="s">
        <v>343</v>
      </c>
      <c r="K6178" t="s">
        <v>14</v>
      </c>
      <c r="L6178" t="s">
        <v>20</v>
      </c>
      <c r="M6178" t="s">
        <v>11979</v>
      </c>
      <c r="N6178" t="s">
        <v>14</v>
      </c>
    </row>
    <row r="6179" x14ac:dyDescent="0.25">
      <c r="A6179" t="n">
        <v>25</v>
      </c>
      <c r="B6179" t="s">
        <v>14</v>
      </c>
      <c r="C6179" t="s">
        <v>22</v>
      </c>
      <c r="D6179" s="2" t="s">
        <f>=HYPERLINK("https://main.knesset.gov.il/APPS/legislation/main/bills/2198799", "הצעת חוק חינוך פיננסי, התשפ""ג-2023")</f>
        <v>12157</v>
      </c>
      <c r="E6179" t="s">
        <v>12157</v>
      </c>
      <c r="F6179" t="s">
        <v>12158</v>
      </c>
      <c r="G6179" t="s">
        <v>14</v>
      </c>
      <c r="H6179">
             </c>
      <c r="I6179" t="s">
        <v>14</v>
      </c>
      <c r="J6179" t="s">
        <v>141</v>
      </c>
      <c r="K6179" t="s">
        <v>14</v>
      </c>
      <c r="L6179" t="s">
        <v>20</v>
      </c>
      <c r="M6179" t="s">
        <v>11979</v>
      </c>
      <c r="N6179" t="s">
        <v>14</v>
      </c>
    </row>
    <row r="6180" x14ac:dyDescent="0.25">
      <c r="A6180" t="n">
        <v>25</v>
      </c>
      <c r="B6180" t="s">
        <v>14</v>
      </c>
      <c r="C6180" t="s">
        <v>22</v>
      </c>
      <c r="D6180" s="2" t="s">
        <f>=HYPERLINK("https://main.knesset.gov.il/APPS/legislation/main/bills/2197617", "הצעת חוק העונשין (תיקון - תקיפת נהג אוטובוס), התשפ""ג-2023")</f>
        <v>12159</v>
      </c>
      <c r="E6180" t="s">
        <v>12159</v>
      </c>
      <c r="F6180" t="s">
        <v>12160</v>
      </c>
      <c r="G6180" t="s">
        <v>14</v>
      </c>
      <c r="H6180">
             </c>
      <c r="I6180" t="s">
        <v>14</v>
      </c>
      <c r="J6180" t="s">
        <v>141</v>
      </c>
      <c r="K6180" t="s">
        <v>14</v>
      </c>
      <c r="L6180" t="s">
        <v>20</v>
      </c>
      <c r="M6180" t="s">
        <v>11979</v>
      </c>
      <c r="N6180" t="s">
        <v>14</v>
      </c>
    </row>
    <row r="6181" x14ac:dyDescent="0.25">
      <c r="A6181" t="n">
        <v>25</v>
      </c>
      <c r="B6181" t="s">
        <v>14</v>
      </c>
      <c r="C6181" t="s">
        <v>22</v>
      </c>
      <c r="D6181" s="2" t="s">
        <f>=HYPERLINK("https://main.knesset.gov.il/APPS/legislation/main/bills/2197481", "הצעת חוק לתיקון פקודת התעבורה (הוראות לעניין סככות המתנה בתחנות אוטובוס), התשפ""ג-2023")</f>
        <v>8588</v>
      </c>
      <c r="E6181" t="s">
        <v>8588</v>
      </c>
      <c r="F6181" t="s">
        <v>12161</v>
      </c>
      <c r="G6181" t="s">
        <v>14</v>
      </c>
      <c r="H6181">
             </c>
      <c r="I6181" t="s">
        <v>14</v>
      </c>
      <c r="J6181" t="s">
        <v>141</v>
      </c>
      <c r="K6181" t="s">
        <v>14</v>
      </c>
      <c r="L6181" t="s">
        <v>20</v>
      </c>
      <c r="M6181" t="s">
        <v>11979</v>
      </c>
      <c r="N6181" t="s">
        <v>14</v>
      </c>
    </row>
    <row r="6182" x14ac:dyDescent="0.25">
      <c r="A6182" t="n">
        <v>25</v>
      </c>
      <c r="B6182" t="s">
        <v>14</v>
      </c>
      <c r="C6182" t="s">
        <v>22</v>
      </c>
      <c r="D6182" s="2" t="s">
        <f>=HYPERLINK("https://main.knesset.gov.il/APPS/legislation/main/bills/2197336", "הצעת חוק הגנת הצרכן (תיקון - חובת סימון נפח האריזה וקביעת הנפח בשימוש), התשפ""ג-2023")</f>
        <v>11312</v>
      </c>
      <c r="E6182" t="s">
        <v>11312</v>
      </c>
      <c r="F6182" t="s">
        <v>12162</v>
      </c>
      <c r="G6182" t="s">
        <v>14</v>
      </c>
      <c r="H6182">
             </c>
      <c r="I6182" t="s">
        <v>14</v>
      </c>
      <c r="J6182" t="s">
        <v>141</v>
      </c>
      <c r="K6182" t="s">
        <v>14</v>
      </c>
      <c r="L6182" t="s">
        <v>20</v>
      </c>
      <c r="M6182" t="s">
        <v>11979</v>
      </c>
      <c r="N6182" t="s">
        <v>14</v>
      </c>
    </row>
    <row r="6183" x14ac:dyDescent="0.25">
      <c r="A6183" t="n">
        <v>25</v>
      </c>
      <c r="B6183" t="s">
        <v>14</v>
      </c>
      <c r="C6183" t="s">
        <v>22</v>
      </c>
      <c r="D6183" s="2" t="s">
        <f>=HYPERLINK("https://main.knesset.gov.il/APPS/legislation/main/bills/2198752", "הצעת חוק משק החשמל (תיקון - תשלומי חשמל מופחתים לבני שמונים שנים ומעלה), התשפ""ג-2023")</f>
        <v>12163</v>
      </c>
      <c r="E6183" t="s">
        <v>12163</v>
      </c>
      <c r="F6183" t="s">
        <v>12164</v>
      </c>
      <c r="G6183" t="s">
        <v>14</v>
      </c>
      <c r="H6183">
             </c>
      <c r="I6183" t="s">
        <v>14</v>
      </c>
      <c r="J6183" t="s">
        <v>141</v>
      </c>
      <c r="K6183" t="s">
        <v>14</v>
      </c>
      <c r="L6183" t="s">
        <v>20</v>
      </c>
      <c r="M6183" t="s">
        <v>11979</v>
      </c>
      <c r="N6183" t="s">
        <v>14</v>
      </c>
    </row>
    <row r="6184" x14ac:dyDescent="0.25">
      <c r="A6184" t="n">
        <v>25</v>
      </c>
      <c r="B6184" t="s">
        <v>14</v>
      </c>
      <c r="C6184" t="s">
        <v>22</v>
      </c>
      <c r="D6184" s="2" t="s">
        <f>=HYPERLINK("https://main.knesset.gov.il/APPS/legislation/main/bills/2198534", "הצעת חוק משק החשמל (תיקון - תשלומי חשמל מופחתים לבני שמונים שנים ומעלה), התשפ""ג-2023")</f>
        <v>12163</v>
      </c>
      <c r="E6184" t="s">
        <v>12163</v>
      </c>
      <c r="F6184" t="s">
        <v>12165</v>
      </c>
      <c r="G6184" t="s">
        <v>14</v>
      </c>
      <c r="H6184">
             </c>
      <c r="I6184" t="s">
        <v>14</v>
      </c>
      <c r="J6184" t="s">
        <v>141</v>
      </c>
      <c r="K6184" t="s">
        <v>14</v>
      </c>
      <c r="L6184" t="s">
        <v>20</v>
      </c>
      <c r="M6184" t="s">
        <v>11979</v>
      </c>
      <c r="N6184" t="s">
        <v>14</v>
      </c>
    </row>
    <row r="6185" x14ac:dyDescent="0.25">
      <c r="A6185" t="n">
        <v>25</v>
      </c>
      <c r="B6185" t="s">
        <v>14</v>
      </c>
      <c r="C6185" t="s">
        <v>22</v>
      </c>
      <c r="D6185" s="2" t="s">
        <f>=HYPERLINK("https://main.knesset.gov.il/APPS/legislation/main/bills/2198483", "הצעת חוק הביטוח הלאומי (תיקון - ביטוח שאירים לאלמן), התשפ""ג-2023")</f>
        <v>8047</v>
      </c>
      <c r="E6185" t="s">
        <v>8047</v>
      </c>
      <c r="F6185" t="s">
        <v>12166</v>
      </c>
      <c r="G6185" t="s">
        <v>14</v>
      </c>
      <c r="H6185">
             </c>
      <c r="I6185" t="s">
        <v>14</v>
      </c>
      <c r="J6185" t="s">
        <v>141</v>
      </c>
      <c r="K6185" t="s">
        <v>14</v>
      </c>
      <c r="L6185" t="s">
        <v>20</v>
      </c>
      <c r="M6185" t="s">
        <v>11979</v>
      </c>
      <c r="N6185" t="s">
        <v>14</v>
      </c>
    </row>
    <row r="6186" x14ac:dyDescent="0.25">
      <c r="A6186" t="n">
        <v>25</v>
      </c>
      <c r="B6186" t="s">
        <v>14</v>
      </c>
      <c r="C6186" t="s">
        <v>22</v>
      </c>
      <c r="D6186" s="2" t="s">
        <f>=HYPERLINK("https://main.knesset.gov.il/APPS/legislation/main/bills/2197476", "הצעת חוק להקמת אוניברסיטה ערבית ביישוב ערבי, התשפ""ג-2023")</f>
        <v>11759</v>
      </c>
      <c r="E6186" t="s">
        <v>11759</v>
      </c>
      <c r="F6186" t="s">
        <v>12167</v>
      </c>
      <c r="G6186" t="s">
        <v>14</v>
      </c>
      <c r="H6186">
             </c>
      <c r="I6186" t="s">
        <v>14</v>
      </c>
      <c r="J6186" t="s">
        <v>141</v>
      </c>
      <c r="K6186" t="s">
        <v>14</v>
      </c>
      <c r="L6186" t="s">
        <v>20</v>
      </c>
      <c r="M6186" t="s">
        <v>11979</v>
      </c>
      <c r="N6186" t="s">
        <v>14</v>
      </c>
    </row>
    <row r="6187" x14ac:dyDescent="0.25">
      <c r="A6187" t="n">
        <v>25</v>
      </c>
      <c r="B6187" t="s">
        <v>14</v>
      </c>
      <c r="C6187" t="s">
        <v>22</v>
      </c>
      <c r="D6187" s="2" t="s">
        <f>=HYPERLINK("https://main.knesset.gov.il/APPS/legislation/main/bills/2197335", "הצעת חוק הגנת הצרכן (תיקון - חובת הצגת מחיר מוצר בעת עריכת החשבון בקופה), התשפ""ג-2023")</f>
        <v>11553</v>
      </c>
      <c r="E6187" t="s">
        <v>11553</v>
      </c>
      <c r="F6187" t="s">
        <v>12168</v>
      </c>
      <c r="G6187" t="s">
        <v>14</v>
      </c>
      <c r="H6187">
             </c>
      <c r="I6187" t="s">
        <v>14</v>
      </c>
      <c r="J6187" t="s">
        <v>141</v>
      </c>
      <c r="K6187" t="s">
        <v>14</v>
      </c>
      <c r="L6187" t="s">
        <v>20</v>
      </c>
      <c r="M6187" t="s">
        <v>11979</v>
      </c>
      <c r="N6187" t="s">
        <v>14</v>
      </c>
    </row>
    <row r="6188" x14ac:dyDescent="0.25">
      <c r="A6188" t="n">
        <v>25</v>
      </c>
      <c r="B6188" t="s">
        <v>14</v>
      </c>
      <c r="C6188" t="s">
        <v>22</v>
      </c>
      <c r="D6188" s="2" t="s">
        <f>=HYPERLINK("https://main.knesset.gov.il/APPS/legislation/main/bills/2198244", "הצעת חוק הבחירות לכנסת (תיקון - זכות הצבעה לאזרחים מחוץ לישראל), התשפ""ג-2023")</f>
        <v>12169</v>
      </c>
      <c r="E6188" t="s">
        <v>12169</v>
      </c>
      <c r="F6188" t="s">
        <v>12170</v>
      </c>
      <c r="G6188" t="s">
        <v>14</v>
      </c>
      <c r="H6188">
             </c>
      <c r="I6188" t="s">
        <v>14</v>
      </c>
      <c r="J6188" t="s">
        <v>1123</v>
      </c>
      <c r="K6188" t="s">
        <v>14</v>
      </c>
      <c r="L6188" t="s">
        <v>20</v>
      </c>
      <c r="M6188" t="s">
        <v>11979</v>
      </c>
      <c r="N6188" t="s">
        <v>14</v>
      </c>
    </row>
    <row r="6189" x14ac:dyDescent="0.25">
      <c r="A6189" t="n">
        <v>25</v>
      </c>
      <c r="B6189" t="s">
        <v>14</v>
      </c>
      <c r="C6189" t="s">
        <v>22</v>
      </c>
      <c r="D6189" s="2" t="s">
        <f>=HYPERLINK("https://main.knesset.gov.il/APPS/legislation/main/bills/2197334", "הצעת חוק הגנת הצרכן (תיקון - חובת הצגת מחיר מומלץ של ירקות), התשפ""ג-2023")</f>
        <v>12171</v>
      </c>
      <c r="E6189" t="s">
        <v>12171</v>
      </c>
      <c r="F6189" t="s">
        <v>12172</v>
      </c>
      <c r="G6189" t="s">
        <v>14</v>
      </c>
      <c r="H6189">
             </c>
      <c r="I6189" t="s">
        <v>14</v>
      </c>
      <c r="J6189" t="s">
        <v>141</v>
      </c>
      <c r="K6189" t="s">
        <v>14</v>
      </c>
      <c r="L6189" t="s">
        <v>20</v>
      </c>
      <c r="M6189" t="s">
        <v>11979</v>
      </c>
      <c r="N6189" t="s">
        <v>14</v>
      </c>
    </row>
    <row r="6190" x14ac:dyDescent="0.25">
      <c r="A6190" t="n">
        <v>25</v>
      </c>
      <c r="B6190" t="s">
        <v>14</v>
      </c>
      <c r="C6190" t="s">
        <v>22</v>
      </c>
      <c r="D6190" s="2" t="s">
        <f>=HYPERLINK("https://main.knesset.gov.il/APPS/legislation/main/bills/2196515", "הצעת חוק הביטוח הלאומי (תיקון - הגדלת קצבת אזרח ותיק והצמדתה לשכר הממוצע), התשפ""ג-2023")</f>
        <v>12008</v>
      </c>
      <c r="E6190" t="s">
        <v>12008</v>
      </c>
      <c r="F6190" t="s">
        <v>12173</v>
      </c>
      <c r="G6190" t="s">
        <v>14</v>
      </c>
      <c r="H6190">
             </c>
      <c r="I6190" t="s">
        <v>14</v>
      </c>
      <c r="J6190" t="s">
        <v>141</v>
      </c>
      <c r="K6190" t="s">
        <v>14</v>
      </c>
      <c r="L6190" t="s">
        <v>20</v>
      </c>
      <c r="M6190" t="s">
        <v>11979</v>
      </c>
      <c r="N6190" t="s">
        <v>14</v>
      </c>
    </row>
    <row r="6191" x14ac:dyDescent="0.25">
      <c r="A6191" t="n">
        <v>25</v>
      </c>
      <c r="B6191" t="s">
        <v>14</v>
      </c>
      <c r="C6191" t="s">
        <v>22</v>
      </c>
      <c r="D6191" s="2" t="s">
        <f>=HYPERLINK("https://main.knesset.gov.il/APPS/legislation/main/bills/2198138", "הצעת חוק לתיקון פקודת התעבורה (הוראות לעניין סככות המתנה בתחנות אוטובוס), התשפ""ג-2023")</f>
        <v>8588</v>
      </c>
      <c r="E6191" t="s">
        <v>8588</v>
      </c>
      <c r="F6191" t="s">
        <v>12174</v>
      </c>
      <c r="G6191" t="s">
        <v>14</v>
      </c>
      <c r="H6191">
             </c>
      <c r="I6191" t="s">
        <v>14</v>
      </c>
      <c r="J6191" t="s">
        <v>141</v>
      </c>
      <c r="K6191" t="s">
        <v>14</v>
      </c>
      <c r="L6191" t="s">
        <v>20</v>
      </c>
      <c r="M6191" t="s">
        <v>11979</v>
      </c>
      <c r="N6191" t="s">
        <v>14</v>
      </c>
    </row>
    <row r="6192" x14ac:dyDescent="0.25">
      <c r="A6192" t="n">
        <v>25</v>
      </c>
      <c r="B6192" t="s">
        <v>14</v>
      </c>
      <c r="C6192" t="s">
        <v>22</v>
      </c>
      <c r="D6192" s="2" t="s">
        <f>=HYPERLINK("https://main.knesset.gov.il/APPS/legislation/main/bills/2198242", "הצעת חוק מימון מפלגות (תיקון - ייצוג לנשים ברשימת המועמדים), התשפ""ג-2023")</f>
        <v>8746</v>
      </c>
      <c r="E6192" t="s">
        <v>8746</v>
      </c>
      <c r="F6192" t="s">
        <v>12175</v>
      </c>
      <c r="G6192" t="s">
        <v>14</v>
      </c>
      <c r="H6192">
             </c>
      <c r="I6192" t="s">
        <v>14</v>
      </c>
      <c r="J6192" t="s">
        <v>141</v>
      </c>
      <c r="K6192" t="s">
        <v>14</v>
      </c>
      <c r="L6192" t="s">
        <v>20</v>
      </c>
      <c r="M6192" t="s">
        <v>11979</v>
      </c>
      <c r="N6192" t="s">
        <v>14</v>
      </c>
    </row>
    <row r="6193" x14ac:dyDescent="0.25">
      <c r="A6193" t="n">
        <v>25</v>
      </c>
      <c r="B6193" t="s">
        <v>14</v>
      </c>
      <c r="C6193" t="s">
        <v>22</v>
      </c>
      <c r="D6193" s="2" t="s">
        <f>=HYPERLINK("https://main.knesset.gov.il/APPS/legislation/main/bills/2198295", "הצעת חוק-יסוד: הכנסת (תיקון - הפסקת חברות בכנסת של שר או סגן שר)")</f>
        <v>12176</v>
      </c>
      <c r="E6193" t="s">
        <v>12176</v>
      </c>
      <c r="F6193" t="s">
        <v>12177</v>
      </c>
      <c r="G6193" t="s">
        <v>14</v>
      </c>
      <c r="H6193">
             </c>
      <c r="I6193" t="s">
        <v>14</v>
      </c>
      <c r="J6193" t="s">
        <v>141</v>
      </c>
      <c r="K6193" t="s">
        <v>14</v>
      </c>
      <c r="L6193" t="s">
        <v>20</v>
      </c>
      <c r="M6193" t="s">
        <v>11979</v>
      </c>
      <c r="N6193" t="s">
        <v>14</v>
      </c>
    </row>
    <row r="6194" x14ac:dyDescent="0.25">
      <c r="A6194" t="n">
        <v>25</v>
      </c>
      <c r="B6194" t="s">
        <v>14</v>
      </c>
      <c r="C6194" t="s">
        <v>22</v>
      </c>
      <c r="D6194" s="2" t="s">
        <f>=HYPERLINK("https://main.knesset.gov.il/APPS/legislation/main/bills/2198194", "הצעת חוק ההוצאה לפועל (תיקון - החרגת עיקול ביטוח רפואי בידי צד שלישי), התשפ""ג-2023")</f>
        <v>8123</v>
      </c>
      <c r="E6194" t="s">
        <v>8123</v>
      </c>
      <c r="F6194" t="s">
        <v>12178</v>
      </c>
      <c r="G6194" t="s">
        <v>14</v>
      </c>
      <c r="H6194">
             </c>
      <c r="I6194" t="s">
        <v>14</v>
      </c>
      <c r="J6194" t="s">
        <v>141</v>
      </c>
      <c r="K6194" t="s">
        <v>14</v>
      </c>
      <c r="L6194" t="s">
        <v>20</v>
      </c>
      <c r="M6194" t="s">
        <v>11979</v>
      </c>
      <c r="N6194" t="s">
        <v>14</v>
      </c>
    </row>
    <row r="6195" x14ac:dyDescent="0.25">
      <c r="A6195" t="n">
        <v>25</v>
      </c>
      <c r="B6195" t="s">
        <v>14</v>
      </c>
      <c r="C6195" t="s">
        <v>22</v>
      </c>
      <c r="D6195" s="2" t="s">
        <f>=HYPERLINK("https://main.knesset.gov.il/APPS/legislation/main/bills/2198497", "הצעת חוק ארוחה יומית לתלמיד (תיקון - הרחבת תחולת החוק), התשפ""ג-2023")</f>
        <v>9584</v>
      </c>
      <c r="E6195" t="s">
        <v>9584</v>
      </c>
      <c r="F6195" t="s">
        <v>12179</v>
      </c>
      <c r="G6195" t="s">
        <v>14</v>
      </c>
      <c r="H6195">
             </c>
      <c r="I6195" t="s">
        <v>14</v>
      </c>
      <c r="J6195" t="s">
        <v>141</v>
      </c>
      <c r="K6195" t="s">
        <v>14</v>
      </c>
      <c r="L6195" t="s">
        <v>20</v>
      </c>
      <c r="M6195" t="s">
        <v>11979</v>
      </c>
      <c r="N6195" t="s">
        <v>14</v>
      </c>
    </row>
    <row r="6196" x14ac:dyDescent="0.25">
      <c r="A6196" t="n">
        <v>25</v>
      </c>
      <c r="B6196" t="s">
        <v>14</v>
      </c>
      <c r="C6196" t="s">
        <v>22</v>
      </c>
      <c r="D6196" s="2" t="s">
        <f>=HYPERLINK("https://main.knesset.gov.il/APPS/legislation/main/bills/2197333", "הצעת חוק הגנת הצרכן (תיקון - חובת גילוי הוזלה במחיר בעסקה מתמשכת), התשפ""ג-2023")</f>
        <v>11296</v>
      </c>
      <c r="E6196" t="s">
        <v>11296</v>
      </c>
      <c r="F6196" t="s">
        <v>12180</v>
      </c>
      <c r="G6196" t="s">
        <v>14</v>
      </c>
      <c r="H6196">
             </c>
      <c r="I6196" t="s">
        <v>14</v>
      </c>
      <c r="J6196" t="s">
        <v>141</v>
      </c>
      <c r="K6196" t="s">
        <v>14</v>
      </c>
      <c r="L6196" t="s">
        <v>20</v>
      </c>
      <c r="M6196" t="s">
        <v>11979</v>
      </c>
      <c r="N6196" t="s">
        <v>14</v>
      </c>
    </row>
    <row r="6197" x14ac:dyDescent="0.25">
      <c r="A6197" t="n">
        <v>25</v>
      </c>
      <c r="B6197" t="s">
        <v>14</v>
      </c>
      <c r="C6197" t="s">
        <v>22</v>
      </c>
      <c r="D6197" s="2" t="s">
        <f>=HYPERLINK("https://main.knesset.gov.il/APPS/legislation/main/bills/2198142", "הצעת חוק ביטוח בריאות ממלכתי (תיקון - החזר דמי נסיעה באמבולנס למי שהגיע לגיל פרישה), התשפ""ג-2023")</f>
        <v>3978</v>
      </c>
      <c r="E6197" t="s">
        <v>3978</v>
      </c>
      <c r="F6197" t="s">
        <v>12181</v>
      </c>
      <c r="G6197" t="s">
        <v>14</v>
      </c>
      <c r="H6197">
             </c>
      <c r="I6197" t="s">
        <v>14</v>
      </c>
      <c r="J6197" t="s">
        <v>141</v>
      </c>
      <c r="K6197" t="s">
        <v>14</v>
      </c>
      <c r="L6197" t="s">
        <v>20</v>
      </c>
      <c r="M6197" t="s">
        <v>11979</v>
      </c>
      <c r="N6197" t="s">
        <v>14</v>
      </c>
    </row>
    <row r="6198" x14ac:dyDescent="0.25">
      <c r="A6198" t="n">
        <v>25</v>
      </c>
      <c r="B6198" t="s">
        <v>14</v>
      </c>
      <c r="C6198" t="s">
        <v>22</v>
      </c>
      <c r="D6198" s="2" t="s">
        <f>=HYPERLINK("https://main.knesset.gov.il/APPS/legislation/main/bills/2197885", "הצעת חוק-יסוד: הממשלה (תיקון - הגבלת תקופת כהונה של ראש הממשלה)")</f>
        <v>12182</v>
      </c>
      <c r="E6198" t="s">
        <v>12182</v>
      </c>
      <c r="F6198" t="s">
        <v>12183</v>
      </c>
      <c r="G6198" t="s">
        <v>14</v>
      </c>
      <c r="H6198">
             </c>
      <c r="I6198" t="s">
        <v>14</v>
      </c>
      <c r="J6198" t="s">
        <v>141</v>
      </c>
      <c r="K6198" t="s">
        <v>14</v>
      </c>
      <c r="L6198" t="s">
        <v>20</v>
      </c>
      <c r="M6198" t="s">
        <v>11979</v>
      </c>
      <c r="N6198" t="s">
        <v>14</v>
      </c>
    </row>
    <row r="6199" x14ac:dyDescent="0.25">
      <c r="A6199" t="n">
        <v>25</v>
      </c>
      <c r="B6199" t="s">
        <v>14</v>
      </c>
      <c r="C6199" t="s">
        <v>22</v>
      </c>
      <c r="D6199" s="2" t="s">
        <f>=HYPERLINK("https://main.knesset.gov.il/APPS/legislation/main/bills/2198610", "הצעת חוק הגנת הצרכן (תיקון - סימון תאריך ייצור ומועד תפוגה עברי), התשפ""ג-2023")</f>
        <v>9907</v>
      </c>
      <c r="E6199" t="s">
        <v>9907</v>
      </c>
      <c r="F6199" t="s">
        <v>12184</v>
      </c>
      <c r="G6199" t="s">
        <v>14</v>
      </c>
      <c r="H6199">
             </c>
      <c r="I6199" t="s">
        <v>14</v>
      </c>
      <c r="J6199" t="s">
        <v>141</v>
      </c>
      <c r="K6199" t="s">
        <v>14</v>
      </c>
      <c r="L6199" t="s">
        <v>20</v>
      </c>
      <c r="M6199" t="s">
        <v>11979</v>
      </c>
      <c r="N6199" t="s">
        <v>14</v>
      </c>
    </row>
    <row r="6200" x14ac:dyDescent="0.25">
      <c r="A6200" t="n">
        <v>25</v>
      </c>
      <c r="B6200" t="s">
        <v>14</v>
      </c>
      <c r="C6200" t="s">
        <v>22</v>
      </c>
      <c r="D6200" s="2" t="s">
        <f>=HYPERLINK("https://main.knesset.gov.il/APPS/legislation/main/bills/2196388", "הצעת חוק הביטוח הלאומי (תיקון - פטור מתשלום דמי ביטוח לאומי עד גיל 21), התשפ""ג-2023")</f>
        <v>9459</v>
      </c>
      <c r="E6200" t="s">
        <v>9459</v>
      </c>
      <c r="F6200" t="s">
        <v>12185</v>
      </c>
      <c r="G6200" t="s">
        <v>14</v>
      </c>
      <c r="H6200">
             </c>
      <c r="I6200" t="s">
        <v>14</v>
      </c>
      <c r="J6200" t="s">
        <v>141</v>
      </c>
      <c r="K6200" t="s">
        <v>14</v>
      </c>
      <c r="L6200" t="s">
        <v>20</v>
      </c>
      <c r="M6200" t="s">
        <v>11979</v>
      </c>
      <c r="N6200" t="s">
        <v>14</v>
      </c>
    </row>
    <row r="6201" x14ac:dyDescent="0.25">
      <c r="A6201" t="n">
        <v>25</v>
      </c>
      <c r="B6201" t="s">
        <v>14</v>
      </c>
      <c r="C6201" t="s">
        <v>22</v>
      </c>
      <c r="D6201" s="2" t="s">
        <f>=HYPERLINK("https://main.knesset.gov.il/APPS/legislation/main/bills/2196231", "הצעת חוק חישוב דרגת הזכאות של מורה להשתתפות המדינה בדמי ההחזקה לילד במעונות יום ובמשפחתונים, התשפ""ג-2023")</f>
        <v>8359</v>
      </c>
      <c r="E6201" t="s">
        <v>8359</v>
      </c>
      <c r="F6201" t="s">
        <v>12186</v>
      </c>
      <c r="G6201" t="s">
        <v>14</v>
      </c>
      <c r="H6201">
             </c>
      <c r="I6201" t="s">
        <v>14</v>
      </c>
      <c r="J6201" t="s">
        <v>141</v>
      </c>
      <c r="K6201" t="s">
        <v>14</v>
      </c>
      <c r="L6201" t="s">
        <v>20</v>
      </c>
      <c r="M6201" t="s">
        <v>11979</v>
      </c>
      <c r="N6201" t="s">
        <v>14</v>
      </c>
    </row>
    <row r="6202" x14ac:dyDescent="0.25">
      <c r="A6202" t="n">
        <v>25</v>
      </c>
      <c r="B6202" t="s">
        <v>14</v>
      </c>
      <c r="C6202" t="s">
        <v>22</v>
      </c>
      <c r="D6202" s="2" t="s">
        <f>=HYPERLINK("https://main.knesset.gov.il/APPS/legislation/main/bills/2198661", "הצעת חוק למניעת העסקה בתחום החינוך והטיפול של אדם שהורשע או שמואשם בתקיפה או בהתעללות בחסר ישע, התשפ""ג-2023")</f>
        <v>10479</v>
      </c>
      <c r="E6202" t="s">
        <v>10479</v>
      </c>
      <c r="F6202" t="s">
        <v>12187</v>
      </c>
      <c r="G6202" t="s">
        <v>14</v>
      </c>
      <c r="H6202">
             </c>
      <c r="I6202" t="s">
        <v>14</v>
      </c>
      <c r="J6202" t="s">
        <v>141</v>
      </c>
      <c r="K6202" t="s">
        <v>14</v>
      </c>
      <c r="L6202" t="s">
        <v>20</v>
      </c>
      <c r="M6202" t="s">
        <v>11979</v>
      </c>
      <c r="N6202" t="s">
        <v>14</v>
      </c>
    </row>
    <row r="6203" x14ac:dyDescent="0.25">
      <c r="A6203" t="n">
        <v>25</v>
      </c>
      <c r="B6203" t="s">
        <v>14</v>
      </c>
      <c r="C6203" t="s">
        <v>22</v>
      </c>
      <c r="D6203" s="2" t="s">
        <f>=HYPERLINK("https://main.knesset.gov.il/APPS/legislation/main/bills/2197332", "הצעת חוק הגנת הצרכן (תיקון - ביטול אפשרות להארכה אוטומטית של עסקה לתקופה קצובה), התשפ""ג-2023")</f>
        <v>11580</v>
      </c>
      <c r="E6203" t="s">
        <v>11580</v>
      </c>
      <c r="F6203" t="s">
        <v>12188</v>
      </c>
      <c r="G6203" t="s">
        <v>14</v>
      </c>
      <c r="H6203">
             </c>
      <c r="I6203" t="s">
        <v>14</v>
      </c>
      <c r="J6203" t="s">
        <v>141</v>
      </c>
      <c r="K6203" t="s">
        <v>14</v>
      </c>
      <c r="L6203" t="s">
        <v>20</v>
      </c>
      <c r="M6203" t="s">
        <v>11979</v>
      </c>
      <c r="N6203" t="s">
        <v>14</v>
      </c>
    </row>
    <row r="6204" x14ac:dyDescent="0.25">
      <c r="A6204" t="n">
        <v>25</v>
      </c>
      <c r="B6204" t="s">
        <v>14</v>
      </c>
      <c r="C6204" t="s">
        <v>22</v>
      </c>
      <c r="D6204" s="2" t="s">
        <f>=HYPERLINK("https://main.knesset.gov.il/APPS/legislation/main/bills/2197330", "הצעת חוק הגנת הצרכן (תיקון - איסור התניית תשלום בכרטיס אשראי בסכום רכישה מזערי), התשפ""ג-2023")</f>
        <v>3782</v>
      </c>
      <c r="E6204" t="s">
        <v>3782</v>
      </c>
      <c r="F6204" t="s">
        <v>12189</v>
      </c>
      <c r="G6204" t="s">
        <v>14</v>
      </c>
      <c r="H6204">
             </c>
      <c r="I6204" t="s">
        <v>14</v>
      </c>
      <c r="J6204" t="s">
        <v>141</v>
      </c>
      <c r="K6204" t="s">
        <v>14</v>
      </c>
      <c r="L6204" t="s">
        <v>20</v>
      </c>
      <c r="M6204" t="s">
        <v>11979</v>
      </c>
      <c r="N6204" t="s">
        <v>14</v>
      </c>
    </row>
    <row r="6205" x14ac:dyDescent="0.25">
      <c r="A6205" t="n">
        <v>25</v>
      </c>
      <c r="B6205" t="s">
        <v>14</v>
      </c>
      <c r="C6205" t="s">
        <v>22</v>
      </c>
      <c r="D6205" s="2" t="s">
        <f>=HYPERLINK("https://main.knesset.gov.il/APPS/legislation/main/bills/2198186", "הצעת חוק כלי הירייה (תיקון - זכאות לרישיון כלי ירייה למי ששירת כלוחם ושוטר), התשפ""ג-2023")</f>
        <v>12190</v>
      </c>
      <c r="E6205" t="s">
        <v>12190</v>
      </c>
      <c r="F6205" t="s">
        <v>12191</v>
      </c>
      <c r="G6205" t="s">
        <v>14</v>
      </c>
      <c r="H6205">
             </c>
      <c r="I6205" t="s">
        <v>14</v>
      </c>
      <c r="J6205" t="s">
        <v>141</v>
      </c>
      <c r="K6205" t="s">
        <v>14</v>
      </c>
      <c r="L6205" t="s">
        <v>20</v>
      </c>
      <c r="M6205" t="s">
        <v>11979</v>
      </c>
      <c r="N6205" t="s">
        <v>14</v>
      </c>
    </row>
    <row r="6206" x14ac:dyDescent="0.25">
      <c r="A6206" t="n">
        <v>25</v>
      </c>
      <c r="B6206" t="s">
        <v>14</v>
      </c>
      <c r="C6206" t="s">
        <v>22</v>
      </c>
      <c r="D6206" s="2" t="s">
        <f>=HYPERLINK("https://main.knesset.gov.il/APPS/legislation/main/bills/2198200", "הצעת חוק ההוצאה לפועל (תיקון - הגבלת עיקול מיטלטליו של קשיש), התשפ""ג-2023")</f>
        <v>11012</v>
      </c>
      <c r="E6206" t="s">
        <v>11012</v>
      </c>
      <c r="F6206" t="s">
        <v>12192</v>
      </c>
      <c r="G6206" t="s">
        <v>14</v>
      </c>
      <c r="H6206">
             </c>
      <c r="I6206" t="s">
        <v>14</v>
      </c>
      <c r="J6206" t="s">
        <v>141</v>
      </c>
      <c r="K6206" t="s">
        <v>14</v>
      </c>
      <c r="L6206" t="s">
        <v>20</v>
      </c>
      <c r="M6206" t="s">
        <v>11979</v>
      </c>
      <c r="N6206" t="s">
        <v>14</v>
      </c>
    </row>
    <row r="6207" x14ac:dyDescent="0.25">
      <c r="A6207" t="n">
        <v>25</v>
      </c>
      <c r="B6207" t="s">
        <v>14</v>
      </c>
      <c r="C6207" t="s">
        <v>22</v>
      </c>
      <c r="D6207" s="2" t="s">
        <f>=HYPERLINK("https://main.knesset.gov.il/APPS/legislation/main/bills/2197903", "הצעת חוק הדיינים (תיקון - כשירות הרבנים הראשיים לישראל), התשפ""ג-2023")</f>
        <v>12193</v>
      </c>
      <c r="E6207" t="s">
        <v>12193</v>
      </c>
      <c r="F6207" t="s">
        <v>12194</v>
      </c>
      <c r="G6207" t="s">
        <v>14</v>
      </c>
      <c r="H6207">
             </c>
      <c r="I6207" t="s">
        <v>14</v>
      </c>
      <c r="J6207" t="s">
        <v>141</v>
      </c>
      <c r="K6207" t="s">
        <v>14</v>
      </c>
      <c r="L6207" t="s">
        <v>20</v>
      </c>
      <c r="M6207" t="s">
        <v>11979</v>
      </c>
      <c r="N6207" t="s">
        <v>14</v>
      </c>
    </row>
    <row r="6208" x14ac:dyDescent="0.25">
      <c r="A6208" t="n">
        <v>25</v>
      </c>
      <c r="B6208" t="s">
        <v>14</v>
      </c>
      <c r="C6208" t="s">
        <v>22</v>
      </c>
      <c r="D6208" s="2" t="s">
        <f>=HYPERLINK("https://main.knesset.gov.il/APPS/legislation/main/bills/2197387", "הצעת חוק האזרחות והכניסה לישראל (הוראת שעה) (תיקון - ביטול החוק), התשפ""ג-2023")</f>
        <v>12195</v>
      </c>
      <c r="E6208" t="s">
        <v>12195</v>
      </c>
      <c r="F6208" t="s">
        <v>12196</v>
      </c>
      <c r="G6208" t="s">
        <v>14</v>
      </c>
      <c r="H6208">
             </c>
      <c r="I6208" t="s">
        <v>14</v>
      </c>
      <c r="J6208" t="s">
        <v>141</v>
      </c>
      <c r="K6208" t="s">
        <v>14</v>
      </c>
      <c r="L6208" t="s">
        <v>20</v>
      </c>
      <c r="M6208" t="s">
        <v>11979</v>
      </c>
      <c r="N6208" t="s">
        <v>14</v>
      </c>
    </row>
    <row r="6209" x14ac:dyDescent="0.25">
      <c r="A6209" t="n">
        <v>25</v>
      </c>
      <c r="B6209" t="s">
        <v>14</v>
      </c>
      <c r="C6209" t="s">
        <v>22</v>
      </c>
      <c r="D6209" s="2" t="s">
        <f>=HYPERLINK("https://main.knesset.gov.il/APPS/legislation/main/bills/2197478", "הצעת חוק הביטוח הלאומי (תיקון - העלאת דמי לידה), התשפ""ג-2023")</f>
        <v>12197</v>
      </c>
      <c r="E6209" t="s">
        <v>12197</v>
      </c>
      <c r="F6209" t="s">
        <v>12198</v>
      </c>
      <c r="G6209" t="s">
        <v>14</v>
      </c>
      <c r="H6209">
             </c>
      <c r="I6209" t="s">
        <v>14</v>
      </c>
      <c r="J6209" t="s">
        <v>141</v>
      </c>
      <c r="K6209" t="s">
        <v>14</v>
      </c>
      <c r="L6209" t="s">
        <v>20</v>
      </c>
      <c r="M6209" t="s">
        <v>11979</v>
      </c>
      <c r="N6209" t="s">
        <v>14</v>
      </c>
    </row>
    <row r="6210" x14ac:dyDescent="0.25">
      <c r="A6210" t="n">
        <v>25</v>
      </c>
      <c r="B6210" t="s">
        <v>14</v>
      </c>
      <c r="C6210" t="s">
        <v>22</v>
      </c>
      <c r="D6210" s="2" t="s">
        <f>=HYPERLINK("https://main.knesset.gov.il/APPS/legislation/main/bills/2198547", "הצעת חוק הדיור הציבורי (זכויות רכישה) (תיקון - העלאת המחיר הבסיסי לחישוב מענק), התשפ""ג-2023")</f>
        <v>12199</v>
      </c>
      <c r="E6210" t="s">
        <v>12199</v>
      </c>
      <c r="F6210" t="s">
        <v>12200</v>
      </c>
      <c r="G6210" t="s">
        <v>14</v>
      </c>
      <c r="H6210">
             </c>
      <c r="I6210" t="s">
        <v>14</v>
      </c>
      <c r="J6210" t="s">
        <v>141</v>
      </c>
      <c r="K6210" t="s">
        <v>14</v>
      </c>
      <c r="L6210" t="s">
        <v>20</v>
      </c>
      <c r="M6210" t="s">
        <v>11979</v>
      </c>
      <c r="N6210" t="s">
        <v>14</v>
      </c>
    </row>
    <row r="6211" x14ac:dyDescent="0.25">
      <c r="A6211" t="n">
        <v>25</v>
      </c>
      <c r="B6211" t="s">
        <v>14</v>
      </c>
      <c r="C6211" t="s">
        <v>22</v>
      </c>
      <c r="D6211" s="2" t="s">
        <f>=HYPERLINK("https://main.knesset.gov.il/APPS/legislation/main/bills/2197463", "הצעת חוק חינוך ממלכתי (תיקון - חובת לימוד ערבית), התשפ""ג-2023")</f>
        <v>12201</v>
      </c>
      <c r="E6211" t="s">
        <v>12201</v>
      </c>
      <c r="F6211" t="s">
        <v>12202</v>
      </c>
      <c r="G6211" t="s">
        <v>14</v>
      </c>
      <c r="H6211">
             </c>
      <c r="I6211" t="s">
        <v>14</v>
      </c>
      <c r="J6211" t="s">
        <v>141</v>
      </c>
      <c r="K6211" t="s">
        <v>14</v>
      </c>
      <c r="L6211" t="s">
        <v>20</v>
      </c>
      <c r="M6211" t="s">
        <v>11979</v>
      </c>
      <c r="N6211" t="s">
        <v>14</v>
      </c>
    </row>
    <row r="6212" x14ac:dyDescent="0.25">
      <c r="A6212" t="n">
        <v>25</v>
      </c>
      <c r="B6212" t="s">
        <v>14</v>
      </c>
      <c r="C6212" t="s">
        <v>22</v>
      </c>
      <c r="D6212" s="2" t="s">
        <f>=HYPERLINK("https://main.knesset.gov.il/APPS/legislation/main/bills/2197894", "הצעת חוק שלילת תשלומים מחבר הכנסת ומחבר הכנסת לשעבר בשל עבירה (תיקון - חשוד בעבירת ביטחון), התשפ""ג-2023")</f>
        <v>12203</v>
      </c>
      <c r="E6212" t="s">
        <v>12203</v>
      </c>
      <c r="F6212" t="s">
        <v>12204</v>
      </c>
      <c r="G6212" t="s">
        <v>14</v>
      </c>
      <c r="H6212">
             </c>
      <c r="I6212" t="s">
        <v>14</v>
      </c>
      <c r="J6212" t="s">
        <v>141</v>
      </c>
      <c r="K6212" t="s">
        <v>14</v>
      </c>
      <c r="L6212" t="s">
        <v>20</v>
      </c>
      <c r="M6212" t="s">
        <v>11979</v>
      </c>
      <c r="N6212" t="s">
        <v>14</v>
      </c>
    </row>
    <row r="6213" x14ac:dyDescent="0.25">
      <c r="A6213" t="n">
        <v>25</v>
      </c>
      <c r="B6213" t="s">
        <v>14</v>
      </c>
      <c r="C6213" t="s">
        <v>22</v>
      </c>
      <c r="D6213" s="2" t="s">
        <f>=HYPERLINK("https://main.knesset.gov.il/APPS/legislation/main/bills/2197889", "הצעת חוק התמודדות עם תופעת נטילת דמי חסות, התשפ""ג-2023")</f>
        <v>9792</v>
      </c>
      <c r="E6213" t="s">
        <v>9792</v>
      </c>
      <c r="F6213" t="s">
        <v>12205</v>
      </c>
      <c r="G6213" t="s">
        <v>14</v>
      </c>
      <c r="H6213">
             </c>
      <c r="I6213" t="s">
        <v>14</v>
      </c>
      <c r="J6213" t="s">
        <v>141</v>
      </c>
      <c r="K6213" t="s">
        <v>14</v>
      </c>
      <c r="L6213" t="s">
        <v>20</v>
      </c>
      <c r="M6213" t="s">
        <v>11979</v>
      </c>
      <c r="N6213" t="s">
        <v>14</v>
      </c>
    </row>
    <row r="6214" x14ac:dyDescent="0.25">
      <c r="A6214" t="n">
        <v>25</v>
      </c>
      <c r="B6214" t="s">
        <v>14</v>
      </c>
      <c r="C6214" t="s">
        <v>22</v>
      </c>
      <c r="D6214" s="2" t="s">
        <f>=HYPERLINK("https://main.knesset.gov.il/APPS/legislation/main/bills/2197459", "הצעת חוק עבודת נשים (תיקון - חישוב ימי מחלה בזמן היריון), התשפ""ג-2023")</f>
        <v>12206</v>
      </c>
      <c r="E6214" t="s">
        <v>12206</v>
      </c>
      <c r="F6214" t="s">
        <v>12207</v>
      </c>
      <c r="G6214" t="s">
        <v>14</v>
      </c>
      <c r="H6214">
             </c>
      <c r="I6214" t="s">
        <v>14</v>
      </c>
      <c r="J6214" t="s">
        <v>141</v>
      </c>
      <c r="K6214" t="s">
        <v>14</v>
      </c>
      <c r="L6214" t="s">
        <v>20</v>
      </c>
      <c r="M6214" t="s">
        <v>11979</v>
      </c>
      <c r="N6214" t="s">
        <v>14</v>
      </c>
    </row>
    <row r="6215" x14ac:dyDescent="0.25">
      <c r="A6215" t="n">
        <v>25</v>
      </c>
      <c r="B6215" t="s">
        <v>14</v>
      </c>
      <c r="C6215" t="s">
        <v>22</v>
      </c>
      <c r="D6215" s="2" t="s">
        <f>=HYPERLINK("https://main.knesset.gov.il/APPS/legislation/main/bills/2197887", "הצעת חוק-יסוד: כבוד האדם וחירותו (תיקון - הזכות לשוויון)")</f>
        <v>2676</v>
      </c>
      <c r="E6215" t="s">
        <v>2676</v>
      </c>
      <c r="F6215" t="s">
        <v>12208</v>
      </c>
      <c r="G6215" t="s">
        <v>14</v>
      </c>
      <c r="H6215">
             </c>
      <c r="I6215" t="s">
        <v>14</v>
      </c>
      <c r="J6215" t="s">
        <v>141</v>
      </c>
      <c r="K6215" t="s">
        <v>14</v>
      </c>
      <c r="L6215" t="s">
        <v>20</v>
      </c>
      <c r="M6215" t="s">
        <v>11979</v>
      </c>
      <c r="N6215" t="s">
        <v>14</v>
      </c>
    </row>
    <row r="6216" x14ac:dyDescent="0.25">
      <c r="A6216" t="n">
        <v>25</v>
      </c>
      <c r="B6216" t="s">
        <v>14</v>
      </c>
      <c r="C6216" t="s">
        <v>22</v>
      </c>
      <c r="D6216" s="2" t="s">
        <f>=HYPERLINK("https://main.knesset.gov.il/APPS/legislation/main/bills/2198311", "הצעת חוק הנחה לחיילי צה""ל לוחמים בתחבורה ציבורית, התשפ""ג-2023")</f>
        <v>12209</v>
      </c>
      <c r="E6216" t="s">
        <v>12209</v>
      </c>
      <c r="F6216" t="s">
        <v>12210</v>
      </c>
      <c r="G6216" t="s">
        <v>14</v>
      </c>
      <c r="H6216">
             </c>
      <c r="I6216" t="s">
        <v>14</v>
      </c>
      <c r="J6216" t="s">
        <v>141</v>
      </c>
      <c r="K6216" t="s">
        <v>14</v>
      </c>
      <c r="L6216" t="s">
        <v>20</v>
      </c>
      <c r="M6216" t="s">
        <v>11979</v>
      </c>
      <c r="N6216" t="s">
        <v>14</v>
      </c>
    </row>
    <row r="6217" x14ac:dyDescent="0.25">
      <c r="A6217" t="n">
        <v>25</v>
      </c>
      <c r="B6217" t="s">
        <v>14</v>
      </c>
      <c r="C6217" t="s">
        <v>22</v>
      </c>
      <c r="D6217" s="2" t="s">
        <f>=HYPERLINK("https://main.knesset.gov.il/APPS/legislation/main/bills/2198063", "הצעת חוק הגנת הפרטיות (תיקון - איסור פרסום הקלטה של אדם), התשפ""ג-2023")</f>
        <v>12211</v>
      </c>
      <c r="E6217" t="s">
        <v>12211</v>
      </c>
      <c r="F6217" t="s">
        <v>12212</v>
      </c>
      <c r="G6217" t="s">
        <v>14</v>
      </c>
      <c r="H6217">
             </c>
      <c r="I6217" t="s">
        <v>14</v>
      </c>
      <c r="J6217" t="s">
        <v>141</v>
      </c>
      <c r="K6217" t="s">
        <v>14</v>
      </c>
      <c r="L6217" t="s">
        <v>20</v>
      </c>
      <c r="M6217" t="s">
        <v>11979</v>
      </c>
      <c r="N6217" t="s">
        <v>14</v>
      </c>
    </row>
    <row r="6218" x14ac:dyDescent="0.25">
      <c r="A6218" t="n">
        <v>25</v>
      </c>
      <c r="B6218" t="s">
        <v>14</v>
      </c>
      <c r="C6218" t="s">
        <v>22</v>
      </c>
      <c r="D6218" s="2" t="s">
        <f>=HYPERLINK("https://main.knesset.gov.il/APPS/legislation/main/bills/2197992", "הצעת חוק הביטוח הלאומי (תיקון - דמי לידה לבן הזוג בלידה שקטה), התשפ""ג-2023")</f>
        <v>9378</v>
      </c>
      <c r="E6218" t="s">
        <v>9378</v>
      </c>
      <c r="F6218" t="s">
        <v>12213</v>
      </c>
      <c r="G6218" t="s">
        <v>14</v>
      </c>
      <c r="H6218">
             </c>
      <c r="I6218" t="s">
        <v>14</v>
      </c>
      <c r="J6218" t="s">
        <v>141</v>
      </c>
      <c r="K6218" t="s">
        <v>14</v>
      </c>
      <c r="L6218" t="s">
        <v>20</v>
      </c>
      <c r="M6218" t="s">
        <v>11979</v>
      </c>
      <c r="N6218" t="s">
        <v>14</v>
      </c>
    </row>
    <row r="6219" x14ac:dyDescent="0.25">
      <c r="A6219" t="n">
        <v>25</v>
      </c>
      <c r="B6219" t="s">
        <v>14</v>
      </c>
      <c r="C6219" t="s">
        <v>22</v>
      </c>
      <c r="D6219" s="2" t="s">
        <f>=HYPERLINK("https://main.knesset.gov.il/APPS/legislation/main/bills/2197452", "הצעת חוק שפות רשמיות, התשפ""ג-2023")</f>
        <v>12214</v>
      </c>
      <c r="E6219" t="s">
        <v>12214</v>
      </c>
      <c r="F6219" t="s">
        <v>12215</v>
      </c>
      <c r="G6219" t="s">
        <v>14</v>
      </c>
      <c r="H6219">
             </c>
      <c r="I6219" t="s">
        <v>14</v>
      </c>
      <c r="J6219" t="s">
        <v>141</v>
      </c>
      <c r="K6219" t="s">
        <v>14</v>
      </c>
      <c r="L6219" t="s">
        <v>20</v>
      </c>
      <c r="M6219" t="s">
        <v>11979</v>
      </c>
      <c r="N6219" t="s">
        <v>14</v>
      </c>
    </row>
    <row r="6220" x14ac:dyDescent="0.25">
      <c r="A6220" t="n">
        <v>25</v>
      </c>
      <c r="B6220" t="s">
        <v>14</v>
      </c>
      <c r="C6220" t="s">
        <v>22</v>
      </c>
      <c r="D6220" s="2" t="s">
        <f>=HYPERLINK("https://main.knesset.gov.il/APPS/legislation/main/bills/2197449", "הצעת חוק עבודת נשים (תיקון - הגנה על עובדת מפני הליכי פיטורים), התשפ""ג-2023")</f>
        <v>12216</v>
      </c>
      <c r="E6220" t="s">
        <v>12216</v>
      </c>
      <c r="F6220" t="s">
        <v>12217</v>
      </c>
      <c r="G6220" t="s">
        <v>14</v>
      </c>
      <c r="H6220">
             </c>
      <c r="I6220" t="s">
        <v>14</v>
      </c>
      <c r="J6220" t="s">
        <v>141</v>
      </c>
      <c r="K6220" t="s">
        <v>14</v>
      </c>
      <c r="L6220" t="s">
        <v>20</v>
      </c>
      <c r="M6220" t="s">
        <v>11979</v>
      </c>
      <c r="N6220" t="s">
        <v>14</v>
      </c>
    </row>
    <row r="6221" x14ac:dyDescent="0.25">
      <c r="A6221" t="n">
        <v>25</v>
      </c>
      <c r="B6221" t="s">
        <v>14</v>
      </c>
      <c r="C6221" t="s">
        <v>22</v>
      </c>
      <c r="D6221" s="2" t="s">
        <f>=HYPERLINK("https://main.knesset.gov.il/APPS/legislation/main/bills/2198407", "הצעת חוק עבודת נשים (תיקון - הוספת חלקו של חודש במניין), התשפ""ג-2023")</f>
        <v>12218</v>
      </c>
      <c r="E6221" t="s">
        <v>12218</v>
      </c>
      <c r="F6221" t="s">
        <v>12219</v>
      </c>
      <c r="G6221" t="s">
        <v>14</v>
      </c>
      <c r="H6221">
             </c>
      <c r="I6221" t="s">
        <v>14</v>
      </c>
      <c r="J6221" t="s">
        <v>141</v>
      </c>
      <c r="K6221" t="s">
        <v>14</v>
      </c>
      <c r="L6221" t="s">
        <v>20</v>
      </c>
      <c r="M6221" t="s">
        <v>11979</v>
      </c>
      <c r="N6221" t="s">
        <v>14</v>
      </c>
    </row>
    <row r="6222" x14ac:dyDescent="0.25">
      <c r="A6222" t="n">
        <v>25</v>
      </c>
      <c r="B6222" t="s">
        <v>14</v>
      </c>
      <c r="C6222" t="s">
        <v>22</v>
      </c>
      <c r="D6222" s="2" t="s">
        <f>=HYPERLINK("https://main.knesset.gov.il/APPS/legislation/main/bills/2196968", "הצעת חוק הביטוח הלאומי (תיקון - השבת תשלומי מעסיק בגין תשלומים לקופות ולקרנות של העובד בימי מילואים), התשפ""ג-2023")</f>
        <v>8498</v>
      </c>
      <c r="E6222" t="s">
        <v>8498</v>
      </c>
      <c r="F6222" t="s">
        <v>12220</v>
      </c>
      <c r="G6222" t="s">
        <v>14</v>
      </c>
      <c r="H6222">
             </c>
      <c r="I6222" t="s">
        <v>14</v>
      </c>
      <c r="J6222" t="s">
        <v>141</v>
      </c>
      <c r="K6222" t="s">
        <v>14</v>
      </c>
      <c r="L6222" t="s">
        <v>20</v>
      </c>
      <c r="M6222" t="s">
        <v>11979</v>
      </c>
      <c r="N6222" t="s">
        <v>14</v>
      </c>
    </row>
    <row r="6223" x14ac:dyDescent="0.25">
      <c r="A6223" t="n">
        <v>25</v>
      </c>
      <c r="B6223" t="s">
        <v>14</v>
      </c>
      <c r="C6223" t="s">
        <v>22</v>
      </c>
      <c r="D6223" s="2" t="s">
        <f>=HYPERLINK("https://main.knesset.gov.il/APPS/legislation/main/bills/2198343", "הצעת חוק העונשין (תיקון - החמרת ענישה בעבירות אלימות), התשפ""ג-2023")</f>
        <v>9708</v>
      </c>
      <c r="E6223" t="s">
        <v>9708</v>
      </c>
      <c r="F6223" t="s">
        <v>12221</v>
      </c>
      <c r="G6223" t="s">
        <v>14</v>
      </c>
      <c r="H6223">
             </c>
      <c r="I6223" t="s">
        <v>14</v>
      </c>
      <c r="J6223" t="s">
        <v>141</v>
      </c>
      <c r="K6223" t="s">
        <v>14</v>
      </c>
      <c r="L6223" t="s">
        <v>20</v>
      </c>
      <c r="M6223" t="s">
        <v>11979</v>
      </c>
      <c r="N6223" t="s">
        <v>14</v>
      </c>
    </row>
    <row r="6224" x14ac:dyDescent="0.25">
      <c r="A6224" t="n">
        <v>25</v>
      </c>
      <c r="B6224" t="s">
        <v>14</v>
      </c>
      <c r="C6224" t="s">
        <v>22</v>
      </c>
      <c r="D6224" s="2" t="s">
        <f>=HYPERLINK("https://main.knesset.gov.il/APPS/legislation/main/bills/2197436", "הצעת חוק המרכז לתולדות החברה הערבית, התשפ""ג-2023")</f>
        <v>12222</v>
      </c>
      <c r="E6224" t="s">
        <v>12222</v>
      </c>
      <c r="F6224" t="s">
        <v>12223</v>
      </c>
      <c r="G6224" t="s">
        <v>14</v>
      </c>
      <c r="H6224">
             </c>
      <c r="I6224" t="s">
        <v>14</v>
      </c>
      <c r="J6224" t="s">
        <v>141</v>
      </c>
      <c r="K6224" t="s">
        <v>14</v>
      </c>
      <c r="L6224" t="s">
        <v>20</v>
      </c>
      <c r="M6224" t="s">
        <v>11979</v>
      </c>
      <c r="N6224" t="s">
        <v>14</v>
      </c>
    </row>
    <row r="6225" x14ac:dyDescent="0.25">
      <c r="A6225" t="n">
        <v>25</v>
      </c>
      <c r="B6225" t="s">
        <v>14</v>
      </c>
      <c r="C6225" t="s">
        <v>22</v>
      </c>
      <c r="D6225" s="2" t="s">
        <f>=HYPERLINK("https://main.knesset.gov.il/APPS/legislation/main/bills/2198136", "הצעת חוק נכי רדיפות הנאצים (תיקון - הכנסה נוספת), התשפ""ג-2023")</f>
        <v>12224</v>
      </c>
      <c r="E6225" t="s">
        <v>12224</v>
      </c>
      <c r="F6225" t="s">
        <v>12225</v>
      </c>
      <c r="G6225" t="s">
        <v>14</v>
      </c>
      <c r="H6225">
             </c>
      <c r="I6225" t="s">
        <v>14</v>
      </c>
      <c r="J6225" t="s">
        <v>141</v>
      </c>
      <c r="K6225" t="s">
        <v>14</v>
      </c>
      <c r="L6225" t="s">
        <v>20</v>
      </c>
      <c r="M6225" t="s">
        <v>11979</v>
      </c>
      <c r="N6225" t="s">
        <v>14</v>
      </c>
    </row>
    <row r="6226" x14ac:dyDescent="0.25">
      <c r="A6226" t="n">
        <v>25</v>
      </c>
      <c r="B6226" t="s">
        <v>14</v>
      </c>
      <c r="C6226" t="s">
        <v>22</v>
      </c>
      <c r="D6226" s="2" t="s">
        <f>=HYPERLINK("https://main.knesset.gov.il/APPS/legislation/main/bills/2197413", "הצעת חוק השפה הערבית שפה רשמית, התשפ""ג-2023")</f>
        <v>12226</v>
      </c>
      <c r="E6226" t="s">
        <v>12226</v>
      </c>
      <c r="F6226" t="s">
        <v>12227</v>
      </c>
      <c r="G6226" t="s">
        <v>14</v>
      </c>
      <c r="H6226">
             </c>
      <c r="I6226" t="s">
        <v>14</v>
      </c>
      <c r="J6226" t="s">
        <v>141</v>
      </c>
      <c r="K6226" t="s">
        <v>14</v>
      </c>
      <c r="L6226" t="s">
        <v>20</v>
      </c>
      <c r="M6226" t="s">
        <v>11979</v>
      </c>
      <c r="N6226" t="s">
        <v>14</v>
      </c>
    </row>
    <row r="6227" x14ac:dyDescent="0.25">
      <c r="A6227" t="n">
        <v>25</v>
      </c>
      <c r="B6227" t="s">
        <v>14</v>
      </c>
      <c r="C6227" t="s">
        <v>22</v>
      </c>
      <c r="D6227" s="2" t="s">
        <f>=HYPERLINK("https://main.knesset.gov.il/APPS/legislation/main/bills/2197970", "הצעת חוק איסור מכירת צעצועים המדמים כלי נשק, התשפ""ג-2023")</f>
        <v>8083</v>
      </c>
      <c r="E6227" t="s">
        <v>8083</v>
      </c>
      <c r="F6227" t="s">
        <v>12228</v>
      </c>
      <c r="G6227" t="s">
        <v>14</v>
      </c>
      <c r="H6227">
             </c>
      <c r="I6227" t="s">
        <v>14</v>
      </c>
      <c r="J6227" t="s">
        <v>141</v>
      </c>
      <c r="K6227" t="s">
        <v>14</v>
      </c>
      <c r="L6227" t="s">
        <v>20</v>
      </c>
      <c r="M6227" t="s">
        <v>11979</v>
      </c>
      <c r="N6227" t="s">
        <v>14</v>
      </c>
    </row>
    <row r="6228" x14ac:dyDescent="0.25">
      <c r="A6228" t="n">
        <v>25</v>
      </c>
      <c r="B6228" t="s">
        <v>14</v>
      </c>
      <c r="C6228" t="s">
        <v>22</v>
      </c>
      <c r="D6228" s="2" t="s">
        <f>=HYPERLINK("https://main.knesset.gov.il/APPS/legislation/main/bills/2198412", "הצעת חוק הביטוח הלאומי (תיקון - זכאות לדמי אבטלה מגיל שמונה-עשרה וחצי), התשפ""ג-2023")</f>
        <v>12229</v>
      </c>
      <c r="E6228" t="s">
        <v>12229</v>
      </c>
      <c r="F6228" t="s">
        <v>12230</v>
      </c>
      <c r="G6228" t="s">
        <v>14</v>
      </c>
      <c r="H6228">
             </c>
      <c r="I6228" t="s">
        <v>14</v>
      </c>
      <c r="J6228" t="s">
        <v>141</v>
      </c>
      <c r="K6228" t="s">
        <v>14</v>
      </c>
      <c r="L6228" t="s">
        <v>20</v>
      </c>
      <c r="M6228" t="s">
        <v>11979</v>
      </c>
      <c r="N6228" t="s">
        <v>14</v>
      </c>
    </row>
    <row r="6229" x14ac:dyDescent="0.25">
      <c r="A6229" t="n">
        <v>25</v>
      </c>
      <c r="B6229" t="s">
        <v>14</v>
      </c>
      <c r="C6229" t="s">
        <v>22</v>
      </c>
      <c r="D6229" s="2" t="s">
        <f>=HYPERLINK("https://main.knesset.gov.il/APPS/legislation/main/bills/2197418", "הצעת חוק השפה הערבית שפה רשמית (מתן שירותים בשפה הערבית), התשפ""ג-2023")</f>
        <v>12231</v>
      </c>
      <c r="E6229" t="s">
        <v>12231</v>
      </c>
      <c r="F6229" t="s">
        <v>12232</v>
      </c>
      <c r="G6229" t="s">
        <v>14</v>
      </c>
      <c r="H6229">
             </c>
      <c r="I6229" t="s">
        <v>14</v>
      </c>
      <c r="J6229" t="s">
        <v>141</v>
      </c>
      <c r="K6229" t="s">
        <v>14</v>
      </c>
      <c r="L6229" t="s">
        <v>20</v>
      </c>
      <c r="M6229" t="s">
        <v>11979</v>
      </c>
      <c r="N6229" t="s">
        <v>14</v>
      </c>
    </row>
    <row r="6230" x14ac:dyDescent="0.25">
      <c r="A6230" t="n">
        <v>25</v>
      </c>
      <c r="B6230" t="s">
        <v>14</v>
      </c>
      <c r="C6230" t="s">
        <v>22</v>
      </c>
      <c r="D6230" s="2" t="s">
        <f>=HYPERLINK("https://main.knesset.gov.il/APPS/legislation/main/bills/2197110", "הצעת חוק חינוך ממלכתי (תיקון - חובת לימוד ערבית), התשפ""ג-2023")</f>
        <v>12201</v>
      </c>
      <c r="E6230" t="s">
        <v>12201</v>
      </c>
      <c r="F6230" t="s">
        <v>12233</v>
      </c>
      <c r="G6230" t="s">
        <v>14</v>
      </c>
      <c r="H6230">
             </c>
      <c r="I6230" t="s">
        <v>14</v>
      </c>
      <c r="J6230" t="s">
        <v>141</v>
      </c>
      <c r="K6230" t="s">
        <v>14</v>
      </c>
      <c r="L6230" t="s">
        <v>20</v>
      </c>
      <c r="M6230" t="s">
        <v>11979</v>
      </c>
      <c r="N6230" t="s">
        <v>14</v>
      </c>
    </row>
    <row r="6231" x14ac:dyDescent="0.25">
      <c r="A6231" t="n">
        <v>25</v>
      </c>
      <c r="B6231" t="s">
        <v>14</v>
      </c>
      <c r="C6231" t="s">
        <v>22</v>
      </c>
      <c r="D6231" s="2" t="s">
        <f>=HYPERLINK("https://main.knesset.gov.il/APPS/legislation/main/bills/2198261", "הצעת חוק המזונות (הבטחת תשלום) (תיקון - סכום שלא יובא בחשבון במבחן ההכנסה), התשפ""ג-2023")</f>
        <v>10351</v>
      </c>
      <c r="E6231" t="s">
        <v>10351</v>
      </c>
      <c r="F6231" t="s">
        <v>12234</v>
      </c>
      <c r="G6231" t="s">
        <v>14</v>
      </c>
      <c r="H6231">
             </c>
      <c r="I6231" t="s">
        <v>14</v>
      </c>
      <c r="J6231" t="s">
        <v>141</v>
      </c>
      <c r="K6231" t="s">
        <v>14</v>
      </c>
      <c r="L6231" t="s">
        <v>20</v>
      </c>
      <c r="M6231" t="s">
        <v>11979</v>
      </c>
      <c r="N6231" t="s">
        <v>14</v>
      </c>
    </row>
    <row r="6232" x14ac:dyDescent="0.25">
      <c r="A6232" t="n">
        <v>25</v>
      </c>
      <c r="B6232" t="s">
        <v>14</v>
      </c>
      <c r="C6232" t="s">
        <v>22</v>
      </c>
      <c r="D6232" s="2" t="s">
        <f>=HYPERLINK("https://main.knesset.gov.il/APPS/legislation/main/bills/2196566", "הצעת חוק תוכנית לחינוך גופני והקמת מתקני ספורט במוסדות חינוך (תיקוני חקיקה), התשפ""ג-2023 ")</f>
        <v>12235</v>
      </c>
      <c r="E6232" t="s">
        <v>12235</v>
      </c>
      <c r="F6232" t="s">
        <v>12236</v>
      </c>
      <c r="G6232" t="s">
        <v>14</v>
      </c>
      <c r="H6232">
             </c>
      <c r="I6232" t="s">
        <v>14</v>
      </c>
      <c r="J6232" t="s">
        <v>141</v>
      </c>
      <c r="K6232" t="s">
        <v>14</v>
      </c>
      <c r="L6232" t="s">
        <v>20</v>
      </c>
      <c r="M6232" t="s">
        <v>11979</v>
      </c>
      <c r="N6232" t="s">
        <v>14</v>
      </c>
    </row>
    <row r="6233" x14ac:dyDescent="0.25">
      <c r="A6233" t="n">
        <v>25</v>
      </c>
      <c r="B6233" t="s">
        <v>14</v>
      </c>
      <c r="C6233" t="s">
        <v>22</v>
      </c>
      <c r="D6233" s="2" t="s">
        <f>=HYPERLINK("https://main.knesset.gov.il/APPS/legislation/main/bills/2198382", "הצעת חוק הכשרות לאנשי מקצוע בנושא זיהוי ודיווח על התעללות בילדים, התשפ""ג-2023")</f>
        <v>8007</v>
      </c>
      <c r="E6233" t="s">
        <v>8007</v>
      </c>
      <c r="F6233" t="s">
        <v>12237</v>
      </c>
      <c r="G6233" t="s">
        <v>14</v>
      </c>
      <c r="H6233">
             </c>
      <c r="I6233" t="s">
        <v>14</v>
      </c>
      <c r="J6233" t="s">
        <v>141</v>
      </c>
      <c r="K6233" t="s">
        <v>14</v>
      </c>
      <c r="L6233" t="s">
        <v>20</v>
      </c>
      <c r="M6233" t="s">
        <v>11979</v>
      </c>
      <c r="N6233" t="s">
        <v>14</v>
      </c>
    </row>
    <row r="6234" x14ac:dyDescent="0.25">
      <c r="A6234" t="n">
        <v>25</v>
      </c>
      <c r="B6234" t="s">
        <v>14</v>
      </c>
      <c r="C6234" t="s">
        <v>22</v>
      </c>
      <c r="D6234" s="2" t="s">
        <f>=HYPERLINK("https://main.knesset.gov.il/APPS/legislation/main/bills/2197952", "הצעת חוק התכנון והבנייה (תיקון - תחולת סעיף 157א - חיבור לחשמל, למים או לטלפון), התשפ""ג-2023")</f>
        <v>12238</v>
      </c>
      <c r="E6234" t="s">
        <v>12238</v>
      </c>
      <c r="F6234" t="s">
        <v>12239</v>
      </c>
      <c r="G6234" t="s">
        <v>14</v>
      </c>
      <c r="H6234">
             </c>
      <c r="I6234" t="s">
        <v>14</v>
      </c>
      <c r="J6234" t="s">
        <v>141</v>
      </c>
      <c r="K6234" t="s">
        <v>14</v>
      </c>
      <c r="L6234" t="s">
        <v>20</v>
      </c>
      <c r="M6234" t="s">
        <v>11979</v>
      </c>
      <c r="N6234" t="s">
        <v>14</v>
      </c>
    </row>
    <row r="6235" x14ac:dyDescent="0.25">
      <c r="A6235" t="n">
        <v>25</v>
      </c>
      <c r="B6235" t="s">
        <v>14</v>
      </c>
      <c r="C6235" t="s">
        <v>22</v>
      </c>
      <c r="D6235" s="2" t="s">
        <f>=HYPERLINK("https://main.knesset.gov.il/APPS/legislation/main/bills/2198237", "הצעת חוק הרשויות המקומיות (פטור חיילים, נפגעי מלחמה ושוטרים מארנונה) (תיקון - הנחה בארנונה ליתומי צה""ל), התשפ""ג-2023")</f>
        <v>12240</v>
      </c>
      <c r="E6235" t="s">
        <v>12240</v>
      </c>
      <c r="F6235" t="s">
        <v>12241</v>
      </c>
      <c r="G6235" t="s">
        <v>14</v>
      </c>
      <c r="H6235">
             </c>
      <c r="I6235" t="s">
        <v>14</v>
      </c>
      <c r="J6235" t="s">
        <v>141</v>
      </c>
      <c r="K6235" t="s">
        <v>14</v>
      </c>
      <c r="L6235" t="s">
        <v>20</v>
      </c>
      <c r="M6235" t="s">
        <v>11979</v>
      </c>
      <c r="N6235" t="s">
        <v>14</v>
      </c>
    </row>
    <row r="6236" x14ac:dyDescent="0.25">
      <c r="A6236" t="n">
        <v>25</v>
      </c>
      <c r="B6236" t="s">
        <v>14</v>
      </c>
      <c r="C6236" t="s">
        <v>22</v>
      </c>
      <c r="D6236" s="2" t="s">
        <f>=HYPERLINK("https://main.knesset.gov.il/APPS/legislation/main/bills/2198228", "הצעת חוק הבנקאות (שירות ללקוח) (תיקון - שיעור הריבית על הלוואה לדיור), התשפ""ג-2023")</f>
        <v>12242</v>
      </c>
      <c r="E6236" t="s">
        <v>12242</v>
      </c>
      <c r="F6236" t="s">
        <v>12243</v>
      </c>
      <c r="G6236" t="s">
        <v>14</v>
      </c>
      <c r="H6236">
             </c>
      <c r="I6236" t="s">
        <v>14</v>
      </c>
      <c r="J6236" t="s">
        <v>343</v>
      </c>
      <c r="K6236" t="s">
        <v>14</v>
      </c>
      <c r="L6236" t="s">
        <v>20</v>
      </c>
      <c r="M6236" t="s">
        <v>12244</v>
      </c>
      <c r="N6236" t="s">
        <v>14</v>
      </c>
    </row>
    <row r="6237" x14ac:dyDescent="0.25">
      <c r="A6237" t="n">
        <v>25</v>
      </c>
      <c r="B6237" t="s">
        <v>14</v>
      </c>
      <c r="C6237" t="s">
        <v>22</v>
      </c>
      <c r="D6237" s="2" t="s">
        <f>=HYPERLINK("https://main.knesset.gov.il/APPS/legislation/main/bills/2197342", "הצעת חוק המים (תיקון - הנחות לאוכלוסיות זכאיות), התשפ""ג-2023")</f>
        <v>11294</v>
      </c>
      <c r="E6237" t="s">
        <v>11294</v>
      </c>
      <c r="F6237" t="s">
        <v>12245</v>
      </c>
      <c r="G6237" t="s">
        <v>14</v>
      </c>
      <c r="H6237">
             </c>
      <c r="I6237" t="s">
        <v>14</v>
      </c>
      <c r="J6237" t="s">
        <v>141</v>
      </c>
      <c r="K6237" t="s">
        <v>14</v>
      </c>
      <c r="L6237" t="s">
        <v>20</v>
      </c>
      <c r="M6237" t="s">
        <v>12244</v>
      </c>
      <c r="N6237" t="s">
        <v>14</v>
      </c>
    </row>
    <row r="6238" x14ac:dyDescent="0.25">
      <c r="A6238" t="n">
        <v>25</v>
      </c>
      <c r="B6238" t="s">
        <v>14</v>
      </c>
      <c r="C6238" t="s">
        <v>22</v>
      </c>
      <c r="D6238" s="2" t="s">
        <f>=HYPERLINK("https://main.knesset.gov.il/APPS/legislation/main/bills/2197341", "הצעת חוק הגנת הצרכן (תיקון - פנייה מקדימה בעסקת מכר מרחוק), התשפ""ג-2023")</f>
        <v>9478</v>
      </c>
      <c r="E6238" t="s">
        <v>9478</v>
      </c>
      <c r="F6238" t="s">
        <v>12246</v>
      </c>
      <c r="G6238" t="s">
        <v>14</v>
      </c>
      <c r="H6238">
             </c>
      <c r="I6238" t="s">
        <v>14</v>
      </c>
      <c r="J6238" t="s">
        <v>141</v>
      </c>
      <c r="K6238" t="s">
        <v>14</v>
      </c>
      <c r="L6238" t="s">
        <v>20</v>
      </c>
      <c r="M6238" t="s">
        <v>12244</v>
      </c>
      <c r="N6238" t="s">
        <v>14</v>
      </c>
    </row>
    <row r="6239" x14ac:dyDescent="0.25">
      <c r="A6239" t="n">
        <v>25</v>
      </c>
      <c r="B6239" t="s">
        <v>14</v>
      </c>
      <c r="C6239" t="s">
        <v>22</v>
      </c>
      <c r="D6239" s="2" t="s">
        <f>=HYPERLINK("https://main.knesset.gov.il/APPS/legislation/main/bills/2197343", "הצעת חוק הגנה על עובדים בשעת חירום (תיקון - אובדן ימי עבודה בשל מצב מיוחד בעורף), התשפ""ג-2023")</f>
        <v>12247</v>
      </c>
      <c r="E6239" t="s">
        <v>12247</v>
      </c>
      <c r="F6239" t="s">
        <v>12248</v>
      </c>
      <c r="G6239" t="s">
        <v>14</v>
      </c>
      <c r="H6239">
             </c>
      <c r="I6239" t="s">
        <v>14</v>
      </c>
      <c r="J6239" t="s">
        <v>141</v>
      </c>
      <c r="K6239" t="s">
        <v>14</v>
      </c>
      <c r="L6239" t="s">
        <v>20</v>
      </c>
      <c r="M6239" t="s">
        <v>12244</v>
      </c>
      <c r="N6239" t="s">
        <v>14</v>
      </c>
    </row>
    <row r="6240" x14ac:dyDescent="0.25">
      <c r="A6240" t="n">
        <v>25</v>
      </c>
      <c r="B6240" t="s">
        <v>14</v>
      </c>
      <c r="C6240" t="s">
        <v>22</v>
      </c>
      <c r="D6240" s="2" t="s">
        <f>=HYPERLINK("https://main.knesset.gov.il/APPS/legislation/main/bills/2197329", "הצעת חוק הגנת הצרכן (תיקון - איסור התניית עסקה באופן תשלום), התשפ""ג-2023")</f>
        <v>11619</v>
      </c>
      <c r="E6240" t="s">
        <v>11619</v>
      </c>
      <c r="F6240" t="s">
        <v>12249</v>
      </c>
      <c r="G6240" t="s">
        <v>14</v>
      </c>
      <c r="H6240">
             </c>
      <c r="I6240" t="s">
        <v>14</v>
      </c>
      <c r="J6240" t="s">
        <v>141</v>
      </c>
      <c r="K6240" t="s">
        <v>14</v>
      </c>
      <c r="L6240" t="s">
        <v>20</v>
      </c>
      <c r="M6240" t="s">
        <v>12244</v>
      </c>
      <c r="N6240" t="s">
        <v>14</v>
      </c>
    </row>
    <row r="6241" x14ac:dyDescent="0.25">
      <c r="A6241" t="n">
        <v>25</v>
      </c>
      <c r="B6241" t="s">
        <v>14</v>
      </c>
      <c r="C6241" t="s">
        <v>22</v>
      </c>
      <c r="D6241" s="2" t="s">
        <f>=HYPERLINK("https://main.knesset.gov.il/APPS/legislation/main/bills/2197331", "הצעת חוק הגנת הצרכן (תיקון - אישור להמשך מתן שירות בעסקה מתמשכת), התשפ""ג-2023")</f>
        <v>12250</v>
      </c>
      <c r="E6241" t="s">
        <v>12250</v>
      </c>
      <c r="F6241" t="s">
        <v>12251</v>
      </c>
      <c r="G6241" t="s">
        <v>14</v>
      </c>
      <c r="H6241">
             </c>
      <c r="I6241" t="s">
        <v>14</v>
      </c>
      <c r="J6241" t="s">
        <v>141</v>
      </c>
      <c r="K6241" t="s">
        <v>14</v>
      </c>
      <c r="L6241" t="s">
        <v>20</v>
      </c>
      <c r="M6241" t="s">
        <v>12244</v>
      </c>
      <c r="N6241" t="s">
        <v>14</v>
      </c>
    </row>
    <row r="6242" x14ac:dyDescent="0.25">
      <c r="A6242" t="n">
        <v>25</v>
      </c>
      <c r="B6242" t="s">
        <v>14</v>
      </c>
      <c r="C6242" t="s">
        <v>22</v>
      </c>
      <c r="D6242" s="2" t="s">
        <f>=HYPERLINK("https://main.knesset.gov.il/APPS/legislation/main/bills/2197326", "הצעת חוק ביטוח בריאות ממלכתי (תיקון - תנאים להחלפת תרופה, טיפול, מטפל, נותן שירותים או מוסד רפואי), התשפ""ג-2023")</f>
        <v>11583</v>
      </c>
      <c r="E6242" t="s">
        <v>11583</v>
      </c>
      <c r="F6242" t="s">
        <v>12252</v>
      </c>
      <c r="G6242" t="s">
        <v>14</v>
      </c>
      <c r="H6242">
             </c>
      <c r="I6242" t="s">
        <v>14</v>
      </c>
      <c r="J6242" t="s">
        <v>141</v>
      </c>
      <c r="K6242" t="s">
        <v>14</v>
      </c>
      <c r="L6242" t="s">
        <v>20</v>
      </c>
      <c r="M6242" t="s">
        <v>12244</v>
      </c>
      <c r="N6242" t="s">
        <v>14</v>
      </c>
    </row>
    <row r="6243" x14ac:dyDescent="0.25">
      <c r="A6243" t="n">
        <v>25</v>
      </c>
      <c r="B6243" t="s">
        <v>14</v>
      </c>
      <c r="C6243" t="s">
        <v>22</v>
      </c>
      <c r="D6243" s="2" t="s">
        <f>=HYPERLINK("https://main.knesset.gov.il/APPS/legislation/main/bills/2197282", "הצעת חוק לעידוד השקעות הון (תיקון - עידוד ענף היהלומים) (הוראת שעה), התשפ""ג-2023")</f>
        <v>12253</v>
      </c>
      <c r="E6243" t="s">
        <v>12253</v>
      </c>
      <c r="F6243" t="s">
        <v>12254</v>
      </c>
      <c r="G6243" t="s">
        <v>14</v>
      </c>
      <c r="H6243">
             </c>
      <c r="I6243" t="s">
        <v>14</v>
      </c>
      <c r="J6243" t="s">
        <v>141</v>
      </c>
      <c r="K6243" t="s">
        <v>14</v>
      </c>
      <c r="L6243" t="s">
        <v>20</v>
      </c>
      <c r="M6243" t="s">
        <v>12244</v>
      </c>
      <c r="N6243" t="s">
        <v>14</v>
      </c>
    </row>
    <row r="6244" x14ac:dyDescent="0.25">
      <c r="A6244" t="n">
        <v>25</v>
      </c>
      <c r="B6244" t="s">
        <v>14</v>
      </c>
      <c r="C6244" t="s">
        <v>22</v>
      </c>
      <c r="D6244" s="2" t="s">
        <f>=HYPERLINK("https://main.knesset.gov.il/APPS/legislation/main/bills/2197269", "הצעת חוק חובת המכרזים (תיקון - עידוד עסקים להעסקת בני החברה החרדית והערבית), התשפ""ג-2023")</f>
        <v>12255</v>
      </c>
      <c r="E6244" t="s">
        <v>12255</v>
      </c>
      <c r="F6244" t="s">
        <v>12256</v>
      </c>
      <c r="G6244" t="s">
        <v>14</v>
      </c>
      <c r="H6244">
             </c>
      <c r="I6244" t="s">
        <v>14</v>
      </c>
      <c r="J6244" t="s">
        <v>141</v>
      </c>
      <c r="K6244" t="s">
        <v>14</v>
      </c>
      <c r="L6244" t="s">
        <v>20</v>
      </c>
      <c r="M6244" t="s">
        <v>12244</v>
      </c>
      <c r="N6244" t="s">
        <v>14</v>
      </c>
    </row>
    <row r="6245" x14ac:dyDescent="0.25">
      <c r="A6245" t="n">
        <v>25</v>
      </c>
      <c r="B6245" t="s">
        <v>14</v>
      </c>
      <c r="C6245" t="s">
        <v>22</v>
      </c>
      <c r="D6245" s="2" t="s">
        <f>=HYPERLINK("https://main.knesset.gov.il/APPS/legislation/main/bills/2197147", "הצעת חוק לתיקון פקודת התעבורה (פטור מתשלום דמי חניה לרכב של כונן רפואת חירום עם ציוד), התשפ""ג-2023")</f>
        <v>11319</v>
      </c>
      <c r="E6245" t="s">
        <v>11319</v>
      </c>
      <c r="F6245" t="s">
        <v>12257</v>
      </c>
      <c r="G6245" t="s">
        <v>14</v>
      </c>
      <c r="H6245">
             </c>
      <c r="I6245" t="s">
        <v>14</v>
      </c>
      <c r="J6245" t="s">
        <v>141</v>
      </c>
      <c r="K6245" t="s">
        <v>14</v>
      </c>
      <c r="L6245" t="s">
        <v>20</v>
      </c>
      <c r="M6245" t="s">
        <v>12244</v>
      </c>
      <c r="N6245" t="s">
        <v>14</v>
      </c>
    </row>
    <row r="6246" x14ac:dyDescent="0.25">
      <c r="A6246" t="n">
        <v>25</v>
      </c>
      <c r="B6246" t="s">
        <v>14</v>
      </c>
      <c r="C6246" t="s">
        <v>22</v>
      </c>
      <c r="D6246" s="2" t="s">
        <f>=HYPERLINK("https://main.knesset.gov.il/APPS/legislation/main/bills/2197095", "הצעת חוק הביטוח הלאומי (תיקון - זכאות לדמי אבטלה בחמשת הימים הראשונים), התשפ""ג-2023")</f>
        <v>12258</v>
      </c>
      <c r="E6246" t="s">
        <v>12258</v>
      </c>
      <c r="F6246" t="s">
        <v>12259</v>
      </c>
      <c r="G6246" t="s">
        <v>14</v>
      </c>
      <c r="H6246">
             </c>
      <c r="I6246" t="s">
        <v>14</v>
      </c>
      <c r="J6246" t="s">
        <v>141</v>
      </c>
      <c r="K6246" t="s">
        <v>14</v>
      </c>
      <c r="L6246" t="s">
        <v>20</v>
      </c>
      <c r="M6246" t="s">
        <v>12244</v>
      </c>
      <c r="N6246" t="s">
        <v>14</v>
      </c>
    </row>
    <row r="6247" x14ac:dyDescent="0.25">
      <c r="A6247" t="n">
        <v>25</v>
      </c>
      <c r="B6247" t="s">
        <v>14</v>
      </c>
      <c r="C6247" t="s">
        <v>22</v>
      </c>
      <c r="D6247" s="2" t="s">
        <f>=HYPERLINK("https://main.knesset.gov.il/APPS/legislation/main/bills/2198249", "הצעת חוק הביטוח הלאומי (תיקון - תנאי זכאות לדמי לידה), התשפ""ג-2023")</f>
        <v>8609</v>
      </c>
      <c r="E6247" t="s">
        <v>8609</v>
      </c>
      <c r="F6247" t="s">
        <v>12260</v>
      </c>
      <c r="G6247" t="s">
        <v>14</v>
      </c>
      <c r="H6247">
             </c>
      <c r="I6247" t="s">
        <v>14</v>
      </c>
      <c r="J6247" t="s">
        <v>141</v>
      </c>
      <c r="K6247" t="s">
        <v>14</v>
      </c>
      <c r="L6247" t="s">
        <v>20</v>
      </c>
      <c r="M6247" t="s">
        <v>12244</v>
      </c>
      <c r="N6247" t="s">
        <v>14</v>
      </c>
    </row>
    <row r="6248" x14ac:dyDescent="0.25">
      <c r="A6248" t="n">
        <v>25</v>
      </c>
      <c r="B6248" t="s">
        <v>14</v>
      </c>
      <c r="C6248" t="s">
        <v>22</v>
      </c>
      <c r="D6248" s="2" t="s">
        <f>=HYPERLINK("https://main.knesset.gov.il/APPS/legislation/main/bills/2198496", "הצעת חוק תמיכה בביטחון תזונתי אצל תינוקות, התשפ""ג-2023")</f>
        <v>12261</v>
      </c>
      <c r="E6248" t="s">
        <v>12261</v>
      </c>
      <c r="F6248" t="s">
        <v>12262</v>
      </c>
      <c r="G6248" t="s">
        <v>14</v>
      </c>
      <c r="H6248">
             </c>
      <c r="I6248" t="s">
        <v>14</v>
      </c>
      <c r="J6248" t="s">
        <v>141</v>
      </c>
      <c r="K6248" t="s">
        <v>14</v>
      </c>
      <c r="L6248" t="s">
        <v>20</v>
      </c>
      <c r="M6248" t="s">
        <v>12244</v>
      </c>
      <c r="N6248" t="s">
        <v>14</v>
      </c>
    </row>
    <row r="6249" x14ac:dyDescent="0.25">
      <c r="A6249" t="n">
        <v>25</v>
      </c>
      <c r="B6249" t="s">
        <v>14</v>
      </c>
      <c r="C6249" t="s">
        <v>22</v>
      </c>
      <c r="D6249" s="2" t="s">
        <f>=HYPERLINK("https://main.knesset.gov.il/APPS/legislation/main/bills/2196883", "הצעת חוק שלילת זכויות למעורב בטרור ולבני משפחתו (תיקוני חקיקה), התשפ""ג-2023")</f>
        <v>9857</v>
      </c>
      <c r="E6249" t="s">
        <v>9857</v>
      </c>
      <c r="F6249" t="s">
        <v>12263</v>
      </c>
      <c r="G6249" t="s">
        <v>14</v>
      </c>
      <c r="H6249">
             </c>
      <c r="I6249" t="s">
        <v>14</v>
      </c>
      <c r="J6249" t="s">
        <v>141</v>
      </c>
      <c r="K6249" t="s">
        <v>14</v>
      </c>
      <c r="L6249" t="s">
        <v>20</v>
      </c>
      <c r="M6249" t="s">
        <v>12244</v>
      </c>
      <c r="N6249" t="s">
        <v>14</v>
      </c>
    </row>
    <row r="6250" x14ac:dyDescent="0.25">
      <c r="A6250" t="n">
        <v>25</v>
      </c>
      <c r="B6250" t="s">
        <v>14</v>
      </c>
      <c r="C6250" t="s">
        <v>22</v>
      </c>
      <c r="D6250" s="2" t="s">
        <f>=HYPERLINK("https://main.knesset.gov.il/APPS/legislation/main/bills/2196881", "הצעת חוק התכנון והבנייה (תיקון - שימוש חורג בקרקע חקלאית), התשפ""ג-2023")</f>
        <v>8742</v>
      </c>
      <c r="E6250" t="s">
        <v>8742</v>
      </c>
      <c r="F6250" t="s">
        <v>12264</v>
      </c>
      <c r="G6250" t="s">
        <v>14</v>
      </c>
      <c r="H6250">
             </c>
      <c r="I6250" t="s">
        <v>14</v>
      </c>
      <c r="J6250" t="s">
        <v>141</v>
      </c>
      <c r="K6250" t="s">
        <v>14</v>
      </c>
      <c r="L6250" t="s">
        <v>20</v>
      </c>
      <c r="M6250" t="s">
        <v>12244</v>
      </c>
      <c r="N6250" t="s">
        <v>14</v>
      </c>
    </row>
    <row r="6251" x14ac:dyDescent="0.25">
      <c r="A6251" t="n">
        <v>25</v>
      </c>
      <c r="B6251" t="s">
        <v>14</v>
      </c>
      <c r="C6251" t="s">
        <v>22</v>
      </c>
      <c r="D6251" s="2" t="s">
        <f>=HYPERLINK("https://main.knesset.gov.il/APPS/legislation/main/bills/2197859", "הצעת חוק הסכמים קיבוציים (תיקון - שינוי מעסיקים), התשפ""ג-2023")</f>
        <v>12265</v>
      </c>
      <c r="E6251" t="s">
        <v>12265</v>
      </c>
      <c r="F6251" t="s">
        <v>12266</v>
      </c>
      <c r="G6251" t="s">
        <v>14</v>
      </c>
      <c r="H6251">
             </c>
      <c r="I6251" t="s">
        <v>14</v>
      </c>
      <c r="J6251" t="s">
        <v>141</v>
      </c>
      <c r="K6251" t="s">
        <v>14</v>
      </c>
      <c r="L6251" t="s">
        <v>20</v>
      </c>
      <c r="M6251" t="s">
        <v>12244</v>
      </c>
      <c r="N6251" t="s">
        <v>14</v>
      </c>
    </row>
    <row r="6252" x14ac:dyDescent="0.25">
      <c r="A6252" t="n">
        <v>25</v>
      </c>
      <c r="B6252" t="s">
        <v>14</v>
      </c>
      <c r="C6252" t="s">
        <v>22</v>
      </c>
      <c r="D6252" s="2" t="s">
        <f>=HYPERLINK("https://main.knesset.gov.il/APPS/legislation/main/bills/2197928", "הצעת חוק לתיקון פקודת מס הכנסה (פטור למוסד ציבור על הכנסה מדיבידנד מחברת בת), התשפ""ג-2023")</f>
        <v>12267</v>
      </c>
      <c r="E6252" t="s">
        <v>12267</v>
      </c>
      <c r="F6252" t="s">
        <v>12268</v>
      </c>
      <c r="G6252" t="s">
        <v>14</v>
      </c>
      <c r="H6252">
             </c>
      <c r="I6252" t="s">
        <v>14</v>
      </c>
      <c r="J6252" t="s">
        <v>141</v>
      </c>
      <c r="K6252" t="s">
        <v>14</v>
      </c>
      <c r="L6252" t="s">
        <v>20</v>
      </c>
      <c r="M6252" t="s">
        <v>12244</v>
      </c>
      <c r="N6252" t="s">
        <v>14</v>
      </c>
    </row>
    <row r="6253" x14ac:dyDescent="0.25">
      <c r="A6253" t="n">
        <v>25</v>
      </c>
      <c r="B6253" t="s">
        <v>14</v>
      </c>
      <c r="C6253" t="s">
        <v>22</v>
      </c>
      <c r="D6253" s="2" t="s">
        <f>=HYPERLINK("https://main.knesset.gov.il/APPS/legislation/main/bills/2198002", "הצעת חוק התכנון והבנייה (הוראות מיוחדות לעניין יישובי מיעוטים) (הוראת שעה), התשפ""ג-2023")</f>
        <v>11697</v>
      </c>
      <c r="E6253" t="s">
        <v>11697</v>
      </c>
      <c r="F6253" t="s">
        <v>12269</v>
      </c>
      <c r="G6253" t="s">
        <v>14</v>
      </c>
      <c r="H6253">
             </c>
      <c r="I6253" t="s">
        <v>14</v>
      </c>
      <c r="J6253" t="s">
        <v>141</v>
      </c>
      <c r="K6253" t="s">
        <v>14</v>
      </c>
      <c r="L6253" t="s">
        <v>20</v>
      </c>
      <c r="M6253" t="s">
        <v>12244</v>
      </c>
      <c r="N6253" t="s">
        <v>14</v>
      </c>
    </row>
    <row r="6254" x14ac:dyDescent="0.25">
      <c r="A6254" t="n">
        <v>25</v>
      </c>
      <c r="B6254" t="s">
        <v>14</v>
      </c>
      <c r="C6254" t="s">
        <v>22</v>
      </c>
      <c r="D6254" s="2" t="s">
        <f>=HYPERLINK("https://main.knesset.gov.il/APPS/legislation/main/bills/2197612", "הצעת חוק הנצחת זכרם של קורבנות הטבח בכפר קאסם, התשפ""ג-2023")</f>
        <v>12270</v>
      </c>
      <c r="E6254" t="s">
        <v>12270</v>
      </c>
      <c r="F6254" t="s">
        <v>12271</v>
      </c>
      <c r="G6254" t="s">
        <v>14</v>
      </c>
      <c r="H6254">
             </c>
      <c r="I6254" t="s">
        <v>14</v>
      </c>
      <c r="J6254" t="s">
        <v>141</v>
      </c>
      <c r="K6254" t="s">
        <v>14</v>
      </c>
      <c r="L6254" t="s">
        <v>20</v>
      </c>
      <c r="M6254" t="s">
        <v>12244</v>
      </c>
      <c r="N6254" t="s">
        <v>14</v>
      </c>
    </row>
    <row r="6255" x14ac:dyDescent="0.25">
      <c r="A6255" t="n">
        <v>25</v>
      </c>
      <c r="B6255" t="s">
        <v>14</v>
      </c>
      <c r="C6255" t="s">
        <v>22</v>
      </c>
      <c r="D6255" s="2" t="s">
        <f>=HYPERLINK("https://main.knesset.gov.il/APPS/legislation/main/bills/2198204", "הצעת חוק ביטוח בריאות ממלכתי (תיקון - קביעת זמני המתנה ומרחקי נסיעה מרביים לקבלת טיפול רפואי), התשפ""ג-2023")</f>
        <v>12272</v>
      </c>
      <c r="E6255" t="s">
        <v>12272</v>
      </c>
      <c r="F6255" t="s">
        <v>12273</v>
      </c>
      <c r="G6255" t="s">
        <v>14</v>
      </c>
      <c r="H6255">
             </c>
      <c r="I6255" t="s">
        <v>14</v>
      </c>
      <c r="J6255" t="s">
        <v>141</v>
      </c>
      <c r="K6255" t="s">
        <v>14</v>
      </c>
      <c r="L6255" t="s">
        <v>20</v>
      </c>
      <c r="M6255" t="s">
        <v>12244</v>
      </c>
      <c r="N6255" t="s">
        <v>14</v>
      </c>
    </row>
    <row r="6256" x14ac:dyDescent="0.25">
      <c r="A6256" t="n">
        <v>25</v>
      </c>
      <c r="B6256" t="s">
        <v>14</v>
      </c>
      <c r="C6256" t="s">
        <v>22</v>
      </c>
      <c r="D6256" s="2" t="s">
        <f>=HYPERLINK("https://main.knesset.gov.il/APPS/legislation/main/bills/2197474", "הצעת חוק הסיוע המשפטי (תיקון - סיוע משפטי לנפגעי עבירות), התשפ""ג-2023")</f>
        <v>12274</v>
      </c>
      <c r="E6256" t="s">
        <v>12274</v>
      </c>
      <c r="F6256" t="s">
        <v>12275</v>
      </c>
      <c r="G6256" t="s">
        <v>14</v>
      </c>
      <c r="H6256">
             </c>
      <c r="I6256" t="s">
        <v>14</v>
      </c>
      <c r="J6256" t="s">
        <v>141</v>
      </c>
      <c r="K6256" t="s">
        <v>14</v>
      </c>
      <c r="L6256" t="s">
        <v>20</v>
      </c>
      <c r="M6256" t="s">
        <v>12244</v>
      </c>
      <c r="N6256" t="s">
        <v>14</v>
      </c>
    </row>
    <row r="6257" x14ac:dyDescent="0.25">
      <c r="A6257" t="n">
        <v>25</v>
      </c>
      <c r="B6257" t="s">
        <v>14</v>
      </c>
      <c r="C6257" t="s">
        <v>22</v>
      </c>
      <c r="D6257" s="2" t="s">
        <f>=HYPERLINK("https://main.knesset.gov.il/APPS/legislation/main/bills/2198036", "הצעת חוק הבטחת הכנסה (תיקון - הגדלת שווי רכב המאפשר זכאות לגמלה), התשפ""ג-2023")</f>
        <v>11061</v>
      </c>
      <c r="E6257" t="s">
        <v>11061</v>
      </c>
      <c r="F6257" t="s">
        <v>12276</v>
      </c>
      <c r="G6257" t="s">
        <v>14</v>
      </c>
      <c r="H6257">
             </c>
      <c r="I6257" t="s">
        <v>14</v>
      </c>
      <c r="J6257" t="s">
        <v>141</v>
      </c>
      <c r="K6257" t="s">
        <v>14</v>
      </c>
      <c r="L6257" t="s">
        <v>20</v>
      </c>
      <c r="M6257" t="s">
        <v>12244</v>
      </c>
      <c r="N6257" t="s">
        <v>14</v>
      </c>
    </row>
    <row r="6258" x14ac:dyDescent="0.25">
      <c r="A6258" t="n">
        <v>25</v>
      </c>
      <c r="B6258" t="s">
        <v>14</v>
      </c>
      <c r="C6258" t="s">
        <v>22</v>
      </c>
      <c r="D6258" s="2" t="s">
        <f>=HYPERLINK("https://main.knesset.gov.il/APPS/legislation/main/bills/2197872", "הצעת חוק חינוך ממלכתי (תיקון - מימון מוסדות חינוך מוכרים לא רשמיים), התשפ""ג-2023")</f>
        <v>12277</v>
      </c>
      <c r="E6258" t="s">
        <v>12277</v>
      </c>
      <c r="F6258" t="s">
        <v>12278</v>
      </c>
      <c r="G6258" t="s">
        <v>14</v>
      </c>
      <c r="H6258">
             </c>
      <c r="I6258" t="s">
        <v>14</v>
      </c>
      <c r="J6258" t="s">
        <v>141</v>
      </c>
      <c r="K6258" t="s">
        <v>14</v>
      </c>
      <c r="L6258" t="s">
        <v>20</v>
      </c>
      <c r="M6258" t="s">
        <v>12244</v>
      </c>
      <c r="N6258" t="s">
        <v>14</v>
      </c>
    </row>
    <row r="6259" x14ac:dyDescent="0.25">
      <c r="A6259" t="n">
        <v>25</v>
      </c>
      <c r="B6259" t="s">
        <v>14</v>
      </c>
      <c r="C6259" t="s">
        <v>22</v>
      </c>
      <c r="D6259" s="2" t="s">
        <f>=HYPERLINK("https://main.knesset.gov.il/APPS/legislation/main/bills/2198252", "הצעת חוק לתיקון פקודת הרופאים (הוראות לעניין בחינות לסטז'רים), התשפ""ג-2023")</f>
        <v>12279</v>
      </c>
      <c r="E6259" t="s">
        <v>12279</v>
      </c>
      <c r="F6259" t="s">
        <v>12280</v>
      </c>
      <c r="G6259" t="s">
        <v>14</v>
      </c>
      <c r="H6259">
             </c>
      <c r="I6259" t="s">
        <v>14</v>
      </c>
      <c r="J6259" t="s">
        <v>141</v>
      </c>
      <c r="K6259" t="s">
        <v>14</v>
      </c>
      <c r="L6259" t="s">
        <v>20</v>
      </c>
      <c r="M6259" t="s">
        <v>12244</v>
      </c>
      <c r="N6259" t="s">
        <v>14</v>
      </c>
    </row>
    <row r="6260" x14ac:dyDescent="0.25">
      <c r="A6260" t="n">
        <v>25</v>
      </c>
      <c r="B6260" t="s">
        <v>14</v>
      </c>
      <c r="C6260" t="s">
        <v>22</v>
      </c>
      <c r="D6260" s="2" t="s">
        <f>=HYPERLINK("https://main.knesset.gov.il/APPS/legislation/main/bills/2197465", "הצעת חוק לתיקון פקודת הראיות (הסרת חיסיון), התשפ""ג-2023")</f>
        <v>12281</v>
      </c>
      <c r="E6260" t="s">
        <v>12281</v>
      </c>
      <c r="F6260" t="s">
        <v>12282</v>
      </c>
      <c r="G6260" t="s">
        <v>14</v>
      </c>
      <c r="H6260">
             </c>
      <c r="I6260" t="s">
        <v>14</v>
      </c>
      <c r="J6260" t="s">
        <v>141</v>
      </c>
      <c r="K6260" t="s">
        <v>14</v>
      </c>
      <c r="L6260" t="s">
        <v>20</v>
      </c>
      <c r="M6260" t="s">
        <v>12244</v>
      </c>
      <c r="N6260" t="s">
        <v>14</v>
      </c>
    </row>
    <row r="6261" x14ac:dyDescent="0.25">
      <c r="A6261" t="n">
        <v>25</v>
      </c>
      <c r="B6261" t="s">
        <v>14</v>
      </c>
      <c r="C6261" t="s">
        <v>22</v>
      </c>
      <c r="D6261" s="2" t="s">
        <f>=HYPERLINK("https://main.knesset.gov.il/APPS/legislation/main/bills/2197458", "הצעת חוק הגנת הצרכן (תיקון - איסור גביית עמלה בעסקה שבוצעה באמצעות האינטרנט), התשפ""ג-2023")</f>
        <v>11692</v>
      </c>
      <c r="E6261" t="s">
        <v>11692</v>
      </c>
      <c r="F6261" t="s">
        <v>12283</v>
      </c>
      <c r="G6261" t="s">
        <v>14</v>
      </c>
      <c r="H6261">
             </c>
      <c r="I6261" t="s">
        <v>14</v>
      </c>
      <c r="J6261" t="s">
        <v>141</v>
      </c>
      <c r="K6261" t="s">
        <v>14</v>
      </c>
      <c r="L6261" t="s">
        <v>20</v>
      </c>
      <c r="M6261" t="s">
        <v>12244</v>
      </c>
      <c r="N6261" t="s">
        <v>14</v>
      </c>
    </row>
    <row r="6262" x14ac:dyDescent="0.25">
      <c r="A6262" t="n">
        <v>25</v>
      </c>
      <c r="B6262" t="s">
        <v>14</v>
      </c>
      <c r="C6262" t="s">
        <v>22</v>
      </c>
      <c r="D6262" s="2" t="s">
        <f>=HYPERLINK("https://main.knesset.gov.il/APPS/legislation/main/bills/2197451", "הצעת חוק החברות הממשלתיות (תיקון - ייצוג הולם בתאגידים ממשלתיים וגופים סטטוטוריים), התשפ""ג-2023")</f>
        <v>10086</v>
      </c>
      <c r="E6262" t="s">
        <v>10086</v>
      </c>
      <c r="F6262" t="s">
        <v>12284</v>
      </c>
      <c r="G6262" t="s">
        <v>14</v>
      </c>
      <c r="H6262">
             </c>
      <c r="I6262" t="s">
        <v>14</v>
      </c>
      <c r="J6262" t="s">
        <v>141</v>
      </c>
      <c r="K6262" t="s">
        <v>14</v>
      </c>
      <c r="L6262" t="s">
        <v>20</v>
      </c>
      <c r="M6262" t="s">
        <v>12244</v>
      </c>
      <c r="N6262" t="s">
        <v>14</v>
      </c>
    </row>
    <row r="6263" x14ac:dyDescent="0.25">
      <c r="A6263" t="n">
        <v>25</v>
      </c>
      <c r="B6263" t="s">
        <v>14</v>
      </c>
      <c r="C6263" t="s">
        <v>22</v>
      </c>
      <c r="D6263" s="2" t="s">
        <f>=HYPERLINK("https://main.knesset.gov.il/APPS/legislation/main/bills/2197470", "הצעת חוק לתיקון פקודת העיריות (ייצוג הולם לאוכלוסייה הערבית), התשפ""ג-2023")</f>
        <v>12285</v>
      </c>
      <c r="E6263" t="s">
        <v>12285</v>
      </c>
      <c r="F6263" t="s">
        <v>12286</v>
      </c>
      <c r="G6263" t="s">
        <v>14</v>
      </c>
      <c r="H6263">
             </c>
      <c r="I6263" t="s">
        <v>14</v>
      </c>
      <c r="J6263" t="s">
        <v>141</v>
      </c>
      <c r="K6263" t="s">
        <v>14</v>
      </c>
      <c r="L6263" t="s">
        <v>20</v>
      </c>
      <c r="M6263" t="s">
        <v>12244</v>
      </c>
      <c r="N6263" t="s">
        <v>14</v>
      </c>
    </row>
    <row r="6264" x14ac:dyDescent="0.25">
      <c r="A6264" t="n">
        <v>25</v>
      </c>
      <c r="B6264" t="s">
        <v>14</v>
      </c>
      <c r="C6264" t="s">
        <v>22</v>
      </c>
      <c r="D6264" s="2" t="s">
        <f>=HYPERLINK("https://main.knesset.gov.il/APPS/legislation/main/bills/2197440", "הצעת חוק הקמת רשות לפיתוח מקומות קדושים למוסלמים, התשפ""ג-2023")</f>
        <v>12287</v>
      </c>
      <c r="E6264" t="s">
        <v>12287</v>
      </c>
      <c r="F6264" t="s">
        <v>12288</v>
      </c>
      <c r="G6264" t="s">
        <v>14</v>
      </c>
      <c r="H6264">
             </c>
      <c r="I6264" t="s">
        <v>14</v>
      </c>
      <c r="J6264" t="s">
        <v>141</v>
      </c>
      <c r="K6264" t="s">
        <v>14</v>
      </c>
      <c r="L6264" t="s">
        <v>20</v>
      </c>
      <c r="M6264" t="s">
        <v>12244</v>
      </c>
      <c r="N6264" t="s">
        <v>14</v>
      </c>
    </row>
    <row r="6265" x14ac:dyDescent="0.25">
      <c r="A6265" t="n">
        <v>25</v>
      </c>
      <c r="B6265" t="s">
        <v>14</v>
      </c>
      <c r="C6265" t="s">
        <v>22</v>
      </c>
      <c r="D6265" s="2" t="s">
        <f>=HYPERLINK("https://main.knesset.gov.il/APPS/legislation/main/bills/2197438", "הצעת חוק לתיקון פקודת מס הכנסה (הטבות מס ליישובים), התשפ""ג-2023")</f>
        <v>9296</v>
      </c>
      <c r="E6265" t="s">
        <v>9296</v>
      </c>
      <c r="F6265" t="s">
        <v>12289</v>
      </c>
      <c r="G6265" t="s">
        <v>14</v>
      </c>
      <c r="H6265">
             </c>
      <c r="I6265" t="s">
        <v>14</v>
      </c>
      <c r="J6265" t="s">
        <v>141</v>
      </c>
      <c r="K6265" t="s">
        <v>14</v>
      </c>
      <c r="L6265" t="s">
        <v>20</v>
      </c>
      <c r="M6265" t="s">
        <v>12244</v>
      </c>
      <c r="N6265" t="s">
        <v>14</v>
      </c>
    </row>
    <row r="6266" x14ac:dyDescent="0.25">
      <c r="A6266" t="n">
        <v>25</v>
      </c>
      <c r="B6266" t="s">
        <v>14</v>
      </c>
      <c r="C6266" t="s">
        <v>22</v>
      </c>
      <c r="D6266" s="2" t="s">
        <f>=HYPERLINK("https://main.knesset.gov.il/APPS/legislation/main/bills/2197477", "הצעת חוק לתיקון פקודת מס הכנסה (נקודת זיכוי לסטודנטים ולהוריהם), התשפ""ג-2023")</f>
        <v>12290</v>
      </c>
      <c r="E6266" t="s">
        <v>12290</v>
      </c>
      <c r="F6266" t="s">
        <v>12291</v>
      </c>
      <c r="G6266" t="s">
        <v>14</v>
      </c>
      <c r="H6266">
             </c>
      <c r="I6266" t="s">
        <v>14</v>
      </c>
      <c r="J6266" t="s">
        <v>141</v>
      </c>
      <c r="K6266" t="s">
        <v>14</v>
      </c>
      <c r="L6266" t="s">
        <v>20</v>
      </c>
      <c r="M6266" t="s">
        <v>12244</v>
      </c>
      <c r="N6266" t="s">
        <v>14</v>
      </c>
    </row>
    <row r="6267" x14ac:dyDescent="0.25">
      <c r="A6267" t="n">
        <v>25</v>
      </c>
      <c r="B6267" t="s">
        <v>14</v>
      </c>
      <c r="C6267" t="s">
        <v>22</v>
      </c>
      <c r="D6267" s="2" t="s">
        <f>=HYPERLINK("https://main.knesset.gov.il/APPS/legislation/main/bills/2197986", "הצעת חוק האקלים, התשפ""ג-2023")</f>
        <v>2132</v>
      </c>
      <c r="E6267" t="s">
        <v>2132</v>
      </c>
      <c r="F6267" t="s">
        <v>12292</v>
      </c>
      <c r="G6267" t="s">
        <v>14</v>
      </c>
      <c r="H6267">
             </c>
      <c r="I6267" t="s">
        <v>14</v>
      </c>
      <c r="J6267" t="s">
        <v>141</v>
      </c>
      <c r="K6267" t="s">
        <v>14</v>
      </c>
      <c r="L6267" t="s">
        <v>20</v>
      </c>
      <c r="M6267" t="s">
        <v>12244</v>
      </c>
      <c r="N6267" t="s">
        <v>14</v>
      </c>
    </row>
    <row r="6268" x14ac:dyDescent="0.25">
      <c r="A6268" t="n">
        <v>25</v>
      </c>
      <c r="B6268" t="s">
        <v>14</v>
      </c>
      <c r="C6268" t="s">
        <v>22</v>
      </c>
      <c r="D6268" s="2" t="s">
        <f>=HYPERLINK("https://main.knesset.gov.il/APPS/legislation/main/bills/2197982", "הצעת חוק להפחתת סכום הפיצוי הכספי בשל נסיעה ללא תיקוף כרטיס בתחבורה ציבורית (תיקוני חקיקה), התשפ""ג-2023")</f>
        <v>4242</v>
      </c>
      <c r="E6268" t="s">
        <v>4242</v>
      </c>
      <c r="F6268" t="s">
        <v>12293</v>
      </c>
      <c r="G6268" t="s">
        <v>14</v>
      </c>
      <c r="H6268">
             </c>
      <c r="I6268" t="s">
        <v>14</v>
      </c>
      <c r="J6268" t="s">
        <v>343</v>
      </c>
      <c r="K6268" t="s">
        <v>14</v>
      </c>
      <c r="L6268" t="s">
        <v>20</v>
      </c>
      <c r="M6268" t="s">
        <v>12244</v>
      </c>
      <c r="N6268" t="s">
        <v>14</v>
      </c>
    </row>
    <row r="6269" x14ac:dyDescent="0.25">
      <c r="A6269" t="n">
        <v>25</v>
      </c>
      <c r="B6269" t="s">
        <v>14</v>
      </c>
      <c r="C6269" t="s">
        <v>22</v>
      </c>
      <c r="D6269" s="2" t="s">
        <f>=HYPERLINK("https://main.knesset.gov.il/APPS/legislation/main/bills/2198546", "הצעת חוק הספורט (תיקון - זכויות ספורטאי בוגר), התשפ""ג-2023")</f>
        <v>12031</v>
      </c>
      <c r="E6269" t="s">
        <v>12031</v>
      </c>
      <c r="F6269" t="s">
        <v>12294</v>
      </c>
      <c r="G6269" t="s">
        <v>14</v>
      </c>
      <c r="H6269">
             </c>
      <c r="I6269" t="s">
        <v>14</v>
      </c>
      <c r="J6269" t="s">
        <v>141</v>
      </c>
      <c r="K6269" t="s">
        <v>14</v>
      </c>
      <c r="L6269" t="s">
        <v>20</v>
      </c>
      <c r="M6269" t="s">
        <v>12244</v>
      </c>
      <c r="N6269" t="s">
        <v>14</v>
      </c>
    </row>
    <row r="6270" x14ac:dyDescent="0.25">
      <c r="A6270" t="n">
        <v>25</v>
      </c>
      <c r="B6270" t="s">
        <v>14</v>
      </c>
      <c r="C6270" t="s">
        <v>22</v>
      </c>
      <c r="D6270" s="2" t="s">
        <f>=HYPERLINK("https://main.knesset.gov.il/APPS/legislation/main/bills/2197875", "הצעת חוק מס להפחתת גודש התנועה באזור גוש דן (תיקון - ביטול החוק), התשפ""ג-2023")</f>
        <v>10241</v>
      </c>
      <c r="E6270" t="s">
        <v>10241</v>
      </c>
      <c r="F6270" t="s">
        <v>12295</v>
      </c>
      <c r="G6270" t="s">
        <v>14</v>
      </c>
      <c r="H6270">
             </c>
      <c r="I6270" t="s">
        <v>14</v>
      </c>
      <c r="J6270" t="s">
        <v>141</v>
      </c>
      <c r="K6270" t="s">
        <v>14</v>
      </c>
      <c r="L6270" t="s">
        <v>20</v>
      </c>
      <c r="M6270" t="s">
        <v>12244</v>
      </c>
      <c r="N6270" t="s">
        <v>14</v>
      </c>
    </row>
    <row r="6271" x14ac:dyDescent="0.25">
      <c r="A6271" t="n">
        <v>25</v>
      </c>
      <c r="B6271" t="s">
        <v>14</v>
      </c>
      <c r="C6271" t="s">
        <v>22</v>
      </c>
      <c r="D6271" s="2" t="s">
        <f>=HYPERLINK("https://main.knesset.gov.il/APPS/legislation/main/bills/2198123", "הצעת חוק למניעת אלימות במשפחה (פיקוח טכנולוגי להבטחת קיומו של צו הגנה, והערכת מסוכנות - הוראת שעה), התשפ""ג-2023")</f>
        <v>9976</v>
      </c>
      <c r="E6271" t="s">
        <v>9976</v>
      </c>
      <c r="F6271" t="s">
        <v>12296</v>
      </c>
      <c r="G6271" t="s">
        <v>14</v>
      </c>
      <c r="H6271">
             </c>
      <c r="I6271" t="s">
        <v>14</v>
      </c>
      <c r="J6271" t="s">
        <v>141</v>
      </c>
      <c r="K6271" t="s">
        <v>14</v>
      </c>
      <c r="L6271" t="s">
        <v>20</v>
      </c>
      <c r="M6271" t="s">
        <v>12244</v>
      </c>
      <c r="N6271" t="s">
        <v>14</v>
      </c>
    </row>
    <row r="6272" x14ac:dyDescent="0.25">
      <c r="A6272" t="n">
        <v>25</v>
      </c>
      <c r="B6272" t="s">
        <v>14</v>
      </c>
      <c r="C6272" t="s">
        <v>22</v>
      </c>
      <c r="D6272" s="2" t="s">
        <f>=HYPERLINK("https://main.knesset.gov.il/APPS/legislation/main/bills/2197999", "הצעת חוק מיסוי מקרקעין (שבח ורכישה) (תיקון - מדרגות המס על דירה יחידה ועל בניין להשכרה ובניין לשכירות מוסדית), התשפ''ג-2023")</f>
        <v>12297</v>
      </c>
      <c r="E6272" t="s">
        <v>12297</v>
      </c>
      <c r="F6272" t="s">
        <v>12298</v>
      </c>
      <c r="G6272" t="s">
        <v>14</v>
      </c>
      <c r="H6272">
             </c>
      <c r="I6272" t="s">
        <v>14</v>
      </c>
      <c r="J6272" t="s">
        <v>141</v>
      </c>
      <c r="K6272" t="s">
        <v>14</v>
      </c>
      <c r="L6272" t="s">
        <v>20</v>
      </c>
      <c r="M6272" t="s">
        <v>12244</v>
      </c>
      <c r="N6272" t="s">
        <v>14</v>
      </c>
    </row>
    <row r="6273" x14ac:dyDescent="0.25">
      <c r="A6273" t="n">
        <v>25</v>
      </c>
      <c r="B6273" t="s">
        <v>14</v>
      </c>
      <c r="C6273" t="s">
        <v>22</v>
      </c>
      <c r="D6273" s="2" t="s">
        <f>=HYPERLINK("https://main.knesset.gov.il/APPS/legislation/main/bills/2197420", "הצעת חוק זכויות נפגעי עבירה (תיקון - חובת יידוע נפגעי עבירה בדבר זכויותיהם), התשפ""ג-2023")</f>
        <v>10306</v>
      </c>
      <c r="E6273" t="s">
        <v>10306</v>
      </c>
      <c r="F6273" t="s">
        <v>12299</v>
      </c>
      <c r="G6273" t="s">
        <v>14</v>
      </c>
      <c r="H6273">
             </c>
      <c r="I6273" t="s">
        <v>14</v>
      </c>
      <c r="J6273" t="s">
        <v>141</v>
      </c>
      <c r="K6273" t="s">
        <v>14</v>
      </c>
      <c r="L6273" t="s">
        <v>20</v>
      </c>
      <c r="M6273" t="s">
        <v>12244</v>
      </c>
      <c r="N6273" t="s">
        <v>14</v>
      </c>
    </row>
    <row r="6274" x14ac:dyDescent="0.25">
      <c r="A6274" t="n">
        <v>25</v>
      </c>
      <c r="B6274" t="s">
        <v>14</v>
      </c>
      <c r="C6274" t="s">
        <v>22</v>
      </c>
      <c r="D6274" s="2" t="s">
        <f>=HYPERLINK("https://main.knesset.gov.il/APPS/legislation/main/bills/2198251", "הצעת חוק משק החשמל (תיקון - ועדה מיוחדת), התשפ''ג-2023")</f>
        <v>9934</v>
      </c>
      <c r="E6274" t="s">
        <v>9934</v>
      </c>
      <c r="F6274" t="s">
        <v>12300</v>
      </c>
      <c r="G6274" t="s">
        <v>14</v>
      </c>
      <c r="H6274">
             </c>
      <c r="I6274" t="s">
        <v>14</v>
      </c>
      <c r="J6274" t="s">
        <v>141</v>
      </c>
      <c r="K6274" t="s">
        <v>14</v>
      </c>
      <c r="L6274" t="s">
        <v>20</v>
      </c>
      <c r="M6274" t="s">
        <v>12244</v>
      </c>
      <c r="N6274" t="s">
        <v>14</v>
      </c>
    </row>
    <row r="6275" x14ac:dyDescent="0.25">
      <c r="A6275" t="n">
        <v>25</v>
      </c>
      <c r="B6275" t="s">
        <v>14</v>
      </c>
      <c r="C6275" t="s">
        <v>22</v>
      </c>
      <c r="D6275" s="2" t="s">
        <f>=HYPERLINK("https://main.knesset.gov.il/APPS/legislation/main/bills/2198320", "הצעת חוק זכויות הסטודנט (תיקון - קורס דיאלוג רב-תרבותי), התשפ""ג-2023")</f>
        <v>12301</v>
      </c>
      <c r="E6275" t="s">
        <v>12301</v>
      </c>
      <c r="F6275" t="s">
        <v>12302</v>
      </c>
      <c r="G6275" t="s">
        <v>14</v>
      </c>
      <c r="H6275">
             </c>
      <c r="I6275" t="s">
        <v>14</v>
      </c>
      <c r="J6275" t="s">
        <v>141</v>
      </c>
      <c r="K6275" t="s">
        <v>14</v>
      </c>
      <c r="L6275" t="s">
        <v>20</v>
      </c>
      <c r="M6275" t="s">
        <v>12244</v>
      </c>
      <c r="N6275" t="s">
        <v>14</v>
      </c>
    </row>
    <row r="6276" x14ac:dyDescent="0.25">
      <c r="A6276" t="n">
        <v>25</v>
      </c>
      <c r="B6276" t="s">
        <v>14</v>
      </c>
      <c r="C6276" t="s">
        <v>22</v>
      </c>
      <c r="D6276" s="2" t="s">
        <f>=HYPERLINK("https://main.knesset.gov.il/APPS/legislation/main/bills/2198164", "הצעת חוק-יסוד: שוויון ושותפות אזרחית מלאה")</f>
        <v>12303</v>
      </c>
      <c r="E6276" t="s">
        <v>12303</v>
      </c>
      <c r="F6276" t="s">
        <v>12304</v>
      </c>
      <c r="G6276" t="s">
        <v>14</v>
      </c>
      <c r="H6276">
             </c>
      <c r="I6276" t="s">
        <v>14</v>
      </c>
      <c r="J6276" t="s">
        <v>141</v>
      </c>
      <c r="K6276" t="s">
        <v>14</v>
      </c>
      <c r="L6276" t="s">
        <v>20</v>
      </c>
      <c r="M6276" t="s">
        <v>12244</v>
      </c>
      <c r="N6276" t="s">
        <v>14</v>
      </c>
    </row>
    <row r="6277" x14ac:dyDescent="0.25">
      <c r="A6277" t="n">
        <v>25</v>
      </c>
      <c r="B6277" t="s">
        <v>14</v>
      </c>
      <c r="C6277" t="s">
        <v>22</v>
      </c>
      <c r="D6277" s="2" t="s">
        <f>=HYPERLINK("https://main.knesset.gov.il/APPS/legislation/main/bills/2198431", "הצעת חוק איסור שימוש בסוסים לשם פיזור התקהלויות, התשפ""ג-2023")</f>
        <v>12305</v>
      </c>
      <c r="E6277" t="s">
        <v>12305</v>
      </c>
      <c r="F6277" t="s">
        <v>12306</v>
      </c>
      <c r="G6277" t="s">
        <v>14</v>
      </c>
      <c r="H6277">
             </c>
      <c r="I6277" t="s">
        <v>14</v>
      </c>
      <c r="J6277" t="s">
        <v>141</v>
      </c>
      <c r="K6277" t="s">
        <v>14</v>
      </c>
      <c r="L6277" t="s">
        <v>20</v>
      </c>
      <c r="M6277" t="s">
        <v>12244</v>
      </c>
      <c r="N6277" t="s">
        <v>14</v>
      </c>
    </row>
    <row r="6278" x14ac:dyDescent="0.25">
      <c r="A6278" t="n">
        <v>25</v>
      </c>
      <c r="B6278" t="s">
        <v>14</v>
      </c>
      <c r="C6278" t="s">
        <v>22</v>
      </c>
      <c r="D6278" s="2" t="s">
        <f>=HYPERLINK("https://main.knesset.gov.il/APPS/legislation/main/bills/2198413", "הצעת חוק המועצה להשכלה גבוהה (תיקון - ייצוג הולם), התשפ""ג-2023")</f>
        <v>12307</v>
      </c>
      <c r="E6278" t="s">
        <v>12307</v>
      </c>
      <c r="F6278" t="s">
        <v>12308</v>
      </c>
      <c r="G6278" t="s">
        <v>14</v>
      </c>
      <c r="H6278">
             </c>
      <c r="I6278" t="s">
        <v>14</v>
      </c>
      <c r="J6278" t="s">
        <v>141</v>
      </c>
      <c r="K6278" t="s">
        <v>14</v>
      </c>
      <c r="L6278" t="s">
        <v>20</v>
      </c>
      <c r="M6278" t="s">
        <v>12244</v>
      </c>
      <c r="N6278" t="s">
        <v>14</v>
      </c>
    </row>
    <row r="6279" x14ac:dyDescent="0.25">
      <c r="A6279" t="n">
        <v>25</v>
      </c>
      <c r="B6279" t="s">
        <v>14</v>
      </c>
      <c r="C6279" t="s">
        <v>22</v>
      </c>
      <c r="D6279" s="2" t="s">
        <f>=HYPERLINK("https://main.knesset.gov.il/APPS/legislation/main/bills/2196897", "הצעת חוק יסודות התקציב (תיקון - תאגיד בריאות המפעיל מעון יום שיקומי), התשפ""ג-2023")</f>
        <v>12309</v>
      </c>
      <c r="E6279" t="s">
        <v>12309</v>
      </c>
      <c r="F6279" t="s">
        <v>12310</v>
      </c>
      <c r="G6279" t="s">
        <v>14</v>
      </c>
      <c r="H6279">
             </c>
      <c r="I6279" t="s">
        <v>14</v>
      </c>
      <c r="J6279" t="s">
        <v>141</v>
      </c>
      <c r="K6279" t="s">
        <v>14</v>
      </c>
      <c r="L6279" t="s">
        <v>20</v>
      </c>
      <c r="M6279" t="s">
        <v>12244</v>
      </c>
      <c r="N6279" t="s">
        <v>14</v>
      </c>
    </row>
    <row r="6280" x14ac:dyDescent="0.25">
      <c r="A6280" t="n">
        <v>25</v>
      </c>
      <c r="B6280" t="s">
        <v>14</v>
      </c>
      <c r="C6280" t="s">
        <v>22</v>
      </c>
      <c r="D6280" s="2" t="s">
        <f>=HYPERLINK("https://main.knesset.gov.il/APPS/legislation/main/bills/2198358", "הצעת חוק זכויות הסטודנט (תיקון - ייעוץ אקדמי בערבית), התשפ""ג-2023")</f>
        <v>11781</v>
      </c>
      <c r="E6280" t="s">
        <v>11781</v>
      </c>
      <c r="F6280" t="s">
        <v>12311</v>
      </c>
      <c r="G6280" t="s">
        <v>14</v>
      </c>
      <c r="H6280">
             </c>
      <c r="I6280" t="s">
        <v>14</v>
      </c>
      <c r="J6280" t="s">
        <v>141</v>
      </c>
      <c r="K6280" t="s">
        <v>14</v>
      </c>
      <c r="L6280" t="s">
        <v>20</v>
      </c>
      <c r="M6280" t="s">
        <v>12244</v>
      </c>
      <c r="N6280" t="s">
        <v>14</v>
      </c>
    </row>
    <row r="6281" x14ac:dyDescent="0.25">
      <c r="A6281" t="n">
        <v>25</v>
      </c>
      <c r="B6281" t="s">
        <v>14</v>
      </c>
      <c r="C6281" t="s">
        <v>22</v>
      </c>
      <c r="D6281" s="2" t="s">
        <f>=HYPERLINK("https://main.knesset.gov.il/APPS/legislation/main/bills/2198193", "הצעת חוק מס ערך מוסף (תיקון - פטור ממס בגין תרומות לבתי חולים בפריפריה), התשפ""ג-2023")</f>
        <v>9902</v>
      </c>
      <c r="E6281" t="s">
        <v>9902</v>
      </c>
      <c r="F6281" t="s">
        <v>12312</v>
      </c>
      <c r="G6281" t="s">
        <v>14</v>
      </c>
      <c r="H6281">
             </c>
      <c r="I6281" t="s">
        <v>14</v>
      </c>
      <c r="J6281" t="s">
        <v>141</v>
      </c>
      <c r="K6281" t="s">
        <v>14</v>
      </c>
      <c r="L6281" t="s">
        <v>20</v>
      </c>
      <c r="M6281" t="s">
        <v>12244</v>
      </c>
      <c r="N6281" t="s">
        <v>14</v>
      </c>
    </row>
    <row r="6282" x14ac:dyDescent="0.25">
      <c r="A6282" t="n">
        <v>25</v>
      </c>
      <c r="B6282" t="s">
        <v>14</v>
      </c>
      <c r="C6282" t="s">
        <v>22</v>
      </c>
      <c r="D6282" s="2" t="s">
        <f>=HYPERLINK("https://main.knesset.gov.il/APPS/legislation/main/bills/2198035", "הצעת חוק ארוחה יומית לתלמיד (תיקון - הרחבת תחולת החוק), התשפ""ג-2023")</f>
        <v>9584</v>
      </c>
      <c r="E6282" t="s">
        <v>9584</v>
      </c>
      <c r="F6282" t="s">
        <v>12313</v>
      </c>
      <c r="G6282" t="s">
        <v>14</v>
      </c>
      <c r="H6282">
             </c>
      <c r="I6282" t="s">
        <v>14</v>
      </c>
      <c r="J6282" t="s">
        <v>141</v>
      </c>
      <c r="K6282" t="s">
        <v>14</v>
      </c>
      <c r="L6282" t="s">
        <v>20</v>
      </c>
      <c r="M6282" t="s">
        <v>12244</v>
      </c>
      <c r="N6282" t="s">
        <v>14</v>
      </c>
    </row>
    <row r="6283" x14ac:dyDescent="0.25">
      <c r="A6283" t="n">
        <v>25</v>
      </c>
      <c r="B6283" t="s">
        <v>14</v>
      </c>
      <c r="C6283" t="s">
        <v>22</v>
      </c>
      <c r="D6283" s="2" t="s">
        <f>=HYPERLINK("https://main.knesset.gov.il/APPS/legislation/main/bills/2198316", "הצעת חוק העונשין (תיקון - הכפלת ענישה בשל פגיעה ברגשי דת ומסורת), התשפ""ג-2023")</f>
        <v>12314</v>
      </c>
      <c r="E6283" t="s">
        <v>12314</v>
      </c>
      <c r="F6283" t="s">
        <v>12315</v>
      </c>
      <c r="G6283" t="s">
        <v>14</v>
      </c>
      <c r="H6283">
             </c>
      <c r="I6283" t="s">
        <v>14</v>
      </c>
      <c r="J6283" t="s">
        <v>141</v>
      </c>
      <c r="K6283" t="s">
        <v>14</v>
      </c>
      <c r="L6283" t="s">
        <v>20</v>
      </c>
      <c r="M6283" t="s">
        <v>12244</v>
      </c>
      <c r="N6283" t="s">
        <v>14</v>
      </c>
    </row>
    <row r="6284" x14ac:dyDescent="0.25">
      <c r="A6284" t="n">
        <v>25</v>
      </c>
      <c r="B6284" t="s">
        <v>14</v>
      </c>
      <c r="C6284" t="s">
        <v>22</v>
      </c>
      <c r="D6284" s="2" t="s">
        <f>=HYPERLINK("https://main.knesset.gov.il/APPS/legislation/main/bills/2198216", "הצעת חוק חסינות חיילי צה""ל באירועים מבצעיים, התשפ""ג-2023")</f>
        <v>12316</v>
      </c>
      <c r="E6284" t="s">
        <v>12316</v>
      </c>
      <c r="F6284" t="s">
        <v>12317</v>
      </c>
      <c r="G6284" t="s">
        <v>14</v>
      </c>
      <c r="H6284">
             </c>
      <c r="I6284" t="s">
        <v>14</v>
      </c>
      <c r="J6284" t="s">
        <v>141</v>
      </c>
      <c r="K6284" t="s">
        <v>14</v>
      </c>
      <c r="L6284" t="s">
        <v>20</v>
      </c>
      <c r="M6284" t="s">
        <v>12244</v>
      </c>
      <c r="N6284" t="s">
        <v>14</v>
      </c>
    </row>
    <row r="6285" x14ac:dyDescent="0.25">
      <c r="A6285" t="n">
        <v>25</v>
      </c>
      <c r="B6285" t="s">
        <v>14</v>
      </c>
      <c r="C6285" t="s">
        <v>22</v>
      </c>
      <c r="D6285" s="2" t="s">
        <f>=HYPERLINK("https://main.knesset.gov.il/APPS/legislation/main/bills/2197475", "הצעת חוק הסיוע המשפטי (תיקון - הוצאות מומחים), התשפ""ג-2023")</f>
        <v>12318</v>
      </c>
      <c r="E6285" t="s">
        <v>12318</v>
      </c>
      <c r="F6285" t="s">
        <v>12319</v>
      </c>
      <c r="G6285" t="s">
        <v>14</v>
      </c>
      <c r="H6285">
             </c>
      <c r="I6285" t="s">
        <v>14</v>
      </c>
      <c r="J6285" t="s">
        <v>141</v>
      </c>
      <c r="K6285" t="s">
        <v>14</v>
      </c>
      <c r="L6285" t="s">
        <v>20</v>
      </c>
      <c r="M6285" t="s">
        <v>12244</v>
      </c>
      <c r="N6285" t="s">
        <v>14</v>
      </c>
    </row>
    <row r="6286" x14ac:dyDescent="0.25">
      <c r="A6286" t="n">
        <v>25</v>
      </c>
      <c r="B6286" t="s">
        <v>14</v>
      </c>
      <c r="C6286" t="s">
        <v>22</v>
      </c>
      <c r="D6286" s="2" t="s">
        <f>=HYPERLINK("https://main.knesset.gov.il/APPS/legislation/main/bills/2198306", "הצעת חוק המועצה להשכלה גבוהה (תיקון - איסור דרישת בחינות כניסה וציון פסיכומטרי), התשפ""ג-2023")</f>
        <v>12320</v>
      </c>
      <c r="E6286" t="s">
        <v>12320</v>
      </c>
      <c r="F6286" t="s">
        <v>12321</v>
      </c>
      <c r="G6286" t="s">
        <v>14</v>
      </c>
      <c r="H6286">
             </c>
      <c r="I6286" t="s">
        <v>14</v>
      </c>
      <c r="J6286" t="s">
        <v>141</v>
      </c>
      <c r="K6286" t="s">
        <v>14</v>
      </c>
      <c r="L6286" t="s">
        <v>20</v>
      </c>
      <c r="M6286" t="s">
        <v>12244</v>
      </c>
      <c r="N6286" t="s">
        <v>14</v>
      </c>
    </row>
    <row r="6287" x14ac:dyDescent="0.25">
      <c r="A6287" t="n">
        <v>25</v>
      </c>
      <c r="B6287" t="s">
        <v>14</v>
      </c>
      <c r="C6287" t="s">
        <v>22</v>
      </c>
      <c r="D6287" s="2" t="s">
        <f>=HYPERLINK("https://main.knesset.gov.il/APPS/legislation/main/bills/2198052", "הצעת חוק להבטחת פיצוי לתושבי גבעת עמל, התשפ""ג-2023")</f>
        <v>12322</v>
      </c>
      <c r="E6287" t="s">
        <v>12322</v>
      </c>
      <c r="F6287" t="s">
        <v>12323</v>
      </c>
      <c r="G6287" t="s">
        <v>14</v>
      </c>
      <c r="H6287">
             </c>
      <c r="I6287" t="s">
        <v>14</v>
      </c>
      <c r="J6287" t="s">
        <v>141</v>
      </c>
      <c r="K6287" t="s">
        <v>14</v>
      </c>
      <c r="L6287" t="s">
        <v>20</v>
      </c>
      <c r="M6287" t="s">
        <v>12244</v>
      </c>
      <c r="N6287" t="s">
        <v>14</v>
      </c>
    </row>
    <row r="6288" x14ac:dyDescent="0.25">
      <c r="A6288" t="n">
        <v>25</v>
      </c>
      <c r="B6288" t="s">
        <v>14</v>
      </c>
      <c r="C6288" t="s">
        <v>22</v>
      </c>
      <c r="D6288" s="2" t="s">
        <f>=HYPERLINK("https://main.knesset.gov.il/APPS/legislation/main/bills/2198257", "הצעת חוק להגדלת שיעור ההשתתפות בכוח העבודה ולצמצום פערים חברתיים (מענק עבודה) (תיקון - אוטומציה בקבלת מענק העבודה), התשפ""ג-2023")</f>
        <v>12056</v>
      </c>
      <c r="E6288" t="s">
        <v>12056</v>
      </c>
      <c r="F6288" t="s">
        <v>12324</v>
      </c>
      <c r="G6288" t="s">
        <v>14</v>
      </c>
      <c r="H6288">
             </c>
      <c r="I6288" t="s">
        <v>14</v>
      </c>
      <c r="J6288" t="s">
        <v>141</v>
      </c>
      <c r="K6288" t="s">
        <v>14</v>
      </c>
      <c r="L6288" t="s">
        <v>20</v>
      </c>
      <c r="M6288" t="s">
        <v>12244</v>
      </c>
      <c r="N6288" t="s">
        <v>14</v>
      </c>
    </row>
    <row r="6289" x14ac:dyDescent="0.25">
      <c r="A6289" t="n">
        <v>25</v>
      </c>
      <c r="B6289" t="s">
        <v>14</v>
      </c>
      <c r="C6289" t="s">
        <v>22</v>
      </c>
      <c r="D6289" s="2" t="s">
        <f>=HYPERLINK("https://main.knesset.gov.il/APPS/legislation/main/bills/2198455", "הצעת חוק זכויות הסטודנט (תיקון - התאמות לסטודנטית לאחר לידה), התשפ""ג-2023")</f>
        <v>12325</v>
      </c>
      <c r="E6289" t="s">
        <v>12325</v>
      </c>
      <c r="F6289" t="s">
        <v>12326</v>
      </c>
      <c r="G6289" t="s">
        <v>14</v>
      </c>
      <c r="H6289">
             </c>
      <c r="I6289" t="s">
        <v>14</v>
      </c>
      <c r="J6289" t="s">
        <v>141</v>
      </c>
      <c r="K6289" t="s">
        <v>14</v>
      </c>
      <c r="L6289" t="s">
        <v>20</v>
      </c>
      <c r="M6289" t="s">
        <v>12244</v>
      </c>
      <c r="N6289" t="s">
        <v>14</v>
      </c>
    </row>
    <row r="6290" x14ac:dyDescent="0.25">
      <c r="A6290" t="n">
        <v>25</v>
      </c>
      <c r="B6290" t="s">
        <v>14</v>
      </c>
      <c r="C6290" t="s">
        <v>22</v>
      </c>
      <c r="D6290" s="2" t="s">
        <f>=HYPERLINK("https://main.knesset.gov.il/APPS/legislation/main/bills/2198043", "הצעת חוק פתיחת קבר של קטין יוצא תימן, המזרח או הבלקן לשם זיהוי ועריכת בדיקה גנטית לקשר משפחה (הוראת שעה) (תיקון - הארכת תוקף הוראת השעה ואישור בקשה מטעמים מיוחדים), התשפ""ג-2023")</f>
        <v>12327</v>
      </c>
      <c r="E6290" t="s">
        <v>12327</v>
      </c>
      <c r="F6290" t="s">
        <v>12328</v>
      </c>
      <c r="G6290" t="s">
        <v>14</v>
      </c>
      <c r="H6290">
             </c>
      <c r="I6290" t="s">
        <v>14</v>
      </c>
      <c r="J6290" t="s">
        <v>141</v>
      </c>
      <c r="K6290" t="s">
        <v>14</v>
      </c>
      <c r="L6290" t="s">
        <v>20</v>
      </c>
      <c r="M6290" t="s">
        <v>12244</v>
      </c>
      <c r="N6290" t="s">
        <v>14</v>
      </c>
    </row>
    <row r="6291" x14ac:dyDescent="0.25">
      <c r="A6291" t="n">
        <v>25</v>
      </c>
      <c r="B6291" t="s">
        <v>14</v>
      </c>
      <c r="C6291" t="s">
        <v>22</v>
      </c>
      <c r="D6291" s="2" t="s">
        <f>=HYPERLINK("https://main.knesset.gov.il/APPS/legislation/main/bills/2198459", "הצעת חוק הסדרים במשק המדינה (תיקוני חקיקה להשגת יעדי התקציב) (תיקון - פטור מארנונה לנשים ששהו במקלט לנשים מוכות), התשפ""ג-2023")</f>
        <v>12329</v>
      </c>
      <c r="E6291" t="s">
        <v>12329</v>
      </c>
      <c r="F6291" t="s">
        <v>12330</v>
      </c>
      <c r="G6291" t="s">
        <v>14</v>
      </c>
      <c r="H6291">
             </c>
      <c r="I6291" t="s">
        <v>14</v>
      </c>
      <c r="J6291" t="s">
        <v>141</v>
      </c>
      <c r="K6291" t="s">
        <v>14</v>
      </c>
      <c r="L6291" t="s">
        <v>20</v>
      </c>
      <c r="M6291" t="s">
        <v>12244</v>
      </c>
      <c r="N6291" t="s">
        <v>14</v>
      </c>
    </row>
    <row r="6292" x14ac:dyDescent="0.25">
      <c r="A6292" t="n">
        <v>25</v>
      </c>
      <c r="B6292" t="s">
        <v>14</v>
      </c>
      <c r="C6292" t="s">
        <v>22</v>
      </c>
      <c r="D6292" s="2" t="s">
        <f>=HYPERLINK("https://main.knesset.gov.il/APPS/legislation/main/bills/2197623", "הצעת חוק לתיקון פקודת התעבורה (חובת התקנת לחצן מצוקה באוטובוס), התשפ""ג-2023")</f>
        <v>12331</v>
      </c>
      <c r="E6292" t="s">
        <v>12331</v>
      </c>
      <c r="F6292" t="s">
        <v>12332</v>
      </c>
      <c r="G6292" t="s">
        <v>14</v>
      </c>
      <c r="H6292">
             </c>
      <c r="I6292" t="s">
        <v>14</v>
      </c>
      <c r="J6292" t="s">
        <v>141</v>
      </c>
      <c r="K6292" t="s">
        <v>14</v>
      </c>
      <c r="L6292" t="s">
        <v>20</v>
      </c>
      <c r="M6292" t="s">
        <v>12244</v>
      </c>
      <c r="N6292" t="s">
        <v>14</v>
      </c>
    </row>
    <row r="6293" x14ac:dyDescent="0.25">
      <c r="A6293" t="n">
        <v>25</v>
      </c>
      <c r="B6293" t="s">
        <v>14</v>
      </c>
      <c r="C6293" t="s">
        <v>22</v>
      </c>
      <c r="D6293" s="2" t="s">
        <f>=HYPERLINK("https://main.knesset.gov.il/APPS/legislation/main/bills/2198388", "הצעת חוק מס ערך מוסף (תיקון - מס בשיעור אפס על מוצרי היגיינה נשית), התשפ""ג-2023")</f>
        <v>8570</v>
      </c>
      <c r="E6293" t="s">
        <v>8570</v>
      </c>
      <c r="F6293" t="s">
        <v>12333</v>
      </c>
      <c r="G6293" t="s">
        <v>14</v>
      </c>
      <c r="H6293">
             </c>
      <c r="I6293" t="s">
        <v>14</v>
      </c>
      <c r="J6293" t="s">
        <v>141</v>
      </c>
      <c r="K6293" t="s">
        <v>14</v>
      </c>
      <c r="L6293" t="s">
        <v>20</v>
      </c>
      <c r="M6293" t="s">
        <v>12244</v>
      </c>
      <c r="N6293" t="s">
        <v>14</v>
      </c>
    </row>
    <row r="6294" x14ac:dyDescent="0.25">
      <c r="A6294" t="n">
        <v>25</v>
      </c>
      <c r="B6294" t="s">
        <v>14</v>
      </c>
      <c r="C6294" t="s">
        <v>22</v>
      </c>
      <c r="D6294" s="2" t="s">
        <f>=HYPERLINK("https://main.knesset.gov.il/APPS/legislation/main/bills/2198375", "הצעת חוק חובת המכרזים (תיקון - עידוד עסקים להעסקת בני החברה הערבית והחרדית), התשפ""ג-2023")</f>
        <v>8174</v>
      </c>
      <c r="E6294" t="s">
        <v>8174</v>
      </c>
      <c r="F6294" t="s">
        <v>12334</v>
      </c>
      <c r="G6294" t="s">
        <v>14</v>
      </c>
      <c r="H6294">
             </c>
      <c r="I6294" t="s">
        <v>14</v>
      </c>
      <c r="J6294" t="s">
        <v>141</v>
      </c>
      <c r="K6294" t="s">
        <v>14</v>
      </c>
      <c r="L6294" t="s">
        <v>20</v>
      </c>
      <c r="M6294" t="s">
        <v>12244</v>
      </c>
      <c r="N6294" t="s">
        <v>14</v>
      </c>
    </row>
    <row r="6295" x14ac:dyDescent="0.25">
      <c r="A6295" t="n">
        <v>25</v>
      </c>
      <c r="B6295" t="s">
        <v>14</v>
      </c>
      <c r="C6295" t="s">
        <v>22</v>
      </c>
      <c r="D6295" s="2" t="s">
        <f>=HYPERLINK("https://main.knesset.gov.il/APPS/legislation/main/bills/2198033", "הצעת חוק צער בעלי חיים (הגנה על בעלי חיים) (תיקון - ביטול כלובים בתעשיית הביצים), התשפ""ג-2023")</f>
        <v>12335</v>
      </c>
      <c r="E6295" t="s">
        <v>12335</v>
      </c>
      <c r="F6295" t="s">
        <v>12336</v>
      </c>
      <c r="G6295" t="s">
        <v>14</v>
      </c>
      <c r="H6295">
             </c>
      <c r="I6295" t="s">
        <v>14</v>
      </c>
      <c r="J6295" t="s">
        <v>141</v>
      </c>
      <c r="K6295" t="s">
        <v>14</v>
      </c>
      <c r="L6295" t="s">
        <v>20</v>
      </c>
      <c r="M6295" t="s">
        <v>12244</v>
      </c>
      <c r="N6295" t="s">
        <v>14</v>
      </c>
    </row>
    <row r="6296" x14ac:dyDescent="0.25">
      <c r="A6296" t="n">
        <v>25</v>
      </c>
      <c r="B6296" t="s">
        <v>14</v>
      </c>
      <c r="C6296" t="s">
        <v>22</v>
      </c>
      <c r="D6296" s="2" t="s">
        <f>=HYPERLINK("https://main.knesset.gov.il/APPS/legislation/main/bills/2198334", "הצעת חוק רמת הגולן (תיקון - ביטול החוק), התשפ""ג-2023")</f>
        <v>12337</v>
      </c>
      <c r="E6296" t="s">
        <v>12337</v>
      </c>
      <c r="F6296" t="s">
        <v>12338</v>
      </c>
      <c r="G6296" t="s">
        <v>14</v>
      </c>
      <c r="H6296">
             </c>
      <c r="I6296" t="s">
        <v>14</v>
      </c>
      <c r="J6296" t="s">
        <v>141</v>
      </c>
      <c r="K6296" t="s">
        <v>14</v>
      </c>
      <c r="L6296" t="s">
        <v>20</v>
      </c>
      <c r="M6296" t="s">
        <v>12244</v>
      </c>
      <c r="N6296" t="s">
        <v>14</v>
      </c>
    </row>
    <row r="6297" x14ac:dyDescent="0.25">
      <c r="A6297" t="n">
        <v>25</v>
      </c>
      <c r="B6297" t="s">
        <v>14</v>
      </c>
      <c r="C6297" t="s">
        <v>22</v>
      </c>
      <c r="D6297" s="2" t="s">
        <f>=HYPERLINK("https://main.knesset.gov.il/APPS/legislation/main/bills/2197258", "הצעת חוק הביטוח הלאומי (תיקון - התאמת קצבת הסיעוד להעלאת שכר המינימום), התשפ""ג-2023")</f>
        <v>12339</v>
      </c>
      <c r="E6297" t="s">
        <v>12339</v>
      </c>
      <c r="F6297" t="s">
        <v>12340</v>
      </c>
      <c r="G6297" t="s">
        <v>14</v>
      </c>
      <c r="H6297">
             </c>
      <c r="I6297" t="s">
        <v>14</v>
      </c>
      <c r="J6297" t="s">
        <v>141</v>
      </c>
      <c r="K6297" t="s">
        <v>14</v>
      </c>
      <c r="L6297" t="s">
        <v>20</v>
      </c>
      <c r="M6297" t="s">
        <v>12244</v>
      </c>
      <c r="N6297" t="s">
        <v>14</v>
      </c>
    </row>
    <row r="6298" x14ac:dyDescent="0.25">
      <c r="A6298" t="n">
        <v>25</v>
      </c>
      <c r="B6298" t="s">
        <v>14</v>
      </c>
      <c r="C6298" t="s">
        <v>22</v>
      </c>
      <c r="D6298" s="2" t="s">
        <f>=HYPERLINK("https://main.knesset.gov.il/APPS/legislation/main/bills/2197005", "הצעת חוק מס רכוש וקרן פיצויים (תיקון - פיצוי בגין נזק פגעי טבע ופיצוי בגין נזקי שריפה), התשפ""ג-2023")</f>
        <v>9516</v>
      </c>
      <c r="E6298" t="s">
        <v>9516</v>
      </c>
      <c r="F6298" t="s">
        <v>12341</v>
      </c>
      <c r="G6298" t="s">
        <v>14</v>
      </c>
      <c r="H6298">
             </c>
      <c r="I6298" t="s">
        <v>14</v>
      </c>
      <c r="J6298" t="s">
        <v>141</v>
      </c>
      <c r="K6298" t="s">
        <v>14</v>
      </c>
      <c r="L6298" t="s">
        <v>20</v>
      </c>
      <c r="M6298" t="s">
        <v>12244</v>
      </c>
      <c r="N6298" t="s">
        <v>14</v>
      </c>
    </row>
    <row r="6299" x14ac:dyDescent="0.25">
      <c r="A6299" t="n">
        <v>25</v>
      </c>
      <c r="B6299" t="s">
        <v>14</v>
      </c>
      <c r="C6299" t="s">
        <v>22</v>
      </c>
      <c r="D6299" s="2" t="s">
        <f>=HYPERLINK("https://main.knesset.gov.il/APPS/legislation/main/bills/2197098", "הצעת חוק קביעת אופן ההעסקה של מטפלות במשפחתונים המפוקחים על ידי משרד הכלכלה והתעשייה, התשפ""ג-2023")</f>
        <v>12342</v>
      </c>
      <c r="E6299" t="s">
        <v>12342</v>
      </c>
      <c r="F6299" t="s">
        <v>12343</v>
      </c>
      <c r="G6299" t="s">
        <v>14</v>
      </c>
      <c r="H6299">
             </c>
      <c r="I6299" t="s">
        <v>14</v>
      </c>
      <c r="J6299" t="s">
        <v>141</v>
      </c>
      <c r="K6299" t="s">
        <v>14</v>
      </c>
      <c r="L6299" t="s">
        <v>20</v>
      </c>
      <c r="M6299" t="s">
        <v>12244</v>
      </c>
      <c r="N6299" t="s">
        <v>14</v>
      </c>
    </row>
    <row r="6300" x14ac:dyDescent="0.25">
      <c r="A6300" t="n">
        <v>25</v>
      </c>
      <c r="B6300" t="s">
        <v>14</v>
      </c>
      <c r="C6300" t="s">
        <v>22</v>
      </c>
      <c r="D6300" s="2" t="s">
        <f>=HYPERLINK("https://main.knesset.gov.il/APPS/legislation/main/bills/2198255", "הצעת חוק ניירות ערך (תיקון - חובת דיווח על תמיכות סביבתיות), התשפ״ג-2023")</f>
        <v>12344</v>
      </c>
      <c r="E6300" t="s">
        <v>12344</v>
      </c>
      <c r="F6300" t="s">
        <v>12345</v>
      </c>
      <c r="G6300" t="s">
        <v>14</v>
      </c>
      <c r="H6300">
             </c>
      <c r="I6300" t="s">
        <v>14</v>
      </c>
      <c r="J6300" t="s">
        <v>141</v>
      </c>
      <c r="K6300" t="s">
        <v>14</v>
      </c>
      <c r="L6300" t="s">
        <v>20</v>
      </c>
      <c r="M6300" t="s">
        <v>12244</v>
      </c>
      <c r="N6300" t="s">
        <v>14</v>
      </c>
    </row>
    <row r="6301" x14ac:dyDescent="0.25">
      <c r="A6301" t="n">
        <v>25</v>
      </c>
      <c r="B6301" t="s">
        <v>14</v>
      </c>
      <c r="C6301" t="s">
        <v>22</v>
      </c>
      <c r="D6301" s="2" t="s">
        <f>=HYPERLINK("https://main.knesset.gov.il/APPS/legislation/main/bills/2198041", "הצעת חוק זכויות סוציאליות לנשים נפגעות אלימות (תיקוני חקיקה), התשפ""ג-2023")</f>
        <v>12346</v>
      </c>
      <c r="E6301" t="s">
        <v>12346</v>
      </c>
      <c r="F6301" t="s">
        <v>12347</v>
      </c>
      <c r="G6301" t="s">
        <v>14</v>
      </c>
      <c r="H6301">
             </c>
      <c r="I6301" t="s">
        <v>14</v>
      </c>
      <c r="J6301" t="s">
        <v>141</v>
      </c>
      <c r="K6301" t="s">
        <v>14</v>
      </c>
      <c r="L6301" t="s">
        <v>20</v>
      </c>
      <c r="M6301" t="s">
        <v>12244</v>
      </c>
      <c r="N6301" t="s">
        <v>14</v>
      </c>
    </row>
    <row r="6302" x14ac:dyDescent="0.25">
      <c r="A6302" t="n">
        <v>25</v>
      </c>
      <c r="B6302" t="s">
        <v>14</v>
      </c>
      <c r="C6302" t="s">
        <v>22</v>
      </c>
      <c r="D6302" s="2" t="s">
        <f>=HYPERLINK("https://main.knesset.gov.il/APPS/legislation/main/bills/2196763", "הצעת חוק למניעת אלימות במשפחה (תיקון - מניעת אלימות כלכלית), התשפ""ג-2023")</f>
        <v>12348</v>
      </c>
      <c r="E6302" t="s">
        <v>12348</v>
      </c>
      <c r="F6302" t="s">
        <v>12349</v>
      </c>
      <c r="G6302" t="s">
        <v>14</v>
      </c>
      <c r="H6302">
             </c>
      <c r="I6302" t="s">
        <v>14</v>
      </c>
      <c r="J6302" t="s">
        <v>141</v>
      </c>
      <c r="K6302" t="s">
        <v>14</v>
      </c>
      <c r="L6302" t="s">
        <v>20</v>
      </c>
      <c r="M6302" t="s">
        <v>12244</v>
      </c>
      <c r="N6302" t="s">
        <v>14</v>
      </c>
    </row>
    <row r="6303" x14ac:dyDescent="0.25">
      <c r="A6303" t="n">
        <v>25</v>
      </c>
      <c r="B6303" t="s">
        <v>14</v>
      </c>
      <c r="C6303" t="s">
        <v>22</v>
      </c>
      <c r="D6303" s="2" t="s">
        <f>=HYPERLINK("https://main.knesset.gov.il/APPS/legislation/main/bills/2197760", "הצעת חוק זכויות הדייר בדיור הציבורי (תיקון - זכות למגורים בדירה ציבורית לנשים ששהו במקלט לנשים מוכות), התשפ""ג-2023")</f>
        <v>12350</v>
      </c>
      <c r="E6303" t="s">
        <v>12350</v>
      </c>
      <c r="F6303" t="s">
        <v>12351</v>
      </c>
      <c r="G6303" t="s">
        <v>14</v>
      </c>
      <c r="H6303">
             </c>
      <c r="I6303" t="s">
        <v>14</v>
      </c>
      <c r="J6303" t="s">
        <v>141</v>
      </c>
      <c r="K6303" t="s">
        <v>14</v>
      </c>
      <c r="L6303" t="s">
        <v>20</v>
      </c>
      <c r="M6303" t="s">
        <v>12244</v>
      </c>
      <c r="N6303" t="s">
        <v>14</v>
      </c>
    </row>
    <row r="6304" x14ac:dyDescent="0.25">
      <c r="A6304" t="n">
        <v>25</v>
      </c>
      <c r="B6304" t="s">
        <v>14</v>
      </c>
      <c r="C6304" t="s">
        <v>22</v>
      </c>
      <c r="D6304" s="2" t="s">
        <f>=HYPERLINK("https://main.knesset.gov.il/APPS/legislation/main/bills/2197043", "הצעת חוק יסודות התקציב (תיקון - הפחתת תקציב או תמיכה בשל פעילות נגד עקרונות המדינה של עובד או נושא משרה), התשפ""ג-2023")</f>
        <v>12352</v>
      </c>
      <c r="E6304" t="s">
        <v>12352</v>
      </c>
      <c r="F6304" t="s">
        <v>12353</v>
      </c>
      <c r="G6304" t="s">
        <v>14</v>
      </c>
      <c r="H6304">
             </c>
      <c r="I6304" t="s">
        <v>14</v>
      </c>
      <c r="J6304" t="s">
        <v>141</v>
      </c>
      <c r="K6304" t="s">
        <v>14</v>
      </c>
      <c r="L6304" t="s">
        <v>20</v>
      </c>
      <c r="M6304" t="s">
        <v>12244</v>
      </c>
      <c r="N6304" t="s">
        <v>14</v>
      </c>
    </row>
    <row r="6305" x14ac:dyDescent="0.25">
      <c r="A6305" t="n">
        <v>25</v>
      </c>
      <c r="B6305" t="s">
        <v>14</v>
      </c>
      <c r="C6305" t="s">
        <v>22</v>
      </c>
      <c r="D6305" s="2" t="s">
        <f>=HYPERLINK("https://main.knesset.gov.il/APPS/legislation/main/bills/2198060", "הצעת חוק שידורי טלוויזיה (כתוביות ושפת סימנים) (תיקון - חובת ליווי בכתוביות תוכנית ותשדיר פרסומת), התשפ""ג-2023")</f>
        <v>12354</v>
      </c>
      <c r="E6305" t="s">
        <v>12354</v>
      </c>
      <c r="F6305" t="s">
        <v>12355</v>
      </c>
      <c r="G6305" t="s">
        <v>14</v>
      </c>
      <c r="H6305">
             </c>
      <c r="I6305" t="s">
        <v>14</v>
      </c>
      <c r="J6305" t="s">
        <v>141</v>
      </c>
      <c r="K6305" t="s">
        <v>14</v>
      </c>
      <c r="L6305" t="s">
        <v>20</v>
      </c>
      <c r="M6305" t="s">
        <v>12244</v>
      </c>
      <c r="N6305" t="s">
        <v>14</v>
      </c>
    </row>
    <row r="6306" x14ac:dyDescent="0.25">
      <c r="A6306" t="n">
        <v>25</v>
      </c>
      <c r="B6306" t="s">
        <v>14</v>
      </c>
      <c r="C6306" t="s">
        <v>22</v>
      </c>
      <c r="D6306" s="2" t="s">
        <f>=HYPERLINK("https://main.knesset.gov.il/APPS/legislation/main/bills/2198038", "הצעת חוק הרשות לטיפול בנפגעי הלם קרב, התשפ""ג-2023")</f>
        <v>12356</v>
      </c>
      <c r="E6306" t="s">
        <v>12356</v>
      </c>
      <c r="F6306" t="s">
        <v>12357</v>
      </c>
      <c r="G6306" t="s">
        <v>14</v>
      </c>
      <c r="H6306">
             </c>
      <c r="I6306" t="s">
        <v>14</v>
      </c>
      <c r="J6306" t="s">
        <v>141</v>
      </c>
      <c r="K6306" t="s">
        <v>14</v>
      </c>
      <c r="L6306" t="s">
        <v>20</v>
      </c>
      <c r="M6306" t="s">
        <v>12244</v>
      </c>
      <c r="N6306" t="s">
        <v>14</v>
      </c>
    </row>
    <row r="6307" x14ac:dyDescent="0.25">
      <c r="A6307" t="n">
        <v>25</v>
      </c>
      <c r="B6307" t="s">
        <v>14</v>
      </c>
      <c r="C6307" t="s">
        <v>22</v>
      </c>
      <c r="D6307" s="2" t="s">
        <f>=HYPERLINK("https://main.knesset.gov.il/APPS/legislation/main/bills/2197381", "הצעת חוק הביטוח הלאומי (תיקון - אי-שלילת זכאות לקצבת שאירים בשל הכנסה מפנסיה), התשפ""ג-2023")</f>
        <v>12358</v>
      </c>
      <c r="E6307" t="s">
        <v>12358</v>
      </c>
      <c r="F6307" t="s">
        <v>12359</v>
      </c>
      <c r="G6307" t="s">
        <v>14</v>
      </c>
      <c r="H6307">
             </c>
      <c r="I6307" t="s">
        <v>14</v>
      </c>
      <c r="J6307" t="s">
        <v>141</v>
      </c>
      <c r="K6307" t="s">
        <v>14</v>
      </c>
      <c r="L6307" t="s">
        <v>20</v>
      </c>
      <c r="M6307" t="s">
        <v>12244</v>
      </c>
      <c r="N6307" t="s">
        <v>14</v>
      </c>
    </row>
    <row r="6308" x14ac:dyDescent="0.25">
      <c r="A6308" t="n">
        <v>25</v>
      </c>
      <c r="B6308" t="s">
        <v>14</v>
      </c>
      <c r="C6308" t="s">
        <v>22</v>
      </c>
      <c r="D6308" s="2" t="s">
        <f>=HYPERLINK("https://main.knesset.gov.il/APPS/legislation/main/bills/2197998", "הצעת חוק לתיקון פקודת ביטוח רכב מנועי (חיוב שיווק פוליסה), התשפ""ג-2023")</f>
        <v>11498</v>
      </c>
      <c r="E6308" t="s">
        <v>11498</v>
      </c>
      <c r="F6308" t="s">
        <v>12360</v>
      </c>
      <c r="G6308" t="s">
        <v>14</v>
      </c>
      <c r="H6308">
             </c>
      <c r="I6308" t="s">
        <v>14</v>
      </c>
      <c r="J6308" t="s">
        <v>141</v>
      </c>
      <c r="K6308" t="s">
        <v>14</v>
      </c>
      <c r="L6308" t="s">
        <v>20</v>
      </c>
      <c r="M6308" t="s">
        <v>12244</v>
      </c>
      <c r="N6308" t="s">
        <v>14</v>
      </c>
    </row>
    <row r="6309" x14ac:dyDescent="0.25">
      <c r="A6309" t="n">
        <v>25</v>
      </c>
      <c r="B6309" t="s">
        <v>14</v>
      </c>
      <c r="C6309" t="s">
        <v>22</v>
      </c>
      <c r="D6309" s="2" t="s">
        <f>=HYPERLINK("https://main.knesset.gov.il/APPS/legislation/main/bills/2198050", "הצעת חוק הכשרות המשפטית והאפוטרופסות (תיקון - תנאים להוצאת אדם מביתו בניגוד לרצונו), התשפ""ג-2023")</f>
        <v>12361</v>
      </c>
      <c r="E6309" t="s">
        <v>12361</v>
      </c>
      <c r="F6309" t="s">
        <v>12362</v>
      </c>
      <c r="G6309" t="s">
        <v>14</v>
      </c>
      <c r="H6309">
             </c>
      <c r="I6309" t="s">
        <v>14</v>
      </c>
      <c r="J6309" t="s">
        <v>141</v>
      </c>
      <c r="K6309" t="s">
        <v>14</v>
      </c>
      <c r="L6309" t="s">
        <v>20</v>
      </c>
      <c r="M6309" t="s">
        <v>12244</v>
      </c>
      <c r="N6309" t="s">
        <v>14</v>
      </c>
    </row>
    <row r="6310" x14ac:dyDescent="0.25">
      <c r="A6310" t="n">
        <v>25</v>
      </c>
      <c r="B6310" t="s">
        <v>14</v>
      </c>
      <c r="C6310" t="s">
        <v>22</v>
      </c>
      <c r="D6310" s="2" t="s">
        <f>=HYPERLINK("https://main.knesset.gov.il/APPS/legislation/main/bills/2197466", "הצעת חוק איסור לשון הרע (תיקון - ביזוי אדם מחמת משקל), התשפ""ג-2023")</f>
        <v>12363</v>
      </c>
      <c r="E6310" t="s">
        <v>12363</v>
      </c>
      <c r="F6310" t="s">
        <v>12364</v>
      </c>
      <c r="G6310" t="s">
        <v>14</v>
      </c>
      <c r="H6310">
             </c>
      <c r="I6310" t="s">
        <v>14</v>
      </c>
      <c r="J6310" t="s">
        <v>141</v>
      </c>
      <c r="K6310" t="s">
        <v>14</v>
      </c>
      <c r="L6310" t="s">
        <v>20</v>
      </c>
      <c r="M6310" t="s">
        <v>12244</v>
      </c>
      <c r="N6310" t="s">
        <v>14</v>
      </c>
    </row>
    <row r="6311" x14ac:dyDescent="0.25">
      <c r="A6311" t="n">
        <v>25</v>
      </c>
      <c r="B6311" t="s">
        <v>14</v>
      </c>
      <c r="C6311" t="s">
        <v>22</v>
      </c>
      <c r="D6311" s="2" t="s">
        <f>=HYPERLINK("https://main.knesset.gov.il/APPS/legislation/main/bills/2197137", "הצעת חוק שעות עבודה ומנוחה (תיקון - סוף שבוע ארוך), התשפ""ג-2023")</f>
        <v>12365</v>
      </c>
      <c r="E6311" t="s">
        <v>12365</v>
      </c>
      <c r="F6311" t="s">
        <v>12366</v>
      </c>
      <c r="G6311" t="s">
        <v>14</v>
      </c>
      <c r="H6311">
             </c>
      <c r="I6311" t="s">
        <v>14</v>
      </c>
      <c r="J6311" t="s">
        <v>141</v>
      </c>
      <c r="K6311" t="s">
        <v>14</v>
      </c>
      <c r="L6311" t="s">
        <v>20</v>
      </c>
      <c r="M6311" t="s">
        <v>12244</v>
      </c>
      <c r="N6311" t="s">
        <v>14</v>
      </c>
    </row>
    <row r="6312" x14ac:dyDescent="0.25">
      <c r="A6312" t="n">
        <v>25</v>
      </c>
      <c r="B6312" t="s">
        <v>14</v>
      </c>
      <c r="C6312" t="s">
        <v>22</v>
      </c>
      <c r="D6312" s="2" t="s">
        <f>=HYPERLINK("https://main.knesset.gov.il/APPS/legislation/main/bills/2197933", "הצעת חוק המזונות (הבטחת תשלום) (תיקון - סכום שלא יובא בחשבון במבחן ההכנסה), התשפ""ג-2023")</f>
        <v>10351</v>
      </c>
      <c r="E6312" t="s">
        <v>10351</v>
      </c>
      <c r="F6312" t="s">
        <v>12367</v>
      </c>
      <c r="G6312" t="s">
        <v>14</v>
      </c>
      <c r="H6312">
             </c>
      <c r="I6312" t="s">
        <v>14</v>
      </c>
      <c r="J6312" t="s">
        <v>141</v>
      </c>
      <c r="K6312" t="s">
        <v>14</v>
      </c>
      <c r="L6312" t="s">
        <v>20</v>
      </c>
      <c r="M6312" t="s">
        <v>12244</v>
      </c>
      <c r="N6312" t="s">
        <v>14</v>
      </c>
    </row>
    <row r="6313" x14ac:dyDescent="0.25">
      <c r="A6313" t="n">
        <v>25</v>
      </c>
      <c r="B6313" t="s">
        <v>14</v>
      </c>
      <c r="C6313" t="s">
        <v>22</v>
      </c>
      <c r="D6313" s="2" t="s">
        <f>=HYPERLINK("https://main.knesset.gov.il/APPS/legislation/main/bills/2197439", "הצעת חוק הגנת הצרכן (תיקון - פריסת תשלומים בעסקה מתמשכת), התשפ""ג-2023")</f>
        <v>10692</v>
      </c>
      <c r="E6313" t="s">
        <v>10692</v>
      </c>
      <c r="F6313" t="s">
        <v>12368</v>
      </c>
      <c r="G6313" t="s">
        <v>14</v>
      </c>
      <c r="H6313">
             </c>
      <c r="I6313" t="s">
        <v>14</v>
      </c>
      <c r="J6313" t="s">
        <v>141</v>
      </c>
      <c r="K6313" t="s">
        <v>14</v>
      </c>
      <c r="L6313" t="s">
        <v>20</v>
      </c>
      <c r="M6313" t="s">
        <v>12244</v>
      </c>
      <c r="N6313" t="s">
        <v>14</v>
      </c>
    </row>
    <row r="6314" x14ac:dyDescent="0.25">
      <c r="A6314" t="n">
        <v>25</v>
      </c>
      <c r="B6314" t="s">
        <v>14</v>
      </c>
      <c r="C6314" t="s">
        <v>22</v>
      </c>
      <c r="D6314" s="2" t="s">
        <f>=HYPERLINK("https://main.knesset.gov.il/APPS/legislation/main/bills/2197471", "הצעת חוק העונשין (תיקון - אלימות במשפחה בנוכחות קטין או חסר ישע), התשפ""ג-2023")</f>
        <v>12369</v>
      </c>
      <c r="E6314" t="s">
        <v>12369</v>
      </c>
      <c r="F6314" t="s">
        <v>12370</v>
      </c>
      <c r="G6314" t="s">
        <v>14</v>
      </c>
      <c r="H6314">
             </c>
      <c r="I6314" t="s">
        <v>14</v>
      </c>
      <c r="J6314" t="s">
        <v>141</v>
      </c>
      <c r="K6314" t="s">
        <v>14</v>
      </c>
      <c r="L6314" t="s">
        <v>20</v>
      </c>
      <c r="M6314" t="s">
        <v>12244</v>
      </c>
      <c r="N6314" t="s">
        <v>14</v>
      </c>
    </row>
    <row r="6315" x14ac:dyDescent="0.25">
      <c r="A6315" t="n">
        <v>25</v>
      </c>
      <c r="B6315" t="s">
        <v>14</v>
      </c>
      <c r="C6315" t="s">
        <v>22</v>
      </c>
      <c r="D6315" s="2" t="s">
        <f>=HYPERLINK("https://main.knesset.gov.il/APPS/legislation/main/bills/2197897", "הצעת חוק הביטוח הלאומי (תיקון - דמי אבטלה לעצמאים), התשפ""ג-2023")</f>
        <v>9406</v>
      </c>
      <c r="E6315" t="s">
        <v>9406</v>
      </c>
      <c r="F6315" t="s">
        <v>12371</v>
      </c>
      <c r="G6315" t="s">
        <v>14</v>
      </c>
      <c r="H6315">
             </c>
      <c r="I6315" t="s">
        <v>14</v>
      </c>
      <c r="J6315" t="s">
        <v>141</v>
      </c>
      <c r="K6315" t="s">
        <v>14</v>
      </c>
      <c r="L6315" t="s">
        <v>20</v>
      </c>
      <c r="M6315" t="s">
        <v>12244</v>
      </c>
      <c r="N6315" t="s">
        <v>14</v>
      </c>
    </row>
    <row r="6316" x14ac:dyDescent="0.25">
      <c r="A6316" t="n">
        <v>25</v>
      </c>
      <c r="B6316" t="s">
        <v>14</v>
      </c>
      <c r="C6316" t="s">
        <v>22</v>
      </c>
      <c r="D6316" s="2" t="s">
        <f>=HYPERLINK("https://main.knesset.gov.il/APPS/legislation/main/bills/2197206", "הצעת חוק העונשין (תיקון - החמרת ענישה בגין אי-חובת דיווח), התשפ""ג-2023")</f>
        <v>9620</v>
      </c>
      <c r="E6316" t="s">
        <v>9620</v>
      </c>
      <c r="F6316" t="s">
        <v>12372</v>
      </c>
      <c r="G6316" t="s">
        <v>14</v>
      </c>
      <c r="H6316">
             </c>
      <c r="I6316" t="s">
        <v>14</v>
      </c>
      <c r="J6316" t="s">
        <v>141</v>
      </c>
      <c r="K6316" t="s">
        <v>14</v>
      </c>
      <c r="L6316" t="s">
        <v>20</v>
      </c>
      <c r="M6316" t="s">
        <v>12244</v>
      </c>
      <c r="N6316" t="s">
        <v>14</v>
      </c>
    </row>
    <row r="6317" x14ac:dyDescent="0.25">
      <c r="A6317" t="n">
        <v>25</v>
      </c>
      <c r="B6317" t="s">
        <v>14</v>
      </c>
      <c r="C6317" t="s">
        <v>22</v>
      </c>
      <c r="D6317" s="2" t="s">
        <f>=HYPERLINK("https://main.knesset.gov.il/APPS/legislation/main/bills/2197041", "הצעת חוק ביטוח בריאות ממלכתי (תיקון - החזר אגרת נסיעה באמבולנס), התשפ""ג-2023")</f>
        <v>11042</v>
      </c>
      <c r="E6317" t="s">
        <v>11042</v>
      </c>
      <c r="F6317" t="s">
        <v>12373</v>
      </c>
      <c r="G6317" t="s">
        <v>14</v>
      </c>
      <c r="H6317">
             </c>
      <c r="I6317" t="s">
        <v>14</v>
      </c>
      <c r="J6317" t="s">
        <v>141</v>
      </c>
      <c r="K6317" t="s">
        <v>14</v>
      </c>
      <c r="L6317" t="s">
        <v>20</v>
      </c>
      <c r="M6317" t="s">
        <v>12244</v>
      </c>
      <c r="N6317" t="s">
        <v>14</v>
      </c>
    </row>
    <row r="6318" x14ac:dyDescent="0.25">
      <c r="A6318" t="n">
        <v>25</v>
      </c>
      <c r="B6318" t="s">
        <v>14</v>
      </c>
      <c r="C6318" t="s">
        <v>22</v>
      </c>
      <c r="D6318" s="2" t="s">
        <f>=HYPERLINK("https://main.knesset.gov.il/APPS/legislation/main/bills/2197194", "הצעת חוק גוש אריאל, התשפ""ג-2023")</f>
        <v>9702</v>
      </c>
      <c r="E6318" t="s">
        <v>9702</v>
      </c>
      <c r="F6318" t="s">
        <v>12374</v>
      </c>
      <c r="G6318" t="s">
        <v>14</v>
      </c>
      <c r="H6318">
             </c>
      <c r="I6318" t="s">
        <v>14</v>
      </c>
      <c r="J6318" t="s">
        <v>141</v>
      </c>
      <c r="K6318" t="s">
        <v>14</v>
      </c>
      <c r="L6318" t="s">
        <v>20</v>
      </c>
      <c r="M6318" t="s">
        <v>12244</v>
      </c>
      <c r="N6318" t="s">
        <v>14</v>
      </c>
    </row>
    <row r="6319" x14ac:dyDescent="0.25">
      <c r="A6319" t="n">
        <v>25</v>
      </c>
      <c r="B6319" t="s">
        <v>14</v>
      </c>
      <c r="C6319" t="s">
        <v>22</v>
      </c>
      <c r="D6319" s="2" t="s">
        <f>=HYPERLINK("https://main.knesset.gov.il/APPS/legislation/main/bills/2197556", "הצעת חוק הבטחת הכנסה (תיקון - גמלאות להורה עצמאי), התשפ""ג-2023")</f>
        <v>12375</v>
      </c>
      <c r="E6319" t="s">
        <v>12375</v>
      </c>
      <c r="F6319" t="s">
        <v>12376</v>
      </c>
      <c r="G6319" t="s">
        <v>14</v>
      </c>
      <c r="H6319">
             </c>
      <c r="I6319" t="s">
        <v>14</v>
      </c>
      <c r="J6319" t="s">
        <v>141</v>
      </c>
      <c r="K6319" t="s">
        <v>14</v>
      </c>
      <c r="L6319" t="s">
        <v>20</v>
      </c>
      <c r="M6319" t="s">
        <v>12244</v>
      </c>
      <c r="N6319" t="s">
        <v>14</v>
      </c>
    </row>
    <row r="6320" x14ac:dyDescent="0.25">
      <c r="A6320" t="n">
        <v>25</v>
      </c>
      <c r="B6320" t="s">
        <v>14</v>
      </c>
      <c r="C6320" t="s">
        <v>22</v>
      </c>
      <c r="D6320" s="2" t="s">
        <f>=HYPERLINK("https://main.knesset.gov.il/APPS/legislation/main/bills/2197968", "הצעת חוק הגנת הצרכן (תיקון - משלוח חשבונית לצרכן בדרך מקוונת), התשפ""ג-2023")</f>
        <v>9497</v>
      </c>
      <c r="E6320" t="s">
        <v>9497</v>
      </c>
      <c r="F6320" t="s">
        <v>12377</v>
      </c>
      <c r="G6320" t="s">
        <v>14</v>
      </c>
      <c r="H6320">
             </c>
      <c r="I6320" t="s">
        <v>14</v>
      </c>
      <c r="J6320" t="s">
        <v>141</v>
      </c>
      <c r="K6320" t="s">
        <v>14</v>
      </c>
      <c r="L6320" t="s">
        <v>20</v>
      </c>
      <c r="M6320" t="s">
        <v>12244</v>
      </c>
      <c r="N6320" t="s">
        <v>14</v>
      </c>
    </row>
    <row r="6321" x14ac:dyDescent="0.25">
      <c r="A6321" t="n">
        <v>25</v>
      </c>
      <c r="B6321" t="s">
        <v>14</v>
      </c>
      <c r="C6321" t="s">
        <v>22</v>
      </c>
      <c r="D6321" s="2" t="s">
        <f>=HYPERLINK("https://main.knesset.gov.il/APPS/legislation/main/bills/2197191", "הצעת חוק גוש מערב השומרון, התשפ""ג-2023")</f>
        <v>12378</v>
      </c>
      <c r="E6321" t="s">
        <v>12378</v>
      </c>
      <c r="F6321" t="s">
        <v>12379</v>
      </c>
      <c r="G6321" t="s">
        <v>14</v>
      </c>
      <c r="H6321">
             </c>
      <c r="I6321" t="s">
        <v>14</v>
      </c>
      <c r="J6321" t="s">
        <v>141</v>
      </c>
      <c r="K6321" t="s">
        <v>14</v>
      </c>
      <c r="L6321" t="s">
        <v>20</v>
      </c>
      <c r="M6321" t="s">
        <v>12244</v>
      </c>
      <c r="N6321" t="s">
        <v>14</v>
      </c>
    </row>
    <row r="6322" x14ac:dyDescent="0.25">
      <c r="A6322" t="n">
        <v>25</v>
      </c>
      <c r="B6322" t="s">
        <v>14</v>
      </c>
      <c r="C6322" t="s">
        <v>22</v>
      </c>
      <c r="D6322" s="2" t="s">
        <f>=HYPERLINK("https://main.knesset.gov.il/APPS/legislation/main/bills/2196996", "הצעת חוק גוש לב השומרון, התשפ""ג-2023")</f>
        <v>12380</v>
      </c>
      <c r="E6322" t="s">
        <v>12380</v>
      </c>
      <c r="F6322" t="s">
        <v>12381</v>
      </c>
      <c r="G6322" t="s">
        <v>14</v>
      </c>
      <c r="H6322">
             </c>
      <c r="I6322" t="s">
        <v>14</v>
      </c>
      <c r="J6322" t="s">
        <v>141</v>
      </c>
      <c r="K6322" t="s">
        <v>14</v>
      </c>
      <c r="L6322" t="s">
        <v>20</v>
      </c>
      <c r="M6322" t="s">
        <v>12244</v>
      </c>
      <c r="N6322" t="s">
        <v>14</v>
      </c>
    </row>
    <row r="6323" x14ac:dyDescent="0.25">
      <c r="A6323" t="n">
        <v>25</v>
      </c>
      <c r="B6323" t="s">
        <v>14</v>
      </c>
      <c r="C6323" t="s">
        <v>22</v>
      </c>
      <c r="D6323" s="2" t="s">
        <f>=HYPERLINK("https://main.knesset.gov.il/APPS/legislation/main/bills/2197187", "הצעת חוק גוש מרכז בנימין, התשפ""ג-2023")</f>
        <v>12382</v>
      </c>
      <c r="E6323" t="s">
        <v>12382</v>
      </c>
      <c r="F6323" t="s">
        <v>12383</v>
      </c>
      <c r="G6323" t="s">
        <v>14</v>
      </c>
      <c r="H6323">
             </c>
      <c r="I6323" t="s">
        <v>14</v>
      </c>
      <c r="J6323" t="s">
        <v>141</v>
      </c>
      <c r="K6323" t="s">
        <v>14</v>
      </c>
      <c r="L6323" t="s">
        <v>20</v>
      </c>
      <c r="M6323" t="s">
        <v>12244</v>
      </c>
      <c r="N6323" t="s">
        <v>14</v>
      </c>
    </row>
    <row r="6324" x14ac:dyDescent="0.25">
      <c r="A6324" t="n">
        <v>25</v>
      </c>
      <c r="B6324" t="s">
        <v>14</v>
      </c>
      <c r="C6324" t="s">
        <v>22</v>
      </c>
      <c r="D6324" s="2" t="s">
        <f>=HYPERLINK("https://main.knesset.gov.il/APPS/legislation/main/bills/2196993", "הצעת חוק גוש מודיעין, התשפ""ג-2023")</f>
        <v>12384</v>
      </c>
      <c r="E6324" t="s">
        <v>12384</v>
      </c>
      <c r="F6324" t="s">
        <v>12385</v>
      </c>
      <c r="G6324" t="s">
        <v>14</v>
      </c>
      <c r="H6324">
             </c>
      <c r="I6324" t="s">
        <v>14</v>
      </c>
      <c r="J6324" t="s">
        <v>141</v>
      </c>
      <c r="K6324" t="s">
        <v>14</v>
      </c>
      <c r="L6324" t="s">
        <v>20</v>
      </c>
      <c r="M6324" t="s">
        <v>12244</v>
      </c>
      <c r="N6324" t="s">
        <v>14</v>
      </c>
    </row>
    <row r="6325" x14ac:dyDescent="0.25">
      <c r="A6325" t="n">
        <v>25</v>
      </c>
      <c r="B6325" t="s">
        <v>14</v>
      </c>
      <c r="C6325" t="s">
        <v>22</v>
      </c>
      <c r="D6325" s="2" t="s">
        <f>=HYPERLINK("https://main.knesset.gov.il/APPS/legislation/main/bills/2198409", "הצעת חוק חינוך ממלכתי (תיקון - חובת לימוד עברית וערבית), התשפ""ג-2023")</f>
        <v>12386</v>
      </c>
      <c r="E6325" t="s">
        <v>12386</v>
      </c>
      <c r="F6325" t="s">
        <v>12387</v>
      </c>
      <c r="G6325" t="s">
        <v>14</v>
      </c>
      <c r="H6325">
             </c>
      <c r="I6325" t="s">
        <v>14</v>
      </c>
      <c r="J6325" t="s">
        <v>141</v>
      </c>
      <c r="K6325" t="s">
        <v>14</v>
      </c>
      <c r="L6325" t="s">
        <v>20</v>
      </c>
      <c r="M6325" t="s">
        <v>12244</v>
      </c>
      <c r="N6325" t="s">
        <v>14</v>
      </c>
    </row>
    <row r="6326" x14ac:dyDescent="0.25">
      <c r="A6326" t="n">
        <v>25</v>
      </c>
      <c r="B6326" t="s">
        <v>14</v>
      </c>
      <c r="C6326" t="s">
        <v>22</v>
      </c>
      <c r="D6326" s="2" t="s">
        <f>=HYPERLINK("https://main.knesset.gov.il/APPS/legislation/main/bills/2198253", "הצעת חוק-יסוד: כבוד האדם וחירותו (תיקון - זכויות חברתיות)")</f>
        <v>12388</v>
      </c>
      <c r="E6326" t="s">
        <v>12388</v>
      </c>
      <c r="F6326" t="s">
        <v>12389</v>
      </c>
      <c r="G6326" t="s">
        <v>14</v>
      </c>
      <c r="H6326">
             </c>
      <c r="I6326" t="s">
        <v>14</v>
      </c>
      <c r="J6326" t="s">
        <v>141</v>
      </c>
      <c r="K6326" t="s">
        <v>14</v>
      </c>
      <c r="L6326" t="s">
        <v>20</v>
      </c>
      <c r="M6326" t="s">
        <v>12244</v>
      </c>
      <c r="N6326" t="s">
        <v>14</v>
      </c>
    </row>
    <row r="6327" x14ac:dyDescent="0.25">
      <c r="A6327" t="n">
        <v>25</v>
      </c>
      <c r="B6327" t="s">
        <v>14</v>
      </c>
      <c r="C6327" t="s">
        <v>22</v>
      </c>
      <c r="D6327" s="2" t="s">
        <f>=HYPERLINK("https://main.knesset.gov.il/APPS/legislation/main/bills/2197972", "הצעת חוק להגדלת שיעור ההשתתפות בכוח העבודה ולצמצום פערים חברתיים (מענק עבודה) (תיקון - זכות במקרקעין בקבוצת רכישה), התשפ""ג-2023")</f>
        <v>12390</v>
      </c>
      <c r="E6327" t="s">
        <v>12390</v>
      </c>
      <c r="F6327" t="s">
        <v>12391</v>
      </c>
      <c r="G6327" t="s">
        <v>14</v>
      </c>
      <c r="H6327">
             </c>
      <c r="I6327" t="s">
        <v>14</v>
      </c>
      <c r="J6327" t="s">
        <v>141</v>
      </c>
      <c r="K6327" t="s">
        <v>14</v>
      </c>
      <c r="L6327" t="s">
        <v>20</v>
      </c>
      <c r="M6327" t="s">
        <v>12244</v>
      </c>
      <c r="N6327" t="s">
        <v>14</v>
      </c>
    </row>
    <row r="6328" x14ac:dyDescent="0.25">
      <c r="A6328" t="n">
        <v>25</v>
      </c>
      <c r="B6328" t="s">
        <v>14</v>
      </c>
      <c r="C6328" t="s">
        <v>22</v>
      </c>
      <c r="D6328" s="2" t="s">
        <f>=HYPERLINK("https://main.knesset.gov.il/APPS/legislation/main/bills/2197002", "הצעת חוק מעלה אדומים, התשפ""ג-2023")</f>
        <v>12392</v>
      </c>
      <c r="E6328" t="s">
        <v>12392</v>
      </c>
      <c r="F6328" t="s">
        <v>12393</v>
      </c>
      <c r="G6328" t="s">
        <v>14</v>
      </c>
      <c r="H6328">
             </c>
      <c r="I6328" t="s">
        <v>14</v>
      </c>
      <c r="J6328" t="s">
        <v>141</v>
      </c>
      <c r="K6328" t="s">
        <v>14</v>
      </c>
      <c r="L6328" t="s">
        <v>20</v>
      </c>
      <c r="M6328" t="s">
        <v>12244</v>
      </c>
      <c r="N6328" t="s">
        <v>14</v>
      </c>
    </row>
    <row r="6329" x14ac:dyDescent="0.25">
      <c r="A6329" t="n">
        <v>25</v>
      </c>
      <c r="B6329" t="s">
        <v>14</v>
      </c>
      <c r="C6329" t="s">
        <v>22</v>
      </c>
      <c r="D6329" s="2" t="s">
        <f>=HYPERLINK("https://main.knesset.gov.il/APPS/legislation/main/bills/2198030", "הצעת חוק ההוצאה לפועל (תיקון - הודעה לחייב בטרם הגשת בקשה לביצוע משכנתה), התשפ""ג-2023")</f>
        <v>12394</v>
      </c>
      <c r="E6329" t="s">
        <v>12394</v>
      </c>
      <c r="F6329" t="s">
        <v>12395</v>
      </c>
      <c r="G6329" t="s">
        <v>14</v>
      </c>
      <c r="H6329">
             </c>
      <c r="I6329" t="s">
        <v>14</v>
      </c>
      <c r="J6329" t="s">
        <v>141</v>
      </c>
      <c r="K6329" t="s">
        <v>14</v>
      </c>
      <c r="L6329" t="s">
        <v>20</v>
      </c>
      <c r="M6329" t="s">
        <v>12244</v>
      </c>
      <c r="N6329" t="s">
        <v>14</v>
      </c>
    </row>
    <row r="6330" x14ac:dyDescent="0.25">
      <c r="A6330" t="n">
        <v>25</v>
      </c>
      <c r="B6330" t="s">
        <v>14</v>
      </c>
      <c r="C6330" t="s">
        <v>22</v>
      </c>
      <c r="D6330" s="2" t="s">
        <f>=HYPERLINK("https://main.knesset.gov.il/APPS/legislation/main/bills/2198308", "הצעת חוק פירוק החומה, התשפ""ג-2023")</f>
        <v>12396</v>
      </c>
      <c r="E6330" t="s">
        <v>12396</v>
      </c>
      <c r="F6330" t="s">
        <v>12397</v>
      </c>
      <c r="G6330" t="s">
        <v>14</v>
      </c>
      <c r="H6330">
             </c>
      <c r="I6330" t="s">
        <v>14</v>
      </c>
      <c r="J6330" t="s">
        <v>141</v>
      </c>
      <c r="K6330" t="s">
        <v>14</v>
      </c>
      <c r="L6330" t="s">
        <v>20</v>
      </c>
      <c r="M6330" t="s">
        <v>12244</v>
      </c>
      <c r="N6330" t="s">
        <v>14</v>
      </c>
    </row>
    <row r="6331" x14ac:dyDescent="0.25">
      <c r="A6331" t="n">
        <v>25</v>
      </c>
      <c r="B6331" t="s">
        <v>14</v>
      </c>
      <c r="C6331" t="s">
        <v>22</v>
      </c>
      <c r="D6331" s="2" t="s">
        <f>=HYPERLINK("https://main.knesset.gov.il/APPS/legislation/main/bills/2198085", "הצעת חוק תמיכה במימון פעילות ארגון נכי צה""ל ובתי הלוחם ובארגון נפגעי פעולות האיבה, התשפ""ג-2023")</f>
        <v>12398</v>
      </c>
      <c r="E6331" t="s">
        <v>12398</v>
      </c>
      <c r="F6331" t="s">
        <v>12399</v>
      </c>
      <c r="G6331" t="s">
        <v>14</v>
      </c>
      <c r="H6331">
             </c>
      <c r="I6331" t="s">
        <v>14</v>
      </c>
      <c r="J6331" t="s">
        <v>343</v>
      </c>
      <c r="K6331" t="s">
        <v>14</v>
      </c>
      <c r="L6331" t="s">
        <v>20</v>
      </c>
      <c r="M6331" t="s">
        <v>12244</v>
      </c>
      <c r="N6331" t="s">
        <v>14</v>
      </c>
    </row>
    <row r="6332" x14ac:dyDescent="0.25">
      <c r="A6332" t="n">
        <v>25</v>
      </c>
      <c r="B6332" t="s">
        <v>14</v>
      </c>
      <c r="C6332" t="s">
        <v>22</v>
      </c>
      <c r="D6332" s="2" t="s">
        <f>=HYPERLINK("https://main.knesset.gov.il/APPS/legislation/main/bills/2197614", "הצעת חוק כביש אגרה (כביש ארצי לישראל) (תיקון - פטור מאגרה בשל האטה ממהירות הנסיעה המותרת), התשפ""ג-2023")</f>
        <v>10716</v>
      </c>
      <c r="E6332" t="s">
        <v>10716</v>
      </c>
      <c r="F6332" t="s">
        <v>12400</v>
      </c>
      <c r="G6332" t="s">
        <v>14</v>
      </c>
      <c r="H6332">
             </c>
      <c r="I6332" t="s">
        <v>14</v>
      </c>
      <c r="J6332" t="s">
        <v>141</v>
      </c>
      <c r="K6332" t="s">
        <v>14</v>
      </c>
      <c r="L6332" t="s">
        <v>20</v>
      </c>
      <c r="M6332" t="s">
        <v>12244</v>
      </c>
      <c r="N6332" t="s">
        <v>14</v>
      </c>
    </row>
    <row r="6333" x14ac:dyDescent="0.25">
      <c r="A6333" t="n">
        <v>25</v>
      </c>
      <c r="B6333" t="s">
        <v>14</v>
      </c>
      <c r="C6333" t="s">
        <v>22</v>
      </c>
      <c r="D6333" s="2" t="s">
        <f>=HYPERLINK("https://main.knesset.gov.il/APPS/legislation/main/bills/2198051", "הצעת חוק שירותי הסעד (תיקון - איסור התניית מימון שירותי רווחה ברשויות מוחלשות), התשפ""ג-2023")</f>
        <v>12401</v>
      </c>
      <c r="E6333" t="s">
        <v>12401</v>
      </c>
      <c r="F6333" t="s">
        <v>12402</v>
      </c>
      <c r="G6333" t="s">
        <v>14</v>
      </c>
      <c r="H6333">
             </c>
      <c r="I6333" t="s">
        <v>14</v>
      </c>
      <c r="J6333" t="s">
        <v>141</v>
      </c>
      <c r="K6333" t="s">
        <v>14</v>
      </c>
      <c r="L6333" t="s">
        <v>20</v>
      </c>
      <c r="M6333" t="s">
        <v>12244</v>
      </c>
      <c r="N6333" t="s">
        <v>14</v>
      </c>
    </row>
    <row r="6334" x14ac:dyDescent="0.25">
      <c r="A6334" t="n">
        <v>25</v>
      </c>
      <c r="B6334" t="s">
        <v>14</v>
      </c>
      <c r="C6334" t="s">
        <v>22</v>
      </c>
      <c r="D6334" s="2" t="s">
        <f>=HYPERLINK("https://main.knesset.gov.il/APPS/legislation/main/bills/2197388", "הצעת חוק הגנת הצרכן (תיקון - תיעוד שיחות בין צרכן לעוסק ומסירתו לצרכן), התשפ""ג-2023")</f>
        <v>12403</v>
      </c>
      <c r="E6334" t="s">
        <v>12403</v>
      </c>
      <c r="F6334" t="s">
        <v>12404</v>
      </c>
      <c r="G6334" t="s">
        <v>14</v>
      </c>
      <c r="H6334">
             </c>
      <c r="I6334" t="s">
        <v>14</v>
      </c>
      <c r="J6334" t="s">
        <v>141</v>
      </c>
      <c r="K6334" t="s">
        <v>14</v>
      </c>
      <c r="L6334" t="s">
        <v>20</v>
      </c>
      <c r="M6334" t="s">
        <v>12244</v>
      </c>
      <c r="N6334" t="s">
        <v>14</v>
      </c>
    </row>
    <row r="6335" x14ac:dyDescent="0.25">
      <c r="A6335" t="n">
        <v>25</v>
      </c>
      <c r="B6335" t="s">
        <v>14</v>
      </c>
      <c r="C6335" t="s">
        <v>22</v>
      </c>
      <c r="D6335" s="2" t="s">
        <f>=HYPERLINK("https://main.knesset.gov.il/APPS/legislation/main/bills/2198162", "הצעת חוק לתיקון פקודת בריאות הציבור (מזון) (ציון מידע אודות רכיבים אלרגניים), התשפ""ג-2023")</f>
        <v>12405</v>
      </c>
      <c r="E6335" t="s">
        <v>12405</v>
      </c>
      <c r="F6335" t="s">
        <v>12406</v>
      </c>
      <c r="G6335" t="s">
        <v>14</v>
      </c>
      <c r="H6335">
             </c>
      <c r="I6335" t="s">
        <v>14</v>
      </c>
      <c r="J6335" t="s">
        <v>141</v>
      </c>
      <c r="K6335" t="s">
        <v>14</v>
      </c>
      <c r="L6335" t="s">
        <v>20</v>
      </c>
      <c r="M6335" t="s">
        <v>12244</v>
      </c>
      <c r="N6335" t="s">
        <v>14</v>
      </c>
    </row>
    <row r="6336" x14ac:dyDescent="0.25">
      <c r="A6336" t="n">
        <v>25</v>
      </c>
      <c r="B6336" t="s">
        <v>14</v>
      </c>
      <c r="C6336" t="s">
        <v>22</v>
      </c>
      <c r="D6336" s="2" t="s">
        <f>=HYPERLINK("https://main.knesset.gov.il/APPS/legislation/main/bills/2197479", "הצעת חוק יחסי ממון בין בני זוג (תיקון - הפקעת זכות האיזון מבן זוג שהורשע ברצח בן הזוג השני), התשפ""ג-2023")</f>
        <v>12407</v>
      </c>
      <c r="E6336" t="s">
        <v>12407</v>
      </c>
      <c r="F6336" t="s">
        <v>12408</v>
      </c>
      <c r="G6336" t="s">
        <v>14</v>
      </c>
      <c r="H6336">
             </c>
      <c r="I6336" t="s">
        <v>14</v>
      </c>
      <c r="J6336" t="s">
        <v>141</v>
      </c>
      <c r="K6336" t="s">
        <v>14</v>
      </c>
      <c r="L6336" t="s">
        <v>20</v>
      </c>
      <c r="M6336" t="s">
        <v>12244</v>
      </c>
      <c r="N6336" t="s">
        <v>14</v>
      </c>
    </row>
    <row r="6337" x14ac:dyDescent="0.25">
      <c r="A6337" t="n">
        <v>25</v>
      </c>
      <c r="B6337" t="s">
        <v>14</v>
      </c>
      <c r="C6337" t="s">
        <v>22</v>
      </c>
      <c r="D6337" s="2" t="s">
        <f>=HYPERLINK("https://main.knesset.gov.il/APPS/legislation/main/bills/2198040", "הצעת חוק ארוחה חמה לתלמיד בחופשה, התשפ""ג-2023")</f>
        <v>12409</v>
      </c>
      <c r="E6337" t="s">
        <v>12409</v>
      </c>
      <c r="F6337" t="s">
        <v>12410</v>
      </c>
      <c r="G6337" t="s">
        <v>14</v>
      </c>
      <c r="H6337">
             </c>
      <c r="I6337" t="s">
        <v>14</v>
      </c>
      <c r="J6337" t="s">
        <v>141</v>
      </c>
      <c r="K6337" t="s">
        <v>14</v>
      </c>
      <c r="L6337" t="s">
        <v>20</v>
      </c>
      <c r="M6337" t="s">
        <v>12244</v>
      </c>
      <c r="N6337" t="s">
        <v>14</v>
      </c>
    </row>
    <row r="6338" x14ac:dyDescent="0.25">
      <c r="A6338" t="n">
        <v>25</v>
      </c>
      <c r="B6338" t="s">
        <v>14</v>
      </c>
      <c r="C6338" t="s">
        <v>22</v>
      </c>
      <c r="D6338" s="2" t="s">
        <f>=HYPERLINK("https://main.knesset.gov.il/APPS/legislation/main/bills/2198300", "הצעת חוק אבטחה במוסדות חינוך, התשפ""ג-2023")</f>
        <v>10477</v>
      </c>
      <c r="E6338" t="s">
        <v>10477</v>
      </c>
      <c r="F6338" t="s">
        <v>12411</v>
      </c>
      <c r="G6338" t="s">
        <v>14</v>
      </c>
      <c r="H6338">
             </c>
      <c r="I6338" t="s">
        <v>14</v>
      </c>
      <c r="J6338" t="s">
        <v>141</v>
      </c>
      <c r="K6338" t="s">
        <v>14</v>
      </c>
      <c r="L6338" t="s">
        <v>20</v>
      </c>
      <c r="M6338" t="s">
        <v>12244</v>
      </c>
      <c r="N6338" t="s">
        <v>14</v>
      </c>
    </row>
    <row r="6339" x14ac:dyDescent="0.25">
      <c r="A6339" t="n">
        <v>25</v>
      </c>
      <c r="B6339" t="s">
        <v>14</v>
      </c>
      <c r="C6339" t="s">
        <v>22</v>
      </c>
      <c r="D6339" s="2" t="s">
        <f>=HYPERLINK("https://main.knesset.gov.il/APPS/legislation/main/bills/2198262", "הצעת חוק צער בעלי חיים (הגנה על בעלי חיים) (תיקון - איחוד סמכויות), התשפ""ג-2023")</f>
        <v>12412</v>
      </c>
      <c r="E6339" t="s">
        <v>12412</v>
      </c>
      <c r="F6339" t="s">
        <v>12413</v>
      </c>
      <c r="G6339" t="s">
        <v>14</v>
      </c>
      <c r="H6339">
             </c>
      <c r="I6339" t="s">
        <v>14</v>
      </c>
      <c r="J6339" t="s">
        <v>141</v>
      </c>
      <c r="K6339" t="s">
        <v>14</v>
      </c>
      <c r="L6339" t="s">
        <v>20</v>
      </c>
      <c r="M6339" t="s">
        <v>12244</v>
      </c>
      <c r="N6339" t="s">
        <v>14</v>
      </c>
    </row>
    <row r="6340" x14ac:dyDescent="0.25">
      <c r="A6340" t="n">
        <v>25</v>
      </c>
      <c r="B6340" t="s">
        <v>14</v>
      </c>
      <c r="C6340" t="s">
        <v>22</v>
      </c>
      <c r="D6340" s="2" t="s">
        <f>=HYPERLINK("https://main.knesset.gov.il/APPS/legislation/main/bills/2198540", "הצעת חוק לתיקון פקודת מס הכנסה (ניכוי ריבית על משכנתה), התשפ""ג-2023")</f>
        <v>9518</v>
      </c>
      <c r="E6340" t="s">
        <v>9518</v>
      </c>
      <c r="F6340" t="s">
        <v>12414</v>
      </c>
      <c r="G6340" t="s">
        <v>14</v>
      </c>
      <c r="H6340">
             </c>
      <c r="I6340" t="s">
        <v>14</v>
      </c>
      <c r="J6340" t="s">
        <v>141</v>
      </c>
      <c r="K6340" t="s">
        <v>14</v>
      </c>
      <c r="L6340" t="s">
        <v>20</v>
      </c>
      <c r="M6340" t="s">
        <v>12244</v>
      </c>
      <c r="N6340" t="s">
        <v>14</v>
      </c>
    </row>
    <row r="6341" x14ac:dyDescent="0.25">
      <c r="A6341" t="n">
        <v>25</v>
      </c>
      <c r="B6341" t="s">
        <v>14</v>
      </c>
      <c r="C6341" t="s">
        <v>22</v>
      </c>
      <c r="D6341" s="2" t="s">
        <f>=HYPERLINK("https://main.knesset.gov.il/APPS/legislation/main/bills/2198198", "הצעת חוק לתיקון פקודת מס הכנסה (משיכה מקרן השתלמות לרכישת דירה ראשונה), התשפ""ג-2023")</f>
        <v>8390</v>
      </c>
      <c r="E6341" t="s">
        <v>8390</v>
      </c>
      <c r="F6341" t="s">
        <v>12415</v>
      </c>
      <c r="G6341" t="s">
        <v>14</v>
      </c>
      <c r="H6341">
             </c>
      <c r="I6341" t="s">
        <v>14</v>
      </c>
      <c r="J6341" t="s">
        <v>141</v>
      </c>
      <c r="K6341" t="s">
        <v>14</v>
      </c>
      <c r="L6341" t="s">
        <v>20</v>
      </c>
      <c r="M6341" t="s">
        <v>12244</v>
      </c>
      <c r="N6341" t="s">
        <v>14</v>
      </c>
    </row>
    <row r="6342" x14ac:dyDescent="0.25">
      <c r="A6342" t="n">
        <v>25</v>
      </c>
      <c r="B6342" t="s">
        <v>14</v>
      </c>
      <c r="C6342" t="s">
        <v>22</v>
      </c>
      <c r="D6342" s="2" t="s">
        <f>=HYPERLINK("https://main.knesset.gov.il/APPS/legislation/main/bills/2198256", "הצעת חוק הביטוח הלאומי (תיקון - הארכת המועד להגשת תביעה לגמלה והתקופה שבעדה תשולם), התשפ""ג-2023")</f>
        <v>8335</v>
      </c>
      <c r="E6342" t="s">
        <v>8335</v>
      </c>
      <c r="F6342" t="s">
        <v>12416</v>
      </c>
      <c r="G6342" t="s">
        <v>14</v>
      </c>
      <c r="H6342">
             </c>
      <c r="I6342" t="s">
        <v>14</v>
      </c>
      <c r="J6342" t="s">
        <v>141</v>
      </c>
      <c r="K6342" t="s">
        <v>14</v>
      </c>
      <c r="L6342" t="s">
        <v>20</v>
      </c>
      <c r="M6342" t="s">
        <v>12244</v>
      </c>
      <c r="N6342" t="s">
        <v>14</v>
      </c>
    </row>
    <row r="6343" x14ac:dyDescent="0.25">
      <c r="A6343" t="n">
        <v>25</v>
      </c>
      <c r="B6343" t="s">
        <v>14</v>
      </c>
      <c r="C6343" t="s">
        <v>22</v>
      </c>
      <c r="D6343" s="2" t="s">
        <f>=HYPERLINK("https://main.knesset.gov.il/APPS/legislation/main/bills/2198047", "הצעת חוק העונשין (תיקון - תקיפת נהג אוטובוס ציבורי), התשפ""ג-2023")</f>
        <v>9501</v>
      </c>
      <c r="E6343" t="s">
        <v>9501</v>
      </c>
      <c r="F6343" t="s">
        <v>12417</v>
      </c>
      <c r="G6343" t="s">
        <v>14</v>
      </c>
      <c r="H6343">
             </c>
      <c r="I6343" t="s">
        <v>14</v>
      </c>
      <c r="J6343" t="s">
        <v>141</v>
      </c>
      <c r="K6343" t="s">
        <v>14</v>
      </c>
      <c r="L6343" t="s">
        <v>20</v>
      </c>
      <c r="M6343" t="s">
        <v>12244</v>
      </c>
      <c r="N6343" t="s">
        <v>14</v>
      </c>
    </row>
    <row r="6344" x14ac:dyDescent="0.25">
      <c r="A6344" t="n">
        <v>25</v>
      </c>
      <c r="B6344" t="s">
        <v>14</v>
      </c>
      <c r="C6344" t="s">
        <v>22</v>
      </c>
      <c r="D6344" s="2" t="s">
        <f>=HYPERLINK("https://main.knesset.gov.il/APPS/legislation/main/bills/2198302", "הצעת חוק זכויות הסטודנט (תיקון - ייצוג הולם במוסדות אגודת הסטודנטים), התשפ""ג-2023")</f>
        <v>12418</v>
      </c>
      <c r="E6344" t="s">
        <v>12418</v>
      </c>
      <c r="F6344" t="s">
        <v>12419</v>
      </c>
      <c r="G6344" t="s">
        <v>14</v>
      </c>
      <c r="H6344">
             </c>
      <c r="I6344" t="s">
        <v>14</v>
      </c>
      <c r="J6344" t="s">
        <v>141</v>
      </c>
      <c r="K6344" t="s">
        <v>14</v>
      </c>
      <c r="L6344" t="s">
        <v>20</v>
      </c>
      <c r="M6344" t="s">
        <v>12244</v>
      </c>
      <c r="N6344" t="s">
        <v>14</v>
      </c>
    </row>
    <row r="6345" x14ac:dyDescent="0.25">
      <c r="A6345" t="n">
        <v>25</v>
      </c>
      <c r="B6345" t="s">
        <v>14</v>
      </c>
      <c r="C6345" t="s">
        <v>22</v>
      </c>
      <c r="D6345" s="2" t="s">
        <f>=HYPERLINK("https://main.knesset.gov.il/APPS/legislation/main/bills/2198332", "הצעת חוק השכלה גבוהה חינם, התשפ""ג-2023")</f>
        <v>12420</v>
      </c>
      <c r="E6345" t="s">
        <v>12420</v>
      </c>
      <c r="F6345" t="s">
        <v>12421</v>
      </c>
      <c r="G6345" t="s">
        <v>14</v>
      </c>
      <c r="H6345">
             </c>
      <c r="I6345" t="s">
        <v>14</v>
      </c>
      <c r="J6345" t="s">
        <v>141</v>
      </c>
      <c r="K6345" t="s">
        <v>14</v>
      </c>
      <c r="L6345" t="s">
        <v>20</v>
      </c>
      <c r="M6345" t="s">
        <v>12244</v>
      </c>
      <c r="N6345" t="s">
        <v>14</v>
      </c>
    </row>
    <row r="6346" x14ac:dyDescent="0.25">
      <c r="A6346" t="n">
        <v>25</v>
      </c>
      <c r="B6346" t="s">
        <v>14</v>
      </c>
      <c r="C6346" t="s">
        <v>22</v>
      </c>
      <c r="D6346" s="2" t="s">
        <f>=HYPERLINK("https://main.knesset.gov.il/APPS/legislation/main/bills/2197200", "הצעת חוק השכלה גבוהה חינם, התשפ""ג-2023")</f>
        <v>12420</v>
      </c>
      <c r="E6346" t="s">
        <v>12420</v>
      </c>
      <c r="F6346" t="s">
        <v>12422</v>
      </c>
      <c r="G6346" t="s">
        <v>14</v>
      </c>
      <c r="H6346">
             </c>
      <c r="I6346" t="s">
        <v>14</v>
      </c>
      <c r="J6346" t="s">
        <v>141</v>
      </c>
      <c r="K6346" t="s">
        <v>14</v>
      </c>
      <c r="L6346" t="s">
        <v>20</v>
      </c>
      <c r="M6346" t="s">
        <v>12244</v>
      </c>
      <c r="N6346" t="s">
        <v>14</v>
      </c>
    </row>
    <row r="6347" x14ac:dyDescent="0.25">
      <c r="A6347" t="n">
        <v>25</v>
      </c>
      <c r="B6347" t="s">
        <v>14</v>
      </c>
      <c r="C6347" t="s">
        <v>22</v>
      </c>
      <c r="D6347" s="2" t="s">
        <f>=HYPERLINK("https://main.knesset.gov.il/APPS/legislation/main/bills/2197994", "הצעת חוק המים (תיקון - איסור הפסקת אספקת מים בשל חובות של רשויות מקומיות), התשפ""ג-2023")</f>
        <v>12423</v>
      </c>
      <c r="E6347" t="s">
        <v>12423</v>
      </c>
      <c r="F6347" t="s">
        <v>12424</v>
      </c>
      <c r="G6347" t="s">
        <v>14</v>
      </c>
      <c r="H6347">
             </c>
      <c r="I6347" t="s">
        <v>14</v>
      </c>
      <c r="J6347" t="s">
        <v>141</v>
      </c>
      <c r="K6347" t="s">
        <v>14</v>
      </c>
      <c r="L6347" t="s">
        <v>20</v>
      </c>
      <c r="M6347" t="s">
        <v>12244</v>
      </c>
      <c r="N6347" t="s">
        <v>14</v>
      </c>
    </row>
    <row r="6348" x14ac:dyDescent="0.25">
      <c r="A6348" t="n">
        <v>25</v>
      </c>
      <c r="B6348" t="s">
        <v>14</v>
      </c>
      <c r="C6348" t="s">
        <v>22</v>
      </c>
      <c r="D6348" s="2" t="s">
        <f>=HYPERLINK("https://main.knesset.gov.il/APPS/legislation/main/bills/2198254", "הצעת חוק מחלות יתומות, התשפ""ג-2023")</f>
        <v>12425</v>
      </c>
      <c r="E6348" t="s">
        <v>12425</v>
      </c>
      <c r="F6348" t="s">
        <v>12426</v>
      </c>
      <c r="G6348" t="s">
        <v>14</v>
      </c>
      <c r="H6348">
             </c>
      <c r="I6348" t="s">
        <v>14</v>
      </c>
      <c r="J6348" t="s">
        <v>141</v>
      </c>
      <c r="K6348" t="s">
        <v>14</v>
      </c>
      <c r="L6348" t="s">
        <v>20</v>
      </c>
      <c r="M6348" t="s">
        <v>12244</v>
      </c>
      <c r="N6348" t="s">
        <v>14</v>
      </c>
    </row>
    <row r="6349" x14ac:dyDescent="0.25">
      <c r="A6349" t="n">
        <v>25</v>
      </c>
      <c r="B6349" t="s">
        <v>14</v>
      </c>
      <c r="C6349" t="s">
        <v>22</v>
      </c>
      <c r="D6349" s="2" t="s">
        <f>=HYPERLINK("https://main.knesset.gov.il/APPS/legislation/main/bills/2197558", "הצעת חוק הפסקת היריון, התשפ""ג-2023")</f>
        <v>8844</v>
      </c>
      <c r="E6349" t="s">
        <v>8844</v>
      </c>
      <c r="F6349" t="s">
        <v>12427</v>
      </c>
      <c r="G6349" t="s">
        <v>14</v>
      </c>
      <c r="H6349">
             </c>
      <c r="I6349" t="s">
        <v>14</v>
      </c>
      <c r="J6349" t="s">
        <v>141</v>
      </c>
      <c r="K6349" t="s">
        <v>14</v>
      </c>
      <c r="L6349" t="s">
        <v>20</v>
      </c>
      <c r="M6349" t="s">
        <v>12244</v>
      </c>
      <c r="N6349" t="s">
        <v>14</v>
      </c>
    </row>
    <row r="6350" x14ac:dyDescent="0.25">
      <c r="A6350" t="n">
        <v>25</v>
      </c>
      <c r="B6350" t="s">
        <v>14</v>
      </c>
      <c r="C6350" t="s">
        <v>22</v>
      </c>
      <c r="D6350" s="2" t="s">
        <f>=HYPERLINK("https://main.knesset.gov.il/APPS/legislation/main/bills/2198044", "הצעת חוק שכר לחיילים בשירות סדיר, התשפ""ג-2023")</f>
        <v>12428</v>
      </c>
      <c r="E6350" t="s">
        <v>12428</v>
      </c>
      <c r="F6350" t="s">
        <v>12429</v>
      </c>
      <c r="G6350" t="s">
        <v>14</v>
      </c>
      <c r="H6350">
             </c>
      <c r="I6350" t="s">
        <v>14</v>
      </c>
      <c r="J6350" t="s">
        <v>141</v>
      </c>
      <c r="K6350" t="s">
        <v>14</v>
      </c>
      <c r="L6350" t="s">
        <v>20</v>
      </c>
      <c r="M6350" t="s">
        <v>12244</v>
      </c>
      <c r="N6350" t="s">
        <v>14</v>
      </c>
    </row>
    <row r="6351" x14ac:dyDescent="0.25">
      <c r="A6351" t="n">
        <v>25</v>
      </c>
      <c r="B6351" t="s">
        <v>14</v>
      </c>
      <c r="C6351" t="s">
        <v>22</v>
      </c>
      <c r="D6351" s="2" t="s">
        <f>=HYPERLINK("https://main.knesset.gov.il/APPS/legislation/main/bills/2197060", "הצעת חוק חברון ובנותיה, התשפ""ג-2023")</f>
        <v>12430</v>
      </c>
      <c r="E6351" t="s">
        <v>12430</v>
      </c>
      <c r="F6351" t="s">
        <v>12431</v>
      </c>
      <c r="G6351" t="s">
        <v>14</v>
      </c>
      <c r="H6351">
             </c>
      <c r="I6351" t="s">
        <v>14</v>
      </c>
      <c r="J6351" t="s">
        <v>141</v>
      </c>
      <c r="K6351" t="s">
        <v>14</v>
      </c>
      <c r="L6351" t="s">
        <v>20</v>
      </c>
      <c r="M6351" t="s">
        <v>12244</v>
      </c>
      <c r="N6351" t="s">
        <v>14</v>
      </c>
    </row>
    <row r="6352" x14ac:dyDescent="0.25">
      <c r="A6352" t="n">
        <v>25</v>
      </c>
      <c r="B6352" t="s">
        <v>14</v>
      </c>
      <c r="C6352" t="s">
        <v>22</v>
      </c>
      <c r="D6352" s="2" t="s">
        <f>=HYPERLINK("https://main.knesset.gov.il/APPS/legislation/main/bills/2197947", "הצעת חוק האקלים, התשפ""ג-2023")</f>
        <v>2132</v>
      </c>
      <c r="E6352" t="s">
        <v>2132</v>
      </c>
      <c r="F6352" t="s">
        <v>12432</v>
      </c>
      <c r="G6352" t="s">
        <v>14</v>
      </c>
      <c r="H6352">
             </c>
      <c r="I6352" t="s">
        <v>14</v>
      </c>
      <c r="J6352" t="s">
        <v>141</v>
      </c>
      <c r="K6352" t="s">
        <v>14</v>
      </c>
      <c r="L6352" t="s">
        <v>20</v>
      </c>
      <c r="M6352" t="s">
        <v>12244</v>
      </c>
      <c r="N6352" t="s">
        <v>14</v>
      </c>
    </row>
    <row r="6353" x14ac:dyDescent="0.25">
      <c r="A6353" t="n">
        <v>25</v>
      </c>
      <c r="B6353" t="s">
        <v>14</v>
      </c>
      <c r="C6353" t="s">
        <v>22</v>
      </c>
      <c r="D6353" s="2" t="s">
        <f>=HYPERLINK("https://main.knesset.gov.il/APPS/legislation/main/bills/2197613", "הצעת חוק משק החשמל (תיקון - איסור ניתוק חשמל), התשפ""ג-2023")</f>
        <v>11093</v>
      </c>
      <c r="E6353" t="s">
        <v>11093</v>
      </c>
      <c r="F6353" t="s">
        <v>12433</v>
      </c>
      <c r="G6353" t="s">
        <v>14</v>
      </c>
      <c r="H6353">
             </c>
      <c r="I6353" t="s">
        <v>14</v>
      </c>
      <c r="J6353" t="s">
        <v>141</v>
      </c>
      <c r="K6353" t="s">
        <v>14</v>
      </c>
      <c r="L6353" t="s">
        <v>20</v>
      </c>
      <c r="M6353" t="s">
        <v>12244</v>
      </c>
      <c r="N6353" t="s">
        <v>14</v>
      </c>
    </row>
    <row r="6354" x14ac:dyDescent="0.25">
      <c r="A6354" t="n">
        <v>25</v>
      </c>
      <c r="B6354" t="s">
        <v>14</v>
      </c>
      <c r="C6354" t="s">
        <v>22</v>
      </c>
      <c r="D6354" s="2" t="s">
        <f>=HYPERLINK("https://main.knesset.gov.il/APPS/legislation/main/bills/2197482", "הצעת חוק לתיקון פקודת התעבורה (הסדרי תנועה בקרבת בית ספר), התשפ""ג-2023")</f>
        <v>11600</v>
      </c>
      <c r="E6354" t="s">
        <v>11600</v>
      </c>
      <c r="F6354" t="s">
        <v>12434</v>
      </c>
      <c r="G6354" t="s">
        <v>14</v>
      </c>
      <c r="H6354">
             </c>
      <c r="I6354" t="s">
        <v>14</v>
      </c>
      <c r="J6354" t="s">
        <v>141</v>
      </c>
      <c r="K6354" t="s">
        <v>14</v>
      </c>
      <c r="L6354" t="s">
        <v>20</v>
      </c>
      <c r="M6354" t="s">
        <v>12244</v>
      </c>
      <c r="N6354" t="s">
        <v>14</v>
      </c>
    </row>
    <row r="6355" x14ac:dyDescent="0.25">
      <c r="A6355" t="n">
        <v>25</v>
      </c>
      <c r="B6355" t="s">
        <v>14</v>
      </c>
      <c r="C6355" t="s">
        <v>22</v>
      </c>
      <c r="D6355" s="2" t="s">
        <f>=HYPERLINK("https://main.knesset.gov.il/APPS/legislation/main/bills/2197616", "הצעת חוק כביש אגרה (כביש ארצי לישראל) (תיקון - הפחתת ריבית פיגורים על חוב חלוט), התשפ""ג-2023")</f>
        <v>12435</v>
      </c>
      <c r="E6355" t="s">
        <v>12435</v>
      </c>
      <c r="F6355" t="s">
        <v>12436</v>
      </c>
      <c r="G6355" t="s">
        <v>14</v>
      </c>
      <c r="H6355">
             </c>
      <c r="I6355" t="s">
        <v>14</v>
      </c>
      <c r="J6355" t="s">
        <v>141</v>
      </c>
      <c r="K6355" t="s">
        <v>14</v>
      </c>
      <c r="L6355" t="s">
        <v>20</v>
      </c>
      <c r="M6355" t="s">
        <v>12244</v>
      </c>
      <c r="N6355" t="s">
        <v>14</v>
      </c>
    </row>
    <row r="6356" x14ac:dyDescent="0.25">
      <c r="A6356" t="n">
        <v>25</v>
      </c>
      <c r="B6356" t="s">
        <v>14</v>
      </c>
      <c r="C6356" t="s">
        <v>22</v>
      </c>
      <c r="D6356" s="2" t="s">
        <f>=HYPERLINK("https://main.knesset.gov.il/APPS/legislation/main/bills/2197219", "הצעת חוק העונשין (תיקון - הפחתת ריבית פיגורים בשל אי תשלום קנס), התשפ""ג-2023")</f>
        <v>12437</v>
      </c>
      <c r="E6356" t="s">
        <v>12437</v>
      </c>
      <c r="F6356" t="s">
        <v>12438</v>
      </c>
      <c r="G6356" t="s">
        <v>14</v>
      </c>
      <c r="H6356">
             </c>
      <c r="I6356" t="s">
        <v>14</v>
      </c>
      <c r="J6356" t="s">
        <v>141</v>
      </c>
      <c r="K6356" t="s">
        <v>14</v>
      </c>
      <c r="L6356" t="s">
        <v>20</v>
      </c>
      <c r="M6356" t="s">
        <v>12244</v>
      </c>
      <c r="N6356" t="s">
        <v>14</v>
      </c>
    </row>
    <row r="6357" x14ac:dyDescent="0.25">
      <c r="A6357" t="n">
        <v>25</v>
      </c>
      <c r="B6357" t="s">
        <v>14</v>
      </c>
      <c r="C6357" t="s">
        <v>22</v>
      </c>
      <c r="D6357" s="2" t="s">
        <f>=HYPERLINK("https://main.knesset.gov.il/APPS/legislation/main/bills/2198046", "הצעת חוק תשלום פיצויים בשל נזקי אסון טבע, התשפ""ג-2023")</f>
        <v>11640</v>
      </c>
      <c r="E6357" t="s">
        <v>11640</v>
      </c>
      <c r="F6357" t="s">
        <v>12439</v>
      </c>
      <c r="G6357" t="s">
        <v>14</v>
      </c>
      <c r="H6357">
             </c>
      <c r="I6357" t="s">
        <v>14</v>
      </c>
      <c r="J6357" t="s">
        <v>141</v>
      </c>
      <c r="K6357" t="s">
        <v>14</v>
      </c>
      <c r="L6357" t="s">
        <v>20</v>
      </c>
      <c r="M6357" t="s">
        <v>12244</v>
      </c>
      <c r="N6357" t="s">
        <v>14</v>
      </c>
    </row>
    <row r="6358" x14ac:dyDescent="0.25">
      <c r="A6358" t="n">
        <v>25</v>
      </c>
      <c r="B6358" t="s">
        <v>14</v>
      </c>
      <c r="C6358" t="s">
        <v>22</v>
      </c>
      <c r="D6358" s="2" t="s">
        <f>=HYPERLINK("https://main.knesset.gov.il/APPS/legislation/main/bills/2196936", "הצעת חוק-יסוד: הכנסת (תיקון - ביטול סעיפים 7א ו-42א(ג))")</f>
        <v>12440</v>
      </c>
      <c r="E6358" t="s">
        <v>12440</v>
      </c>
      <c r="F6358" t="s">
        <v>12441</v>
      </c>
      <c r="G6358" t="s">
        <v>14</v>
      </c>
      <c r="H6358">
             </c>
      <c r="I6358" t="s">
        <v>14</v>
      </c>
      <c r="J6358" t="s">
        <v>141</v>
      </c>
      <c r="K6358" t="s">
        <v>14</v>
      </c>
      <c r="L6358" t="s">
        <v>20</v>
      </c>
      <c r="M6358" t="s">
        <v>12244</v>
      </c>
      <c r="N6358" t="s">
        <v>14</v>
      </c>
    </row>
    <row r="6359" x14ac:dyDescent="0.25">
      <c r="A6359" t="n">
        <v>25</v>
      </c>
      <c r="B6359" t="s">
        <v>14</v>
      </c>
      <c r="C6359" t="s">
        <v>22</v>
      </c>
      <c r="D6359" s="2" t="s">
        <f>=HYPERLINK("https://main.knesset.gov.il/APPS/legislation/main/bills/2197941", "הצעת חוק הגבלת השימוש ורישום פעולות בחלקי רכב משומשים (מניעת גניבות) (תיקון - ביטול האיסור על תיקון בשטחי האחריות האזרחית הפלסטינית), התשפ""ג-2023")</f>
        <v>12442</v>
      </c>
      <c r="E6359" t="s">
        <v>12442</v>
      </c>
      <c r="F6359" t="s">
        <v>12443</v>
      </c>
      <c r="G6359" t="s">
        <v>14</v>
      </c>
      <c r="H6359">
             </c>
      <c r="I6359" t="s">
        <v>14</v>
      </c>
      <c r="J6359" t="s">
        <v>141</v>
      </c>
      <c r="K6359" t="s">
        <v>14</v>
      </c>
      <c r="L6359" t="s">
        <v>20</v>
      </c>
      <c r="M6359" t="s">
        <v>12244</v>
      </c>
      <c r="N6359" t="s">
        <v>14</v>
      </c>
    </row>
    <row r="6360" x14ac:dyDescent="0.25">
      <c r="A6360" t="n">
        <v>25</v>
      </c>
      <c r="B6360" t="s">
        <v>14</v>
      </c>
      <c r="C6360" t="s">
        <v>22</v>
      </c>
      <c r="D6360" s="2" t="s">
        <f>=HYPERLINK("https://main.knesset.gov.il/APPS/legislation/main/bills/2197902", "הצעת חוק הדיינים (תיקון - מינוי דיין עמית בבית הדין הרבני הגדול), התשפ""ג-2023")</f>
        <v>12444</v>
      </c>
      <c r="E6360" t="s">
        <v>12444</v>
      </c>
      <c r="F6360" t="s">
        <v>12445</v>
      </c>
      <c r="G6360" t="s">
        <v>14</v>
      </c>
      <c r="H6360">
             </c>
      <c r="I6360" t="s">
        <v>14</v>
      </c>
      <c r="J6360" t="s">
        <v>141</v>
      </c>
      <c r="K6360" t="s">
        <v>14</v>
      </c>
      <c r="L6360" t="s">
        <v>20</v>
      </c>
      <c r="M6360" t="s">
        <v>12244</v>
      </c>
      <c r="N6360" t="s">
        <v>14</v>
      </c>
    </row>
    <row r="6361" x14ac:dyDescent="0.25">
      <c r="A6361" t="n">
        <v>25</v>
      </c>
      <c r="B6361" t="s">
        <v>14</v>
      </c>
      <c r="C6361" t="s">
        <v>22</v>
      </c>
      <c r="D6361" s="2" t="s">
        <f>=HYPERLINK("https://main.knesset.gov.il/APPS/legislation/main/bills/2196873", "הצעת חוק העונשין (תיקון - עונש מוות למחבלים), התשפ""ג-2023")</f>
        <v>1519</v>
      </c>
      <c r="E6361" t="s">
        <v>1519</v>
      </c>
      <c r="F6361" t="s">
        <v>12446</v>
      </c>
      <c r="G6361" t="s">
        <v>14</v>
      </c>
      <c r="H6361">
             </c>
      <c r="I6361" t="s">
        <v>14</v>
      </c>
      <c r="J6361" t="s">
        <v>141</v>
      </c>
      <c r="K6361" t="s">
        <v>14</v>
      </c>
      <c r="L6361" t="s">
        <v>20</v>
      </c>
      <c r="M6361" t="s">
        <v>12244</v>
      </c>
      <c r="N6361" t="s">
        <v>14</v>
      </c>
    </row>
    <row r="6362" x14ac:dyDescent="0.25">
      <c r="A6362" t="n">
        <v>25</v>
      </c>
      <c r="B6362" t="s">
        <v>14</v>
      </c>
      <c r="C6362" t="s">
        <v>22</v>
      </c>
      <c r="D6362" s="2" t="s">
        <f>=HYPERLINK("https://main.knesset.gov.il/APPS/legislation/main/bills/2198307", "הצעת חוק לתיקון פקודת בריאות העם (הגבלת תקופת כהונה של מנהלי מחלקות בבתי חולים ציבוריים), התשפ""ג-2023")</f>
        <v>12447</v>
      </c>
      <c r="E6362" t="s">
        <v>12447</v>
      </c>
      <c r="F6362" t="s">
        <v>12448</v>
      </c>
      <c r="G6362" t="s">
        <v>14</v>
      </c>
      <c r="H6362">
             </c>
      <c r="I6362" t="s">
        <v>14</v>
      </c>
      <c r="J6362" t="s">
        <v>141</v>
      </c>
      <c r="K6362" t="s">
        <v>14</v>
      </c>
      <c r="L6362" t="s">
        <v>20</v>
      </c>
      <c r="M6362" t="s">
        <v>12244</v>
      </c>
      <c r="N6362" t="s">
        <v>14</v>
      </c>
    </row>
    <row r="6363" x14ac:dyDescent="0.25">
      <c r="A6363" t="n">
        <v>25</v>
      </c>
      <c r="B6363" t="s">
        <v>14</v>
      </c>
      <c r="C6363" t="s">
        <v>22</v>
      </c>
      <c r="D6363" s="2" t="s">
        <f>=HYPERLINK("https://main.knesset.gov.il/APPS/legislation/main/bills/2196864", "הצעת חוק חינוך ממלכתי (תיקון - איסור תמיכה בטרור), התשפ""ג-2023")</f>
        <v>7428</v>
      </c>
      <c r="E6363" t="s">
        <v>7428</v>
      </c>
      <c r="F6363" t="s">
        <v>12449</v>
      </c>
      <c r="G6363" t="s">
        <v>14</v>
      </c>
      <c r="H6363">
             </c>
      <c r="I6363" t="s">
        <v>14</v>
      </c>
      <c r="J6363" t="s">
        <v>141</v>
      </c>
      <c r="K6363" t="s">
        <v>14</v>
      </c>
      <c r="L6363" t="s">
        <v>20</v>
      </c>
      <c r="M6363" t="s">
        <v>12244</v>
      </c>
      <c r="N6363" t="s">
        <v>14</v>
      </c>
    </row>
    <row r="6364" x14ac:dyDescent="0.25">
      <c r="A6364" t="n">
        <v>25</v>
      </c>
      <c r="B6364" t="s">
        <v>14</v>
      </c>
      <c r="C6364" t="s">
        <v>22</v>
      </c>
      <c r="D6364" s="2" t="s">
        <f>=HYPERLINK("https://main.knesset.gov.il/APPS/legislation/main/bills/2197204", "הצעת חוק דמי מחלה (היעדרות בשל מחלת ילד) (תיקון - היעדרות בעקבות תקיפה או התעללות בילד), התשפ""ג-2023")</f>
        <v>8215</v>
      </c>
      <c r="E6364" t="s">
        <v>8215</v>
      </c>
      <c r="F6364" t="s">
        <v>12450</v>
      </c>
      <c r="G6364" t="s">
        <v>14</v>
      </c>
      <c r="H6364">
             </c>
      <c r="I6364" t="s">
        <v>14</v>
      </c>
      <c r="J6364" t="s">
        <v>141</v>
      </c>
      <c r="K6364" t="s">
        <v>14</v>
      </c>
      <c r="L6364" t="s">
        <v>20</v>
      </c>
      <c r="M6364" t="s">
        <v>12244</v>
      </c>
      <c r="N6364" t="s">
        <v>14</v>
      </c>
    </row>
    <row r="6365" x14ac:dyDescent="0.25">
      <c r="A6365" t="n">
        <v>25</v>
      </c>
      <c r="B6365" t="s">
        <v>14</v>
      </c>
      <c r="C6365" t="s">
        <v>22</v>
      </c>
      <c r="D6365" s="2" t="s">
        <f>=HYPERLINK("https://main.knesset.gov.il/APPS/legislation/main/bills/2198526", "הצעת חוק מס ערך מוסף (תיקון - עוסק פטור חדש), התשפ""ג-2023")</f>
        <v>10872</v>
      </c>
      <c r="E6365" t="s">
        <v>10872</v>
      </c>
      <c r="F6365" t="s">
        <v>12451</v>
      </c>
      <c r="G6365" t="s">
        <v>14</v>
      </c>
      <c r="H6365">
             </c>
      <c r="I6365" t="s">
        <v>14</v>
      </c>
      <c r="J6365" t="s">
        <v>141</v>
      </c>
      <c r="K6365" t="s">
        <v>14</v>
      </c>
      <c r="L6365" t="s">
        <v>20</v>
      </c>
      <c r="M6365" t="s">
        <v>12244</v>
      </c>
      <c r="N6365" t="s">
        <v>14</v>
      </c>
    </row>
    <row r="6366" x14ac:dyDescent="0.25">
      <c r="A6366" t="n">
        <v>25</v>
      </c>
      <c r="B6366" t="s">
        <v>14</v>
      </c>
      <c r="C6366" t="s">
        <v>22</v>
      </c>
      <c r="D6366" s="2" t="s">
        <f>=HYPERLINK("https://main.knesset.gov.il/APPS/legislation/main/bills/2198174", "הצעת חוק הביטוח הלאומי (תיקון - השוואת קצבת אזרח ותיק וקצבת נכות לשכר מינימום), התשפ""ג-2023")</f>
        <v>4571</v>
      </c>
      <c r="E6366" t="s">
        <v>4571</v>
      </c>
      <c r="F6366" t="s">
        <v>12452</v>
      </c>
      <c r="G6366" t="s">
        <v>14</v>
      </c>
      <c r="H6366">
             </c>
      <c r="I6366" t="s">
        <v>14</v>
      </c>
      <c r="J6366" t="s">
        <v>343</v>
      </c>
      <c r="K6366" t="s">
        <v>14</v>
      </c>
      <c r="L6366" t="s">
        <v>20</v>
      </c>
      <c r="M6366" t="s">
        <v>12244</v>
      </c>
      <c r="N6366" t="s">
        <v>14</v>
      </c>
    </row>
    <row r="6367" x14ac:dyDescent="0.25">
      <c r="A6367" t="n">
        <v>25</v>
      </c>
      <c r="B6367" t="s">
        <v>14</v>
      </c>
      <c r="C6367" t="s">
        <v>22</v>
      </c>
      <c r="D6367" s="2" t="s">
        <f>=HYPERLINK("https://main.knesset.gov.il/APPS/legislation/main/bills/2198170", "הצעת חוק הביטוח הלאומי (תיקון - זכאות להטבות לקטועי ידיים על פי הסכם הניידות), התשפ""ג-2023")</f>
        <v>12453</v>
      </c>
      <c r="E6367" t="s">
        <v>12453</v>
      </c>
      <c r="F6367" t="s">
        <v>12454</v>
      </c>
      <c r="G6367" t="s">
        <v>14</v>
      </c>
      <c r="H6367">
             </c>
      <c r="I6367" t="s">
        <v>14</v>
      </c>
      <c r="J6367" t="s">
        <v>343</v>
      </c>
      <c r="K6367" t="s">
        <v>14</v>
      </c>
      <c r="L6367" t="s">
        <v>20</v>
      </c>
      <c r="M6367" t="s">
        <v>12244</v>
      </c>
      <c r="N6367" t="s">
        <v>14</v>
      </c>
    </row>
    <row r="6368" x14ac:dyDescent="0.25">
      <c r="A6368" t="n">
        <v>25</v>
      </c>
      <c r="B6368" t="s">
        <v>14</v>
      </c>
      <c r="C6368" t="s">
        <v>22</v>
      </c>
      <c r="D6368" s="2" t="s">
        <f>=HYPERLINK("https://main.knesset.gov.il/APPS/legislation/main/bills/2197866", "הצעת חוק להנצחה, מחקר ותיעוד של פרשת ילדי תימן, המזרח והבלקן, התשפ""ג-2023")</f>
        <v>12455</v>
      </c>
      <c r="E6368" t="s">
        <v>12455</v>
      </c>
      <c r="F6368" t="s">
        <v>12456</v>
      </c>
      <c r="G6368" t="s">
        <v>14</v>
      </c>
      <c r="H6368">
             </c>
      <c r="I6368" t="s">
        <v>14</v>
      </c>
      <c r="J6368" t="s">
        <v>141</v>
      </c>
      <c r="K6368" t="s">
        <v>14</v>
      </c>
      <c r="L6368" t="s">
        <v>20</v>
      </c>
      <c r="M6368" t="s">
        <v>12244</v>
      </c>
      <c r="N6368" t="s">
        <v>14</v>
      </c>
    </row>
    <row r="6369" x14ac:dyDescent="0.25">
      <c r="A6369" t="n">
        <v>25</v>
      </c>
      <c r="B6369" t="s">
        <v>14</v>
      </c>
      <c r="C6369" t="s">
        <v>22</v>
      </c>
      <c r="D6369" s="2" t="s">
        <f>=HYPERLINK("https://main.knesset.gov.il/APPS/legislation/main/bills/2197211", "הצעת חוק משק החשמל (תיקון - פיצוי והחזר בעבור ניתוק ממושך מחשמל), התשפ""ג-2023")</f>
        <v>12457</v>
      </c>
      <c r="E6369" t="s">
        <v>12457</v>
      </c>
      <c r="F6369" t="s">
        <v>12458</v>
      </c>
      <c r="G6369" t="s">
        <v>14</v>
      </c>
      <c r="H6369">
             </c>
      <c r="I6369" t="s">
        <v>14</v>
      </c>
      <c r="J6369" t="s">
        <v>141</v>
      </c>
      <c r="K6369" t="s">
        <v>14</v>
      </c>
      <c r="L6369" t="s">
        <v>20</v>
      </c>
      <c r="M6369" t="s">
        <v>12244</v>
      </c>
      <c r="N6369" t="s">
        <v>14</v>
      </c>
    </row>
    <row r="6370" x14ac:dyDescent="0.25">
      <c r="A6370" t="n">
        <v>25</v>
      </c>
      <c r="B6370" t="s">
        <v>14</v>
      </c>
      <c r="C6370" t="s">
        <v>22</v>
      </c>
      <c r="D6370" s="2" t="s">
        <f>=HYPERLINK("https://main.knesset.gov.il/APPS/legislation/main/bills/2198029", "הצעת חוק ההוצאה לפועל (תיקון - השהיית הליך ואי-נקיטתו כלפי שוהות במקלטים לנשים מוכות), התשפ""ג-2023")</f>
        <v>12459</v>
      </c>
      <c r="E6370" t="s">
        <v>12459</v>
      </c>
      <c r="F6370" t="s">
        <v>12460</v>
      </c>
      <c r="G6370" t="s">
        <v>14</v>
      </c>
      <c r="H6370">
             </c>
      <c r="I6370" t="s">
        <v>14</v>
      </c>
      <c r="J6370" t="s">
        <v>141</v>
      </c>
      <c r="K6370" t="s">
        <v>14</v>
      </c>
      <c r="L6370" t="s">
        <v>20</v>
      </c>
      <c r="M6370" t="s">
        <v>12244</v>
      </c>
      <c r="N6370" t="s">
        <v>14</v>
      </c>
    </row>
    <row r="6371" x14ac:dyDescent="0.25">
      <c r="A6371" t="n">
        <v>25</v>
      </c>
      <c r="B6371" t="s">
        <v>14</v>
      </c>
      <c r="C6371" t="s">
        <v>22</v>
      </c>
      <c r="D6371" s="2" t="s">
        <f>=HYPERLINK("https://main.knesset.gov.il/APPS/legislation/main/bills/2198028", "הצעת חוק הרשויות המקומיות (בחירת ראש הרשות וסגניו וכהונתם) (תיקון - הגבלת כהונה שלישית לראש רשות), התשפ""ג-2023")</f>
        <v>12461</v>
      </c>
      <c r="E6371" t="s">
        <v>12461</v>
      </c>
      <c r="F6371" t="s">
        <v>12462</v>
      </c>
      <c r="G6371" t="s">
        <v>14</v>
      </c>
      <c r="H6371">
             </c>
      <c r="I6371" t="s">
        <v>14</v>
      </c>
      <c r="J6371" t="s">
        <v>141</v>
      </c>
      <c r="K6371" t="s">
        <v>14</v>
      </c>
      <c r="L6371" t="s">
        <v>20</v>
      </c>
      <c r="M6371" t="s">
        <v>12244</v>
      </c>
      <c r="N6371" t="s">
        <v>14</v>
      </c>
    </row>
    <row r="6372" x14ac:dyDescent="0.25">
      <c r="A6372" t="n">
        <v>25</v>
      </c>
      <c r="B6372" t="s">
        <v>14</v>
      </c>
      <c r="C6372" t="s">
        <v>22</v>
      </c>
      <c r="D6372" s="2" t="s">
        <f>=HYPERLINK("https://main.knesset.gov.il/APPS/legislation/main/bills/2197189", "הצעת חוק המועצה להשכלה גבוהה (תיקון - הקמת מוסדות להשכלה גבוהה בפריפריה), התשפ""ג-2023")</f>
        <v>9844</v>
      </c>
      <c r="E6372" t="s">
        <v>9844</v>
      </c>
      <c r="F6372" t="s">
        <v>12463</v>
      </c>
      <c r="G6372" t="s">
        <v>14</v>
      </c>
      <c r="H6372">
             </c>
      <c r="I6372" t="s">
        <v>14</v>
      </c>
      <c r="J6372" t="s">
        <v>141</v>
      </c>
      <c r="K6372" t="s">
        <v>14</v>
      </c>
      <c r="L6372" t="s">
        <v>20</v>
      </c>
      <c r="M6372" t="s">
        <v>12244</v>
      </c>
      <c r="N6372" t="s">
        <v>14</v>
      </c>
    </row>
    <row r="6373" x14ac:dyDescent="0.25">
      <c r="A6373" t="n">
        <v>25</v>
      </c>
      <c r="B6373" t="s">
        <v>14</v>
      </c>
      <c r="C6373" t="s">
        <v>22</v>
      </c>
      <c r="D6373" s="2" t="s">
        <f>=HYPERLINK("https://main.knesset.gov.il/APPS/legislation/main/bills/2198026", "הצעת חוק פיצוי מפונים בני רשות, התשפ""ג-2023")</f>
        <v>12464</v>
      </c>
      <c r="E6373" t="s">
        <v>12464</v>
      </c>
      <c r="F6373" t="s">
        <v>12465</v>
      </c>
      <c r="G6373" t="s">
        <v>14</v>
      </c>
      <c r="H6373">
             </c>
      <c r="I6373" t="s">
        <v>14</v>
      </c>
      <c r="J6373" t="s">
        <v>141</v>
      </c>
      <c r="K6373" t="s">
        <v>14</v>
      </c>
      <c r="L6373" t="s">
        <v>20</v>
      </c>
      <c r="M6373" t="s">
        <v>12244</v>
      </c>
      <c r="N6373" t="s">
        <v>14</v>
      </c>
    </row>
    <row r="6374" x14ac:dyDescent="0.25">
      <c r="A6374" t="n">
        <v>25</v>
      </c>
      <c r="B6374" t="s">
        <v>14</v>
      </c>
      <c r="C6374" t="s">
        <v>22</v>
      </c>
      <c r="D6374" s="2" t="s">
        <f>=HYPERLINK("https://main.knesset.gov.il/APPS/legislation/main/bills/2198025", "הצעת חוק לתיקון פקודת מס הכנסה (נקודות זיכוי לאפוטרופוס), התשפ""ג-2023")</f>
        <v>12466</v>
      </c>
      <c r="E6374" t="s">
        <v>12466</v>
      </c>
      <c r="F6374" t="s">
        <v>12467</v>
      </c>
      <c r="G6374" t="s">
        <v>14</v>
      </c>
      <c r="H6374">
             </c>
      <c r="I6374" t="s">
        <v>14</v>
      </c>
      <c r="J6374" t="s">
        <v>141</v>
      </c>
      <c r="K6374" t="s">
        <v>14</v>
      </c>
      <c r="L6374" t="s">
        <v>20</v>
      </c>
      <c r="M6374" t="s">
        <v>12244</v>
      </c>
      <c r="N6374" t="s">
        <v>14</v>
      </c>
    </row>
    <row r="6375" x14ac:dyDescent="0.25">
      <c r="A6375" t="n">
        <v>25</v>
      </c>
      <c r="B6375" t="s">
        <v>14</v>
      </c>
      <c r="C6375" t="s">
        <v>22</v>
      </c>
      <c r="D6375" s="2" t="s">
        <f>=HYPERLINK("https://main.knesset.gov.il/APPS/legislation/main/bills/2197865", "הצעת חוק הכשרות המשפטית והאפוטרופסות (תיקון - מניעת פגיעה בקטין על ידי חשיפתו להורה אלים), התשפ""ג-2023")</f>
        <v>12468</v>
      </c>
      <c r="E6375" t="s">
        <v>12468</v>
      </c>
      <c r="F6375" t="s">
        <v>12469</v>
      </c>
      <c r="G6375" t="s">
        <v>14</v>
      </c>
      <c r="H6375">
             </c>
      <c r="I6375" t="s">
        <v>14</v>
      </c>
      <c r="J6375" t="s">
        <v>141</v>
      </c>
      <c r="K6375" t="s">
        <v>14</v>
      </c>
      <c r="L6375" t="s">
        <v>20</v>
      </c>
      <c r="M6375" t="s">
        <v>12244</v>
      </c>
      <c r="N6375" t="s">
        <v>14</v>
      </c>
    </row>
    <row r="6376" x14ac:dyDescent="0.25">
      <c r="A6376" t="n">
        <v>25</v>
      </c>
      <c r="B6376" t="s">
        <v>14</v>
      </c>
      <c r="C6376" t="s">
        <v>22</v>
      </c>
      <c r="D6376" s="2" t="s">
        <f>=HYPERLINK("https://main.knesset.gov.il/APPS/legislation/main/bills/2197862", "הצעת חוק ביטוח בריאות ממלכתי (תיקון - זמינות שירותים רפואיים), התשפ""ג-2023")</f>
        <v>12470</v>
      </c>
      <c r="E6376" t="s">
        <v>12470</v>
      </c>
      <c r="F6376" t="s">
        <v>12471</v>
      </c>
      <c r="G6376" t="s">
        <v>14</v>
      </c>
      <c r="H6376">
             </c>
      <c r="I6376" t="s">
        <v>14</v>
      </c>
      <c r="J6376" t="s">
        <v>141</v>
      </c>
      <c r="K6376" t="s">
        <v>14</v>
      </c>
      <c r="L6376" t="s">
        <v>20</v>
      </c>
      <c r="M6376" t="s">
        <v>12244</v>
      </c>
      <c r="N6376" t="s">
        <v>14</v>
      </c>
    </row>
    <row r="6377" x14ac:dyDescent="0.25">
      <c r="A6377" t="n">
        <v>25</v>
      </c>
      <c r="B6377" t="s">
        <v>14</v>
      </c>
      <c r="C6377" t="s">
        <v>22</v>
      </c>
      <c r="D6377" s="2" t="s">
        <f>=HYPERLINK("https://main.knesset.gov.il/APPS/legislation/main/bills/2197184", "הצעת חוק לתיקון פקודת מס הכנסה (משיכה מקרן השתלמות) (הוראת שעה), התשפ""ג-2023")</f>
        <v>10123</v>
      </c>
      <c r="E6377" t="s">
        <v>10123</v>
      </c>
      <c r="F6377" t="s">
        <v>12472</v>
      </c>
      <c r="G6377" t="s">
        <v>14</v>
      </c>
      <c r="H6377">
             </c>
      <c r="I6377" t="s">
        <v>14</v>
      </c>
      <c r="J6377" t="s">
        <v>141</v>
      </c>
      <c r="K6377" t="s">
        <v>14</v>
      </c>
      <c r="L6377" t="s">
        <v>20</v>
      </c>
      <c r="M6377" t="s">
        <v>12244</v>
      </c>
      <c r="N6377" t="s">
        <v>14</v>
      </c>
    </row>
    <row r="6378" x14ac:dyDescent="0.25">
      <c r="A6378" t="n">
        <v>25</v>
      </c>
      <c r="B6378" t="s">
        <v>14</v>
      </c>
      <c r="C6378" t="s">
        <v>22</v>
      </c>
      <c r="D6378" s="2" t="s">
        <f>=HYPERLINK("https://main.knesset.gov.il/APPS/legislation/main/bills/2197861", "הצעת חוק הביטוח הלאומי (תיקון - רכז תנועת נוער או ארגון נוער כעבודה מועדפת), התשפ""ג-2023")</f>
        <v>12473</v>
      </c>
      <c r="E6378" t="s">
        <v>12473</v>
      </c>
      <c r="F6378" t="s">
        <v>12474</v>
      </c>
      <c r="G6378" t="s">
        <v>14</v>
      </c>
      <c r="H6378">
             </c>
      <c r="I6378" t="s">
        <v>14</v>
      </c>
      <c r="J6378" t="s">
        <v>141</v>
      </c>
      <c r="K6378" t="s">
        <v>14</v>
      </c>
      <c r="L6378" t="s">
        <v>20</v>
      </c>
      <c r="M6378" t="s">
        <v>12244</v>
      </c>
      <c r="N6378" t="s">
        <v>14</v>
      </c>
    </row>
    <row r="6379" x14ac:dyDescent="0.25">
      <c r="A6379" t="n">
        <v>25</v>
      </c>
      <c r="B6379" t="s">
        <v>14</v>
      </c>
      <c r="C6379" t="s">
        <v>22</v>
      </c>
      <c r="D6379" s="2" t="s">
        <f>=HYPERLINK("https://main.knesset.gov.il/APPS/legislation/main/bills/2197174", "הצעת חוק הפחתת תוספות פיגור שנוספו על קנסות הנגבים בידי המרכז לגביית קנסות, אגרות והוצאות (הוראת שעה), התשפ""ג-2023")</f>
        <v>10222</v>
      </c>
      <c r="E6379" t="s">
        <v>10222</v>
      </c>
      <c r="F6379" t="s">
        <v>12475</v>
      </c>
      <c r="G6379" t="s">
        <v>14</v>
      </c>
      <c r="H6379">
             </c>
      <c r="I6379" t="s">
        <v>14</v>
      </c>
      <c r="J6379" t="s">
        <v>141</v>
      </c>
      <c r="K6379" t="s">
        <v>14</v>
      </c>
      <c r="L6379" t="s">
        <v>20</v>
      </c>
      <c r="M6379" t="s">
        <v>12244</v>
      </c>
      <c r="N6379" t="s">
        <v>14</v>
      </c>
    </row>
    <row r="6380" x14ac:dyDescent="0.25">
      <c r="A6380" t="n">
        <v>25</v>
      </c>
      <c r="B6380" t="s">
        <v>14</v>
      </c>
      <c r="C6380" t="s">
        <v>22</v>
      </c>
      <c r="D6380" s="2" t="s">
        <f>=HYPERLINK("https://main.knesset.gov.il/APPS/legislation/main/bills/2197860", "הצעת חוק לתיקון סדרי המינהל (החלטות והנמקות) (תיקון - קיצור זמן המענה בפניות ציבור), התשפ""ג-2023")</f>
        <v>10308</v>
      </c>
      <c r="E6380" t="s">
        <v>10308</v>
      </c>
      <c r="F6380" t="s">
        <v>12476</v>
      </c>
      <c r="G6380" t="s">
        <v>14</v>
      </c>
      <c r="H6380">
             </c>
      <c r="I6380" t="s">
        <v>14</v>
      </c>
      <c r="J6380" t="s">
        <v>141</v>
      </c>
      <c r="K6380" t="s">
        <v>14</v>
      </c>
      <c r="L6380" t="s">
        <v>20</v>
      </c>
      <c r="M6380" t="s">
        <v>12244</v>
      </c>
      <c r="N6380" t="s">
        <v>14</v>
      </c>
    </row>
    <row r="6381" x14ac:dyDescent="0.25">
      <c r="A6381" t="n">
        <v>25</v>
      </c>
      <c r="B6381" t="s">
        <v>14</v>
      </c>
      <c r="C6381" t="s">
        <v>22</v>
      </c>
      <c r="D6381" s="2" t="s">
        <f>=HYPERLINK("https://main.knesset.gov.il/APPS/legislation/main/bills/2197164", "הצעת חוק המועצה להשכלה גבוהה (תיקון - תנאי קבלה למוסד להשכלה גבוהה), התשפ""ג-2023")</f>
        <v>12477</v>
      </c>
      <c r="E6381" t="s">
        <v>12477</v>
      </c>
      <c r="F6381" t="s">
        <v>12478</v>
      </c>
      <c r="G6381" t="s">
        <v>14</v>
      </c>
      <c r="H6381">
             </c>
      <c r="I6381" t="s">
        <v>14</v>
      </c>
      <c r="J6381" t="s">
        <v>141</v>
      </c>
      <c r="K6381" t="s">
        <v>14</v>
      </c>
      <c r="L6381" t="s">
        <v>20</v>
      </c>
      <c r="M6381" t="s">
        <v>12244</v>
      </c>
      <c r="N6381" t="s">
        <v>14</v>
      </c>
    </row>
    <row r="6382" x14ac:dyDescent="0.25">
      <c r="A6382" t="n">
        <v>25</v>
      </c>
      <c r="B6382" t="s">
        <v>14</v>
      </c>
      <c r="C6382" t="s">
        <v>22</v>
      </c>
      <c r="D6382" s="2" t="s">
        <f>=HYPERLINK("https://main.knesset.gov.il/APPS/legislation/main/bills/2197858", "הצעת חוק הירושה (תיקון - בני זוג), התשפ""ג-2023")</f>
        <v>12479</v>
      </c>
      <c r="E6382" t="s">
        <v>12479</v>
      </c>
      <c r="F6382" t="s">
        <v>12480</v>
      </c>
      <c r="G6382" t="s">
        <v>14</v>
      </c>
      <c r="H6382">
             </c>
      <c r="I6382" t="s">
        <v>14</v>
      </c>
      <c r="J6382" t="s">
        <v>141</v>
      </c>
      <c r="K6382" t="s">
        <v>14</v>
      </c>
      <c r="L6382" t="s">
        <v>20</v>
      </c>
      <c r="M6382" t="s">
        <v>12244</v>
      </c>
      <c r="N6382" t="s">
        <v>14</v>
      </c>
    </row>
    <row r="6383" x14ac:dyDescent="0.25">
      <c r="A6383" t="n">
        <v>25</v>
      </c>
      <c r="B6383" t="s">
        <v>14</v>
      </c>
      <c r="C6383" t="s">
        <v>22</v>
      </c>
      <c r="D6383" s="2" t="s">
        <f>=HYPERLINK("https://main.knesset.gov.il/APPS/legislation/main/bills/2198401", "הצעת חוק עבודת נשים (תיקון - הארכת תקופת לידה והורות בתשלום), התשפ""ג-2023")</f>
        <v>11168</v>
      </c>
      <c r="E6383" t="s">
        <v>11168</v>
      </c>
      <c r="F6383" t="s">
        <v>12481</v>
      </c>
      <c r="G6383" t="s">
        <v>14</v>
      </c>
      <c r="H6383">
             </c>
      <c r="I6383" t="s">
        <v>14</v>
      </c>
      <c r="J6383" t="s">
        <v>141</v>
      </c>
      <c r="K6383" t="s">
        <v>14</v>
      </c>
      <c r="L6383" t="s">
        <v>20</v>
      </c>
      <c r="M6383" t="s">
        <v>12244</v>
      </c>
      <c r="N6383" t="s">
        <v>14</v>
      </c>
    </row>
    <row r="6384" x14ac:dyDescent="0.25">
      <c r="A6384" t="n">
        <v>25</v>
      </c>
      <c r="B6384" t="s">
        <v>14</v>
      </c>
      <c r="C6384" t="s">
        <v>22</v>
      </c>
      <c r="D6384" s="2" t="s">
        <f>=HYPERLINK("https://main.knesset.gov.il/APPS/legislation/main/bills/2198351", "הצעת חוק הביטוח הלאומי (תיקון - התפטרות הורה על מנת לטפל בילדו), התשפ""ג-2023")</f>
        <v>10200</v>
      </c>
      <c r="E6384" t="s">
        <v>10200</v>
      </c>
      <c r="F6384" t="s">
        <v>12482</v>
      </c>
      <c r="G6384" t="s">
        <v>14</v>
      </c>
      <c r="H6384">
             </c>
      <c r="I6384" t="s">
        <v>14</v>
      </c>
      <c r="J6384" t="s">
        <v>343</v>
      </c>
      <c r="K6384" t="s">
        <v>14</v>
      </c>
      <c r="L6384" t="s">
        <v>20</v>
      </c>
      <c r="M6384" t="s">
        <v>12244</v>
      </c>
      <c r="N6384" t="s">
        <v>14</v>
      </c>
    </row>
    <row r="6385" x14ac:dyDescent="0.25">
      <c r="A6385" t="n">
        <v>25</v>
      </c>
      <c r="B6385" t="s">
        <v>14</v>
      </c>
      <c r="C6385" t="s">
        <v>22</v>
      </c>
      <c r="D6385" s="2" t="s">
        <f>=HYPERLINK("https://main.knesset.gov.il/APPS/legislation/main/bills/2197161", "הצעת חוק שיקים ללא כיסוי (תיקון - מצב חירום בשל מגפה עולמית), התשפ""ג-2023")</f>
        <v>12483</v>
      </c>
      <c r="E6385" t="s">
        <v>12483</v>
      </c>
      <c r="F6385" t="s">
        <v>12484</v>
      </c>
      <c r="G6385" t="s">
        <v>14</v>
      </c>
      <c r="H6385">
             </c>
      <c r="I6385" t="s">
        <v>14</v>
      </c>
      <c r="J6385" t="s">
        <v>141</v>
      </c>
      <c r="K6385" t="s">
        <v>14</v>
      </c>
      <c r="L6385" t="s">
        <v>20</v>
      </c>
      <c r="M6385" t="s">
        <v>12244</v>
      </c>
      <c r="N6385" t="s">
        <v>14</v>
      </c>
    </row>
    <row r="6386" x14ac:dyDescent="0.25">
      <c r="A6386" t="n">
        <v>25</v>
      </c>
      <c r="B6386" t="s">
        <v>14</v>
      </c>
      <c r="C6386" t="s">
        <v>22</v>
      </c>
      <c r="D6386" s="2" t="s">
        <f>=HYPERLINK("https://main.knesset.gov.il/APPS/legislation/main/bills/2198408", "הצעת חוק שכר מינימום (תיקון - שכר מינימום לעובד שטרם מלאו לו 18 שנים), התשפ""ג-2023")</f>
        <v>11534</v>
      </c>
      <c r="E6386" t="s">
        <v>11534</v>
      </c>
      <c r="F6386" t="s">
        <v>12485</v>
      </c>
      <c r="G6386" t="s">
        <v>14</v>
      </c>
      <c r="H6386">
             </c>
      <c r="I6386" t="s">
        <v>14</v>
      </c>
      <c r="J6386" t="s">
        <v>141</v>
      </c>
      <c r="K6386" t="s">
        <v>14</v>
      </c>
      <c r="L6386" t="s">
        <v>20</v>
      </c>
      <c r="M6386" t="s">
        <v>12244</v>
      </c>
      <c r="N6386" t="s">
        <v>14</v>
      </c>
    </row>
    <row r="6387" x14ac:dyDescent="0.25">
      <c r="A6387" t="n">
        <v>25</v>
      </c>
      <c r="B6387" t="s">
        <v>14</v>
      </c>
      <c r="C6387" t="s">
        <v>22</v>
      </c>
      <c r="D6387" s="2" t="s">
        <f>=HYPERLINK("https://main.knesset.gov.il/APPS/legislation/main/bills/2197856", "הצעת חוק מיסוי רווחים ממשאבי טבע (תיקון - שקיפות הליכי השומה), התשפ""ג-2023")</f>
        <v>12486</v>
      </c>
      <c r="E6387" t="s">
        <v>12486</v>
      </c>
      <c r="F6387" t="s">
        <v>12487</v>
      </c>
      <c r="G6387" t="s">
        <v>14</v>
      </c>
      <c r="H6387">
             </c>
      <c r="I6387" t="s">
        <v>14</v>
      </c>
      <c r="J6387" t="s">
        <v>141</v>
      </c>
      <c r="K6387" t="s">
        <v>14</v>
      </c>
      <c r="L6387" t="s">
        <v>20</v>
      </c>
      <c r="M6387" t="s">
        <v>12244</v>
      </c>
      <c r="N6387" t="s">
        <v>14</v>
      </c>
    </row>
    <row r="6388" x14ac:dyDescent="0.25">
      <c r="A6388" t="n">
        <v>25</v>
      </c>
      <c r="B6388" t="s">
        <v>14</v>
      </c>
      <c r="C6388" t="s">
        <v>22</v>
      </c>
      <c r="D6388" s="2" t="s">
        <f>=HYPERLINK("https://main.knesset.gov.il/APPS/legislation/main/bills/2197155", "הצעת חוק מס ערך מוסף (תיקון - דחיית תשלום בתקופת חירום) (הוראת שעה), התשפ""ג-2023")</f>
        <v>12488</v>
      </c>
      <c r="E6388" t="s">
        <v>12488</v>
      </c>
      <c r="F6388" t="s">
        <v>12489</v>
      </c>
      <c r="G6388" t="s">
        <v>14</v>
      </c>
      <c r="H6388">
             </c>
      <c r="I6388" t="s">
        <v>14</v>
      </c>
      <c r="J6388" t="s">
        <v>141</v>
      </c>
      <c r="K6388" t="s">
        <v>14</v>
      </c>
      <c r="L6388" t="s">
        <v>20</v>
      </c>
      <c r="M6388" t="s">
        <v>12244</v>
      </c>
      <c r="N6388" t="s">
        <v>14</v>
      </c>
    </row>
    <row r="6389" x14ac:dyDescent="0.25">
      <c r="A6389" t="n">
        <v>25</v>
      </c>
      <c r="B6389" t="s">
        <v>14</v>
      </c>
      <c r="C6389" t="s">
        <v>22</v>
      </c>
      <c r="D6389" s="2" t="s">
        <f>=HYPERLINK("https://main.knesset.gov.il/APPS/legislation/main/bills/2197855", "הצעת חוק עבודת נשים (תיקון - תקופת לידה והורות לנשים בעבודה פיזית קשה), התשפ""ג-2023")</f>
        <v>12490</v>
      </c>
      <c r="E6389" t="s">
        <v>12490</v>
      </c>
      <c r="F6389" t="s">
        <v>12491</v>
      </c>
      <c r="G6389" t="s">
        <v>14</v>
      </c>
      <c r="H6389">
             </c>
      <c r="I6389" t="s">
        <v>14</v>
      </c>
      <c r="J6389" t="s">
        <v>141</v>
      </c>
      <c r="K6389" t="s">
        <v>14</v>
      </c>
      <c r="L6389" t="s">
        <v>20</v>
      </c>
      <c r="M6389" t="s">
        <v>12244</v>
      </c>
      <c r="N6389" t="s">
        <v>14</v>
      </c>
    </row>
    <row r="6390" x14ac:dyDescent="0.25">
      <c r="A6390" t="n">
        <v>25</v>
      </c>
      <c r="B6390" t="s">
        <v>14</v>
      </c>
      <c r="C6390" t="s">
        <v>22</v>
      </c>
      <c r="D6390" s="2" t="s">
        <f>=HYPERLINK("https://main.knesset.gov.il/APPS/legislation/main/bills/2198184", "הצעת חוק הביטוח הלאומי (תיקון - אי הפליה בשל שירות צבאי או שירות לאומי), התשפ""ג-2023")</f>
        <v>12492</v>
      </c>
      <c r="E6390" t="s">
        <v>12492</v>
      </c>
      <c r="F6390" t="s">
        <v>12493</v>
      </c>
      <c r="G6390" t="s">
        <v>14</v>
      </c>
      <c r="H6390">
             </c>
      <c r="I6390" t="s">
        <v>14</v>
      </c>
      <c r="J6390" t="s">
        <v>141</v>
      </c>
      <c r="K6390" t="s">
        <v>14</v>
      </c>
      <c r="L6390" t="s">
        <v>20</v>
      </c>
      <c r="M6390" t="s">
        <v>12244</v>
      </c>
      <c r="N6390" t="s">
        <v>14</v>
      </c>
    </row>
    <row r="6391" x14ac:dyDescent="0.25">
      <c r="A6391" t="n">
        <v>25</v>
      </c>
      <c r="B6391" t="s">
        <v>14</v>
      </c>
      <c r="C6391" t="s">
        <v>22</v>
      </c>
      <c r="D6391" s="2" t="s">
        <f>=HYPERLINK("https://main.knesset.gov.il/APPS/legislation/main/bills/2196982", "הצעת חוק הביטוח הלאומי (תיקון - דמי אבטלה לעצמאים), התשפ""ג-2023")</f>
        <v>9406</v>
      </c>
      <c r="E6391" t="s">
        <v>9406</v>
      </c>
      <c r="F6391" t="s">
        <v>12494</v>
      </c>
      <c r="G6391" t="s">
        <v>14</v>
      </c>
      <c r="H6391">
             </c>
      <c r="I6391" t="s">
        <v>14</v>
      </c>
      <c r="J6391" t="s">
        <v>141</v>
      </c>
      <c r="K6391" t="s">
        <v>14</v>
      </c>
      <c r="L6391" t="s">
        <v>20</v>
      </c>
      <c r="M6391" t="s">
        <v>12244</v>
      </c>
      <c r="N6391" t="s">
        <v>14</v>
      </c>
    </row>
    <row r="6392" x14ac:dyDescent="0.25">
      <c r="A6392" t="n">
        <v>25</v>
      </c>
      <c r="B6392" t="s">
        <v>14</v>
      </c>
      <c r="C6392" t="s">
        <v>22</v>
      </c>
      <c r="D6392" s="2" t="s">
        <f>=HYPERLINK("https://main.knesset.gov.il/APPS/legislation/main/bills/2196965", "הצעת חוק כלי הירייה (תיקון - זכאות לרישיון כלי ירייה למי ששירת כלוחם וכשוטר), התשפ""ג-2023")</f>
        <v>12495</v>
      </c>
      <c r="E6392" t="s">
        <v>12495</v>
      </c>
      <c r="F6392" t="s">
        <v>12496</v>
      </c>
      <c r="G6392" t="s">
        <v>14</v>
      </c>
      <c r="H6392">
             </c>
      <c r="I6392" t="s">
        <v>14</v>
      </c>
      <c r="J6392" t="s">
        <v>141</v>
      </c>
      <c r="K6392" t="s">
        <v>14</v>
      </c>
      <c r="L6392" t="s">
        <v>20</v>
      </c>
      <c r="M6392" t="s">
        <v>12244</v>
      </c>
      <c r="N6392" t="s">
        <v>14</v>
      </c>
    </row>
    <row r="6393" x14ac:dyDescent="0.25">
      <c r="A6393" t="n">
        <v>25</v>
      </c>
      <c r="B6393" t="s">
        <v>14</v>
      </c>
      <c r="C6393" t="s">
        <v>22</v>
      </c>
      <c r="D6393" s="2" t="s">
        <f>=HYPERLINK("https://main.knesset.gov.il/APPS/legislation/main/bills/2198405", "הצעת חוק שכר מינימום (תיקון - הצמדת שכר המינימום למדד המחירים לצרכן), התשפ""ג-2023")</f>
        <v>11593</v>
      </c>
      <c r="E6393" t="s">
        <v>11593</v>
      </c>
      <c r="F6393" t="s">
        <v>12497</v>
      </c>
      <c r="G6393" t="s">
        <v>14</v>
      </c>
      <c r="H6393">
             </c>
      <c r="I6393" t="s">
        <v>14</v>
      </c>
      <c r="J6393" t="s">
        <v>141</v>
      </c>
      <c r="K6393" t="s">
        <v>14</v>
      </c>
      <c r="L6393" t="s">
        <v>20</v>
      </c>
      <c r="M6393" t="s">
        <v>12244</v>
      </c>
      <c r="N6393" t="s">
        <v>14</v>
      </c>
    </row>
    <row r="6394" x14ac:dyDescent="0.25">
      <c r="A6394" t="n">
        <v>25</v>
      </c>
      <c r="B6394" t="s">
        <v>14</v>
      </c>
      <c r="C6394" t="s">
        <v>22</v>
      </c>
      <c r="D6394" s="2" t="s">
        <f>=HYPERLINK("https://main.knesset.gov.il/APPS/legislation/main/bills/2198338", "הצעת חוק הרשויות המקומיות (ממונה על בטיחות ילדים), התשפ""ג-2023")</f>
        <v>12498</v>
      </c>
      <c r="E6394" t="s">
        <v>12498</v>
      </c>
      <c r="F6394" t="s">
        <v>12499</v>
      </c>
      <c r="G6394" t="s">
        <v>14</v>
      </c>
      <c r="H6394">
             </c>
      <c r="I6394" t="s">
        <v>14</v>
      </c>
      <c r="J6394" t="s">
        <v>141</v>
      </c>
      <c r="K6394" t="s">
        <v>14</v>
      </c>
      <c r="L6394" t="s">
        <v>20</v>
      </c>
      <c r="M6394" t="s">
        <v>12244</v>
      </c>
      <c r="N6394" t="s">
        <v>14</v>
      </c>
    </row>
    <row r="6395" x14ac:dyDescent="0.25">
      <c r="A6395" t="n">
        <v>25</v>
      </c>
      <c r="B6395" t="s">
        <v>14</v>
      </c>
      <c r="C6395" t="s">
        <v>22</v>
      </c>
      <c r="D6395" s="2" t="s">
        <f>=HYPERLINK("https://main.knesset.gov.il/APPS/legislation/main/bills/2198429", "הצעת חוק לתיקון פקודת מס הכנסה (הטבות מס ליישובים), התשפ""ג-2023")</f>
        <v>9296</v>
      </c>
      <c r="E6395" t="s">
        <v>9296</v>
      </c>
      <c r="F6395" t="s">
        <v>12500</v>
      </c>
      <c r="G6395" t="s">
        <v>14</v>
      </c>
      <c r="H6395">
             </c>
      <c r="I6395" t="s">
        <v>14</v>
      </c>
      <c r="J6395" t="s">
        <v>141</v>
      </c>
      <c r="K6395" t="s">
        <v>14</v>
      </c>
      <c r="L6395" t="s">
        <v>20</v>
      </c>
      <c r="M6395" t="s">
        <v>12244</v>
      </c>
      <c r="N6395" t="s">
        <v>14</v>
      </c>
    </row>
    <row r="6396" x14ac:dyDescent="0.25">
      <c r="A6396" t="n">
        <v>25</v>
      </c>
      <c r="B6396" t="s">
        <v>14</v>
      </c>
      <c r="C6396" t="s">
        <v>22</v>
      </c>
      <c r="D6396" s="2" t="s">
        <f>=HYPERLINK("https://main.knesset.gov.il/APPS/legislation/main/bills/2197847", "הצעת חוק הרשויות המקומיות (בחירת ראש הרשות וסגניו וכהונתם) (תיקון - סגן ראש רשות ברשות מעורבת), התשפ""ג-2023")</f>
        <v>12501</v>
      </c>
      <c r="E6396" t="s">
        <v>12501</v>
      </c>
      <c r="F6396" t="s">
        <v>12502</v>
      </c>
      <c r="G6396" t="s">
        <v>14</v>
      </c>
      <c r="H6396">
             </c>
      <c r="I6396" t="s">
        <v>14</v>
      </c>
      <c r="J6396" t="s">
        <v>141</v>
      </c>
      <c r="K6396" t="s">
        <v>14</v>
      </c>
      <c r="L6396" t="s">
        <v>20</v>
      </c>
      <c r="M6396" t="s">
        <v>12244</v>
      </c>
      <c r="N6396" t="s">
        <v>14</v>
      </c>
    </row>
    <row r="6397" x14ac:dyDescent="0.25">
      <c r="A6397" t="n">
        <v>25</v>
      </c>
      <c r="B6397" t="s">
        <v>14</v>
      </c>
      <c r="C6397" t="s">
        <v>22</v>
      </c>
      <c r="D6397" s="2" t="s">
        <f>=HYPERLINK("https://main.knesset.gov.il/APPS/legislation/main/bills/2197102", "הצעת חוק הרשויות המקומיות (בחירת ראש הרשות וסגניו וכהונתם) (תיקון - סגן ראש רשות ברשות מעורבת), התשפ""ג-2023")</f>
        <v>12501</v>
      </c>
      <c r="E6397" t="s">
        <v>12501</v>
      </c>
      <c r="F6397" t="s">
        <v>12503</v>
      </c>
      <c r="G6397" t="s">
        <v>14</v>
      </c>
      <c r="H6397">
             </c>
      <c r="I6397" t="s">
        <v>14</v>
      </c>
      <c r="J6397" t="s">
        <v>141</v>
      </c>
      <c r="K6397" t="s">
        <v>14</v>
      </c>
      <c r="L6397" t="s">
        <v>20</v>
      </c>
      <c r="M6397" t="s">
        <v>12244</v>
      </c>
      <c r="N6397" t="s">
        <v>14</v>
      </c>
    </row>
    <row r="6398" x14ac:dyDescent="0.25">
      <c r="A6398" t="n">
        <v>25</v>
      </c>
      <c r="B6398" t="s">
        <v>14</v>
      </c>
      <c r="C6398" t="s">
        <v>22</v>
      </c>
      <c r="D6398" s="2" t="s">
        <f>=HYPERLINK("https://main.knesset.gov.il/APPS/legislation/main/bills/2198140", "הצעת חוק הגנת השכר (תיקון - תשלום שכר עבודה בעת הליכי מיון והשמה), התשפ""ג-2023")</f>
        <v>11546</v>
      </c>
      <c r="E6398" t="s">
        <v>11546</v>
      </c>
      <c r="F6398" t="s">
        <v>12504</v>
      </c>
      <c r="G6398" t="s">
        <v>14</v>
      </c>
      <c r="H6398">
             </c>
      <c r="I6398" t="s">
        <v>14</v>
      </c>
      <c r="J6398" t="s">
        <v>141</v>
      </c>
      <c r="K6398" t="s">
        <v>14</v>
      </c>
      <c r="L6398" t="s">
        <v>20</v>
      </c>
      <c r="M6398" t="s">
        <v>12244</v>
      </c>
      <c r="N6398" t="s">
        <v>14</v>
      </c>
    </row>
    <row r="6399" x14ac:dyDescent="0.25">
      <c r="A6399" t="n">
        <v>25</v>
      </c>
      <c r="B6399" t="s">
        <v>14</v>
      </c>
      <c r="C6399" t="s">
        <v>22</v>
      </c>
      <c r="D6399" s="2" t="s">
        <f>=HYPERLINK("https://main.knesset.gov.il/APPS/legislation/main/bills/2196914", "הצעת חוק הגנה על הציבור מפני עבריינים שביצעו עבירות אלימות חמורות, התשפ""ג-2023")</f>
        <v>12505</v>
      </c>
      <c r="E6399" t="s">
        <v>12505</v>
      </c>
      <c r="F6399" t="s">
        <v>12506</v>
      </c>
      <c r="G6399" t="s">
        <v>14</v>
      </c>
      <c r="H6399">
             </c>
      <c r="I6399" t="s">
        <v>14</v>
      </c>
      <c r="J6399" t="s">
        <v>141</v>
      </c>
      <c r="K6399" t="s">
        <v>14</v>
      </c>
      <c r="L6399" t="s">
        <v>20</v>
      </c>
      <c r="M6399" t="s">
        <v>12244</v>
      </c>
      <c r="N6399" t="s">
        <v>14</v>
      </c>
    </row>
    <row r="6400" x14ac:dyDescent="0.25">
      <c r="A6400" t="n">
        <v>25</v>
      </c>
      <c r="B6400" t="s">
        <v>14</v>
      </c>
      <c r="C6400" t="s">
        <v>22</v>
      </c>
      <c r="D6400" s="2" t="s">
        <f>=HYPERLINK("https://main.knesset.gov.il/APPS/legislation/main/bills/2198448", "הצעת חוק זכויות הדייר בדיור הציבורי (תיקון - זכות למגורים בדירה ציבורית לנשים ששהו במקלט לנשים מוכות), התשפ""ג-2023")</f>
        <v>12350</v>
      </c>
      <c r="E6400" t="s">
        <v>12350</v>
      </c>
      <c r="F6400" t="s">
        <v>12507</v>
      </c>
      <c r="G6400" t="s">
        <v>14</v>
      </c>
      <c r="H6400">
             </c>
      <c r="I6400" t="s">
        <v>14</v>
      </c>
      <c r="J6400" t="s">
        <v>343</v>
      </c>
      <c r="K6400" t="s">
        <v>14</v>
      </c>
      <c r="L6400" t="s">
        <v>20</v>
      </c>
      <c r="M6400" t="s">
        <v>12244</v>
      </c>
      <c r="N6400" t="s">
        <v>14</v>
      </c>
    </row>
    <row r="6401" x14ac:dyDescent="0.25">
      <c r="A6401" t="n">
        <v>25</v>
      </c>
      <c r="B6401" t="s">
        <v>14</v>
      </c>
      <c r="C6401" t="s">
        <v>22</v>
      </c>
      <c r="D6401" s="2" t="s">
        <f>=HYPERLINK("https://main.knesset.gov.il/APPS/legislation/main/bills/2198265", "הצעת חוק זכויות הדייר בדיור הציבורי (תיקון - זכות למגורים בדירה ציבורית לנשים ששהו במקלט לנשים מוכות), התשפ""ג-2023")</f>
        <v>12350</v>
      </c>
      <c r="E6401" t="s">
        <v>12350</v>
      </c>
      <c r="F6401" t="s">
        <v>12508</v>
      </c>
      <c r="G6401" t="s">
        <v>14</v>
      </c>
      <c r="H6401">
             </c>
      <c r="I6401" t="s">
        <v>14</v>
      </c>
      <c r="J6401" t="s">
        <v>141</v>
      </c>
      <c r="K6401" t="s">
        <v>14</v>
      </c>
      <c r="L6401" t="s">
        <v>20</v>
      </c>
      <c r="M6401" t="s">
        <v>12244</v>
      </c>
      <c r="N6401" t="s">
        <v>14</v>
      </c>
    </row>
    <row r="6402" x14ac:dyDescent="0.25">
      <c r="A6402" t="n">
        <v>25</v>
      </c>
      <c r="B6402" t="s">
        <v>14</v>
      </c>
      <c r="C6402" t="s">
        <v>22</v>
      </c>
      <c r="D6402" s="2" t="s">
        <f>=HYPERLINK("https://main.knesset.gov.il/APPS/legislation/main/bills/2198342", "הצעת חוק שוויון ההזדמנויות בעבודה (תיקון - ייצוג הולם לאוכלוסייה הערבית), התשפ""ג-2023")</f>
        <v>11400</v>
      </c>
      <c r="E6402" t="s">
        <v>11400</v>
      </c>
      <c r="F6402" t="s">
        <v>12509</v>
      </c>
      <c r="G6402" t="s">
        <v>14</v>
      </c>
      <c r="H6402">
             </c>
      <c r="I6402" t="s">
        <v>14</v>
      </c>
      <c r="J6402" t="s">
        <v>141</v>
      </c>
      <c r="K6402" t="s">
        <v>14</v>
      </c>
      <c r="L6402" t="s">
        <v>20</v>
      </c>
      <c r="M6402" t="s">
        <v>12244</v>
      </c>
      <c r="N6402" t="s">
        <v>14</v>
      </c>
    </row>
    <row r="6403" x14ac:dyDescent="0.25">
      <c r="A6403" t="n">
        <v>25</v>
      </c>
      <c r="B6403" t="s">
        <v>14</v>
      </c>
      <c r="C6403" t="s">
        <v>22</v>
      </c>
      <c r="D6403" s="2" t="s">
        <f>=HYPERLINK("https://main.knesset.gov.il/APPS/legislation/main/bills/2198432", "הצעת חוק לתיקון פקודת מס הכנסה (פטור ממס על משיכה הונית מקופת גמל), התשפ""ג-2023")</f>
        <v>12510</v>
      </c>
      <c r="E6403" t="s">
        <v>12510</v>
      </c>
      <c r="F6403" t="s">
        <v>12511</v>
      </c>
      <c r="G6403" t="s">
        <v>14</v>
      </c>
      <c r="H6403">
             </c>
      <c r="I6403" t="s">
        <v>14</v>
      </c>
      <c r="J6403" t="s">
        <v>141</v>
      </c>
      <c r="K6403" t="s">
        <v>14</v>
      </c>
      <c r="L6403" t="s">
        <v>20</v>
      </c>
      <c r="M6403" t="s">
        <v>12244</v>
      </c>
      <c r="N6403" t="s">
        <v>14</v>
      </c>
    </row>
    <row r="6404" x14ac:dyDescent="0.25">
      <c r="A6404" t="n">
        <v>25</v>
      </c>
      <c r="B6404" t="s">
        <v>14</v>
      </c>
      <c r="C6404" t="s">
        <v>22</v>
      </c>
      <c r="D6404" s="2" t="s">
        <f>=HYPERLINK("https://main.knesset.gov.il/APPS/legislation/main/bills/2198167", "הצעת חוק השכירות והשאילה (תיקון - הגבלה על העלאת דמי השכירות), התשפ""ג-2023")</f>
        <v>11280</v>
      </c>
      <c r="E6404" t="s">
        <v>11280</v>
      </c>
      <c r="F6404" t="s">
        <v>12512</v>
      </c>
      <c r="G6404" t="s">
        <v>14</v>
      </c>
      <c r="H6404">
             </c>
      <c r="I6404" t="s">
        <v>14</v>
      </c>
      <c r="J6404" t="s">
        <v>141</v>
      </c>
      <c r="K6404" t="s">
        <v>14</v>
      </c>
      <c r="L6404" t="s">
        <v>20</v>
      </c>
      <c r="M6404" t="s">
        <v>12244</v>
      </c>
      <c r="N6404" t="s">
        <v>14</v>
      </c>
    </row>
    <row r="6405" x14ac:dyDescent="0.25">
      <c r="A6405" t="n">
        <v>25</v>
      </c>
      <c r="B6405" t="s">
        <v>14</v>
      </c>
      <c r="C6405" t="s">
        <v>22</v>
      </c>
      <c r="D6405" s="2" t="s">
        <f>=HYPERLINK("https://main.knesset.gov.il/APPS/legislation/main/bills/2198176", "הצעת חוק הביטוח הלאומי (תיקון - השוואת קצבת נכות לשכר מינימום), התשפ""ג-2023")</f>
        <v>10926</v>
      </c>
      <c r="E6405" t="s">
        <v>10926</v>
      </c>
      <c r="F6405" t="s">
        <v>12513</v>
      </c>
      <c r="G6405" t="s">
        <v>14</v>
      </c>
      <c r="H6405">
             </c>
      <c r="I6405" t="s">
        <v>14</v>
      </c>
      <c r="J6405" t="s">
        <v>141</v>
      </c>
      <c r="K6405" t="s">
        <v>14</v>
      </c>
      <c r="L6405" t="s">
        <v>20</v>
      </c>
      <c r="M6405" t="s">
        <v>12244</v>
      </c>
      <c r="N6405" t="s">
        <v>14</v>
      </c>
    </row>
    <row r="6406" x14ac:dyDescent="0.25">
      <c r="A6406" t="n">
        <v>25</v>
      </c>
      <c r="B6406" t="s">
        <v>14</v>
      </c>
      <c r="C6406" t="s">
        <v>22</v>
      </c>
      <c r="D6406" s="2" t="s">
        <f>=HYPERLINK("https://main.knesset.gov.il/APPS/legislation/main/bills/2198454", "הצעת חוק הסניגוריה הציבורית (תיקון - ליווי משפטי בשפת חשוד שהוא קטין), התשפ""ג-2023")</f>
        <v>12514</v>
      </c>
      <c r="E6406" t="s">
        <v>12514</v>
      </c>
      <c r="F6406" t="s">
        <v>12515</v>
      </c>
      <c r="G6406" t="s">
        <v>14</v>
      </c>
      <c r="H6406">
             </c>
      <c r="I6406" t="s">
        <v>14</v>
      </c>
      <c r="J6406" t="s">
        <v>141</v>
      </c>
      <c r="K6406" t="s">
        <v>14</v>
      </c>
      <c r="L6406" t="s">
        <v>20</v>
      </c>
      <c r="M6406" t="s">
        <v>12244</v>
      </c>
      <c r="N6406" t="s">
        <v>14</v>
      </c>
    </row>
    <row r="6407" x14ac:dyDescent="0.25">
      <c r="A6407" t="n">
        <v>25</v>
      </c>
      <c r="B6407" t="s">
        <v>14</v>
      </c>
      <c r="C6407" t="s">
        <v>22</v>
      </c>
      <c r="D6407" s="2" t="s">
        <f>=HYPERLINK("https://main.knesset.gov.il/APPS/legislation/main/bills/2198068", "הצעת חוק המועצה להשכלה גבוהה (תיקון - איסור הגבלת גיל בהרשמה למוסד להשכלה גבוהה), התשפ""ג-2023")</f>
        <v>9956</v>
      </c>
      <c r="E6407" t="s">
        <v>9956</v>
      </c>
      <c r="F6407" t="s">
        <v>12516</v>
      </c>
      <c r="G6407" t="s">
        <v>14</v>
      </c>
      <c r="H6407">
             </c>
      <c r="I6407" t="s">
        <v>14</v>
      </c>
      <c r="J6407" t="s">
        <v>141</v>
      </c>
      <c r="K6407" t="s">
        <v>14</v>
      </c>
      <c r="L6407" t="s">
        <v>20</v>
      </c>
      <c r="M6407" t="s">
        <v>12244</v>
      </c>
      <c r="N6407" t="s">
        <v>14</v>
      </c>
    </row>
    <row r="6408" x14ac:dyDescent="0.25">
      <c r="A6408" t="n">
        <v>25</v>
      </c>
      <c r="B6408" t="s">
        <v>14</v>
      </c>
      <c r="C6408" t="s">
        <v>22</v>
      </c>
      <c r="D6408" s="2" t="s">
        <f>=HYPERLINK("https://main.knesset.gov.il/APPS/legislation/main/bills/2198450", "הצעת חוק העונשין (תיקון - הגנה עצמית בנסיבות של אלימות במשפחה), התשפ""ג-2023")</f>
        <v>12517</v>
      </c>
      <c r="E6408" t="s">
        <v>12517</v>
      </c>
      <c r="F6408" t="s">
        <v>12518</v>
      </c>
      <c r="G6408" t="s">
        <v>14</v>
      </c>
      <c r="H6408">
             </c>
      <c r="I6408" t="s">
        <v>14</v>
      </c>
      <c r="J6408" t="s">
        <v>141</v>
      </c>
      <c r="K6408" t="s">
        <v>14</v>
      </c>
      <c r="L6408" t="s">
        <v>20</v>
      </c>
      <c r="M6408" t="s">
        <v>12244</v>
      </c>
      <c r="N6408" t="s">
        <v>14</v>
      </c>
    </row>
    <row r="6409" x14ac:dyDescent="0.25">
      <c r="A6409" t="n">
        <v>25</v>
      </c>
      <c r="B6409" t="s">
        <v>14</v>
      </c>
      <c r="C6409" t="s">
        <v>22</v>
      </c>
      <c r="D6409" s="2" t="s">
        <f>=HYPERLINK("https://main.knesset.gov.il/APPS/legislation/main/bills/2197853", "הצעת חוק אוויר נקי (תיקון - איסור שימוש בתנורי עץ, סולר ונפט), התשפ""ג-2023")</f>
        <v>12519</v>
      </c>
      <c r="E6409" t="s">
        <v>12519</v>
      </c>
      <c r="F6409" t="s">
        <v>12520</v>
      </c>
      <c r="G6409" t="s">
        <v>14</v>
      </c>
      <c r="H6409">
             </c>
      <c r="I6409" t="s">
        <v>14</v>
      </c>
      <c r="J6409" t="s">
        <v>141</v>
      </c>
      <c r="K6409" t="s">
        <v>14</v>
      </c>
      <c r="L6409" t="s">
        <v>20</v>
      </c>
      <c r="M6409" t="s">
        <v>12244</v>
      </c>
      <c r="N6409" t="s">
        <v>14</v>
      </c>
    </row>
    <row r="6410" x14ac:dyDescent="0.25">
      <c r="A6410" t="n">
        <v>25</v>
      </c>
      <c r="B6410" t="s">
        <v>14</v>
      </c>
      <c r="C6410" t="s">
        <v>22</v>
      </c>
      <c r="D6410" s="2" t="s">
        <f>=HYPERLINK("https://main.knesset.gov.il/APPS/legislation/main/bills/2198397", "הצעת חוק הביטוח הלאומי (תיקון - קצבת לידה בשל לידת תאומים), התשפ""ג-2023")</f>
        <v>12521</v>
      </c>
      <c r="E6410" t="s">
        <v>12521</v>
      </c>
      <c r="F6410" t="s">
        <v>12522</v>
      </c>
      <c r="G6410" t="s">
        <v>14</v>
      </c>
      <c r="H6410">
             </c>
      <c r="I6410" t="s">
        <v>14</v>
      </c>
      <c r="J6410" t="s">
        <v>141</v>
      </c>
      <c r="K6410" t="s">
        <v>14</v>
      </c>
      <c r="L6410" t="s">
        <v>20</v>
      </c>
      <c r="M6410" t="s">
        <v>12244</v>
      </c>
      <c r="N6410" t="s">
        <v>14</v>
      </c>
    </row>
    <row r="6411" x14ac:dyDescent="0.25">
      <c r="A6411" t="n">
        <v>25</v>
      </c>
      <c r="B6411" t="s">
        <v>14</v>
      </c>
      <c r="C6411" t="s">
        <v>22</v>
      </c>
      <c r="D6411" s="2" t="s">
        <f>=HYPERLINK("https://main.knesset.gov.il/APPS/legislation/main/bills/2198296", "הצעת חוק העונשין (תיקון - חובת פיצוי נפגע עבירה וחובת הנמקה), התשפ""ג-2023")</f>
        <v>8744</v>
      </c>
      <c r="E6411" t="s">
        <v>8744</v>
      </c>
      <c r="F6411" t="s">
        <v>12523</v>
      </c>
      <c r="G6411" t="s">
        <v>14</v>
      </c>
      <c r="H6411">
             </c>
      <c r="I6411" t="s">
        <v>14</v>
      </c>
      <c r="J6411" t="s">
        <v>141</v>
      </c>
      <c r="K6411" t="s">
        <v>14</v>
      </c>
      <c r="L6411" t="s">
        <v>20</v>
      </c>
      <c r="M6411" t="s">
        <v>12244</v>
      </c>
      <c r="N6411" t="s">
        <v>14</v>
      </c>
    </row>
    <row r="6412" x14ac:dyDescent="0.25">
      <c r="A6412" t="n">
        <v>25</v>
      </c>
      <c r="B6412" t="s">
        <v>14</v>
      </c>
      <c r="C6412" t="s">
        <v>22</v>
      </c>
      <c r="D6412" s="2" t="s">
        <f>=HYPERLINK("https://main.knesset.gov.il/APPS/legislation/main/bills/2198076", "הצעת חוק לתיקון פקודת התעבורה (הקמת מאגר מידע לריכוז דוחות חניה), התשפ""ג-2023")</f>
        <v>9499</v>
      </c>
      <c r="E6412" t="s">
        <v>9499</v>
      </c>
      <c r="F6412" t="s">
        <v>12524</v>
      </c>
      <c r="G6412" t="s">
        <v>14</v>
      </c>
      <c r="H6412">
             </c>
      <c r="I6412" t="s">
        <v>14</v>
      </c>
      <c r="J6412" t="s">
        <v>141</v>
      </c>
      <c r="K6412" t="s">
        <v>14</v>
      </c>
      <c r="L6412" t="s">
        <v>20</v>
      </c>
      <c r="M6412" t="s">
        <v>12244</v>
      </c>
      <c r="N6412" t="s">
        <v>14</v>
      </c>
    </row>
    <row r="6413" x14ac:dyDescent="0.25">
      <c r="A6413" t="n">
        <v>25</v>
      </c>
      <c r="B6413" t="s">
        <v>14</v>
      </c>
      <c r="C6413" t="s">
        <v>22</v>
      </c>
      <c r="D6413" s="2" t="s">
        <f>=HYPERLINK("https://main.knesset.gov.il/APPS/legislation/main/bills/2198299", "הצעת חוק העונשין (תיקון - אחראי על קטין או חסר ישע לעניין חובת הדיווח), התשפ""ג-2023")</f>
        <v>12525</v>
      </c>
      <c r="E6413" t="s">
        <v>12525</v>
      </c>
      <c r="F6413" t="s">
        <v>12526</v>
      </c>
      <c r="G6413" t="s">
        <v>14</v>
      </c>
      <c r="H6413">
             </c>
      <c r="I6413" t="s">
        <v>14</v>
      </c>
      <c r="J6413" t="s">
        <v>141</v>
      </c>
      <c r="K6413" t="s">
        <v>14</v>
      </c>
      <c r="L6413" t="s">
        <v>20</v>
      </c>
      <c r="M6413" t="s">
        <v>12244</v>
      </c>
      <c r="N6413" t="s">
        <v>14</v>
      </c>
    </row>
    <row r="6414" x14ac:dyDescent="0.25">
      <c r="A6414" t="n">
        <v>25</v>
      </c>
      <c r="B6414" t="s">
        <v>14</v>
      </c>
      <c r="C6414" t="s">
        <v>22</v>
      </c>
      <c r="D6414" s="2" t="s">
        <f>=HYPERLINK("https://main.knesset.gov.il/APPS/legislation/main/bills/2198310", "הצעת חוק שיקום, פיצוי וסיוע משפטי לנפגעי עבירות מין, התשפ""ג-2023")</f>
        <v>8872</v>
      </c>
      <c r="E6414" t="s">
        <v>8872</v>
      </c>
      <c r="F6414" t="s">
        <v>12527</v>
      </c>
      <c r="G6414" t="s">
        <v>14</v>
      </c>
      <c r="H6414">
             </c>
      <c r="I6414" t="s">
        <v>14</v>
      </c>
      <c r="J6414" t="s">
        <v>141</v>
      </c>
      <c r="K6414" t="s">
        <v>14</v>
      </c>
      <c r="L6414" t="s">
        <v>20</v>
      </c>
      <c r="M6414" t="s">
        <v>12244</v>
      </c>
      <c r="N6414" t="s">
        <v>14</v>
      </c>
    </row>
    <row r="6415" x14ac:dyDescent="0.25">
      <c r="A6415" t="n">
        <v>25</v>
      </c>
      <c r="B6415" t="s">
        <v>14</v>
      </c>
      <c r="C6415" t="s">
        <v>22</v>
      </c>
      <c r="D6415" s="2" t="s">
        <f>=HYPERLINK("https://main.knesset.gov.il/APPS/legislation/main/bills/2198344", "הצעת חוק למניעת הטרדה מינית (תיקון - נקיטת אמצעים למניעת הטרדה מינית במקומות בילוי), התשפ""ג-2023")</f>
        <v>12528</v>
      </c>
      <c r="E6415" t="s">
        <v>12528</v>
      </c>
      <c r="F6415" t="s">
        <v>12529</v>
      </c>
      <c r="G6415" t="s">
        <v>14</v>
      </c>
      <c r="H6415">
             </c>
      <c r="I6415" t="s">
        <v>14</v>
      </c>
      <c r="J6415" t="s">
        <v>141</v>
      </c>
      <c r="K6415" t="s">
        <v>14</v>
      </c>
      <c r="L6415" t="s">
        <v>20</v>
      </c>
      <c r="M6415" t="s">
        <v>12244</v>
      </c>
      <c r="N6415" t="s">
        <v>14</v>
      </c>
    </row>
    <row r="6416" x14ac:dyDescent="0.25">
      <c r="A6416" t="n">
        <v>25</v>
      </c>
      <c r="B6416" t="s">
        <v>14</v>
      </c>
      <c r="C6416" t="s">
        <v>22</v>
      </c>
      <c r="D6416" s="2" t="s">
        <f>=HYPERLINK("https://main.knesset.gov.il/APPS/legislation/main/bills/2198069", "הצעת חוק צער בעלי חיים (הגנה על בעלי חיים) (תיקון - איסור קשירת כלבים), התשפ""ג-2023")</f>
        <v>12530</v>
      </c>
      <c r="E6416" t="s">
        <v>12530</v>
      </c>
      <c r="F6416" t="s">
        <v>12531</v>
      </c>
      <c r="G6416" t="s">
        <v>14</v>
      </c>
      <c r="H6416">
             </c>
      <c r="I6416" t="s">
        <v>14</v>
      </c>
      <c r="J6416" t="s">
        <v>141</v>
      </c>
      <c r="K6416" t="s">
        <v>14</v>
      </c>
      <c r="L6416" t="s">
        <v>20</v>
      </c>
      <c r="M6416" t="s">
        <v>12244</v>
      </c>
      <c r="N6416" t="s">
        <v>14</v>
      </c>
    </row>
    <row r="6417" x14ac:dyDescent="0.25">
      <c r="A6417" t="n">
        <v>25</v>
      </c>
      <c r="B6417" t="s">
        <v>14</v>
      </c>
      <c r="C6417" t="s">
        <v>22</v>
      </c>
      <c r="D6417" s="2" t="s">
        <f>=HYPERLINK("https://main.knesset.gov.il/APPS/legislation/main/bills/2198346", "הצעת חוק הביטוח הלאומי (תיקון - הכרה בפגיעה מינית בעבודה כתאונת עבודה), התשפ""ג-2023")</f>
        <v>12532</v>
      </c>
      <c r="E6417" t="s">
        <v>12532</v>
      </c>
      <c r="F6417" t="s">
        <v>12533</v>
      </c>
      <c r="G6417" t="s">
        <v>14</v>
      </c>
      <c r="H6417">
             </c>
      <c r="I6417" t="s">
        <v>14</v>
      </c>
      <c r="J6417" t="s">
        <v>141</v>
      </c>
      <c r="K6417" t="s">
        <v>14</v>
      </c>
      <c r="L6417" t="s">
        <v>20</v>
      </c>
      <c r="M6417" t="s">
        <v>12244</v>
      </c>
      <c r="N6417" t="s">
        <v>14</v>
      </c>
    </row>
    <row r="6418" x14ac:dyDescent="0.25">
      <c r="A6418" t="n">
        <v>25</v>
      </c>
      <c r="B6418" t="s">
        <v>14</v>
      </c>
      <c r="C6418" t="s">
        <v>22</v>
      </c>
      <c r="D6418" s="2" t="s">
        <f>=HYPERLINK("https://main.knesset.gov.il/APPS/legislation/main/bills/2197146", "הצעת חוק-יסוד: ישראל - מדינת הלאום של העם היהודי (תיקון - ביטול החוק)")</f>
        <v>4732</v>
      </c>
      <c r="E6418" t="s">
        <v>4732</v>
      </c>
      <c r="F6418" t="s">
        <v>12534</v>
      </c>
      <c r="G6418" t="s">
        <v>14</v>
      </c>
      <c r="H6418">
             </c>
      <c r="I6418" t="s">
        <v>14</v>
      </c>
      <c r="J6418" t="s">
        <v>141</v>
      </c>
      <c r="K6418" t="s">
        <v>14</v>
      </c>
      <c r="L6418" t="s">
        <v>20</v>
      </c>
      <c r="M6418" t="s">
        <v>12244</v>
      </c>
      <c r="N6418" t="s">
        <v>14</v>
      </c>
    </row>
    <row r="6419" x14ac:dyDescent="0.25">
      <c r="A6419" t="n">
        <v>25</v>
      </c>
      <c r="B6419" t="s">
        <v>14</v>
      </c>
      <c r="C6419" t="s">
        <v>22</v>
      </c>
      <c r="D6419" s="2" t="s">
        <f>=HYPERLINK("https://main.knesset.gov.il/APPS/legislation/main/bills/2198331", "הצעת חוק הפסקת שיטת ההעסקה הקבלנית, התשפ""ג-2023")</f>
        <v>12535</v>
      </c>
      <c r="E6419" t="s">
        <v>12535</v>
      </c>
      <c r="F6419" t="s">
        <v>12536</v>
      </c>
      <c r="G6419" t="s">
        <v>14</v>
      </c>
      <c r="H6419">
             </c>
      <c r="I6419" t="s">
        <v>14</v>
      </c>
      <c r="J6419" t="s">
        <v>141</v>
      </c>
      <c r="K6419" t="s">
        <v>14</v>
      </c>
      <c r="L6419" t="s">
        <v>20</v>
      </c>
      <c r="M6419" t="s">
        <v>12244</v>
      </c>
      <c r="N6419" t="s">
        <v>14</v>
      </c>
    </row>
    <row r="6420" x14ac:dyDescent="0.25">
      <c r="A6420" t="n">
        <v>25</v>
      </c>
      <c r="B6420" t="s">
        <v>14</v>
      </c>
      <c r="C6420" t="s">
        <v>22</v>
      </c>
      <c r="D6420" s="2" t="s">
        <f>=HYPERLINK("https://main.knesset.gov.il/APPS/legislation/main/bills/2197115", "הצעת חוק הביטוח הלאומי (תיקון - הצמדת קצבת אזרח ותיק לשכר הממוצע במשק), התשפ""ג-2023")</f>
        <v>12537</v>
      </c>
      <c r="E6420" t="s">
        <v>12537</v>
      </c>
      <c r="F6420" t="s">
        <v>12538</v>
      </c>
      <c r="G6420" t="s">
        <v>14</v>
      </c>
      <c r="H6420">
             </c>
      <c r="I6420" t="s">
        <v>14</v>
      </c>
      <c r="J6420" t="s">
        <v>141</v>
      </c>
      <c r="K6420" t="s">
        <v>14</v>
      </c>
      <c r="L6420" t="s">
        <v>20</v>
      </c>
      <c r="M6420" t="s">
        <v>12244</v>
      </c>
      <c r="N6420" t="s">
        <v>14</v>
      </c>
    </row>
    <row r="6421" x14ac:dyDescent="0.25">
      <c r="A6421" t="n">
        <v>25</v>
      </c>
      <c r="B6421" t="s">
        <v>14</v>
      </c>
      <c r="C6421" t="s">
        <v>22</v>
      </c>
      <c r="D6421" s="2" t="s">
        <f>=HYPERLINK("https://main.knesset.gov.il/APPS/legislation/main/bills/2197129", "הצעת חוק הרשויות המקומיות (זכויות וחובות של חברי מועצה), התשפ""ג-2023")</f>
        <v>2848</v>
      </c>
      <c r="E6421" t="s">
        <v>2848</v>
      </c>
      <c r="F6421" t="s">
        <v>12539</v>
      </c>
      <c r="G6421" t="s">
        <v>14</v>
      </c>
      <c r="H6421">
             </c>
      <c r="I6421" t="s">
        <v>14</v>
      </c>
      <c r="J6421" t="s">
        <v>343</v>
      </c>
      <c r="K6421" t="s">
        <v>14</v>
      </c>
      <c r="L6421" t="s">
        <v>20</v>
      </c>
      <c r="M6421" t="s">
        <v>12244</v>
      </c>
      <c r="N6421" t="s">
        <v>14</v>
      </c>
    </row>
    <row r="6422" x14ac:dyDescent="0.25">
      <c r="A6422" t="n">
        <v>25</v>
      </c>
      <c r="B6422" t="s">
        <v>14</v>
      </c>
      <c r="C6422" t="s">
        <v>22</v>
      </c>
      <c r="D6422" s="2" t="s">
        <f>=HYPERLINK("https://main.knesset.gov.il/APPS/legislation/main/bills/2197565", "הצעת חוק שירות המדינה (משמעת) (תיקון - הארכת תקופת ההתיישנות בהטרדות מיניות), התשפ""ג-2023")</f>
        <v>12540</v>
      </c>
      <c r="E6422" t="s">
        <v>12540</v>
      </c>
      <c r="F6422" t="s">
        <v>12541</v>
      </c>
      <c r="G6422" t="s">
        <v>14</v>
      </c>
      <c r="H6422">
             </c>
      <c r="I6422" t="s">
        <v>14</v>
      </c>
      <c r="J6422" t="s">
        <v>141</v>
      </c>
      <c r="K6422" t="s">
        <v>14</v>
      </c>
      <c r="L6422" t="s">
        <v>20</v>
      </c>
      <c r="M6422" t="s">
        <v>12244</v>
      </c>
      <c r="N6422" t="s">
        <v>14</v>
      </c>
    </row>
    <row r="6423" x14ac:dyDescent="0.25">
      <c r="A6423" t="n">
        <v>25</v>
      </c>
      <c r="B6423" t="s">
        <v>14</v>
      </c>
      <c r="C6423" t="s">
        <v>22</v>
      </c>
      <c r="D6423" s="2" t="s">
        <f>=HYPERLINK("https://main.knesset.gov.il/APPS/legislation/main/bills/2197121", "הצעת חוק המדיניות הכלכלית לשנים 2011 ו-2012 (תיקוני חקיקה) (תיקון - תנאים להתרת השקעה במניות כהוצאה), התשפ""ג-2023")</f>
        <v>12542</v>
      </c>
      <c r="E6423" t="s">
        <v>12542</v>
      </c>
      <c r="F6423" t="s">
        <v>12543</v>
      </c>
      <c r="G6423" t="s">
        <v>14</v>
      </c>
      <c r="H6423">
             </c>
      <c r="I6423" t="s">
        <v>14</v>
      </c>
      <c r="J6423" t="s">
        <v>141</v>
      </c>
      <c r="K6423" t="s">
        <v>14</v>
      </c>
      <c r="L6423" t="s">
        <v>20</v>
      </c>
      <c r="M6423" t="s">
        <v>12244</v>
      </c>
      <c r="N6423" t="s">
        <v>14</v>
      </c>
    </row>
    <row r="6424" x14ac:dyDescent="0.25">
      <c r="A6424" t="n">
        <v>25</v>
      </c>
      <c r="B6424" t="s">
        <v>14</v>
      </c>
      <c r="C6424" t="s">
        <v>22</v>
      </c>
      <c r="D6424" s="2" t="s">
        <f>=HYPERLINK("https://main.knesset.gov.il/APPS/legislation/main/bills/2198064", "הצעת חוק שירותי הדת היהודיים (תיקון - ייצוג הולם לנשים במועצות הדתיות), התשפ""ג-2023")</f>
        <v>12544</v>
      </c>
      <c r="E6424" t="s">
        <v>12544</v>
      </c>
      <c r="F6424" t="s">
        <v>12545</v>
      </c>
      <c r="G6424" t="s">
        <v>14</v>
      </c>
      <c r="H6424">
             </c>
      <c r="I6424" t="s">
        <v>14</v>
      </c>
      <c r="J6424" t="s">
        <v>141</v>
      </c>
      <c r="K6424" t="s">
        <v>14</v>
      </c>
      <c r="L6424" t="s">
        <v>20</v>
      </c>
      <c r="M6424" t="s">
        <v>12244</v>
      </c>
      <c r="N6424" t="s">
        <v>14</v>
      </c>
    </row>
    <row r="6425" x14ac:dyDescent="0.25">
      <c r="A6425" t="n">
        <v>25</v>
      </c>
      <c r="B6425" t="s">
        <v>14</v>
      </c>
      <c r="C6425" t="s">
        <v>22</v>
      </c>
      <c r="D6425" s="2" t="s">
        <f>=HYPERLINK("https://main.knesset.gov.il/APPS/legislation/main/bills/2198182", "הצעת חוק גיל פרישה (תיקון - שינוי גיל הפרישה לעובדים בענף הבניין), התשפ""ג-2023")</f>
        <v>11398</v>
      </c>
      <c r="E6425" t="s">
        <v>11398</v>
      </c>
      <c r="F6425" t="s">
        <v>12546</v>
      </c>
      <c r="G6425" t="s">
        <v>14</v>
      </c>
      <c r="H6425">
             </c>
      <c r="I6425" t="s">
        <v>14</v>
      </c>
      <c r="J6425" t="s">
        <v>141</v>
      </c>
      <c r="K6425" t="s">
        <v>14</v>
      </c>
      <c r="L6425" t="s">
        <v>20</v>
      </c>
      <c r="M6425" t="s">
        <v>12244</v>
      </c>
      <c r="N6425" t="s">
        <v>14</v>
      </c>
    </row>
    <row r="6426" x14ac:dyDescent="0.25">
      <c r="A6426" t="n">
        <v>25</v>
      </c>
      <c r="B6426" t="s">
        <v>14</v>
      </c>
      <c r="C6426" t="s">
        <v>22</v>
      </c>
      <c r="D6426" s="2" t="s">
        <f>=HYPERLINK("https://main.knesset.gov.il/APPS/legislation/main/bills/2197563", "הצעת חוק לתיקון פקודת סדרי השלטון והמשפט (יום האישה הבין-לאומי), התשפ""ג-2023")</f>
        <v>12547</v>
      </c>
      <c r="E6426" t="s">
        <v>12547</v>
      </c>
      <c r="F6426" t="s">
        <v>12548</v>
      </c>
      <c r="G6426" t="s">
        <v>14</v>
      </c>
      <c r="H6426">
             </c>
      <c r="I6426" t="s">
        <v>14</v>
      </c>
      <c r="J6426" t="s">
        <v>141</v>
      </c>
      <c r="K6426" t="s">
        <v>14</v>
      </c>
      <c r="L6426" t="s">
        <v>20</v>
      </c>
      <c r="M6426" t="s">
        <v>12244</v>
      </c>
      <c r="N6426" t="s">
        <v>14</v>
      </c>
    </row>
    <row r="6427" x14ac:dyDescent="0.25">
      <c r="A6427" t="n">
        <v>25</v>
      </c>
      <c r="B6427" t="s">
        <v>14</v>
      </c>
      <c r="C6427" t="s">
        <v>22</v>
      </c>
      <c r="D6427" s="2" t="s">
        <f>=HYPERLINK("https://main.knesset.gov.il/APPS/legislation/main/bills/2197499", "הצעת חוק להנצחת זכרו של רחבעם זאבי (תיקון - ביטול החוק), התשפ""ג-2023")</f>
        <v>12549</v>
      </c>
      <c r="E6427" t="s">
        <v>12549</v>
      </c>
      <c r="F6427" t="s">
        <v>12550</v>
      </c>
      <c r="G6427" t="s">
        <v>14</v>
      </c>
      <c r="H6427">
             </c>
      <c r="I6427" t="s">
        <v>14</v>
      </c>
      <c r="J6427" t="s">
        <v>141</v>
      </c>
      <c r="K6427" t="s">
        <v>14</v>
      </c>
      <c r="L6427" t="s">
        <v>20</v>
      </c>
      <c r="M6427" t="s">
        <v>12244</v>
      </c>
      <c r="N6427" t="s">
        <v>14</v>
      </c>
    </row>
    <row r="6428" x14ac:dyDescent="0.25">
      <c r="A6428" t="n">
        <v>25</v>
      </c>
      <c r="B6428" t="s">
        <v>14</v>
      </c>
      <c r="C6428" t="s">
        <v>22</v>
      </c>
      <c r="D6428" s="2" t="s">
        <f>=HYPERLINK("https://main.knesset.gov.il/APPS/legislation/main/bills/2197073", "הצעת חוק צער בעלי חיים (הגנה על בעלי חיים) (תיקון - קביעת עונש מינימום בגין התעללות בבעלי חיים), התשפ""ג-2023")</f>
        <v>204</v>
      </c>
      <c r="E6428" t="s">
        <v>204</v>
      </c>
      <c r="F6428" t="s">
        <v>12551</v>
      </c>
      <c r="G6428" t="s">
        <v>14</v>
      </c>
      <c r="H6428">
             </c>
      <c r="I6428" t="s">
        <v>14</v>
      </c>
      <c r="J6428" t="s">
        <v>141</v>
      </c>
      <c r="K6428" t="s">
        <v>14</v>
      </c>
      <c r="L6428" t="s">
        <v>20</v>
      </c>
      <c r="M6428" t="s">
        <v>12244</v>
      </c>
      <c r="N6428" t="s">
        <v>14</v>
      </c>
    </row>
    <row r="6429" x14ac:dyDescent="0.25">
      <c r="A6429" t="n">
        <v>25</v>
      </c>
      <c r="B6429" t="s">
        <v>14</v>
      </c>
      <c r="C6429" t="s">
        <v>22</v>
      </c>
      <c r="D6429" s="2" t="s">
        <f>=HYPERLINK("https://main.knesset.gov.il/APPS/legislation/main/bills/2198079", "הצעת חוק החברות הממשלתיות (תיקון - נבחרת הדירקטורים), התשפ""ג-2023")</f>
        <v>12552</v>
      </c>
      <c r="E6429" t="s">
        <v>12552</v>
      </c>
      <c r="F6429" t="s">
        <v>12553</v>
      </c>
      <c r="G6429" t="s">
        <v>14</v>
      </c>
      <c r="H6429">
             </c>
      <c r="I6429" t="s">
        <v>14</v>
      </c>
      <c r="J6429" t="s">
        <v>141</v>
      </c>
      <c r="K6429" t="s">
        <v>14</v>
      </c>
      <c r="L6429" t="s">
        <v>20</v>
      </c>
      <c r="M6429" t="s">
        <v>12244</v>
      </c>
      <c r="N6429" t="s">
        <v>14</v>
      </c>
    </row>
    <row r="6430" x14ac:dyDescent="0.25">
      <c r="A6430" t="n">
        <v>25</v>
      </c>
      <c r="B6430" t="s">
        <v>14</v>
      </c>
      <c r="C6430" t="s">
        <v>22</v>
      </c>
      <c r="D6430" s="2" t="s">
        <f>=HYPERLINK("https://main.knesset.gov.il/APPS/legislation/main/bills/2196806", "הצעת חוק למניעת השתלטות תושבי הרשות הפלסטינית על שטחי c, התשפ""ג-2023")</f>
        <v>10660</v>
      </c>
      <c r="E6430" t="s">
        <v>10660</v>
      </c>
      <c r="F6430" t="s">
        <v>12554</v>
      </c>
      <c r="G6430" t="s">
        <v>14</v>
      </c>
      <c r="H6430">
             </c>
      <c r="I6430" t="s">
        <v>14</v>
      </c>
      <c r="J6430" t="s">
        <v>141</v>
      </c>
      <c r="K6430" t="s">
        <v>14</v>
      </c>
      <c r="L6430" t="s">
        <v>20</v>
      </c>
      <c r="M6430" t="s">
        <v>12244</v>
      </c>
      <c r="N6430" t="s">
        <v>14</v>
      </c>
    </row>
    <row r="6431" x14ac:dyDescent="0.25">
      <c r="A6431" t="n">
        <v>25</v>
      </c>
      <c r="B6431" t="s">
        <v>14</v>
      </c>
      <c r="C6431" t="s">
        <v>22</v>
      </c>
      <c r="D6431" s="2" t="s">
        <f>=HYPERLINK("https://main.knesset.gov.il/APPS/legislation/main/bills/2197852", "הצעת חוק הסדרת מעמדם של אנשי צוות בהפקות מקומיות, התשפ""ג-2023")</f>
        <v>12555</v>
      </c>
      <c r="E6431" t="s">
        <v>12555</v>
      </c>
      <c r="F6431" t="s">
        <v>12556</v>
      </c>
      <c r="G6431" t="s">
        <v>14</v>
      </c>
      <c r="H6431">
             </c>
      <c r="I6431" t="s">
        <v>14</v>
      </c>
      <c r="J6431" t="s">
        <v>141</v>
      </c>
      <c r="K6431" t="s">
        <v>14</v>
      </c>
      <c r="L6431" t="s">
        <v>20</v>
      </c>
      <c r="M6431" t="s">
        <v>12244</v>
      </c>
      <c r="N6431" t="s">
        <v>14</v>
      </c>
    </row>
    <row r="6432" x14ac:dyDescent="0.25">
      <c r="A6432" t="n">
        <v>25</v>
      </c>
      <c r="B6432" t="s">
        <v>14</v>
      </c>
      <c r="C6432" t="s">
        <v>22</v>
      </c>
      <c r="D6432" s="2" t="s">
        <f>=HYPERLINK("https://main.knesset.gov.il/APPS/legislation/main/bills/2197851", "הצעת חוק לתיקון פקודת העיריות (ייצוג הולם לאוכלוסייה הערבית), התשפ""ג-2023")</f>
        <v>12285</v>
      </c>
      <c r="E6432" t="s">
        <v>12285</v>
      </c>
      <c r="F6432" t="s">
        <v>12557</v>
      </c>
      <c r="G6432" t="s">
        <v>14</v>
      </c>
      <c r="H6432">
             </c>
      <c r="I6432" t="s">
        <v>14</v>
      </c>
      <c r="J6432" t="s">
        <v>141</v>
      </c>
      <c r="K6432" t="s">
        <v>14</v>
      </c>
      <c r="L6432" t="s">
        <v>20</v>
      </c>
      <c r="M6432" t="s">
        <v>12244</v>
      </c>
      <c r="N6432" t="s">
        <v>14</v>
      </c>
    </row>
    <row r="6433" x14ac:dyDescent="0.25">
      <c r="A6433" t="n">
        <v>25</v>
      </c>
      <c r="B6433" t="s">
        <v>14</v>
      </c>
      <c r="C6433" t="s">
        <v>22</v>
      </c>
      <c r="D6433" s="2" t="s">
        <f>=HYPERLINK("https://main.knesset.gov.il/APPS/legislation/main/bills/2197850", "הצעת חוק הביטוח הלאומי (תיקון - עבודה מועדפת באילת), התשפ""ג-2023")</f>
        <v>12558</v>
      </c>
      <c r="E6433" t="s">
        <v>12558</v>
      </c>
      <c r="F6433" t="s">
        <v>12559</v>
      </c>
      <c r="G6433" t="s">
        <v>14</v>
      </c>
      <c r="H6433">
             </c>
      <c r="I6433" t="s">
        <v>14</v>
      </c>
      <c r="J6433" t="s">
        <v>141</v>
      </c>
      <c r="K6433" t="s">
        <v>14</v>
      </c>
      <c r="L6433" t="s">
        <v>20</v>
      </c>
      <c r="M6433" t="s">
        <v>12244</v>
      </c>
      <c r="N6433" t="s">
        <v>14</v>
      </c>
    </row>
    <row r="6434" x14ac:dyDescent="0.25">
      <c r="A6434" t="n">
        <v>25</v>
      </c>
      <c r="B6434" t="s">
        <v>14</v>
      </c>
      <c r="C6434" t="s">
        <v>22</v>
      </c>
      <c r="D6434" s="2" t="s">
        <f>=HYPERLINK("https://main.knesset.gov.il/APPS/legislation/main/bills/2197117", "הצעת חוק התכנון והבנייה (תיקון - חובת התקנת גלאי עשן), התשפ""ג-2023")</f>
        <v>12560</v>
      </c>
      <c r="E6434" t="s">
        <v>12560</v>
      </c>
      <c r="F6434" t="s">
        <v>12561</v>
      </c>
      <c r="G6434" t="s">
        <v>14</v>
      </c>
      <c r="H6434">
             </c>
      <c r="I6434" t="s">
        <v>14</v>
      </c>
      <c r="J6434" t="s">
        <v>141</v>
      </c>
      <c r="K6434" t="s">
        <v>14</v>
      </c>
      <c r="L6434" t="s">
        <v>20</v>
      </c>
      <c r="M6434" t="s">
        <v>12244</v>
      </c>
      <c r="N6434" t="s">
        <v>14</v>
      </c>
    </row>
    <row r="6435" x14ac:dyDescent="0.25">
      <c r="A6435" t="n">
        <v>25</v>
      </c>
      <c r="B6435" t="s">
        <v>14</v>
      </c>
      <c r="C6435" t="s">
        <v>22</v>
      </c>
      <c r="D6435" s="2" t="s">
        <f>=HYPERLINK("https://main.knesset.gov.il/APPS/legislation/main/bills/2197848", "הצעת חוק משכן הכנסת, רחבתו ומשמר הכנסת (תיקון - איסור העסקה קבלנית), התשפ""ג-2023")</f>
        <v>11741</v>
      </c>
      <c r="E6435" t="s">
        <v>11741</v>
      </c>
      <c r="F6435" t="s">
        <v>12562</v>
      </c>
      <c r="G6435" t="s">
        <v>14</v>
      </c>
      <c r="H6435">
             </c>
      <c r="I6435" t="s">
        <v>14</v>
      </c>
      <c r="J6435" t="s">
        <v>141</v>
      </c>
      <c r="K6435" t="s">
        <v>14</v>
      </c>
      <c r="L6435" t="s">
        <v>20</v>
      </c>
      <c r="M6435" t="s">
        <v>12244</v>
      </c>
      <c r="N6435" t="s">
        <v>14</v>
      </c>
    </row>
    <row r="6436" x14ac:dyDescent="0.25">
      <c r="A6436" t="n">
        <v>25</v>
      </c>
      <c r="B6436" t="s">
        <v>14</v>
      </c>
      <c r="C6436" t="s">
        <v>22</v>
      </c>
      <c r="D6436" s="2" t="s">
        <f>=HYPERLINK("https://main.knesset.gov.il/APPS/legislation/main/bills/2197494", "הצעת חוק לתיקון פקודת העיריות (שידור ישיבות מועצה), התשפ""ג-2023")</f>
        <v>12563</v>
      </c>
      <c r="E6436" t="s">
        <v>12563</v>
      </c>
      <c r="F6436" t="s">
        <v>12564</v>
      </c>
      <c r="G6436" t="s">
        <v>14</v>
      </c>
      <c r="H6436">
             </c>
      <c r="I6436" t="s">
        <v>14</v>
      </c>
      <c r="J6436" t="s">
        <v>141</v>
      </c>
      <c r="K6436" t="s">
        <v>14</v>
      </c>
      <c r="L6436" t="s">
        <v>20</v>
      </c>
      <c r="M6436" t="s">
        <v>12244</v>
      </c>
      <c r="N6436" t="s">
        <v>14</v>
      </c>
    </row>
    <row r="6437" x14ac:dyDescent="0.25">
      <c r="A6437" t="n">
        <v>25</v>
      </c>
      <c r="B6437" t="s">
        <v>14</v>
      </c>
      <c r="C6437" t="s">
        <v>22</v>
      </c>
      <c r="D6437" s="2" t="s">
        <f>=HYPERLINK("https://main.knesset.gov.il/APPS/legislation/main/bills/2197492", "הצעת חוק הביטוח הלאומי (תיקון - זכאות לדמי אבטלה מגיל 18), התשפ""ג-2023")</f>
        <v>12565</v>
      </c>
      <c r="E6437" t="s">
        <v>12565</v>
      </c>
      <c r="F6437" t="s">
        <v>12566</v>
      </c>
      <c r="G6437" t="s">
        <v>14</v>
      </c>
      <c r="H6437">
             </c>
      <c r="I6437" t="s">
        <v>14</v>
      </c>
      <c r="J6437" t="s">
        <v>141</v>
      </c>
      <c r="K6437" t="s">
        <v>14</v>
      </c>
      <c r="L6437" t="s">
        <v>20</v>
      </c>
      <c r="M6437" t="s">
        <v>12244</v>
      </c>
      <c r="N6437" t="s">
        <v>14</v>
      </c>
    </row>
    <row r="6438" x14ac:dyDescent="0.25">
      <c r="A6438" t="n">
        <v>25</v>
      </c>
      <c r="B6438" t="s">
        <v>14</v>
      </c>
      <c r="C6438" t="s">
        <v>22</v>
      </c>
      <c r="D6438" s="2" t="s">
        <f>=HYPERLINK("https://main.knesset.gov.il/APPS/legislation/main/bills/2197715", "הצעת חוק לתיקון פקודת בתי הסוהר (שיקום אסירי אלימות במשפחה), התשפ""ג-2023")</f>
        <v>12567</v>
      </c>
      <c r="E6438" t="s">
        <v>12567</v>
      </c>
      <c r="F6438" t="s">
        <v>12568</v>
      </c>
      <c r="G6438" t="s">
        <v>14</v>
      </c>
      <c r="H6438">
             </c>
      <c r="I6438" t="s">
        <v>14</v>
      </c>
      <c r="J6438" t="s">
        <v>141</v>
      </c>
      <c r="K6438" t="s">
        <v>14</v>
      </c>
      <c r="L6438" t="s">
        <v>20</v>
      </c>
      <c r="M6438" t="s">
        <v>12244</v>
      </c>
      <c r="N6438" t="s">
        <v>14</v>
      </c>
    </row>
    <row r="6439" x14ac:dyDescent="0.25">
      <c r="A6439" t="n">
        <v>25</v>
      </c>
      <c r="B6439" t="s">
        <v>14</v>
      </c>
      <c r="C6439" t="s">
        <v>22</v>
      </c>
      <c r="D6439" s="2" t="s">
        <f>=HYPERLINK("https://main.knesset.gov.il/APPS/legislation/main/bills/2197491", "הצעת חוק ביטוח בריאות ממלכתי (תיקון - פטור מתקופת המתנה לסטודנטים הלומדים בחו""ל), התשפ""ג-2023")</f>
        <v>9037</v>
      </c>
      <c r="E6439" t="s">
        <v>9037</v>
      </c>
      <c r="F6439" t="s">
        <v>12569</v>
      </c>
      <c r="G6439" t="s">
        <v>14</v>
      </c>
      <c r="H6439">
             </c>
      <c r="I6439" t="s">
        <v>14</v>
      </c>
      <c r="J6439" t="s">
        <v>141</v>
      </c>
      <c r="K6439" t="s">
        <v>14</v>
      </c>
      <c r="L6439" t="s">
        <v>20</v>
      </c>
      <c r="M6439" t="s">
        <v>12244</v>
      </c>
      <c r="N6439" t="s">
        <v>14</v>
      </c>
    </row>
    <row r="6440" x14ac:dyDescent="0.25">
      <c r="A6440" t="n">
        <v>25</v>
      </c>
      <c r="B6440" t="s">
        <v>14</v>
      </c>
      <c r="C6440" t="s">
        <v>22</v>
      </c>
      <c r="D6440" s="2" t="s">
        <f>=HYPERLINK("https://main.knesset.gov.il/APPS/legislation/main/bills/2197707", "הצעת חוק הפיקוח על מעונות יום לפעוטות (תיקון - הרחבת הפיקוח על מעונות יום), התשפ""ג-2023")</f>
        <v>10642</v>
      </c>
      <c r="E6440" t="s">
        <v>10642</v>
      </c>
      <c r="F6440" t="s">
        <v>12570</v>
      </c>
      <c r="G6440" t="s">
        <v>14</v>
      </c>
      <c r="H6440">
             </c>
      <c r="I6440" t="s">
        <v>14</v>
      </c>
      <c r="J6440" t="s">
        <v>141</v>
      </c>
      <c r="K6440" t="s">
        <v>14</v>
      </c>
      <c r="L6440" t="s">
        <v>20</v>
      </c>
      <c r="M6440" t="s">
        <v>12244</v>
      </c>
      <c r="N6440" t="s">
        <v>14</v>
      </c>
    </row>
    <row r="6441" x14ac:dyDescent="0.25">
      <c r="A6441" t="n">
        <v>25</v>
      </c>
      <c r="B6441" t="s">
        <v>14</v>
      </c>
      <c r="C6441" t="s">
        <v>22</v>
      </c>
      <c r="D6441" s="2" t="s">
        <f>=HYPERLINK("https://main.knesset.gov.il/APPS/legislation/main/bills/2197703", "הצעת חוק הקמת מיתקן פוטו-וולטאי ומיתקן אגירה בבית משותף המוקם במתחם פינוי ובינוי, התשפ""ג-2023")</f>
        <v>12571</v>
      </c>
      <c r="E6441" t="s">
        <v>12571</v>
      </c>
      <c r="F6441" t="s">
        <v>12572</v>
      </c>
      <c r="G6441" t="s">
        <v>14</v>
      </c>
      <c r="H6441">
             </c>
      <c r="I6441" t="s">
        <v>14</v>
      </c>
      <c r="J6441" t="s">
        <v>141</v>
      </c>
      <c r="K6441" t="s">
        <v>14</v>
      </c>
      <c r="L6441" t="s">
        <v>20</v>
      </c>
      <c r="M6441" t="s">
        <v>12244</v>
      </c>
      <c r="N6441" t="s">
        <v>14</v>
      </c>
    </row>
    <row r="6442" x14ac:dyDescent="0.25">
      <c r="A6442" t="n">
        <v>25</v>
      </c>
      <c r="B6442" t="s">
        <v>14</v>
      </c>
      <c r="C6442" t="s">
        <v>22</v>
      </c>
      <c r="D6442" s="2" t="s">
        <f>=HYPERLINK("https://main.knesset.gov.il/APPS/legislation/main/bills/2197489", "הצעת חוק לתיקון פקודת המשטרה (הרכב המחלקה לחקירת שוטרים), התשפ""ג-2023")</f>
        <v>12573</v>
      </c>
      <c r="E6442" t="s">
        <v>12573</v>
      </c>
      <c r="F6442" t="s">
        <v>12574</v>
      </c>
      <c r="G6442" t="s">
        <v>14</v>
      </c>
      <c r="H6442">
             </c>
      <c r="I6442" t="s">
        <v>14</v>
      </c>
      <c r="J6442" t="s">
        <v>141</v>
      </c>
      <c r="K6442" t="s">
        <v>14</v>
      </c>
      <c r="L6442" t="s">
        <v>20</v>
      </c>
      <c r="M6442" t="s">
        <v>12244</v>
      </c>
      <c r="N6442" t="s">
        <v>14</v>
      </c>
    </row>
    <row r="6443" x14ac:dyDescent="0.25">
      <c r="A6443" t="n">
        <v>25</v>
      </c>
      <c r="B6443" t="s">
        <v>14</v>
      </c>
      <c r="C6443" t="s">
        <v>22</v>
      </c>
      <c r="D6443" s="2" t="s">
        <f>=HYPERLINK("https://main.knesset.gov.il/APPS/legislation/main/bills/2197713", "הצעת חוק-יסוד: הכנסת (תיקון - תקופת לידה והורות לחברי הכנסת)")</f>
        <v>12575</v>
      </c>
      <c r="E6443" t="s">
        <v>12575</v>
      </c>
      <c r="F6443" t="s">
        <v>12576</v>
      </c>
      <c r="G6443" t="s">
        <v>14</v>
      </c>
      <c r="H6443">
             </c>
      <c r="I6443" t="s">
        <v>14</v>
      </c>
      <c r="J6443" t="s">
        <v>141</v>
      </c>
      <c r="K6443" t="s">
        <v>14</v>
      </c>
      <c r="L6443" t="s">
        <v>20</v>
      </c>
      <c r="M6443" t="s">
        <v>12244</v>
      </c>
      <c r="N6443" t="s">
        <v>14</v>
      </c>
    </row>
    <row r="6444" x14ac:dyDescent="0.25">
      <c r="A6444" t="n">
        <v>25</v>
      </c>
      <c r="B6444" t="s">
        <v>14</v>
      </c>
      <c r="C6444" t="s">
        <v>22</v>
      </c>
      <c r="D6444" s="2" t="s">
        <f>=HYPERLINK("https://main.knesset.gov.il/APPS/legislation/main/bills/2197687", "הצעת חוק יום לציון המאבק בגזענות, התשפ""ג-2023")</f>
        <v>12577</v>
      </c>
      <c r="E6444" t="s">
        <v>12577</v>
      </c>
      <c r="F6444" t="s">
        <v>12578</v>
      </c>
      <c r="G6444" t="s">
        <v>14</v>
      </c>
      <c r="H6444">
             </c>
      <c r="I6444" t="s">
        <v>14</v>
      </c>
      <c r="J6444" t="s">
        <v>141</v>
      </c>
      <c r="K6444" t="s">
        <v>14</v>
      </c>
      <c r="L6444" t="s">
        <v>20</v>
      </c>
      <c r="M6444" t="s">
        <v>12244</v>
      </c>
      <c r="N6444" t="s">
        <v>14</v>
      </c>
    </row>
    <row r="6445" x14ac:dyDescent="0.25">
      <c r="A6445" t="n">
        <v>25</v>
      </c>
      <c r="B6445" t="s">
        <v>14</v>
      </c>
      <c r="C6445" t="s">
        <v>22</v>
      </c>
      <c r="D6445" s="2" t="s">
        <f>=HYPERLINK("https://main.knesset.gov.il/APPS/legislation/main/bills/2197490", "הצעת חוק לתיקון פקודת סדרי השלטון והמשפט (יום הפועלים הבינלאומי), התשפ""ג-2023")</f>
        <v>12579</v>
      </c>
      <c r="E6445" t="s">
        <v>12579</v>
      </c>
      <c r="F6445" t="s">
        <v>12580</v>
      </c>
      <c r="G6445" t="s">
        <v>14</v>
      </c>
      <c r="H6445">
             </c>
      <c r="I6445" t="s">
        <v>14</v>
      </c>
      <c r="J6445" t="s">
        <v>141</v>
      </c>
      <c r="K6445" t="s">
        <v>14</v>
      </c>
      <c r="L6445" t="s">
        <v>20</v>
      </c>
      <c r="M6445" t="s">
        <v>12244</v>
      </c>
      <c r="N6445" t="s">
        <v>14</v>
      </c>
    </row>
    <row r="6446" x14ac:dyDescent="0.25">
      <c r="A6446" t="n">
        <v>25</v>
      </c>
      <c r="B6446" t="s">
        <v>14</v>
      </c>
      <c r="C6446" t="s">
        <v>22</v>
      </c>
      <c r="D6446" s="2" t="s">
        <f>=HYPERLINK("https://main.knesset.gov.il/APPS/legislation/main/bills/2197094", "הצעת חוק ההוצאה לפועל (תיקון - הגבלת סכום עיקול בידי צד שלישי שהוא תאגיד בנקאי), התשפ""ג-2023")</f>
        <v>10109</v>
      </c>
      <c r="E6446" t="s">
        <v>10109</v>
      </c>
      <c r="F6446" t="s">
        <v>12581</v>
      </c>
      <c r="G6446" t="s">
        <v>14</v>
      </c>
      <c r="H6446">
             </c>
      <c r="I6446" t="s">
        <v>14</v>
      </c>
      <c r="J6446" t="s">
        <v>141</v>
      </c>
      <c r="K6446" t="s">
        <v>14</v>
      </c>
      <c r="L6446" t="s">
        <v>20</v>
      </c>
      <c r="M6446" t="s">
        <v>12244</v>
      </c>
      <c r="N6446" t="s">
        <v>14</v>
      </c>
    </row>
    <row r="6447" x14ac:dyDescent="0.25">
      <c r="A6447" t="n">
        <v>25</v>
      </c>
      <c r="B6447" t="s">
        <v>14</v>
      </c>
      <c r="C6447" t="s">
        <v>22</v>
      </c>
      <c r="D6447" s="2" t="s">
        <f>=HYPERLINK("https://main.knesset.gov.il/APPS/legislation/main/bills/2197091", "הצעת חוק העונשין (תיקון - ביטול העבירה על העלבת עובד ציבור), התשפ""ג-2023")</f>
        <v>12582</v>
      </c>
      <c r="E6447" t="s">
        <v>12582</v>
      </c>
      <c r="F6447" t="s">
        <v>12583</v>
      </c>
      <c r="G6447" t="s">
        <v>14</v>
      </c>
      <c r="H6447">
             </c>
      <c r="I6447" t="s">
        <v>14</v>
      </c>
      <c r="J6447" t="s">
        <v>141</v>
      </c>
      <c r="K6447" t="s">
        <v>14</v>
      </c>
      <c r="L6447" t="s">
        <v>20</v>
      </c>
      <c r="M6447" t="s">
        <v>12244</v>
      </c>
      <c r="N6447" t="s">
        <v>14</v>
      </c>
    </row>
    <row r="6448" x14ac:dyDescent="0.25">
      <c r="A6448" t="n">
        <v>25</v>
      </c>
      <c r="B6448" t="s">
        <v>14</v>
      </c>
      <c r="C6448" t="s">
        <v>22</v>
      </c>
      <c r="D6448" s="2" t="s">
        <f>=HYPERLINK("https://main.knesset.gov.il/APPS/legislation/main/bills/2197011", "הצעת חוק חופשה שנתית (תיקון - ימי חופשה להורים שילדם נפטר), התשפ""ג-2023")</f>
        <v>10041</v>
      </c>
      <c r="E6448" t="s">
        <v>10041</v>
      </c>
      <c r="F6448" t="s">
        <v>12584</v>
      </c>
      <c r="G6448" t="s">
        <v>14</v>
      </c>
      <c r="H6448">
             </c>
      <c r="I6448" t="s">
        <v>14</v>
      </c>
      <c r="J6448" t="s">
        <v>141</v>
      </c>
      <c r="K6448" t="s">
        <v>14</v>
      </c>
      <c r="L6448" t="s">
        <v>20</v>
      </c>
      <c r="M6448" t="s">
        <v>12244</v>
      </c>
      <c r="N6448" t="s">
        <v>14</v>
      </c>
    </row>
    <row r="6449" x14ac:dyDescent="0.25">
      <c r="A6449" t="n">
        <v>25</v>
      </c>
      <c r="B6449" t="s">
        <v>14</v>
      </c>
      <c r="C6449" t="s">
        <v>22</v>
      </c>
      <c r="D6449" s="2" t="s">
        <f>=HYPERLINK("https://main.knesset.gov.il/APPS/legislation/main/bills/2197626", "הצעת חוק מס ריבוי דירות, התשפ""ג-2023")</f>
        <v>12585</v>
      </c>
      <c r="E6449" t="s">
        <v>12585</v>
      </c>
      <c r="F6449" t="s">
        <v>12586</v>
      </c>
      <c r="G6449" t="s">
        <v>14</v>
      </c>
      <c r="H6449">
             </c>
      <c r="I6449" t="s">
        <v>14</v>
      </c>
      <c r="J6449" t="s">
        <v>141</v>
      </c>
      <c r="K6449" t="s">
        <v>14</v>
      </c>
      <c r="L6449" t="s">
        <v>20</v>
      </c>
      <c r="M6449" t="s">
        <v>12244</v>
      </c>
      <c r="N6449" t="s">
        <v>14</v>
      </c>
    </row>
    <row r="6450" x14ac:dyDescent="0.25">
      <c r="A6450" t="n">
        <v>25</v>
      </c>
      <c r="B6450" t="s">
        <v>14</v>
      </c>
      <c r="C6450" t="s">
        <v>22</v>
      </c>
      <c r="D6450" s="2" t="s">
        <f>=HYPERLINK("https://main.knesset.gov.il/APPS/legislation/main/bills/2198027", "הצעת חוק שוויון ההזדמנויות בעבודה (תיקון - הארכת תקופת ההתיישנות), התשפ""ג-2023")</f>
        <v>6000</v>
      </c>
      <c r="E6450" t="s">
        <v>6000</v>
      </c>
      <c r="F6450" t="s">
        <v>12587</v>
      </c>
      <c r="G6450" t="s">
        <v>14</v>
      </c>
      <c r="H6450">
             </c>
      <c r="I6450" t="s">
        <v>14</v>
      </c>
      <c r="J6450" t="s">
        <v>141</v>
      </c>
      <c r="K6450" t="s">
        <v>14</v>
      </c>
      <c r="L6450" t="s">
        <v>20</v>
      </c>
      <c r="M6450" t="s">
        <v>12244</v>
      </c>
      <c r="N6450" t="s">
        <v>14</v>
      </c>
    </row>
    <row r="6451" x14ac:dyDescent="0.25">
      <c r="A6451" t="n">
        <v>25</v>
      </c>
      <c r="B6451" t="s">
        <v>14</v>
      </c>
      <c r="C6451" t="s">
        <v>22</v>
      </c>
      <c r="D6451" s="2" t="s">
        <f>=HYPERLINK("https://main.knesset.gov.il/APPS/legislation/main/bills/2197624", "הצעת חוק הבטחת הכנסה (תיקון - גמלה לתלמיד), התשפ""ג-2023")</f>
        <v>9540</v>
      </c>
      <c r="E6451" t="s">
        <v>9540</v>
      </c>
      <c r="F6451" t="s">
        <v>12588</v>
      </c>
      <c r="G6451" t="s">
        <v>14</v>
      </c>
      <c r="H6451">
             </c>
      <c r="I6451" t="s">
        <v>14</v>
      </c>
      <c r="J6451" t="s">
        <v>343</v>
      </c>
      <c r="K6451" t="s">
        <v>14</v>
      </c>
      <c r="L6451" t="s">
        <v>20</v>
      </c>
      <c r="M6451" t="s">
        <v>12244</v>
      </c>
      <c r="N6451" t="s">
        <v>14</v>
      </c>
    </row>
    <row r="6452" x14ac:dyDescent="0.25">
      <c r="A6452" t="n">
        <v>25</v>
      </c>
      <c r="B6452" t="s">
        <v>14</v>
      </c>
      <c r="C6452" t="s">
        <v>22</v>
      </c>
      <c r="D6452" s="2" t="s">
        <f>=HYPERLINK("https://main.knesset.gov.il/APPS/legislation/main/bills/2198191", "חוק לתיקון פקודת המשטרה (מס' 37), התשפ""ג-2022")</f>
        <v>12589</v>
      </c>
      <c r="E6452" t="s">
        <v>12589</v>
      </c>
      <c r="F6452" t="s">
        <v>10159</v>
      </c>
      <c r="G6452" t="s">
        <v>10160</v>
      </c>
      <c r="H6452" t="n">
        <v>3012</v>
      </c>
      <c r="I6452" t="s">
        <v>14</v>
      </c>
      <c r="J6452" t="s">
        <v>91</v>
      </c>
      <c r="K6452" t="s">
        <v>10161</v>
      </c>
      <c r="L6452" t="s">
        <v>20</v>
      </c>
      <c r="M6452" t="s">
        <v>12590</v>
      </c>
      <c r="N6452" t="s">
        <v>12591</v>
      </c>
    </row>
    <row r="6453" x14ac:dyDescent="0.25">
      <c r="A6453" t="n">
        <v>25</v>
      </c>
      <c r="B6453" t="s">
        <v>14</v>
      </c>
      <c r="C6453" t="s">
        <v>22</v>
      </c>
      <c r="D6453" s="2" t="s">
        <f>=HYPERLINK("https://main.knesset.gov.il/APPS/legislation/main/bills/2198130", "חוק-יסוד: הממשלה (תיקון מס' 11)")</f>
        <v>12592</v>
      </c>
      <c r="E6453" t="s">
        <v>12592</v>
      </c>
      <c r="F6453" t="s">
        <v>12593</v>
      </c>
      <c r="G6453" t="s">
        <v>12594</v>
      </c>
      <c r="H6453" t="n">
        <v>3011</v>
      </c>
      <c r="I6453" t="s">
        <v>14</v>
      </c>
      <c r="J6453" t="s">
        <v>91</v>
      </c>
      <c r="K6453" t="s">
        <v>12595</v>
      </c>
      <c r="L6453" t="s">
        <v>20</v>
      </c>
      <c r="M6453" t="s">
        <v>12596</v>
      </c>
      <c r="N6453" t="s">
        <v>12597</v>
      </c>
    </row>
    <row r="6454" x14ac:dyDescent="0.25">
      <c r="A6454" t="n">
        <v>25</v>
      </c>
      <c r="B6454" t="s">
        <v>14</v>
      </c>
      <c r="C6454" t="s">
        <v>22</v>
      </c>
      <c r="D6454" s="2" t="s">
        <f>=HYPERLINK("https://main.knesset.gov.il/APPS/legislation/main/bills/2197706", "הצעת חוק קרן לאזרחי ישראל (תיקון - ייצוג נשים במועצה), התשפ""ג-2023")</f>
        <v>12598</v>
      </c>
      <c r="E6454" t="s">
        <v>12598</v>
      </c>
      <c r="F6454" t="s">
        <v>12599</v>
      </c>
      <c r="G6454" t="s">
        <v>14</v>
      </c>
      <c r="H6454">
             </c>
      <c r="I6454" t="s">
        <v>14</v>
      </c>
      <c r="J6454" t="s">
        <v>141</v>
      </c>
      <c r="K6454" t="s">
        <v>14</v>
      </c>
      <c r="L6454" t="s">
        <v>20</v>
      </c>
      <c r="M6454" t="s">
        <v>12596</v>
      </c>
      <c r="N6454" t="s">
        <v>14</v>
      </c>
    </row>
    <row r="6455" x14ac:dyDescent="0.25">
      <c r="A6455" t="n">
        <v>25</v>
      </c>
      <c r="B6455" t="s">
        <v>14</v>
      </c>
      <c r="C6455" t="s">
        <v>22</v>
      </c>
      <c r="D6455" s="2" t="s">
        <f>=HYPERLINK("https://main.knesset.gov.il/APPS/legislation/main/bills/2197785", "הצעת חוק לתיקון פקודת בריאות העם (חובת קבורה בבית עלמין), התשפ""ג-2022 ")</f>
        <v>12600</v>
      </c>
      <c r="E6455" t="s">
        <v>12600</v>
      </c>
      <c r="F6455" t="s">
        <v>12601</v>
      </c>
      <c r="G6455" t="s">
        <v>14</v>
      </c>
      <c r="H6455">
             </c>
      <c r="I6455" t="s">
        <v>14</v>
      </c>
      <c r="J6455" t="s">
        <v>141</v>
      </c>
      <c r="K6455" t="s">
        <v>14</v>
      </c>
      <c r="L6455" t="s">
        <v>20</v>
      </c>
      <c r="M6455" t="s">
        <v>12596</v>
      </c>
      <c r="N6455" t="s">
        <v>14</v>
      </c>
    </row>
    <row r="6456" x14ac:dyDescent="0.25">
      <c r="A6456" t="n">
        <v>25</v>
      </c>
      <c r="B6456" t="s">
        <v>14</v>
      </c>
      <c r="C6456" t="s">
        <v>22</v>
      </c>
      <c r="D6456" s="2" t="s">
        <f>=HYPERLINK("https://main.knesset.gov.il/APPS/legislation/main/bills/2197764", "הצעת חוק הבטחת הכנסה (תיקון - גמלה להורה עצמאי), התשפ""ג-2022")</f>
        <v>12602</v>
      </c>
      <c r="E6456" t="s">
        <v>12602</v>
      </c>
      <c r="F6456" t="s">
        <v>12603</v>
      </c>
      <c r="G6456" t="s">
        <v>14</v>
      </c>
      <c r="H6456">
             </c>
      <c r="I6456" t="s">
        <v>14</v>
      </c>
      <c r="J6456" t="s">
        <v>141</v>
      </c>
      <c r="K6456" t="s">
        <v>14</v>
      </c>
      <c r="L6456" t="s">
        <v>20</v>
      </c>
      <c r="M6456" t="s">
        <v>12596</v>
      </c>
      <c r="N6456" t="s">
        <v>14</v>
      </c>
    </row>
    <row r="6457" x14ac:dyDescent="0.25">
      <c r="A6457" t="n">
        <v>25</v>
      </c>
      <c r="B6457" t="s">
        <v>14</v>
      </c>
      <c r="C6457" t="s">
        <v>22</v>
      </c>
      <c r="D6457" s="2" t="s">
        <f>=HYPERLINK("https://main.knesset.gov.il/APPS/legislation/main/bills/2197495", "הצעת חוק תרומת ביציות (תיקון - מימון הקפאת ביציות למטרת שמירת פוריות של התורמת), התשפ""ג-2022")</f>
        <v>12604</v>
      </c>
      <c r="E6457" t="s">
        <v>12604</v>
      </c>
      <c r="F6457" t="s">
        <v>12605</v>
      </c>
      <c r="G6457" t="s">
        <v>14</v>
      </c>
      <c r="H6457">
             </c>
      <c r="I6457" t="s">
        <v>14</v>
      </c>
      <c r="J6457" t="s">
        <v>141</v>
      </c>
      <c r="K6457" t="s">
        <v>14</v>
      </c>
      <c r="L6457" t="s">
        <v>20</v>
      </c>
      <c r="M6457" t="s">
        <v>12596</v>
      </c>
      <c r="N6457" t="s">
        <v>14</v>
      </c>
    </row>
    <row r="6458" x14ac:dyDescent="0.25">
      <c r="A6458" t="n">
        <v>25</v>
      </c>
      <c r="B6458" t="s">
        <v>14</v>
      </c>
      <c r="C6458" t="s">
        <v>22</v>
      </c>
      <c r="D6458" s="2" t="s">
        <f>=HYPERLINK("https://main.knesset.gov.il/APPS/legislation/main/bills/2197701", "הצעת חוק ארוחה יומית לתלמיד (תיקון - עודפי תקציב), התשפ""ג-2022")</f>
        <v>12606</v>
      </c>
      <c r="E6458" t="s">
        <v>12606</v>
      </c>
      <c r="F6458" t="s">
        <v>12607</v>
      </c>
      <c r="G6458" t="s">
        <v>14</v>
      </c>
      <c r="H6458">
             </c>
      <c r="I6458" t="s">
        <v>14</v>
      </c>
      <c r="J6458" t="s">
        <v>141</v>
      </c>
      <c r="K6458" t="s">
        <v>14</v>
      </c>
      <c r="L6458" t="s">
        <v>20</v>
      </c>
      <c r="M6458" t="s">
        <v>12596</v>
      </c>
      <c r="N6458" t="s">
        <v>14</v>
      </c>
    </row>
    <row r="6459" x14ac:dyDescent="0.25">
      <c r="A6459" t="n">
        <v>25</v>
      </c>
      <c r="B6459" t="s">
        <v>14</v>
      </c>
      <c r="C6459" t="s">
        <v>22</v>
      </c>
      <c r="D6459" s="2" t="s">
        <f>=HYPERLINK("https://main.knesset.gov.il/APPS/legislation/main/bills/2197422", "הצעת חוק רשת ביטחון לעצמאים בעת אירוע חירום, התשפ""ג-2022")</f>
        <v>12608</v>
      </c>
      <c r="E6459" t="s">
        <v>12608</v>
      </c>
      <c r="F6459" t="s">
        <v>12609</v>
      </c>
      <c r="G6459" t="s">
        <v>14</v>
      </c>
      <c r="H6459">
             </c>
      <c r="I6459" t="s">
        <v>14</v>
      </c>
      <c r="J6459" t="s">
        <v>141</v>
      </c>
      <c r="K6459" t="s">
        <v>14</v>
      </c>
      <c r="L6459" t="s">
        <v>20</v>
      </c>
      <c r="M6459" t="s">
        <v>12596</v>
      </c>
      <c r="N6459" t="s">
        <v>14</v>
      </c>
    </row>
    <row r="6460" x14ac:dyDescent="0.25">
      <c r="A6460" t="n">
        <v>25</v>
      </c>
      <c r="B6460" t="s">
        <v>14</v>
      </c>
      <c r="C6460" t="s">
        <v>22</v>
      </c>
      <c r="D6460" s="2" t="s">
        <f>=HYPERLINK("https://main.knesset.gov.il/APPS/legislation/main/bills/2197178", "הצעת חוק תשלום פיצויים בשל נזקי אסון טבע, התשפ""ג-2022")</f>
        <v>12610</v>
      </c>
      <c r="E6460" t="s">
        <v>12610</v>
      </c>
      <c r="F6460" t="s">
        <v>12611</v>
      </c>
      <c r="G6460" t="s">
        <v>14</v>
      </c>
      <c r="H6460">
             </c>
      <c r="I6460" t="s">
        <v>14</v>
      </c>
      <c r="J6460" t="s">
        <v>141</v>
      </c>
      <c r="K6460" t="s">
        <v>14</v>
      </c>
      <c r="L6460" t="s">
        <v>20</v>
      </c>
      <c r="M6460" t="s">
        <v>12596</v>
      </c>
      <c r="N6460" t="s">
        <v>14</v>
      </c>
    </row>
    <row r="6461" x14ac:dyDescent="0.25">
      <c r="A6461" t="n">
        <v>25</v>
      </c>
      <c r="B6461" t="s">
        <v>14</v>
      </c>
      <c r="C6461" t="s">
        <v>22</v>
      </c>
      <c r="D6461" s="2" t="s">
        <f>=HYPERLINK("https://main.knesset.gov.il/APPS/legislation/main/bills/2197410", "הצעת חוק מכירת זכויות לאירוע ספורט משמעותי, התשפ""ג-2022")</f>
        <v>12612</v>
      </c>
      <c r="E6461" t="s">
        <v>12612</v>
      </c>
      <c r="F6461" t="s">
        <v>12613</v>
      </c>
      <c r="G6461" t="s">
        <v>14</v>
      </c>
      <c r="H6461">
             </c>
      <c r="I6461" t="s">
        <v>14</v>
      </c>
      <c r="J6461" t="s">
        <v>141</v>
      </c>
      <c r="K6461" t="s">
        <v>14</v>
      </c>
      <c r="L6461" t="s">
        <v>20</v>
      </c>
      <c r="M6461" t="s">
        <v>12596</v>
      </c>
      <c r="N6461" t="s">
        <v>14</v>
      </c>
    </row>
    <row r="6462" x14ac:dyDescent="0.25">
      <c r="A6462" t="n">
        <v>25</v>
      </c>
      <c r="B6462" t="s">
        <v>14</v>
      </c>
      <c r="C6462" t="s">
        <v>22</v>
      </c>
      <c r="D6462" s="2" t="s">
        <f>=HYPERLINK("https://main.knesset.gov.il/APPS/legislation/main/bills/2197180", "הצעת חוק ערבויות מטעם המדינה בשעת חירום (תיקוני חקיקה), התשפ""ג-2022")</f>
        <v>12614</v>
      </c>
      <c r="E6462" t="s">
        <v>12614</v>
      </c>
      <c r="F6462" t="s">
        <v>12615</v>
      </c>
      <c r="G6462" t="s">
        <v>14</v>
      </c>
      <c r="H6462">
             </c>
      <c r="I6462" t="s">
        <v>14</v>
      </c>
      <c r="J6462" t="s">
        <v>141</v>
      </c>
      <c r="K6462" t="s">
        <v>14</v>
      </c>
      <c r="L6462" t="s">
        <v>20</v>
      </c>
      <c r="M6462" t="s">
        <v>12596</v>
      </c>
      <c r="N6462" t="s">
        <v>14</v>
      </c>
    </row>
    <row r="6463" x14ac:dyDescent="0.25">
      <c r="A6463" t="n">
        <v>25</v>
      </c>
      <c r="B6463" t="s">
        <v>14</v>
      </c>
      <c r="C6463" t="s">
        <v>22</v>
      </c>
      <c r="D6463" s="2" t="s">
        <f>=HYPERLINK("https://main.knesset.gov.il/APPS/legislation/main/bills/2197268", "הצעת חוק הגנת הצרכן (תיקון - השוואת תנאי צרכן ונותן שירות בעניין החזרת טובין), התשפ""ג-2022")</f>
        <v>12616</v>
      </c>
      <c r="E6463" t="s">
        <v>12616</v>
      </c>
      <c r="F6463" t="s">
        <v>12617</v>
      </c>
      <c r="G6463" t="s">
        <v>14</v>
      </c>
      <c r="H6463">
             </c>
      <c r="I6463" t="s">
        <v>14</v>
      </c>
      <c r="J6463" t="s">
        <v>141</v>
      </c>
      <c r="K6463" t="s">
        <v>14</v>
      </c>
      <c r="L6463" t="s">
        <v>20</v>
      </c>
      <c r="M6463" t="s">
        <v>12596</v>
      </c>
      <c r="N6463" t="s">
        <v>14</v>
      </c>
    </row>
    <row r="6464" x14ac:dyDescent="0.25">
      <c r="A6464" t="n">
        <v>25</v>
      </c>
      <c r="B6464" t="s">
        <v>14</v>
      </c>
      <c r="C6464" t="s">
        <v>22</v>
      </c>
      <c r="D6464" s="2" t="s">
        <f>=HYPERLINK("https://main.knesset.gov.il/APPS/legislation/main/bills/2196820", "הצעת חוק עמותות חוץ, התשפ""ג-2022")</f>
        <v>12618</v>
      </c>
      <c r="E6464" t="s">
        <v>12618</v>
      </c>
      <c r="F6464" t="s">
        <v>12619</v>
      </c>
      <c r="G6464" t="s">
        <v>14</v>
      </c>
      <c r="H6464">
             </c>
      <c r="I6464" t="s">
        <v>14</v>
      </c>
      <c r="J6464" t="s">
        <v>141</v>
      </c>
      <c r="K6464" t="s">
        <v>14</v>
      </c>
      <c r="L6464" t="s">
        <v>20</v>
      </c>
      <c r="M6464" t="s">
        <v>12596</v>
      </c>
      <c r="N6464" t="s">
        <v>14</v>
      </c>
    </row>
    <row r="6465" x14ac:dyDescent="0.25">
      <c r="A6465" t="n">
        <v>25</v>
      </c>
      <c r="B6465" t="s">
        <v>14</v>
      </c>
      <c r="C6465" t="s">
        <v>22</v>
      </c>
      <c r="D6465" s="2" t="s">
        <f>=HYPERLINK("https://main.knesset.gov.il/APPS/legislation/main/bills/2197255", "הצעת חוק רישוי עסקים (תיקון - מכירת יין ומשקאות אלכוהוליים בחנות גדולה), התשפ""ג-2022")</f>
        <v>12620</v>
      </c>
      <c r="E6465" t="s">
        <v>12620</v>
      </c>
      <c r="F6465" t="s">
        <v>12621</v>
      </c>
      <c r="G6465" t="s">
        <v>14</v>
      </c>
      <c r="H6465">
             </c>
      <c r="I6465" t="s">
        <v>14</v>
      </c>
      <c r="J6465" t="s">
        <v>141</v>
      </c>
      <c r="K6465" t="s">
        <v>14</v>
      </c>
      <c r="L6465" t="s">
        <v>20</v>
      </c>
      <c r="M6465" t="s">
        <v>12596</v>
      </c>
      <c r="N6465" t="s">
        <v>14</v>
      </c>
    </row>
    <row r="6466" x14ac:dyDescent="0.25">
      <c r="A6466" t="n">
        <v>25</v>
      </c>
      <c r="B6466" t="s">
        <v>14</v>
      </c>
      <c r="C6466" t="s">
        <v>22</v>
      </c>
      <c r="D6466" s="2" t="s">
        <f>=HYPERLINK("https://main.knesset.gov.il/APPS/legislation/main/bills/2197014", "הצעת חוק התכנון והבנייה (תיקון - ייצוג הולם לאוכלוסייה הערבית במוסדות התכנון), התשפ""ג-2022")</f>
        <v>12622</v>
      </c>
      <c r="E6466" t="s">
        <v>12622</v>
      </c>
      <c r="F6466" t="s">
        <v>12623</v>
      </c>
      <c r="G6466" t="s">
        <v>14</v>
      </c>
      <c r="H6466">
             </c>
      <c r="I6466" t="s">
        <v>14</v>
      </c>
      <c r="J6466" t="s">
        <v>141</v>
      </c>
      <c r="K6466" t="s">
        <v>14</v>
      </c>
      <c r="L6466" t="s">
        <v>20</v>
      </c>
      <c r="M6466" t="s">
        <v>12596</v>
      </c>
      <c r="N6466" t="s">
        <v>14</v>
      </c>
    </row>
    <row r="6467" x14ac:dyDescent="0.25">
      <c r="A6467" t="n">
        <v>25</v>
      </c>
      <c r="B6467" t="s">
        <v>14</v>
      </c>
      <c r="C6467" t="s">
        <v>22</v>
      </c>
      <c r="D6467" s="2" t="s">
        <f>=HYPERLINK("https://main.knesset.gov.il/APPS/legislation/main/bills/2196737", "הצעת חוק המקרקעין (תיקון - הארכת התקופה לשימוש בכוח נגד הסגת גבול), התשפ""ג-2022")</f>
        <v>12624</v>
      </c>
      <c r="E6467" t="s">
        <v>12624</v>
      </c>
      <c r="F6467" t="s">
        <v>12625</v>
      </c>
      <c r="G6467" t="s">
        <v>14</v>
      </c>
      <c r="H6467">
             </c>
      <c r="I6467" t="s">
        <v>14</v>
      </c>
      <c r="J6467" t="s">
        <v>141</v>
      </c>
      <c r="K6467" t="s">
        <v>14</v>
      </c>
      <c r="L6467" t="s">
        <v>20</v>
      </c>
      <c r="M6467" t="s">
        <v>12596</v>
      </c>
      <c r="N6467" t="s">
        <v>14</v>
      </c>
    </row>
    <row r="6468" x14ac:dyDescent="0.25">
      <c r="A6468" t="n">
        <v>25</v>
      </c>
      <c r="B6468" t="s">
        <v>14</v>
      </c>
      <c r="C6468" t="s">
        <v>22</v>
      </c>
      <c r="D6468" s="2" t="s">
        <f>=HYPERLINK("https://main.knesset.gov.il/APPS/legislation/main/bills/2197265", "הצעת חוק בתי המשפט (תיקון - שופט משנה), התשפ""ג-2022")</f>
        <v>12626</v>
      </c>
      <c r="E6468" t="s">
        <v>12626</v>
      </c>
      <c r="F6468" t="s">
        <v>12627</v>
      </c>
      <c r="G6468" t="s">
        <v>14</v>
      </c>
      <c r="H6468">
             </c>
      <c r="I6468" t="s">
        <v>14</v>
      </c>
      <c r="J6468" t="s">
        <v>141</v>
      </c>
      <c r="K6468" t="s">
        <v>14</v>
      </c>
      <c r="L6468" t="s">
        <v>20</v>
      </c>
      <c r="M6468" t="s">
        <v>12596</v>
      </c>
      <c r="N6468" t="s">
        <v>14</v>
      </c>
    </row>
    <row r="6469" x14ac:dyDescent="0.25">
      <c r="A6469" t="n">
        <v>25</v>
      </c>
      <c r="B6469" t="s">
        <v>14</v>
      </c>
      <c r="C6469" t="s">
        <v>22</v>
      </c>
      <c r="D6469" s="2" t="s">
        <f>=HYPERLINK("https://main.knesset.gov.il/APPS/legislation/main/bills/2197201", "הצעת חוק העונשין (תיקון - החמרת ענישה בגין ירי מנשק חם שלא כדין), התשפ""ג-2022")</f>
        <v>12628</v>
      </c>
      <c r="E6469" t="s">
        <v>12628</v>
      </c>
      <c r="F6469" t="s">
        <v>12629</v>
      </c>
      <c r="G6469" t="s">
        <v>14</v>
      </c>
      <c r="H6469">
             </c>
      <c r="I6469" t="s">
        <v>14</v>
      </c>
      <c r="J6469" t="s">
        <v>141</v>
      </c>
      <c r="K6469" t="s">
        <v>14</v>
      </c>
      <c r="L6469" t="s">
        <v>20</v>
      </c>
      <c r="M6469" t="s">
        <v>12596</v>
      </c>
      <c r="N6469" t="s">
        <v>14</v>
      </c>
    </row>
    <row r="6470" x14ac:dyDescent="0.25">
      <c r="A6470" t="n">
        <v>25</v>
      </c>
      <c r="B6470" t="s">
        <v>14</v>
      </c>
      <c r="C6470" t="s">
        <v>22</v>
      </c>
      <c r="D6470" s="2" t="s">
        <f>=HYPERLINK("https://main.knesset.gov.il/APPS/legislation/main/bills/2197054", "הצעת חוק החזר דמי נסיעה במונית לבית החולים (תיקוני חקיקה), התשפ""ג-2022")</f>
        <v>12630</v>
      </c>
      <c r="E6470" t="s">
        <v>12630</v>
      </c>
      <c r="F6470" t="s">
        <v>12631</v>
      </c>
      <c r="G6470" t="s">
        <v>14</v>
      </c>
      <c r="H6470">
             </c>
      <c r="I6470" t="s">
        <v>14</v>
      </c>
      <c r="J6470" t="s">
        <v>141</v>
      </c>
      <c r="K6470" t="s">
        <v>14</v>
      </c>
      <c r="L6470" t="s">
        <v>20</v>
      </c>
      <c r="M6470" t="s">
        <v>12596</v>
      </c>
      <c r="N6470" t="s">
        <v>14</v>
      </c>
    </row>
    <row r="6471" x14ac:dyDescent="0.25">
      <c r="A6471" t="n">
        <v>25</v>
      </c>
      <c r="B6471" t="s">
        <v>14</v>
      </c>
      <c r="C6471" t="s">
        <v>22</v>
      </c>
      <c r="D6471" s="2" t="s">
        <f>=HYPERLINK("https://main.knesset.gov.il/APPS/legislation/main/bills/2197003", "הצעת חוק לתיקון פקודת התעבורה (ריבית פיגורים בשל אי תשלום קנס על עבירת חניה), התשפ""ג-2022")</f>
        <v>12632</v>
      </c>
      <c r="E6471" t="s">
        <v>12632</v>
      </c>
      <c r="F6471" t="s">
        <v>12633</v>
      </c>
      <c r="G6471" t="s">
        <v>14</v>
      </c>
      <c r="H6471">
             </c>
      <c r="I6471" t="s">
        <v>14</v>
      </c>
      <c r="J6471" t="s">
        <v>141</v>
      </c>
      <c r="K6471" t="s">
        <v>14</v>
      </c>
      <c r="L6471" t="s">
        <v>20</v>
      </c>
      <c r="M6471" t="s">
        <v>12596</v>
      </c>
      <c r="N6471" t="s">
        <v>14</v>
      </c>
    </row>
    <row r="6472" x14ac:dyDescent="0.25">
      <c r="A6472" t="n">
        <v>25</v>
      </c>
      <c r="B6472" t="s">
        <v>14</v>
      </c>
      <c r="C6472" t="s">
        <v>22</v>
      </c>
      <c r="D6472" s="2" t="s">
        <f>=HYPERLINK("https://main.knesset.gov.il/APPS/legislation/main/bills/2195970", "הצעת חוק שוויון זכויות לאנשים עם מוגבלות (תיקון - מידע בדבר עמידת מעסיקים פרטיים גדולים ביעד הייצוג ההולם), התשפ""ג-2022")</f>
        <v>12634</v>
      </c>
      <c r="E6472" t="s">
        <v>12634</v>
      </c>
      <c r="F6472" t="s">
        <v>12635</v>
      </c>
      <c r="G6472" t="s">
        <v>14</v>
      </c>
      <c r="H6472">
             </c>
      <c r="I6472" t="s">
        <v>14</v>
      </c>
      <c r="J6472" t="s">
        <v>141</v>
      </c>
      <c r="K6472" t="s">
        <v>14</v>
      </c>
      <c r="L6472" t="s">
        <v>20</v>
      </c>
      <c r="M6472" t="s">
        <v>12596</v>
      </c>
      <c r="N6472" t="s">
        <v>14</v>
      </c>
    </row>
    <row r="6473" x14ac:dyDescent="0.25">
      <c r="A6473" t="n">
        <v>25</v>
      </c>
      <c r="B6473" t="s">
        <v>14</v>
      </c>
      <c r="C6473" t="s">
        <v>22</v>
      </c>
      <c r="D6473" s="2" t="s">
        <f>=HYPERLINK("https://main.knesset.gov.il/APPS/legislation/main/bills/2196880", "הצעת חוק חובת פרסום הודעות באינטרנט, התשפ""ג-2022 ")</f>
        <v>12636</v>
      </c>
      <c r="E6473" t="s">
        <v>12636</v>
      </c>
      <c r="F6473" t="s">
        <v>12637</v>
      </c>
      <c r="G6473" t="s">
        <v>14</v>
      </c>
      <c r="H6473">
             </c>
      <c r="I6473" t="s">
        <v>14</v>
      </c>
      <c r="J6473" t="s">
        <v>141</v>
      </c>
      <c r="K6473" t="s">
        <v>14</v>
      </c>
      <c r="L6473" t="s">
        <v>20</v>
      </c>
      <c r="M6473" t="s">
        <v>12596</v>
      </c>
      <c r="N6473" t="s">
        <v>14</v>
      </c>
    </row>
    <row r="6474" x14ac:dyDescent="0.25">
      <c r="A6474" t="n">
        <v>25</v>
      </c>
      <c r="B6474" t="s">
        <v>14</v>
      </c>
      <c r="C6474" t="s">
        <v>22</v>
      </c>
      <c r="D6474" s="2" t="s">
        <f>=HYPERLINK("https://main.knesset.gov.il/APPS/legislation/main/bills/2197025", "הצעת חוק הממשלה (תיקון - ועדת שרים לענייני חקיקה), התשפ""ג-2022")</f>
        <v>12638</v>
      </c>
      <c r="E6474" t="s">
        <v>12638</v>
      </c>
      <c r="F6474" t="s">
        <v>12639</v>
      </c>
      <c r="G6474" t="s">
        <v>14</v>
      </c>
      <c r="H6474">
             </c>
      <c r="I6474" t="s">
        <v>14</v>
      </c>
      <c r="J6474" t="s">
        <v>141</v>
      </c>
      <c r="K6474" t="s">
        <v>14</v>
      </c>
      <c r="L6474" t="s">
        <v>20</v>
      </c>
      <c r="M6474" t="s">
        <v>12596</v>
      </c>
      <c r="N6474" t="s">
        <v>14</v>
      </c>
    </row>
    <row r="6475" x14ac:dyDescent="0.25">
      <c r="A6475" t="n">
        <v>25</v>
      </c>
      <c r="B6475" t="s">
        <v>14</v>
      </c>
      <c r="C6475" t="s">
        <v>22</v>
      </c>
      <c r="D6475" s="2" t="s">
        <f>=HYPERLINK("https://main.knesset.gov.il/APPS/legislation/main/bills/2196811", "הצעת חוק העונשין (תיקון - עבירות אלימות במתחם הר הבית), התשפ""ג-2022")</f>
        <v>12640</v>
      </c>
      <c r="E6475" t="s">
        <v>12640</v>
      </c>
      <c r="F6475" t="s">
        <v>12641</v>
      </c>
      <c r="G6475" t="s">
        <v>14</v>
      </c>
      <c r="H6475">
             </c>
      <c r="I6475" t="s">
        <v>14</v>
      </c>
      <c r="J6475" t="s">
        <v>141</v>
      </c>
      <c r="K6475" t="s">
        <v>14</v>
      </c>
      <c r="L6475" t="s">
        <v>20</v>
      </c>
      <c r="M6475" t="s">
        <v>12596</v>
      </c>
      <c r="N6475" t="s">
        <v>14</v>
      </c>
    </row>
    <row r="6476" x14ac:dyDescent="0.25">
      <c r="A6476" t="n">
        <v>25</v>
      </c>
      <c r="B6476" t="s">
        <v>14</v>
      </c>
      <c r="C6476" t="s">
        <v>22</v>
      </c>
      <c r="D6476" s="2" t="s">
        <f>=HYPERLINK("https://main.knesset.gov.il/APPS/legislation/main/bills/2198236", "הצעת חוק לתיקון פקודת מס הכנסה (ניכוי ריבית על משכנתה וסיוע ברכישת דירה), התשפ""ג-2022")</f>
        <v>12642</v>
      </c>
      <c r="E6476" t="s">
        <v>12642</v>
      </c>
      <c r="F6476" t="s">
        <v>12643</v>
      </c>
      <c r="G6476" t="s">
        <v>14</v>
      </c>
      <c r="H6476">
             </c>
      <c r="I6476" t="s">
        <v>14</v>
      </c>
      <c r="J6476" t="s">
        <v>141</v>
      </c>
      <c r="K6476" t="s">
        <v>14</v>
      </c>
      <c r="L6476" t="s">
        <v>20</v>
      </c>
      <c r="M6476" t="s">
        <v>12596</v>
      </c>
      <c r="N6476" t="s">
        <v>14</v>
      </c>
    </row>
    <row r="6477" x14ac:dyDescent="0.25">
      <c r="A6477" t="n">
        <v>25</v>
      </c>
      <c r="B6477" t="s">
        <v>14</v>
      </c>
      <c r="C6477" t="s">
        <v>22</v>
      </c>
      <c r="D6477" s="2" t="s">
        <f>=HYPERLINK("https://main.knesset.gov.il/APPS/legislation/main/bills/2198507", "הצעת חוק החקלאות, התשפ״ג-2022")</f>
        <v>12644</v>
      </c>
      <c r="E6477" t="s">
        <v>12644</v>
      </c>
      <c r="F6477" t="s">
        <v>12645</v>
      </c>
      <c r="G6477" t="s">
        <v>14</v>
      </c>
      <c r="H6477">
             </c>
      <c r="I6477" t="s">
        <v>14</v>
      </c>
      <c r="J6477" t="s">
        <v>141</v>
      </c>
      <c r="K6477" t="s">
        <v>14</v>
      </c>
      <c r="L6477" t="s">
        <v>20</v>
      </c>
      <c r="M6477" t="s">
        <v>12596</v>
      </c>
      <c r="N6477" t="s">
        <v>14</v>
      </c>
    </row>
    <row r="6478" x14ac:dyDescent="0.25">
      <c r="A6478" t="n">
        <v>25</v>
      </c>
      <c r="B6478" t="s">
        <v>14</v>
      </c>
      <c r="C6478" t="s">
        <v>22</v>
      </c>
      <c r="D6478" s="2" t="s">
        <f>=HYPERLINK("https://main.knesset.gov.il/APPS/legislation/main/bills/2197007", "הצעת חוק ההוצאה לפועל (תיקון - ריבית ודמי פיגורים), התשפ""ג-2022")</f>
        <v>12646</v>
      </c>
      <c r="E6478" t="s">
        <v>12646</v>
      </c>
      <c r="F6478" t="s">
        <v>12647</v>
      </c>
      <c r="G6478" t="s">
        <v>14</v>
      </c>
      <c r="H6478">
             </c>
      <c r="I6478" t="s">
        <v>14</v>
      </c>
      <c r="J6478" t="s">
        <v>141</v>
      </c>
      <c r="K6478" t="s">
        <v>14</v>
      </c>
      <c r="L6478" t="s">
        <v>20</v>
      </c>
      <c r="M6478" t="s">
        <v>12596</v>
      </c>
      <c r="N6478" t="s">
        <v>14</v>
      </c>
    </row>
    <row r="6479" x14ac:dyDescent="0.25">
      <c r="A6479" t="n">
        <v>25</v>
      </c>
      <c r="B6479" t="s">
        <v>14</v>
      </c>
      <c r="C6479" t="s">
        <v>22</v>
      </c>
      <c r="D6479" s="2" t="s">
        <f>=HYPERLINK("https://main.knesset.gov.il/APPS/legislation/main/bills/2196084", "הצעת חוק המרכז למורשת יהדות תוניסיה וג'רבה, התשפ""ג-2022")</f>
        <v>12648</v>
      </c>
      <c r="E6479" t="s">
        <v>12648</v>
      </c>
      <c r="F6479" t="s">
        <v>12649</v>
      </c>
      <c r="G6479" t="s">
        <v>14</v>
      </c>
      <c r="H6479">
             </c>
      <c r="I6479" t="s">
        <v>14</v>
      </c>
      <c r="J6479" t="s">
        <v>141</v>
      </c>
      <c r="K6479" t="s">
        <v>14</v>
      </c>
      <c r="L6479" t="s">
        <v>20</v>
      </c>
      <c r="M6479" t="s">
        <v>12596</v>
      </c>
      <c r="N6479" t="s">
        <v>14</v>
      </c>
    </row>
    <row r="6480" x14ac:dyDescent="0.25">
      <c r="A6480" t="n">
        <v>25</v>
      </c>
      <c r="B6480" t="s">
        <v>14</v>
      </c>
      <c r="C6480" t="s">
        <v>22</v>
      </c>
      <c r="D6480" s="2" t="s">
        <f>=HYPERLINK("https://main.knesset.gov.il/APPS/legislation/main/bills/2198416", "הצעת חוק חסינות חברי הכנסת, זכויותיהם וחובותיהם (תיקון - חסינות בפני דין פלילי), התשפ""ג-2022")</f>
        <v>12650</v>
      </c>
      <c r="E6480" t="s">
        <v>12650</v>
      </c>
      <c r="F6480" t="s">
        <v>12651</v>
      </c>
      <c r="G6480" t="s">
        <v>14</v>
      </c>
      <c r="H6480">
             </c>
      <c r="I6480" t="s">
        <v>14</v>
      </c>
      <c r="J6480" t="s">
        <v>141</v>
      </c>
      <c r="K6480" t="s">
        <v>14</v>
      </c>
      <c r="L6480" t="s">
        <v>20</v>
      </c>
      <c r="M6480" t="s">
        <v>12596</v>
      </c>
      <c r="N6480" t="s">
        <v>14</v>
      </c>
    </row>
    <row r="6481" x14ac:dyDescent="0.25">
      <c r="A6481" t="n">
        <v>25</v>
      </c>
      <c r="B6481" t="s">
        <v>14</v>
      </c>
      <c r="C6481" t="s">
        <v>22</v>
      </c>
      <c r="D6481" s="2" t="s">
        <f>=HYPERLINK("https://main.knesset.gov.il/APPS/legislation/main/bills/2195874", "הצעת חוק זכויות החולה (תיקון - קביעת הוראות לעניין הכנסת חפצים ודברי מאכל למוסד רפואי), התשפ""ג-2022")</f>
        <v>12652</v>
      </c>
      <c r="E6481" t="s">
        <v>12652</v>
      </c>
      <c r="F6481" t="s">
        <v>12653</v>
      </c>
      <c r="G6481" t="s">
        <v>14</v>
      </c>
      <c r="H6481">
             </c>
      <c r="I6481" t="s">
        <v>14</v>
      </c>
      <c r="J6481" t="s">
        <v>141</v>
      </c>
      <c r="K6481" t="s">
        <v>14</v>
      </c>
      <c r="L6481" t="s">
        <v>20</v>
      </c>
      <c r="M6481" t="s">
        <v>12596</v>
      </c>
      <c r="N6481" t="s">
        <v>14</v>
      </c>
    </row>
    <row r="6482" x14ac:dyDescent="0.25">
      <c r="A6482" t="n">
        <v>25</v>
      </c>
      <c r="B6482" t="s">
        <v>14</v>
      </c>
      <c r="C6482" t="s">
        <v>22</v>
      </c>
      <c r="D6482" s="2" t="s">
        <f>=HYPERLINK("https://main.knesset.gov.il/APPS/legislation/main/bills/2196133", "הצעת חוק האזרחות (תיקון - ביטול האזרחות בגין מעשה אלימות בזמן מצב מיוחד בעורף), התשפ""ג-2022")</f>
        <v>12654</v>
      </c>
      <c r="E6482" t="s">
        <v>12654</v>
      </c>
      <c r="F6482" t="s">
        <v>12655</v>
      </c>
      <c r="G6482" t="s">
        <v>14</v>
      </c>
      <c r="H6482">
             </c>
      <c r="I6482" t="s">
        <v>14</v>
      </c>
      <c r="J6482" t="s">
        <v>141</v>
      </c>
      <c r="K6482" t="s">
        <v>14</v>
      </c>
      <c r="L6482" t="s">
        <v>20</v>
      </c>
      <c r="M6482" t="s">
        <v>12596</v>
      </c>
      <c r="N6482" t="s">
        <v>14</v>
      </c>
    </row>
    <row r="6483" x14ac:dyDescent="0.25">
      <c r="A6483" t="n">
        <v>25</v>
      </c>
      <c r="B6483" t="s">
        <v>14</v>
      </c>
      <c r="C6483" t="s">
        <v>22</v>
      </c>
      <c r="D6483" s="2" t="s">
        <f>=HYPERLINK("https://main.knesset.gov.il/APPS/legislation/main/bills/2197314", "הצעת חוק הביטוח הלאומי (תיקון - קצבת ילדים כפולה בלידת תאומים או יותר), התשפ""ג-2022")</f>
        <v>12656</v>
      </c>
      <c r="E6483" t="s">
        <v>12656</v>
      </c>
      <c r="F6483" t="s">
        <v>12657</v>
      </c>
      <c r="G6483" t="s">
        <v>14</v>
      </c>
      <c r="H6483">
             </c>
      <c r="I6483" t="s">
        <v>14</v>
      </c>
      <c r="J6483" t="s">
        <v>141</v>
      </c>
      <c r="K6483" t="s">
        <v>14</v>
      </c>
      <c r="L6483" t="s">
        <v>20</v>
      </c>
      <c r="M6483" t="s">
        <v>12596</v>
      </c>
      <c r="N6483" t="s">
        <v>14</v>
      </c>
    </row>
    <row r="6484" x14ac:dyDescent="0.25">
      <c r="A6484" t="n">
        <v>25</v>
      </c>
      <c r="B6484" t="s">
        <v>14</v>
      </c>
      <c r="C6484" t="s">
        <v>22</v>
      </c>
      <c r="D6484" s="2" t="s">
        <f>=HYPERLINK("https://main.knesset.gov.il/APPS/legislation/main/bills/2197321", "הצעת חוק הביטוח הלאומי (תיקון - מימון הסעת יולדת באמבולנס), התשפ""ג-2022")</f>
        <v>12658</v>
      </c>
      <c r="E6484" t="s">
        <v>12658</v>
      </c>
      <c r="F6484" t="s">
        <v>12659</v>
      </c>
      <c r="G6484" t="s">
        <v>14</v>
      </c>
      <c r="H6484">
             </c>
      <c r="I6484" t="s">
        <v>14</v>
      </c>
      <c r="J6484" t="s">
        <v>141</v>
      </c>
      <c r="K6484" t="s">
        <v>14</v>
      </c>
      <c r="L6484" t="s">
        <v>20</v>
      </c>
      <c r="M6484" t="s">
        <v>12596</v>
      </c>
      <c r="N6484" t="s">
        <v>14</v>
      </c>
    </row>
    <row r="6485" x14ac:dyDescent="0.25">
      <c r="A6485" t="n">
        <v>25</v>
      </c>
      <c r="B6485" t="s">
        <v>14</v>
      </c>
      <c r="C6485" t="s">
        <v>22</v>
      </c>
      <c r="D6485" s="2" t="s">
        <f>=HYPERLINK("https://main.knesset.gov.il/APPS/legislation/main/bills/2197328", "הצעת חוק ביטוח בריאות ממלכתי (תיקון - החזר דמי נסיעה באמבולנס), התשפ""ג-2022")</f>
        <v>12660</v>
      </c>
      <c r="E6485" t="s">
        <v>12660</v>
      </c>
      <c r="F6485" t="s">
        <v>12661</v>
      </c>
      <c r="G6485" t="s">
        <v>14</v>
      </c>
      <c r="H6485">
             </c>
      <c r="I6485" t="s">
        <v>14</v>
      </c>
      <c r="J6485" t="s">
        <v>141</v>
      </c>
      <c r="K6485" t="s">
        <v>14</v>
      </c>
      <c r="L6485" t="s">
        <v>20</v>
      </c>
      <c r="M6485" t="s">
        <v>12596</v>
      </c>
      <c r="N6485" t="s">
        <v>14</v>
      </c>
    </row>
    <row r="6486" x14ac:dyDescent="0.25">
      <c r="A6486" t="n">
        <v>25</v>
      </c>
      <c r="B6486" t="s">
        <v>14</v>
      </c>
      <c r="C6486" t="s">
        <v>22</v>
      </c>
      <c r="D6486" s="2" t="s">
        <f>=HYPERLINK("https://main.knesset.gov.il/APPS/legislation/main/bills/2196861", "הצעת חוק הרישום למוסדות להשכלה גבוהה, התשפ""ג-2022")</f>
        <v>12662</v>
      </c>
      <c r="E6486" t="s">
        <v>12662</v>
      </c>
      <c r="F6486" t="s">
        <v>12663</v>
      </c>
      <c r="G6486" t="s">
        <v>14</v>
      </c>
      <c r="H6486">
             </c>
      <c r="I6486" t="s">
        <v>14</v>
      </c>
      <c r="J6486" t="s">
        <v>141</v>
      </c>
      <c r="K6486" t="s">
        <v>14</v>
      </c>
      <c r="L6486" t="s">
        <v>20</v>
      </c>
      <c r="M6486" t="s">
        <v>12596</v>
      </c>
      <c r="N6486" t="s">
        <v>14</v>
      </c>
    </row>
    <row r="6487" x14ac:dyDescent="0.25">
      <c r="A6487" t="n">
        <v>25</v>
      </c>
      <c r="B6487" t="s">
        <v>14</v>
      </c>
      <c r="C6487" t="s">
        <v>22</v>
      </c>
      <c r="D6487" s="2" t="s">
        <f>=HYPERLINK("https://main.knesset.gov.il/APPS/legislation/main/bills/2196552", "הצעת חוק המאבק בטרור (תיקון - זכות להחזיק בגופות מחבלים לצורכי משא ומתן), התשפ""ג-2022")</f>
        <v>12664</v>
      </c>
      <c r="E6487" t="s">
        <v>12664</v>
      </c>
      <c r="F6487" t="s">
        <v>12665</v>
      </c>
      <c r="G6487" t="s">
        <v>14</v>
      </c>
      <c r="H6487">
             </c>
      <c r="I6487" t="s">
        <v>14</v>
      </c>
      <c r="J6487" t="s">
        <v>141</v>
      </c>
      <c r="K6487" t="s">
        <v>14</v>
      </c>
      <c r="L6487" t="s">
        <v>20</v>
      </c>
      <c r="M6487" t="s">
        <v>12596</v>
      </c>
      <c r="N6487" t="s">
        <v>14</v>
      </c>
    </row>
    <row r="6488" x14ac:dyDescent="0.25">
      <c r="A6488" t="n">
        <v>25</v>
      </c>
      <c r="B6488" t="s">
        <v>14</v>
      </c>
      <c r="C6488" t="s">
        <v>22</v>
      </c>
      <c r="D6488" s="2" t="s">
        <f>=HYPERLINK("https://main.knesset.gov.il/APPS/legislation/main/bills/2196337", "הצעת חוק הגנת הצרכן (תיקון - איסור גביית תשלום בכרטיסי חיוב בלבד), התשפ""ג-2022")</f>
        <v>12666</v>
      </c>
      <c r="E6488" t="s">
        <v>12666</v>
      </c>
      <c r="F6488" t="s">
        <v>12667</v>
      </c>
      <c r="G6488" t="s">
        <v>14</v>
      </c>
      <c r="H6488">
             </c>
      <c r="I6488" t="s">
        <v>14</v>
      </c>
      <c r="J6488" t="s">
        <v>141</v>
      </c>
      <c r="K6488" t="s">
        <v>14</v>
      </c>
      <c r="L6488" t="s">
        <v>20</v>
      </c>
      <c r="M6488" t="s">
        <v>12596</v>
      </c>
      <c r="N6488" t="s">
        <v>14</v>
      </c>
    </row>
    <row r="6489" x14ac:dyDescent="0.25">
      <c r="A6489" t="n">
        <v>25</v>
      </c>
      <c r="B6489" t="s">
        <v>14</v>
      </c>
      <c r="C6489" t="s">
        <v>22</v>
      </c>
      <c r="D6489" s="2" t="s">
        <f>=HYPERLINK("https://main.knesset.gov.il/APPS/legislation/main/bills/2197990", "הצעת חוק הפסיכולוגים (תיקון - פסיכולוג שהורשע בעבירת מין), התשפ""ג-2022")</f>
        <v>12668</v>
      </c>
      <c r="E6489" t="s">
        <v>12668</v>
      </c>
      <c r="F6489" t="s">
        <v>12669</v>
      </c>
      <c r="G6489" t="s">
        <v>14</v>
      </c>
      <c r="H6489">
             </c>
      <c r="I6489" t="s">
        <v>14</v>
      </c>
      <c r="J6489" t="s">
        <v>141</v>
      </c>
      <c r="K6489" t="s">
        <v>14</v>
      </c>
      <c r="L6489" t="s">
        <v>20</v>
      </c>
      <c r="M6489" t="s">
        <v>12596</v>
      </c>
      <c r="N6489" t="s">
        <v>14</v>
      </c>
    </row>
    <row r="6490" x14ac:dyDescent="0.25">
      <c r="A6490" t="n">
        <v>25</v>
      </c>
      <c r="B6490" t="s">
        <v>14</v>
      </c>
      <c r="C6490" t="s">
        <v>22</v>
      </c>
      <c r="D6490" s="2" t="s">
        <f>=HYPERLINK("https://main.knesset.gov.il/APPS/legislation/main/bills/2196562", "הצעת חוק פרס כספי בעבור לכידת מחבל, התשפ""ג-2022")</f>
        <v>12670</v>
      </c>
      <c r="E6490" t="s">
        <v>12670</v>
      </c>
      <c r="F6490" t="s">
        <v>12671</v>
      </c>
      <c r="G6490" t="s">
        <v>14</v>
      </c>
      <c r="H6490">
             </c>
      <c r="I6490" t="s">
        <v>14</v>
      </c>
      <c r="J6490" t="s">
        <v>141</v>
      </c>
      <c r="K6490" t="s">
        <v>14</v>
      </c>
      <c r="L6490" t="s">
        <v>20</v>
      </c>
      <c r="M6490" t="s">
        <v>12596</v>
      </c>
      <c r="N6490" t="s">
        <v>14</v>
      </c>
    </row>
    <row r="6491" x14ac:dyDescent="0.25">
      <c r="A6491" t="n">
        <v>25</v>
      </c>
      <c r="B6491" t="s">
        <v>14</v>
      </c>
      <c r="C6491" t="s">
        <v>22</v>
      </c>
      <c r="D6491" s="2" t="s">
        <f>=HYPERLINK("https://main.knesset.gov.il/APPS/legislation/main/bills/2198154", "הצעת חוק הצמדת שכר חברי הכנסת, השרים וסגני השרים לשכר המינימום (תיקוני חקיקה), התשפ""ג-2022")</f>
        <v>12672</v>
      </c>
      <c r="E6491" t="s">
        <v>12672</v>
      </c>
      <c r="F6491" t="s">
        <v>12673</v>
      </c>
      <c r="G6491" t="s">
        <v>14</v>
      </c>
      <c r="H6491">
             </c>
      <c r="I6491" t="s">
        <v>14</v>
      </c>
      <c r="J6491" t="s">
        <v>141</v>
      </c>
      <c r="K6491" t="s">
        <v>14</v>
      </c>
      <c r="L6491" t="s">
        <v>20</v>
      </c>
      <c r="M6491" t="s">
        <v>12596</v>
      </c>
      <c r="N6491" t="s">
        <v>14</v>
      </c>
    </row>
    <row r="6492" x14ac:dyDescent="0.25">
      <c r="A6492" t="n">
        <v>25</v>
      </c>
      <c r="B6492" t="s">
        <v>14</v>
      </c>
      <c r="C6492" t="s">
        <v>22</v>
      </c>
      <c r="D6492" s="2" t="s">
        <f>=HYPERLINK("https://main.knesset.gov.il/APPS/legislation/main/bills/2197198", "הצעת חוק להגדלת שיעור ההשתתפות בכוח העבודה ולצמצום פערים חברתיים (מענק עבודה) (תיקון - זכות במקרקעין בקבוצת רכישה), התשפ""ג-2022")</f>
        <v>12674</v>
      </c>
      <c r="E6492" t="s">
        <v>12674</v>
      </c>
      <c r="F6492" t="s">
        <v>12675</v>
      </c>
      <c r="G6492" t="s">
        <v>14</v>
      </c>
      <c r="H6492">
             </c>
      <c r="I6492" t="s">
        <v>14</v>
      </c>
      <c r="J6492" t="s">
        <v>141</v>
      </c>
      <c r="K6492" t="s">
        <v>14</v>
      </c>
      <c r="L6492" t="s">
        <v>20</v>
      </c>
      <c r="M6492" t="s">
        <v>12596</v>
      </c>
      <c r="N6492" t="s">
        <v>14</v>
      </c>
    </row>
    <row r="6493" x14ac:dyDescent="0.25">
      <c r="A6493" t="n">
        <v>25</v>
      </c>
      <c r="B6493" t="s">
        <v>14</v>
      </c>
      <c r="C6493" t="s">
        <v>22</v>
      </c>
      <c r="D6493" s="2" t="s">
        <f>=HYPERLINK("https://main.knesset.gov.il/APPS/legislation/main/bills/2197665", "הצעת חוק שירות המדינה (משמעת) (תיקון - בית הדין), התשפ""ג-2022")</f>
        <v>12676</v>
      </c>
      <c r="E6493" t="s">
        <v>12676</v>
      </c>
      <c r="F6493" t="s">
        <v>12677</v>
      </c>
      <c r="G6493" t="s">
        <v>14</v>
      </c>
      <c r="H6493">
             </c>
      <c r="I6493" t="s">
        <v>14</v>
      </c>
      <c r="J6493" t="s">
        <v>141</v>
      </c>
      <c r="K6493" t="s">
        <v>14</v>
      </c>
      <c r="L6493" t="s">
        <v>20</v>
      </c>
      <c r="M6493" t="s">
        <v>12596</v>
      </c>
      <c r="N6493" t="s">
        <v>14</v>
      </c>
    </row>
    <row r="6494" x14ac:dyDescent="0.25">
      <c r="A6494" t="n">
        <v>25</v>
      </c>
      <c r="B6494" t="s">
        <v>14</v>
      </c>
      <c r="C6494" t="s">
        <v>22</v>
      </c>
      <c r="D6494" s="2" t="s">
        <f>=HYPERLINK("https://main.knesset.gov.il/APPS/legislation/main/bills/2197100", "הצעת חוק הסדרת העיסוק במקצועות הבריאות (תיקון - מתן תעודה במקצועות הבריאות לבעלי הכשרה מקצועית) (הוראת שעה), התשפ""ג-2022")</f>
        <v>12678</v>
      </c>
      <c r="E6494" t="s">
        <v>12678</v>
      </c>
      <c r="F6494" t="s">
        <v>12679</v>
      </c>
      <c r="G6494" t="s">
        <v>14</v>
      </c>
      <c r="H6494">
             </c>
      <c r="I6494" t="s">
        <v>14</v>
      </c>
      <c r="J6494" t="s">
        <v>141</v>
      </c>
      <c r="K6494" t="s">
        <v>14</v>
      </c>
      <c r="L6494" t="s">
        <v>20</v>
      </c>
      <c r="M6494" t="s">
        <v>12596</v>
      </c>
      <c r="N6494" t="s">
        <v>14</v>
      </c>
    </row>
    <row r="6495" x14ac:dyDescent="0.25">
      <c r="A6495" t="n">
        <v>25</v>
      </c>
      <c r="B6495" t="s">
        <v>14</v>
      </c>
      <c r="C6495" t="s">
        <v>22</v>
      </c>
      <c r="D6495" s="2" t="s">
        <f>=HYPERLINK("https://main.knesset.gov.il/APPS/legislation/main/bills/2197655", "הצעת חוק סדר הדין הפלילי (תיקון - התיישנות בעבירות מין שנעשו במסגרת יחסי תלות או מרות), התשפ""ג-2022")</f>
        <v>12680</v>
      </c>
      <c r="E6495" t="s">
        <v>12680</v>
      </c>
      <c r="F6495" t="s">
        <v>12681</v>
      </c>
      <c r="G6495" t="s">
        <v>14</v>
      </c>
      <c r="H6495">
             </c>
      <c r="I6495" t="s">
        <v>14</v>
      </c>
      <c r="J6495" t="s">
        <v>141</v>
      </c>
      <c r="K6495" t="s">
        <v>14</v>
      </c>
      <c r="L6495" t="s">
        <v>20</v>
      </c>
      <c r="M6495" t="s">
        <v>12596</v>
      </c>
      <c r="N6495" t="s">
        <v>14</v>
      </c>
    </row>
    <row r="6496" x14ac:dyDescent="0.25">
      <c r="A6496" t="n">
        <v>25</v>
      </c>
      <c r="B6496" t="s">
        <v>14</v>
      </c>
      <c r="C6496" t="s">
        <v>22</v>
      </c>
      <c r="D6496" s="2" t="s">
        <f>=HYPERLINK("https://main.knesset.gov.il/APPS/legislation/main/bills/2197210", "הצעת חוק העונשין (תיקון - הגנה עצמית מפני בקבוק תבערה), התשפ""ג-2022")</f>
        <v>12682</v>
      </c>
      <c r="E6496" t="s">
        <v>12682</v>
      </c>
      <c r="F6496" t="s">
        <v>12683</v>
      </c>
      <c r="G6496" t="s">
        <v>14</v>
      </c>
      <c r="H6496">
             </c>
      <c r="I6496" t="s">
        <v>14</v>
      </c>
      <c r="J6496" t="s">
        <v>141</v>
      </c>
      <c r="K6496" t="s">
        <v>14</v>
      </c>
      <c r="L6496" t="s">
        <v>20</v>
      </c>
      <c r="M6496" t="s">
        <v>12596</v>
      </c>
      <c r="N6496" t="s">
        <v>14</v>
      </c>
    </row>
    <row r="6497" x14ac:dyDescent="0.25">
      <c r="A6497" t="n">
        <v>25</v>
      </c>
      <c r="B6497" t="s">
        <v>14</v>
      </c>
      <c r="C6497" t="s">
        <v>22</v>
      </c>
      <c r="D6497" s="2" t="s">
        <f>=HYPERLINK("https://main.knesset.gov.il/APPS/legislation/main/bills/2197306", "הצעת חוק הסדרת העיסוק במקצועות הבריאות (תיקון - הסדרת העיסוק בניתוח התנהגות), התשפ""ג - 2022")</f>
        <v>12684</v>
      </c>
      <c r="E6497" t="s">
        <v>12684</v>
      </c>
      <c r="F6497" t="s">
        <v>12685</v>
      </c>
      <c r="G6497" t="s">
        <v>14</v>
      </c>
      <c r="H6497">
             </c>
      <c r="I6497" t="s">
        <v>14</v>
      </c>
      <c r="J6497" t="s">
        <v>141</v>
      </c>
      <c r="K6497" t="s">
        <v>14</v>
      </c>
      <c r="L6497" t="s">
        <v>20</v>
      </c>
      <c r="M6497" t="s">
        <v>12596</v>
      </c>
      <c r="N6497" t="s">
        <v>14</v>
      </c>
    </row>
    <row r="6498" x14ac:dyDescent="0.25">
      <c r="A6498" t="n">
        <v>25</v>
      </c>
      <c r="B6498" t="s">
        <v>14</v>
      </c>
      <c r="C6498" t="s">
        <v>22</v>
      </c>
      <c r="D6498" s="2" t="s">
        <f>=HYPERLINK("https://main.knesset.gov.il/APPS/legislation/main/bills/2196158", "הצעת חוק הפיקוח על שירותים פיננסיים (ביטוח) (תיקון - הוספת רישיון הנפקה), התשפ""ג-2022")</f>
        <v>12686</v>
      </c>
      <c r="E6498" t="s">
        <v>12686</v>
      </c>
      <c r="F6498" t="s">
        <v>12687</v>
      </c>
      <c r="G6498" t="s">
        <v>14</v>
      </c>
      <c r="H6498">
             </c>
      <c r="I6498" t="s">
        <v>14</v>
      </c>
      <c r="J6498" t="s">
        <v>141</v>
      </c>
      <c r="K6498" t="s">
        <v>14</v>
      </c>
      <c r="L6498" t="s">
        <v>20</v>
      </c>
      <c r="M6498" t="s">
        <v>12596</v>
      </c>
      <c r="N6498" t="s">
        <v>14</v>
      </c>
    </row>
    <row r="6499" x14ac:dyDescent="0.25">
      <c r="A6499" t="n">
        <v>25</v>
      </c>
      <c r="B6499" t="s">
        <v>14</v>
      </c>
      <c r="C6499" t="s">
        <v>22</v>
      </c>
      <c r="D6499" s="2" t="s">
        <f>=HYPERLINK("https://main.knesset.gov.il/APPS/legislation/main/bills/2196166", "הצעת חוק לתיקון פקודת הרוקחים (חיוב רישום רכיבי תמרוקים ומוצרי ניקיון), התשפ""ג-2022")</f>
        <v>12688</v>
      </c>
      <c r="E6499" t="s">
        <v>12688</v>
      </c>
      <c r="F6499" t="s">
        <v>12689</v>
      </c>
      <c r="G6499" t="s">
        <v>14</v>
      </c>
      <c r="H6499">
             </c>
      <c r="I6499" t="s">
        <v>14</v>
      </c>
      <c r="J6499" t="s">
        <v>141</v>
      </c>
      <c r="K6499" t="s">
        <v>14</v>
      </c>
      <c r="L6499" t="s">
        <v>20</v>
      </c>
      <c r="M6499" t="s">
        <v>12596</v>
      </c>
      <c r="N6499" t="s">
        <v>14</v>
      </c>
    </row>
    <row r="6500" x14ac:dyDescent="0.25">
      <c r="A6500" t="n">
        <v>25</v>
      </c>
      <c r="B6500" t="s">
        <v>14</v>
      </c>
      <c r="C6500" t="s">
        <v>22</v>
      </c>
      <c r="D6500" s="2" t="s">
        <f>=HYPERLINK("https://main.knesset.gov.il/APPS/legislation/main/bills/2196041", "הצעת חוק יישובים ושכונות בהליכי הסדרה, התשפ""ג-2022")</f>
        <v>12690</v>
      </c>
      <c r="E6500" t="s">
        <v>12690</v>
      </c>
      <c r="F6500" t="s">
        <v>12691</v>
      </c>
      <c r="G6500" t="s">
        <v>14</v>
      </c>
      <c r="H6500">
             </c>
      <c r="I6500" t="s">
        <v>14</v>
      </c>
      <c r="J6500" t="s">
        <v>141</v>
      </c>
      <c r="K6500" t="s">
        <v>14</v>
      </c>
      <c r="L6500" t="s">
        <v>20</v>
      </c>
      <c r="M6500" t="s">
        <v>12596</v>
      </c>
      <c r="N6500" t="s">
        <v>14</v>
      </c>
    </row>
    <row r="6501" x14ac:dyDescent="0.25">
      <c r="A6501" t="n">
        <v>25</v>
      </c>
      <c r="B6501" t="s">
        <v>14</v>
      </c>
      <c r="C6501" t="s">
        <v>22</v>
      </c>
      <c r="D6501" s="2" t="s">
        <f>=HYPERLINK("https://main.knesset.gov.il/APPS/legislation/main/bills/2197307", "הצעת חוק כביש אגרה (כביש ארצי לישראל) (תיקון - פטור מאגרה לתחבורה ציבורית), התשפ""ג-2022")</f>
        <v>12692</v>
      </c>
      <c r="E6501" t="s">
        <v>12692</v>
      </c>
      <c r="F6501" t="s">
        <v>12693</v>
      </c>
      <c r="G6501" t="s">
        <v>14</v>
      </c>
      <c r="H6501">
             </c>
      <c r="I6501" t="s">
        <v>14</v>
      </c>
      <c r="J6501" t="s">
        <v>141</v>
      </c>
      <c r="K6501" t="s">
        <v>14</v>
      </c>
      <c r="L6501" t="s">
        <v>20</v>
      </c>
      <c r="M6501" t="s">
        <v>12596</v>
      </c>
      <c r="N6501" t="s">
        <v>14</v>
      </c>
    </row>
    <row r="6502" x14ac:dyDescent="0.25">
      <c r="A6502" t="n">
        <v>25</v>
      </c>
      <c r="B6502" t="s">
        <v>14</v>
      </c>
      <c r="C6502" t="s">
        <v>22</v>
      </c>
      <c r="D6502" s="2" t="s">
        <f>=HYPERLINK("https://main.knesset.gov.il/APPS/legislation/main/bills/2197300", "הצעת חוק רישום רכב ניזוק שנמכר על ידי מבטח או תאגיד, התשפ""ג-2022")</f>
        <v>12694</v>
      </c>
      <c r="E6502" t="s">
        <v>12694</v>
      </c>
      <c r="F6502" t="s">
        <v>12695</v>
      </c>
      <c r="G6502" t="s">
        <v>14</v>
      </c>
      <c r="H6502">
             </c>
      <c r="I6502" t="s">
        <v>14</v>
      </c>
      <c r="J6502" t="s">
        <v>141</v>
      </c>
      <c r="K6502" t="s">
        <v>14</v>
      </c>
      <c r="L6502" t="s">
        <v>20</v>
      </c>
      <c r="M6502" t="s">
        <v>12596</v>
      </c>
      <c r="N6502" t="s">
        <v>14</v>
      </c>
    </row>
    <row r="6503" x14ac:dyDescent="0.25">
      <c r="A6503" t="n">
        <v>25</v>
      </c>
      <c r="B6503" t="s">
        <v>14</v>
      </c>
      <c r="C6503" t="s">
        <v>22</v>
      </c>
      <c r="D6503" s="2" t="s">
        <f>=HYPERLINK("https://main.knesset.gov.il/APPS/legislation/main/bills/2197026", "הצעת חוק לתיקון פקודת המסים (גבייה) (פיצוי עקב טעות), התשפ""ג-2022")</f>
        <v>12696</v>
      </c>
      <c r="E6503" t="s">
        <v>12696</v>
      </c>
      <c r="F6503" t="s">
        <v>12697</v>
      </c>
      <c r="G6503" t="s">
        <v>14</v>
      </c>
      <c r="H6503">
             </c>
      <c r="I6503" t="s">
        <v>14</v>
      </c>
      <c r="J6503" t="s">
        <v>141</v>
      </c>
      <c r="K6503" t="s">
        <v>14</v>
      </c>
      <c r="L6503" t="s">
        <v>20</v>
      </c>
      <c r="M6503" t="s">
        <v>12596</v>
      </c>
      <c r="N6503" t="s">
        <v>14</v>
      </c>
    </row>
    <row r="6504" x14ac:dyDescent="0.25">
      <c r="A6504" t="n">
        <v>25</v>
      </c>
      <c r="B6504" t="s">
        <v>14</v>
      </c>
      <c r="C6504" t="s">
        <v>22</v>
      </c>
      <c r="D6504" s="2" t="s">
        <f>=HYPERLINK("https://main.knesset.gov.il/APPS/legislation/main/bills/2196875", "הצעת חוק השבות (תיקון - זכויות בני משפחה), התשפ""ג-2022")</f>
        <v>12698</v>
      </c>
      <c r="E6504" t="s">
        <v>12698</v>
      </c>
      <c r="F6504" t="s">
        <v>12699</v>
      </c>
      <c r="G6504" t="s">
        <v>14</v>
      </c>
      <c r="H6504">
             </c>
      <c r="I6504" t="s">
        <v>14</v>
      </c>
      <c r="J6504" t="s">
        <v>141</v>
      </c>
      <c r="K6504" t="s">
        <v>14</v>
      </c>
      <c r="L6504" t="s">
        <v>20</v>
      </c>
      <c r="M6504" t="s">
        <v>12596</v>
      </c>
      <c r="N6504" t="s">
        <v>14</v>
      </c>
    </row>
    <row r="6505" x14ac:dyDescent="0.25">
      <c r="A6505" t="n">
        <v>25</v>
      </c>
      <c r="B6505" t="s">
        <v>14</v>
      </c>
      <c r="C6505" t="s">
        <v>22</v>
      </c>
      <c r="D6505" s="2" t="s">
        <f>=HYPERLINK("https://main.knesset.gov.il/APPS/legislation/main/bills/2196025", "הצעת חוק לתיקון פקודת התעבורה (הקמת מערך מידע וניתוח נתונים לשיפור התחבורה הציבורית), התשפ""ג-2022")</f>
        <v>12700</v>
      </c>
      <c r="E6505" t="s">
        <v>12700</v>
      </c>
      <c r="F6505" t="s">
        <v>12701</v>
      </c>
      <c r="G6505" t="s">
        <v>14</v>
      </c>
      <c r="H6505">
             </c>
      <c r="I6505" t="s">
        <v>14</v>
      </c>
      <c r="J6505" t="s">
        <v>141</v>
      </c>
      <c r="K6505" t="s">
        <v>14</v>
      </c>
      <c r="L6505" t="s">
        <v>20</v>
      </c>
      <c r="M6505" t="s">
        <v>12596</v>
      </c>
      <c r="N6505" t="s">
        <v>14</v>
      </c>
    </row>
    <row r="6506" x14ac:dyDescent="0.25">
      <c r="A6506" t="n">
        <v>25</v>
      </c>
      <c r="B6506" t="s">
        <v>14</v>
      </c>
      <c r="C6506" t="s">
        <v>22</v>
      </c>
      <c r="D6506" s="2" t="s">
        <f>=HYPERLINK("https://main.knesset.gov.il/APPS/legislation/main/bills/2195954", "הצעת חוק הלוואות לדיור (תיקון - הצמדת סכום ההלוואה למדד), התשפ""ג-2022")</f>
        <v>12702</v>
      </c>
      <c r="E6506" t="s">
        <v>12702</v>
      </c>
      <c r="F6506" t="s">
        <v>12703</v>
      </c>
      <c r="G6506" t="s">
        <v>14</v>
      </c>
      <c r="H6506">
             </c>
      <c r="I6506" t="s">
        <v>14</v>
      </c>
      <c r="J6506" t="s">
        <v>141</v>
      </c>
      <c r="K6506" t="s">
        <v>14</v>
      </c>
      <c r="L6506" t="s">
        <v>20</v>
      </c>
      <c r="M6506" t="s">
        <v>12596</v>
      </c>
      <c r="N6506" t="s">
        <v>14</v>
      </c>
    </row>
    <row r="6507" x14ac:dyDescent="0.25">
      <c r="A6507" t="n">
        <v>25</v>
      </c>
      <c r="B6507" t="s">
        <v>14</v>
      </c>
      <c r="C6507" t="s">
        <v>22</v>
      </c>
      <c r="D6507" s="2" t="s">
        <f>=HYPERLINK("https://main.knesset.gov.il/APPS/legislation/main/bills/2196863", "הצעת חוק ליווי בני משפחות של משרתים בגופי ביטחון ששלחו יד בנפשם, התשפ""ג-2022")</f>
        <v>12704</v>
      </c>
      <c r="E6507" t="s">
        <v>12704</v>
      </c>
      <c r="F6507" t="s">
        <v>12705</v>
      </c>
      <c r="G6507" t="s">
        <v>14</v>
      </c>
      <c r="H6507">
             </c>
      <c r="I6507" t="s">
        <v>14</v>
      </c>
      <c r="J6507" t="s">
        <v>141</v>
      </c>
      <c r="K6507" t="s">
        <v>14</v>
      </c>
      <c r="L6507" t="s">
        <v>20</v>
      </c>
      <c r="M6507" t="s">
        <v>12596</v>
      </c>
      <c r="N6507" t="s">
        <v>14</v>
      </c>
    </row>
    <row r="6508" x14ac:dyDescent="0.25">
      <c r="A6508" t="n">
        <v>25</v>
      </c>
      <c r="B6508" t="s">
        <v>14</v>
      </c>
      <c r="C6508" t="s">
        <v>22</v>
      </c>
      <c r="D6508" s="2" t="s">
        <f>=HYPERLINK("https://main.knesset.gov.il/APPS/legislation/main/bills/2197325", "הצעת חוק הביטוח הלאומי (תיקון - קצבת תלויים וקצבת אזרח ותיק), התשפ""ג-2022")</f>
        <v>12706</v>
      </c>
      <c r="E6508" t="s">
        <v>12706</v>
      </c>
      <c r="F6508" t="s">
        <v>12707</v>
      </c>
      <c r="G6508" t="s">
        <v>14</v>
      </c>
      <c r="H6508">
             </c>
      <c r="I6508" t="s">
        <v>14</v>
      </c>
      <c r="J6508" t="s">
        <v>141</v>
      </c>
      <c r="K6508" t="s">
        <v>14</v>
      </c>
      <c r="L6508" t="s">
        <v>20</v>
      </c>
      <c r="M6508" t="s">
        <v>12596</v>
      </c>
      <c r="N6508" t="s">
        <v>14</v>
      </c>
    </row>
    <row r="6509" x14ac:dyDescent="0.25">
      <c r="A6509" t="n">
        <v>25</v>
      </c>
      <c r="B6509" t="s">
        <v>14</v>
      </c>
      <c r="C6509" t="s">
        <v>22</v>
      </c>
      <c r="D6509" s="2" t="s">
        <f>=HYPERLINK("https://main.knesset.gov.il/APPS/legislation/main/bills/2197324", "הצעת חוק הביטוח הלאומי (תיקון - קביעת דרגת נכות לנפגעי עבודה), התשפ""ג-2022")</f>
        <v>12708</v>
      </c>
      <c r="E6509" t="s">
        <v>12708</v>
      </c>
      <c r="F6509" t="s">
        <v>12709</v>
      </c>
      <c r="G6509" t="s">
        <v>14</v>
      </c>
      <c r="H6509">
             </c>
      <c r="I6509" t="s">
        <v>14</v>
      </c>
      <c r="J6509" t="s">
        <v>141</v>
      </c>
      <c r="K6509" t="s">
        <v>14</v>
      </c>
      <c r="L6509" t="s">
        <v>20</v>
      </c>
      <c r="M6509" t="s">
        <v>12596</v>
      </c>
      <c r="N6509" t="s">
        <v>14</v>
      </c>
    </row>
    <row r="6510" x14ac:dyDescent="0.25">
      <c r="A6510" t="n">
        <v>25</v>
      </c>
      <c r="B6510" t="s">
        <v>14</v>
      </c>
      <c r="C6510" t="s">
        <v>22</v>
      </c>
      <c r="D6510" s="2" t="s">
        <f>=HYPERLINK("https://main.knesset.gov.il/APPS/legislation/main/bills/2195973", "הצעת חוק לתיקון פקודת הסמים המסוכנים (שידול לייבוא או ייצוא חומר הנחשב לסם בחו""ל), התשפ""ג-2022")</f>
        <v>12710</v>
      </c>
      <c r="E6510" t="s">
        <v>12710</v>
      </c>
      <c r="F6510" t="s">
        <v>12711</v>
      </c>
      <c r="G6510" t="s">
        <v>14</v>
      </c>
      <c r="H6510">
             </c>
      <c r="I6510" t="s">
        <v>14</v>
      </c>
      <c r="J6510" t="s">
        <v>141</v>
      </c>
      <c r="K6510" t="s">
        <v>14</v>
      </c>
      <c r="L6510" t="s">
        <v>20</v>
      </c>
      <c r="M6510" t="s">
        <v>12596</v>
      </c>
      <c r="N6510" t="s">
        <v>14</v>
      </c>
    </row>
    <row r="6511" x14ac:dyDescent="0.25">
      <c r="A6511" t="n">
        <v>25</v>
      </c>
      <c r="B6511" t="s">
        <v>14</v>
      </c>
      <c r="C6511" t="s">
        <v>22</v>
      </c>
      <c r="D6511" s="2" t="s">
        <f>=HYPERLINK("https://main.knesset.gov.il/APPS/legislation/main/bills/2196326", "הצעת חוק לתיקון פקודת העיריות (תקופת כהונה של יועץ משפטי), התשפ""ג-2022")</f>
        <v>12712</v>
      </c>
      <c r="E6511" t="s">
        <v>12712</v>
      </c>
      <c r="F6511" t="s">
        <v>12713</v>
      </c>
      <c r="G6511" t="s">
        <v>14</v>
      </c>
      <c r="H6511">
             </c>
      <c r="I6511" t="s">
        <v>14</v>
      </c>
      <c r="J6511" t="s">
        <v>141</v>
      </c>
      <c r="K6511" t="s">
        <v>14</v>
      </c>
      <c r="L6511" t="s">
        <v>20</v>
      </c>
      <c r="M6511" t="s">
        <v>12596</v>
      </c>
      <c r="N6511" t="s">
        <v>14</v>
      </c>
    </row>
    <row r="6512" x14ac:dyDescent="0.25">
      <c r="A6512" t="n">
        <v>25</v>
      </c>
      <c r="B6512" t="s">
        <v>14</v>
      </c>
      <c r="C6512" t="s">
        <v>22</v>
      </c>
      <c r="D6512" s="2" t="s">
        <f>=HYPERLINK("https://main.knesset.gov.il/APPS/legislation/main/bills/2197913", "הצעת חוק סדר הדין הפלילי (תיקון - הגבלת משך זמן החקירה המשטרתית וחקירת הפרקליטות), התשפ""ג-2022")</f>
        <v>12714</v>
      </c>
      <c r="E6512" t="s">
        <v>12714</v>
      </c>
      <c r="F6512" t="s">
        <v>12715</v>
      </c>
      <c r="G6512" t="s">
        <v>14</v>
      </c>
      <c r="H6512">
             </c>
      <c r="I6512" t="s">
        <v>14</v>
      </c>
      <c r="J6512" t="s">
        <v>141</v>
      </c>
      <c r="K6512" t="s">
        <v>14</v>
      </c>
      <c r="L6512" t="s">
        <v>20</v>
      </c>
      <c r="M6512" t="s">
        <v>12596</v>
      </c>
      <c r="N6512" t="s">
        <v>14</v>
      </c>
    </row>
    <row r="6513" x14ac:dyDescent="0.25">
      <c r="A6513" t="n">
        <v>25</v>
      </c>
      <c r="B6513" t="s">
        <v>14</v>
      </c>
      <c r="C6513" t="s">
        <v>22</v>
      </c>
      <c r="D6513" s="2" t="s">
        <f>=HYPERLINK("https://main.knesset.gov.il/APPS/legislation/main/bills/2195977", "הצעת חוק התכנון והבנייה (תיקון - הגדרת חדר מחוזק כמרחב מוגן), התשפ""ג-2022")</f>
        <v>12716</v>
      </c>
      <c r="E6513" t="s">
        <v>12716</v>
      </c>
      <c r="F6513" t="s">
        <v>12717</v>
      </c>
      <c r="G6513" t="s">
        <v>14</v>
      </c>
      <c r="H6513">
             </c>
      <c r="I6513" t="s">
        <v>14</v>
      </c>
      <c r="J6513" t="s">
        <v>141</v>
      </c>
      <c r="K6513" t="s">
        <v>14</v>
      </c>
      <c r="L6513" t="s">
        <v>20</v>
      </c>
      <c r="M6513" t="s">
        <v>12596</v>
      </c>
      <c r="N6513" t="s">
        <v>14</v>
      </c>
    </row>
    <row r="6514" x14ac:dyDescent="0.25">
      <c r="A6514" t="n">
        <v>25</v>
      </c>
      <c r="B6514" t="s">
        <v>14</v>
      </c>
      <c r="C6514" t="s">
        <v>22</v>
      </c>
      <c r="D6514" s="2" t="s">
        <f>=HYPERLINK("https://main.knesset.gov.il/APPS/legislation/main/bills/2195976", "הצעת חוק שירותי הדת היהודיים (תיקון - מינוי רבני התיישבות, רבנים אזוריים ורבני שכונות), התשפ""ג-2022")</f>
        <v>12718</v>
      </c>
      <c r="E6514" t="s">
        <v>12718</v>
      </c>
      <c r="F6514" t="s">
        <v>12719</v>
      </c>
      <c r="G6514" t="s">
        <v>14</v>
      </c>
      <c r="H6514">
             </c>
      <c r="I6514" t="s">
        <v>14</v>
      </c>
      <c r="J6514" t="s">
        <v>141</v>
      </c>
      <c r="K6514" t="s">
        <v>14</v>
      </c>
      <c r="L6514" t="s">
        <v>20</v>
      </c>
      <c r="M6514" t="s">
        <v>12596</v>
      </c>
      <c r="N6514" t="s">
        <v>14</v>
      </c>
    </row>
    <row r="6515" x14ac:dyDescent="0.25">
      <c r="A6515" t="n">
        <v>25</v>
      </c>
      <c r="B6515" t="s">
        <v>14</v>
      </c>
      <c r="C6515" t="s">
        <v>22</v>
      </c>
      <c r="D6515" s="2" t="s">
        <f>=HYPERLINK("https://main.knesset.gov.il/APPS/legislation/main/bills/2197359", "הצעת חוק מס הכנסה (פטור ממס על הכנסה מהשכרת דירת מגורים) (תיקון - פטור למוסד חינוך), התשפ""ג-2022")</f>
        <v>12720</v>
      </c>
      <c r="E6515" t="s">
        <v>12720</v>
      </c>
      <c r="F6515" t="s">
        <v>12721</v>
      </c>
      <c r="G6515" t="s">
        <v>14</v>
      </c>
      <c r="H6515">
             </c>
      <c r="I6515" t="s">
        <v>14</v>
      </c>
      <c r="J6515" t="s">
        <v>141</v>
      </c>
      <c r="K6515" t="s">
        <v>14</v>
      </c>
      <c r="L6515" t="s">
        <v>20</v>
      </c>
      <c r="M6515" t="s">
        <v>12596</v>
      </c>
      <c r="N6515" t="s">
        <v>14</v>
      </c>
    </row>
    <row r="6516" x14ac:dyDescent="0.25">
      <c r="A6516" t="n">
        <v>25</v>
      </c>
      <c r="B6516" t="s">
        <v>14</v>
      </c>
      <c r="C6516" t="s">
        <v>22</v>
      </c>
      <c r="D6516" s="2" t="s">
        <f>=HYPERLINK("https://main.knesset.gov.il/APPS/legislation/main/bills/2197323", "הצעת חוק הביטוח הלאומי (תיקון - ערעור על החלטת ועדה לעררים), התשפ""ג-2022")</f>
        <v>12722</v>
      </c>
      <c r="E6516" t="s">
        <v>12722</v>
      </c>
      <c r="F6516" t="s">
        <v>12723</v>
      </c>
      <c r="G6516" t="s">
        <v>14</v>
      </c>
      <c r="H6516">
             </c>
      <c r="I6516" t="s">
        <v>14</v>
      </c>
      <c r="J6516" t="s">
        <v>141</v>
      </c>
      <c r="K6516" t="s">
        <v>14</v>
      </c>
      <c r="L6516" t="s">
        <v>20</v>
      </c>
      <c r="M6516" t="s">
        <v>12596</v>
      </c>
      <c r="N6516" t="s">
        <v>14</v>
      </c>
    </row>
    <row r="6517" x14ac:dyDescent="0.25">
      <c r="A6517" t="n">
        <v>25</v>
      </c>
      <c r="B6517" t="s">
        <v>14</v>
      </c>
      <c r="C6517" t="s">
        <v>22</v>
      </c>
      <c r="D6517" s="2" t="s">
        <f>=HYPERLINK("https://main.knesset.gov.il/APPS/legislation/main/bills/2197291", "הצעת חוק לתיקון פקודת התעבורה (סדרי דין מיוחדים לעניין שירות לתועלת הציבור בעבירות תעבורה), התשפ""ג-2022")</f>
        <v>12724</v>
      </c>
      <c r="E6517" t="s">
        <v>12724</v>
      </c>
      <c r="F6517" t="s">
        <v>12725</v>
      </c>
      <c r="G6517" t="s">
        <v>14</v>
      </c>
      <c r="H6517">
             </c>
      <c r="I6517" t="s">
        <v>14</v>
      </c>
      <c r="J6517" t="s">
        <v>141</v>
      </c>
      <c r="K6517" t="s">
        <v>14</v>
      </c>
      <c r="L6517" t="s">
        <v>20</v>
      </c>
      <c r="M6517" t="s">
        <v>12596</v>
      </c>
      <c r="N6517" t="s">
        <v>14</v>
      </c>
    </row>
    <row r="6518" x14ac:dyDescent="0.25">
      <c r="A6518" t="n">
        <v>25</v>
      </c>
      <c r="B6518" t="s">
        <v>14</v>
      </c>
      <c r="C6518" t="s">
        <v>22</v>
      </c>
      <c r="D6518" s="2" t="s">
        <f>=HYPERLINK("https://main.knesset.gov.il/APPS/legislation/main/bills/2197694", "הצעת חוק התכנון והבנייה (תיקון - התקנת מנגנון שבת למשאבות מים), התשפ""ג-2022")</f>
        <v>12726</v>
      </c>
      <c r="E6518" t="s">
        <v>12726</v>
      </c>
      <c r="F6518" t="s">
        <v>12727</v>
      </c>
      <c r="G6518" t="s">
        <v>14</v>
      </c>
      <c r="H6518">
             </c>
      <c r="I6518" t="s">
        <v>14</v>
      </c>
      <c r="J6518" t="s">
        <v>141</v>
      </c>
      <c r="K6518" t="s">
        <v>14</v>
      </c>
      <c r="L6518" t="s">
        <v>20</v>
      </c>
      <c r="M6518" t="s">
        <v>12596</v>
      </c>
      <c r="N6518" t="s">
        <v>14</v>
      </c>
    </row>
    <row r="6519" x14ac:dyDescent="0.25">
      <c r="A6519" t="n">
        <v>25</v>
      </c>
      <c r="B6519" t="s">
        <v>14</v>
      </c>
      <c r="C6519" t="s">
        <v>22</v>
      </c>
      <c r="D6519" s="2" t="s">
        <f>=HYPERLINK("https://main.knesset.gov.il/APPS/legislation/main/bills/2198010", "הצעת חוק-יסוד: השפיטה (תיקון - שינוי הרכב הוועדה לבחירת שופטים)")</f>
        <v>12728</v>
      </c>
      <c r="E6519" t="s">
        <v>12728</v>
      </c>
      <c r="F6519" t="s">
        <v>12729</v>
      </c>
      <c r="G6519" t="s">
        <v>14</v>
      </c>
      <c r="H6519">
             </c>
      <c r="I6519" t="s">
        <v>14</v>
      </c>
      <c r="J6519" t="s">
        <v>141</v>
      </c>
      <c r="K6519" t="s">
        <v>14</v>
      </c>
      <c r="L6519" t="s">
        <v>20</v>
      </c>
      <c r="M6519" t="s">
        <v>12596</v>
      </c>
      <c r="N6519" t="s">
        <v>14</v>
      </c>
    </row>
    <row r="6520" x14ac:dyDescent="0.25">
      <c r="A6520" t="n">
        <v>25</v>
      </c>
      <c r="B6520" t="s">
        <v>14</v>
      </c>
      <c r="C6520" t="s">
        <v>22</v>
      </c>
      <c r="D6520" s="2" t="s">
        <f>=HYPERLINK("https://main.knesset.gov.il/APPS/legislation/main/bills/2198101", "הצעת חוק הגנת הצרכן (תיקון - סימון תאריך ייצור ומועד תפוגה עברי), התשפ""ג-2022")</f>
        <v>12730</v>
      </c>
      <c r="E6520" t="s">
        <v>12730</v>
      </c>
      <c r="F6520" t="s">
        <v>12731</v>
      </c>
      <c r="G6520" t="s">
        <v>14</v>
      </c>
      <c r="H6520">
             </c>
      <c r="I6520" t="s">
        <v>14</v>
      </c>
      <c r="J6520" t="s">
        <v>141</v>
      </c>
      <c r="K6520" t="s">
        <v>14</v>
      </c>
      <c r="L6520" t="s">
        <v>20</v>
      </c>
      <c r="M6520" t="s">
        <v>12596</v>
      </c>
      <c r="N6520" t="s">
        <v>14</v>
      </c>
    </row>
    <row r="6521" x14ac:dyDescent="0.25">
      <c r="A6521" t="n">
        <v>25</v>
      </c>
      <c r="B6521" t="s">
        <v>14</v>
      </c>
      <c r="C6521" t="s">
        <v>22</v>
      </c>
      <c r="D6521" s="2" t="s">
        <f>=HYPERLINK("https://main.knesset.gov.il/APPS/legislation/main/bills/2198106", "הצעת חוק מעונות יום שיקומיים (תיקון - הקדמת גיל הזכאות), התשפ""ג-2022")</f>
        <v>12732</v>
      </c>
      <c r="E6521" t="s">
        <v>12732</v>
      </c>
      <c r="F6521" t="s">
        <v>12733</v>
      </c>
      <c r="G6521" t="s">
        <v>14</v>
      </c>
      <c r="H6521">
             </c>
      <c r="I6521" t="s">
        <v>14</v>
      </c>
      <c r="J6521" t="s">
        <v>141</v>
      </c>
      <c r="K6521" t="s">
        <v>14</v>
      </c>
      <c r="L6521" t="s">
        <v>20</v>
      </c>
      <c r="M6521" t="s">
        <v>12596</v>
      </c>
      <c r="N6521" t="s">
        <v>14</v>
      </c>
    </row>
    <row r="6522" x14ac:dyDescent="0.25">
      <c r="A6522" t="n">
        <v>25</v>
      </c>
      <c r="B6522" t="s">
        <v>14</v>
      </c>
      <c r="C6522" t="s">
        <v>22</v>
      </c>
      <c r="D6522" s="2" t="s">
        <f>=HYPERLINK("https://main.knesset.gov.il/APPS/legislation/main/bills/2198042", "הצעת חוק לתיקון פקודת העיריות (בניין שניזוק או נהרס), התשפ""ג-2022")</f>
        <v>12734</v>
      </c>
      <c r="E6522" t="s">
        <v>12734</v>
      </c>
      <c r="F6522" t="s">
        <v>12735</v>
      </c>
      <c r="G6522" t="s">
        <v>14</v>
      </c>
      <c r="H6522">
             </c>
      <c r="I6522" t="s">
        <v>14</v>
      </c>
      <c r="J6522" t="s">
        <v>141</v>
      </c>
      <c r="K6522" t="s">
        <v>14</v>
      </c>
      <c r="L6522" t="s">
        <v>20</v>
      </c>
      <c r="M6522" t="s">
        <v>12596</v>
      </c>
      <c r="N6522" t="s">
        <v>14</v>
      </c>
    </row>
    <row r="6523" x14ac:dyDescent="0.25">
      <c r="A6523" t="n">
        <v>25</v>
      </c>
      <c r="B6523" t="s">
        <v>14</v>
      </c>
      <c r="C6523" t="s">
        <v>22</v>
      </c>
      <c r="D6523" s="2" t="s">
        <f>=HYPERLINK("https://main.knesset.gov.il/APPS/legislation/main/bills/2198055", "הצעת חוק מס ערך מוסף (תיקון - פטור ממס בגין תרומות לבתי חולים בפריפריה), התשפ""ג-2022")</f>
        <v>12736</v>
      </c>
      <c r="E6523" t="s">
        <v>12736</v>
      </c>
      <c r="F6523" t="s">
        <v>12737</v>
      </c>
      <c r="G6523" t="s">
        <v>14</v>
      </c>
      <c r="H6523">
             </c>
      <c r="I6523" t="s">
        <v>14</v>
      </c>
      <c r="J6523" t="s">
        <v>141</v>
      </c>
      <c r="K6523" t="s">
        <v>14</v>
      </c>
      <c r="L6523" t="s">
        <v>20</v>
      </c>
      <c r="M6523" t="s">
        <v>12596</v>
      </c>
      <c r="N6523" t="s">
        <v>14</v>
      </c>
    </row>
    <row r="6524" x14ac:dyDescent="0.25">
      <c r="A6524" t="n">
        <v>25</v>
      </c>
      <c r="B6524" t="s">
        <v>14</v>
      </c>
      <c r="C6524" t="s">
        <v>22</v>
      </c>
      <c r="D6524" s="2" t="s">
        <f>=HYPERLINK("https://main.knesset.gov.il/APPS/legislation/main/bills/2197080", "הצעת חוק צער בעלי חיים (הגנה על בעלי חיים) (תיקון - איסור ייצוא בעלי חיים לשחיטה לשם שימוש בעורותיהם לתעשיית הקוסמטיקה), התשפ""ג-2022")</f>
        <v>12738</v>
      </c>
      <c r="E6524" t="s">
        <v>12738</v>
      </c>
      <c r="F6524" t="s">
        <v>12739</v>
      </c>
      <c r="G6524" t="s">
        <v>14</v>
      </c>
      <c r="H6524">
             </c>
      <c r="I6524" t="s">
        <v>14</v>
      </c>
      <c r="J6524" t="s">
        <v>141</v>
      </c>
      <c r="K6524" t="s">
        <v>14</v>
      </c>
      <c r="L6524" t="s">
        <v>20</v>
      </c>
      <c r="M6524" t="s">
        <v>12596</v>
      </c>
      <c r="N6524" t="s">
        <v>14</v>
      </c>
    </row>
    <row r="6525" x14ac:dyDescent="0.25">
      <c r="A6525" t="n">
        <v>25</v>
      </c>
      <c r="B6525" t="s">
        <v>14</v>
      </c>
      <c r="C6525" t="s">
        <v>22</v>
      </c>
      <c r="D6525" s="2" t="s">
        <f>=HYPERLINK("https://main.knesset.gov.il/APPS/legislation/main/bills/2198125", "הצעת חוק בתי המשפט (תיקון - הארכת תקופת הצינון והרחבת תחולתה), התשפ""ג-2022")</f>
        <v>12740</v>
      </c>
      <c r="E6525" t="s">
        <v>12740</v>
      </c>
      <c r="F6525" t="s">
        <v>12741</v>
      </c>
      <c r="G6525" t="s">
        <v>14</v>
      </c>
      <c r="H6525">
             </c>
      <c r="I6525" t="s">
        <v>14</v>
      </c>
      <c r="J6525" t="s">
        <v>141</v>
      </c>
      <c r="K6525" t="s">
        <v>14</v>
      </c>
      <c r="L6525" t="s">
        <v>20</v>
      </c>
      <c r="M6525" t="s">
        <v>12596</v>
      </c>
      <c r="N6525" t="s">
        <v>14</v>
      </c>
    </row>
    <row r="6526" x14ac:dyDescent="0.25">
      <c r="A6526" t="n">
        <v>25</v>
      </c>
      <c r="B6526" t="s">
        <v>14</v>
      </c>
      <c r="C6526" t="s">
        <v>22</v>
      </c>
      <c r="D6526" s="2" t="s">
        <f>=HYPERLINK("https://main.knesset.gov.il/APPS/legislation/main/bills/2198329", "הצעת חוק לביטול ההתיישנות בעבירות מין במשפחה (תיקוני חקיקה), התשפ""ג-2022")</f>
        <v>12742</v>
      </c>
      <c r="E6526" t="s">
        <v>12742</v>
      </c>
      <c r="F6526" t="s">
        <v>12743</v>
      </c>
      <c r="G6526" t="s">
        <v>14</v>
      </c>
      <c r="H6526">
             </c>
      <c r="I6526" t="s">
        <v>14</v>
      </c>
      <c r="J6526" t="s">
        <v>141</v>
      </c>
      <c r="K6526" t="s">
        <v>14</v>
      </c>
      <c r="L6526" t="s">
        <v>20</v>
      </c>
      <c r="M6526" t="s">
        <v>12596</v>
      </c>
      <c r="N6526" t="s">
        <v>14</v>
      </c>
    </row>
    <row r="6527" x14ac:dyDescent="0.25">
      <c r="A6527" t="n">
        <v>25</v>
      </c>
      <c r="B6527" t="s">
        <v>14</v>
      </c>
      <c r="C6527" t="s">
        <v>22</v>
      </c>
      <c r="D6527" s="2" t="s">
        <f>=HYPERLINK("https://main.knesset.gov.il/APPS/legislation/main/bills/2197745", "הצעת חוק מס ערך מוסף (תיקון - פטור בעת קניית דירה ראשונה לזוגות צעירים בכל הארץ), התשפ""ג-2022")</f>
        <v>12744</v>
      </c>
      <c r="E6527" t="s">
        <v>12744</v>
      </c>
      <c r="F6527" t="s">
        <v>12745</v>
      </c>
      <c r="G6527" t="s">
        <v>14</v>
      </c>
      <c r="H6527">
             </c>
      <c r="I6527" t="s">
        <v>14</v>
      </c>
      <c r="J6527" t="s">
        <v>141</v>
      </c>
      <c r="K6527" t="s">
        <v>14</v>
      </c>
      <c r="L6527" t="s">
        <v>20</v>
      </c>
      <c r="M6527" t="s">
        <v>12596</v>
      </c>
      <c r="N6527" t="s">
        <v>14</v>
      </c>
    </row>
    <row r="6528" x14ac:dyDescent="0.25">
      <c r="A6528" t="n">
        <v>25</v>
      </c>
      <c r="B6528" t="s">
        <v>14</v>
      </c>
      <c r="C6528" t="s">
        <v>22</v>
      </c>
      <c r="D6528" s="2" t="s">
        <f>=HYPERLINK("https://main.knesset.gov.il/APPS/legislation/main/bills/2197367", "הצעת חוק יישוב סכסוכי עבודה (תיקון - ריכוז מידע על שביתות והשבתות), התשפ""ג-2022")</f>
        <v>12746</v>
      </c>
      <c r="E6528" t="s">
        <v>12746</v>
      </c>
      <c r="F6528" t="s">
        <v>12747</v>
      </c>
      <c r="G6528" t="s">
        <v>14</v>
      </c>
      <c r="H6528">
             </c>
      <c r="I6528" t="s">
        <v>14</v>
      </c>
      <c r="J6528" t="s">
        <v>141</v>
      </c>
      <c r="K6528" t="s">
        <v>14</v>
      </c>
      <c r="L6528" t="s">
        <v>20</v>
      </c>
      <c r="M6528" t="s">
        <v>12596</v>
      </c>
      <c r="N6528" t="s">
        <v>14</v>
      </c>
    </row>
    <row r="6529" x14ac:dyDescent="0.25">
      <c r="A6529" t="n">
        <v>25</v>
      </c>
      <c r="B6529" t="s">
        <v>14</v>
      </c>
      <c r="C6529" t="s">
        <v>22</v>
      </c>
      <c r="D6529" s="2" t="s">
        <f>=HYPERLINK("https://main.knesset.gov.il/APPS/legislation/main/bills/2197345", "הצעת חוק זכויות החולה (תיקון - מתן הסכמה לטיפול רפואי), התשפ""ג-2022")</f>
        <v>12748</v>
      </c>
      <c r="E6529" t="s">
        <v>12748</v>
      </c>
      <c r="F6529" t="s">
        <v>12749</v>
      </c>
      <c r="G6529" t="s">
        <v>14</v>
      </c>
      <c r="H6529">
             </c>
      <c r="I6529" t="s">
        <v>14</v>
      </c>
      <c r="J6529" t="s">
        <v>141</v>
      </c>
      <c r="K6529" t="s">
        <v>14</v>
      </c>
      <c r="L6529" t="s">
        <v>20</v>
      </c>
      <c r="M6529" t="s">
        <v>12596</v>
      </c>
      <c r="N6529" t="s">
        <v>14</v>
      </c>
    </row>
    <row r="6530" x14ac:dyDescent="0.25">
      <c r="A6530" t="n">
        <v>25</v>
      </c>
      <c r="B6530" t="s">
        <v>14</v>
      </c>
      <c r="C6530" t="s">
        <v>22</v>
      </c>
      <c r="D6530" s="2" t="s">
        <f>=HYPERLINK("https://main.knesset.gov.il/APPS/legislation/main/bills/2198082", "הצעת חוק לתיקון פקודת התעבורה (הפעלה של רמזור), התשפ""ג-2022")</f>
        <v>12750</v>
      </c>
      <c r="E6530" t="s">
        <v>12750</v>
      </c>
      <c r="F6530" t="s">
        <v>12751</v>
      </c>
      <c r="G6530" t="s">
        <v>14</v>
      </c>
      <c r="H6530">
             </c>
      <c r="I6530" t="s">
        <v>14</v>
      </c>
      <c r="J6530" t="s">
        <v>141</v>
      </c>
      <c r="K6530" t="s">
        <v>14</v>
      </c>
      <c r="L6530" t="s">
        <v>20</v>
      </c>
      <c r="M6530" t="s">
        <v>12596</v>
      </c>
      <c r="N6530" t="s">
        <v>14</v>
      </c>
    </row>
    <row r="6531" x14ac:dyDescent="0.25">
      <c r="A6531" t="n">
        <v>25</v>
      </c>
      <c r="B6531" t="s">
        <v>14</v>
      </c>
      <c r="C6531" t="s">
        <v>22</v>
      </c>
      <c r="D6531" s="2" t="s">
        <f>=HYPERLINK("https://main.knesset.gov.il/APPS/legislation/main/bills/2197366", "הצעת חוק לתיקון פקודת מס הכנסה (פטור ממס להכנסות קשיש וניכוי הוצאות שכר דירה), התשפ""ג-2022")</f>
        <v>12752</v>
      </c>
      <c r="E6531" t="s">
        <v>12752</v>
      </c>
      <c r="F6531" t="s">
        <v>12753</v>
      </c>
      <c r="G6531" t="s">
        <v>14</v>
      </c>
      <c r="H6531">
             </c>
      <c r="I6531" t="s">
        <v>14</v>
      </c>
      <c r="J6531" t="s">
        <v>141</v>
      </c>
      <c r="K6531" t="s">
        <v>14</v>
      </c>
      <c r="L6531" t="s">
        <v>20</v>
      </c>
      <c r="M6531" t="s">
        <v>12596</v>
      </c>
      <c r="N6531" t="s">
        <v>14</v>
      </c>
    </row>
    <row r="6532" x14ac:dyDescent="0.25">
      <c r="A6532" t="n">
        <v>25</v>
      </c>
      <c r="B6532" t="s">
        <v>14</v>
      </c>
      <c r="C6532" t="s">
        <v>22</v>
      </c>
      <c r="D6532" s="2" t="s">
        <f>=HYPERLINK("https://main.knesset.gov.il/APPS/legislation/main/bills/2197989", "הצעת חוק יום בריאות הנפש, התשפ""ג-2022")</f>
        <v>12754</v>
      </c>
      <c r="E6532" t="s">
        <v>12754</v>
      </c>
      <c r="F6532" t="s">
        <v>12755</v>
      </c>
      <c r="G6532" t="s">
        <v>14</v>
      </c>
      <c r="H6532">
             </c>
      <c r="I6532" t="s">
        <v>14</v>
      </c>
      <c r="J6532" t="s">
        <v>141</v>
      </c>
      <c r="K6532" t="s">
        <v>14</v>
      </c>
      <c r="L6532" t="s">
        <v>20</v>
      </c>
      <c r="M6532" t="s">
        <v>12596</v>
      </c>
      <c r="N6532" t="s">
        <v>14</v>
      </c>
    </row>
    <row r="6533" x14ac:dyDescent="0.25">
      <c r="A6533" t="n">
        <v>25</v>
      </c>
      <c r="B6533" t="s">
        <v>14</v>
      </c>
      <c r="C6533" t="s">
        <v>22</v>
      </c>
      <c r="D6533" s="2" t="s">
        <f>=HYPERLINK("https://main.knesset.gov.il/APPS/legislation/main/bills/2197365", "הצעת חוק להארכת מועד לקבלת דברי דואר (הוראת שעה), התשפ""ג-2022")</f>
        <v>12756</v>
      </c>
      <c r="E6533" t="s">
        <v>12756</v>
      </c>
      <c r="F6533" t="s">
        <v>12757</v>
      </c>
      <c r="G6533" t="s">
        <v>14</v>
      </c>
      <c r="H6533">
             </c>
      <c r="I6533" t="s">
        <v>14</v>
      </c>
      <c r="J6533" t="s">
        <v>141</v>
      </c>
      <c r="K6533" t="s">
        <v>14</v>
      </c>
      <c r="L6533" t="s">
        <v>20</v>
      </c>
      <c r="M6533" t="s">
        <v>12596</v>
      </c>
      <c r="N6533" t="s">
        <v>14</v>
      </c>
    </row>
    <row r="6534" x14ac:dyDescent="0.25">
      <c r="A6534" t="n">
        <v>25</v>
      </c>
      <c r="B6534" t="s">
        <v>14</v>
      </c>
      <c r="C6534" t="s">
        <v>22</v>
      </c>
      <c r="D6534" s="2" t="s">
        <f>=HYPERLINK("https://main.knesset.gov.il/APPS/legislation/main/bills/2197262", "הצעת חוק משק החשמל (תיקון - גביית תשלומים), התשפ""ג-2022")</f>
        <v>12758</v>
      </c>
      <c r="E6534" t="s">
        <v>12758</v>
      </c>
      <c r="F6534" t="s">
        <v>12759</v>
      </c>
      <c r="G6534" t="s">
        <v>14</v>
      </c>
      <c r="H6534">
             </c>
      <c r="I6534" t="s">
        <v>14</v>
      </c>
      <c r="J6534" t="s">
        <v>141</v>
      </c>
      <c r="K6534" t="s">
        <v>14</v>
      </c>
      <c r="L6534" t="s">
        <v>20</v>
      </c>
      <c r="M6534" t="s">
        <v>12596</v>
      </c>
      <c r="N6534" t="s">
        <v>14</v>
      </c>
    </row>
    <row r="6535" x14ac:dyDescent="0.25">
      <c r="A6535" t="n">
        <v>25</v>
      </c>
      <c r="B6535" t="s">
        <v>14</v>
      </c>
      <c r="C6535" t="s">
        <v>22</v>
      </c>
      <c r="D6535" s="2" t="s">
        <f>=HYPERLINK("https://main.knesset.gov.il/APPS/legislation/main/bills/2197337", "הצעת חוק הגנת הצרכן (תיקון - חובת פרסום שם יצרן ודגם מוצר), התשפ""ג-2022")</f>
        <v>12760</v>
      </c>
      <c r="E6535" t="s">
        <v>12760</v>
      </c>
      <c r="F6535" t="s">
        <v>12761</v>
      </c>
      <c r="G6535" t="s">
        <v>14</v>
      </c>
      <c r="H6535">
             </c>
      <c r="I6535" t="s">
        <v>14</v>
      </c>
      <c r="J6535" t="s">
        <v>141</v>
      </c>
      <c r="K6535" t="s">
        <v>14</v>
      </c>
      <c r="L6535" t="s">
        <v>20</v>
      </c>
      <c r="M6535" t="s">
        <v>12596</v>
      </c>
      <c r="N6535" t="s">
        <v>14</v>
      </c>
    </row>
    <row r="6536" x14ac:dyDescent="0.25">
      <c r="A6536" t="n">
        <v>25</v>
      </c>
      <c r="B6536" t="s">
        <v>14</v>
      </c>
      <c r="C6536" t="s">
        <v>22</v>
      </c>
      <c r="D6536" s="2" t="s">
        <f>=HYPERLINK("https://main.knesset.gov.il/APPS/legislation/main/bills/2197199", "הצעת חוק ביטוח בריאות ממלכתי (תיקון - החזר דמי נסיעות והסעות לטיפולי אונקולוגיה ודיאליזה), התשפ""ג-2022")</f>
        <v>12762</v>
      </c>
      <c r="E6536" t="s">
        <v>12762</v>
      </c>
      <c r="F6536" t="s">
        <v>12763</v>
      </c>
      <c r="G6536" t="s">
        <v>14</v>
      </c>
      <c r="H6536">
             </c>
      <c r="I6536" t="s">
        <v>14</v>
      </c>
      <c r="J6536" t="s">
        <v>141</v>
      </c>
      <c r="K6536" t="s">
        <v>14</v>
      </c>
      <c r="L6536" t="s">
        <v>20</v>
      </c>
      <c r="M6536" t="s">
        <v>12596</v>
      </c>
      <c r="N6536" t="s">
        <v>14</v>
      </c>
    </row>
    <row r="6537" x14ac:dyDescent="0.25">
      <c r="A6537" t="n">
        <v>25</v>
      </c>
      <c r="B6537" t="s">
        <v>14</v>
      </c>
      <c r="C6537" t="s">
        <v>22</v>
      </c>
      <c r="D6537" s="2" t="s">
        <f>=HYPERLINK("https://main.knesset.gov.il/APPS/legislation/main/bills/2197197", "הצעת חוק הגנת הצרכן (תיקון - מענה אנושי בשירות טלפוני לאזרח ותיק), התשפ""ג-2022")</f>
        <v>12764</v>
      </c>
      <c r="E6537" t="s">
        <v>12764</v>
      </c>
      <c r="F6537" t="s">
        <v>12765</v>
      </c>
      <c r="G6537" t="s">
        <v>14</v>
      </c>
      <c r="H6537">
             </c>
      <c r="I6537" t="s">
        <v>14</v>
      </c>
      <c r="J6537" t="s">
        <v>141</v>
      </c>
      <c r="K6537" t="s">
        <v>14</v>
      </c>
      <c r="L6537" t="s">
        <v>20</v>
      </c>
      <c r="M6537" t="s">
        <v>12596</v>
      </c>
      <c r="N6537" t="s">
        <v>14</v>
      </c>
    </row>
    <row r="6538" x14ac:dyDescent="0.25">
      <c r="A6538" t="n">
        <v>25</v>
      </c>
      <c r="B6538" t="s">
        <v>14</v>
      </c>
      <c r="C6538" t="s">
        <v>22</v>
      </c>
      <c r="D6538" s="2" t="s">
        <f>=HYPERLINK("https://main.knesset.gov.il/APPS/legislation/main/bills/2197766", "הצעת חוק לתיקון פקודת מס הכנסה (ניכוי בגין הוצאות טיפול בילדים), התשפ""ג-2022")</f>
        <v>12766</v>
      </c>
      <c r="E6538" t="s">
        <v>12766</v>
      </c>
      <c r="F6538" t="s">
        <v>12767</v>
      </c>
      <c r="G6538" t="s">
        <v>14</v>
      </c>
      <c r="H6538">
             </c>
      <c r="I6538" t="s">
        <v>14</v>
      </c>
      <c r="J6538" t="s">
        <v>141</v>
      </c>
      <c r="K6538" t="s">
        <v>14</v>
      </c>
      <c r="L6538" t="s">
        <v>20</v>
      </c>
      <c r="M6538" t="s">
        <v>12596</v>
      </c>
      <c r="N6538" t="s">
        <v>14</v>
      </c>
    </row>
    <row r="6539" x14ac:dyDescent="0.25">
      <c r="A6539" t="n">
        <v>25</v>
      </c>
      <c r="B6539" t="s">
        <v>14</v>
      </c>
      <c r="C6539" t="s">
        <v>22</v>
      </c>
      <c r="D6539" s="2" t="s">
        <f>=HYPERLINK("https://main.knesset.gov.il/APPS/legislation/main/bills/2197762", "הצעת חוק עבודת נשים (תיקון - הארכת תקופת לידה והורות בתשלום), התשפ""ג-2022")</f>
        <v>12768</v>
      </c>
      <c r="E6539" t="s">
        <v>12768</v>
      </c>
      <c r="F6539" t="s">
        <v>12769</v>
      </c>
      <c r="G6539" t="s">
        <v>14</v>
      </c>
      <c r="H6539">
             </c>
      <c r="I6539" t="s">
        <v>14</v>
      </c>
      <c r="J6539" t="s">
        <v>141</v>
      </c>
      <c r="K6539" t="s">
        <v>14</v>
      </c>
      <c r="L6539" t="s">
        <v>20</v>
      </c>
      <c r="M6539" t="s">
        <v>12596</v>
      </c>
      <c r="N6539" t="s">
        <v>14</v>
      </c>
    </row>
    <row r="6540" x14ac:dyDescent="0.25">
      <c r="A6540" t="n">
        <v>25</v>
      </c>
      <c r="B6540" t="s">
        <v>14</v>
      </c>
      <c r="C6540" t="s">
        <v>22</v>
      </c>
      <c r="D6540" s="2" t="s">
        <f>=HYPERLINK("https://main.knesset.gov.il/APPS/legislation/main/bills/2197357", "הצעת חוק האזרחים הוותיקים (תיקון - לחצן מצוקה לקשיש), התשפ""ג-2022")</f>
        <v>12770</v>
      </c>
      <c r="E6540" t="s">
        <v>12770</v>
      </c>
      <c r="F6540" t="s">
        <v>12771</v>
      </c>
      <c r="G6540" t="s">
        <v>14</v>
      </c>
      <c r="H6540">
             </c>
      <c r="I6540" t="s">
        <v>14</v>
      </c>
      <c r="J6540" t="s">
        <v>141</v>
      </c>
      <c r="K6540" t="s">
        <v>14</v>
      </c>
      <c r="L6540" t="s">
        <v>20</v>
      </c>
      <c r="M6540" t="s">
        <v>12596</v>
      </c>
      <c r="N6540" t="s">
        <v>14</v>
      </c>
    </row>
    <row r="6541" x14ac:dyDescent="0.25">
      <c r="A6541" t="n">
        <v>25</v>
      </c>
      <c r="B6541" t="s">
        <v>14</v>
      </c>
      <c r="C6541" t="s">
        <v>22</v>
      </c>
      <c r="D6541" s="2" t="s">
        <f>=HYPERLINK("https://main.knesset.gov.il/APPS/legislation/main/bills/2197292", "הצעת חוק לתיקון פקודת התעבורה (הסדר ארצי אחיד לעניין גרירת רכב), התשפ""ג-2022")</f>
        <v>12772</v>
      </c>
      <c r="E6541" t="s">
        <v>12772</v>
      </c>
      <c r="F6541" t="s">
        <v>12773</v>
      </c>
      <c r="G6541" t="s">
        <v>14</v>
      </c>
      <c r="H6541">
             </c>
      <c r="I6541" t="s">
        <v>14</v>
      </c>
      <c r="J6541" t="s">
        <v>141</v>
      </c>
      <c r="K6541" t="s">
        <v>14</v>
      </c>
      <c r="L6541" t="s">
        <v>20</v>
      </c>
      <c r="M6541" t="s">
        <v>12596</v>
      </c>
      <c r="N6541" t="s">
        <v>14</v>
      </c>
    </row>
    <row r="6542" x14ac:dyDescent="0.25">
      <c r="A6542" t="n">
        <v>25</v>
      </c>
      <c r="B6542" t="s">
        <v>14</v>
      </c>
      <c r="C6542" t="s">
        <v>22</v>
      </c>
      <c r="D6542" s="2" t="s">
        <f>=HYPERLINK("https://main.knesset.gov.il/APPS/legislation/main/bills/2197720", "הצעת חוק הכשרות לאנשי מקצוע בנושא זיהוי ודיווח על התעללות בקטין או בחסר ישע, התשפ""ג-2022")</f>
        <v>12774</v>
      </c>
      <c r="E6542" t="s">
        <v>12774</v>
      </c>
      <c r="F6542" t="s">
        <v>12775</v>
      </c>
      <c r="G6542" t="s">
        <v>14</v>
      </c>
      <c r="H6542">
             </c>
      <c r="I6542" t="s">
        <v>14</v>
      </c>
      <c r="J6542" t="s">
        <v>141</v>
      </c>
      <c r="K6542" t="s">
        <v>14</v>
      </c>
      <c r="L6542" t="s">
        <v>20</v>
      </c>
      <c r="M6542" t="s">
        <v>12596</v>
      </c>
      <c r="N6542" t="s">
        <v>14</v>
      </c>
    </row>
    <row r="6543" x14ac:dyDescent="0.25">
      <c r="A6543" t="n">
        <v>25</v>
      </c>
      <c r="B6543" t="s">
        <v>14</v>
      </c>
      <c r="C6543" t="s">
        <v>22</v>
      </c>
      <c r="D6543" s="2" t="s">
        <f>=HYPERLINK("https://main.knesset.gov.il/APPS/legislation/main/bills/2197846", "הצעת חוק לביטול ההתיישנות בעבירות מין (תיקוני חקיקה), התשפ""ג-2022")</f>
        <v>12776</v>
      </c>
      <c r="E6543" t="s">
        <v>12776</v>
      </c>
      <c r="F6543" t="s">
        <v>12777</v>
      </c>
      <c r="G6543" t="s">
        <v>14</v>
      </c>
      <c r="H6543">
             </c>
      <c r="I6543" t="s">
        <v>14</v>
      </c>
      <c r="J6543" t="s">
        <v>141</v>
      </c>
      <c r="K6543" t="s">
        <v>14</v>
      </c>
      <c r="L6543" t="s">
        <v>20</v>
      </c>
      <c r="M6543" t="s">
        <v>12596</v>
      </c>
      <c r="N6543" t="s">
        <v>14</v>
      </c>
    </row>
    <row r="6544" x14ac:dyDescent="0.25">
      <c r="A6544" t="n">
        <v>25</v>
      </c>
      <c r="B6544" t="s">
        <v>14</v>
      </c>
      <c r="C6544" t="s">
        <v>22</v>
      </c>
      <c r="D6544" s="2" t="s">
        <f>=HYPERLINK("https://main.knesset.gov.il/APPS/legislation/main/bills/2196849", "הצעת חוק הלוואה מותנית ללימוד נהיגה, התשפ""ג-2022 ")</f>
        <v>12778</v>
      </c>
      <c r="E6544" t="s">
        <v>12778</v>
      </c>
      <c r="F6544" t="s">
        <v>12779</v>
      </c>
      <c r="G6544" t="s">
        <v>14</v>
      </c>
      <c r="H6544">
             </c>
      <c r="I6544" t="s">
        <v>14</v>
      </c>
      <c r="J6544" t="s">
        <v>141</v>
      </c>
      <c r="K6544" t="s">
        <v>14</v>
      </c>
      <c r="L6544" t="s">
        <v>20</v>
      </c>
      <c r="M6544" t="s">
        <v>12596</v>
      </c>
      <c r="N6544" t="s">
        <v>14</v>
      </c>
    </row>
    <row r="6545" x14ac:dyDescent="0.25">
      <c r="A6545" t="n">
        <v>25</v>
      </c>
      <c r="B6545" t="s">
        <v>14</v>
      </c>
      <c r="C6545" t="s">
        <v>22</v>
      </c>
      <c r="D6545" s="2" t="s">
        <f>=HYPERLINK("https://main.knesset.gov.il/APPS/legislation/main/bills/2197647", "הצעת חוק השיפוט הצבאי (תיקון - פקודת מעצר), התשפ""ג-2022")</f>
        <v>12780</v>
      </c>
      <c r="E6545" t="s">
        <v>12780</v>
      </c>
      <c r="F6545" t="s">
        <v>12781</v>
      </c>
      <c r="G6545" t="s">
        <v>14</v>
      </c>
      <c r="H6545">
             </c>
      <c r="I6545" t="s">
        <v>14</v>
      </c>
      <c r="J6545" t="s">
        <v>141</v>
      </c>
      <c r="K6545" t="s">
        <v>14</v>
      </c>
      <c r="L6545" t="s">
        <v>20</v>
      </c>
      <c r="M6545" t="s">
        <v>12596</v>
      </c>
      <c r="N6545" t="s">
        <v>14</v>
      </c>
    </row>
    <row r="6546" x14ac:dyDescent="0.25">
      <c r="A6546" t="n">
        <v>25</v>
      </c>
      <c r="B6546" t="s">
        <v>14</v>
      </c>
      <c r="C6546" t="s">
        <v>22</v>
      </c>
      <c r="D6546" s="2" t="s">
        <f>=HYPERLINK("https://main.knesset.gov.il/APPS/legislation/main/bills/2197721", "הצעת חוק עיטור הפציעה הקרבית, התשפ""ג-2022")</f>
        <v>12782</v>
      </c>
      <c r="E6546" t="s">
        <v>12782</v>
      </c>
      <c r="F6546" t="s">
        <v>12783</v>
      </c>
      <c r="G6546" t="s">
        <v>14</v>
      </c>
      <c r="H6546">
             </c>
      <c r="I6546" t="s">
        <v>14</v>
      </c>
      <c r="J6546" t="s">
        <v>141</v>
      </c>
      <c r="K6546" t="s">
        <v>14</v>
      </c>
      <c r="L6546" t="s">
        <v>20</v>
      </c>
      <c r="M6546" t="s">
        <v>12596</v>
      </c>
      <c r="N6546" t="s">
        <v>14</v>
      </c>
    </row>
    <row r="6547" x14ac:dyDescent="0.25">
      <c r="A6547" t="n">
        <v>25</v>
      </c>
      <c r="B6547" t="s">
        <v>14</v>
      </c>
      <c r="C6547" t="s">
        <v>22</v>
      </c>
      <c r="D6547" s="2" t="s">
        <f>=HYPERLINK("https://main.knesset.gov.il/APPS/legislation/main/bills/2197587", "הצעת חוק יום ירושלים (תיקון - יום שבתון), התשפ""ג-2022")</f>
        <v>12784</v>
      </c>
      <c r="E6547" t="s">
        <v>12784</v>
      </c>
      <c r="F6547" t="s">
        <v>12785</v>
      </c>
      <c r="G6547" t="s">
        <v>14</v>
      </c>
      <c r="H6547">
             </c>
      <c r="I6547" t="s">
        <v>14</v>
      </c>
      <c r="J6547" t="s">
        <v>141</v>
      </c>
      <c r="K6547" t="s">
        <v>14</v>
      </c>
      <c r="L6547" t="s">
        <v>20</v>
      </c>
      <c r="M6547" t="s">
        <v>12596</v>
      </c>
      <c r="N6547" t="s">
        <v>14</v>
      </c>
    </row>
    <row r="6548" x14ac:dyDescent="0.25">
      <c r="A6548" t="n">
        <v>25</v>
      </c>
      <c r="B6548" t="s">
        <v>14</v>
      </c>
      <c r="C6548" t="s">
        <v>22</v>
      </c>
      <c r="D6548" s="2" t="s">
        <f>=HYPERLINK("https://main.knesset.gov.il/APPS/legislation/main/bills/2197934", "הצעת חוק בתי המשפט (תיקון - רוב רגיל למינוי שופט בית המשפט העליון), התשפ""ג-2022")</f>
        <v>12786</v>
      </c>
      <c r="E6548" t="s">
        <v>12786</v>
      </c>
      <c r="F6548" t="s">
        <v>12787</v>
      </c>
      <c r="G6548" t="s">
        <v>14</v>
      </c>
      <c r="H6548">
             </c>
      <c r="I6548" t="s">
        <v>14</v>
      </c>
      <c r="J6548" t="s">
        <v>141</v>
      </c>
      <c r="K6548" t="s">
        <v>14</v>
      </c>
      <c r="L6548" t="s">
        <v>20</v>
      </c>
      <c r="M6548" t="s">
        <v>12596</v>
      </c>
      <c r="N6548" t="s">
        <v>14</v>
      </c>
    </row>
    <row r="6549" x14ac:dyDescent="0.25">
      <c r="A6549" t="n">
        <v>25</v>
      </c>
      <c r="B6549" t="s">
        <v>14</v>
      </c>
      <c r="C6549" t="s">
        <v>22</v>
      </c>
      <c r="D6549" s="2" t="s">
        <f>=HYPERLINK("https://main.knesset.gov.il/APPS/legislation/main/bills/2196064", "הצעת חוק רישוי סוכני אונייה, התשפ""ג-2022")</f>
        <v>12788</v>
      </c>
      <c r="E6549" t="s">
        <v>12788</v>
      </c>
      <c r="F6549" t="s">
        <v>12789</v>
      </c>
      <c r="G6549" t="s">
        <v>14</v>
      </c>
      <c r="H6549">
             </c>
      <c r="I6549" t="s">
        <v>14</v>
      </c>
      <c r="J6549" t="s">
        <v>141</v>
      </c>
      <c r="K6549" t="s">
        <v>14</v>
      </c>
      <c r="L6549" t="s">
        <v>20</v>
      </c>
      <c r="M6549" t="s">
        <v>12596</v>
      </c>
      <c r="N6549" t="s">
        <v>14</v>
      </c>
    </row>
    <row r="6550" x14ac:dyDescent="0.25">
      <c r="A6550" t="n">
        <v>25</v>
      </c>
      <c r="B6550" t="s">
        <v>14</v>
      </c>
      <c r="C6550" t="s">
        <v>22</v>
      </c>
      <c r="D6550" s="2" t="s">
        <f>=HYPERLINK("https://main.knesset.gov.il/APPS/legislation/main/bills/2195964", "הצעת חוק דמי מחלה (היעדרות בשל מחלת ילד) (תיקון - היעדרות בשל אשפוז ילד), התשפ""ג-2022")</f>
        <v>12790</v>
      </c>
      <c r="E6550" t="s">
        <v>12790</v>
      </c>
      <c r="F6550" t="s">
        <v>12791</v>
      </c>
      <c r="G6550" t="s">
        <v>14</v>
      </c>
      <c r="H6550">
             </c>
      <c r="I6550" t="s">
        <v>14</v>
      </c>
      <c r="J6550" t="s">
        <v>141</v>
      </c>
      <c r="K6550" t="s">
        <v>14</v>
      </c>
      <c r="L6550" t="s">
        <v>20</v>
      </c>
      <c r="M6550" t="s">
        <v>12596</v>
      </c>
      <c r="N6550" t="s">
        <v>14</v>
      </c>
    </row>
    <row r="6551" x14ac:dyDescent="0.25">
      <c r="A6551" t="n">
        <v>25</v>
      </c>
      <c r="B6551" t="s">
        <v>14</v>
      </c>
      <c r="C6551" t="s">
        <v>22</v>
      </c>
      <c r="D6551" s="2" t="s">
        <f>=HYPERLINK("https://main.knesset.gov.il/APPS/legislation/main/bills/2197483", "הצעת חוק הרשות לקידום מעמד האישה (תיקון - הרשות לקידום מעמד האישה ושוויון מגדרי), התשפ""ג-2022")</f>
        <v>12792</v>
      </c>
      <c r="E6551" t="s">
        <v>12792</v>
      </c>
      <c r="F6551" t="s">
        <v>12793</v>
      </c>
      <c r="G6551" t="s">
        <v>14</v>
      </c>
      <c r="H6551">
             </c>
      <c r="I6551" t="s">
        <v>14</v>
      </c>
      <c r="J6551" t="s">
        <v>141</v>
      </c>
      <c r="K6551" t="s">
        <v>14</v>
      </c>
      <c r="L6551" t="s">
        <v>20</v>
      </c>
      <c r="M6551" t="s">
        <v>12596</v>
      </c>
      <c r="N6551" t="s">
        <v>14</v>
      </c>
    </row>
    <row r="6552" x14ac:dyDescent="0.25">
      <c r="A6552" t="n">
        <v>25</v>
      </c>
      <c r="B6552" t="s">
        <v>14</v>
      </c>
      <c r="C6552" t="s">
        <v>22</v>
      </c>
      <c r="D6552" s="2" t="s">
        <f>=HYPERLINK("https://main.knesset.gov.il/APPS/legislation/main/bills/2197580", "הצעת חוק לתיקון פקודת בתי הסוהר (פיקוח על ערוצי טלויזיה ורדיו), התשפ""ג-2022")</f>
        <v>12794</v>
      </c>
      <c r="E6552" t="s">
        <v>12794</v>
      </c>
      <c r="F6552" t="s">
        <v>12795</v>
      </c>
      <c r="G6552" t="s">
        <v>14</v>
      </c>
      <c r="H6552">
             </c>
      <c r="I6552" t="s">
        <v>14</v>
      </c>
      <c r="J6552" t="s">
        <v>141</v>
      </c>
      <c r="K6552" t="s">
        <v>14</v>
      </c>
      <c r="L6552" t="s">
        <v>20</v>
      </c>
      <c r="M6552" t="s">
        <v>12596</v>
      </c>
      <c r="N6552" t="s">
        <v>14</v>
      </c>
    </row>
    <row r="6553" x14ac:dyDescent="0.25">
      <c r="A6553" t="n">
        <v>25</v>
      </c>
      <c r="B6553" t="s">
        <v>14</v>
      </c>
      <c r="C6553" t="s">
        <v>22</v>
      </c>
      <c r="D6553" s="2" t="s">
        <f>=HYPERLINK("https://main.knesset.gov.il/APPS/legislation/main/bills/2197574", "הצעת חוק לתיקון פקודת בתי הסוהר (טיפול אינדיבידואלי באסיר ביטחוני), התשפ""ג-2022")</f>
        <v>12796</v>
      </c>
      <c r="E6553" t="s">
        <v>12796</v>
      </c>
      <c r="F6553" t="s">
        <v>12797</v>
      </c>
      <c r="G6553" t="s">
        <v>14</v>
      </c>
      <c r="H6553">
             </c>
      <c r="I6553" t="s">
        <v>14</v>
      </c>
      <c r="J6553" t="s">
        <v>141</v>
      </c>
      <c r="K6553" t="s">
        <v>14</v>
      </c>
      <c r="L6553" t="s">
        <v>20</v>
      </c>
      <c r="M6553" t="s">
        <v>12596</v>
      </c>
      <c r="N6553" t="s">
        <v>14</v>
      </c>
    </row>
    <row r="6554" x14ac:dyDescent="0.25">
      <c r="A6554" t="n">
        <v>25</v>
      </c>
      <c r="B6554" t="s">
        <v>14</v>
      </c>
      <c r="C6554" t="s">
        <v>22</v>
      </c>
      <c r="D6554" s="2" t="s">
        <f>=HYPERLINK("https://main.knesset.gov.il/APPS/legislation/main/bills/2197298", "הצעת חוק הביטוח הלאומי (תיקון - גמלה בשל דיכאון לאחר לידה), התשפ""ג-2022")</f>
        <v>12798</v>
      </c>
      <c r="E6554" t="s">
        <v>12798</v>
      </c>
      <c r="F6554" t="s">
        <v>12799</v>
      </c>
      <c r="G6554" t="s">
        <v>14</v>
      </c>
      <c r="H6554">
             </c>
      <c r="I6554" t="s">
        <v>14</v>
      </c>
      <c r="J6554" t="s">
        <v>141</v>
      </c>
      <c r="K6554" t="s">
        <v>14</v>
      </c>
      <c r="L6554" t="s">
        <v>20</v>
      </c>
      <c r="M6554" t="s">
        <v>12596</v>
      </c>
      <c r="N6554" t="s">
        <v>14</v>
      </c>
    </row>
    <row r="6555" x14ac:dyDescent="0.25">
      <c r="A6555" t="n">
        <v>25</v>
      </c>
      <c r="B6555" t="s">
        <v>14</v>
      </c>
      <c r="C6555" t="s">
        <v>22</v>
      </c>
      <c r="D6555" s="2" t="s">
        <f>=HYPERLINK("https://main.knesset.gov.il/APPS/legislation/main/bills/2197630", "הצעת חוק העתיקות (תיקון - הודעה ומחיקת הערה בפנקסי המקרקעין), התשפ""ג-2022")</f>
        <v>12800</v>
      </c>
      <c r="E6555" t="s">
        <v>12800</v>
      </c>
      <c r="F6555" t="s">
        <v>12801</v>
      </c>
      <c r="G6555" t="s">
        <v>14</v>
      </c>
      <c r="H6555">
             </c>
      <c r="I6555" t="s">
        <v>14</v>
      </c>
      <c r="J6555" t="s">
        <v>141</v>
      </c>
      <c r="K6555" t="s">
        <v>14</v>
      </c>
      <c r="L6555" t="s">
        <v>20</v>
      </c>
      <c r="M6555" t="s">
        <v>12596</v>
      </c>
      <c r="N6555" t="s">
        <v>14</v>
      </c>
    </row>
    <row r="6556" x14ac:dyDescent="0.25">
      <c r="A6556" t="n">
        <v>25</v>
      </c>
      <c r="B6556" t="s">
        <v>14</v>
      </c>
      <c r="C6556" t="s">
        <v>22</v>
      </c>
      <c r="D6556" s="2" t="s">
        <f>=HYPERLINK("https://main.knesset.gov.il/APPS/legislation/main/bills/2197631", "הצעת חוק מס ערך מוסף (תיקון - מס בשיעור אפס על מוצרי היגיינה נשית), התשפ""ג-2022")</f>
        <v>12802</v>
      </c>
      <c r="E6556" t="s">
        <v>12802</v>
      </c>
      <c r="F6556" t="s">
        <v>12803</v>
      </c>
      <c r="G6556" t="s">
        <v>14</v>
      </c>
      <c r="H6556">
             </c>
      <c r="I6556" t="s">
        <v>14</v>
      </c>
      <c r="J6556" t="s">
        <v>141</v>
      </c>
      <c r="K6556" t="s">
        <v>14</v>
      </c>
      <c r="L6556" t="s">
        <v>20</v>
      </c>
      <c r="M6556" t="s">
        <v>12596</v>
      </c>
      <c r="N6556" t="s">
        <v>14</v>
      </c>
    </row>
    <row r="6557" x14ac:dyDescent="0.25">
      <c r="A6557" t="n">
        <v>25</v>
      </c>
      <c r="B6557" t="s">
        <v>14</v>
      </c>
      <c r="C6557" t="s">
        <v>22</v>
      </c>
      <c r="D6557" s="2" t="s">
        <f>=HYPERLINK("https://main.knesset.gov.il/APPS/legislation/main/bills/2197443", "הצעת חוק להקמת קרן למוצרי מזון בריא, התשפ''ג-2022")</f>
        <v>12804</v>
      </c>
      <c r="E6557" t="s">
        <v>12804</v>
      </c>
      <c r="F6557" t="s">
        <v>12805</v>
      </c>
      <c r="G6557" t="s">
        <v>14</v>
      </c>
      <c r="H6557">
             </c>
      <c r="I6557" t="s">
        <v>14</v>
      </c>
      <c r="J6557" t="s">
        <v>141</v>
      </c>
      <c r="K6557" t="s">
        <v>14</v>
      </c>
      <c r="L6557" t="s">
        <v>20</v>
      </c>
      <c r="M6557" t="s">
        <v>12596</v>
      </c>
      <c r="N6557" t="s">
        <v>14</v>
      </c>
    </row>
    <row r="6558" x14ac:dyDescent="0.25">
      <c r="A6558" t="n">
        <v>25</v>
      </c>
      <c r="B6558" t="s">
        <v>14</v>
      </c>
      <c r="C6558" t="s">
        <v>22</v>
      </c>
      <c r="D6558" s="2" t="s">
        <f>=HYPERLINK("https://main.knesset.gov.il/APPS/legislation/main/bills/2197151", "הצעת חוק הבנקאות (שירות ללקוח) (תיקון - קיצור משך זמן לביטול שעבוד), התשפ""ג-2022")</f>
        <v>12806</v>
      </c>
      <c r="E6558" t="s">
        <v>12806</v>
      </c>
      <c r="F6558" t="s">
        <v>12807</v>
      </c>
      <c r="G6558" t="s">
        <v>14</v>
      </c>
      <c r="H6558">
             </c>
      <c r="I6558" t="s">
        <v>14</v>
      </c>
      <c r="J6558" t="s">
        <v>141</v>
      </c>
      <c r="K6558" t="s">
        <v>14</v>
      </c>
      <c r="L6558" t="s">
        <v>20</v>
      </c>
      <c r="M6558" t="s">
        <v>12596</v>
      </c>
      <c r="N6558" t="s">
        <v>14</v>
      </c>
    </row>
    <row r="6559" x14ac:dyDescent="0.25">
      <c r="A6559" t="n">
        <v>25</v>
      </c>
      <c r="B6559" t="s">
        <v>14</v>
      </c>
      <c r="C6559" t="s">
        <v>22</v>
      </c>
      <c r="D6559" s="2" t="s">
        <f>=HYPERLINK("https://main.knesset.gov.il/APPS/legislation/main/bills/2196859", "הצעת חוק הבנקאות (שירות ללקוח) (תיקון - הפחתת יוקר תשלומי הלוואה לדיור), התשפ""ג-2022")</f>
        <v>12808</v>
      </c>
      <c r="E6559" t="s">
        <v>12808</v>
      </c>
      <c r="F6559" t="s">
        <v>12809</v>
      </c>
      <c r="G6559" t="s">
        <v>14</v>
      </c>
      <c r="H6559">
             </c>
      <c r="I6559" t="s">
        <v>14</v>
      </c>
      <c r="J6559" t="s">
        <v>141</v>
      </c>
      <c r="K6559" t="s">
        <v>14</v>
      </c>
      <c r="L6559" t="s">
        <v>20</v>
      </c>
      <c r="M6559" t="s">
        <v>12596</v>
      </c>
      <c r="N6559" t="s">
        <v>14</v>
      </c>
    </row>
    <row r="6560" x14ac:dyDescent="0.25">
      <c r="A6560" t="n">
        <v>25</v>
      </c>
      <c r="B6560" t="s">
        <v>14</v>
      </c>
      <c r="C6560" t="s">
        <v>22</v>
      </c>
      <c r="D6560" s="2" t="s">
        <f>=HYPERLINK("https://main.knesset.gov.il/APPS/legislation/main/bills/2196843", "הצעת חוק המועצה להשכלה גבוהה (תיקון - איסור הנפת דגל של ישות עוינת במוסד מוכר), התשפ""ג-2022")</f>
        <v>12810</v>
      </c>
      <c r="E6560" t="s">
        <v>12810</v>
      </c>
      <c r="F6560" t="s">
        <v>12811</v>
      </c>
      <c r="G6560" t="s">
        <v>14</v>
      </c>
      <c r="H6560">
             </c>
      <c r="I6560" t="s">
        <v>14</v>
      </c>
      <c r="J6560" t="s">
        <v>141</v>
      </c>
      <c r="K6560" t="s">
        <v>14</v>
      </c>
      <c r="L6560" t="s">
        <v>20</v>
      </c>
      <c r="M6560" t="s">
        <v>12596</v>
      </c>
      <c r="N6560" t="s">
        <v>14</v>
      </c>
    </row>
    <row r="6561" x14ac:dyDescent="0.25">
      <c r="A6561" t="n">
        <v>25</v>
      </c>
      <c r="B6561" t="s">
        <v>14</v>
      </c>
      <c r="C6561" t="s">
        <v>22</v>
      </c>
      <c r="D6561" s="2" t="s">
        <f>=HYPERLINK("https://main.knesset.gov.il/APPS/legislation/main/bills/2195962", "הצעת חוק העונשין (תיקון - גזענות נגד קבוצה דתית), התשפ""ג-2022")</f>
        <v>8101</v>
      </c>
      <c r="E6561" t="s">
        <v>8101</v>
      </c>
      <c r="F6561" t="s">
        <v>12812</v>
      </c>
      <c r="G6561" t="s">
        <v>14</v>
      </c>
      <c r="H6561">
             </c>
      <c r="I6561" t="s">
        <v>14</v>
      </c>
      <c r="J6561" t="s">
        <v>141</v>
      </c>
      <c r="K6561" t="s">
        <v>14</v>
      </c>
      <c r="L6561" t="s">
        <v>20</v>
      </c>
      <c r="M6561" t="s">
        <v>12596</v>
      </c>
      <c r="N6561" t="s">
        <v>14</v>
      </c>
    </row>
    <row r="6562" x14ac:dyDescent="0.25">
      <c r="A6562" t="n">
        <v>25</v>
      </c>
      <c r="B6562" t="s">
        <v>14</v>
      </c>
      <c r="C6562" t="s">
        <v>22</v>
      </c>
      <c r="D6562" s="2" t="s">
        <f>=HYPERLINK("https://main.knesset.gov.il/APPS/legislation/main/bills/2195961", "הצעת חוק להגברת האכיפה של דיני העבודה (תיקון - הפרות בטיחות בעבודה בתחום הבנייה), התשפ""ג-2022")</f>
        <v>12813</v>
      </c>
      <c r="E6562" t="s">
        <v>12813</v>
      </c>
      <c r="F6562" t="s">
        <v>12814</v>
      </c>
      <c r="G6562" t="s">
        <v>14</v>
      </c>
      <c r="H6562">
             </c>
      <c r="I6562" t="s">
        <v>14</v>
      </c>
      <c r="J6562" t="s">
        <v>141</v>
      </c>
      <c r="K6562" t="s">
        <v>14</v>
      </c>
      <c r="L6562" t="s">
        <v>20</v>
      </c>
      <c r="M6562" t="s">
        <v>12596</v>
      </c>
      <c r="N6562" t="s">
        <v>14</v>
      </c>
    </row>
    <row r="6563" x14ac:dyDescent="0.25">
      <c r="A6563" t="n">
        <v>25</v>
      </c>
      <c r="B6563" t="s">
        <v>14</v>
      </c>
      <c r="C6563" t="s">
        <v>22</v>
      </c>
      <c r="D6563" s="2" t="s">
        <f>=HYPERLINK("https://main.knesset.gov.il/APPS/legislation/main/bills/2197143", "הצעת חוק הגנת הצרכן (תיקון - הארכת תקופת האחריות), התשפ""ג-2022")</f>
        <v>12815</v>
      </c>
      <c r="E6563" t="s">
        <v>12815</v>
      </c>
      <c r="F6563" t="s">
        <v>12816</v>
      </c>
      <c r="G6563" t="s">
        <v>14</v>
      </c>
      <c r="H6563">
             </c>
      <c r="I6563" t="s">
        <v>14</v>
      </c>
      <c r="J6563" t="s">
        <v>141</v>
      </c>
      <c r="K6563" t="s">
        <v>14</v>
      </c>
      <c r="L6563" t="s">
        <v>20</v>
      </c>
      <c r="M6563" t="s">
        <v>12596</v>
      </c>
      <c r="N6563" t="s">
        <v>14</v>
      </c>
    </row>
    <row r="6564" x14ac:dyDescent="0.25">
      <c r="A6564" t="n">
        <v>25</v>
      </c>
      <c r="B6564" t="s">
        <v>14</v>
      </c>
      <c r="C6564" t="s">
        <v>22</v>
      </c>
      <c r="D6564" s="2" t="s">
        <f>=HYPERLINK("https://main.knesset.gov.il/APPS/legislation/main/bills/2198034", "הצעת חוק ארוחת בוקר במוסדות חינוך, התשפ""ג-2022")</f>
        <v>12817</v>
      </c>
      <c r="E6564" t="s">
        <v>12817</v>
      </c>
      <c r="F6564" t="s">
        <v>12818</v>
      </c>
      <c r="G6564" t="s">
        <v>14</v>
      </c>
      <c r="H6564">
             </c>
      <c r="I6564" t="s">
        <v>14</v>
      </c>
      <c r="J6564" t="s">
        <v>141</v>
      </c>
      <c r="K6564" t="s">
        <v>14</v>
      </c>
      <c r="L6564" t="s">
        <v>20</v>
      </c>
      <c r="M6564" t="s">
        <v>12596</v>
      </c>
      <c r="N6564" t="s">
        <v>14</v>
      </c>
    </row>
    <row r="6565" x14ac:dyDescent="0.25">
      <c r="A6565" t="n">
        <v>25</v>
      </c>
      <c r="B6565" t="s">
        <v>14</v>
      </c>
      <c r="C6565" t="s">
        <v>22</v>
      </c>
      <c r="D6565" s="2" t="s">
        <f>=HYPERLINK("https://main.knesset.gov.il/APPS/legislation/main/bills/2197369", "הצעת חוק ארוחת בוקר במוסדות חינוך, התשפ""ג-2022")</f>
        <v>12817</v>
      </c>
      <c r="E6565" t="s">
        <v>12817</v>
      </c>
      <c r="F6565" t="s">
        <v>12819</v>
      </c>
      <c r="G6565" t="s">
        <v>14</v>
      </c>
      <c r="H6565">
             </c>
      <c r="I6565" t="s">
        <v>14</v>
      </c>
      <c r="J6565" t="s">
        <v>141</v>
      </c>
      <c r="K6565" t="s">
        <v>14</v>
      </c>
      <c r="L6565" t="s">
        <v>20</v>
      </c>
      <c r="M6565" t="s">
        <v>12596</v>
      </c>
      <c r="N6565" t="s">
        <v>14</v>
      </c>
    </row>
    <row r="6566" x14ac:dyDescent="0.25">
      <c r="A6566" t="n">
        <v>25</v>
      </c>
      <c r="B6566" t="s">
        <v>14</v>
      </c>
      <c r="C6566" t="s">
        <v>22</v>
      </c>
      <c r="D6566" s="2" t="s">
        <f>=HYPERLINK("https://main.knesset.gov.il/APPS/legislation/main/bills/2197252", "הצעת חוק ביטוח בריאות ממלכתי (תיקון - העברת תיק רפואי במעבר בין קופות), התשפ""ג-2022")</f>
        <v>12820</v>
      </c>
      <c r="E6566" t="s">
        <v>12820</v>
      </c>
      <c r="F6566" t="s">
        <v>12821</v>
      </c>
      <c r="G6566" t="s">
        <v>14</v>
      </c>
      <c r="H6566">
             </c>
      <c r="I6566" t="s">
        <v>14</v>
      </c>
      <c r="J6566" t="s">
        <v>141</v>
      </c>
      <c r="K6566" t="s">
        <v>14</v>
      </c>
      <c r="L6566" t="s">
        <v>20</v>
      </c>
      <c r="M6566" t="s">
        <v>12596</v>
      </c>
      <c r="N6566" t="s">
        <v>14</v>
      </c>
    </row>
    <row r="6567" x14ac:dyDescent="0.25">
      <c r="A6567" t="n">
        <v>25</v>
      </c>
      <c r="B6567" t="s">
        <v>14</v>
      </c>
      <c r="C6567" t="s">
        <v>22</v>
      </c>
      <c r="D6567" s="2" t="s">
        <f>=HYPERLINK("https://main.knesset.gov.il/APPS/legislation/main/bills/2197305", "הצעת חוק מס ערך מוסף (תיקון - פטור ממס במכירת תרופות מצילות חיים שאינן כלולות בסל הבריאות), התשפ""ג-2022")</f>
        <v>12822</v>
      </c>
      <c r="E6567" t="s">
        <v>12822</v>
      </c>
      <c r="F6567" t="s">
        <v>12823</v>
      </c>
      <c r="G6567" t="s">
        <v>14</v>
      </c>
      <c r="H6567">
             </c>
      <c r="I6567" t="s">
        <v>14</v>
      </c>
      <c r="J6567" t="s">
        <v>141</v>
      </c>
      <c r="K6567" t="s">
        <v>14</v>
      </c>
      <c r="L6567" t="s">
        <v>20</v>
      </c>
      <c r="M6567" t="s">
        <v>12596</v>
      </c>
      <c r="N6567" t="s">
        <v>14</v>
      </c>
    </row>
    <row r="6568" x14ac:dyDescent="0.25">
      <c r="A6568" t="n">
        <v>25</v>
      </c>
      <c r="B6568" t="s">
        <v>14</v>
      </c>
      <c r="C6568" t="s">
        <v>22</v>
      </c>
      <c r="D6568" s="2" t="s">
        <f>=HYPERLINK("https://main.knesset.gov.il/APPS/legislation/main/bills/2197361", "הצעת חוק מס ערך מוסף (תיקון - פטור ממס במכירת תרופות מצילות חיים שאינן כלולות בסל הבריאות), התשפ""ג-2022")</f>
        <v>12822</v>
      </c>
      <c r="E6568" t="s">
        <v>12822</v>
      </c>
      <c r="F6568" t="s">
        <v>12824</v>
      </c>
      <c r="G6568" t="s">
        <v>14</v>
      </c>
      <c r="H6568">
             </c>
      <c r="I6568" t="s">
        <v>14</v>
      </c>
      <c r="J6568" t="s">
        <v>141</v>
      </c>
      <c r="K6568" t="s">
        <v>14</v>
      </c>
      <c r="L6568" t="s">
        <v>20</v>
      </c>
      <c r="M6568" t="s">
        <v>12596</v>
      </c>
      <c r="N6568" t="s">
        <v>14</v>
      </c>
    </row>
    <row r="6569" x14ac:dyDescent="0.25">
      <c r="A6569" t="n">
        <v>25</v>
      </c>
      <c r="B6569" t="s">
        <v>14</v>
      </c>
      <c r="C6569" t="s">
        <v>22</v>
      </c>
      <c r="D6569" s="2" t="s">
        <f>=HYPERLINK("https://main.knesset.gov.il/APPS/legislation/main/bills/2197569", "הצעת חוק הבטחת הכנסה (תיקון - תוספת לגמלה בעד הילד השלישי ואילך), התשפ""ג-2022")</f>
        <v>12825</v>
      </c>
      <c r="E6569" t="s">
        <v>12825</v>
      </c>
      <c r="F6569" t="s">
        <v>12826</v>
      </c>
      <c r="G6569" t="s">
        <v>14</v>
      </c>
      <c r="H6569">
             </c>
      <c r="I6569" t="s">
        <v>14</v>
      </c>
      <c r="J6569" t="s">
        <v>141</v>
      </c>
      <c r="K6569" t="s">
        <v>14</v>
      </c>
      <c r="L6569" t="s">
        <v>20</v>
      </c>
      <c r="M6569" t="s">
        <v>12596</v>
      </c>
      <c r="N6569" t="s">
        <v>14</v>
      </c>
    </row>
    <row r="6570" x14ac:dyDescent="0.25">
      <c r="A6570" t="n">
        <v>25</v>
      </c>
      <c r="B6570" t="s">
        <v>14</v>
      </c>
      <c r="C6570" t="s">
        <v>22</v>
      </c>
      <c r="D6570" s="2" t="s">
        <f>=HYPERLINK("https://main.knesset.gov.il/APPS/legislation/main/bills/2196937", "הצעת חוק-יסוד: השפיטה (תיקון - בחירת נשיא בית המשפט העליון בידי הכנסת)")</f>
        <v>4363</v>
      </c>
      <c r="E6570" t="s">
        <v>4363</v>
      </c>
      <c r="F6570" t="s">
        <v>12827</v>
      </c>
      <c r="G6570" t="s">
        <v>14</v>
      </c>
      <c r="H6570">
             </c>
      <c r="I6570" t="s">
        <v>14</v>
      </c>
      <c r="J6570" t="s">
        <v>141</v>
      </c>
      <c r="K6570" t="s">
        <v>14</v>
      </c>
      <c r="L6570" t="s">
        <v>20</v>
      </c>
      <c r="M6570" t="s">
        <v>12596</v>
      </c>
      <c r="N6570" t="s">
        <v>14</v>
      </c>
    </row>
    <row r="6571" x14ac:dyDescent="0.25">
      <c r="A6571" t="n">
        <v>25</v>
      </c>
      <c r="B6571" t="s">
        <v>14</v>
      </c>
      <c r="C6571" t="s">
        <v>22</v>
      </c>
      <c r="D6571" s="2" t="s">
        <f>=HYPERLINK("https://main.knesset.gov.il/APPS/legislation/main/bills/2196348", "הצעת חוק הבטחת הכנסה (תיקון - תוספת לגמלה בעד הילד השלישי ואילך), התשפ""ג-2022")</f>
        <v>12825</v>
      </c>
      <c r="E6571" t="s">
        <v>12825</v>
      </c>
      <c r="F6571" t="s">
        <v>12828</v>
      </c>
      <c r="G6571" t="s">
        <v>14</v>
      </c>
      <c r="H6571">
             </c>
      <c r="I6571" t="s">
        <v>14</v>
      </c>
      <c r="J6571" t="s">
        <v>141</v>
      </c>
      <c r="K6571" t="s">
        <v>14</v>
      </c>
      <c r="L6571" t="s">
        <v>20</v>
      </c>
      <c r="M6571" t="s">
        <v>12596</v>
      </c>
      <c r="N6571" t="s">
        <v>14</v>
      </c>
    </row>
    <row r="6572" x14ac:dyDescent="0.25">
      <c r="A6572" t="n">
        <v>25</v>
      </c>
      <c r="B6572" t="s">
        <v>14</v>
      </c>
      <c r="C6572" t="s">
        <v>22</v>
      </c>
      <c r="D6572" s="2" t="s">
        <f>=HYPERLINK("https://main.knesset.gov.il/APPS/legislation/main/bills/2197274", "הצעת חוק פיצוי לנפגעי פוליו (תיקון - הכרה באחוזי נכות של נפגע פוליו לצורך דינים אחרים), התשפ""ג-2022")</f>
        <v>12829</v>
      </c>
      <c r="E6572" t="s">
        <v>12829</v>
      </c>
      <c r="F6572" t="s">
        <v>12830</v>
      </c>
      <c r="G6572" t="s">
        <v>14</v>
      </c>
      <c r="H6572">
             </c>
      <c r="I6572" t="s">
        <v>14</v>
      </c>
      <c r="J6572" t="s">
        <v>141</v>
      </c>
      <c r="K6572" t="s">
        <v>14</v>
      </c>
      <c r="L6572" t="s">
        <v>20</v>
      </c>
      <c r="M6572" t="s">
        <v>12596</v>
      </c>
      <c r="N6572" t="s">
        <v>14</v>
      </c>
    </row>
    <row r="6573" x14ac:dyDescent="0.25">
      <c r="A6573" t="n">
        <v>25</v>
      </c>
      <c r="B6573" t="s">
        <v>14</v>
      </c>
      <c r="C6573" t="s">
        <v>22</v>
      </c>
      <c r="D6573" s="2" t="s">
        <f>=HYPERLINK("https://main.knesset.gov.il/APPS/legislation/main/bills/2197241", "הצעת חוק לתיקון פקודת התעבורה (ביטול קנס בשל רכישת מערכות בטיחות מתקדמות), התשפ""ג-2022")</f>
        <v>12831</v>
      </c>
      <c r="E6573" t="s">
        <v>12831</v>
      </c>
      <c r="F6573" t="s">
        <v>12832</v>
      </c>
      <c r="G6573" t="s">
        <v>14</v>
      </c>
      <c r="H6573">
             </c>
      <c r="I6573" t="s">
        <v>14</v>
      </c>
      <c r="J6573" t="s">
        <v>141</v>
      </c>
      <c r="K6573" t="s">
        <v>14</v>
      </c>
      <c r="L6573" t="s">
        <v>20</v>
      </c>
      <c r="M6573" t="s">
        <v>12596</v>
      </c>
      <c r="N6573" t="s">
        <v>14</v>
      </c>
    </row>
    <row r="6574" x14ac:dyDescent="0.25">
      <c r="A6574" t="n">
        <v>25</v>
      </c>
      <c r="B6574" t="s">
        <v>14</v>
      </c>
      <c r="C6574" t="s">
        <v>22</v>
      </c>
      <c r="D6574" s="2" t="s">
        <f>=HYPERLINK("https://main.knesset.gov.il/APPS/legislation/main/bills/2195949", "הצעת חוק ביטוח בריאות ממלכתי (תיקון - תושב ששהה מחוץ לישראל ואין לו קרוב משפחה), התשפ""ג-2022")</f>
        <v>12833</v>
      </c>
      <c r="E6574" t="s">
        <v>12833</v>
      </c>
      <c r="F6574" t="s">
        <v>12834</v>
      </c>
      <c r="G6574" t="s">
        <v>14</v>
      </c>
      <c r="H6574">
             </c>
      <c r="I6574" t="s">
        <v>14</v>
      </c>
      <c r="J6574" t="s">
        <v>141</v>
      </c>
      <c r="K6574" t="s">
        <v>14</v>
      </c>
      <c r="L6574" t="s">
        <v>20</v>
      </c>
      <c r="M6574" t="s">
        <v>12596</v>
      </c>
      <c r="N6574" t="s">
        <v>14</v>
      </c>
    </row>
    <row r="6575" x14ac:dyDescent="0.25">
      <c r="A6575" t="n">
        <v>25</v>
      </c>
      <c r="B6575" t="s">
        <v>14</v>
      </c>
      <c r="C6575" t="s">
        <v>22</v>
      </c>
      <c r="D6575" s="2" t="s">
        <f>=HYPERLINK("https://main.knesset.gov.il/APPS/legislation/main/bills/2195946", "הצעת חוק בית המשפט לענייני משפחה (תיקון - רשימת כונסי נכסים), התשפ""ג-2022")</f>
        <v>12835</v>
      </c>
      <c r="E6575" t="s">
        <v>12835</v>
      </c>
      <c r="F6575" t="s">
        <v>12836</v>
      </c>
      <c r="G6575" t="s">
        <v>14</v>
      </c>
      <c r="H6575">
             </c>
      <c r="I6575" t="s">
        <v>14</v>
      </c>
      <c r="J6575" t="s">
        <v>141</v>
      </c>
      <c r="K6575" t="s">
        <v>14</v>
      </c>
      <c r="L6575" t="s">
        <v>20</v>
      </c>
      <c r="M6575" t="s">
        <v>12596</v>
      </c>
      <c r="N6575" t="s">
        <v>14</v>
      </c>
    </row>
    <row r="6576" x14ac:dyDescent="0.25">
      <c r="A6576" t="n">
        <v>25</v>
      </c>
      <c r="B6576" t="s">
        <v>14</v>
      </c>
      <c r="C6576" t="s">
        <v>22</v>
      </c>
      <c r="D6576" s="2" t="s">
        <f>=HYPERLINK("https://main.knesset.gov.il/APPS/legislation/main/bills/2195959", "הצעת חוק עבודת נשים (תיקון - שעות היעדרות מעבודה לאישה בהריון בר-סיכון), התשפ""ג-2022")</f>
        <v>12837</v>
      </c>
      <c r="E6576" t="s">
        <v>12837</v>
      </c>
      <c r="F6576" t="s">
        <v>12838</v>
      </c>
      <c r="G6576" t="s">
        <v>14</v>
      </c>
      <c r="H6576">
             </c>
      <c r="I6576" t="s">
        <v>14</v>
      </c>
      <c r="J6576" t="s">
        <v>141</v>
      </c>
      <c r="K6576" t="s">
        <v>14</v>
      </c>
      <c r="L6576" t="s">
        <v>20</v>
      </c>
      <c r="M6576" t="s">
        <v>12596</v>
      </c>
      <c r="N6576" t="s">
        <v>14</v>
      </c>
    </row>
    <row r="6577" x14ac:dyDescent="0.25">
      <c r="A6577" t="n">
        <v>25</v>
      </c>
      <c r="B6577" t="s">
        <v>14</v>
      </c>
      <c r="C6577" t="s">
        <v>22</v>
      </c>
      <c r="D6577" s="2" t="s">
        <f>=HYPERLINK("https://main.knesset.gov.il/APPS/legislation/main/bills/2197235", "הצעת חוק לעידוד חקלאות גגות (תיקוני חקיקה), התשפ""ג-2022")</f>
        <v>12839</v>
      </c>
      <c r="E6577" t="s">
        <v>12839</v>
      </c>
      <c r="F6577" t="s">
        <v>12840</v>
      </c>
      <c r="G6577" t="s">
        <v>14</v>
      </c>
      <c r="H6577">
             </c>
      <c r="I6577" t="s">
        <v>14</v>
      </c>
      <c r="J6577" t="s">
        <v>141</v>
      </c>
      <c r="K6577" t="s">
        <v>14</v>
      </c>
      <c r="L6577" t="s">
        <v>20</v>
      </c>
      <c r="M6577" t="s">
        <v>12596</v>
      </c>
      <c r="N6577" t="s">
        <v>14</v>
      </c>
    </row>
    <row r="6578" x14ac:dyDescent="0.25">
      <c r="A6578" t="n">
        <v>25</v>
      </c>
      <c r="B6578" t="s">
        <v>14</v>
      </c>
      <c r="C6578" t="s">
        <v>22</v>
      </c>
      <c r="D6578" s="2" t="s">
        <f>=HYPERLINK("https://main.knesset.gov.il/APPS/legislation/main/bills/2197212", "הצעת חוק יום לציון פועלו וזכרו של אלי כהן, התשפ""ג-2022")</f>
        <v>12841</v>
      </c>
      <c r="E6578" t="s">
        <v>12841</v>
      </c>
      <c r="F6578" t="s">
        <v>12842</v>
      </c>
      <c r="G6578" t="s">
        <v>14</v>
      </c>
      <c r="H6578">
             </c>
      <c r="I6578" t="s">
        <v>14</v>
      </c>
      <c r="J6578" t="s">
        <v>141</v>
      </c>
      <c r="K6578" t="s">
        <v>14</v>
      </c>
      <c r="L6578" t="s">
        <v>20</v>
      </c>
      <c r="M6578" t="s">
        <v>12596</v>
      </c>
      <c r="N6578" t="s">
        <v>14</v>
      </c>
    </row>
    <row r="6579" x14ac:dyDescent="0.25">
      <c r="A6579" t="n">
        <v>25</v>
      </c>
      <c r="B6579" t="s">
        <v>14</v>
      </c>
      <c r="C6579" t="s">
        <v>22</v>
      </c>
      <c r="D6579" s="2" t="s">
        <f>=HYPERLINK("https://main.knesset.gov.il/APPS/legislation/main/bills/2197118", "הצעת חוק לתיקון פקודת מס הכנסה (חישוב שווי שימוש ברכב לשומרי שבת וחג), התשפ""ג-2022")</f>
        <v>12843</v>
      </c>
      <c r="E6579" t="s">
        <v>12843</v>
      </c>
      <c r="F6579" t="s">
        <v>12844</v>
      </c>
      <c r="G6579" t="s">
        <v>14</v>
      </c>
      <c r="H6579">
             </c>
      <c r="I6579" t="s">
        <v>14</v>
      </c>
      <c r="J6579" t="s">
        <v>141</v>
      </c>
      <c r="K6579" t="s">
        <v>14</v>
      </c>
      <c r="L6579" t="s">
        <v>20</v>
      </c>
      <c r="M6579" t="s">
        <v>12596</v>
      </c>
      <c r="N6579" t="s">
        <v>14</v>
      </c>
    </row>
    <row r="6580" x14ac:dyDescent="0.25">
      <c r="A6580" t="n">
        <v>25</v>
      </c>
      <c r="B6580" t="s">
        <v>14</v>
      </c>
      <c r="C6580" t="s">
        <v>22</v>
      </c>
      <c r="D6580" s="2" t="s">
        <f>=HYPERLINK("https://main.knesset.gov.il/APPS/legislation/main/bills/2197173", "הצעת חוק ביטוח בריאות ממלכתי (תיקון - הרחבת הסדרי הבחירה), התשפ""ג-2022")</f>
        <v>12845</v>
      </c>
      <c r="E6580" t="s">
        <v>12845</v>
      </c>
      <c r="F6580" t="s">
        <v>12846</v>
      </c>
      <c r="G6580" t="s">
        <v>14</v>
      </c>
      <c r="H6580">
             </c>
      <c r="I6580" t="s">
        <v>14</v>
      </c>
      <c r="J6580" t="s">
        <v>141</v>
      </c>
      <c r="K6580" t="s">
        <v>14</v>
      </c>
      <c r="L6580" t="s">
        <v>20</v>
      </c>
      <c r="M6580" t="s">
        <v>12596</v>
      </c>
      <c r="N6580" t="s">
        <v>14</v>
      </c>
    </row>
    <row r="6581" x14ac:dyDescent="0.25">
      <c r="A6581" t="n">
        <v>25</v>
      </c>
      <c r="B6581" t="s">
        <v>14</v>
      </c>
      <c r="C6581" t="s">
        <v>22</v>
      </c>
      <c r="D6581" s="2" t="s">
        <f>=HYPERLINK("https://main.knesset.gov.il/APPS/legislation/main/bills/2196181", "הצעת חוק בתי המשפט (תיקון - שימוע ובחירות חשאיות לשופטי בית המשפט העליון), התשפ""ג-2022")</f>
        <v>12847</v>
      </c>
      <c r="E6581" t="s">
        <v>12847</v>
      </c>
      <c r="F6581" t="s">
        <v>12848</v>
      </c>
      <c r="G6581" t="s">
        <v>14</v>
      </c>
      <c r="H6581">
             </c>
      <c r="I6581" t="s">
        <v>14</v>
      </c>
      <c r="J6581" t="s">
        <v>141</v>
      </c>
      <c r="K6581" t="s">
        <v>14</v>
      </c>
      <c r="L6581" t="s">
        <v>20</v>
      </c>
      <c r="M6581" t="s">
        <v>12596</v>
      </c>
      <c r="N6581" t="s">
        <v>14</v>
      </c>
    </row>
    <row r="6582" x14ac:dyDescent="0.25">
      <c r="A6582" t="n">
        <v>25</v>
      </c>
      <c r="B6582" t="s">
        <v>14</v>
      </c>
      <c r="C6582" t="s">
        <v>22</v>
      </c>
      <c r="D6582" s="2" t="s">
        <f>=HYPERLINK("https://main.knesset.gov.il/APPS/legislation/main/bills/2196870", "הצעת חוק הקמת חדר מיון בקריית שמונה, התשפ""ג-2022")</f>
        <v>12849</v>
      </c>
      <c r="E6582" t="s">
        <v>12849</v>
      </c>
      <c r="F6582" t="s">
        <v>12850</v>
      </c>
      <c r="G6582" t="s">
        <v>14</v>
      </c>
      <c r="H6582">
             </c>
      <c r="I6582" t="s">
        <v>14</v>
      </c>
      <c r="J6582" t="s">
        <v>141</v>
      </c>
      <c r="K6582" t="s">
        <v>14</v>
      </c>
      <c r="L6582" t="s">
        <v>20</v>
      </c>
      <c r="M6582" t="s">
        <v>12596</v>
      </c>
      <c r="N6582" t="s">
        <v>14</v>
      </c>
    </row>
    <row r="6583" x14ac:dyDescent="0.25">
      <c r="A6583" t="n">
        <v>25</v>
      </c>
      <c r="B6583" t="s">
        <v>14</v>
      </c>
      <c r="C6583" t="s">
        <v>22</v>
      </c>
      <c r="D6583" s="2" t="s">
        <f>=HYPERLINK("https://main.knesset.gov.il/APPS/legislation/main/bills/2196866", "הצעת חוק הקמת חדר מיון בנתיבות, התשפ""ג-2022")</f>
        <v>12851</v>
      </c>
      <c r="E6583" t="s">
        <v>12851</v>
      </c>
      <c r="F6583" t="s">
        <v>12852</v>
      </c>
      <c r="G6583" t="s">
        <v>14</v>
      </c>
      <c r="H6583">
             </c>
      <c r="I6583" t="s">
        <v>14</v>
      </c>
      <c r="J6583" t="s">
        <v>141</v>
      </c>
      <c r="K6583" t="s">
        <v>14</v>
      </c>
      <c r="L6583" t="s">
        <v>20</v>
      </c>
      <c r="M6583" t="s">
        <v>12596</v>
      </c>
      <c r="N6583" t="s">
        <v>14</v>
      </c>
    </row>
    <row r="6584" x14ac:dyDescent="0.25">
      <c r="A6584" t="n">
        <v>25</v>
      </c>
      <c r="B6584" t="s">
        <v>14</v>
      </c>
      <c r="C6584" t="s">
        <v>22</v>
      </c>
      <c r="D6584" s="2" t="s">
        <f>=HYPERLINK("https://main.knesset.gov.il/APPS/legislation/main/bills/2196290", "הצעת חוק הגנת הצרכן (תיקון - צירוף הוראות שימוש בשפה העברית למוצרי חשמל), התשפ""ג-2022 ")</f>
        <v>12853</v>
      </c>
      <c r="E6584" t="s">
        <v>12853</v>
      </c>
      <c r="F6584" t="s">
        <v>12854</v>
      </c>
      <c r="G6584" t="s">
        <v>14</v>
      </c>
      <c r="H6584">
             </c>
      <c r="I6584" t="s">
        <v>14</v>
      </c>
      <c r="J6584" t="s">
        <v>141</v>
      </c>
      <c r="K6584" t="s">
        <v>14</v>
      </c>
      <c r="L6584" t="s">
        <v>20</v>
      </c>
      <c r="M6584" t="s">
        <v>12596</v>
      </c>
      <c r="N6584" t="s">
        <v>14</v>
      </c>
    </row>
    <row r="6585" x14ac:dyDescent="0.25">
      <c r="A6585" t="n">
        <v>25</v>
      </c>
      <c r="B6585" t="s">
        <v>14</v>
      </c>
      <c r="C6585" t="s">
        <v>22</v>
      </c>
      <c r="D6585" s="2" t="s">
        <f>=HYPERLINK("https://main.knesset.gov.il/APPS/legislation/main/bills/2197316", "הצעת חוק הביטוח הלאומי (תיקון - תנאי זכאות לגמלה לשמירת היריון), התשפ""ג-2022")</f>
        <v>12855</v>
      </c>
      <c r="E6585" t="s">
        <v>12855</v>
      </c>
      <c r="F6585" t="s">
        <v>12856</v>
      </c>
      <c r="G6585" t="s">
        <v>14</v>
      </c>
      <c r="H6585">
             </c>
      <c r="I6585" t="s">
        <v>14</v>
      </c>
      <c r="J6585" t="s">
        <v>141</v>
      </c>
      <c r="K6585" t="s">
        <v>14</v>
      </c>
      <c r="L6585" t="s">
        <v>20</v>
      </c>
      <c r="M6585" t="s">
        <v>12596</v>
      </c>
      <c r="N6585" t="s">
        <v>14</v>
      </c>
    </row>
    <row r="6586" x14ac:dyDescent="0.25">
      <c r="A6586" t="n">
        <v>25</v>
      </c>
      <c r="B6586" t="s">
        <v>14</v>
      </c>
      <c r="C6586" t="s">
        <v>22</v>
      </c>
      <c r="D6586" s="2" t="s">
        <f>=HYPERLINK("https://main.knesset.gov.il/APPS/legislation/main/bills/2197290", "הצעת חוק לתיקון פקודת התעבורה (הפחתת גובה קנס בשל תשלום מיידי), התשפ""ג-2022")</f>
        <v>12857</v>
      </c>
      <c r="E6586" t="s">
        <v>12857</v>
      </c>
      <c r="F6586" t="s">
        <v>12858</v>
      </c>
      <c r="G6586" t="s">
        <v>14</v>
      </c>
      <c r="H6586">
             </c>
      <c r="I6586" t="s">
        <v>14</v>
      </c>
      <c r="J6586" t="s">
        <v>141</v>
      </c>
      <c r="K6586" t="s">
        <v>14</v>
      </c>
      <c r="L6586" t="s">
        <v>20</v>
      </c>
      <c r="M6586" t="s">
        <v>12596</v>
      </c>
      <c r="N6586" t="s">
        <v>14</v>
      </c>
    </row>
    <row r="6587" x14ac:dyDescent="0.25">
      <c r="A6587" t="n">
        <v>25</v>
      </c>
      <c r="B6587" t="s">
        <v>14</v>
      </c>
      <c r="C6587" t="s">
        <v>22</v>
      </c>
      <c r="D6587" s="2" t="s">
        <f>=HYPERLINK("https://main.knesset.gov.il/APPS/legislation/main/bills/2197105", "הצעת חוק דמי נסיעה לסטודנטים בתחבורה ציבורית (תיקוני חקיקה), התשפ""ג-2022")</f>
        <v>12859</v>
      </c>
      <c r="E6587" t="s">
        <v>12859</v>
      </c>
      <c r="F6587" t="s">
        <v>12860</v>
      </c>
      <c r="G6587" t="s">
        <v>14</v>
      </c>
      <c r="H6587">
             </c>
      <c r="I6587" t="s">
        <v>14</v>
      </c>
      <c r="J6587" t="s">
        <v>141</v>
      </c>
      <c r="K6587" t="s">
        <v>14</v>
      </c>
      <c r="L6587" t="s">
        <v>20</v>
      </c>
      <c r="M6587" t="s">
        <v>12596</v>
      </c>
      <c r="N6587" t="s">
        <v>14</v>
      </c>
    </row>
    <row r="6588" x14ac:dyDescent="0.25">
      <c r="A6588" t="n">
        <v>25</v>
      </c>
      <c r="B6588" t="s">
        <v>14</v>
      </c>
      <c r="C6588" t="s">
        <v>22</v>
      </c>
      <c r="D6588" s="2" t="s">
        <f>=HYPERLINK("https://main.knesset.gov.il/APPS/legislation/main/bills/2196838", "הצעת חוק הכנסת (תיקון - אישור אמנות בין-לאומיות), התשפ""ג-2022")</f>
        <v>12861</v>
      </c>
      <c r="E6588" t="s">
        <v>12861</v>
      </c>
      <c r="F6588" t="s">
        <v>12862</v>
      </c>
      <c r="G6588" t="s">
        <v>14</v>
      </c>
      <c r="H6588">
             </c>
      <c r="I6588" t="s">
        <v>14</v>
      </c>
      <c r="J6588" t="s">
        <v>141</v>
      </c>
      <c r="K6588" t="s">
        <v>14</v>
      </c>
      <c r="L6588" t="s">
        <v>20</v>
      </c>
      <c r="M6588" t="s">
        <v>12596</v>
      </c>
      <c r="N6588" t="s">
        <v>14</v>
      </c>
    </row>
    <row r="6589" x14ac:dyDescent="0.25">
      <c r="A6589" t="n">
        <v>25</v>
      </c>
      <c r="B6589" t="s">
        <v>14</v>
      </c>
      <c r="C6589" t="s">
        <v>22</v>
      </c>
      <c r="D6589" s="2" t="s">
        <f>=HYPERLINK("https://main.knesset.gov.il/APPS/legislation/main/bills/2198054", "הצעת חוק שעות עבודה ומנוחה (תיקון - הפסקה בין יום עבודה למשנהו שלא עולה על 8 שעות), התשפ""ג-2022")</f>
        <v>12863</v>
      </c>
      <c r="E6589" t="s">
        <v>12863</v>
      </c>
      <c r="F6589" t="s">
        <v>12864</v>
      </c>
      <c r="G6589" t="s">
        <v>14</v>
      </c>
      <c r="H6589">
             </c>
      <c r="I6589" t="s">
        <v>14</v>
      </c>
      <c r="J6589" t="s">
        <v>141</v>
      </c>
      <c r="K6589" t="s">
        <v>14</v>
      </c>
      <c r="L6589" t="s">
        <v>20</v>
      </c>
      <c r="M6589" t="s">
        <v>12596</v>
      </c>
      <c r="N6589" t="s">
        <v>14</v>
      </c>
    </row>
    <row r="6590" x14ac:dyDescent="0.25">
      <c r="A6590" t="n">
        <v>25</v>
      </c>
      <c r="B6590" t="s">
        <v>14</v>
      </c>
      <c r="C6590" t="s">
        <v>22</v>
      </c>
      <c r="D6590" s="2" t="s">
        <f>=HYPERLINK("https://main.knesset.gov.il/APPS/legislation/main/bills/2195944", "הצעת חוק שיפוט בתי דין רבניים (נישואין וגירושין) (תיקון - תשלומי מזונות לילדי בני הזוג), התשפ""ג-2022")</f>
        <v>12865</v>
      </c>
      <c r="E6590" t="s">
        <v>12865</v>
      </c>
      <c r="F6590" t="s">
        <v>12866</v>
      </c>
      <c r="G6590" t="s">
        <v>14</v>
      </c>
      <c r="H6590">
             </c>
      <c r="I6590" t="s">
        <v>14</v>
      </c>
      <c r="J6590" t="s">
        <v>141</v>
      </c>
      <c r="K6590" t="s">
        <v>14</v>
      </c>
      <c r="L6590" t="s">
        <v>20</v>
      </c>
      <c r="M6590" t="s">
        <v>12596</v>
      </c>
      <c r="N6590" t="s">
        <v>14</v>
      </c>
    </row>
    <row r="6591" x14ac:dyDescent="0.25">
      <c r="A6591" t="n">
        <v>25</v>
      </c>
      <c r="B6591" t="s">
        <v>14</v>
      </c>
      <c r="C6591" t="s">
        <v>22</v>
      </c>
      <c r="D6591" s="2" t="s">
        <f>=HYPERLINK("https://main.knesset.gov.il/APPS/legislation/main/bills/2197222", "הצעת חוק הביטוח הלאומי (תיקון - תשלום גמלת ילד נכה לאומן בעד ילד הנמצא אצלו באומנה), התשפ""ג-2022")</f>
        <v>12867</v>
      </c>
      <c r="E6591" t="s">
        <v>12867</v>
      </c>
      <c r="F6591" t="s">
        <v>12868</v>
      </c>
      <c r="G6591" t="s">
        <v>14</v>
      </c>
      <c r="H6591">
             </c>
      <c r="I6591" t="s">
        <v>14</v>
      </c>
      <c r="J6591" t="s">
        <v>141</v>
      </c>
      <c r="K6591" t="s">
        <v>14</v>
      </c>
      <c r="L6591" t="s">
        <v>20</v>
      </c>
      <c r="M6591" t="s">
        <v>12596</v>
      </c>
      <c r="N6591" t="s">
        <v>14</v>
      </c>
    </row>
    <row r="6592" x14ac:dyDescent="0.25">
      <c r="A6592" t="n">
        <v>25</v>
      </c>
      <c r="B6592" t="s">
        <v>14</v>
      </c>
      <c r="C6592" t="s">
        <v>22</v>
      </c>
      <c r="D6592" s="2" t="s">
        <f>=HYPERLINK("https://main.knesset.gov.il/APPS/legislation/main/bills/2197175", "הצעת חוק שוויון זכויות לאנשים עם מוגבלות (תיקון – הרחבת הזכאות למתן שירות בלא המתנה בתור), התשפ""ג–2022")</f>
        <v>12869</v>
      </c>
      <c r="E6592" t="s">
        <v>12869</v>
      </c>
      <c r="F6592" t="s">
        <v>12870</v>
      </c>
      <c r="G6592" t="s">
        <v>14</v>
      </c>
      <c r="H6592">
             </c>
      <c r="I6592" t="s">
        <v>14</v>
      </c>
      <c r="J6592" t="s">
        <v>141</v>
      </c>
      <c r="K6592" t="s">
        <v>14</v>
      </c>
      <c r="L6592" t="s">
        <v>20</v>
      </c>
      <c r="M6592" t="s">
        <v>12596</v>
      </c>
      <c r="N6592" t="s">
        <v>14</v>
      </c>
    </row>
    <row r="6593" x14ac:dyDescent="0.25">
      <c r="A6593" t="n">
        <v>25</v>
      </c>
      <c r="B6593" t="s">
        <v>14</v>
      </c>
      <c r="C6593" t="s">
        <v>22</v>
      </c>
      <c r="D6593" s="2" t="s">
        <f>=HYPERLINK("https://main.knesset.gov.il/APPS/legislation/main/bills/2196818", "הצעת חוק סדר הדין הפלילי (תיקון - החרגת עובד מערכת אכיפת החוק מתקופת ההתיישנות), התשפ""ג-2022")</f>
        <v>12871</v>
      </c>
      <c r="E6593" t="s">
        <v>12871</v>
      </c>
      <c r="F6593" t="s">
        <v>12872</v>
      </c>
      <c r="G6593" t="s">
        <v>14</v>
      </c>
      <c r="H6593">
             </c>
      <c r="I6593" t="s">
        <v>14</v>
      </c>
      <c r="J6593" t="s">
        <v>141</v>
      </c>
      <c r="K6593" t="s">
        <v>14</v>
      </c>
      <c r="L6593" t="s">
        <v>20</v>
      </c>
      <c r="M6593" t="s">
        <v>12596</v>
      </c>
      <c r="N6593" t="s">
        <v>14</v>
      </c>
    </row>
    <row r="6594" x14ac:dyDescent="0.25">
      <c r="A6594" t="n">
        <v>25</v>
      </c>
      <c r="B6594" t="s">
        <v>14</v>
      </c>
      <c r="C6594" t="s">
        <v>22</v>
      </c>
      <c r="D6594" s="2" t="s">
        <f>=HYPERLINK("https://main.knesset.gov.il/APPS/legislation/main/bills/2196815", "הצעת חוק עידוד שירות צבאי, לאומי או לאומי-אזרחי, התשפ""ג-2022")</f>
        <v>12873</v>
      </c>
      <c r="E6594" t="s">
        <v>12873</v>
      </c>
      <c r="F6594" t="s">
        <v>12874</v>
      </c>
      <c r="G6594" t="s">
        <v>14</v>
      </c>
      <c r="H6594">
             </c>
      <c r="I6594" t="s">
        <v>14</v>
      </c>
      <c r="J6594" t="s">
        <v>141</v>
      </c>
      <c r="K6594" t="s">
        <v>14</v>
      </c>
      <c r="L6594" t="s">
        <v>20</v>
      </c>
      <c r="M6594" t="s">
        <v>12596</v>
      </c>
      <c r="N6594" t="s">
        <v>14</v>
      </c>
    </row>
    <row r="6595" x14ac:dyDescent="0.25">
      <c r="A6595" t="n">
        <v>25</v>
      </c>
      <c r="B6595" t="s">
        <v>14</v>
      </c>
      <c r="C6595" t="s">
        <v>22</v>
      </c>
      <c r="D6595" s="2" t="s">
        <f>=HYPERLINK("https://main.knesset.gov.il/APPS/legislation/main/bills/2197172", "הצעת חוק הגנת הצרכן (תיקון - שינוי פרטים בכרטיס טיסה או בכרטיס לשיט), התשפ""ג-2022")</f>
        <v>12875</v>
      </c>
      <c r="E6595" t="s">
        <v>12875</v>
      </c>
      <c r="F6595" t="s">
        <v>12876</v>
      </c>
      <c r="G6595" t="s">
        <v>14</v>
      </c>
      <c r="H6595">
             </c>
      <c r="I6595" t="s">
        <v>14</v>
      </c>
      <c r="J6595" t="s">
        <v>141</v>
      </c>
      <c r="K6595" t="s">
        <v>14</v>
      </c>
      <c r="L6595" t="s">
        <v>20</v>
      </c>
      <c r="M6595" t="s">
        <v>12596</v>
      </c>
      <c r="N6595" t="s">
        <v>14</v>
      </c>
    </row>
    <row r="6596" x14ac:dyDescent="0.25">
      <c r="A6596" t="n">
        <v>25</v>
      </c>
      <c r="B6596" t="s">
        <v>14</v>
      </c>
      <c r="C6596" t="s">
        <v>22</v>
      </c>
      <c r="D6596" s="2" t="s">
        <f>=HYPERLINK("https://main.knesset.gov.il/APPS/legislation/main/bills/2197233", "הצעת חוק פינוי ובינוי (עידוד מיזמי פינוי ובינוי) (תיקון - מבנה מסוכן), התשפ""ג-2022")</f>
        <v>12877</v>
      </c>
      <c r="E6596" t="s">
        <v>12877</v>
      </c>
      <c r="F6596" t="s">
        <v>12878</v>
      </c>
      <c r="G6596" t="s">
        <v>14</v>
      </c>
      <c r="H6596">
             </c>
      <c r="I6596" t="s">
        <v>14</v>
      </c>
      <c r="J6596" t="s">
        <v>141</v>
      </c>
      <c r="K6596" t="s">
        <v>14</v>
      </c>
      <c r="L6596" t="s">
        <v>20</v>
      </c>
      <c r="M6596" t="s">
        <v>12596</v>
      </c>
      <c r="N6596" t="s">
        <v>14</v>
      </c>
    </row>
    <row r="6597" x14ac:dyDescent="0.25">
      <c r="A6597" t="n">
        <v>25</v>
      </c>
      <c r="B6597" t="s">
        <v>14</v>
      </c>
      <c r="C6597" t="s">
        <v>22</v>
      </c>
      <c r="D6597" s="2" t="s">
        <f>=HYPERLINK("https://main.knesset.gov.il/APPS/legislation/main/bills/2197271", "הצעת חוק ביטוח בריאות ממלכתי (תיקון - העברת שירותי הגמילה לאחריות קופות החולים וטיפול בהתמכרויות), התשפ""ג-2022")</f>
        <v>12879</v>
      </c>
      <c r="E6597" t="s">
        <v>12879</v>
      </c>
      <c r="F6597" t="s">
        <v>12880</v>
      </c>
      <c r="G6597" t="s">
        <v>14</v>
      </c>
      <c r="H6597">
             </c>
      <c r="I6597" t="s">
        <v>14</v>
      </c>
      <c r="J6597" t="s">
        <v>141</v>
      </c>
      <c r="K6597" t="s">
        <v>14</v>
      </c>
      <c r="L6597" t="s">
        <v>20</v>
      </c>
      <c r="M6597" t="s">
        <v>12596</v>
      </c>
      <c r="N6597" t="s">
        <v>14</v>
      </c>
    </row>
    <row r="6598" x14ac:dyDescent="0.25">
      <c r="A6598" t="n">
        <v>25</v>
      </c>
      <c r="B6598" t="s">
        <v>14</v>
      </c>
      <c r="C6598" t="s">
        <v>22</v>
      </c>
      <c r="D6598" s="2" t="s">
        <f>=HYPERLINK("https://main.knesset.gov.il/APPS/legislation/main/bills/2197170", "הצעת חוק מאבק בנטילת דמי חסות (אכיפה וענישה) (תיקוני חקיקה והוראת שעה), התשפ""ג-2022")</f>
        <v>12881</v>
      </c>
      <c r="E6598" t="s">
        <v>12881</v>
      </c>
      <c r="F6598" t="s">
        <v>12882</v>
      </c>
      <c r="G6598" t="s">
        <v>14</v>
      </c>
      <c r="H6598">
             </c>
      <c r="I6598" t="s">
        <v>14</v>
      </c>
      <c r="J6598" t="s">
        <v>141</v>
      </c>
      <c r="K6598" t="s">
        <v>14</v>
      </c>
      <c r="L6598" t="s">
        <v>20</v>
      </c>
      <c r="M6598" t="s">
        <v>12596</v>
      </c>
      <c r="N6598" t="s">
        <v>14</v>
      </c>
    </row>
    <row r="6599" x14ac:dyDescent="0.25">
      <c r="A6599" t="n">
        <v>25</v>
      </c>
      <c r="B6599" t="s">
        <v>14</v>
      </c>
      <c r="C6599" t="s">
        <v>22</v>
      </c>
      <c r="D6599" s="2" t="s">
        <f>=HYPERLINK("https://main.knesset.gov.il/APPS/legislation/main/bills/2197176", "הצעת חוק הדגל, הסמל והמנון המדינה (תיקון - פגיעה בכבוד דגל המדינה או סמלה), התשפ״ג-2022")</f>
        <v>12883</v>
      </c>
      <c r="E6599" t="s">
        <v>12883</v>
      </c>
      <c r="F6599" t="s">
        <v>12884</v>
      </c>
      <c r="G6599" t="s">
        <v>14</v>
      </c>
      <c r="H6599">
             </c>
      <c r="I6599" t="s">
        <v>14</v>
      </c>
      <c r="J6599" t="s">
        <v>141</v>
      </c>
      <c r="K6599" t="s">
        <v>14</v>
      </c>
      <c r="L6599" t="s">
        <v>20</v>
      </c>
      <c r="M6599" t="s">
        <v>12596</v>
      </c>
      <c r="N6599" t="s">
        <v>14</v>
      </c>
    </row>
    <row r="6600" x14ac:dyDescent="0.25">
      <c r="A6600" t="n">
        <v>25</v>
      </c>
      <c r="B6600" t="s">
        <v>14</v>
      </c>
      <c r="C6600" t="s">
        <v>22</v>
      </c>
      <c r="D6600" s="2" t="s">
        <f>=HYPERLINK("https://main.knesset.gov.il/APPS/legislation/main/bills/2197272", "הצעת חוק התכנון והבנייה (תיקון - מבנה מחוזק), התשפ""ג-2022")</f>
        <v>12885</v>
      </c>
      <c r="E6600" t="s">
        <v>12885</v>
      </c>
      <c r="F6600" t="s">
        <v>12886</v>
      </c>
      <c r="G6600" t="s">
        <v>14</v>
      </c>
      <c r="H6600">
             </c>
      <c r="I6600" t="s">
        <v>14</v>
      </c>
      <c r="J6600" t="s">
        <v>141</v>
      </c>
      <c r="K6600" t="s">
        <v>14</v>
      </c>
      <c r="L6600" t="s">
        <v>20</v>
      </c>
      <c r="M6600" t="s">
        <v>12596</v>
      </c>
      <c r="N6600" t="s">
        <v>14</v>
      </c>
    </row>
    <row r="6601" x14ac:dyDescent="0.25">
      <c r="A6601" t="n">
        <v>25</v>
      </c>
      <c r="B6601" t="s">
        <v>14</v>
      </c>
      <c r="C6601" t="s">
        <v>22</v>
      </c>
      <c r="D6601" s="2" t="s">
        <f>=HYPERLINK("https://main.knesset.gov.il/APPS/legislation/main/bills/2197156", "הצעת חוק למניעת פגיעה במדינת ישראל באמצעות חרם (תיקון - מניעת זכאות לפרס), התשפ""ג-2022")</f>
        <v>12887</v>
      </c>
      <c r="E6601" t="s">
        <v>12887</v>
      </c>
      <c r="F6601" t="s">
        <v>12888</v>
      </c>
      <c r="G6601" t="s">
        <v>14</v>
      </c>
      <c r="H6601">
             </c>
      <c r="I6601" t="s">
        <v>14</v>
      </c>
      <c r="J6601" t="s">
        <v>141</v>
      </c>
      <c r="K6601" t="s">
        <v>14</v>
      </c>
      <c r="L6601" t="s">
        <v>20</v>
      </c>
      <c r="M6601" t="s">
        <v>12596</v>
      </c>
      <c r="N6601" t="s">
        <v>14</v>
      </c>
    </row>
    <row r="6602" x14ac:dyDescent="0.25">
      <c r="A6602" t="n">
        <v>25</v>
      </c>
      <c r="B6602" t="s">
        <v>14</v>
      </c>
      <c r="C6602" t="s">
        <v>22</v>
      </c>
      <c r="D6602" s="2" t="s">
        <f>=HYPERLINK("https://main.knesset.gov.il/APPS/legislation/main/bills/2197253", "הצעת חוק להסדרת מקצוע עוזר רופא, התשפ""ג-2022")</f>
        <v>12889</v>
      </c>
      <c r="E6602" t="s">
        <v>12889</v>
      </c>
      <c r="F6602" t="s">
        <v>12890</v>
      </c>
      <c r="G6602" t="s">
        <v>14</v>
      </c>
      <c r="H6602">
             </c>
      <c r="I6602" t="s">
        <v>14</v>
      </c>
      <c r="J6602" t="s">
        <v>141</v>
      </c>
      <c r="K6602" t="s">
        <v>14</v>
      </c>
      <c r="L6602" t="s">
        <v>20</v>
      </c>
      <c r="M6602" t="s">
        <v>12596</v>
      </c>
      <c r="N6602" t="s">
        <v>14</v>
      </c>
    </row>
    <row r="6603" x14ac:dyDescent="0.25">
      <c r="A6603" t="n">
        <v>25</v>
      </c>
      <c r="B6603" t="s">
        <v>14</v>
      </c>
      <c r="C6603" t="s">
        <v>22</v>
      </c>
      <c r="D6603" s="2" t="s">
        <f>=HYPERLINK("https://main.knesset.gov.il/APPS/legislation/main/bills/2197250", "הצעת חוק הגנת הצרכן (תיקון - הנגשת הודעת תשלום לצרכנים שאינם דוברי עברית), התשפ""ג-2022")</f>
        <v>12891</v>
      </c>
      <c r="E6603" t="s">
        <v>12891</v>
      </c>
      <c r="F6603" t="s">
        <v>12892</v>
      </c>
      <c r="G6603" t="s">
        <v>14</v>
      </c>
      <c r="H6603">
             </c>
      <c r="I6603" t="s">
        <v>14</v>
      </c>
      <c r="J6603" t="s">
        <v>141</v>
      </c>
      <c r="K6603" t="s">
        <v>14</v>
      </c>
      <c r="L6603" t="s">
        <v>20</v>
      </c>
      <c r="M6603" t="s">
        <v>12596</v>
      </c>
      <c r="N6603" t="s">
        <v>14</v>
      </c>
    </row>
    <row r="6604" x14ac:dyDescent="0.25">
      <c r="A6604" t="n">
        <v>25</v>
      </c>
      <c r="B6604" t="s">
        <v>14</v>
      </c>
      <c r="C6604" t="s">
        <v>22</v>
      </c>
      <c r="D6604" s="2" t="s">
        <f>=HYPERLINK("https://main.knesset.gov.il/APPS/legislation/main/bills/2197067", "הצעת חוק שירות ביטחון (תיקון - יציאה לחו""ל בדחיית שירות), התשפ""ג-2022")</f>
        <v>12893</v>
      </c>
      <c r="E6604" t="s">
        <v>12893</v>
      </c>
      <c r="F6604" t="s">
        <v>12894</v>
      </c>
      <c r="G6604" t="s">
        <v>14</v>
      </c>
      <c r="H6604">
             </c>
      <c r="I6604" t="s">
        <v>14</v>
      </c>
      <c r="J6604" t="s">
        <v>141</v>
      </c>
      <c r="K6604" t="s">
        <v>14</v>
      </c>
      <c r="L6604" t="s">
        <v>20</v>
      </c>
      <c r="M6604" t="s">
        <v>12596</v>
      </c>
      <c r="N6604" t="s">
        <v>14</v>
      </c>
    </row>
    <row r="6605" x14ac:dyDescent="0.25">
      <c r="A6605" t="n">
        <v>25</v>
      </c>
      <c r="B6605" t="s">
        <v>14</v>
      </c>
      <c r="C6605" t="s">
        <v>22</v>
      </c>
      <c r="D6605" s="2" t="s">
        <f>=HYPERLINK("https://main.knesset.gov.il/APPS/legislation/main/bills/2197077", "הצעת חוק נציבות תלונות הציבור על מייצגי המדינה בערכאות (תיקון - הסדרת מעמד הנציבות כגוף ביקורת עצמאי), התשפ""ג-2022")</f>
        <v>12895</v>
      </c>
      <c r="E6605" t="s">
        <v>12895</v>
      </c>
      <c r="F6605" t="s">
        <v>12896</v>
      </c>
      <c r="G6605" t="s">
        <v>14</v>
      </c>
      <c r="H6605">
             </c>
      <c r="I6605" t="s">
        <v>14</v>
      </c>
      <c r="J6605" t="s">
        <v>343</v>
      </c>
      <c r="K6605" t="s">
        <v>14</v>
      </c>
      <c r="L6605" t="s">
        <v>20</v>
      </c>
      <c r="M6605" t="s">
        <v>12596</v>
      </c>
      <c r="N6605" t="s">
        <v>14</v>
      </c>
    </row>
    <row r="6606" x14ac:dyDescent="0.25">
      <c r="A6606" t="n">
        <v>25</v>
      </c>
      <c r="B6606" t="s">
        <v>14</v>
      </c>
      <c r="C6606" t="s">
        <v>22</v>
      </c>
      <c r="D6606" s="2" t="s">
        <f>=HYPERLINK("https://main.knesset.gov.il/APPS/legislation/main/bills/2197004", "הצעת חוק מרשם האוכלוסין (תיקון - מיהו יהודי), התשפ""ג-2022")</f>
        <v>12897</v>
      </c>
      <c r="E6606" t="s">
        <v>12897</v>
      </c>
      <c r="F6606" t="s">
        <v>12898</v>
      </c>
      <c r="G6606" t="s">
        <v>14</v>
      </c>
      <c r="H6606">
             </c>
      <c r="I6606" t="s">
        <v>14</v>
      </c>
      <c r="J6606" t="s">
        <v>141</v>
      </c>
      <c r="K6606" t="s">
        <v>14</v>
      </c>
      <c r="L6606" t="s">
        <v>20</v>
      </c>
      <c r="M6606" t="s">
        <v>12596</v>
      </c>
      <c r="N6606" t="s">
        <v>14</v>
      </c>
    </row>
    <row r="6607" x14ac:dyDescent="0.25">
      <c r="A6607" t="n">
        <v>25</v>
      </c>
      <c r="B6607" t="s">
        <v>14</v>
      </c>
      <c r="C6607" t="s">
        <v>22</v>
      </c>
      <c r="D6607" s="2" t="s">
        <f>=HYPERLINK("https://main.knesset.gov.il/APPS/legislation/main/bills/2197317", "הצעת חוק הגנת השכר (תיקון - איסור ניכוי חוב או קנס), התשפ""ג-2022")</f>
        <v>12899</v>
      </c>
      <c r="E6607" t="s">
        <v>12899</v>
      </c>
      <c r="F6607" t="s">
        <v>12900</v>
      </c>
      <c r="G6607" t="s">
        <v>14</v>
      </c>
      <c r="H6607">
             </c>
      <c r="I6607" t="s">
        <v>14</v>
      </c>
      <c r="J6607" t="s">
        <v>141</v>
      </c>
      <c r="K6607" t="s">
        <v>14</v>
      </c>
      <c r="L6607" t="s">
        <v>20</v>
      </c>
      <c r="M6607" t="s">
        <v>12596</v>
      </c>
      <c r="N6607" t="s">
        <v>14</v>
      </c>
    </row>
    <row r="6608" x14ac:dyDescent="0.25">
      <c r="A6608" t="n">
        <v>25</v>
      </c>
      <c r="B6608" t="s">
        <v>14</v>
      </c>
      <c r="C6608" t="s">
        <v>22</v>
      </c>
      <c r="D6608" s="2" t="s">
        <f>=HYPERLINK("https://main.knesset.gov.il/APPS/legislation/main/bills/2197319", "הצעת חוק הביטוח הלאומי (תיקון - גמלה לשמירת היריון לאם שילדה פג), התשפ""ג-2022")</f>
        <v>12901</v>
      </c>
      <c r="E6608" t="s">
        <v>12901</v>
      </c>
      <c r="F6608" t="s">
        <v>12902</v>
      </c>
      <c r="G6608" t="s">
        <v>14</v>
      </c>
      <c r="H6608">
             </c>
      <c r="I6608" t="s">
        <v>14</v>
      </c>
      <c r="J6608" t="s">
        <v>141</v>
      </c>
      <c r="K6608" t="s">
        <v>14</v>
      </c>
      <c r="L6608" t="s">
        <v>20</v>
      </c>
      <c r="M6608" t="s">
        <v>12596</v>
      </c>
      <c r="N6608" t="s">
        <v>14</v>
      </c>
    </row>
    <row r="6609" x14ac:dyDescent="0.25">
      <c r="A6609" t="n">
        <v>25</v>
      </c>
      <c r="B6609" t="s">
        <v>14</v>
      </c>
      <c r="C6609" t="s">
        <v>22</v>
      </c>
      <c r="D6609" s="2" t="s">
        <f>=HYPERLINK("https://main.knesset.gov.il/APPS/legislation/main/bills/2196801", "הצעת חוק נציבות תלונות הציבור על מייצגי המדינה בערכאות (תיקון - הסדרת מעמד הנציבות כגוף ביקורת עצמאי), התשפ""ג-2022")</f>
        <v>12895</v>
      </c>
      <c r="E6609" t="s">
        <v>12895</v>
      </c>
      <c r="F6609" t="s">
        <v>12903</v>
      </c>
      <c r="G6609" t="s">
        <v>14</v>
      </c>
      <c r="H6609">
             </c>
      <c r="I6609" t="s">
        <v>14</v>
      </c>
      <c r="J6609" t="s">
        <v>141</v>
      </c>
      <c r="K6609" t="s">
        <v>14</v>
      </c>
      <c r="L6609" t="s">
        <v>20</v>
      </c>
      <c r="M6609" t="s">
        <v>12596</v>
      </c>
      <c r="N6609" t="s">
        <v>14</v>
      </c>
    </row>
    <row r="6610" x14ac:dyDescent="0.25">
      <c r="A6610" t="n">
        <v>25</v>
      </c>
      <c r="B6610" t="s">
        <v>14</v>
      </c>
      <c r="C6610" t="s">
        <v>22</v>
      </c>
      <c r="D6610" s="2" t="s">
        <f>=HYPERLINK("https://main.knesset.gov.il/APPS/legislation/main/bills/2196998", "הצעת חוק שיקים ללא כיסוי (תיקון - חשבון פרטי וחשבון עסקי), התשפ""ג-2022")</f>
        <v>12904</v>
      </c>
      <c r="E6610" t="s">
        <v>12904</v>
      </c>
      <c r="F6610" t="s">
        <v>12905</v>
      </c>
      <c r="G6610" t="s">
        <v>14</v>
      </c>
      <c r="H6610">
             </c>
      <c r="I6610" t="s">
        <v>14</v>
      </c>
      <c r="J6610" t="s">
        <v>141</v>
      </c>
      <c r="K6610" t="s">
        <v>14</v>
      </c>
      <c r="L6610" t="s">
        <v>20</v>
      </c>
      <c r="M6610" t="s">
        <v>12596</v>
      </c>
      <c r="N6610" t="s">
        <v>14</v>
      </c>
    </row>
    <row r="6611" x14ac:dyDescent="0.25">
      <c r="A6611" t="n">
        <v>25</v>
      </c>
      <c r="B6611" t="s">
        <v>14</v>
      </c>
      <c r="C6611" t="s">
        <v>22</v>
      </c>
      <c r="D6611" s="2" t="s">
        <f>=HYPERLINK("https://main.knesset.gov.il/APPS/legislation/main/bills/2196938", "הצעת חוק-יסוד: הממשלה (תיקון - הפסקת כהונה של שר וסגן שר בשל חשד לפלילים) ")</f>
        <v>12906</v>
      </c>
      <c r="E6611" t="s">
        <v>12906</v>
      </c>
      <c r="F6611" t="s">
        <v>12907</v>
      </c>
      <c r="G6611" t="s">
        <v>14</v>
      </c>
      <c r="H6611">
             </c>
      <c r="I6611" t="s">
        <v>14</v>
      </c>
      <c r="J6611" t="s">
        <v>141</v>
      </c>
      <c r="K6611" t="s">
        <v>14</v>
      </c>
      <c r="L6611" t="s">
        <v>20</v>
      </c>
      <c r="M6611" t="s">
        <v>12596</v>
      </c>
      <c r="N6611" t="s">
        <v>14</v>
      </c>
    </row>
    <row r="6612" x14ac:dyDescent="0.25">
      <c r="A6612" t="n">
        <v>25</v>
      </c>
      <c r="B6612" t="s">
        <v>14</v>
      </c>
      <c r="C6612" t="s">
        <v>22</v>
      </c>
      <c r="D6612" s="2" t="s">
        <f>=HYPERLINK("https://main.knesset.gov.il/APPS/legislation/main/bills/2197020", "הצעת חוק מענק לבניית מרחב מוגן, התשפ""ג-2022")</f>
        <v>12908</v>
      </c>
      <c r="E6612" t="s">
        <v>12908</v>
      </c>
      <c r="F6612" t="s">
        <v>12909</v>
      </c>
      <c r="G6612" t="s">
        <v>14</v>
      </c>
      <c r="H6612">
             </c>
      <c r="I6612" t="s">
        <v>14</v>
      </c>
      <c r="J6612" t="s">
        <v>343</v>
      </c>
      <c r="K6612" t="s">
        <v>14</v>
      </c>
      <c r="L6612" t="s">
        <v>20</v>
      </c>
      <c r="M6612" t="s">
        <v>12596</v>
      </c>
      <c r="N6612" t="s">
        <v>14</v>
      </c>
    </row>
    <row r="6613" x14ac:dyDescent="0.25">
      <c r="A6613" t="n">
        <v>25</v>
      </c>
      <c r="B6613" t="s">
        <v>14</v>
      </c>
      <c r="C6613" t="s">
        <v>22</v>
      </c>
      <c r="D6613" s="2" t="s">
        <f>=HYPERLINK("https://main.knesset.gov.il/APPS/legislation/main/bills/2196798", "הצעת חוק נציב תלונות הציבור על שופטים (תיקון - מינוי הנציב), התשפ""ג-2022")</f>
        <v>12910</v>
      </c>
      <c r="E6613" t="s">
        <v>12910</v>
      </c>
      <c r="F6613" t="s">
        <v>12911</v>
      </c>
      <c r="G6613" t="s">
        <v>14</v>
      </c>
      <c r="H6613">
             </c>
      <c r="I6613" t="s">
        <v>14</v>
      </c>
      <c r="J6613" t="s">
        <v>141</v>
      </c>
      <c r="K6613" t="s">
        <v>14</v>
      </c>
      <c r="L6613" t="s">
        <v>20</v>
      </c>
      <c r="M6613" t="s">
        <v>12596</v>
      </c>
      <c r="N6613" t="s">
        <v>14</v>
      </c>
    </row>
    <row r="6614" x14ac:dyDescent="0.25">
      <c r="A6614" t="n">
        <v>25</v>
      </c>
      <c r="B6614" t="s">
        <v>14</v>
      </c>
      <c r="C6614" t="s">
        <v>22</v>
      </c>
      <c r="D6614" s="2" t="s">
        <f>=HYPERLINK("https://main.knesset.gov.il/APPS/legislation/main/bills/2195936", "הצעת חוק החברות הממשלתיות (תיקון - ייצוג הולם בתאגידים שהוקמו בחוק ובחברות ממשלתיות), התשפ""ג-2022")</f>
        <v>12912</v>
      </c>
      <c r="E6614" t="s">
        <v>12912</v>
      </c>
      <c r="F6614" t="s">
        <v>12913</v>
      </c>
      <c r="G6614" t="s">
        <v>14</v>
      </c>
      <c r="H6614">
             </c>
      <c r="I6614" t="s">
        <v>14</v>
      </c>
      <c r="J6614" t="s">
        <v>141</v>
      </c>
      <c r="K6614" t="s">
        <v>14</v>
      </c>
      <c r="L6614" t="s">
        <v>20</v>
      </c>
      <c r="M6614" t="s">
        <v>12596</v>
      </c>
      <c r="N6614" t="s">
        <v>14</v>
      </c>
    </row>
    <row r="6615" x14ac:dyDescent="0.25">
      <c r="A6615" t="n">
        <v>25</v>
      </c>
      <c r="B6615" t="s">
        <v>14</v>
      </c>
      <c r="C6615" t="s">
        <v>22</v>
      </c>
      <c r="D6615" s="2" t="s">
        <f>=HYPERLINK("https://main.knesset.gov.il/APPS/legislation/main/bills/2197320", "הצעת חוק הביטוח הלאומי (תיקון - זכות טיעון לפני שלילת גמלה), התשפ""ג-2022")</f>
        <v>12914</v>
      </c>
      <c r="E6615" t="s">
        <v>12914</v>
      </c>
      <c r="F6615" t="s">
        <v>12915</v>
      </c>
      <c r="G6615" t="s">
        <v>14</v>
      </c>
      <c r="H6615">
             </c>
      <c r="I6615" t="s">
        <v>14</v>
      </c>
      <c r="J6615" t="s">
        <v>141</v>
      </c>
      <c r="K6615" t="s">
        <v>14</v>
      </c>
      <c r="L6615" t="s">
        <v>20</v>
      </c>
      <c r="M6615" t="s">
        <v>12596</v>
      </c>
      <c r="N6615" t="s">
        <v>14</v>
      </c>
    </row>
    <row r="6616" x14ac:dyDescent="0.25">
      <c r="A6616" t="n">
        <v>25</v>
      </c>
      <c r="B6616" t="s">
        <v>14</v>
      </c>
      <c r="C6616" t="s">
        <v>22</v>
      </c>
      <c r="D6616" s="2" t="s">
        <f>=HYPERLINK("https://main.knesset.gov.il/APPS/legislation/main/bills/2195978", "הצעת חוק לימוד חובה (תיקון - חובת דיווח על היעדרות תלמיד), התשפ""ג-2022")</f>
        <v>12916</v>
      </c>
      <c r="E6616" t="s">
        <v>12916</v>
      </c>
      <c r="F6616" t="s">
        <v>12917</v>
      </c>
      <c r="G6616" t="s">
        <v>14</v>
      </c>
      <c r="H6616">
             </c>
      <c r="I6616" t="s">
        <v>14</v>
      </c>
      <c r="J6616" t="s">
        <v>141</v>
      </c>
      <c r="K6616" t="s">
        <v>14</v>
      </c>
      <c r="L6616" t="s">
        <v>20</v>
      </c>
      <c r="M6616" t="s">
        <v>12596</v>
      </c>
      <c r="N6616" t="s">
        <v>14</v>
      </c>
    </row>
    <row r="6617" x14ac:dyDescent="0.25">
      <c r="A6617" t="n">
        <v>25</v>
      </c>
      <c r="B6617" t="s">
        <v>14</v>
      </c>
      <c r="C6617" t="s">
        <v>22</v>
      </c>
      <c r="D6617" s="2" t="s">
        <f>=HYPERLINK("https://main.knesset.gov.il/APPS/legislation/main/bills/2197289", "הצעת חוק לתיקון פקודת התעבורה (חובת התקנת חיישן בטיחות), התשפ""ג-2022")</f>
        <v>12918</v>
      </c>
      <c r="E6617" t="s">
        <v>12918</v>
      </c>
      <c r="F6617" t="s">
        <v>12919</v>
      </c>
      <c r="G6617" t="s">
        <v>14</v>
      </c>
      <c r="H6617">
             </c>
      <c r="I6617" t="s">
        <v>14</v>
      </c>
      <c r="J6617" t="s">
        <v>141</v>
      </c>
      <c r="K6617" t="s">
        <v>14</v>
      </c>
      <c r="L6617" t="s">
        <v>20</v>
      </c>
      <c r="M6617" t="s">
        <v>12596</v>
      </c>
      <c r="N6617" t="s">
        <v>14</v>
      </c>
    </row>
    <row r="6618" x14ac:dyDescent="0.25">
      <c r="A6618" t="n">
        <v>25</v>
      </c>
      <c r="B6618" t="s">
        <v>14</v>
      </c>
      <c r="C6618" t="s">
        <v>22</v>
      </c>
      <c r="D6618" s="2" t="s">
        <f>=HYPERLINK("https://main.knesset.gov.il/APPS/legislation/main/bills/2197288", "הצעת חוק לתיקון פקודת התעבורה (פיצוי למתלונן), התשפ""ג-2022")</f>
        <v>12920</v>
      </c>
      <c r="E6618" t="s">
        <v>12920</v>
      </c>
      <c r="F6618" t="s">
        <v>12921</v>
      </c>
      <c r="G6618" t="s">
        <v>14</v>
      </c>
      <c r="H6618">
             </c>
      <c r="I6618" t="s">
        <v>14</v>
      </c>
      <c r="J6618" t="s">
        <v>141</v>
      </c>
      <c r="K6618" t="s">
        <v>14</v>
      </c>
      <c r="L6618" t="s">
        <v>20</v>
      </c>
      <c r="M6618" t="s">
        <v>12596</v>
      </c>
      <c r="N6618" t="s">
        <v>14</v>
      </c>
    </row>
    <row r="6619" x14ac:dyDescent="0.25">
      <c r="A6619" t="n">
        <v>25</v>
      </c>
      <c r="B6619" t="s">
        <v>14</v>
      </c>
      <c r="C6619" t="s">
        <v>22</v>
      </c>
      <c r="D6619" s="2" t="s">
        <f>=HYPERLINK("https://main.knesset.gov.il/APPS/legislation/main/bills/2197287", "הצעת חוק לתיקון פקודת התעבורה (סימון שונה במקומות שבהם היתר החניה תלוי בשעות), התשפ""ג-2022")</f>
        <v>12922</v>
      </c>
      <c r="E6619" t="s">
        <v>12922</v>
      </c>
      <c r="F6619" t="s">
        <v>12923</v>
      </c>
      <c r="G6619" t="s">
        <v>14</v>
      </c>
      <c r="H6619">
             </c>
      <c r="I6619" t="s">
        <v>14</v>
      </c>
      <c r="J6619" t="s">
        <v>141</v>
      </c>
      <c r="K6619" t="s">
        <v>14</v>
      </c>
      <c r="L6619" t="s">
        <v>20</v>
      </c>
      <c r="M6619" t="s">
        <v>12596</v>
      </c>
      <c r="N6619" t="s">
        <v>14</v>
      </c>
    </row>
    <row r="6620" x14ac:dyDescent="0.25">
      <c r="A6620" t="n">
        <v>25</v>
      </c>
      <c r="B6620" t="s">
        <v>14</v>
      </c>
      <c r="C6620" t="s">
        <v>22</v>
      </c>
      <c r="D6620" s="2" t="s">
        <f>=HYPERLINK("https://main.knesset.gov.il/APPS/legislation/main/bills/2197276", "הצעת חוק יסודות התקציב (תיקון - ועדת ערר לתמיכה במוסד ציבור), התשפ""ג-2022")</f>
        <v>12924</v>
      </c>
      <c r="E6620" t="s">
        <v>12924</v>
      </c>
      <c r="F6620" t="s">
        <v>12925</v>
      </c>
      <c r="G6620" t="s">
        <v>14</v>
      </c>
      <c r="H6620">
             </c>
      <c r="I6620" t="s">
        <v>14</v>
      </c>
      <c r="J6620" t="s">
        <v>141</v>
      </c>
      <c r="K6620" t="s">
        <v>14</v>
      </c>
      <c r="L6620" t="s">
        <v>20</v>
      </c>
      <c r="M6620" t="s">
        <v>12596</v>
      </c>
      <c r="N6620" t="s">
        <v>14</v>
      </c>
    </row>
    <row r="6621" x14ac:dyDescent="0.25">
      <c r="A6621" t="n">
        <v>25</v>
      </c>
      <c r="B6621" t="s">
        <v>14</v>
      </c>
      <c r="C6621" t="s">
        <v>22</v>
      </c>
      <c r="D6621" s="2" t="s">
        <f>=HYPERLINK("https://main.knesset.gov.il/APPS/legislation/main/bills/2197267", "הצעת חוק הגנת השכר (תיקון - מתכונת אחידה לפנקס שכר ותלוש שכר), התשפ""ג-2022")</f>
        <v>12926</v>
      </c>
      <c r="E6621" t="s">
        <v>12926</v>
      </c>
      <c r="F6621" t="s">
        <v>12927</v>
      </c>
      <c r="G6621" t="s">
        <v>14</v>
      </c>
      <c r="H6621">
             </c>
      <c r="I6621" t="s">
        <v>14</v>
      </c>
      <c r="J6621" t="s">
        <v>141</v>
      </c>
      <c r="K6621" t="s">
        <v>14</v>
      </c>
      <c r="L6621" t="s">
        <v>20</v>
      </c>
      <c r="M6621" t="s">
        <v>12596</v>
      </c>
      <c r="N6621" t="s">
        <v>14</v>
      </c>
    </row>
    <row r="6622" x14ac:dyDescent="0.25">
      <c r="A6622" t="n">
        <v>25</v>
      </c>
      <c r="B6622" t="s">
        <v>14</v>
      </c>
      <c r="C6622" t="s">
        <v>22</v>
      </c>
      <c r="D6622" s="2" t="s">
        <f>=HYPERLINK("https://main.knesset.gov.il/APPS/legislation/main/bills/2195951", "הצעת חוק להקפאת כספים ששילמה הרשות הפלסטינית בזיקה לטרור מהכספים המועברים אליה מממשלת ישראל (תיקון - הקפאת כספי תגמולים לתושבי האזור מכוח חוק התגמולים לנפגעי פעולות איבה), התשפ""ג-2022")</f>
        <v>12928</v>
      </c>
      <c r="E6622" t="s">
        <v>12928</v>
      </c>
      <c r="F6622" t="s">
        <v>12929</v>
      </c>
      <c r="G6622" t="s">
        <v>14</v>
      </c>
      <c r="H6622">
             </c>
      <c r="I6622" t="s">
        <v>14</v>
      </c>
      <c r="J6622" t="s">
        <v>141</v>
      </c>
      <c r="K6622" t="s">
        <v>14</v>
      </c>
      <c r="L6622" t="s">
        <v>20</v>
      </c>
      <c r="M6622" t="s">
        <v>12596</v>
      </c>
      <c r="N6622" t="s">
        <v>14</v>
      </c>
    </row>
    <row r="6623" x14ac:dyDescent="0.25">
      <c r="A6623" t="n">
        <v>25</v>
      </c>
      <c r="B6623" t="s">
        <v>14</v>
      </c>
      <c r="C6623" t="s">
        <v>22</v>
      </c>
      <c r="D6623" s="2" t="s">
        <f>=HYPERLINK("https://main.knesset.gov.il/APPS/legislation/main/bills/2195943", "הצעת חוק לתיקון פקודת הבנקאות (הוראות ניהול בנקאי תקין להלוואה בערבות מדינה בשעת חירום), התשפ""ג-2022")</f>
        <v>12930</v>
      </c>
      <c r="E6623" t="s">
        <v>12930</v>
      </c>
      <c r="F6623" t="s">
        <v>12931</v>
      </c>
      <c r="G6623" t="s">
        <v>14</v>
      </c>
      <c r="H6623">
             </c>
      <c r="I6623" t="s">
        <v>14</v>
      </c>
      <c r="J6623" t="s">
        <v>141</v>
      </c>
      <c r="K6623" t="s">
        <v>14</v>
      </c>
      <c r="L6623" t="s">
        <v>20</v>
      </c>
      <c r="M6623" t="s">
        <v>12596</v>
      </c>
      <c r="N6623" t="s">
        <v>14</v>
      </c>
    </row>
    <row r="6624" x14ac:dyDescent="0.25">
      <c r="A6624" t="n">
        <v>25</v>
      </c>
      <c r="B6624" t="s">
        <v>14</v>
      </c>
      <c r="C6624" t="s">
        <v>22</v>
      </c>
      <c r="D6624" s="2" t="s">
        <f>=HYPERLINK("https://main.knesset.gov.il/APPS/legislation/main/bills/2195941", "הצעת חוק העונשין (תיקון - תקיפת עורך דין כתקיפת עובד ציבור), התשפ""ג-2022")</f>
        <v>12932</v>
      </c>
      <c r="E6624" t="s">
        <v>12932</v>
      </c>
      <c r="F6624" t="s">
        <v>12933</v>
      </c>
      <c r="G6624" t="s">
        <v>14</v>
      </c>
      <c r="H6624">
             </c>
      <c r="I6624" t="s">
        <v>14</v>
      </c>
      <c r="J6624" t="s">
        <v>141</v>
      </c>
      <c r="K6624" t="s">
        <v>14</v>
      </c>
      <c r="L6624" t="s">
        <v>20</v>
      </c>
      <c r="M6624" t="s">
        <v>12596</v>
      </c>
      <c r="N6624" t="s">
        <v>14</v>
      </c>
    </row>
    <row r="6625" x14ac:dyDescent="0.25">
      <c r="A6625" t="n">
        <v>25</v>
      </c>
      <c r="B6625" t="s">
        <v>14</v>
      </c>
      <c r="C6625" t="s">
        <v>22</v>
      </c>
      <c r="D6625" s="2" t="s">
        <f>=HYPERLINK("https://main.knesset.gov.il/APPS/legislation/main/bills/2196184", "הצעת חוק-יסוד: השפיטה (תיקון - הרכב הוועדה לבחירת שופטים) ")</f>
        <v>12934</v>
      </c>
      <c r="E6625" t="s">
        <v>12934</v>
      </c>
      <c r="F6625" t="s">
        <v>12935</v>
      </c>
      <c r="G6625" t="s">
        <v>14</v>
      </c>
      <c r="H6625">
             </c>
      <c r="I6625" t="s">
        <v>14</v>
      </c>
      <c r="J6625" t="s">
        <v>141</v>
      </c>
      <c r="K6625" t="s">
        <v>14</v>
      </c>
      <c r="L6625" t="s">
        <v>20</v>
      </c>
      <c r="M6625" t="s">
        <v>12596</v>
      </c>
      <c r="N6625" t="s">
        <v>14</v>
      </c>
    </row>
    <row r="6626" x14ac:dyDescent="0.25">
      <c r="A6626" t="n">
        <v>25</v>
      </c>
      <c r="B6626" t="s">
        <v>14</v>
      </c>
      <c r="C6626" t="s">
        <v>22</v>
      </c>
      <c r="D6626" s="2" t="s">
        <f>=HYPERLINK("https://main.knesset.gov.il/APPS/legislation/main/bills/2196814", "הצעת חוק ההוצאה לפועל (תיקון - קביעת תעריף מקסימלי לשכר טרחת עורך דין), התשפ""ג-2022")</f>
        <v>12936</v>
      </c>
      <c r="E6626" t="s">
        <v>12936</v>
      </c>
      <c r="F6626" t="s">
        <v>12937</v>
      </c>
      <c r="G6626" t="s">
        <v>14</v>
      </c>
      <c r="H6626">
             </c>
      <c r="I6626" t="s">
        <v>14</v>
      </c>
      <c r="J6626" t="s">
        <v>141</v>
      </c>
      <c r="K6626" t="s">
        <v>14</v>
      </c>
      <c r="L6626" t="s">
        <v>20</v>
      </c>
      <c r="M6626" t="s">
        <v>12596</v>
      </c>
      <c r="N6626" t="s">
        <v>14</v>
      </c>
    </row>
    <row r="6627" x14ac:dyDescent="0.25">
      <c r="A6627" t="n">
        <v>25</v>
      </c>
      <c r="B6627" t="s">
        <v>14</v>
      </c>
      <c r="C6627" t="s">
        <v>22</v>
      </c>
      <c r="D6627" s="2" t="s">
        <f>=HYPERLINK("https://main.knesset.gov.il/APPS/legislation/main/bills/2195929", "הצעת חוק הביטוח הלאומי (תיקון - הארכת המועד להגשת תביעות ליקוי שמיעה), התשפ""ג-2022")</f>
        <v>12938</v>
      </c>
      <c r="E6627" t="s">
        <v>12938</v>
      </c>
      <c r="F6627" t="s">
        <v>12939</v>
      </c>
      <c r="G6627" t="s">
        <v>14</v>
      </c>
      <c r="H6627">
             </c>
      <c r="I6627" t="s">
        <v>14</v>
      </c>
      <c r="J6627" t="s">
        <v>141</v>
      </c>
      <c r="K6627" t="s">
        <v>14</v>
      </c>
      <c r="L6627" t="s">
        <v>20</v>
      </c>
      <c r="M6627" t="s">
        <v>12596</v>
      </c>
      <c r="N6627" t="s">
        <v>14</v>
      </c>
    </row>
    <row r="6628" x14ac:dyDescent="0.25">
      <c r="A6628" t="n">
        <v>25</v>
      </c>
      <c r="B6628" t="s">
        <v>14</v>
      </c>
      <c r="C6628" t="s">
        <v>22</v>
      </c>
      <c r="D6628" s="2" t="s">
        <f>=HYPERLINK("https://main.knesset.gov.il/APPS/legislation/main/bills/2196812", "הצעת חוק הוועדה למינוי בכירים (תיקוני חקיקה), התשפ""ג-2022")</f>
        <v>12940</v>
      </c>
      <c r="E6628" t="s">
        <v>12940</v>
      </c>
      <c r="F6628" t="s">
        <v>12941</v>
      </c>
      <c r="G6628" t="s">
        <v>14</v>
      </c>
      <c r="H6628">
             </c>
      <c r="I6628" t="s">
        <v>14</v>
      </c>
      <c r="J6628" t="s">
        <v>141</v>
      </c>
      <c r="K6628" t="s">
        <v>14</v>
      </c>
      <c r="L6628" t="s">
        <v>20</v>
      </c>
      <c r="M6628" t="s">
        <v>12596</v>
      </c>
      <c r="N6628" t="s">
        <v>14</v>
      </c>
    </row>
    <row r="6629" x14ac:dyDescent="0.25">
      <c r="A6629" t="n">
        <v>25</v>
      </c>
      <c r="B6629" t="s">
        <v>14</v>
      </c>
      <c r="C6629" t="s">
        <v>22</v>
      </c>
      <c r="D6629" s="2" t="s">
        <f>=HYPERLINK("https://main.knesset.gov.il/APPS/legislation/main/bills/2196808", "הצעת חוק לתיקון פקודת הראיות (עדות יועץ תקשורת או דובר), התשפ""ג-2022")</f>
        <v>12942</v>
      </c>
      <c r="E6629" t="s">
        <v>12942</v>
      </c>
      <c r="F6629" t="s">
        <v>12943</v>
      </c>
      <c r="G6629" t="s">
        <v>14</v>
      </c>
      <c r="H6629">
             </c>
      <c r="I6629" t="s">
        <v>14</v>
      </c>
      <c r="J6629" t="s">
        <v>141</v>
      </c>
      <c r="K6629" t="s">
        <v>14</v>
      </c>
      <c r="L6629" t="s">
        <v>20</v>
      </c>
      <c r="M6629" t="s">
        <v>12596</v>
      </c>
      <c r="N6629" t="s">
        <v>14</v>
      </c>
    </row>
    <row r="6630" x14ac:dyDescent="0.25">
      <c r="A6630" t="n">
        <v>25</v>
      </c>
      <c r="B6630" t="s">
        <v>14</v>
      </c>
      <c r="C6630" t="s">
        <v>22</v>
      </c>
      <c r="D6630" s="2" t="s">
        <f>=HYPERLINK("https://main.knesset.gov.il/APPS/legislation/main/bills/2195928", "הצעת חוק להגדלת שיעור ההשתתפות בכוח העבודה ולצמצום פערים חברתיים (מענק עבודה) (תיקון - זכאות להטבות נלוות), התשפ""ג-2022")</f>
        <v>12944</v>
      </c>
      <c r="E6630" t="s">
        <v>12944</v>
      </c>
      <c r="F6630" t="s">
        <v>12945</v>
      </c>
      <c r="G6630" t="s">
        <v>14</v>
      </c>
      <c r="H6630">
             </c>
      <c r="I6630" t="s">
        <v>14</v>
      </c>
      <c r="J6630" t="s">
        <v>141</v>
      </c>
      <c r="K6630" t="s">
        <v>14</v>
      </c>
      <c r="L6630" t="s">
        <v>20</v>
      </c>
      <c r="M6630" t="s">
        <v>12596</v>
      </c>
      <c r="N6630" t="s">
        <v>14</v>
      </c>
    </row>
    <row r="6631" x14ac:dyDescent="0.25">
      <c r="A6631" t="n">
        <v>25</v>
      </c>
      <c r="B6631" t="s">
        <v>14</v>
      </c>
      <c r="C6631" t="s">
        <v>22</v>
      </c>
      <c r="D6631" s="2" t="s">
        <f>=HYPERLINK("https://main.knesset.gov.il/APPS/legislation/main/bills/2196110", "הצעת חוק הפקדות וזכויות סוציאליות לעצמאים (תיקוני חקיקה), התשפ""ג-2022")</f>
        <v>12946</v>
      </c>
      <c r="E6631" t="s">
        <v>12946</v>
      </c>
      <c r="F6631" t="s">
        <v>12947</v>
      </c>
      <c r="G6631" t="s">
        <v>14</v>
      </c>
      <c r="H6631">
             </c>
      <c r="I6631" t="s">
        <v>14</v>
      </c>
      <c r="J6631" t="s">
        <v>141</v>
      </c>
      <c r="K6631" t="s">
        <v>14</v>
      </c>
      <c r="L6631" t="s">
        <v>20</v>
      </c>
      <c r="M6631" t="s">
        <v>12596</v>
      </c>
      <c r="N6631" t="s">
        <v>14</v>
      </c>
    </row>
    <row r="6632" x14ac:dyDescent="0.25">
      <c r="A6632" t="n">
        <v>25</v>
      </c>
      <c r="B6632" t="s">
        <v>14</v>
      </c>
      <c r="C6632" t="s">
        <v>22</v>
      </c>
      <c r="D6632" s="2" t="s">
        <f>=HYPERLINK("https://main.knesset.gov.il/APPS/legislation/main/bills/2197577", "הצעת חוק לתיקון פקודת בתי הסוהר (תנאי אסיר ביטחוני בבתי הסוהר), התשפ""ג-2022")</f>
        <v>12948</v>
      </c>
      <c r="E6632" t="s">
        <v>12948</v>
      </c>
      <c r="F6632" t="s">
        <v>12949</v>
      </c>
      <c r="G6632" t="s">
        <v>14</v>
      </c>
      <c r="H6632">
             </c>
      <c r="I6632" t="s">
        <v>14</v>
      </c>
      <c r="J6632" t="s">
        <v>141</v>
      </c>
      <c r="K6632" t="s">
        <v>14</v>
      </c>
      <c r="L6632" t="s">
        <v>20</v>
      </c>
      <c r="M6632" t="s">
        <v>12596</v>
      </c>
      <c r="N6632" t="s">
        <v>14</v>
      </c>
    </row>
    <row r="6633" x14ac:dyDescent="0.25">
      <c r="A6633" t="n">
        <v>25</v>
      </c>
      <c r="B6633" t="s">
        <v>14</v>
      </c>
      <c r="C6633" t="s">
        <v>22</v>
      </c>
      <c r="D6633" s="2" t="s">
        <f>=HYPERLINK("https://main.knesset.gov.il/APPS/legislation/main/bills/2196066", "הצעת חוק הכשרות המשפטית והאפוטרופסות (תיקון - הסדרי ראיה לדודים ודודות), התשפ""ג-2022")</f>
        <v>12950</v>
      </c>
      <c r="E6633" t="s">
        <v>12950</v>
      </c>
      <c r="F6633" t="s">
        <v>12951</v>
      </c>
      <c r="G6633" t="s">
        <v>14</v>
      </c>
      <c r="H6633">
             </c>
      <c r="I6633" t="s">
        <v>14</v>
      </c>
      <c r="J6633" t="s">
        <v>141</v>
      </c>
      <c r="K6633" t="s">
        <v>14</v>
      </c>
      <c r="L6633" t="s">
        <v>20</v>
      </c>
      <c r="M6633" t="s">
        <v>12596</v>
      </c>
      <c r="N6633" t="s">
        <v>14</v>
      </c>
    </row>
    <row r="6634" x14ac:dyDescent="0.25">
      <c r="A6634" t="n">
        <v>25</v>
      </c>
      <c r="B6634" t="s">
        <v>14</v>
      </c>
      <c r="C6634" t="s">
        <v>22</v>
      </c>
      <c r="D6634" s="2" t="s">
        <f>=HYPERLINK("https://main.knesset.gov.il/APPS/legislation/main/bills/2196860", "הצעת חוק-יסוד: כבוד האדם וחירותו (תיקון - פגיעה בזכויות)")</f>
        <v>12952</v>
      </c>
      <c r="E6634" t="s">
        <v>12952</v>
      </c>
      <c r="F6634" t="s">
        <v>12953</v>
      </c>
      <c r="G6634" t="s">
        <v>14</v>
      </c>
      <c r="H6634">
             </c>
      <c r="I6634" t="s">
        <v>14</v>
      </c>
      <c r="J6634" t="s">
        <v>141</v>
      </c>
      <c r="K6634" t="s">
        <v>14</v>
      </c>
      <c r="L6634" t="s">
        <v>20</v>
      </c>
      <c r="M6634" t="s">
        <v>12596</v>
      </c>
      <c r="N6634" t="s">
        <v>14</v>
      </c>
    </row>
    <row r="6635" x14ac:dyDescent="0.25">
      <c r="A6635" t="n">
        <v>25</v>
      </c>
      <c r="B6635" t="s">
        <v>14</v>
      </c>
      <c r="C6635" t="s">
        <v>22</v>
      </c>
      <c r="D6635" s="2" t="s">
        <f>=HYPERLINK("https://main.knesset.gov.il/APPS/legislation/main/bills/2198103", "הצעת חוק הרשויות המקומיות (גמול השתתפות בישיבות והחזר הוצאות לחברי מועצה), התשפ""ג-2022")</f>
        <v>12954</v>
      </c>
      <c r="E6635" t="s">
        <v>12954</v>
      </c>
      <c r="F6635" t="s">
        <v>12955</v>
      </c>
      <c r="G6635" t="s">
        <v>14</v>
      </c>
      <c r="H6635">
             </c>
      <c r="I6635" t="s">
        <v>14</v>
      </c>
      <c r="J6635" t="s">
        <v>141</v>
      </c>
      <c r="K6635" t="s">
        <v>14</v>
      </c>
      <c r="L6635" t="s">
        <v>20</v>
      </c>
      <c r="M6635" t="s">
        <v>12596</v>
      </c>
      <c r="N6635" t="s">
        <v>14</v>
      </c>
    </row>
    <row r="6636" x14ac:dyDescent="0.25">
      <c r="A6636" t="n">
        <v>25</v>
      </c>
      <c r="B6636" t="s">
        <v>14</v>
      </c>
      <c r="C6636" t="s">
        <v>22</v>
      </c>
      <c r="D6636" s="2" t="s">
        <f>=HYPERLINK("https://main.knesset.gov.il/APPS/legislation/main/bills/2196060", "הצעת חוק התכנון והבנייה (תיקון - מכירה ישירה של תוצרת חקלאית), התשפ""ג-2022")</f>
        <v>12956</v>
      </c>
      <c r="E6636" t="s">
        <v>12956</v>
      </c>
      <c r="F6636" t="s">
        <v>12957</v>
      </c>
      <c r="G6636" t="s">
        <v>14</v>
      </c>
      <c r="H6636">
             </c>
      <c r="I6636" t="s">
        <v>14</v>
      </c>
      <c r="J6636" t="s">
        <v>141</v>
      </c>
      <c r="K6636" t="s">
        <v>14</v>
      </c>
      <c r="L6636" t="s">
        <v>20</v>
      </c>
      <c r="M6636" t="s">
        <v>12596</v>
      </c>
      <c r="N6636" t="s">
        <v>14</v>
      </c>
    </row>
    <row r="6637" x14ac:dyDescent="0.25">
      <c r="A6637" t="n">
        <v>25</v>
      </c>
      <c r="B6637" t="s">
        <v>14</v>
      </c>
      <c r="C6637" t="s">
        <v>22</v>
      </c>
      <c r="D6637" s="2" t="s">
        <f>=HYPERLINK("https://main.knesset.gov.il/APPS/legislation/main/bills/2196010", "הצעת חוק הביטוח הלאומי (תיקון - טיפול בפעוטות במעונות יום כעבודה מועדפת), התשפ""ג-2022")</f>
        <v>12958</v>
      </c>
      <c r="E6637" t="s">
        <v>12958</v>
      </c>
      <c r="F6637" t="s">
        <v>12959</v>
      </c>
      <c r="G6637" t="s">
        <v>14</v>
      </c>
      <c r="H6637">
             </c>
      <c r="I6637" t="s">
        <v>14</v>
      </c>
      <c r="J6637" t="s">
        <v>141</v>
      </c>
      <c r="K6637" t="s">
        <v>14</v>
      </c>
      <c r="L6637" t="s">
        <v>20</v>
      </c>
      <c r="M6637" t="s">
        <v>12596</v>
      </c>
      <c r="N6637" t="s">
        <v>14</v>
      </c>
    </row>
    <row r="6638" x14ac:dyDescent="0.25">
      <c r="A6638" t="n">
        <v>25</v>
      </c>
      <c r="B6638" t="s">
        <v>14</v>
      </c>
      <c r="C6638" t="s">
        <v>22</v>
      </c>
      <c r="D6638" s="2" t="s">
        <f>=HYPERLINK("https://main.knesset.gov.il/APPS/legislation/main/bills/2196030", "הצעת חוק התובע הכללי, התשפ""ג-2022")</f>
        <v>12960</v>
      </c>
      <c r="E6638" t="s">
        <v>12960</v>
      </c>
      <c r="F6638" t="s">
        <v>12961</v>
      </c>
      <c r="G6638" t="s">
        <v>14</v>
      </c>
      <c r="H6638">
             </c>
      <c r="I6638" t="s">
        <v>14</v>
      </c>
      <c r="J6638" t="s">
        <v>141</v>
      </c>
      <c r="K6638" t="s">
        <v>14</v>
      </c>
      <c r="L6638" t="s">
        <v>20</v>
      </c>
      <c r="M6638" t="s">
        <v>12596</v>
      </c>
      <c r="N6638" t="s">
        <v>14</v>
      </c>
    </row>
    <row r="6639" x14ac:dyDescent="0.25">
      <c r="A6639" t="n">
        <v>25</v>
      </c>
      <c r="B6639" t="s">
        <v>14</v>
      </c>
      <c r="C6639" t="s">
        <v>22</v>
      </c>
      <c r="D6639" s="2" t="s">
        <f>=HYPERLINK("https://main.knesset.gov.il/APPS/legislation/main/bills/2195861", "הצעת חוק החזר גביית יתר (תיקוני חקיקה), התשפ""ג-2022")</f>
        <v>12962</v>
      </c>
      <c r="E6639" t="s">
        <v>12962</v>
      </c>
      <c r="F6639" t="s">
        <v>12963</v>
      </c>
      <c r="G6639" t="s">
        <v>14</v>
      </c>
      <c r="H6639">
             </c>
      <c r="I6639" t="s">
        <v>14</v>
      </c>
      <c r="J6639" t="s">
        <v>141</v>
      </c>
      <c r="K6639" t="s">
        <v>14</v>
      </c>
      <c r="L6639" t="s">
        <v>20</v>
      </c>
      <c r="M6639" t="s">
        <v>12596</v>
      </c>
      <c r="N6639" t="s">
        <v>14</v>
      </c>
    </row>
    <row r="6640" x14ac:dyDescent="0.25">
      <c r="A6640" t="n">
        <v>25</v>
      </c>
      <c r="B6640" t="s">
        <v>14</v>
      </c>
      <c r="C6640" t="s">
        <v>22</v>
      </c>
      <c r="D6640" s="2" t="s">
        <f>=HYPERLINK("https://main.knesset.gov.il/APPS/legislation/main/bills/2197358", "הצעת חוק לתיקון פקודת העיריות (הרשאת שימוש במקרקעין למוסד ציבורי), התשפ""ג-2022")</f>
        <v>12964</v>
      </c>
      <c r="E6640" t="s">
        <v>12964</v>
      </c>
      <c r="F6640" t="s">
        <v>12965</v>
      </c>
      <c r="G6640" t="s">
        <v>14</v>
      </c>
      <c r="H6640">
             </c>
      <c r="I6640" t="s">
        <v>14</v>
      </c>
      <c r="J6640" t="s">
        <v>141</v>
      </c>
      <c r="K6640" t="s">
        <v>14</v>
      </c>
      <c r="L6640" t="s">
        <v>20</v>
      </c>
      <c r="M6640" t="s">
        <v>12596</v>
      </c>
      <c r="N6640" t="s">
        <v>14</v>
      </c>
    </row>
    <row r="6641" x14ac:dyDescent="0.25">
      <c r="A6641" t="n">
        <v>25</v>
      </c>
      <c r="B6641" t="s">
        <v>14</v>
      </c>
      <c r="C6641" t="s">
        <v>22</v>
      </c>
      <c r="D6641" s="2" t="s">
        <f>=HYPERLINK("https://main.knesset.gov.il/APPS/legislation/main/bills/2195917", "הצעת חוק העונשין (תיקון - ביטול עבירת השוטטות), התשפ""ג-2022")</f>
        <v>12966</v>
      </c>
      <c r="E6641" t="s">
        <v>12966</v>
      </c>
      <c r="F6641" t="s">
        <v>12967</v>
      </c>
      <c r="G6641" t="s">
        <v>14</v>
      </c>
      <c r="H6641">
             </c>
      <c r="I6641" t="s">
        <v>14</v>
      </c>
      <c r="J6641" t="s">
        <v>141</v>
      </c>
      <c r="K6641" t="s">
        <v>14</v>
      </c>
      <c r="L6641" t="s">
        <v>20</v>
      </c>
      <c r="M6641" t="s">
        <v>12596</v>
      </c>
      <c r="N6641" t="s">
        <v>14</v>
      </c>
    </row>
    <row r="6642" x14ac:dyDescent="0.25">
      <c r="A6642" t="n">
        <v>25</v>
      </c>
      <c r="B6642" t="s">
        <v>14</v>
      </c>
      <c r="C6642" t="s">
        <v>22</v>
      </c>
      <c r="D6642" s="2" t="s">
        <f>=HYPERLINK("https://main.knesset.gov.il/APPS/legislation/main/bills/2195729", "הצעת חוק המרכז לגביית קנסות, אגרות והוצאות (תיקון - גביית תשלום בעד חוב שטרם חלף המועד לתשלומו), התשפ""ג-2022")</f>
        <v>12968</v>
      </c>
      <c r="E6642" t="s">
        <v>12968</v>
      </c>
      <c r="F6642" t="s">
        <v>12969</v>
      </c>
      <c r="G6642" t="s">
        <v>14</v>
      </c>
      <c r="H6642">
             </c>
      <c r="I6642" t="s">
        <v>14</v>
      </c>
      <c r="J6642" t="s">
        <v>141</v>
      </c>
      <c r="K6642" t="s">
        <v>14</v>
      </c>
      <c r="L6642" t="s">
        <v>20</v>
      </c>
      <c r="M6642" t="s">
        <v>12596</v>
      </c>
      <c r="N6642" t="s">
        <v>14</v>
      </c>
    </row>
    <row r="6643" x14ac:dyDescent="0.25">
      <c r="A6643" t="n">
        <v>25</v>
      </c>
      <c r="B6643" t="s">
        <v>14</v>
      </c>
      <c r="C6643" t="s">
        <v>22</v>
      </c>
      <c r="D6643" s="2" t="s">
        <f>=HYPERLINK("https://main.knesset.gov.il/APPS/legislation/main/bills/2198325", "הצעת חוק פיקוח על בתי ספר (תיקון - הרחבת תחולה), התשפ""ג-2022")</f>
        <v>12970</v>
      </c>
      <c r="E6643" t="s">
        <v>12970</v>
      </c>
      <c r="F6643" t="s">
        <v>12971</v>
      </c>
      <c r="G6643" t="s">
        <v>14</v>
      </c>
      <c r="H6643">
             </c>
      <c r="I6643" t="s">
        <v>14</v>
      </c>
      <c r="J6643" t="s">
        <v>141</v>
      </c>
      <c r="K6643" t="s">
        <v>14</v>
      </c>
      <c r="L6643" t="s">
        <v>20</v>
      </c>
      <c r="M6643" t="s">
        <v>12596</v>
      </c>
      <c r="N6643" t="s">
        <v>14</v>
      </c>
    </row>
    <row r="6644" x14ac:dyDescent="0.25">
      <c r="A6644" t="n">
        <v>25</v>
      </c>
      <c r="B6644" t="s">
        <v>14</v>
      </c>
      <c r="C6644" t="s">
        <v>22</v>
      </c>
      <c r="D6644" s="2" t="s">
        <f>=HYPERLINK("https://main.knesset.gov.il/APPS/legislation/main/bills/2197433", "הצעת חוק איסור הנפת דגל הרשות הפלסטינית, התשפ""ג-2022")</f>
        <v>12972</v>
      </c>
      <c r="E6644" t="s">
        <v>12972</v>
      </c>
      <c r="F6644" t="s">
        <v>12973</v>
      </c>
      <c r="G6644" t="s">
        <v>14</v>
      </c>
      <c r="H6644">
             </c>
      <c r="I6644" t="s">
        <v>14</v>
      </c>
      <c r="J6644" t="s">
        <v>141</v>
      </c>
      <c r="K6644" t="s">
        <v>14</v>
      </c>
      <c r="L6644" t="s">
        <v>20</v>
      </c>
      <c r="M6644" t="s">
        <v>12596</v>
      </c>
      <c r="N6644" t="s">
        <v>14</v>
      </c>
    </row>
    <row r="6645" x14ac:dyDescent="0.25">
      <c r="A6645" t="n">
        <v>25</v>
      </c>
      <c r="B6645" t="s">
        <v>14</v>
      </c>
      <c r="C6645" t="s">
        <v>22</v>
      </c>
      <c r="D6645" s="2" t="s">
        <f>=HYPERLINK("https://main.knesset.gov.il/APPS/legislation/main/bills/2197133", "הצעת חוק איסור הנפת דגל הרשות הפלסטינית, התשפ""ג-2022")</f>
        <v>12972</v>
      </c>
      <c r="E6645" t="s">
        <v>12972</v>
      </c>
      <c r="F6645" t="s">
        <v>12974</v>
      </c>
      <c r="G6645" t="s">
        <v>14</v>
      </c>
      <c r="H6645">
             </c>
      <c r="I6645" t="s">
        <v>14</v>
      </c>
      <c r="J6645" t="s">
        <v>141</v>
      </c>
      <c r="K6645" t="s">
        <v>14</v>
      </c>
      <c r="L6645" t="s">
        <v>20</v>
      </c>
      <c r="M6645" t="s">
        <v>12596</v>
      </c>
      <c r="N6645" t="s">
        <v>14</v>
      </c>
    </row>
    <row r="6646" x14ac:dyDescent="0.25">
      <c r="A6646" t="n">
        <v>25</v>
      </c>
      <c r="B6646" t="s">
        <v>14</v>
      </c>
      <c r="C6646" t="s">
        <v>22</v>
      </c>
      <c r="D6646" s="2" t="s">
        <f>=HYPERLINK("https://main.knesset.gov.il/APPS/legislation/main/bills/2198335", "הצעת חוק רישוי עסקים (תיקון - חובת הספקת אמצעים לגילוי סם מסוכן), התשפ""ג-2022")</f>
        <v>12975</v>
      </c>
      <c r="E6646" t="s">
        <v>12975</v>
      </c>
      <c r="F6646" t="s">
        <v>12976</v>
      </c>
      <c r="G6646" t="s">
        <v>14</v>
      </c>
      <c r="H6646">
             </c>
      <c r="I6646" t="s">
        <v>14</v>
      </c>
      <c r="J6646" t="s">
        <v>141</v>
      </c>
      <c r="K6646" t="s">
        <v>14</v>
      </c>
      <c r="L6646" t="s">
        <v>20</v>
      </c>
      <c r="M6646" t="s">
        <v>12596</v>
      </c>
      <c r="N6646" t="s">
        <v>14</v>
      </c>
    </row>
    <row r="6647" x14ac:dyDescent="0.25">
      <c r="A6647" t="n">
        <v>25</v>
      </c>
      <c r="B6647" t="s">
        <v>14</v>
      </c>
      <c r="C6647" t="s">
        <v>22</v>
      </c>
      <c r="D6647" s="2" t="s">
        <f>=HYPERLINK("https://main.knesset.gov.il/APPS/legislation/main/bills/2197663", "הצעת חוק עקרונות האסדרה (תיקון - פקיעת האסדרה), התשפ""ג-2022")</f>
        <v>12977</v>
      </c>
      <c r="E6647" t="s">
        <v>12977</v>
      </c>
      <c r="F6647" t="s">
        <v>12978</v>
      </c>
      <c r="G6647" t="s">
        <v>14</v>
      </c>
      <c r="H6647">
             </c>
      <c r="I6647" t="s">
        <v>14</v>
      </c>
      <c r="J6647" t="s">
        <v>141</v>
      </c>
      <c r="K6647" t="s">
        <v>14</v>
      </c>
      <c r="L6647" t="s">
        <v>20</v>
      </c>
      <c r="M6647" t="s">
        <v>12596</v>
      </c>
      <c r="N6647" t="s">
        <v>14</v>
      </c>
    </row>
    <row r="6648" x14ac:dyDescent="0.25">
      <c r="A6648" t="n">
        <v>25</v>
      </c>
      <c r="B6648" t="s">
        <v>14</v>
      </c>
      <c r="C6648" t="s">
        <v>22</v>
      </c>
      <c r="D6648" s="2" t="s">
        <f>=HYPERLINK("https://main.knesset.gov.il/APPS/legislation/main/bills/2197372", "הצעת חוק פיקוח על בתי ספר (תיקון - הרחבת תחולה), התשפ""ג-2022")</f>
        <v>12970</v>
      </c>
      <c r="E6648" t="s">
        <v>12970</v>
      </c>
      <c r="F6648" t="s">
        <v>12979</v>
      </c>
      <c r="G6648" t="s">
        <v>14</v>
      </c>
      <c r="H6648">
             </c>
      <c r="I6648" t="s">
        <v>14</v>
      </c>
      <c r="J6648" t="s">
        <v>141</v>
      </c>
      <c r="K6648" t="s">
        <v>14</v>
      </c>
      <c r="L6648" t="s">
        <v>20</v>
      </c>
      <c r="M6648" t="s">
        <v>12596</v>
      </c>
      <c r="N6648" t="s">
        <v>14</v>
      </c>
    </row>
    <row r="6649" x14ac:dyDescent="0.25">
      <c r="A6649" t="n">
        <v>25</v>
      </c>
      <c r="B6649" t="s">
        <v>14</v>
      </c>
      <c r="C6649" t="s">
        <v>22</v>
      </c>
      <c r="D6649" s="2" t="s">
        <f>=HYPERLINK("https://main.knesset.gov.il/APPS/legislation/main/bills/2198327", "הצעת חוק איסור הפליה במוצרים, בשירותים ובכניסה למקומות בידור ולמקומות ציבוריים (תיקון - הפליה מחמת מראה והתניית רישיון עסק באיסור הפליה), התשפ""ג-2022")</f>
        <v>12980</v>
      </c>
      <c r="E6649" t="s">
        <v>12980</v>
      </c>
      <c r="F6649" t="s">
        <v>12981</v>
      </c>
      <c r="G6649" t="s">
        <v>14</v>
      </c>
      <c r="H6649">
             </c>
      <c r="I6649" t="s">
        <v>14</v>
      </c>
      <c r="J6649" t="s">
        <v>141</v>
      </c>
      <c r="K6649" t="s">
        <v>14</v>
      </c>
      <c r="L6649" t="s">
        <v>20</v>
      </c>
      <c r="M6649" t="s">
        <v>12596</v>
      </c>
      <c r="N6649" t="s">
        <v>14</v>
      </c>
    </row>
    <row r="6650" x14ac:dyDescent="0.25">
      <c r="A6650" t="n">
        <v>25</v>
      </c>
      <c r="B6650" t="s">
        <v>14</v>
      </c>
      <c r="C6650" t="s">
        <v>22</v>
      </c>
      <c r="D6650" s="2" t="s">
        <f>=HYPERLINK("https://main.knesset.gov.il/APPS/legislation/main/bills/2197698", "הצעת חוק הרשויות המקומיות (גמול השתתפות בישיבות והחזר הוצאות לחברי מועצה), התשפ""ג-2022")</f>
        <v>12954</v>
      </c>
      <c r="E6650" t="s">
        <v>12954</v>
      </c>
      <c r="F6650" t="s">
        <v>12982</v>
      </c>
      <c r="G6650" t="s">
        <v>14</v>
      </c>
      <c r="H6650">
             </c>
      <c r="I6650" t="s">
        <v>14</v>
      </c>
      <c r="J6650" t="s">
        <v>141</v>
      </c>
      <c r="K6650" t="s">
        <v>14</v>
      </c>
      <c r="L6650" t="s">
        <v>20</v>
      </c>
      <c r="M6650" t="s">
        <v>12596</v>
      </c>
      <c r="N6650" t="s">
        <v>14</v>
      </c>
    </row>
    <row r="6651" x14ac:dyDescent="0.25">
      <c r="A6651" t="n">
        <v>25</v>
      </c>
      <c r="B6651" t="s">
        <v>14</v>
      </c>
      <c r="C6651" t="s">
        <v>22</v>
      </c>
      <c r="D6651" s="2" t="s">
        <f>=HYPERLINK("https://main.knesset.gov.il/APPS/legislation/main/bills/2197725", "הצעת חוק התכנון והבנייה (תיקון - חיבור חשמל מטעמים הומניטריים), התשפ""ג-2022")</f>
        <v>12983</v>
      </c>
      <c r="E6651" t="s">
        <v>12983</v>
      </c>
      <c r="F6651" t="s">
        <v>12984</v>
      </c>
      <c r="G6651" t="s">
        <v>14</v>
      </c>
      <c r="H6651">
             </c>
      <c r="I6651" t="s">
        <v>14</v>
      </c>
      <c r="J6651" t="s">
        <v>141</v>
      </c>
      <c r="K6651" t="s">
        <v>14</v>
      </c>
      <c r="L6651" t="s">
        <v>20</v>
      </c>
      <c r="M6651" t="s">
        <v>12596</v>
      </c>
      <c r="N6651" t="s">
        <v>14</v>
      </c>
    </row>
    <row r="6652" x14ac:dyDescent="0.25">
      <c r="A6652" t="n">
        <v>25</v>
      </c>
      <c r="B6652" t="s">
        <v>14</v>
      </c>
      <c r="C6652" t="s">
        <v>22</v>
      </c>
      <c r="D6652" s="2" t="s">
        <f>=HYPERLINK("https://main.knesset.gov.il/APPS/legislation/main/bills/2198071", "הצעת חוק הגנה על זכויות הדורות הבאים, התשפ""ג-2022")</f>
        <v>12985</v>
      </c>
      <c r="E6652" t="s">
        <v>12985</v>
      </c>
      <c r="F6652" t="s">
        <v>12986</v>
      </c>
      <c r="G6652" t="s">
        <v>14</v>
      </c>
      <c r="H6652">
             </c>
      <c r="I6652" t="s">
        <v>14</v>
      </c>
      <c r="J6652" t="s">
        <v>141</v>
      </c>
      <c r="K6652" t="s">
        <v>14</v>
      </c>
      <c r="L6652" t="s">
        <v>20</v>
      </c>
      <c r="M6652" t="s">
        <v>12596</v>
      </c>
      <c r="N6652" t="s">
        <v>14</v>
      </c>
    </row>
    <row r="6653" x14ac:dyDescent="0.25">
      <c r="A6653" t="n">
        <v>25</v>
      </c>
      <c r="B6653" t="s">
        <v>14</v>
      </c>
      <c r="C6653" t="s">
        <v>22</v>
      </c>
      <c r="D6653" s="2" t="s">
        <f>=HYPERLINK("https://main.knesset.gov.il/APPS/legislation/main/bills/2198309", "הצעת חוק חינוך לשוויון מגדרי, התשפ""ג-2022 ")</f>
        <v>12987</v>
      </c>
      <c r="E6653" t="s">
        <v>12987</v>
      </c>
      <c r="F6653" t="s">
        <v>12988</v>
      </c>
      <c r="G6653" t="s">
        <v>14</v>
      </c>
      <c r="H6653">
             </c>
      <c r="I6653" t="s">
        <v>14</v>
      </c>
      <c r="J6653" t="s">
        <v>141</v>
      </c>
      <c r="K6653" t="s">
        <v>14</v>
      </c>
      <c r="L6653" t="s">
        <v>20</v>
      </c>
      <c r="M6653" t="s">
        <v>12596</v>
      </c>
      <c r="N6653" t="s">
        <v>14</v>
      </c>
    </row>
    <row r="6654" x14ac:dyDescent="0.25">
      <c r="A6654" t="n">
        <v>25</v>
      </c>
      <c r="B6654" t="s">
        <v>14</v>
      </c>
      <c r="C6654" t="s">
        <v>22</v>
      </c>
      <c r="D6654" s="2" t="s">
        <f>=HYPERLINK("https://main.knesset.gov.il/APPS/legislation/main/bills/2197724", "הצעת חוק התכנון והבנייה (תיקון מס' 116) (תיקון - ביטול החוק), התשפ""ג-2022")</f>
        <v>12989</v>
      </c>
      <c r="E6654" t="s">
        <v>12989</v>
      </c>
      <c r="F6654" t="s">
        <v>12990</v>
      </c>
      <c r="G6654" t="s">
        <v>14</v>
      </c>
      <c r="H6654">
             </c>
      <c r="I6654" t="s">
        <v>14</v>
      </c>
      <c r="J6654" t="s">
        <v>141</v>
      </c>
      <c r="K6654" t="s">
        <v>14</v>
      </c>
      <c r="L6654" t="s">
        <v>20</v>
      </c>
      <c r="M6654" t="s">
        <v>12596</v>
      </c>
      <c r="N6654" t="s">
        <v>14</v>
      </c>
    </row>
    <row r="6655" x14ac:dyDescent="0.25">
      <c r="A6655" t="n">
        <v>25</v>
      </c>
      <c r="B6655" t="s">
        <v>14</v>
      </c>
      <c r="C6655" t="s">
        <v>22</v>
      </c>
      <c r="D6655" s="2" t="s">
        <f>=HYPERLINK("https://main.knesset.gov.il/APPS/legislation/main/bills/2198058", "הצעת חוק-יסוד: זכויות חברתיות")</f>
        <v>12991</v>
      </c>
      <c r="E6655" t="s">
        <v>12991</v>
      </c>
      <c r="F6655" t="s">
        <v>12992</v>
      </c>
      <c r="G6655" t="s">
        <v>14</v>
      </c>
      <c r="H6655">
             </c>
      <c r="I6655" t="s">
        <v>14</v>
      </c>
      <c r="J6655" t="s">
        <v>141</v>
      </c>
      <c r="K6655" t="s">
        <v>14</v>
      </c>
      <c r="L6655" t="s">
        <v>20</v>
      </c>
      <c r="M6655" t="s">
        <v>12596</v>
      </c>
      <c r="N6655" t="s">
        <v>14</v>
      </c>
    </row>
    <row r="6656" x14ac:dyDescent="0.25">
      <c r="A6656" t="n">
        <v>25</v>
      </c>
      <c r="B6656" t="s">
        <v>14</v>
      </c>
      <c r="C6656" t="s">
        <v>22</v>
      </c>
      <c r="D6656" s="2" t="s">
        <f>=HYPERLINK("https://main.knesset.gov.il/APPS/legislation/main/bills/2198135", "הצעת חוק שירות התעסוקה (תיקון - נגישות לתחבורה ציבורית), התשפ""ג-2022")</f>
        <v>12993</v>
      </c>
      <c r="E6656" t="s">
        <v>12993</v>
      </c>
      <c r="F6656" t="s">
        <v>12994</v>
      </c>
      <c r="G6656" t="s">
        <v>14</v>
      </c>
      <c r="H6656">
             </c>
      <c r="I6656" t="s">
        <v>14</v>
      </c>
      <c r="J6656" t="s">
        <v>141</v>
      </c>
      <c r="K6656" t="s">
        <v>14</v>
      </c>
      <c r="L6656" t="s">
        <v>20</v>
      </c>
      <c r="M6656" t="s">
        <v>12596</v>
      </c>
      <c r="N6656" t="s">
        <v>14</v>
      </c>
    </row>
    <row r="6657" x14ac:dyDescent="0.25">
      <c r="A6657" t="n">
        <v>25</v>
      </c>
      <c r="B6657" t="s">
        <v>14</v>
      </c>
      <c r="C6657" t="s">
        <v>22</v>
      </c>
      <c r="D6657" s="2" t="s">
        <f>=HYPERLINK("https://main.knesset.gov.il/APPS/legislation/main/bills/2198039", "הצעת חוק שירות התעסוקה (תיקון - נגישות לתחבורה ציבורית), התשפ""ג-2022")</f>
        <v>12993</v>
      </c>
      <c r="E6657" t="s">
        <v>12993</v>
      </c>
      <c r="F6657" t="s">
        <v>12995</v>
      </c>
      <c r="G6657" t="s">
        <v>14</v>
      </c>
      <c r="H6657">
             </c>
      <c r="I6657" t="s">
        <v>14</v>
      </c>
      <c r="J6657" t="s">
        <v>141</v>
      </c>
      <c r="K6657" t="s">
        <v>14</v>
      </c>
      <c r="L6657" t="s">
        <v>20</v>
      </c>
      <c r="M6657" t="s">
        <v>12596</v>
      </c>
      <c r="N6657" t="s">
        <v>14</v>
      </c>
    </row>
    <row r="6658" x14ac:dyDescent="0.25">
      <c r="A6658" t="n">
        <v>25</v>
      </c>
      <c r="B6658" t="s">
        <v>14</v>
      </c>
      <c r="C6658" t="s">
        <v>22</v>
      </c>
      <c r="D6658" s="2" t="s">
        <f>=HYPERLINK("https://main.knesset.gov.il/APPS/legislation/main/bills/2197618", "הצעת חוק לתיקון פקודת הדיג (איסור דיג מכמורת), התשפ''ג-2022")</f>
        <v>12996</v>
      </c>
      <c r="E6658" t="s">
        <v>12996</v>
      </c>
      <c r="F6658" t="s">
        <v>12997</v>
      </c>
      <c r="G6658" t="s">
        <v>14</v>
      </c>
      <c r="H6658">
             </c>
      <c r="I6658" t="s">
        <v>14</v>
      </c>
      <c r="J6658" t="s">
        <v>141</v>
      </c>
      <c r="K6658" t="s">
        <v>14</v>
      </c>
      <c r="L6658" t="s">
        <v>20</v>
      </c>
      <c r="M6658" t="s">
        <v>12596</v>
      </c>
      <c r="N6658" t="s">
        <v>14</v>
      </c>
    </row>
    <row r="6659" x14ac:dyDescent="0.25">
      <c r="A6659" t="n">
        <v>25</v>
      </c>
      <c r="B6659" t="s">
        <v>14</v>
      </c>
      <c r="C6659" t="s">
        <v>22</v>
      </c>
      <c r="D6659" s="2" t="s">
        <f>=HYPERLINK("https://main.knesset.gov.il/APPS/legislation/main/bills/2198166", "הצעת חוק להגבלת הריסה וענישה על בנייה בלתי חוקית במגזר הערבי (הוראת שעה), התשפ""ג-2022")</f>
        <v>12998</v>
      </c>
      <c r="E6659" t="s">
        <v>12998</v>
      </c>
      <c r="F6659" t="s">
        <v>12999</v>
      </c>
      <c r="G6659" t="s">
        <v>14</v>
      </c>
      <c r="H6659">
             </c>
      <c r="I6659" t="s">
        <v>14</v>
      </c>
      <c r="J6659" t="s">
        <v>141</v>
      </c>
      <c r="K6659" t="s">
        <v>14</v>
      </c>
      <c r="L6659" t="s">
        <v>20</v>
      </c>
      <c r="M6659" t="s">
        <v>12596</v>
      </c>
      <c r="N6659" t="s">
        <v>14</v>
      </c>
    </row>
    <row r="6660" x14ac:dyDescent="0.25">
      <c r="A6660" t="n">
        <v>25</v>
      </c>
      <c r="B6660" t="s">
        <v>14</v>
      </c>
      <c r="C6660" t="s">
        <v>22</v>
      </c>
      <c r="D6660" s="2" t="s">
        <f>=HYPERLINK("https://main.knesset.gov.il/APPS/legislation/main/bills/2197979", "הצעת חוק לתיקון פקודת התעבורה (הוראות לעניין סככות המתנה בתחנות אוטובוס), התשפ""ג-2022")</f>
        <v>13000</v>
      </c>
      <c r="E6660" t="s">
        <v>13000</v>
      </c>
      <c r="F6660" t="s">
        <v>13001</v>
      </c>
      <c r="G6660" t="s">
        <v>14</v>
      </c>
      <c r="H6660">
             </c>
      <c r="I6660" t="s">
        <v>14</v>
      </c>
      <c r="J6660" t="s">
        <v>141</v>
      </c>
      <c r="K6660" t="s">
        <v>14</v>
      </c>
      <c r="L6660" t="s">
        <v>20</v>
      </c>
      <c r="M6660" t="s">
        <v>12596</v>
      </c>
      <c r="N6660" t="s">
        <v>14</v>
      </c>
    </row>
    <row r="6661" x14ac:dyDescent="0.25">
      <c r="A6661" t="n">
        <v>25</v>
      </c>
      <c r="B6661" t="s">
        <v>14</v>
      </c>
      <c r="C6661" t="s">
        <v>22</v>
      </c>
      <c r="D6661" s="2" t="s">
        <f>=HYPERLINK("https://main.knesset.gov.il/APPS/legislation/main/bills/2198080", "הצעת חוק לימוד חובה (תיקון - חינוך חינם לגיל הרך), התשפ""ג-2022")</f>
        <v>13002</v>
      </c>
      <c r="E6661" t="s">
        <v>13002</v>
      </c>
      <c r="F6661" t="s">
        <v>13003</v>
      </c>
      <c r="G6661" t="s">
        <v>14</v>
      </c>
      <c r="H6661">
             </c>
      <c r="I6661" t="s">
        <v>14</v>
      </c>
      <c r="J6661" t="s">
        <v>141</v>
      </c>
      <c r="K6661" t="s">
        <v>14</v>
      </c>
      <c r="L6661" t="s">
        <v>20</v>
      </c>
      <c r="M6661" t="s">
        <v>12596</v>
      </c>
      <c r="N6661" t="s">
        <v>14</v>
      </c>
    </row>
    <row r="6662" x14ac:dyDescent="0.25">
      <c r="A6662" t="n">
        <v>25</v>
      </c>
      <c r="B6662" t="s">
        <v>14</v>
      </c>
      <c r="C6662" t="s">
        <v>22</v>
      </c>
      <c r="D6662" s="2" t="s">
        <f>=HYPERLINK("https://main.knesset.gov.il/APPS/legislation/main/bills/2197111", "הצעת חוק לימוד חובה (תיקון - חינוך חינם לגיל הרך), התשפ""ג-2022")</f>
        <v>13002</v>
      </c>
      <c r="E6662" t="s">
        <v>13002</v>
      </c>
      <c r="F6662" t="s">
        <v>13004</v>
      </c>
      <c r="G6662" t="s">
        <v>14</v>
      </c>
      <c r="H6662">
             </c>
      <c r="I6662" t="s">
        <v>14</v>
      </c>
      <c r="J6662" t="s">
        <v>141</v>
      </c>
      <c r="K6662" t="s">
        <v>14</v>
      </c>
      <c r="L6662" t="s">
        <v>20</v>
      </c>
      <c r="M6662" t="s">
        <v>12596</v>
      </c>
      <c r="N6662" t="s">
        <v>14</v>
      </c>
    </row>
    <row r="6663" x14ac:dyDescent="0.25">
      <c r="A6663" t="n">
        <v>25</v>
      </c>
      <c r="B6663" t="s">
        <v>14</v>
      </c>
      <c r="C6663" t="s">
        <v>22</v>
      </c>
      <c r="D6663" s="2" t="s">
        <f>=HYPERLINK("https://main.knesset.gov.il/APPS/legislation/main/bills/2197061", "הצעת חוק להגנת חיית הבר (תיקון - הרעלות), התשפ""ג-2022")</f>
        <v>13005</v>
      </c>
      <c r="E6663" t="s">
        <v>13005</v>
      </c>
      <c r="F6663" t="s">
        <v>13006</v>
      </c>
      <c r="G6663" t="s">
        <v>14</v>
      </c>
      <c r="H6663">
             </c>
      <c r="I6663" t="s">
        <v>14</v>
      </c>
      <c r="J6663" t="s">
        <v>141</v>
      </c>
      <c r="K6663" t="s">
        <v>14</v>
      </c>
      <c r="L6663" t="s">
        <v>20</v>
      </c>
      <c r="M6663" t="s">
        <v>12596</v>
      </c>
      <c r="N6663" t="s">
        <v>14</v>
      </c>
    </row>
    <row r="6664" x14ac:dyDescent="0.25">
      <c r="A6664" t="n">
        <v>25</v>
      </c>
      <c r="B6664" t="s">
        <v>14</v>
      </c>
      <c r="C6664" t="s">
        <v>22</v>
      </c>
      <c r="D6664" s="2" t="s">
        <f>=HYPERLINK("https://main.knesset.gov.il/APPS/legislation/main/bills/2198070", "הצעת חוק הביטוח הלאומי (תיקון - דמי אבטלה למתמחים), התשפ""ג-2022")</f>
        <v>13007</v>
      </c>
      <c r="E6664" t="s">
        <v>13007</v>
      </c>
      <c r="F6664" t="s">
        <v>13008</v>
      </c>
      <c r="G6664" t="s">
        <v>14</v>
      </c>
      <c r="H6664">
             </c>
      <c r="I6664" t="s">
        <v>14</v>
      </c>
      <c r="J6664" t="s">
        <v>141</v>
      </c>
      <c r="K6664" t="s">
        <v>14</v>
      </c>
      <c r="L6664" t="s">
        <v>20</v>
      </c>
      <c r="M6664" t="s">
        <v>12596</v>
      </c>
      <c r="N6664" t="s">
        <v>14</v>
      </c>
    </row>
    <row r="6665" x14ac:dyDescent="0.25">
      <c r="A6665" t="n">
        <v>25</v>
      </c>
      <c r="B6665" t="s">
        <v>14</v>
      </c>
      <c r="C6665" t="s">
        <v>22</v>
      </c>
      <c r="D6665" s="2" t="s">
        <f>=HYPERLINK("https://main.knesset.gov.il/APPS/legislation/main/bills/2196961", "הצעת חוק לשכת עורכי הדין (תיקון - הנחיות למתן ציונים במבחני הסמכה) (הוראת שעה), התשפ""ג-2022")</f>
        <v>13009</v>
      </c>
      <c r="E6665" t="s">
        <v>13009</v>
      </c>
      <c r="F6665" t="s">
        <v>13010</v>
      </c>
      <c r="G6665" t="s">
        <v>14</v>
      </c>
      <c r="H6665">
             </c>
      <c r="I6665" t="s">
        <v>14</v>
      </c>
      <c r="J6665" t="s">
        <v>141</v>
      </c>
      <c r="K6665" t="s">
        <v>14</v>
      </c>
      <c r="L6665" t="s">
        <v>20</v>
      </c>
      <c r="M6665" t="s">
        <v>12596</v>
      </c>
      <c r="N6665" t="s">
        <v>14</v>
      </c>
    </row>
    <row r="6666" x14ac:dyDescent="0.25">
      <c r="A6666" t="n">
        <v>25</v>
      </c>
      <c r="B6666" t="s">
        <v>14</v>
      </c>
      <c r="C6666" t="s">
        <v>22</v>
      </c>
      <c r="D6666" s="2" t="s">
        <f>=HYPERLINK("https://main.knesset.gov.il/APPS/legislation/main/bills/2197400", "הצעת חוק לתיקון פקודת הבנקאות (תקופת צינון למפקח על הבנקים), התשפ""ג-2022")</f>
        <v>13011</v>
      </c>
      <c r="E6666" t="s">
        <v>13011</v>
      </c>
      <c r="F6666" t="s">
        <v>13012</v>
      </c>
      <c r="G6666" t="s">
        <v>14</v>
      </c>
      <c r="H6666">
             </c>
      <c r="I6666" t="s">
        <v>14</v>
      </c>
      <c r="J6666" t="s">
        <v>141</v>
      </c>
      <c r="K6666" t="s">
        <v>14</v>
      </c>
      <c r="L6666" t="s">
        <v>20</v>
      </c>
      <c r="M6666" t="s">
        <v>12596</v>
      </c>
      <c r="N6666" t="s">
        <v>14</v>
      </c>
    </row>
    <row r="6667" x14ac:dyDescent="0.25">
      <c r="A6667" t="n">
        <v>25</v>
      </c>
      <c r="B6667" t="s">
        <v>14</v>
      </c>
      <c r="C6667" t="s">
        <v>22</v>
      </c>
      <c r="D6667" s="2" t="s">
        <f>=HYPERLINK("https://main.knesset.gov.il/APPS/legislation/main/bills/2197312", "הצעת חוק הביטוח הלאומי (תיקון - דמי אבטלה למתמחים), התשפ""ג-2022")</f>
        <v>13007</v>
      </c>
      <c r="E6667" t="s">
        <v>13007</v>
      </c>
      <c r="F6667" t="s">
        <v>13013</v>
      </c>
      <c r="G6667" t="s">
        <v>14</v>
      </c>
      <c r="H6667">
             </c>
      <c r="I6667" t="s">
        <v>14</v>
      </c>
      <c r="J6667" t="s">
        <v>141</v>
      </c>
      <c r="K6667" t="s">
        <v>14</v>
      </c>
      <c r="L6667" t="s">
        <v>20</v>
      </c>
      <c r="M6667" t="s">
        <v>12596</v>
      </c>
      <c r="N6667" t="s">
        <v>14</v>
      </c>
    </row>
    <row r="6668" x14ac:dyDescent="0.25">
      <c r="A6668" t="n">
        <v>25</v>
      </c>
      <c r="B6668" t="s">
        <v>14</v>
      </c>
      <c r="C6668" t="s">
        <v>22</v>
      </c>
      <c r="D6668" s="2" t="s">
        <f>=HYPERLINK("https://main.knesset.gov.il/APPS/legislation/main/bills/2198180", "הצעת חוק הקמת יישוב עירוני חדש, התשפ""ג-2022 ")</f>
        <v>13014</v>
      </c>
      <c r="E6668" t="s">
        <v>13014</v>
      </c>
      <c r="F6668" t="s">
        <v>13015</v>
      </c>
      <c r="G6668" t="s">
        <v>14</v>
      </c>
      <c r="H6668">
             </c>
      <c r="I6668" t="s">
        <v>14</v>
      </c>
      <c r="J6668" t="s">
        <v>141</v>
      </c>
      <c r="K6668" t="s">
        <v>14</v>
      </c>
      <c r="L6668" t="s">
        <v>20</v>
      </c>
      <c r="M6668" t="s">
        <v>12596</v>
      </c>
      <c r="N6668" t="s">
        <v>14</v>
      </c>
    </row>
    <row r="6669" x14ac:dyDescent="0.25">
      <c r="A6669" t="n">
        <v>25</v>
      </c>
      <c r="B6669" t="s">
        <v>14</v>
      </c>
      <c r="C6669" t="s">
        <v>22</v>
      </c>
      <c r="D6669" s="2" t="s">
        <f>=HYPERLINK("https://main.knesset.gov.il/APPS/legislation/main/bills/2196842", "הצעת חוק לתיקון פקודת הבנקאות (תקופת צינון למפקח על הבנקים), התשפ""ג-2022")</f>
        <v>13011</v>
      </c>
      <c r="E6669" t="s">
        <v>13011</v>
      </c>
      <c r="F6669" t="s">
        <v>13016</v>
      </c>
      <c r="G6669" t="s">
        <v>14</v>
      </c>
      <c r="H6669">
             </c>
      <c r="I6669" t="s">
        <v>14</v>
      </c>
      <c r="J6669" t="s">
        <v>141</v>
      </c>
      <c r="K6669" t="s">
        <v>14</v>
      </c>
      <c r="L6669" t="s">
        <v>20</v>
      </c>
      <c r="M6669" t="s">
        <v>12596</v>
      </c>
      <c r="N6669" t="s">
        <v>14</v>
      </c>
    </row>
    <row r="6670" x14ac:dyDescent="0.25">
      <c r="A6670" t="n">
        <v>25</v>
      </c>
      <c r="B6670" t="s">
        <v>14</v>
      </c>
      <c r="C6670" t="s">
        <v>22</v>
      </c>
      <c r="D6670" s="2" t="s">
        <f>=HYPERLINK("https://main.knesset.gov.il/APPS/legislation/main/bills/2198179", "הצעת חוק העבירות המינהליות (תיקון - ביטול קנסות תכנון ובנייה), התשפ""ג-2022")</f>
        <v>13017</v>
      </c>
      <c r="E6670" t="s">
        <v>13017</v>
      </c>
      <c r="F6670" t="s">
        <v>13018</v>
      </c>
      <c r="G6670" t="s">
        <v>14</v>
      </c>
      <c r="H6670">
             </c>
      <c r="I6670" t="s">
        <v>14</v>
      </c>
      <c r="J6670" t="s">
        <v>141</v>
      </c>
      <c r="K6670" t="s">
        <v>14</v>
      </c>
      <c r="L6670" t="s">
        <v>20</v>
      </c>
      <c r="M6670" t="s">
        <v>12596</v>
      </c>
      <c r="N6670" t="s">
        <v>14</v>
      </c>
    </row>
    <row r="6671" x14ac:dyDescent="0.25">
      <c r="A6671" t="n">
        <v>25</v>
      </c>
      <c r="B6671" t="s">
        <v>14</v>
      </c>
      <c r="C6671" t="s">
        <v>22</v>
      </c>
      <c r="D6671" s="2" t="s">
        <f>=HYPERLINK("https://main.knesset.gov.il/APPS/legislation/main/bills/2196958", "הצעת חוק התכנון והבנייה (תיקון - חדרי הנקה בבניינים ציבוריים), התשפ""ג-2022")</f>
        <v>13019</v>
      </c>
      <c r="E6671" t="s">
        <v>13019</v>
      </c>
      <c r="F6671" t="s">
        <v>13020</v>
      </c>
      <c r="G6671" t="s">
        <v>14</v>
      </c>
      <c r="H6671">
             </c>
      <c r="I6671" t="s">
        <v>14</v>
      </c>
      <c r="J6671" t="s">
        <v>141</v>
      </c>
      <c r="K6671" t="s">
        <v>14</v>
      </c>
      <c r="L6671" t="s">
        <v>20</v>
      </c>
      <c r="M6671" t="s">
        <v>12596</v>
      </c>
      <c r="N6671" t="s">
        <v>14</v>
      </c>
    </row>
    <row r="6672" x14ac:dyDescent="0.25">
      <c r="A6672" t="n">
        <v>25</v>
      </c>
      <c r="B6672" t="s">
        <v>14</v>
      </c>
      <c r="C6672" t="s">
        <v>22</v>
      </c>
      <c r="D6672" s="2" t="s">
        <f>=HYPERLINK("https://main.knesset.gov.il/APPS/legislation/main/bills/2197247", "הצעת חוק הביטוח הלאומי (תיקון - דמי אבטלה למתמחים), התשפ""ג-2022")</f>
        <v>13007</v>
      </c>
      <c r="E6672" t="s">
        <v>13007</v>
      </c>
      <c r="F6672" t="s">
        <v>13021</v>
      </c>
      <c r="G6672" t="s">
        <v>14</v>
      </c>
      <c r="H6672">
             </c>
      <c r="I6672" t="s">
        <v>14</v>
      </c>
      <c r="J6672" t="s">
        <v>141</v>
      </c>
      <c r="K6672" t="s">
        <v>14</v>
      </c>
      <c r="L6672" t="s">
        <v>20</v>
      </c>
      <c r="M6672" t="s">
        <v>12596</v>
      </c>
      <c r="N6672" t="s">
        <v>14</v>
      </c>
    </row>
    <row r="6673" x14ac:dyDescent="0.25">
      <c r="A6673" t="n">
        <v>25</v>
      </c>
      <c r="B6673" t="s">
        <v>14</v>
      </c>
      <c r="C6673" t="s">
        <v>22</v>
      </c>
      <c r="D6673" s="2" t="s">
        <f>=HYPERLINK("https://main.knesset.gov.il/APPS/legislation/main/bills/2196738", "הצעת חוק לתיקון פקודת בריאות העם (הזכות לשימור פוריות), התשפ""ג-2022")</f>
        <v>13022</v>
      </c>
      <c r="E6673" t="s">
        <v>13022</v>
      </c>
      <c r="F6673" t="s">
        <v>13023</v>
      </c>
      <c r="G6673" t="s">
        <v>14</v>
      </c>
      <c r="H6673">
             </c>
      <c r="I6673" t="s">
        <v>14</v>
      </c>
      <c r="J6673" t="s">
        <v>141</v>
      </c>
      <c r="K6673" t="s">
        <v>14</v>
      </c>
      <c r="L6673" t="s">
        <v>20</v>
      </c>
      <c r="M6673" t="s">
        <v>12596</v>
      </c>
      <c r="N6673" t="s">
        <v>14</v>
      </c>
    </row>
    <row r="6674" x14ac:dyDescent="0.25">
      <c r="A6674" t="n">
        <v>25</v>
      </c>
      <c r="B6674" t="s">
        <v>14</v>
      </c>
      <c r="C6674" t="s">
        <v>22</v>
      </c>
      <c r="D6674" s="2" t="s">
        <f>=HYPERLINK("https://main.knesset.gov.il/APPS/legislation/main/bills/2198238", "הצעת חוק התקשורת (בזק ושידורים) (תיקון - קליטה בטלפון נייד בכל חלקי הארץ), התשפ""ג-2022")</f>
        <v>13024</v>
      </c>
      <c r="E6674" t="s">
        <v>13024</v>
      </c>
      <c r="F6674" t="s">
        <v>13025</v>
      </c>
      <c r="G6674" t="s">
        <v>14</v>
      </c>
      <c r="H6674">
             </c>
      <c r="I6674" t="s">
        <v>14</v>
      </c>
      <c r="J6674" t="s">
        <v>141</v>
      </c>
      <c r="K6674" t="s">
        <v>14</v>
      </c>
      <c r="L6674" t="s">
        <v>20</v>
      </c>
      <c r="M6674" t="s">
        <v>12596</v>
      </c>
      <c r="N6674" t="s">
        <v>14</v>
      </c>
    </row>
    <row r="6675" x14ac:dyDescent="0.25">
      <c r="A6675" t="n">
        <v>25</v>
      </c>
      <c r="B6675" t="s">
        <v>14</v>
      </c>
      <c r="C6675" t="s">
        <v>22</v>
      </c>
      <c r="D6675" s="2" t="s">
        <f>=HYPERLINK("https://main.knesset.gov.il/APPS/legislation/main/bills/2198021", "הצעת חוק התקשורת (בזק ושידורים) (תיקון - קליטה בטלפון נייד בכל חלקי הארץ), התשפ""ג-2022")</f>
        <v>13024</v>
      </c>
      <c r="E6675" t="s">
        <v>13024</v>
      </c>
      <c r="F6675" t="s">
        <v>13026</v>
      </c>
      <c r="G6675" t="s">
        <v>14</v>
      </c>
      <c r="H6675">
             </c>
      <c r="I6675" t="s">
        <v>14</v>
      </c>
      <c r="J6675" t="s">
        <v>141</v>
      </c>
      <c r="K6675" t="s">
        <v>14</v>
      </c>
      <c r="L6675" t="s">
        <v>20</v>
      </c>
      <c r="M6675" t="s">
        <v>12596</v>
      </c>
      <c r="N6675" t="s">
        <v>14</v>
      </c>
    </row>
    <row r="6676" x14ac:dyDescent="0.25">
      <c r="A6676" t="n">
        <v>25</v>
      </c>
      <c r="B6676" t="s">
        <v>14</v>
      </c>
      <c r="C6676" t="s">
        <v>22</v>
      </c>
      <c r="D6676" s="2" t="s">
        <f>=HYPERLINK("https://main.knesset.gov.il/APPS/legislation/main/bills/2198048", "הצעת חוק סדר הדין הפלילי (סמכויות אכיפה - מעצרים) (תיקון - ביצוע מעצר וחקירת אדם עם מוגבלות שכלית או נפשית), התשפ""ג-2022")</f>
        <v>13027</v>
      </c>
      <c r="E6676" t="s">
        <v>13027</v>
      </c>
      <c r="F6676" t="s">
        <v>13028</v>
      </c>
      <c r="G6676" t="s">
        <v>14</v>
      </c>
      <c r="H6676">
             </c>
      <c r="I6676" t="s">
        <v>14</v>
      </c>
      <c r="J6676" t="s">
        <v>141</v>
      </c>
      <c r="K6676" t="s">
        <v>14</v>
      </c>
      <c r="L6676" t="s">
        <v>20</v>
      </c>
      <c r="M6676" t="s">
        <v>12596</v>
      </c>
      <c r="N6676" t="s">
        <v>14</v>
      </c>
    </row>
    <row r="6677" x14ac:dyDescent="0.25">
      <c r="A6677" t="n">
        <v>25</v>
      </c>
      <c r="B6677" t="s">
        <v>14</v>
      </c>
      <c r="C6677" t="s">
        <v>22</v>
      </c>
      <c r="D6677" s="2" t="s">
        <f>=HYPERLINK("https://main.knesset.gov.il/APPS/legislation/main/bills/2196952", "הצעת חוק הלוואות לשכר לימוד (תיקון - הלוואה ללא ריבית), התשפ""ג-2022")</f>
        <v>13029</v>
      </c>
      <c r="E6677" t="s">
        <v>13029</v>
      </c>
      <c r="F6677" t="s">
        <v>13030</v>
      </c>
      <c r="G6677" t="s">
        <v>14</v>
      </c>
      <c r="H6677">
             </c>
      <c r="I6677" t="s">
        <v>14</v>
      </c>
      <c r="J6677" t="s">
        <v>141</v>
      </c>
      <c r="K6677" t="s">
        <v>14</v>
      </c>
      <c r="L6677" t="s">
        <v>20</v>
      </c>
      <c r="M6677" t="s">
        <v>12596</v>
      </c>
      <c r="N6677" t="s">
        <v>14</v>
      </c>
    </row>
    <row r="6678" x14ac:dyDescent="0.25">
      <c r="A6678" t="n">
        <v>25</v>
      </c>
      <c r="B6678" t="s">
        <v>14</v>
      </c>
      <c r="C6678" t="s">
        <v>22</v>
      </c>
      <c r="D6678" s="2" t="s">
        <f>=HYPERLINK("https://main.knesset.gov.il/APPS/legislation/main/bills/2196741", "הצעת חוק הסכמים קיבוציים (תיקון - אי תחולה על עובד זר בענף החקלאות), התשפ""ג-2022")</f>
        <v>13031</v>
      </c>
      <c r="E6678" t="s">
        <v>13031</v>
      </c>
      <c r="F6678" t="s">
        <v>13032</v>
      </c>
      <c r="G6678" t="s">
        <v>14</v>
      </c>
      <c r="H6678">
             </c>
      <c r="I6678" t="s">
        <v>14</v>
      </c>
      <c r="J6678" t="s">
        <v>141</v>
      </c>
      <c r="K6678" t="s">
        <v>14</v>
      </c>
      <c r="L6678" t="s">
        <v>20</v>
      </c>
      <c r="M6678" t="s">
        <v>12596</v>
      </c>
      <c r="N6678" t="s">
        <v>14</v>
      </c>
    </row>
    <row r="6679" x14ac:dyDescent="0.25">
      <c r="A6679" t="n">
        <v>25</v>
      </c>
      <c r="B6679" t="s">
        <v>14</v>
      </c>
      <c r="C6679" t="s">
        <v>22</v>
      </c>
      <c r="D6679" s="2" t="s">
        <f>=HYPERLINK("https://main.knesset.gov.il/APPS/legislation/main/bills/2196478", "הצעת חוק סדר הדין הפלילי (סמכויות אכיפה - מעצרים) (תיקון - ביצוע מעצר וחקירת אדם עם מוגבלות שכלית או נפשית), התשפ""ג-2022")</f>
        <v>13027</v>
      </c>
      <c r="E6679" t="s">
        <v>13027</v>
      </c>
      <c r="F6679" t="s">
        <v>13033</v>
      </c>
      <c r="G6679" t="s">
        <v>14</v>
      </c>
      <c r="H6679">
             </c>
      <c r="I6679" t="s">
        <v>14</v>
      </c>
      <c r="J6679" t="s">
        <v>141</v>
      </c>
      <c r="K6679" t="s">
        <v>14</v>
      </c>
      <c r="L6679" t="s">
        <v>20</v>
      </c>
      <c r="M6679" t="s">
        <v>12596</v>
      </c>
      <c r="N6679" t="s">
        <v>14</v>
      </c>
    </row>
    <row r="6680" x14ac:dyDescent="0.25">
      <c r="A6680" t="n">
        <v>25</v>
      </c>
      <c r="B6680" t="s">
        <v>14</v>
      </c>
      <c r="C6680" t="s">
        <v>22</v>
      </c>
      <c r="D6680" s="2" t="s">
        <f>=HYPERLINK("https://main.knesset.gov.il/APPS/legislation/main/bills/2196742", "הצעת חוק חוזה קבלנות (תיקון - חופש מהעסקה), התשפ""ג-2022")</f>
        <v>13034</v>
      </c>
      <c r="E6680" t="s">
        <v>13034</v>
      </c>
      <c r="F6680" t="s">
        <v>13035</v>
      </c>
      <c r="G6680" t="s">
        <v>14</v>
      </c>
      <c r="H6680">
             </c>
      <c r="I6680" t="s">
        <v>14</v>
      </c>
      <c r="J6680" t="s">
        <v>141</v>
      </c>
      <c r="K6680" t="s">
        <v>14</v>
      </c>
      <c r="L6680" t="s">
        <v>20</v>
      </c>
      <c r="M6680" t="s">
        <v>12596</v>
      </c>
      <c r="N6680" t="s">
        <v>14</v>
      </c>
    </row>
    <row r="6681" x14ac:dyDescent="0.25">
      <c r="A6681" t="n">
        <v>25</v>
      </c>
      <c r="B6681" t="s">
        <v>14</v>
      </c>
      <c r="C6681" t="s">
        <v>22</v>
      </c>
      <c r="D6681" s="2" t="s">
        <f>=HYPERLINK("https://main.knesset.gov.il/APPS/legislation/main/bills/2197072", "הצעת חוק להגנת חיית הבר (תיקון - סחר, החזקה והעברה של חיות בר), התשפ""ג-2022")</f>
        <v>13036</v>
      </c>
      <c r="E6681" t="s">
        <v>13036</v>
      </c>
      <c r="F6681" t="s">
        <v>13037</v>
      </c>
      <c r="G6681" t="s">
        <v>14</v>
      </c>
      <c r="H6681">
             </c>
      <c r="I6681" t="s">
        <v>14</v>
      </c>
      <c r="J6681" t="s">
        <v>141</v>
      </c>
      <c r="K6681" t="s">
        <v>14</v>
      </c>
      <c r="L6681" t="s">
        <v>20</v>
      </c>
      <c r="M6681" t="s">
        <v>12596</v>
      </c>
      <c r="N6681" t="s">
        <v>14</v>
      </c>
    </row>
    <row r="6682" x14ac:dyDescent="0.25">
      <c r="A6682" t="n">
        <v>25</v>
      </c>
      <c r="B6682" t="s">
        <v>14</v>
      </c>
      <c r="C6682" t="s">
        <v>22</v>
      </c>
      <c r="D6682" s="2" t="s">
        <f>=HYPERLINK("https://main.knesset.gov.il/APPS/legislation/main/bills/2196944", "הצעת חוק המרכז למורשת הערבית, התשפ""ג-2022")</f>
        <v>13038</v>
      </c>
      <c r="E6682" t="s">
        <v>13038</v>
      </c>
      <c r="F6682" t="s">
        <v>13039</v>
      </c>
      <c r="G6682" t="s">
        <v>14</v>
      </c>
      <c r="H6682">
             </c>
      <c r="I6682" t="s">
        <v>14</v>
      </c>
      <c r="J6682" t="s">
        <v>141</v>
      </c>
      <c r="K6682" t="s">
        <v>14</v>
      </c>
      <c r="L6682" t="s">
        <v>20</v>
      </c>
      <c r="M6682" t="s">
        <v>12596</v>
      </c>
      <c r="N6682" t="s">
        <v>14</v>
      </c>
    </row>
    <row r="6683" x14ac:dyDescent="0.25">
      <c r="A6683" t="n">
        <v>25</v>
      </c>
      <c r="B6683" t="s">
        <v>14</v>
      </c>
      <c r="C6683" t="s">
        <v>22</v>
      </c>
      <c r="D6683" s="2" t="s">
        <f>=HYPERLINK("https://main.knesset.gov.il/APPS/legislation/main/bills/2198178", "הצעת חוק איות שמות רחובות, דרכים ומקומות ציבוריים (תיקוני חקיקה), התשפ""ג-2022")</f>
        <v>13040</v>
      </c>
      <c r="E6683" t="s">
        <v>13040</v>
      </c>
      <c r="F6683" t="s">
        <v>13041</v>
      </c>
      <c r="G6683" t="s">
        <v>14</v>
      </c>
      <c r="H6683">
             </c>
      <c r="I6683" t="s">
        <v>14</v>
      </c>
      <c r="J6683" t="s">
        <v>141</v>
      </c>
      <c r="K6683" t="s">
        <v>14</v>
      </c>
      <c r="L6683" t="s">
        <v>20</v>
      </c>
      <c r="M6683" t="s">
        <v>12596</v>
      </c>
      <c r="N6683" t="s">
        <v>14</v>
      </c>
    </row>
    <row r="6684" x14ac:dyDescent="0.25">
      <c r="A6684" t="n">
        <v>25</v>
      </c>
      <c r="B6684" t="s">
        <v>14</v>
      </c>
      <c r="C6684" t="s">
        <v>22</v>
      </c>
      <c r="D6684" s="2" t="s">
        <f>=HYPERLINK("https://main.knesset.gov.il/APPS/legislation/main/bills/2196512", "הצעת חוק סדר הדין הפלילי (חקירת חשודים) (תיקון - זכויות חשודים), התשפ""ג-2022")</f>
        <v>13042</v>
      </c>
      <c r="E6684" t="s">
        <v>13042</v>
      </c>
      <c r="F6684" t="s">
        <v>13043</v>
      </c>
      <c r="G6684" t="s">
        <v>14</v>
      </c>
      <c r="H6684">
             </c>
      <c r="I6684" t="s">
        <v>14</v>
      </c>
      <c r="J6684" t="s">
        <v>141</v>
      </c>
      <c r="K6684" t="s">
        <v>14</v>
      </c>
      <c r="L6684" t="s">
        <v>20</v>
      </c>
      <c r="M6684" t="s">
        <v>12596</v>
      </c>
      <c r="N6684" t="s">
        <v>14</v>
      </c>
    </row>
    <row r="6685" x14ac:dyDescent="0.25">
      <c r="A6685" t="n">
        <v>25</v>
      </c>
      <c r="B6685" t="s">
        <v>14</v>
      </c>
      <c r="C6685" t="s">
        <v>22</v>
      </c>
      <c r="D6685" s="2" t="s">
        <f>=HYPERLINK("https://main.knesset.gov.il/APPS/legislation/main/bills/2196913", "הצעת חוק הגבלת מימון מפעלים מזהמים (תיקוני חקיקה), התשפ""ג-2022")</f>
        <v>13044</v>
      </c>
      <c r="E6685" t="s">
        <v>13044</v>
      </c>
      <c r="F6685" t="s">
        <v>13045</v>
      </c>
      <c r="G6685" t="s">
        <v>14</v>
      </c>
      <c r="H6685">
             </c>
      <c r="I6685" t="s">
        <v>14</v>
      </c>
      <c r="J6685" t="s">
        <v>141</v>
      </c>
      <c r="K6685" t="s">
        <v>14</v>
      </c>
      <c r="L6685" t="s">
        <v>20</v>
      </c>
      <c r="M6685" t="s">
        <v>12596</v>
      </c>
      <c r="N6685" t="s">
        <v>14</v>
      </c>
    </row>
    <row r="6686" x14ac:dyDescent="0.25">
      <c r="A6686" t="n">
        <v>25</v>
      </c>
      <c r="B6686" t="s">
        <v>14</v>
      </c>
      <c r="C6686" t="s">
        <v>22</v>
      </c>
      <c r="D6686" s="2" t="s">
        <f>=HYPERLINK("https://main.knesset.gov.il/APPS/legislation/main/bills/2198185", "הצעת חוק חינוך מיוחד (תיקון - קביעת זמן נסיעה), התשפ""ג-2022")</f>
        <v>13046</v>
      </c>
      <c r="E6686" t="s">
        <v>13046</v>
      </c>
      <c r="F6686" t="s">
        <v>13047</v>
      </c>
      <c r="G6686" t="s">
        <v>14</v>
      </c>
      <c r="H6686">
             </c>
      <c r="I6686" t="s">
        <v>14</v>
      </c>
      <c r="J6686" t="s">
        <v>141</v>
      </c>
      <c r="K6686" t="s">
        <v>14</v>
      </c>
      <c r="L6686" t="s">
        <v>20</v>
      </c>
      <c r="M6686" t="s">
        <v>12596</v>
      </c>
      <c r="N6686" t="s">
        <v>14</v>
      </c>
    </row>
    <row r="6687" x14ac:dyDescent="0.25">
      <c r="A6687" t="n">
        <v>25</v>
      </c>
      <c r="B6687" t="s">
        <v>14</v>
      </c>
      <c r="C6687" t="s">
        <v>22</v>
      </c>
      <c r="D6687" s="2" t="s">
        <f>=HYPERLINK("https://main.knesset.gov.il/APPS/legislation/main/bills/2196569", "הצעת חוק-יסוד: חופש העיסוק (תיקון - החלת חוק היסוד על אזרחי ישראל ותושבי קבע בלבד)")</f>
        <v>13048</v>
      </c>
      <c r="E6687" t="s">
        <v>13048</v>
      </c>
      <c r="F6687" t="s">
        <v>13049</v>
      </c>
      <c r="G6687" t="s">
        <v>14</v>
      </c>
      <c r="H6687">
             </c>
      <c r="I6687" t="s">
        <v>14</v>
      </c>
      <c r="J6687" t="s">
        <v>141</v>
      </c>
      <c r="K6687" t="s">
        <v>14</v>
      </c>
      <c r="L6687" t="s">
        <v>20</v>
      </c>
      <c r="M6687" t="s">
        <v>12596</v>
      </c>
      <c r="N6687" t="s">
        <v>14</v>
      </c>
    </row>
    <row r="6688" x14ac:dyDescent="0.25">
      <c r="A6688" t="n">
        <v>25</v>
      </c>
      <c r="B6688" t="s">
        <v>14</v>
      </c>
      <c r="C6688" t="s">
        <v>22</v>
      </c>
      <c r="D6688" s="2" t="s">
        <f>=HYPERLINK("https://main.knesset.gov.il/APPS/legislation/main/bills/2197024", "הצעת חוק צער בעלי חיים (הגנה על בעלי חיים) (תיקון - המעמד המשפטי של בעלי חיים), התשפ""ג-2022")</f>
        <v>13050</v>
      </c>
      <c r="E6688" t="s">
        <v>13050</v>
      </c>
      <c r="F6688" t="s">
        <v>13051</v>
      </c>
      <c r="G6688" t="s">
        <v>14</v>
      </c>
      <c r="H6688">
             </c>
      <c r="I6688" t="s">
        <v>14</v>
      </c>
      <c r="J6688" t="s">
        <v>141</v>
      </c>
      <c r="K6688" t="s">
        <v>14</v>
      </c>
      <c r="L6688" t="s">
        <v>20</v>
      </c>
      <c r="M6688" t="s">
        <v>12596</v>
      </c>
      <c r="N6688" t="s">
        <v>14</v>
      </c>
    </row>
    <row r="6689" x14ac:dyDescent="0.25">
      <c r="A6689" t="n">
        <v>25</v>
      </c>
      <c r="B6689" t="s">
        <v>14</v>
      </c>
      <c r="C6689" t="s">
        <v>22</v>
      </c>
      <c r="D6689" s="2" t="s">
        <f>=HYPERLINK("https://main.knesset.gov.il/APPS/legislation/main/bills/2198276", "הצעת חוק לימוד חובה (תיקון - חינוך חינם לפעוטות ולילדים), התשפ""ג-2022")</f>
        <v>13052</v>
      </c>
      <c r="E6689" t="s">
        <v>13052</v>
      </c>
      <c r="F6689" t="s">
        <v>13053</v>
      </c>
      <c r="G6689" t="s">
        <v>14</v>
      </c>
      <c r="H6689">
             </c>
      <c r="I6689" t="s">
        <v>14</v>
      </c>
      <c r="J6689" t="s">
        <v>141</v>
      </c>
      <c r="K6689" t="s">
        <v>14</v>
      </c>
      <c r="L6689" t="s">
        <v>20</v>
      </c>
      <c r="M6689" t="s">
        <v>12596</v>
      </c>
      <c r="N6689" t="s">
        <v>14</v>
      </c>
    </row>
    <row r="6690" x14ac:dyDescent="0.25">
      <c r="A6690" t="n">
        <v>25</v>
      </c>
      <c r="B6690" t="s">
        <v>14</v>
      </c>
      <c r="C6690" t="s">
        <v>22</v>
      </c>
      <c r="D6690" s="2" t="s">
        <f>=HYPERLINK("https://main.knesset.gov.il/APPS/legislation/main/bills/2198056", "הצעת חוק צער בעלי חיים (הגנה על בעלי חיים) (תיקון - איסור משלוחים חיים לשחיטה), התשפ""ג-2022")</f>
        <v>13054</v>
      </c>
      <c r="E6690" t="s">
        <v>13054</v>
      </c>
      <c r="F6690" t="s">
        <v>13055</v>
      </c>
      <c r="G6690" t="s">
        <v>14</v>
      </c>
      <c r="H6690">
             </c>
      <c r="I6690" t="s">
        <v>14</v>
      </c>
      <c r="J6690" t="s">
        <v>141</v>
      </c>
      <c r="K6690" t="s">
        <v>14</v>
      </c>
      <c r="L6690" t="s">
        <v>20</v>
      </c>
      <c r="M6690" t="s">
        <v>12596</v>
      </c>
      <c r="N6690" t="s">
        <v>14</v>
      </c>
    </row>
    <row r="6691" x14ac:dyDescent="0.25">
      <c r="A6691" t="n">
        <v>25</v>
      </c>
      <c r="B6691" t="s">
        <v>14</v>
      </c>
      <c r="C6691" t="s">
        <v>22</v>
      </c>
      <c r="D6691" s="2" t="s">
        <f>=HYPERLINK("https://main.knesset.gov.il/APPS/legislation/main/bills/2196882", "הצעת חוק שירותי תעופה (פיצוי וסיוע בשל ביטול טיסה או שינוי בתנאיה) (תיקון - הוראות שונות), התשפ""ג-2022")</f>
        <v>13056</v>
      </c>
      <c r="E6691" t="s">
        <v>13056</v>
      </c>
      <c r="F6691" t="s">
        <v>13057</v>
      </c>
      <c r="G6691" t="s">
        <v>14</v>
      </c>
      <c r="H6691">
             </c>
      <c r="I6691" t="s">
        <v>14</v>
      </c>
      <c r="J6691" t="s">
        <v>141</v>
      </c>
      <c r="K6691" t="s">
        <v>14</v>
      </c>
      <c r="L6691" t="s">
        <v>20</v>
      </c>
      <c r="M6691" t="s">
        <v>12596</v>
      </c>
      <c r="N6691" t="s">
        <v>14</v>
      </c>
    </row>
    <row r="6692" x14ac:dyDescent="0.25">
      <c r="A6692" t="n">
        <v>25</v>
      </c>
      <c r="B6692" t="s">
        <v>14</v>
      </c>
      <c r="C6692" t="s">
        <v>22</v>
      </c>
      <c r="D6692" s="2" t="s">
        <f>=HYPERLINK("https://main.knesset.gov.il/APPS/legislation/main/bills/2196367", "הצעת חוק סיוע למשפחות ברוכות ילדים (תיקוני חקיקה), התשפ""ג-2022")</f>
        <v>13058</v>
      </c>
      <c r="E6692" t="s">
        <v>13058</v>
      </c>
      <c r="F6692" t="s">
        <v>13059</v>
      </c>
      <c r="G6692" t="s">
        <v>14</v>
      </c>
      <c r="H6692">
             </c>
      <c r="I6692" t="s">
        <v>14</v>
      </c>
      <c r="J6692" t="s">
        <v>141</v>
      </c>
      <c r="K6692" t="s">
        <v>14</v>
      </c>
      <c r="L6692" t="s">
        <v>20</v>
      </c>
      <c r="M6692" t="s">
        <v>12596</v>
      </c>
      <c r="N6692" t="s">
        <v>14</v>
      </c>
    </row>
    <row r="6693" x14ac:dyDescent="0.25">
      <c r="A6693" t="n">
        <v>25</v>
      </c>
      <c r="B6693" t="s">
        <v>14</v>
      </c>
      <c r="C6693" t="s">
        <v>22</v>
      </c>
      <c r="D6693" s="2" t="s">
        <f>=HYPERLINK("https://main.knesset.gov.il/APPS/legislation/main/bills/2196889", "הצעת חוק צער בעלי חיים (הגנה על בעלי חיים) (תיקון - איסור משלוחים חיים לשחיטה), התשפ""ג-2022")</f>
        <v>13054</v>
      </c>
      <c r="E6693" t="s">
        <v>13054</v>
      </c>
      <c r="F6693" t="s">
        <v>13060</v>
      </c>
      <c r="G6693" t="s">
        <v>14</v>
      </c>
      <c r="H6693">
             </c>
      <c r="I6693" t="s">
        <v>14</v>
      </c>
      <c r="J6693" t="s">
        <v>141</v>
      </c>
      <c r="K6693" t="s">
        <v>14</v>
      </c>
      <c r="L6693" t="s">
        <v>20</v>
      </c>
      <c r="M6693" t="s">
        <v>12596</v>
      </c>
      <c r="N6693" t="s">
        <v>14</v>
      </c>
    </row>
    <row r="6694" x14ac:dyDescent="0.25">
      <c r="A6694" t="n">
        <v>25</v>
      </c>
      <c r="B6694" t="s">
        <v>14</v>
      </c>
      <c r="C6694" t="s">
        <v>22</v>
      </c>
      <c r="D6694" s="2" t="s">
        <f>=HYPERLINK("https://main.knesset.gov.il/APPS/legislation/main/bills/2196571", "הצעת חוק סדר הדין הפלילי (תיקון - הגבלת משך זמן החקירה המשטרתית), התשפ""ג-2022")</f>
        <v>13061</v>
      </c>
      <c r="E6694" t="s">
        <v>13061</v>
      </c>
      <c r="F6694" t="s">
        <v>13062</v>
      </c>
      <c r="G6694" t="s">
        <v>14</v>
      </c>
      <c r="H6694">
             </c>
      <c r="I6694" t="s">
        <v>14</v>
      </c>
      <c r="J6694" t="s">
        <v>141</v>
      </c>
      <c r="K6694" t="s">
        <v>14</v>
      </c>
      <c r="L6694" t="s">
        <v>20</v>
      </c>
      <c r="M6694" t="s">
        <v>12596</v>
      </c>
      <c r="N6694" t="s">
        <v>14</v>
      </c>
    </row>
    <row r="6695" x14ac:dyDescent="0.25">
      <c r="A6695" t="n">
        <v>25</v>
      </c>
      <c r="B6695" t="s">
        <v>14</v>
      </c>
      <c r="C6695" t="s">
        <v>22</v>
      </c>
      <c r="D6695" s="2" t="s">
        <f>=HYPERLINK("https://main.knesset.gov.il/APPS/legislation/main/bills/2196874", "הצעת חוק הפיקוח על שירותים פיננסיים (קופות גמל) (תיקון - היוון קצבה על ידי שאיר הזכאי לפנסיה תקציבית או לקצבה מקופה אחרת), התשפ""ג-2022")</f>
        <v>13063</v>
      </c>
      <c r="E6695" t="s">
        <v>13063</v>
      </c>
      <c r="F6695" t="s">
        <v>13064</v>
      </c>
      <c r="G6695" t="s">
        <v>14</v>
      </c>
      <c r="H6695">
             </c>
      <c r="I6695" t="s">
        <v>14</v>
      </c>
      <c r="J6695" t="s">
        <v>141</v>
      </c>
      <c r="K6695" t="s">
        <v>14</v>
      </c>
      <c r="L6695" t="s">
        <v>20</v>
      </c>
      <c r="M6695" t="s">
        <v>12596</v>
      </c>
      <c r="N6695" t="s">
        <v>14</v>
      </c>
    </row>
    <row r="6696" x14ac:dyDescent="0.25">
      <c r="A6696" t="n">
        <v>25</v>
      </c>
      <c r="B6696" t="s">
        <v>14</v>
      </c>
      <c r="C6696" t="s">
        <v>22</v>
      </c>
      <c r="D6696" s="2" t="s">
        <f>=HYPERLINK("https://main.knesset.gov.il/APPS/legislation/main/bills/2197001", "הצעת חוק להגנת חיית הבר (תיקון - ביטול רישיונות ציד), התשפ""ג-2022")</f>
        <v>13065</v>
      </c>
      <c r="E6696" t="s">
        <v>13065</v>
      </c>
      <c r="F6696" t="s">
        <v>13066</v>
      </c>
      <c r="G6696" t="s">
        <v>14</v>
      </c>
      <c r="H6696">
             </c>
      <c r="I6696" t="s">
        <v>14</v>
      </c>
      <c r="J6696" t="s">
        <v>141</v>
      </c>
      <c r="K6696" t="s">
        <v>14</v>
      </c>
      <c r="L6696" t="s">
        <v>20</v>
      </c>
      <c r="M6696" t="s">
        <v>12596</v>
      </c>
      <c r="N6696" t="s">
        <v>14</v>
      </c>
    </row>
    <row r="6697" x14ac:dyDescent="0.25">
      <c r="A6697" t="n">
        <v>25</v>
      </c>
      <c r="B6697" t="s">
        <v>14</v>
      </c>
      <c r="C6697" t="s">
        <v>22</v>
      </c>
      <c r="D6697" s="2" t="s">
        <f>=HYPERLINK("https://main.knesset.gov.il/APPS/legislation/main/bills/2196345", "הצעת חוק שוויון זכויות לאנשים עם מוגבלות (תיקון - הוראות לעניין מוסד על-תיכוני להשכלה תורנית או דתית), התשפ""ג-2022")</f>
        <v>13067</v>
      </c>
      <c r="E6697" t="s">
        <v>13067</v>
      </c>
      <c r="F6697" t="s">
        <v>13068</v>
      </c>
      <c r="G6697" t="s">
        <v>14</v>
      </c>
      <c r="H6697">
             </c>
      <c r="I6697" t="s">
        <v>14</v>
      </c>
      <c r="J6697" t="s">
        <v>141</v>
      </c>
      <c r="K6697" t="s">
        <v>14</v>
      </c>
      <c r="L6697" t="s">
        <v>20</v>
      </c>
      <c r="M6697" t="s">
        <v>12596</v>
      </c>
      <c r="N6697" t="s">
        <v>14</v>
      </c>
    </row>
    <row r="6698" x14ac:dyDescent="0.25">
      <c r="A6698" t="n">
        <v>25</v>
      </c>
      <c r="B6698" t="s">
        <v>14</v>
      </c>
      <c r="C6698" t="s">
        <v>22</v>
      </c>
      <c r="D6698" s="2" t="s">
        <f>=HYPERLINK("https://main.knesset.gov.il/APPS/legislation/main/bills/2196935", "הצעת חוק המועצה להשכלה גבוהה (תיקון - קביעת שכר לימוד במוסדות מוכרים שהמדינה אינה משתתפת בתקציביהם), התשפ""ג-2022")</f>
        <v>13069</v>
      </c>
      <c r="E6698" t="s">
        <v>13069</v>
      </c>
      <c r="F6698" t="s">
        <v>13070</v>
      </c>
      <c r="G6698" t="s">
        <v>14</v>
      </c>
      <c r="H6698">
             </c>
      <c r="I6698" t="s">
        <v>14</v>
      </c>
      <c r="J6698" t="s">
        <v>141</v>
      </c>
      <c r="K6698" t="s">
        <v>14</v>
      </c>
      <c r="L6698" t="s">
        <v>20</v>
      </c>
      <c r="M6698" t="s">
        <v>12596</v>
      </c>
      <c r="N6698" t="s">
        <v>14</v>
      </c>
    </row>
    <row r="6699" x14ac:dyDescent="0.25">
      <c r="A6699" t="n">
        <v>25</v>
      </c>
      <c r="B6699" t="s">
        <v>14</v>
      </c>
      <c r="C6699" t="s">
        <v>22</v>
      </c>
      <c r="D6699" s="2" t="s">
        <f>=HYPERLINK("https://main.knesset.gov.il/APPS/legislation/main/bills/2196325", "הצעת חוק הרב הצבאי הראשי, התשפ""ג-2022")</f>
        <v>13071</v>
      </c>
      <c r="E6699" t="s">
        <v>13071</v>
      </c>
      <c r="F6699" t="s">
        <v>13072</v>
      </c>
      <c r="G6699" t="s">
        <v>14</v>
      </c>
      <c r="H6699">
             </c>
      <c r="I6699" t="s">
        <v>14</v>
      </c>
      <c r="J6699" t="s">
        <v>141</v>
      </c>
      <c r="K6699" t="s">
        <v>14</v>
      </c>
      <c r="L6699" t="s">
        <v>20</v>
      </c>
      <c r="M6699" t="s">
        <v>12596</v>
      </c>
      <c r="N6699" t="s">
        <v>14</v>
      </c>
    </row>
    <row r="6700" x14ac:dyDescent="0.25">
      <c r="A6700" t="n">
        <v>25</v>
      </c>
      <c r="B6700" t="s">
        <v>14</v>
      </c>
      <c r="C6700" t="s">
        <v>22</v>
      </c>
      <c r="D6700" s="2" t="s">
        <f>=HYPERLINK("https://main.knesset.gov.il/APPS/legislation/main/bills/2196715", "הצעת חוק-יסוד: בחירות אזוריות וארציות (תיקוני חקיקה)")</f>
        <v>13073</v>
      </c>
      <c r="E6700" t="s">
        <v>13073</v>
      </c>
      <c r="F6700" t="s">
        <v>13074</v>
      </c>
      <c r="G6700" t="s">
        <v>14</v>
      </c>
      <c r="H6700">
             </c>
      <c r="I6700" t="s">
        <v>14</v>
      </c>
      <c r="J6700" t="s">
        <v>141</v>
      </c>
      <c r="K6700" t="s">
        <v>14</v>
      </c>
      <c r="L6700" t="s">
        <v>20</v>
      </c>
      <c r="M6700" t="s">
        <v>12596</v>
      </c>
      <c r="N6700" t="s">
        <v>14</v>
      </c>
    </row>
    <row r="6701" x14ac:dyDescent="0.25">
      <c r="A6701" t="n">
        <v>25</v>
      </c>
      <c r="B6701" t="s">
        <v>14</v>
      </c>
      <c r="C6701" t="s">
        <v>22</v>
      </c>
      <c r="D6701" s="2" t="s">
        <f>=HYPERLINK("https://main.knesset.gov.il/APPS/legislation/main/bills/2196931", "הצעת חוק הפיקוח על שירותים פיננסיים (קופות גמל) (תיקון - הגבלת דמי ניהול בקרנות הפנסיה), התשפ""ג-2022")</f>
        <v>13075</v>
      </c>
      <c r="E6701" t="s">
        <v>13075</v>
      </c>
      <c r="F6701" t="s">
        <v>13076</v>
      </c>
      <c r="G6701" t="s">
        <v>14</v>
      </c>
      <c r="H6701">
             </c>
      <c r="I6701" t="s">
        <v>14</v>
      </c>
      <c r="J6701" t="s">
        <v>141</v>
      </c>
      <c r="K6701" t="s">
        <v>14</v>
      </c>
      <c r="L6701" t="s">
        <v>20</v>
      </c>
      <c r="M6701" t="s">
        <v>12596</v>
      </c>
      <c r="N6701" t="s">
        <v>14</v>
      </c>
    </row>
    <row r="6702" x14ac:dyDescent="0.25">
      <c r="A6702" t="n">
        <v>25</v>
      </c>
      <c r="B6702" t="s">
        <v>14</v>
      </c>
      <c r="C6702" t="s">
        <v>22</v>
      </c>
      <c r="D6702" s="2" t="s">
        <f>=HYPERLINK("https://main.knesset.gov.il/APPS/legislation/main/bills/2196868", "הצעת חוק רשות מקרקעי ישראל (תיקון - הקצאה שוויונית לאוכלוסייה הערבית), התשפ""ג-2022")</f>
        <v>13077</v>
      </c>
      <c r="E6702" t="s">
        <v>13077</v>
      </c>
      <c r="F6702" t="s">
        <v>13078</v>
      </c>
      <c r="G6702" t="s">
        <v>14</v>
      </c>
      <c r="H6702">
             </c>
      <c r="I6702" t="s">
        <v>14</v>
      </c>
      <c r="J6702" t="s">
        <v>141</v>
      </c>
      <c r="K6702" t="s">
        <v>14</v>
      </c>
      <c r="L6702" t="s">
        <v>20</v>
      </c>
      <c r="M6702" t="s">
        <v>12596</v>
      </c>
      <c r="N6702" t="s">
        <v>14</v>
      </c>
    </row>
    <row r="6703" x14ac:dyDescent="0.25">
      <c r="A6703" t="n">
        <v>25</v>
      </c>
      <c r="B6703" t="s">
        <v>14</v>
      </c>
      <c r="C6703" t="s">
        <v>22</v>
      </c>
      <c r="D6703" s="2" t="s">
        <f>=HYPERLINK("https://main.knesset.gov.il/APPS/legislation/main/bills/2197754", "הצעת חוק לתיקון פקודת מס הכנסה (חשבון השקעה), התשפ""ג-2022")</f>
        <v>13079</v>
      </c>
      <c r="E6703" t="s">
        <v>13079</v>
      </c>
      <c r="F6703" t="s">
        <v>13080</v>
      </c>
      <c r="G6703" t="s">
        <v>14</v>
      </c>
      <c r="H6703">
             </c>
      <c r="I6703" t="s">
        <v>14</v>
      </c>
      <c r="J6703" t="s">
        <v>141</v>
      </c>
      <c r="K6703" t="s">
        <v>14</v>
      </c>
      <c r="L6703" t="s">
        <v>20</v>
      </c>
      <c r="M6703" t="s">
        <v>12596</v>
      </c>
      <c r="N6703" t="s">
        <v>14</v>
      </c>
    </row>
    <row r="6704" x14ac:dyDescent="0.25">
      <c r="A6704" t="n">
        <v>25</v>
      </c>
      <c r="B6704" t="s">
        <v>14</v>
      </c>
      <c r="C6704" t="s">
        <v>22</v>
      </c>
      <c r="D6704" s="2" t="s">
        <f>=HYPERLINK("https://main.knesset.gov.il/APPS/legislation/main/bills/2197752", "הצעת חוק מס רכוש וקרן פיצויים (תיקון - הרחבת הגדרת נזק), התשפ""ג-2022 ")</f>
        <v>13081</v>
      </c>
      <c r="E6704" t="s">
        <v>13081</v>
      </c>
      <c r="F6704" t="s">
        <v>13082</v>
      </c>
      <c r="G6704" t="s">
        <v>14</v>
      </c>
      <c r="H6704">
             </c>
      <c r="I6704" t="s">
        <v>14</v>
      </c>
      <c r="J6704" t="s">
        <v>141</v>
      </c>
      <c r="K6704" t="s">
        <v>14</v>
      </c>
      <c r="L6704" t="s">
        <v>20</v>
      </c>
      <c r="M6704" t="s">
        <v>12596</v>
      </c>
      <c r="N6704" t="s">
        <v>14</v>
      </c>
    </row>
    <row r="6705" x14ac:dyDescent="0.25">
      <c r="A6705" t="n">
        <v>25</v>
      </c>
      <c r="B6705" t="s">
        <v>14</v>
      </c>
      <c r="C6705" t="s">
        <v>22</v>
      </c>
      <c r="D6705" s="2" t="s">
        <f>=HYPERLINK("https://main.knesset.gov.il/APPS/legislation/main/bills/2197929", "הצעת חוק בתי המשפט (תיקון - פומביות בחירת שופטי בית המשפט העליון), התשפ""ג-2022")</f>
        <v>13083</v>
      </c>
      <c r="E6705" t="s">
        <v>13083</v>
      </c>
      <c r="F6705" t="s">
        <v>13084</v>
      </c>
      <c r="G6705" t="s">
        <v>14</v>
      </c>
      <c r="H6705">
             </c>
      <c r="I6705" t="s">
        <v>14</v>
      </c>
      <c r="J6705" t="s">
        <v>141</v>
      </c>
      <c r="K6705" t="s">
        <v>14</v>
      </c>
      <c r="L6705" t="s">
        <v>20</v>
      </c>
      <c r="M6705" t="s">
        <v>12596</v>
      </c>
      <c r="N6705" t="s">
        <v>14</v>
      </c>
    </row>
    <row r="6706" x14ac:dyDescent="0.25">
      <c r="A6706" t="n">
        <v>25</v>
      </c>
      <c r="B6706" t="s">
        <v>14</v>
      </c>
      <c r="C6706" t="s">
        <v>22</v>
      </c>
      <c r="D6706" s="2" t="s">
        <f>=HYPERLINK("https://main.knesset.gov.il/APPS/legislation/main/bills/2197619", "הצעת חוק ייצוג גופים ציבוריים שעניינם בשמירת איכות הסביבה (תיקוני חקיקה), התשפ""ג-2022")</f>
        <v>13085</v>
      </c>
      <c r="E6706" t="s">
        <v>13085</v>
      </c>
      <c r="F6706" t="s">
        <v>13086</v>
      </c>
      <c r="G6706" t="s">
        <v>14</v>
      </c>
      <c r="H6706">
             </c>
      <c r="I6706" t="s">
        <v>14</v>
      </c>
      <c r="J6706" t="s">
        <v>141</v>
      </c>
      <c r="K6706" t="s">
        <v>14</v>
      </c>
      <c r="L6706" t="s">
        <v>20</v>
      </c>
      <c r="M6706" t="s">
        <v>12596</v>
      </c>
      <c r="N6706" t="s">
        <v>14</v>
      </c>
    </row>
    <row r="6707" x14ac:dyDescent="0.25">
      <c r="A6707" t="n">
        <v>25</v>
      </c>
      <c r="B6707" t="s">
        <v>14</v>
      </c>
      <c r="C6707" t="s">
        <v>22</v>
      </c>
      <c r="D6707" s="2" t="s">
        <f>=HYPERLINK("https://main.knesset.gov.il/APPS/legislation/main/bills/2196925", "הצעת חוק איסור הפליה במוצרים, בשירותים ובכניסה למקומות בידור ולמקומות ציבוריים (תיקון - חובת הודעה מוקדמת על אירוע סגור), התשפ""ג-2022")</f>
        <v>13087</v>
      </c>
      <c r="E6707" t="s">
        <v>13087</v>
      </c>
      <c r="F6707" t="s">
        <v>13088</v>
      </c>
      <c r="G6707" t="s">
        <v>14</v>
      </c>
      <c r="H6707">
             </c>
      <c r="I6707" t="s">
        <v>14</v>
      </c>
      <c r="J6707" t="s">
        <v>141</v>
      </c>
      <c r="K6707" t="s">
        <v>14</v>
      </c>
      <c r="L6707" t="s">
        <v>20</v>
      </c>
      <c r="M6707" t="s">
        <v>12596</v>
      </c>
      <c r="N6707" t="s">
        <v>14</v>
      </c>
    </row>
    <row r="6708" x14ac:dyDescent="0.25">
      <c r="A6708" t="n">
        <v>25</v>
      </c>
      <c r="B6708" t="s">
        <v>14</v>
      </c>
      <c r="C6708" t="s">
        <v>22</v>
      </c>
      <c r="D6708" s="2" t="s">
        <f>=HYPERLINK("https://main.knesset.gov.il/APPS/legislation/main/bills/2196597", "הצעת חוק הגנת השכר (תיקון - הגבלת ניכוי דמי חבר ודמי טיפול מקצועי ארגוני), התשפ""ג-2022")</f>
        <v>13089</v>
      </c>
      <c r="E6708" t="s">
        <v>13089</v>
      </c>
      <c r="F6708" t="s">
        <v>13090</v>
      </c>
      <c r="G6708" t="s">
        <v>14</v>
      </c>
      <c r="H6708">
             </c>
      <c r="I6708" t="s">
        <v>14</v>
      </c>
      <c r="J6708" t="s">
        <v>141</v>
      </c>
      <c r="K6708" t="s">
        <v>14</v>
      </c>
      <c r="L6708" t="s">
        <v>20</v>
      </c>
      <c r="M6708" t="s">
        <v>12596</v>
      </c>
      <c r="N6708" t="s">
        <v>14</v>
      </c>
    </row>
    <row r="6709" x14ac:dyDescent="0.25">
      <c r="A6709" t="n">
        <v>25</v>
      </c>
      <c r="B6709" t="s">
        <v>14</v>
      </c>
      <c r="C6709" t="s">
        <v>22</v>
      </c>
      <c r="D6709" s="2" t="s">
        <f>=HYPERLINK("https://main.knesset.gov.il/APPS/legislation/main/bills/2197609", "הצעת חוק לטיפול סביבתי בציוד חשמלי ואלקטרוני ובסוללות (תיקון - חובת מיחזור פסולת רכב חשמלי ורכב היברידי), התשפ""ג-2022 ")</f>
        <v>13091</v>
      </c>
      <c r="E6709" t="s">
        <v>13091</v>
      </c>
      <c r="F6709" t="s">
        <v>13092</v>
      </c>
      <c r="G6709" t="s">
        <v>14</v>
      </c>
      <c r="H6709">
             </c>
      <c r="I6709" t="s">
        <v>14</v>
      </c>
      <c r="J6709" t="s">
        <v>141</v>
      </c>
      <c r="K6709" t="s">
        <v>14</v>
      </c>
      <c r="L6709" t="s">
        <v>20</v>
      </c>
      <c r="M6709" t="s">
        <v>12596</v>
      </c>
      <c r="N6709" t="s">
        <v>14</v>
      </c>
    </row>
    <row r="6710" x14ac:dyDescent="0.25">
      <c r="A6710" t="n">
        <v>25</v>
      </c>
      <c r="B6710" t="s">
        <v>14</v>
      </c>
      <c r="C6710" t="s">
        <v>22</v>
      </c>
      <c r="D6710" s="2" t="s">
        <f>=HYPERLINK("https://main.knesset.gov.il/APPS/legislation/main/bills/2197652", "הצעת חוק הביטוח הלאומי (תיקון - הצמדת קצבת אזרח ותיק לשכר המינימום), התשפ""ג-2022")</f>
        <v>13093</v>
      </c>
      <c r="E6710" t="s">
        <v>13093</v>
      </c>
      <c r="F6710" t="s">
        <v>13094</v>
      </c>
      <c r="G6710" t="s">
        <v>14</v>
      </c>
      <c r="H6710">
             </c>
      <c r="I6710" t="s">
        <v>14</v>
      </c>
      <c r="J6710" t="s">
        <v>141</v>
      </c>
      <c r="K6710" t="s">
        <v>14</v>
      </c>
      <c r="L6710" t="s">
        <v>20</v>
      </c>
      <c r="M6710" t="s">
        <v>12596</v>
      </c>
      <c r="N6710" t="s">
        <v>14</v>
      </c>
    </row>
    <row r="6711" x14ac:dyDescent="0.25">
      <c r="A6711" t="n">
        <v>25</v>
      </c>
      <c r="B6711" t="s">
        <v>14</v>
      </c>
      <c r="C6711" t="s">
        <v>22</v>
      </c>
      <c r="D6711" s="2" t="s">
        <f>=HYPERLINK("https://main.knesset.gov.il/APPS/legislation/main/bills/2196862", "הצעת חוק לתיקון פקודת התעבורה (התראה מפני מצלמות ומכמונות מהירות), התשפ""ג-2022")</f>
        <v>13095</v>
      </c>
      <c r="E6711" t="s">
        <v>13095</v>
      </c>
      <c r="F6711" t="s">
        <v>13096</v>
      </c>
      <c r="G6711" t="s">
        <v>14</v>
      </c>
      <c r="H6711">
             </c>
      <c r="I6711" t="s">
        <v>14</v>
      </c>
      <c r="J6711" t="s">
        <v>141</v>
      </c>
      <c r="K6711" t="s">
        <v>14</v>
      </c>
      <c r="L6711" t="s">
        <v>20</v>
      </c>
      <c r="M6711" t="s">
        <v>12596</v>
      </c>
      <c r="N6711" t="s">
        <v>14</v>
      </c>
    </row>
    <row r="6712" x14ac:dyDescent="0.25">
      <c r="A6712" t="n">
        <v>25</v>
      </c>
      <c r="B6712" t="s">
        <v>14</v>
      </c>
      <c r="C6712" t="s">
        <v>22</v>
      </c>
      <c r="D6712" s="2" t="s">
        <f>=HYPERLINK("https://main.knesset.gov.il/APPS/legislation/main/bills/2196600", "הצעת חוק-יסוד: הפרדת רשויות (תיקוני חקיקה)")</f>
        <v>13097</v>
      </c>
      <c r="E6712" t="s">
        <v>13097</v>
      </c>
      <c r="F6712" t="s">
        <v>13098</v>
      </c>
      <c r="G6712" t="s">
        <v>14</v>
      </c>
      <c r="H6712">
             </c>
      <c r="I6712" t="s">
        <v>14</v>
      </c>
      <c r="J6712" t="s">
        <v>141</v>
      </c>
      <c r="K6712" t="s">
        <v>14</v>
      </c>
      <c r="L6712" t="s">
        <v>20</v>
      </c>
      <c r="M6712" t="s">
        <v>12596</v>
      </c>
      <c r="N6712" t="s">
        <v>14</v>
      </c>
    </row>
    <row r="6713" x14ac:dyDescent="0.25">
      <c r="A6713" t="n">
        <v>25</v>
      </c>
      <c r="B6713" t="s">
        <v>14</v>
      </c>
      <c r="C6713" t="s">
        <v>22</v>
      </c>
      <c r="D6713" s="2" t="s">
        <f>=HYPERLINK("https://main.knesset.gov.il/APPS/legislation/main/bills/2197622", "הצעת חוק קרן לאזרחי ישראל (תיקון - ועדה אתית מייעצת), התשפ""ג-2023")</f>
        <v>13099</v>
      </c>
      <c r="E6713" t="s">
        <v>13099</v>
      </c>
      <c r="F6713" t="s">
        <v>13100</v>
      </c>
      <c r="G6713" t="s">
        <v>14</v>
      </c>
      <c r="H6713">
             </c>
      <c r="I6713" t="s">
        <v>14</v>
      </c>
      <c r="J6713" t="s">
        <v>141</v>
      </c>
      <c r="K6713" t="s">
        <v>14</v>
      </c>
      <c r="L6713" t="s">
        <v>20</v>
      </c>
      <c r="M6713" t="s">
        <v>12596</v>
      </c>
      <c r="N6713" t="s">
        <v>14</v>
      </c>
    </row>
    <row r="6714" x14ac:dyDescent="0.25">
      <c r="A6714" t="n">
        <v>25</v>
      </c>
      <c r="B6714" t="s">
        <v>14</v>
      </c>
      <c r="C6714" t="s">
        <v>22</v>
      </c>
      <c r="D6714" s="2" t="s">
        <f>=HYPERLINK("https://main.knesset.gov.il/APPS/legislation/main/bills/2197711", "הצעת חוק הפחתת הגירעון והגבלת ההוצאה התקציבית (תיקון - ביטול הגבלת ההוצאה התקציבית), התשפ""ג-2022")</f>
        <v>13101</v>
      </c>
      <c r="E6714" t="s">
        <v>13101</v>
      </c>
      <c r="F6714" t="s">
        <v>13102</v>
      </c>
      <c r="G6714" t="s">
        <v>14</v>
      </c>
      <c r="H6714">
             </c>
      <c r="I6714" t="s">
        <v>14</v>
      </c>
      <c r="J6714" t="s">
        <v>141</v>
      </c>
      <c r="K6714" t="s">
        <v>14</v>
      </c>
      <c r="L6714" t="s">
        <v>20</v>
      </c>
      <c r="M6714" t="s">
        <v>12596</v>
      </c>
      <c r="N6714" t="s">
        <v>14</v>
      </c>
    </row>
    <row r="6715" x14ac:dyDescent="0.25">
      <c r="A6715" t="n">
        <v>25</v>
      </c>
      <c r="B6715" t="s">
        <v>14</v>
      </c>
      <c r="C6715" t="s">
        <v>22</v>
      </c>
      <c r="D6715" s="2" t="s">
        <f>=HYPERLINK("https://main.knesset.gov.il/APPS/legislation/main/bills/2196920", "הצעת חוק חינוך ממלכתי (תיקון - הגבלת כהונה של מפקח מחוז), התשפ""ג-2022")</f>
        <v>13103</v>
      </c>
      <c r="E6715" t="s">
        <v>13103</v>
      </c>
      <c r="F6715" t="s">
        <v>13104</v>
      </c>
      <c r="G6715" t="s">
        <v>14</v>
      </c>
      <c r="H6715">
             </c>
      <c r="I6715" t="s">
        <v>14</v>
      </c>
      <c r="J6715" t="s">
        <v>141</v>
      </c>
      <c r="K6715" t="s">
        <v>14</v>
      </c>
      <c r="L6715" t="s">
        <v>20</v>
      </c>
      <c r="M6715" t="s">
        <v>12596</v>
      </c>
      <c r="N6715" t="s">
        <v>14</v>
      </c>
    </row>
    <row r="6716" x14ac:dyDescent="0.25">
      <c r="A6716" t="n">
        <v>25</v>
      </c>
      <c r="B6716" t="s">
        <v>14</v>
      </c>
      <c r="C6716" t="s">
        <v>22</v>
      </c>
      <c r="D6716" s="2" t="s">
        <f>=HYPERLINK("https://main.knesset.gov.il/APPS/legislation/main/bills/2197297", "הצעת חוק החזרת תושבי בירעם ואיקרית לבתיהם, התשפ""ג-2022")</f>
        <v>13105</v>
      </c>
      <c r="E6716" t="s">
        <v>13105</v>
      </c>
      <c r="F6716" t="s">
        <v>13106</v>
      </c>
      <c r="G6716" t="s">
        <v>14</v>
      </c>
      <c r="H6716">
             </c>
      <c r="I6716" t="s">
        <v>14</v>
      </c>
      <c r="J6716" t="s">
        <v>141</v>
      </c>
      <c r="K6716" t="s">
        <v>14</v>
      </c>
      <c r="L6716" t="s">
        <v>20</v>
      </c>
      <c r="M6716" t="s">
        <v>12596</v>
      </c>
      <c r="N6716" t="s">
        <v>14</v>
      </c>
    </row>
    <row r="6717" x14ac:dyDescent="0.25">
      <c r="A6717" t="n">
        <v>25</v>
      </c>
      <c r="B6717" t="s">
        <v>14</v>
      </c>
      <c r="C6717" t="s">
        <v>22</v>
      </c>
      <c r="D6717" s="2" t="s">
        <f>=HYPERLINK("https://main.knesset.gov.il/APPS/legislation/main/bills/2196605", "הצעת חוק עובדים זרים (תיקון - היתר להעסקת עובד זר בענף הסיעוד), התשפ""ג-2022")</f>
        <v>13107</v>
      </c>
      <c r="E6717" t="s">
        <v>13107</v>
      </c>
      <c r="F6717" t="s">
        <v>13108</v>
      </c>
      <c r="G6717" t="s">
        <v>14</v>
      </c>
      <c r="H6717">
             </c>
      <c r="I6717" t="s">
        <v>14</v>
      </c>
      <c r="J6717" t="s">
        <v>141</v>
      </c>
      <c r="K6717" t="s">
        <v>14</v>
      </c>
      <c r="L6717" t="s">
        <v>20</v>
      </c>
      <c r="M6717" t="s">
        <v>12596</v>
      </c>
      <c r="N6717" t="s">
        <v>14</v>
      </c>
    </row>
    <row r="6718" x14ac:dyDescent="0.25">
      <c r="A6718" t="n">
        <v>25</v>
      </c>
      <c r="B6718" t="s">
        <v>14</v>
      </c>
      <c r="C6718" t="s">
        <v>22</v>
      </c>
      <c r="D6718" s="2" t="s">
        <f>=HYPERLINK("https://main.knesset.gov.il/APPS/legislation/main/bills/2197116", "הצעת חוק לתיקון פקודת התעבורה (חניית נשים בהריון והורה לתינוק), התשפ""ג-2022")</f>
        <v>13109</v>
      </c>
      <c r="E6718" t="s">
        <v>13109</v>
      </c>
      <c r="F6718" t="s">
        <v>13110</v>
      </c>
      <c r="G6718" t="s">
        <v>14</v>
      </c>
      <c r="H6718">
             </c>
      <c r="I6718" t="s">
        <v>14</v>
      </c>
      <c r="J6718" t="s">
        <v>141</v>
      </c>
      <c r="K6718" t="s">
        <v>14</v>
      </c>
      <c r="L6718" t="s">
        <v>20</v>
      </c>
      <c r="M6718" t="s">
        <v>12596</v>
      </c>
      <c r="N6718" t="s">
        <v>14</v>
      </c>
    </row>
    <row r="6719" x14ac:dyDescent="0.25">
      <c r="A6719" t="n">
        <v>25</v>
      </c>
      <c r="B6719" t="s">
        <v>14</v>
      </c>
      <c r="C6719" t="s">
        <v>22</v>
      </c>
      <c r="D6719" s="2" t="s">
        <f>=HYPERLINK("https://main.knesset.gov.il/APPS/legislation/main/bills/2196409", "הצעת חוק הביטוח הלאומי (תיקון - הוראות מיוחדות לעניין דמי אבטלה וכפל קצבאות) (הוראת שעה), התשפ""ג-2022")</f>
        <v>13111</v>
      </c>
      <c r="E6719" t="s">
        <v>13111</v>
      </c>
      <c r="F6719" t="s">
        <v>13112</v>
      </c>
      <c r="G6719" t="s">
        <v>14</v>
      </c>
      <c r="H6719">
             </c>
      <c r="I6719" t="s">
        <v>14</v>
      </c>
      <c r="J6719" t="s">
        <v>141</v>
      </c>
      <c r="K6719" t="s">
        <v>14</v>
      </c>
      <c r="L6719" t="s">
        <v>20</v>
      </c>
      <c r="M6719" t="s">
        <v>12596</v>
      </c>
      <c r="N6719" t="s">
        <v>14</v>
      </c>
    </row>
    <row r="6720" x14ac:dyDescent="0.25">
      <c r="A6720" t="n">
        <v>25</v>
      </c>
      <c r="B6720" t="s">
        <v>14</v>
      </c>
      <c r="C6720" t="s">
        <v>22</v>
      </c>
      <c r="D6720" s="2" t="s">
        <f>=HYPERLINK("https://main.knesset.gov.il/APPS/legislation/main/bills/2196847", "הצעת חוק הביטוח הלאומי (תיקון - השוואת קצבת אזרח ותיק וקצבת נכות לשכר מינימום), התשפ""ג-2022")</f>
        <v>13113</v>
      </c>
      <c r="E6720" t="s">
        <v>13113</v>
      </c>
      <c r="F6720" t="s">
        <v>13114</v>
      </c>
      <c r="G6720" t="s">
        <v>14</v>
      </c>
      <c r="H6720">
             </c>
      <c r="I6720" t="s">
        <v>14</v>
      </c>
      <c r="J6720" t="s">
        <v>141</v>
      </c>
      <c r="K6720" t="s">
        <v>14</v>
      </c>
      <c r="L6720" t="s">
        <v>20</v>
      </c>
      <c r="M6720" t="s">
        <v>12596</v>
      </c>
      <c r="N6720" t="s">
        <v>14</v>
      </c>
    </row>
    <row r="6721" x14ac:dyDescent="0.25">
      <c r="A6721" t="n">
        <v>25</v>
      </c>
      <c r="B6721" t="s">
        <v>14</v>
      </c>
      <c r="C6721" t="s">
        <v>22</v>
      </c>
      <c r="D6721" s="2" t="s">
        <f>=HYPERLINK("https://main.knesset.gov.il/APPS/legislation/main/bills/2196830", "הצעת חוק היטלי סחר ואמצעי הגנה (תיקון - אי פתיחת חקירה בשל יבוא בהיצף בשוק מונופוליסטי או ריכוזי), התשפ""ג-2022")</f>
        <v>13115</v>
      </c>
      <c r="E6721" t="s">
        <v>13115</v>
      </c>
      <c r="F6721" t="s">
        <v>13116</v>
      </c>
      <c r="G6721" t="s">
        <v>14</v>
      </c>
      <c r="H6721">
             </c>
      <c r="I6721" t="s">
        <v>14</v>
      </c>
      <c r="J6721" t="s">
        <v>141</v>
      </c>
      <c r="K6721" t="s">
        <v>14</v>
      </c>
      <c r="L6721" t="s">
        <v>20</v>
      </c>
      <c r="M6721" t="s">
        <v>12596</v>
      </c>
      <c r="N6721" t="s">
        <v>14</v>
      </c>
    </row>
    <row r="6722" x14ac:dyDescent="0.25">
      <c r="A6722" t="n">
        <v>25</v>
      </c>
      <c r="B6722" t="s">
        <v>14</v>
      </c>
      <c r="C6722" t="s">
        <v>22</v>
      </c>
      <c r="D6722" s="2" t="s">
        <f>=HYPERLINK("https://main.knesset.gov.il/APPS/legislation/main/bills/2196919", "הצעת חוק העונשין (תיקון - נשיאת מאסר בעבודת שירות), התשפ""ג-2022")</f>
        <v>13117</v>
      </c>
      <c r="E6722" t="s">
        <v>13117</v>
      </c>
      <c r="F6722" t="s">
        <v>13118</v>
      </c>
      <c r="G6722" t="s">
        <v>14</v>
      </c>
      <c r="H6722">
             </c>
      <c r="I6722" t="s">
        <v>14</v>
      </c>
      <c r="J6722" t="s">
        <v>141</v>
      </c>
      <c r="K6722" t="s">
        <v>14</v>
      </c>
      <c r="L6722" t="s">
        <v>20</v>
      </c>
      <c r="M6722" t="s">
        <v>12596</v>
      </c>
      <c r="N6722" t="s">
        <v>14</v>
      </c>
    </row>
    <row r="6723" x14ac:dyDescent="0.25">
      <c r="A6723" t="n">
        <v>25</v>
      </c>
      <c r="B6723" t="s">
        <v>14</v>
      </c>
      <c r="C6723" t="s">
        <v>22</v>
      </c>
      <c r="D6723" s="2" t="s">
        <f>=HYPERLINK("https://main.knesset.gov.il/APPS/legislation/main/bills/2196617", "הצעת חוק זכויות נפגעי עבירה (תיקון - הרחבת זכות העיון לנפגעי עבירות מין), התשפ""ג-2022")</f>
        <v>13119</v>
      </c>
      <c r="E6723" t="s">
        <v>13119</v>
      </c>
      <c r="F6723" t="s">
        <v>13120</v>
      </c>
      <c r="G6723" t="s">
        <v>14</v>
      </c>
      <c r="H6723">
             </c>
      <c r="I6723" t="s">
        <v>14</v>
      </c>
      <c r="J6723" t="s">
        <v>141</v>
      </c>
      <c r="K6723" t="s">
        <v>14</v>
      </c>
      <c r="L6723" t="s">
        <v>20</v>
      </c>
      <c r="M6723" t="s">
        <v>12596</v>
      </c>
      <c r="N6723" t="s">
        <v>14</v>
      </c>
    </row>
    <row r="6724" x14ac:dyDescent="0.25">
      <c r="A6724" t="n">
        <v>25</v>
      </c>
      <c r="B6724" t="s">
        <v>14</v>
      </c>
      <c r="C6724" t="s">
        <v>22</v>
      </c>
      <c r="D6724" s="2" t="s">
        <f>=HYPERLINK("https://main.knesset.gov.il/APPS/legislation/main/bills/2198032", "הצעת חוק החלת תקצוב מגדרי על תקציבים ציבוריים בישראל, התשפ""ג-2022")</f>
        <v>4517</v>
      </c>
      <c r="E6724" t="s">
        <v>4517</v>
      </c>
      <c r="F6724" t="s">
        <v>13121</v>
      </c>
      <c r="G6724" t="s">
        <v>14</v>
      </c>
      <c r="H6724">
             </c>
      <c r="I6724" t="s">
        <v>14</v>
      </c>
      <c r="J6724" t="s">
        <v>141</v>
      </c>
      <c r="K6724" t="s">
        <v>14</v>
      </c>
      <c r="L6724" t="s">
        <v>20</v>
      </c>
      <c r="M6724" t="s">
        <v>12596</v>
      </c>
      <c r="N6724" t="s">
        <v>14</v>
      </c>
    </row>
    <row r="6725" x14ac:dyDescent="0.25">
      <c r="A6725" t="n">
        <v>25</v>
      </c>
      <c r="B6725" t="s">
        <v>14</v>
      </c>
      <c r="C6725" t="s">
        <v>22</v>
      </c>
      <c r="D6725" s="2" t="s">
        <f>=HYPERLINK("https://main.knesset.gov.il/APPS/legislation/main/bills/2197600", "הצעת חוק איסור הפליה במוצרים, בשירותים ובכניסה למקומות בידור ולמקומות ציבוריים (תיקון - הפליה בשל מוצא עדתי), התשפ''ג-2022")</f>
        <v>13122</v>
      </c>
      <c r="E6725" t="s">
        <v>13122</v>
      </c>
      <c r="F6725" t="s">
        <v>13123</v>
      </c>
      <c r="G6725" t="s">
        <v>14</v>
      </c>
      <c r="H6725">
             </c>
      <c r="I6725" t="s">
        <v>14</v>
      </c>
      <c r="J6725" t="s">
        <v>141</v>
      </c>
      <c r="K6725" t="s">
        <v>14</v>
      </c>
      <c r="L6725" t="s">
        <v>20</v>
      </c>
      <c r="M6725" t="s">
        <v>12596</v>
      </c>
      <c r="N6725" t="s">
        <v>14</v>
      </c>
    </row>
    <row r="6726" x14ac:dyDescent="0.25">
      <c r="A6726" t="n">
        <v>25</v>
      </c>
      <c r="B6726" t="s">
        <v>14</v>
      </c>
      <c r="C6726" t="s">
        <v>22</v>
      </c>
      <c r="D6726" s="2" t="s">
        <f>=HYPERLINK("https://main.knesset.gov.il/APPS/legislation/main/bills/2196375", "הצעת חוק התגמולים לנפגעי פעולות שנאה, התשפ""ג-2022")</f>
        <v>13124</v>
      </c>
      <c r="E6726" t="s">
        <v>13124</v>
      </c>
      <c r="F6726" t="s">
        <v>13125</v>
      </c>
      <c r="G6726" t="s">
        <v>14</v>
      </c>
      <c r="H6726">
             </c>
      <c r="I6726" t="s">
        <v>14</v>
      </c>
      <c r="J6726" t="s">
        <v>141</v>
      </c>
      <c r="K6726" t="s">
        <v>14</v>
      </c>
      <c r="L6726" t="s">
        <v>20</v>
      </c>
      <c r="M6726" t="s">
        <v>12596</v>
      </c>
      <c r="N6726" t="s">
        <v>14</v>
      </c>
    </row>
    <row r="6727" x14ac:dyDescent="0.25">
      <c r="A6727" t="n">
        <v>25</v>
      </c>
      <c r="B6727" t="s">
        <v>14</v>
      </c>
      <c r="C6727" t="s">
        <v>22</v>
      </c>
      <c r="D6727" s="2" t="s">
        <f>=HYPERLINK("https://main.knesset.gov.il/APPS/legislation/main/bills/2196789", "הצעת חוק יסודות התקציב (תיקון - שלילת תקצוב ממוסד שהעומד בראשו מסית נגד שירות ביטחון או שירות לאומי-אזרחי או בעד סירוב פקודה), התשפ""ג-2022")</f>
        <v>13126</v>
      </c>
      <c r="E6727" t="s">
        <v>13126</v>
      </c>
      <c r="F6727" t="s">
        <v>13127</v>
      </c>
      <c r="G6727" t="s">
        <v>14</v>
      </c>
      <c r="H6727">
             </c>
      <c r="I6727" t="s">
        <v>14</v>
      </c>
      <c r="J6727" t="s">
        <v>141</v>
      </c>
      <c r="K6727" t="s">
        <v>14</v>
      </c>
      <c r="L6727" t="s">
        <v>20</v>
      </c>
      <c r="M6727" t="s">
        <v>12596</v>
      </c>
      <c r="N6727" t="s">
        <v>14</v>
      </c>
    </row>
    <row r="6728" x14ac:dyDescent="0.25">
      <c r="A6728" t="n">
        <v>25</v>
      </c>
      <c r="B6728" t="s">
        <v>14</v>
      </c>
      <c r="C6728" t="s">
        <v>22</v>
      </c>
      <c r="D6728" s="2" t="s">
        <f>=HYPERLINK("https://main.knesset.gov.il/APPS/legislation/main/bills/2196710", "הצעת חוק לימוד חובה (תיקון - התאמת לוח החופשות לימי העבודה במשק), התשפ""ג-2022")</f>
        <v>13128</v>
      </c>
      <c r="E6728" t="s">
        <v>13128</v>
      </c>
      <c r="F6728" t="s">
        <v>13129</v>
      </c>
      <c r="G6728" t="s">
        <v>14</v>
      </c>
      <c r="H6728">
             </c>
      <c r="I6728" t="s">
        <v>14</v>
      </c>
      <c r="J6728" t="s">
        <v>141</v>
      </c>
      <c r="K6728" t="s">
        <v>14</v>
      </c>
      <c r="L6728" t="s">
        <v>20</v>
      </c>
      <c r="M6728" t="s">
        <v>12596</v>
      </c>
      <c r="N6728" t="s">
        <v>14</v>
      </c>
    </row>
    <row r="6729" x14ac:dyDescent="0.25">
      <c r="A6729" t="n">
        <v>25</v>
      </c>
      <c r="B6729" t="s">
        <v>14</v>
      </c>
      <c r="C6729" t="s">
        <v>22</v>
      </c>
      <c r="D6729" s="2" t="s">
        <f>=HYPERLINK("https://main.knesset.gov.il/APPS/legislation/main/bills/2196671", "הצעת חוק יום הזיכרון לנכבה, התשפ""ג-2022")</f>
        <v>13130</v>
      </c>
      <c r="E6729" t="s">
        <v>13130</v>
      </c>
      <c r="F6729" t="s">
        <v>13131</v>
      </c>
      <c r="G6729" t="s">
        <v>14</v>
      </c>
      <c r="H6729">
             </c>
      <c r="I6729" t="s">
        <v>14</v>
      </c>
      <c r="J6729" t="s">
        <v>141</v>
      </c>
      <c r="K6729" t="s">
        <v>14</v>
      </c>
      <c r="L6729" t="s">
        <v>20</v>
      </c>
      <c r="M6729" t="s">
        <v>12596</v>
      </c>
      <c r="N6729" t="s">
        <v>14</v>
      </c>
    </row>
    <row r="6730" x14ac:dyDescent="0.25">
      <c r="A6730" t="n">
        <v>25</v>
      </c>
      <c r="B6730" t="s">
        <v>14</v>
      </c>
      <c r="C6730" t="s">
        <v>22</v>
      </c>
      <c r="D6730" s="2" t="s">
        <f>=HYPERLINK("https://main.knesset.gov.il/APPS/legislation/main/bills/2197598", "הצעת חוק לתיקון פקודת העיריות (ראש האופוזיציה), התשפ""ג-2022")</f>
        <v>13132</v>
      </c>
      <c r="E6730" t="s">
        <v>13132</v>
      </c>
      <c r="F6730" t="s">
        <v>13133</v>
      </c>
      <c r="G6730" t="s">
        <v>14</v>
      </c>
      <c r="H6730">
             </c>
      <c r="I6730" t="s">
        <v>14</v>
      </c>
      <c r="J6730" t="s">
        <v>141</v>
      </c>
      <c r="K6730" t="s">
        <v>14</v>
      </c>
      <c r="L6730" t="s">
        <v>20</v>
      </c>
      <c r="M6730" t="s">
        <v>12596</v>
      </c>
      <c r="N6730" t="s">
        <v>14</v>
      </c>
    </row>
    <row r="6731" x14ac:dyDescent="0.25">
      <c r="A6731" t="n">
        <v>25</v>
      </c>
      <c r="B6731" t="s">
        <v>14</v>
      </c>
      <c r="C6731" t="s">
        <v>22</v>
      </c>
      <c r="D6731" s="2" t="s">
        <f>=HYPERLINK("https://main.knesset.gov.il/APPS/legislation/main/bills/2196714", "הצעת חוק העסקת עובדי חינוך בגני ילדים באמצעות חוזה אישי (תיקוני חקיקה), התשפ""ג-2022")</f>
        <v>13134</v>
      </c>
      <c r="E6731" t="s">
        <v>13134</v>
      </c>
      <c r="F6731" t="s">
        <v>13135</v>
      </c>
      <c r="G6731" t="s">
        <v>14</v>
      </c>
      <c r="H6731">
             </c>
      <c r="I6731" t="s">
        <v>14</v>
      </c>
      <c r="J6731" t="s">
        <v>141</v>
      </c>
      <c r="K6731" t="s">
        <v>14</v>
      </c>
      <c r="L6731" t="s">
        <v>20</v>
      </c>
      <c r="M6731" t="s">
        <v>12596</v>
      </c>
      <c r="N6731" t="s">
        <v>14</v>
      </c>
    </row>
    <row r="6732" x14ac:dyDescent="0.25">
      <c r="A6732" t="n">
        <v>25</v>
      </c>
      <c r="B6732" t="s">
        <v>14</v>
      </c>
      <c r="C6732" t="s">
        <v>22</v>
      </c>
      <c r="D6732" s="2" t="s">
        <f>=HYPERLINK("https://main.knesset.gov.il/APPS/legislation/main/bills/2197596", "הצעת חוק סל מזון בריא - פיקוח על מחירים, שיווק וסבסוד, התשפ""ג-2022")</f>
        <v>13136</v>
      </c>
      <c r="E6732" t="s">
        <v>13136</v>
      </c>
      <c r="F6732" t="s">
        <v>13137</v>
      </c>
      <c r="G6732" t="s">
        <v>14</v>
      </c>
      <c r="H6732">
             </c>
      <c r="I6732" t="s">
        <v>14</v>
      </c>
      <c r="J6732" t="s">
        <v>141</v>
      </c>
      <c r="K6732" t="s">
        <v>14</v>
      </c>
      <c r="L6732" t="s">
        <v>20</v>
      </c>
      <c r="M6732" t="s">
        <v>12596</v>
      </c>
      <c r="N6732" t="s">
        <v>14</v>
      </c>
    </row>
    <row r="6733" x14ac:dyDescent="0.25">
      <c r="A6733" t="n">
        <v>25</v>
      </c>
      <c r="B6733" t="s">
        <v>14</v>
      </c>
      <c r="C6733" t="s">
        <v>22</v>
      </c>
      <c r="D6733" s="2" t="s">
        <f>=HYPERLINK("https://main.knesset.gov.il/APPS/legislation/main/bills/2196111", "הצעת חוק הביטוח הלאומי (תיקון - תוספת בעד בן הזוג לקצבת אזרח ותיק), התשפ""ג-2022")</f>
        <v>13138</v>
      </c>
      <c r="E6733" t="s">
        <v>13138</v>
      </c>
      <c r="F6733" t="s">
        <v>13139</v>
      </c>
      <c r="G6733" t="s">
        <v>14</v>
      </c>
      <c r="H6733">
             </c>
      <c r="I6733" t="s">
        <v>14</v>
      </c>
      <c r="J6733" t="s">
        <v>141</v>
      </c>
      <c r="K6733" t="s">
        <v>14</v>
      </c>
      <c r="L6733" t="s">
        <v>20</v>
      </c>
      <c r="M6733" t="s">
        <v>12596</v>
      </c>
      <c r="N6733" t="s">
        <v>14</v>
      </c>
    </row>
    <row r="6734" x14ac:dyDescent="0.25">
      <c r="A6734" t="n">
        <v>25</v>
      </c>
      <c r="B6734" t="s">
        <v>14</v>
      </c>
      <c r="C6734" t="s">
        <v>22</v>
      </c>
      <c r="D6734" s="2" t="s">
        <f>=HYPERLINK("https://main.knesset.gov.il/APPS/legislation/main/bills/2197583", "הצעת חוק הפיקוח על ייצוא ביטחוני (תיקון - הגבלות על ייצוא ביטחוני), התשפ""ג-2022")</f>
        <v>13140</v>
      </c>
      <c r="E6734" t="s">
        <v>13140</v>
      </c>
      <c r="F6734" t="s">
        <v>13141</v>
      </c>
      <c r="G6734" t="s">
        <v>14</v>
      </c>
      <c r="H6734">
             </c>
      <c r="I6734" t="s">
        <v>14</v>
      </c>
      <c r="J6734" t="s">
        <v>141</v>
      </c>
      <c r="K6734" t="s">
        <v>14</v>
      </c>
      <c r="L6734" t="s">
        <v>20</v>
      </c>
      <c r="M6734" t="s">
        <v>12596</v>
      </c>
      <c r="N6734" t="s">
        <v>14</v>
      </c>
    </row>
    <row r="6735" x14ac:dyDescent="0.25">
      <c r="A6735" t="n">
        <v>25</v>
      </c>
      <c r="B6735" t="s">
        <v>14</v>
      </c>
      <c r="C6735" t="s">
        <v>22</v>
      </c>
      <c r="D6735" s="2" t="s">
        <f>=HYPERLINK("https://main.knesset.gov.il/APPS/legislation/main/bills/2197238", "הצעת חוק מס ערך מוסף (תיקון - מכירת טובין למלכ""ר המיועדים לתרומה לכוחות הביטחון וההצלה), התשפ""ג-2022")</f>
        <v>13142</v>
      </c>
      <c r="E6735" t="s">
        <v>13142</v>
      </c>
      <c r="F6735" t="s">
        <v>13143</v>
      </c>
      <c r="G6735" t="s">
        <v>14</v>
      </c>
      <c r="H6735">
             </c>
      <c r="I6735" t="s">
        <v>14</v>
      </c>
      <c r="J6735" t="s">
        <v>141</v>
      </c>
      <c r="K6735" t="s">
        <v>14</v>
      </c>
      <c r="L6735" t="s">
        <v>20</v>
      </c>
      <c r="M6735" t="s">
        <v>12596</v>
      </c>
      <c r="N6735" t="s">
        <v>14</v>
      </c>
    </row>
    <row r="6736" x14ac:dyDescent="0.25">
      <c r="A6736" t="n">
        <v>25</v>
      </c>
      <c r="B6736" t="s">
        <v>14</v>
      </c>
      <c r="C6736" t="s">
        <v>22</v>
      </c>
      <c r="D6736" s="2" t="s">
        <f>=HYPERLINK("https://main.knesset.gov.il/APPS/legislation/main/bills/2196610", "הצעת חוק סיוע לנפגעי האסון הלאומי בהר מירון, התשפ""ג-2022")</f>
        <v>13144</v>
      </c>
      <c r="E6736" t="s">
        <v>13144</v>
      </c>
      <c r="F6736" t="s">
        <v>13145</v>
      </c>
      <c r="G6736" t="s">
        <v>14</v>
      </c>
      <c r="H6736">
             </c>
      <c r="I6736" t="s">
        <v>14</v>
      </c>
      <c r="J6736" t="s">
        <v>141</v>
      </c>
      <c r="K6736" t="s">
        <v>14</v>
      </c>
      <c r="L6736" t="s">
        <v>20</v>
      </c>
      <c r="M6736" t="s">
        <v>12596</v>
      </c>
      <c r="N6736" t="s">
        <v>14</v>
      </c>
    </row>
    <row r="6737" x14ac:dyDescent="0.25">
      <c r="A6737" t="n">
        <v>25</v>
      </c>
      <c r="B6737" t="s">
        <v>14</v>
      </c>
      <c r="C6737" t="s">
        <v>22</v>
      </c>
      <c r="D6737" s="2" t="s">
        <f>=HYPERLINK("https://main.knesset.gov.il/APPS/legislation/main/bills/2196795", "הצעת חוק הבחירות לכנסת (תיקון - יושב ראש ועדת הבחירות המרכזית), התשפ""ג-2022 ")</f>
        <v>13146</v>
      </c>
      <c r="E6737" t="s">
        <v>13146</v>
      </c>
      <c r="F6737" t="s">
        <v>13147</v>
      </c>
      <c r="G6737" t="s">
        <v>14</v>
      </c>
      <c r="H6737">
             </c>
      <c r="I6737" t="s">
        <v>14</v>
      </c>
      <c r="J6737" t="s">
        <v>1123</v>
      </c>
      <c r="K6737" t="s">
        <v>14</v>
      </c>
      <c r="L6737" t="s">
        <v>20</v>
      </c>
      <c r="M6737" t="s">
        <v>12596</v>
      </c>
      <c r="N6737" t="s">
        <v>14</v>
      </c>
    </row>
    <row r="6738" x14ac:dyDescent="0.25">
      <c r="A6738" t="n">
        <v>25</v>
      </c>
      <c r="B6738" t="s">
        <v>14</v>
      </c>
      <c r="C6738" t="s">
        <v>22</v>
      </c>
      <c r="D6738" s="2" t="s">
        <f>=HYPERLINK("https://main.knesset.gov.il/APPS/legislation/main/bills/2196856", "הצעת חוק להגבלת הריסה וענישה על בנייה בלתי חוקית במגזר הערבי (הוראת שעה), התשפ""ג-2022")</f>
        <v>12998</v>
      </c>
      <c r="E6738" t="s">
        <v>12998</v>
      </c>
      <c r="F6738" t="s">
        <v>13148</v>
      </c>
      <c r="G6738" t="s">
        <v>14</v>
      </c>
      <c r="H6738">
             </c>
      <c r="I6738" t="s">
        <v>14</v>
      </c>
      <c r="J6738" t="s">
        <v>141</v>
      </c>
      <c r="K6738" t="s">
        <v>14</v>
      </c>
      <c r="L6738" t="s">
        <v>20</v>
      </c>
      <c r="M6738" t="s">
        <v>12596</v>
      </c>
      <c r="N6738" t="s">
        <v>14</v>
      </c>
    </row>
    <row r="6739" x14ac:dyDescent="0.25">
      <c r="A6739" t="n">
        <v>25</v>
      </c>
      <c r="B6739" t="s">
        <v>14</v>
      </c>
      <c r="C6739" t="s">
        <v>22</v>
      </c>
      <c r="D6739" s="2" t="s">
        <f>=HYPERLINK("https://main.knesset.gov.il/APPS/legislation/main/bills/2196073", "הצעת חוק הפיקוח על מעונות (תיקון - הסדרת מעמד המטפלות במשפחתונים), התשפ""ג-2022")</f>
        <v>13149</v>
      </c>
      <c r="E6739" t="s">
        <v>13149</v>
      </c>
      <c r="F6739" t="s">
        <v>13150</v>
      </c>
      <c r="G6739" t="s">
        <v>14</v>
      </c>
      <c r="H6739">
             </c>
      <c r="I6739" t="s">
        <v>14</v>
      </c>
      <c r="J6739" t="s">
        <v>141</v>
      </c>
      <c r="K6739" t="s">
        <v>14</v>
      </c>
      <c r="L6739" t="s">
        <v>20</v>
      </c>
      <c r="M6739" t="s">
        <v>12596</v>
      </c>
      <c r="N6739" t="s">
        <v>14</v>
      </c>
    </row>
    <row r="6740" x14ac:dyDescent="0.25">
      <c r="A6740" t="n">
        <v>25</v>
      </c>
      <c r="B6740" t="s">
        <v>14</v>
      </c>
      <c r="C6740" t="s">
        <v>22</v>
      </c>
      <c r="D6740" s="2" t="s">
        <f>=HYPERLINK("https://main.knesset.gov.il/APPS/legislation/main/bills/2196630", "הצעת חוק הביטוח הלאומי (תיקון - ביטול מענק עבודה מועדפת), התשפ""ג-2022")</f>
        <v>13151</v>
      </c>
      <c r="E6740" t="s">
        <v>13151</v>
      </c>
      <c r="F6740" t="s">
        <v>13152</v>
      </c>
      <c r="G6740" t="s">
        <v>14</v>
      </c>
      <c r="H6740">
             </c>
      <c r="I6740" t="s">
        <v>14</v>
      </c>
      <c r="J6740" t="s">
        <v>141</v>
      </c>
      <c r="K6740" t="s">
        <v>14</v>
      </c>
      <c r="L6740" t="s">
        <v>20</v>
      </c>
      <c r="M6740" t="s">
        <v>12596</v>
      </c>
      <c r="N6740" t="s">
        <v>14</v>
      </c>
    </row>
    <row r="6741" x14ac:dyDescent="0.25">
      <c r="A6741" t="n">
        <v>25</v>
      </c>
      <c r="B6741" t="s">
        <v>14</v>
      </c>
      <c r="C6741" t="s">
        <v>22</v>
      </c>
      <c r="D6741" s="2" t="s">
        <f>=HYPERLINK("https://main.knesset.gov.il/APPS/legislation/main/bills/2196048", "הצעת חוק העונשין (תיקון - החמרת הענישה בשל תקיפה בכביש), התשפ""ג-2022")</f>
        <v>13153</v>
      </c>
      <c r="E6741" t="s">
        <v>13153</v>
      </c>
      <c r="F6741" t="s">
        <v>13154</v>
      </c>
      <c r="G6741" t="s">
        <v>14</v>
      </c>
      <c r="H6741">
             </c>
      <c r="I6741" t="s">
        <v>14</v>
      </c>
      <c r="J6741" t="s">
        <v>141</v>
      </c>
      <c r="K6741" t="s">
        <v>14</v>
      </c>
      <c r="L6741" t="s">
        <v>20</v>
      </c>
      <c r="M6741" t="s">
        <v>12596</v>
      </c>
      <c r="N6741" t="s">
        <v>14</v>
      </c>
    </row>
    <row r="6742" x14ac:dyDescent="0.25">
      <c r="A6742" t="n">
        <v>25</v>
      </c>
      <c r="B6742" t="s">
        <v>14</v>
      </c>
      <c r="C6742" t="s">
        <v>22</v>
      </c>
      <c r="D6742" s="2" t="s">
        <f>=HYPERLINK("https://main.knesset.gov.il/APPS/legislation/main/bills/2196634", "הצעת חוק חוזה הביטוח (תיקון - בחינת סבירות פעולות מבטח, העברת נטל ועיצום כספי), התשפ""ג-2022")</f>
        <v>13155</v>
      </c>
      <c r="E6742" t="s">
        <v>13155</v>
      </c>
      <c r="F6742" t="s">
        <v>13156</v>
      </c>
      <c r="G6742" t="s">
        <v>14</v>
      </c>
      <c r="H6742">
             </c>
      <c r="I6742" t="s">
        <v>14</v>
      </c>
      <c r="J6742" t="s">
        <v>141</v>
      </c>
      <c r="K6742" t="s">
        <v>14</v>
      </c>
      <c r="L6742" t="s">
        <v>20</v>
      </c>
      <c r="M6742" t="s">
        <v>12596</v>
      </c>
      <c r="N6742" t="s">
        <v>14</v>
      </c>
    </row>
    <row r="6743" x14ac:dyDescent="0.25">
      <c r="A6743" t="n">
        <v>25</v>
      </c>
      <c r="B6743" t="s">
        <v>14</v>
      </c>
      <c r="C6743" t="s">
        <v>22</v>
      </c>
      <c r="D6743" s="2" t="s">
        <f>=HYPERLINK("https://main.knesset.gov.il/APPS/legislation/main/bills/2196147", "הצעת חוק הביטוח הלאומי (תיקון - סיווג מאמנים כמבוטחים), התשפ""ג-2022")</f>
        <v>13157</v>
      </c>
      <c r="E6743" t="s">
        <v>13157</v>
      </c>
      <c r="F6743" t="s">
        <v>13158</v>
      </c>
      <c r="G6743" t="s">
        <v>14</v>
      </c>
      <c r="H6743">
             </c>
      <c r="I6743" t="s">
        <v>14</v>
      </c>
      <c r="J6743" t="s">
        <v>141</v>
      </c>
      <c r="K6743" t="s">
        <v>14</v>
      </c>
      <c r="L6743" t="s">
        <v>20</v>
      </c>
      <c r="M6743" t="s">
        <v>12596</v>
      </c>
      <c r="N6743" t="s">
        <v>14</v>
      </c>
    </row>
    <row r="6744" x14ac:dyDescent="0.25">
      <c r="A6744" t="n">
        <v>25</v>
      </c>
      <c r="B6744" t="s">
        <v>14</v>
      </c>
      <c r="C6744" t="s">
        <v>22</v>
      </c>
      <c r="D6744" s="2" t="s">
        <f>=HYPERLINK("https://main.knesset.gov.il/APPS/legislation/main/bills/2196294", "הצעת חוק זכויות נפגעי עבירה (תיקון - זכויות נפגעי פעולות איבה), התשפ""ג-2022")</f>
        <v>13159</v>
      </c>
      <c r="E6744" t="s">
        <v>13159</v>
      </c>
      <c r="F6744" t="s">
        <v>13160</v>
      </c>
      <c r="G6744" t="s">
        <v>14</v>
      </c>
      <c r="H6744">
             </c>
      <c r="I6744" t="s">
        <v>14</v>
      </c>
      <c r="J6744" t="s">
        <v>141</v>
      </c>
      <c r="K6744" t="s">
        <v>14</v>
      </c>
      <c r="L6744" t="s">
        <v>20</v>
      </c>
      <c r="M6744" t="s">
        <v>12596</v>
      </c>
      <c r="N6744" t="s">
        <v>14</v>
      </c>
    </row>
    <row r="6745" x14ac:dyDescent="0.25">
      <c r="A6745" t="n">
        <v>25</v>
      </c>
      <c r="B6745" t="s">
        <v>14</v>
      </c>
      <c r="C6745" t="s">
        <v>22</v>
      </c>
      <c r="D6745" s="2" t="s">
        <f>=HYPERLINK("https://main.knesset.gov.il/APPS/legislation/main/bills/2197987", "חוק הכנסת (תיקון מס' 51), התשפ""ג-2022")</f>
        <v>13161</v>
      </c>
      <c r="E6745" t="s">
        <v>13161</v>
      </c>
      <c r="F6745" t="s">
        <v>13162</v>
      </c>
      <c r="G6745" t="s">
        <v>13163</v>
      </c>
      <c r="H6745" t="n">
        <v>3010</v>
      </c>
      <c r="I6745" t="s">
        <v>14</v>
      </c>
      <c r="J6745" t="s">
        <v>91</v>
      </c>
      <c r="K6745" t="s">
        <v>85</v>
      </c>
      <c r="L6745" t="s">
        <v>20</v>
      </c>
      <c r="M6745" t="s">
        <v>13164</v>
      </c>
      <c r="N6745" t="s">
        <v>13165</v>
      </c>
    </row>
    <row r="6746" x14ac:dyDescent="0.25">
      <c r="A6746" t="n">
        <v>25</v>
      </c>
      <c r="B6746" t="s">
        <v>14</v>
      </c>
      <c r="C6746" t="s">
        <v>22</v>
      </c>
      <c r="D6746" s="2" t="s">
        <f>=HYPERLINK("https://main.knesset.gov.il/APPS/legislation/main/bills/2197576", "הצעת חוק הביטוח הלאומי (תיקון - קצבת אזרח ותיק לנכה), התשפ""ג-2022")</f>
        <v>13166</v>
      </c>
      <c r="E6746" t="s">
        <v>13166</v>
      </c>
      <c r="F6746" t="s">
        <v>13167</v>
      </c>
      <c r="G6746" t="s">
        <v>14</v>
      </c>
      <c r="H6746">
             </c>
      <c r="I6746" t="s">
        <v>14</v>
      </c>
      <c r="J6746" t="s">
        <v>141</v>
      </c>
      <c r="K6746" t="s">
        <v>14</v>
      </c>
      <c r="L6746" t="s">
        <v>20</v>
      </c>
      <c r="M6746" t="s">
        <v>13164</v>
      </c>
      <c r="N6746" t="s">
        <v>14</v>
      </c>
    </row>
    <row r="6747" x14ac:dyDescent="0.25">
      <c r="A6747" t="n">
        <v>25</v>
      </c>
      <c r="B6747" t="s">
        <v>14</v>
      </c>
      <c r="C6747" t="s">
        <v>22</v>
      </c>
      <c r="D6747" s="2" t="s">
        <f>=HYPERLINK("https://main.knesset.gov.il/APPS/legislation/main/bills/2197581", "הצעת חוק לתיקון פקודת התעבורה (תמרור סימון על פני הכביש - שימוש באמצעי מונע החלקה), התשפ""ג-2022")</f>
        <v>13168</v>
      </c>
      <c r="E6747" t="s">
        <v>13168</v>
      </c>
      <c r="F6747" t="s">
        <v>13169</v>
      </c>
      <c r="G6747" t="s">
        <v>14</v>
      </c>
      <c r="H6747">
             </c>
      <c r="I6747" t="s">
        <v>14</v>
      </c>
      <c r="J6747" t="s">
        <v>141</v>
      </c>
      <c r="K6747" t="s">
        <v>14</v>
      </c>
      <c r="L6747" t="s">
        <v>20</v>
      </c>
      <c r="M6747" t="s">
        <v>13164</v>
      </c>
      <c r="N6747" t="s">
        <v>14</v>
      </c>
    </row>
    <row r="6748" x14ac:dyDescent="0.25">
      <c r="A6748" t="n">
        <v>25</v>
      </c>
      <c r="B6748" t="s">
        <v>14</v>
      </c>
      <c r="C6748" t="s">
        <v>22</v>
      </c>
      <c r="D6748" s="2" t="s">
        <f>=HYPERLINK("https://main.knesset.gov.il/APPS/legislation/main/bills/2197444", "הצעת חוק הרשויות המקומיות (ריבית והפרשי הצמדה על תשלומי חובה) (תיקון - הפחתת אחוז הריבית ברשויות המקומיות), התשפ""ג-2022")</f>
        <v>13170</v>
      </c>
      <c r="E6748" t="s">
        <v>13170</v>
      </c>
      <c r="F6748" t="s">
        <v>13171</v>
      </c>
      <c r="G6748" t="s">
        <v>14</v>
      </c>
      <c r="H6748">
             </c>
      <c r="I6748" t="s">
        <v>14</v>
      </c>
      <c r="J6748" t="s">
        <v>141</v>
      </c>
      <c r="K6748" t="s">
        <v>14</v>
      </c>
      <c r="L6748" t="s">
        <v>20</v>
      </c>
      <c r="M6748" t="s">
        <v>13164</v>
      </c>
      <c r="N6748" t="s">
        <v>14</v>
      </c>
    </row>
    <row r="6749" x14ac:dyDescent="0.25">
      <c r="A6749" t="n">
        <v>25</v>
      </c>
      <c r="B6749" t="s">
        <v>14</v>
      </c>
      <c r="C6749" t="s">
        <v>22</v>
      </c>
      <c r="D6749" s="2" t="s">
        <f>=HYPERLINK("https://main.knesset.gov.il/APPS/legislation/main/bills/2196647", "הצעת חוק התכנון והבנייה (תיקון - חובת שידור והקלטת ישיבות, ניהול פרוטוקול ופרסומו), התשפ""ג-2022")</f>
        <v>13172</v>
      </c>
      <c r="E6749" t="s">
        <v>13172</v>
      </c>
      <c r="F6749" t="s">
        <v>13173</v>
      </c>
      <c r="G6749" t="s">
        <v>14</v>
      </c>
      <c r="H6749">
             </c>
      <c r="I6749" t="s">
        <v>14</v>
      </c>
      <c r="J6749" t="s">
        <v>141</v>
      </c>
      <c r="K6749" t="s">
        <v>14</v>
      </c>
      <c r="L6749" t="s">
        <v>20</v>
      </c>
      <c r="M6749" t="s">
        <v>13164</v>
      </c>
      <c r="N6749" t="s">
        <v>14</v>
      </c>
    </row>
    <row r="6750" x14ac:dyDescent="0.25">
      <c r="A6750" t="n">
        <v>25</v>
      </c>
      <c r="B6750" t="s">
        <v>14</v>
      </c>
      <c r="C6750" t="s">
        <v>22</v>
      </c>
      <c r="D6750" s="2" t="s">
        <f>=HYPERLINK("https://main.knesset.gov.il/APPS/legislation/main/bills/2197575", "הצעת חוק מס ערך מוסף (תיקון - מס בשיעור אפס על תרופות), התשפ""ג-2022")</f>
        <v>13174</v>
      </c>
      <c r="E6750" t="s">
        <v>13174</v>
      </c>
      <c r="F6750" t="s">
        <v>13175</v>
      </c>
      <c r="G6750" t="s">
        <v>14</v>
      </c>
      <c r="H6750">
             </c>
      <c r="I6750" t="s">
        <v>14</v>
      </c>
      <c r="J6750" t="s">
        <v>141</v>
      </c>
      <c r="K6750" t="s">
        <v>14</v>
      </c>
      <c r="L6750" t="s">
        <v>20</v>
      </c>
      <c r="M6750" t="s">
        <v>13164</v>
      </c>
      <c r="N6750" t="s">
        <v>14</v>
      </c>
    </row>
    <row r="6751" x14ac:dyDescent="0.25">
      <c r="A6751" t="n">
        <v>25</v>
      </c>
      <c r="B6751" t="s">
        <v>14</v>
      </c>
      <c r="C6751" t="s">
        <v>22</v>
      </c>
      <c r="D6751" s="2" t="s">
        <f>=HYPERLINK("https://main.knesset.gov.il/APPS/legislation/main/bills/2197567", "הצעת חוק העונשין (תיקון - סחר בבני אדם למטרות נישואין), התשפ""ג-2022")</f>
        <v>13176</v>
      </c>
      <c r="E6751" t="s">
        <v>13176</v>
      </c>
      <c r="F6751" t="s">
        <v>13177</v>
      </c>
      <c r="G6751" t="s">
        <v>14</v>
      </c>
      <c r="H6751">
             </c>
      <c r="I6751" t="s">
        <v>14</v>
      </c>
      <c r="J6751" t="s">
        <v>141</v>
      </c>
      <c r="K6751" t="s">
        <v>14</v>
      </c>
      <c r="L6751" t="s">
        <v>20</v>
      </c>
      <c r="M6751" t="s">
        <v>13164</v>
      </c>
      <c r="N6751" t="s">
        <v>14</v>
      </c>
    </row>
    <row r="6752" x14ac:dyDescent="0.25">
      <c r="A6752" t="n">
        <v>25</v>
      </c>
      <c r="B6752" t="s">
        <v>14</v>
      </c>
      <c r="C6752" t="s">
        <v>22</v>
      </c>
      <c r="D6752" s="2" t="s">
        <f>=HYPERLINK("https://main.knesset.gov.il/APPS/legislation/main/bills/2197685", "הצעת חוק הביטוח הלאומי (תיקון - דמי ביטוח מופחתים בעד עובד בעבודה מהבית), התשפ""ג-2022")</f>
        <v>13178</v>
      </c>
      <c r="E6752" t="s">
        <v>13178</v>
      </c>
      <c r="F6752" t="s">
        <v>13179</v>
      </c>
      <c r="G6752" t="s">
        <v>14</v>
      </c>
      <c r="H6752">
             </c>
      <c r="I6752" t="s">
        <v>14</v>
      </c>
      <c r="J6752" t="s">
        <v>141</v>
      </c>
      <c r="K6752" t="s">
        <v>14</v>
      </c>
      <c r="L6752" t="s">
        <v>20</v>
      </c>
      <c r="M6752" t="s">
        <v>13164</v>
      </c>
      <c r="N6752" t="s">
        <v>14</v>
      </c>
    </row>
    <row r="6753" x14ac:dyDescent="0.25">
      <c r="A6753" t="n">
        <v>25</v>
      </c>
      <c r="B6753" t="s">
        <v>14</v>
      </c>
      <c r="C6753" t="s">
        <v>22</v>
      </c>
      <c r="D6753" s="2" t="s">
        <f>=HYPERLINK("https://main.knesset.gov.il/APPS/legislation/main/bills/2197686", "הצעת חוק קידום התחרות בענף המזון (תיקון - הפיכת הוראת שעה להוראה קבועה), התשפ""ג-2022")</f>
        <v>13180</v>
      </c>
      <c r="E6753" t="s">
        <v>13180</v>
      </c>
      <c r="F6753" t="s">
        <v>13181</v>
      </c>
      <c r="G6753" t="s">
        <v>14</v>
      </c>
      <c r="H6753">
             </c>
      <c r="I6753" t="s">
        <v>14</v>
      </c>
      <c r="J6753" t="s">
        <v>343</v>
      </c>
      <c r="K6753" t="s">
        <v>14</v>
      </c>
      <c r="L6753" t="s">
        <v>20</v>
      </c>
      <c r="M6753" t="s">
        <v>13164</v>
      </c>
      <c r="N6753" t="s">
        <v>14</v>
      </c>
    </row>
    <row r="6754" x14ac:dyDescent="0.25">
      <c r="A6754" t="n">
        <v>25</v>
      </c>
      <c r="B6754" t="s">
        <v>14</v>
      </c>
      <c r="C6754" t="s">
        <v>22</v>
      </c>
      <c r="D6754" s="2" t="s">
        <f>=HYPERLINK("https://main.knesset.gov.il/APPS/legislation/main/bills/2197088", "הצעת חוק לתיקון פקודת התעבורה (הגבלת דמי חניה במוסד רפואי), התשפ""ג-2022")</f>
        <v>13182</v>
      </c>
      <c r="E6754" t="s">
        <v>13182</v>
      </c>
      <c r="F6754" t="s">
        <v>13183</v>
      </c>
      <c r="G6754" t="s">
        <v>14</v>
      </c>
      <c r="H6754">
             </c>
      <c r="I6754" t="s">
        <v>14</v>
      </c>
      <c r="J6754" t="s">
        <v>141</v>
      </c>
      <c r="K6754" t="s">
        <v>14</v>
      </c>
      <c r="L6754" t="s">
        <v>20</v>
      </c>
      <c r="M6754" t="s">
        <v>13164</v>
      </c>
      <c r="N6754" t="s">
        <v>14</v>
      </c>
    </row>
    <row r="6755" x14ac:dyDescent="0.25">
      <c r="A6755" t="n">
        <v>25</v>
      </c>
      <c r="B6755" t="s">
        <v>14</v>
      </c>
      <c r="C6755" t="s">
        <v>22</v>
      </c>
      <c r="D6755" s="2" t="s">
        <f>=HYPERLINK("https://main.knesset.gov.il/APPS/legislation/main/bills/2197078", "הצעת חוק נתוני אשראי (תיקון - תקופת החזקת מידע במאגר), התשפ""ג-2022")</f>
        <v>13184</v>
      </c>
      <c r="E6755" t="s">
        <v>13184</v>
      </c>
      <c r="F6755" t="s">
        <v>13185</v>
      </c>
      <c r="G6755" t="s">
        <v>14</v>
      </c>
      <c r="H6755">
             </c>
      <c r="I6755" t="s">
        <v>14</v>
      </c>
      <c r="J6755" t="s">
        <v>141</v>
      </c>
      <c r="K6755" t="s">
        <v>14</v>
      </c>
      <c r="L6755" t="s">
        <v>20</v>
      </c>
      <c r="M6755" t="s">
        <v>13164</v>
      </c>
      <c r="N6755" t="s">
        <v>14</v>
      </c>
    </row>
    <row r="6756" x14ac:dyDescent="0.25">
      <c r="A6756" t="n">
        <v>25</v>
      </c>
      <c r="B6756" t="s">
        <v>14</v>
      </c>
      <c r="C6756" t="s">
        <v>22</v>
      </c>
      <c r="D6756" s="2" t="s">
        <f>=HYPERLINK("https://main.knesset.gov.il/APPS/legislation/main/bills/2197157", "הצעת חוק-יסוד: הכנסת (תיקון - פסילת רשימת מועמדים או אדם המועמד לבחירות לכנסת בשל תמיכה או העלאה על נס של רוצחי יהודים)")</f>
        <v>13186</v>
      </c>
      <c r="E6756" t="s">
        <v>13186</v>
      </c>
      <c r="F6756" t="s">
        <v>13187</v>
      </c>
      <c r="G6756" t="s">
        <v>14</v>
      </c>
      <c r="H6756">
             </c>
      <c r="I6756" t="s">
        <v>14</v>
      </c>
      <c r="J6756" t="s">
        <v>141</v>
      </c>
      <c r="K6756" t="s">
        <v>14</v>
      </c>
      <c r="L6756" t="s">
        <v>20</v>
      </c>
      <c r="M6756" t="s">
        <v>13164</v>
      </c>
      <c r="N6756" t="s">
        <v>14</v>
      </c>
    </row>
    <row r="6757" x14ac:dyDescent="0.25">
      <c r="A6757" t="n">
        <v>25</v>
      </c>
      <c r="B6757" t="s">
        <v>14</v>
      </c>
      <c r="C6757" t="s">
        <v>22</v>
      </c>
      <c r="D6757" s="2" t="s">
        <f>=HYPERLINK("https://main.knesset.gov.il/APPS/legislation/main/bills/2197165", "הצעת חוק הממשלה (תיקון - דיווח שר בדבר אי התקנת תקנות במועד), התשפ""ג-2022")</f>
        <v>13188</v>
      </c>
      <c r="E6757" t="s">
        <v>13188</v>
      </c>
      <c r="F6757" t="s">
        <v>13189</v>
      </c>
      <c r="G6757" t="s">
        <v>14</v>
      </c>
      <c r="H6757">
             </c>
      <c r="I6757" t="s">
        <v>14</v>
      </c>
      <c r="J6757" t="s">
        <v>141</v>
      </c>
      <c r="K6757" t="s">
        <v>14</v>
      </c>
      <c r="L6757" t="s">
        <v>20</v>
      </c>
      <c r="M6757" t="s">
        <v>13164</v>
      </c>
      <c r="N6757" t="s">
        <v>14</v>
      </c>
    </row>
    <row r="6758" x14ac:dyDescent="0.25">
      <c r="A6758" t="n">
        <v>25</v>
      </c>
      <c r="B6758" t="s">
        <v>14</v>
      </c>
      <c r="C6758" t="s">
        <v>22</v>
      </c>
      <c r="D6758" s="2" t="s">
        <f>=HYPERLINK("https://main.knesset.gov.il/APPS/legislation/main/bills/2197601", "הצעת חוק חובת המכרזים (תיקון - עידוד עסקים קטנים ובינוניים באזור פריפריה במכרז), התשפ""ג-2022")</f>
        <v>13190</v>
      </c>
      <c r="E6758" t="s">
        <v>13190</v>
      </c>
      <c r="F6758" t="s">
        <v>13191</v>
      </c>
      <c r="G6758" t="s">
        <v>14</v>
      </c>
      <c r="H6758">
             </c>
      <c r="I6758" t="s">
        <v>14</v>
      </c>
      <c r="J6758" t="s">
        <v>141</v>
      </c>
      <c r="K6758" t="s">
        <v>14</v>
      </c>
      <c r="L6758" t="s">
        <v>20</v>
      </c>
      <c r="M6758" t="s">
        <v>13164</v>
      </c>
      <c r="N6758" t="s">
        <v>14</v>
      </c>
    </row>
    <row r="6759" x14ac:dyDescent="0.25">
      <c r="A6759" t="n">
        <v>25</v>
      </c>
      <c r="B6759" t="s">
        <v>14</v>
      </c>
      <c r="C6759" t="s">
        <v>22</v>
      </c>
      <c r="D6759" s="2" t="s">
        <f>=HYPERLINK("https://main.knesset.gov.il/APPS/legislation/main/bills/2197169", "הצעת חוק למניעת פגיעה במדינת ישראל באמצעות חרם (תיקון - פיצויים ללא הוכחת נזק), התשפ""ג-2022")</f>
        <v>13192</v>
      </c>
      <c r="E6759" t="s">
        <v>13192</v>
      </c>
      <c r="F6759" t="s">
        <v>13193</v>
      </c>
      <c r="G6759" t="s">
        <v>14</v>
      </c>
      <c r="H6759">
             </c>
      <c r="I6759" t="s">
        <v>14</v>
      </c>
      <c r="J6759" t="s">
        <v>141</v>
      </c>
      <c r="K6759" t="s">
        <v>14</v>
      </c>
      <c r="L6759" t="s">
        <v>20</v>
      </c>
      <c r="M6759" t="s">
        <v>13164</v>
      </c>
      <c r="N6759" t="s">
        <v>14</v>
      </c>
    </row>
    <row r="6760" x14ac:dyDescent="0.25">
      <c r="A6760" t="n">
        <v>25</v>
      </c>
      <c r="B6760" t="s">
        <v>14</v>
      </c>
      <c r="C6760" t="s">
        <v>22</v>
      </c>
      <c r="D6760" s="2" t="s">
        <f>=HYPERLINK("https://main.knesset.gov.il/APPS/legislation/main/bills/2197021", "הצעת חוק חוזה הביטוח (תיקון - התיישנות וריבית מיוחדת), התשפ""ג-2022")</f>
        <v>13194</v>
      </c>
      <c r="E6760" t="s">
        <v>13194</v>
      </c>
      <c r="F6760" t="s">
        <v>13195</v>
      </c>
      <c r="G6760" t="s">
        <v>14</v>
      </c>
      <c r="H6760">
             </c>
      <c r="I6760" t="s">
        <v>14</v>
      </c>
      <c r="J6760" t="s">
        <v>141</v>
      </c>
      <c r="K6760" t="s">
        <v>14</v>
      </c>
      <c r="L6760" t="s">
        <v>20</v>
      </c>
      <c r="M6760" t="s">
        <v>13164</v>
      </c>
      <c r="N6760" t="s">
        <v>14</v>
      </c>
    </row>
    <row r="6761" x14ac:dyDescent="0.25">
      <c r="A6761" t="n">
        <v>25</v>
      </c>
      <c r="B6761" t="s">
        <v>14</v>
      </c>
      <c r="C6761" t="s">
        <v>22</v>
      </c>
      <c r="D6761" s="2" t="s">
        <f>=HYPERLINK("https://main.knesset.gov.il/APPS/legislation/main/bills/2197171", "הצעת חוק גוש עציון, התשפ""ג-2022")</f>
        <v>13196</v>
      </c>
      <c r="E6761" t="s">
        <v>13196</v>
      </c>
      <c r="F6761" t="s">
        <v>13197</v>
      </c>
      <c r="G6761" t="s">
        <v>14</v>
      </c>
      <c r="H6761">
             </c>
      <c r="I6761" t="s">
        <v>14</v>
      </c>
      <c r="J6761" t="s">
        <v>141</v>
      </c>
      <c r="K6761" t="s">
        <v>14</v>
      </c>
      <c r="L6761" t="s">
        <v>20</v>
      </c>
      <c r="M6761" t="s">
        <v>13164</v>
      </c>
      <c r="N6761" t="s">
        <v>14</v>
      </c>
    </row>
    <row r="6762" x14ac:dyDescent="0.25">
      <c r="A6762" t="n">
        <v>25</v>
      </c>
      <c r="B6762" t="s">
        <v>14</v>
      </c>
      <c r="C6762" t="s">
        <v>22</v>
      </c>
      <c r="D6762" s="2" t="s">
        <f>=HYPERLINK("https://main.knesset.gov.il/APPS/legislation/main/bills/2197138", "הצעת חוק חובת המכרזים (תיקון - שילוב עסקים קטנים ובינוניים במכרזים ציבוריים), התשפ""ג-2022")</f>
        <v>13198</v>
      </c>
      <c r="E6762" t="s">
        <v>13198</v>
      </c>
      <c r="F6762" t="s">
        <v>13199</v>
      </c>
      <c r="G6762" t="s">
        <v>14</v>
      </c>
      <c r="H6762">
             </c>
      <c r="I6762" t="s">
        <v>14</v>
      </c>
      <c r="J6762" t="s">
        <v>141</v>
      </c>
      <c r="K6762" t="s">
        <v>14</v>
      </c>
      <c r="L6762" t="s">
        <v>20</v>
      </c>
      <c r="M6762" t="s">
        <v>13164</v>
      </c>
      <c r="N6762" t="s">
        <v>14</v>
      </c>
    </row>
    <row r="6763" x14ac:dyDescent="0.25">
      <c r="A6763" t="n">
        <v>25</v>
      </c>
      <c r="B6763" t="s">
        <v>14</v>
      </c>
      <c r="C6763" t="s">
        <v>22</v>
      </c>
      <c r="D6763" s="2" t="s">
        <f>=HYPERLINK("https://main.knesset.gov.il/APPS/legislation/main/bills/2197213", "הצעת חוק להנצחת זכרם של קורבנות הטבח בטנטורה, התשפ""ג-2022")</f>
        <v>13200</v>
      </c>
      <c r="E6763" t="s">
        <v>13200</v>
      </c>
      <c r="F6763" t="s">
        <v>13201</v>
      </c>
      <c r="G6763" t="s">
        <v>14</v>
      </c>
      <c r="H6763">
             </c>
      <c r="I6763" t="s">
        <v>14</v>
      </c>
      <c r="J6763" t="s">
        <v>141</v>
      </c>
      <c r="K6763" t="s">
        <v>14</v>
      </c>
      <c r="L6763" t="s">
        <v>20</v>
      </c>
      <c r="M6763" t="s">
        <v>13164</v>
      </c>
      <c r="N6763" t="s">
        <v>14</v>
      </c>
    </row>
    <row r="6764" x14ac:dyDescent="0.25">
      <c r="A6764" t="n">
        <v>25</v>
      </c>
      <c r="B6764" t="s">
        <v>14</v>
      </c>
      <c r="C6764" t="s">
        <v>22</v>
      </c>
      <c r="D6764" s="2" t="s">
        <f>=HYPERLINK("https://main.knesset.gov.il/APPS/legislation/main/bills/2197070", "הצעת חוק הרשות הלאומית למניעה ולמאבק באלימות במשפחה ובאלימות נגד נשים, התשפ""ג-2022")</f>
        <v>13202</v>
      </c>
      <c r="E6764" t="s">
        <v>13202</v>
      </c>
      <c r="F6764" t="s">
        <v>13203</v>
      </c>
      <c r="G6764" t="s">
        <v>14</v>
      </c>
      <c r="H6764">
             </c>
      <c r="I6764" t="s">
        <v>14</v>
      </c>
      <c r="J6764" t="s">
        <v>141</v>
      </c>
      <c r="K6764" t="s">
        <v>14</v>
      </c>
      <c r="L6764" t="s">
        <v>20</v>
      </c>
      <c r="M6764" t="s">
        <v>13164</v>
      </c>
      <c r="N6764" t="s">
        <v>14</v>
      </c>
    </row>
    <row r="6765" x14ac:dyDescent="0.25">
      <c r="A6765" t="n">
        <v>25</v>
      </c>
      <c r="B6765" t="s">
        <v>14</v>
      </c>
      <c r="C6765" t="s">
        <v>22</v>
      </c>
      <c r="D6765" s="2" t="s">
        <f>=HYPERLINK("https://main.knesset.gov.il/APPS/legislation/main/bills/2196940", "הצעת חוק האזרחות והכניסה לישראל (הוראת שעה) (תיקון - היתר לגבי בני זוג), התשפ""ג-2022")</f>
        <v>13204</v>
      </c>
      <c r="E6765" t="s">
        <v>13204</v>
      </c>
      <c r="F6765" t="s">
        <v>13205</v>
      </c>
      <c r="G6765" t="s">
        <v>14</v>
      </c>
      <c r="H6765">
             </c>
      <c r="I6765" t="s">
        <v>14</v>
      </c>
      <c r="J6765" t="s">
        <v>141</v>
      </c>
      <c r="K6765" t="s">
        <v>14</v>
      </c>
      <c r="L6765" t="s">
        <v>20</v>
      </c>
      <c r="M6765" t="s">
        <v>13164</v>
      </c>
      <c r="N6765" t="s">
        <v>14</v>
      </c>
    </row>
    <row r="6766" x14ac:dyDescent="0.25">
      <c r="A6766" t="n">
        <v>25</v>
      </c>
      <c r="B6766" t="s">
        <v>14</v>
      </c>
      <c r="C6766" t="s">
        <v>22</v>
      </c>
      <c r="D6766" s="2" t="s">
        <f>=HYPERLINK("https://main.knesset.gov.il/APPS/legislation/main/bills/2197498", "הצעת חוק הביטוח הלאומי (תיקון - חובת נוכחות מתורגמן בדיוני ועדה רפואית), התשפ""ג-2022")</f>
        <v>13206</v>
      </c>
      <c r="E6766" t="s">
        <v>13206</v>
      </c>
      <c r="F6766" t="s">
        <v>13207</v>
      </c>
      <c r="G6766" t="s">
        <v>14</v>
      </c>
      <c r="H6766">
             </c>
      <c r="I6766" t="s">
        <v>14</v>
      </c>
      <c r="J6766" t="s">
        <v>141</v>
      </c>
      <c r="K6766" t="s">
        <v>14</v>
      </c>
      <c r="L6766" t="s">
        <v>20</v>
      </c>
      <c r="M6766" t="s">
        <v>13164</v>
      </c>
      <c r="N6766" t="s">
        <v>14</v>
      </c>
    </row>
    <row r="6767" x14ac:dyDescent="0.25">
      <c r="A6767" t="n">
        <v>25</v>
      </c>
      <c r="B6767" t="s">
        <v>14</v>
      </c>
      <c r="C6767" t="s">
        <v>22</v>
      </c>
      <c r="D6767" s="2" t="s">
        <f>=HYPERLINK("https://main.knesset.gov.il/APPS/legislation/main/bills/2197150", "הצעת חוק השכירות והשאילה (תיקון - הארכת תקופת השכירות בעת מצב חירום), התשפ""ג-2022")</f>
        <v>13208</v>
      </c>
      <c r="E6767" t="s">
        <v>13208</v>
      </c>
      <c r="F6767" t="s">
        <v>13209</v>
      </c>
      <c r="G6767" t="s">
        <v>14</v>
      </c>
      <c r="H6767">
             </c>
      <c r="I6767" t="s">
        <v>14</v>
      </c>
      <c r="J6767" t="s">
        <v>141</v>
      </c>
      <c r="K6767" t="s">
        <v>14</v>
      </c>
      <c r="L6767" t="s">
        <v>20</v>
      </c>
      <c r="M6767" t="s">
        <v>13164</v>
      </c>
      <c r="N6767" t="s">
        <v>14</v>
      </c>
    </row>
    <row r="6768" x14ac:dyDescent="0.25">
      <c r="A6768" t="n">
        <v>25</v>
      </c>
      <c r="B6768" t="s">
        <v>14</v>
      </c>
      <c r="C6768" t="s">
        <v>22</v>
      </c>
      <c r="D6768" s="2" t="s">
        <f>=HYPERLINK("https://main.knesset.gov.il/APPS/legislation/main/bills/2197864", "הצעת חוק מימון מפלגות (תיקון - ייצוג לנשים ברשימות המועמדים), התשפ""ג-2022")</f>
        <v>13210</v>
      </c>
      <c r="E6768" t="s">
        <v>13210</v>
      </c>
      <c r="F6768" t="s">
        <v>13211</v>
      </c>
      <c r="G6768" t="s">
        <v>14</v>
      </c>
      <c r="H6768">
             </c>
      <c r="I6768" t="s">
        <v>14</v>
      </c>
      <c r="J6768" t="s">
        <v>141</v>
      </c>
      <c r="K6768" t="s">
        <v>14</v>
      </c>
      <c r="L6768" t="s">
        <v>20</v>
      </c>
      <c r="M6768" t="s">
        <v>13164</v>
      </c>
      <c r="N6768" t="s">
        <v>14</v>
      </c>
    </row>
    <row r="6769" x14ac:dyDescent="0.25">
      <c r="A6769" t="n">
        <v>25</v>
      </c>
      <c r="B6769" t="s">
        <v>14</v>
      </c>
      <c r="C6769" t="s">
        <v>22</v>
      </c>
      <c r="D6769" s="2" t="s">
        <f>=HYPERLINK("https://main.knesset.gov.il/APPS/legislation/main/bills/2197717", "הצעת חוק מימון מפלגות (תיקון - ייצוג לנשים ברשימת המועמדים), התשפ""ג-2022")</f>
        <v>13212</v>
      </c>
      <c r="E6769" t="s">
        <v>13212</v>
      </c>
      <c r="F6769" t="s">
        <v>13213</v>
      </c>
      <c r="G6769" t="s">
        <v>14</v>
      </c>
      <c r="H6769">
             </c>
      <c r="I6769" t="s">
        <v>14</v>
      </c>
      <c r="J6769" t="s">
        <v>141</v>
      </c>
      <c r="K6769" t="s">
        <v>14</v>
      </c>
      <c r="L6769" t="s">
        <v>20</v>
      </c>
      <c r="M6769" t="s">
        <v>13164</v>
      </c>
      <c r="N6769" t="s">
        <v>14</v>
      </c>
    </row>
    <row r="6770" x14ac:dyDescent="0.25">
      <c r="A6770" t="n">
        <v>25</v>
      </c>
      <c r="B6770" t="s">
        <v>14</v>
      </c>
      <c r="C6770" t="s">
        <v>22</v>
      </c>
      <c r="D6770" s="2" t="s">
        <f>=HYPERLINK("https://main.knesset.gov.il/APPS/legislation/main/bills/2196576", "הצעת חוק לתיקון פקודת מס הכנסה (הכרה בהוצאות טיפול בילדים), התשפ""ג-2022")</f>
        <v>13214</v>
      </c>
      <c r="E6770" t="s">
        <v>13214</v>
      </c>
      <c r="F6770" t="s">
        <v>13215</v>
      </c>
      <c r="G6770" t="s">
        <v>14</v>
      </c>
      <c r="H6770">
             </c>
      <c r="I6770" t="s">
        <v>14</v>
      </c>
      <c r="J6770" t="s">
        <v>141</v>
      </c>
      <c r="K6770" t="s">
        <v>14</v>
      </c>
      <c r="L6770" t="s">
        <v>20</v>
      </c>
      <c r="M6770" t="s">
        <v>13164</v>
      </c>
      <c r="N6770" t="s">
        <v>14</v>
      </c>
    </row>
    <row r="6771" x14ac:dyDescent="0.25">
      <c r="A6771" t="n">
        <v>25</v>
      </c>
      <c r="B6771" t="s">
        <v>14</v>
      </c>
      <c r="C6771" t="s">
        <v>22</v>
      </c>
      <c r="D6771" s="2" t="s">
        <f>=HYPERLINK("https://main.knesset.gov.il/APPS/legislation/main/bills/2197181", "הצעת חוק גוש מנשה, התשפ""ג-2022")</f>
        <v>13216</v>
      </c>
      <c r="E6771" t="s">
        <v>13216</v>
      </c>
      <c r="F6771" t="s">
        <v>13217</v>
      </c>
      <c r="G6771" t="s">
        <v>14</v>
      </c>
      <c r="H6771">
             </c>
      <c r="I6771" t="s">
        <v>14</v>
      </c>
      <c r="J6771" t="s">
        <v>141</v>
      </c>
      <c r="K6771" t="s">
        <v>14</v>
      </c>
      <c r="L6771" t="s">
        <v>20</v>
      </c>
      <c r="M6771" t="s">
        <v>13164</v>
      </c>
      <c r="N6771" t="s">
        <v>14</v>
      </c>
    </row>
    <row r="6772" x14ac:dyDescent="0.25">
      <c r="A6772" t="n">
        <v>25</v>
      </c>
      <c r="B6772" t="s">
        <v>14</v>
      </c>
      <c r="C6772" t="s">
        <v>22</v>
      </c>
      <c r="D6772" s="2" t="s">
        <f>=HYPERLINK("https://main.knesset.gov.il/APPS/legislation/main/bills/2197949", "הצעת חוק חסינות כוחות הביטחון באירועים מבצעיים, התשפ""ג-2022")</f>
        <v>13218</v>
      </c>
      <c r="E6772" t="s">
        <v>13218</v>
      </c>
      <c r="F6772" t="s">
        <v>13219</v>
      </c>
      <c r="G6772" t="s">
        <v>14</v>
      </c>
      <c r="H6772">
             </c>
      <c r="I6772" t="s">
        <v>14</v>
      </c>
      <c r="J6772" t="s">
        <v>141</v>
      </c>
      <c r="K6772" t="s">
        <v>14</v>
      </c>
      <c r="L6772" t="s">
        <v>20</v>
      </c>
      <c r="M6772" t="s">
        <v>13164</v>
      </c>
      <c r="N6772" t="s">
        <v>14</v>
      </c>
    </row>
    <row r="6773" x14ac:dyDescent="0.25">
      <c r="A6773" t="n">
        <v>25</v>
      </c>
      <c r="B6773" t="s">
        <v>14</v>
      </c>
      <c r="C6773" t="s">
        <v>22</v>
      </c>
      <c r="D6773" s="2" t="s">
        <f>=HYPERLINK("https://main.knesset.gov.il/APPS/legislation/main/bills/2196654", "הצעת חוק חינוך ממלכתי (תיקון - חינוך ממלכתי חרדי), התשפ""ג-2022")</f>
        <v>13220</v>
      </c>
      <c r="E6773" t="s">
        <v>13220</v>
      </c>
      <c r="F6773" t="s">
        <v>13221</v>
      </c>
      <c r="G6773" t="s">
        <v>14</v>
      </c>
      <c r="H6773">
             </c>
      <c r="I6773" t="s">
        <v>14</v>
      </c>
      <c r="J6773" t="s">
        <v>141</v>
      </c>
      <c r="K6773" t="s">
        <v>14</v>
      </c>
      <c r="L6773" t="s">
        <v>20</v>
      </c>
      <c r="M6773" t="s">
        <v>13164</v>
      </c>
      <c r="N6773" t="s">
        <v>14</v>
      </c>
    </row>
    <row r="6774" x14ac:dyDescent="0.25">
      <c r="A6774" t="n">
        <v>25</v>
      </c>
      <c r="B6774" t="s">
        <v>14</v>
      </c>
      <c r="C6774" t="s">
        <v>22</v>
      </c>
      <c r="D6774" s="2" t="s">
        <f>=HYPERLINK("https://main.knesset.gov.il/APPS/legislation/main/bills/2197908", "הצעת חוק-יסוד: השפיטה (תיקון - פסקת התגברות)")</f>
        <v>13222</v>
      </c>
      <c r="E6774" t="s">
        <v>13222</v>
      </c>
      <c r="F6774" t="s">
        <v>13223</v>
      </c>
      <c r="G6774" t="s">
        <v>14</v>
      </c>
      <c r="H6774">
             </c>
      <c r="I6774" t="s">
        <v>14</v>
      </c>
      <c r="J6774" t="s">
        <v>141</v>
      </c>
      <c r="K6774" t="s">
        <v>14</v>
      </c>
      <c r="L6774" t="s">
        <v>20</v>
      </c>
      <c r="M6774" t="s">
        <v>13164</v>
      </c>
      <c r="N6774" t="s">
        <v>14</v>
      </c>
    </row>
    <row r="6775" x14ac:dyDescent="0.25">
      <c r="A6775" t="n">
        <v>25</v>
      </c>
      <c r="B6775" t="s">
        <v>14</v>
      </c>
      <c r="C6775" t="s">
        <v>22</v>
      </c>
      <c r="D6775" s="2" t="s">
        <f>=HYPERLINK("https://main.knesset.gov.il/APPS/legislation/main/bills/2197148", "הצעת חוק עקרונות האסדרה (תיקון - פקיעת אסדרה), התשפ""ג-2022")</f>
        <v>13224</v>
      </c>
      <c r="E6775" t="s">
        <v>13224</v>
      </c>
      <c r="F6775" t="s">
        <v>13225</v>
      </c>
      <c r="G6775" t="s">
        <v>14</v>
      </c>
      <c r="H6775">
             </c>
      <c r="I6775" t="s">
        <v>14</v>
      </c>
      <c r="J6775" t="s">
        <v>141</v>
      </c>
      <c r="K6775" t="s">
        <v>14</v>
      </c>
      <c r="L6775" t="s">
        <v>20</v>
      </c>
      <c r="M6775" t="s">
        <v>13164</v>
      </c>
      <c r="N6775" t="s">
        <v>14</v>
      </c>
    </row>
    <row r="6776" x14ac:dyDescent="0.25">
      <c r="A6776" t="n">
        <v>25</v>
      </c>
      <c r="B6776" t="s">
        <v>14</v>
      </c>
      <c r="C6776" t="s">
        <v>22</v>
      </c>
      <c r="D6776" s="2" t="s">
        <f>=HYPERLINK("https://main.knesset.gov.il/APPS/legislation/main/bills/2197648", "הצעת חוק הביטוח הלאומי (תיקון - העלאת קצבת אזרח ותיק), התשפ""ג-2022")</f>
        <v>13226</v>
      </c>
      <c r="E6776" t="s">
        <v>13226</v>
      </c>
      <c r="F6776" t="s">
        <v>13227</v>
      </c>
      <c r="G6776" t="s">
        <v>14</v>
      </c>
      <c r="H6776">
             </c>
      <c r="I6776" t="s">
        <v>14</v>
      </c>
      <c r="J6776" t="s">
        <v>141</v>
      </c>
      <c r="K6776" t="s">
        <v>14</v>
      </c>
      <c r="L6776" t="s">
        <v>20</v>
      </c>
      <c r="M6776" t="s">
        <v>13164</v>
      </c>
      <c r="N6776" t="s">
        <v>14</v>
      </c>
    </row>
    <row r="6777" x14ac:dyDescent="0.25">
      <c r="A6777" t="n">
        <v>25</v>
      </c>
      <c r="B6777" t="s">
        <v>14</v>
      </c>
      <c r="C6777" t="s">
        <v>22</v>
      </c>
      <c r="D6777" s="2" t="s">
        <f>=HYPERLINK("https://main.knesset.gov.il/APPS/legislation/main/bills/2198107", "הצעת חוק ההוצאה לפועל (תיקון - קבלת קהל בשעות אחר הצהריים), התשפ""ג-2022")</f>
        <v>13228</v>
      </c>
      <c r="E6777" t="s">
        <v>13228</v>
      </c>
      <c r="F6777" t="s">
        <v>13229</v>
      </c>
      <c r="G6777" t="s">
        <v>14</v>
      </c>
      <c r="H6777">
             </c>
      <c r="I6777" t="s">
        <v>14</v>
      </c>
      <c r="J6777" t="s">
        <v>141</v>
      </c>
      <c r="K6777" t="s">
        <v>14</v>
      </c>
      <c r="L6777" t="s">
        <v>20</v>
      </c>
      <c r="M6777" t="s">
        <v>13164</v>
      </c>
      <c r="N6777" t="s">
        <v>14</v>
      </c>
    </row>
    <row r="6778" x14ac:dyDescent="0.25">
      <c r="A6778" t="n">
        <v>25</v>
      </c>
      <c r="B6778" t="s">
        <v>14</v>
      </c>
      <c r="C6778" t="s">
        <v>22</v>
      </c>
      <c r="D6778" s="2" t="s">
        <f>=HYPERLINK("https://main.knesset.gov.il/APPS/legislation/main/bills/2198022", "הצעת חוק ההוצאה לפועל (תיקון - קבלת קהל בשעות אחר הצהריים), התשפ""ג-2022")</f>
        <v>13228</v>
      </c>
      <c r="E6778" t="s">
        <v>13228</v>
      </c>
      <c r="F6778" t="s">
        <v>13230</v>
      </c>
      <c r="G6778" t="s">
        <v>14</v>
      </c>
      <c r="H6778">
             </c>
      <c r="I6778" t="s">
        <v>14</v>
      </c>
      <c r="J6778" t="s">
        <v>141</v>
      </c>
      <c r="K6778" t="s">
        <v>14</v>
      </c>
      <c r="L6778" t="s">
        <v>20</v>
      </c>
      <c r="M6778" t="s">
        <v>13164</v>
      </c>
      <c r="N6778" t="s">
        <v>14</v>
      </c>
    </row>
    <row r="6779" x14ac:dyDescent="0.25">
      <c r="A6779" t="n">
        <v>25</v>
      </c>
      <c r="B6779" t="s">
        <v>14</v>
      </c>
      <c r="C6779" t="s">
        <v>22</v>
      </c>
      <c r="D6779" s="2" t="s">
        <f>=HYPERLINK("https://main.knesset.gov.il/APPS/legislation/main/bills/2198109", "הצעת חוק כביש אגרה (כביש ארצי לישראל) (תיקון - תנאי לגביית אגרה), התשפ""ג-2022")</f>
        <v>13231</v>
      </c>
      <c r="E6779" t="s">
        <v>13231</v>
      </c>
      <c r="F6779" t="s">
        <v>13232</v>
      </c>
      <c r="G6779" t="s">
        <v>14</v>
      </c>
      <c r="H6779">
             </c>
      <c r="I6779" t="s">
        <v>14</v>
      </c>
      <c r="J6779" t="s">
        <v>141</v>
      </c>
      <c r="K6779" t="s">
        <v>14</v>
      </c>
      <c r="L6779" t="s">
        <v>20</v>
      </c>
      <c r="M6779" t="s">
        <v>13164</v>
      </c>
      <c r="N6779" t="s">
        <v>14</v>
      </c>
    </row>
    <row r="6780" x14ac:dyDescent="0.25">
      <c r="A6780" t="n">
        <v>25</v>
      </c>
      <c r="B6780" t="s">
        <v>14</v>
      </c>
      <c r="C6780" t="s">
        <v>22</v>
      </c>
      <c r="D6780" s="2" t="s">
        <f>=HYPERLINK("https://main.knesset.gov.il/APPS/legislation/main/bills/2197763", "הצעת חוק מניעת ביצוע עבירות באמצעות פרסום באינטרנט (הסרת תוכן), התשפ""ג-2022")</f>
        <v>13233</v>
      </c>
      <c r="E6780" t="s">
        <v>13233</v>
      </c>
      <c r="F6780" t="s">
        <v>13234</v>
      </c>
      <c r="G6780" t="s">
        <v>14</v>
      </c>
      <c r="H6780">
             </c>
      <c r="I6780" t="s">
        <v>14</v>
      </c>
      <c r="J6780" t="s">
        <v>141</v>
      </c>
      <c r="K6780" t="s">
        <v>14</v>
      </c>
      <c r="L6780" t="s">
        <v>20</v>
      </c>
      <c r="M6780" t="s">
        <v>13164</v>
      </c>
      <c r="N6780" t="s">
        <v>14</v>
      </c>
    </row>
    <row r="6781" x14ac:dyDescent="0.25">
      <c r="A6781" t="n">
        <v>25</v>
      </c>
      <c r="B6781" t="s">
        <v>14</v>
      </c>
      <c r="C6781" t="s">
        <v>22</v>
      </c>
      <c r="D6781" s="2" t="s">
        <f>=HYPERLINK("https://main.knesset.gov.il/APPS/legislation/main/bills/2197023", "הצעת חוק לתיקון פקודת בתי הסוהר (תנאי אסיר ביטחוני בבתי הסוהר), התשפ""ג-2022")</f>
        <v>12948</v>
      </c>
      <c r="E6781" t="s">
        <v>12948</v>
      </c>
      <c r="F6781" t="s">
        <v>13235</v>
      </c>
      <c r="G6781" t="s">
        <v>14</v>
      </c>
      <c r="H6781">
             </c>
      <c r="I6781" t="s">
        <v>14</v>
      </c>
      <c r="J6781" t="s">
        <v>141</v>
      </c>
      <c r="K6781" t="s">
        <v>14</v>
      </c>
      <c r="L6781" t="s">
        <v>20</v>
      </c>
      <c r="M6781" t="s">
        <v>13164</v>
      </c>
      <c r="N6781" t="s">
        <v>14</v>
      </c>
    </row>
    <row r="6782" x14ac:dyDescent="0.25">
      <c r="A6782" t="n">
        <v>25</v>
      </c>
      <c r="B6782" t="s">
        <v>14</v>
      </c>
      <c r="C6782" t="s">
        <v>22</v>
      </c>
      <c r="D6782" s="2" t="s">
        <f>=HYPERLINK("https://main.knesset.gov.il/APPS/legislation/main/bills/2198129", "הצעת חוק הגנת הצרכן (תיקון - איסור גביית עמלה בעסקה שבוצעה באמצעות האינטרנט), התשפ""ג-2022")</f>
        <v>13236</v>
      </c>
      <c r="E6782" t="s">
        <v>13236</v>
      </c>
      <c r="F6782" t="s">
        <v>13237</v>
      </c>
      <c r="G6782" t="s">
        <v>14</v>
      </c>
      <c r="H6782">
             </c>
      <c r="I6782" t="s">
        <v>14</v>
      </c>
      <c r="J6782" t="s">
        <v>141</v>
      </c>
      <c r="K6782" t="s">
        <v>14</v>
      </c>
      <c r="L6782" t="s">
        <v>20</v>
      </c>
      <c r="M6782" t="s">
        <v>13164</v>
      </c>
      <c r="N6782" t="s">
        <v>14</v>
      </c>
    </row>
    <row r="6783" x14ac:dyDescent="0.25">
      <c r="A6783" t="n">
        <v>25</v>
      </c>
      <c r="B6783" t="s">
        <v>14</v>
      </c>
      <c r="C6783" t="s">
        <v>22</v>
      </c>
      <c r="D6783" s="2" t="s">
        <f>=HYPERLINK("https://main.knesset.gov.il/APPS/legislation/main/bills/2197854", "הצעת חוק הגנת הצרכן (תיקון - איסור גביית עמלה בעסקה שבוצעה באמצעות האינטרנט), התשפ""ג-2022")</f>
        <v>13236</v>
      </c>
      <c r="E6783" t="s">
        <v>13236</v>
      </c>
      <c r="F6783" t="s">
        <v>13238</v>
      </c>
      <c r="G6783" t="s">
        <v>14</v>
      </c>
      <c r="H6783">
             </c>
      <c r="I6783" t="s">
        <v>14</v>
      </c>
      <c r="J6783" t="s">
        <v>141</v>
      </c>
      <c r="K6783" t="s">
        <v>14</v>
      </c>
      <c r="L6783" t="s">
        <v>20</v>
      </c>
      <c r="M6783" t="s">
        <v>13164</v>
      </c>
      <c r="N6783" t="s">
        <v>14</v>
      </c>
    </row>
    <row r="6784" x14ac:dyDescent="0.25">
      <c r="A6784" t="n">
        <v>25</v>
      </c>
      <c r="B6784" t="s">
        <v>14</v>
      </c>
      <c r="C6784" t="s">
        <v>22</v>
      </c>
      <c r="D6784" s="2" t="s">
        <f>=HYPERLINK("https://main.knesset.gov.il/APPS/legislation/main/bills/2197747", "הצעת חוק זכויות סוציאליות לנשים נפגעות אלימות (תיקוני חקיקה), התשפ""ג-2022")</f>
        <v>13239</v>
      </c>
      <c r="E6784" t="s">
        <v>13239</v>
      </c>
      <c r="F6784" t="s">
        <v>13240</v>
      </c>
      <c r="G6784" t="s">
        <v>14</v>
      </c>
      <c r="H6784">
             </c>
      <c r="I6784" t="s">
        <v>14</v>
      </c>
      <c r="J6784" t="s">
        <v>141</v>
      </c>
      <c r="K6784" t="s">
        <v>14</v>
      </c>
      <c r="L6784" t="s">
        <v>20</v>
      </c>
      <c r="M6784" t="s">
        <v>13164</v>
      </c>
      <c r="N6784" t="s">
        <v>14</v>
      </c>
    </row>
    <row r="6785" x14ac:dyDescent="0.25">
      <c r="A6785" t="n">
        <v>25</v>
      </c>
      <c r="B6785" t="s">
        <v>14</v>
      </c>
      <c r="C6785" t="s">
        <v>22</v>
      </c>
      <c r="D6785" s="2" t="s">
        <f>=HYPERLINK("https://main.knesset.gov.il/APPS/legislation/main/bills/2196351", "הצעת חוק הרשויות המקומיות (אכיפה סביבתית - סמכויות פקחים) (תיקון - הסמכת פקחים באיגוד ערים לווטרינריה), התשפ""ג-2022")</f>
        <v>13241</v>
      </c>
      <c r="E6785" t="s">
        <v>13241</v>
      </c>
      <c r="F6785" t="s">
        <v>13242</v>
      </c>
      <c r="G6785" t="s">
        <v>14</v>
      </c>
      <c r="H6785">
             </c>
      <c r="I6785" t="s">
        <v>14</v>
      </c>
      <c r="J6785" t="s">
        <v>141</v>
      </c>
      <c r="K6785" t="s">
        <v>14</v>
      </c>
      <c r="L6785" t="s">
        <v>20</v>
      </c>
      <c r="M6785" t="s">
        <v>13164</v>
      </c>
      <c r="N6785" t="s">
        <v>14</v>
      </c>
    </row>
    <row r="6786" x14ac:dyDescent="0.25">
      <c r="A6786" t="n">
        <v>25</v>
      </c>
      <c r="B6786" t="s">
        <v>14</v>
      </c>
      <c r="C6786" t="s">
        <v>22</v>
      </c>
      <c r="D6786" s="2" t="s">
        <f>=HYPERLINK("https://main.knesset.gov.il/APPS/legislation/main/bills/2196735", "הצעת חוק לתיקון פקודת מס הכנסה (ביטול מס בגין זקיפה סלולרית), התשפ""ג-2022")</f>
        <v>13243</v>
      </c>
      <c r="E6786" t="s">
        <v>13243</v>
      </c>
      <c r="F6786" t="s">
        <v>13244</v>
      </c>
      <c r="G6786" t="s">
        <v>14</v>
      </c>
      <c r="H6786">
             </c>
      <c r="I6786" t="s">
        <v>14</v>
      </c>
      <c r="J6786" t="s">
        <v>141</v>
      </c>
      <c r="K6786" t="s">
        <v>14</v>
      </c>
      <c r="L6786" t="s">
        <v>20</v>
      </c>
      <c r="M6786" t="s">
        <v>13164</v>
      </c>
      <c r="N6786" t="s">
        <v>14</v>
      </c>
    </row>
    <row r="6787" x14ac:dyDescent="0.25">
      <c r="A6787" t="n">
        <v>25</v>
      </c>
      <c r="B6787" t="s">
        <v>14</v>
      </c>
      <c r="C6787" t="s">
        <v>22</v>
      </c>
      <c r="D6787" s="2" t="s">
        <f>=HYPERLINK("https://main.knesset.gov.il/APPS/legislation/main/bills/2197264", "הצעת חוק הביטוח הלאומי (תיקון - הרחבת הזכאות למענק לימודים), התשפ""ג-2022")</f>
        <v>13245</v>
      </c>
      <c r="E6787" t="s">
        <v>13245</v>
      </c>
      <c r="F6787" t="s">
        <v>13246</v>
      </c>
      <c r="G6787" t="s">
        <v>14</v>
      </c>
      <c r="H6787">
             </c>
      <c r="I6787" t="s">
        <v>14</v>
      </c>
      <c r="J6787" t="s">
        <v>141</v>
      </c>
      <c r="K6787" t="s">
        <v>14</v>
      </c>
      <c r="L6787" t="s">
        <v>20</v>
      </c>
      <c r="M6787" t="s">
        <v>13164</v>
      </c>
      <c r="N6787" t="s">
        <v>14</v>
      </c>
    </row>
    <row r="6788" x14ac:dyDescent="0.25">
      <c r="A6788" t="n">
        <v>25</v>
      </c>
      <c r="B6788" t="s">
        <v>14</v>
      </c>
      <c r="C6788" t="s">
        <v>22</v>
      </c>
      <c r="D6788" s="2" t="s">
        <f>=HYPERLINK("https://main.knesset.gov.il/APPS/legislation/main/bills/2195996", "הצעת חוק הביטוח הלאומי (תיקון - הרחבת הזכאות למענק לימודים), התשפ""ג-2022")</f>
        <v>13245</v>
      </c>
      <c r="E6788" t="s">
        <v>13245</v>
      </c>
      <c r="F6788" t="s">
        <v>13247</v>
      </c>
      <c r="G6788" t="s">
        <v>14</v>
      </c>
      <c r="H6788">
             </c>
      <c r="I6788" t="s">
        <v>14</v>
      </c>
      <c r="J6788" t="s">
        <v>141</v>
      </c>
      <c r="K6788" t="s">
        <v>14</v>
      </c>
      <c r="L6788" t="s">
        <v>20</v>
      </c>
      <c r="M6788" t="s">
        <v>13164</v>
      </c>
      <c r="N6788" t="s">
        <v>14</v>
      </c>
    </row>
    <row r="6789" x14ac:dyDescent="0.25">
      <c r="A6789" t="n">
        <v>25</v>
      </c>
      <c r="B6789" t="s">
        <v>14</v>
      </c>
      <c r="C6789" t="s">
        <v>22</v>
      </c>
      <c r="D6789" s="2" t="s">
        <f>=HYPERLINK("https://main.knesset.gov.il/APPS/legislation/main/bills/2198037", "הצעת חוק לתיקון פקודת העיריות (קיצור תקופת הפטור מתשלום ארנונה לבניין שנהרס או ניזוק), התשפ""ג-2022")</f>
        <v>10379</v>
      </c>
      <c r="E6789" t="s">
        <v>10379</v>
      </c>
      <c r="F6789" t="s">
        <v>13248</v>
      </c>
      <c r="G6789" t="s">
        <v>14</v>
      </c>
      <c r="H6789">
             </c>
      <c r="I6789" t="s">
        <v>14</v>
      </c>
      <c r="J6789" t="s">
        <v>141</v>
      </c>
      <c r="K6789" t="s">
        <v>14</v>
      </c>
      <c r="L6789" t="s">
        <v>20</v>
      </c>
      <c r="M6789" t="s">
        <v>13164</v>
      </c>
      <c r="N6789" t="s">
        <v>14</v>
      </c>
    </row>
    <row r="6790" x14ac:dyDescent="0.25">
      <c r="A6790" t="n">
        <v>25</v>
      </c>
      <c r="B6790" t="s">
        <v>14</v>
      </c>
      <c r="C6790" t="s">
        <v>22</v>
      </c>
      <c r="D6790" s="2" t="s">
        <f>=HYPERLINK("https://main.knesset.gov.il/APPS/legislation/main/bills/2197678", "הצעת חוק לתיקון פקודת מס הכנסה (שינוי מדרגות המס), התשפ""ג-2022")</f>
        <v>13249</v>
      </c>
      <c r="E6790" t="s">
        <v>13249</v>
      </c>
      <c r="F6790" t="s">
        <v>13250</v>
      </c>
      <c r="G6790" t="s">
        <v>14</v>
      </c>
      <c r="H6790">
             </c>
      <c r="I6790" t="s">
        <v>14</v>
      </c>
      <c r="J6790" t="s">
        <v>141</v>
      </c>
      <c r="K6790" t="s">
        <v>14</v>
      </c>
      <c r="L6790" t="s">
        <v>20</v>
      </c>
      <c r="M6790" t="s">
        <v>13164</v>
      </c>
      <c r="N6790" t="s">
        <v>14</v>
      </c>
    </row>
    <row r="6791" x14ac:dyDescent="0.25">
      <c r="A6791" t="n">
        <v>25</v>
      </c>
      <c r="B6791" t="s">
        <v>14</v>
      </c>
      <c r="C6791" t="s">
        <v>22</v>
      </c>
      <c r="D6791" s="2" t="s">
        <f>=HYPERLINK("https://main.knesset.gov.il/APPS/legislation/main/bills/2197139", "הצעת חוק לתיקון פקודת מס הכנסה (שינוי מדרגות המס), התשפ""ג-2022")</f>
        <v>13249</v>
      </c>
      <c r="E6791" t="s">
        <v>13249</v>
      </c>
      <c r="F6791" t="s">
        <v>13251</v>
      </c>
      <c r="G6791" t="s">
        <v>14</v>
      </c>
      <c r="H6791">
             </c>
      <c r="I6791" t="s">
        <v>14</v>
      </c>
      <c r="J6791" t="s">
        <v>141</v>
      </c>
      <c r="K6791" t="s">
        <v>14</v>
      </c>
      <c r="L6791" t="s">
        <v>20</v>
      </c>
      <c r="M6791" t="s">
        <v>13164</v>
      </c>
      <c r="N6791" t="s">
        <v>14</v>
      </c>
    </row>
    <row r="6792" x14ac:dyDescent="0.25">
      <c r="A6792" t="n">
        <v>25</v>
      </c>
      <c r="B6792" t="s">
        <v>14</v>
      </c>
      <c r="C6792" t="s">
        <v>22</v>
      </c>
      <c r="D6792" s="2" t="s">
        <f>=HYPERLINK("https://main.knesset.gov.il/APPS/legislation/main/bills/2197140", "הצעת חוק איסור ניתוק משירותי חשמל, מים וגז (תיקוני חקיקה), התשפ""ג-2022")</f>
        <v>13252</v>
      </c>
      <c r="E6792" t="s">
        <v>13252</v>
      </c>
      <c r="F6792" t="s">
        <v>13253</v>
      </c>
      <c r="G6792" t="s">
        <v>14</v>
      </c>
      <c r="H6792">
             </c>
      <c r="I6792" t="s">
        <v>14</v>
      </c>
      <c r="J6792" t="s">
        <v>141</v>
      </c>
      <c r="K6792" t="s">
        <v>14</v>
      </c>
      <c r="L6792" t="s">
        <v>20</v>
      </c>
      <c r="M6792" t="s">
        <v>13164</v>
      </c>
      <c r="N6792" t="s">
        <v>14</v>
      </c>
    </row>
    <row r="6793" x14ac:dyDescent="0.25">
      <c r="A6793" t="n">
        <v>25</v>
      </c>
      <c r="B6793" t="s">
        <v>14</v>
      </c>
      <c r="C6793" t="s">
        <v>22</v>
      </c>
      <c r="D6793" s="2" t="s">
        <f>=HYPERLINK("https://main.knesset.gov.il/APPS/legislation/main/bills/2197090", "הצעת חוק הביטוח הלאומי (תיקון - חישוב דמי לידה לפי שנה שקדמה ליום הקובע), התשפ""ג-2022")</f>
        <v>13254</v>
      </c>
      <c r="E6793" t="s">
        <v>13254</v>
      </c>
      <c r="F6793" t="s">
        <v>13255</v>
      </c>
      <c r="G6793" t="s">
        <v>14</v>
      </c>
      <c r="H6793">
             </c>
      <c r="I6793" t="s">
        <v>14</v>
      </c>
      <c r="J6793" t="s">
        <v>141</v>
      </c>
      <c r="K6793" t="s">
        <v>14</v>
      </c>
      <c r="L6793" t="s">
        <v>20</v>
      </c>
      <c r="M6793" t="s">
        <v>13164</v>
      </c>
      <c r="N6793" t="s">
        <v>14</v>
      </c>
    </row>
    <row r="6794" x14ac:dyDescent="0.25">
      <c r="A6794" t="n">
        <v>25</v>
      </c>
      <c r="B6794" t="s">
        <v>14</v>
      </c>
      <c r="C6794" t="s">
        <v>22</v>
      </c>
      <c r="D6794" s="2" t="s">
        <f>=HYPERLINK("https://main.knesset.gov.il/APPS/legislation/main/bills/2197134", "הצעת חוק לתיקון פקודת מס הכנסה (משיכה פטורה מקרן השתלמות כשחלות תקנות שמטילות הגבלות על פעילות עסקית), התשפ""ג-2022")</f>
        <v>13256</v>
      </c>
      <c r="E6794" t="s">
        <v>13256</v>
      </c>
      <c r="F6794" t="s">
        <v>13257</v>
      </c>
      <c r="G6794" t="s">
        <v>14</v>
      </c>
      <c r="H6794">
             </c>
      <c r="I6794" t="s">
        <v>14</v>
      </c>
      <c r="J6794" t="s">
        <v>141</v>
      </c>
      <c r="K6794" t="s">
        <v>14</v>
      </c>
      <c r="L6794" t="s">
        <v>20</v>
      </c>
      <c r="M6794" t="s">
        <v>13164</v>
      </c>
      <c r="N6794" t="s">
        <v>14</v>
      </c>
    </row>
    <row r="6795" x14ac:dyDescent="0.25">
      <c r="A6795" t="n">
        <v>25</v>
      </c>
      <c r="B6795" t="s">
        <v>14</v>
      </c>
      <c r="C6795" t="s">
        <v>22</v>
      </c>
      <c r="D6795" s="2" t="s">
        <f>=HYPERLINK("https://main.knesset.gov.il/APPS/legislation/main/bills/2197383", "הצעת חוק השוואת זכויות פנסיה לאלמן ולאלמנה, התשפ""ג-2022")</f>
        <v>13258</v>
      </c>
      <c r="E6795" t="s">
        <v>13258</v>
      </c>
      <c r="F6795" t="s">
        <v>13259</v>
      </c>
      <c r="G6795" t="s">
        <v>14</v>
      </c>
      <c r="H6795">
             </c>
      <c r="I6795" t="s">
        <v>14</v>
      </c>
      <c r="J6795" t="s">
        <v>141</v>
      </c>
      <c r="K6795" t="s">
        <v>14</v>
      </c>
      <c r="L6795" t="s">
        <v>20</v>
      </c>
      <c r="M6795" t="s">
        <v>13164</v>
      </c>
      <c r="N6795" t="s">
        <v>14</v>
      </c>
    </row>
    <row r="6796" x14ac:dyDescent="0.25">
      <c r="A6796" t="n">
        <v>25</v>
      </c>
      <c r="B6796" t="s">
        <v>14</v>
      </c>
      <c r="C6796" t="s">
        <v>22</v>
      </c>
      <c r="D6796" s="2" t="s">
        <f>=HYPERLINK("https://main.knesset.gov.il/APPS/legislation/main/bills/2198124", "הצעת חוק המלחמה בפדופיליה (מאגר מידע), התשפ""ג-2022")</f>
        <v>13260</v>
      </c>
      <c r="E6796" t="s">
        <v>13260</v>
      </c>
      <c r="F6796" t="s">
        <v>13261</v>
      </c>
      <c r="G6796" t="s">
        <v>14</v>
      </c>
      <c r="H6796">
             </c>
      <c r="I6796" t="s">
        <v>14</v>
      </c>
      <c r="J6796" t="s">
        <v>343</v>
      </c>
      <c r="K6796" t="s">
        <v>14</v>
      </c>
      <c r="L6796" t="s">
        <v>20</v>
      </c>
      <c r="M6796" t="s">
        <v>13164</v>
      </c>
      <c r="N6796" t="s">
        <v>14</v>
      </c>
    </row>
    <row r="6797" x14ac:dyDescent="0.25">
      <c r="A6797" t="n">
        <v>25</v>
      </c>
      <c r="B6797" t="s">
        <v>14</v>
      </c>
      <c r="C6797" t="s">
        <v>22</v>
      </c>
      <c r="D6797" s="2" t="s">
        <f>=HYPERLINK("https://main.knesset.gov.il/APPS/legislation/main/bills/2197163", "הצעת חוק החלת דיני הקרקעות והתכנון והבנייה הישראליים ביהודה והשומרון, התשפ""ג-2022")</f>
        <v>13262</v>
      </c>
      <c r="E6797" t="s">
        <v>13262</v>
      </c>
      <c r="F6797" t="s">
        <v>13263</v>
      </c>
      <c r="G6797" t="s">
        <v>14</v>
      </c>
      <c r="H6797">
             </c>
      <c r="I6797" t="s">
        <v>14</v>
      </c>
      <c r="J6797" t="s">
        <v>141</v>
      </c>
      <c r="K6797" t="s">
        <v>14</v>
      </c>
      <c r="L6797" t="s">
        <v>20</v>
      </c>
      <c r="M6797" t="s">
        <v>13164</v>
      </c>
      <c r="N6797" t="s">
        <v>14</v>
      </c>
    </row>
    <row r="6798" x14ac:dyDescent="0.25">
      <c r="A6798" t="n">
        <v>25</v>
      </c>
      <c r="B6798" t="s">
        <v>14</v>
      </c>
      <c r="C6798" t="s">
        <v>22</v>
      </c>
      <c r="D6798" s="2" t="s">
        <f>=HYPERLINK("https://main.knesset.gov.il/APPS/legislation/main/bills/2197131", "הצעת חוק הביטוח הלאומי (תיקון - הארכת תקופת הזכאות לדמי אבטלה לצעירים), התשפ""ג-2022")</f>
        <v>13264</v>
      </c>
      <c r="E6798" t="s">
        <v>13264</v>
      </c>
      <c r="F6798" t="s">
        <v>13265</v>
      </c>
      <c r="G6798" t="s">
        <v>14</v>
      </c>
      <c r="H6798">
             </c>
      <c r="I6798" t="s">
        <v>14</v>
      </c>
      <c r="J6798" t="s">
        <v>141</v>
      </c>
      <c r="K6798" t="s">
        <v>14</v>
      </c>
      <c r="L6798" t="s">
        <v>20</v>
      </c>
      <c r="M6798" t="s">
        <v>13164</v>
      </c>
      <c r="N6798" t="s">
        <v>14</v>
      </c>
    </row>
    <row r="6799" x14ac:dyDescent="0.25">
      <c r="A6799" t="n">
        <v>25</v>
      </c>
      <c r="B6799" t="s">
        <v>14</v>
      </c>
      <c r="C6799" t="s">
        <v>22</v>
      </c>
      <c r="D6799" s="2" t="s">
        <f>=HYPERLINK("https://main.knesset.gov.il/APPS/legislation/main/bills/2197167", "הצעת חוק ירושלים ובנותיה, התשפ""ג-2022")</f>
        <v>13266</v>
      </c>
      <c r="E6799" t="s">
        <v>13266</v>
      </c>
      <c r="F6799" t="s">
        <v>13267</v>
      </c>
      <c r="G6799" t="s">
        <v>14</v>
      </c>
      <c r="H6799">
             </c>
      <c r="I6799" t="s">
        <v>14</v>
      </c>
      <c r="J6799" t="s">
        <v>141</v>
      </c>
      <c r="K6799" t="s">
        <v>14</v>
      </c>
      <c r="L6799" t="s">
        <v>20</v>
      </c>
      <c r="M6799" t="s">
        <v>13164</v>
      </c>
      <c r="N6799" t="s">
        <v>14</v>
      </c>
    </row>
    <row r="6800" x14ac:dyDescent="0.25">
      <c r="A6800" t="n">
        <v>25</v>
      </c>
      <c r="B6800" t="s">
        <v>14</v>
      </c>
      <c r="C6800" t="s">
        <v>22</v>
      </c>
      <c r="D6800" s="2" t="s">
        <f>=HYPERLINK("https://main.knesset.gov.il/APPS/legislation/main/bills/2197486", "הצעת חוק הביטוח הלאומי (תיקון - הגדלת קצבת הנכות), התשפ""ג-2022")</f>
        <v>13268</v>
      </c>
      <c r="E6800" t="s">
        <v>13268</v>
      </c>
      <c r="F6800" t="s">
        <v>13269</v>
      </c>
      <c r="G6800" t="s">
        <v>14</v>
      </c>
      <c r="H6800">
             </c>
      <c r="I6800" t="s">
        <v>14</v>
      </c>
      <c r="J6800" t="s">
        <v>141</v>
      </c>
      <c r="K6800" t="s">
        <v>14</v>
      </c>
      <c r="L6800" t="s">
        <v>20</v>
      </c>
      <c r="M6800" t="s">
        <v>13164</v>
      </c>
      <c r="N6800" t="s">
        <v>14</v>
      </c>
    </row>
    <row r="6801" x14ac:dyDescent="0.25">
      <c r="A6801" t="n">
        <v>25</v>
      </c>
      <c r="B6801" t="s">
        <v>14</v>
      </c>
      <c r="C6801" t="s">
        <v>22</v>
      </c>
      <c r="D6801" s="2" t="s">
        <f>=HYPERLINK("https://main.knesset.gov.il/APPS/legislation/main/bills/2197741", "הצעת חוק הביטוח הלאומי (תיקון - הכרה בפגיעה מינית בעבודה כתאונת עבודה), התשפ""ג-2022")</f>
        <v>13270</v>
      </c>
      <c r="E6801" t="s">
        <v>13270</v>
      </c>
      <c r="F6801" t="s">
        <v>13271</v>
      </c>
      <c r="G6801" t="s">
        <v>14</v>
      </c>
      <c r="H6801">
             </c>
      <c r="I6801" t="s">
        <v>14</v>
      </c>
      <c r="J6801" t="s">
        <v>141</v>
      </c>
      <c r="K6801" t="s">
        <v>14</v>
      </c>
      <c r="L6801" t="s">
        <v>20</v>
      </c>
      <c r="M6801" t="s">
        <v>13164</v>
      </c>
      <c r="N6801" t="s">
        <v>14</v>
      </c>
    </row>
    <row r="6802" x14ac:dyDescent="0.25">
      <c r="A6802" t="n">
        <v>25</v>
      </c>
      <c r="B6802" t="s">
        <v>14</v>
      </c>
      <c r="C6802" t="s">
        <v>22</v>
      </c>
      <c r="D6802" s="2" t="s">
        <f>=HYPERLINK("https://main.knesset.gov.il/APPS/legislation/main/bills/2196718", "הצעת חוק בתי המשפט (תיקון - תקופת צינון במועמדות חבר כנסת או שר למשרת שופט), התשפ""ג-2022")</f>
        <v>13272</v>
      </c>
      <c r="E6802" t="s">
        <v>13272</v>
      </c>
      <c r="F6802" t="s">
        <v>13273</v>
      </c>
      <c r="G6802" t="s">
        <v>14</v>
      </c>
      <c r="H6802">
             </c>
      <c r="I6802" t="s">
        <v>14</v>
      </c>
      <c r="J6802" t="s">
        <v>141</v>
      </c>
      <c r="K6802" t="s">
        <v>14</v>
      </c>
      <c r="L6802" t="s">
        <v>20</v>
      </c>
      <c r="M6802" t="s">
        <v>13164</v>
      </c>
      <c r="N6802" t="s">
        <v>14</v>
      </c>
    </row>
    <row r="6803" x14ac:dyDescent="0.25">
      <c r="A6803" t="n">
        <v>25</v>
      </c>
      <c r="B6803" t="s">
        <v>14</v>
      </c>
      <c r="C6803" t="s">
        <v>22</v>
      </c>
      <c r="D6803" s="2" t="s">
        <f>=HYPERLINK("https://main.knesset.gov.il/APPS/legislation/main/bills/2196719", "הצעת חוק הביטוח הלאומי (תיקון - הודעה לפני גביית חוב), התשפ""ג-2022")</f>
        <v>13274</v>
      </c>
      <c r="E6803" t="s">
        <v>13274</v>
      </c>
      <c r="F6803" t="s">
        <v>13275</v>
      </c>
      <c r="G6803" t="s">
        <v>14</v>
      </c>
      <c r="H6803">
             </c>
      <c r="I6803" t="s">
        <v>14</v>
      </c>
      <c r="J6803" t="s">
        <v>141</v>
      </c>
      <c r="K6803" t="s">
        <v>14</v>
      </c>
      <c r="L6803" t="s">
        <v>20</v>
      </c>
      <c r="M6803" t="s">
        <v>13164</v>
      </c>
      <c r="N6803" t="s">
        <v>14</v>
      </c>
    </row>
    <row r="6804" x14ac:dyDescent="0.25">
      <c r="A6804" t="n">
        <v>25</v>
      </c>
      <c r="B6804" t="s">
        <v>14</v>
      </c>
      <c r="C6804" t="s">
        <v>22</v>
      </c>
      <c r="D6804" s="2" t="s">
        <f>=HYPERLINK("https://main.knesset.gov.il/APPS/legislation/main/bills/2197561", "הצעת חוק העונשין (תיקון - בעילה אסורה בהסכמה תוך ניצול מעמד ציבורי מיוחד), התשפ""ג-2022")</f>
        <v>13276</v>
      </c>
      <c r="E6804" t="s">
        <v>13276</v>
      </c>
      <c r="F6804" t="s">
        <v>13277</v>
      </c>
      <c r="G6804" t="s">
        <v>14</v>
      </c>
      <c r="H6804">
             </c>
      <c r="I6804" t="s">
        <v>14</v>
      </c>
      <c r="J6804" t="s">
        <v>141</v>
      </c>
      <c r="K6804" t="s">
        <v>14</v>
      </c>
      <c r="L6804" t="s">
        <v>20</v>
      </c>
      <c r="M6804" t="s">
        <v>13164</v>
      </c>
      <c r="N6804" t="s">
        <v>14</v>
      </c>
    </row>
    <row r="6805" x14ac:dyDescent="0.25">
      <c r="A6805" t="n">
        <v>25</v>
      </c>
      <c r="B6805" t="s">
        <v>14</v>
      </c>
      <c r="C6805" t="s">
        <v>22</v>
      </c>
      <c r="D6805" s="2" t="s">
        <f>=HYPERLINK("https://main.knesset.gov.il/APPS/legislation/main/bills/2197555", "הצעת חוק חוזה העבודה (הסדרי עבודה מרחוק), התשפ""ג-2022")</f>
        <v>13278</v>
      </c>
      <c r="E6805" t="s">
        <v>13278</v>
      </c>
      <c r="F6805" t="s">
        <v>13279</v>
      </c>
      <c r="G6805" t="s">
        <v>14</v>
      </c>
      <c r="H6805">
             </c>
      <c r="I6805" t="s">
        <v>14</v>
      </c>
      <c r="J6805" t="s">
        <v>141</v>
      </c>
      <c r="K6805" t="s">
        <v>14</v>
      </c>
      <c r="L6805" t="s">
        <v>20</v>
      </c>
      <c r="M6805" t="s">
        <v>13164</v>
      </c>
      <c r="N6805" t="s">
        <v>14</v>
      </c>
    </row>
    <row r="6806" x14ac:dyDescent="0.25">
      <c r="A6806" t="n">
        <v>25</v>
      </c>
      <c r="B6806" t="s">
        <v>14</v>
      </c>
      <c r="C6806" t="s">
        <v>22</v>
      </c>
      <c r="D6806" s="2" t="s">
        <f>=HYPERLINK("https://main.knesset.gov.il/APPS/legislation/main/bills/2197261", "הצעת חוק טיפול בחולי נפש (תיקון - תנאי אשפוז הולמים), התשפ""ג-2022")</f>
        <v>13280</v>
      </c>
      <c r="E6806" t="s">
        <v>13280</v>
      </c>
      <c r="F6806" t="s">
        <v>13281</v>
      </c>
      <c r="G6806" t="s">
        <v>14</v>
      </c>
      <c r="H6806">
             </c>
      <c r="I6806" t="s">
        <v>14</v>
      </c>
      <c r="J6806" t="s">
        <v>141</v>
      </c>
      <c r="K6806" t="s">
        <v>14</v>
      </c>
      <c r="L6806" t="s">
        <v>20</v>
      </c>
      <c r="M6806" t="s">
        <v>13164</v>
      </c>
      <c r="N6806" t="s">
        <v>14</v>
      </c>
    </row>
    <row r="6807" x14ac:dyDescent="0.25">
      <c r="A6807" t="n">
        <v>25</v>
      </c>
      <c r="B6807" t="s">
        <v>14</v>
      </c>
      <c r="C6807" t="s">
        <v>22</v>
      </c>
      <c r="D6807" s="2" t="s">
        <f>=HYPERLINK("https://main.knesset.gov.il/APPS/legislation/main/bills/2197237", "הצעת חוק התכנון והבנייה (תיקון - תוקף היתר הבנייה), התשפ""ג-2022")</f>
        <v>13282</v>
      </c>
      <c r="E6807" t="s">
        <v>13282</v>
      </c>
      <c r="F6807" t="s">
        <v>13283</v>
      </c>
      <c r="G6807" t="s">
        <v>14</v>
      </c>
      <c r="H6807">
             </c>
      <c r="I6807" t="s">
        <v>14</v>
      </c>
      <c r="J6807" t="s">
        <v>141</v>
      </c>
      <c r="K6807" t="s">
        <v>14</v>
      </c>
      <c r="L6807" t="s">
        <v>20</v>
      </c>
      <c r="M6807" t="s">
        <v>13164</v>
      </c>
      <c r="N6807" t="s">
        <v>14</v>
      </c>
    </row>
    <row r="6808" x14ac:dyDescent="0.25">
      <c r="A6808" t="n">
        <v>25</v>
      </c>
      <c r="B6808" t="s">
        <v>14</v>
      </c>
      <c r="C6808" t="s">
        <v>22</v>
      </c>
      <c r="D6808" s="2" t="s">
        <f>=HYPERLINK("https://main.knesset.gov.il/APPS/legislation/main/bills/2197104", "הצעת חוק נציב תלונות הציבור על שופטים (תיקון - פרסום שם שופט), התשפ""ג-2022 ")</f>
        <v>13284</v>
      </c>
      <c r="E6808" t="s">
        <v>13284</v>
      </c>
      <c r="F6808" t="s">
        <v>13285</v>
      </c>
      <c r="G6808" t="s">
        <v>14</v>
      </c>
      <c r="H6808">
             </c>
      <c r="I6808" t="s">
        <v>14</v>
      </c>
      <c r="J6808" t="s">
        <v>141</v>
      </c>
      <c r="K6808" t="s">
        <v>14</v>
      </c>
      <c r="L6808" t="s">
        <v>20</v>
      </c>
      <c r="M6808" t="s">
        <v>13164</v>
      </c>
      <c r="N6808" t="s">
        <v>14</v>
      </c>
    </row>
    <row r="6809" x14ac:dyDescent="0.25">
      <c r="A6809" t="n">
        <v>25</v>
      </c>
      <c r="B6809" t="s">
        <v>14</v>
      </c>
      <c r="C6809" t="s">
        <v>22</v>
      </c>
      <c r="D6809" s="2" t="s">
        <f>=HYPERLINK("https://main.knesset.gov.il/APPS/legislation/main/bills/2197311", "הצעת חוק ביטוח בריאות ממלכתי (תיקון - פנייה לנציב קבילות הציבור), התשפ""ג-2022 ")</f>
        <v>13286</v>
      </c>
      <c r="E6809" t="s">
        <v>13286</v>
      </c>
      <c r="F6809" t="s">
        <v>13287</v>
      </c>
      <c r="G6809" t="s">
        <v>14</v>
      </c>
      <c r="H6809">
             </c>
      <c r="I6809" t="s">
        <v>14</v>
      </c>
      <c r="J6809" t="s">
        <v>141</v>
      </c>
      <c r="K6809" t="s">
        <v>14</v>
      </c>
      <c r="L6809" t="s">
        <v>20</v>
      </c>
      <c r="M6809" t="s">
        <v>13164</v>
      </c>
      <c r="N6809" t="s">
        <v>14</v>
      </c>
    </row>
    <row r="6810" x14ac:dyDescent="0.25">
      <c r="A6810" t="n">
        <v>25</v>
      </c>
      <c r="B6810" t="s">
        <v>14</v>
      </c>
      <c r="C6810" t="s">
        <v>22</v>
      </c>
      <c r="D6810" s="2" t="s">
        <f>=HYPERLINK("https://main.knesset.gov.il/APPS/legislation/main/bills/2197108", "הצעת חוק החלת החוק הישראלי בשטח בקעת הירדן, צפון ים המלח, ובישובים היהודיים ביהודה והשומרון, התשפ""ג-2022")</f>
        <v>13288</v>
      </c>
      <c r="E6810" t="s">
        <v>13288</v>
      </c>
      <c r="F6810" t="s">
        <v>13289</v>
      </c>
      <c r="G6810" t="s">
        <v>14</v>
      </c>
      <c r="H6810">
             </c>
      <c r="I6810" t="s">
        <v>14</v>
      </c>
      <c r="J6810" t="s">
        <v>141</v>
      </c>
      <c r="K6810" t="s">
        <v>14</v>
      </c>
      <c r="L6810" t="s">
        <v>20</v>
      </c>
      <c r="M6810" t="s">
        <v>13164</v>
      </c>
      <c r="N6810" t="s">
        <v>14</v>
      </c>
    </row>
    <row r="6811" x14ac:dyDescent="0.25">
      <c r="A6811" t="n">
        <v>25</v>
      </c>
      <c r="B6811" t="s">
        <v>14</v>
      </c>
      <c r="C6811" t="s">
        <v>22</v>
      </c>
      <c r="D6811" s="2" t="s">
        <f>=HYPERLINK("https://main.knesset.gov.il/APPS/legislation/main/bills/2197114", "הצעת חוק-יסוד: כבוד האדם וחירותו (תיקון - תוקפו של חוק חורג בעניין מסתננים)")</f>
        <v>13290</v>
      </c>
      <c r="E6811" t="s">
        <v>13290</v>
      </c>
      <c r="F6811" t="s">
        <v>13291</v>
      </c>
      <c r="G6811" t="s">
        <v>14</v>
      </c>
      <c r="H6811">
             </c>
      <c r="I6811" t="s">
        <v>14</v>
      </c>
      <c r="J6811" t="s">
        <v>141</v>
      </c>
      <c r="K6811" t="s">
        <v>14</v>
      </c>
      <c r="L6811" t="s">
        <v>20</v>
      </c>
      <c r="M6811" t="s">
        <v>13164</v>
      </c>
      <c r="N6811" t="s">
        <v>14</v>
      </c>
    </row>
    <row r="6812" x14ac:dyDescent="0.25">
      <c r="A6812" t="n">
        <v>25</v>
      </c>
      <c r="B6812" t="s">
        <v>14</v>
      </c>
      <c r="C6812" t="s">
        <v>22</v>
      </c>
      <c r="D6812" s="2" t="s">
        <f>=HYPERLINK("https://main.knesset.gov.il/APPS/legislation/main/bills/2197018", "הצעת חוק לתיקון פקודת הראיות (חיסיון קרימינולוג קליני), התשפ""ג-2022")</f>
        <v>13292</v>
      </c>
      <c r="E6812" t="s">
        <v>13292</v>
      </c>
      <c r="F6812" t="s">
        <v>13293</v>
      </c>
      <c r="G6812" t="s">
        <v>14</v>
      </c>
      <c r="H6812">
             </c>
      <c r="I6812" t="s">
        <v>14</v>
      </c>
      <c r="J6812" t="s">
        <v>141</v>
      </c>
      <c r="K6812" t="s">
        <v>14</v>
      </c>
      <c r="L6812" t="s">
        <v>20</v>
      </c>
      <c r="M6812" t="s">
        <v>13164</v>
      </c>
      <c r="N6812" t="s">
        <v>14</v>
      </c>
    </row>
    <row r="6813" x14ac:dyDescent="0.25">
      <c r="A6813" t="n">
        <v>25</v>
      </c>
      <c r="B6813" t="s">
        <v>14</v>
      </c>
      <c r="C6813" t="s">
        <v>22</v>
      </c>
      <c r="D6813" s="2" t="s">
        <f>=HYPERLINK("https://main.knesset.gov.il/APPS/legislation/main/bills/2196988", "הצעת חוק הביטוח הלאומי (תיקון - מענק לידה אחיד מילד שני ואילך), התשפ""ג-2022")</f>
        <v>13294</v>
      </c>
      <c r="E6813" t="s">
        <v>13294</v>
      </c>
      <c r="F6813" t="s">
        <v>13295</v>
      </c>
      <c r="G6813" t="s">
        <v>14</v>
      </c>
      <c r="H6813">
             </c>
      <c r="I6813" t="s">
        <v>14</v>
      </c>
      <c r="J6813" t="s">
        <v>141</v>
      </c>
      <c r="K6813" t="s">
        <v>14</v>
      </c>
      <c r="L6813" t="s">
        <v>20</v>
      </c>
      <c r="M6813" t="s">
        <v>13164</v>
      </c>
      <c r="N6813" t="s">
        <v>14</v>
      </c>
    </row>
    <row r="6814" x14ac:dyDescent="0.25">
      <c r="A6814" t="n">
        <v>25</v>
      </c>
      <c r="B6814" t="s">
        <v>14</v>
      </c>
      <c r="C6814" t="s">
        <v>22</v>
      </c>
      <c r="D6814" s="2" t="s">
        <f>=HYPERLINK("https://main.knesset.gov.il/APPS/legislation/main/bills/2196978", "הצעת חוק כביש אגרה (כביש ארצי לישראל) (תיקון - הפחתת ריבית פיגורים על חוב חלוט), התשפ""ג-2022")</f>
        <v>13296</v>
      </c>
      <c r="E6814" t="s">
        <v>13296</v>
      </c>
      <c r="F6814" t="s">
        <v>13297</v>
      </c>
      <c r="G6814" t="s">
        <v>14</v>
      </c>
      <c r="H6814">
             </c>
      <c r="I6814" t="s">
        <v>14</v>
      </c>
      <c r="J6814" t="s">
        <v>141</v>
      </c>
      <c r="K6814" t="s">
        <v>14</v>
      </c>
      <c r="L6814" t="s">
        <v>20</v>
      </c>
      <c r="M6814" t="s">
        <v>13164</v>
      </c>
      <c r="N6814" t="s">
        <v>14</v>
      </c>
    </row>
    <row r="6815" x14ac:dyDescent="0.25">
      <c r="A6815" t="n">
        <v>25</v>
      </c>
      <c r="B6815" t="s">
        <v>14</v>
      </c>
      <c r="C6815" t="s">
        <v>22</v>
      </c>
      <c r="D6815" s="2" t="s">
        <f>=HYPERLINK("https://main.knesset.gov.il/APPS/legislation/main/bills/2196959", "הצעת חוק הפעלת תחבורה ציבורית ביום המנוחה השבועי, התשפ""ג-2022")</f>
        <v>13298</v>
      </c>
      <c r="E6815" t="s">
        <v>13298</v>
      </c>
      <c r="F6815" t="s">
        <v>13299</v>
      </c>
      <c r="G6815" t="s">
        <v>14</v>
      </c>
      <c r="H6815">
             </c>
      <c r="I6815" t="s">
        <v>14</v>
      </c>
      <c r="J6815" t="s">
        <v>141</v>
      </c>
      <c r="K6815" t="s">
        <v>14</v>
      </c>
      <c r="L6815" t="s">
        <v>20</v>
      </c>
      <c r="M6815" t="s">
        <v>13164</v>
      </c>
      <c r="N6815" t="s">
        <v>14</v>
      </c>
    </row>
    <row r="6816" x14ac:dyDescent="0.25">
      <c r="A6816" t="n">
        <v>25</v>
      </c>
      <c r="B6816" t="s">
        <v>14</v>
      </c>
      <c r="C6816" t="s">
        <v>22</v>
      </c>
      <c r="D6816" s="2" t="s">
        <f>=HYPERLINK("https://main.knesset.gov.il/APPS/legislation/main/bills/2196949", "הצעת חוק העונשין (תיקון - עונש מזערי בגין יידוי או ירי של אבן או חפץ אחר לעבר כלי תחבורה), התשפ""ג-2022")</f>
        <v>13300</v>
      </c>
      <c r="E6816" t="s">
        <v>13300</v>
      </c>
      <c r="F6816" t="s">
        <v>13301</v>
      </c>
      <c r="G6816" t="s">
        <v>14</v>
      </c>
      <c r="H6816">
             </c>
      <c r="I6816" t="s">
        <v>14</v>
      </c>
      <c r="J6816" t="s">
        <v>141</v>
      </c>
      <c r="K6816" t="s">
        <v>14</v>
      </c>
      <c r="L6816" t="s">
        <v>20</v>
      </c>
      <c r="M6816" t="s">
        <v>13164</v>
      </c>
      <c r="N6816" t="s">
        <v>14</v>
      </c>
    </row>
    <row r="6817" x14ac:dyDescent="0.25">
      <c r="A6817" t="n">
        <v>25</v>
      </c>
      <c r="B6817" t="s">
        <v>14</v>
      </c>
      <c r="C6817" t="s">
        <v>22</v>
      </c>
      <c r="D6817" s="2" t="s">
        <f>=HYPERLINK("https://main.knesset.gov.il/APPS/legislation/main/bills/2196178", "הצעת חוק לתיקון פקודת התעבורה (איסור עישון ברכב שנמצא בו קטין שטרם מלאו לו 15 שנים), התשפ""ג-2022")</f>
        <v>13302</v>
      </c>
      <c r="E6817" t="s">
        <v>13302</v>
      </c>
      <c r="F6817" t="s">
        <v>13303</v>
      </c>
      <c r="G6817" t="s">
        <v>14</v>
      </c>
      <c r="H6817">
             </c>
      <c r="I6817" t="s">
        <v>14</v>
      </c>
      <c r="J6817" t="s">
        <v>141</v>
      </c>
      <c r="K6817" t="s">
        <v>14</v>
      </c>
      <c r="L6817" t="s">
        <v>20</v>
      </c>
      <c r="M6817" t="s">
        <v>13164</v>
      </c>
      <c r="N6817" t="s">
        <v>14</v>
      </c>
    </row>
    <row r="6818" x14ac:dyDescent="0.25">
      <c r="A6818" t="n">
        <v>25</v>
      </c>
      <c r="B6818" t="s">
        <v>14</v>
      </c>
      <c r="C6818" t="s">
        <v>22</v>
      </c>
      <c r="D6818" s="2" t="s">
        <f>=HYPERLINK("https://main.knesset.gov.il/APPS/legislation/main/bills/2197132", "הצעת חוק שכר ותנאי עבודה לנהגי תחבורה ציבורית, התשפ""ג-2022")</f>
        <v>13304</v>
      </c>
      <c r="E6818" t="s">
        <v>13304</v>
      </c>
      <c r="F6818" t="s">
        <v>13305</v>
      </c>
      <c r="G6818" t="s">
        <v>14</v>
      </c>
      <c r="H6818">
             </c>
      <c r="I6818" t="s">
        <v>14</v>
      </c>
      <c r="J6818" t="s">
        <v>141</v>
      </c>
      <c r="K6818" t="s">
        <v>14</v>
      </c>
      <c r="L6818" t="s">
        <v>20</v>
      </c>
      <c r="M6818" t="s">
        <v>13164</v>
      </c>
      <c r="N6818" t="s">
        <v>14</v>
      </c>
    </row>
    <row r="6819" x14ac:dyDescent="0.25">
      <c r="A6819" t="n">
        <v>25</v>
      </c>
      <c r="B6819" t="s">
        <v>14</v>
      </c>
      <c r="C6819" t="s">
        <v>22</v>
      </c>
      <c r="D6819" s="2" t="s">
        <f>=HYPERLINK("https://main.knesset.gov.il/APPS/legislation/main/bills/2197122", "הצעת חוק הבנקאות (שירות ללקוח) (תיקון - מועדי החזר של הלוואה לדיור), התשפ""ג-2022")</f>
        <v>13306</v>
      </c>
      <c r="E6819" t="s">
        <v>13306</v>
      </c>
      <c r="F6819" t="s">
        <v>13307</v>
      </c>
      <c r="G6819" t="s">
        <v>14</v>
      </c>
      <c r="H6819">
             </c>
      <c r="I6819" t="s">
        <v>14</v>
      </c>
      <c r="J6819" t="s">
        <v>141</v>
      </c>
      <c r="K6819" t="s">
        <v>14</v>
      </c>
      <c r="L6819" t="s">
        <v>20</v>
      </c>
      <c r="M6819" t="s">
        <v>13164</v>
      </c>
      <c r="N6819" t="s">
        <v>14</v>
      </c>
    </row>
    <row r="6820" x14ac:dyDescent="0.25">
      <c r="A6820" t="n">
        <v>25</v>
      </c>
      <c r="B6820" t="s">
        <v>14</v>
      </c>
      <c r="C6820" t="s">
        <v>22</v>
      </c>
      <c r="D6820" s="2" t="s">
        <f>=HYPERLINK("https://main.knesset.gov.il/APPS/legislation/main/bills/2196590", "הצעת חוק חוזה הביטוח (תיקון - ביטוח דירה), התשפ""ג-2022")</f>
        <v>13308</v>
      </c>
      <c r="E6820" t="s">
        <v>13308</v>
      </c>
      <c r="F6820" t="s">
        <v>13309</v>
      </c>
      <c r="G6820" t="s">
        <v>14</v>
      </c>
      <c r="H6820">
             </c>
      <c r="I6820" t="s">
        <v>14</v>
      </c>
      <c r="J6820" t="s">
        <v>141</v>
      </c>
      <c r="K6820" t="s">
        <v>14</v>
      </c>
      <c r="L6820" t="s">
        <v>20</v>
      </c>
      <c r="M6820" t="s">
        <v>13164</v>
      </c>
      <c r="N6820" t="s">
        <v>14</v>
      </c>
    </row>
    <row r="6821" x14ac:dyDescent="0.25">
      <c r="A6821" t="n">
        <v>25</v>
      </c>
      <c r="B6821" t="s">
        <v>14</v>
      </c>
      <c r="C6821" t="s">
        <v>22</v>
      </c>
      <c r="D6821" s="2" t="s">
        <f>=HYPERLINK("https://main.knesset.gov.il/APPS/legislation/main/bills/2196807", "הצעת חוק הסכמים קיבוציים (תיקון - ביטול גביית דמי טיפול ארגוני-מקצועי), התשפ""ג-2022")</f>
        <v>13310</v>
      </c>
      <c r="E6821" t="s">
        <v>13310</v>
      </c>
      <c r="F6821" t="s">
        <v>13311</v>
      </c>
      <c r="G6821" t="s">
        <v>14</v>
      </c>
      <c r="H6821">
             </c>
      <c r="I6821" t="s">
        <v>14</v>
      </c>
      <c r="J6821" t="s">
        <v>141</v>
      </c>
      <c r="K6821" t="s">
        <v>14</v>
      </c>
      <c r="L6821" t="s">
        <v>20</v>
      </c>
      <c r="M6821" t="s">
        <v>13164</v>
      </c>
      <c r="N6821" t="s">
        <v>14</v>
      </c>
    </row>
    <row r="6822" x14ac:dyDescent="0.25">
      <c r="A6822" t="n">
        <v>25</v>
      </c>
      <c r="B6822" t="s">
        <v>14</v>
      </c>
      <c r="C6822" t="s">
        <v>22</v>
      </c>
      <c r="D6822" s="2" t="s">
        <f>=HYPERLINK("https://main.knesset.gov.il/APPS/legislation/main/bills/2196804", "הצעת חוק הביטוח הלאומי (תיקון - תוספת דמי אבטלה למי שמתחת לגיל 28 עם ילד אחד לפחות), התשפ""ג-2022 ")</f>
        <v>13312</v>
      </c>
      <c r="E6822" t="s">
        <v>13312</v>
      </c>
      <c r="F6822" t="s">
        <v>13313</v>
      </c>
      <c r="G6822" t="s">
        <v>14</v>
      </c>
      <c r="H6822">
             </c>
      <c r="I6822" t="s">
        <v>14</v>
      </c>
      <c r="J6822" t="s">
        <v>141</v>
      </c>
      <c r="K6822" t="s">
        <v>14</v>
      </c>
      <c r="L6822" t="s">
        <v>20</v>
      </c>
      <c r="M6822" t="s">
        <v>13164</v>
      </c>
      <c r="N6822" t="s">
        <v>14</v>
      </c>
    </row>
    <row r="6823" x14ac:dyDescent="0.25">
      <c r="A6823" t="n">
        <v>25</v>
      </c>
      <c r="B6823" t="s">
        <v>14</v>
      </c>
      <c r="C6823" t="s">
        <v>22</v>
      </c>
      <c r="D6823" s="2" t="s">
        <f>=HYPERLINK("https://main.knesset.gov.il/APPS/legislation/main/bills/2196799", "הצעת חוק בתי המשפט (תיקון - תקופת צינון לפני מינוי), התשפ""ג-2022")</f>
        <v>13314</v>
      </c>
      <c r="E6823" t="s">
        <v>13314</v>
      </c>
      <c r="F6823" t="s">
        <v>13315</v>
      </c>
      <c r="G6823" t="s">
        <v>14</v>
      </c>
      <c r="H6823">
             </c>
      <c r="I6823" t="s">
        <v>14</v>
      </c>
      <c r="J6823" t="s">
        <v>141</v>
      </c>
      <c r="K6823" t="s">
        <v>14</v>
      </c>
      <c r="L6823" t="s">
        <v>20</v>
      </c>
      <c r="M6823" t="s">
        <v>13164</v>
      </c>
      <c r="N6823" t="s">
        <v>14</v>
      </c>
    </row>
    <row r="6824" x14ac:dyDescent="0.25">
      <c r="A6824" t="n">
        <v>25</v>
      </c>
      <c r="B6824" t="s">
        <v>14</v>
      </c>
      <c r="C6824" t="s">
        <v>22</v>
      </c>
      <c r="D6824" s="2" t="s">
        <f>=HYPERLINK("https://main.knesset.gov.il/APPS/legislation/main/bills/2195802", "הצעת חוק בנק ישראל (תיקון - פרטי שטרי כסף ומעות), התשפ""ג-2022")</f>
        <v>13316</v>
      </c>
      <c r="E6824" t="s">
        <v>13316</v>
      </c>
      <c r="F6824" t="s">
        <v>13317</v>
      </c>
      <c r="G6824" t="s">
        <v>14</v>
      </c>
      <c r="H6824">
             </c>
      <c r="I6824" t="s">
        <v>14</v>
      </c>
      <c r="J6824" t="s">
        <v>141</v>
      </c>
      <c r="K6824" t="s">
        <v>14</v>
      </c>
      <c r="L6824" t="s">
        <v>20</v>
      </c>
      <c r="M6824" t="s">
        <v>13164</v>
      </c>
      <c r="N6824" t="s">
        <v>14</v>
      </c>
    </row>
    <row r="6825" x14ac:dyDescent="0.25">
      <c r="A6825" t="n">
        <v>25</v>
      </c>
      <c r="B6825" t="s">
        <v>14</v>
      </c>
      <c r="C6825" t="s">
        <v>22</v>
      </c>
      <c r="D6825" s="2" t="s">
        <f>=HYPERLINK("https://main.knesset.gov.il/APPS/legislation/main/bills/2196850", "הצעת חוק מתן שירות בשפה הערבית בגופים ציבוריים ובגופים מסחריים, התשפ""ג-2022")</f>
        <v>13318</v>
      </c>
      <c r="E6825" t="s">
        <v>13318</v>
      </c>
      <c r="F6825" t="s">
        <v>13319</v>
      </c>
      <c r="G6825" t="s">
        <v>14</v>
      </c>
      <c r="H6825">
             </c>
      <c r="I6825" t="s">
        <v>14</v>
      </c>
      <c r="J6825" t="s">
        <v>141</v>
      </c>
      <c r="K6825" t="s">
        <v>14</v>
      </c>
      <c r="L6825" t="s">
        <v>20</v>
      </c>
      <c r="M6825" t="s">
        <v>13164</v>
      </c>
      <c r="N6825" t="s">
        <v>14</v>
      </c>
    </row>
    <row r="6826" x14ac:dyDescent="0.25">
      <c r="A6826" t="n">
        <v>25</v>
      </c>
      <c r="B6826" t="s">
        <v>14</v>
      </c>
      <c r="C6826" t="s">
        <v>22</v>
      </c>
      <c r="D6826" s="2" t="s">
        <f>=HYPERLINK("https://main.knesset.gov.il/APPS/legislation/main/bills/2196822", "הצעת חוק זכויות הסטודנט (תיקון - סיוע כלכלי בשעת חירום), התשפ""ג-2022")</f>
        <v>13320</v>
      </c>
      <c r="E6826" t="s">
        <v>13320</v>
      </c>
      <c r="F6826" t="s">
        <v>13321</v>
      </c>
      <c r="G6826" t="s">
        <v>14</v>
      </c>
      <c r="H6826">
             </c>
      <c r="I6826" t="s">
        <v>14</v>
      </c>
      <c r="J6826" t="s">
        <v>141</v>
      </c>
      <c r="K6826" t="s">
        <v>14</v>
      </c>
      <c r="L6826" t="s">
        <v>20</v>
      </c>
      <c r="M6826" t="s">
        <v>13164</v>
      </c>
      <c r="N6826" t="s">
        <v>14</v>
      </c>
    </row>
    <row r="6827" x14ac:dyDescent="0.25">
      <c r="A6827" t="n">
        <v>25</v>
      </c>
      <c r="B6827" t="s">
        <v>14</v>
      </c>
      <c r="C6827" t="s">
        <v>22</v>
      </c>
      <c r="D6827" s="2" t="s">
        <f>=HYPERLINK("https://main.knesset.gov.il/APPS/legislation/main/bills/2196785", "הצעת חוק הביטוח הלאומי (תיקון - השוואת קצבת נכות לשכר המינימום), התשפ""ג-2022")</f>
        <v>13322</v>
      </c>
      <c r="E6827" t="s">
        <v>13322</v>
      </c>
      <c r="F6827" t="s">
        <v>13323</v>
      </c>
      <c r="G6827" t="s">
        <v>14</v>
      </c>
      <c r="H6827">
             </c>
      <c r="I6827" t="s">
        <v>14</v>
      </c>
      <c r="J6827" t="s">
        <v>141</v>
      </c>
      <c r="K6827" t="s">
        <v>14</v>
      </c>
      <c r="L6827" t="s">
        <v>20</v>
      </c>
      <c r="M6827" t="s">
        <v>13164</v>
      </c>
      <c r="N6827" t="s">
        <v>14</v>
      </c>
    </row>
    <row r="6828" x14ac:dyDescent="0.25">
      <c r="A6828" t="n">
        <v>25</v>
      </c>
      <c r="B6828" t="s">
        <v>14</v>
      </c>
      <c r="C6828" t="s">
        <v>22</v>
      </c>
      <c r="D6828" s="2" t="s">
        <f>=HYPERLINK("https://main.knesset.gov.il/APPS/legislation/main/bills/2196635", "הצעת חוק לתיקון פקודת מס הכנסה (דיווח שנתי או חצי שנתי לסוגי נכסים), התשפ""ג-2022")</f>
        <v>13324</v>
      </c>
      <c r="E6828" t="s">
        <v>13324</v>
      </c>
      <c r="F6828" t="s">
        <v>13325</v>
      </c>
      <c r="G6828" t="s">
        <v>14</v>
      </c>
      <c r="H6828">
             </c>
      <c r="I6828" t="s">
        <v>14</v>
      </c>
      <c r="J6828" t="s">
        <v>141</v>
      </c>
      <c r="K6828" t="s">
        <v>14</v>
      </c>
      <c r="L6828" t="s">
        <v>20</v>
      </c>
      <c r="M6828" t="s">
        <v>13164</v>
      </c>
      <c r="N6828" t="s">
        <v>14</v>
      </c>
    </row>
    <row r="6829" x14ac:dyDescent="0.25">
      <c r="A6829" t="n">
        <v>25</v>
      </c>
      <c r="B6829" t="s">
        <v>14</v>
      </c>
      <c r="C6829" t="s">
        <v>22</v>
      </c>
      <c r="D6829" s="2" t="s">
        <f>=HYPERLINK("https://main.knesset.gov.il/APPS/legislation/main/bills/2196185", "הצעת חוק צער בעלי חיים (הגנה על בעלי חיים) (תיקון - איסור שימוש במלכודות דבק ומלכודות רגל, והחלת עבירות באזור יהודה והשומרון), התשפ""ג-2022")</f>
        <v>13326</v>
      </c>
      <c r="E6829" t="s">
        <v>13326</v>
      </c>
      <c r="F6829" t="s">
        <v>13327</v>
      </c>
      <c r="G6829" t="s">
        <v>14</v>
      </c>
      <c r="H6829">
             </c>
      <c r="I6829" t="s">
        <v>14</v>
      </c>
      <c r="J6829" t="s">
        <v>141</v>
      </c>
      <c r="K6829" t="s">
        <v>14</v>
      </c>
      <c r="L6829" t="s">
        <v>20</v>
      </c>
      <c r="M6829" t="s">
        <v>13164</v>
      </c>
      <c r="N6829" t="s">
        <v>14</v>
      </c>
    </row>
    <row r="6830" x14ac:dyDescent="0.25">
      <c r="A6830" t="n">
        <v>25</v>
      </c>
      <c r="B6830" t="s">
        <v>14</v>
      </c>
      <c r="C6830" t="s">
        <v>22</v>
      </c>
      <c r="D6830" s="2" t="s">
        <f>=HYPERLINK("https://main.knesset.gov.il/APPS/legislation/main/bills/2196728", "הצעת חוק מס ערך מוסף (תיקון - פטור ממס על תשר), התשפ""ג-2022")</f>
        <v>13328</v>
      </c>
      <c r="E6830" t="s">
        <v>13328</v>
      </c>
      <c r="F6830" t="s">
        <v>13329</v>
      </c>
      <c r="G6830" t="s">
        <v>14</v>
      </c>
      <c r="H6830">
             </c>
      <c r="I6830" t="s">
        <v>14</v>
      </c>
      <c r="J6830" t="s">
        <v>141</v>
      </c>
      <c r="K6830" t="s">
        <v>14</v>
      </c>
      <c r="L6830" t="s">
        <v>20</v>
      </c>
      <c r="M6830" t="s">
        <v>13164</v>
      </c>
      <c r="N6830" t="s">
        <v>14</v>
      </c>
    </row>
    <row r="6831" x14ac:dyDescent="0.25">
      <c r="A6831" t="n">
        <v>25</v>
      </c>
      <c r="B6831" t="s">
        <v>14</v>
      </c>
      <c r="C6831" t="s">
        <v>22</v>
      </c>
      <c r="D6831" s="2" t="s">
        <f>=HYPERLINK("https://main.knesset.gov.il/APPS/legislation/main/bills/2196248", "הצעת חוק למניעת העסקה של עובד הוראה התומך בטרור, התשפ""ג-2022")</f>
        <v>13330</v>
      </c>
      <c r="E6831" t="s">
        <v>13330</v>
      </c>
      <c r="F6831" t="s">
        <v>13331</v>
      </c>
      <c r="G6831" t="s">
        <v>14</v>
      </c>
      <c r="H6831">
             </c>
      <c r="I6831" t="s">
        <v>14</v>
      </c>
      <c r="J6831" t="s">
        <v>141</v>
      </c>
      <c r="K6831" t="s">
        <v>14</v>
      </c>
      <c r="L6831" t="s">
        <v>20</v>
      </c>
      <c r="M6831" t="s">
        <v>13164</v>
      </c>
      <c r="N6831" t="s">
        <v>14</v>
      </c>
    </row>
    <row r="6832" x14ac:dyDescent="0.25">
      <c r="A6832" t="n">
        <v>25</v>
      </c>
      <c r="B6832" t="s">
        <v>14</v>
      </c>
      <c r="C6832" t="s">
        <v>22</v>
      </c>
      <c r="D6832" s="2" t="s">
        <f>=HYPERLINK("https://main.knesset.gov.il/APPS/legislation/main/bills/2196693", "הצעת חוק דמי מחלה (היעדרות בשל מחלת ילד) (תיקון - היעדרות בעקבות פגיעה בעבירת מין או אלימות חמורה), התשפ""ג-2022")</f>
        <v>13332</v>
      </c>
      <c r="E6832" t="s">
        <v>13332</v>
      </c>
      <c r="F6832" t="s">
        <v>13333</v>
      </c>
      <c r="G6832" t="s">
        <v>14</v>
      </c>
      <c r="H6832">
             </c>
      <c r="I6832" t="s">
        <v>14</v>
      </c>
      <c r="J6832" t="s">
        <v>141</v>
      </c>
      <c r="K6832" t="s">
        <v>14</v>
      </c>
      <c r="L6832" t="s">
        <v>20</v>
      </c>
      <c r="M6832" t="s">
        <v>13164</v>
      </c>
      <c r="N6832" t="s">
        <v>14</v>
      </c>
    </row>
    <row r="6833" x14ac:dyDescent="0.25">
      <c r="A6833" t="n">
        <v>25</v>
      </c>
      <c r="B6833" t="s">
        <v>14</v>
      </c>
      <c r="C6833" t="s">
        <v>22</v>
      </c>
      <c r="D6833" s="2" t="s">
        <f>=HYPERLINK("https://main.knesset.gov.il/APPS/legislation/main/bills/2197303", "הצעת חוק העונשין (תיקון - הכנת פרסום בדבר שירותי זנות), התשפ""ג-2022")</f>
        <v>13334</v>
      </c>
      <c r="E6833" t="s">
        <v>13334</v>
      </c>
      <c r="F6833" t="s">
        <v>13335</v>
      </c>
      <c r="G6833" t="s">
        <v>14</v>
      </c>
      <c r="H6833">
             </c>
      <c r="I6833" t="s">
        <v>14</v>
      </c>
      <c r="J6833" t="s">
        <v>141</v>
      </c>
      <c r="K6833" t="s">
        <v>14</v>
      </c>
      <c r="L6833" t="s">
        <v>20</v>
      </c>
      <c r="M6833" t="s">
        <v>13164</v>
      </c>
      <c r="N6833" t="s">
        <v>14</v>
      </c>
    </row>
    <row r="6834" x14ac:dyDescent="0.25">
      <c r="A6834" t="n">
        <v>25</v>
      </c>
      <c r="B6834" t="s">
        <v>14</v>
      </c>
      <c r="C6834" t="s">
        <v>22</v>
      </c>
      <c r="D6834" s="2" t="s">
        <f>=HYPERLINK("https://main.knesset.gov.il/APPS/legislation/main/bills/2197089", "הצעת חוק שעות עבודה ומנוחה (תיקון - הגבלת שעות העסקה של מתמחה ברפואה), התשפ""ג-2022")</f>
        <v>13336</v>
      </c>
      <c r="E6834" t="s">
        <v>13336</v>
      </c>
      <c r="F6834" t="s">
        <v>13337</v>
      </c>
      <c r="G6834" t="s">
        <v>14</v>
      </c>
      <c r="H6834">
             </c>
      <c r="I6834" t="s">
        <v>14</v>
      </c>
      <c r="J6834" t="s">
        <v>141</v>
      </c>
      <c r="K6834" t="s">
        <v>14</v>
      </c>
      <c r="L6834" t="s">
        <v>20</v>
      </c>
      <c r="M6834" t="s">
        <v>13164</v>
      </c>
      <c r="N6834" t="s">
        <v>14</v>
      </c>
    </row>
    <row r="6835" x14ac:dyDescent="0.25">
      <c r="A6835" t="n">
        <v>25</v>
      </c>
      <c r="B6835" t="s">
        <v>14</v>
      </c>
      <c r="C6835" t="s">
        <v>22</v>
      </c>
      <c r="D6835" s="2" t="s">
        <f>=HYPERLINK("https://main.knesset.gov.il/APPS/legislation/main/bills/2197275", "הצעת חוק זכויות נפגעי עבירה (תיקון - זכאות בני משפחה), התשפ""ג-2022")</f>
        <v>13338</v>
      </c>
      <c r="E6835" t="s">
        <v>13338</v>
      </c>
      <c r="F6835" t="s">
        <v>13339</v>
      </c>
      <c r="G6835" t="s">
        <v>14</v>
      </c>
      <c r="H6835">
             </c>
      <c r="I6835" t="s">
        <v>14</v>
      </c>
      <c r="J6835" t="s">
        <v>141</v>
      </c>
      <c r="K6835" t="s">
        <v>14</v>
      </c>
      <c r="L6835" t="s">
        <v>20</v>
      </c>
      <c r="M6835" t="s">
        <v>13164</v>
      </c>
      <c r="N6835" t="s">
        <v>14</v>
      </c>
    </row>
    <row r="6836" x14ac:dyDescent="0.25">
      <c r="A6836" t="n">
        <v>25</v>
      </c>
      <c r="B6836" t="s">
        <v>14</v>
      </c>
      <c r="C6836" t="s">
        <v>22</v>
      </c>
      <c r="D6836" s="2" t="s">
        <f>=HYPERLINK("https://main.knesset.gov.il/APPS/legislation/main/bills/2196987", "הצעת חוק המאבק בשחיתות הציבורית - הרשעה בעבירה שיש עמה קלון (תיקוני חקיקה), התשפ""ג-2022")</f>
        <v>13340</v>
      </c>
      <c r="E6836" t="s">
        <v>13340</v>
      </c>
      <c r="F6836" t="s">
        <v>13341</v>
      </c>
      <c r="G6836" t="s">
        <v>14</v>
      </c>
      <c r="H6836">
             </c>
      <c r="I6836" t="s">
        <v>14</v>
      </c>
      <c r="J6836" t="s">
        <v>343</v>
      </c>
      <c r="K6836" t="s">
        <v>14</v>
      </c>
      <c r="L6836" t="s">
        <v>20</v>
      </c>
      <c r="M6836" t="s">
        <v>13164</v>
      </c>
      <c r="N6836" t="s">
        <v>14</v>
      </c>
    </row>
    <row r="6837" x14ac:dyDescent="0.25">
      <c r="A6837" t="n">
        <v>25</v>
      </c>
      <c r="B6837" t="s">
        <v>14</v>
      </c>
      <c r="C6837" t="s">
        <v>22</v>
      </c>
      <c r="D6837" s="2" t="s">
        <f>=HYPERLINK("https://main.knesset.gov.il/APPS/legislation/main/bills/2197082", "הצעת חוק פיקוח על מחירי מצרכים ושירותים (תיקון - פיקוח על מחיר לחם מלא), התשפ''ג-2022")</f>
        <v>13342</v>
      </c>
      <c r="E6837" t="s">
        <v>13342</v>
      </c>
      <c r="F6837" t="s">
        <v>13343</v>
      </c>
      <c r="G6837" t="s">
        <v>14</v>
      </c>
      <c r="H6837">
             </c>
      <c r="I6837" t="s">
        <v>14</v>
      </c>
      <c r="J6837" t="s">
        <v>141</v>
      </c>
      <c r="K6837" t="s">
        <v>14</v>
      </c>
      <c r="L6837" t="s">
        <v>20</v>
      </c>
      <c r="M6837" t="s">
        <v>13164</v>
      </c>
      <c r="N6837" t="s">
        <v>14</v>
      </c>
    </row>
    <row r="6838" x14ac:dyDescent="0.25">
      <c r="A6838" t="n">
        <v>25</v>
      </c>
      <c r="B6838" t="s">
        <v>14</v>
      </c>
      <c r="C6838" t="s">
        <v>22</v>
      </c>
      <c r="D6838" s="2" t="s">
        <f>=HYPERLINK("https://main.knesset.gov.il/APPS/legislation/main/bills/2196980", "הצעת חוק-יסוד: הממשלה (תיקון - סייג להטלת התפקיד להרכיב ממשלה)")</f>
        <v>13344</v>
      </c>
      <c r="E6838" t="s">
        <v>13344</v>
      </c>
      <c r="F6838" t="s">
        <v>13345</v>
      </c>
      <c r="G6838" t="s">
        <v>14</v>
      </c>
      <c r="H6838">
             </c>
      <c r="I6838" t="s">
        <v>14</v>
      </c>
      <c r="J6838" t="s">
        <v>141</v>
      </c>
      <c r="K6838" t="s">
        <v>14</v>
      </c>
      <c r="L6838" t="s">
        <v>20</v>
      </c>
      <c r="M6838" t="s">
        <v>13164</v>
      </c>
      <c r="N6838" t="s">
        <v>14</v>
      </c>
    </row>
    <row r="6839" x14ac:dyDescent="0.25">
      <c r="A6839" t="n">
        <v>25</v>
      </c>
      <c r="B6839" t="s">
        <v>14</v>
      </c>
      <c r="C6839" t="s">
        <v>22</v>
      </c>
      <c r="D6839" s="2" t="s">
        <f>=HYPERLINK("https://main.knesset.gov.il/APPS/legislation/main/bills/2197302", "הצעת חוק זכויות התלמיד (תיקון - איסור התניית זכות הלימוד בתשלום), התשפ""ג-2022")</f>
        <v>13346</v>
      </c>
      <c r="E6839" t="s">
        <v>13346</v>
      </c>
      <c r="F6839" t="s">
        <v>13347</v>
      </c>
      <c r="G6839" t="s">
        <v>14</v>
      </c>
      <c r="H6839">
             </c>
      <c r="I6839" t="s">
        <v>14</v>
      </c>
      <c r="J6839" t="s">
        <v>141</v>
      </c>
      <c r="K6839" t="s">
        <v>14</v>
      </c>
      <c r="L6839" t="s">
        <v>20</v>
      </c>
      <c r="M6839" t="s">
        <v>13164</v>
      </c>
      <c r="N6839" t="s">
        <v>14</v>
      </c>
    </row>
    <row r="6840" x14ac:dyDescent="0.25">
      <c r="A6840" t="n">
        <v>25</v>
      </c>
      <c r="B6840" t="s">
        <v>14</v>
      </c>
      <c r="C6840" t="s">
        <v>22</v>
      </c>
      <c r="D6840" s="2" t="s">
        <f>=HYPERLINK("https://main.knesset.gov.il/APPS/legislation/main/bills/2196974", "הצעת חוק לימוד חובה (תיקון - חובת לימודי ליבה), התשפ""ג-2022")</f>
        <v>13348</v>
      </c>
      <c r="E6840" t="s">
        <v>13348</v>
      </c>
      <c r="F6840" t="s">
        <v>13349</v>
      </c>
      <c r="G6840" t="s">
        <v>14</v>
      </c>
      <c r="H6840">
             </c>
      <c r="I6840" t="s">
        <v>14</v>
      </c>
      <c r="J6840" t="s">
        <v>141</v>
      </c>
      <c r="K6840" t="s">
        <v>14</v>
      </c>
      <c r="L6840" t="s">
        <v>20</v>
      </c>
      <c r="M6840" t="s">
        <v>13164</v>
      </c>
      <c r="N6840" t="s">
        <v>14</v>
      </c>
    </row>
    <row r="6841" x14ac:dyDescent="0.25">
      <c r="A6841" t="n">
        <v>25</v>
      </c>
      <c r="B6841" t="s">
        <v>14</v>
      </c>
      <c r="C6841" t="s">
        <v>22</v>
      </c>
      <c r="D6841" s="2" t="s">
        <f>=HYPERLINK("https://main.knesset.gov.il/APPS/legislation/main/bills/2197591", "הצעת חוק ביטוח בריאות ממלכתי (תיקון - צמצום פערים בין הפריפריה למרכז), התשפ""ג-2022")</f>
        <v>13350</v>
      </c>
      <c r="E6841" t="s">
        <v>13350</v>
      </c>
      <c r="F6841" t="s">
        <v>13351</v>
      </c>
      <c r="G6841" t="s">
        <v>14</v>
      </c>
      <c r="H6841">
             </c>
      <c r="I6841" t="s">
        <v>14</v>
      </c>
      <c r="J6841" t="s">
        <v>141</v>
      </c>
      <c r="K6841" t="s">
        <v>14</v>
      </c>
      <c r="L6841" t="s">
        <v>20</v>
      </c>
      <c r="M6841" t="s">
        <v>13164</v>
      </c>
      <c r="N6841" t="s">
        <v>14</v>
      </c>
    </row>
    <row r="6842" x14ac:dyDescent="0.25">
      <c r="A6842" t="n">
        <v>25</v>
      </c>
      <c r="B6842" t="s">
        <v>14</v>
      </c>
      <c r="C6842" t="s">
        <v>22</v>
      </c>
      <c r="D6842" s="2" t="s">
        <f>=HYPERLINK("https://main.knesset.gov.il/APPS/legislation/main/bills/2197593", "הצעת חוק הביטוח הלאומי (תיקון - הוספת ענפי ההסעדה והאבטחה ביישובי הגליל והנגב לרשימת העבודות המועדפות), התשפ""ג-2022")</f>
        <v>13352</v>
      </c>
      <c r="E6842" t="s">
        <v>13352</v>
      </c>
      <c r="F6842" t="s">
        <v>13353</v>
      </c>
      <c r="G6842" t="s">
        <v>14</v>
      </c>
      <c r="H6842">
             </c>
      <c r="I6842" t="s">
        <v>14</v>
      </c>
      <c r="J6842" t="s">
        <v>141</v>
      </c>
      <c r="K6842" t="s">
        <v>14</v>
      </c>
      <c r="L6842" t="s">
        <v>20</v>
      </c>
      <c r="M6842" t="s">
        <v>13164</v>
      </c>
      <c r="N6842" t="s">
        <v>14</v>
      </c>
    </row>
    <row r="6843" x14ac:dyDescent="0.25">
      <c r="A6843" t="n">
        <v>25</v>
      </c>
      <c r="B6843" t="s">
        <v>14</v>
      </c>
      <c r="C6843" t="s">
        <v>22</v>
      </c>
      <c r="D6843" s="2" t="s">
        <f>=HYPERLINK("https://main.knesset.gov.il/APPS/legislation/main/bills/2196951", "הצעת חוק שלילת תקצוב מוסדות חינוך המפלים תלמידים ברישום אליהם (תיקוני חקיקה), התשפ""ג-2022")</f>
        <v>13354</v>
      </c>
      <c r="E6843" t="s">
        <v>13354</v>
      </c>
      <c r="F6843" t="s">
        <v>13355</v>
      </c>
      <c r="G6843" t="s">
        <v>14</v>
      </c>
      <c r="H6843">
             </c>
      <c r="I6843" t="s">
        <v>14</v>
      </c>
      <c r="J6843" t="s">
        <v>141</v>
      </c>
      <c r="K6843" t="s">
        <v>14</v>
      </c>
      <c r="L6843" t="s">
        <v>20</v>
      </c>
      <c r="M6843" t="s">
        <v>13164</v>
      </c>
      <c r="N6843" t="s">
        <v>14</v>
      </c>
    </row>
    <row r="6844" x14ac:dyDescent="0.25">
      <c r="A6844" t="n">
        <v>25</v>
      </c>
      <c r="B6844" t="s">
        <v>14</v>
      </c>
      <c r="C6844" t="s">
        <v>22</v>
      </c>
      <c r="D6844" s="2" t="s">
        <f>=HYPERLINK("https://main.knesset.gov.il/APPS/legislation/main/bills/2196203", "הצעת חוק שירות ביטחון (תיקון - שוויון בנטל), התשפ""ג-2022")</f>
        <v>13356</v>
      </c>
      <c r="E6844" t="s">
        <v>13356</v>
      </c>
      <c r="F6844" t="s">
        <v>13357</v>
      </c>
      <c r="G6844" t="s">
        <v>14</v>
      </c>
      <c r="H6844">
             </c>
      <c r="I6844" t="s">
        <v>14</v>
      </c>
      <c r="J6844" t="s">
        <v>141</v>
      </c>
      <c r="K6844" t="s">
        <v>14</v>
      </c>
      <c r="L6844" t="s">
        <v>20</v>
      </c>
      <c r="M6844" t="s">
        <v>13164</v>
      </c>
      <c r="N6844" t="s">
        <v>14</v>
      </c>
    </row>
    <row r="6845" x14ac:dyDescent="0.25">
      <c r="A6845" t="n">
        <v>25</v>
      </c>
      <c r="B6845" t="s">
        <v>14</v>
      </c>
      <c r="C6845" t="s">
        <v>22</v>
      </c>
      <c r="D6845" s="2" t="s">
        <f>=HYPERLINK("https://main.knesset.gov.il/APPS/legislation/main/bills/2197127", "הצעת חוק תקופת לידה והורות להורים (תיקוני חקיקה), התשפ""ג-2022")</f>
        <v>13358</v>
      </c>
      <c r="E6845" t="s">
        <v>13358</v>
      </c>
      <c r="F6845" t="s">
        <v>13359</v>
      </c>
      <c r="G6845" t="s">
        <v>14</v>
      </c>
      <c r="H6845">
             </c>
      <c r="I6845" t="s">
        <v>14</v>
      </c>
      <c r="J6845" t="s">
        <v>141</v>
      </c>
      <c r="K6845" t="s">
        <v>14</v>
      </c>
      <c r="L6845" t="s">
        <v>20</v>
      </c>
      <c r="M6845" t="s">
        <v>13164</v>
      </c>
      <c r="N6845" t="s">
        <v>14</v>
      </c>
    </row>
    <row r="6846" x14ac:dyDescent="0.25">
      <c r="A6846" t="n">
        <v>25</v>
      </c>
      <c r="B6846" t="s">
        <v>14</v>
      </c>
      <c r="C6846" t="s">
        <v>22</v>
      </c>
      <c r="D6846" s="2" t="s">
        <f>=HYPERLINK("https://main.knesset.gov.il/APPS/legislation/main/bills/2196803", "הצעת חוק התכנון והבנייה (תיקון מס' 116) (תיקון - ביטול החוק), התשפ""ג-2022")</f>
        <v>12989</v>
      </c>
      <c r="E6846" t="s">
        <v>12989</v>
      </c>
      <c r="F6846" t="s">
        <v>13360</v>
      </c>
      <c r="G6846" t="s">
        <v>14</v>
      </c>
      <c r="H6846">
             </c>
      <c r="I6846" t="s">
        <v>14</v>
      </c>
      <c r="J6846" t="s">
        <v>141</v>
      </c>
      <c r="K6846" t="s">
        <v>14</v>
      </c>
      <c r="L6846" t="s">
        <v>20</v>
      </c>
      <c r="M6846" t="s">
        <v>13164</v>
      </c>
      <c r="N6846" t="s">
        <v>14</v>
      </c>
    </row>
    <row r="6847" x14ac:dyDescent="0.25">
      <c r="A6847" t="n">
        <v>25</v>
      </c>
      <c r="B6847" t="s">
        <v>14</v>
      </c>
      <c r="C6847" t="s">
        <v>22</v>
      </c>
      <c r="D6847" s="2" t="s">
        <f>=HYPERLINK("https://main.knesset.gov.il/APPS/legislation/main/bills/2196790", "הצעת חוק-יסוד: הממשלה (תיקון - הגבלת תקופת כהונה של ראש הממשלה)")</f>
        <v>12182</v>
      </c>
      <c r="E6847" t="s">
        <v>12182</v>
      </c>
      <c r="F6847" t="s">
        <v>13361</v>
      </c>
      <c r="G6847" t="s">
        <v>14</v>
      </c>
      <c r="H6847">
             </c>
      <c r="I6847" t="s">
        <v>14</v>
      </c>
      <c r="J6847" t="s">
        <v>141</v>
      </c>
      <c r="K6847" t="s">
        <v>14</v>
      </c>
      <c r="L6847" t="s">
        <v>20</v>
      </c>
      <c r="M6847" t="s">
        <v>13164</v>
      </c>
      <c r="N6847" t="s">
        <v>14</v>
      </c>
    </row>
    <row r="6848" x14ac:dyDescent="0.25">
      <c r="A6848" t="n">
        <v>25</v>
      </c>
      <c r="B6848" t="s">
        <v>14</v>
      </c>
      <c r="C6848" t="s">
        <v>22</v>
      </c>
      <c r="D6848" s="2" t="s">
        <f>=HYPERLINK("https://main.knesset.gov.il/APPS/legislation/main/bills/2197266", "הצעת חוק הצבת מכשירי החייאה במקומות ציבוריים (תיקון - צעדים ליישום מיטבי של החוק), התשפ""ג-2022")</f>
        <v>13362</v>
      </c>
      <c r="E6848" t="s">
        <v>13362</v>
      </c>
      <c r="F6848" t="s">
        <v>13363</v>
      </c>
      <c r="G6848" t="s">
        <v>14</v>
      </c>
      <c r="H6848">
             </c>
      <c r="I6848" t="s">
        <v>14</v>
      </c>
      <c r="J6848" t="s">
        <v>141</v>
      </c>
      <c r="K6848" t="s">
        <v>14</v>
      </c>
      <c r="L6848" t="s">
        <v>20</v>
      </c>
      <c r="M6848" t="s">
        <v>13164</v>
      </c>
      <c r="N6848" t="s">
        <v>14</v>
      </c>
    </row>
    <row r="6849" x14ac:dyDescent="0.25">
      <c r="A6849" t="n">
        <v>25</v>
      </c>
      <c r="B6849" t="s">
        <v>14</v>
      </c>
      <c r="C6849" t="s">
        <v>22</v>
      </c>
      <c r="D6849" s="2" t="s">
        <f>=HYPERLINK("https://main.knesset.gov.il/APPS/legislation/main/bills/2196780", "הצעת חוק הביטוח הלאומי (תיקון - העלאת קצבת הילדים), התשפ""ג-2022")</f>
        <v>13364</v>
      </c>
      <c r="E6849" t="s">
        <v>13364</v>
      </c>
      <c r="F6849" t="s">
        <v>13365</v>
      </c>
      <c r="G6849" t="s">
        <v>14</v>
      </c>
      <c r="H6849">
             </c>
      <c r="I6849" t="s">
        <v>14</v>
      </c>
      <c r="J6849" t="s">
        <v>141</v>
      </c>
      <c r="K6849" t="s">
        <v>14</v>
      </c>
      <c r="L6849" t="s">
        <v>20</v>
      </c>
      <c r="M6849" t="s">
        <v>13164</v>
      </c>
      <c r="N6849" t="s">
        <v>14</v>
      </c>
    </row>
    <row r="6850" x14ac:dyDescent="0.25">
      <c r="A6850" t="n">
        <v>25</v>
      </c>
      <c r="B6850" t="s">
        <v>14</v>
      </c>
      <c r="C6850" t="s">
        <v>22</v>
      </c>
      <c r="D6850" s="2" t="s">
        <f>=HYPERLINK("https://main.knesset.gov.il/APPS/legislation/main/bills/2196917", "הצעת חוק הממשלה (תיקון - חוות דעת של רשות ציבורית בענייני חקיקה), התשפ""ג-2022")</f>
        <v>13366</v>
      </c>
      <c r="E6850" t="s">
        <v>13366</v>
      </c>
      <c r="F6850" t="s">
        <v>13367</v>
      </c>
      <c r="G6850" t="s">
        <v>14</v>
      </c>
      <c r="H6850">
             </c>
      <c r="I6850" t="s">
        <v>14</v>
      </c>
      <c r="J6850" t="s">
        <v>141</v>
      </c>
      <c r="K6850" t="s">
        <v>14</v>
      </c>
      <c r="L6850" t="s">
        <v>20</v>
      </c>
      <c r="M6850" t="s">
        <v>13164</v>
      </c>
      <c r="N6850" t="s">
        <v>14</v>
      </c>
    </row>
    <row r="6851" x14ac:dyDescent="0.25">
      <c r="A6851" t="n">
        <v>25</v>
      </c>
      <c r="B6851" t="s">
        <v>14</v>
      </c>
      <c r="C6851" t="s">
        <v>22</v>
      </c>
      <c r="D6851" s="2" t="s">
        <f>=HYPERLINK("https://main.knesset.gov.il/APPS/legislation/main/bills/2197193", "הצעת חוק התכנון והבנייה (תיקון - חלף היטל השבחה), התשפ""ג-2022")</f>
        <v>13368</v>
      </c>
      <c r="E6851" t="s">
        <v>13368</v>
      </c>
      <c r="F6851" t="s">
        <v>13369</v>
      </c>
      <c r="G6851" t="s">
        <v>14</v>
      </c>
      <c r="H6851">
             </c>
      <c r="I6851" t="s">
        <v>14</v>
      </c>
      <c r="J6851" t="s">
        <v>141</v>
      </c>
      <c r="K6851" t="s">
        <v>14</v>
      </c>
      <c r="L6851" t="s">
        <v>20</v>
      </c>
      <c r="M6851" t="s">
        <v>13164</v>
      </c>
      <c r="N6851" t="s">
        <v>14</v>
      </c>
    </row>
    <row r="6852" x14ac:dyDescent="0.25">
      <c r="A6852" t="n">
        <v>25</v>
      </c>
      <c r="B6852" t="s">
        <v>14</v>
      </c>
      <c r="C6852" t="s">
        <v>22</v>
      </c>
      <c r="D6852" s="2" t="s">
        <f>=HYPERLINK("https://main.knesset.gov.il/APPS/legislation/main/bills/2197670", "הצעת חוק איסור מכירת קמינים ושימוש בהם, התשפ""ג-2022")</f>
        <v>13370</v>
      </c>
      <c r="E6852" t="s">
        <v>13370</v>
      </c>
      <c r="F6852" t="s">
        <v>13371</v>
      </c>
      <c r="G6852" t="s">
        <v>14</v>
      </c>
      <c r="H6852">
             </c>
      <c r="I6852" t="s">
        <v>14</v>
      </c>
      <c r="J6852" t="s">
        <v>141</v>
      </c>
      <c r="K6852" t="s">
        <v>14</v>
      </c>
      <c r="L6852" t="s">
        <v>20</v>
      </c>
      <c r="M6852" t="s">
        <v>13164</v>
      </c>
      <c r="N6852" t="s">
        <v>14</v>
      </c>
    </row>
    <row r="6853" x14ac:dyDescent="0.25">
      <c r="A6853" t="n">
        <v>25</v>
      </c>
      <c r="B6853" t="s">
        <v>14</v>
      </c>
      <c r="C6853" t="s">
        <v>22</v>
      </c>
      <c r="D6853" s="2" t="s">
        <f>=HYPERLINK("https://main.knesset.gov.il/APPS/legislation/main/bills/2197063", "הצעת חוק לשכת עורכי הדין (תיקון - הגבלת שכר טרחה על מכתבי התראה לפני גביית חוב), התשפ""ג-2022")</f>
        <v>13372</v>
      </c>
      <c r="E6853" t="s">
        <v>13372</v>
      </c>
      <c r="F6853" t="s">
        <v>13373</v>
      </c>
      <c r="G6853" t="s">
        <v>14</v>
      </c>
      <c r="H6853">
             </c>
      <c r="I6853" t="s">
        <v>14</v>
      </c>
      <c r="J6853" t="s">
        <v>141</v>
      </c>
      <c r="K6853" t="s">
        <v>14</v>
      </c>
      <c r="L6853" t="s">
        <v>20</v>
      </c>
      <c r="M6853" t="s">
        <v>13164</v>
      </c>
      <c r="N6853" t="s">
        <v>14</v>
      </c>
    </row>
    <row r="6854" x14ac:dyDescent="0.25">
      <c r="A6854" t="n">
        <v>25</v>
      </c>
      <c r="B6854" t="s">
        <v>14</v>
      </c>
      <c r="C6854" t="s">
        <v>22</v>
      </c>
      <c r="D6854" s="2" t="s">
        <f>=HYPERLINK("https://main.knesset.gov.il/APPS/legislation/main/bills/2197666", "הצעת חוק לצמצום השימוש בשקיות נשיאה חד-פעמיות (תיקון - היטל על שקית נשיאה חד-פעמית), התשפ""ג-2022")</f>
        <v>13374</v>
      </c>
      <c r="E6854" t="s">
        <v>13374</v>
      </c>
      <c r="F6854" t="s">
        <v>13375</v>
      </c>
      <c r="G6854" t="s">
        <v>14</v>
      </c>
      <c r="H6854">
             </c>
      <c r="I6854" t="s">
        <v>14</v>
      </c>
      <c r="J6854" t="s">
        <v>141</v>
      </c>
      <c r="K6854" t="s">
        <v>14</v>
      </c>
      <c r="L6854" t="s">
        <v>20</v>
      </c>
      <c r="M6854" t="s">
        <v>13164</v>
      </c>
      <c r="N6854" t="s">
        <v>14</v>
      </c>
    </row>
    <row r="6855" x14ac:dyDescent="0.25">
      <c r="A6855" t="n">
        <v>25</v>
      </c>
      <c r="B6855" t="s">
        <v>14</v>
      </c>
      <c r="C6855" t="s">
        <v>22</v>
      </c>
      <c r="D6855" s="2" t="s">
        <f>=HYPERLINK("https://main.knesset.gov.il/APPS/legislation/main/bills/2195952", "הצעת חוק שיווי זכויות האישה (תיקון - תחולה), התשפ""ג-2022")</f>
        <v>13376</v>
      </c>
      <c r="E6855" t="s">
        <v>13376</v>
      </c>
      <c r="F6855" t="s">
        <v>13377</v>
      </c>
      <c r="G6855" t="s">
        <v>14</v>
      </c>
      <c r="H6855">
             </c>
      <c r="I6855" t="s">
        <v>14</v>
      </c>
      <c r="J6855" t="s">
        <v>141</v>
      </c>
      <c r="K6855" t="s">
        <v>14</v>
      </c>
      <c r="L6855" t="s">
        <v>20</v>
      </c>
      <c r="M6855" t="s">
        <v>13164</v>
      </c>
      <c r="N6855" t="s">
        <v>14</v>
      </c>
    </row>
    <row r="6856" x14ac:dyDescent="0.25">
      <c r="A6856" t="n">
        <v>25</v>
      </c>
      <c r="B6856" t="s">
        <v>14</v>
      </c>
      <c r="C6856" t="s">
        <v>22</v>
      </c>
      <c r="D6856" s="2" t="s">
        <f>=HYPERLINK("https://main.knesset.gov.il/APPS/legislation/main/bills/2197048", "הצעת חוק הכללת חוב עונשי בהפטר (תיקוני חקיקה), התשפ""ג-2022")</f>
        <v>13378</v>
      </c>
      <c r="E6856" t="s">
        <v>13378</v>
      </c>
      <c r="F6856" t="s">
        <v>13379</v>
      </c>
      <c r="G6856" t="s">
        <v>14</v>
      </c>
      <c r="H6856">
             </c>
      <c r="I6856" t="s">
        <v>14</v>
      </c>
      <c r="J6856" t="s">
        <v>141</v>
      </c>
      <c r="K6856" t="s">
        <v>14</v>
      </c>
      <c r="L6856" t="s">
        <v>20</v>
      </c>
      <c r="M6856" t="s">
        <v>13164</v>
      </c>
      <c r="N6856" t="s">
        <v>14</v>
      </c>
    </row>
    <row r="6857" x14ac:dyDescent="0.25">
      <c r="A6857" t="n">
        <v>25</v>
      </c>
      <c r="B6857" t="s">
        <v>14</v>
      </c>
      <c r="C6857" t="s">
        <v>22</v>
      </c>
      <c r="D6857" s="2" t="s">
        <f>=HYPERLINK("https://main.knesset.gov.il/APPS/legislation/main/bills/2197037", "הצעת חוק השמירה על המקומות הקדושים (תיקון - שמירה על הכותל המערבי, הר הבית ומערת המכפלה), התשפ""ג-2022")</f>
        <v>13380</v>
      </c>
      <c r="E6857" t="s">
        <v>13380</v>
      </c>
      <c r="F6857" t="s">
        <v>13381</v>
      </c>
      <c r="G6857" t="s">
        <v>14</v>
      </c>
      <c r="H6857">
             </c>
      <c r="I6857" t="s">
        <v>14</v>
      </c>
      <c r="J6857" t="s">
        <v>141</v>
      </c>
      <c r="K6857" t="s">
        <v>14</v>
      </c>
      <c r="L6857" t="s">
        <v>20</v>
      </c>
      <c r="M6857" t="s">
        <v>13164</v>
      </c>
      <c r="N6857" t="s">
        <v>14</v>
      </c>
    </row>
    <row r="6858" x14ac:dyDescent="0.25">
      <c r="A6858" t="n">
        <v>25</v>
      </c>
      <c r="B6858" t="s">
        <v>14</v>
      </c>
      <c r="C6858" t="s">
        <v>22</v>
      </c>
      <c r="D6858" s="2" t="s">
        <f>=HYPERLINK("https://main.knesset.gov.il/APPS/legislation/main/bills/2197183", "הצעת חוק הגנת הפרטיות (תיקון - מניעת פרסום פרטיו של אדם שנהרג או נפגע ברבים בטרם נמסרה הודעה למשפחה), התשפ""ג-2022")</f>
        <v>13382</v>
      </c>
      <c r="E6858" t="s">
        <v>13382</v>
      </c>
      <c r="F6858" t="s">
        <v>13383</v>
      </c>
      <c r="G6858" t="s">
        <v>14</v>
      </c>
      <c r="H6858">
             </c>
      <c r="I6858" t="s">
        <v>14</v>
      </c>
      <c r="J6858" t="s">
        <v>343</v>
      </c>
      <c r="K6858" t="s">
        <v>14</v>
      </c>
      <c r="L6858" t="s">
        <v>20</v>
      </c>
      <c r="M6858" t="s">
        <v>13164</v>
      </c>
      <c r="N6858" t="s">
        <v>14</v>
      </c>
    </row>
    <row r="6859" x14ac:dyDescent="0.25">
      <c r="A6859" t="n">
        <v>25</v>
      </c>
      <c r="B6859" t="s">
        <v>14</v>
      </c>
      <c r="C6859" t="s">
        <v>22</v>
      </c>
      <c r="D6859" s="2" t="s">
        <f>=HYPERLINK("https://main.knesset.gov.il/APPS/legislation/main/bills/2197240", "הצעת חוק הגנת הצרכן (תיקון - הגבלות על מכירה מיוחדת), התשפ""ג-2022")</f>
        <v>13384</v>
      </c>
      <c r="E6859" t="s">
        <v>13384</v>
      </c>
      <c r="F6859" t="s">
        <v>13385</v>
      </c>
      <c r="G6859" t="s">
        <v>14</v>
      </c>
      <c r="H6859">
             </c>
      <c r="I6859" t="s">
        <v>14</v>
      </c>
      <c r="J6859" t="s">
        <v>141</v>
      </c>
      <c r="K6859" t="s">
        <v>14</v>
      </c>
      <c r="L6859" t="s">
        <v>20</v>
      </c>
      <c r="M6859" t="s">
        <v>13164</v>
      </c>
      <c r="N6859" t="s">
        <v>14</v>
      </c>
    </row>
    <row r="6860" x14ac:dyDescent="0.25">
      <c r="A6860" t="n">
        <v>25</v>
      </c>
      <c r="B6860" t="s">
        <v>14</v>
      </c>
      <c r="C6860" t="s">
        <v>22</v>
      </c>
      <c r="D6860" s="2" t="s">
        <f>=HYPERLINK("https://main.knesset.gov.il/APPS/legislation/main/bills/2196911", "הצעת חוק שוויון ההזדמנויות בעבודה (תיקון - איסור הפליה מחמת מצב כלכלי), התשפ""ג-2022")</f>
        <v>13386</v>
      </c>
      <c r="E6860" t="s">
        <v>13386</v>
      </c>
      <c r="F6860" t="s">
        <v>13387</v>
      </c>
      <c r="G6860" t="s">
        <v>14</v>
      </c>
      <c r="H6860">
             </c>
      <c r="I6860" t="s">
        <v>14</v>
      </c>
      <c r="J6860" t="s">
        <v>141</v>
      </c>
      <c r="K6860" t="s">
        <v>14</v>
      </c>
      <c r="L6860" t="s">
        <v>20</v>
      </c>
      <c r="M6860" t="s">
        <v>13164</v>
      </c>
      <c r="N6860" t="s">
        <v>14</v>
      </c>
    </row>
    <row r="6861" x14ac:dyDescent="0.25">
      <c r="A6861" t="n">
        <v>25</v>
      </c>
      <c r="B6861" t="s">
        <v>14</v>
      </c>
      <c r="C6861" t="s">
        <v>22</v>
      </c>
      <c r="D6861" s="2" t="s">
        <f>=HYPERLINK("https://main.knesset.gov.il/APPS/legislation/main/bills/2197215", "הצעת חוק הביטוח הלאומי (תיקון - עבודה מועדפת בתחום ניטול, פריקה וטעינה של מטעני אוויר), התשפ""ג-2022")</f>
        <v>13388</v>
      </c>
      <c r="E6861" t="s">
        <v>13388</v>
      </c>
      <c r="F6861" t="s">
        <v>13389</v>
      </c>
      <c r="G6861" t="s">
        <v>14</v>
      </c>
      <c r="H6861">
             </c>
      <c r="I6861" t="s">
        <v>14</v>
      </c>
      <c r="J6861" t="s">
        <v>141</v>
      </c>
      <c r="K6861" t="s">
        <v>14</v>
      </c>
      <c r="L6861" t="s">
        <v>20</v>
      </c>
      <c r="M6861" t="s">
        <v>13164</v>
      </c>
      <c r="N6861" t="s">
        <v>14</v>
      </c>
    </row>
    <row r="6862" x14ac:dyDescent="0.25">
      <c r="A6862" t="n">
        <v>25</v>
      </c>
      <c r="B6862" t="s">
        <v>14</v>
      </c>
      <c r="C6862" t="s">
        <v>22</v>
      </c>
      <c r="D6862" s="2" t="s">
        <f>=HYPERLINK("https://main.knesset.gov.il/APPS/legislation/main/bills/2197145", "הצעת חוק פיצויי פיטורים (תיקון - פיצויי פיטורים למתגייס לרשות הארצית לכבאות והצלה), התשפ""ג-2022")</f>
        <v>13390</v>
      </c>
      <c r="E6862" t="s">
        <v>13390</v>
      </c>
      <c r="F6862" t="s">
        <v>13391</v>
      </c>
      <c r="G6862" t="s">
        <v>14</v>
      </c>
      <c r="H6862">
             </c>
      <c r="I6862" t="s">
        <v>14</v>
      </c>
      <c r="J6862" t="s">
        <v>141</v>
      </c>
      <c r="K6862" t="s">
        <v>14</v>
      </c>
      <c r="L6862" t="s">
        <v>20</v>
      </c>
      <c r="M6862" t="s">
        <v>13164</v>
      </c>
      <c r="N6862" t="s">
        <v>14</v>
      </c>
    </row>
    <row r="6863" x14ac:dyDescent="0.25">
      <c r="A6863" t="n">
        <v>25</v>
      </c>
      <c r="B6863" t="s">
        <v>14</v>
      </c>
      <c r="C6863" t="s">
        <v>22</v>
      </c>
      <c r="D6863" s="2" t="s">
        <f>=HYPERLINK("https://main.knesset.gov.il/APPS/legislation/main/bills/2196427", "הצעת חוק למניעת חרם חברתי בבתי ספר, התשפ""ג-2022")</f>
        <v>13392</v>
      </c>
      <c r="E6863" t="s">
        <v>13392</v>
      </c>
      <c r="F6863" t="s">
        <v>13393</v>
      </c>
      <c r="G6863" t="s">
        <v>14</v>
      </c>
      <c r="H6863">
             </c>
      <c r="I6863" t="s">
        <v>14</v>
      </c>
      <c r="J6863" t="s">
        <v>141</v>
      </c>
      <c r="K6863" t="s">
        <v>14</v>
      </c>
      <c r="L6863" t="s">
        <v>20</v>
      </c>
      <c r="M6863" t="s">
        <v>13164</v>
      </c>
      <c r="N6863" t="s">
        <v>14</v>
      </c>
    </row>
    <row r="6864" x14ac:dyDescent="0.25">
      <c r="A6864" t="n">
        <v>25</v>
      </c>
      <c r="B6864" t="s">
        <v>14</v>
      </c>
      <c r="C6864" t="s">
        <v>22</v>
      </c>
      <c r="D6864" s="2" t="s">
        <f>=HYPERLINK("https://main.knesset.gov.il/APPS/legislation/main/bills/2197050", "הצעת חוק העונשין (תיקון - אלימות במשפחה בנוכחות קטין או חסר ישע), התשפ""ג-2022")</f>
        <v>13394</v>
      </c>
      <c r="E6864" t="s">
        <v>13394</v>
      </c>
      <c r="F6864" t="s">
        <v>13395</v>
      </c>
      <c r="G6864" t="s">
        <v>14</v>
      </c>
      <c r="H6864">
             </c>
      <c r="I6864" t="s">
        <v>14</v>
      </c>
      <c r="J6864" t="s">
        <v>141</v>
      </c>
      <c r="K6864" t="s">
        <v>14</v>
      </c>
      <c r="L6864" t="s">
        <v>20</v>
      </c>
      <c r="M6864" t="s">
        <v>13164</v>
      </c>
      <c r="N6864" t="s">
        <v>14</v>
      </c>
    </row>
    <row r="6865" x14ac:dyDescent="0.25">
      <c r="A6865" t="n">
        <v>25</v>
      </c>
      <c r="B6865" t="s">
        <v>14</v>
      </c>
      <c r="C6865" t="s">
        <v>22</v>
      </c>
      <c r="D6865" s="2" t="s">
        <f>=HYPERLINK("https://main.knesset.gov.il/APPS/legislation/main/bills/2197248", "הצעת חוק הרשות לפיתוח הנגב (תיקון - הרחבת סמכויות הרשות ותפקידיה), התשפ""ג-2022")</f>
        <v>13396</v>
      </c>
      <c r="E6865" t="s">
        <v>13396</v>
      </c>
      <c r="F6865" t="s">
        <v>13397</v>
      </c>
      <c r="G6865" t="s">
        <v>14</v>
      </c>
      <c r="H6865">
             </c>
      <c r="I6865" t="s">
        <v>14</v>
      </c>
      <c r="J6865" t="s">
        <v>141</v>
      </c>
      <c r="K6865" t="s">
        <v>14</v>
      </c>
      <c r="L6865" t="s">
        <v>20</v>
      </c>
      <c r="M6865" t="s">
        <v>13164</v>
      </c>
      <c r="N6865" t="s">
        <v>14</v>
      </c>
    </row>
    <row r="6866" x14ac:dyDescent="0.25">
      <c r="A6866" t="n">
        <v>25</v>
      </c>
      <c r="B6866" t="s">
        <v>14</v>
      </c>
      <c r="C6866" t="s">
        <v>22</v>
      </c>
      <c r="D6866" s="2" t="s">
        <f>=HYPERLINK("https://main.knesset.gov.il/APPS/legislation/main/bills/2197033", "הצעת חוק מגבלות על חזרתו של עבריין מין לסביבת נפגע העבירה (תיקון - הרחבת סמכות בית המשפט בנושא קטינים), התשפ""ג-2022")</f>
        <v>13398</v>
      </c>
      <c r="E6866" t="s">
        <v>13398</v>
      </c>
      <c r="F6866" t="s">
        <v>13399</v>
      </c>
      <c r="G6866" t="s">
        <v>14</v>
      </c>
      <c r="H6866">
             </c>
      <c r="I6866" t="s">
        <v>14</v>
      </c>
      <c r="J6866" t="s">
        <v>141</v>
      </c>
      <c r="K6866" t="s">
        <v>14</v>
      </c>
      <c r="L6866" t="s">
        <v>20</v>
      </c>
      <c r="M6866" t="s">
        <v>13164</v>
      </c>
      <c r="N6866" t="s">
        <v>14</v>
      </c>
    </row>
    <row r="6867" x14ac:dyDescent="0.25">
      <c r="A6867" t="n">
        <v>25</v>
      </c>
      <c r="B6867" t="s">
        <v>14</v>
      </c>
      <c r="C6867" t="s">
        <v>22</v>
      </c>
      <c r="D6867" s="2" t="s">
        <f>=HYPERLINK("https://main.knesset.gov.il/APPS/legislation/main/bills/2197242", "הצעת חוק הרשות לפיתוח הנגב (תיקון - שינוי הגדרת הנגב), התשפ""ג-2022")</f>
        <v>13400</v>
      </c>
      <c r="E6867" t="s">
        <v>13400</v>
      </c>
      <c r="F6867" t="s">
        <v>13401</v>
      </c>
      <c r="G6867" t="s">
        <v>14</v>
      </c>
      <c r="H6867">
             </c>
      <c r="I6867" t="s">
        <v>14</v>
      </c>
      <c r="J6867" t="s">
        <v>141</v>
      </c>
      <c r="K6867" t="s">
        <v>14</v>
      </c>
      <c r="L6867" t="s">
        <v>20</v>
      </c>
      <c r="M6867" t="s">
        <v>13164</v>
      </c>
      <c r="N6867" t="s">
        <v>14</v>
      </c>
    </row>
    <row r="6868" x14ac:dyDescent="0.25">
      <c r="A6868" t="n">
        <v>25</v>
      </c>
      <c r="B6868" t="s">
        <v>14</v>
      </c>
      <c r="C6868" t="s">
        <v>22</v>
      </c>
      <c r="D6868" s="2" t="s">
        <f>=HYPERLINK("https://main.knesset.gov.il/APPS/legislation/main/bills/2196775", "הצעת חוק-יסוד: הממשלה (תיקון - חשיפת פרוטוקולים בעניין ניהול משבר הקורונה)")</f>
        <v>13402</v>
      </c>
      <c r="E6868" t="s">
        <v>13402</v>
      </c>
      <c r="F6868" t="s">
        <v>13403</v>
      </c>
      <c r="G6868" t="s">
        <v>14</v>
      </c>
      <c r="H6868">
             </c>
      <c r="I6868" t="s">
        <v>14</v>
      </c>
      <c r="J6868" t="s">
        <v>141</v>
      </c>
      <c r="K6868" t="s">
        <v>14</v>
      </c>
      <c r="L6868" t="s">
        <v>20</v>
      </c>
      <c r="M6868" t="s">
        <v>13164</v>
      </c>
      <c r="N6868" t="s">
        <v>14</v>
      </c>
    </row>
    <row r="6869" x14ac:dyDescent="0.25">
      <c r="A6869" t="n">
        <v>25</v>
      </c>
      <c r="B6869" t="s">
        <v>14</v>
      </c>
      <c r="C6869" t="s">
        <v>22</v>
      </c>
      <c r="D6869" s="2" t="s">
        <f>=HYPERLINK("https://main.knesset.gov.il/APPS/legislation/main/bills/2195712", "הצעת חוק ביטוח בריאות ממלכתי (תיקון - צמצום פערים בין הפריפריה למרכז), התשפ""ג-2022")</f>
        <v>13350</v>
      </c>
      <c r="E6869" t="s">
        <v>13350</v>
      </c>
      <c r="F6869" t="s">
        <v>13404</v>
      </c>
      <c r="G6869" t="s">
        <v>14</v>
      </c>
      <c r="H6869">
             </c>
      <c r="I6869" t="s">
        <v>14</v>
      </c>
      <c r="J6869" t="s">
        <v>141</v>
      </c>
      <c r="K6869" t="s">
        <v>14</v>
      </c>
      <c r="L6869" t="s">
        <v>20</v>
      </c>
      <c r="M6869" t="s">
        <v>13164</v>
      </c>
      <c r="N6869" t="s">
        <v>14</v>
      </c>
    </row>
    <row r="6870" x14ac:dyDescent="0.25">
      <c r="A6870" t="n">
        <v>25</v>
      </c>
      <c r="B6870" t="s">
        <v>14</v>
      </c>
      <c r="C6870" t="s">
        <v>22</v>
      </c>
      <c r="D6870" s="2" t="s">
        <f>=HYPERLINK("https://main.knesset.gov.il/APPS/legislation/main/bills/2197092", "הצעת חוק החזקת תכשיר אפינפרין במוסדות חינוך ובמקומות ציבוריים (תיקון - החזקת תכשיר אפינפרין בבית אוכל), התשפ""ג-2022")</f>
        <v>13405</v>
      </c>
      <c r="E6870" t="s">
        <v>13405</v>
      </c>
      <c r="F6870" t="s">
        <v>13406</v>
      </c>
      <c r="G6870" t="s">
        <v>14</v>
      </c>
      <c r="H6870">
             </c>
      <c r="I6870" t="s">
        <v>14</v>
      </c>
      <c r="J6870" t="s">
        <v>141</v>
      </c>
      <c r="K6870" t="s">
        <v>14</v>
      </c>
      <c r="L6870" t="s">
        <v>20</v>
      </c>
      <c r="M6870" t="s">
        <v>13164</v>
      </c>
      <c r="N6870" t="s">
        <v>14</v>
      </c>
    </row>
    <row r="6871" x14ac:dyDescent="0.25">
      <c r="A6871" t="n">
        <v>25</v>
      </c>
      <c r="B6871" t="s">
        <v>14</v>
      </c>
      <c r="C6871" t="s">
        <v>22</v>
      </c>
      <c r="D6871" s="2" t="s">
        <f>=HYPERLINK("https://main.knesset.gov.il/APPS/legislation/main/bills/2196990", "הצעת חוק חילוט תקבולי עבירה בפשיעה חקלאית, התשפ""ג-2022")</f>
        <v>13407</v>
      </c>
      <c r="E6871" t="s">
        <v>13407</v>
      </c>
      <c r="F6871" t="s">
        <v>13408</v>
      </c>
      <c r="G6871" t="s">
        <v>14</v>
      </c>
      <c r="H6871">
             </c>
      <c r="I6871" t="s">
        <v>14</v>
      </c>
      <c r="J6871" t="s">
        <v>141</v>
      </c>
      <c r="K6871" t="s">
        <v>14</v>
      </c>
      <c r="L6871" t="s">
        <v>20</v>
      </c>
      <c r="M6871" t="s">
        <v>13164</v>
      </c>
      <c r="N6871" t="s">
        <v>14</v>
      </c>
    </row>
    <row r="6872" x14ac:dyDescent="0.25">
      <c r="A6872" t="n">
        <v>25</v>
      </c>
      <c r="B6872" t="s">
        <v>14</v>
      </c>
      <c r="C6872" t="s">
        <v>22</v>
      </c>
      <c r="D6872" s="2" t="s">
        <f>=HYPERLINK("https://main.knesset.gov.il/APPS/legislation/main/bills/2197068", "הצעת חוק נציב תלונות הציבור על שופטים (תיקון - נציבות תלונות הציבור על דיינים וקאדים), התשפ""ג-2022")</f>
        <v>13409</v>
      </c>
      <c r="E6872" t="s">
        <v>13409</v>
      </c>
      <c r="F6872" t="s">
        <v>13410</v>
      </c>
      <c r="G6872" t="s">
        <v>14</v>
      </c>
      <c r="H6872">
             </c>
      <c r="I6872" t="s">
        <v>14</v>
      </c>
      <c r="J6872" t="s">
        <v>141</v>
      </c>
      <c r="K6872" t="s">
        <v>14</v>
      </c>
      <c r="L6872" t="s">
        <v>20</v>
      </c>
      <c r="M6872" t="s">
        <v>13164</v>
      </c>
      <c r="N6872" t="s">
        <v>14</v>
      </c>
    </row>
    <row r="6873" x14ac:dyDescent="0.25">
      <c r="A6873" t="n">
        <v>25</v>
      </c>
      <c r="B6873" t="s">
        <v>14</v>
      </c>
      <c r="C6873" t="s">
        <v>22</v>
      </c>
      <c r="D6873" s="2" t="s">
        <f>=HYPERLINK("https://main.knesset.gov.il/APPS/legislation/main/bills/2196973", "הצעת חוק החזקת תכשיר אפינפרין במוסדות חינוך ובמקומות ציבוריים (תיקון - החזקת תכשיר אפינפרין בבית אוכל), התשפ""ג-2022")</f>
        <v>13405</v>
      </c>
      <c r="E6873" t="s">
        <v>13405</v>
      </c>
      <c r="F6873" t="s">
        <v>13411</v>
      </c>
      <c r="G6873" t="s">
        <v>14</v>
      </c>
      <c r="H6873">
             </c>
      <c r="I6873" t="s">
        <v>14</v>
      </c>
      <c r="J6873" t="s">
        <v>141</v>
      </c>
      <c r="K6873" t="s">
        <v>14</v>
      </c>
      <c r="L6873" t="s">
        <v>20</v>
      </c>
      <c r="M6873" t="s">
        <v>13164</v>
      </c>
      <c r="N6873" t="s">
        <v>14</v>
      </c>
    </row>
    <row r="6874" x14ac:dyDescent="0.25">
      <c r="A6874" t="n">
        <v>25</v>
      </c>
      <c r="B6874" t="s">
        <v>14</v>
      </c>
      <c r="C6874" t="s">
        <v>22</v>
      </c>
      <c r="D6874" s="2" t="s">
        <f>=HYPERLINK("https://main.knesset.gov.il/APPS/legislation/main/bills/2196174", "הצעת חוק לתיקון פקודת התעבורה (פטור מתשלום דמי חניה באזורי מגורים במהלך שבתות ומועדי ישראל), התשפ""ג-2022")</f>
        <v>13412</v>
      </c>
      <c r="E6874" t="s">
        <v>13412</v>
      </c>
      <c r="F6874" t="s">
        <v>13413</v>
      </c>
      <c r="G6874" t="s">
        <v>14</v>
      </c>
      <c r="H6874">
             </c>
      <c r="I6874" t="s">
        <v>14</v>
      </c>
      <c r="J6874" t="s">
        <v>141</v>
      </c>
      <c r="K6874" t="s">
        <v>14</v>
      </c>
      <c r="L6874" t="s">
        <v>20</v>
      </c>
      <c r="M6874" t="s">
        <v>13164</v>
      </c>
      <c r="N6874" t="s">
        <v>14</v>
      </c>
    </row>
    <row r="6875" x14ac:dyDescent="0.25">
      <c r="A6875" t="n">
        <v>25</v>
      </c>
      <c r="B6875" t="s">
        <v>14</v>
      </c>
      <c r="C6875" t="s">
        <v>22</v>
      </c>
      <c r="D6875" s="2" t="s">
        <f>=HYPERLINK("https://main.knesset.gov.il/APPS/legislation/main/bills/2196170", "הצעת חוק חינוך ממלכתי (תיקון - מימון מוסדות חינוך מוכרים לא רשמיים), התשפ""ג-2022")</f>
        <v>13414</v>
      </c>
      <c r="E6875" t="s">
        <v>13414</v>
      </c>
      <c r="F6875" t="s">
        <v>13415</v>
      </c>
      <c r="G6875" t="s">
        <v>14</v>
      </c>
      <c r="H6875">
             </c>
      <c r="I6875" t="s">
        <v>14</v>
      </c>
      <c r="J6875" t="s">
        <v>141</v>
      </c>
      <c r="K6875" t="s">
        <v>14</v>
      </c>
      <c r="L6875" t="s">
        <v>20</v>
      </c>
      <c r="M6875" t="s">
        <v>13164</v>
      </c>
      <c r="N6875" t="s">
        <v>14</v>
      </c>
    </row>
    <row r="6876" x14ac:dyDescent="0.25">
      <c r="A6876" t="n">
        <v>25</v>
      </c>
      <c r="B6876" t="s">
        <v>14</v>
      </c>
      <c r="C6876" t="s">
        <v>22</v>
      </c>
      <c r="D6876" s="2" t="s">
        <f>=HYPERLINK("https://main.knesset.gov.il/APPS/legislation/main/bills/2196941", "הצעת חוק לתיקון פקודת הנמלים (איסור על השטת כלי שיט ועל הפלגה באופנוע ים בשכרות), התשפ""ג-2022")</f>
        <v>13416</v>
      </c>
      <c r="E6876" t="s">
        <v>13416</v>
      </c>
      <c r="F6876" t="s">
        <v>13417</v>
      </c>
      <c r="G6876" t="s">
        <v>14</v>
      </c>
      <c r="H6876">
             </c>
      <c r="I6876" t="s">
        <v>14</v>
      </c>
      <c r="J6876" t="s">
        <v>141</v>
      </c>
      <c r="K6876" t="s">
        <v>14</v>
      </c>
      <c r="L6876" t="s">
        <v>20</v>
      </c>
      <c r="M6876" t="s">
        <v>13164</v>
      </c>
      <c r="N6876" t="s">
        <v>14</v>
      </c>
    </row>
    <row r="6877" x14ac:dyDescent="0.25">
      <c r="A6877" t="n">
        <v>25</v>
      </c>
      <c r="B6877" t="s">
        <v>14</v>
      </c>
      <c r="C6877" t="s">
        <v>22</v>
      </c>
      <c r="D6877" s="2" t="s">
        <f>=HYPERLINK("https://main.knesset.gov.il/APPS/legislation/main/bills/2196899", "הצעת חוק קליטת חיילים משוחררים (תיקון - הוקרת שירות הלוחם והלוחמת), התשפ""ג-2022")</f>
        <v>13418</v>
      </c>
      <c r="E6877" t="s">
        <v>13418</v>
      </c>
      <c r="F6877" t="s">
        <v>13419</v>
      </c>
      <c r="G6877" t="s">
        <v>14</v>
      </c>
      <c r="H6877">
             </c>
      <c r="I6877" t="s">
        <v>14</v>
      </c>
      <c r="J6877" t="s">
        <v>141</v>
      </c>
      <c r="K6877" t="s">
        <v>14</v>
      </c>
      <c r="L6877" t="s">
        <v>20</v>
      </c>
      <c r="M6877" t="s">
        <v>13164</v>
      </c>
      <c r="N6877" t="s">
        <v>14</v>
      </c>
    </row>
    <row r="6878" x14ac:dyDescent="0.25">
      <c r="A6878" t="n">
        <v>25</v>
      </c>
      <c r="B6878" t="s">
        <v>14</v>
      </c>
      <c r="C6878" t="s">
        <v>22</v>
      </c>
      <c r="D6878" s="2" t="s">
        <f>=HYPERLINK("https://main.knesset.gov.il/APPS/legislation/main/bills/2195754", "הצעת חוק להקפאת כספים ששילמה הרשות הפלסטינית בזיקה לטרור מהכספים המועברים אליה מממשלת ישראל (תיקון - חילוט הכספים וניהולם), התשפ""ג-2022")</f>
        <v>13420</v>
      </c>
      <c r="E6878" t="s">
        <v>13420</v>
      </c>
      <c r="F6878" t="s">
        <v>13421</v>
      </c>
      <c r="G6878" t="s">
        <v>14</v>
      </c>
      <c r="H6878">
             </c>
      <c r="I6878" t="s">
        <v>14</v>
      </c>
      <c r="J6878" t="s">
        <v>141</v>
      </c>
      <c r="K6878" t="s">
        <v>14</v>
      </c>
      <c r="L6878" t="s">
        <v>20</v>
      </c>
      <c r="M6878" t="s">
        <v>13164</v>
      </c>
      <c r="N6878" t="s">
        <v>14</v>
      </c>
    </row>
    <row r="6879" x14ac:dyDescent="0.25">
      <c r="A6879" t="n">
        <v>25</v>
      </c>
      <c r="B6879" t="s">
        <v>14</v>
      </c>
      <c r="C6879" t="s">
        <v>22</v>
      </c>
      <c r="D6879" s="2" t="s">
        <f>=HYPERLINK("https://main.knesset.gov.il/APPS/legislation/main/bills/2197645", "הצעת חוק עבודת נשים (תיקון - הגנה על עובדת מפני הליכי פיטורים), התשפ""ג-2022")</f>
        <v>13422</v>
      </c>
      <c r="E6879" t="s">
        <v>13422</v>
      </c>
      <c r="F6879" t="s">
        <v>13423</v>
      </c>
      <c r="G6879" t="s">
        <v>14</v>
      </c>
      <c r="H6879">
             </c>
      <c r="I6879" t="s">
        <v>14</v>
      </c>
      <c r="J6879" t="s">
        <v>141</v>
      </c>
      <c r="K6879" t="s">
        <v>14</v>
      </c>
      <c r="L6879" t="s">
        <v>20</v>
      </c>
      <c r="M6879" t="s">
        <v>13164</v>
      </c>
      <c r="N6879" t="s">
        <v>14</v>
      </c>
    </row>
    <row r="6880" x14ac:dyDescent="0.25">
      <c r="A6880" t="n">
        <v>25</v>
      </c>
      <c r="B6880" t="s">
        <v>14</v>
      </c>
      <c r="C6880" t="s">
        <v>22</v>
      </c>
      <c r="D6880" s="2" t="s">
        <f>=HYPERLINK("https://main.knesset.gov.il/APPS/legislation/main/bills/2196831", "הצעת חוק יסודות התקציב (תיקון - הפחתת תקציב או תמיכה בשל פעילות נגד עקרונות המדינה של עובד או נושא משרה), התשפ""ג-2022")</f>
        <v>13424</v>
      </c>
      <c r="E6880" t="s">
        <v>13424</v>
      </c>
      <c r="F6880" t="s">
        <v>13425</v>
      </c>
      <c r="G6880" t="s">
        <v>14</v>
      </c>
      <c r="H6880">
             </c>
      <c r="I6880" t="s">
        <v>14</v>
      </c>
      <c r="J6880" t="s">
        <v>141</v>
      </c>
      <c r="K6880" t="s">
        <v>14</v>
      </c>
      <c r="L6880" t="s">
        <v>20</v>
      </c>
      <c r="M6880" t="s">
        <v>13164</v>
      </c>
      <c r="N6880" t="s">
        <v>14</v>
      </c>
    </row>
    <row r="6881" x14ac:dyDescent="0.25">
      <c r="A6881" t="n">
        <v>25</v>
      </c>
      <c r="B6881" t="s">
        <v>14</v>
      </c>
      <c r="C6881" t="s">
        <v>22</v>
      </c>
      <c r="D6881" s="2" t="s">
        <f>=HYPERLINK("https://main.knesset.gov.il/APPS/legislation/main/bills/2197671", "הצעת חוק-יסוד: כבוד האדם וחירותו (תיקון - פגיעה בזכויות)")</f>
        <v>12952</v>
      </c>
      <c r="E6881" t="s">
        <v>12952</v>
      </c>
      <c r="F6881" t="s">
        <v>13426</v>
      </c>
      <c r="G6881" t="s">
        <v>14</v>
      </c>
      <c r="H6881">
             </c>
      <c r="I6881" t="s">
        <v>14</v>
      </c>
      <c r="J6881" t="s">
        <v>141</v>
      </c>
      <c r="K6881" t="s">
        <v>14</v>
      </c>
      <c r="L6881" t="s">
        <v>20</v>
      </c>
      <c r="M6881" t="s">
        <v>13164</v>
      </c>
      <c r="N6881" t="s">
        <v>14</v>
      </c>
    </row>
    <row r="6882" x14ac:dyDescent="0.25">
      <c r="A6882" t="n">
        <v>25</v>
      </c>
      <c r="B6882" t="s">
        <v>14</v>
      </c>
      <c r="C6882" t="s">
        <v>22</v>
      </c>
      <c r="D6882" s="2" t="s">
        <f>=HYPERLINK("https://main.knesset.gov.il/APPS/legislation/main/bills/2197126", "הצעת חוק-יסוד: כבוד האדם וחירותו (תיקון - פגיעה בזכויות) ")</f>
        <v>13427</v>
      </c>
      <c r="E6882" t="s">
        <v>13427</v>
      </c>
      <c r="F6882" t="s">
        <v>13428</v>
      </c>
      <c r="G6882" t="s">
        <v>14</v>
      </c>
      <c r="H6882">
             </c>
      <c r="I6882" t="s">
        <v>14</v>
      </c>
      <c r="J6882" t="s">
        <v>141</v>
      </c>
      <c r="K6882" t="s">
        <v>14</v>
      </c>
      <c r="L6882" t="s">
        <v>20</v>
      </c>
      <c r="M6882" t="s">
        <v>13164</v>
      </c>
      <c r="N6882" t="s">
        <v>14</v>
      </c>
    </row>
    <row r="6883" x14ac:dyDescent="0.25">
      <c r="A6883" t="n">
        <v>25</v>
      </c>
      <c r="B6883" t="s">
        <v>14</v>
      </c>
      <c r="C6883" t="s">
        <v>22</v>
      </c>
      <c r="D6883" s="2" t="s">
        <f>=HYPERLINK("https://main.knesset.gov.il/APPS/legislation/main/bills/2197682", "הצעת חוק התכנון והבנייה (תיקון - שומה מתוקנת מוסכמת), התשפ""ג-2022")</f>
        <v>13429</v>
      </c>
      <c r="E6883" t="s">
        <v>13429</v>
      </c>
      <c r="F6883" t="s">
        <v>13430</v>
      </c>
      <c r="G6883" t="s">
        <v>14</v>
      </c>
      <c r="H6883">
             </c>
      <c r="I6883" t="s">
        <v>14</v>
      </c>
      <c r="J6883" t="s">
        <v>141</v>
      </c>
      <c r="K6883" t="s">
        <v>14</v>
      </c>
      <c r="L6883" t="s">
        <v>20</v>
      </c>
      <c r="M6883" t="s">
        <v>13164</v>
      </c>
      <c r="N6883" t="s">
        <v>14</v>
      </c>
    </row>
    <row r="6884" x14ac:dyDescent="0.25">
      <c r="A6884" t="n">
        <v>25</v>
      </c>
      <c r="B6884" t="s">
        <v>14</v>
      </c>
      <c r="C6884" t="s">
        <v>22</v>
      </c>
      <c r="D6884" s="2" t="s">
        <f>=HYPERLINK("https://main.knesset.gov.il/APPS/legislation/main/bills/2197751", "הצעת חוק לתיקון פקודת המסים (גבייה) (חובת יידוע החייב), התשפ""ג-2022")</f>
        <v>13431</v>
      </c>
      <c r="E6884" t="s">
        <v>13431</v>
      </c>
      <c r="F6884" t="s">
        <v>13432</v>
      </c>
      <c r="G6884" t="s">
        <v>14</v>
      </c>
      <c r="H6884">
             </c>
      <c r="I6884" t="s">
        <v>14</v>
      </c>
      <c r="J6884" t="s">
        <v>141</v>
      </c>
      <c r="K6884" t="s">
        <v>14</v>
      </c>
      <c r="L6884" t="s">
        <v>20</v>
      </c>
      <c r="M6884" t="s">
        <v>13164</v>
      </c>
      <c r="N6884" t="s">
        <v>14</v>
      </c>
    </row>
    <row r="6885" x14ac:dyDescent="0.25">
      <c r="A6885" t="n">
        <v>25</v>
      </c>
      <c r="B6885" t="s">
        <v>14</v>
      </c>
      <c r="C6885" t="s">
        <v>22</v>
      </c>
      <c r="D6885" s="2" t="s">
        <f>=HYPERLINK("https://main.knesset.gov.il/APPS/legislation/main/bills/2196015", "הצעת חוק הסכמים קיבוציים (תיקון - בחירות לוועד עובדים ולארגון יציג), התשפ""ג-2022")</f>
        <v>13433</v>
      </c>
      <c r="E6885" t="s">
        <v>13433</v>
      </c>
      <c r="F6885" t="s">
        <v>13434</v>
      </c>
      <c r="G6885" t="s">
        <v>14</v>
      </c>
      <c r="H6885">
             </c>
      <c r="I6885" t="s">
        <v>14</v>
      </c>
      <c r="J6885" t="s">
        <v>141</v>
      </c>
      <c r="K6885" t="s">
        <v>14</v>
      </c>
      <c r="L6885" t="s">
        <v>20</v>
      </c>
      <c r="M6885" t="s">
        <v>13164</v>
      </c>
      <c r="N6885" t="s">
        <v>14</v>
      </c>
    </row>
    <row r="6886" x14ac:dyDescent="0.25">
      <c r="A6886" t="n">
        <v>25</v>
      </c>
      <c r="B6886" t="s">
        <v>14</v>
      </c>
      <c r="C6886" t="s">
        <v>22</v>
      </c>
      <c r="D6886" s="2" t="s">
        <f>=HYPERLINK("https://main.knesset.gov.il/APPS/legislation/main/bills/2197019", "הצעת חוק התגמולים לנפגעי פעולות איבה (תיקון - תביעה נגד מפגע), התשפ""ג-2022")</f>
        <v>13435</v>
      </c>
      <c r="E6886" t="s">
        <v>13435</v>
      </c>
      <c r="F6886" t="s">
        <v>13436</v>
      </c>
      <c r="G6886" t="s">
        <v>14</v>
      </c>
      <c r="H6886">
             </c>
      <c r="I6886" t="s">
        <v>14</v>
      </c>
      <c r="J6886" t="s">
        <v>141</v>
      </c>
      <c r="K6886" t="s">
        <v>14</v>
      </c>
      <c r="L6886" t="s">
        <v>20</v>
      </c>
      <c r="M6886" t="s">
        <v>13164</v>
      </c>
      <c r="N6886" t="s">
        <v>14</v>
      </c>
    </row>
    <row r="6887" x14ac:dyDescent="0.25">
      <c r="A6887" t="n">
        <v>25</v>
      </c>
      <c r="B6887" t="s">
        <v>14</v>
      </c>
      <c r="C6887" t="s">
        <v>22</v>
      </c>
      <c r="D6887" s="2" t="s">
        <f>=HYPERLINK("https://main.knesset.gov.il/APPS/legislation/main/bills/2197920", "הצעת חוק בתי המשפט (תיקון - שקיפות הליכים משפטיים), התשפ""ג-2022")</f>
        <v>13437</v>
      </c>
      <c r="E6887" t="s">
        <v>13437</v>
      </c>
      <c r="F6887" t="s">
        <v>13438</v>
      </c>
      <c r="G6887" t="s">
        <v>14</v>
      </c>
      <c r="H6887">
             </c>
      <c r="I6887" t="s">
        <v>14</v>
      </c>
      <c r="J6887" t="s">
        <v>141</v>
      </c>
      <c r="K6887" t="s">
        <v>14</v>
      </c>
      <c r="L6887" t="s">
        <v>20</v>
      </c>
      <c r="M6887" t="s">
        <v>13164</v>
      </c>
      <c r="N6887" t="s">
        <v>14</v>
      </c>
    </row>
    <row r="6888" x14ac:dyDescent="0.25">
      <c r="A6888" t="n">
        <v>25</v>
      </c>
      <c r="B6888" t="s">
        <v>14</v>
      </c>
      <c r="C6888" t="s">
        <v>22</v>
      </c>
      <c r="D6888" s="2" t="s">
        <f>=HYPERLINK("https://main.knesset.gov.il/APPS/legislation/main/bills/2196739", "הצעת חוק בתי המשפט (תיקון - שקיפות הליכים משפטיים), התשפ""ג-2022")</f>
        <v>13437</v>
      </c>
      <c r="E6888" t="s">
        <v>13437</v>
      </c>
      <c r="F6888" t="s">
        <v>13439</v>
      </c>
      <c r="G6888" t="s">
        <v>14</v>
      </c>
      <c r="H6888">
             </c>
      <c r="I6888" t="s">
        <v>14</v>
      </c>
      <c r="J6888" t="s">
        <v>141</v>
      </c>
      <c r="K6888" t="s">
        <v>14</v>
      </c>
      <c r="L6888" t="s">
        <v>20</v>
      </c>
      <c r="M6888" t="s">
        <v>13164</v>
      </c>
      <c r="N6888" t="s">
        <v>14</v>
      </c>
    </row>
    <row r="6889" x14ac:dyDescent="0.25">
      <c r="A6889" t="n">
        <v>25</v>
      </c>
      <c r="B6889" t="s">
        <v>14</v>
      </c>
      <c r="C6889" t="s">
        <v>22</v>
      </c>
      <c r="D6889" s="2" t="s">
        <f>=HYPERLINK("https://main.knesset.gov.il/APPS/legislation/main/bills/2197658", "הצעת חוק עוסק זעיר, התשפ""ג-2022")</f>
        <v>13440</v>
      </c>
      <c r="E6889" t="s">
        <v>13440</v>
      </c>
      <c r="F6889" t="s">
        <v>13441</v>
      </c>
      <c r="G6889" t="s">
        <v>14</v>
      </c>
      <c r="H6889">
             </c>
      <c r="I6889" t="s">
        <v>14</v>
      </c>
      <c r="J6889" t="s">
        <v>141</v>
      </c>
      <c r="K6889" t="s">
        <v>14</v>
      </c>
      <c r="L6889" t="s">
        <v>20</v>
      </c>
      <c r="M6889" t="s">
        <v>13164</v>
      </c>
      <c r="N6889" t="s">
        <v>14</v>
      </c>
    </row>
    <row r="6890" x14ac:dyDescent="0.25">
      <c r="A6890" t="n">
        <v>25</v>
      </c>
      <c r="B6890" t="s">
        <v>14</v>
      </c>
      <c r="C6890" t="s">
        <v>22</v>
      </c>
      <c r="D6890" s="2" t="s">
        <f>=HYPERLINK("https://main.knesset.gov.il/APPS/legislation/main/bills/2196995", "הצעת חוק עוסק זעיר, התשפ""ג-2022 ")</f>
        <v>13442</v>
      </c>
      <c r="E6890" t="s">
        <v>13442</v>
      </c>
      <c r="F6890" t="s">
        <v>13443</v>
      </c>
      <c r="G6890" t="s">
        <v>14</v>
      </c>
      <c r="H6890">
             </c>
      <c r="I6890" t="s">
        <v>14</v>
      </c>
      <c r="J6890" t="s">
        <v>141</v>
      </c>
      <c r="K6890" t="s">
        <v>14</v>
      </c>
      <c r="L6890" t="s">
        <v>20</v>
      </c>
      <c r="M6890" t="s">
        <v>13164</v>
      </c>
      <c r="N6890" t="s">
        <v>14</v>
      </c>
    </row>
    <row r="6891" x14ac:dyDescent="0.25">
      <c r="A6891" t="n">
        <v>25</v>
      </c>
      <c r="B6891" t="s">
        <v>14</v>
      </c>
      <c r="C6891" t="s">
        <v>22</v>
      </c>
      <c r="D6891" s="2" t="s">
        <f>=HYPERLINK("https://main.knesset.gov.il/APPS/legislation/main/bills/2196813", "הצעת חוק עוסק זעיר, התשפ""ג-2022")</f>
        <v>13440</v>
      </c>
      <c r="E6891" t="s">
        <v>13440</v>
      </c>
      <c r="F6891" t="s">
        <v>13444</v>
      </c>
      <c r="G6891" t="s">
        <v>14</v>
      </c>
      <c r="H6891">
             </c>
      <c r="I6891" t="s">
        <v>14</v>
      </c>
      <c r="J6891" t="s">
        <v>141</v>
      </c>
      <c r="K6891" t="s">
        <v>14</v>
      </c>
      <c r="L6891" t="s">
        <v>20</v>
      </c>
      <c r="M6891" t="s">
        <v>13164</v>
      </c>
      <c r="N6891" t="s">
        <v>14</v>
      </c>
    </row>
    <row r="6892" x14ac:dyDescent="0.25">
      <c r="A6892" t="n">
        <v>25</v>
      </c>
      <c r="B6892" t="s">
        <v>14</v>
      </c>
      <c r="C6892" t="s">
        <v>22</v>
      </c>
      <c r="D6892" s="2" t="s">
        <f>=HYPERLINK("https://main.knesset.gov.il/APPS/legislation/main/bills/2195979", "הצעת חוק הביטוח הלאומי (תיקון - זכאות לדמי אבטלה מגיל 19), התשפ""ג-2022")</f>
        <v>13445</v>
      </c>
      <c r="E6892" t="s">
        <v>13445</v>
      </c>
      <c r="F6892" t="s">
        <v>13446</v>
      </c>
      <c r="G6892" t="s">
        <v>14</v>
      </c>
      <c r="H6892">
             </c>
      <c r="I6892" t="s">
        <v>14</v>
      </c>
      <c r="J6892" t="s">
        <v>141</v>
      </c>
      <c r="K6892" t="s">
        <v>14</v>
      </c>
      <c r="L6892" t="s">
        <v>20</v>
      </c>
      <c r="M6892" t="s">
        <v>13164</v>
      </c>
      <c r="N6892" t="s">
        <v>14</v>
      </c>
    </row>
    <row r="6893" x14ac:dyDescent="0.25">
      <c r="A6893" t="n">
        <v>25</v>
      </c>
      <c r="B6893" t="s">
        <v>14</v>
      </c>
      <c r="C6893" t="s">
        <v>22</v>
      </c>
      <c r="D6893" s="2" t="s">
        <f>=HYPERLINK("https://main.knesset.gov.il/APPS/legislation/main/bills/2195984", "הצעת חוק לתיקון פקודת הראיות (דרישת הסיוע להרשעה על פי הודיה), התשפ""ג-2022")</f>
        <v>13447</v>
      </c>
      <c r="E6893" t="s">
        <v>13447</v>
      </c>
      <c r="F6893" t="s">
        <v>13448</v>
      </c>
      <c r="G6893" t="s">
        <v>14</v>
      </c>
      <c r="H6893">
             </c>
      <c r="I6893" t="s">
        <v>14</v>
      </c>
      <c r="J6893" t="s">
        <v>141</v>
      </c>
      <c r="K6893" t="s">
        <v>14</v>
      </c>
      <c r="L6893" t="s">
        <v>20</v>
      </c>
      <c r="M6893" t="s">
        <v>13164</v>
      </c>
      <c r="N6893" t="s">
        <v>14</v>
      </c>
    </row>
    <row r="6894" x14ac:dyDescent="0.25">
      <c r="A6894" t="n">
        <v>25</v>
      </c>
      <c r="B6894" t="s">
        <v>14</v>
      </c>
      <c r="C6894" t="s">
        <v>22</v>
      </c>
      <c r="D6894" s="2" t="s">
        <f>=HYPERLINK("https://main.knesset.gov.il/APPS/legislation/main/bills/2196592", "הצעת חוק מעמד השפה הערבית כשפה רשמית, התשפ""ג-2022")</f>
        <v>13449</v>
      </c>
      <c r="E6894" t="s">
        <v>13449</v>
      </c>
      <c r="F6894" t="s">
        <v>13450</v>
      </c>
      <c r="G6894" t="s">
        <v>14</v>
      </c>
      <c r="H6894">
             </c>
      <c r="I6894" t="s">
        <v>14</v>
      </c>
      <c r="J6894" t="s">
        <v>141</v>
      </c>
      <c r="K6894" t="s">
        <v>14</v>
      </c>
      <c r="L6894" t="s">
        <v>20</v>
      </c>
      <c r="M6894" t="s">
        <v>13164</v>
      </c>
      <c r="N6894" t="s">
        <v>14</v>
      </c>
    </row>
    <row r="6895" x14ac:dyDescent="0.25">
      <c r="A6895" t="n">
        <v>25</v>
      </c>
      <c r="B6895" t="s">
        <v>14</v>
      </c>
      <c r="C6895" t="s">
        <v>22</v>
      </c>
      <c r="D6895" s="2" t="s">
        <f>=HYPERLINK("https://main.knesset.gov.il/APPS/legislation/main/bills/2196080", "הצעת חוק הפיקוח על מעונות (תיקון - תנאי כשירות לעובדי מעון), התשפ""ג-2022")</f>
        <v>13451</v>
      </c>
      <c r="E6895" t="s">
        <v>13451</v>
      </c>
      <c r="F6895" t="s">
        <v>13452</v>
      </c>
      <c r="G6895" t="s">
        <v>14</v>
      </c>
      <c r="H6895">
             </c>
      <c r="I6895" t="s">
        <v>14</v>
      </c>
      <c r="J6895" t="s">
        <v>141</v>
      </c>
      <c r="K6895" t="s">
        <v>14</v>
      </c>
      <c r="L6895" t="s">
        <v>20</v>
      </c>
      <c r="M6895" t="s">
        <v>13164</v>
      </c>
      <c r="N6895" t="s">
        <v>14</v>
      </c>
    </row>
    <row r="6896" x14ac:dyDescent="0.25">
      <c r="A6896" t="n">
        <v>25</v>
      </c>
      <c r="B6896" t="s">
        <v>14</v>
      </c>
      <c r="C6896" t="s">
        <v>22</v>
      </c>
      <c r="D6896" s="2" t="s">
        <f>=HYPERLINK("https://main.knesset.gov.il/APPS/legislation/main/bills/2197488", "הצעת חוק הביטוח הלאומי (תיקון - דמי פגיעה לעובד עצמאי), התשפ""ג-2022")</f>
        <v>13453</v>
      </c>
      <c r="E6896" t="s">
        <v>13453</v>
      </c>
      <c r="F6896" t="s">
        <v>13454</v>
      </c>
      <c r="G6896" t="s">
        <v>14</v>
      </c>
      <c r="H6896">
             </c>
      <c r="I6896" t="s">
        <v>14</v>
      </c>
      <c r="J6896" t="s">
        <v>141</v>
      </c>
      <c r="K6896" t="s">
        <v>14</v>
      </c>
      <c r="L6896" t="s">
        <v>20</v>
      </c>
      <c r="M6896" t="s">
        <v>13164</v>
      </c>
      <c r="N6896" t="s">
        <v>14</v>
      </c>
    </row>
    <row r="6897" x14ac:dyDescent="0.25">
      <c r="A6897" t="n">
        <v>25</v>
      </c>
      <c r="B6897" t="s">
        <v>14</v>
      </c>
      <c r="C6897" t="s">
        <v>22</v>
      </c>
      <c r="D6897" s="2" t="s">
        <f>=HYPERLINK("https://main.knesset.gov.il/APPS/legislation/main/bills/2197615", "הצעת חוק הביטוח הלאומי (תיקון - דמי פגיעה לעובד עצמאי), התשפ""ג-2022")</f>
        <v>13453</v>
      </c>
      <c r="E6897" t="s">
        <v>13453</v>
      </c>
      <c r="F6897" t="s">
        <v>13455</v>
      </c>
      <c r="G6897" t="s">
        <v>14</v>
      </c>
      <c r="H6897">
             </c>
      <c r="I6897" t="s">
        <v>14</v>
      </c>
      <c r="J6897" t="s">
        <v>141</v>
      </c>
      <c r="K6897" t="s">
        <v>14</v>
      </c>
      <c r="L6897" t="s">
        <v>20</v>
      </c>
      <c r="M6897" t="s">
        <v>13164</v>
      </c>
      <c r="N6897" t="s">
        <v>14</v>
      </c>
    </row>
    <row r="6898" x14ac:dyDescent="0.25">
      <c r="A6898" t="n">
        <v>25</v>
      </c>
      <c r="B6898" t="s">
        <v>14</v>
      </c>
      <c r="C6898" t="s">
        <v>22</v>
      </c>
      <c r="D6898" s="2" t="s">
        <f>=HYPERLINK("https://main.knesset.gov.il/APPS/legislation/main/bills/2197554", "הצעת חוק להכרה, הנצחה, מחקר ותיעוד של פרשת ילדי תימן, המזרח והבלקן, התשפ""ג-2022")</f>
        <v>13456</v>
      </c>
      <c r="E6898" t="s">
        <v>13456</v>
      </c>
      <c r="F6898" t="s">
        <v>13457</v>
      </c>
      <c r="G6898" t="s">
        <v>14</v>
      </c>
      <c r="H6898">
             </c>
      <c r="I6898" t="s">
        <v>14</v>
      </c>
      <c r="J6898" t="s">
        <v>141</v>
      </c>
      <c r="K6898" t="s">
        <v>14</v>
      </c>
      <c r="L6898" t="s">
        <v>20</v>
      </c>
      <c r="M6898" t="s">
        <v>13164</v>
      </c>
      <c r="N6898" t="s">
        <v>14</v>
      </c>
    </row>
    <row r="6899" x14ac:dyDescent="0.25">
      <c r="A6899" t="n">
        <v>25</v>
      </c>
      <c r="B6899" t="s">
        <v>14</v>
      </c>
      <c r="C6899" t="s">
        <v>22</v>
      </c>
      <c r="D6899" s="2" t="s">
        <f>=HYPERLINK("https://main.knesset.gov.il/APPS/legislation/main/bills/2197553", "הצעת חוק הכשרות המשפטית והאפוטרופסות (תיקון - שלילת אפוטרופסות מהורה שהורשע ברצח או בנסיון לרצח), התשפ""ג-2022")</f>
        <v>13458</v>
      </c>
      <c r="E6899" t="s">
        <v>13458</v>
      </c>
      <c r="F6899" t="s">
        <v>13459</v>
      </c>
      <c r="G6899" t="s">
        <v>14</v>
      </c>
      <c r="H6899">
             </c>
      <c r="I6899" t="s">
        <v>14</v>
      </c>
      <c r="J6899" t="s">
        <v>141</v>
      </c>
      <c r="K6899" t="s">
        <v>14</v>
      </c>
      <c r="L6899" t="s">
        <v>20</v>
      </c>
      <c r="M6899" t="s">
        <v>13164</v>
      </c>
      <c r="N6899" t="s">
        <v>14</v>
      </c>
    </row>
    <row r="6900" x14ac:dyDescent="0.25">
      <c r="A6900" t="n">
        <v>25</v>
      </c>
      <c r="B6900" t="s">
        <v>14</v>
      </c>
      <c r="C6900" t="s">
        <v>22</v>
      </c>
      <c r="D6900" s="2" t="s">
        <f>=HYPERLINK("https://main.knesset.gov.il/APPS/legislation/main/bills/2197545", "הצעת חוק המפלגות (תיקון - הורדת גיל ההתפקדות), התשפ""ג-2022")</f>
        <v>13460</v>
      </c>
      <c r="E6900" t="s">
        <v>13460</v>
      </c>
      <c r="F6900" t="s">
        <v>13461</v>
      </c>
      <c r="G6900" t="s">
        <v>14</v>
      </c>
      <c r="H6900">
             </c>
      <c r="I6900" t="s">
        <v>14</v>
      </c>
      <c r="J6900" t="s">
        <v>141</v>
      </c>
      <c r="K6900" t="s">
        <v>14</v>
      </c>
      <c r="L6900" t="s">
        <v>20</v>
      </c>
      <c r="M6900" t="s">
        <v>13164</v>
      </c>
      <c r="N6900" t="s">
        <v>14</v>
      </c>
    </row>
    <row r="6901" x14ac:dyDescent="0.25">
      <c r="A6901" t="n">
        <v>25</v>
      </c>
      <c r="B6901" t="s">
        <v>14</v>
      </c>
      <c r="C6901" t="s">
        <v>22</v>
      </c>
      <c r="D6901" s="2" t="s">
        <f>=HYPERLINK("https://main.knesset.gov.il/APPS/legislation/main/bills/2197518", "הצעת חוק להבטחת פיצוי לתושבי גבעת עמל, התשפ""ג-2022")</f>
        <v>13462</v>
      </c>
      <c r="E6901" t="s">
        <v>13462</v>
      </c>
      <c r="F6901" t="s">
        <v>13463</v>
      </c>
      <c r="G6901" t="s">
        <v>14</v>
      </c>
      <c r="H6901">
             </c>
      <c r="I6901" t="s">
        <v>14</v>
      </c>
      <c r="J6901" t="s">
        <v>141</v>
      </c>
      <c r="K6901" t="s">
        <v>14</v>
      </c>
      <c r="L6901" t="s">
        <v>20</v>
      </c>
      <c r="M6901" t="s">
        <v>13164</v>
      </c>
      <c r="N6901" t="s">
        <v>14</v>
      </c>
    </row>
    <row r="6902" x14ac:dyDescent="0.25">
      <c r="A6902" t="n">
        <v>25</v>
      </c>
      <c r="B6902" t="s">
        <v>14</v>
      </c>
      <c r="C6902" t="s">
        <v>22</v>
      </c>
      <c r="D6902" s="2" t="s">
        <f>=HYPERLINK("https://main.knesset.gov.il/APPS/legislation/main/bills/2197513", "הצעת חוק הנכים (תגמולים ושיקום) (תיקון - הארכת תקופת הערעור על החלטת קצין התגמולים), התשפ""ג-2022")</f>
        <v>13464</v>
      </c>
      <c r="E6902" t="s">
        <v>13464</v>
      </c>
      <c r="F6902" t="s">
        <v>13465</v>
      </c>
      <c r="G6902" t="s">
        <v>14</v>
      </c>
      <c r="H6902">
             </c>
      <c r="I6902" t="s">
        <v>14</v>
      </c>
      <c r="J6902" t="s">
        <v>141</v>
      </c>
      <c r="K6902" t="s">
        <v>14</v>
      </c>
      <c r="L6902" t="s">
        <v>20</v>
      </c>
      <c r="M6902" t="s">
        <v>13164</v>
      </c>
      <c r="N6902" t="s">
        <v>14</v>
      </c>
    </row>
    <row r="6903" x14ac:dyDescent="0.25">
      <c r="A6903" t="n">
        <v>25</v>
      </c>
      <c r="B6903" t="s">
        <v>14</v>
      </c>
      <c r="C6903" t="s">
        <v>22</v>
      </c>
      <c r="D6903" s="2" t="s">
        <f>=HYPERLINK("https://main.knesset.gov.il/APPS/legislation/main/bills/2195926", "הצעת חוק לתיקון פקודת מסי העירייה ומסי הממשלה (פטורין) (החלת חובת תשלום ארנונה על נכסי ממשלה המצויים באזור), התשפ""ג-2022")</f>
        <v>13466</v>
      </c>
      <c r="E6903" t="s">
        <v>13466</v>
      </c>
      <c r="F6903" t="s">
        <v>13467</v>
      </c>
      <c r="G6903" t="s">
        <v>14</v>
      </c>
      <c r="H6903">
             </c>
      <c r="I6903" t="s">
        <v>14</v>
      </c>
      <c r="J6903" t="s">
        <v>141</v>
      </c>
      <c r="K6903" t="s">
        <v>14</v>
      </c>
      <c r="L6903" t="s">
        <v>20</v>
      </c>
      <c r="M6903" t="s">
        <v>13164</v>
      </c>
      <c r="N6903" t="s">
        <v>14</v>
      </c>
    </row>
    <row r="6904" x14ac:dyDescent="0.25">
      <c r="A6904" t="n">
        <v>25</v>
      </c>
      <c r="B6904" t="s">
        <v>14</v>
      </c>
      <c r="C6904" t="s">
        <v>22</v>
      </c>
      <c r="D6904" s="2" t="s">
        <f>=HYPERLINK("https://main.knesset.gov.il/APPS/legislation/main/bills/2195921", "הצעת חוק הגנת השכר (תיקון - פיצויי פיטורים בזמן אמת), התשפ""ג-2022")</f>
        <v>13468</v>
      </c>
      <c r="E6904" t="s">
        <v>13468</v>
      </c>
      <c r="F6904" t="s">
        <v>13469</v>
      </c>
      <c r="G6904" t="s">
        <v>14</v>
      </c>
      <c r="H6904">
             </c>
      <c r="I6904" t="s">
        <v>14</v>
      </c>
      <c r="J6904" t="s">
        <v>141</v>
      </c>
      <c r="K6904" t="s">
        <v>14</v>
      </c>
      <c r="L6904" t="s">
        <v>20</v>
      </c>
      <c r="M6904" t="s">
        <v>13164</v>
      </c>
      <c r="N6904" t="s">
        <v>14</v>
      </c>
    </row>
    <row r="6905" x14ac:dyDescent="0.25">
      <c r="A6905" t="n">
        <v>25</v>
      </c>
      <c r="B6905" t="s">
        <v>14</v>
      </c>
      <c r="C6905" t="s">
        <v>22</v>
      </c>
      <c r="D6905" s="2" t="s">
        <f>=HYPERLINK("https://main.knesset.gov.il/APPS/legislation/main/bills/2195919", "הצעת חוק האזרחים הוותיקים (תיקון - הנחה בארנונה לאזרח ותיק המתגורר בדירה שאינה בהחזקתו), התשפ""ג-2022")</f>
        <v>13470</v>
      </c>
      <c r="E6905" t="s">
        <v>13470</v>
      </c>
      <c r="F6905" t="s">
        <v>13471</v>
      </c>
      <c r="G6905" t="s">
        <v>14</v>
      </c>
      <c r="H6905">
             </c>
      <c r="I6905" t="s">
        <v>14</v>
      </c>
      <c r="J6905" t="s">
        <v>141</v>
      </c>
      <c r="K6905" t="s">
        <v>14</v>
      </c>
      <c r="L6905" t="s">
        <v>20</v>
      </c>
      <c r="M6905" t="s">
        <v>13164</v>
      </c>
      <c r="N6905" t="s">
        <v>14</v>
      </c>
    </row>
    <row r="6906" x14ac:dyDescent="0.25">
      <c r="A6906" t="n">
        <v>25</v>
      </c>
      <c r="B6906" t="s">
        <v>14</v>
      </c>
      <c r="C6906" t="s">
        <v>22</v>
      </c>
      <c r="D6906" s="2" t="s">
        <f>=HYPERLINK("https://main.knesset.gov.il/APPS/legislation/main/bills/2195700", "הצעת חוק הבטחת הכנסה (תיקון - שלילת גמלה בגלל פעולת טרור), התשפ""ג-2022")</f>
        <v>13472</v>
      </c>
      <c r="E6906" t="s">
        <v>13472</v>
      </c>
      <c r="F6906" t="s">
        <v>13473</v>
      </c>
      <c r="G6906" t="s">
        <v>14</v>
      </c>
      <c r="H6906">
             </c>
      <c r="I6906" t="s">
        <v>14</v>
      </c>
      <c r="J6906" t="s">
        <v>141</v>
      </c>
      <c r="K6906" t="s">
        <v>14</v>
      </c>
      <c r="L6906" t="s">
        <v>20</v>
      </c>
      <c r="M6906" t="s">
        <v>13164</v>
      </c>
      <c r="N6906" t="s">
        <v>14</v>
      </c>
    </row>
    <row r="6907" x14ac:dyDescent="0.25">
      <c r="A6907" t="n">
        <v>25</v>
      </c>
      <c r="B6907" t="s">
        <v>14</v>
      </c>
      <c r="C6907" t="s">
        <v>22</v>
      </c>
      <c r="D6907" s="2" t="s">
        <f>=HYPERLINK("https://main.knesset.gov.il/APPS/legislation/main/bills/2197973", "הצעת חוק חינוך ממלכתי (תיקון - תקצוב מלא למוסדות מוכרים לא רשמיים), התשפ""ג-2022")</f>
        <v>13474</v>
      </c>
      <c r="E6907" t="s">
        <v>13474</v>
      </c>
      <c r="F6907" t="s">
        <v>13475</v>
      </c>
      <c r="G6907" t="s">
        <v>14</v>
      </c>
      <c r="H6907">
             </c>
      <c r="I6907" t="s">
        <v>14</v>
      </c>
      <c r="J6907" t="s">
        <v>141</v>
      </c>
      <c r="K6907" t="s">
        <v>14</v>
      </c>
      <c r="L6907" t="s">
        <v>20</v>
      </c>
      <c r="M6907" t="s">
        <v>13164</v>
      </c>
      <c r="N6907" t="s">
        <v>14</v>
      </c>
    </row>
    <row r="6908" x14ac:dyDescent="0.25">
      <c r="A6908" t="n">
        <v>25</v>
      </c>
      <c r="B6908" t="s">
        <v>14</v>
      </c>
      <c r="C6908" t="s">
        <v>22</v>
      </c>
      <c r="D6908" s="2" t="s">
        <f>=HYPERLINK("https://main.knesset.gov.il/APPS/legislation/main/bills/2195687", "הצעת חוק ויתור על חסינות מפני תביעות לשון הרע (תיקוני חקיקה), התשפ""ג-2022")</f>
        <v>13476</v>
      </c>
      <c r="E6908" t="s">
        <v>13476</v>
      </c>
      <c r="F6908" t="s">
        <v>13477</v>
      </c>
      <c r="G6908" t="s">
        <v>14</v>
      </c>
      <c r="H6908">
             </c>
      <c r="I6908" t="s">
        <v>14</v>
      </c>
      <c r="J6908" t="s">
        <v>141</v>
      </c>
      <c r="K6908" t="s">
        <v>14</v>
      </c>
      <c r="L6908" t="s">
        <v>20</v>
      </c>
      <c r="M6908" t="s">
        <v>13164</v>
      </c>
      <c r="N6908" t="s">
        <v>14</v>
      </c>
    </row>
    <row r="6909" x14ac:dyDescent="0.25">
      <c r="A6909" t="n">
        <v>25</v>
      </c>
      <c r="B6909" t="s">
        <v>14</v>
      </c>
      <c r="C6909" t="s">
        <v>22</v>
      </c>
      <c r="D6909" s="2" t="s">
        <f>=HYPERLINK("https://main.knesset.gov.il/APPS/legislation/main/bills/2195656", "הצעת חוק גיור ממלכתי בישראל, התשפ""ג-2022")</f>
        <v>13478</v>
      </c>
      <c r="E6909" t="s">
        <v>13478</v>
      </c>
      <c r="F6909" t="s">
        <v>13479</v>
      </c>
      <c r="G6909" t="s">
        <v>14</v>
      </c>
      <c r="H6909">
             </c>
      <c r="I6909" t="s">
        <v>14</v>
      </c>
      <c r="J6909" t="s">
        <v>141</v>
      </c>
      <c r="K6909" t="s">
        <v>14</v>
      </c>
      <c r="L6909" t="s">
        <v>20</v>
      </c>
      <c r="M6909" t="s">
        <v>13164</v>
      </c>
      <c r="N6909" t="s">
        <v>14</v>
      </c>
    </row>
    <row r="6910" x14ac:dyDescent="0.25">
      <c r="A6910" t="n">
        <v>25</v>
      </c>
      <c r="B6910" t="s">
        <v>14</v>
      </c>
      <c r="C6910" t="s">
        <v>22</v>
      </c>
      <c r="D6910" s="2" t="s">
        <f>=HYPERLINK("https://main.knesset.gov.il/APPS/legislation/main/bills/2197977", "הצעת חוק חינוך ממלכתי (תיקון - שיבוץ עובדי הוראה), התשפ""ג-2022")</f>
        <v>13480</v>
      </c>
      <c r="E6910" t="s">
        <v>13480</v>
      </c>
      <c r="F6910" t="s">
        <v>13481</v>
      </c>
      <c r="G6910" t="s">
        <v>14</v>
      </c>
      <c r="H6910">
             </c>
      <c r="I6910" t="s">
        <v>14</v>
      </c>
      <c r="J6910" t="s">
        <v>141</v>
      </c>
      <c r="K6910" t="s">
        <v>14</v>
      </c>
      <c r="L6910" t="s">
        <v>20</v>
      </c>
      <c r="M6910" t="s">
        <v>13164</v>
      </c>
      <c r="N6910" t="s">
        <v>14</v>
      </c>
    </row>
    <row r="6911" x14ac:dyDescent="0.25">
      <c r="A6911" t="n">
        <v>25</v>
      </c>
      <c r="B6911" t="s">
        <v>14</v>
      </c>
      <c r="C6911" t="s">
        <v>22</v>
      </c>
      <c r="D6911" s="2" t="s">
        <f>=HYPERLINK("https://main.knesset.gov.il/APPS/legislation/main/bills/2197750", "הצעת חוק מתאם ממשלתי לזכויות ילדים ונוער, התשפ""ג-2022")</f>
        <v>13482</v>
      </c>
      <c r="E6911" t="s">
        <v>13482</v>
      </c>
      <c r="F6911" t="s">
        <v>13483</v>
      </c>
      <c r="G6911" t="s">
        <v>14</v>
      </c>
      <c r="H6911">
             </c>
      <c r="I6911" t="s">
        <v>14</v>
      </c>
      <c r="J6911" t="s">
        <v>141</v>
      </c>
      <c r="K6911" t="s">
        <v>14</v>
      </c>
      <c r="L6911" t="s">
        <v>20</v>
      </c>
      <c r="M6911" t="s">
        <v>13164</v>
      </c>
      <c r="N6911" t="s">
        <v>14</v>
      </c>
    </row>
    <row r="6912" x14ac:dyDescent="0.25">
      <c r="A6912" t="n">
        <v>25</v>
      </c>
      <c r="B6912" t="s">
        <v>14</v>
      </c>
      <c r="C6912" t="s">
        <v>22</v>
      </c>
      <c r="D6912" s="2" t="s">
        <f>=HYPERLINK("https://main.knesset.gov.il/APPS/legislation/main/bills/2197749", "הצעת חוק פיצוי חייבים בשל עיכוב בהסרת הליכים (תיקוני חקיקה), התשפ""ג-2022")</f>
        <v>13484</v>
      </c>
      <c r="E6912" t="s">
        <v>13484</v>
      </c>
      <c r="F6912" t="s">
        <v>13485</v>
      </c>
      <c r="G6912" t="s">
        <v>14</v>
      </c>
      <c r="H6912">
             </c>
      <c r="I6912" t="s">
        <v>14</v>
      </c>
      <c r="J6912" t="s">
        <v>141</v>
      </c>
      <c r="K6912" t="s">
        <v>14</v>
      </c>
      <c r="L6912" t="s">
        <v>20</v>
      </c>
      <c r="M6912" t="s">
        <v>13164</v>
      </c>
      <c r="N6912" t="s">
        <v>14</v>
      </c>
    </row>
    <row r="6913" x14ac:dyDescent="0.25">
      <c r="A6913" t="n">
        <v>25</v>
      </c>
      <c r="B6913" t="s">
        <v>14</v>
      </c>
      <c r="C6913" t="s">
        <v>22</v>
      </c>
      <c r="D6913" s="2" t="s">
        <f>=HYPERLINK("https://main.knesset.gov.il/APPS/legislation/main/bills/2197748", "הצעת חוק תאגידי מים וביוב (תיקון - הפעלת שירותי מים וביוב על ידי רשות מקומית), התשפ""ג-2022")</f>
        <v>13486</v>
      </c>
      <c r="E6913" t="s">
        <v>13486</v>
      </c>
      <c r="F6913" t="s">
        <v>13487</v>
      </c>
      <c r="G6913" t="s">
        <v>14</v>
      </c>
      <c r="H6913">
             </c>
      <c r="I6913" t="s">
        <v>14</v>
      </c>
      <c r="J6913" t="s">
        <v>141</v>
      </c>
      <c r="K6913" t="s">
        <v>14</v>
      </c>
      <c r="L6913" t="s">
        <v>20</v>
      </c>
      <c r="M6913" t="s">
        <v>13164</v>
      </c>
      <c r="N6913" t="s">
        <v>14</v>
      </c>
    </row>
    <row r="6914" x14ac:dyDescent="0.25">
      <c r="A6914" t="n">
        <v>25</v>
      </c>
      <c r="B6914" t="s">
        <v>14</v>
      </c>
      <c r="C6914" t="s">
        <v>22</v>
      </c>
      <c r="D6914" s="2" t="s">
        <f>=HYPERLINK("https://main.knesset.gov.il/APPS/legislation/main/bills/2197693", "הצעת חוק הגנת הפרטיות (תיקון - מחיקה ממאגרי מידע), התשפ""ג-2022")</f>
        <v>13488</v>
      </c>
      <c r="E6914" t="s">
        <v>13488</v>
      </c>
      <c r="F6914" t="s">
        <v>13489</v>
      </c>
      <c r="G6914" t="s">
        <v>14</v>
      </c>
      <c r="H6914">
             </c>
      <c r="I6914" t="s">
        <v>14</v>
      </c>
      <c r="J6914" t="s">
        <v>141</v>
      </c>
      <c r="K6914" t="s">
        <v>14</v>
      </c>
      <c r="L6914" t="s">
        <v>20</v>
      </c>
      <c r="M6914" t="s">
        <v>13164</v>
      </c>
      <c r="N6914" t="s">
        <v>14</v>
      </c>
    </row>
    <row r="6915" x14ac:dyDescent="0.25">
      <c r="A6915" t="n">
        <v>25</v>
      </c>
      <c r="B6915" t="s">
        <v>14</v>
      </c>
      <c r="C6915" t="s">
        <v>22</v>
      </c>
      <c r="D6915" s="2" t="s">
        <f>=HYPERLINK("https://main.knesset.gov.il/APPS/legislation/main/bills/2195653", "הצעת חוק להסדרת שירותי ההשגחה על הכשרות, התשפ""ג-2022")</f>
        <v>13490</v>
      </c>
      <c r="E6915" t="s">
        <v>13490</v>
      </c>
      <c r="F6915" t="s">
        <v>13491</v>
      </c>
      <c r="G6915" t="s">
        <v>14</v>
      </c>
      <c r="H6915">
             </c>
      <c r="I6915" t="s">
        <v>14</v>
      </c>
      <c r="J6915" t="s">
        <v>141</v>
      </c>
      <c r="K6915" t="s">
        <v>14</v>
      </c>
      <c r="L6915" t="s">
        <v>20</v>
      </c>
      <c r="M6915" t="s">
        <v>13164</v>
      </c>
      <c r="N6915" t="s">
        <v>14</v>
      </c>
    </row>
    <row r="6916" x14ac:dyDescent="0.25">
      <c r="A6916" t="n">
        <v>25</v>
      </c>
      <c r="B6916" t="s">
        <v>14</v>
      </c>
      <c r="C6916" t="s">
        <v>22</v>
      </c>
      <c r="D6916" s="2" t="s">
        <f>=HYPERLINK("https://main.knesset.gov.il/APPS/legislation/main/bills/2196792", "הצעת חוק-יסוד: השפיטה (תיקון - הגבלת זכות העמידה) ")</f>
        <v>13492</v>
      </c>
      <c r="E6916" t="s">
        <v>13492</v>
      </c>
      <c r="F6916" t="s">
        <v>13493</v>
      </c>
      <c r="G6916" t="s">
        <v>14</v>
      </c>
      <c r="H6916">
             </c>
      <c r="I6916" t="s">
        <v>14</v>
      </c>
      <c r="J6916" t="s">
        <v>141</v>
      </c>
      <c r="K6916" t="s">
        <v>14</v>
      </c>
      <c r="L6916" t="s">
        <v>20</v>
      </c>
      <c r="M6916" t="s">
        <v>13164</v>
      </c>
      <c r="N6916" t="s">
        <v>14</v>
      </c>
    </row>
    <row r="6917" x14ac:dyDescent="0.25">
      <c r="A6917" t="n">
        <v>25</v>
      </c>
      <c r="B6917" t="s">
        <v>14</v>
      </c>
      <c r="C6917" t="s">
        <v>22</v>
      </c>
      <c r="D6917" s="2" t="s">
        <f>=HYPERLINK("https://main.knesset.gov.il/APPS/legislation/main/bills/2196169", "הצעת חוק-יסוד: השפיטה (תיקון - הגבלת זכות העמידה)")</f>
        <v>4330</v>
      </c>
      <c r="E6917" t="s">
        <v>4330</v>
      </c>
      <c r="F6917" t="s">
        <v>13494</v>
      </c>
      <c r="G6917" t="s">
        <v>14</v>
      </c>
      <c r="H6917">
             </c>
      <c r="I6917" t="s">
        <v>14</v>
      </c>
      <c r="J6917" t="s">
        <v>141</v>
      </c>
      <c r="K6917" t="s">
        <v>14</v>
      </c>
      <c r="L6917" t="s">
        <v>20</v>
      </c>
      <c r="M6917" t="s">
        <v>13164</v>
      </c>
      <c r="N6917" t="s">
        <v>14</v>
      </c>
    </row>
    <row r="6918" x14ac:dyDescent="0.25">
      <c r="A6918" t="n">
        <v>25</v>
      </c>
      <c r="B6918" t="s">
        <v>14</v>
      </c>
      <c r="C6918" t="s">
        <v>22</v>
      </c>
      <c r="D6918" s="2" t="s">
        <f>=HYPERLINK("https://main.knesset.gov.il/APPS/legislation/main/bills/2197668", "הצעת חוק-יסוד: השפיטה (תיקון - הגבלת זכות העמידה)")</f>
        <v>4330</v>
      </c>
      <c r="E6918" t="s">
        <v>4330</v>
      </c>
      <c r="F6918" t="s">
        <v>13495</v>
      </c>
      <c r="G6918" t="s">
        <v>14</v>
      </c>
      <c r="H6918">
             </c>
      <c r="I6918" t="s">
        <v>14</v>
      </c>
      <c r="J6918" t="s">
        <v>141</v>
      </c>
      <c r="K6918" t="s">
        <v>14</v>
      </c>
      <c r="L6918" t="s">
        <v>20</v>
      </c>
      <c r="M6918" t="s">
        <v>13164</v>
      </c>
      <c r="N6918" t="s">
        <v>14</v>
      </c>
    </row>
    <row r="6919" x14ac:dyDescent="0.25">
      <c r="A6919" t="n">
        <v>25</v>
      </c>
      <c r="B6919" t="s">
        <v>14</v>
      </c>
      <c r="C6919" t="s">
        <v>22</v>
      </c>
      <c r="D6919" s="2" t="s">
        <f>=HYPERLINK("https://main.knesset.gov.il/APPS/legislation/main/bills/2196708", "הצעת חוק-יסוד: השפיטה (תיקון - הגבלת זכות העמידה)")</f>
        <v>4330</v>
      </c>
      <c r="E6919" t="s">
        <v>4330</v>
      </c>
      <c r="F6919" t="s">
        <v>13496</v>
      </c>
      <c r="G6919" t="s">
        <v>14</v>
      </c>
      <c r="H6919">
             </c>
      <c r="I6919" t="s">
        <v>14</v>
      </c>
      <c r="J6919" t="s">
        <v>141</v>
      </c>
      <c r="K6919" t="s">
        <v>14</v>
      </c>
      <c r="L6919" t="s">
        <v>20</v>
      </c>
      <c r="M6919" t="s">
        <v>13164</v>
      </c>
      <c r="N6919" t="s">
        <v>14</v>
      </c>
    </row>
    <row r="6920" x14ac:dyDescent="0.25">
      <c r="A6920" t="n">
        <v>25</v>
      </c>
      <c r="B6920" t="s">
        <v>14</v>
      </c>
      <c r="C6920" t="s">
        <v>22</v>
      </c>
      <c r="D6920" s="2" t="s">
        <f>=HYPERLINK("https://main.knesset.gov.il/APPS/legislation/main/bills/2197761", "הצעת חוק עבודת נשים (תיקון - תקופת לידה והורות להורה יחיד), התשפ""ג-2022")</f>
        <v>5991</v>
      </c>
      <c r="E6920" t="s">
        <v>5991</v>
      </c>
      <c r="F6920" t="s">
        <v>13497</v>
      </c>
      <c r="G6920" t="s">
        <v>14</v>
      </c>
      <c r="H6920">
             </c>
      <c r="I6920" t="s">
        <v>14</v>
      </c>
      <c r="J6920" t="s">
        <v>141</v>
      </c>
      <c r="K6920" t="s">
        <v>14</v>
      </c>
      <c r="L6920" t="s">
        <v>20</v>
      </c>
      <c r="M6920" t="s">
        <v>13164</v>
      </c>
      <c r="N6920" t="s">
        <v>14</v>
      </c>
    </row>
    <row r="6921" x14ac:dyDescent="0.25">
      <c r="A6921" t="n">
        <v>25</v>
      </c>
      <c r="B6921" t="s">
        <v>14</v>
      </c>
      <c r="C6921" t="s">
        <v>22</v>
      </c>
      <c r="D6921" s="2" t="s">
        <f>=HYPERLINK("https://main.knesset.gov.il/APPS/legislation/main/bills/2196001", "הצעת חוק הביטוח לאומי (תיקון - ביטוח זכויות עצמאי שעיקר הכנסתו מעסק בהליכי חדלות פירעון), התשפ""ג-2022")</f>
        <v>13498</v>
      </c>
      <c r="E6921" t="s">
        <v>13498</v>
      </c>
      <c r="F6921" t="s">
        <v>13499</v>
      </c>
      <c r="G6921" t="s">
        <v>14</v>
      </c>
      <c r="H6921">
             </c>
      <c r="I6921" t="s">
        <v>14</v>
      </c>
      <c r="J6921" t="s">
        <v>141</v>
      </c>
      <c r="K6921" t="s">
        <v>14</v>
      </c>
      <c r="L6921" t="s">
        <v>20</v>
      </c>
      <c r="M6921" t="s">
        <v>13164</v>
      </c>
      <c r="N6921" t="s">
        <v>14</v>
      </c>
    </row>
    <row r="6922" x14ac:dyDescent="0.25">
      <c r="A6922" t="n">
        <v>25</v>
      </c>
      <c r="B6922" t="s">
        <v>14</v>
      </c>
      <c r="C6922" t="s">
        <v>22</v>
      </c>
      <c r="D6922" s="2" t="s">
        <f>=HYPERLINK("https://main.knesset.gov.il/APPS/legislation/main/bills/2196967", "הצעת חוק לצמצום השימוש במזומן (תיקון - העברת אסמכתאות לאמצעי תשלום כתנאי לאישור העסקה), התשפ""ג-2022 ")</f>
        <v>13500</v>
      </c>
      <c r="E6922" t="s">
        <v>13500</v>
      </c>
      <c r="F6922" t="s">
        <v>13501</v>
      </c>
      <c r="G6922" t="s">
        <v>14</v>
      </c>
      <c r="H6922">
             </c>
      <c r="I6922" t="s">
        <v>14</v>
      </c>
      <c r="J6922" t="s">
        <v>141</v>
      </c>
      <c r="K6922" t="s">
        <v>14</v>
      </c>
      <c r="L6922" t="s">
        <v>20</v>
      </c>
      <c r="M6922" t="s">
        <v>13164</v>
      </c>
      <c r="N6922" t="s">
        <v>14</v>
      </c>
    </row>
    <row r="6923" x14ac:dyDescent="0.25">
      <c r="A6923" t="n">
        <v>25</v>
      </c>
      <c r="B6923" t="s">
        <v>14</v>
      </c>
      <c r="C6923" t="s">
        <v>22</v>
      </c>
      <c r="D6923" s="2" t="s">
        <f>=HYPERLINK("https://main.knesset.gov.il/APPS/legislation/main/bills/2197923", "הצעת חוק קליטת חיילים משוחררים (תיקון - מימון מלא לתכנית ""ממדים ללימודים""), התשפ""ג-2022")</f>
        <v>13502</v>
      </c>
      <c r="E6923" t="s">
        <v>13502</v>
      </c>
      <c r="F6923" t="s">
        <v>13503</v>
      </c>
      <c r="G6923" t="s">
        <v>14</v>
      </c>
      <c r="H6923">
             </c>
      <c r="I6923" t="s">
        <v>14</v>
      </c>
      <c r="J6923" t="s">
        <v>141</v>
      </c>
      <c r="K6923" t="s">
        <v>14</v>
      </c>
      <c r="L6923" t="s">
        <v>20</v>
      </c>
      <c r="M6923" t="s">
        <v>13164</v>
      </c>
      <c r="N6923" t="s">
        <v>14</v>
      </c>
    </row>
    <row r="6924" x14ac:dyDescent="0.25">
      <c r="A6924" t="n">
        <v>25</v>
      </c>
      <c r="B6924" t="s">
        <v>14</v>
      </c>
      <c r="C6924" t="s">
        <v>22</v>
      </c>
      <c r="D6924" s="2" t="s">
        <f>=HYPERLINK("https://main.knesset.gov.il/APPS/legislation/main/bills/2196734", "הצעת חוק-יסוד: הכנסת (תיקון - הרוב הנדרש למניעת השתתפות בבחירות)")</f>
        <v>13504</v>
      </c>
      <c r="E6924" t="s">
        <v>13504</v>
      </c>
      <c r="F6924" t="s">
        <v>13505</v>
      </c>
      <c r="G6924" t="s">
        <v>14</v>
      </c>
      <c r="H6924">
             </c>
      <c r="I6924" t="s">
        <v>14</v>
      </c>
      <c r="J6924" t="s">
        <v>141</v>
      </c>
      <c r="K6924" t="s">
        <v>14</v>
      </c>
      <c r="L6924" t="s">
        <v>20</v>
      </c>
      <c r="M6924" t="s">
        <v>13164</v>
      </c>
      <c r="N6924" t="s">
        <v>14</v>
      </c>
    </row>
    <row r="6925" x14ac:dyDescent="0.25">
      <c r="A6925" t="n">
        <v>25</v>
      </c>
      <c r="B6925" t="s">
        <v>14</v>
      </c>
      <c r="C6925" t="s">
        <v>22</v>
      </c>
      <c r="D6925" s="2" t="s">
        <f>=HYPERLINK("https://main.knesset.gov.il/APPS/legislation/main/bills/2196892", "הצעת חוק נתוני אשראי (תיקון - איסור שימוש בנתוני אשראי שנאספו בתקופת משבר הקורונה), התשפ""ג-2022")</f>
        <v>13506</v>
      </c>
      <c r="E6925" t="s">
        <v>13506</v>
      </c>
      <c r="F6925" t="s">
        <v>13507</v>
      </c>
      <c r="G6925" t="s">
        <v>14</v>
      </c>
      <c r="H6925">
             </c>
      <c r="I6925" t="s">
        <v>14</v>
      </c>
      <c r="J6925" t="s">
        <v>141</v>
      </c>
      <c r="K6925" t="s">
        <v>14</v>
      </c>
      <c r="L6925" t="s">
        <v>20</v>
      </c>
      <c r="M6925" t="s">
        <v>13164</v>
      </c>
      <c r="N6925" t="s">
        <v>14</v>
      </c>
    </row>
    <row r="6926" x14ac:dyDescent="0.25">
      <c r="A6926" t="n">
        <v>25</v>
      </c>
      <c r="B6926" t="s">
        <v>14</v>
      </c>
      <c r="C6926" t="s">
        <v>22</v>
      </c>
      <c r="D6926" s="2" t="s">
        <f>=HYPERLINK("https://main.knesset.gov.il/APPS/legislation/main/bills/2195922", "הצעת חוק זכויות נפגעי עבירה (תיקון - מתן זכות הבעת עמדה לנפגעי או נפגעות עבירה במעמד פסק הדין או גזר הדין), התשפ""ג-2022")</f>
        <v>13508</v>
      </c>
      <c r="E6926" t="s">
        <v>13508</v>
      </c>
      <c r="F6926" t="s">
        <v>13509</v>
      </c>
      <c r="G6926" t="s">
        <v>14</v>
      </c>
      <c r="H6926">
             </c>
      <c r="I6926" t="s">
        <v>14</v>
      </c>
      <c r="J6926" t="s">
        <v>141</v>
      </c>
      <c r="K6926" t="s">
        <v>14</v>
      </c>
      <c r="L6926" t="s">
        <v>20</v>
      </c>
      <c r="M6926" t="s">
        <v>13164</v>
      </c>
      <c r="N6926" t="s">
        <v>14</v>
      </c>
    </row>
    <row r="6927" x14ac:dyDescent="0.25">
      <c r="A6927" t="n">
        <v>25</v>
      </c>
      <c r="B6927" t="s">
        <v>14</v>
      </c>
      <c r="C6927" t="s">
        <v>22</v>
      </c>
      <c r="D6927" s="2" t="s">
        <f>=HYPERLINK("https://main.knesset.gov.il/APPS/legislation/main/bills/2196628", "הצעת חוק חוזה הביטוח (תיקון - מניעת כפל ביטוחים), התשפ""ג-2022")</f>
        <v>13510</v>
      </c>
      <c r="E6927" t="s">
        <v>13510</v>
      </c>
      <c r="F6927" t="s">
        <v>13511</v>
      </c>
      <c r="G6927" t="s">
        <v>14</v>
      </c>
      <c r="H6927">
             </c>
      <c r="I6927" t="s">
        <v>14</v>
      </c>
      <c r="J6927" t="s">
        <v>141</v>
      </c>
      <c r="K6927" t="s">
        <v>14</v>
      </c>
      <c r="L6927" t="s">
        <v>20</v>
      </c>
      <c r="M6927" t="s">
        <v>13164</v>
      </c>
      <c r="N6927" t="s">
        <v>14</v>
      </c>
    </row>
    <row r="6928" x14ac:dyDescent="0.25">
      <c r="A6928" t="n">
        <v>25</v>
      </c>
      <c r="B6928" t="s">
        <v>14</v>
      </c>
      <c r="C6928" t="s">
        <v>22</v>
      </c>
      <c r="D6928" s="2" t="s">
        <f>=HYPERLINK("https://main.knesset.gov.il/APPS/legislation/main/bills/2195994", "הצעת חוק העונשין (תיקון - מעשה מגונה בהסכמה בקטין שמלאו לו ארבע-עשרה שנים וטרם מלאו לו שש-עשרה שנים), התשפ""ג-2022")</f>
        <v>13512</v>
      </c>
      <c r="E6928" t="s">
        <v>13512</v>
      </c>
      <c r="F6928" t="s">
        <v>13513</v>
      </c>
      <c r="G6928" t="s">
        <v>14</v>
      </c>
      <c r="H6928">
             </c>
      <c r="I6928" t="s">
        <v>14</v>
      </c>
      <c r="J6928" t="s">
        <v>141</v>
      </c>
      <c r="K6928" t="s">
        <v>14</v>
      </c>
      <c r="L6928" t="s">
        <v>20</v>
      </c>
      <c r="M6928" t="s">
        <v>13164</v>
      </c>
      <c r="N6928" t="s">
        <v>14</v>
      </c>
    </row>
    <row r="6929" x14ac:dyDescent="0.25">
      <c r="A6929" t="n">
        <v>25</v>
      </c>
      <c r="B6929" t="s">
        <v>14</v>
      </c>
      <c r="C6929" t="s">
        <v>22</v>
      </c>
      <c r="D6929" s="2" t="s">
        <f>=HYPERLINK("https://main.knesset.gov.il/APPS/legislation/main/bills/2196688", "הצעת חוק להסדרת מקצוע עוזר רופא, התשפ""ג-2022")</f>
        <v>12889</v>
      </c>
      <c r="E6929" t="s">
        <v>12889</v>
      </c>
      <c r="F6929" t="s">
        <v>13514</v>
      </c>
      <c r="G6929" t="s">
        <v>14</v>
      </c>
      <c r="H6929">
             </c>
      <c r="I6929" t="s">
        <v>14</v>
      </c>
      <c r="J6929" t="s">
        <v>141</v>
      </c>
      <c r="K6929" t="s">
        <v>14</v>
      </c>
      <c r="L6929" t="s">
        <v>20</v>
      </c>
      <c r="M6929" t="s">
        <v>13164</v>
      </c>
      <c r="N6929" t="s">
        <v>14</v>
      </c>
    </row>
    <row r="6930" x14ac:dyDescent="0.25">
      <c r="A6930" t="n">
        <v>25</v>
      </c>
      <c r="B6930" t="s">
        <v>14</v>
      </c>
      <c r="C6930" t="s">
        <v>22</v>
      </c>
      <c r="D6930" s="2" t="s">
        <f>=HYPERLINK("https://main.knesset.gov.il/APPS/legislation/main/bills/2196871", "הצעת חוק-יסוד: השפיטה (תיקון - רשות ערעור למדינה על זיכוי אדם בפלילים)")</f>
        <v>1398</v>
      </c>
      <c r="E6930" t="s">
        <v>1398</v>
      </c>
      <c r="F6930" t="s">
        <v>13515</v>
      </c>
      <c r="G6930" t="s">
        <v>14</v>
      </c>
      <c r="H6930">
             </c>
      <c r="I6930" t="s">
        <v>14</v>
      </c>
      <c r="J6930" t="s">
        <v>141</v>
      </c>
      <c r="K6930" t="s">
        <v>14</v>
      </c>
      <c r="L6930" t="s">
        <v>20</v>
      </c>
      <c r="M6930" t="s">
        <v>13164</v>
      </c>
      <c r="N6930" t="s">
        <v>14</v>
      </c>
    </row>
    <row r="6931" x14ac:dyDescent="0.25">
      <c r="A6931" t="n">
        <v>25</v>
      </c>
      <c r="B6931" t="s">
        <v>14</v>
      </c>
      <c r="C6931" t="s">
        <v>22</v>
      </c>
      <c r="D6931" s="2" t="s">
        <f>=HYPERLINK("https://main.knesset.gov.il/APPS/legislation/main/bills/2196729", "הצעת חוק-יסוד: השפיטה (תיקון - רשות ערעור למדינה על זיכוי אדם בפלילים)")</f>
        <v>1398</v>
      </c>
      <c r="E6931" t="s">
        <v>1398</v>
      </c>
      <c r="F6931" t="s">
        <v>13516</v>
      </c>
      <c r="G6931" t="s">
        <v>14</v>
      </c>
      <c r="H6931">
             </c>
      <c r="I6931" t="s">
        <v>14</v>
      </c>
      <c r="J6931" t="s">
        <v>141</v>
      </c>
      <c r="K6931" t="s">
        <v>14</v>
      </c>
      <c r="L6931" t="s">
        <v>20</v>
      </c>
      <c r="M6931" t="s">
        <v>13164</v>
      </c>
      <c r="N6931" t="s">
        <v>14</v>
      </c>
    </row>
    <row r="6932" x14ac:dyDescent="0.25">
      <c r="A6932" t="n">
        <v>25</v>
      </c>
      <c r="B6932" t="s">
        <v>14</v>
      </c>
      <c r="C6932" t="s">
        <v>22</v>
      </c>
      <c r="D6932" s="2" t="s">
        <f>=HYPERLINK("https://main.knesset.gov.il/APPS/legislation/main/bills/2196664", "הצעת חוק להקמת אוניברסיטה ערבית ביישוב ערבי, התשפ""ג-2022")</f>
        <v>13517</v>
      </c>
      <c r="E6932" t="s">
        <v>13517</v>
      </c>
      <c r="F6932" t="s">
        <v>13518</v>
      </c>
      <c r="G6932" t="s">
        <v>14</v>
      </c>
      <c r="H6932">
             </c>
      <c r="I6932" t="s">
        <v>14</v>
      </c>
      <c r="J6932" t="s">
        <v>141</v>
      </c>
      <c r="K6932" t="s">
        <v>14</v>
      </c>
      <c r="L6932" t="s">
        <v>20</v>
      </c>
      <c r="M6932" t="s">
        <v>13164</v>
      </c>
      <c r="N6932" t="s">
        <v>14</v>
      </c>
    </row>
    <row r="6933" x14ac:dyDescent="0.25">
      <c r="A6933" t="n">
        <v>25</v>
      </c>
      <c r="B6933" t="s">
        <v>14</v>
      </c>
      <c r="C6933" t="s">
        <v>22</v>
      </c>
      <c r="D6933" s="2" t="s">
        <f>=HYPERLINK("https://main.knesset.gov.il/APPS/legislation/main/bills/2196043", "הצעת חוק לימוד חובה (תיקון - חובת לימודי ליבה), התשפ""ג-2022")</f>
        <v>13348</v>
      </c>
      <c r="E6933" t="s">
        <v>13348</v>
      </c>
      <c r="F6933" t="s">
        <v>13519</v>
      </c>
      <c r="G6933" t="s">
        <v>14</v>
      </c>
      <c r="H6933">
             </c>
      <c r="I6933" t="s">
        <v>14</v>
      </c>
      <c r="J6933" t="s">
        <v>141</v>
      </c>
      <c r="K6933" t="s">
        <v>14</v>
      </c>
      <c r="L6933" t="s">
        <v>20</v>
      </c>
      <c r="M6933" t="s">
        <v>13164</v>
      </c>
      <c r="N6933" t="s">
        <v>14</v>
      </c>
    </row>
    <row r="6934" x14ac:dyDescent="0.25">
      <c r="A6934" t="n">
        <v>25</v>
      </c>
      <c r="B6934" t="s">
        <v>14</v>
      </c>
      <c r="C6934" t="s">
        <v>22</v>
      </c>
      <c r="D6934" s="2" t="s">
        <f>=HYPERLINK("https://main.knesset.gov.il/APPS/legislation/main/bills/2196653", "הצעת חוק המיזם הלאומי לביטחון תזונתי, התשפ""ג-2022")</f>
        <v>13520</v>
      </c>
      <c r="E6934" t="s">
        <v>13520</v>
      </c>
      <c r="F6934" t="s">
        <v>13521</v>
      </c>
      <c r="G6934" t="s">
        <v>14</v>
      </c>
      <c r="H6934">
             </c>
      <c r="I6934" t="s">
        <v>14</v>
      </c>
      <c r="J6934" t="s">
        <v>141</v>
      </c>
      <c r="K6934" t="s">
        <v>14</v>
      </c>
      <c r="L6934" t="s">
        <v>20</v>
      </c>
      <c r="M6934" t="s">
        <v>13164</v>
      </c>
      <c r="N6934" t="s">
        <v>14</v>
      </c>
    </row>
    <row r="6935" x14ac:dyDescent="0.25">
      <c r="A6935" t="n">
        <v>25</v>
      </c>
      <c r="B6935" t="s">
        <v>14</v>
      </c>
      <c r="C6935" t="s">
        <v>22</v>
      </c>
      <c r="D6935" s="2" t="s">
        <f>=HYPERLINK("https://main.knesset.gov.il/APPS/legislation/main/bills/2195960", "הצעת חוק לתיקון פקודת העדה הדתית (המרה) (גיור על ידי רב מקומי וראש ישיבה), התשפ""ג-2022")</f>
        <v>13522</v>
      </c>
      <c r="E6935" t="s">
        <v>13522</v>
      </c>
      <c r="F6935" t="s">
        <v>13523</v>
      </c>
      <c r="G6935" t="s">
        <v>14</v>
      </c>
      <c r="H6935">
             </c>
      <c r="I6935" t="s">
        <v>14</v>
      </c>
      <c r="J6935" t="s">
        <v>141</v>
      </c>
      <c r="K6935" t="s">
        <v>14</v>
      </c>
      <c r="L6935" t="s">
        <v>20</v>
      </c>
      <c r="M6935" t="s">
        <v>13164</v>
      </c>
      <c r="N6935" t="s">
        <v>14</v>
      </c>
    </row>
    <row r="6936" x14ac:dyDescent="0.25">
      <c r="A6936" t="n">
        <v>25</v>
      </c>
      <c r="B6936" t="s">
        <v>14</v>
      </c>
      <c r="C6936" t="s">
        <v>22</v>
      </c>
      <c r="D6936" s="2" t="s">
        <f>=HYPERLINK("https://main.knesset.gov.il/APPS/legislation/main/bills/2197404", "הצעת חוק הירושה (תיקון - שלילת הזכות לירושה), התשפ""ג-2022")</f>
        <v>13524</v>
      </c>
      <c r="E6936" t="s">
        <v>13524</v>
      </c>
      <c r="F6936" t="s">
        <v>13525</v>
      </c>
      <c r="G6936" t="s">
        <v>14</v>
      </c>
      <c r="H6936">
             </c>
      <c r="I6936" t="s">
        <v>14</v>
      </c>
      <c r="J6936" t="s">
        <v>141</v>
      </c>
      <c r="K6936" t="s">
        <v>14</v>
      </c>
      <c r="L6936" t="s">
        <v>20</v>
      </c>
      <c r="M6936" t="s">
        <v>13164</v>
      </c>
      <c r="N6936" t="s">
        <v>14</v>
      </c>
    </row>
    <row r="6937" x14ac:dyDescent="0.25">
      <c r="A6937" t="n">
        <v>25</v>
      </c>
      <c r="B6937" t="s">
        <v>14</v>
      </c>
      <c r="C6937" t="s">
        <v>22</v>
      </c>
      <c r="D6937" s="2" t="s">
        <f>=HYPERLINK("https://main.knesset.gov.il/APPS/legislation/main/bills/2196586", "הצעת חוק לתיקון פקודת התעבורה (אכיפת נסיעה בלא כרטיס בידי מפקחים), התשפ""ג-2022")</f>
        <v>13526</v>
      </c>
      <c r="E6937" t="s">
        <v>13526</v>
      </c>
      <c r="F6937" t="s">
        <v>13527</v>
      </c>
      <c r="G6937" t="s">
        <v>14</v>
      </c>
      <c r="H6937">
             </c>
      <c r="I6937" t="s">
        <v>14</v>
      </c>
      <c r="J6937" t="s">
        <v>141</v>
      </c>
      <c r="K6937" t="s">
        <v>14</v>
      </c>
      <c r="L6937" t="s">
        <v>20</v>
      </c>
      <c r="M6937" t="s">
        <v>13164</v>
      </c>
      <c r="N6937" t="s">
        <v>14</v>
      </c>
    </row>
    <row r="6938" x14ac:dyDescent="0.25">
      <c r="A6938" t="n">
        <v>25</v>
      </c>
      <c r="B6938" t="s">
        <v>14</v>
      </c>
      <c r="C6938" t="s">
        <v>22</v>
      </c>
      <c r="D6938" s="2" t="s">
        <f>=HYPERLINK("https://main.knesset.gov.il/APPS/legislation/main/bills/2196193", "הצעת חוק הגנת הצרכן (תיקון - סימון תאריך ייצור ומועד תפוגה עברי), התשפ""ג-2022")</f>
        <v>12730</v>
      </c>
      <c r="E6938" t="s">
        <v>12730</v>
      </c>
      <c r="F6938" t="s">
        <v>13528</v>
      </c>
      <c r="G6938" t="s">
        <v>14</v>
      </c>
      <c r="H6938">
             </c>
      <c r="I6938" t="s">
        <v>14</v>
      </c>
      <c r="J6938" t="s">
        <v>141</v>
      </c>
      <c r="K6938" t="s">
        <v>14</v>
      </c>
      <c r="L6938" t="s">
        <v>20</v>
      </c>
      <c r="M6938" t="s">
        <v>13164</v>
      </c>
      <c r="N6938" t="s">
        <v>14</v>
      </c>
    </row>
    <row r="6939" x14ac:dyDescent="0.25">
      <c r="A6939" t="n">
        <v>25</v>
      </c>
      <c r="B6939" t="s">
        <v>14</v>
      </c>
      <c r="C6939" t="s">
        <v>22</v>
      </c>
      <c r="D6939" s="2" t="s">
        <f>=HYPERLINK("https://main.knesset.gov.il/APPS/legislation/main/bills/2195822", "הצעת חוק הבטחת הכנסה (תיקון - הכנסת מינימום לאזרח ותיק), התשפ""ג-2022")</f>
        <v>13529</v>
      </c>
      <c r="E6939" t="s">
        <v>13529</v>
      </c>
      <c r="F6939" t="s">
        <v>13530</v>
      </c>
      <c r="G6939" t="s">
        <v>14</v>
      </c>
      <c r="H6939">
             </c>
      <c r="I6939" t="s">
        <v>14</v>
      </c>
      <c r="J6939" t="s">
        <v>141</v>
      </c>
      <c r="K6939" t="s">
        <v>14</v>
      </c>
      <c r="L6939" t="s">
        <v>20</v>
      </c>
      <c r="M6939" t="s">
        <v>13164</v>
      </c>
      <c r="N6939" t="s">
        <v>14</v>
      </c>
    </row>
    <row r="6940" x14ac:dyDescent="0.25">
      <c r="A6940" t="n">
        <v>25</v>
      </c>
      <c r="B6940" t="s">
        <v>14</v>
      </c>
      <c r="C6940" t="s">
        <v>22</v>
      </c>
      <c r="D6940" s="2" t="s">
        <f>=HYPERLINK("https://main.knesset.gov.il/APPS/legislation/main/bills/2196055", "הצעת חוק מניעת אלימות במשפחה (תיקון - הגדרת אלימות במשפחה), התשפ""ג-2022")</f>
        <v>13531</v>
      </c>
      <c r="E6940" t="s">
        <v>13531</v>
      </c>
      <c r="F6940" t="s">
        <v>13532</v>
      </c>
      <c r="G6940" t="s">
        <v>14</v>
      </c>
      <c r="H6940">
             </c>
      <c r="I6940" t="s">
        <v>14</v>
      </c>
      <c r="J6940" t="s">
        <v>141</v>
      </c>
      <c r="K6940" t="s">
        <v>14</v>
      </c>
      <c r="L6940" t="s">
        <v>20</v>
      </c>
      <c r="M6940" t="s">
        <v>13164</v>
      </c>
      <c r="N6940" t="s">
        <v>14</v>
      </c>
    </row>
    <row r="6941" x14ac:dyDescent="0.25">
      <c r="A6941" t="n">
        <v>25</v>
      </c>
      <c r="B6941" t="s">
        <v>14</v>
      </c>
      <c r="C6941" t="s">
        <v>22</v>
      </c>
      <c r="D6941" s="2" t="s">
        <f>=HYPERLINK("https://main.knesset.gov.il/APPS/legislation/main/bills/2196000", "הצעת חוק מניעת סיכון בריאותי מהפעלת פליקרים במקומות ציבוריים, התשפ""ג-2022")</f>
        <v>13533</v>
      </c>
      <c r="E6941" t="s">
        <v>13533</v>
      </c>
      <c r="F6941" t="s">
        <v>13534</v>
      </c>
      <c r="G6941" t="s">
        <v>14</v>
      </c>
      <c r="H6941">
             </c>
      <c r="I6941" t="s">
        <v>14</v>
      </c>
      <c r="J6941" t="s">
        <v>141</v>
      </c>
      <c r="K6941" t="s">
        <v>14</v>
      </c>
      <c r="L6941" t="s">
        <v>20</v>
      </c>
      <c r="M6941" t="s">
        <v>13164</v>
      </c>
      <c r="N6941" t="s">
        <v>14</v>
      </c>
    </row>
    <row r="6942" x14ac:dyDescent="0.25">
      <c r="A6942" t="n">
        <v>25</v>
      </c>
      <c r="B6942" t="s">
        <v>14</v>
      </c>
      <c r="C6942" t="s">
        <v>22</v>
      </c>
      <c r="D6942" s="2" t="s">
        <f>=HYPERLINK("https://main.knesset.gov.il/APPS/legislation/main/bills/2196099", "הצעת חוק מס ערך מוסף (תיקון - הגבלת שיעור מס שכר למלכ""רים בירושלים), התשפ""ג-2022")</f>
        <v>13535</v>
      </c>
      <c r="E6942" t="s">
        <v>13535</v>
      </c>
      <c r="F6942" t="s">
        <v>13536</v>
      </c>
      <c r="G6942" t="s">
        <v>14</v>
      </c>
      <c r="H6942">
             </c>
      <c r="I6942" t="s">
        <v>14</v>
      </c>
      <c r="J6942" t="s">
        <v>141</v>
      </c>
      <c r="K6942" t="s">
        <v>14</v>
      </c>
      <c r="L6942" t="s">
        <v>20</v>
      </c>
      <c r="M6942" t="s">
        <v>13164</v>
      </c>
      <c r="N6942" t="s">
        <v>14</v>
      </c>
    </row>
    <row r="6943" x14ac:dyDescent="0.25">
      <c r="A6943" t="n">
        <v>25</v>
      </c>
      <c r="B6943" t="s">
        <v>14</v>
      </c>
      <c r="C6943" t="s">
        <v>22</v>
      </c>
      <c r="D6943" s="2" t="s">
        <f>=HYPERLINK("https://main.knesset.gov.il/APPS/legislation/main/bills/2196076", "הצעת חוק מעמד ותיקי מלחמת העולם השנייה (תיקון - מענק הטבות לוותיק מלחמה), התשפ""ג-2022")</f>
        <v>13537</v>
      </c>
      <c r="E6943" t="s">
        <v>13537</v>
      </c>
      <c r="F6943" t="s">
        <v>13538</v>
      </c>
      <c r="G6943" t="s">
        <v>14</v>
      </c>
      <c r="H6943">
             </c>
      <c r="I6943" t="s">
        <v>14</v>
      </c>
      <c r="J6943" t="s">
        <v>141</v>
      </c>
      <c r="K6943" t="s">
        <v>14</v>
      </c>
      <c r="L6943" t="s">
        <v>20</v>
      </c>
      <c r="M6943" t="s">
        <v>13164</v>
      </c>
      <c r="N6943" t="s">
        <v>14</v>
      </c>
    </row>
    <row r="6944" x14ac:dyDescent="0.25">
      <c r="A6944" t="n">
        <v>25</v>
      </c>
      <c r="B6944" t="s">
        <v>14</v>
      </c>
      <c r="C6944" t="s">
        <v>22</v>
      </c>
      <c r="D6944" s="2" t="s">
        <f>=HYPERLINK("https://main.knesset.gov.il/APPS/legislation/main/bills/2196788", "הצעת חוק זכויות הסטודנט (תיקון - ביטול ארגון סטודנטים יציג), התשפ""ג-2022")</f>
        <v>13539</v>
      </c>
      <c r="E6944" t="s">
        <v>13539</v>
      </c>
      <c r="F6944" t="s">
        <v>13540</v>
      </c>
      <c r="G6944" t="s">
        <v>14</v>
      </c>
      <c r="H6944">
             </c>
      <c r="I6944" t="s">
        <v>14</v>
      </c>
      <c r="J6944" t="s">
        <v>141</v>
      </c>
      <c r="K6944" t="s">
        <v>14</v>
      </c>
      <c r="L6944" t="s">
        <v>20</v>
      </c>
      <c r="M6944" t="s">
        <v>13164</v>
      </c>
      <c r="N6944" t="s">
        <v>14</v>
      </c>
    </row>
    <row r="6945" x14ac:dyDescent="0.25">
      <c r="A6945" t="n">
        <v>25</v>
      </c>
      <c r="B6945" t="s">
        <v>14</v>
      </c>
      <c r="C6945" t="s">
        <v>22</v>
      </c>
      <c r="D6945" s="2" t="s">
        <f>=HYPERLINK("https://main.knesset.gov.il/APPS/legislation/main/bills/2196106", "הצעת חוק האזרחים הוותיקים (תיקון - סל תרבות לאזרחים ותיקים עצמאיים המתגוררים בהוסטלים, מקבצי דיור או בתי דיור מוגן), התשפ""ג-2022")</f>
        <v>13541</v>
      </c>
      <c r="E6945" t="s">
        <v>13541</v>
      </c>
      <c r="F6945" t="s">
        <v>13542</v>
      </c>
      <c r="G6945" t="s">
        <v>14</v>
      </c>
      <c r="H6945">
             </c>
      <c r="I6945" t="s">
        <v>14</v>
      </c>
      <c r="J6945" t="s">
        <v>141</v>
      </c>
      <c r="K6945" t="s">
        <v>14</v>
      </c>
      <c r="L6945" t="s">
        <v>20</v>
      </c>
      <c r="M6945" t="s">
        <v>13164</v>
      </c>
      <c r="N6945" t="s">
        <v>14</v>
      </c>
    </row>
    <row r="6946" x14ac:dyDescent="0.25">
      <c r="A6946" t="n">
        <v>25</v>
      </c>
      <c r="B6946" t="s">
        <v>14</v>
      </c>
      <c r="C6946" t="s">
        <v>22</v>
      </c>
      <c r="D6946" s="2" t="s">
        <f>=HYPERLINK("https://main.knesset.gov.il/APPS/legislation/main/bills/2196704", "הצעת חוק זכויות הסטודנט (תיקון - ביטול ארגון סטודנטים יציג), התשפ""ג-2022")</f>
        <v>13539</v>
      </c>
      <c r="E6946" t="s">
        <v>13539</v>
      </c>
      <c r="F6946" t="s">
        <v>13543</v>
      </c>
      <c r="G6946" t="s">
        <v>14</v>
      </c>
      <c r="H6946">
             </c>
      <c r="I6946" t="s">
        <v>14</v>
      </c>
      <c r="J6946" t="s">
        <v>141</v>
      </c>
      <c r="K6946" t="s">
        <v>14</v>
      </c>
      <c r="L6946" t="s">
        <v>20</v>
      </c>
      <c r="M6946" t="s">
        <v>13164</v>
      </c>
      <c r="N6946" t="s">
        <v>14</v>
      </c>
    </row>
    <row r="6947" x14ac:dyDescent="0.25">
      <c r="A6947" t="n">
        <v>25</v>
      </c>
      <c r="B6947" t="s">
        <v>14</v>
      </c>
      <c r="C6947" t="s">
        <v>22</v>
      </c>
      <c r="D6947" s="2" t="s">
        <f>=HYPERLINK("https://main.knesset.gov.il/APPS/legislation/main/bills/2196120", "הצעת חוק עבודת הנוער (תיקון - העסקה במנוחה השבועית), התשפ""ג-2022")</f>
        <v>13544</v>
      </c>
      <c r="E6947" t="s">
        <v>13544</v>
      </c>
      <c r="F6947" t="s">
        <v>13545</v>
      </c>
      <c r="G6947" t="s">
        <v>14</v>
      </c>
      <c r="H6947">
             </c>
      <c r="I6947" t="s">
        <v>14</v>
      </c>
      <c r="J6947" t="s">
        <v>141</v>
      </c>
      <c r="K6947" t="s">
        <v>14</v>
      </c>
      <c r="L6947" t="s">
        <v>20</v>
      </c>
      <c r="M6947" t="s">
        <v>13164</v>
      </c>
      <c r="N6947" t="s">
        <v>14</v>
      </c>
    </row>
    <row r="6948" x14ac:dyDescent="0.25">
      <c r="A6948" t="n">
        <v>25</v>
      </c>
      <c r="B6948" t="s">
        <v>14</v>
      </c>
      <c r="C6948" t="s">
        <v>22</v>
      </c>
      <c r="D6948" s="2" t="s">
        <f>=HYPERLINK("https://main.knesset.gov.il/APPS/legislation/main/bills/2195849", "הצעת חוק האזרחות (תיקון - הוראות לעניין בקשת התאזרחות של בעל ואישה), התשפ''ג-2022")</f>
        <v>13546</v>
      </c>
      <c r="E6948" t="s">
        <v>13546</v>
      </c>
      <c r="F6948" t="s">
        <v>13547</v>
      </c>
      <c r="G6948" t="s">
        <v>14</v>
      </c>
      <c r="H6948">
             </c>
      <c r="I6948" t="s">
        <v>14</v>
      </c>
      <c r="J6948" t="s">
        <v>141</v>
      </c>
      <c r="K6948" t="s">
        <v>14</v>
      </c>
      <c r="L6948" t="s">
        <v>20</v>
      </c>
      <c r="M6948" t="s">
        <v>13164</v>
      </c>
      <c r="N6948" t="s">
        <v>14</v>
      </c>
    </row>
    <row r="6949" x14ac:dyDescent="0.25">
      <c r="A6949" t="n">
        <v>25</v>
      </c>
      <c r="B6949" t="s">
        <v>14</v>
      </c>
      <c r="C6949" t="s">
        <v>22</v>
      </c>
      <c r="D6949" s="2" t="s">
        <f>=HYPERLINK("https://main.knesset.gov.il/APPS/legislation/main/bills/2197649", "הצעת חוק השמירה על המקומות הקדושים (תיקון - חופש הפולחן), התשפ""ג-2022")</f>
        <v>13548</v>
      </c>
      <c r="E6949" t="s">
        <v>13548</v>
      </c>
      <c r="F6949" t="s">
        <v>13549</v>
      </c>
      <c r="G6949" t="s">
        <v>14</v>
      </c>
      <c r="H6949">
             </c>
      <c r="I6949" t="s">
        <v>14</v>
      </c>
      <c r="J6949" t="s">
        <v>141</v>
      </c>
      <c r="K6949" t="s">
        <v>14</v>
      </c>
      <c r="L6949" t="s">
        <v>20</v>
      </c>
      <c r="M6949" t="s">
        <v>13164</v>
      </c>
      <c r="N6949" t="s">
        <v>14</v>
      </c>
    </row>
    <row r="6950" x14ac:dyDescent="0.25">
      <c r="A6950" t="n">
        <v>25</v>
      </c>
      <c r="B6950" t="s">
        <v>14</v>
      </c>
      <c r="C6950" t="s">
        <v>22</v>
      </c>
      <c r="D6950" s="2" t="s">
        <f>=HYPERLINK("https://main.knesset.gov.il/APPS/legislation/main/bills/2196904", "הצעת חוק השמירה על המקומות הקדושים (תיקון - חופש הפולחן), התשפ""ג-2022")</f>
        <v>13548</v>
      </c>
      <c r="E6950" t="s">
        <v>13548</v>
      </c>
      <c r="F6950" t="s">
        <v>13550</v>
      </c>
      <c r="G6950" t="s">
        <v>14</v>
      </c>
      <c r="H6950">
             </c>
      <c r="I6950" t="s">
        <v>14</v>
      </c>
      <c r="J6950" t="s">
        <v>141</v>
      </c>
      <c r="K6950" t="s">
        <v>14</v>
      </c>
      <c r="L6950" t="s">
        <v>20</v>
      </c>
      <c r="M6950" t="s">
        <v>13164</v>
      </c>
      <c r="N6950" t="s">
        <v>14</v>
      </c>
    </row>
    <row r="6951" x14ac:dyDescent="0.25">
      <c r="A6951" t="n">
        <v>25</v>
      </c>
      <c r="B6951" t="s">
        <v>14</v>
      </c>
      <c r="C6951" t="s">
        <v>22</v>
      </c>
      <c r="D6951" s="2" t="s">
        <f>=HYPERLINK("https://main.knesset.gov.il/APPS/legislation/main/bills/2195878", "הצעת חוק ברית הזוגיות לחסרי דת (תיקון - ברית זוגיות למנועי חיתון בישראל), התשפ""ג-2022")</f>
        <v>13551</v>
      </c>
      <c r="E6951" t="s">
        <v>13551</v>
      </c>
      <c r="F6951" t="s">
        <v>13552</v>
      </c>
      <c r="G6951" t="s">
        <v>14</v>
      </c>
      <c r="H6951">
             </c>
      <c r="I6951" t="s">
        <v>14</v>
      </c>
      <c r="J6951" t="s">
        <v>141</v>
      </c>
      <c r="K6951" t="s">
        <v>14</v>
      </c>
      <c r="L6951" t="s">
        <v>20</v>
      </c>
      <c r="M6951" t="s">
        <v>13164</v>
      </c>
      <c r="N6951" t="s">
        <v>14</v>
      </c>
    </row>
    <row r="6952" x14ac:dyDescent="0.25">
      <c r="A6952" t="n">
        <v>25</v>
      </c>
      <c r="B6952" t="s">
        <v>14</v>
      </c>
      <c r="C6952" t="s">
        <v>22</v>
      </c>
      <c r="D6952" s="2" t="s">
        <f>=HYPERLINK("https://main.knesset.gov.il/APPS/legislation/main/bills/2197910", "הצעת חוק שירות המדינה (מינויים) (תיקון - מינוי יועצים משפטיים של משרדים), התשפ""ג-2022")</f>
        <v>13553</v>
      </c>
      <c r="E6952" t="s">
        <v>13553</v>
      </c>
      <c r="F6952" t="s">
        <v>13554</v>
      </c>
      <c r="G6952" t="s">
        <v>14</v>
      </c>
      <c r="H6952">
             </c>
      <c r="I6952" t="s">
        <v>14</v>
      </c>
      <c r="J6952" t="s">
        <v>141</v>
      </c>
      <c r="K6952" t="s">
        <v>14</v>
      </c>
      <c r="L6952" t="s">
        <v>20</v>
      </c>
      <c r="M6952" t="s">
        <v>13164</v>
      </c>
      <c r="N6952" t="s">
        <v>14</v>
      </c>
    </row>
    <row r="6953" x14ac:dyDescent="0.25">
      <c r="A6953" t="n">
        <v>25</v>
      </c>
      <c r="B6953" t="s">
        <v>14</v>
      </c>
      <c r="C6953" t="s">
        <v>22</v>
      </c>
      <c r="D6953" s="2" t="s">
        <f>=HYPERLINK("https://main.knesset.gov.il/APPS/legislation/main/bills/2196022", "הצעת חוק צער בעלי חיים (הגנה על בעלי חיים) (תיקון - תפיסה במקום מגורים ללא צו), התשפ""ג-2022")</f>
        <v>13555</v>
      </c>
      <c r="E6953" t="s">
        <v>13555</v>
      </c>
      <c r="F6953" t="s">
        <v>13556</v>
      </c>
      <c r="G6953" t="s">
        <v>14</v>
      </c>
      <c r="H6953">
             </c>
      <c r="I6953" t="s">
        <v>14</v>
      </c>
      <c r="J6953" t="s">
        <v>141</v>
      </c>
      <c r="K6953" t="s">
        <v>14</v>
      </c>
      <c r="L6953" t="s">
        <v>20</v>
      </c>
      <c r="M6953" t="s">
        <v>13164</v>
      </c>
      <c r="N6953" t="s">
        <v>14</v>
      </c>
    </row>
    <row r="6954" x14ac:dyDescent="0.25">
      <c r="A6954" t="n">
        <v>25</v>
      </c>
      <c r="B6954" t="s">
        <v>14</v>
      </c>
      <c r="C6954" t="s">
        <v>22</v>
      </c>
      <c r="D6954" s="2" t="s">
        <f>=HYPERLINK("https://main.knesset.gov.il/APPS/legislation/main/bills/2196164", "הצעת חוק ביטוח בריאות ממלכתי (תיקון - תרופות בסבסוד מלא לוותיקי מלחמת העולם השנייה), התשפ""ג-2022")</f>
        <v>13557</v>
      </c>
      <c r="E6954" t="s">
        <v>13557</v>
      </c>
      <c r="F6954" t="s">
        <v>13558</v>
      </c>
      <c r="G6954" t="s">
        <v>14</v>
      </c>
      <c r="H6954">
             </c>
      <c r="I6954" t="s">
        <v>14</v>
      </c>
      <c r="J6954" t="s">
        <v>141</v>
      </c>
      <c r="K6954" t="s">
        <v>14</v>
      </c>
      <c r="L6954" t="s">
        <v>20</v>
      </c>
      <c r="M6954" t="s">
        <v>13164</v>
      </c>
      <c r="N6954" t="s">
        <v>14</v>
      </c>
    </row>
    <row r="6955" x14ac:dyDescent="0.25">
      <c r="A6955" t="n">
        <v>25</v>
      </c>
      <c r="B6955" t="s">
        <v>14</v>
      </c>
      <c r="C6955" t="s">
        <v>22</v>
      </c>
      <c r="D6955" s="2" t="s">
        <f>=HYPERLINK("https://main.knesset.gov.il/APPS/legislation/main/bills/2196945", "הצעת חוק שירות המדינה (מינויים) (תיקון - מינוי יועצים משפטיים של משרדים), התשפ""ג-2022 ")</f>
        <v>13559</v>
      </c>
      <c r="E6955" t="s">
        <v>13559</v>
      </c>
      <c r="F6955" t="s">
        <v>13560</v>
      </c>
      <c r="G6955" t="s">
        <v>14</v>
      </c>
      <c r="H6955">
             </c>
      <c r="I6955" t="s">
        <v>14</v>
      </c>
      <c r="J6955" t="s">
        <v>141</v>
      </c>
      <c r="K6955" t="s">
        <v>14</v>
      </c>
      <c r="L6955" t="s">
        <v>20</v>
      </c>
      <c r="M6955" t="s">
        <v>13164</v>
      </c>
      <c r="N6955" t="s">
        <v>14</v>
      </c>
    </row>
    <row r="6956" x14ac:dyDescent="0.25">
      <c r="A6956" t="n">
        <v>25</v>
      </c>
      <c r="B6956" t="s">
        <v>14</v>
      </c>
      <c r="C6956" t="s">
        <v>22</v>
      </c>
      <c r="D6956" s="2" t="s">
        <f>=HYPERLINK("https://main.knesset.gov.il/APPS/legislation/main/bills/2196176", "הצעת חוק שיפוט בתי דין רבניים (נישואין וגירושין) (תיקון - נישואין אזרחיים בשטח שגרירות בישראל), התשפ""ג-2022")</f>
        <v>13561</v>
      </c>
      <c r="E6956" t="s">
        <v>13561</v>
      </c>
      <c r="F6956" t="s">
        <v>13562</v>
      </c>
      <c r="G6956" t="s">
        <v>14</v>
      </c>
      <c r="H6956">
             </c>
      <c r="I6956" t="s">
        <v>14</v>
      </c>
      <c r="J6956" t="s">
        <v>141</v>
      </c>
      <c r="K6956" t="s">
        <v>14</v>
      </c>
      <c r="L6956" t="s">
        <v>20</v>
      </c>
      <c r="M6956" t="s">
        <v>13164</v>
      </c>
      <c r="N6956" t="s">
        <v>14</v>
      </c>
    </row>
    <row r="6957" x14ac:dyDescent="0.25">
      <c r="A6957" t="n">
        <v>25</v>
      </c>
      <c r="B6957" t="s">
        <v>14</v>
      </c>
      <c r="C6957" t="s">
        <v>22</v>
      </c>
      <c r="D6957" s="2" t="s">
        <f>=HYPERLINK("https://main.knesset.gov.il/APPS/legislation/main/bills/2196872", "הצעת חוק שירות המדינה (מינויים) (תיקון - מינוי יועצים משפטיים של משרדים), התשפ""ג-2022 ")</f>
        <v>13559</v>
      </c>
      <c r="E6957" t="s">
        <v>13559</v>
      </c>
      <c r="F6957" t="s">
        <v>13563</v>
      </c>
      <c r="G6957" t="s">
        <v>14</v>
      </c>
      <c r="H6957">
             </c>
      <c r="I6957" t="s">
        <v>14</v>
      </c>
      <c r="J6957" t="s">
        <v>141</v>
      </c>
      <c r="K6957" t="s">
        <v>14</v>
      </c>
      <c r="L6957" t="s">
        <v>20</v>
      </c>
      <c r="M6957" t="s">
        <v>13164</v>
      </c>
      <c r="N6957" t="s">
        <v>14</v>
      </c>
    </row>
    <row r="6958" x14ac:dyDescent="0.25">
      <c r="A6958" t="n">
        <v>25</v>
      </c>
      <c r="B6958" t="s">
        <v>14</v>
      </c>
      <c r="C6958" t="s">
        <v>22</v>
      </c>
      <c r="D6958" s="2" t="s">
        <f>=HYPERLINK("https://main.knesset.gov.il/APPS/legislation/main/bills/2196096", "הצעת חוק שיפוט בתי דין רבניים (נישואין וגירושין) (תיקון - נישואין אזרחיים בשטח שגרירות בישראל), התשפ""ג-2022")</f>
        <v>13561</v>
      </c>
      <c r="E6958" t="s">
        <v>13561</v>
      </c>
      <c r="F6958" t="s">
        <v>13564</v>
      </c>
      <c r="G6958" t="s">
        <v>14</v>
      </c>
      <c r="H6958">
             </c>
      <c r="I6958" t="s">
        <v>14</v>
      </c>
      <c r="J6958" t="s">
        <v>141</v>
      </c>
      <c r="K6958" t="s">
        <v>14</v>
      </c>
      <c r="L6958" t="s">
        <v>20</v>
      </c>
      <c r="M6958" t="s">
        <v>13164</v>
      </c>
      <c r="N6958" t="s">
        <v>14</v>
      </c>
    </row>
    <row r="6959" x14ac:dyDescent="0.25">
      <c r="A6959" t="n">
        <v>25</v>
      </c>
      <c r="B6959" t="s">
        <v>14</v>
      </c>
      <c r="C6959" t="s">
        <v>22</v>
      </c>
      <c r="D6959" s="2" t="s">
        <f>=HYPERLINK("https://main.knesset.gov.il/APPS/legislation/main/bills/2196032", "הצעת חוק שירותי הדת היהודיים (תיקון - קציבת כהונת רב עיר), התשפ""ג-2022")</f>
        <v>13565</v>
      </c>
      <c r="E6959" t="s">
        <v>13565</v>
      </c>
      <c r="F6959" t="s">
        <v>13566</v>
      </c>
      <c r="G6959" t="s">
        <v>14</v>
      </c>
      <c r="H6959">
             </c>
      <c r="I6959" t="s">
        <v>14</v>
      </c>
      <c r="J6959" t="s">
        <v>141</v>
      </c>
      <c r="K6959" t="s">
        <v>14</v>
      </c>
      <c r="L6959" t="s">
        <v>20</v>
      </c>
      <c r="M6959" t="s">
        <v>13164</v>
      </c>
      <c r="N6959" t="s">
        <v>14</v>
      </c>
    </row>
    <row r="6960" x14ac:dyDescent="0.25">
      <c r="A6960" t="n">
        <v>25</v>
      </c>
      <c r="B6960" t="s">
        <v>14</v>
      </c>
      <c r="C6960" t="s">
        <v>22</v>
      </c>
      <c r="D6960" s="2" t="s">
        <f>=HYPERLINK("https://main.knesset.gov.il/APPS/legislation/main/bills/2196177", "הצעת חוק שירות המדינה (מינוים) (תיקון - מינוי יועצים משפטיים של משרדים), התשפ""ג-2022")</f>
        <v>13567</v>
      </c>
      <c r="E6960" t="s">
        <v>13567</v>
      </c>
      <c r="F6960" t="s">
        <v>13568</v>
      </c>
      <c r="G6960" t="s">
        <v>14</v>
      </c>
      <c r="H6960">
             </c>
      <c r="I6960" t="s">
        <v>14</v>
      </c>
      <c r="J6960" t="s">
        <v>141</v>
      </c>
      <c r="K6960" t="s">
        <v>14</v>
      </c>
      <c r="L6960" t="s">
        <v>20</v>
      </c>
      <c r="M6960" t="s">
        <v>13164</v>
      </c>
      <c r="N6960" t="s">
        <v>14</v>
      </c>
    </row>
    <row r="6961" x14ac:dyDescent="0.25">
      <c r="A6961" t="n">
        <v>25</v>
      </c>
      <c r="B6961" t="s">
        <v>14</v>
      </c>
      <c r="C6961" t="s">
        <v>22</v>
      </c>
      <c r="D6961" s="2" t="s">
        <f>=HYPERLINK("https://main.knesset.gov.il/APPS/legislation/main/bills/2197355", "הצעת חוק מעונות יום שיקומיים (תיקון - הקדמת גיל הזכאות), התשפ""ג-2022")</f>
        <v>12732</v>
      </c>
      <c r="E6961" t="s">
        <v>12732</v>
      </c>
      <c r="F6961" t="s">
        <v>13569</v>
      </c>
      <c r="G6961" t="s">
        <v>14</v>
      </c>
      <c r="H6961">
             </c>
      <c r="I6961" t="s">
        <v>14</v>
      </c>
      <c r="J6961" t="s">
        <v>141</v>
      </c>
      <c r="K6961" t="s">
        <v>14</v>
      </c>
      <c r="L6961" t="s">
        <v>20</v>
      </c>
      <c r="M6961" t="s">
        <v>13164</v>
      </c>
      <c r="N6961" t="s">
        <v>14</v>
      </c>
    </row>
    <row r="6962" x14ac:dyDescent="0.25">
      <c r="A6962" t="n">
        <v>25</v>
      </c>
      <c r="B6962" t="s">
        <v>14</v>
      </c>
      <c r="C6962" t="s">
        <v>22</v>
      </c>
      <c r="D6962" s="2" t="s">
        <f>=HYPERLINK("https://main.knesset.gov.il/APPS/legislation/main/bills/2196114", "הצעת חוק מעונות יום שיקומיים (תיקון - הקדמת גיל הזכאות), התשפ""ג-2022")</f>
        <v>12732</v>
      </c>
      <c r="E6962" t="s">
        <v>12732</v>
      </c>
      <c r="F6962" t="s">
        <v>13570</v>
      </c>
      <c r="G6962" t="s">
        <v>14</v>
      </c>
      <c r="H6962">
             </c>
      <c r="I6962" t="s">
        <v>14</v>
      </c>
      <c r="J6962" t="s">
        <v>141</v>
      </c>
      <c r="K6962" t="s">
        <v>14</v>
      </c>
      <c r="L6962" t="s">
        <v>20</v>
      </c>
      <c r="M6962" t="s">
        <v>13164</v>
      </c>
      <c r="N6962" t="s">
        <v>14</v>
      </c>
    </row>
    <row r="6963" x14ac:dyDescent="0.25">
      <c r="A6963" t="n">
        <v>25</v>
      </c>
      <c r="B6963" t="s">
        <v>14</v>
      </c>
      <c r="C6963" t="s">
        <v>22</v>
      </c>
      <c r="D6963" s="2" t="s">
        <f>=HYPERLINK("https://main.knesset.gov.il/APPS/legislation/main/bills/2195676", "הצעת חוק מעונות יום שיקומיים (תיקון - הקדמת גיל הזכאות), התשפ""ג-2022")</f>
        <v>12732</v>
      </c>
      <c r="E6963" t="s">
        <v>12732</v>
      </c>
      <c r="F6963" t="s">
        <v>13571</v>
      </c>
      <c r="G6963" t="s">
        <v>14</v>
      </c>
      <c r="H6963">
             </c>
      <c r="I6963" t="s">
        <v>14</v>
      </c>
      <c r="J6963" t="s">
        <v>141</v>
      </c>
      <c r="K6963" t="s">
        <v>14</v>
      </c>
      <c r="L6963" t="s">
        <v>20</v>
      </c>
      <c r="M6963" t="s">
        <v>13164</v>
      </c>
      <c r="N6963" t="s">
        <v>14</v>
      </c>
    </row>
    <row r="6964" x14ac:dyDescent="0.25">
      <c r="A6964" t="n">
        <v>25</v>
      </c>
      <c r="B6964" t="s">
        <v>14</v>
      </c>
      <c r="C6964" t="s">
        <v>22</v>
      </c>
      <c r="D6964" s="2" t="s">
        <f>=HYPERLINK("https://main.knesset.gov.il/APPS/legislation/main/bills/2197549", "הצעת חוק הגנה על הציבור (מזון) (תיקון - שאריות חומרי הדברה במזון), התשפ""ג-2022")</f>
        <v>13572</v>
      </c>
      <c r="E6964" t="s">
        <v>13572</v>
      </c>
      <c r="F6964" t="s">
        <v>13573</v>
      </c>
      <c r="G6964" t="s">
        <v>14</v>
      </c>
      <c r="H6964">
             </c>
      <c r="I6964" t="s">
        <v>14</v>
      </c>
      <c r="J6964" t="s">
        <v>141</v>
      </c>
      <c r="K6964" t="s">
        <v>14</v>
      </c>
      <c r="L6964" t="s">
        <v>20</v>
      </c>
      <c r="M6964" t="s">
        <v>13164</v>
      </c>
      <c r="N6964" t="s">
        <v>14</v>
      </c>
    </row>
    <row r="6965" x14ac:dyDescent="0.25">
      <c r="A6965" t="n">
        <v>25</v>
      </c>
      <c r="B6965" t="s">
        <v>14</v>
      </c>
      <c r="C6965" t="s">
        <v>22</v>
      </c>
      <c r="D6965" s="2" t="s">
        <f>=HYPERLINK("https://main.knesset.gov.il/APPS/legislation/main/bills/2195671", "הצעת חוק חינוך ממלכתי (תיקון - העסקת עובדי הוראה בחוזה אישי), התשפ""ג-2022 ")</f>
        <v>13574</v>
      </c>
      <c r="E6965" t="s">
        <v>13574</v>
      </c>
      <c r="F6965" t="s">
        <v>13575</v>
      </c>
      <c r="G6965" t="s">
        <v>14</v>
      </c>
      <c r="H6965">
             </c>
      <c r="I6965" t="s">
        <v>14</v>
      </c>
      <c r="J6965" t="s">
        <v>141</v>
      </c>
      <c r="K6965" t="s">
        <v>14</v>
      </c>
      <c r="L6965" t="s">
        <v>20</v>
      </c>
      <c r="M6965" t="s">
        <v>13164</v>
      </c>
      <c r="N6965" t="s">
        <v>14</v>
      </c>
    </row>
    <row r="6966" x14ac:dyDescent="0.25">
      <c r="A6966" t="n">
        <v>25</v>
      </c>
      <c r="B6966" t="s">
        <v>14</v>
      </c>
      <c r="C6966" t="s">
        <v>22</v>
      </c>
      <c r="D6966" s="2" t="s">
        <f>=HYPERLINK("https://main.knesset.gov.il/APPS/legislation/main/bills/2197168", "הצעת חוק משק החשמל (תיקון - תעריף מופחת לבתי חולים בפריפריה), התשפ""ג-2022")</f>
        <v>13576</v>
      </c>
      <c r="E6966" t="s">
        <v>13576</v>
      </c>
      <c r="F6966" t="s">
        <v>13577</v>
      </c>
      <c r="G6966" t="s">
        <v>14</v>
      </c>
      <c r="H6966">
             </c>
      <c r="I6966" t="s">
        <v>14</v>
      </c>
      <c r="J6966" t="s">
        <v>141</v>
      </c>
      <c r="K6966" t="s">
        <v>14</v>
      </c>
      <c r="L6966" t="s">
        <v>20</v>
      </c>
      <c r="M6966" t="s">
        <v>13164</v>
      </c>
      <c r="N6966" t="s">
        <v>14</v>
      </c>
    </row>
    <row r="6967" x14ac:dyDescent="0.25">
      <c r="A6967" t="n">
        <v>25</v>
      </c>
      <c r="B6967" t="s">
        <v>14</v>
      </c>
      <c r="C6967" t="s">
        <v>22</v>
      </c>
      <c r="D6967" s="2" t="s">
        <f>=HYPERLINK("https://main.knesset.gov.il/APPS/legislation/main/bills/2195677", "הצעת חוק לימוד חובה (תיקון - מנהל מוסד חינוך), התשפ""ג-2022")</f>
        <v>13578</v>
      </c>
      <c r="E6967" t="s">
        <v>13578</v>
      </c>
      <c r="F6967" t="s">
        <v>13579</v>
      </c>
      <c r="G6967" t="s">
        <v>14</v>
      </c>
      <c r="H6967">
             </c>
      <c r="I6967" t="s">
        <v>14</v>
      </c>
      <c r="J6967" t="s">
        <v>141</v>
      </c>
      <c r="K6967" t="s">
        <v>14</v>
      </c>
      <c r="L6967" t="s">
        <v>20</v>
      </c>
      <c r="M6967" t="s">
        <v>13164</v>
      </c>
      <c r="N6967" t="s">
        <v>14</v>
      </c>
    </row>
    <row r="6968" x14ac:dyDescent="0.25">
      <c r="A6968" t="n">
        <v>25</v>
      </c>
      <c r="B6968" t="s">
        <v>14</v>
      </c>
      <c r="C6968" t="s">
        <v>22</v>
      </c>
      <c r="D6968" s="2" t="s">
        <f>=HYPERLINK("https://main.knesset.gov.il/APPS/legislation/main/bills/2196800", "הצעת חוק הביטוח הלאומי (תיקון - קביעת אחוזי נכות ללקויי שמיעה - דו-צידי וחד-צידי), התשפ""ג-2022")</f>
        <v>13580</v>
      </c>
      <c r="E6968" t="s">
        <v>13580</v>
      </c>
      <c r="F6968" t="s">
        <v>13581</v>
      </c>
      <c r="G6968" t="s">
        <v>14</v>
      </c>
      <c r="H6968">
             </c>
      <c r="I6968" t="s">
        <v>14</v>
      </c>
      <c r="J6968" t="s">
        <v>141</v>
      </c>
      <c r="K6968" t="s">
        <v>14</v>
      </c>
      <c r="L6968" t="s">
        <v>20</v>
      </c>
      <c r="M6968" t="s">
        <v>13164</v>
      </c>
      <c r="N6968" t="s">
        <v>14</v>
      </c>
    </row>
    <row r="6969" x14ac:dyDescent="0.25">
      <c r="A6969" t="n">
        <v>25</v>
      </c>
      <c r="B6969" t="s">
        <v>14</v>
      </c>
      <c r="C6969" t="s">
        <v>22</v>
      </c>
      <c r="D6969" s="2" t="s">
        <f>=HYPERLINK("https://main.knesset.gov.il/APPS/legislation/main/bills/2196641", "הצעת חוק מיסוי מקרקעין (שבח ורכישה) (תיקון - חזקת דירה יחידה), התשפ""ג-2022")</f>
        <v>13582</v>
      </c>
      <c r="E6969" t="s">
        <v>13582</v>
      </c>
      <c r="F6969" t="s">
        <v>13583</v>
      </c>
      <c r="G6969" t="s">
        <v>14</v>
      </c>
      <c r="H6969">
             </c>
      <c r="I6969" t="s">
        <v>14</v>
      </c>
      <c r="J6969" t="s">
        <v>141</v>
      </c>
      <c r="K6969" t="s">
        <v>14</v>
      </c>
      <c r="L6969" t="s">
        <v>20</v>
      </c>
      <c r="M6969" t="s">
        <v>13164</v>
      </c>
      <c r="N6969" t="s">
        <v>14</v>
      </c>
    </row>
    <row r="6970" x14ac:dyDescent="0.25">
      <c r="A6970" t="n">
        <v>25</v>
      </c>
      <c r="B6970" t="s">
        <v>14</v>
      </c>
      <c r="C6970" t="s">
        <v>22</v>
      </c>
      <c r="D6970" s="2" t="s">
        <f>=HYPERLINK("https://main.knesset.gov.il/APPS/legislation/main/bills/2196633", "הצעת חוק העונשין (תיקון - איסור שיווק ומכירת הימורים בידי מי שאינו בעל היתר, פועל מטעמו או בפיקוחו), התשפ""ג-2022")</f>
        <v>13584</v>
      </c>
      <c r="E6970" t="s">
        <v>13584</v>
      </c>
      <c r="F6970" t="s">
        <v>13585</v>
      </c>
      <c r="G6970" t="s">
        <v>14</v>
      </c>
      <c r="H6970">
             </c>
      <c r="I6970" t="s">
        <v>14</v>
      </c>
      <c r="J6970" t="s">
        <v>141</v>
      </c>
      <c r="K6970" t="s">
        <v>14</v>
      </c>
      <c r="L6970" t="s">
        <v>20</v>
      </c>
      <c r="M6970" t="s">
        <v>13164</v>
      </c>
      <c r="N6970" t="s">
        <v>14</v>
      </c>
    </row>
    <row r="6971" x14ac:dyDescent="0.25">
      <c r="A6971" t="n">
        <v>25</v>
      </c>
      <c r="B6971" t="s">
        <v>14</v>
      </c>
      <c r="C6971" t="s">
        <v>22</v>
      </c>
      <c r="D6971" s="2" t="s">
        <f>=HYPERLINK("https://main.knesset.gov.il/APPS/legislation/main/bills/2196277", "הצעת חוק הבנקאות (שירות ללקוח) (תיקון - העברת משכנתה בין בנקים), התשפ""ג-2022")</f>
        <v>13586</v>
      </c>
      <c r="E6971" t="s">
        <v>13586</v>
      </c>
      <c r="F6971" t="s">
        <v>13587</v>
      </c>
      <c r="G6971" t="s">
        <v>14</v>
      </c>
      <c r="H6971">
             </c>
      <c r="I6971" t="s">
        <v>14</v>
      </c>
      <c r="J6971" t="s">
        <v>141</v>
      </c>
      <c r="K6971" t="s">
        <v>14</v>
      </c>
      <c r="L6971" t="s">
        <v>20</v>
      </c>
      <c r="M6971" t="s">
        <v>13164</v>
      </c>
      <c r="N6971" t="s">
        <v>14</v>
      </c>
    </row>
    <row r="6972" x14ac:dyDescent="0.25">
      <c r="A6972" t="n">
        <v>25</v>
      </c>
      <c r="B6972" t="s">
        <v>14</v>
      </c>
      <c r="C6972" t="s">
        <v>22</v>
      </c>
      <c r="D6972" s="2" t="s">
        <f>=HYPERLINK("https://main.knesset.gov.il/APPS/legislation/main/bills/2197056", "הצעת חוק שירותי הסעד (תיקון - הגבלת מספר התיקים בטיפול עובד סוציאלי המטפל במשפחות), התשפ""ג-2022")</f>
        <v>13588</v>
      </c>
      <c r="E6972" t="s">
        <v>13588</v>
      </c>
      <c r="F6972" t="s">
        <v>13589</v>
      </c>
      <c r="G6972" t="s">
        <v>14</v>
      </c>
      <c r="H6972">
             </c>
      <c r="I6972" t="s">
        <v>14</v>
      </c>
      <c r="J6972" t="s">
        <v>141</v>
      </c>
      <c r="K6972" t="s">
        <v>14</v>
      </c>
      <c r="L6972" t="s">
        <v>20</v>
      </c>
      <c r="M6972" t="s">
        <v>13164</v>
      </c>
      <c r="N6972" t="s">
        <v>14</v>
      </c>
    </row>
    <row r="6973" x14ac:dyDescent="0.25">
      <c r="A6973" t="n">
        <v>25</v>
      </c>
      <c r="B6973" t="s">
        <v>14</v>
      </c>
      <c r="C6973" t="s">
        <v>22</v>
      </c>
      <c r="D6973" s="2" t="s">
        <f>=HYPERLINK("https://main.knesset.gov.il/APPS/legislation/main/bills/2197046", "הצעת חוק ההוצאה לפועל (תיקון - החרגת עיקול רכב), התשפ""ג-2022")</f>
        <v>13590</v>
      </c>
      <c r="E6973" t="s">
        <v>13590</v>
      </c>
      <c r="F6973" t="s">
        <v>13591</v>
      </c>
      <c r="G6973" t="s">
        <v>14</v>
      </c>
      <c r="H6973">
             </c>
      <c r="I6973" t="s">
        <v>14</v>
      </c>
      <c r="J6973" t="s">
        <v>141</v>
      </c>
      <c r="K6973" t="s">
        <v>14</v>
      </c>
      <c r="L6973" t="s">
        <v>20</v>
      </c>
      <c r="M6973" t="s">
        <v>13164</v>
      </c>
      <c r="N6973" t="s">
        <v>14</v>
      </c>
    </row>
    <row r="6974" x14ac:dyDescent="0.25">
      <c r="A6974" t="n">
        <v>25</v>
      </c>
      <c r="B6974" t="s">
        <v>14</v>
      </c>
      <c r="C6974" t="s">
        <v>22</v>
      </c>
      <c r="D6974" s="2" t="s">
        <f>=HYPERLINK("https://main.knesset.gov.il/APPS/legislation/main/bills/2197028", "הצעת חוק פריסת תשלום חוב ללא תוספת ריבית או אגרה, התשפ""ג-2022")</f>
        <v>13592</v>
      </c>
      <c r="E6974" t="s">
        <v>13592</v>
      </c>
      <c r="F6974" t="s">
        <v>13593</v>
      </c>
      <c r="G6974" t="s">
        <v>14</v>
      </c>
      <c r="H6974">
             </c>
      <c r="I6974" t="s">
        <v>14</v>
      </c>
      <c r="J6974" t="s">
        <v>141</v>
      </c>
      <c r="K6974" t="s">
        <v>14</v>
      </c>
      <c r="L6974" t="s">
        <v>20</v>
      </c>
      <c r="M6974" t="s">
        <v>13164</v>
      </c>
      <c r="N6974" t="s">
        <v>14</v>
      </c>
    </row>
    <row r="6975" x14ac:dyDescent="0.25">
      <c r="A6975" t="n">
        <v>25</v>
      </c>
      <c r="B6975" t="s">
        <v>14</v>
      </c>
      <c r="C6975" t="s">
        <v>22</v>
      </c>
      <c r="D6975" s="2" t="s">
        <f>=HYPERLINK("https://main.knesset.gov.il/APPS/legislation/main/bills/2197012", "הצעת חוק להגבלת הוראות ההיתרים לעריכת הגרלות והימורים מאת שר האוצר (הוראת שעה), התשפ""ג-2022")</f>
        <v>13594</v>
      </c>
      <c r="E6975" t="s">
        <v>13594</v>
      </c>
      <c r="F6975" t="s">
        <v>13595</v>
      </c>
      <c r="G6975" t="s">
        <v>14</v>
      </c>
      <c r="H6975">
             </c>
      <c r="I6975" t="s">
        <v>14</v>
      </c>
      <c r="J6975" t="s">
        <v>141</v>
      </c>
      <c r="K6975" t="s">
        <v>14</v>
      </c>
      <c r="L6975" t="s">
        <v>20</v>
      </c>
      <c r="M6975" t="s">
        <v>13164</v>
      </c>
      <c r="N6975" t="s">
        <v>14</v>
      </c>
    </row>
    <row r="6976" x14ac:dyDescent="0.25">
      <c r="A6976" t="n">
        <v>25</v>
      </c>
      <c r="B6976" t="s">
        <v>14</v>
      </c>
      <c r="C6976" t="s">
        <v>22</v>
      </c>
      <c r="D6976" s="2" t="s">
        <f>=HYPERLINK("https://main.knesset.gov.il/APPS/legislation/main/bills/2197839", "הצעת חוק יום ציון ממלכתי לוועידת סן רמו, התשפ""ג-2022")</f>
        <v>13596</v>
      </c>
      <c r="E6976" t="s">
        <v>13596</v>
      </c>
      <c r="F6976" t="s">
        <v>13597</v>
      </c>
      <c r="G6976" t="s">
        <v>14</v>
      </c>
      <c r="H6976">
             </c>
      <c r="I6976" t="s">
        <v>14</v>
      </c>
      <c r="J6976" t="s">
        <v>141</v>
      </c>
      <c r="K6976" t="s">
        <v>14</v>
      </c>
      <c r="L6976" t="s">
        <v>20</v>
      </c>
      <c r="M6976" t="s">
        <v>13164</v>
      </c>
      <c r="N6976" t="s">
        <v>14</v>
      </c>
    </row>
    <row r="6977" x14ac:dyDescent="0.25">
      <c r="A6977" t="n">
        <v>25</v>
      </c>
      <c r="B6977" t="s">
        <v>14</v>
      </c>
      <c r="C6977" t="s">
        <v>22</v>
      </c>
      <c r="D6977" s="2" t="s">
        <f>=HYPERLINK("https://main.knesset.gov.il/APPS/legislation/main/bills/2197009", "הצעת חוק המתווכים במקרקעין (תיקון - הגבלת דמי תיווך), התשפ""ג-2022")</f>
        <v>13598</v>
      </c>
      <c r="E6977" t="s">
        <v>13598</v>
      </c>
      <c r="F6977" t="s">
        <v>13599</v>
      </c>
      <c r="G6977" t="s">
        <v>14</v>
      </c>
      <c r="H6977">
             </c>
      <c r="I6977" t="s">
        <v>14</v>
      </c>
      <c r="J6977" t="s">
        <v>141</v>
      </c>
      <c r="K6977" t="s">
        <v>14</v>
      </c>
      <c r="L6977" t="s">
        <v>20</v>
      </c>
      <c r="M6977" t="s">
        <v>13164</v>
      </c>
      <c r="N6977" t="s">
        <v>14</v>
      </c>
    </row>
    <row r="6978" x14ac:dyDescent="0.25">
      <c r="A6978" t="n">
        <v>25</v>
      </c>
      <c r="B6978" t="s">
        <v>14</v>
      </c>
      <c r="C6978" t="s">
        <v>22</v>
      </c>
      <c r="D6978" s="2" t="s">
        <f>=HYPERLINK("https://main.knesset.gov.il/APPS/legislation/main/bills/2197423", "הצעת חוק העונשין (תיקון - גזר דין עונש מוות למורשע ברצח בנסיבות טרור), התשפ""ג-2022")</f>
        <v>13600</v>
      </c>
      <c r="E6978" t="s">
        <v>13600</v>
      </c>
      <c r="F6978" t="s">
        <v>13601</v>
      </c>
      <c r="G6978" t="s">
        <v>14</v>
      </c>
      <c r="H6978">
             </c>
      <c r="I6978" t="s">
        <v>14</v>
      </c>
      <c r="J6978" t="s">
        <v>141</v>
      </c>
      <c r="K6978" t="s">
        <v>14</v>
      </c>
      <c r="L6978" t="s">
        <v>20</v>
      </c>
      <c r="M6978" t="s">
        <v>13164</v>
      </c>
      <c r="N6978" t="s">
        <v>14</v>
      </c>
    </row>
    <row r="6979" x14ac:dyDescent="0.25">
      <c r="A6979" t="n">
        <v>25</v>
      </c>
      <c r="B6979" t="s">
        <v>14</v>
      </c>
      <c r="C6979" t="s">
        <v>22</v>
      </c>
      <c r="D6979" s="2" t="s">
        <f>=HYPERLINK("https://main.knesset.gov.il/APPS/legislation/main/bills/2197514", "הצעת חוק ביטוח בריאות ממלכתי (תיקון - מחלה נדירה), התשפ""ג-2022")</f>
        <v>13602</v>
      </c>
      <c r="E6979" t="s">
        <v>13602</v>
      </c>
      <c r="F6979" t="s">
        <v>13603</v>
      </c>
      <c r="G6979" t="s">
        <v>14</v>
      </c>
      <c r="H6979">
             </c>
      <c r="I6979" t="s">
        <v>14</v>
      </c>
      <c r="J6979" t="s">
        <v>141</v>
      </c>
      <c r="K6979" t="s">
        <v>14</v>
      </c>
      <c r="L6979" t="s">
        <v>20</v>
      </c>
      <c r="M6979" t="s">
        <v>13164</v>
      </c>
      <c r="N6979" t="s">
        <v>14</v>
      </c>
    </row>
    <row r="6980" x14ac:dyDescent="0.25">
      <c r="A6980" t="n">
        <v>25</v>
      </c>
      <c r="B6980" t="s">
        <v>14</v>
      </c>
      <c r="C6980" t="s">
        <v>22</v>
      </c>
      <c r="D6980" s="2" t="s">
        <f>=HYPERLINK("https://main.knesset.gov.il/APPS/legislation/main/bills/2197315", "הצעת חוק ביטוח בריאות ממלכתי (תיקון - מחלה נדירה), התשפ""ג-2022")</f>
        <v>13602</v>
      </c>
      <c r="E6980" t="s">
        <v>13602</v>
      </c>
      <c r="F6980" t="s">
        <v>13604</v>
      </c>
      <c r="G6980" t="s">
        <v>14</v>
      </c>
      <c r="H6980">
             </c>
      <c r="I6980" t="s">
        <v>14</v>
      </c>
      <c r="J6980" t="s">
        <v>141</v>
      </c>
      <c r="K6980" t="s">
        <v>14</v>
      </c>
      <c r="L6980" t="s">
        <v>20</v>
      </c>
      <c r="M6980" t="s">
        <v>13164</v>
      </c>
      <c r="N6980" t="s">
        <v>14</v>
      </c>
    </row>
    <row r="6981" x14ac:dyDescent="0.25">
      <c r="A6981" t="n">
        <v>25</v>
      </c>
      <c r="B6981" t="s">
        <v>14</v>
      </c>
      <c r="C6981" t="s">
        <v>22</v>
      </c>
      <c r="D6981" s="2" t="s">
        <f>=HYPERLINK("https://main.knesset.gov.il/APPS/legislation/main/bills/2196522", "הצעת חוק לתיקון פקודת בריאות העם (מכרז להצבת מכונות מזון אוטומטיות), התשפ""ג-2022")</f>
        <v>13605</v>
      </c>
      <c r="E6981" t="s">
        <v>13605</v>
      </c>
      <c r="F6981" t="s">
        <v>13606</v>
      </c>
      <c r="G6981" t="s">
        <v>14</v>
      </c>
      <c r="H6981">
             </c>
      <c r="I6981" t="s">
        <v>14</v>
      </c>
      <c r="J6981" t="s">
        <v>141</v>
      </c>
      <c r="K6981" t="s">
        <v>14</v>
      </c>
      <c r="L6981" t="s">
        <v>20</v>
      </c>
      <c r="M6981" t="s">
        <v>13164</v>
      </c>
      <c r="N6981" t="s">
        <v>14</v>
      </c>
    </row>
    <row r="6982" x14ac:dyDescent="0.25">
      <c r="A6982" t="n">
        <v>25</v>
      </c>
      <c r="B6982" t="s">
        <v>14</v>
      </c>
      <c r="C6982" t="s">
        <v>22</v>
      </c>
      <c r="D6982" s="2" t="s">
        <f>=HYPERLINK("https://main.knesset.gov.il/APPS/legislation/main/bills/2196972", "הצעת חוק-יסוד: כבוד האדם וחירותו (תיקון - פסקת התגברות)")</f>
        <v>13607</v>
      </c>
      <c r="E6982" t="s">
        <v>13607</v>
      </c>
      <c r="F6982" t="s">
        <v>13608</v>
      </c>
      <c r="G6982" t="s">
        <v>14</v>
      </c>
      <c r="H6982">
             </c>
      <c r="I6982" t="s">
        <v>14</v>
      </c>
      <c r="J6982" t="s">
        <v>141</v>
      </c>
      <c r="K6982" t="s">
        <v>14</v>
      </c>
      <c r="L6982" t="s">
        <v>20</v>
      </c>
      <c r="M6982" t="s">
        <v>13164</v>
      </c>
      <c r="N6982" t="s">
        <v>14</v>
      </c>
    </row>
    <row r="6983" x14ac:dyDescent="0.25">
      <c r="A6983" t="n">
        <v>25</v>
      </c>
      <c r="B6983" t="s">
        <v>14</v>
      </c>
      <c r="C6983" t="s">
        <v>22</v>
      </c>
      <c r="D6983" s="2" t="s">
        <f>=HYPERLINK("https://main.knesset.gov.il/APPS/legislation/main/bills/2197243", "הצעת חוק ביטוח בריאות ממלכתי (תיקון - מחלה נדירה), התשפ""ג-2022")</f>
        <v>13602</v>
      </c>
      <c r="E6983" t="s">
        <v>13602</v>
      </c>
      <c r="F6983" t="s">
        <v>13609</v>
      </c>
      <c r="G6983" t="s">
        <v>14</v>
      </c>
      <c r="H6983">
             </c>
      <c r="I6983" t="s">
        <v>14</v>
      </c>
      <c r="J6983" t="s">
        <v>141</v>
      </c>
      <c r="K6983" t="s">
        <v>14</v>
      </c>
      <c r="L6983" t="s">
        <v>20</v>
      </c>
      <c r="M6983" t="s">
        <v>13164</v>
      </c>
      <c r="N6983" t="s">
        <v>14</v>
      </c>
    </row>
    <row r="6984" x14ac:dyDescent="0.25">
      <c r="A6984" t="n">
        <v>25</v>
      </c>
      <c r="B6984" t="s">
        <v>14</v>
      </c>
      <c r="C6984" t="s">
        <v>22</v>
      </c>
      <c r="D6984" s="2" t="s">
        <f>=HYPERLINK("https://main.knesset.gov.il/APPS/legislation/main/bills/2196145", "הצעת חוק לתיקון פקודת התעבורה (הגבלת תנועת כלי רכב ביום הכיפורים), התשפ""ג-2022")</f>
        <v>13610</v>
      </c>
      <c r="E6984" t="s">
        <v>13610</v>
      </c>
      <c r="F6984" t="s">
        <v>13611</v>
      </c>
      <c r="G6984" t="s">
        <v>14</v>
      </c>
      <c r="H6984">
             </c>
      <c r="I6984" t="s">
        <v>14</v>
      </c>
      <c r="J6984" t="s">
        <v>141</v>
      </c>
      <c r="K6984" t="s">
        <v>14</v>
      </c>
      <c r="L6984" t="s">
        <v>20</v>
      </c>
      <c r="M6984" t="s">
        <v>13164</v>
      </c>
      <c r="N6984" t="s">
        <v>14</v>
      </c>
    </row>
    <row r="6985" x14ac:dyDescent="0.25">
      <c r="A6985" t="n">
        <v>25</v>
      </c>
      <c r="B6985" t="s">
        <v>14</v>
      </c>
      <c r="C6985" t="s">
        <v>22</v>
      </c>
      <c r="D6985" s="2" t="s">
        <f>=HYPERLINK("https://main.knesset.gov.il/APPS/legislation/main/bills/2196707", "הצעת חוק שמירת הקדושה של הכותל המערבי ורחבתו, התשפ""ג-2022")</f>
        <v>13612</v>
      </c>
      <c r="E6985" t="s">
        <v>13612</v>
      </c>
      <c r="F6985" t="s">
        <v>13613</v>
      </c>
      <c r="G6985" t="s">
        <v>14</v>
      </c>
      <c r="H6985">
             </c>
      <c r="I6985" t="s">
        <v>14</v>
      </c>
      <c r="J6985" t="s">
        <v>141</v>
      </c>
      <c r="K6985" t="s">
        <v>14</v>
      </c>
      <c r="L6985" t="s">
        <v>20</v>
      </c>
      <c r="M6985" t="s">
        <v>13164</v>
      </c>
      <c r="N6985" t="s">
        <v>14</v>
      </c>
    </row>
    <row r="6986" x14ac:dyDescent="0.25">
      <c r="A6986" t="n">
        <v>25</v>
      </c>
      <c r="B6986" t="s">
        <v>14</v>
      </c>
      <c r="C6986" t="s">
        <v>22</v>
      </c>
      <c r="D6986" s="2" t="s">
        <f>=HYPERLINK("https://main.knesset.gov.il/APPS/legislation/main/bills/2196139", "הצעת חוק חוזה עבודה (הגבלות לעניין סיום העסקה של עובד), התשפ""ג-2022 ")</f>
        <v>13614</v>
      </c>
      <c r="E6986" t="s">
        <v>13614</v>
      </c>
      <c r="F6986" t="s">
        <v>13615</v>
      </c>
      <c r="G6986" t="s">
        <v>14</v>
      </c>
      <c r="H6986">
             </c>
      <c r="I6986" t="s">
        <v>14</v>
      </c>
      <c r="J6986" t="s">
        <v>141</v>
      </c>
      <c r="K6986" t="s">
        <v>14</v>
      </c>
      <c r="L6986" t="s">
        <v>20</v>
      </c>
      <c r="M6986" t="s">
        <v>13164</v>
      </c>
      <c r="N6986" t="s">
        <v>14</v>
      </c>
    </row>
    <row r="6987" x14ac:dyDescent="0.25">
      <c r="A6987" t="n">
        <v>25</v>
      </c>
      <c r="B6987" t="s">
        <v>14</v>
      </c>
      <c r="C6987" t="s">
        <v>22</v>
      </c>
      <c r="D6987" s="2" t="s">
        <f>=HYPERLINK("https://main.knesset.gov.il/APPS/legislation/main/bills/2196132", "הצעת חוק רישוי עסקים (תיקון - התקנת מכשיר לבדיקת רמת אלכוהול), התשפ""ג-2022")</f>
        <v>13616</v>
      </c>
      <c r="E6987" t="s">
        <v>13616</v>
      </c>
      <c r="F6987" t="s">
        <v>13617</v>
      </c>
      <c r="G6987" t="s">
        <v>14</v>
      </c>
      <c r="H6987">
             </c>
      <c r="I6987" t="s">
        <v>14</v>
      </c>
      <c r="J6987" t="s">
        <v>141</v>
      </c>
      <c r="K6987" t="s">
        <v>14</v>
      </c>
      <c r="L6987" t="s">
        <v>20</v>
      </c>
      <c r="M6987" t="s">
        <v>13164</v>
      </c>
      <c r="N6987" t="s">
        <v>14</v>
      </c>
    </row>
    <row r="6988" x14ac:dyDescent="0.25">
      <c r="A6988" t="n">
        <v>25</v>
      </c>
      <c r="B6988" t="s">
        <v>14</v>
      </c>
      <c r="C6988" t="s">
        <v>22</v>
      </c>
      <c r="D6988" s="2" t="s">
        <f>=HYPERLINK("https://main.knesset.gov.il/APPS/legislation/main/bills/2196118", "הצעת חוק הפסקת חברות של חבר כנסת והעברת שר וראש ממשלה מכהונתם מחמת הפרת הבטחת בחירות (תיקוני חקיקה), התשפ""ג-2022")</f>
        <v>13618</v>
      </c>
      <c r="E6988" t="s">
        <v>13618</v>
      </c>
      <c r="F6988" t="s">
        <v>13619</v>
      </c>
      <c r="G6988" t="s">
        <v>14</v>
      </c>
      <c r="H6988">
             </c>
      <c r="I6988" t="s">
        <v>14</v>
      </c>
      <c r="J6988" t="s">
        <v>141</v>
      </c>
      <c r="K6988" t="s">
        <v>14</v>
      </c>
      <c r="L6988" t="s">
        <v>20</v>
      </c>
      <c r="M6988" t="s">
        <v>13164</v>
      </c>
      <c r="N6988" t="s">
        <v>14</v>
      </c>
    </row>
    <row r="6989" x14ac:dyDescent="0.25">
      <c r="A6989" t="n">
        <v>25</v>
      </c>
      <c r="B6989" t="s">
        <v>14</v>
      </c>
      <c r="C6989" t="s">
        <v>22</v>
      </c>
      <c r="D6989" s="2" t="s">
        <f>=HYPERLINK("https://main.knesset.gov.il/APPS/legislation/main/bills/2196081", "הצעת חוק הפיקוח על מעונות (תיקון - כשירותם של אנשי צוות), התשפ""ג-2022")</f>
        <v>13620</v>
      </c>
      <c r="E6989" t="s">
        <v>13620</v>
      </c>
      <c r="F6989" t="s">
        <v>13621</v>
      </c>
      <c r="G6989" t="s">
        <v>14</v>
      </c>
      <c r="H6989">
             </c>
      <c r="I6989" t="s">
        <v>14</v>
      </c>
      <c r="J6989" t="s">
        <v>141</v>
      </c>
      <c r="K6989" t="s">
        <v>14</v>
      </c>
      <c r="L6989" t="s">
        <v>20</v>
      </c>
      <c r="M6989" t="s">
        <v>13164</v>
      </c>
      <c r="N6989" t="s">
        <v>14</v>
      </c>
    </row>
    <row r="6990" x14ac:dyDescent="0.25">
      <c r="A6990" t="n">
        <v>25</v>
      </c>
      <c r="B6990" t="s">
        <v>14</v>
      </c>
      <c r="C6990" t="s">
        <v>22</v>
      </c>
      <c r="D6990" s="2" t="s">
        <f>=HYPERLINK("https://main.knesset.gov.il/APPS/legislation/main/bills/2197308", "הצעת חוק ביטוח בריאות ממלכתי (תיקון - החזר דמי נסיעות עבור חולה סיעודי וחולה שנפטר), התשפ""ג-2022")</f>
        <v>13622</v>
      </c>
      <c r="E6990" t="s">
        <v>13622</v>
      </c>
      <c r="F6990" t="s">
        <v>13623</v>
      </c>
      <c r="G6990" t="s">
        <v>14</v>
      </c>
      <c r="H6990">
             </c>
      <c r="I6990" t="s">
        <v>14</v>
      </c>
      <c r="J6990" t="s">
        <v>141</v>
      </c>
      <c r="K6990" t="s">
        <v>14</v>
      </c>
      <c r="L6990" t="s">
        <v>20</v>
      </c>
      <c r="M6990" t="s">
        <v>13164</v>
      </c>
      <c r="N6990" t="s">
        <v>14</v>
      </c>
    </row>
    <row r="6991" x14ac:dyDescent="0.25">
      <c r="A6991" t="n">
        <v>25</v>
      </c>
      <c r="B6991" t="s">
        <v>14</v>
      </c>
      <c r="C6991" t="s">
        <v>22</v>
      </c>
      <c r="D6991" s="2" t="s">
        <f>=HYPERLINK("https://main.knesset.gov.il/APPS/legislation/main/bills/2196051", "הצעת חוק לתיקון פקודת המשטרה (הוראות בדבר פיזור אסיפה או תהלוכה), התשפ""ג-2022")</f>
        <v>13624</v>
      </c>
      <c r="E6991" t="s">
        <v>13624</v>
      </c>
      <c r="F6991" t="s">
        <v>13625</v>
      </c>
      <c r="G6991" t="s">
        <v>14</v>
      </c>
      <c r="H6991">
             </c>
      <c r="I6991" t="s">
        <v>14</v>
      </c>
      <c r="J6991" t="s">
        <v>141</v>
      </c>
      <c r="K6991" t="s">
        <v>14</v>
      </c>
      <c r="L6991" t="s">
        <v>20</v>
      </c>
      <c r="M6991" t="s">
        <v>13164</v>
      </c>
      <c r="N6991" t="s">
        <v>14</v>
      </c>
    </row>
    <row r="6992" x14ac:dyDescent="0.25">
      <c r="A6992" t="n">
        <v>25</v>
      </c>
      <c r="B6992" t="s">
        <v>14</v>
      </c>
      <c r="C6992" t="s">
        <v>22</v>
      </c>
      <c r="D6992" s="2" t="s">
        <f>=HYPERLINK("https://main.knesset.gov.il/APPS/legislation/main/bills/2196028", "הצעת חוק הגנת הצרכן (תיקון - החלת חובת הודעה על סיום עסקה מתמשכת על תאגידים בנקאיים ופיננסיים), התשפ""ג-2022")</f>
        <v>13626</v>
      </c>
      <c r="E6992" t="s">
        <v>13626</v>
      </c>
      <c r="F6992" t="s">
        <v>13627</v>
      </c>
      <c r="G6992" t="s">
        <v>14</v>
      </c>
      <c r="H6992">
             </c>
      <c r="I6992" t="s">
        <v>14</v>
      </c>
      <c r="J6992" t="s">
        <v>141</v>
      </c>
      <c r="K6992" t="s">
        <v>14</v>
      </c>
      <c r="L6992" t="s">
        <v>20</v>
      </c>
      <c r="M6992" t="s">
        <v>13164</v>
      </c>
      <c r="N6992" t="s">
        <v>14</v>
      </c>
    </row>
    <row r="6993" x14ac:dyDescent="0.25">
      <c r="A6993" t="n">
        <v>25</v>
      </c>
      <c r="B6993" t="s">
        <v>14</v>
      </c>
      <c r="C6993" t="s">
        <v>22</v>
      </c>
      <c r="D6993" s="2" t="s">
        <f>=HYPERLINK("https://main.knesset.gov.il/APPS/legislation/main/bills/2196690", "הצעת חוק ביטוח בריאות ממלכתי (תיקון - החזר דמי נסיעות עבור חולה סיעודי וחולה שנפטר), התשפ""ג-2022")</f>
        <v>13622</v>
      </c>
      <c r="E6993" t="s">
        <v>13622</v>
      </c>
      <c r="F6993" t="s">
        <v>13628</v>
      </c>
      <c r="G6993" t="s">
        <v>14</v>
      </c>
      <c r="H6993">
             </c>
      <c r="I6993" t="s">
        <v>14</v>
      </c>
      <c r="J6993" t="s">
        <v>141</v>
      </c>
      <c r="K6993" t="s">
        <v>14</v>
      </c>
      <c r="L6993" t="s">
        <v>20</v>
      </c>
      <c r="M6993" t="s">
        <v>13164</v>
      </c>
      <c r="N6993" t="s">
        <v>14</v>
      </c>
    </row>
    <row r="6994" x14ac:dyDescent="0.25">
      <c r="A6994" t="n">
        <v>25</v>
      </c>
      <c r="B6994" t="s">
        <v>14</v>
      </c>
      <c r="C6994" t="s">
        <v>22</v>
      </c>
      <c r="D6994" s="2" t="s">
        <f>=HYPERLINK("https://main.knesset.gov.il/APPS/legislation/main/bills/2196009", "הצעת חוק המוסד העליון ללשון העברית (תיקון - מעמד החלטות המוסד וועדת השמות הממשלתית), התשפ""ג-2022")</f>
        <v>13629</v>
      </c>
      <c r="E6994" t="s">
        <v>13629</v>
      </c>
      <c r="F6994" t="s">
        <v>13630</v>
      </c>
      <c r="G6994" t="s">
        <v>14</v>
      </c>
      <c r="H6994">
             </c>
      <c r="I6994" t="s">
        <v>14</v>
      </c>
      <c r="J6994" t="s">
        <v>141</v>
      </c>
      <c r="K6994" t="s">
        <v>14</v>
      </c>
      <c r="L6994" t="s">
        <v>20</v>
      </c>
      <c r="M6994" t="s">
        <v>13164</v>
      </c>
      <c r="N6994" t="s">
        <v>14</v>
      </c>
    </row>
    <row r="6995" x14ac:dyDescent="0.25">
      <c r="A6995" t="n">
        <v>25</v>
      </c>
      <c r="B6995" t="s">
        <v>14</v>
      </c>
      <c r="C6995" t="s">
        <v>22</v>
      </c>
      <c r="D6995" s="2" t="s">
        <f>=HYPERLINK("https://main.knesset.gov.il/APPS/legislation/main/bills/2196195", "הצעת חוק הביטוח הלאומי (תיקון - הארכת המועד להגשת תביעה לגמלה והתקופה שבעדה תשולם), התשפ""ג-2022")</f>
        <v>13631</v>
      </c>
      <c r="E6995" t="s">
        <v>13631</v>
      </c>
      <c r="F6995" t="s">
        <v>13632</v>
      </c>
      <c r="G6995" t="s">
        <v>14</v>
      </c>
      <c r="H6995">
             </c>
      <c r="I6995" t="s">
        <v>14</v>
      </c>
      <c r="J6995" t="s">
        <v>141</v>
      </c>
      <c r="K6995" t="s">
        <v>14</v>
      </c>
      <c r="L6995" t="s">
        <v>20</v>
      </c>
      <c r="M6995" t="s">
        <v>13164</v>
      </c>
      <c r="N6995" t="s">
        <v>14</v>
      </c>
    </row>
    <row r="6996" x14ac:dyDescent="0.25">
      <c r="A6996" t="n">
        <v>25</v>
      </c>
      <c r="B6996" t="s">
        <v>14</v>
      </c>
      <c r="C6996" t="s">
        <v>22</v>
      </c>
      <c r="D6996" s="2" t="s">
        <f>=HYPERLINK("https://main.knesset.gov.il/APPS/legislation/main/bills/2197295", "הצעת חוק להפחתת השימוש ברכב פרטי ולעידוד שימוש בתחבורה הציבורית, התשפ""ג-2022 ")</f>
        <v>13633</v>
      </c>
      <c r="E6996" t="s">
        <v>13633</v>
      </c>
      <c r="F6996" t="s">
        <v>13634</v>
      </c>
      <c r="G6996" t="s">
        <v>14</v>
      </c>
      <c r="H6996">
             </c>
      <c r="I6996" t="s">
        <v>14</v>
      </c>
      <c r="J6996" t="s">
        <v>141</v>
      </c>
      <c r="K6996" t="s">
        <v>14</v>
      </c>
      <c r="L6996" t="s">
        <v>20</v>
      </c>
      <c r="M6996" t="s">
        <v>13164</v>
      </c>
      <c r="N6996" t="s">
        <v>14</v>
      </c>
    </row>
    <row r="6997" x14ac:dyDescent="0.25">
      <c r="A6997" t="n">
        <v>25</v>
      </c>
      <c r="B6997" t="s">
        <v>14</v>
      </c>
      <c r="C6997" t="s">
        <v>22</v>
      </c>
      <c r="D6997" s="2" t="s">
        <f>=HYPERLINK("https://main.knesset.gov.il/APPS/legislation/main/bills/2196909", "הצעת חוק שירות הציבור (הגבלות לאחר פרישה) (תיקון - תקופת צינון לשופטים), התשפ""ג-2022 ")</f>
        <v>13635</v>
      </c>
      <c r="E6997" t="s">
        <v>13635</v>
      </c>
      <c r="F6997" t="s">
        <v>13636</v>
      </c>
      <c r="G6997" t="s">
        <v>14</v>
      </c>
      <c r="H6997">
             </c>
      <c r="I6997" t="s">
        <v>14</v>
      </c>
      <c r="J6997" t="s">
        <v>141</v>
      </c>
      <c r="K6997" t="s">
        <v>14</v>
      </c>
      <c r="L6997" t="s">
        <v>20</v>
      </c>
      <c r="M6997" t="s">
        <v>13164</v>
      </c>
      <c r="N6997" t="s">
        <v>14</v>
      </c>
    </row>
    <row r="6998" x14ac:dyDescent="0.25">
      <c r="A6998" t="n">
        <v>25</v>
      </c>
      <c r="B6998" t="s">
        <v>14</v>
      </c>
      <c r="C6998" t="s">
        <v>22</v>
      </c>
      <c r="D6998" s="2" t="s">
        <f>=HYPERLINK("https://main.knesset.gov.il/APPS/legislation/main/bills/2197849", "הצעת חוק ביטול מאסר חלף קנס (תיקוני חקיקה), התשפ""ג-2022")</f>
        <v>13637</v>
      </c>
      <c r="E6998" t="s">
        <v>13637</v>
      </c>
      <c r="F6998" t="s">
        <v>13638</v>
      </c>
      <c r="G6998" t="s">
        <v>14</v>
      </c>
      <c r="H6998">
             </c>
      <c r="I6998" t="s">
        <v>14</v>
      </c>
      <c r="J6998" t="s">
        <v>141</v>
      </c>
      <c r="K6998" t="s">
        <v>14</v>
      </c>
      <c r="L6998" t="s">
        <v>20</v>
      </c>
      <c r="M6998" t="s">
        <v>13164</v>
      </c>
      <c r="N6998" t="s">
        <v>14</v>
      </c>
    </row>
    <row r="6999" x14ac:dyDescent="0.25">
      <c r="A6999" t="n">
        <v>25</v>
      </c>
      <c r="B6999" t="s">
        <v>14</v>
      </c>
      <c r="C6999" t="s">
        <v>22</v>
      </c>
      <c r="D6999" s="2" t="s">
        <f>=HYPERLINK("https://main.knesset.gov.il/APPS/legislation/main/bills/2197286", "הצעת חוק לתיקון פקודת התעבורה (שירות טלפוני לדיווח ולקבלת תלונות על עבירות תעבורה או נהיגה מסוכנת של נהג אוטובוס), התשפ""ג-2022")</f>
        <v>13639</v>
      </c>
      <c r="E6999" t="s">
        <v>13639</v>
      </c>
      <c r="F6999" t="s">
        <v>13640</v>
      </c>
      <c r="G6999" t="s">
        <v>14</v>
      </c>
      <c r="H6999">
             </c>
      <c r="I6999" t="s">
        <v>14</v>
      </c>
      <c r="J6999" t="s">
        <v>141</v>
      </c>
      <c r="K6999" t="s">
        <v>14</v>
      </c>
      <c r="L6999" t="s">
        <v>20</v>
      </c>
      <c r="M6999" t="s">
        <v>13164</v>
      </c>
      <c r="N6999" t="s">
        <v>14</v>
      </c>
    </row>
    <row r="7000" x14ac:dyDescent="0.25">
      <c r="A7000" t="n">
        <v>25</v>
      </c>
      <c r="B7000" t="s">
        <v>14</v>
      </c>
      <c r="C7000" t="s">
        <v>22</v>
      </c>
      <c r="D7000" s="2" t="s">
        <f>=HYPERLINK("https://main.knesset.gov.il/APPS/legislation/main/bills/2197318", "הצעת חוק ביטול מאסר חלף קנס (תיקוני חקיקה), התשפ""ג-2022")</f>
        <v>13637</v>
      </c>
      <c r="E7000" t="s">
        <v>13637</v>
      </c>
      <c r="F7000" t="s">
        <v>13641</v>
      </c>
      <c r="G7000" t="s">
        <v>14</v>
      </c>
      <c r="H7000">
             </c>
      <c r="I7000" t="s">
        <v>14</v>
      </c>
      <c r="J7000" t="s">
        <v>141</v>
      </c>
      <c r="K7000" t="s">
        <v>14</v>
      </c>
      <c r="L7000" t="s">
        <v>20</v>
      </c>
      <c r="M7000" t="s">
        <v>13164</v>
      </c>
      <c r="N7000" t="s">
        <v>14</v>
      </c>
    </row>
    <row r="7001" x14ac:dyDescent="0.25">
      <c r="A7001" t="n">
        <v>25</v>
      </c>
      <c r="B7001" t="s">
        <v>14</v>
      </c>
      <c r="C7001" t="s">
        <v>22</v>
      </c>
      <c r="D7001" s="2" t="s">
        <f>=HYPERLINK("https://main.knesset.gov.il/APPS/legislation/main/bills/2197284", "הצעת חוק משק החשמל (תיקון - תשלומי חשמל מופחתים לקשישים נכים), התשפ""ג-2022")</f>
        <v>13642</v>
      </c>
      <c r="E7001" t="s">
        <v>13642</v>
      </c>
      <c r="F7001" t="s">
        <v>13643</v>
      </c>
      <c r="G7001" t="s">
        <v>14</v>
      </c>
      <c r="H7001">
             </c>
      <c r="I7001" t="s">
        <v>14</v>
      </c>
      <c r="J7001" t="s">
        <v>141</v>
      </c>
      <c r="K7001" t="s">
        <v>14</v>
      </c>
      <c r="L7001" t="s">
        <v>20</v>
      </c>
      <c r="M7001" t="s">
        <v>13164</v>
      </c>
      <c r="N7001" t="s">
        <v>14</v>
      </c>
    </row>
    <row r="7002" x14ac:dyDescent="0.25">
      <c r="A7002" t="n">
        <v>25</v>
      </c>
      <c r="B7002" t="s">
        <v>14</v>
      </c>
      <c r="C7002" t="s">
        <v>22</v>
      </c>
      <c r="D7002" s="2" t="s">
        <f>=HYPERLINK("https://main.knesset.gov.il/APPS/legislation/main/bills/2197327", "הצעת חוק ביטוח בריאות ממלכתי (תיקון - השתתפות בטיפולי שיניים, פה ולסת לנפגעי שיתוק מוחין), התשפ""ג-2022")</f>
        <v>13644</v>
      </c>
      <c r="E7002" t="s">
        <v>13644</v>
      </c>
      <c r="F7002" t="s">
        <v>13645</v>
      </c>
      <c r="G7002" t="s">
        <v>14</v>
      </c>
      <c r="H7002">
             </c>
      <c r="I7002" t="s">
        <v>14</v>
      </c>
      <c r="J7002" t="s">
        <v>141</v>
      </c>
      <c r="K7002" t="s">
        <v>14</v>
      </c>
      <c r="L7002" t="s">
        <v>20</v>
      </c>
      <c r="M7002" t="s">
        <v>13164</v>
      </c>
      <c r="N7002" t="s">
        <v>14</v>
      </c>
    </row>
    <row r="7003" x14ac:dyDescent="0.25">
      <c r="A7003" t="n">
        <v>25</v>
      </c>
      <c r="B7003" t="s">
        <v>14</v>
      </c>
      <c r="C7003" t="s">
        <v>22</v>
      </c>
      <c r="D7003" s="2" t="s">
        <f>=HYPERLINK("https://main.knesset.gov.il/APPS/legislation/main/bills/2197283", "הצעת חוק משק החשמל (תיקון - פיקוח פרלמנטרי על תעריפי החשמל), התשפ""ג-2022")</f>
        <v>13646</v>
      </c>
      <c r="E7003" t="s">
        <v>13646</v>
      </c>
      <c r="F7003" t="s">
        <v>13647</v>
      </c>
      <c r="G7003" t="s">
        <v>14</v>
      </c>
      <c r="H7003">
             </c>
      <c r="I7003" t="s">
        <v>14</v>
      </c>
      <c r="J7003" t="s">
        <v>141</v>
      </c>
      <c r="K7003" t="s">
        <v>14</v>
      </c>
      <c r="L7003" t="s">
        <v>20</v>
      </c>
      <c r="M7003" t="s">
        <v>13164</v>
      </c>
      <c r="N7003" t="s">
        <v>14</v>
      </c>
    </row>
    <row r="7004" x14ac:dyDescent="0.25">
      <c r="A7004" t="n">
        <v>25</v>
      </c>
      <c r="B7004" t="s">
        <v>14</v>
      </c>
      <c r="C7004" t="s">
        <v>22</v>
      </c>
      <c r="D7004" s="2" t="s">
        <f>=HYPERLINK("https://main.knesset.gov.il/APPS/legislation/main/bills/2196916", "הצעת חוק ביטוח בריאות ממלכתי (תיקון - מתן טיפולי שיניים, פה ולסת למבוטח עם שיתוק מוחין), התשפ""ג-2022")</f>
        <v>13648</v>
      </c>
      <c r="E7004" t="s">
        <v>13648</v>
      </c>
      <c r="F7004" t="s">
        <v>13649</v>
      </c>
      <c r="G7004" t="s">
        <v>14</v>
      </c>
      <c r="H7004">
             </c>
      <c r="I7004" t="s">
        <v>14</v>
      </c>
      <c r="J7004" t="s">
        <v>141</v>
      </c>
      <c r="K7004" t="s">
        <v>14</v>
      </c>
      <c r="L7004" t="s">
        <v>20</v>
      </c>
      <c r="M7004" t="s">
        <v>13164</v>
      </c>
      <c r="N7004" t="s">
        <v>14</v>
      </c>
    </row>
    <row r="7005" x14ac:dyDescent="0.25">
      <c r="A7005" t="n">
        <v>25</v>
      </c>
      <c r="B7005" t="s">
        <v>14</v>
      </c>
      <c r="C7005" t="s">
        <v>22</v>
      </c>
      <c r="D7005" s="2" t="s">
        <f>=HYPERLINK("https://main.knesset.gov.il/APPS/legislation/main/bills/2197270", "הצעת חוק זכויות התלמיד (תיקון - הנחה בתחבורה ציבורית), התשפ""ג-2022")</f>
        <v>13650</v>
      </c>
      <c r="E7005" t="s">
        <v>13650</v>
      </c>
      <c r="F7005" t="s">
        <v>13651</v>
      </c>
      <c r="G7005" t="s">
        <v>14</v>
      </c>
      <c r="H7005">
             </c>
      <c r="I7005" t="s">
        <v>14</v>
      </c>
      <c r="J7005" t="s">
        <v>141</v>
      </c>
      <c r="K7005" t="s">
        <v>14</v>
      </c>
      <c r="L7005" t="s">
        <v>20</v>
      </c>
      <c r="M7005" t="s">
        <v>13164</v>
      </c>
      <c r="N7005" t="s">
        <v>14</v>
      </c>
    </row>
    <row r="7006" x14ac:dyDescent="0.25">
      <c r="A7006" t="n">
        <v>25</v>
      </c>
      <c r="B7006" t="s">
        <v>14</v>
      </c>
      <c r="C7006" t="s">
        <v>22</v>
      </c>
      <c r="D7006" s="2" t="s">
        <f>=HYPERLINK("https://main.knesset.gov.il/APPS/legislation/main/bills/2197281", "הצעת חוק חובת המכרזים (תיקון - עידוד העסקת עובדים מאוכלוסיות ייחודיות), התשפ""ג-2022")</f>
        <v>13652</v>
      </c>
      <c r="E7006" t="s">
        <v>13652</v>
      </c>
      <c r="F7006" t="s">
        <v>13653</v>
      </c>
      <c r="G7006" t="s">
        <v>14</v>
      </c>
      <c r="H7006">
             </c>
      <c r="I7006" t="s">
        <v>14</v>
      </c>
      <c r="J7006" t="s">
        <v>141</v>
      </c>
      <c r="K7006" t="s">
        <v>14</v>
      </c>
      <c r="L7006" t="s">
        <v>20</v>
      </c>
      <c r="M7006" t="s">
        <v>13164</v>
      </c>
      <c r="N7006" t="s">
        <v>14</v>
      </c>
    </row>
    <row r="7007" x14ac:dyDescent="0.25">
      <c r="A7007" t="n">
        <v>25</v>
      </c>
      <c r="B7007" t="s">
        <v>14</v>
      </c>
      <c r="C7007" t="s">
        <v>22</v>
      </c>
      <c r="D7007" s="2" t="s">
        <f>=HYPERLINK("https://main.knesset.gov.il/APPS/legislation/main/bills/2197257", "הצעת חוק לתיקון פקודת סדר הדין הפלילי (מעצר וחיפוש) (תנאים למסירת התפוס לפי צו), התשפ""ג-2022")</f>
        <v>13654</v>
      </c>
      <c r="E7007" t="s">
        <v>13654</v>
      </c>
      <c r="F7007" t="s">
        <v>13655</v>
      </c>
      <c r="G7007" t="s">
        <v>14</v>
      </c>
      <c r="H7007">
             </c>
      <c r="I7007" t="s">
        <v>14</v>
      </c>
      <c r="J7007" t="s">
        <v>141</v>
      </c>
      <c r="K7007" t="s">
        <v>14</v>
      </c>
      <c r="L7007" t="s">
        <v>20</v>
      </c>
      <c r="M7007" t="s">
        <v>13164</v>
      </c>
      <c r="N7007" t="s">
        <v>14</v>
      </c>
    </row>
    <row r="7008" x14ac:dyDescent="0.25">
      <c r="A7008" t="n">
        <v>25</v>
      </c>
      <c r="B7008" t="s">
        <v>14</v>
      </c>
      <c r="C7008" t="s">
        <v>22</v>
      </c>
      <c r="D7008" s="2" t="s">
        <f>=HYPERLINK("https://main.knesset.gov.il/APPS/legislation/main/bills/2197273", "הצעת חוק דמי מחלה (תיקון - איסור פיטורים בעת היעדרות בשל מחלת ילד), התשפ""ג-2022")</f>
        <v>13656</v>
      </c>
      <c r="E7008" t="s">
        <v>13656</v>
      </c>
      <c r="F7008" t="s">
        <v>13657</v>
      </c>
      <c r="G7008" t="s">
        <v>14</v>
      </c>
      <c r="H7008">
             </c>
      <c r="I7008" t="s">
        <v>14</v>
      </c>
      <c r="J7008" t="s">
        <v>141</v>
      </c>
      <c r="K7008" t="s">
        <v>14</v>
      </c>
      <c r="L7008" t="s">
        <v>20</v>
      </c>
      <c r="M7008" t="s">
        <v>13164</v>
      </c>
      <c r="N7008" t="s">
        <v>14</v>
      </c>
    </row>
    <row r="7009" x14ac:dyDescent="0.25">
      <c r="A7009" t="n">
        <v>25</v>
      </c>
      <c r="B7009" t="s">
        <v>14</v>
      </c>
      <c r="C7009" t="s">
        <v>22</v>
      </c>
      <c r="D7009" s="2" t="s">
        <f>=HYPERLINK("https://main.knesset.gov.il/APPS/legislation/main/bills/2197079", "הצעת חוק-יסוד: השוויון")</f>
        <v>11747</v>
      </c>
      <c r="E7009" t="s">
        <v>11747</v>
      </c>
      <c r="F7009" t="s">
        <v>13658</v>
      </c>
      <c r="G7009" t="s">
        <v>14</v>
      </c>
      <c r="H7009">
             </c>
      <c r="I7009" t="s">
        <v>14</v>
      </c>
      <c r="J7009" t="s">
        <v>141</v>
      </c>
      <c r="K7009" t="s">
        <v>14</v>
      </c>
      <c r="L7009" t="s">
        <v>20</v>
      </c>
      <c r="M7009" t="s">
        <v>13164</v>
      </c>
      <c r="N7009" t="s">
        <v>14</v>
      </c>
    </row>
    <row r="7010" x14ac:dyDescent="0.25">
      <c r="A7010" t="n">
        <v>25</v>
      </c>
      <c r="B7010" t="s">
        <v>14</v>
      </c>
      <c r="C7010" t="s">
        <v>22</v>
      </c>
      <c r="D7010" s="2" t="s">
        <f>=HYPERLINK("https://main.knesset.gov.il/APPS/legislation/main/bills/2197539", "הצעת חוק לתיקון פקודת בתי הסוהר (מס' 48) (ביטול החוק), התשפ""ג-2022")</f>
        <v>13659</v>
      </c>
      <c r="E7010" t="s">
        <v>13659</v>
      </c>
      <c r="F7010" t="s">
        <v>13660</v>
      </c>
      <c r="G7010" t="s">
        <v>14</v>
      </c>
      <c r="H7010">
             </c>
      <c r="I7010" t="s">
        <v>14</v>
      </c>
      <c r="J7010" t="s">
        <v>141</v>
      </c>
      <c r="K7010" t="s">
        <v>14</v>
      </c>
      <c r="L7010" t="s">
        <v>20</v>
      </c>
      <c r="M7010" t="s">
        <v>13164</v>
      </c>
      <c r="N7010" t="s">
        <v>14</v>
      </c>
    </row>
    <row r="7011" x14ac:dyDescent="0.25">
      <c r="A7011" t="n">
        <v>25</v>
      </c>
      <c r="B7011" t="s">
        <v>14</v>
      </c>
      <c r="C7011" t="s">
        <v>22</v>
      </c>
      <c r="D7011" s="2" t="s">
        <f>=HYPERLINK("https://main.knesset.gov.il/APPS/legislation/main/bills/2197552", "הצעת חוק מימון מפלגות (תיקון - ייצוג הולם לנשים בבחירות לכנסת), התשפ""ג-2022")</f>
        <v>13661</v>
      </c>
      <c r="E7011" t="s">
        <v>13661</v>
      </c>
      <c r="F7011" t="s">
        <v>13662</v>
      </c>
      <c r="G7011" t="s">
        <v>14</v>
      </c>
      <c r="H7011">
             </c>
      <c r="I7011" t="s">
        <v>14</v>
      </c>
      <c r="J7011" t="s">
        <v>141</v>
      </c>
      <c r="K7011" t="s">
        <v>14</v>
      </c>
      <c r="L7011" t="s">
        <v>20</v>
      </c>
      <c r="M7011" t="s">
        <v>13164</v>
      </c>
      <c r="N7011" t="s">
        <v>14</v>
      </c>
    </row>
    <row r="7012" x14ac:dyDescent="0.25">
      <c r="A7012" t="n">
        <v>25</v>
      </c>
      <c r="B7012" t="s">
        <v>14</v>
      </c>
      <c r="C7012" t="s">
        <v>22</v>
      </c>
      <c r="D7012" s="2" t="s">
        <f>=HYPERLINK("https://main.knesset.gov.il/APPS/legislation/main/bills/2197071", "הצעת חוק המים (תיקון - איסור הפסקת אספקת מים), התשפ""ג-2022")</f>
        <v>13663</v>
      </c>
      <c r="E7012" t="s">
        <v>13663</v>
      </c>
      <c r="F7012" t="s">
        <v>13664</v>
      </c>
      <c r="G7012" t="s">
        <v>14</v>
      </c>
      <c r="H7012">
             </c>
      <c r="I7012" t="s">
        <v>14</v>
      </c>
      <c r="J7012" t="s">
        <v>141</v>
      </c>
      <c r="K7012" t="s">
        <v>14</v>
      </c>
      <c r="L7012" t="s">
        <v>20</v>
      </c>
      <c r="M7012" t="s">
        <v>13164</v>
      </c>
      <c r="N7012" t="s">
        <v>14</v>
      </c>
    </row>
    <row r="7013" x14ac:dyDescent="0.25">
      <c r="A7013" t="n">
        <v>25</v>
      </c>
      <c r="B7013" t="s">
        <v>14</v>
      </c>
      <c r="C7013" t="s">
        <v>22</v>
      </c>
      <c r="D7013" s="2" t="s">
        <f>=HYPERLINK("https://main.knesset.gov.il/APPS/legislation/main/bills/2197017", "הצעת חוק להגדלת שיעור ההשתתפות בכוח העבודה ולצמצום פערים חברתיים (מענק עבודה) (תיקון - הורדת גיל הזכאות), התשפ""ג-2022")</f>
        <v>13665</v>
      </c>
      <c r="E7013" t="s">
        <v>13665</v>
      </c>
      <c r="F7013" t="s">
        <v>13666</v>
      </c>
      <c r="G7013" t="s">
        <v>14</v>
      </c>
      <c r="H7013">
             </c>
      <c r="I7013" t="s">
        <v>14</v>
      </c>
      <c r="J7013" t="s">
        <v>141</v>
      </c>
      <c r="K7013" t="s">
        <v>14</v>
      </c>
      <c r="L7013" t="s">
        <v>20</v>
      </c>
      <c r="M7013" t="s">
        <v>13164</v>
      </c>
      <c r="N7013" t="s">
        <v>14</v>
      </c>
    </row>
    <row r="7014" x14ac:dyDescent="0.25">
      <c r="A7014" t="n">
        <v>25</v>
      </c>
      <c r="B7014" t="s">
        <v>14</v>
      </c>
      <c r="C7014" t="s">
        <v>22</v>
      </c>
      <c r="D7014" s="2" t="s">
        <f>=HYPERLINK("https://main.knesset.gov.il/APPS/legislation/main/bills/2196222", "הצעת חוק להגדלת שיעור ההשתתפות בכוח העבודה ולצמצום פערים חברתיים (מענק עבודה) (תיקון - גיל העובד), התשפ""ג-2022")</f>
        <v>13667</v>
      </c>
      <c r="E7014" t="s">
        <v>13667</v>
      </c>
      <c r="F7014" t="s">
        <v>13668</v>
      </c>
      <c r="G7014" t="s">
        <v>14</v>
      </c>
      <c r="H7014">
             </c>
      <c r="I7014" t="s">
        <v>14</v>
      </c>
      <c r="J7014" t="s">
        <v>141</v>
      </c>
      <c r="K7014" t="s">
        <v>14</v>
      </c>
      <c r="L7014" t="s">
        <v>20</v>
      </c>
      <c r="M7014" t="s">
        <v>13164</v>
      </c>
      <c r="N7014" t="s">
        <v>14</v>
      </c>
    </row>
    <row r="7015" x14ac:dyDescent="0.25">
      <c r="A7015" t="n">
        <v>25</v>
      </c>
      <c r="B7015" t="s">
        <v>14</v>
      </c>
      <c r="C7015" t="s">
        <v>22</v>
      </c>
      <c r="D7015" s="2" t="s">
        <f>=HYPERLINK("https://main.knesset.gov.il/APPS/legislation/main/bills/2197517", "הצעת חוק צעירים חסרי עורף משפחתי, התשפ""ג-2022")</f>
        <v>13669</v>
      </c>
      <c r="E7015" t="s">
        <v>13669</v>
      </c>
      <c r="F7015" t="s">
        <v>13670</v>
      </c>
      <c r="G7015" t="s">
        <v>14</v>
      </c>
      <c r="H7015">
             </c>
      <c r="I7015" t="s">
        <v>14</v>
      </c>
      <c r="J7015" t="s">
        <v>141</v>
      </c>
      <c r="K7015" t="s">
        <v>14</v>
      </c>
      <c r="L7015" t="s">
        <v>20</v>
      </c>
      <c r="M7015" t="s">
        <v>13164</v>
      </c>
      <c r="N7015" t="s">
        <v>14</v>
      </c>
    </row>
    <row r="7016" x14ac:dyDescent="0.25">
      <c r="A7016" t="n">
        <v>25</v>
      </c>
      <c r="B7016" t="s">
        <v>14</v>
      </c>
      <c r="C7016" t="s">
        <v>22</v>
      </c>
      <c r="D7016" s="2" t="s">
        <f>=HYPERLINK("https://main.knesset.gov.il/APPS/legislation/main/bills/2196879", "הצעת חוק סיוע לצעירים חסרי עורף משפחתי, התשפ""ג-2022")</f>
        <v>13671</v>
      </c>
      <c r="E7016" t="s">
        <v>13671</v>
      </c>
      <c r="F7016" t="s">
        <v>13672</v>
      </c>
      <c r="G7016" t="s">
        <v>14</v>
      </c>
      <c r="H7016">
             </c>
      <c r="I7016" t="s">
        <v>14</v>
      </c>
      <c r="J7016" t="s">
        <v>141</v>
      </c>
      <c r="K7016" t="s">
        <v>14</v>
      </c>
      <c r="L7016" t="s">
        <v>20</v>
      </c>
      <c r="M7016" t="s">
        <v>13164</v>
      </c>
      <c r="N7016" t="s">
        <v>14</v>
      </c>
    </row>
    <row r="7017" x14ac:dyDescent="0.25">
      <c r="A7017" t="n">
        <v>25</v>
      </c>
      <c r="B7017" t="s">
        <v>14</v>
      </c>
      <c r="C7017" t="s">
        <v>22</v>
      </c>
      <c r="D7017" s="2" t="s">
        <f>=HYPERLINK("https://main.knesset.gov.il/APPS/legislation/main/bills/2197398", "הצעת חוק צער בעלי חיים (הגנה על בעלי חיים) (תיקון - איסור משלוחים חיים לשחיטה), התשפ""ג-2022")</f>
        <v>13054</v>
      </c>
      <c r="E7017" t="s">
        <v>13054</v>
      </c>
      <c r="F7017" t="s">
        <v>13673</v>
      </c>
      <c r="G7017" t="s">
        <v>14</v>
      </c>
      <c r="H7017">
             </c>
      <c r="I7017" t="s">
        <v>14</v>
      </c>
      <c r="J7017" t="s">
        <v>141</v>
      </c>
      <c r="K7017" t="s">
        <v>14</v>
      </c>
      <c r="L7017" t="s">
        <v>20</v>
      </c>
      <c r="M7017" t="s">
        <v>13164</v>
      </c>
      <c r="N7017" t="s">
        <v>14</v>
      </c>
    </row>
    <row r="7018" x14ac:dyDescent="0.25">
      <c r="A7018" t="n">
        <v>25</v>
      </c>
      <c r="B7018" t="s">
        <v>14</v>
      </c>
      <c r="C7018" t="s">
        <v>22</v>
      </c>
      <c r="D7018" s="2" t="s">
        <f>=HYPERLINK("https://main.knesset.gov.il/APPS/legislation/main/bills/2197395", "הצעת חוק החברות הממשלתיות (תיקון - ייצוג הולם בתאגידים ממשלתיים וגופים סטטוטוריים), התשפ""ג-2022")</f>
        <v>13674</v>
      </c>
      <c r="E7018" t="s">
        <v>13674</v>
      </c>
      <c r="F7018" t="s">
        <v>13675</v>
      </c>
      <c r="G7018" t="s">
        <v>14</v>
      </c>
      <c r="H7018">
             </c>
      <c r="I7018" t="s">
        <v>14</v>
      </c>
      <c r="J7018" t="s">
        <v>141</v>
      </c>
      <c r="K7018" t="s">
        <v>14</v>
      </c>
      <c r="L7018" t="s">
        <v>20</v>
      </c>
      <c r="M7018" t="s">
        <v>13164</v>
      </c>
      <c r="N7018" t="s">
        <v>14</v>
      </c>
    </row>
    <row r="7019" x14ac:dyDescent="0.25">
      <c r="A7019" t="n">
        <v>25</v>
      </c>
      <c r="B7019" t="s">
        <v>14</v>
      </c>
      <c r="C7019" t="s">
        <v>22</v>
      </c>
      <c r="D7019" s="2" t="s">
        <f>=HYPERLINK("https://main.knesset.gov.il/APPS/legislation/main/bills/2196625", "הצעת חוק החברות הממשלתיות (תיקון - ייצוג הולם בתאגידים ממשלתיים וגופים סטטוטוריים), התשפ""ג-2022")</f>
        <v>13674</v>
      </c>
      <c r="E7019" t="s">
        <v>13674</v>
      </c>
      <c r="F7019" t="s">
        <v>13676</v>
      </c>
      <c r="G7019" t="s">
        <v>14</v>
      </c>
      <c r="H7019">
             </c>
      <c r="I7019" t="s">
        <v>14</v>
      </c>
      <c r="J7019" t="s">
        <v>141</v>
      </c>
      <c r="K7019" t="s">
        <v>14</v>
      </c>
      <c r="L7019" t="s">
        <v>20</v>
      </c>
      <c r="M7019" t="s">
        <v>13164</v>
      </c>
      <c r="N7019" t="s">
        <v>14</v>
      </c>
    </row>
    <row r="7020" x14ac:dyDescent="0.25">
      <c r="A7020" t="n">
        <v>25</v>
      </c>
      <c r="B7020" t="s">
        <v>14</v>
      </c>
      <c r="C7020" t="s">
        <v>22</v>
      </c>
      <c r="D7020" s="2" t="s">
        <f>=HYPERLINK("https://main.knesset.gov.il/APPS/legislation/main/bills/2197753", "הצעת חוק שיפוט בתי דין רבניים (סמכות שיפוט בהסכמה), התשפ""ג-2022")</f>
        <v>13677</v>
      </c>
      <c r="E7020" t="s">
        <v>13677</v>
      </c>
      <c r="F7020" t="s">
        <v>13678</v>
      </c>
      <c r="G7020" t="s">
        <v>14</v>
      </c>
      <c r="H7020">
             </c>
      <c r="I7020" t="s">
        <v>14</v>
      </c>
      <c r="J7020" t="s">
        <v>141</v>
      </c>
      <c r="K7020" t="s">
        <v>14</v>
      </c>
      <c r="L7020" t="s">
        <v>20</v>
      </c>
      <c r="M7020" t="s">
        <v>13164</v>
      </c>
      <c r="N7020" t="s">
        <v>14</v>
      </c>
    </row>
    <row r="7021" x14ac:dyDescent="0.25">
      <c r="A7021" t="n">
        <v>25</v>
      </c>
      <c r="B7021" t="s">
        <v>14</v>
      </c>
      <c r="C7021" t="s">
        <v>22</v>
      </c>
      <c r="D7021" s="2" t="s">
        <f>=HYPERLINK("https://main.knesset.gov.il/APPS/legislation/main/bills/2196475", "הצעת חוק שיפוט בתי דין רבניים (סמכות שיפוט בהסכמה), התשפ""ג-2022")</f>
        <v>13677</v>
      </c>
      <c r="E7021" t="s">
        <v>13677</v>
      </c>
      <c r="F7021" t="s">
        <v>13679</v>
      </c>
      <c r="G7021" t="s">
        <v>14</v>
      </c>
      <c r="H7021">
             </c>
      <c r="I7021" t="s">
        <v>14</v>
      </c>
      <c r="J7021" t="s">
        <v>141</v>
      </c>
      <c r="K7021" t="s">
        <v>14</v>
      </c>
      <c r="L7021" t="s">
        <v>20</v>
      </c>
      <c r="M7021" t="s">
        <v>13164</v>
      </c>
      <c r="N7021" t="s">
        <v>14</v>
      </c>
    </row>
    <row r="7022" x14ac:dyDescent="0.25">
      <c r="A7022" t="n">
        <v>25</v>
      </c>
      <c r="B7022" t="s">
        <v>14</v>
      </c>
      <c r="C7022" t="s">
        <v>22</v>
      </c>
      <c r="D7022" s="2" t="s">
        <f>=HYPERLINK("https://main.knesset.gov.il/APPS/legislation/main/bills/2197497", "הצעת חוק עבודת נשים (תיקון - תקופת לידה והורות לנשים בעבודה פיזית קשה), התשפ""ג-2022")</f>
        <v>13680</v>
      </c>
      <c r="E7022" t="s">
        <v>13680</v>
      </c>
      <c r="F7022" t="s">
        <v>13681</v>
      </c>
      <c r="G7022" t="s">
        <v>14</v>
      </c>
      <c r="H7022">
             </c>
      <c r="I7022" t="s">
        <v>14</v>
      </c>
      <c r="J7022" t="s">
        <v>141</v>
      </c>
      <c r="K7022" t="s">
        <v>14</v>
      </c>
      <c r="L7022" t="s">
        <v>20</v>
      </c>
      <c r="M7022" t="s">
        <v>13164</v>
      </c>
      <c r="N7022" t="s">
        <v>14</v>
      </c>
    </row>
    <row r="7023" x14ac:dyDescent="0.25">
      <c r="A7023" t="n">
        <v>25</v>
      </c>
      <c r="B7023" t="s">
        <v>14</v>
      </c>
      <c r="C7023" t="s">
        <v>22</v>
      </c>
      <c r="D7023" s="2" t="s">
        <f>=HYPERLINK("https://main.knesset.gov.il/APPS/legislation/main/bills/2197857", "הצעת חוק לימוד חובה (תיקון - חינוך חינם לפעוטות ולילדים), התשפ""ג-2022")</f>
        <v>13052</v>
      </c>
      <c r="E7023" t="s">
        <v>13052</v>
      </c>
      <c r="F7023" t="s">
        <v>13682</v>
      </c>
      <c r="G7023" t="s">
        <v>14</v>
      </c>
      <c r="H7023">
             </c>
      <c r="I7023" t="s">
        <v>14</v>
      </c>
      <c r="J7023" t="s">
        <v>141</v>
      </c>
      <c r="K7023" t="s">
        <v>14</v>
      </c>
      <c r="L7023" t="s">
        <v>20</v>
      </c>
      <c r="M7023" t="s">
        <v>13164</v>
      </c>
      <c r="N7023" t="s">
        <v>14</v>
      </c>
    </row>
    <row r="7024" x14ac:dyDescent="0.25">
      <c r="A7024" t="n">
        <v>25</v>
      </c>
      <c r="B7024" t="s">
        <v>14</v>
      </c>
      <c r="C7024" t="s">
        <v>22</v>
      </c>
      <c r="D7024" s="2" t="s">
        <f>=HYPERLINK("https://main.knesset.gov.il/APPS/legislation/main/bills/2197234", "הצעת חוק סיוע לחולי דגנת, התשפ""ג-2022")</f>
        <v>13683</v>
      </c>
      <c r="E7024" t="s">
        <v>13683</v>
      </c>
      <c r="F7024" t="s">
        <v>13684</v>
      </c>
      <c r="G7024" t="s">
        <v>14</v>
      </c>
      <c r="H7024">
             </c>
      <c r="I7024" t="s">
        <v>14</v>
      </c>
      <c r="J7024" t="s">
        <v>141</v>
      </c>
      <c r="K7024" t="s">
        <v>14</v>
      </c>
      <c r="L7024" t="s">
        <v>20</v>
      </c>
      <c r="M7024" t="s">
        <v>13164</v>
      </c>
      <c r="N7024" t="s">
        <v>14</v>
      </c>
    </row>
    <row r="7025" x14ac:dyDescent="0.25">
      <c r="A7025" t="n">
        <v>25</v>
      </c>
      <c r="B7025" t="s">
        <v>14</v>
      </c>
      <c r="C7025" t="s">
        <v>22</v>
      </c>
      <c r="D7025" s="2" t="s">
        <f>=HYPERLINK("https://main.knesset.gov.il/APPS/legislation/main/bills/2196853", "הצעת חוק החברות הממשלתיות (תיקון - כשירות מיוחדת), התשפ""ג-2022")</f>
        <v>1188</v>
      </c>
      <c r="E7025" t="s">
        <v>1188</v>
      </c>
      <c r="F7025" t="s">
        <v>13685</v>
      </c>
      <c r="G7025" t="s">
        <v>14</v>
      </c>
      <c r="H7025">
             </c>
      <c r="I7025" t="s">
        <v>14</v>
      </c>
      <c r="J7025" t="s">
        <v>141</v>
      </c>
      <c r="K7025" t="s">
        <v>14</v>
      </c>
      <c r="L7025" t="s">
        <v>20</v>
      </c>
      <c r="M7025" t="s">
        <v>13164</v>
      </c>
      <c r="N7025" t="s">
        <v>14</v>
      </c>
    </row>
    <row r="7026" x14ac:dyDescent="0.25">
      <c r="A7026" t="n">
        <v>25</v>
      </c>
      <c r="B7026" t="s">
        <v>14</v>
      </c>
      <c r="C7026" t="s">
        <v>22</v>
      </c>
      <c r="D7026" s="2" t="s">
        <f>=HYPERLINK("https://main.knesset.gov.il/APPS/legislation/main/bills/2197008", "הצעת חוק בתי המשפט (תיקון - קביעת מותבים בבית המשפט העליון), התשפ""ג-2022")</f>
        <v>13686</v>
      </c>
      <c r="E7026" t="s">
        <v>13686</v>
      </c>
      <c r="F7026" t="s">
        <v>13687</v>
      </c>
      <c r="G7026" t="s">
        <v>14</v>
      </c>
      <c r="H7026">
             </c>
      <c r="I7026" t="s">
        <v>14</v>
      </c>
      <c r="J7026" t="s">
        <v>141</v>
      </c>
      <c r="K7026" t="s">
        <v>14</v>
      </c>
      <c r="L7026" t="s">
        <v>20</v>
      </c>
      <c r="M7026" t="s">
        <v>13164</v>
      </c>
      <c r="N7026" t="s">
        <v>14</v>
      </c>
    </row>
    <row r="7027" x14ac:dyDescent="0.25">
      <c r="A7027" t="n">
        <v>25</v>
      </c>
      <c r="B7027" t="s">
        <v>14</v>
      </c>
      <c r="C7027" t="s">
        <v>22</v>
      </c>
      <c r="D7027" s="2" t="s">
        <f>=HYPERLINK("https://main.knesset.gov.il/APPS/legislation/main/bills/2197006", "הצעת חוק בתי המשפט (תיקון - קביעת מותבים בבית המשפט העליון), התשפ""ג-2022")</f>
        <v>13686</v>
      </c>
      <c r="E7027" t="s">
        <v>13686</v>
      </c>
      <c r="F7027" t="s">
        <v>13688</v>
      </c>
      <c r="G7027" t="s">
        <v>14</v>
      </c>
      <c r="H7027">
             </c>
      <c r="I7027" t="s">
        <v>14</v>
      </c>
      <c r="J7027" t="s">
        <v>141</v>
      </c>
      <c r="K7027" t="s">
        <v>14</v>
      </c>
      <c r="L7027" t="s">
        <v>20</v>
      </c>
      <c r="M7027" t="s">
        <v>13164</v>
      </c>
      <c r="N7027" t="s">
        <v>14</v>
      </c>
    </row>
    <row r="7028" x14ac:dyDescent="0.25">
      <c r="A7028" t="n">
        <v>25</v>
      </c>
      <c r="B7028" t="s">
        <v>14</v>
      </c>
      <c r="C7028" t="s">
        <v>22</v>
      </c>
      <c r="D7028" s="2" t="s">
        <f>=HYPERLINK("https://main.knesset.gov.il/APPS/legislation/main/bills/2197431", "הצעת חוק פיצויים לבעלי זכות במקרקעין מועברים, התשפ""ג-2022")</f>
        <v>13689</v>
      </c>
      <c r="E7028" t="s">
        <v>13689</v>
      </c>
      <c r="F7028" t="s">
        <v>13690</v>
      </c>
      <c r="G7028" t="s">
        <v>14</v>
      </c>
      <c r="H7028">
             </c>
      <c r="I7028" t="s">
        <v>14</v>
      </c>
      <c r="J7028" t="s">
        <v>141</v>
      </c>
      <c r="K7028" t="s">
        <v>14</v>
      </c>
      <c r="L7028" t="s">
        <v>20</v>
      </c>
      <c r="M7028" t="s">
        <v>13164</v>
      </c>
      <c r="N7028" t="s">
        <v>14</v>
      </c>
    </row>
    <row r="7029" x14ac:dyDescent="0.25">
      <c r="A7029" t="n">
        <v>25</v>
      </c>
      <c r="B7029" t="s">
        <v>14</v>
      </c>
      <c r="C7029" t="s">
        <v>22</v>
      </c>
      <c r="D7029" s="2" t="s">
        <f>=HYPERLINK("https://main.knesset.gov.il/APPS/legislation/main/bills/2197411", "הצעת חוק-יסוד: ההגירה לישראל")</f>
        <v>2252</v>
      </c>
      <c r="E7029" t="s">
        <v>2252</v>
      </c>
      <c r="F7029" t="s">
        <v>13691</v>
      </c>
      <c r="G7029" t="s">
        <v>14</v>
      </c>
      <c r="H7029">
             </c>
      <c r="I7029" t="s">
        <v>14</v>
      </c>
      <c r="J7029" t="s">
        <v>141</v>
      </c>
      <c r="K7029" t="s">
        <v>14</v>
      </c>
      <c r="L7029" t="s">
        <v>20</v>
      </c>
      <c r="M7029" t="s">
        <v>13164</v>
      </c>
      <c r="N7029" t="s">
        <v>14</v>
      </c>
    </row>
    <row r="7030" x14ac:dyDescent="0.25">
      <c r="A7030" t="n">
        <v>25</v>
      </c>
      <c r="B7030" t="s">
        <v>14</v>
      </c>
      <c r="C7030" t="s">
        <v>22</v>
      </c>
      <c r="D7030" s="2" t="s">
        <f>=HYPERLINK("https://main.knesset.gov.il/APPS/legislation/main/bills/2197128", "הצעת חוק הביטוח הלאומי (תיקון - ביטוח זכויות עצמאי שעיקר הכנסתו מעסק בהליכי חדלות פירעון), התשפ""ג-2022")</f>
        <v>13692</v>
      </c>
      <c r="E7030" t="s">
        <v>13692</v>
      </c>
      <c r="F7030" t="s">
        <v>13693</v>
      </c>
      <c r="G7030" t="s">
        <v>14</v>
      </c>
      <c r="H7030">
             </c>
      <c r="I7030" t="s">
        <v>14</v>
      </c>
      <c r="J7030" t="s">
        <v>141</v>
      </c>
      <c r="K7030" t="s">
        <v>14</v>
      </c>
      <c r="L7030" t="s">
        <v>20</v>
      </c>
      <c r="M7030" t="s">
        <v>13164</v>
      </c>
      <c r="N7030" t="s">
        <v>14</v>
      </c>
    </row>
    <row r="7031" x14ac:dyDescent="0.25">
      <c r="A7031" t="n">
        <v>25</v>
      </c>
      <c r="B7031" t="s">
        <v>14</v>
      </c>
      <c r="C7031" t="s">
        <v>22</v>
      </c>
      <c r="D7031" s="2" t="s">
        <f>=HYPERLINK("https://main.knesset.gov.il/APPS/legislation/main/bills/2197103", "הצעת חוק-יסוד: ההגירה לישראל")</f>
        <v>2252</v>
      </c>
      <c r="E7031" t="s">
        <v>2252</v>
      </c>
      <c r="F7031" t="s">
        <v>13694</v>
      </c>
      <c r="G7031" t="s">
        <v>14</v>
      </c>
      <c r="H7031">
             </c>
      <c r="I7031" t="s">
        <v>14</v>
      </c>
      <c r="J7031" t="s">
        <v>141</v>
      </c>
      <c r="K7031" t="s">
        <v>14</v>
      </c>
      <c r="L7031" t="s">
        <v>20</v>
      </c>
      <c r="M7031" t="s">
        <v>13164</v>
      </c>
      <c r="N7031" t="s">
        <v>14</v>
      </c>
    </row>
    <row r="7032" x14ac:dyDescent="0.25">
      <c r="A7032" t="n">
        <v>25</v>
      </c>
      <c r="B7032" t="s">
        <v>14</v>
      </c>
      <c r="C7032" t="s">
        <v>22</v>
      </c>
      <c r="D7032" s="2" t="s">
        <f>=HYPERLINK("https://main.knesset.gov.il/APPS/legislation/main/bills/2196144", "הצעת חוק הפיקוח על מעונות יום לפעוטות (תיקון - החמרת ענישה), התשפ""ג-2022")</f>
        <v>13695</v>
      </c>
      <c r="E7032" t="s">
        <v>13695</v>
      </c>
      <c r="F7032" t="s">
        <v>13696</v>
      </c>
      <c r="G7032" t="s">
        <v>14</v>
      </c>
      <c r="H7032">
             </c>
      <c r="I7032" t="s">
        <v>14</v>
      </c>
      <c r="J7032" t="s">
        <v>141</v>
      </c>
      <c r="K7032" t="s">
        <v>14</v>
      </c>
      <c r="L7032" t="s">
        <v>20</v>
      </c>
      <c r="M7032" t="s">
        <v>13164</v>
      </c>
      <c r="N7032" t="s">
        <v>14</v>
      </c>
    </row>
    <row r="7033" x14ac:dyDescent="0.25">
      <c r="A7033" t="n">
        <v>25</v>
      </c>
      <c r="B7033" t="s">
        <v>14</v>
      </c>
      <c r="C7033" t="s">
        <v>22</v>
      </c>
      <c r="D7033" s="2" t="s">
        <f>=HYPERLINK("https://main.knesset.gov.il/APPS/legislation/main/bills/2197427", "הצעת חוק למניעת מפגעים (תיקון - עידוד הפחתת שימוש בזיקוקי דינור), התשפ""ג-2022")</f>
        <v>13697</v>
      </c>
      <c r="E7033" t="s">
        <v>13697</v>
      </c>
      <c r="F7033" t="s">
        <v>13698</v>
      </c>
      <c r="G7033" t="s">
        <v>14</v>
      </c>
      <c r="H7033">
             </c>
      <c r="I7033" t="s">
        <v>14</v>
      </c>
      <c r="J7033" t="s">
        <v>141</v>
      </c>
      <c r="K7033" t="s">
        <v>14</v>
      </c>
      <c r="L7033" t="s">
        <v>20</v>
      </c>
      <c r="M7033" t="s">
        <v>13164</v>
      </c>
      <c r="N7033" t="s">
        <v>14</v>
      </c>
    </row>
    <row r="7034" x14ac:dyDescent="0.25">
      <c r="A7034" t="n">
        <v>25</v>
      </c>
      <c r="B7034" t="s">
        <v>14</v>
      </c>
      <c r="C7034" t="s">
        <v>22</v>
      </c>
      <c r="D7034" s="2" t="s">
        <f>=HYPERLINK("https://main.knesset.gov.il/APPS/legislation/main/bills/2196039", "הצעת חוק צער בעלי חיים (הגנה על בעלי חיים) (תיקון - ענישה מזערית), התשפ""ג-2022")</f>
        <v>13699</v>
      </c>
      <c r="E7034" t="s">
        <v>13699</v>
      </c>
      <c r="F7034" t="s">
        <v>13700</v>
      </c>
      <c r="G7034" t="s">
        <v>14</v>
      </c>
      <c r="H7034">
             </c>
      <c r="I7034" t="s">
        <v>14</v>
      </c>
      <c r="J7034" t="s">
        <v>141</v>
      </c>
      <c r="K7034" t="s">
        <v>14</v>
      </c>
      <c r="L7034" t="s">
        <v>20</v>
      </c>
      <c r="M7034" t="s">
        <v>13164</v>
      </c>
      <c r="N7034" t="s">
        <v>14</v>
      </c>
    </row>
    <row r="7035" x14ac:dyDescent="0.25">
      <c r="A7035" t="n">
        <v>25</v>
      </c>
      <c r="B7035" t="s">
        <v>14</v>
      </c>
      <c r="C7035" t="s">
        <v>22</v>
      </c>
      <c r="D7035" s="2" t="s">
        <f>=HYPERLINK("https://main.knesset.gov.il/APPS/legislation/main/bills/2196784", "הצעת חוק בתי המשפט (תיקון - קביעת הרכבים בבית המשפט העליון וקביעת דיון נוסף), התשפ""ג-2022")</f>
        <v>13701</v>
      </c>
      <c r="E7035" t="s">
        <v>13701</v>
      </c>
      <c r="F7035" t="s">
        <v>13702</v>
      </c>
      <c r="G7035" t="s">
        <v>14</v>
      </c>
      <c r="H7035">
             </c>
      <c r="I7035" t="s">
        <v>14</v>
      </c>
      <c r="J7035" t="s">
        <v>141</v>
      </c>
      <c r="K7035" t="s">
        <v>14</v>
      </c>
      <c r="L7035" t="s">
        <v>20</v>
      </c>
      <c r="M7035" t="s">
        <v>13164</v>
      </c>
      <c r="N7035" t="s">
        <v>14</v>
      </c>
    </row>
    <row r="7036" x14ac:dyDescent="0.25">
      <c r="A7036" t="n">
        <v>25</v>
      </c>
      <c r="B7036" t="s">
        <v>14</v>
      </c>
      <c r="C7036" t="s">
        <v>22</v>
      </c>
      <c r="D7036" s="2" t="s">
        <f>=HYPERLINK("https://main.knesset.gov.il/APPS/legislation/main/bills/2196922", "הצעת חוק לתיקון פקודת המסים (גבייה) (גבייה לפי חוק ההוצאה לפועל), התשפ""ג-2022")</f>
        <v>13703</v>
      </c>
      <c r="E7036" t="s">
        <v>13703</v>
      </c>
      <c r="F7036" t="s">
        <v>13704</v>
      </c>
      <c r="G7036" t="s">
        <v>14</v>
      </c>
      <c r="H7036">
             </c>
      <c r="I7036" t="s">
        <v>14</v>
      </c>
      <c r="J7036" t="s">
        <v>141</v>
      </c>
      <c r="K7036" t="s">
        <v>14</v>
      </c>
      <c r="L7036" t="s">
        <v>20</v>
      </c>
      <c r="M7036" t="s">
        <v>13164</v>
      </c>
      <c r="N7036" t="s">
        <v>14</v>
      </c>
    </row>
    <row r="7037" x14ac:dyDescent="0.25">
      <c r="A7037" t="n">
        <v>25</v>
      </c>
      <c r="B7037" t="s">
        <v>14</v>
      </c>
      <c r="C7037" t="s">
        <v>22</v>
      </c>
      <c r="D7037" s="2" t="s">
        <f>=HYPERLINK("https://main.knesset.gov.il/APPS/legislation/main/bills/2196100", "הצעת חוק לתיקון פקודת המסים (גבייה) (גבייה לפי חוק ההוצאה לפועל), התשפ""ג-2022")</f>
        <v>13703</v>
      </c>
      <c r="E7037" t="s">
        <v>13703</v>
      </c>
      <c r="F7037" t="s">
        <v>13705</v>
      </c>
      <c r="G7037" t="s">
        <v>14</v>
      </c>
      <c r="H7037">
             </c>
      <c r="I7037" t="s">
        <v>14</v>
      </c>
      <c r="J7037" t="s">
        <v>141</v>
      </c>
      <c r="K7037" t="s">
        <v>14</v>
      </c>
      <c r="L7037" t="s">
        <v>20</v>
      </c>
      <c r="M7037" t="s">
        <v>13164</v>
      </c>
      <c r="N7037" t="s">
        <v>14</v>
      </c>
    </row>
    <row r="7038" x14ac:dyDescent="0.25">
      <c r="A7038" t="n">
        <v>25</v>
      </c>
      <c r="B7038" t="s">
        <v>14</v>
      </c>
      <c r="C7038" t="s">
        <v>22</v>
      </c>
      <c r="D7038" s="2" t="s">
        <f>=HYPERLINK("https://main.knesset.gov.il/APPS/legislation/main/bills/2197712", "הצעת חוק העונשין (תיקון - החמרת ענישה בשל תקיפת צוות רפואי), התשפ''ג-2022")</f>
        <v>13706</v>
      </c>
      <c r="E7038" t="s">
        <v>13706</v>
      </c>
      <c r="F7038" t="s">
        <v>13707</v>
      </c>
      <c r="G7038" t="s">
        <v>14</v>
      </c>
      <c r="H7038">
             </c>
      <c r="I7038" t="s">
        <v>14</v>
      </c>
      <c r="J7038" t="s">
        <v>141</v>
      </c>
      <c r="K7038" t="s">
        <v>14</v>
      </c>
      <c r="L7038" t="s">
        <v>20</v>
      </c>
      <c r="M7038" t="s">
        <v>13164</v>
      </c>
      <c r="N7038" t="s">
        <v>14</v>
      </c>
    </row>
    <row r="7039" x14ac:dyDescent="0.25">
      <c r="A7039" t="n">
        <v>25</v>
      </c>
      <c r="B7039" t="s">
        <v>14</v>
      </c>
      <c r="C7039" t="s">
        <v>22</v>
      </c>
      <c r="D7039" s="2" t="s">
        <f>=HYPERLINK("https://main.knesset.gov.il/APPS/legislation/main/bills/2197260", "הצעת חוק לתיקון פקודת התעבורה (תשלום קנס בתשלומים), התשפ""ג-2022")</f>
        <v>13708</v>
      </c>
      <c r="E7039" t="s">
        <v>13708</v>
      </c>
      <c r="F7039" t="s">
        <v>13709</v>
      </c>
      <c r="G7039" t="s">
        <v>14</v>
      </c>
      <c r="H7039">
             </c>
      <c r="I7039" t="s">
        <v>14</v>
      </c>
      <c r="J7039" t="s">
        <v>141</v>
      </c>
      <c r="K7039" t="s">
        <v>14</v>
      </c>
      <c r="L7039" t="s">
        <v>20</v>
      </c>
      <c r="M7039" t="s">
        <v>13164</v>
      </c>
      <c r="N7039" t="s">
        <v>14</v>
      </c>
    </row>
    <row r="7040" x14ac:dyDescent="0.25">
      <c r="A7040" t="n">
        <v>25</v>
      </c>
      <c r="B7040" t="s">
        <v>14</v>
      </c>
      <c r="C7040" t="s">
        <v>22</v>
      </c>
      <c r="D7040" s="2" t="s">
        <f>=HYPERLINK("https://main.knesset.gov.il/APPS/legislation/main/bills/2197113", "הצעת חוק לתיקון פקודת התעבורה (תשלום קנס בתשלומים), התשפ""ג-2022")</f>
        <v>13708</v>
      </c>
      <c r="E7040" t="s">
        <v>13708</v>
      </c>
      <c r="F7040" t="s">
        <v>13710</v>
      </c>
      <c r="G7040" t="s">
        <v>14</v>
      </c>
      <c r="H7040">
             </c>
      <c r="I7040" t="s">
        <v>14</v>
      </c>
      <c r="J7040" t="s">
        <v>141</v>
      </c>
      <c r="K7040" t="s">
        <v>14</v>
      </c>
      <c r="L7040" t="s">
        <v>20</v>
      </c>
      <c r="M7040" t="s">
        <v>13164</v>
      </c>
      <c r="N7040" t="s">
        <v>14</v>
      </c>
    </row>
    <row r="7041" x14ac:dyDescent="0.25">
      <c r="A7041" t="n">
        <v>25</v>
      </c>
      <c r="B7041" t="s">
        <v>14</v>
      </c>
      <c r="C7041" t="s">
        <v>22</v>
      </c>
      <c r="D7041" s="2" t="s">
        <f>=HYPERLINK("https://main.knesset.gov.il/APPS/legislation/main/bills/2196898", "הצעת חוק להקפאת כספים ששילמה הרשות הפלסטינית בזיקה לטרור מהכספים המועברים אליה מממשלת ישראל (תיקון - איסור מתן הטבות פיננסיות לרשות הפלסטינית), התשפ""ג-2022 ")</f>
        <v>13711</v>
      </c>
      <c r="E7041" t="s">
        <v>13711</v>
      </c>
      <c r="F7041" t="s">
        <v>13712</v>
      </c>
      <c r="G7041" t="s">
        <v>14</v>
      </c>
      <c r="H7041">
             </c>
      <c r="I7041" t="s">
        <v>14</v>
      </c>
      <c r="J7041" t="s">
        <v>141</v>
      </c>
      <c r="K7041" t="s">
        <v>14</v>
      </c>
      <c r="L7041" t="s">
        <v>20</v>
      </c>
      <c r="M7041" t="s">
        <v>13164</v>
      </c>
      <c r="N7041" t="s">
        <v>14</v>
      </c>
    </row>
    <row r="7042" x14ac:dyDescent="0.25">
      <c r="A7042" t="n">
        <v>25</v>
      </c>
      <c r="B7042" t="s">
        <v>14</v>
      </c>
      <c r="C7042" t="s">
        <v>22</v>
      </c>
      <c r="D7042" s="2" t="s">
        <f>=HYPERLINK("https://main.knesset.gov.il/APPS/legislation/main/bills/2196846", "הצעת חוק העונשין (תיקון - הגדרת סוכן חוץ), התשפ""ג-2022")</f>
        <v>13713</v>
      </c>
      <c r="E7042" t="s">
        <v>13713</v>
      </c>
      <c r="F7042" t="s">
        <v>13714</v>
      </c>
      <c r="G7042" t="s">
        <v>14</v>
      </c>
      <c r="H7042">
             </c>
      <c r="I7042" t="s">
        <v>14</v>
      </c>
      <c r="J7042" t="s">
        <v>141</v>
      </c>
      <c r="K7042" t="s">
        <v>14</v>
      </c>
      <c r="L7042" t="s">
        <v>20</v>
      </c>
      <c r="M7042" t="s">
        <v>13164</v>
      </c>
      <c r="N7042" t="s">
        <v>14</v>
      </c>
    </row>
    <row r="7043" x14ac:dyDescent="0.25">
      <c r="A7043" t="n">
        <v>25</v>
      </c>
      <c r="B7043" t="s">
        <v>14</v>
      </c>
      <c r="C7043" t="s">
        <v>22</v>
      </c>
      <c r="D7043" s="2" t="s">
        <f>=HYPERLINK("https://main.knesset.gov.il/APPS/legislation/main/bills/2196075", "הצעת חוק העונשין (תיקון - הגדרת סוכן חוץ), התשפ""ג-2022")</f>
        <v>13713</v>
      </c>
      <c r="E7043" t="s">
        <v>13713</v>
      </c>
      <c r="F7043" t="s">
        <v>13715</v>
      </c>
      <c r="G7043" t="s">
        <v>14</v>
      </c>
      <c r="H7043">
             </c>
      <c r="I7043" t="s">
        <v>14</v>
      </c>
      <c r="J7043" t="s">
        <v>141</v>
      </c>
      <c r="K7043" t="s">
        <v>14</v>
      </c>
      <c r="L7043" t="s">
        <v>20</v>
      </c>
      <c r="M7043" t="s">
        <v>13164</v>
      </c>
      <c r="N7043" t="s">
        <v>14</v>
      </c>
    </row>
    <row r="7044" x14ac:dyDescent="0.25">
      <c r="A7044" t="n">
        <v>25</v>
      </c>
      <c r="B7044" t="s">
        <v>14</v>
      </c>
      <c r="C7044" t="s">
        <v>22</v>
      </c>
      <c r="D7044" s="2" t="s">
        <f>=HYPERLINK("https://main.knesset.gov.il/APPS/legislation/main/bills/2196776", "הצעת חוק איסור הלבנת הון (תיקון - צו תפיסה זמני טרם הגשת כתב אישום), התשפ""ג-2022 ")</f>
        <v>13716</v>
      </c>
      <c r="E7044" t="s">
        <v>13716</v>
      </c>
      <c r="F7044" t="s">
        <v>13717</v>
      </c>
      <c r="G7044" t="s">
        <v>14</v>
      </c>
      <c r="H7044">
             </c>
      <c r="I7044" t="s">
        <v>14</v>
      </c>
      <c r="J7044" t="s">
        <v>141</v>
      </c>
      <c r="K7044" t="s">
        <v>14</v>
      </c>
      <c r="L7044" t="s">
        <v>20</v>
      </c>
      <c r="M7044" t="s">
        <v>13164</v>
      </c>
      <c r="N7044" t="s">
        <v>14</v>
      </c>
    </row>
    <row r="7045" x14ac:dyDescent="0.25">
      <c r="A7045" t="n">
        <v>25</v>
      </c>
      <c r="B7045" t="s">
        <v>14</v>
      </c>
      <c r="C7045" t="s">
        <v>22</v>
      </c>
      <c r="D7045" s="2" t="s">
        <f>=HYPERLINK("https://main.knesset.gov.il/APPS/legislation/main/bills/2197414", "הצעת חוק-יסוד: השפיטה (תיקון - מינוי שופטים לבית המשפט העליון וקציבת כהונתם)")</f>
        <v>11368</v>
      </c>
      <c r="E7045" t="s">
        <v>11368</v>
      </c>
      <c r="F7045" t="s">
        <v>13718</v>
      </c>
      <c r="G7045" t="s">
        <v>14</v>
      </c>
      <c r="H7045">
             </c>
      <c r="I7045" t="s">
        <v>14</v>
      </c>
      <c r="J7045" t="s">
        <v>141</v>
      </c>
      <c r="K7045" t="s">
        <v>14</v>
      </c>
      <c r="L7045" t="s">
        <v>20</v>
      </c>
      <c r="M7045" t="s">
        <v>13164</v>
      </c>
      <c r="N7045" t="s">
        <v>14</v>
      </c>
    </row>
    <row r="7046" x14ac:dyDescent="0.25">
      <c r="A7046" t="n">
        <v>25</v>
      </c>
      <c r="B7046" t="s">
        <v>14</v>
      </c>
      <c r="C7046" t="s">
        <v>22</v>
      </c>
      <c r="D7046" s="2" t="s">
        <f>=HYPERLINK("https://main.knesset.gov.il/APPS/legislation/main/bills/2196902", "הצעת חוק-יסוד: השפיטה (תיקון - מינוי שופטים לבית המשפט העליון וקציבת כהונתם) ")</f>
        <v>13719</v>
      </c>
      <c r="E7046" t="s">
        <v>13719</v>
      </c>
      <c r="F7046" t="s">
        <v>13720</v>
      </c>
      <c r="G7046" t="s">
        <v>14</v>
      </c>
      <c r="H7046">
             </c>
      <c r="I7046" t="s">
        <v>14</v>
      </c>
      <c r="J7046" t="s">
        <v>141</v>
      </c>
      <c r="K7046" t="s">
        <v>14</v>
      </c>
      <c r="L7046" t="s">
        <v>20</v>
      </c>
      <c r="M7046" t="s">
        <v>13164</v>
      </c>
      <c r="N7046" t="s">
        <v>14</v>
      </c>
    </row>
    <row r="7047" x14ac:dyDescent="0.25">
      <c r="A7047" t="n">
        <v>25</v>
      </c>
      <c r="B7047" t="s">
        <v>14</v>
      </c>
      <c r="C7047" t="s">
        <v>22</v>
      </c>
      <c r="D7047" s="2" t="s">
        <f>=HYPERLINK("https://main.knesset.gov.il/APPS/legislation/main/bills/2197030", "הצעת חוק זכויות נפגעי עבירה (תיקון - הרחבת זכות היידוע), התשפ""ג-2022")</f>
        <v>13721</v>
      </c>
      <c r="E7047" t="s">
        <v>13721</v>
      </c>
      <c r="F7047" t="s">
        <v>13722</v>
      </c>
      <c r="G7047" t="s">
        <v>14</v>
      </c>
      <c r="H7047">
             </c>
      <c r="I7047" t="s">
        <v>14</v>
      </c>
      <c r="J7047" t="s">
        <v>141</v>
      </c>
      <c r="K7047" t="s">
        <v>14</v>
      </c>
      <c r="L7047" t="s">
        <v>20</v>
      </c>
      <c r="M7047" t="s">
        <v>13164</v>
      </c>
      <c r="N7047" t="s">
        <v>14</v>
      </c>
    </row>
    <row r="7048" x14ac:dyDescent="0.25">
      <c r="A7048" t="n">
        <v>25</v>
      </c>
      <c r="B7048" t="s">
        <v>14</v>
      </c>
      <c r="C7048" t="s">
        <v>22</v>
      </c>
      <c r="D7048" s="2" t="s">
        <f>=HYPERLINK("https://main.knesset.gov.il/APPS/legislation/main/bills/2196886", "הצעת חוק-יסוד: השפיטה (תיקון - מינוי שופטים לבית המשפט העליון וקציבת כהונתם)")</f>
        <v>11368</v>
      </c>
      <c r="E7048" t="s">
        <v>11368</v>
      </c>
      <c r="F7048" t="s">
        <v>13723</v>
      </c>
      <c r="G7048" t="s">
        <v>14</v>
      </c>
      <c r="H7048">
             </c>
      <c r="I7048" t="s">
        <v>14</v>
      </c>
      <c r="J7048" t="s">
        <v>141</v>
      </c>
      <c r="K7048" t="s">
        <v>14</v>
      </c>
      <c r="L7048" t="s">
        <v>20</v>
      </c>
      <c r="M7048" t="s">
        <v>13164</v>
      </c>
      <c r="N7048" t="s">
        <v>14</v>
      </c>
    </row>
    <row r="7049" x14ac:dyDescent="0.25">
      <c r="A7049" t="n">
        <v>25</v>
      </c>
      <c r="B7049" t="s">
        <v>14</v>
      </c>
      <c r="C7049" t="s">
        <v>22</v>
      </c>
      <c r="D7049" s="2" t="s">
        <f>=HYPERLINK("https://main.knesset.gov.il/APPS/legislation/main/bills/2197015", "הצעת חוק למניעת הטרדה מינית (תיקון - הטלת חובות לשם מניעת הטרדה מינית במוסד חינוך), התשפ""ג-2022")</f>
        <v>13724</v>
      </c>
      <c r="E7049" t="s">
        <v>13724</v>
      </c>
      <c r="F7049" t="s">
        <v>13725</v>
      </c>
      <c r="G7049" t="s">
        <v>14</v>
      </c>
      <c r="H7049">
             </c>
      <c r="I7049" t="s">
        <v>14</v>
      </c>
      <c r="J7049" t="s">
        <v>141</v>
      </c>
      <c r="K7049" t="s">
        <v>14</v>
      </c>
      <c r="L7049" t="s">
        <v>20</v>
      </c>
      <c r="M7049" t="s">
        <v>13164</v>
      </c>
      <c r="N7049" t="s">
        <v>14</v>
      </c>
    </row>
    <row r="7050" x14ac:dyDescent="0.25">
      <c r="A7050" t="n">
        <v>25</v>
      </c>
      <c r="B7050" t="s">
        <v>14</v>
      </c>
      <c r="C7050" t="s">
        <v>22</v>
      </c>
      <c r="D7050" s="2" t="s">
        <f>=HYPERLINK("https://main.knesset.gov.il/APPS/legislation/main/bills/2197393", "הצעת חוק-יסוד: ההתגברות (תיקוני חקיקה)")</f>
        <v>13726</v>
      </c>
      <c r="E7050" t="s">
        <v>13726</v>
      </c>
      <c r="F7050" t="s">
        <v>13727</v>
      </c>
      <c r="G7050" t="s">
        <v>14</v>
      </c>
      <c r="H7050">
             </c>
      <c r="I7050" t="s">
        <v>14</v>
      </c>
      <c r="J7050" t="s">
        <v>141</v>
      </c>
      <c r="K7050" t="s">
        <v>14</v>
      </c>
      <c r="L7050" t="s">
        <v>20</v>
      </c>
      <c r="M7050" t="s">
        <v>13164</v>
      </c>
      <c r="N7050" t="s">
        <v>14</v>
      </c>
    </row>
    <row r="7051" x14ac:dyDescent="0.25">
      <c r="A7051" t="n">
        <v>25</v>
      </c>
      <c r="B7051" t="s">
        <v>14</v>
      </c>
      <c r="C7051" t="s">
        <v>22</v>
      </c>
      <c r="D7051" s="2" t="s">
        <f>=HYPERLINK("https://main.knesset.gov.il/APPS/legislation/main/bills/2197000", "הצעת חוק הרשויות המקומיות (יועצת לענייני מעמד האישה) (תיקון - תקציב ייעודי וייחוד הכהונה), התשפ""ג-2022")</f>
        <v>13728</v>
      </c>
      <c r="E7051" t="s">
        <v>13728</v>
      </c>
      <c r="F7051" t="s">
        <v>13729</v>
      </c>
      <c r="G7051" t="s">
        <v>14</v>
      </c>
      <c r="H7051">
             </c>
      <c r="I7051" t="s">
        <v>14</v>
      </c>
      <c r="J7051" t="s">
        <v>141</v>
      </c>
      <c r="K7051" t="s">
        <v>14</v>
      </c>
      <c r="L7051" t="s">
        <v>20</v>
      </c>
      <c r="M7051" t="s">
        <v>13164</v>
      </c>
      <c r="N7051" t="s">
        <v>14</v>
      </c>
    </row>
    <row r="7052" x14ac:dyDescent="0.25">
      <c r="A7052" t="n">
        <v>25</v>
      </c>
      <c r="B7052" t="s">
        <v>14</v>
      </c>
      <c r="C7052" t="s">
        <v>22</v>
      </c>
      <c r="D7052" s="2" t="s">
        <f>=HYPERLINK("https://main.knesset.gov.il/APPS/legislation/main/bills/2197119", "הצעת חוק-יסוד: פסקת ההתגברות (תיקוני חקיקה)")</f>
        <v>13730</v>
      </c>
      <c r="E7052" t="s">
        <v>13730</v>
      </c>
      <c r="F7052" t="s">
        <v>13731</v>
      </c>
      <c r="G7052" t="s">
        <v>14</v>
      </c>
      <c r="H7052">
             </c>
      <c r="I7052" t="s">
        <v>14</v>
      </c>
      <c r="J7052" t="s">
        <v>141</v>
      </c>
      <c r="K7052" t="s">
        <v>14</v>
      </c>
      <c r="L7052" t="s">
        <v>20</v>
      </c>
      <c r="M7052" t="s">
        <v>13164</v>
      </c>
      <c r="N7052" t="s">
        <v>14</v>
      </c>
    </row>
    <row r="7053" x14ac:dyDescent="0.25">
      <c r="A7053" t="n">
        <v>25</v>
      </c>
      <c r="B7053" t="s">
        <v>14</v>
      </c>
      <c r="C7053" t="s">
        <v>22</v>
      </c>
      <c r="D7053" s="2" t="s">
        <f>=HYPERLINK("https://main.knesset.gov.il/APPS/legislation/main/bills/2197957", "הצעת חוק הכנסת (תיקון - ועדה לפיקוח על רשויות פיקוח פיננסיות), התשפ""ג-2022")</f>
        <v>13732</v>
      </c>
      <c r="E7053" t="s">
        <v>13732</v>
      </c>
      <c r="F7053" t="s">
        <v>13733</v>
      </c>
      <c r="G7053" t="s">
        <v>14</v>
      </c>
      <c r="H7053">
             </c>
      <c r="I7053" t="s">
        <v>14</v>
      </c>
      <c r="J7053" t="s">
        <v>141</v>
      </c>
      <c r="K7053" t="s">
        <v>14</v>
      </c>
      <c r="L7053" t="s">
        <v>20</v>
      </c>
      <c r="M7053" t="s">
        <v>13164</v>
      </c>
      <c r="N7053" t="s">
        <v>14</v>
      </c>
    </row>
    <row r="7054" x14ac:dyDescent="0.25">
      <c r="A7054" t="n">
        <v>25</v>
      </c>
      <c r="B7054" t="s">
        <v>14</v>
      </c>
      <c r="C7054" t="s">
        <v>22</v>
      </c>
      <c r="D7054" s="2" t="s">
        <f>=HYPERLINK("https://main.knesset.gov.il/APPS/legislation/main/bills/2196932", "הצעת חוק השבות (תיקון - צמצום הזכאים לזכויות), התשפ""ג-2022 ")</f>
        <v>13734</v>
      </c>
      <c r="E7054" t="s">
        <v>13734</v>
      </c>
      <c r="F7054" t="s">
        <v>13735</v>
      </c>
      <c r="G7054" t="s">
        <v>14</v>
      </c>
      <c r="H7054">
             </c>
      <c r="I7054" t="s">
        <v>14</v>
      </c>
      <c r="J7054" t="s">
        <v>141</v>
      </c>
      <c r="K7054" t="s">
        <v>14</v>
      </c>
      <c r="L7054" t="s">
        <v>20</v>
      </c>
      <c r="M7054" t="s">
        <v>13164</v>
      </c>
      <c r="N7054" t="s">
        <v>14</v>
      </c>
    </row>
    <row r="7055" x14ac:dyDescent="0.25">
      <c r="A7055" t="n">
        <v>25</v>
      </c>
      <c r="B7055" t="s">
        <v>14</v>
      </c>
      <c r="C7055" t="s">
        <v>22</v>
      </c>
      <c r="D7055" s="2" t="s">
        <f>=HYPERLINK("https://main.knesset.gov.il/APPS/legislation/main/bills/2197062", "הצעת חוק למניעת הטרדה מינית (תיקון - הרחבת התחולה לגבי מוסד ציבורי הנותן שירות חיוני), התשפ""ג-2022")</f>
        <v>13736</v>
      </c>
      <c r="E7055" t="s">
        <v>13736</v>
      </c>
      <c r="F7055" t="s">
        <v>13737</v>
      </c>
      <c r="G7055" t="s">
        <v>14</v>
      </c>
      <c r="H7055">
             </c>
      <c r="I7055" t="s">
        <v>14</v>
      </c>
      <c r="J7055" t="s">
        <v>141</v>
      </c>
      <c r="K7055" t="s">
        <v>14</v>
      </c>
      <c r="L7055" t="s">
        <v>20</v>
      </c>
      <c r="M7055" t="s">
        <v>13164</v>
      </c>
      <c r="N7055" t="s">
        <v>14</v>
      </c>
    </row>
    <row r="7056" x14ac:dyDescent="0.25">
      <c r="A7056" t="n">
        <v>25</v>
      </c>
      <c r="B7056" t="s">
        <v>14</v>
      </c>
      <c r="C7056" t="s">
        <v>22</v>
      </c>
      <c r="D7056" s="2" t="s">
        <f>=HYPERLINK("https://main.knesset.gov.il/APPS/legislation/main/bills/2197599", "הצעת חוק העונשין (תיקון - קביעת עונש מינימום לעבירות יידוי אבנים), התשפ""ג-2022")</f>
        <v>10760</v>
      </c>
      <c r="E7056" t="s">
        <v>10760</v>
      </c>
      <c r="F7056" t="s">
        <v>13738</v>
      </c>
      <c r="G7056" t="s">
        <v>14</v>
      </c>
      <c r="H7056">
             </c>
      <c r="I7056" t="s">
        <v>14</v>
      </c>
      <c r="J7056" t="s">
        <v>141</v>
      </c>
      <c r="K7056" t="s">
        <v>14</v>
      </c>
      <c r="L7056" t="s">
        <v>20</v>
      </c>
      <c r="M7056" t="s">
        <v>13164</v>
      </c>
      <c r="N7056" t="s">
        <v>14</v>
      </c>
    </row>
    <row r="7057" x14ac:dyDescent="0.25">
      <c r="A7057" t="n">
        <v>25</v>
      </c>
      <c r="B7057" t="s">
        <v>14</v>
      </c>
      <c r="C7057" t="s">
        <v>22</v>
      </c>
      <c r="D7057" s="2" t="s">
        <f>=HYPERLINK("https://main.knesset.gov.il/APPS/legislation/main/bills/2196979", "הצעת חוק לימוד חובה (תיקון - חינוך חינם לפעוטות ולילדים), התשפ""ג-2022")</f>
        <v>13052</v>
      </c>
      <c r="E7057" t="s">
        <v>13052</v>
      </c>
      <c r="F7057" t="s">
        <v>13739</v>
      </c>
      <c r="G7057" t="s">
        <v>14</v>
      </c>
      <c r="H7057">
             </c>
      <c r="I7057" t="s">
        <v>14</v>
      </c>
      <c r="J7057" t="s">
        <v>141</v>
      </c>
      <c r="K7057" t="s">
        <v>14</v>
      </c>
      <c r="L7057" t="s">
        <v>20</v>
      </c>
      <c r="M7057" t="s">
        <v>13164</v>
      </c>
      <c r="N7057" t="s">
        <v>14</v>
      </c>
    </row>
    <row r="7058" x14ac:dyDescent="0.25">
      <c r="A7058" t="n">
        <v>25</v>
      </c>
      <c r="B7058" t="s">
        <v>14</v>
      </c>
      <c r="C7058" t="s">
        <v>22</v>
      </c>
      <c r="D7058" s="2" t="s">
        <f>=HYPERLINK("https://main.knesset.gov.il/APPS/legislation/main/bills/2196809", "הצעת חוק העונשין (תיקון - גזר דין עונש מוות למורשע ברצח בנסיבות טרור), התשפ""ג-2022")</f>
        <v>13600</v>
      </c>
      <c r="E7058" t="s">
        <v>13600</v>
      </c>
      <c r="F7058" t="s">
        <v>13740</v>
      </c>
      <c r="G7058" t="s">
        <v>14</v>
      </c>
      <c r="H7058">
             </c>
      <c r="I7058" t="s">
        <v>14</v>
      </c>
      <c r="J7058" t="s">
        <v>141</v>
      </c>
      <c r="K7058" t="s">
        <v>14</v>
      </c>
      <c r="L7058" t="s">
        <v>20</v>
      </c>
      <c r="M7058" t="s">
        <v>13164</v>
      </c>
      <c r="N7058" t="s">
        <v>14</v>
      </c>
    </row>
    <row r="7059" x14ac:dyDescent="0.25">
      <c r="A7059" t="n">
        <v>25</v>
      </c>
      <c r="B7059" t="s">
        <v>14</v>
      </c>
      <c r="C7059" t="s">
        <v>22</v>
      </c>
      <c r="D7059" s="2" t="s">
        <f>=HYPERLINK("https://main.knesset.gov.il/APPS/legislation/main/bills/2196793", "הצעת חוק-יסוד: הממשלה (תיקון - ביטול ממשלת חילופים)")</f>
        <v>4432</v>
      </c>
      <c r="E7059" t="s">
        <v>4432</v>
      </c>
      <c r="F7059" t="s">
        <v>13741</v>
      </c>
      <c r="G7059" t="s">
        <v>14</v>
      </c>
      <c r="H7059">
             </c>
      <c r="I7059" t="s">
        <v>14</v>
      </c>
      <c r="J7059" t="s">
        <v>141</v>
      </c>
      <c r="K7059" t="s">
        <v>14</v>
      </c>
      <c r="L7059" t="s">
        <v>20</v>
      </c>
      <c r="M7059" t="s">
        <v>13164</v>
      </c>
      <c r="N7059" t="s">
        <v>14</v>
      </c>
    </row>
    <row r="7060" x14ac:dyDescent="0.25">
      <c r="A7060" t="n">
        <v>25</v>
      </c>
      <c r="B7060" t="s">
        <v>14</v>
      </c>
      <c r="C7060" t="s">
        <v>22</v>
      </c>
      <c r="D7060" s="2" t="s">
        <f>=HYPERLINK("https://main.knesset.gov.il/APPS/legislation/main/bills/2196975", "הצעת חוק הביטוח הלאומי (תיקון - ביטוח שאירים לאלמן), התשפ""ג-2022")</f>
        <v>13742</v>
      </c>
      <c r="E7060" t="s">
        <v>13742</v>
      </c>
      <c r="F7060" t="s">
        <v>13743</v>
      </c>
      <c r="G7060" t="s">
        <v>14</v>
      </c>
      <c r="H7060">
             </c>
      <c r="I7060" t="s">
        <v>14</v>
      </c>
      <c r="J7060" t="s">
        <v>141</v>
      </c>
      <c r="K7060" t="s">
        <v>14</v>
      </c>
      <c r="L7060" t="s">
        <v>20</v>
      </c>
      <c r="M7060" t="s">
        <v>13164</v>
      </c>
      <c r="N7060" t="s">
        <v>14</v>
      </c>
    </row>
    <row r="7061" x14ac:dyDescent="0.25">
      <c r="A7061" t="n">
        <v>25</v>
      </c>
      <c r="B7061" t="s">
        <v>14</v>
      </c>
      <c r="C7061" t="s">
        <v>22</v>
      </c>
      <c r="D7061" s="2" t="s">
        <f>=HYPERLINK("https://main.knesset.gov.il/APPS/legislation/main/bills/2196786", "הצעת חוק הביטוח הלאומי (תיקון - ביטוח שאירים לאלמן), התשפ""ג-2022")</f>
        <v>13742</v>
      </c>
      <c r="E7061" t="s">
        <v>13742</v>
      </c>
      <c r="F7061" t="s">
        <v>13744</v>
      </c>
      <c r="G7061" t="s">
        <v>14</v>
      </c>
      <c r="H7061">
             </c>
      <c r="I7061" t="s">
        <v>14</v>
      </c>
      <c r="J7061" t="s">
        <v>141</v>
      </c>
      <c r="K7061" t="s">
        <v>14</v>
      </c>
      <c r="L7061" t="s">
        <v>20</v>
      </c>
      <c r="M7061" t="s">
        <v>13164</v>
      </c>
      <c r="N7061" t="s">
        <v>14</v>
      </c>
    </row>
    <row r="7062" x14ac:dyDescent="0.25">
      <c r="A7062" t="n">
        <v>25</v>
      </c>
      <c r="B7062" t="s">
        <v>14</v>
      </c>
      <c r="C7062" t="s">
        <v>22</v>
      </c>
      <c r="D7062" s="2" t="s">
        <f>=HYPERLINK("https://main.knesset.gov.il/APPS/legislation/main/bills/2196893", "הצעת חוק מינוי תובע מיוחד, התשפ""ג-2022")</f>
        <v>13745</v>
      </c>
      <c r="E7062" t="s">
        <v>13745</v>
      </c>
      <c r="F7062" t="s">
        <v>13746</v>
      </c>
      <c r="G7062" t="s">
        <v>14</v>
      </c>
      <c r="H7062">
             </c>
      <c r="I7062" t="s">
        <v>14</v>
      </c>
      <c r="J7062" t="s">
        <v>141</v>
      </c>
      <c r="K7062" t="s">
        <v>14</v>
      </c>
      <c r="L7062" t="s">
        <v>20</v>
      </c>
      <c r="M7062" t="s">
        <v>13164</v>
      </c>
      <c r="N7062" t="s">
        <v>14</v>
      </c>
    </row>
    <row r="7063" x14ac:dyDescent="0.25">
      <c r="A7063" t="n">
        <v>25</v>
      </c>
      <c r="B7063" t="s">
        <v>14</v>
      </c>
      <c r="C7063" t="s">
        <v>22</v>
      </c>
      <c r="D7063" s="2" t="s">
        <f>=HYPERLINK("https://main.knesset.gov.il/APPS/legislation/main/bills/2197550", "הצעת חוק לביטול הרשות לפיתוח והתיישבות הבדואים בנגב, התשפ""ג-2022")</f>
        <v>13747</v>
      </c>
      <c r="E7063" t="s">
        <v>13747</v>
      </c>
      <c r="F7063" t="s">
        <v>13748</v>
      </c>
      <c r="G7063" t="s">
        <v>14</v>
      </c>
      <c r="H7063">
             </c>
      <c r="I7063" t="s">
        <v>14</v>
      </c>
      <c r="J7063" t="s">
        <v>141</v>
      </c>
      <c r="K7063" t="s">
        <v>14</v>
      </c>
      <c r="L7063" t="s">
        <v>20</v>
      </c>
      <c r="M7063" t="s">
        <v>13164</v>
      </c>
      <c r="N7063" t="s">
        <v>14</v>
      </c>
    </row>
    <row r="7064" x14ac:dyDescent="0.25">
      <c r="A7064" t="n">
        <v>25</v>
      </c>
      <c r="B7064" t="s">
        <v>14</v>
      </c>
      <c r="C7064" t="s">
        <v>22</v>
      </c>
      <c r="D7064" s="2" t="s">
        <f>=HYPERLINK("https://main.knesset.gov.il/APPS/legislation/main/bills/2195771", "הצעת חוק הבחירות (דרכי תעמולה) (תיקון - איסור על תעמולה גזענית), התשפ""ג-2022")</f>
        <v>13749</v>
      </c>
      <c r="E7064" t="s">
        <v>13749</v>
      </c>
      <c r="F7064" t="s">
        <v>13750</v>
      </c>
      <c r="G7064" t="s">
        <v>14</v>
      </c>
      <c r="H7064">
             </c>
      <c r="I7064" t="s">
        <v>14</v>
      </c>
      <c r="J7064" t="s">
        <v>141</v>
      </c>
      <c r="K7064" t="s">
        <v>14</v>
      </c>
      <c r="L7064" t="s">
        <v>20</v>
      </c>
      <c r="M7064" t="s">
        <v>13164</v>
      </c>
      <c r="N7064" t="s">
        <v>14</v>
      </c>
    </row>
    <row r="7065" x14ac:dyDescent="0.25">
      <c r="A7065" t="n">
        <v>25</v>
      </c>
      <c r="B7065" t="s">
        <v>14</v>
      </c>
      <c r="C7065" t="s">
        <v>22</v>
      </c>
      <c r="D7065" s="2" t="s">
        <f>=HYPERLINK("https://main.knesset.gov.il/APPS/legislation/main/bills/2196751", "הצעת חוק העונשין (תיקון - חלופת מאסר לנשים הרות ולאמהות), התשפ""ג-2022")</f>
        <v>13751</v>
      </c>
      <c r="E7065" t="s">
        <v>13751</v>
      </c>
      <c r="F7065" t="s">
        <v>13752</v>
      </c>
      <c r="G7065" t="s">
        <v>14</v>
      </c>
      <c r="H7065">
             </c>
      <c r="I7065" t="s">
        <v>14</v>
      </c>
      <c r="J7065" t="s">
        <v>141</v>
      </c>
      <c r="K7065" t="s">
        <v>14</v>
      </c>
      <c r="L7065" t="s">
        <v>20</v>
      </c>
      <c r="M7065" t="s">
        <v>13164</v>
      </c>
      <c r="N7065" t="s">
        <v>14</v>
      </c>
    </row>
    <row r="7066" x14ac:dyDescent="0.25">
      <c r="A7066" t="n">
        <v>25</v>
      </c>
      <c r="B7066" t="s">
        <v>14</v>
      </c>
      <c r="C7066" t="s">
        <v>22</v>
      </c>
      <c r="D7066" s="2" t="s">
        <f>=HYPERLINK("https://main.knesset.gov.il/APPS/legislation/main/bills/2195873", "הצעת חוק המשטרה (תיקון - התיישנות עבירות), התשפ""ג-2022")</f>
        <v>13753</v>
      </c>
      <c r="E7066" t="s">
        <v>13753</v>
      </c>
      <c r="F7066" t="s">
        <v>13754</v>
      </c>
      <c r="G7066" t="s">
        <v>14</v>
      </c>
      <c r="H7066">
             </c>
      <c r="I7066" t="s">
        <v>14</v>
      </c>
      <c r="J7066" t="s">
        <v>141</v>
      </c>
      <c r="K7066" t="s">
        <v>14</v>
      </c>
      <c r="L7066" t="s">
        <v>20</v>
      </c>
      <c r="M7066" t="s">
        <v>13164</v>
      </c>
      <c r="N7066" t="s">
        <v>14</v>
      </c>
    </row>
    <row r="7067" x14ac:dyDescent="0.25">
      <c r="A7067" t="n">
        <v>25</v>
      </c>
      <c r="B7067" t="s">
        <v>14</v>
      </c>
      <c r="C7067" t="s">
        <v>22</v>
      </c>
      <c r="D7067" s="2" t="s">
        <f>=HYPERLINK("https://main.knesset.gov.il/APPS/legislation/main/bills/2196903", "הצעת חוק הסיוע המשפטי (תיקון - סיוע משפטי לנפגעי אלימות במשפחה), התשפ""ג-2022")</f>
        <v>13755</v>
      </c>
      <c r="E7067" t="s">
        <v>13755</v>
      </c>
      <c r="F7067" t="s">
        <v>13756</v>
      </c>
      <c r="G7067" t="s">
        <v>14</v>
      </c>
      <c r="H7067">
             </c>
      <c r="I7067" t="s">
        <v>14</v>
      </c>
      <c r="J7067" t="s">
        <v>141</v>
      </c>
      <c r="K7067" t="s">
        <v>14</v>
      </c>
      <c r="L7067" t="s">
        <v>20</v>
      </c>
      <c r="M7067" t="s">
        <v>13164</v>
      </c>
      <c r="N7067" t="s">
        <v>14</v>
      </c>
    </row>
    <row r="7068" x14ac:dyDescent="0.25">
      <c r="A7068" t="n">
        <v>25</v>
      </c>
      <c r="B7068" t="s">
        <v>14</v>
      </c>
      <c r="C7068" t="s">
        <v>22</v>
      </c>
      <c r="D7068" s="2" t="s">
        <f>=HYPERLINK("https://main.knesset.gov.il/APPS/legislation/main/bills/2196067", "הצעת חוק הדגל, הסמל והמנון המדינה (תיקון - שלילת תמיכה), התשפ""ג-2022")</f>
        <v>13757</v>
      </c>
      <c r="E7068" t="s">
        <v>13757</v>
      </c>
      <c r="F7068" t="s">
        <v>13758</v>
      </c>
      <c r="G7068" t="s">
        <v>14</v>
      </c>
      <c r="H7068">
             </c>
      <c r="I7068" t="s">
        <v>14</v>
      </c>
      <c r="J7068" t="s">
        <v>141</v>
      </c>
      <c r="K7068" t="s">
        <v>14</v>
      </c>
      <c r="L7068" t="s">
        <v>20</v>
      </c>
      <c r="M7068" t="s">
        <v>13164</v>
      </c>
      <c r="N7068" t="s">
        <v>14</v>
      </c>
    </row>
    <row r="7069" x14ac:dyDescent="0.25">
      <c r="A7069" t="n">
        <v>25</v>
      </c>
      <c r="B7069" t="s">
        <v>14</v>
      </c>
      <c r="C7069" t="s">
        <v>22</v>
      </c>
      <c r="D7069" s="2" t="s">
        <f>=HYPERLINK("https://main.knesset.gov.il/APPS/legislation/main/bills/2196954", "הצעת חוק הגנת הצרכן (תיקון - חובת הקלטה של עסקה טלפונית), התשפ""ג-2022")</f>
        <v>13759</v>
      </c>
      <c r="E7069" t="s">
        <v>13759</v>
      </c>
      <c r="F7069" t="s">
        <v>13760</v>
      </c>
      <c r="G7069" t="s">
        <v>14</v>
      </c>
      <c r="H7069">
             </c>
      <c r="I7069" t="s">
        <v>14</v>
      </c>
      <c r="J7069" t="s">
        <v>141</v>
      </c>
      <c r="K7069" t="s">
        <v>14</v>
      </c>
      <c r="L7069" t="s">
        <v>20</v>
      </c>
      <c r="M7069" t="s">
        <v>13164</v>
      </c>
      <c r="N7069" t="s">
        <v>14</v>
      </c>
    </row>
    <row r="7070" x14ac:dyDescent="0.25">
      <c r="A7070" t="n">
        <v>25</v>
      </c>
      <c r="B7070" t="s">
        <v>14</v>
      </c>
      <c r="C7070" t="s">
        <v>22</v>
      </c>
      <c r="D7070" s="2" t="s">
        <f>=HYPERLINK("https://main.knesset.gov.il/APPS/legislation/main/bills/2197642", "הצעת חוק החברות הממשלתיות (תיקון - ייצוג הולם לאוכלוסייה הערבית), התשפ""ג-2022")</f>
        <v>13761</v>
      </c>
      <c r="E7070" t="s">
        <v>13761</v>
      </c>
      <c r="F7070" t="s">
        <v>13762</v>
      </c>
      <c r="G7070" t="s">
        <v>14</v>
      </c>
      <c r="H7070">
             </c>
      <c r="I7070" t="s">
        <v>14</v>
      </c>
      <c r="J7070" t="s">
        <v>141</v>
      </c>
      <c r="K7070" t="s">
        <v>14</v>
      </c>
      <c r="L7070" t="s">
        <v>20</v>
      </c>
      <c r="M7070" t="s">
        <v>13164</v>
      </c>
      <c r="N7070" t="s">
        <v>14</v>
      </c>
    </row>
    <row r="7071" x14ac:dyDescent="0.25">
      <c r="A7071" t="n">
        <v>25</v>
      </c>
      <c r="B7071" t="s">
        <v>14</v>
      </c>
      <c r="C7071" t="s">
        <v>22</v>
      </c>
      <c r="D7071" s="2" t="s">
        <f>=HYPERLINK("https://main.knesset.gov.il/APPS/legislation/main/bills/2197031", "הצעת חוק הביטוח הלאומי (תיקון - שמירה חקלאית כעבודה מועדפת), התשפ""ג-2022")</f>
        <v>13763</v>
      </c>
      <c r="E7071" t="s">
        <v>13763</v>
      </c>
      <c r="F7071" t="s">
        <v>13764</v>
      </c>
      <c r="G7071" t="s">
        <v>14</v>
      </c>
      <c r="H7071">
             </c>
      <c r="I7071" t="s">
        <v>14</v>
      </c>
      <c r="J7071" t="s">
        <v>141</v>
      </c>
      <c r="K7071" t="s">
        <v>14</v>
      </c>
      <c r="L7071" t="s">
        <v>20</v>
      </c>
      <c r="M7071" t="s">
        <v>13164</v>
      </c>
      <c r="N7071" t="s">
        <v>14</v>
      </c>
    </row>
    <row r="7072" x14ac:dyDescent="0.25">
      <c r="A7072" t="n">
        <v>25</v>
      </c>
      <c r="B7072" t="s">
        <v>14</v>
      </c>
      <c r="C7072" t="s">
        <v>22</v>
      </c>
      <c r="D7072" s="2" t="s">
        <f>=HYPERLINK("https://main.knesset.gov.il/APPS/legislation/main/bills/2196074", "הצעת חוק לתיקון פקודת ביטוח רכב מנועי (חיוב שיווק פוליסה), התשפ""ג–2022")</f>
        <v>13765</v>
      </c>
      <c r="E7072" t="s">
        <v>13765</v>
      </c>
      <c r="F7072" t="s">
        <v>13766</v>
      </c>
      <c r="G7072" t="s">
        <v>14</v>
      </c>
      <c r="H7072">
             </c>
      <c r="I7072" t="s">
        <v>14</v>
      </c>
      <c r="J7072" t="s">
        <v>141</v>
      </c>
      <c r="K7072" t="s">
        <v>14</v>
      </c>
      <c r="L7072" t="s">
        <v>20</v>
      </c>
      <c r="M7072" t="s">
        <v>13164</v>
      </c>
      <c r="N7072" t="s">
        <v>14</v>
      </c>
    </row>
    <row r="7073" x14ac:dyDescent="0.25">
      <c r="A7073" t="n">
        <v>25</v>
      </c>
      <c r="B7073" t="s">
        <v>14</v>
      </c>
      <c r="C7073" t="s">
        <v>22</v>
      </c>
      <c r="D7073" s="2" t="s">
        <f>=HYPERLINK("https://main.knesset.gov.il/APPS/legislation/main/bills/2196135", "הצעת חוק לביטול אזרחותו או תושבותו של פעיל טרור שמקבל תגמול עבור ביצוע מעשה הטרור (תיקוני חקיקה), התשפ""ג-2022")</f>
        <v>11672</v>
      </c>
      <c r="E7073" t="s">
        <v>11672</v>
      </c>
      <c r="F7073" t="s">
        <v>13767</v>
      </c>
      <c r="G7073" t="s">
        <v>14</v>
      </c>
      <c r="H7073">
             </c>
      <c r="I7073" t="s">
        <v>14</v>
      </c>
      <c r="J7073" t="s">
        <v>141</v>
      </c>
      <c r="K7073" t="s">
        <v>14</v>
      </c>
      <c r="L7073" t="s">
        <v>20</v>
      </c>
      <c r="M7073" t="s">
        <v>13164</v>
      </c>
      <c r="N7073" t="s">
        <v>14</v>
      </c>
    </row>
    <row r="7074" x14ac:dyDescent="0.25">
      <c r="A7074" t="n">
        <v>25</v>
      </c>
      <c r="B7074" t="s">
        <v>14</v>
      </c>
      <c r="C7074" t="s">
        <v>22</v>
      </c>
      <c r="D7074" s="2" t="s">
        <f>=HYPERLINK("https://main.knesset.gov.il/APPS/legislation/main/bills/2196598", "הצעת חוק שכר מינימום (תיקון - העלאת שכר המינימום), התשפ""ג-2022")</f>
        <v>13768</v>
      </c>
      <c r="E7074" t="s">
        <v>13768</v>
      </c>
      <c r="F7074" t="s">
        <v>13769</v>
      </c>
      <c r="G7074" t="s">
        <v>14</v>
      </c>
      <c r="H7074">
             </c>
      <c r="I7074" t="s">
        <v>14</v>
      </c>
      <c r="J7074" t="s">
        <v>141</v>
      </c>
      <c r="K7074" t="s">
        <v>14</v>
      </c>
      <c r="L7074" t="s">
        <v>20</v>
      </c>
      <c r="M7074" t="s">
        <v>13164</v>
      </c>
      <c r="N7074" t="s">
        <v>14</v>
      </c>
    </row>
    <row r="7075" x14ac:dyDescent="0.25">
      <c r="A7075" t="n">
        <v>25</v>
      </c>
      <c r="B7075" t="s">
        <v>14</v>
      </c>
      <c r="C7075" t="s">
        <v>22</v>
      </c>
      <c r="D7075" s="2" t="s">
        <f>=HYPERLINK("https://main.knesset.gov.il/APPS/legislation/main/bills/2196896", "הצעת חוק העונשין (תיקון - הגנת בית מגורים, נכס, בית עסק, משק חקלאי מגודר ורכב), התשפ""ג-2022")</f>
        <v>13770</v>
      </c>
      <c r="E7075" t="s">
        <v>13770</v>
      </c>
      <c r="F7075" t="s">
        <v>13771</v>
      </c>
      <c r="G7075" t="s">
        <v>14</v>
      </c>
      <c r="H7075">
             </c>
      <c r="I7075" t="s">
        <v>14</v>
      </c>
      <c r="J7075" t="s">
        <v>141</v>
      </c>
      <c r="K7075" t="s">
        <v>14</v>
      </c>
      <c r="L7075" t="s">
        <v>20</v>
      </c>
      <c r="M7075" t="s">
        <v>13164</v>
      </c>
      <c r="N7075" t="s">
        <v>14</v>
      </c>
    </row>
    <row r="7076" x14ac:dyDescent="0.25">
      <c r="A7076" t="n">
        <v>25</v>
      </c>
      <c r="B7076" t="s">
        <v>14</v>
      </c>
      <c r="C7076" t="s">
        <v>22</v>
      </c>
      <c r="D7076" s="2" t="s">
        <f>=HYPERLINK("https://main.knesset.gov.il/APPS/legislation/main/bills/2196769", "הצעת חוק העונשין (תיקון - הגנת בית מגורים, נכס, בית עסק, משק חקלאי מגודר ורכב), התשפ""ג-2022")</f>
        <v>13770</v>
      </c>
      <c r="E7076" t="s">
        <v>13770</v>
      </c>
      <c r="F7076" t="s">
        <v>13772</v>
      </c>
      <c r="G7076" t="s">
        <v>14</v>
      </c>
      <c r="H7076">
             </c>
      <c r="I7076" t="s">
        <v>14</v>
      </c>
      <c r="J7076" t="s">
        <v>141</v>
      </c>
      <c r="K7076" t="s">
        <v>14</v>
      </c>
      <c r="L7076" t="s">
        <v>20</v>
      </c>
      <c r="M7076" t="s">
        <v>13164</v>
      </c>
      <c r="N7076" t="s">
        <v>14</v>
      </c>
    </row>
    <row r="7077" x14ac:dyDescent="0.25">
      <c r="A7077" t="n">
        <v>25</v>
      </c>
      <c r="B7077" t="s">
        <v>14</v>
      </c>
      <c r="C7077" t="s">
        <v>22</v>
      </c>
      <c r="D7077" s="2" t="s">
        <f>=HYPERLINK("https://main.knesset.gov.il/APPS/legislation/main/bills/2196587", "הצעת חוק השפה הערבית שפה רשמית, התשפ""ג-2022")</f>
        <v>13773</v>
      </c>
      <c r="E7077" t="s">
        <v>13773</v>
      </c>
      <c r="F7077" t="s">
        <v>13774</v>
      </c>
      <c r="G7077" t="s">
        <v>14</v>
      </c>
      <c r="H7077">
             </c>
      <c r="I7077" t="s">
        <v>14</v>
      </c>
      <c r="J7077" t="s">
        <v>141</v>
      </c>
      <c r="K7077" t="s">
        <v>14</v>
      </c>
      <c r="L7077" t="s">
        <v>20</v>
      </c>
      <c r="M7077" t="s">
        <v>13164</v>
      </c>
      <c r="N7077" t="s">
        <v>14</v>
      </c>
    </row>
    <row r="7078" x14ac:dyDescent="0.25">
      <c r="A7078" t="n">
        <v>25</v>
      </c>
      <c r="B7078" t="s">
        <v>14</v>
      </c>
      <c r="C7078" t="s">
        <v>22</v>
      </c>
      <c r="D7078" s="2" t="s">
        <f>=HYPERLINK("https://main.knesset.gov.il/APPS/legislation/main/bills/2197202", "הצעת חוק לתיקון פקודת מס הכנסה (שווי השימוש ברכב או ברדיו טלפון נייד), התשפ""ג-2022")</f>
        <v>13775</v>
      </c>
      <c r="E7078" t="s">
        <v>13775</v>
      </c>
      <c r="F7078" t="s">
        <v>13776</v>
      </c>
      <c r="G7078" t="s">
        <v>14</v>
      </c>
      <c r="H7078">
             </c>
      <c r="I7078" t="s">
        <v>14</v>
      </c>
      <c r="J7078" t="s">
        <v>141</v>
      </c>
      <c r="K7078" t="s">
        <v>14</v>
      </c>
      <c r="L7078" t="s">
        <v>20</v>
      </c>
      <c r="M7078" t="s">
        <v>13164</v>
      </c>
      <c r="N7078" t="s">
        <v>14</v>
      </c>
    </row>
    <row r="7079" x14ac:dyDescent="0.25">
      <c r="A7079" t="n">
        <v>25</v>
      </c>
      <c r="B7079" t="s">
        <v>14</v>
      </c>
      <c r="C7079" t="s">
        <v>22</v>
      </c>
      <c r="D7079" s="2" t="s">
        <f>=HYPERLINK("https://main.knesset.gov.il/APPS/legislation/main/bills/2195889", "הצעת חוק הביטוח הלאומי (תיקון - הצמדת קצבת אזרח ותיק לשכר הממוצע לפחות), התשפ""ג-2022")</f>
        <v>13777</v>
      </c>
      <c r="E7079" t="s">
        <v>13777</v>
      </c>
      <c r="F7079" t="s">
        <v>13778</v>
      </c>
      <c r="G7079" t="s">
        <v>14</v>
      </c>
      <c r="H7079">
             </c>
      <c r="I7079" t="s">
        <v>14</v>
      </c>
      <c r="J7079" t="s">
        <v>141</v>
      </c>
      <c r="K7079" t="s">
        <v>14</v>
      </c>
      <c r="L7079" t="s">
        <v>20</v>
      </c>
      <c r="M7079" t="s">
        <v>13164</v>
      </c>
      <c r="N7079" t="s">
        <v>14</v>
      </c>
    </row>
    <row r="7080" x14ac:dyDescent="0.25">
      <c r="A7080" t="n">
        <v>25</v>
      </c>
      <c r="B7080" t="s">
        <v>14</v>
      </c>
      <c r="C7080" t="s">
        <v>22</v>
      </c>
      <c r="D7080" s="2" t="s">
        <f>=HYPERLINK("https://main.knesset.gov.il/APPS/legislation/main/bills/2196878", "הצעת חוק לתיקון פקודת מס הכנסה (שווי השימוש ברכב או ברדיו טלפון נייד), התשפ""ג-2022")</f>
        <v>13775</v>
      </c>
      <c r="E7080" t="s">
        <v>13775</v>
      </c>
      <c r="F7080" t="s">
        <v>13779</v>
      </c>
      <c r="G7080" t="s">
        <v>14</v>
      </c>
      <c r="H7080">
             </c>
      <c r="I7080" t="s">
        <v>14</v>
      </c>
      <c r="J7080" t="s">
        <v>141</v>
      </c>
      <c r="K7080" t="s">
        <v>14</v>
      </c>
      <c r="L7080" t="s">
        <v>20</v>
      </c>
      <c r="M7080" t="s">
        <v>13164</v>
      </c>
      <c r="N7080" t="s">
        <v>14</v>
      </c>
    </row>
    <row r="7081" x14ac:dyDescent="0.25">
      <c r="A7081" t="n">
        <v>25</v>
      </c>
      <c r="B7081" t="s">
        <v>14</v>
      </c>
      <c r="C7081" t="s">
        <v>22</v>
      </c>
      <c r="D7081" s="2" t="s">
        <f>=HYPERLINK("https://main.knesset.gov.il/APPS/legislation/main/bills/2195965", "הצעת חוק לתיקון פקודת מס הכנסה (שווי השימוש ברכב או ברדיו טלפון נייד), התשפ""ג-2022")</f>
        <v>13775</v>
      </c>
      <c r="E7081" t="s">
        <v>13775</v>
      </c>
      <c r="F7081" t="s">
        <v>13780</v>
      </c>
      <c r="G7081" t="s">
        <v>14</v>
      </c>
      <c r="H7081">
             </c>
      <c r="I7081" t="s">
        <v>14</v>
      </c>
      <c r="J7081" t="s">
        <v>141</v>
      </c>
      <c r="K7081" t="s">
        <v>14</v>
      </c>
      <c r="L7081" t="s">
        <v>20</v>
      </c>
      <c r="M7081" t="s">
        <v>13164</v>
      </c>
      <c r="N7081" t="s">
        <v>14</v>
      </c>
    </row>
    <row r="7082" x14ac:dyDescent="0.25">
      <c r="A7082" t="n">
        <v>25</v>
      </c>
      <c r="B7082" t="s">
        <v>14</v>
      </c>
      <c r="C7082" t="s">
        <v>22</v>
      </c>
      <c r="D7082" s="2" t="s">
        <f>=HYPERLINK("https://main.knesset.gov.il/APPS/legislation/main/bills/2196191", "הצעת חוק הביטוח הלאומי (תיקון - השוואת קצבת נכות לשכר המינימום), התשפ""ג-2022")</f>
        <v>13322</v>
      </c>
      <c r="E7082" t="s">
        <v>13322</v>
      </c>
      <c r="F7082" t="s">
        <v>13781</v>
      </c>
      <c r="G7082" t="s">
        <v>14</v>
      </c>
      <c r="H7082">
             </c>
      <c r="I7082" t="s">
        <v>14</v>
      </c>
      <c r="J7082" t="s">
        <v>141</v>
      </c>
      <c r="K7082" t="s">
        <v>14</v>
      </c>
      <c r="L7082" t="s">
        <v>20</v>
      </c>
      <c r="M7082" t="s">
        <v>13164</v>
      </c>
      <c r="N7082" t="s">
        <v>14</v>
      </c>
    </row>
    <row r="7083" x14ac:dyDescent="0.25">
      <c r="A7083" t="n">
        <v>25</v>
      </c>
      <c r="B7083" t="s">
        <v>14</v>
      </c>
      <c r="C7083" t="s">
        <v>22</v>
      </c>
      <c r="D7083" s="2" t="s">
        <f>=HYPERLINK("https://main.knesset.gov.il/APPS/legislation/main/bills/2197249", "הצעת חוק לתיקון פקודת המשטרה (תיעוד חזותי של השימוש במכת""זית), התשפ""ג-2022")</f>
        <v>1062</v>
      </c>
      <c r="E7083" t="s">
        <v>1062</v>
      </c>
      <c r="F7083" t="s">
        <v>13782</v>
      </c>
      <c r="G7083" t="s">
        <v>14</v>
      </c>
      <c r="H7083">
             </c>
      <c r="I7083" t="s">
        <v>14</v>
      </c>
      <c r="J7083" t="s">
        <v>141</v>
      </c>
      <c r="K7083" t="s">
        <v>14</v>
      </c>
      <c r="L7083" t="s">
        <v>20</v>
      </c>
      <c r="M7083" t="s">
        <v>13164</v>
      </c>
      <c r="N7083" t="s">
        <v>14</v>
      </c>
    </row>
    <row r="7084" x14ac:dyDescent="0.25">
      <c r="A7084" t="n">
        <v>25</v>
      </c>
      <c r="B7084" t="s">
        <v>14</v>
      </c>
      <c r="C7084" t="s">
        <v>22</v>
      </c>
      <c r="D7084" s="2" t="s">
        <f>=HYPERLINK("https://main.knesset.gov.il/APPS/legislation/main/bills/2196981", "הצעת חוק למניעת התעמרות בעבודה, התשפ""ג-2022")</f>
        <v>13783</v>
      </c>
      <c r="E7084" t="s">
        <v>13783</v>
      </c>
      <c r="F7084" t="s">
        <v>13784</v>
      </c>
      <c r="G7084" t="s">
        <v>14</v>
      </c>
      <c r="H7084">
             </c>
      <c r="I7084" t="s">
        <v>14</v>
      </c>
      <c r="J7084" t="s">
        <v>141</v>
      </c>
      <c r="K7084" t="s">
        <v>14</v>
      </c>
      <c r="L7084" t="s">
        <v>20</v>
      </c>
      <c r="M7084" t="s">
        <v>13164</v>
      </c>
      <c r="N7084" t="s">
        <v>14</v>
      </c>
    </row>
    <row r="7085" x14ac:dyDescent="0.25">
      <c r="A7085" t="n">
        <v>25</v>
      </c>
      <c r="B7085" t="s">
        <v>14</v>
      </c>
      <c r="C7085" t="s">
        <v>22</v>
      </c>
      <c r="D7085" s="2" t="s">
        <f>=HYPERLINK("https://main.knesset.gov.il/APPS/legislation/main/bills/2196637", "הצעת חוק לתיקון פקודת המשטרה (חובת שימוש במצלמות גוף בעת הפגנה), התשפ""ג-2022")</f>
        <v>13785</v>
      </c>
      <c r="E7085" t="s">
        <v>13785</v>
      </c>
      <c r="F7085" t="s">
        <v>13786</v>
      </c>
      <c r="G7085" t="s">
        <v>14</v>
      </c>
      <c r="H7085">
             </c>
      <c r="I7085" t="s">
        <v>14</v>
      </c>
      <c r="J7085" t="s">
        <v>141</v>
      </c>
      <c r="K7085" t="s">
        <v>14</v>
      </c>
      <c r="L7085" t="s">
        <v>20</v>
      </c>
      <c r="M7085" t="s">
        <v>13164</v>
      </c>
      <c r="N7085" t="s">
        <v>14</v>
      </c>
    </row>
    <row r="7086" x14ac:dyDescent="0.25">
      <c r="A7086" t="n">
        <v>25</v>
      </c>
      <c r="B7086" t="s">
        <v>14</v>
      </c>
      <c r="C7086" t="s">
        <v>22</v>
      </c>
      <c r="D7086" s="2" t="s">
        <f>=HYPERLINK("https://main.knesset.gov.il/APPS/legislation/main/bills/2197239", "הצעת חוק בתי דין רבניים (קיום פסקי דין של גירושין) (תיקון - הגבלת שימוש בכרטיסי אשראי לסרבני גט), התשפ""ג-2022")</f>
        <v>13787</v>
      </c>
      <c r="E7086" t="s">
        <v>13787</v>
      </c>
      <c r="F7086" t="s">
        <v>13788</v>
      </c>
      <c r="G7086" t="s">
        <v>14</v>
      </c>
      <c r="H7086">
             </c>
      <c r="I7086" t="s">
        <v>14</v>
      </c>
      <c r="J7086" t="s">
        <v>141</v>
      </c>
      <c r="K7086" t="s">
        <v>14</v>
      </c>
      <c r="L7086" t="s">
        <v>20</v>
      </c>
      <c r="M7086" t="s">
        <v>13164</v>
      </c>
      <c r="N7086" t="s">
        <v>14</v>
      </c>
    </row>
    <row r="7087" x14ac:dyDescent="0.25">
      <c r="A7087" t="n">
        <v>25</v>
      </c>
      <c r="B7087" t="s">
        <v>14</v>
      </c>
      <c r="C7087" t="s">
        <v>22</v>
      </c>
      <c r="D7087" s="2" t="s">
        <f>=HYPERLINK("https://main.knesset.gov.il/APPS/legislation/main/bills/2196165", "הצעת חוק הכשרות המשפטית והאפוטרופסות (תיקון - ביטול חזקת הגיל הרך), התשפ""ג-2022")</f>
        <v>13789</v>
      </c>
      <c r="E7087" t="s">
        <v>13789</v>
      </c>
      <c r="F7087" t="s">
        <v>13790</v>
      </c>
      <c r="G7087" t="s">
        <v>14</v>
      </c>
      <c r="H7087">
             </c>
      <c r="I7087" t="s">
        <v>14</v>
      </c>
      <c r="J7087" t="s">
        <v>141</v>
      </c>
      <c r="K7087" t="s">
        <v>14</v>
      </c>
      <c r="L7087" t="s">
        <v>20</v>
      </c>
      <c r="M7087" t="s">
        <v>13164</v>
      </c>
      <c r="N7087" t="s">
        <v>14</v>
      </c>
    </row>
    <row r="7088" x14ac:dyDescent="0.25">
      <c r="A7088" t="n">
        <v>25</v>
      </c>
      <c r="B7088" t="s">
        <v>14</v>
      </c>
      <c r="C7088" t="s">
        <v>22</v>
      </c>
      <c r="D7088" s="2" t="s">
        <f>=HYPERLINK("https://main.knesset.gov.il/APPS/legislation/main/bills/2197227", "הצעת חוק לקביעת שעות ההצבעה בקלפיות ולקביעת היקף יום השבתון בבחירות לכנסת ולרשויות המקומיות (תיקוני חקיקה), התשפ""ג-2022")</f>
        <v>13791</v>
      </c>
      <c r="E7088" t="s">
        <v>13791</v>
      </c>
      <c r="F7088" t="s">
        <v>13792</v>
      </c>
      <c r="G7088" t="s">
        <v>14</v>
      </c>
      <c r="H7088">
             </c>
      <c r="I7088" t="s">
        <v>14</v>
      </c>
      <c r="J7088" t="s">
        <v>141</v>
      </c>
      <c r="K7088" t="s">
        <v>14</v>
      </c>
      <c r="L7088" t="s">
        <v>20</v>
      </c>
      <c r="M7088" t="s">
        <v>13164</v>
      </c>
      <c r="N7088" t="s">
        <v>14</v>
      </c>
    </row>
    <row r="7089" x14ac:dyDescent="0.25">
      <c r="A7089" t="n">
        <v>25</v>
      </c>
      <c r="B7089" t="s">
        <v>14</v>
      </c>
      <c r="C7089" t="s">
        <v>22</v>
      </c>
      <c r="D7089" s="2" t="s">
        <f>=HYPERLINK("https://main.knesset.gov.il/APPS/legislation/main/bills/2196483", "הצעת חוק העברת הכנסות מהימורים לתמיכה במרכזי גמילה מהימורים, התשפ""ג-2022")</f>
        <v>13793</v>
      </c>
      <c r="E7089" t="s">
        <v>13793</v>
      </c>
      <c r="F7089" t="s">
        <v>13794</v>
      </c>
      <c r="G7089" t="s">
        <v>14</v>
      </c>
      <c r="H7089">
             </c>
      <c r="I7089" t="s">
        <v>14</v>
      </c>
      <c r="J7089" t="s">
        <v>141</v>
      </c>
      <c r="K7089" t="s">
        <v>14</v>
      </c>
      <c r="L7089" t="s">
        <v>20</v>
      </c>
      <c r="M7089" t="s">
        <v>13164</v>
      </c>
      <c r="N7089" t="s">
        <v>14</v>
      </c>
    </row>
    <row r="7090" x14ac:dyDescent="0.25">
      <c r="A7090" t="n">
        <v>25</v>
      </c>
      <c r="B7090" t="s">
        <v>14</v>
      </c>
      <c r="C7090" t="s">
        <v>22</v>
      </c>
      <c r="D7090" s="2" t="s">
        <f>=HYPERLINK("https://main.knesset.gov.il/APPS/legislation/main/bills/2197225", "הצעת חוק התכנון והבנייה (תיקון - גני ילדים ומעונות יום), התשפ""ג-2022")</f>
        <v>13795</v>
      </c>
      <c r="E7090" t="s">
        <v>13795</v>
      </c>
      <c r="F7090" t="s">
        <v>13796</v>
      </c>
      <c r="G7090" t="s">
        <v>14</v>
      </c>
      <c r="H7090">
             </c>
      <c r="I7090" t="s">
        <v>14</v>
      </c>
      <c r="J7090" t="s">
        <v>141</v>
      </c>
      <c r="K7090" t="s">
        <v>14</v>
      </c>
      <c r="L7090" t="s">
        <v>20</v>
      </c>
      <c r="M7090" t="s">
        <v>13164</v>
      </c>
      <c r="N7090" t="s">
        <v>14</v>
      </c>
    </row>
    <row r="7091" x14ac:dyDescent="0.25">
      <c r="A7091" t="n">
        <v>25</v>
      </c>
      <c r="B7091" t="s">
        <v>14</v>
      </c>
      <c r="C7091" t="s">
        <v>22</v>
      </c>
      <c r="D7091" s="2" t="s">
        <f>=HYPERLINK("https://main.knesset.gov.il/APPS/legislation/main/bills/2196289", "הצעת חוק-יסוד: המיעוט הערבי")</f>
        <v>11646</v>
      </c>
      <c r="E7091" t="s">
        <v>11646</v>
      </c>
      <c r="F7091" t="s">
        <v>13797</v>
      </c>
      <c r="G7091" t="s">
        <v>14</v>
      </c>
      <c r="H7091">
             </c>
      <c r="I7091" t="s">
        <v>14</v>
      </c>
      <c r="J7091" t="s">
        <v>141</v>
      </c>
      <c r="K7091" t="s">
        <v>14</v>
      </c>
      <c r="L7091" t="s">
        <v>20</v>
      </c>
      <c r="M7091" t="s">
        <v>13164</v>
      </c>
      <c r="N7091" t="s">
        <v>14</v>
      </c>
    </row>
    <row r="7092" x14ac:dyDescent="0.25">
      <c r="A7092" t="n">
        <v>25</v>
      </c>
      <c r="B7092" t="s">
        <v>14</v>
      </c>
      <c r="C7092" t="s">
        <v>22</v>
      </c>
      <c r="D7092" s="2" t="s">
        <f>=HYPERLINK("https://main.knesset.gov.il/APPS/legislation/main/bills/2197158", "הצעת חוק לתיקון פקודת מס הכנסה (הגדלת זיכוי מס על תרומה לבתי חולים בפריפריה), התשפ""ג-2022")</f>
        <v>7227</v>
      </c>
      <c r="E7092" t="s">
        <v>7227</v>
      </c>
      <c r="F7092" t="s">
        <v>13798</v>
      </c>
      <c r="G7092" t="s">
        <v>14</v>
      </c>
      <c r="H7092">
             </c>
      <c r="I7092" t="s">
        <v>14</v>
      </c>
      <c r="J7092" t="s">
        <v>141</v>
      </c>
      <c r="K7092" t="s">
        <v>14</v>
      </c>
      <c r="L7092" t="s">
        <v>20</v>
      </c>
      <c r="M7092" t="s">
        <v>13164</v>
      </c>
      <c r="N7092" t="s">
        <v>14</v>
      </c>
    </row>
    <row r="7093" x14ac:dyDescent="0.25">
      <c r="A7093" t="n">
        <v>25</v>
      </c>
      <c r="B7093" t="s">
        <v>14</v>
      </c>
      <c r="C7093" t="s">
        <v>22</v>
      </c>
      <c r="D7093" s="2" t="s">
        <f>=HYPERLINK("https://main.knesset.gov.il/APPS/legislation/main/bills/2197149", "הצעת חוק התקנת מצלמות לשם הגנה על פעוטות במעונות יום לפעוטות (תיקון - צפייה מקוונת של ההורים בצילומים), התשפ""ג-2022")</f>
        <v>13799</v>
      </c>
      <c r="E7093" t="s">
        <v>13799</v>
      </c>
      <c r="F7093" t="s">
        <v>13800</v>
      </c>
      <c r="G7093" t="s">
        <v>14</v>
      </c>
      <c r="H7093">
             </c>
      <c r="I7093" t="s">
        <v>14</v>
      </c>
      <c r="J7093" t="s">
        <v>141</v>
      </c>
      <c r="K7093" t="s">
        <v>14</v>
      </c>
      <c r="L7093" t="s">
        <v>20</v>
      </c>
      <c r="M7093" t="s">
        <v>13164</v>
      </c>
      <c r="N7093" t="s">
        <v>14</v>
      </c>
    </row>
    <row r="7094" x14ac:dyDescent="0.25">
      <c r="A7094" t="n">
        <v>25</v>
      </c>
      <c r="B7094" t="s">
        <v>14</v>
      </c>
      <c r="C7094" t="s">
        <v>22</v>
      </c>
      <c r="D7094" s="2" t="s">
        <f>=HYPERLINK("https://main.knesset.gov.il/APPS/legislation/main/bills/2197301", "הצעת חוק הביטוח הלאומי (תיקון - אבטחה במוסד רפואי כעבודה מועדפת), התשפ""ג-2022")</f>
        <v>13801</v>
      </c>
      <c r="E7094" t="s">
        <v>13801</v>
      </c>
      <c r="F7094" t="s">
        <v>13802</v>
      </c>
      <c r="G7094" t="s">
        <v>14</v>
      </c>
      <c r="H7094">
             </c>
      <c r="I7094" t="s">
        <v>14</v>
      </c>
      <c r="J7094" t="s">
        <v>141</v>
      </c>
      <c r="K7094" t="s">
        <v>14</v>
      </c>
      <c r="L7094" t="s">
        <v>20</v>
      </c>
      <c r="M7094" t="s">
        <v>13164</v>
      </c>
      <c r="N7094" t="s">
        <v>14</v>
      </c>
    </row>
    <row r="7095" x14ac:dyDescent="0.25">
      <c r="A7095" t="n">
        <v>25</v>
      </c>
      <c r="B7095" t="s">
        <v>14</v>
      </c>
      <c r="C7095" t="s">
        <v>22</v>
      </c>
      <c r="D7095" s="2" t="s">
        <f>=HYPERLINK("https://main.knesset.gov.il/APPS/legislation/main/bills/2196957", "הצעת חוק הביטוח הלאומי (תיקון - אבטחה במוסד רפואי כעבודה מועדפת), התשפ""ג-2022")</f>
        <v>13801</v>
      </c>
      <c r="E7095" t="s">
        <v>13801</v>
      </c>
      <c r="F7095" t="s">
        <v>13803</v>
      </c>
      <c r="G7095" t="s">
        <v>14</v>
      </c>
      <c r="H7095">
             </c>
      <c r="I7095" t="s">
        <v>14</v>
      </c>
      <c r="J7095" t="s">
        <v>141</v>
      </c>
      <c r="K7095" t="s">
        <v>14</v>
      </c>
      <c r="L7095" t="s">
        <v>20</v>
      </c>
      <c r="M7095" t="s">
        <v>13164</v>
      </c>
      <c r="N7095" t="s">
        <v>14</v>
      </c>
    </row>
    <row r="7096" x14ac:dyDescent="0.25">
      <c r="A7096" t="n">
        <v>25</v>
      </c>
      <c r="B7096" t="s">
        <v>14</v>
      </c>
      <c r="C7096" t="s">
        <v>22</v>
      </c>
      <c r="D7096" s="2" t="s">
        <f>=HYPERLINK("https://main.knesset.gov.il/APPS/legislation/main/bills/2196956", "הצעת חוק הפיקוח על מעונות יום לפעוטות (תיקון - הסמכת מתנדבים וטכנאי מצלמות), התשפ""ג-2022")</f>
        <v>13804</v>
      </c>
      <c r="E7096" t="s">
        <v>13804</v>
      </c>
      <c r="F7096" t="s">
        <v>13805</v>
      </c>
      <c r="G7096" t="s">
        <v>14</v>
      </c>
      <c r="H7096">
             </c>
      <c r="I7096" t="s">
        <v>14</v>
      </c>
      <c r="J7096" t="s">
        <v>141</v>
      </c>
      <c r="K7096" t="s">
        <v>14</v>
      </c>
      <c r="L7096" t="s">
        <v>20</v>
      </c>
      <c r="M7096" t="s">
        <v>13164</v>
      </c>
      <c r="N7096" t="s">
        <v>14</v>
      </c>
    </row>
    <row r="7097" x14ac:dyDescent="0.25">
      <c r="A7097" t="n">
        <v>25</v>
      </c>
      <c r="B7097" t="s">
        <v>14</v>
      </c>
      <c r="C7097" t="s">
        <v>22</v>
      </c>
      <c r="D7097" s="2" t="s">
        <f>=HYPERLINK("https://main.knesset.gov.il/APPS/legislation/main/bills/2196946", "הצעת חוק הרשויות המקומיות (בחירת ראש הרשות וסגניו וכהונתם) (תיקון - חסינות ממעצר לראשי רשויות ולראשי מועצות אזוריות), התשפ""ג-2022")</f>
        <v>13806</v>
      </c>
      <c r="E7097" t="s">
        <v>13806</v>
      </c>
      <c r="F7097" t="s">
        <v>13807</v>
      </c>
      <c r="G7097" t="s">
        <v>14</v>
      </c>
      <c r="H7097">
             </c>
      <c r="I7097" t="s">
        <v>14</v>
      </c>
      <c r="J7097" t="s">
        <v>141</v>
      </c>
      <c r="K7097" t="s">
        <v>14</v>
      </c>
      <c r="L7097" t="s">
        <v>20</v>
      </c>
      <c r="M7097" t="s">
        <v>13164</v>
      </c>
      <c r="N7097" t="s">
        <v>14</v>
      </c>
    </row>
    <row r="7098" x14ac:dyDescent="0.25">
      <c r="A7098" t="n">
        <v>25</v>
      </c>
      <c r="B7098" t="s">
        <v>14</v>
      </c>
      <c r="C7098" t="s">
        <v>22</v>
      </c>
      <c r="D7098" s="2" t="s">
        <f>=HYPERLINK("https://main.knesset.gov.il/APPS/legislation/main/bills/2197402", "הצעת חוק להנצחת מורשת המחתרות, התשפ""ג-2022")</f>
        <v>13808</v>
      </c>
      <c r="E7098" t="s">
        <v>13808</v>
      </c>
      <c r="F7098" t="s">
        <v>13809</v>
      </c>
      <c r="G7098" t="s">
        <v>14</v>
      </c>
      <c r="H7098">
             </c>
      <c r="I7098" t="s">
        <v>14</v>
      </c>
      <c r="J7098" t="s">
        <v>141</v>
      </c>
      <c r="K7098" t="s">
        <v>14</v>
      </c>
      <c r="L7098" t="s">
        <v>20</v>
      </c>
      <c r="M7098" t="s">
        <v>13164</v>
      </c>
      <c r="N7098" t="s">
        <v>14</v>
      </c>
    </row>
    <row r="7099" x14ac:dyDescent="0.25">
      <c r="A7099" t="n">
        <v>25</v>
      </c>
      <c r="B7099" t="s">
        <v>14</v>
      </c>
      <c r="C7099" t="s">
        <v>22</v>
      </c>
      <c r="D7099" s="2" t="s">
        <f>=HYPERLINK("https://main.knesset.gov.il/APPS/legislation/main/bills/2196740", "הצעת חוק להנצחת מורשת המחתרות, התשפ""ג-2022")</f>
        <v>13808</v>
      </c>
      <c r="E7099" t="s">
        <v>13808</v>
      </c>
      <c r="F7099" t="s">
        <v>13810</v>
      </c>
      <c r="G7099" t="s">
        <v>14</v>
      </c>
      <c r="H7099">
             </c>
      <c r="I7099" t="s">
        <v>14</v>
      </c>
      <c r="J7099" t="s">
        <v>141</v>
      </c>
      <c r="K7099" t="s">
        <v>14</v>
      </c>
      <c r="L7099" t="s">
        <v>20</v>
      </c>
      <c r="M7099" t="s">
        <v>13164</v>
      </c>
      <c r="N7099" t="s">
        <v>14</v>
      </c>
    </row>
    <row r="7100" x14ac:dyDescent="0.25">
      <c r="A7100" t="n">
        <v>25</v>
      </c>
      <c r="B7100" t="s">
        <v>14</v>
      </c>
      <c r="C7100" t="s">
        <v>22</v>
      </c>
      <c r="D7100" s="2" t="s">
        <f>=HYPERLINK("https://main.knesset.gov.il/APPS/legislation/main/bills/2197406", "הצעת חוק גירוש משפחות מחבלים, התשפ""ג-2022")</f>
        <v>13811</v>
      </c>
      <c r="E7100" t="s">
        <v>13811</v>
      </c>
      <c r="F7100" t="s">
        <v>13812</v>
      </c>
      <c r="G7100" t="s">
        <v>14</v>
      </c>
      <c r="H7100">
             </c>
      <c r="I7100" t="s">
        <v>14</v>
      </c>
      <c r="J7100" t="s">
        <v>141</v>
      </c>
      <c r="K7100" t="s">
        <v>14</v>
      </c>
      <c r="L7100" t="s">
        <v>20</v>
      </c>
      <c r="M7100" t="s">
        <v>13164</v>
      </c>
      <c r="N7100" t="s">
        <v>14</v>
      </c>
    </row>
    <row r="7101" x14ac:dyDescent="0.25">
      <c r="A7101" t="n">
        <v>25</v>
      </c>
      <c r="B7101" t="s">
        <v>14</v>
      </c>
      <c r="C7101" t="s">
        <v>22</v>
      </c>
      <c r="D7101" s="2" t="s">
        <f>=HYPERLINK("https://main.knesset.gov.il/APPS/legislation/main/bills/2197650", "הצעת חוק יישוב סכסוכי עבודה (תיקון - דין שביתה בתקופת בחירות), התשפ""ג-2022")</f>
        <v>13813</v>
      </c>
      <c r="E7101" t="s">
        <v>13813</v>
      </c>
      <c r="F7101" t="s">
        <v>13814</v>
      </c>
      <c r="G7101" t="s">
        <v>14</v>
      </c>
      <c r="H7101">
             </c>
      <c r="I7101" t="s">
        <v>14</v>
      </c>
      <c r="J7101" t="s">
        <v>141</v>
      </c>
      <c r="K7101" t="s">
        <v>14</v>
      </c>
      <c r="L7101" t="s">
        <v>20</v>
      </c>
      <c r="M7101" t="s">
        <v>13164</v>
      </c>
      <c r="N7101" t="s">
        <v>14</v>
      </c>
    </row>
    <row r="7102" x14ac:dyDescent="0.25">
      <c r="A7102" t="n">
        <v>25</v>
      </c>
      <c r="B7102" t="s">
        <v>14</v>
      </c>
      <c r="C7102" t="s">
        <v>22</v>
      </c>
      <c r="D7102" s="2" t="s">
        <f>=HYPERLINK("https://main.knesset.gov.il/APPS/legislation/main/bills/2196915", "הצעת חוק אישור לפתיחת חקירת שוטרים המעורבים באירוע לאומני, התשפ""ג-2022")</f>
        <v>13815</v>
      </c>
      <c r="E7102" t="s">
        <v>13815</v>
      </c>
      <c r="F7102" t="s">
        <v>13816</v>
      </c>
      <c r="G7102" t="s">
        <v>14</v>
      </c>
      <c r="H7102">
             </c>
      <c r="I7102" t="s">
        <v>14</v>
      </c>
      <c r="J7102" t="s">
        <v>141</v>
      </c>
      <c r="K7102" t="s">
        <v>14</v>
      </c>
      <c r="L7102" t="s">
        <v>20</v>
      </c>
      <c r="M7102" t="s">
        <v>13164</v>
      </c>
      <c r="N7102" t="s">
        <v>14</v>
      </c>
    </row>
    <row r="7103" x14ac:dyDescent="0.25">
      <c r="A7103" t="n">
        <v>25</v>
      </c>
      <c r="B7103" t="s">
        <v>14</v>
      </c>
      <c r="C7103" t="s">
        <v>22</v>
      </c>
      <c r="D7103" s="2" t="s">
        <f>=HYPERLINK("https://main.knesset.gov.il/APPS/legislation/main/bills/2197096", "הצעת חוק-יסוד: השפיטה (תיקון - תיעוד מצולם של דיוני בתי המשפט)")</f>
        <v>13817</v>
      </c>
      <c r="E7103" t="s">
        <v>13817</v>
      </c>
      <c r="F7103" t="s">
        <v>13818</v>
      </c>
      <c r="G7103" t="s">
        <v>14</v>
      </c>
      <c r="H7103">
             </c>
      <c r="I7103" t="s">
        <v>14</v>
      </c>
      <c r="J7103" t="s">
        <v>141</v>
      </c>
      <c r="K7103" t="s">
        <v>14</v>
      </c>
      <c r="L7103" t="s">
        <v>20</v>
      </c>
      <c r="M7103" t="s">
        <v>13164</v>
      </c>
      <c r="N7103" t="s">
        <v>14</v>
      </c>
    </row>
    <row r="7104" x14ac:dyDescent="0.25">
      <c r="A7104" t="n">
        <v>25</v>
      </c>
      <c r="B7104" t="s">
        <v>14</v>
      </c>
      <c r="C7104" t="s">
        <v>22</v>
      </c>
      <c r="D7104" s="2" t="s">
        <f>=HYPERLINK("https://main.knesset.gov.il/APPS/legislation/main/bills/2195920", "הצעת חוק הביטוח הלאומי (תיקון - גמלת אבל), התשפ""ג-2022")</f>
        <v>13819</v>
      </c>
      <c r="E7104" t="s">
        <v>13819</v>
      </c>
      <c r="F7104" t="s">
        <v>13820</v>
      </c>
      <c r="G7104" t="s">
        <v>14</v>
      </c>
      <c r="H7104">
             </c>
      <c r="I7104" t="s">
        <v>14</v>
      </c>
      <c r="J7104" t="s">
        <v>141</v>
      </c>
      <c r="K7104" t="s">
        <v>14</v>
      </c>
      <c r="L7104" t="s">
        <v>20</v>
      </c>
      <c r="M7104" t="s">
        <v>13164</v>
      </c>
      <c r="N7104" t="s">
        <v>14</v>
      </c>
    </row>
    <row r="7105" x14ac:dyDescent="0.25">
      <c r="A7105" t="n">
        <v>25</v>
      </c>
      <c r="B7105" t="s">
        <v>14</v>
      </c>
      <c r="C7105" t="s">
        <v>22</v>
      </c>
      <c r="D7105" s="2" t="s">
        <f>=HYPERLINK("https://main.knesset.gov.il/APPS/legislation/main/bills/2195934", "הצעת חוק ביטוח בריאות ממלכתי (תיקון - מחלה יתומה), התשפ""ג-2022")</f>
        <v>13821</v>
      </c>
      <c r="E7105" t="s">
        <v>13821</v>
      </c>
      <c r="F7105" t="s">
        <v>13822</v>
      </c>
      <c r="G7105" t="s">
        <v>14</v>
      </c>
      <c r="H7105">
             </c>
      <c r="I7105" t="s">
        <v>14</v>
      </c>
      <c r="J7105" t="s">
        <v>141</v>
      </c>
      <c r="K7105" t="s">
        <v>14</v>
      </c>
      <c r="L7105" t="s">
        <v>20</v>
      </c>
      <c r="M7105" t="s">
        <v>13164</v>
      </c>
      <c r="N7105" t="s">
        <v>14</v>
      </c>
    </row>
    <row r="7106" x14ac:dyDescent="0.25">
      <c r="A7106" t="n">
        <v>25</v>
      </c>
      <c r="B7106" t="s">
        <v>14</v>
      </c>
      <c r="C7106" t="s">
        <v>22</v>
      </c>
      <c r="D7106" s="2" t="s">
        <f>=HYPERLINK("https://main.knesset.gov.il/APPS/legislation/main/bills/2197843", "הצעת חוק מימון מפלגות (תיקון - מענק למפלגות המקיימות בחירות מקדימות), התשפ""ג-2022")</f>
        <v>13823</v>
      </c>
      <c r="E7106" t="s">
        <v>13823</v>
      </c>
      <c r="F7106" t="s">
        <v>13824</v>
      </c>
      <c r="G7106" t="s">
        <v>14</v>
      </c>
      <c r="H7106">
             </c>
      <c r="I7106" t="s">
        <v>14</v>
      </c>
      <c r="J7106" t="s">
        <v>141</v>
      </c>
      <c r="K7106" t="s">
        <v>14</v>
      </c>
      <c r="L7106" t="s">
        <v>20</v>
      </c>
      <c r="M7106" t="s">
        <v>13164</v>
      </c>
      <c r="N7106" t="s">
        <v>14</v>
      </c>
    </row>
    <row r="7107" x14ac:dyDescent="0.25">
      <c r="A7107" t="n">
        <v>25</v>
      </c>
      <c r="B7107" t="s">
        <v>14</v>
      </c>
      <c r="C7107" t="s">
        <v>22</v>
      </c>
      <c r="D7107" s="2" t="s">
        <f>=HYPERLINK("https://main.knesset.gov.il/APPS/legislation/main/bills/2197585", "הצעת חוק חינוך פיננסי, התשפ""ג-2022")</f>
        <v>13825</v>
      </c>
      <c r="E7107" t="s">
        <v>13825</v>
      </c>
      <c r="F7107" t="s">
        <v>13826</v>
      </c>
      <c r="G7107" t="s">
        <v>14</v>
      </c>
      <c r="H7107">
             </c>
      <c r="I7107" t="s">
        <v>14</v>
      </c>
      <c r="J7107" t="s">
        <v>141</v>
      </c>
      <c r="K7107" t="s">
        <v>14</v>
      </c>
      <c r="L7107" t="s">
        <v>20</v>
      </c>
      <c r="M7107" t="s">
        <v>13164</v>
      </c>
      <c r="N7107" t="s">
        <v>14</v>
      </c>
    </row>
    <row r="7108" x14ac:dyDescent="0.25">
      <c r="A7108" t="n">
        <v>25</v>
      </c>
      <c r="B7108" t="s">
        <v>14</v>
      </c>
      <c r="C7108" t="s">
        <v>22</v>
      </c>
      <c r="D7108" s="2" t="s">
        <f>=HYPERLINK("https://main.knesset.gov.il/APPS/legislation/main/bills/2196907", "הצעת חוק האזנת סתר (תיקון - האזנה בשל חשד להתעללות בילדים ובחסרי ישע), התשפ״ג-2022")</f>
        <v>13827</v>
      </c>
      <c r="E7108" t="s">
        <v>13827</v>
      </c>
      <c r="F7108" t="s">
        <v>13828</v>
      </c>
      <c r="G7108" t="s">
        <v>14</v>
      </c>
      <c r="H7108">
             </c>
      <c r="I7108" t="s">
        <v>14</v>
      </c>
      <c r="J7108" t="s">
        <v>141</v>
      </c>
      <c r="K7108" t="s">
        <v>14</v>
      </c>
      <c r="L7108" t="s">
        <v>20</v>
      </c>
      <c r="M7108" t="s">
        <v>13164</v>
      </c>
      <c r="N7108" t="s">
        <v>14</v>
      </c>
    </row>
    <row r="7109" x14ac:dyDescent="0.25">
      <c r="A7109" t="n">
        <v>25</v>
      </c>
      <c r="B7109" t="s">
        <v>14</v>
      </c>
      <c r="C7109" t="s">
        <v>22</v>
      </c>
      <c r="D7109" s="2" t="s">
        <f>=HYPERLINK("https://main.knesset.gov.il/APPS/legislation/main/bills/2195933", "הצעת חוק חינוך פיננסי, התשפ""ג-2022")</f>
        <v>13825</v>
      </c>
      <c r="E7109" t="s">
        <v>13825</v>
      </c>
      <c r="F7109" t="s">
        <v>13829</v>
      </c>
      <c r="G7109" t="s">
        <v>14</v>
      </c>
      <c r="H7109">
             </c>
      <c r="I7109" t="s">
        <v>14</v>
      </c>
      <c r="J7109" t="s">
        <v>141</v>
      </c>
      <c r="K7109" t="s">
        <v>14</v>
      </c>
      <c r="L7109" t="s">
        <v>20</v>
      </c>
      <c r="M7109" t="s">
        <v>13164</v>
      </c>
      <c r="N7109" t="s">
        <v>14</v>
      </c>
    </row>
    <row r="7110" x14ac:dyDescent="0.25">
      <c r="A7110" t="n">
        <v>25</v>
      </c>
      <c r="B7110" t="s">
        <v>14</v>
      </c>
      <c r="C7110" t="s">
        <v>22</v>
      </c>
      <c r="D7110" s="2" t="s">
        <f>=HYPERLINK("https://main.knesset.gov.il/APPS/legislation/main/bills/2197244", "הצעת חוק מיסוי מקרקעין (שבח ורכישה) (תיקון - דירה נוספת שלא נעשה בה שימוש), התשפ""ג-2022")</f>
        <v>13830</v>
      </c>
      <c r="E7110" t="s">
        <v>13830</v>
      </c>
      <c r="F7110" t="s">
        <v>13831</v>
      </c>
      <c r="G7110" t="s">
        <v>14</v>
      </c>
      <c r="H7110">
             </c>
      <c r="I7110" t="s">
        <v>14</v>
      </c>
      <c r="J7110" t="s">
        <v>141</v>
      </c>
      <c r="K7110" t="s">
        <v>14</v>
      </c>
      <c r="L7110" t="s">
        <v>20</v>
      </c>
      <c r="M7110" t="s">
        <v>13164</v>
      </c>
      <c r="N7110" t="s">
        <v>14</v>
      </c>
    </row>
    <row r="7111" x14ac:dyDescent="0.25">
      <c r="A7111" t="n">
        <v>25</v>
      </c>
      <c r="B7111" t="s">
        <v>14</v>
      </c>
      <c r="C7111" t="s">
        <v>22</v>
      </c>
      <c r="D7111" s="2" t="s">
        <f>=HYPERLINK("https://main.knesset.gov.il/APPS/legislation/main/bills/2196200", "הצעת חוק הבחירות (דרכי תעמולה) (תיקון - פרסום סקרים בימי מנוחה), התשפ""ג-2022 ")</f>
        <v>13832</v>
      </c>
      <c r="E7111" t="s">
        <v>13832</v>
      </c>
      <c r="F7111" t="s">
        <v>13833</v>
      </c>
      <c r="G7111" t="s">
        <v>14</v>
      </c>
      <c r="H7111">
             </c>
      <c r="I7111" t="s">
        <v>14</v>
      </c>
      <c r="J7111" t="s">
        <v>141</v>
      </c>
      <c r="K7111" t="s">
        <v>14</v>
      </c>
      <c r="L7111" t="s">
        <v>20</v>
      </c>
      <c r="M7111" t="s">
        <v>13164</v>
      </c>
      <c r="N7111" t="s">
        <v>14</v>
      </c>
    </row>
    <row r="7112" x14ac:dyDescent="0.25">
      <c r="A7112" t="n">
        <v>25</v>
      </c>
      <c r="B7112" t="s">
        <v>14</v>
      </c>
      <c r="C7112" t="s">
        <v>22</v>
      </c>
      <c r="D7112" s="2" t="s">
        <f>=HYPERLINK("https://main.knesset.gov.il/APPS/legislation/main/bills/2197594", "הצעת חוק העונשין (תיקון - החמרת ענישה בפשיעה חקלאית) (הוראת שעה), התשפ""ג-2022")</f>
        <v>13834</v>
      </c>
      <c r="E7112" t="s">
        <v>13834</v>
      </c>
      <c r="F7112" t="s">
        <v>13835</v>
      </c>
      <c r="G7112" t="s">
        <v>14</v>
      </c>
      <c r="H7112">
             </c>
      <c r="I7112" t="s">
        <v>14</v>
      </c>
      <c r="J7112" t="s">
        <v>141</v>
      </c>
      <c r="K7112" t="s">
        <v>14</v>
      </c>
      <c r="L7112" t="s">
        <v>20</v>
      </c>
      <c r="M7112" t="s">
        <v>13164</v>
      </c>
      <c r="N7112" t="s">
        <v>14</v>
      </c>
    </row>
    <row r="7113" x14ac:dyDescent="0.25">
      <c r="A7113" t="n">
        <v>25</v>
      </c>
      <c r="B7113" t="s">
        <v>14</v>
      </c>
      <c r="C7113" t="s">
        <v>22</v>
      </c>
      <c r="D7113" s="2" t="s">
        <f>=HYPERLINK("https://main.knesset.gov.il/APPS/legislation/main/bills/2197588", "הצעת חוק העונשין (תיקון - עונש מינימום למצית נכס ציבורי), התשפ""ג-2022")</f>
        <v>13836</v>
      </c>
      <c r="E7113" t="s">
        <v>13836</v>
      </c>
      <c r="F7113" t="s">
        <v>13837</v>
      </c>
      <c r="G7113" t="s">
        <v>14</v>
      </c>
      <c r="H7113">
             </c>
      <c r="I7113" t="s">
        <v>14</v>
      </c>
      <c r="J7113" t="s">
        <v>141</v>
      </c>
      <c r="K7113" t="s">
        <v>14</v>
      </c>
      <c r="L7113" t="s">
        <v>20</v>
      </c>
      <c r="M7113" t="s">
        <v>13164</v>
      </c>
      <c r="N7113" t="s">
        <v>14</v>
      </c>
    </row>
    <row r="7114" x14ac:dyDescent="0.25">
      <c r="A7114" t="n">
        <v>25</v>
      </c>
      <c r="B7114" t="s">
        <v>14</v>
      </c>
      <c r="C7114" t="s">
        <v>22</v>
      </c>
      <c r="D7114" s="2" t="s">
        <f>=HYPERLINK("https://main.knesset.gov.il/APPS/legislation/main/bills/2196950", "הצעת חוק העונשין (תיקון - עונש מינימום למצית נכס ציבורי), התשפ""ג-2022")</f>
        <v>13836</v>
      </c>
      <c r="E7114" t="s">
        <v>13836</v>
      </c>
      <c r="F7114" t="s">
        <v>13838</v>
      </c>
      <c r="G7114" t="s">
        <v>14</v>
      </c>
      <c r="H7114">
             </c>
      <c r="I7114" t="s">
        <v>14</v>
      </c>
      <c r="J7114" t="s">
        <v>141</v>
      </c>
      <c r="K7114" t="s">
        <v>14</v>
      </c>
      <c r="L7114" t="s">
        <v>20</v>
      </c>
      <c r="M7114" t="s">
        <v>13164</v>
      </c>
      <c r="N7114" t="s">
        <v>14</v>
      </c>
    </row>
    <row r="7115" x14ac:dyDescent="0.25">
      <c r="A7115" t="n">
        <v>25</v>
      </c>
      <c r="B7115" t="s">
        <v>14</v>
      </c>
      <c r="C7115" t="s">
        <v>22</v>
      </c>
      <c r="D7115" s="2" t="s">
        <f>=HYPERLINK("https://main.knesset.gov.il/APPS/legislation/main/bills/2197224", "הצעת חוק התכנון והבנייה (תיקון - החלטה מקדמית לפי תכנית החיזוק), התשפ""ג-2022")</f>
        <v>13839</v>
      </c>
      <c r="E7115" t="s">
        <v>13839</v>
      </c>
      <c r="F7115" t="s">
        <v>13840</v>
      </c>
      <c r="G7115" t="s">
        <v>14</v>
      </c>
      <c r="H7115">
             </c>
      <c r="I7115" t="s">
        <v>14</v>
      </c>
      <c r="J7115" t="s">
        <v>141</v>
      </c>
      <c r="K7115" t="s">
        <v>14</v>
      </c>
      <c r="L7115" t="s">
        <v>20</v>
      </c>
      <c r="M7115" t="s">
        <v>13164</v>
      </c>
      <c r="N7115" t="s">
        <v>14</v>
      </c>
    </row>
    <row r="7116" x14ac:dyDescent="0.25">
      <c r="A7116" t="n">
        <v>25</v>
      </c>
      <c r="B7116" t="s">
        <v>14</v>
      </c>
      <c r="C7116" t="s">
        <v>22</v>
      </c>
      <c r="D7116" s="2" t="s">
        <f>=HYPERLINK("https://main.knesset.gov.il/APPS/legislation/main/bills/2196713", "הצעת חוק עבודת נשים (תיקון - הארכת תקופת הלידה וההורות להורי פג), התשפ""ג-2022")</f>
        <v>13841</v>
      </c>
      <c r="E7116" t="s">
        <v>13841</v>
      </c>
      <c r="F7116" t="s">
        <v>13842</v>
      </c>
      <c r="G7116" t="s">
        <v>14</v>
      </c>
      <c r="H7116">
             </c>
      <c r="I7116" t="s">
        <v>14</v>
      </c>
      <c r="J7116" t="s">
        <v>141</v>
      </c>
      <c r="K7116" t="s">
        <v>14</v>
      </c>
      <c r="L7116" t="s">
        <v>20</v>
      </c>
      <c r="M7116" t="s">
        <v>13164</v>
      </c>
      <c r="N7116" t="s">
        <v>14</v>
      </c>
    </row>
    <row r="7117" x14ac:dyDescent="0.25">
      <c r="A7117" t="n">
        <v>25</v>
      </c>
      <c r="B7117" t="s">
        <v>14</v>
      </c>
      <c r="C7117" t="s">
        <v>22</v>
      </c>
      <c r="D7117" s="2" t="s">
        <f>=HYPERLINK("https://main.knesset.gov.il/APPS/legislation/main/bills/2196716", "הצעת חוק התכנון והבנייה (תיקון - איסור התניית היתר בהתקנת מקומות חניה ובניצול חלק קיים משטח דירה), התשפ""ג-2022")</f>
        <v>13843</v>
      </c>
      <c r="E7117" t="s">
        <v>13843</v>
      </c>
      <c r="F7117" t="s">
        <v>13844</v>
      </c>
      <c r="G7117" t="s">
        <v>14</v>
      </c>
      <c r="H7117">
             </c>
      <c r="I7117" t="s">
        <v>14</v>
      </c>
      <c r="J7117" t="s">
        <v>141</v>
      </c>
      <c r="K7117" t="s">
        <v>14</v>
      </c>
      <c r="L7117" t="s">
        <v>20</v>
      </c>
      <c r="M7117" t="s">
        <v>13164</v>
      </c>
      <c r="N7117" t="s">
        <v>14</v>
      </c>
    </row>
    <row r="7118" x14ac:dyDescent="0.25">
      <c r="A7118" t="n">
        <v>25</v>
      </c>
      <c r="B7118" t="s">
        <v>14</v>
      </c>
      <c r="C7118" t="s">
        <v>22</v>
      </c>
      <c r="D7118" s="2" t="s">
        <f>=HYPERLINK("https://main.knesset.gov.il/APPS/legislation/main/bills/2196042", "הצעת חוק דמי מחלה (היעדרות בשל מחלת ילד) (תיקון - מחלת תינוק), התשפ""ג-2022")</f>
        <v>13845</v>
      </c>
      <c r="E7118" t="s">
        <v>13845</v>
      </c>
      <c r="F7118" t="s">
        <v>13846</v>
      </c>
      <c r="G7118" t="s">
        <v>14</v>
      </c>
      <c r="H7118">
             </c>
      <c r="I7118" t="s">
        <v>14</v>
      </c>
      <c r="J7118" t="s">
        <v>141</v>
      </c>
      <c r="K7118" t="s">
        <v>14</v>
      </c>
      <c r="L7118" t="s">
        <v>20</v>
      </c>
      <c r="M7118" t="s">
        <v>13164</v>
      </c>
      <c r="N7118" t="s">
        <v>14</v>
      </c>
    </row>
    <row r="7119" x14ac:dyDescent="0.25">
      <c r="A7119" t="n">
        <v>25</v>
      </c>
      <c r="B7119" t="s">
        <v>14</v>
      </c>
      <c r="C7119" t="s">
        <v>22</v>
      </c>
      <c r="D7119" s="2" t="s">
        <f>=HYPERLINK("https://main.knesset.gov.il/APPS/legislation/main/bills/2196699", "הצעת חוק התכנון והבנייה (תיקון - ייצוג הוועדה המקומית), התשפ""ג-2022")</f>
        <v>13847</v>
      </c>
      <c r="E7119" t="s">
        <v>13847</v>
      </c>
      <c r="F7119" t="s">
        <v>13848</v>
      </c>
      <c r="G7119" t="s">
        <v>14</v>
      </c>
      <c r="H7119">
             </c>
      <c r="I7119" t="s">
        <v>14</v>
      </c>
      <c r="J7119" t="s">
        <v>141</v>
      </c>
      <c r="K7119" t="s">
        <v>14</v>
      </c>
      <c r="L7119" t="s">
        <v>20</v>
      </c>
      <c r="M7119" t="s">
        <v>13164</v>
      </c>
      <c r="N7119" t="s">
        <v>14</v>
      </c>
    </row>
    <row r="7120" x14ac:dyDescent="0.25">
      <c r="A7120" t="n">
        <v>25</v>
      </c>
      <c r="B7120" t="s">
        <v>14</v>
      </c>
      <c r="C7120" t="s">
        <v>22</v>
      </c>
      <c r="D7120" s="2" t="s">
        <f>=HYPERLINK("https://main.knesset.gov.il/APPS/legislation/main/bills/2197597", "הצעת חוק בתי המשפט (תיקון - מספר השופטים בבית המשפט העליון), התשפ""ג-2022")</f>
        <v>13849</v>
      </c>
      <c r="E7120" t="s">
        <v>13849</v>
      </c>
      <c r="F7120" t="s">
        <v>13850</v>
      </c>
      <c r="G7120" t="s">
        <v>14</v>
      </c>
      <c r="H7120">
             </c>
      <c r="I7120" t="s">
        <v>14</v>
      </c>
      <c r="J7120" t="s">
        <v>141</v>
      </c>
      <c r="K7120" t="s">
        <v>14</v>
      </c>
      <c r="L7120" t="s">
        <v>20</v>
      </c>
      <c r="M7120" t="s">
        <v>13164</v>
      </c>
      <c r="N7120" t="s">
        <v>14</v>
      </c>
    </row>
    <row r="7121" x14ac:dyDescent="0.25">
      <c r="A7121" t="n">
        <v>25</v>
      </c>
      <c r="B7121" t="s">
        <v>14</v>
      </c>
      <c r="C7121" t="s">
        <v>22</v>
      </c>
      <c r="D7121" s="2" t="s">
        <f>=HYPERLINK("https://main.knesset.gov.il/APPS/legislation/main/bills/2197579", "הצעת חוק זכאות לאבחון לקויות למידה לילדים ממשפחות מעוטות יכולת, התשפ""ג-2022 ")</f>
        <v>13851</v>
      </c>
      <c r="E7121" t="s">
        <v>13851</v>
      </c>
      <c r="F7121" t="s">
        <v>13852</v>
      </c>
      <c r="G7121" t="s">
        <v>14</v>
      </c>
      <c r="H7121">
             </c>
      <c r="I7121" t="s">
        <v>14</v>
      </c>
      <c r="J7121" t="s">
        <v>141</v>
      </c>
      <c r="K7121" t="s">
        <v>14</v>
      </c>
      <c r="L7121" t="s">
        <v>20</v>
      </c>
      <c r="M7121" t="s">
        <v>13164</v>
      </c>
      <c r="N7121" t="s">
        <v>14</v>
      </c>
    </row>
    <row r="7122" x14ac:dyDescent="0.25">
      <c r="A7122" t="n">
        <v>25</v>
      </c>
      <c r="B7122" t="s">
        <v>14</v>
      </c>
      <c r="C7122" t="s">
        <v>22</v>
      </c>
      <c r="D7122" s="2" t="s">
        <f>=HYPERLINK("https://main.knesset.gov.il/APPS/legislation/main/bills/2197254", "הצעת חוק הנגשת שירותי קבלת קהל הניתנים בגופי שלטון לשפות נוספות, התשפ""ג-2022")</f>
        <v>13853</v>
      </c>
      <c r="E7122" t="s">
        <v>13853</v>
      </c>
      <c r="F7122" t="s">
        <v>13854</v>
      </c>
      <c r="G7122" t="s">
        <v>14</v>
      </c>
      <c r="H7122">
             </c>
      <c r="I7122" t="s">
        <v>14</v>
      </c>
      <c r="J7122" t="s">
        <v>141</v>
      </c>
      <c r="K7122" t="s">
        <v>14</v>
      </c>
      <c r="L7122" t="s">
        <v>20</v>
      </c>
      <c r="M7122" t="s">
        <v>13164</v>
      </c>
      <c r="N7122" t="s">
        <v>14</v>
      </c>
    </row>
    <row r="7123" x14ac:dyDescent="0.25">
      <c r="A7123" t="n">
        <v>25</v>
      </c>
      <c r="B7123" t="s">
        <v>14</v>
      </c>
      <c r="C7123" t="s">
        <v>22</v>
      </c>
      <c r="D7123" s="2" t="s">
        <f>=HYPERLINK("https://main.knesset.gov.il/APPS/legislation/main/bills/2196311", "הצעת חוק ביטוח בריאות ממלכתי (תיקון - אשפוז בית), התשפ""ג-2022")</f>
        <v>13855</v>
      </c>
      <c r="E7123" t="s">
        <v>13855</v>
      </c>
      <c r="F7123" t="s">
        <v>13856</v>
      </c>
      <c r="G7123" t="s">
        <v>14</v>
      </c>
      <c r="H7123">
             </c>
      <c r="I7123" t="s">
        <v>14</v>
      </c>
      <c r="J7123" t="s">
        <v>141</v>
      </c>
      <c r="K7123" t="s">
        <v>14</v>
      </c>
      <c r="L7123" t="s">
        <v>20</v>
      </c>
      <c r="M7123" t="s">
        <v>13164</v>
      </c>
      <c r="N7123" t="s">
        <v>14</v>
      </c>
    </row>
    <row r="7124" x14ac:dyDescent="0.25">
      <c r="A7124" t="n">
        <v>25</v>
      </c>
      <c r="B7124" t="s">
        <v>14</v>
      </c>
      <c r="C7124" t="s">
        <v>22</v>
      </c>
      <c r="D7124" s="2" t="s">
        <f>=HYPERLINK("https://main.knesset.gov.il/APPS/legislation/main/bills/2195696", "הצעת חוק חובת פרסום מידע על תלונות הציבור ודוח ביקורת פנימית (תיקוני חקיקה), התשפ""ג-2022")</f>
        <v>13857</v>
      </c>
      <c r="E7124" t="s">
        <v>13857</v>
      </c>
      <c r="F7124" t="s">
        <v>13858</v>
      </c>
      <c r="G7124" t="s">
        <v>14</v>
      </c>
      <c r="H7124">
             </c>
      <c r="I7124" t="s">
        <v>14</v>
      </c>
      <c r="J7124" t="s">
        <v>141</v>
      </c>
      <c r="K7124" t="s">
        <v>14</v>
      </c>
      <c r="L7124" t="s">
        <v>20</v>
      </c>
      <c r="M7124" t="s">
        <v>13164</v>
      </c>
      <c r="N7124" t="s">
        <v>14</v>
      </c>
    </row>
    <row r="7125" x14ac:dyDescent="0.25">
      <c r="A7125" t="n">
        <v>25</v>
      </c>
      <c r="B7125" t="s">
        <v>14</v>
      </c>
      <c r="C7125" t="s">
        <v>22</v>
      </c>
      <c r="D7125" s="2" t="s">
        <f>=HYPERLINK("https://main.knesset.gov.il/APPS/legislation/main/bills/2195956", "הצעת חוק לתיקון פקודת המסים (גבייה) (ביטול החוק), התשפ""ג-2022")</f>
        <v>13859</v>
      </c>
      <c r="E7125" t="s">
        <v>13859</v>
      </c>
      <c r="F7125" t="s">
        <v>13860</v>
      </c>
      <c r="G7125" t="s">
        <v>14</v>
      </c>
      <c r="H7125">
             </c>
      <c r="I7125" t="s">
        <v>14</v>
      </c>
      <c r="J7125" t="s">
        <v>141</v>
      </c>
      <c r="K7125" t="s">
        <v>14</v>
      </c>
      <c r="L7125" t="s">
        <v>20</v>
      </c>
      <c r="M7125" t="s">
        <v>13164</v>
      </c>
      <c r="N7125" t="s">
        <v>14</v>
      </c>
    </row>
    <row r="7126" x14ac:dyDescent="0.25">
      <c r="A7126" t="n">
        <v>25</v>
      </c>
      <c r="B7126" t="s">
        <v>14</v>
      </c>
      <c r="C7126" t="s">
        <v>22</v>
      </c>
      <c r="D7126" s="2" t="s">
        <f>=HYPERLINK("https://main.knesset.gov.il/APPS/legislation/main/bills/2196631", "הצעת חוק העבירות המינהליות (תיקון - ביטול קנסות תכנון ובנייה), התשפ""ג-2022")</f>
        <v>13017</v>
      </c>
      <c r="E7126" t="s">
        <v>13017</v>
      </c>
      <c r="F7126" t="s">
        <v>13861</v>
      </c>
      <c r="G7126" t="s">
        <v>14</v>
      </c>
      <c r="H7126">
             </c>
      <c r="I7126" t="s">
        <v>14</v>
      </c>
      <c r="J7126" t="s">
        <v>141</v>
      </c>
      <c r="K7126" t="s">
        <v>14</v>
      </c>
      <c r="L7126" t="s">
        <v>20</v>
      </c>
      <c r="M7126" t="s">
        <v>13164</v>
      </c>
      <c r="N7126" t="s">
        <v>14</v>
      </c>
    </row>
    <row r="7127" x14ac:dyDescent="0.25">
      <c r="A7127" t="n">
        <v>25</v>
      </c>
      <c r="B7127" t="s">
        <v>14</v>
      </c>
      <c r="C7127" t="s">
        <v>22</v>
      </c>
      <c r="D7127" s="2" t="s">
        <f>=HYPERLINK("https://main.knesset.gov.il/APPS/legislation/main/bills/2195689", "הצעת חוק לתיקון פקודת המשטרה (הפגנה ליד בתי מגורים), התשפ""ג-2022")</f>
        <v>13862</v>
      </c>
      <c r="E7127" t="s">
        <v>13862</v>
      </c>
      <c r="F7127" t="s">
        <v>13863</v>
      </c>
      <c r="G7127" t="s">
        <v>14</v>
      </c>
      <c r="H7127">
             </c>
      <c r="I7127" t="s">
        <v>14</v>
      </c>
      <c r="J7127" t="s">
        <v>141</v>
      </c>
      <c r="K7127" t="s">
        <v>14</v>
      </c>
      <c r="L7127" t="s">
        <v>20</v>
      </c>
      <c r="M7127" t="s">
        <v>13164</v>
      </c>
      <c r="N7127" t="s">
        <v>14</v>
      </c>
    </row>
    <row r="7128" x14ac:dyDescent="0.25">
      <c r="A7128" t="n">
        <v>25</v>
      </c>
      <c r="B7128" t="s">
        <v>14</v>
      </c>
      <c r="C7128" t="s">
        <v>22</v>
      </c>
      <c r="D7128" s="2" t="s">
        <f>=HYPERLINK("https://main.knesset.gov.il/APPS/legislation/main/bills/2196380", "הצעת חוק הספורט (תיקון - זכויות ספורטאי קטין), התשפ""ג-2022")</f>
        <v>13864</v>
      </c>
      <c r="E7128" t="s">
        <v>13864</v>
      </c>
      <c r="F7128" t="s">
        <v>13865</v>
      </c>
      <c r="G7128" t="s">
        <v>14</v>
      </c>
      <c r="H7128">
             </c>
      <c r="I7128" t="s">
        <v>14</v>
      </c>
      <c r="J7128" t="s">
        <v>141</v>
      </c>
      <c r="K7128" t="s">
        <v>14</v>
      </c>
      <c r="L7128" t="s">
        <v>20</v>
      </c>
      <c r="M7128" t="s">
        <v>13164</v>
      </c>
      <c r="N7128" t="s">
        <v>14</v>
      </c>
    </row>
    <row r="7129" x14ac:dyDescent="0.25">
      <c r="A7129" t="n">
        <v>25</v>
      </c>
      <c r="B7129" t="s">
        <v>14</v>
      </c>
      <c r="C7129" t="s">
        <v>22</v>
      </c>
      <c r="D7129" s="2" t="s">
        <f>=HYPERLINK("https://main.knesset.gov.il/APPS/legislation/main/bills/2195974", "הצעת חוק הסדרת הטיפול בחופי הכנרת (תיקון - מועצת איגוד ערים כנרת), התשפ""ג-2022")</f>
        <v>13866</v>
      </c>
      <c r="E7129" t="s">
        <v>13866</v>
      </c>
      <c r="F7129" t="s">
        <v>13867</v>
      </c>
      <c r="G7129" t="s">
        <v>14</v>
      </c>
      <c r="H7129">
             </c>
      <c r="I7129" t="s">
        <v>14</v>
      </c>
      <c r="J7129" t="s">
        <v>141</v>
      </c>
      <c r="K7129" t="s">
        <v>14</v>
      </c>
      <c r="L7129" t="s">
        <v>20</v>
      </c>
      <c r="M7129" t="s">
        <v>13164</v>
      </c>
      <c r="N7129" t="s">
        <v>14</v>
      </c>
    </row>
    <row r="7130" x14ac:dyDescent="0.25">
      <c r="A7130" t="n">
        <v>25</v>
      </c>
      <c r="B7130" t="s">
        <v>14</v>
      </c>
      <c r="C7130" t="s">
        <v>22</v>
      </c>
      <c r="D7130" s="2" t="s">
        <f>=HYPERLINK("https://main.knesset.gov.il/APPS/legislation/main/bills/2197608", "הצעת חוק להגדלת שיעור ההשתתפות בכוח העבודה ולצמצום פערים חברתיים (מענק עבודה) (תיקון - אוטומציה בקבלת מענק העבודה), התשפ""ג-2022")</f>
        <v>13868</v>
      </c>
      <c r="E7130" t="s">
        <v>13868</v>
      </c>
      <c r="F7130" t="s">
        <v>13869</v>
      </c>
      <c r="G7130" t="s">
        <v>14</v>
      </c>
      <c r="H7130">
             </c>
      <c r="I7130" t="s">
        <v>14</v>
      </c>
      <c r="J7130" t="s">
        <v>141</v>
      </c>
      <c r="K7130" t="s">
        <v>14</v>
      </c>
      <c r="L7130" t="s">
        <v>20</v>
      </c>
      <c r="M7130" t="s">
        <v>13164</v>
      </c>
      <c r="N7130" t="s">
        <v>14</v>
      </c>
    </row>
    <row r="7131" x14ac:dyDescent="0.25">
      <c r="A7131" t="n">
        <v>25</v>
      </c>
      <c r="B7131" t="s">
        <v>14</v>
      </c>
      <c r="C7131" t="s">
        <v>22</v>
      </c>
      <c r="D7131" s="2" t="s">
        <f>=HYPERLINK("https://main.knesset.gov.il/APPS/legislation/main/bills/2197280", "הצעת חוק התקשורת (בזק ושידורים) (תיקון - חובת מסירת פרטים של שולח פרסומת בניגוד לחוק), התשפ""ג-2022")</f>
        <v>13870</v>
      </c>
      <c r="E7131" t="s">
        <v>13870</v>
      </c>
      <c r="F7131" t="s">
        <v>13871</v>
      </c>
      <c r="G7131" t="s">
        <v>14</v>
      </c>
      <c r="H7131">
             </c>
      <c r="I7131" t="s">
        <v>14</v>
      </c>
      <c r="J7131" t="s">
        <v>141</v>
      </c>
      <c r="K7131" t="s">
        <v>14</v>
      </c>
      <c r="L7131" t="s">
        <v>20</v>
      </c>
      <c r="M7131" t="s">
        <v>13164</v>
      </c>
      <c r="N7131" t="s">
        <v>14</v>
      </c>
    </row>
    <row r="7132" x14ac:dyDescent="0.25">
      <c r="A7132" t="n">
        <v>25</v>
      </c>
      <c r="B7132" t="s">
        <v>14</v>
      </c>
      <c r="C7132" t="s">
        <v>22</v>
      </c>
      <c r="D7132" s="2" t="s">
        <f>=HYPERLINK("https://main.knesset.gov.il/APPS/legislation/main/bills/2196845", "הצעת חוק הדואר (תיקון - אחריות לאיחורים וטעויות), התשפ""ג-2022")</f>
        <v>13872</v>
      </c>
      <c r="E7132" t="s">
        <v>13872</v>
      </c>
      <c r="F7132" t="s">
        <v>13873</v>
      </c>
      <c r="G7132" t="s">
        <v>14</v>
      </c>
      <c r="H7132">
             </c>
      <c r="I7132" t="s">
        <v>14</v>
      </c>
      <c r="J7132" t="s">
        <v>141</v>
      </c>
      <c r="K7132" t="s">
        <v>14</v>
      </c>
      <c r="L7132" t="s">
        <v>20</v>
      </c>
      <c r="M7132" t="s">
        <v>13164</v>
      </c>
      <c r="N7132" t="s">
        <v>14</v>
      </c>
    </row>
    <row r="7133" x14ac:dyDescent="0.25">
      <c r="A7133" t="n">
        <v>25</v>
      </c>
      <c r="B7133" t="s">
        <v>14</v>
      </c>
      <c r="C7133" t="s">
        <v>22</v>
      </c>
      <c r="D7133" s="2" t="s">
        <f>=HYPERLINK("https://main.knesset.gov.il/APPS/legislation/main/bills/2195923", "הצעת חוק לתיקון פקודת מס הכנסה (השוואת תנאים בין שכיר לעצמאי בחיסכון ארוך טווח), התשפ""ג-2022")</f>
        <v>13874</v>
      </c>
      <c r="E7133" t="s">
        <v>13874</v>
      </c>
      <c r="F7133" t="s">
        <v>13875</v>
      </c>
      <c r="G7133" t="s">
        <v>14</v>
      </c>
      <c r="H7133">
             </c>
      <c r="I7133" t="s">
        <v>14</v>
      </c>
      <c r="J7133" t="s">
        <v>141</v>
      </c>
      <c r="K7133" t="s">
        <v>14</v>
      </c>
      <c r="L7133" t="s">
        <v>20</v>
      </c>
      <c r="M7133" t="s">
        <v>13164</v>
      </c>
      <c r="N7133" t="s">
        <v>14</v>
      </c>
    </row>
    <row r="7134" x14ac:dyDescent="0.25">
      <c r="A7134" t="n">
        <v>25</v>
      </c>
      <c r="B7134" t="s">
        <v>14</v>
      </c>
      <c r="C7134" t="s">
        <v>22</v>
      </c>
      <c r="D7134" s="2" t="s">
        <f>=HYPERLINK("https://main.knesset.gov.il/APPS/legislation/main/bills/2197621", "הצעת חוק המועצה להשכלה גבוהה (תיקון - הפחתת תקצוב בשל אי-הנפת דגל המדינה), התשפ""ג-2022")</f>
        <v>13876</v>
      </c>
      <c r="E7134" t="s">
        <v>13876</v>
      </c>
      <c r="F7134" t="s">
        <v>13877</v>
      </c>
      <c r="G7134" t="s">
        <v>14</v>
      </c>
      <c r="H7134">
             </c>
      <c r="I7134" t="s">
        <v>14</v>
      </c>
      <c r="J7134" t="s">
        <v>141</v>
      </c>
      <c r="K7134" t="s">
        <v>14</v>
      </c>
      <c r="L7134" t="s">
        <v>20</v>
      </c>
      <c r="M7134" t="s">
        <v>13164</v>
      </c>
      <c r="N7134" t="s">
        <v>14</v>
      </c>
    </row>
    <row r="7135" x14ac:dyDescent="0.25">
      <c r="A7135" t="n">
        <v>25</v>
      </c>
      <c r="B7135" t="s">
        <v>14</v>
      </c>
      <c r="C7135" t="s">
        <v>22</v>
      </c>
      <c r="D7135" s="2" t="s">
        <f>=HYPERLINK("https://main.knesset.gov.il/APPS/legislation/main/bills/2196796", "הצעת חוק הבלו על דלק (תיקון - הגבלת שיעור המס על הדלק), התשפ""ג-2022")</f>
        <v>13878</v>
      </c>
      <c r="E7135" t="s">
        <v>13878</v>
      </c>
      <c r="F7135" t="s">
        <v>13879</v>
      </c>
      <c r="G7135" t="s">
        <v>14</v>
      </c>
      <c r="H7135">
             </c>
      <c r="I7135" t="s">
        <v>14</v>
      </c>
      <c r="J7135" t="s">
        <v>141</v>
      </c>
      <c r="K7135" t="s">
        <v>14</v>
      </c>
      <c r="L7135" t="s">
        <v>20</v>
      </c>
      <c r="M7135" t="s">
        <v>13164</v>
      </c>
      <c r="N7135" t="s">
        <v>14</v>
      </c>
    </row>
    <row r="7136" x14ac:dyDescent="0.25">
      <c r="A7136" t="n">
        <v>25</v>
      </c>
      <c r="B7136" t="s">
        <v>14</v>
      </c>
      <c r="C7136" t="s">
        <v>22</v>
      </c>
      <c r="D7136" s="2" t="s">
        <f>=HYPERLINK("https://main.knesset.gov.il/APPS/legislation/main/bills/2196839", "הצעת חוק לתיקון פקודת הבנקאות (הגבלת עמלת פירעון מוקדם של הלוואה לדיור), התשפ""ג-2022")</f>
        <v>13880</v>
      </c>
      <c r="E7136" t="s">
        <v>13880</v>
      </c>
      <c r="F7136" t="s">
        <v>13881</v>
      </c>
      <c r="G7136" t="s">
        <v>14</v>
      </c>
      <c r="H7136">
             </c>
      <c r="I7136" t="s">
        <v>14</v>
      </c>
      <c r="J7136" t="s">
        <v>141</v>
      </c>
      <c r="K7136" t="s">
        <v>14</v>
      </c>
      <c r="L7136" t="s">
        <v>20</v>
      </c>
      <c r="M7136" t="s">
        <v>13164</v>
      </c>
      <c r="N7136" t="s">
        <v>14</v>
      </c>
    </row>
    <row r="7137" x14ac:dyDescent="0.25">
      <c r="A7137" t="n">
        <v>25</v>
      </c>
      <c r="B7137" t="s">
        <v>14</v>
      </c>
      <c r="C7137" t="s">
        <v>22</v>
      </c>
      <c r="D7137" s="2" t="s">
        <f>=HYPERLINK("https://main.knesset.gov.il/APPS/legislation/main/bills/2197606", "הצעת חוק לתיקון פקודת מס הכנסה (מיסוי הכנסה מהשכרת דירה למגורים), התשפ""ג-2022")</f>
        <v>13882</v>
      </c>
      <c r="E7137" t="s">
        <v>13882</v>
      </c>
      <c r="F7137" t="s">
        <v>13883</v>
      </c>
      <c r="G7137" t="s">
        <v>14</v>
      </c>
      <c r="H7137">
             </c>
      <c r="I7137" t="s">
        <v>14</v>
      </c>
      <c r="J7137" t="s">
        <v>141</v>
      </c>
      <c r="K7137" t="s">
        <v>14</v>
      </c>
      <c r="L7137" t="s">
        <v>20</v>
      </c>
      <c r="M7137" t="s">
        <v>13164</v>
      </c>
      <c r="N7137" t="s">
        <v>14</v>
      </c>
    </row>
    <row r="7138" x14ac:dyDescent="0.25">
      <c r="A7138" t="n">
        <v>25</v>
      </c>
      <c r="B7138" t="s">
        <v>14</v>
      </c>
      <c r="C7138" t="s">
        <v>22</v>
      </c>
      <c r="D7138" s="2" t="s">
        <f>=HYPERLINK("https://main.knesset.gov.il/APPS/legislation/main/bills/2196832", "הצעת חוק לתיקון פקודת התעבורה (פטור מאגרת רישיון לרכב חשמלי), התשפ""ג-2022")</f>
        <v>13884</v>
      </c>
      <c r="E7138" t="s">
        <v>13884</v>
      </c>
      <c r="F7138" t="s">
        <v>13885</v>
      </c>
      <c r="G7138" t="s">
        <v>14</v>
      </c>
      <c r="H7138">
             </c>
      <c r="I7138" t="s">
        <v>14</v>
      </c>
      <c r="J7138" t="s">
        <v>141</v>
      </c>
      <c r="K7138" t="s">
        <v>14</v>
      </c>
      <c r="L7138" t="s">
        <v>20</v>
      </c>
      <c r="M7138" t="s">
        <v>13164</v>
      </c>
      <c r="N7138" t="s">
        <v>14</v>
      </c>
    </row>
    <row r="7139" x14ac:dyDescent="0.25">
      <c r="A7139" t="n">
        <v>25</v>
      </c>
      <c r="B7139" t="s">
        <v>14</v>
      </c>
      <c r="C7139" t="s">
        <v>22</v>
      </c>
      <c r="D7139" s="2" t="s">
        <f>=HYPERLINK("https://main.knesset.gov.il/APPS/legislation/main/bills/2197429", "הצעת חוק לתיקון פקודת סדרי השלטון והמשפט (חקיקה באזור באמצעות צו), התשפ""ג-2022")</f>
        <v>13886</v>
      </c>
      <c r="E7139" t="s">
        <v>13886</v>
      </c>
      <c r="F7139" t="s">
        <v>13887</v>
      </c>
      <c r="G7139" t="s">
        <v>14</v>
      </c>
      <c r="H7139">
             </c>
      <c r="I7139" t="s">
        <v>14</v>
      </c>
      <c r="J7139" t="s">
        <v>141</v>
      </c>
      <c r="K7139" t="s">
        <v>14</v>
      </c>
      <c r="L7139" t="s">
        <v>20</v>
      </c>
      <c r="M7139" t="s">
        <v>13164</v>
      </c>
      <c r="N7139" t="s">
        <v>14</v>
      </c>
    </row>
    <row r="7140" x14ac:dyDescent="0.25">
      <c r="A7140" t="n">
        <v>25</v>
      </c>
      <c r="B7140" t="s">
        <v>14</v>
      </c>
      <c r="C7140" t="s">
        <v>22</v>
      </c>
      <c r="D7140" s="2" t="s">
        <f>=HYPERLINK("https://main.knesset.gov.il/APPS/legislation/main/bills/2197541", "הצעת חוק הפיקוח על שירותים פיננסיים (ייעוץ, שיווק ומערכת סליקה פנסיוניים) (תיקון - הגבלת עמלת הפצה), התשפ""ג-2022")</f>
        <v>13888</v>
      </c>
      <c r="E7140" t="s">
        <v>13888</v>
      </c>
      <c r="F7140" t="s">
        <v>13889</v>
      </c>
      <c r="G7140" t="s">
        <v>14</v>
      </c>
      <c r="H7140">
             </c>
      <c r="I7140" t="s">
        <v>14</v>
      </c>
      <c r="J7140" t="s">
        <v>141</v>
      </c>
      <c r="K7140" t="s">
        <v>14</v>
      </c>
      <c r="L7140" t="s">
        <v>20</v>
      </c>
      <c r="M7140" t="s">
        <v>13164</v>
      </c>
      <c r="N7140" t="s">
        <v>14</v>
      </c>
    </row>
    <row r="7141" x14ac:dyDescent="0.25">
      <c r="A7141" t="n">
        <v>25</v>
      </c>
      <c r="B7141" t="s">
        <v>14</v>
      </c>
      <c r="C7141" t="s">
        <v>22</v>
      </c>
      <c r="D7141" s="2" t="s">
        <f>=HYPERLINK("https://main.knesset.gov.il/APPS/legislation/main/bills/2196603", "הצעת חוק המועצה להשכלה גבוהה (תיקון - ביטול דרישת מבחני כניסה וציון פסיכומטרי), התשפ""ג-2022")</f>
        <v>13890</v>
      </c>
      <c r="E7141" t="s">
        <v>13890</v>
      </c>
      <c r="F7141" t="s">
        <v>13891</v>
      </c>
      <c r="G7141" t="s">
        <v>14</v>
      </c>
      <c r="H7141">
             </c>
      <c r="I7141" t="s">
        <v>14</v>
      </c>
      <c r="J7141" t="s">
        <v>141</v>
      </c>
      <c r="K7141" t="s">
        <v>14</v>
      </c>
      <c r="L7141" t="s">
        <v>20</v>
      </c>
      <c r="M7141" t="s">
        <v>13164</v>
      </c>
      <c r="N7141" t="s">
        <v>14</v>
      </c>
    </row>
    <row r="7142" x14ac:dyDescent="0.25">
      <c r="A7142" t="n">
        <v>25</v>
      </c>
      <c r="B7142" t="s">
        <v>14</v>
      </c>
      <c r="C7142" t="s">
        <v>22</v>
      </c>
      <c r="D7142" s="2" t="s">
        <f>=HYPERLINK("https://main.knesset.gov.il/APPS/legislation/main/bills/2195708", "הצעת חוק מיסוי מקרקעין (שבח ורכישה) (תיקון - הרחבת פטור לדירת מגורים מזכה), התשפ""ג-2022")</f>
        <v>13892</v>
      </c>
      <c r="E7142" t="s">
        <v>13892</v>
      </c>
      <c r="F7142" t="s">
        <v>13893</v>
      </c>
      <c r="G7142" t="s">
        <v>14</v>
      </c>
      <c r="H7142">
             </c>
      <c r="I7142" t="s">
        <v>14</v>
      </c>
      <c r="J7142" t="s">
        <v>141</v>
      </c>
      <c r="K7142" t="s">
        <v>14</v>
      </c>
      <c r="L7142" t="s">
        <v>20</v>
      </c>
      <c r="M7142" t="s">
        <v>13164</v>
      </c>
      <c r="N7142" t="s">
        <v>14</v>
      </c>
    </row>
    <row r="7143" x14ac:dyDescent="0.25">
      <c r="A7143" t="n">
        <v>25</v>
      </c>
      <c r="B7143" t="s">
        <v>14</v>
      </c>
      <c r="C7143" t="s">
        <v>22</v>
      </c>
      <c r="D7143" s="2" t="s">
        <f>=HYPERLINK("https://main.knesset.gov.il/APPS/legislation/main/bills/2196774", "הצעת חוק נכסי נפקדים (תיקון - ביטול החוק), התשפ""ג-2022")</f>
        <v>13894</v>
      </c>
      <c r="E7143" t="s">
        <v>13894</v>
      </c>
      <c r="F7143" t="s">
        <v>13895</v>
      </c>
      <c r="G7143" t="s">
        <v>14</v>
      </c>
      <c r="H7143">
             </c>
      <c r="I7143" t="s">
        <v>14</v>
      </c>
      <c r="J7143" t="s">
        <v>141</v>
      </c>
      <c r="K7143" t="s">
        <v>14</v>
      </c>
      <c r="L7143" t="s">
        <v>20</v>
      </c>
      <c r="M7143" t="s">
        <v>13164</v>
      </c>
      <c r="N7143" t="s">
        <v>14</v>
      </c>
    </row>
    <row r="7144" x14ac:dyDescent="0.25">
      <c r="A7144" t="n">
        <v>25</v>
      </c>
      <c r="B7144" t="s">
        <v>14</v>
      </c>
      <c r="C7144" t="s">
        <v>22</v>
      </c>
      <c r="D7144" s="2" t="s">
        <f>=HYPERLINK("https://main.knesset.gov.il/APPS/legislation/main/bills/2197484", "הצעת חוק המועצה להשכלה גבוהה (תיקון - איסור הגבלת גיל בהרשמה למוסד להשכלה גבוהה), התשפ""ג-2022")</f>
        <v>13896</v>
      </c>
      <c r="E7144" t="s">
        <v>13896</v>
      </c>
      <c r="F7144" t="s">
        <v>13897</v>
      </c>
      <c r="G7144" t="s">
        <v>14</v>
      </c>
      <c r="H7144">
             </c>
      <c r="I7144" t="s">
        <v>14</v>
      </c>
      <c r="J7144" t="s">
        <v>141</v>
      </c>
      <c r="K7144" t="s">
        <v>14</v>
      </c>
      <c r="L7144" t="s">
        <v>20</v>
      </c>
      <c r="M7144" t="s">
        <v>13164</v>
      </c>
      <c r="N7144" t="s">
        <v>14</v>
      </c>
    </row>
    <row r="7145" x14ac:dyDescent="0.25">
      <c r="A7145" t="n">
        <v>25</v>
      </c>
      <c r="B7145" t="s">
        <v>14</v>
      </c>
      <c r="C7145" t="s">
        <v>22</v>
      </c>
      <c r="D7145" s="2" t="s">
        <f>=HYPERLINK("https://main.knesset.gov.il/APPS/legislation/main/bills/2197485", "הצעת חוק האזרחות והכניסה לישראל (הוראת שעה) (תיקון - ביטול החוק), התשפ""ג-2022")</f>
        <v>13898</v>
      </c>
      <c r="E7145" t="s">
        <v>13898</v>
      </c>
      <c r="F7145" t="s">
        <v>13899</v>
      </c>
      <c r="G7145" t="s">
        <v>14</v>
      </c>
      <c r="H7145">
             </c>
      <c r="I7145" t="s">
        <v>14</v>
      </c>
      <c r="J7145" t="s">
        <v>141</v>
      </c>
      <c r="K7145" t="s">
        <v>14</v>
      </c>
      <c r="L7145" t="s">
        <v>20</v>
      </c>
      <c r="M7145" t="s">
        <v>13164</v>
      </c>
      <c r="N7145" t="s">
        <v>14</v>
      </c>
    </row>
    <row r="7146" x14ac:dyDescent="0.25">
      <c r="A7146" t="n">
        <v>25</v>
      </c>
      <c r="B7146" t="s">
        <v>14</v>
      </c>
      <c r="C7146" t="s">
        <v>22</v>
      </c>
      <c r="D7146" s="2" t="s">
        <f>=HYPERLINK("https://main.knesset.gov.il/APPS/legislation/main/bills/2197592", "הצעת חוק המוסיקה הישראלית, התשפ""ג-2022")</f>
        <v>13900</v>
      </c>
      <c r="E7146" t="s">
        <v>13900</v>
      </c>
      <c r="F7146" t="s">
        <v>13901</v>
      </c>
      <c r="G7146" t="s">
        <v>14</v>
      </c>
      <c r="H7146">
             </c>
      <c r="I7146" t="s">
        <v>14</v>
      </c>
      <c r="J7146" t="s">
        <v>141</v>
      </c>
      <c r="K7146" t="s">
        <v>14</v>
      </c>
      <c r="L7146" t="s">
        <v>20</v>
      </c>
      <c r="M7146" t="s">
        <v>13164</v>
      </c>
      <c r="N7146" t="s">
        <v>14</v>
      </c>
    </row>
    <row r="7147" x14ac:dyDescent="0.25">
      <c r="A7147" t="n">
        <v>25</v>
      </c>
      <c r="B7147" t="s">
        <v>14</v>
      </c>
      <c r="C7147" t="s">
        <v>22</v>
      </c>
      <c r="D7147" s="2" t="s">
        <f>=HYPERLINK("https://main.knesset.gov.il/APPS/legislation/main/bills/2197277", "הצעת חוק כרטיסי חיוב (תיקון - חובת פרסום פרטי ספק), התשפ""ג-2022")</f>
        <v>13902</v>
      </c>
      <c r="E7147" t="s">
        <v>13902</v>
      </c>
      <c r="F7147" t="s">
        <v>13903</v>
      </c>
      <c r="G7147" t="s">
        <v>14</v>
      </c>
      <c r="H7147">
             </c>
      <c r="I7147" t="s">
        <v>14</v>
      </c>
      <c r="J7147" t="s">
        <v>141</v>
      </c>
      <c r="K7147" t="s">
        <v>14</v>
      </c>
      <c r="L7147" t="s">
        <v>20</v>
      </c>
      <c r="M7147" t="s">
        <v>13164</v>
      </c>
      <c r="N7147" t="s">
        <v>14</v>
      </c>
    </row>
    <row r="7148" x14ac:dyDescent="0.25">
      <c r="A7148" t="n">
        <v>25</v>
      </c>
      <c r="B7148" t="s">
        <v>14</v>
      </c>
      <c r="C7148" t="s">
        <v>22</v>
      </c>
      <c r="D7148" s="2" t="s">
        <f>=HYPERLINK("https://main.knesset.gov.il/APPS/legislation/main/bills/2197310", "הצעת חוק שירות ביטחון (תיקון - פטור מטעמי מצפון), התשפ""ג-2022")</f>
        <v>13904</v>
      </c>
      <c r="E7148" t="s">
        <v>13904</v>
      </c>
      <c r="F7148" t="s">
        <v>13905</v>
      </c>
      <c r="G7148" t="s">
        <v>14</v>
      </c>
      <c r="H7148">
             </c>
      <c r="I7148" t="s">
        <v>14</v>
      </c>
      <c r="J7148" t="s">
        <v>141</v>
      </c>
      <c r="K7148" t="s">
        <v>14</v>
      </c>
      <c r="L7148" t="s">
        <v>20</v>
      </c>
      <c r="M7148" t="s">
        <v>13164</v>
      </c>
      <c r="N7148" t="s">
        <v>14</v>
      </c>
    </row>
    <row r="7149" x14ac:dyDescent="0.25">
      <c r="A7149" t="n">
        <v>25</v>
      </c>
      <c r="B7149" t="s">
        <v>14</v>
      </c>
      <c r="C7149" t="s">
        <v>22</v>
      </c>
      <c r="D7149" s="2" t="s">
        <f>=HYPERLINK("https://main.knesset.gov.il/APPS/legislation/main/bills/2196895", "הצעת חוק הכרה ברצח העם הארמני וציון יום זיכרון, התשפ""ג-2022")</f>
        <v>13906</v>
      </c>
      <c r="E7149" t="s">
        <v>13906</v>
      </c>
      <c r="F7149" t="s">
        <v>13907</v>
      </c>
      <c r="G7149" t="s">
        <v>14</v>
      </c>
      <c r="H7149">
             </c>
      <c r="I7149" t="s">
        <v>14</v>
      </c>
      <c r="J7149" t="s">
        <v>141</v>
      </c>
      <c r="K7149" t="s">
        <v>14</v>
      </c>
      <c r="L7149" t="s">
        <v>20</v>
      </c>
      <c r="M7149" t="s">
        <v>13164</v>
      </c>
      <c r="N7149" t="s">
        <v>14</v>
      </c>
    </row>
    <row r="7150" x14ac:dyDescent="0.25">
      <c r="A7150" t="n">
        <v>25</v>
      </c>
      <c r="B7150" t="s">
        <v>14</v>
      </c>
      <c r="C7150" t="s">
        <v>22</v>
      </c>
      <c r="D7150" s="2" t="s">
        <f>=HYPERLINK("https://main.knesset.gov.il/APPS/legislation/main/bills/2197075", "הצעת חוק לתיקון פקודת הבנקאות (הסכם הלוואה לדיור ללא עמלת היוון בשל פירעון מוקדם), התשפ""ג-2022")</f>
        <v>13908</v>
      </c>
      <c r="E7150" t="s">
        <v>13908</v>
      </c>
      <c r="F7150" t="s">
        <v>13909</v>
      </c>
      <c r="G7150" t="s">
        <v>14</v>
      </c>
      <c r="H7150">
             </c>
      <c r="I7150" t="s">
        <v>14</v>
      </c>
      <c r="J7150" t="s">
        <v>141</v>
      </c>
      <c r="K7150" t="s">
        <v>14</v>
      </c>
      <c r="L7150" t="s">
        <v>20</v>
      </c>
      <c r="M7150" t="s">
        <v>13164</v>
      </c>
      <c r="N7150" t="s">
        <v>14</v>
      </c>
    </row>
    <row r="7151" x14ac:dyDescent="0.25">
      <c r="A7151" t="n">
        <v>25</v>
      </c>
      <c r="B7151" t="s">
        <v>14</v>
      </c>
      <c r="C7151" t="s">
        <v>22</v>
      </c>
      <c r="D7151" s="2" t="s">
        <f>=HYPERLINK("https://main.knesset.gov.il/APPS/legislation/main/bills/2196930", "הצעת חוק שירות ביטחון (תיקון - פטור מטעמי מצפון), התשפ""ג-2022")</f>
        <v>13904</v>
      </c>
      <c r="E7151" t="s">
        <v>13904</v>
      </c>
      <c r="F7151" t="s">
        <v>13910</v>
      </c>
      <c r="G7151" t="s">
        <v>14</v>
      </c>
      <c r="H7151">
             </c>
      <c r="I7151" t="s">
        <v>14</v>
      </c>
      <c r="J7151" t="s">
        <v>141</v>
      </c>
      <c r="K7151" t="s">
        <v>14</v>
      </c>
      <c r="L7151" t="s">
        <v>20</v>
      </c>
      <c r="M7151" t="s">
        <v>13164</v>
      </c>
      <c r="N7151" t="s">
        <v>14</v>
      </c>
    </row>
    <row r="7152" x14ac:dyDescent="0.25">
      <c r="A7152" t="n">
        <v>25</v>
      </c>
      <c r="B7152" t="s">
        <v>14</v>
      </c>
      <c r="C7152" t="s">
        <v>22</v>
      </c>
      <c r="D7152" s="2" t="s">
        <f>=HYPERLINK("https://main.knesset.gov.il/APPS/legislation/main/bills/2196726", "הצעת חוק להסדרת רעיית דבורים וייצור דבש, התשפ""ג-2022")</f>
        <v>13911</v>
      </c>
      <c r="E7152" t="s">
        <v>13911</v>
      </c>
      <c r="F7152" t="s">
        <v>13912</v>
      </c>
      <c r="G7152" t="s">
        <v>14</v>
      </c>
      <c r="H7152">
             </c>
      <c r="I7152" t="s">
        <v>14</v>
      </c>
      <c r="J7152" t="s">
        <v>141</v>
      </c>
      <c r="K7152" t="s">
        <v>14</v>
      </c>
      <c r="L7152" t="s">
        <v>20</v>
      </c>
      <c r="M7152" t="s">
        <v>13164</v>
      </c>
      <c r="N7152" t="s">
        <v>14</v>
      </c>
    </row>
    <row r="7153" x14ac:dyDescent="0.25">
      <c r="A7153" t="n">
        <v>25</v>
      </c>
      <c r="B7153" t="s">
        <v>14</v>
      </c>
      <c r="C7153" t="s">
        <v>22</v>
      </c>
      <c r="D7153" s="2" t="s">
        <f>=HYPERLINK("https://main.knesset.gov.il/APPS/legislation/main/bills/2196865", "הצעת חוק הכניסה לישראל (תיקון - רישיון מיוחד לישיבת ביקור), התשפ""ג-2022")</f>
        <v>13913</v>
      </c>
      <c r="E7153" t="s">
        <v>13913</v>
      </c>
      <c r="F7153" t="s">
        <v>13914</v>
      </c>
      <c r="G7153" t="s">
        <v>14</v>
      </c>
      <c r="H7153">
             </c>
      <c r="I7153" t="s">
        <v>14</v>
      </c>
      <c r="J7153" t="s">
        <v>141</v>
      </c>
      <c r="K7153" t="s">
        <v>14</v>
      </c>
      <c r="L7153" t="s">
        <v>20</v>
      </c>
      <c r="M7153" t="s">
        <v>13164</v>
      </c>
      <c r="N7153" t="s">
        <v>14</v>
      </c>
    </row>
    <row r="7154" x14ac:dyDescent="0.25">
      <c r="A7154" t="n">
        <v>25</v>
      </c>
      <c r="B7154" t="s">
        <v>14</v>
      </c>
      <c r="C7154" t="s">
        <v>22</v>
      </c>
      <c r="D7154" s="2" t="s">
        <f>=HYPERLINK("https://main.knesset.gov.il/APPS/legislation/main/bills/2196976", "הצעת חוק-יסוד: הממשלה (תיקון - כשירותם של שרים)")</f>
        <v>13915</v>
      </c>
      <c r="E7154" t="s">
        <v>13915</v>
      </c>
      <c r="F7154" t="s">
        <v>13916</v>
      </c>
      <c r="G7154" t="s">
        <v>14</v>
      </c>
      <c r="H7154">
             </c>
      <c r="I7154" t="s">
        <v>14</v>
      </c>
      <c r="J7154" t="s">
        <v>99</v>
      </c>
      <c r="K7154" t="s">
        <v>12595</v>
      </c>
      <c r="L7154" t="s">
        <v>20</v>
      </c>
      <c r="M7154" t="s">
        <v>13917</v>
      </c>
      <c r="N7154" t="s">
        <v>14</v>
      </c>
    </row>
    <row r="7155" x14ac:dyDescent="0.25">
      <c r="A7155" t="n">
        <v>25</v>
      </c>
      <c r="B7155" t="s">
        <v>14</v>
      </c>
      <c r="C7155" t="s">
        <v>15</v>
      </c>
      <c r="D7155" s="2" t="s">
        <f>=HYPERLINK("https://main.knesset.gov.il/APPS/legislation/main/bills/2198283", "הצעת חוק המידע הפלילי ותקנת השבים (תיקון מס' 4), התשפ""ג-2022 ")</f>
        <v>13918</v>
      </c>
      <c r="E7155" t="s">
        <v>13918</v>
      </c>
      <c r="F7155" t="s">
        <v>14</v>
      </c>
      <c r="G7155" t="s">
        <v>13919</v>
      </c>
      <c r="H7155">
             </c>
      <c r="I7155" t="s">
        <v>14</v>
      </c>
      <c r="J7155" t="s">
        <v>69</v>
      </c>
      <c r="K7155" t="s">
        <v>14</v>
      </c>
      <c r="L7155" t="s">
        <v>20</v>
      </c>
      <c r="M7155" t="s">
        <v>13920</v>
      </c>
      <c r="N7155" t="s">
        <v>14</v>
      </c>
    </row>
    <row r="7156" x14ac:dyDescent="0.25">
      <c r="A7156" t="n">
        <v>25</v>
      </c>
      <c r="B7156" t="s">
        <v>14</v>
      </c>
      <c r="C7156" t="s">
        <v>15</v>
      </c>
      <c r="D7156" s="2" t="s">
        <f>=HYPERLINK("https://main.knesset.gov.il/APPS/legislation/main/bills/2198285", "הצעת חוק איסור הלבנת הון (תיקון מס' 33) (העברת מידע מגופים ציבוריים מוסמכים), התשפ""ג-2022 ")</f>
        <v>13921</v>
      </c>
      <c r="E7156" t="s">
        <v>13921</v>
      </c>
      <c r="F7156" t="s">
        <v>14</v>
      </c>
      <c r="G7156" t="s">
        <v>13922</v>
      </c>
      <c r="H7156">
             </c>
      <c r="I7156" t="s">
        <v>14</v>
      </c>
      <c r="J7156" t="s">
        <v>69</v>
      </c>
      <c r="K7156" t="s">
        <v>14</v>
      </c>
      <c r="L7156" t="s">
        <v>20</v>
      </c>
      <c r="M7156" t="s">
        <v>13920</v>
      </c>
      <c r="N7156" t="s">
        <v>14</v>
      </c>
    </row>
    <row r="7157" x14ac:dyDescent="0.25">
      <c r="A7157" t="n">
        <v>25</v>
      </c>
      <c r="B7157" t="s">
        <v>14</v>
      </c>
      <c r="C7157" t="s">
        <v>15</v>
      </c>
      <c r="D7157" s="2" t="s">
        <f>=HYPERLINK("https://main.knesset.gov.il/APPS/legislation/main/bills/2198286", "הצעת חוק קבוצות רכישה, התשפ""ג-2022 ")</f>
        <v>13923</v>
      </c>
      <c r="E7157" t="s">
        <v>13923</v>
      </c>
      <c r="F7157" t="s">
        <v>14</v>
      </c>
      <c r="G7157" t="s">
        <v>13924</v>
      </c>
      <c r="H7157">
             </c>
      <c r="I7157" t="s">
        <v>14</v>
      </c>
      <c r="J7157" t="s">
        <v>69</v>
      </c>
      <c r="K7157" t="s">
        <v>14</v>
      </c>
      <c r="L7157" t="s">
        <v>20</v>
      </c>
      <c r="M7157" t="s">
        <v>13920</v>
      </c>
      <c r="N7157" t="s">
        <v>14</v>
      </c>
    </row>
    <row r="7158" x14ac:dyDescent="0.25">
      <c r="A7158" t="n">
        <v>25</v>
      </c>
      <c r="B7158" t="s">
        <v>14</v>
      </c>
      <c r="C7158" t="s">
        <v>15</v>
      </c>
      <c r="D7158" s="2" t="s">
        <f>=HYPERLINK("https://main.knesset.gov.il/APPS/legislation/main/bills/2198287", "הצעת חוק בתי הדין הדתיים הדרוזיים (תיקון מס' 23), התשפ""ג-2022 ")</f>
        <v>13925</v>
      </c>
      <c r="E7158" t="s">
        <v>13925</v>
      </c>
      <c r="F7158" t="s">
        <v>14</v>
      </c>
      <c r="G7158" t="s">
        <v>13926</v>
      </c>
      <c r="H7158">
             </c>
      <c r="I7158" t="s">
        <v>14</v>
      </c>
      <c r="J7158" t="s">
        <v>69</v>
      </c>
      <c r="K7158" t="s">
        <v>14</v>
      </c>
      <c r="L7158" t="s">
        <v>20</v>
      </c>
      <c r="M7158" t="s">
        <v>13920</v>
      </c>
      <c r="N7158" t="s">
        <v>14</v>
      </c>
    </row>
    <row r="7159" x14ac:dyDescent="0.25">
      <c r="A7159" t="n">
        <v>25</v>
      </c>
      <c r="B7159" t="s">
        <v>14</v>
      </c>
      <c r="C7159" t="s">
        <v>22</v>
      </c>
      <c r="D7159" s="2" t="s">
        <f>=HYPERLINK("https://main.knesset.gov.il/APPS/legislation/main/bills/2196711", "הצעת חוק הבנקאות (שירות ללקוח) (תיקון - הקלת התנאים במתן הלוואה לרכישת דירה), התשפ""ג-2022")</f>
        <v>13927</v>
      </c>
      <c r="E7159" t="s">
        <v>13927</v>
      </c>
      <c r="F7159" t="s">
        <v>13928</v>
      </c>
      <c r="G7159" t="s">
        <v>14</v>
      </c>
      <c r="H7159">
             </c>
      <c r="I7159" t="s">
        <v>14</v>
      </c>
      <c r="J7159" t="s">
        <v>141</v>
      </c>
      <c r="K7159" t="s">
        <v>14</v>
      </c>
      <c r="L7159" t="s">
        <v>20</v>
      </c>
      <c r="M7159" t="s">
        <v>13929</v>
      </c>
      <c r="N7159" t="s">
        <v>14</v>
      </c>
    </row>
    <row r="7160" x14ac:dyDescent="0.25">
      <c r="A7160" t="n">
        <v>25</v>
      </c>
      <c r="B7160" t="s">
        <v>14</v>
      </c>
      <c r="C7160" t="s">
        <v>22</v>
      </c>
      <c r="D7160" s="2" t="s">
        <f>=HYPERLINK("https://main.knesset.gov.il/APPS/legislation/main/bills/2196519", "הצעת חוק הספקת החשמל (הוראת שעה) (תיקון - הארכת תוקף), התשפ""ג-2022")</f>
        <v>13930</v>
      </c>
      <c r="E7160" t="s">
        <v>13930</v>
      </c>
      <c r="F7160" t="s">
        <v>13931</v>
      </c>
      <c r="G7160" t="s">
        <v>14</v>
      </c>
      <c r="H7160">
             </c>
      <c r="I7160" t="s">
        <v>14</v>
      </c>
      <c r="J7160" t="s">
        <v>141</v>
      </c>
      <c r="K7160" t="s">
        <v>14</v>
      </c>
      <c r="L7160" t="s">
        <v>20</v>
      </c>
      <c r="M7160" t="s">
        <v>13929</v>
      </c>
      <c r="N7160" t="s">
        <v>14</v>
      </c>
    </row>
    <row r="7161" x14ac:dyDescent="0.25">
      <c r="A7161" t="n">
        <v>25</v>
      </c>
      <c r="B7161" t="s">
        <v>14</v>
      </c>
      <c r="C7161" t="s">
        <v>22</v>
      </c>
      <c r="D7161" s="2" t="s">
        <f>=HYPERLINK("https://main.knesset.gov.il/APPS/legislation/main/bills/2196854", "הצעת חוק החלת ריבונות ישראל בשטח בקעת הירדן וצפון ים המלח, התשפ""ג-2022")</f>
        <v>13932</v>
      </c>
      <c r="E7161" t="s">
        <v>13932</v>
      </c>
      <c r="F7161" t="s">
        <v>13933</v>
      </c>
      <c r="G7161" t="s">
        <v>14</v>
      </c>
      <c r="H7161">
             </c>
      <c r="I7161" t="s">
        <v>14</v>
      </c>
      <c r="J7161" t="s">
        <v>141</v>
      </c>
      <c r="K7161" t="s">
        <v>14</v>
      </c>
      <c r="L7161" t="s">
        <v>20</v>
      </c>
      <c r="M7161" t="s">
        <v>13929</v>
      </c>
      <c r="N7161" t="s">
        <v>14</v>
      </c>
    </row>
    <row r="7162" x14ac:dyDescent="0.25">
      <c r="A7162" t="n">
        <v>25</v>
      </c>
      <c r="B7162" t="s">
        <v>14</v>
      </c>
      <c r="C7162" t="s">
        <v>22</v>
      </c>
      <c r="D7162" s="2" t="s">
        <f>=HYPERLINK("https://main.knesset.gov.il/APPS/legislation/main/bills/2197245", "הצעת חוק החומרים המסוכנים (תיקון - פרטי התקשרות למרכז רעלים), התשפ""ג-2022 ")</f>
        <v>13934</v>
      </c>
      <c r="E7162" t="s">
        <v>13934</v>
      </c>
      <c r="F7162" t="s">
        <v>13935</v>
      </c>
      <c r="G7162" t="s">
        <v>14</v>
      </c>
      <c r="H7162">
             </c>
      <c r="I7162" t="s">
        <v>14</v>
      </c>
      <c r="J7162" t="s">
        <v>141</v>
      </c>
      <c r="K7162" t="s">
        <v>14</v>
      </c>
      <c r="L7162" t="s">
        <v>20</v>
      </c>
      <c r="M7162" t="s">
        <v>13929</v>
      </c>
      <c r="N7162" t="s">
        <v>14</v>
      </c>
    </row>
    <row r="7163" x14ac:dyDescent="0.25">
      <c r="A7163" t="n">
        <v>25</v>
      </c>
      <c r="B7163" t="s">
        <v>14</v>
      </c>
      <c r="C7163" t="s">
        <v>22</v>
      </c>
      <c r="D7163" s="2" t="s">
        <f>=HYPERLINK("https://main.knesset.gov.il/APPS/legislation/main/bills/2196442", "הצעת חוק רשות שדות התעופה (תיקון - פטור מתשלום אגרה לסטודנטים הלומדים באוניברסיטאות בירדן), התשפ""ג-2022")</f>
        <v>13936</v>
      </c>
      <c r="E7163" t="s">
        <v>13936</v>
      </c>
      <c r="F7163" t="s">
        <v>13937</v>
      </c>
      <c r="G7163" t="s">
        <v>14</v>
      </c>
      <c r="H7163">
             </c>
      <c r="I7163" t="s">
        <v>14</v>
      </c>
      <c r="J7163" t="s">
        <v>141</v>
      </c>
      <c r="K7163" t="s">
        <v>14</v>
      </c>
      <c r="L7163" t="s">
        <v>20</v>
      </c>
      <c r="M7163" t="s">
        <v>13929</v>
      </c>
      <c r="N7163" t="s">
        <v>14</v>
      </c>
    </row>
    <row r="7164" x14ac:dyDescent="0.25">
      <c r="A7164" t="n">
        <v>25</v>
      </c>
      <c r="B7164" t="s">
        <v>14</v>
      </c>
      <c r="C7164" t="s">
        <v>22</v>
      </c>
      <c r="D7164" s="2" t="s">
        <f>=HYPERLINK("https://main.knesset.gov.il/APPS/legislation/main/bills/2196373", "הצעת חוק לתיקון פקודת התעבורה (רישום סוג הדם ברישיון נהיגה), התשפ""ג-2022")</f>
        <v>13938</v>
      </c>
      <c r="E7164" t="s">
        <v>13938</v>
      </c>
      <c r="F7164" t="s">
        <v>13939</v>
      </c>
      <c r="G7164" t="s">
        <v>14</v>
      </c>
      <c r="H7164">
             </c>
      <c r="I7164" t="s">
        <v>14</v>
      </c>
      <c r="J7164" t="s">
        <v>141</v>
      </c>
      <c r="K7164" t="s">
        <v>14</v>
      </c>
      <c r="L7164" t="s">
        <v>20</v>
      </c>
      <c r="M7164" t="s">
        <v>13929</v>
      </c>
      <c r="N7164" t="s">
        <v>14</v>
      </c>
    </row>
    <row r="7165" x14ac:dyDescent="0.25">
      <c r="A7165" t="n">
        <v>25</v>
      </c>
      <c r="B7165" t="s">
        <v>14</v>
      </c>
      <c r="C7165" t="s">
        <v>22</v>
      </c>
      <c r="D7165" s="2" t="s">
        <f>=HYPERLINK("https://main.knesset.gov.il/APPS/legislation/main/bills/2196142", "הצעת חוק הגנת הצרכן (תיקון - צמצום בזבוז מזון שתוקפו עומד לפוג ברשתות הקמעונאות הגדולות), התשפ""ג-2022")</f>
        <v>13940</v>
      </c>
      <c r="E7165" t="s">
        <v>13940</v>
      </c>
      <c r="F7165" t="s">
        <v>13941</v>
      </c>
      <c r="G7165" t="s">
        <v>14</v>
      </c>
      <c r="H7165">
             </c>
      <c r="I7165" t="s">
        <v>14</v>
      </c>
      <c r="J7165" t="s">
        <v>141</v>
      </c>
      <c r="K7165" t="s">
        <v>14</v>
      </c>
      <c r="L7165" t="s">
        <v>20</v>
      </c>
      <c r="M7165" t="s">
        <v>13929</v>
      </c>
      <c r="N7165" t="s">
        <v>14</v>
      </c>
    </row>
    <row r="7166" x14ac:dyDescent="0.25">
      <c r="A7166" t="n">
        <v>25</v>
      </c>
      <c r="B7166" t="s">
        <v>14</v>
      </c>
      <c r="C7166" t="s">
        <v>22</v>
      </c>
      <c r="D7166" s="2" t="s">
        <f>=HYPERLINK("https://main.knesset.gov.il/APPS/legislation/main/bills/2197045", "הצעת חוק ההכרה בענף הפוקר, התשפ""ג-2022")</f>
        <v>13942</v>
      </c>
      <c r="E7166" t="s">
        <v>13942</v>
      </c>
      <c r="F7166" t="s">
        <v>13943</v>
      </c>
      <c r="G7166" t="s">
        <v>14</v>
      </c>
      <c r="H7166">
             </c>
      <c r="I7166" t="s">
        <v>14</v>
      </c>
      <c r="J7166" t="s">
        <v>141</v>
      </c>
      <c r="K7166" t="s">
        <v>14</v>
      </c>
      <c r="L7166" t="s">
        <v>20</v>
      </c>
      <c r="M7166" t="s">
        <v>13929</v>
      </c>
      <c r="N7166" t="s">
        <v>14</v>
      </c>
    </row>
    <row r="7167" x14ac:dyDescent="0.25">
      <c r="A7167" t="n">
        <v>25</v>
      </c>
      <c r="B7167" t="s">
        <v>14</v>
      </c>
      <c r="C7167" t="s">
        <v>22</v>
      </c>
      <c r="D7167" s="2" t="s">
        <f>=HYPERLINK("https://main.knesset.gov.il/APPS/legislation/main/bills/2196595", "הצעת חוק מכר סיטונאי חקלאי, התשפ""ג-2022")</f>
        <v>13944</v>
      </c>
      <c r="E7167" t="s">
        <v>13944</v>
      </c>
      <c r="F7167" t="s">
        <v>13945</v>
      </c>
      <c r="G7167" t="s">
        <v>14</v>
      </c>
      <c r="H7167">
             </c>
      <c r="I7167" t="s">
        <v>14</v>
      </c>
      <c r="J7167" t="s">
        <v>141</v>
      </c>
      <c r="K7167" t="s">
        <v>14</v>
      </c>
      <c r="L7167" t="s">
        <v>20</v>
      </c>
      <c r="M7167" t="s">
        <v>13929</v>
      </c>
      <c r="N7167" t="s">
        <v>14</v>
      </c>
    </row>
    <row r="7168" x14ac:dyDescent="0.25">
      <c r="A7168" t="n">
        <v>25</v>
      </c>
      <c r="B7168" t="s">
        <v>14</v>
      </c>
      <c r="C7168" t="s">
        <v>22</v>
      </c>
      <c r="D7168" s="2" t="s">
        <f>=HYPERLINK("https://main.knesset.gov.il/APPS/legislation/main/bills/2196574", "הצעת חוק ההכרה בענף הפוקר, התשפ""ג-2022")</f>
        <v>13942</v>
      </c>
      <c r="E7168" t="s">
        <v>13942</v>
      </c>
      <c r="F7168" t="s">
        <v>13946</v>
      </c>
      <c r="G7168" t="s">
        <v>14</v>
      </c>
      <c r="H7168">
             </c>
      <c r="I7168" t="s">
        <v>14</v>
      </c>
      <c r="J7168" t="s">
        <v>141</v>
      </c>
      <c r="K7168" t="s">
        <v>14</v>
      </c>
      <c r="L7168" t="s">
        <v>20</v>
      </c>
      <c r="M7168" t="s">
        <v>13929</v>
      </c>
      <c r="N7168" t="s">
        <v>14</v>
      </c>
    </row>
    <row r="7169" x14ac:dyDescent="0.25">
      <c r="A7169" t="n">
        <v>25</v>
      </c>
      <c r="B7169" t="s">
        <v>14</v>
      </c>
      <c r="C7169" t="s">
        <v>22</v>
      </c>
      <c r="D7169" s="2" t="s">
        <f>=HYPERLINK("https://main.knesset.gov.il/APPS/legislation/main/bills/2196364", "הצעת חוק לתיקון פקודת התעבורה (הגבלת סכום אגרת רישיון רכב), התשפ""ג-2022")</f>
        <v>13947</v>
      </c>
      <c r="E7169" t="s">
        <v>13947</v>
      </c>
      <c r="F7169" t="s">
        <v>13948</v>
      </c>
      <c r="G7169" t="s">
        <v>14</v>
      </c>
      <c r="H7169">
             </c>
      <c r="I7169" t="s">
        <v>14</v>
      </c>
      <c r="J7169" t="s">
        <v>141</v>
      </c>
      <c r="K7169" t="s">
        <v>14</v>
      </c>
      <c r="L7169" t="s">
        <v>20</v>
      </c>
      <c r="M7169" t="s">
        <v>13929</v>
      </c>
      <c r="N7169" t="s">
        <v>14</v>
      </c>
    </row>
    <row r="7170" x14ac:dyDescent="0.25">
      <c r="A7170" t="n">
        <v>25</v>
      </c>
      <c r="B7170" t="s">
        <v>14</v>
      </c>
      <c r="C7170" t="s">
        <v>22</v>
      </c>
      <c r="D7170" s="2" t="s">
        <f>=HYPERLINK("https://main.knesset.gov.il/APPS/legislation/main/bills/2195972", "הצעת חוק הגנת הצרכן (תיקון - שובר זיכוי לנוסע ליעד באזהרת מסע חמורה), התשפ""ג-2022")</f>
        <v>13949</v>
      </c>
      <c r="E7170" t="s">
        <v>13949</v>
      </c>
      <c r="F7170" t="s">
        <v>13950</v>
      </c>
      <c r="G7170" t="s">
        <v>14</v>
      </c>
      <c r="H7170">
             </c>
      <c r="I7170" t="s">
        <v>14</v>
      </c>
      <c r="J7170" t="s">
        <v>141</v>
      </c>
      <c r="K7170" t="s">
        <v>14</v>
      </c>
      <c r="L7170" t="s">
        <v>20</v>
      </c>
      <c r="M7170" t="s">
        <v>13929</v>
      </c>
      <c r="N7170" t="s">
        <v>14</v>
      </c>
    </row>
    <row r="7171" x14ac:dyDescent="0.25">
      <c r="A7171" t="n">
        <v>25</v>
      </c>
      <c r="B7171" t="s">
        <v>14</v>
      </c>
      <c r="C7171" t="s">
        <v>22</v>
      </c>
      <c r="D7171" s="2" t="s">
        <f>=HYPERLINK("https://main.knesset.gov.il/APPS/legislation/main/bills/2196508", "הצעת חוק החלת החוק הישראלי בשטח בקעת הירדן (הליך קבלת אזרחות), התשפ""ג-2022")</f>
        <v>13951</v>
      </c>
      <c r="E7171" t="s">
        <v>13951</v>
      </c>
      <c r="F7171" t="s">
        <v>13952</v>
      </c>
      <c r="G7171" t="s">
        <v>14</v>
      </c>
      <c r="H7171">
             </c>
      <c r="I7171" t="s">
        <v>14</v>
      </c>
      <c r="J7171" t="s">
        <v>141</v>
      </c>
      <c r="K7171" t="s">
        <v>14</v>
      </c>
      <c r="L7171" t="s">
        <v>20</v>
      </c>
      <c r="M7171" t="s">
        <v>13929</v>
      </c>
      <c r="N7171" t="s">
        <v>14</v>
      </c>
    </row>
    <row r="7172" x14ac:dyDescent="0.25">
      <c r="A7172" t="n">
        <v>25</v>
      </c>
      <c r="B7172" t="s">
        <v>14</v>
      </c>
      <c r="C7172" t="s">
        <v>22</v>
      </c>
      <c r="D7172" s="2" t="s">
        <f>=HYPERLINK("https://main.knesset.gov.il/APPS/legislation/main/bills/2196327", "הצעת חוק החלת הריבונות הישראלית על בקעת הירדן, התשפ""ג-2022")</f>
        <v>13953</v>
      </c>
      <c r="E7172" t="s">
        <v>13953</v>
      </c>
      <c r="F7172" t="s">
        <v>13954</v>
      </c>
      <c r="G7172" t="s">
        <v>14</v>
      </c>
      <c r="H7172">
             </c>
      <c r="I7172" t="s">
        <v>14</v>
      </c>
      <c r="J7172" t="s">
        <v>141</v>
      </c>
      <c r="K7172" t="s">
        <v>14</v>
      </c>
      <c r="L7172" t="s">
        <v>20</v>
      </c>
      <c r="M7172" t="s">
        <v>13929</v>
      </c>
      <c r="N7172" t="s">
        <v>14</v>
      </c>
    </row>
    <row r="7173" x14ac:dyDescent="0.25">
      <c r="A7173" t="n">
        <v>25</v>
      </c>
      <c r="B7173" t="s">
        <v>14</v>
      </c>
      <c r="C7173" t="s">
        <v>22</v>
      </c>
      <c r="D7173" s="2" t="s">
        <f>=HYPERLINK("https://main.knesset.gov.il/APPS/legislation/main/bills/2195968", "הצעת חוק המים (תיקון - שקיפות פעילות הרשות הממשלתית), התשפ""ג-2022")</f>
        <v>13955</v>
      </c>
      <c r="E7173" t="s">
        <v>13955</v>
      </c>
      <c r="F7173" t="s">
        <v>13956</v>
      </c>
      <c r="G7173" t="s">
        <v>14</v>
      </c>
      <c r="H7173">
             </c>
      <c r="I7173" t="s">
        <v>14</v>
      </c>
      <c r="J7173" t="s">
        <v>141</v>
      </c>
      <c r="K7173" t="s">
        <v>14</v>
      </c>
      <c r="L7173" t="s">
        <v>20</v>
      </c>
      <c r="M7173" t="s">
        <v>13929</v>
      </c>
      <c r="N7173" t="s">
        <v>14</v>
      </c>
    </row>
    <row r="7174" x14ac:dyDescent="0.25">
      <c r="A7174" t="n">
        <v>25</v>
      </c>
      <c r="B7174" t="s">
        <v>14</v>
      </c>
      <c r="C7174" t="s">
        <v>22</v>
      </c>
      <c r="D7174" s="2" t="s">
        <f>=HYPERLINK("https://main.knesset.gov.il/APPS/legislation/main/bills/2197205", "הצעת חוק הדחת נציג ציבור התומך במאבק מזוין נגד מדינת ישראל (תיקוני חקיקה), התשפ""ג-2022")</f>
        <v>13957</v>
      </c>
      <c r="E7174" t="s">
        <v>13957</v>
      </c>
      <c r="F7174" t="s">
        <v>13958</v>
      </c>
      <c r="G7174" t="s">
        <v>14</v>
      </c>
      <c r="H7174">
             </c>
      <c r="I7174" t="s">
        <v>14</v>
      </c>
      <c r="J7174" t="s">
        <v>141</v>
      </c>
      <c r="K7174" t="s">
        <v>14</v>
      </c>
      <c r="L7174" t="s">
        <v>20</v>
      </c>
      <c r="M7174" t="s">
        <v>13929</v>
      </c>
      <c r="N7174" t="s">
        <v>14</v>
      </c>
    </row>
    <row r="7175" x14ac:dyDescent="0.25">
      <c r="A7175" t="n">
        <v>25</v>
      </c>
      <c r="B7175" t="s">
        <v>14</v>
      </c>
      <c r="C7175" t="s">
        <v>22</v>
      </c>
      <c r="D7175" s="2" t="s">
        <f>=HYPERLINK("https://main.knesset.gov.il/APPS/legislation/main/bills/2197643", "הצעת חוק הרשתות החברתיות, התשפ''ג-2022")</f>
        <v>13959</v>
      </c>
      <c r="E7175" t="s">
        <v>13959</v>
      </c>
      <c r="F7175" t="s">
        <v>13960</v>
      </c>
      <c r="G7175" t="s">
        <v>14</v>
      </c>
      <c r="H7175">
             </c>
      <c r="I7175" t="s">
        <v>14</v>
      </c>
      <c r="J7175" t="s">
        <v>141</v>
      </c>
      <c r="K7175" t="s">
        <v>14</v>
      </c>
      <c r="L7175" t="s">
        <v>20</v>
      </c>
      <c r="M7175" t="s">
        <v>13929</v>
      </c>
      <c r="N7175" t="s">
        <v>14</v>
      </c>
    </row>
    <row r="7176" x14ac:dyDescent="0.25">
      <c r="A7176" t="n">
        <v>25</v>
      </c>
      <c r="B7176" t="s">
        <v>14</v>
      </c>
      <c r="C7176" t="s">
        <v>22</v>
      </c>
      <c r="D7176" s="2" t="s">
        <f>=HYPERLINK("https://main.knesset.gov.il/APPS/legislation/main/bills/2196810", "הצעת חוק הדחת נציג ציבור התומך במאבק מזוין נגד מדינת ישראל (תיקוני חקיקה), התשפ""ג-2022")</f>
        <v>13957</v>
      </c>
      <c r="E7176" t="s">
        <v>13957</v>
      </c>
      <c r="F7176" t="s">
        <v>13961</v>
      </c>
      <c r="G7176" t="s">
        <v>14</v>
      </c>
      <c r="H7176">
             </c>
      <c r="I7176" t="s">
        <v>14</v>
      </c>
      <c r="J7176" t="s">
        <v>141</v>
      </c>
      <c r="K7176" t="s">
        <v>14</v>
      </c>
      <c r="L7176" t="s">
        <v>20</v>
      </c>
      <c r="M7176" t="s">
        <v>13929</v>
      </c>
      <c r="N7176" t="s">
        <v>14</v>
      </c>
    </row>
    <row r="7177" x14ac:dyDescent="0.25">
      <c r="A7177" t="n">
        <v>25</v>
      </c>
      <c r="B7177" t="s">
        <v>14</v>
      </c>
      <c r="C7177" t="s">
        <v>22</v>
      </c>
      <c r="D7177" s="2" t="s">
        <f>=HYPERLINK("https://main.knesset.gov.il/APPS/legislation/main/bills/2197551", "הצעת חוק הנגשת מוצרי מחזור בגופים ציבוריים, התשפ""ג-2022")</f>
        <v>13962</v>
      </c>
      <c r="E7177" t="s">
        <v>13962</v>
      </c>
      <c r="F7177" t="s">
        <v>13963</v>
      </c>
      <c r="G7177" t="s">
        <v>14</v>
      </c>
      <c r="H7177">
             </c>
      <c r="I7177" t="s">
        <v>14</v>
      </c>
      <c r="J7177" t="s">
        <v>141</v>
      </c>
      <c r="K7177" t="s">
        <v>14</v>
      </c>
      <c r="L7177" t="s">
        <v>20</v>
      </c>
      <c r="M7177" t="s">
        <v>13929</v>
      </c>
      <c r="N7177" t="s">
        <v>14</v>
      </c>
    </row>
    <row r="7178" x14ac:dyDescent="0.25">
      <c r="A7178" t="n">
        <v>25</v>
      </c>
      <c r="B7178" t="s">
        <v>14</v>
      </c>
      <c r="C7178" t="s">
        <v>22</v>
      </c>
      <c r="D7178" s="2" t="s">
        <f>=HYPERLINK("https://main.knesset.gov.il/APPS/legislation/main/bills/2197144", "הצעת חוק המאבק בטרור (תיקון - קנס חובה בעקבות הרשעה בגין עבירות טרור), התשפ""ג-2022")</f>
        <v>13964</v>
      </c>
      <c r="E7178" t="s">
        <v>13964</v>
      </c>
      <c r="F7178" t="s">
        <v>13965</v>
      </c>
      <c r="G7178" t="s">
        <v>14</v>
      </c>
      <c r="H7178">
             </c>
      <c r="I7178" t="s">
        <v>14</v>
      </c>
      <c r="J7178" t="s">
        <v>141</v>
      </c>
      <c r="K7178" t="s">
        <v>14</v>
      </c>
      <c r="L7178" t="s">
        <v>20</v>
      </c>
      <c r="M7178" t="s">
        <v>13929</v>
      </c>
      <c r="N7178" t="s">
        <v>14</v>
      </c>
    </row>
    <row r="7179" x14ac:dyDescent="0.25">
      <c r="A7179" t="n">
        <v>25</v>
      </c>
      <c r="B7179" t="s">
        <v>14</v>
      </c>
      <c r="C7179" t="s">
        <v>22</v>
      </c>
      <c r="D7179" s="2" t="s">
        <f>=HYPERLINK("https://main.knesset.gov.il/APPS/legislation/main/bills/2197548", "הצעת חוק לתיקון פקודת התעבורה (הקמת מאגר מידע לריכוז דוחות חניה), התשפ""ג-2022")</f>
        <v>13966</v>
      </c>
      <c r="E7179" t="s">
        <v>13966</v>
      </c>
      <c r="F7179" t="s">
        <v>13967</v>
      </c>
      <c r="G7179" t="s">
        <v>14</v>
      </c>
      <c r="H7179">
             </c>
      <c r="I7179" t="s">
        <v>14</v>
      </c>
      <c r="J7179" t="s">
        <v>141</v>
      </c>
      <c r="K7179" t="s">
        <v>14</v>
      </c>
      <c r="L7179" t="s">
        <v>20</v>
      </c>
      <c r="M7179" t="s">
        <v>13929</v>
      </c>
      <c r="N7179" t="s">
        <v>14</v>
      </c>
    </row>
    <row r="7180" x14ac:dyDescent="0.25">
      <c r="A7180" t="n">
        <v>25</v>
      </c>
      <c r="B7180" t="s">
        <v>14</v>
      </c>
      <c r="C7180" t="s">
        <v>22</v>
      </c>
      <c r="D7180" s="2" t="s">
        <f>=HYPERLINK("https://main.knesset.gov.il/APPS/legislation/main/bills/2197493", "הצעת חוק זכויות הדייר בדיור הציבורי (תיקון - זכאות לאם יחידנית המקבלת תשלומי מזונות מהמוסד לביטוח לאומי), ‏התשפ""ג-2022")</f>
        <v>13968</v>
      </c>
      <c r="E7180" t="s">
        <v>13968</v>
      </c>
      <c r="F7180" t="s">
        <v>13969</v>
      </c>
      <c r="G7180" t="s">
        <v>14</v>
      </c>
      <c r="H7180">
             </c>
      <c r="I7180" t="s">
        <v>14</v>
      </c>
      <c r="J7180" t="s">
        <v>141</v>
      </c>
      <c r="K7180" t="s">
        <v>14</v>
      </c>
      <c r="L7180" t="s">
        <v>20</v>
      </c>
      <c r="M7180" t="s">
        <v>13929</v>
      </c>
      <c r="N7180" t="s">
        <v>14</v>
      </c>
    </row>
    <row r="7181" x14ac:dyDescent="0.25">
      <c r="A7181" t="n">
        <v>25</v>
      </c>
      <c r="B7181" t="s">
        <v>14</v>
      </c>
      <c r="C7181" t="s">
        <v>22</v>
      </c>
      <c r="D7181" s="2" t="s">
        <f>=HYPERLINK("https://main.knesset.gov.il/APPS/legislation/main/bills/2196299", "הצעת חוק המאבק בטרור (תיקון - קנס חובה בעקבות הרשעה בגין עבירות טרור), התשפ""ג-2022")</f>
        <v>13964</v>
      </c>
      <c r="E7181" t="s">
        <v>13964</v>
      </c>
      <c r="F7181" t="s">
        <v>13970</v>
      </c>
      <c r="G7181" t="s">
        <v>14</v>
      </c>
      <c r="H7181">
             </c>
      <c r="I7181" t="s">
        <v>14</v>
      </c>
      <c r="J7181" t="s">
        <v>141</v>
      </c>
      <c r="K7181" t="s">
        <v>14</v>
      </c>
      <c r="L7181" t="s">
        <v>20</v>
      </c>
      <c r="M7181" t="s">
        <v>13929</v>
      </c>
      <c r="N7181" t="s">
        <v>14</v>
      </c>
    </row>
    <row r="7182" x14ac:dyDescent="0.25">
      <c r="A7182" t="n">
        <v>25</v>
      </c>
      <c r="B7182" t="s">
        <v>14</v>
      </c>
      <c r="C7182" t="s">
        <v>22</v>
      </c>
      <c r="D7182" s="2" t="s">
        <f>=HYPERLINK("https://main.knesset.gov.il/APPS/legislation/main/bills/2197653", "הצעת חוק האקלים, התשפ""ג-2022")</f>
        <v>13971</v>
      </c>
      <c r="E7182" t="s">
        <v>13971</v>
      </c>
      <c r="F7182" t="s">
        <v>13972</v>
      </c>
      <c r="G7182" t="s">
        <v>14</v>
      </c>
      <c r="H7182">
             </c>
      <c r="I7182" t="s">
        <v>14</v>
      </c>
      <c r="J7182" t="s">
        <v>141</v>
      </c>
      <c r="K7182" t="s">
        <v>14</v>
      </c>
      <c r="L7182" t="s">
        <v>20</v>
      </c>
      <c r="M7182" t="s">
        <v>13929</v>
      </c>
      <c r="N7182" t="s">
        <v>14</v>
      </c>
    </row>
    <row r="7183" x14ac:dyDescent="0.25">
      <c r="A7183" t="n">
        <v>25</v>
      </c>
      <c r="B7183" t="s">
        <v>14</v>
      </c>
      <c r="C7183" t="s">
        <v>22</v>
      </c>
      <c r="D7183" s="2" t="s">
        <f>=HYPERLINK("https://main.knesset.gov.il/APPS/legislation/main/bills/2197141", "הצעת חוק להגנה על חיילי צה""ל וגורמים ישראלים אחרים מתלונות שווא של הרשות הפלסטינית, התשפ""ג-2022")</f>
        <v>13973</v>
      </c>
      <c r="E7183" t="s">
        <v>13973</v>
      </c>
      <c r="F7183" t="s">
        <v>13974</v>
      </c>
      <c r="G7183" t="s">
        <v>14</v>
      </c>
      <c r="H7183">
             </c>
      <c r="I7183" t="s">
        <v>14</v>
      </c>
      <c r="J7183" t="s">
        <v>141</v>
      </c>
      <c r="K7183" t="s">
        <v>14</v>
      </c>
      <c r="L7183" t="s">
        <v>20</v>
      </c>
      <c r="M7183" t="s">
        <v>13929</v>
      </c>
      <c r="N7183" t="s">
        <v>14</v>
      </c>
    </row>
    <row r="7184" x14ac:dyDescent="0.25">
      <c r="A7184" t="n">
        <v>25</v>
      </c>
      <c r="B7184" t="s">
        <v>14</v>
      </c>
      <c r="C7184" t="s">
        <v>22</v>
      </c>
      <c r="D7184" s="2" t="s">
        <f>=HYPERLINK("https://main.knesset.gov.il/APPS/legislation/main/bills/2197435", "הצעת חוק איסור הפליה במוצרים, בשירותים ובכניסה למקומות בידור ולמקומות ציבוריים (תיקון - פגיעה באמונה דתית), התשפ""ג-2022 ")</f>
        <v>13975</v>
      </c>
      <c r="E7184" t="s">
        <v>13975</v>
      </c>
      <c r="F7184" t="s">
        <v>13976</v>
      </c>
      <c r="G7184" t="s">
        <v>14</v>
      </c>
      <c r="H7184">
             </c>
      <c r="I7184" t="s">
        <v>14</v>
      </c>
      <c r="J7184" t="s">
        <v>141</v>
      </c>
      <c r="K7184" t="s">
        <v>14</v>
      </c>
      <c r="L7184" t="s">
        <v>20</v>
      </c>
      <c r="M7184" t="s">
        <v>13929</v>
      </c>
      <c r="N7184" t="s">
        <v>14</v>
      </c>
    </row>
    <row r="7185" x14ac:dyDescent="0.25">
      <c r="A7185" t="n">
        <v>25</v>
      </c>
      <c r="B7185" t="s">
        <v>14</v>
      </c>
      <c r="C7185" t="s">
        <v>22</v>
      </c>
      <c r="D7185" s="2" t="s">
        <f>=HYPERLINK("https://main.knesset.gov.il/APPS/legislation/main/bills/2196228", "הצעת חוק להגנה על חיילי צה""ל וגורמים ישראלים אחרים מתלונות שווא של הרשות הפלסטינית, התשפ""ג-2022")</f>
        <v>13973</v>
      </c>
      <c r="E7185" t="s">
        <v>13973</v>
      </c>
      <c r="F7185" t="s">
        <v>13977</v>
      </c>
      <c r="G7185" t="s">
        <v>14</v>
      </c>
      <c r="H7185">
             </c>
      <c r="I7185" t="s">
        <v>14</v>
      </c>
      <c r="J7185" t="s">
        <v>141</v>
      </c>
      <c r="K7185" t="s">
        <v>14</v>
      </c>
      <c r="L7185" t="s">
        <v>20</v>
      </c>
      <c r="M7185" t="s">
        <v>13929</v>
      </c>
      <c r="N7185" t="s">
        <v>14</v>
      </c>
    </row>
    <row r="7186" x14ac:dyDescent="0.25">
      <c r="A7186" t="n">
        <v>25</v>
      </c>
      <c r="B7186" t="s">
        <v>14</v>
      </c>
      <c r="C7186" t="s">
        <v>22</v>
      </c>
      <c r="D7186" s="2" t="s">
        <f>=HYPERLINK("https://main.knesset.gov.il/APPS/legislation/main/bills/2197263", "הצעת חוק הגנת הצרכן (תיקון - איסור גביית עמלה בהרשאה לחיוב חשבון בהוראת קבע), התשפ""ג-2022")</f>
        <v>13978</v>
      </c>
      <c r="E7186" t="s">
        <v>13978</v>
      </c>
      <c r="F7186" t="s">
        <v>13979</v>
      </c>
      <c r="G7186" t="s">
        <v>14</v>
      </c>
      <c r="H7186">
             </c>
      <c r="I7186" t="s">
        <v>14</v>
      </c>
      <c r="J7186" t="s">
        <v>141</v>
      </c>
      <c r="K7186" t="s">
        <v>14</v>
      </c>
      <c r="L7186" t="s">
        <v>20</v>
      </c>
      <c r="M7186" t="s">
        <v>13929</v>
      </c>
      <c r="N7186" t="s">
        <v>14</v>
      </c>
    </row>
    <row r="7187" x14ac:dyDescent="0.25">
      <c r="A7187" t="n">
        <v>25</v>
      </c>
      <c r="B7187" t="s">
        <v>14</v>
      </c>
      <c r="C7187" t="s">
        <v>22</v>
      </c>
      <c r="D7187" s="2" t="s">
        <f>=HYPERLINK("https://main.knesset.gov.il/APPS/legislation/main/bills/2197083", "הצעת חוק חג הפסח בבסיסי צה""ל, התשפ""ג-2022 ")</f>
        <v>13980</v>
      </c>
      <c r="E7187" t="s">
        <v>13980</v>
      </c>
      <c r="F7187" t="s">
        <v>13981</v>
      </c>
      <c r="G7187" t="s">
        <v>14</v>
      </c>
      <c r="H7187">
             </c>
      <c r="I7187" t="s">
        <v>14</v>
      </c>
      <c r="J7187" t="s">
        <v>141</v>
      </c>
      <c r="K7187" t="s">
        <v>14</v>
      </c>
      <c r="L7187" t="s">
        <v>20</v>
      </c>
      <c r="M7187" t="s">
        <v>13929</v>
      </c>
      <c r="N7187" t="s">
        <v>14</v>
      </c>
    </row>
    <row r="7188" x14ac:dyDescent="0.25">
      <c r="A7188" t="n">
        <v>25</v>
      </c>
      <c r="B7188" t="s">
        <v>14</v>
      </c>
      <c r="C7188" t="s">
        <v>22</v>
      </c>
      <c r="D7188" s="2" t="s">
        <f>=HYPERLINK("https://main.knesset.gov.il/APPS/legislation/main/bills/2197251", "הצעת חוק איסור הפליה במוצרים, בשירותים ובכניסה למקומות בידור ולמקומות ציבוריים (תיקון - איסור הפליה בשל הובלת עגלת ילדים), התשפ""ג-2022")</f>
        <v>13982</v>
      </c>
      <c r="E7188" t="s">
        <v>13982</v>
      </c>
      <c r="F7188" t="s">
        <v>13983</v>
      </c>
      <c r="G7188" t="s">
        <v>14</v>
      </c>
      <c r="H7188">
             </c>
      <c r="I7188" t="s">
        <v>14</v>
      </c>
      <c r="J7188" t="s">
        <v>141</v>
      </c>
      <c r="K7188" t="s">
        <v>14</v>
      </c>
      <c r="L7188" t="s">
        <v>20</v>
      </c>
      <c r="M7188" t="s">
        <v>13929</v>
      </c>
      <c r="N7188" t="s">
        <v>14</v>
      </c>
    </row>
    <row r="7189" x14ac:dyDescent="0.25">
      <c r="A7189" t="n">
        <v>25</v>
      </c>
      <c r="B7189" t="s">
        <v>14</v>
      </c>
      <c r="C7189" t="s">
        <v>22</v>
      </c>
      <c r="D7189" s="2" t="s">
        <f>=HYPERLINK("https://main.knesset.gov.il/APPS/legislation/main/bills/2196855", "הצעת חוק חג הפסח בבסיסי צה""ל, התשפ""ג-2022 ")</f>
        <v>13980</v>
      </c>
      <c r="E7189" t="s">
        <v>13980</v>
      </c>
      <c r="F7189" t="s">
        <v>13984</v>
      </c>
      <c r="G7189" t="s">
        <v>14</v>
      </c>
      <c r="H7189">
             </c>
      <c r="I7189" t="s">
        <v>14</v>
      </c>
      <c r="J7189" t="s">
        <v>141</v>
      </c>
      <c r="K7189" t="s">
        <v>14</v>
      </c>
      <c r="L7189" t="s">
        <v>20</v>
      </c>
      <c r="M7189" t="s">
        <v>13929</v>
      </c>
      <c r="N7189" t="s">
        <v>14</v>
      </c>
    </row>
    <row r="7190" x14ac:dyDescent="0.25">
      <c r="A7190" t="n">
        <v>25</v>
      </c>
      <c r="B7190" t="s">
        <v>14</v>
      </c>
      <c r="C7190" t="s">
        <v>22</v>
      </c>
      <c r="D7190" s="2" t="s">
        <f>=HYPERLINK("https://main.knesset.gov.il/APPS/legislation/main/bills/2197230", "הצעת חוק להפחתת סכום הפיצוי הכספי בשל נסיעה ללא תיקוף כרטיס בתחבורה ציבורית (תיקוני חקיקה), התשפ""ג-2022")</f>
        <v>13985</v>
      </c>
      <c r="E7190" t="s">
        <v>13985</v>
      </c>
      <c r="F7190" t="s">
        <v>13986</v>
      </c>
      <c r="G7190" t="s">
        <v>14</v>
      </c>
      <c r="H7190">
             </c>
      <c r="I7190" t="s">
        <v>14</v>
      </c>
      <c r="J7190" t="s">
        <v>141</v>
      </c>
      <c r="K7190" t="s">
        <v>14</v>
      </c>
      <c r="L7190" t="s">
        <v>20</v>
      </c>
      <c r="M7190" t="s">
        <v>13929</v>
      </c>
      <c r="N7190" t="s">
        <v>14</v>
      </c>
    </row>
    <row r="7191" x14ac:dyDescent="0.25">
      <c r="A7191" t="n">
        <v>25</v>
      </c>
      <c r="B7191" t="s">
        <v>14</v>
      </c>
      <c r="C7191" t="s">
        <v>22</v>
      </c>
      <c r="D7191" s="2" t="s">
        <f>=HYPERLINK("https://main.knesset.gov.il/APPS/legislation/main/bills/2196867", "הצעת חוק רכזי ביטחון שוטף צבאיים, התשפ""ג-2022")</f>
        <v>5892</v>
      </c>
      <c r="E7191" t="s">
        <v>5892</v>
      </c>
      <c r="F7191" t="s">
        <v>13987</v>
      </c>
      <c r="G7191" t="s">
        <v>14</v>
      </c>
      <c r="H7191">
             </c>
      <c r="I7191" t="s">
        <v>14</v>
      </c>
      <c r="J7191" t="s">
        <v>141</v>
      </c>
      <c r="K7191" t="s">
        <v>14</v>
      </c>
      <c r="L7191" t="s">
        <v>20</v>
      </c>
      <c r="M7191" t="s">
        <v>13929</v>
      </c>
      <c r="N7191" t="s">
        <v>14</v>
      </c>
    </row>
    <row r="7192" x14ac:dyDescent="0.25">
      <c r="A7192" t="n">
        <v>25</v>
      </c>
      <c r="B7192" t="s">
        <v>14</v>
      </c>
      <c r="C7192" t="s">
        <v>22</v>
      </c>
      <c r="D7192" s="2" t="s">
        <f>=HYPERLINK("https://main.knesset.gov.il/APPS/legislation/main/bills/2197035", "הצעת חוק פיקוח על רווחי שיווק בתוצרת חקלאית, התשפ""ג-2022")</f>
        <v>13988</v>
      </c>
      <c r="E7192" t="s">
        <v>13988</v>
      </c>
      <c r="F7192" t="s">
        <v>13989</v>
      </c>
      <c r="G7192" t="s">
        <v>14</v>
      </c>
      <c r="H7192">
             </c>
      <c r="I7192" t="s">
        <v>14</v>
      </c>
      <c r="J7192" t="s">
        <v>141</v>
      </c>
      <c r="K7192" t="s">
        <v>14</v>
      </c>
      <c r="L7192" t="s">
        <v>20</v>
      </c>
      <c r="M7192" t="s">
        <v>13929</v>
      </c>
      <c r="N7192" t="s">
        <v>14</v>
      </c>
    </row>
    <row r="7193" x14ac:dyDescent="0.25">
      <c r="A7193" t="n">
        <v>25</v>
      </c>
      <c r="B7193" t="s">
        <v>14</v>
      </c>
      <c r="C7193" t="s">
        <v>22</v>
      </c>
      <c r="D7193" s="2" t="s">
        <f>=HYPERLINK("https://main.knesset.gov.il/APPS/legislation/main/bills/2196858", "הצעת חוק החלת הריבונות של מדינת ישראל בחבלי יהודה והשומרון, התשפ""ג-2022")</f>
        <v>13990</v>
      </c>
      <c r="E7193" t="s">
        <v>13990</v>
      </c>
      <c r="F7193" t="s">
        <v>13991</v>
      </c>
      <c r="G7193" t="s">
        <v>14</v>
      </c>
      <c r="H7193">
             </c>
      <c r="I7193" t="s">
        <v>14</v>
      </c>
      <c r="J7193" t="s">
        <v>141</v>
      </c>
      <c r="K7193" t="s">
        <v>14</v>
      </c>
      <c r="L7193" t="s">
        <v>20</v>
      </c>
      <c r="M7193" t="s">
        <v>13929</v>
      </c>
      <c r="N7193" t="s">
        <v>14</v>
      </c>
    </row>
    <row r="7194" x14ac:dyDescent="0.25">
      <c r="A7194" t="n">
        <v>25</v>
      </c>
      <c r="B7194" t="s">
        <v>14</v>
      </c>
      <c r="C7194" t="s">
        <v>22</v>
      </c>
      <c r="D7194" s="2" t="s">
        <f>=HYPERLINK("https://main.knesset.gov.il/APPS/legislation/main/bills/2196153", "הצעת חוק החלת הריבונות של מדינת ישראל בחבלי יהודה והשומרון, התשפ""ג-2022")</f>
        <v>13990</v>
      </c>
      <c r="E7194" t="s">
        <v>13990</v>
      </c>
      <c r="F7194" t="s">
        <v>13992</v>
      </c>
      <c r="G7194" t="s">
        <v>14</v>
      </c>
      <c r="H7194">
             </c>
      <c r="I7194" t="s">
        <v>14</v>
      </c>
      <c r="J7194" t="s">
        <v>141</v>
      </c>
      <c r="K7194" t="s">
        <v>14</v>
      </c>
      <c r="L7194" t="s">
        <v>20</v>
      </c>
      <c r="M7194" t="s">
        <v>13929</v>
      </c>
      <c r="N7194" t="s">
        <v>14</v>
      </c>
    </row>
    <row r="7195" x14ac:dyDescent="0.25">
      <c r="A7195" t="n">
        <v>25</v>
      </c>
      <c r="B7195" t="s">
        <v>14</v>
      </c>
      <c r="C7195" t="s">
        <v>22</v>
      </c>
      <c r="D7195" s="2" t="s">
        <f>=HYPERLINK("https://main.knesset.gov.il/APPS/legislation/main/bills/2197016", "הצעת חוק הקצאת דירות לדיור בר השגה ולדיור ציבורי, התשפ""ג-2022")</f>
        <v>13993</v>
      </c>
      <c r="E7195" t="s">
        <v>13993</v>
      </c>
      <c r="F7195" t="s">
        <v>13994</v>
      </c>
      <c r="G7195" t="s">
        <v>14</v>
      </c>
      <c r="H7195">
             </c>
      <c r="I7195" t="s">
        <v>14</v>
      </c>
      <c r="J7195" t="s">
        <v>141</v>
      </c>
      <c r="K7195" t="s">
        <v>14</v>
      </c>
      <c r="L7195" t="s">
        <v>20</v>
      </c>
      <c r="M7195" t="s">
        <v>13929</v>
      </c>
      <c r="N7195" t="s">
        <v>14</v>
      </c>
    </row>
    <row r="7196" x14ac:dyDescent="0.25">
      <c r="A7196" t="n">
        <v>25</v>
      </c>
      <c r="B7196" t="s">
        <v>14</v>
      </c>
      <c r="C7196" t="s">
        <v>22</v>
      </c>
      <c r="D7196" s="2" t="s">
        <f>=HYPERLINK("https://main.knesset.gov.il/APPS/legislation/main/bills/2196353", "הצעת חוק להקפאת קצבאות שמשולמות לפעיל טרור ומשפחתו מקופת המדינה, התשפ""ג-2022")</f>
        <v>8987</v>
      </c>
      <c r="E7196" t="s">
        <v>8987</v>
      </c>
      <c r="F7196" t="s">
        <v>13995</v>
      </c>
      <c r="G7196" t="s">
        <v>14</v>
      </c>
      <c r="H7196">
             </c>
      <c r="I7196" t="s">
        <v>14</v>
      </c>
      <c r="J7196" t="s">
        <v>141</v>
      </c>
      <c r="K7196" t="s">
        <v>14</v>
      </c>
      <c r="L7196" t="s">
        <v>20</v>
      </c>
      <c r="M7196" t="s">
        <v>13929</v>
      </c>
      <c r="N7196" t="s">
        <v>14</v>
      </c>
    </row>
    <row r="7197" x14ac:dyDescent="0.25">
      <c r="A7197" t="n">
        <v>25</v>
      </c>
      <c r="B7197" t="s">
        <v>14</v>
      </c>
      <c r="C7197" t="s">
        <v>22</v>
      </c>
      <c r="D7197" s="2" t="s">
        <f>=HYPERLINK("https://main.knesset.gov.il/APPS/legislation/main/bills/2196581", "הצעת חוק לתיקון פקודת התעבורה (החרגת בעלי רישיון שימוש בקנבוס רפואי), התשפ""ג-2022")</f>
        <v>13996</v>
      </c>
      <c r="E7197" t="s">
        <v>13996</v>
      </c>
      <c r="F7197" t="s">
        <v>13997</v>
      </c>
      <c r="G7197" t="s">
        <v>14</v>
      </c>
      <c r="H7197">
             </c>
      <c r="I7197" t="s">
        <v>14</v>
      </c>
      <c r="J7197" t="s">
        <v>141</v>
      </c>
      <c r="K7197" t="s">
        <v>14</v>
      </c>
      <c r="L7197" t="s">
        <v>20</v>
      </c>
      <c r="M7197" t="s">
        <v>13929</v>
      </c>
      <c r="N7197" t="s">
        <v>14</v>
      </c>
    </row>
    <row r="7198" x14ac:dyDescent="0.25">
      <c r="A7198" t="n">
        <v>25</v>
      </c>
      <c r="B7198" t="s">
        <v>14</v>
      </c>
      <c r="C7198" t="s">
        <v>22</v>
      </c>
      <c r="D7198" s="2" t="s">
        <f>=HYPERLINK("https://main.knesset.gov.il/APPS/legislation/main/bills/2197589", "הצעת חוק האקלים, התשפ""ג-2022")</f>
        <v>13971</v>
      </c>
      <c r="E7198" t="s">
        <v>13971</v>
      </c>
      <c r="F7198" t="s">
        <v>13998</v>
      </c>
      <c r="G7198" t="s">
        <v>14</v>
      </c>
      <c r="H7198">
             </c>
      <c r="I7198" t="s">
        <v>14</v>
      </c>
      <c r="J7198" t="s">
        <v>141</v>
      </c>
      <c r="K7198" t="s">
        <v>14</v>
      </c>
      <c r="L7198" t="s">
        <v>20</v>
      </c>
      <c r="M7198" t="s">
        <v>13929</v>
      </c>
      <c r="N7198" t="s">
        <v>14</v>
      </c>
    </row>
    <row r="7199" x14ac:dyDescent="0.25">
      <c r="A7199" t="n">
        <v>25</v>
      </c>
      <c r="B7199" t="s">
        <v>14</v>
      </c>
      <c r="C7199" t="s">
        <v>22</v>
      </c>
      <c r="D7199" s="2" t="s">
        <f>=HYPERLINK("https://main.knesset.gov.il/APPS/legislation/main/bills/2196928", "הצעת חוק לתיקון פקודת התעבורה (איסור שימוש במצלמות ניידות לאכיפת עבירות חניה), התשפ""ג-2022")</f>
        <v>13999</v>
      </c>
      <c r="E7199" t="s">
        <v>13999</v>
      </c>
      <c r="F7199" t="s">
        <v>14000</v>
      </c>
      <c r="G7199" t="s">
        <v>14</v>
      </c>
      <c r="H7199">
             </c>
      <c r="I7199" t="s">
        <v>14</v>
      </c>
      <c r="J7199" t="s">
        <v>141</v>
      </c>
      <c r="K7199" t="s">
        <v>14</v>
      </c>
      <c r="L7199" t="s">
        <v>20</v>
      </c>
      <c r="M7199" t="s">
        <v>13929</v>
      </c>
      <c r="N7199" t="s">
        <v>14</v>
      </c>
    </row>
    <row r="7200" x14ac:dyDescent="0.25">
      <c r="A7200" t="n">
        <v>25</v>
      </c>
      <c r="B7200" t="s">
        <v>14</v>
      </c>
      <c r="C7200" t="s">
        <v>22</v>
      </c>
      <c r="D7200" s="2" t="s">
        <f>=HYPERLINK("https://main.knesset.gov.il/APPS/legislation/main/bills/2196885", "הצעת חוק המועצה לענף הלול (ייצור ושיווק) (תיקון - ביטול החוק), התשפ""ג-2022")</f>
        <v>14001</v>
      </c>
      <c r="E7200" t="s">
        <v>14001</v>
      </c>
      <c r="F7200" t="s">
        <v>14002</v>
      </c>
      <c r="G7200" t="s">
        <v>14</v>
      </c>
      <c r="H7200">
             </c>
      <c r="I7200" t="s">
        <v>14</v>
      </c>
      <c r="J7200" t="s">
        <v>141</v>
      </c>
      <c r="K7200" t="s">
        <v>14</v>
      </c>
      <c r="L7200" t="s">
        <v>20</v>
      </c>
      <c r="M7200" t="s">
        <v>13929</v>
      </c>
      <c r="N7200" t="s">
        <v>14</v>
      </c>
    </row>
    <row r="7201" x14ac:dyDescent="0.25">
      <c r="A7201" t="n">
        <v>25</v>
      </c>
      <c r="B7201" t="s">
        <v>14</v>
      </c>
      <c r="C7201" t="s">
        <v>22</v>
      </c>
      <c r="D7201" s="2" t="s">
        <f>=HYPERLINK("https://main.knesset.gov.il/APPS/legislation/main/bills/2197185", "הצעת חוק לתיקון פקודת בתי הסוהר (עתירות אסיר - ערעור בזכות), התשפ""ג-2022")</f>
        <v>14003</v>
      </c>
      <c r="E7201" t="s">
        <v>14003</v>
      </c>
      <c r="F7201" t="s">
        <v>14004</v>
      </c>
      <c r="G7201" t="s">
        <v>14</v>
      </c>
      <c r="H7201">
             </c>
      <c r="I7201" t="s">
        <v>14</v>
      </c>
      <c r="J7201" t="s">
        <v>141</v>
      </c>
      <c r="K7201" t="s">
        <v>14</v>
      </c>
      <c r="L7201" t="s">
        <v>20</v>
      </c>
      <c r="M7201" t="s">
        <v>13929</v>
      </c>
      <c r="N7201" t="s">
        <v>14</v>
      </c>
    </row>
    <row r="7202" x14ac:dyDescent="0.25">
      <c r="A7202" t="n">
        <v>25</v>
      </c>
      <c r="B7202" t="s">
        <v>14</v>
      </c>
      <c r="C7202" t="s">
        <v>22</v>
      </c>
      <c r="D7202" s="2" t="s">
        <f>=HYPERLINK("https://main.knesset.gov.il/APPS/legislation/main/bills/2195650", "הצעת חוק ביטול הרפורמה בכשרות (תיקוני חקיקה), התשפ""ג-2022")</f>
        <v>14005</v>
      </c>
      <c r="E7202" t="s">
        <v>14005</v>
      </c>
      <c r="F7202" t="s">
        <v>14006</v>
      </c>
      <c r="G7202" t="s">
        <v>14</v>
      </c>
      <c r="H7202">
             </c>
      <c r="I7202" t="s">
        <v>14</v>
      </c>
      <c r="J7202" t="s">
        <v>141</v>
      </c>
      <c r="K7202" t="s">
        <v>14</v>
      </c>
      <c r="L7202" t="s">
        <v>20</v>
      </c>
      <c r="M7202" t="s">
        <v>13929</v>
      </c>
      <c r="N7202" t="s">
        <v>14</v>
      </c>
    </row>
    <row r="7203" x14ac:dyDescent="0.25">
      <c r="A7203" t="n">
        <v>25</v>
      </c>
      <c r="B7203" t="s">
        <v>14</v>
      </c>
      <c r="C7203" t="s">
        <v>22</v>
      </c>
      <c r="D7203" s="2" t="s">
        <f>=HYPERLINK("https://main.knesset.gov.il/APPS/legislation/main/bills/2196279", "הצעת חוק קרן קיימת לישראל (תיקון - ביטול החוק), התשפ""ג-2022 ")</f>
        <v>14007</v>
      </c>
      <c r="E7203" t="s">
        <v>14007</v>
      </c>
      <c r="F7203" t="s">
        <v>14008</v>
      </c>
      <c r="G7203" t="s">
        <v>14</v>
      </c>
      <c r="H7203">
             </c>
      <c r="I7203" t="s">
        <v>14</v>
      </c>
      <c r="J7203" t="s">
        <v>141</v>
      </c>
      <c r="K7203" t="s">
        <v>14</v>
      </c>
      <c r="L7203" t="s">
        <v>20</v>
      </c>
      <c r="M7203" t="s">
        <v>13929</v>
      </c>
      <c r="N7203" t="s">
        <v>14</v>
      </c>
    </row>
    <row r="7204" x14ac:dyDescent="0.25">
      <c r="A7204" t="n">
        <v>25</v>
      </c>
      <c r="B7204" t="s">
        <v>14</v>
      </c>
      <c r="C7204" t="s">
        <v>22</v>
      </c>
      <c r="D7204" s="2" t="s">
        <f>=HYPERLINK("https://main.knesset.gov.il/APPS/legislation/main/bills/2195971", "הצעת חוק לתיקון פקודת בתי הסוהר (עתירות אסיר - ערעור בזכות), התשפ""ג-2022")</f>
        <v>14003</v>
      </c>
      <c r="E7204" t="s">
        <v>14003</v>
      </c>
      <c r="F7204" t="s">
        <v>14009</v>
      </c>
      <c r="G7204" t="s">
        <v>14</v>
      </c>
      <c r="H7204">
             </c>
      <c r="I7204" t="s">
        <v>14</v>
      </c>
      <c r="J7204" t="s">
        <v>141</v>
      </c>
      <c r="K7204" t="s">
        <v>14</v>
      </c>
      <c r="L7204" t="s">
        <v>20</v>
      </c>
      <c r="M7204" t="s">
        <v>13929</v>
      </c>
      <c r="N7204" t="s">
        <v>14</v>
      </c>
    </row>
    <row r="7205" x14ac:dyDescent="0.25">
      <c r="A7205" t="n">
        <v>25</v>
      </c>
      <c r="B7205" t="s">
        <v>14</v>
      </c>
      <c r="C7205" t="s">
        <v>22</v>
      </c>
      <c r="D7205" s="2" t="s">
        <f>=HYPERLINK("https://main.knesset.gov.il/APPS/legislation/main/bills/2196209", "הצעת חוק מועצת הצמחים (ייצור ושיווק) (תיקון - ביטול מועצת הצמחים), התשפ""ג-2022")</f>
        <v>14010</v>
      </c>
      <c r="E7205" t="s">
        <v>14010</v>
      </c>
      <c r="F7205" t="s">
        <v>14011</v>
      </c>
      <c r="G7205" t="s">
        <v>14</v>
      </c>
      <c r="H7205">
             </c>
      <c r="I7205" t="s">
        <v>14</v>
      </c>
      <c r="J7205" t="s">
        <v>141</v>
      </c>
      <c r="K7205" t="s">
        <v>14</v>
      </c>
      <c r="L7205" t="s">
        <v>20</v>
      </c>
      <c r="M7205" t="s">
        <v>13929</v>
      </c>
      <c r="N7205" t="s">
        <v>14</v>
      </c>
    </row>
    <row r="7206" x14ac:dyDescent="0.25">
      <c r="A7206" t="n">
        <v>25</v>
      </c>
      <c r="B7206" t="s">
        <v>14</v>
      </c>
      <c r="C7206" t="s">
        <v>22</v>
      </c>
      <c r="D7206" s="2" t="s">
        <f>=HYPERLINK("https://main.knesset.gov.il/APPS/legislation/main/bills/2196736", "הצעת חוק בדבר סמכויות להשבת פליטים שהשבתם לא מהווה סכנה, התשפ""ג-2022")</f>
        <v>14012</v>
      </c>
      <c r="E7206" t="s">
        <v>14012</v>
      </c>
      <c r="F7206" t="s">
        <v>14013</v>
      </c>
      <c r="G7206" t="s">
        <v>14</v>
      </c>
      <c r="H7206">
             </c>
      <c r="I7206" t="s">
        <v>14</v>
      </c>
      <c r="J7206" t="s">
        <v>141</v>
      </c>
      <c r="K7206" t="s">
        <v>14</v>
      </c>
      <c r="L7206" t="s">
        <v>20</v>
      </c>
      <c r="M7206" t="s">
        <v>13929</v>
      </c>
      <c r="N7206" t="s">
        <v>14</v>
      </c>
    </row>
    <row r="7207" x14ac:dyDescent="0.25">
      <c r="A7207" t="n">
        <v>25</v>
      </c>
      <c r="B7207" t="s">
        <v>14</v>
      </c>
      <c r="C7207" t="s">
        <v>22</v>
      </c>
      <c r="D7207" s="2" t="s">
        <f>=HYPERLINK("https://main.knesset.gov.il/APPS/legislation/main/bills/2196953", "הצעת חוק חסינות כוחות הביטחון, התשפ""ג-2022")</f>
        <v>14014</v>
      </c>
      <c r="E7207" t="s">
        <v>14014</v>
      </c>
      <c r="F7207" t="s">
        <v>14015</v>
      </c>
      <c r="G7207" t="s">
        <v>14</v>
      </c>
      <c r="H7207">
             </c>
      <c r="I7207" t="s">
        <v>14</v>
      </c>
      <c r="J7207" t="s">
        <v>141</v>
      </c>
      <c r="K7207" t="s">
        <v>14</v>
      </c>
      <c r="L7207" t="s">
        <v>20</v>
      </c>
      <c r="M7207" t="s">
        <v>13929</v>
      </c>
      <c r="N7207" t="s">
        <v>14</v>
      </c>
    </row>
    <row r="7208" x14ac:dyDescent="0.25">
      <c r="A7208" t="n">
        <v>25</v>
      </c>
      <c r="B7208" t="s">
        <v>14</v>
      </c>
      <c r="C7208" t="s">
        <v>22</v>
      </c>
      <c r="D7208" s="2" t="s">
        <f>=HYPERLINK("https://main.knesset.gov.il/APPS/legislation/main/bills/2195953", "הצעת חוק המים (תיקון - הנחות לבתי תפילה), התשפ""ג-2022")</f>
        <v>14016</v>
      </c>
      <c r="E7208" t="s">
        <v>14016</v>
      </c>
      <c r="F7208" t="s">
        <v>14017</v>
      </c>
      <c r="G7208" t="s">
        <v>14</v>
      </c>
      <c r="H7208">
             </c>
      <c r="I7208" t="s">
        <v>14</v>
      </c>
      <c r="J7208" t="s">
        <v>141</v>
      </c>
      <c r="K7208" t="s">
        <v>14</v>
      </c>
      <c r="L7208" t="s">
        <v>20</v>
      </c>
      <c r="M7208" t="s">
        <v>13929</v>
      </c>
      <c r="N7208" t="s">
        <v>14</v>
      </c>
    </row>
    <row r="7209" x14ac:dyDescent="0.25">
      <c r="A7209" t="n">
        <v>25</v>
      </c>
      <c r="B7209" t="s">
        <v>14</v>
      </c>
      <c r="C7209" t="s">
        <v>22</v>
      </c>
      <c r="D7209" s="2" t="s">
        <f>=HYPERLINK("https://main.knesset.gov.il/APPS/legislation/main/bills/2195930", "הצעת חוק הבנקאות (רישוי) (תיקון - ועדה לבחינת סגירת סניפי בנק), התשפ""ג-2022")</f>
        <v>14018</v>
      </c>
      <c r="E7209" t="s">
        <v>14018</v>
      </c>
      <c r="F7209" t="s">
        <v>14019</v>
      </c>
      <c r="G7209" t="s">
        <v>14</v>
      </c>
      <c r="H7209">
             </c>
      <c r="I7209" t="s">
        <v>14</v>
      </c>
      <c r="J7209" t="s">
        <v>141</v>
      </c>
      <c r="K7209" t="s">
        <v>14</v>
      </c>
      <c r="L7209" t="s">
        <v>20</v>
      </c>
      <c r="M7209" t="s">
        <v>13929</v>
      </c>
      <c r="N7209" t="s">
        <v>14</v>
      </c>
    </row>
    <row r="7210" x14ac:dyDescent="0.25">
      <c r="A7210" t="n">
        <v>25</v>
      </c>
      <c r="B7210" t="s">
        <v>14</v>
      </c>
      <c r="C7210" t="s">
        <v>22</v>
      </c>
      <c r="D7210" s="2" t="s">
        <f>=HYPERLINK("https://main.knesset.gov.il/APPS/legislation/main/bills/2196851", "הצעת חוק חסינות חיילי צה""ל באירועים מבצעיים, התשפ""ג-2022")</f>
        <v>14020</v>
      </c>
      <c r="E7210" t="s">
        <v>14020</v>
      </c>
      <c r="F7210" t="s">
        <v>14021</v>
      </c>
      <c r="G7210" t="s">
        <v>14</v>
      </c>
      <c r="H7210">
             </c>
      <c r="I7210" t="s">
        <v>14</v>
      </c>
      <c r="J7210" t="s">
        <v>141</v>
      </c>
      <c r="K7210" t="s">
        <v>14</v>
      </c>
      <c r="L7210" t="s">
        <v>20</v>
      </c>
      <c r="M7210" t="s">
        <v>13929</v>
      </c>
      <c r="N7210" t="s">
        <v>14</v>
      </c>
    </row>
    <row r="7211" x14ac:dyDescent="0.25">
      <c r="A7211" t="n">
        <v>25</v>
      </c>
      <c r="B7211" t="s">
        <v>14</v>
      </c>
      <c r="C7211" t="s">
        <v>22</v>
      </c>
      <c r="D7211" s="2" t="s">
        <f>=HYPERLINK("https://main.knesset.gov.il/APPS/legislation/main/bills/2195902", "הצעת חוק לתיקון פקודת התעבורה (קביעת קנס בגין גביית יתר של שכר הסעה במונית), התשפ""ג-2022")</f>
        <v>14022</v>
      </c>
      <c r="E7211" t="s">
        <v>14022</v>
      </c>
      <c r="F7211" t="s">
        <v>14023</v>
      </c>
      <c r="G7211" t="s">
        <v>14</v>
      </c>
      <c r="H7211">
             </c>
      <c r="I7211" t="s">
        <v>14</v>
      </c>
      <c r="J7211" t="s">
        <v>141</v>
      </c>
      <c r="K7211" t="s">
        <v>14</v>
      </c>
      <c r="L7211" t="s">
        <v>20</v>
      </c>
      <c r="M7211" t="s">
        <v>13929</v>
      </c>
      <c r="N7211" t="s">
        <v>14</v>
      </c>
    </row>
    <row r="7212" x14ac:dyDescent="0.25">
      <c r="A7212" t="n">
        <v>25</v>
      </c>
      <c r="B7212" t="s">
        <v>14</v>
      </c>
      <c r="C7212" t="s">
        <v>22</v>
      </c>
      <c r="D7212" s="2" t="s">
        <f>=HYPERLINK("https://main.knesset.gov.il/APPS/legislation/main/bills/2195857", "הצעת חוק הגנת הצרכן (תיקון - בטלות עסקה לרכישת מוצרי מזון לאחר חג הפסח), התשפ""ג-2022")</f>
        <v>14024</v>
      </c>
      <c r="E7212" t="s">
        <v>14024</v>
      </c>
      <c r="F7212" t="s">
        <v>14025</v>
      </c>
      <c r="G7212" t="s">
        <v>14</v>
      </c>
      <c r="H7212">
             </c>
      <c r="I7212" t="s">
        <v>14</v>
      </c>
      <c r="J7212" t="s">
        <v>141</v>
      </c>
      <c r="K7212" t="s">
        <v>14</v>
      </c>
      <c r="L7212" t="s">
        <v>20</v>
      </c>
      <c r="M7212" t="s">
        <v>13929</v>
      </c>
      <c r="N7212" t="s">
        <v>14</v>
      </c>
    </row>
    <row r="7213" x14ac:dyDescent="0.25">
      <c r="A7213" t="n">
        <v>25</v>
      </c>
      <c r="B7213" t="s">
        <v>14</v>
      </c>
      <c r="C7213" t="s">
        <v>22</v>
      </c>
      <c r="D7213" s="2" t="s">
        <f>=HYPERLINK("https://main.knesset.gov.il/APPS/legislation/main/bills/2197562", "הצעת חוק ארוחה יומית לתלמיד (תיקון - הרחבת תחולת החוק), התשפ""ג-2022")</f>
        <v>14026</v>
      </c>
      <c r="E7213" t="s">
        <v>14026</v>
      </c>
      <c r="F7213" t="s">
        <v>14027</v>
      </c>
      <c r="G7213" t="s">
        <v>14</v>
      </c>
      <c r="H7213">
             </c>
      <c r="I7213" t="s">
        <v>14</v>
      </c>
      <c r="J7213" t="s">
        <v>141</v>
      </c>
      <c r="K7213" t="s">
        <v>14</v>
      </c>
      <c r="L7213" t="s">
        <v>20</v>
      </c>
      <c r="M7213" t="s">
        <v>13929</v>
      </c>
      <c r="N7213" t="s">
        <v>14</v>
      </c>
    </row>
    <row r="7214" x14ac:dyDescent="0.25">
      <c r="A7214" t="n">
        <v>25</v>
      </c>
      <c r="B7214" t="s">
        <v>14</v>
      </c>
      <c r="C7214" t="s">
        <v>22</v>
      </c>
      <c r="D7214" s="2" t="s">
        <f>=HYPERLINK("https://main.knesset.gov.il/APPS/legislation/main/bills/2197093", "הצעת חוק לתיקון פקודת התעבורה (ביטול מופע אור ירוק ברמזור פנייה ימינה בעת הופעת אור ירוק ברמזור להולכי רגל), התשפ""ג-2022")</f>
        <v>14028</v>
      </c>
      <c r="E7214" t="s">
        <v>14028</v>
      </c>
      <c r="F7214" t="s">
        <v>14029</v>
      </c>
      <c r="G7214" t="s">
        <v>14</v>
      </c>
      <c r="H7214">
             </c>
      <c r="I7214" t="s">
        <v>14</v>
      </c>
      <c r="J7214" t="s">
        <v>141</v>
      </c>
      <c r="K7214" t="s">
        <v>14</v>
      </c>
      <c r="L7214" t="s">
        <v>20</v>
      </c>
      <c r="M7214" t="s">
        <v>13929</v>
      </c>
      <c r="N7214" t="s">
        <v>14</v>
      </c>
    </row>
    <row r="7215" x14ac:dyDescent="0.25">
      <c r="A7215" t="n">
        <v>25</v>
      </c>
      <c r="B7215" t="s">
        <v>14</v>
      </c>
      <c r="C7215" t="s">
        <v>22</v>
      </c>
      <c r="D7215" s="2" t="s">
        <f>=HYPERLINK("https://main.knesset.gov.il/APPS/legislation/main/bills/2196816", "הצעת חוק לתיקון פקודת התעבורה (ביטול מופע אור ירוק ברמזור פנייה ימינה בעת הופעת אור ירוק ברמזור להולכי רגל), התשפ""ג-2022")</f>
        <v>14028</v>
      </c>
      <c r="E7215" t="s">
        <v>14028</v>
      </c>
      <c r="F7215" t="s">
        <v>14030</v>
      </c>
      <c r="G7215" t="s">
        <v>14</v>
      </c>
      <c r="H7215">
             </c>
      <c r="I7215" t="s">
        <v>14</v>
      </c>
      <c r="J7215" t="s">
        <v>141</v>
      </c>
      <c r="K7215" t="s">
        <v>14</v>
      </c>
      <c r="L7215" t="s">
        <v>20</v>
      </c>
      <c r="M7215" t="s">
        <v>13929</v>
      </c>
      <c r="N7215" t="s">
        <v>14</v>
      </c>
    </row>
    <row r="7216" x14ac:dyDescent="0.25">
      <c r="A7216" t="n">
        <v>25</v>
      </c>
      <c r="B7216" t="s">
        <v>14</v>
      </c>
      <c r="C7216" t="s">
        <v>22</v>
      </c>
      <c r="D7216" s="2" t="s">
        <f>=HYPERLINK("https://main.knesset.gov.il/APPS/legislation/main/bills/2197057", "הצעת חוק ארוחה יומית לתלמיד (תיקון - ארוחת כריך יומית בבית ספר על יסודי), התשפ""ג-2022")</f>
        <v>14031</v>
      </c>
      <c r="E7216" t="s">
        <v>14031</v>
      </c>
      <c r="F7216" t="s">
        <v>14032</v>
      </c>
      <c r="G7216" t="s">
        <v>14</v>
      </c>
      <c r="H7216">
             </c>
      <c r="I7216" t="s">
        <v>14</v>
      </c>
      <c r="J7216" t="s">
        <v>141</v>
      </c>
      <c r="K7216" t="s">
        <v>14</v>
      </c>
      <c r="L7216" t="s">
        <v>20</v>
      </c>
      <c r="M7216" t="s">
        <v>13929</v>
      </c>
      <c r="N7216" t="s">
        <v>14</v>
      </c>
    </row>
    <row r="7217" x14ac:dyDescent="0.25">
      <c r="A7217" t="n">
        <v>25</v>
      </c>
      <c r="B7217" t="s">
        <v>14</v>
      </c>
      <c r="C7217" t="s">
        <v>22</v>
      </c>
      <c r="D7217" s="2" t="s">
        <f>=HYPERLINK("https://main.knesset.gov.il/APPS/legislation/main/bills/2197709", "הצעת חוק משק החשמל (תיקון - איסור ניתוק חשמל), התשפ""ג-2022")</f>
        <v>14033</v>
      </c>
      <c r="E7217" t="s">
        <v>14033</v>
      </c>
      <c r="F7217" t="s">
        <v>14034</v>
      </c>
      <c r="G7217" t="s">
        <v>14</v>
      </c>
      <c r="H7217">
             </c>
      <c r="I7217" t="s">
        <v>14</v>
      </c>
      <c r="J7217" t="s">
        <v>141</v>
      </c>
      <c r="K7217" t="s">
        <v>14</v>
      </c>
      <c r="L7217" t="s">
        <v>20</v>
      </c>
      <c r="M7217" t="s">
        <v>13929</v>
      </c>
      <c r="N7217" t="s">
        <v>14</v>
      </c>
    </row>
    <row r="7218" x14ac:dyDescent="0.25">
      <c r="A7218" t="n">
        <v>25</v>
      </c>
      <c r="B7218" t="s">
        <v>14</v>
      </c>
      <c r="C7218" t="s">
        <v>22</v>
      </c>
      <c r="D7218" s="2" t="s">
        <f>=HYPERLINK("https://main.knesset.gov.il/APPS/legislation/main/bills/2197564", "הצעת חוק איסור אלימות בספורט (תיקון - מניעת הרחקה גורפת מאירועי ספורט), התשפ""ג-2022")</f>
        <v>14035</v>
      </c>
      <c r="E7218" t="s">
        <v>14035</v>
      </c>
      <c r="F7218" t="s">
        <v>14036</v>
      </c>
      <c r="G7218" t="s">
        <v>14</v>
      </c>
      <c r="H7218">
             </c>
      <c r="I7218" t="s">
        <v>14</v>
      </c>
      <c r="J7218" t="s">
        <v>141</v>
      </c>
      <c r="K7218" t="s">
        <v>14</v>
      </c>
      <c r="L7218" t="s">
        <v>20</v>
      </c>
      <c r="M7218" t="s">
        <v>13929</v>
      </c>
      <c r="N7218" t="s">
        <v>14</v>
      </c>
    </row>
    <row r="7219" x14ac:dyDescent="0.25">
      <c r="A7219" t="n">
        <v>25</v>
      </c>
      <c r="B7219" t="s">
        <v>14</v>
      </c>
      <c r="C7219" t="s">
        <v>22</v>
      </c>
      <c r="D7219" s="2" t="s">
        <f>=HYPERLINK("https://main.knesset.gov.il/APPS/legislation/main/bills/2195866", "הצעת חוק משק החשמל (תיקון - איסור ניתוק חשמל), התשפ""ג-2022")</f>
        <v>14033</v>
      </c>
      <c r="E7219" t="s">
        <v>14033</v>
      </c>
      <c r="F7219" t="s">
        <v>14037</v>
      </c>
      <c r="G7219" t="s">
        <v>14</v>
      </c>
      <c r="H7219">
             </c>
      <c r="I7219" t="s">
        <v>14</v>
      </c>
      <c r="J7219" t="s">
        <v>141</v>
      </c>
      <c r="K7219" t="s">
        <v>14</v>
      </c>
      <c r="L7219" t="s">
        <v>20</v>
      </c>
      <c r="M7219" t="s">
        <v>13929</v>
      </c>
      <c r="N7219" t="s">
        <v>14</v>
      </c>
    </row>
    <row r="7220" x14ac:dyDescent="0.25">
      <c r="A7220" t="n">
        <v>25</v>
      </c>
      <c r="B7220" t="s">
        <v>14</v>
      </c>
      <c r="C7220" t="s">
        <v>22</v>
      </c>
      <c r="D7220" s="2" t="s">
        <f>=HYPERLINK("https://main.knesset.gov.il/APPS/legislation/main/bills/2197044", "הצעת חוק הפרטת תאגיד השידור הציבורי הישראלי, התשפ""ג-2022")</f>
        <v>4395</v>
      </c>
      <c r="E7220" t="s">
        <v>4395</v>
      </c>
      <c r="F7220" t="s">
        <v>14038</v>
      </c>
      <c r="G7220" t="s">
        <v>14</v>
      </c>
      <c r="H7220">
             </c>
      <c r="I7220" t="s">
        <v>14</v>
      </c>
      <c r="J7220" t="s">
        <v>141</v>
      </c>
      <c r="K7220" t="s">
        <v>14</v>
      </c>
      <c r="L7220" t="s">
        <v>20</v>
      </c>
      <c r="M7220" t="s">
        <v>13929</v>
      </c>
      <c r="N7220" t="s">
        <v>14</v>
      </c>
    </row>
    <row r="7221" x14ac:dyDescent="0.25">
      <c r="A7221" t="n">
        <v>25</v>
      </c>
      <c r="B7221" t="s">
        <v>14</v>
      </c>
      <c r="C7221" t="s">
        <v>22</v>
      </c>
      <c r="D7221" s="2" t="s">
        <f>=HYPERLINK("https://main.knesset.gov.il/APPS/legislation/main/bills/2196679", "הצעת חוק לימוד חובה (תיקון - חינוך חינם לפעוטות ולילדים), התשפ""ג-2022")</f>
        <v>13052</v>
      </c>
      <c r="E7221" t="s">
        <v>13052</v>
      </c>
      <c r="F7221" t="s">
        <v>14039</v>
      </c>
      <c r="G7221" t="s">
        <v>14</v>
      </c>
      <c r="H7221">
             </c>
      <c r="I7221" t="s">
        <v>14</v>
      </c>
      <c r="J7221" t="s">
        <v>141</v>
      </c>
      <c r="K7221" t="s">
        <v>14</v>
      </c>
      <c r="L7221" t="s">
        <v>20</v>
      </c>
      <c r="M7221" t="s">
        <v>13929</v>
      </c>
      <c r="N7221" t="s">
        <v>14</v>
      </c>
    </row>
    <row r="7222" x14ac:dyDescent="0.25">
      <c r="A7222" t="n">
        <v>25</v>
      </c>
      <c r="B7222" t="s">
        <v>14</v>
      </c>
      <c r="C7222" t="s">
        <v>22</v>
      </c>
      <c r="D7222" s="2" t="s">
        <f>=HYPERLINK("https://main.knesset.gov.il/APPS/legislation/main/bills/2197417", "הצעת חוק הפרטת גלי צה""ל, התשפ""ג-2022")</f>
        <v>14040</v>
      </c>
      <c r="E7222" t="s">
        <v>14040</v>
      </c>
      <c r="F7222" t="s">
        <v>14041</v>
      </c>
      <c r="G7222" t="s">
        <v>14</v>
      </c>
      <c r="H7222">
             </c>
      <c r="I7222" t="s">
        <v>14</v>
      </c>
      <c r="J7222" t="s">
        <v>141</v>
      </c>
      <c r="K7222" t="s">
        <v>14</v>
      </c>
      <c r="L7222" t="s">
        <v>20</v>
      </c>
      <c r="M7222" t="s">
        <v>13929</v>
      </c>
      <c r="N7222" t="s">
        <v>14</v>
      </c>
    </row>
    <row r="7223" x14ac:dyDescent="0.25">
      <c r="A7223" t="n">
        <v>25</v>
      </c>
      <c r="B7223" t="s">
        <v>14</v>
      </c>
      <c r="C7223" t="s">
        <v>22</v>
      </c>
      <c r="D7223" s="2" t="s">
        <f>=HYPERLINK("https://main.knesset.gov.il/APPS/legislation/main/bills/2196970", "הצעת חוק הפרטת גלי צה""ל, התשפ""ג-2022")</f>
        <v>14040</v>
      </c>
      <c r="E7223" t="s">
        <v>14040</v>
      </c>
      <c r="F7223" t="s">
        <v>14042</v>
      </c>
      <c r="G7223" t="s">
        <v>14</v>
      </c>
      <c r="H7223">
             </c>
      <c r="I7223" t="s">
        <v>14</v>
      </c>
      <c r="J7223" t="s">
        <v>141</v>
      </c>
      <c r="K7223" t="s">
        <v>14</v>
      </c>
      <c r="L7223" t="s">
        <v>20</v>
      </c>
      <c r="M7223" t="s">
        <v>13929</v>
      </c>
      <c r="N7223" t="s">
        <v>14</v>
      </c>
    </row>
    <row r="7224" x14ac:dyDescent="0.25">
      <c r="A7224" t="n">
        <v>25</v>
      </c>
      <c r="B7224" t="s">
        <v>14</v>
      </c>
      <c r="C7224" t="s">
        <v>22</v>
      </c>
      <c r="D7224" s="2" t="s">
        <f>=HYPERLINK("https://main.knesset.gov.il/APPS/legislation/main/bills/2197487", "הצעת חוק הכנסת (תיקון - כינוס הכנסת בתקופת הפגרה), התשפ""ג-2022")</f>
        <v>14043</v>
      </c>
      <c r="E7224" t="s">
        <v>14043</v>
      </c>
      <c r="F7224" t="s">
        <v>14044</v>
      </c>
      <c r="G7224" t="s">
        <v>14</v>
      </c>
      <c r="H7224">
             </c>
      <c r="I7224" t="s">
        <v>14</v>
      </c>
      <c r="J7224" t="s">
        <v>141</v>
      </c>
      <c r="K7224" t="s">
        <v>14</v>
      </c>
      <c r="L7224" t="s">
        <v>20</v>
      </c>
      <c r="M7224" t="s">
        <v>13929</v>
      </c>
      <c r="N7224" t="s">
        <v>14</v>
      </c>
    </row>
    <row r="7225" x14ac:dyDescent="0.25">
      <c r="A7225" t="n">
        <v>25</v>
      </c>
      <c r="B7225" t="s">
        <v>14</v>
      </c>
      <c r="C7225" t="s">
        <v>22</v>
      </c>
      <c r="D7225" s="2" t="s">
        <f>=HYPERLINK("https://main.knesset.gov.il/APPS/legislation/main/bills/2196802", "הצעת חוק הפרטת גלי צה""ל, התשפ""ג-2022")</f>
        <v>14040</v>
      </c>
      <c r="E7225" t="s">
        <v>14040</v>
      </c>
      <c r="F7225" t="s">
        <v>14045</v>
      </c>
      <c r="G7225" t="s">
        <v>14</v>
      </c>
      <c r="H7225">
             </c>
      <c r="I7225" t="s">
        <v>14</v>
      </c>
      <c r="J7225" t="s">
        <v>141</v>
      </c>
      <c r="K7225" t="s">
        <v>14</v>
      </c>
      <c r="L7225" t="s">
        <v>20</v>
      </c>
      <c r="M7225" t="s">
        <v>13929</v>
      </c>
      <c r="N7225" t="s">
        <v>14</v>
      </c>
    </row>
    <row r="7226" x14ac:dyDescent="0.25">
      <c r="A7226" t="n">
        <v>25</v>
      </c>
      <c r="B7226" t="s">
        <v>14</v>
      </c>
      <c r="C7226" t="s">
        <v>22</v>
      </c>
      <c r="D7226" s="2" t="s">
        <f>=HYPERLINK("https://main.knesset.gov.il/APPS/legislation/main/bills/2197032", "הצעת חוק המועצה לייצור ולשיווק של אגוזי אדמה (תיקון - ביטול החוק), התשפ""ג-2022")</f>
        <v>14046</v>
      </c>
      <c r="E7226" t="s">
        <v>14046</v>
      </c>
      <c r="F7226" t="s">
        <v>14047</v>
      </c>
      <c r="G7226" t="s">
        <v>14</v>
      </c>
      <c r="H7226">
             </c>
      <c r="I7226" t="s">
        <v>14</v>
      </c>
      <c r="J7226" t="s">
        <v>141</v>
      </c>
      <c r="K7226" t="s">
        <v>14</v>
      </c>
      <c r="L7226" t="s">
        <v>20</v>
      </c>
      <c r="M7226" t="s">
        <v>13929</v>
      </c>
      <c r="N7226" t="s">
        <v>14</v>
      </c>
    </row>
    <row r="7227" x14ac:dyDescent="0.25">
      <c r="A7227" t="n">
        <v>25</v>
      </c>
      <c r="B7227" t="s">
        <v>14</v>
      </c>
      <c r="C7227" t="s">
        <v>22</v>
      </c>
      <c r="D7227" s="2" t="s">
        <f>=HYPERLINK("https://main.knesset.gov.il/APPS/legislation/main/bills/2196829", "הצעת חוק למניעת אלימות במשפחה (פיקוח טכנולוגי להבטחת קיומו של צו הגנה, והערכת מסוכנות - הוראת שעה), התשפ""ג-2022")</f>
        <v>9984</v>
      </c>
      <c r="E7227" t="s">
        <v>9984</v>
      </c>
      <c r="F7227" t="s">
        <v>14048</v>
      </c>
      <c r="G7227" t="s">
        <v>14</v>
      </c>
      <c r="H7227">
             </c>
      <c r="I7227" t="s">
        <v>14</v>
      </c>
      <c r="J7227" t="s">
        <v>141</v>
      </c>
      <c r="K7227" t="s">
        <v>14</v>
      </c>
      <c r="L7227" t="s">
        <v>20</v>
      </c>
      <c r="M7227" t="s">
        <v>13929</v>
      </c>
      <c r="N7227" t="s">
        <v>14</v>
      </c>
    </row>
    <row r="7228" x14ac:dyDescent="0.25">
      <c r="A7228" t="n">
        <v>25</v>
      </c>
      <c r="B7228" t="s">
        <v>14</v>
      </c>
      <c r="C7228" t="s">
        <v>22</v>
      </c>
      <c r="D7228" s="2" t="s">
        <f>=HYPERLINK("https://main.knesset.gov.il/APPS/legislation/main/bills/2196869", "הצעת חוק המועצה לייצור ולשיווק של אגוזי אדמה (תיקון - ביטול החוק), התשפ""ג-2022")</f>
        <v>14046</v>
      </c>
      <c r="E7228" t="s">
        <v>14046</v>
      </c>
      <c r="F7228" t="s">
        <v>14049</v>
      </c>
      <c r="G7228" t="s">
        <v>14</v>
      </c>
      <c r="H7228">
             </c>
      <c r="I7228" t="s">
        <v>14</v>
      </c>
      <c r="J7228" t="s">
        <v>141</v>
      </c>
      <c r="K7228" t="s">
        <v>14</v>
      </c>
      <c r="L7228" t="s">
        <v>20</v>
      </c>
      <c r="M7228" t="s">
        <v>13929</v>
      </c>
      <c r="N7228" t="s">
        <v>14</v>
      </c>
    </row>
    <row r="7229" x14ac:dyDescent="0.25">
      <c r="A7229" t="n">
        <v>25</v>
      </c>
      <c r="B7229" t="s">
        <v>14</v>
      </c>
      <c r="C7229" t="s">
        <v>22</v>
      </c>
      <c r="D7229" s="2" t="s">
        <f>=HYPERLINK("https://main.knesset.gov.il/APPS/legislation/main/bills/2197397", "הצעת חוק תכנון משק החלב (תיקון - ביטול החוק), התשפ""ג-2022")</f>
        <v>14050</v>
      </c>
      <c r="E7229" t="s">
        <v>14050</v>
      </c>
      <c r="F7229" t="s">
        <v>14051</v>
      </c>
      <c r="G7229" t="s">
        <v>14</v>
      </c>
      <c r="H7229">
             </c>
      <c r="I7229" t="s">
        <v>14</v>
      </c>
      <c r="J7229" t="s">
        <v>141</v>
      </c>
      <c r="K7229" t="s">
        <v>14</v>
      </c>
      <c r="L7229" t="s">
        <v>20</v>
      </c>
      <c r="M7229" t="s">
        <v>13929</v>
      </c>
      <c r="N7229" t="s">
        <v>14</v>
      </c>
    </row>
    <row r="7230" x14ac:dyDescent="0.25">
      <c r="A7230" t="n">
        <v>25</v>
      </c>
      <c r="B7230" t="s">
        <v>14</v>
      </c>
      <c r="C7230" t="s">
        <v>22</v>
      </c>
      <c r="D7230" s="2" t="s">
        <f>=HYPERLINK("https://main.knesset.gov.il/APPS/legislation/main/bills/2196969", "הצעת חוק הכנסת (תיקון - קביעת שכר חברי הכנסת בידי ועדה ציבורית), התשפ""ג-2022")</f>
        <v>14052</v>
      </c>
      <c r="E7230" t="s">
        <v>14052</v>
      </c>
      <c r="F7230" t="s">
        <v>14053</v>
      </c>
      <c r="G7230" t="s">
        <v>14</v>
      </c>
      <c r="H7230">
             </c>
      <c r="I7230" t="s">
        <v>14</v>
      </c>
      <c r="J7230" t="s">
        <v>141</v>
      </c>
      <c r="K7230" t="s">
        <v>14</v>
      </c>
      <c r="L7230" t="s">
        <v>20</v>
      </c>
      <c r="M7230" t="s">
        <v>13929</v>
      </c>
      <c r="N7230" t="s">
        <v>14</v>
      </c>
    </row>
    <row r="7231" x14ac:dyDescent="0.25">
      <c r="A7231" t="n">
        <v>25</v>
      </c>
      <c r="B7231" t="s">
        <v>14</v>
      </c>
      <c r="C7231" t="s">
        <v>22</v>
      </c>
      <c r="D7231" s="2" t="s">
        <f>=HYPERLINK("https://main.knesset.gov.il/APPS/legislation/main/bills/2196848", "הצעת חוק תכנון משק החלב (תיקון - ביטול החוק), התשפ""ג-2022")</f>
        <v>14050</v>
      </c>
      <c r="E7231" t="s">
        <v>14050</v>
      </c>
      <c r="F7231" t="s">
        <v>14054</v>
      </c>
      <c r="G7231" t="s">
        <v>14</v>
      </c>
      <c r="H7231">
             </c>
      <c r="I7231" t="s">
        <v>14</v>
      </c>
      <c r="J7231" t="s">
        <v>141</v>
      </c>
      <c r="K7231" t="s">
        <v>14</v>
      </c>
      <c r="L7231" t="s">
        <v>20</v>
      </c>
      <c r="M7231" t="s">
        <v>13929</v>
      </c>
      <c r="N7231" t="s">
        <v>14</v>
      </c>
    </row>
    <row r="7232" x14ac:dyDescent="0.25">
      <c r="A7232" t="n">
        <v>25</v>
      </c>
      <c r="B7232" t="s">
        <v>14</v>
      </c>
      <c r="C7232" t="s">
        <v>22</v>
      </c>
      <c r="D7232" s="2" t="s">
        <f>=HYPERLINK("https://main.knesset.gov.il/APPS/legislation/main/bills/2196964", "הצעת חוק המרכז להנצחת מורשתו של הנשיא יצחק נבון, התשפ""ג-2022")</f>
        <v>14055</v>
      </c>
      <c r="E7232" t="s">
        <v>14055</v>
      </c>
      <c r="F7232" t="s">
        <v>14056</v>
      </c>
      <c r="G7232" t="s">
        <v>14</v>
      </c>
      <c r="H7232">
             </c>
      <c r="I7232" t="s">
        <v>14</v>
      </c>
      <c r="J7232" t="s">
        <v>141</v>
      </c>
      <c r="K7232" t="s">
        <v>14</v>
      </c>
      <c r="L7232" t="s">
        <v>20</v>
      </c>
      <c r="M7232" t="s">
        <v>13929</v>
      </c>
      <c r="N7232" t="s">
        <v>14</v>
      </c>
    </row>
    <row r="7233" x14ac:dyDescent="0.25">
      <c r="A7233" t="n">
        <v>25</v>
      </c>
      <c r="B7233" t="s">
        <v>14</v>
      </c>
      <c r="C7233" t="s">
        <v>22</v>
      </c>
      <c r="D7233" s="2" t="s">
        <f>=HYPERLINK("https://main.knesset.gov.il/APPS/legislation/main/bills/2196101", "הצעת חוק החקלאות, התשפ""ג-2022 ")</f>
        <v>14057</v>
      </c>
      <c r="E7233" t="s">
        <v>14057</v>
      </c>
      <c r="F7233" t="s">
        <v>14058</v>
      </c>
      <c r="G7233" t="s">
        <v>14</v>
      </c>
      <c r="H7233">
             </c>
      <c r="I7233" t="s">
        <v>14</v>
      </c>
      <c r="J7233" t="s">
        <v>343</v>
      </c>
      <c r="K7233" t="s">
        <v>14</v>
      </c>
      <c r="L7233" t="s">
        <v>20</v>
      </c>
      <c r="M7233" t="s">
        <v>13929</v>
      </c>
      <c r="N7233" t="s">
        <v>14</v>
      </c>
    </row>
    <row r="7234" x14ac:dyDescent="0.25">
      <c r="A7234" t="n">
        <v>25</v>
      </c>
      <c r="B7234" t="s">
        <v>14</v>
      </c>
      <c r="C7234" t="s">
        <v>22</v>
      </c>
      <c r="D7234" s="2" t="s">
        <f>=HYPERLINK("https://main.knesset.gov.il/APPS/legislation/main/bills/2196891", "הצעת חוק-יסוד: הכנסת (תיקון - הצהרת אמונים בפני מליאת הכנסת ועיצומים נגד מי שלא הצהיר)")</f>
        <v>913</v>
      </c>
      <c r="E7234" t="s">
        <v>913</v>
      </c>
      <c r="F7234" t="s">
        <v>14059</v>
      </c>
      <c r="G7234" t="s">
        <v>14</v>
      </c>
      <c r="H7234">
             </c>
      <c r="I7234" t="s">
        <v>14</v>
      </c>
      <c r="J7234" t="s">
        <v>141</v>
      </c>
      <c r="K7234" t="s">
        <v>14</v>
      </c>
      <c r="L7234" t="s">
        <v>20</v>
      </c>
      <c r="M7234" t="s">
        <v>13929</v>
      </c>
      <c r="N7234" t="s">
        <v>14</v>
      </c>
    </row>
    <row r="7235" x14ac:dyDescent="0.25">
      <c r="A7235" t="n">
        <v>25</v>
      </c>
      <c r="B7235" t="s">
        <v>14</v>
      </c>
      <c r="C7235" t="s">
        <v>22</v>
      </c>
      <c r="D7235" s="2" t="s">
        <f>=HYPERLINK("https://main.knesset.gov.il/APPS/legislation/main/bills/2196805", "הצעת חוק-יסוד: הכנסת (תיקון - סמכויות ועדת חקירה פרלמנטרית)")</f>
        <v>4864</v>
      </c>
      <c r="E7235" t="s">
        <v>4864</v>
      </c>
      <c r="F7235" t="s">
        <v>14060</v>
      </c>
      <c r="G7235" t="s">
        <v>14</v>
      </c>
      <c r="H7235">
             </c>
      <c r="I7235" t="s">
        <v>14</v>
      </c>
      <c r="J7235" t="s">
        <v>141</v>
      </c>
      <c r="K7235" t="s">
        <v>14</v>
      </c>
      <c r="L7235" t="s">
        <v>20</v>
      </c>
      <c r="M7235" t="s">
        <v>13929</v>
      </c>
      <c r="N7235" t="s">
        <v>14</v>
      </c>
    </row>
    <row r="7236" x14ac:dyDescent="0.25">
      <c r="A7236" t="n">
        <v>25</v>
      </c>
      <c r="B7236" t="s">
        <v>14</v>
      </c>
      <c r="C7236" t="s">
        <v>22</v>
      </c>
      <c r="D7236" s="2" t="s">
        <f>=HYPERLINK("https://main.knesset.gov.il/APPS/legislation/main/bills/2197304", "הצעת חוק הסדרת הטיפול בחולי נפש (תיקוני חקיקה), התשפ""ג-2022")</f>
        <v>14061</v>
      </c>
      <c r="E7236" t="s">
        <v>14061</v>
      </c>
      <c r="F7236" t="s">
        <v>14062</v>
      </c>
      <c r="G7236" t="s">
        <v>14</v>
      </c>
      <c r="H7236">
             </c>
      <c r="I7236" t="s">
        <v>14</v>
      </c>
      <c r="J7236" t="s">
        <v>141</v>
      </c>
      <c r="K7236" t="s">
        <v>14</v>
      </c>
      <c r="L7236" t="s">
        <v>20</v>
      </c>
      <c r="M7236" t="s">
        <v>13929</v>
      </c>
      <c r="N7236" t="s">
        <v>14</v>
      </c>
    </row>
    <row r="7237" x14ac:dyDescent="0.25">
      <c r="A7237" t="n">
        <v>25</v>
      </c>
      <c r="B7237" t="s">
        <v>14</v>
      </c>
      <c r="C7237" t="s">
        <v>22</v>
      </c>
      <c r="D7237" s="2" t="s">
        <f>=HYPERLINK("https://main.knesset.gov.il/APPS/legislation/main/bills/2197309", "הצעת חוק כביש אגרה (כביש ארצי לישראל) (תיקון - פטור מאגרה בשל האטה ממהירות הנסיעה המותרת), התשפ""ג-2022")</f>
        <v>14063</v>
      </c>
      <c r="E7237" t="s">
        <v>14063</v>
      </c>
      <c r="F7237" t="s">
        <v>14064</v>
      </c>
      <c r="G7237" t="s">
        <v>14</v>
      </c>
      <c r="H7237">
             </c>
      <c r="I7237" t="s">
        <v>14</v>
      </c>
      <c r="J7237" t="s">
        <v>141</v>
      </c>
      <c r="K7237" t="s">
        <v>14</v>
      </c>
      <c r="L7237" t="s">
        <v>20</v>
      </c>
      <c r="M7237" t="s">
        <v>13929</v>
      </c>
      <c r="N7237" t="s">
        <v>14</v>
      </c>
    </row>
    <row r="7238" x14ac:dyDescent="0.25">
      <c r="A7238" t="n">
        <v>25</v>
      </c>
      <c r="B7238" t="s">
        <v>14</v>
      </c>
      <c r="C7238" t="s">
        <v>22</v>
      </c>
      <c r="D7238" s="2" t="s">
        <f>=HYPERLINK("https://main.knesset.gov.il/APPS/legislation/main/bills/2196626", "הצעת חוק-יסוד: הכנסת (תיקון - מניין חברי הכנסת במליאה)")</f>
        <v>3333</v>
      </c>
      <c r="E7238" t="s">
        <v>3333</v>
      </c>
      <c r="F7238" t="s">
        <v>14065</v>
      </c>
      <c r="G7238" t="s">
        <v>14</v>
      </c>
      <c r="H7238">
             </c>
      <c r="I7238" t="s">
        <v>14</v>
      </c>
      <c r="J7238" t="s">
        <v>141</v>
      </c>
      <c r="K7238" t="s">
        <v>14</v>
      </c>
      <c r="L7238" t="s">
        <v>20</v>
      </c>
      <c r="M7238" t="s">
        <v>13929</v>
      </c>
      <c r="N7238" t="s">
        <v>14</v>
      </c>
    </row>
    <row r="7239" x14ac:dyDescent="0.25">
      <c r="A7239" t="n">
        <v>25</v>
      </c>
      <c r="B7239" t="s">
        <v>14</v>
      </c>
      <c r="C7239" t="s">
        <v>22</v>
      </c>
      <c r="D7239" s="2" t="s">
        <f>=HYPERLINK("https://main.knesset.gov.il/APPS/legislation/main/bills/2195829", "הצעת חוק מוקד חירום רפואי טלפוני, התשפ""ג-2022")</f>
        <v>14066</v>
      </c>
      <c r="E7239" t="s">
        <v>14066</v>
      </c>
      <c r="F7239" t="s">
        <v>14067</v>
      </c>
      <c r="G7239" t="s">
        <v>14</v>
      </c>
      <c r="H7239">
             </c>
      <c r="I7239" t="s">
        <v>14</v>
      </c>
      <c r="J7239" t="s">
        <v>141</v>
      </c>
      <c r="K7239" t="s">
        <v>14</v>
      </c>
      <c r="L7239" t="s">
        <v>20</v>
      </c>
      <c r="M7239" t="s">
        <v>13929</v>
      </c>
      <c r="N7239" t="s">
        <v>14</v>
      </c>
    </row>
    <row r="7240" x14ac:dyDescent="0.25">
      <c r="A7240" t="n">
        <v>25</v>
      </c>
      <c r="B7240" t="s">
        <v>14</v>
      </c>
      <c r="C7240" t="s">
        <v>22</v>
      </c>
      <c r="D7240" s="2" t="s">
        <f>=HYPERLINK("https://main.knesset.gov.il/APPS/legislation/main/bills/2197394", "הצעת חוק הכנסת (תיקון - חובת התייצבות בפני ועדות הכנסת), התשפ""ג-2022")</f>
        <v>14068</v>
      </c>
      <c r="E7240" t="s">
        <v>14068</v>
      </c>
      <c r="F7240" t="s">
        <v>14069</v>
      </c>
      <c r="G7240" t="s">
        <v>14</v>
      </c>
      <c r="H7240">
             </c>
      <c r="I7240" t="s">
        <v>14</v>
      </c>
      <c r="J7240" t="s">
        <v>141</v>
      </c>
      <c r="K7240" t="s">
        <v>14</v>
      </c>
      <c r="L7240" t="s">
        <v>20</v>
      </c>
      <c r="M7240" t="s">
        <v>13929</v>
      </c>
      <c r="N7240" t="s">
        <v>14</v>
      </c>
    </row>
    <row r="7241" x14ac:dyDescent="0.25">
      <c r="A7241" t="n">
        <v>25</v>
      </c>
      <c r="B7241" t="s">
        <v>14</v>
      </c>
      <c r="C7241" t="s">
        <v>22</v>
      </c>
      <c r="D7241" s="2" t="s">
        <f>=HYPERLINK("https://main.knesset.gov.il/APPS/legislation/main/bills/2196905", "הצעת חוק הכנסת (תיקון - חובת התייצבות בפני ועדות הכנסת), התשפ""ג-2022 ")</f>
        <v>14070</v>
      </c>
      <c r="E7241" t="s">
        <v>14070</v>
      </c>
      <c r="F7241" t="s">
        <v>14071</v>
      </c>
      <c r="G7241" t="s">
        <v>14</v>
      </c>
      <c r="H7241">
             </c>
      <c r="I7241" t="s">
        <v>14</v>
      </c>
      <c r="J7241" t="s">
        <v>141</v>
      </c>
      <c r="K7241" t="s">
        <v>14</v>
      </c>
      <c r="L7241" t="s">
        <v>20</v>
      </c>
      <c r="M7241" t="s">
        <v>13929</v>
      </c>
      <c r="N7241" t="s">
        <v>14</v>
      </c>
    </row>
    <row r="7242" x14ac:dyDescent="0.25">
      <c r="A7242" t="n">
        <v>25</v>
      </c>
      <c r="B7242" t="s">
        <v>14</v>
      </c>
      <c r="C7242" t="s">
        <v>22</v>
      </c>
      <c r="D7242" s="2" t="s">
        <f>=HYPERLINK("https://main.knesset.gov.il/APPS/legislation/main/bills/2196137", "הצעת חוק שכר נושאי משרה ברשויות השלטון, התשפ""ג-2022")</f>
        <v>14072</v>
      </c>
      <c r="E7242" t="s">
        <v>14072</v>
      </c>
      <c r="F7242" t="s">
        <v>14073</v>
      </c>
      <c r="G7242" t="s">
        <v>14</v>
      </c>
      <c r="H7242">
             </c>
      <c r="I7242" t="s">
        <v>14</v>
      </c>
      <c r="J7242" t="s">
        <v>141</v>
      </c>
      <c r="K7242" t="s">
        <v>14</v>
      </c>
      <c r="L7242" t="s">
        <v>20</v>
      </c>
      <c r="M7242" t="s">
        <v>13929</v>
      </c>
      <c r="N7242" t="s">
        <v>14</v>
      </c>
    </row>
    <row r="7243" x14ac:dyDescent="0.25">
      <c r="A7243" t="n">
        <v>25</v>
      </c>
      <c r="B7243" t="s">
        <v>14</v>
      </c>
      <c r="C7243" t="s">
        <v>22</v>
      </c>
      <c r="D7243" s="2" t="s">
        <f>=HYPERLINK("https://main.knesset.gov.il/APPS/legislation/main/bills/2196146", "הצעת חוק-יסוד: שכר נושאי משרה ברשויות השלטון (תיקוני חקיקה)")</f>
        <v>10175</v>
      </c>
      <c r="E7243" t="s">
        <v>10175</v>
      </c>
      <c r="F7243" t="s">
        <v>14074</v>
      </c>
      <c r="G7243" t="s">
        <v>14</v>
      </c>
      <c r="H7243">
             </c>
      <c r="I7243" t="s">
        <v>14</v>
      </c>
      <c r="J7243" t="s">
        <v>141</v>
      </c>
      <c r="K7243" t="s">
        <v>14</v>
      </c>
      <c r="L7243" t="s">
        <v>20</v>
      </c>
      <c r="M7243" t="s">
        <v>13929</v>
      </c>
      <c r="N7243" t="s">
        <v>14</v>
      </c>
    </row>
    <row r="7244" x14ac:dyDescent="0.25">
      <c r="A7244" t="n">
        <v>25</v>
      </c>
      <c r="B7244" t="s">
        <v>14</v>
      </c>
      <c r="C7244" t="s">
        <v>22</v>
      </c>
      <c r="D7244" s="2" t="s">
        <f>=HYPERLINK("https://main.knesset.gov.il/APPS/legislation/main/bills/2195794", "הצעת חוק הסדרת הטיפול בחולי נפש (תיקוני חקיקה), התשפ""ג-2022")</f>
        <v>14061</v>
      </c>
      <c r="E7244" t="s">
        <v>14061</v>
      </c>
      <c r="F7244" t="s">
        <v>14075</v>
      </c>
      <c r="G7244" t="s">
        <v>14</v>
      </c>
      <c r="H7244">
             </c>
      <c r="I7244" t="s">
        <v>14</v>
      </c>
      <c r="J7244" t="s">
        <v>141</v>
      </c>
      <c r="K7244" t="s">
        <v>14</v>
      </c>
      <c r="L7244" t="s">
        <v>20</v>
      </c>
      <c r="M7244" t="s">
        <v>13929</v>
      </c>
      <c r="N7244" t="s">
        <v>14</v>
      </c>
    </row>
    <row r="7245" x14ac:dyDescent="0.25">
      <c r="A7245" t="n">
        <v>25</v>
      </c>
      <c r="B7245" t="s">
        <v>14</v>
      </c>
      <c r="C7245" t="s">
        <v>22</v>
      </c>
      <c r="D7245" s="2" t="s">
        <f>=HYPERLINK("https://main.knesset.gov.il/APPS/legislation/main/bills/2196984", "הצעת חוק הביטוח הלאומי (תיקון - דמי אבטלה לעצמאים), התשפ""ג-2022")</f>
        <v>14076</v>
      </c>
      <c r="E7245" t="s">
        <v>14076</v>
      </c>
      <c r="F7245" t="s">
        <v>14077</v>
      </c>
      <c r="G7245" t="s">
        <v>14</v>
      </c>
      <c r="H7245">
             </c>
      <c r="I7245" t="s">
        <v>14</v>
      </c>
      <c r="J7245" t="s">
        <v>141</v>
      </c>
      <c r="K7245" t="s">
        <v>14</v>
      </c>
      <c r="L7245" t="s">
        <v>20</v>
      </c>
      <c r="M7245" t="s">
        <v>13929</v>
      </c>
      <c r="N7245" t="s">
        <v>14</v>
      </c>
    </row>
    <row r="7246" x14ac:dyDescent="0.25">
      <c r="A7246" t="n">
        <v>25</v>
      </c>
      <c r="B7246" t="s">
        <v>14</v>
      </c>
      <c r="C7246" t="s">
        <v>22</v>
      </c>
      <c r="D7246" s="2" t="s">
        <f>=HYPERLINK("https://main.knesset.gov.il/APPS/legislation/main/bills/2196670", "הצעת חוק הביטוח הלאומי (תיקון - דמי אבטלה לעצמאים), התשפ""ג-2022")</f>
        <v>14076</v>
      </c>
      <c r="E7246" t="s">
        <v>14076</v>
      </c>
      <c r="F7246" t="s">
        <v>14078</v>
      </c>
      <c r="G7246" t="s">
        <v>14</v>
      </c>
      <c r="H7246">
             </c>
      <c r="I7246" t="s">
        <v>14</v>
      </c>
      <c r="J7246" t="s">
        <v>141</v>
      </c>
      <c r="K7246" t="s">
        <v>14</v>
      </c>
      <c r="L7246" t="s">
        <v>20</v>
      </c>
      <c r="M7246" t="s">
        <v>13929</v>
      </c>
      <c r="N7246" t="s">
        <v>14</v>
      </c>
    </row>
    <row r="7247" x14ac:dyDescent="0.25">
      <c r="A7247" t="n">
        <v>25</v>
      </c>
      <c r="B7247" t="s">
        <v>14</v>
      </c>
      <c r="C7247" t="s">
        <v>22</v>
      </c>
      <c r="D7247" s="2" t="s">
        <f>=HYPERLINK("https://main.knesset.gov.il/APPS/legislation/main/bills/2196161", "הצעת חוק שירות המדינה (מינויים) (תיקון - הכרה בלימודים תורניים גבוהים לעניין תנאי סף), התשפ""ג-2022")</f>
        <v>14079</v>
      </c>
      <c r="E7247" t="s">
        <v>14079</v>
      </c>
      <c r="F7247" t="s">
        <v>14080</v>
      </c>
      <c r="G7247" t="s">
        <v>14</v>
      </c>
      <c r="H7247">
             </c>
      <c r="I7247" t="s">
        <v>14</v>
      </c>
      <c r="J7247" t="s">
        <v>141</v>
      </c>
      <c r="K7247" t="s">
        <v>14</v>
      </c>
      <c r="L7247" t="s">
        <v>20</v>
      </c>
      <c r="M7247" t="s">
        <v>13929</v>
      </c>
      <c r="N7247" t="s">
        <v>14</v>
      </c>
    </row>
    <row r="7248" x14ac:dyDescent="0.25">
      <c r="A7248" t="n">
        <v>25</v>
      </c>
      <c r="B7248" t="s">
        <v>14</v>
      </c>
      <c r="C7248" t="s">
        <v>22</v>
      </c>
      <c r="D7248" s="2" t="s">
        <f>=HYPERLINK("https://main.knesset.gov.il/APPS/legislation/main/bills/2196722", "הצעת חוק התכנון והבנייה (תיקון - סייגים להתניית היתר), התשפ""ג-2022")</f>
        <v>14081</v>
      </c>
      <c r="E7248" t="s">
        <v>14081</v>
      </c>
      <c r="F7248" t="s">
        <v>14082</v>
      </c>
      <c r="G7248" t="s">
        <v>14</v>
      </c>
      <c r="H7248">
             </c>
      <c r="I7248" t="s">
        <v>14</v>
      </c>
      <c r="J7248" t="s">
        <v>141</v>
      </c>
      <c r="K7248" t="s">
        <v>14</v>
      </c>
      <c r="L7248" t="s">
        <v>20</v>
      </c>
      <c r="M7248" t="s">
        <v>13929</v>
      </c>
      <c r="N7248" t="s">
        <v>14</v>
      </c>
    </row>
    <row r="7249" x14ac:dyDescent="0.25">
      <c r="A7249" t="n">
        <v>25</v>
      </c>
      <c r="B7249" t="s">
        <v>14</v>
      </c>
      <c r="C7249" t="s">
        <v>22</v>
      </c>
      <c r="D7249" s="2" t="s">
        <f>=HYPERLINK("https://main.knesset.gov.il/APPS/legislation/main/bills/2196720", "הצעת חוק התכנון והבנייה (תיקון - הרחבת הפטור מהיטל השבחה), התשפ""ג-2022")</f>
        <v>14083</v>
      </c>
      <c r="E7249" t="s">
        <v>14083</v>
      </c>
      <c r="F7249" t="s">
        <v>14084</v>
      </c>
      <c r="G7249" t="s">
        <v>14</v>
      </c>
      <c r="H7249">
             </c>
      <c r="I7249" t="s">
        <v>14</v>
      </c>
      <c r="J7249" t="s">
        <v>141</v>
      </c>
      <c r="K7249" t="s">
        <v>14</v>
      </c>
      <c r="L7249" t="s">
        <v>20</v>
      </c>
      <c r="M7249" t="s">
        <v>13929</v>
      </c>
      <c r="N7249" t="s">
        <v>14</v>
      </c>
    </row>
    <row r="7250" x14ac:dyDescent="0.25">
      <c r="A7250" t="n">
        <v>25</v>
      </c>
      <c r="B7250" t="s">
        <v>14</v>
      </c>
      <c r="C7250" t="s">
        <v>22</v>
      </c>
      <c r="D7250" s="2" t="s">
        <f>=HYPERLINK("https://main.knesset.gov.il/APPS/legislation/main/bills/2195993", "הצעת חוק מידע גנטי (תיקון - איסור שימוש בתוצאות בדיקה גנטית לקביעת השתייכות לעדה דתית), התשפ""ג-2022")</f>
        <v>14085</v>
      </c>
      <c r="E7250" t="s">
        <v>14085</v>
      </c>
      <c r="F7250" t="s">
        <v>14086</v>
      </c>
      <c r="G7250" t="s">
        <v>14</v>
      </c>
      <c r="H7250">
             </c>
      <c r="I7250" t="s">
        <v>14</v>
      </c>
      <c r="J7250" t="s">
        <v>141</v>
      </c>
      <c r="K7250" t="s">
        <v>14</v>
      </c>
      <c r="L7250" t="s">
        <v>20</v>
      </c>
      <c r="M7250" t="s">
        <v>13929</v>
      </c>
      <c r="N7250" t="s">
        <v>14</v>
      </c>
    </row>
    <row r="7251" x14ac:dyDescent="0.25">
      <c r="A7251" t="n">
        <v>25</v>
      </c>
      <c r="B7251" t="s">
        <v>14</v>
      </c>
      <c r="C7251" t="s">
        <v>22</v>
      </c>
      <c r="D7251" s="2" t="s">
        <f>=HYPERLINK("https://main.knesset.gov.il/APPS/legislation/main/bills/2196669", "הצעת חוק המועצות האזוריות (בחירת ראש המועצה) (תיקון - הגשת רשימה על ידי סיעה או מפלגה), התשפ""ג-2022")</f>
        <v>14087</v>
      </c>
      <c r="E7251" t="s">
        <v>14087</v>
      </c>
      <c r="F7251" t="s">
        <v>14088</v>
      </c>
      <c r="G7251" t="s">
        <v>14</v>
      </c>
      <c r="H7251">
             </c>
      <c r="I7251" t="s">
        <v>14</v>
      </c>
      <c r="J7251" t="s">
        <v>141</v>
      </c>
      <c r="K7251" t="s">
        <v>14</v>
      </c>
      <c r="L7251" t="s">
        <v>20</v>
      </c>
      <c r="M7251" t="s">
        <v>13929</v>
      </c>
      <c r="N7251" t="s">
        <v>14</v>
      </c>
    </row>
    <row r="7252" x14ac:dyDescent="0.25">
      <c r="A7252" t="n">
        <v>25</v>
      </c>
      <c r="B7252" t="s">
        <v>14</v>
      </c>
      <c r="C7252" t="s">
        <v>22</v>
      </c>
      <c r="D7252" s="2" t="s">
        <f>=HYPERLINK("https://main.knesset.gov.il/APPS/legislation/main/bills/2196148", "הצעת חוק הביטוח הלאומי (תיקון - קצבת נכות וקצבת שאירים), התשפ""ג-2022")</f>
        <v>14089</v>
      </c>
      <c r="E7252" t="s">
        <v>14089</v>
      </c>
      <c r="F7252" t="s">
        <v>14090</v>
      </c>
      <c r="G7252" t="s">
        <v>14</v>
      </c>
      <c r="H7252">
             </c>
      <c r="I7252" t="s">
        <v>14</v>
      </c>
      <c r="J7252" t="s">
        <v>141</v>
      </c>
      <c r="K7252" t="s">
        <v>14</v>
      </c>
      <c r="L7252" t="s">
        <v>20</v>
      </c>
      <c r="M7252" t="s">
        <v>13929</v>
      </c>
      <c r="N7252" t="s">
        <v>14</v>
      </c>
    </row>
    <row r="7253" x14ac:dyDescent="0.25">
      <c r="A7253" t="n">
        <v>25</v>
      </c>
      <c r="B7253" t="s">
        <v>14</v>
      </c>
      <c r="C7253" t="s">
        <v>22</v>
      </c>
      <c r="D7253" s="2" t="s">
        <f>=HYPERLINK("https://main.knesset.gov.il/APPS/legislation/main/bills/2196040", "הצעת חוק העונשין (תיקון - פיצויים לזכאי במשפט חוזר ובערעור בבית המשפט העליון), התשפ""ג-2022")</f>
        <v>14091</v>
      </c>
      <c r="E7253" t="s">
        <v>14091</v>
      </c>
      <c r="F7253" t="s">
        <v>14092</v>
      </c>
      <c r="G7253" t="s">
        <v>14</v>
      </c>
      <c r="H7253">
             </c>
      <c r="I7253" t="s">
        <v>14</v>
      </c>
      <c r="J7253" t="s">
        <v>141</v>
      </c>
      <c r="K7253" t="s">
        <v>14</v>
      </c>
      <c r="L7253" t="s">
        <v>20</v>
      </c>
      <c r="M7253" t="s">
        <v>13929</v>
      </c>
      <c r="N7253" t="s">
        <v>14</v>
      </c>
    </row>
    <row r="7254" x14ac:dyDescent="0.25">
      <c r="A7254" t="n">
        <v>25</v>
      </c>
      <c r="B7254" t="s">
        <v>14</v>
      </c>
      <c r="C7254" t="s">
        <v>22</v>
      </c>
      <c r="D7254" s="2" t="s">
        <f>=HYPERLINK("https://main.knesset.gov.il/APPS/legislation/main/bills/2196533", "הצעת חוק יישוב סכסוכי עבודה (תיקון - סכסוך עבודה פוליטי), התשפ""ג-2022")</f>
        <v>14093</v>
      </c>
      <c r="E7254" t="s">
        <v>14093</v>
      </c>
      <c r="F7254" t="s">
        <v>14094</v>
      </c>
      <c r="G7254" t="s">
        <v>14</v>
      </c>
      <c r="H7254">
             </c>
      <c r="I7254" t="s">
        <v>14</v>
      </c>
      <c r="J7254" t="s">
        <v>141</v>
      </c>
      <c r="K7254" t="s">
        <v>14</v>
      </c>
      <c r="L7254" t="s">
        <v>20</v>
      </c>
      <c r="M7254" t="s">
        <v>13929</v>
      </c>
      <c r="N7254" t="s">
        <v>14</v>
      </c>
    </row>
    <row r="7255" x14ac:dyDescent="0.25">
      <c r="A7255" t="n">
        <v>25</v>
      </c>
      <c r="B7255" t="s">
        <v>14</v>
      </c>
      <c r="C7255" t="s">
        <v>22</v>
      </c>
      <c r="D7255" s="2" t="s">
        <f>=HYPERLINK("https://main.knesset.gov.il/APPS/legislation/main/bills/2196086", "הצעת חוק העברת היחידות הארציות של משרדי הממשלה לירושלים, התשפ""ג-2022")</f>
        <v>14095</v>
      </c>
      <c r="E7255" t="s">
        <v>14095</v>
      </c>
      <c r="F7255" t="s">
        <v>14096</v>
      </c>
      <c r="G7255" t="s">
        <v>14</v>
      </c>
      <c r="H7255">
             </c>
      <c r="I7255" t="s">
        <v>14</v>
      </c>
      <c r="J7255" t="s">
        <v>343</v>
      </c>
      <c r="K7255" t="s">
        <v>14</v>
      </c>
      <c r="L7255" t="s">
        <v>20</v>
      </c>
      <c r="M7255" t="s">
        <v>13929</v>
      </c>
      <c r="N7255" t="s">
        <v>14</v>
      </c>
    </row>
    <row r="7256" x14ac:dyDescent="0.25">
      <c r="A7256" t="n">
        <v>25</v>
      </c>
      <c r="B7256" t="s">
        <v>14</v>
      </c>
      <c r="C7256" t="s">
        <v>22</v>
      </c>
      <c r="D7256" s="2" t="s">
        <f>=HYPERLINK("https://main.knesset.gov.il/APPS/legislation/main/bills/2196495", "הצעת חוק לתיקון פקודת הראיות (חיסיון רואה חשבון), התשפ""ג-2022")</f>
        <v>14097</v>
      </c>
      <c r="E7256" t="s">
        <v>14097</v>
      </c>
      <c r="F7256" t="s">
        <v>14098</v>
      </c>
      <c r="G7256" t="s">
        <v>14</v>
      </c>
      <c r="H7256">
             </c>
      <c r="I7256" t="s">
        <v>14</v>
      </c>
      <c r="J7256" t="s">
        <v>141</v>
      </c>
      <c r="K7256" t="s">
        <v>14</v>
      </c>
      <c r="L7256" t="s">
        <v>20</v>
      </c>
      <c r="M7256" t="s">
        <v>13929</v>
      </c>
      <c r="N7256" t="s">
        <v>14</v>
      </c>
    </row>
    <row r="7257" x14ac:dyDescent="0.25">
      <c r="A7257" t="n">
        <v>25</v>
      </c>
      <c r="B7257" t="s">
        <v>14</v>
      </c>
      <c r="C7257" t="s">
        <v>22</v>
      </c>
      <c r="D7257" s="2" t="s">
        <f>=HYPERLINK("https://main.knesset.gov.il/APPS/legislation/main/bills/2196511", "הצעת חוק המים (תיקון - מתן הנחות בתעריפי מים לאוכלוסיות נזקקות), התשפ""ג-2022")</f>
        <v>14099</v>
      </c>
      <c r="E7257" t="s">
        <v>14099</v>
      </c>
      <c r="F7257" t="s">
        <v>14100</v>
      </c>
      <c r="G7257" t="s">
        <v>14</v>
      </c>
      <c r="H7257">
             </c>
      <c r="I7257" t="s">
        <v>14</v>
      </c>
      <c r="J7257" t="s">
        <v>141</v>
      </c>
      <c r="K7257" t="s">
        <v>14</v>
      </c>
      <c r="L7257" t="s">
        <v>20</v>
      </c>
      <c r="M7257" t="s">
        <v>13929</v>
      </c>
      <c r="N7257" t="s">
        <v>14</v>
      </c>
    </row>
    <row r="7258" x14ac:dyDescent="0.25">
      <c r="A7258" t="n">
        <v>25</v>
      </c>
      <c r="B7258" t="s">
        <v>14</v>
      </c>
      <c r="C7258" t="s">
        <v>22</v>
      </c>
      <c r="D7258" s="2" t="s">
        <f>=HYPERLINK("https://main.knesset.gov.il/APPS/legislation/main/bills/2196510", "הצעת חוק משק החשמל (תיקון - איסור ניתוק חשמל), התשפ""ג-2022")</f>
        <v>14033</v>
      </c>
      <c r="E7258" t="s">
        <v>14033</v>
      </c>
      <c r="F7258" t="s">
        <v>14101</v>
      </c>
      <c r="G7258" t="s">
        <v>14</v>
      </c>
      <c r="H7258">
             </c>
      <c r="I7258" t="s">
        <v>14</v>
      </c>
      <c r="J7258" t="s">
        <v>141</v>
      </c>
      <c r="K7258" t="s">
        <v>14</v>
      </c>
      <c r="L7258" t="s">
        <v>20</v>
      </c>
      <c r="M7258" t="s">
        <v>13929</v>
      </c>
      <c r="N7258" t="s">
        <v>14</v>
      </c>
    </row>
    <row r="7259" x14ac:dyDescent="0.25">
      <c r="A7259" t="n">
        <v>25</v>
      </c>
      <c r="B7259" t="s">
        <v>14</v>
      </c>
      <c r="C7259" t="s">
        <v>22</v>
      </c>
      <c r="D7259" s="2" t="s">
        <f>=HYPERLINK("https://main.knesset.gov.il/APPS/legislation/main/bills/2196491", "הצעת חוק בית המשפט לענייני משפחה (תיקון - בני זוג מאותו המין), התשפ""ג-2022")</f>
        <v>14102</v>
      </c>
      <c r="E7259" t="s">
        <v>14102</v>
      </c>
      <c r="F7259" t="s">
        <v>14103</v>
      </c>
      <c r="G7259" t="s">
        <v>14</v>
      </c>
      <c r="H7259">
             </c>
      <c r="I7259" t="s">
        <v>14</v>
      </c>
      <c r="J7259" t="s">
        <v>141</v>
      </c>
      <c r="K7259" t="s">
        <v>14</v>
      </c>
      <c r="L7259" t="s">
        <v>20</v>
      </c>
      <c r="M7259" t="s">
        <v>13929</v>
      </c>
      <c r="N7259" t="s">
        <v>14</v>
      </c>
    </row>
    <row r="7260" x14ac:dyDescent="0.25">
      <c r="A7260" t="n">
        <v>25</v>
      </c>
      <c r="B7260" t="s">
        <v>14</v>
      </c>
      <c r="C7260" t="s">
        <v>22</v>
      </c>
      <c r="D7260" s="2" t="s">
        <f>=HYPERLINK("https://main.knesset.gov.il/APPS/legislation/main/bills/2196053", "הצעת חוק צער בעלי חיים (הגנה על בעלי חיים) (תיקון - קביעת עונש מינימום בגין התעללות בבעלי חיים), התשפ""ג-2022")</f>
        <v>14104</v>
      </c>
      <c r="E7260" t="s">
        <v>14104</v>
      </c>
      <c r="F7260" t="s">
        <v>14105</v>
      </c>
      <c r="G7260" t="s">
        <v>14</v>
      </c>
      <c r="H7260">
             </c>
      <c r="I7260" t="s">
        <v>14</v>
      </c>
      <c r="J7260" t="s">
        <v>141</v>
      </c>
      <c r="K7260" t="s">
        <v>14</v>
      </c>
      <c r="L7260" t="s">
        <v>20</v>
      </c>
      <c r="M7260" t="s">
        <v>13929</v>
      </c>
      <c r="N7260" t="s">
        <v>14</v>
      </c>
    </row>
    <row r="7261" x14ac:dyDescent="0.25">
      <c r="A7261" t="n">
        <v>25</v>
      </c>
      <c r="B7261" t="s">
        <v>14</v>
      </c>
      <c r="C7261" t="s">
        <v>22</v>
      </c>
      <c r="D7261" s="2" t="s">
        <f>=HYPERLINK("https://main.knesset.gov.il/APPS/legislation/main/bills/2196403", "הצעת חוק צער בעלי חיים (הגנה על בעלי חיים) (תיקון - איסור משלוחים חיים לשחיטה), התשפ""ג-2022")</f>
        <v>13054</v>
      </c>
      <c r="E7261" t="s">
        <v>13054</v>
      </c>
      <c r="F7261" t="s">
        <v>14106</v>
      </c>
      <c r="G7261" t="s">
        <v>14</v>
      </c>
      <c r="H7261">
             </c>
      <c r="I7261" t="s">
        <v>14</v>
      </c>
      <c r="J7261" t="s">
        <v>141</v>
      </c>
      <c r="K7261" t="s">
        <v>14</v>
      </c>
      <c r="L7261" t="s">
        <v>20</v>
      </c>
      <c r="M7261" t="s">
        <v>13929</v>
      </c>
      <c r="N7261" t="s">
        <v>14</v>
      </c>
    </row>
    <row r="7262" x14ac:dyDescent="0.25">
      <c r="A7262" t="n">
        <v>25</v>
      </c>
      <c r="B7262" t="s">
        <v>14</v>
      </c>
      <c r="C7262" t="s">
        <v>22</v>
      </c>
      <c r="D7262" s="2" t="s">
        <f>=HYPERLINK("https://main.knesset.gov.il/APPS/legislation/main/bills/2196383", "הצעת חוק לתיקון פקודת ביטוח רכב מנועי (חיוב שיווק פוליסה), התשפ""ג-2022")</f>
        <v>14107</v>
      </c>
      <c r="E7262" t="s">
        <v>14107</v>
      </c>
      <c r="F7262" t="s">
        <v>14108</v>
      </c>
      <c r="G7262" t="s">
        <v>14</v>
      </c>
      <c r="H7262">
             </c>
      <c r="I7262" t="s">
        <v>14</v>
      </c>
      <c r="J7262" t="s">
        <v>141</v>
      </c>
      <c r="K7262" t="s">
        <v>14</v>
      </c>
      <c r="L7262" t="s">
        <v>20</v>
      </c>
      <c r="M7262" t="s">
        <v>13929</v>
      </c>
      <c r="N7262" t="s">
        <v>14</v>
      </c>
    </row>
    <row r="7263" x14ac:dyDescent="0.25">
      <c r="A7263" t="n">
        <v>25</v>
      </c>
      <c r="B7263" t="s">
        <v>14</v>
      </c>
      <c r="C7263" t="s">
        <v>22</v>
      </c>
      <c r="D7263" s="2" t="s">
        <f>=HYPERLINK("https://main.knesset.gov.il/APPS/legislation/main/bills/2196479", "הצעת חוק מס ערך מוסף (תיקון - פטור ממס ממכירת תרופות מאריכות חיים שאינן כלולות בסל הבריאות), התשפ""ג-2022")</f>
        <v>14109</v>
      </c>
      <c r="E7263" t="s">
        <v>14109</v>
      </c>
      <c r="F7263" t="s">
        <v>14110</v>
      </c>
      <c r="G7263" t="s">
        <v>14</v>
      </c>
      <c r="H7263">
             </c>
      <c r="I7263" t="s">
        <v>14</v>
      </c>
      <c r="J7263" t="s">
        <v>141</v>
      </c>
      <c r="K7263" t="s">
        <v>14</v>
      </c>
      <c r="L7263" t="s">
        <v>20</v>
      </c>
      <c r="M7263" t="s">
        <v>13929</v>
      </c>
      <c r="N7263" t="s">
        <v>14</v>
      </c>
    </row>
    <row r="7264" x14ac:dyDescent="0.25">
      <c r="A7264" t="n">
        <v>25</v>
      </c>
      <c r="B7264" t="s">
        <v>14</v>
      </c>
      <c r="C7264" t="s">
        <v>22</v>
      </c>
      <c r="D7264" s="2" t="s">
        <f>=HYPERLINK("https://main.knesset.gov.il/APPS/legislation/main/bills/2196357", "הצעת חוק התאמת טפסים ממשלתיים (פרטי הורים), התשפ""ג-2022")</f>
        <v>14111</v>
      </c>
      <c r="E7264" t="s">
        <v>14111</v>
      </c>
      <c r="F7264" t="s">
        <v>14112</v>
      </c>
      <c r="G7264" t="s">
        <v>14</v>
      </c>
      <c r="H7264">
             </c>
      <c r="I7264" t="s">
        <v>14</v>
      </c>
      <c r="J7264" t="s">
        <v>141</v>
      </c>
      <c r="K7264" t="s">
        <v>14</v>
      </c>
      <c r="L7264" t="s">
        <v>20</v>
      </c>
      <c r="M7264" t="s">
        <v>13929</v>
      </c>
      <c r="N7264" t="s">
        <v>14</v>
      </c>
    </row>
    <row r="7265" x14ac:dyDescent="0.25">
      <c r="A7265" t="n">
        <v>25</v>
      </c>
      <c r="B7265" t="s">
        <v>14</v>
      </c>
      <c r="C7265" t="s">
        <v>22</v>
      </c>
      <c r="D7265" s="2" t="s">
        <f>=HYPERLINK("https://main.knesset.gov.il/APPS/legislation/main/bills/2196355", "הצעת חוק בתי המשפט (תיקון - בעל דין טרדן), התשפ""ג-2022")</f>
        <v>14113</v>
      </c>
      <c r="E7265" t="s">
        <v>14113</v>
      </c>
      <c r="F7265" t="s">
        <v>14114</v>
      </c>
      <c r="G7265" t="s">
        <v>14</v>
      </c>
      <c r="H7265">
             </c>
      <c r="I7265" t="s">
        <v>14</v>
      </c>
      <c r="J7265" t="s">
        <v>141</v>
      </c>
      <c r="K7265" t="s">
        <v>14</v>
      </c>
      <c r="L7265" t="s">
        <v>20</v>
      </c>
      <c r="M7265" t="s">
        <v>13929</v>
      </c>
      <c r="N7265" t="s">
        <v>14</v>
      </c>
    </row>
    <row r="7266" x14ac:dyDescent="0.25">
      <c r="A7266" t="n">
        <v>25</v>
      </c>
      <c r="B7266" t="s">
        <v>14</v>
      </c>
      <c r="C7266" t="s">
        <v>22</v>
      </c>
      <c r="D7266" s="2" t="s">
        <f>=HYPERLINK("https://main.knesset.gov.il/APPS/legislation/main/bills/2195998", "הצעת חוק בחירות לגופים ציבוריים (תיקון - הגבלת כהונת יושב ראש ועד עובדים), התשפ""ג-2022")</f>
        <v>14115</v>
      </c>
      <c r="E7266" t="s">
        <v>14115</v>
      </c>
      <c r="F7266" t="s">
        <v>14116</v>
      </c>
      <c r="G7266" t="s">
        <v>14</v>
      </c>
      <c r="H7266">
             </c>
      <c r="I7266" t="s">
        <v>14</v>
      </c>
      <c r="J7266" t="s">
        <v>141</v>
      </c>
      <c r="K7266" t="s">
        <v>14</v>
      </c>
      <c r="L7266" t="s">
        <v>20</v>
      </c>
      <c r="M7266" t="s">
        <v>13929</v>
      </c>
      <c r="N7266" t="s">
        <v>14</v>
      </c>
    </row>
    <row r="7267" x14ac:dyDescent="0.25">
      <c r="A7267" t="n">
        <v>25</v>
      </c>
      <c r="B7267" t="s">
        <v>14</v>
      </c>
      <c r="C7267" t="s">
        <v>22</v>
      </c>
      <c r="D7267" s="2" t="s">
        <f>=HYPERLINK("https://main.knesset.gov.il/APPS/legislation/main/bills/2196962", "הצעת חוק הסכמים קיבוציים (תיקון - יציגות ארגון עובדים והגנה על הפרט), התשפ""ג-2022")</f>
        <v>14117</v>
      </c>
      <c r="E7267" t="s">
        <v>14117</v>
      </c>
      <c r="F7267" t="s">
        <v>14118</v>
      </c>
      <c r="G7267" t="s">
        <v>14</v>
      </c>
      <c r="H7267">
             </c>
      <c r="I7267" t="s">
        <v>14</v>
      </c>
      <c r="J7267" t="s">
        <v>141</v>
      </c>
      <c r="K7267" t="s">
        <v>14</v>
      </c>
      <c r="L7267" t="s">
        <v>20</v>
      </c>
      <c r="M7267" t="s">
        <v>13929</v>
      </c>
      <c r="N7267" t="s">
        <v>14</v>
      </c>
    </row>
    <row r="7268" x14ac:dyDescent="0.25">
      <c r="A7268" t="n">
        <v>25</v>
      </c>
      <c r="B7268" t="s">
        <v>14</v>
      </c>
      <c r="C7268" t="s">
        <v>22</v>
      </c>
      <c r="D7268" s="2" t="s">
        <f>=HYPERLINK("https://main.knesset.gov.il/APPS/legislation/main/bills/2196151", "הצעת חוק עובדים זרים (תיקון - הפחתת אגרות בענף החקלאות) (הוראת שעה), התשפ""ג-2022")</f>
        <v>14119</v>
      </c>
      <c r="E7268" t="s">
        <v>14119</v>
      </c>
      <c r="F7268" t="s">
        <v>14120</v>
      </c>
      <c r="G7268" t="s">
        <v>14</v>
      </c>
      <c r="H7268">
             </c>
      <c r="I7268" t="s">
        <v>14</v>
      </c>
      <c r="J7268" t="s">
        <v>141</v>
      </c>
      <c r="K7268" t="s">
        <v>14</v>
      </c>
      <c r="L7268" t="s">
        <v>20</v>
      </c>
      <c r="M7268" t="s">
        <v>13929</v>
      </c>
      <c r="N7268" t="s">
        <v>14</v>
      </c>
    </row>
    <row r="7269" x14ac:dyDescent="0.25">
      <c r="A7269" t="n">
        <v>25</v>
      </c>
      <c r="B7269" t="s">
        <v>14</v>
      </c>
      <c r="C7269" t="s">
        <v>22</v>
      </c>
      <c r="D7269" s="2" t="s">
        <f>=HYPERLINK("https://main.knesset.gov.il/APPS/legislation/main/bills/2195813", "הצעת חוק התניית יום שבתון בהצבעה בבחירות (תיקוני חקיקה), התשפ""ג-2022")</f>
        <v>14121</v>
      </c>
      <c r="E7269" t="s">
        <v>14121</v>
      </c>
      <c r="F7269" t="s">
        <v>14122</v>
      </c>
      <c r="G7269" t="s">
        <v>14</v>
      </c>
      <c r="H7269">
             </c>
      <c r="I7269" t="s">
        <v>14</v>
      </c>
      <c r="J7269" t="s">
        <v>141</v>
      </c>
      <c r="K7269" t="s">
        <v>14</v>
      </c>
      <c r="L7269" t="s">
        <v>20</v>
      </c>
      <c r="M7269" t="s">
        <v>13929</v>
      </c>
      <c r="N7269" t="s">
        <v>14</v>
      </c>
    </row>
    <row r="7270" x14ac:dyDescent="0.25">
      <c r="A7270" t="n">
        <v>25</v>
      </c>
      <c r="B7270" t="s">
        <v>14</v>
      </c>
      <c r="C7270" t="s">
        <v>22</v>
      </c>
      <c r="D7270" s="2" t="s">
        <f>=HYPERLINK("https://main.knesset.gov.il/APPS/legislation/main/bills/2195803", "הצעת חוק הביטוח הלאומי (תיקון - הטבות למי שמקבל גמלה לפי חוק הביטוח הלאומי וקיבל גמלת הבטחת הכנסה), התשפ""ג-2022")</f>
        <v>14123</v>
      </c>
      <c r="E7270" t="s">
        <v>14123</v>
      </c>
      <c r="F7270" t="s">
        <v>14124</v>
      </c>
      <c r="G7270" t="s">
        <v>14</v>
      </c>
      <c r="H7270">
             </c>
      <c r="I7270" t="s">
        <v>14</v>
      </c>
      <c r="J7270" t="s">
        <v>141</v>
      </c>
      <c r="K7270" t="s">
        <v>14</v>
      </c>
      <c r="L7270" t="s">
        <v>20</v>
      </c>
      <c r="M7270" t="s">
        <v>13929</v>
      </c>
      <c r="N7270" t="s">
        <v>14</v>
      </c>
    </row>
    <row r="7271" x14ac:dyDescent="0.25">
      <c r="A7271" t="n">
        <v>25</v>
      </c>
      <c r="B7271" t="s">
        <v>14</v>
      </c>
      <c r="C7271" t="s">
        <v>22</v>
      </c>
      <c r="D7271" s="2" t="s">
        <f>=HYPERLINK("https://main.knesset.gov.il/APPS/legislation/main/bills/2196128", "הצעת חוק הסכמים לנשיאת עוברים (אישור הסכם ומעמד היילוד) (תיקון - הורים מיועדים), התשפ""ג-2022")</f>
        <v>14125</v>
      </c>
      <c r="E7271" t="s">
        <v>14125</v>
      </c>
      <c r="F7271" t="s">
        <v>14126</v>
      </c>
      <c r="G7271" t="s">
        <v>14</v>
      </c>
      <c r="H7271">
             </c>
      <c r="I7271" t="s">
        <v>14</v>
      </c>
      <c r="J7271" t="s">
        <v>141</v>
      </c>
      <c r="K7271" t="s">
        <v>14</v>
      </c>
      <c r="L7271" t="s">
        <v>20</v>
      </c>
      <c r="M7271" t="s">
        <v>13929</v>
      </c>
      <c r="N7271" t="s">
        <v>14</v>
      </c>
    </row>
    <row r="7272" x14ac:dyDescent="0.25">
      <c r="A7272" t="n">
        <v>25</v>
      </c>
      <c r="B7272" t="s">
        <v>14</v>
      </c>
      <c r="C7272" t="s">
        <v>22</v>
      </c>
      <c r="D7272" s="2" t="s">
        <f>=HYPERLINK("https://main.knesset.gov.il/APPS/legislation/main/bills/2197448", "הצעת חוק זכויות ושירותים לילדים ולבני נוער עם קשיים נפשיים, התשפ""ג-2022")</f>
        <v>14127</v>
      </c>
      <c r="E7272" t="s">
        <v>14127</v>
      </c>
      <c r="F7272" t="s">
        <v>14128</v>
      </c>
      <c r="G7272" t="s">
        <v>14</v>
      </c>
      <c r="H7272">
             </c>
      <c r="I7272" t="s">
        <v>14</v>
      </c>
      <c r="J7272" t="s">
        <v>141</v>
      </c>
      <c r="K7272" t="s">
        <v>14</v>
      </c>
      <c r="L7272" t="s">
        <v>20</v>
      </c>
      <c r="M7272" t="s">
        <v>13929</v>
      </c>
      <c r="N7272" t="s">
        <v>14</v>
      </c>
    </row>
    <row r="7273" x14ac:dyDescent="0.25">
      <c r="A7273" t="n">
        <v>25</v>
      </c>
      <c r="B7273" t="s">
        <v>14</v>
      </c>
      <c r="C7273" t="s">
        <v>22</v>
      </c>
      <c r="D7273" s="2" t="s">
        <f>=HYPERLINK("https://main.knesset.gov.il/APPS/legislation/main/bills/2197437", "הצעת חוק הנוער (טיפול והשגחה) (תיקון - ביטול הגנת קטין מפני פרסומים מזיקים במקרה של טיפול ואשפוז פסיכיאטריים), התשפ""ג-2022")</f>
        <v>14129</v>
      </c>
      <c r="E7273" t="s">
        <v>14129</v>
      </c>
      <c r="F7273" t="s">
        <v>14130</v>
      </c>
      <c r="G7273" t="s">
        <v>14</v>
      </c>
      <c r="H7273">
             </c>
      <c r="I7273" t="s">
        <v>14</v>
      </c>
      <c r="J7273" t="s">
        <v>141</v>
      </c>
      <c r="K7273" t="s">
        <v>14</v>
      </c>
      <c r="L7273" t="s">
        <v>20</v>
      </c>
      <c r="M7273" t="s">
        <v>13929</v>
      </c>
      <c r="N7273" t="s">
        <v>14</v>
      </c>
    </row>
    <row r="7274" x14ac:dyDescent="0.25">
      <c r="A7274" t="n">
        <v>25</v>
      </c>
      <c r="B7274" t="s">
        <v>14</v>
      </c>
      <c r="C7274" t="s">
        <v>22</v>
      </c>
      <c r="D7274" s="2" t="s">
        <f>=HYPERLINK("https://main.knesset.gov.il/APPS/legislation/main/bills/2196102", "הצעת חוק הסכמים לנשיאת עוברים (אישור הסכם ומעמד היילוד) (תיקון - הרחבת הזכאות להליכי נשיאת עוברים), התשפ""ג-2022")</f>
        <v>14131</v>
      </c>
      <c r="E7274" t="s">
        <v>14131</v>
      </c>
      <c r="F7274" t="s">
        <v>14132</v>
      </c>
      <c r="G7274" t="s">
        <v>14</v>
      </c>
      <c r="H7274">
             </c>
      <c r="I7274" t="s">
        <v>14</v>
      </c>
      <c r="J7274" t="s">
        <v>141</v>
      </c>
      <c r="K7274" t="s">
        <v>14</v>
      </c>
      <c r="L7274" t="s">
        <v>20</v>
      </c>
      <c r="M7274" t="s">
        <v>13929</v>
      </c>
      <c r="N7274" t="s">
        <v>14</v>
      </c>
    </row>
    <row r="7275" x14ac:dyDescent="0.25">
      <c r="A7275" t="n">
        <v>25</v>
      </c>
      <c r="B7275" t="s">
        <v>14</v>
      </c>
      <c r="C7275" t="s">
        <v>22</v>
      </c>
      <c r="D7275" s="2" t="s">
        <f>=HYPERLINK("https://main.knesset.gov.il/APPS/legislation/main/bills/2196085", "הצעת חוק סיוע לקטינים נפגעי עבירות מין או אלימות (תיקון - טיפול נפשי לילדים נפגעי אלימות במשפחה), התשפ""ג-2022")</f>
        <v>14133</v>
      </c>
      <c r="E7275" t="s">
        <v>14133</v>
      </c>
      <c r="F7275" t="s">
        <v>14134</v>
      </c>
      <c r="G7275" t="s">
        <v>14</v>
      </c>
      <c r="H7275">
             </c>
      <c r="I7275" t="s">
        <v>14</v>
      </c>
      <c r="J7275" t="s">
        <v>141</v>
      </c>
      <c r="K7275" t="s">
        <v>14</v>
      </c>
      <c r="L7275" t="s">
        <v>20</v>
      </c>
      <c r="M7275" t="s">
        <v>13929</v>
      </c>
      <c r="N7275" t="s">
        <v>14</v>
      </c>
    </row>
    <row r="7276" x14ac:dyDescent="0.25">
      <c r="A7276" t="n">
        <v>25</v>
      </c>
      <c r="B7276" t="s">
        <v>14</v>
      </c>
      <c r="C7276" t="s">
        <v>22</v>
      </c>
      <c r="D7276" s="2" t="s">
        <f>=HYPERLINK("https://main.knesset.gov.il/APPS/legislation/main/bills/2197294", "הצעת חוק שעות עבודה ומנוחה (תיקון - קיצור שבוע העבודה), התשפ""ג-2022")</f>
        <v>14135</v>
      </c>
      <c r="E7276" t="s">
        <v>14135</v>
      </c>
      <c r="F7276" t="s">
        <v>14136</v>
      </c>
      <c r="G7276" t="s">
        <v>14</v>
      </c>
      <c r="H7276">
             </c>
      <c r="I7276" t="s">
        <v>14</v>
      </c>
      <c r="J7276" t="s">
        <v>141</v>
      </c>
      <c r="K7276" t="s">
        <v>14</v>
      </c>
      <c r="L7276" t="s">
        <v>20</v>
      </c>
      <c r="M7276" t="s">
        <v>13929</v>
      </c>
      <c r="N7276" t="s">
        <v>14</v>
      </c>
    </row>
    <row r="7277" x14ac:dyDescent="0.25">
      <c r="A7277" t="n">
        <v>25</v>
      </c>
      <c r="B7277" t="s">
        <v>14</v>
      </c>
      <c r="C7277" t="s">
        <v>22</v>
      </c>
      <c r="D7277" s="2" t="s">
        <f>=HYPERLINK("https://main.knesset.gov.il/APPS/legislation/main/bills/2197039", "הצעת חוק שעות עבודה ומנוחה (תיקון - קיצור שבוע העבודה), התשפ""ג-2022")</f>
        <v>14135</v>
      </c>
      <c r="E7277" t="s">
        <v>14135</v>
      </c>
      <c r="F7277" t="s">
        <v>14137</v>
      </c>
      <c r="G7277" t="s">
        <v>14</v>
      </c>
      <c r="H7277">
             </c>
      <c r="I7277" t="s">
        <v>14</v>
      </c>
      <c r="J7277" t="s">
        <v>141</v>
      </c>
      <c r="K7277" t="s">
        <v>14</v>
      </c>
      <c r="L7277" t="s">
        <v>20</v>
      </c>
      <c r="M7277" t="s">
        <v>13929</v>
      </c>
      <c r="N7277" t="s">
        <v>14</v>
      </c>
    </row>
    <row r="7278" x14ac:dyDescent="0.25">
      <c r="A7278" t="n">
        <v>25</v>
      </c>
      <c r="B7278" t="s">
        <v>14</v>
      </c>
      <c r="C7278" t="s">
        <v>22</v>
      </c>
      <c r="D7278" s="2" t="s">
        <f>=HYPERLINK("https://main.knesset.gov.il/APPS/legislation/main/bills/2196530", "הצעת חוק ביטוח בריאות ממלכתי (תיקון - העברת שירותי הגמילה לתוספת השנייה), התשפ""ג-2022")</f>
        <v>14138</v>
      </c>
      <c r="E7278" t="s">
        <v>14138</v>
      </c>
      <c r="F7278" t="s">
        <v>14139</v>
      </c>
      <c r="G7278" t="s">
        <v>14</v>
      </c>
      <c r="H7278">
             </c>
      <c r="I7278" t="s">
        <v>14</v>
      </c>
      <c r="J7278" t="s">
        <v>141</v>
      </c>
      <c r="K7278" t="s">
        <v>14</v>
      </c>
      <c r="L7278" t="s">
        <v>20</v>
      </c>
      <c r="M7278" t="s">
        <v>13929</v>
      </c>
      <c r="N7278" t="s">
        <v>14</v>
      </c>
    </row>
    <row r="7279" x14ac:dyDescent="0.25">
      <c r="A7279" t="n">
        <v>25</v>
      </c>
      <c r="B7279" t="s">
        <v>14</v>
      </c>
      <c r="C7279" t="s">
        <v>22</v>
      </c>
      <c r="D7279" s="2" t="s">
        <f>=HYPERLINK("https://main.knesset.gov.il/APPS/legislation/main/bills/2196187", "הצעת חוק ביטוח בריאות ממלכתי (תיקון - הוספת טיפול בקנבוס למטרות רפואיות לסל שירותי הבריאות), התשפ""ג-2022")</f>
        <v>14140</v>
      </c>
      <c r="E7279" t="s">
        <v>14140</v>
      </c>
      <c r="F7279" t="s">
        <v>14141</v>
      </c>
      <c r="G7279" t="s">
        <v>14</v>
      </c>
      <c r="H7279">
             </c>
      <c r="I7279" t="s">
        <v>14</v>
      </c>
      <c r="J7279" t="s">
        <v>141</v>
      </c>
      <c r="K7279" t="s">
        <v>14</v>
      </c>
      <c r="L7279" t="s">
        <v>20</v>
      </c>
      <c r="M7279" t="s">
        <v>13929</v>
      </c>
      <c r="N7279" t="s">
        <v>14</v>
      </c>
    </row>
    <row r="7280" x14ac:dyDescent="0.25">
      <c r="A7280" t="n">
        <v>25</v>
      </c>
      <c r="B7280" t="s">
        <v>14</v>
      </c>
      <c r="C7280" t="s">
        <v>22</v>
      </c>
      <c r="D7280" s="2" t="s">
        <f>=HYPERLINK("https://main.knesset.gov.il/APPS/legislation/main/bills/2196350", "הצעת חוק המים (תיקון - איסור הפסקת אספקת מים בשל חובות של רשויות מקומיות), התשפ""ג-2022")</f>
        <v>14142</v>
      </c>
      <c r="E7280" t="s">
        <v>14142</v>
      </c>
      <c r="F7280" t="s">
        <v>14143</v>
      </c>
      <c r="G7280" t="s">
        <v>14</v>
      </c>
      <c r="H7280">
             </c>
      <c r="I7280" t="s">
        <v>14</v>
      </c>
      <c r="J7280" t="s">
        <v>141</v>
      </c>
      <c r="K7280" t="s">
        <v>14</v>
      </c>
      <c r="L7280" t="s">
        <v>20</v>
      </c>
      <c r="M7280" t="s">
        <v>13929</v>
      </c>
      <c r="N7280" t="s">
        <v>14</v>
      </c>
    </row>
    <row r="7281" x14ac:dyDescent="0.25">
      <c r="A7281" t="n">
        <v>25</v>
      </c>
      <c r="B7281" t="s">
        <v>14</v>
      </c>
      <c r="C7281" t="s">
        <v>22</v>
      </c>
      <c r="D7281" s="2" t="s">
        <f>=HYPERLINK("https://main.knesset.gov.il/APPS/legislation/main/bills/2195798", "הצעת חוק הרבנות הראשית לישראל (תיקון - הרחבת האסיפה הבוחרת), התשפ""ג-2022")</f>
        <v>14144</v>
      </c>
      <c r="E7281" t="s">
        <v>14144</v>
      </c>
      <c r="F7281" t="s">
        <v>14145</v>
      </c>
      <c r="G7281" t="s">
        <v>14</v>
      </c>
      <c r="H7281">
             </c>
      <c r="I7281" t="s">
        <v>14</v>
      </c>
      <c r="J7281" t="s">
        <v>141</v>
      </c>
      <c r="K7281" t="s">
        <v>14</v>
      </c>
      <c r="L7281" t="s">
        <v>20</v>
      </c>
      <c r="M7281" t="s">
        <v>13929</v>
      </c>
      <c r="N7281" t="s">
        <v>14</v>
      </c>
    </row>
    <row r="7282" x14ac:dyDescent="0.25">
      <c r="A7282" t="n">
        <v>25</v>
      </c>
      <c r="B7282" t="s">
        <v>14</v>
      </c>
      <c r="C7282" t="s">
        <v>22</v>
      </c>
      <c r="D7282" s="2" t="s">
        <f>=HYPERLINK("https://main.knesset.gov.il/APPS/legislation/main/bills/2196709", "הצעת חוק הבחירות לכנסת (תיקון - עדכון כתובת לצורכי בחירות), התשפ""ג-2022")</f>
        <v>14146</v>
      </c>
      <c r="E7282" t="s">
        <v>14146</v>
      </c>
      <c r="F7282" t="s">
        <v>14147</v>
      </c>
      <c r="G7282" t="s">
        <v>14</v>
      </c>
      <c r="H7282">
             </c>
      <c r="I7282" t="s">
        <v>14</v>
      </c>
      <c r="J7282" t="s">
        <v>141</v>
      </c>
      <c r="K7282" t="s">
        <v>14</v>
      </c>
      <c r="L7282" t="s">
        <v>20</v>
      </c>
      <c r="M7282" t="s">
        <v>13929</v>
      </c>
      <c r="N7282" t="s">
        <v>14</v>
      </c>
    </row>
    <row r="7283" x14ac:dyDescent="0.25">
      <c r="A7283" t="n">
        <v>25</v>
      </c>
      <c r="B7283" t="s">
        <v>14</v>
      </c>
      <c r="C7283" t="s">
        <v>22</v>
      </c>
      <c r="D7283" s="2" t="s">
        <f>=HYPERLINK("https://main.knesset.gov.il/APPS/legislation/main/bills/2196138", "הצעת חוק נאמני שואה במשרדי ממשלה, התשפ""ג-2022 ")</f>
        <v>14148</v>
      </c>
      <c r="E7283" t="s">
        <v>14148</v>
      </c>
      <c r="F7283" t="s">
        <v>14149</v>
      </c>
      <c r="G7283" t="s">
        <v>14</v>
      </c>
      <c r="H7283">
             </c>
      <c r="I7283" t="s">
        <v>14</v>
      </c>
      <c r="J7283" t="s">
        <v>141</v>
      </c>
      <c r="K7283" t="s">
        <v>14</v>
      </c>
      <c r="L7283" t="s">
        <v>20</v>
      </c>
      <c r="M7283" t="s">
        <v>13929</v>
      </c>
      <c r="N7283" t="s">
        <v>14</v>
      </c>
    </row>
    <row r="7284" x14ac:dyDescent="0.25">
      <c r="A7284" t="n">
        <v>25</v>
      </c>
      <c r="B7284" t="s">
        <v>14</v>
      </c>
      <c r="C7284" t="s">
        <v>22</v>
      </c>
      <c r="D7284" s="2" t="s">
        <f>=HYPERLINK("https://main.knesset.gov.il/APPS/legislation/main/bills/2196343", "הצעת חוק התובע הכללי, התשפ""ג-2022")</f>
        <v>12960</v>
      </c>
      <c r="E7284" t="s">
        <v>12960</v>
      </c>
      <c r="F7284" t="s">
        <v>14150</v>
      </c>
      <c r="G7284" t="s">
        <v>14</v>
      </c>
      <c r="H7284">
             </c>
      <c r="I7284" t="s">
        <v>14</v>
      </c>
      <c r="J7284" t="s">
        <v>141</v>
      </c>
      <c r="K7284" t="s">
        <v>14</v>
      </c>
      <c r="L7284" t="s">
        <v>20</v>
      </c>
      <c r="M7284" t="s">
        <v>13929</v>
      </c>
      <c r="N7284" t="s">
        <v>14</v>
      </c>
    </row>
    <row r="7285" x14ac:dyDescent="0.25">
      <c r="A7285" t="n">
        <v>25</v>
      </c>
      <c r="B7285" t="s">
        <v>14</v>
      </c>
      <c r="C7285" t="s">
        <v>22</v>
      </c>
      <c r="D7285" s="2" t="s">
        <f>=HYPERLINK("https://main.knesset.gov.il/APPS/legislation/main/bills/2195795", "הצעת חוק החזר הוצאות כספיות בגין עריכת נישואין אזרחיים בחוץ לארץ למי שאינם רשאים להינשא בישראל על פי דיני המדינה, התשפ""ג-2022")</f>
        <v>14151</v>
      </c>
      <c r="E7285" t="s">
        <v>14151</v>
      </c>
      <c r="F7285" t="s">
        <v>14152</v>
      </c>
      <c r="G7285" t="s">
        <v>14</v>
      </c>
      <c r="H7285">
             </c>
      <c r="I7285" t="s">
        <v>14</v>
      </c>
      <c r="J7285" t="s">
        <v>141</v>
      </c>
      <c r="K7285" t="s">
        <v>14</v>
      </c>
      <c r="L7285" t="s">
        <v>20</v>
      </c>
      <c r="M7285" t="s">
        <v>13929</v>
      </c>
      <c r="N7285" t="s">
        <v>14</v>
      </c>
    </row>
    <row r="7286" x14ac:dyDescent="0.25">
      <c r="A7286" t="n">
        <v>25</v>
      </c>
      <c r="B7286" t="s">
        <v>14</v>
      </c>
      <c r="C7286" t="s">
        <v>22</v>
      </c>
      <c r="D7286" s="2" t="s">
        <f>=HYPERLINK("https://main.knesset.gov.il/APPS/legislation/main/bills/2195765", "הצעת חוק לתיקון פקודת מס הכנסה (החזר בתשלום למעונות יום לאמהות), התשפ""ג-2022")</f>
        <v>14153</v>
      </c>
      <c r="E7286" t="s">
        <v>14153</v>
      </c>
      <c r="F7286" t="s">
        <v>14154</v>
      </c>
      <c r="G7286" t="s">
        <v>14</v>
      </c>
      <c r="H7286">
             </c>
      <c r="I7286" t="s">
        <v>14</v>
      </c>
      <c r="J7286" t="s">
        <v>141</v>
      </c>
      <c r="K7286" t="s">
        <v>14</v>
      </c>
      <c r="L7286" t="s">
        <v>20</v>
      </c>
      <c r="M7286" t="s">
        <v>13929</v>
      </c>
      <c r="N7286" t="s">
        <v>14</v>
      </c>
    </row>
    <row r="7287" x14ac:dyDescent="0.25">
      <c r="A7287" t="n">
        <v>25</v>
      </c>
      <c r="B7287" t="s">
        <v>14</v>
      </c>
      <c r="C7287" t="s">
        <v>22</v>
      </c>
      <c r="D7287" s="2" t="s">
        <f>=HYPERLINK("https://main.knesset.gov.il/APPS/legislation/main/bills/2196189", "הצעת חוק מס הכנסה (פטור ממס על הכנסה מהשכרת דירת מגורים) (תיקון - ניכוי דמי שכירות ששולמו בעד דירת מגורים), התשפ""ג-2022")</f>
        <v>14155</v>
      </c>
      <c r="E7287" t="s">
        <v>14155</v>
      </c>
      <c r="F7287" t="s">
        <v>14156</v>
      </c>
      <c r="G7287" t="s">
        <v>14</v>
      </c>
      <c r="H7287">
             </c>
      <c r="I7287" t="s">
        <v>14</v>
      </c>
      <c r="J7287" t="s">
        <v>141</v>
      </c>
      <c r="K7287" t="s">
        <v>14</v>
      </c>
      <c r="L7287" t="s">
        <v>20</v>
      </c>
      <c r="M7287" t="s">
        <v>13929</v>
      </c>
      <c r="N7287" t="s">
        <v>14</v>
      </c>
    </row>
    <row r="7288" x14ac:dyDescent="0.25">
      <c r="A7288" t="n">
        <v>25</v>
      </c>
      <c r="B7288" t="s">
        <v>14</v>
      </c>
      <c r="C7288" t="s">
        <v>22</v>
      </c>
      <c r="D7288" s="2" t="s">
        <f>=HYPERLINK("https://main.knesset.gov.il/APPS/legislation/main/bills/2195726", "הצעת חוק בשר ומוצריו (תיקון - הרחבת הסמכות ליתן תעודת הכשר לבשר מיובא), התשפ""ג-2022")</f>
        <v>14157</v>
      </c>
      <c r="E7288" t="s">
        <v>14157</v>
      </c>
      <c r="F7288" t="s">
        <v>14158</v>
      </c>
      <c r="G7288" t="s">
        <v>14</v>
      </c>
      <c r="H7288">
             </c>
      <c r="I7288" t="s">
        <v>14</v>
      </c>
      <c r="J7288" t="s">
        <v>141</v>
      </c>
      <c r="K7288" t="s">
        <v>14</v>
      </c>
      <c r="L7288" t="s">
        <v>20</v>
      </c>
      <c r="M7288" t="s">
        <v>13929</v>
      </c>
      <c r="N7288" t="s">
        <v>14</v>
      </c>
    </row>
    <row r="7289" x14ac:dyDescent="0.25">
      <c r="A7289" t="n">
        <v>25</v>
      </c>
      <c r="B7289" t="s">
        <v>14</v>
      </c>
      <c r="C7289" t="s">
        <v>22</v>
      </c>
      <c r="D7289" s="2" t="s">
        <f>=HYPERLINK("https://main.knesset.gov.il/APPS/legislation/main/bills/2196168", "הצעת חוק להסדרת הפיקוח על כלבים (תיקון - כלבי הפקר), התשפ""ג-2022")</f>
        <v>14159</v>
      </c>
      <c r="E7289" t="s">
        <v>14159</v>
      </c>
      <c r="F7289" t="s">
        <v>14160</v>
      </c>
      <c r="G7289" t="s">
        <v>14</v>
      </c>
      <c r="H7289">
             </c>
      <c r="I7289" t="s">
        <v>14</v>
      </c>
      <c r="J7289" t="s">
        <v>141</v>
      </c>
      <c r="K7289" t="s">
        <v>14</v>
      </c>
      <c r="L7289" t="s">
        <v>20</v>
      </c>
      <c r="M7289" t="s">
        <v>13929</v>
      </c>
      <c r="N7289" t="s">
        <v>14</v>
      </c>
    </row>
    <row r="7290" x14ac:dyDescent="0.25">
      <c r="A7290" t="n">
        <v>25</v>
      </c>
      <c r="B7290" t="s">
        <v>14</v>
      </c>
      <c r="C7290" t="s">
        <v>22</v>
      </c>
      <c r="D7290" s="2" t="s">
        <f>=HYPERLINK("https://main.knesset.gov.il/APPS/legislation/main/bills/2196334", "הצעת חוק האזרחות והכניסה לישראל (הוראת שעה) (תיקון - ביטול החוק), התשפ""ג-2022")</f>
        <v>13898</v>
      </c>
      <c r="E7290" t="s">
        <v>13898</v>
      </c>
      <c r="F7290" t="s">
        <v>14161</v>
      </c>
      <c r="G7290" t="s">
        <v>14</v>
      </c>
      <c r="H7290">
             </c>
      <c r="I7290" t="s">
        <v>14</v>
      </c>
      <c r="J7290" t="s">
        <v>141</v>
      </c>
      <c r="K7290" t="s">
        <v>14</v>
      </c>
      <c r="L7290" t="s">
        <v>20</v>
      </c>
      <c r="M7290" t="s">
        <v>13929</v>
      </c>
      <c r="N7290" t="s">
        <v>14</v>
      </c>
    </row>
    <row r="7291" x14ac:dyDescent="0.25">
      <c r="A7291" t="n">
        <v>25</v>
      </c>
      <c r="B7291" t="s">
        <v>14</v>
      </c>
      <c r="C7291" t="s">
        <v>22</v>
      </c>
      <c r="D7291" s="2" t="s">
        <f>=HYPERLINK("https://main.knesset.gov.il/APPS/legislation/main/bills/2195858", "הצעת חוק סיוע לקטינים נפגעי עבירות מין או אלימות (תיקון - טיפול נפשי לילדים), התשפ""ג-2022")</f>
        <v>14162</v>
      </c>
      <c r="E7291" t="s">
        <v>14162</v>
      </c>
      <c r="F7291" t="s">
        <v>14163</v>
      </c>
      <c r="G7291" t="s">
        <v>14</v>
      </c>
      <c r="H7291">
             </c>
      <c r="I7291" t="s">
        <v>14</v>
      </c>
      <c r="J7291" t="s">
        <v>141</v>
      </c>
      <c r="K7291" t="s">
        <v>14</v>
      </c>
      <c r="L7291" t="s">
        <v>20</v>
      </c>
      <c r="M7291" t="s">
        <v>13929</v>
      </c>
      <c r="N7291" t="s">
        <v>14</v>
      </c>
    </row>
    <row r="7292" x14ac:dyDescent="0.25">
      <c r="A7292" t="n">
        <v>25</v>
      </c>
      <c r="B7292" t="s">
        <v>14</v>
      </c>
      <c r="C7292" t="s">
        <v>22</v>
      </c>
      <c r="D7292" s="2" t="s">
        <f>=HYPERLINK("https://main.knesset.gov.il/APPS/legislation/main/bills/2196173", "הצעת חוק להסדרת הטיפול באריזות (תיקון - החלת החוק על מכלי משקה גדולים), התשפ""ג-2022")</f>
        <v>14164</v>
      </c>
      <c r="E7292" t="s">
        <v>14164</v>
      </c>
      <c r="F7292" t="s">
        <v>14165</v>
      </c>
      <c r="G7292" t="s">
        <v>14</v>
      </c>
      <c r="H7292">
             </c>
      <c r="I7292" t="s">
        <v>14</v>
      </c>
      <c r="J7292" t="s">
        <v>141</v>
      </c>
      <c r="K7292" t="s">
        <v>14</v>
      </c>
      <c r="L7292" t="s">
        <v>20</v>
      </c>
      <c r="M7292" t="s">
        <v>13929</v>
      </c>
      <c r="N7292" t="s">
        <v>14</v>
      </c>
    </row>
    <row r="7293" x14ac:dyDescent="0.25">
      <c r="A7293" t="n">
        <v>25</v>
      </c>
      <c r="B7293" t="s">
        <v>14</v>
      </c>
      <c r="C7293" t="s">
        <v>22</v>
      </c>
      <c r="D7293" s="2" t="s">
        <f>=HYPERLINK("https://main.knesset.gov.il/APPS/legislation/main/bills/2196077", "הצעת חוק החברות הממשלתיות (תיקון - קווי פעולה של חברה ממשלתית), התשפ""ג-2022")</f>
        <v>14166</v>
      </c>
      <c r="E7293" t="s">
        <v>14166</v>
      </c>
      <c r="F7293" t="s">
        <v>14167</v>
      </c>
      <c r="G7293" t="s">
        <v>14</v>
      </c>
      <c r="H7293">
             </c>
      <c r="I7293" t="s">
        <v>14</v>
      </c>
      <c r="J7293" t="s">
        <v>141</v>
      </c>
      <c r="K7293" t="s">
        <v>14</v>
      </c>
      <c r="L7293" t="s">
        <v>20</v>
      </c>
      <c r="M7293" t="s">
        <v>13929</v>
      </c>
      <c r="N7293" t="s">
        <v>14</v>
      </c>
    </row>
    <row r="7294" x14ac:dyDescent="0.25">
      <c r="A7294" t="n">
        <v>25</v>
      </c>
      <c r="B7294" t="s">
        <v>14</v>
      </c>
      <c r="C7294" t="s">
        <v>22</v>
      </c>
      <c r="D7294" s="2" t="s">
        <f>=HYPERLINK("https://main.knesset.gov.il/APPS/legislation/main/bills/2196303", "הצעת חוק הגנת הצרכן (תיקון - סימון תוצרת חקלאית שאינה ארוזה מראש), התשפ""ג-2022")</f>
        <v>14168</v>
      </c>
      <c r="E7294" t="s">
        <v>14168</v>
      </c>
      <c r="F7294" t="s">
        <v>14169</v>
      </c>
      <c r="G7294" t="s">
        <v>14</v>
      </c>
      <c r="H7294">
             </c>
      <c r="I7294" t="s">
        <v>14</v>
      </c>
      <c r="J7294" t="s">
        <v>141</v>
      </c>
      <c r="K7294" t="s">
        <v>14</v>
      </c>
      <c r="L7294" t="s">
        <v>20</v>
      </c>
      <c r="M7294" t="s">
        <v>13929</v>
      </c>
      <c r="N7294" t="s">
        <v>14</v>
      </c>
    </row>
    <row r="7295" x14ac:dyDescent="0.25">
      <c r="A7295" t="n">
        <v>25</v>
      </c>
      <c r="B7295" t="s">
        <v>14</v>
      </c>
      <c r="C7295" t="s">
        <v>22</v>
      </c>
      <c r="D7295" s="2" t="s">
        <f>=HYPERLINK("https://main.knesset.gov.il/APPS/legislation/main/bills/2195863", "הצעת חוק לתיקון פקודת מס הכנסה (זיכוי בעד לימודי תואר ראשון), התשפ""ג-2022")</f>
        <v>14170</v>
      </c>
      <c r="E7295" t="s">
        <v>14170</v>
      </c>
      <c r="F7295" t="s">
        <v>14171</v>
      </c>
      <c r="G7295" t="s">
        <v>14</v>
      </c>
      <c r="H7295">
             </c>
      <c r="I7295" t="s">
        <v>14</v>
      </c>
      <c r="J7295" t="s">
        <v>141</v>
      </c>
      <c r="K7295" t="s">
        <v>14</v>
      </c>
      <c r="L7295" t="s">
        <v>20</v>
      </c>
      <c r="M7295" t="s">
        <v>13929</v>
      </c>
      <c r="N7295" t="s">
        <v>14</v>
      </c>
    </row>
    <row r="7296" x14ac:dyDescent="0.25">
      <c r="A7296" t="n">
        <v>25</v>
      </c>
      <c r="B7296" t="s">
        <v>14</v>
      </c>
      <c r="C7296" t="s">
        <v>22</v>
      </c>
      <c r="D7296" s="2" t="s">
        <f>=HYPERLINK("https://main.knesset.gov.il/APPS/legislation/main/bills/2196307", "הצעת חוק השמירה על המקומות הקדושים (תיקון - ייעוץ הרבנות הראשית), התשפ""ג-2022")</f>
        <v>14172</v>
      </c>
      <c r="E7296" t="s">
        <v>14172</v>
      </c>
      <c r="F7296" t="s">
        <v>14173</v>
      </c>
      <c r="G7296" t="s">
        <v>14</v>
      </c>
      <c r="H7296">
             </c>
      <c r="I7296" t="s">
        <v>14</v>
      </c>
      <c r="J7296" t="s">
        <v>141</v>
      </c>
      <c r="K7296" t="s">
        <v>14</v>
      </c>
      <c r="L7296" t="s">
        <v>20</v>
      </c>
      <c r="M7296" t="s">
        <v>13929</v>
      </c>
      <c r="N7296" t="s">
        <v>14</v>
      </c>
    </row>
    <row r="7297" x14ac:dyDescent="0.25">
      <c r="A7297" t="n">
        <v>25</v>
      </c>
      <c r="B7297" t="s">
        <v>14</v>
      </c>
      <c r="C7297" t="s">
        <v>22</v>
      </c>
      <c r="D7297" s="2" t="s">
        <f>=HYPERLINK("https://main.knesset.gov.il/APPS/legislation/main/bills/2196955", "הצעת חוק לתיקון דיני הרשויות המקומיות (ביטול סמכות שר הפנים לעניין חוקי עזר בדבר פתיחתם וסגירתם של עסקים בימי מנוחה), התשפ""ג-2022")</f>
        <v>14174</v>
      </c>
      <c r="E7297" t="s">
        <v>14174</v>
      </c>
      <c r="F7297" t="s">
        <v>14175</v>
      </c>
      <c r="G7297" t="s">
        <v>14</v>
      </c>
      <c r="H7297">
             </c>
      <c r="I7297" t="s">
        <v>14</v>
      </c>
      <c r="J7297" t="s">
        <v>141</v>
      </c>
      <c r="K7297" t="s">
        <v>14</v>
      </c>
      <c r="L7297" t="s">
        <v>20</v>
      </c>
      <c r="M7297" t="s">
        <v>13929</v>
      </c>
      <c r="N7297" t="s">
        <v>14</v>
      </c>
    </row>
    <row r="7298" x14ac:dyDescent="0.25">
      <c r="A7298" t="n">
        <v>25</v>
      </c>
      <c r="B7298" t="s">
        <v>14</v>
      </c>
      <c r="C7298" t="s">
        <v>22</v>
      </c>
      <c r="D7298" s="2" t="s">
        <f>=HYPERLINK("https://main.knesset.gov.il/APPS/legislation/main/bills/2195847", "הצעת חוק משפחות חיילים שנספו במערכה (תגמולים ושיקום) (תיקון - הגדרת אלמן ושכול), התשפ""ג-2022")</f>
        <v>14176</v>
      </c>
      <c r="E7298" t="s">
        <v>14176</v>
      </c>
      <c r="F7298" t="s">
        <v>14177</v>
      </c>
      <c r="G7298" t="s">
        <v>14</v>
      </c>
      <c r="H7298">
             </c>
      <c r="I7298" t="s">
        <v>14</v>
      </c>
      <c r="J7298" t="s">
        <v>141</v>
      </c>
      <c r="K7298" t="s">
        <v>14</v>
      </c>
      <c r="L7298" t="s">
        <v>20</v>
      </c>
      <c r="M7298" t="s">
        <v>13929</v>
      </c>
      <c r="N7298" t="s">
        <v>14</v>
      </c>
    </row>
    <row r="7299" x14ac:dyDescent="0.25">
      <c r="A7299" t="n">
        <v>25</v>
      </c>
      <c r="B7299" t="s">
        <v>14</v>
      </c>
      <c r="C7299" t="s">
        <v>22</v>
      </c>
      <c r="D7299" s="2" t="s">
        <f>=HYPERLINK("https://main.knesset.gov.il/APPS/legislation/main/bills/2196012", "הצעת חוק לתיקון דיני הרשויות המקומיות (ביטול סמכות שר הפנים לעניין חוקי עזר בדבר פתיחתם וסגירתם של עסקים בימי מנוחה), התשפ""ג-2022")</f>
        <v>14174</v>
      </c>
      <c r="E7299" t="s">
        <v>14174</v>
      </c>
      <c r="F7299" t="s">
        <v>14178</v>
      </c>
      <c r="G7299" t="s">
        <v>14</v>
      </c>
      <c r="H7299">
             </c>
      <c r="I7299" t="s">
        <v>14</v>
      </c>
      <c r="J7299" t="s">
        <v>141</v>
      </c>
      <c r="K7299" t="s">
        <v>14</v>
      </c>
      <c r="L7299" t="s">
        <v>20</v>
      </c>
      <c r="M7299" t="s">
        <v>13929</v>
      </c>
      <c r="N7299" t="s">
        <v>14</v>
      </c>
    </row>
    <row r="7300" x14ac:dyDescent="0.25">
      <c r="A7300" t="n">
        <v>25</v>
      </c>
      <c r="B7300" t="s">
        <v>14</v>
      </c>
      <c r="C7300" t="s">
        <v>22</v>
      </c>
      <c r="D7300" s="2" t="s">
        <f>=HYPERLINK("https://main.knesset.gov.il/APPS/legislation/main/bills/2196252", "הצעת חוק ההוצאה לפועל (תיקון - הגבלת עיקול מיטלטליו של קשיש), התשפ""ג-2022")</f>
        <v>14179</v>
      </c>
      <c r="E7300" t="s">
        <v>14179</v>
      </c>
      <c r="F7300" t="s">
        <v>14180</v>
      </c>
      <c r="G7300" t="s">
        <v>14</v>
      </c>
      <c r="H7300">
             </c>
      <c r="I7300" t="s">
        <v>14</v>
      </c>
      <c r="J7300" t="s">
        <v>141</v>
      </c>
      <c r="K7300" t="s">
        <v>14</v>
      </c>
      <c r="L7300" t="s">
        <v>20</v>
      </c>
      <c r="M7300" t="s">
        <v>13929</v>
      </c>
      <c r="N7300" t="s">
        <v>14</v>
      </c>
    </row>
    <row r="7301" x14ac:dyDescent="0.25">
      <c r="A7301" t="n">
        <v>25</v>
      </c>
      <c r="B7301" t="s">
        <v>14</v>
      </c>
      <c r="C7301" t="s">
        <v>22</v>
      </c>
      <c r="D7301" s="2" t="s">
        <f>=HYPERLINK("https://main.knesset.gov.il/APPS/legislation/main/bills/2197557", "הצעת חוק השכירות והשאילה (תיקון - הגבלה על העלאת דמי השכירות), התשפ""ג-2022")</f>
        <v>10381</v>
      </c>
      <c r="E7301" t="s">
        <v>10381</v>
      </c>
      <c r="F7301" t="s">
        <v>14181</v>
      </c>
      <c r="G7301" t="s">
        <v>14</v>
      </c>
      <c r="H7301">
             </c>
      <c r="I7301" t="s">
        <v>14</v>
      </c>
      <c r="J7301" t="s">
        <v>141</v>
      </c>
      <c r="K7301" t="s">
        <v>14</v>
      </c>
      <c r="L7301" t="s">
        <v>20</v>
      </c>
      <c r="M7301" t="s">
        <v>13929</v>
      </c>
      <c r="N7301" t="s">
        <v>14</v>
      </c>
    </row>
    <row r="7302" x14ac:dyDescent="0.25">
      <c r="A7302" t="n">
        <v>25</v>
      </c>
      <c r="B7302" t="s">
        <v>14</v>
      </c>
      <c r="C7302" t="s">
        <v>22</v>
      </c>
      <c r="D7302" s="2" t="s">
        <f>=HYPERLINK("https://main.knesset.gov.il/APPS/legislation/main/bills/2197040", "הצעת חוק העונשין (תיקון - תקיפת נהגי אוטובוס בקווי תחבורה ציבורית), התשפ""ג-2022")</f>
        <v>14182</v>
      </c>
      <c r="E7302" t="s">
        <v>14182</v>
      </c>
      <c r="F7302" t="s">
        <v>14183</v>
      </c>
      <c r="G7302" t="s">
        <v>14</v>
      </c>
      <c r="H7302">
             </c>
      <c r="I7302" t="s">
        <v>14</v>
      </c>
      <c r="J7302" t="s">
        <v>141</v>
      </c>
      <c r="K7302" t="s">
        <v>14</v>
      </c>
      <c r="L7302" t="s">
        <v>20</v>
      </c>
      <c r="M7302" t="s">
        <v>13929</v>
      </c>
      <c r="N7302" t="s">
        <v>14</v>
      </c>
    </row>
    <row r="7303" x14ac:dyDescent="0.25">
      <c r="A7303" t="n">
        <v>25</v>
      </c>
      <c r="B7303" t="s">
        <v>14</v>
      </c>
      <c r="C7303" t="s">
        <v>22</v>
      </c>
      <c r="D7303" s="2" t="s">
        <f>=HYPERLINK("https://main.knesset.gov.il/APPS/legislation/main/bills/2195925", "הצעת חוק-יסוד: הממשלה (תיקון - בחירה ישירה לראש הממשלה וחלוקת מנדטים לסיעות הקואליציה)")</f>
        <v>14184</v>
      </c>
      <c r="E7303" t="s">
        <v>14184</v>
      </c>
      <c r="F7303" t="s">
        <v>14185</v>
      </c>
      <c r="G7303" t="s">
        <v>14</v>
      </c>
      <c r="H7303">
             </c>
      <c r="I7303" t="s">
        <v>14</v>
      </c>
      <c r="J7303" t="s">
        <v>1123</v>
      </c>
      <c r="K7303" t="s">
        <v>14</v>
      </c>
      <c r="L7303" t="s">
        <v>20</v>
      </c>
      <c r="M7303" t="s">
        <v>13929</v>
      </c>
      <c r="N7303" t="s">
        <v>14</v>
      </c>
    </row>
    <row r="7304" x14ac:dyDescent="0.25">
      <c r="A7304" t="n">
        <v>25</v>
      </c>
      <c r="B7304" t="s">
        <v>14</v>
      </c>
      <c r="C7304" t="s">
        <v>22</v>
      </c>
      <c r="D7304" s="2" t="s">
        <f>=HYPERLINK("https://main.knesset.gov.il/APPS/legislation/main/bills/2196296", "הצעת חוק העונשין (תיקון - תקיפת נהגי אוטובוס בקווי תחבורה ציבורית), התשפ""ג-2022")</f>
        <v>14182</v>
      </c>
      <c r="E7304" t="s">
        <v>14182</v>
      </c>
      <c r="F7304" t="s">
        <v>14186</v>
      </c>
      <c r="G7304" t="s">
        <v>14</v>
      </c>
      <c r="H7304">
             </c>
      <c r="I7304" t="s">
        <v>14</v>
      </c>
      <c r="J7304" t="s">
        <v>343</v>
      </c>
      <c r="K7304" t="s">
        <v>14</v>
      </c>
      <c r="L7304" t="s">
        <v>20</v>
      </c>
      <c r="M7304" t="s">
        <v>13929</v>
      </c>
      <c r="N7304" t="s">
        <v>14</v>
      </c>
    </row>
    <row r="7305" x14ac:dyDescent="0.25">
      <c r="A7305" t="n">
        <v>25</v>
      </c>
      <c r="B7305" t="s">
        <v>14</v>
      </c>
      <c r="C7305" t="s">
        <v>22</v>
      </c>
      <c r="D7305" s="2" t="s">
        <f>=HYPERLINK("https://main.knesset.gov.il/APPS/legislation/main/bills/2195888", "הצעת חוק העונשין (תיקון - תקיפת נהג אוטובוס ציבורי), התשפ""ג-2022")</f>
        <v>14187</v>
      </c>
      <c r="E7305" t="s">
        <v>14187</v>
      </c>
      <c r="F7305" t="s">
        <v>14188</v>
      </c>
      <c r="G7305" t="s">
        <v>14</v>
      </c>
      <c r="H7305">
             </c>
      <c r="I7305" t="s">
        <v>14</v>
      </c>
      <c r="J7305" t="s">
        <v>141</v>
      </c>
      <c r="K7305" t="s">
        <v>14</v>
      </c>
      <c r="L7305" t="s">
        <v>20</v>
      </c>
      <c r="M7305" t="s">
        <v>13929</v>
      </c>
      <c r="N7305" t="s">
        <v>14</v>
      </c>
    </row>
    <row r="7306" x14ac:dyDescent="0.25">
      <c r="A7306" t="n">
        <v>25</v>
      </c>
      <c r="B7306" t="s">
        <v>14</v>
      </c>
      <c r="C7306" t="s">
        <v>22</v>
      </c>
      <c r="D7306" s="2" t="s">
        <f>=HYPERLINK("https://main.knesset.gov.il/APPS/legislation/main/bills/2197101", "הצעת חוק לתיקון פקודת הסמים המסוכנים (הגדרת צמח הקנבוס, מדרוג עבירות ועונשים בסם קנבוס), התשפ""ג-2022")</f>
        <v>14189</v>
      </c>
      <c r="E7306" t="s">
        <v>14189</v>
      </c>
      <c r="F7306" t="s">
        <v>14190</v>
      </c>
      <c r="G7306" t="s">
        <v>14</v>
      </c>
      <c r="H7306">
             </c>
      <c r="I7306" t="s">
        <v>14</v>
      </c>
      <c r="J7306" t="s">
        <v>141</v>
      </c>
      <c r="K7306" t="s">
        <v>14</v>
      </c>
      <c r="L7306" t="s">
        <v>20</v>
      </c>
      <c r="M7306" t="s">
        <v>13929</v>
      </c>
      <c r="N7306" t="s">
        <v>14</v>
      </c>
    </row>
    <row r="7307" x14ac:dyDescent="0.25">
      <c r="A7307" t="n">
        <v>25</v>
      </c>
      <c r="B7307" t="s">
        <v>14</v>
      </c>
      <c r="C7307" t="s">
        <v>22</v>
      </c>
      <c r="D7307" s="2" t="s">
        <f>=HYPERLINK("https://main.knesset.gov.il/APPS/legislation/main/bills/2196313", "הצעת חוק חינוך ממלכתי (תיקון - הוספת שיעורי חינוך גופני), התשפ""ג-2022")</f>
        <v>14191</v>
      </c>
      <c r="E7307" t="s">
        <v>14191</v>
      </c>
      <c r="F7307" t="s">
        <v>14192</v>
      </c>
      <c r="G7307" t="s">
        <v>14</v>
      </c>
      <c r="H7307">
             </c>
      <c r="I7307" t="s">
        <v>14</v>
      </c>
      <c r="J7307" t="s">
        <v>141</v>
      </c>
      <c r="K7307" t="s">
        <v>14</v>
      </c>
      <c r="L7307" t="s">
        <v>20</v>
      </c>
      <c r="M7307" t="s">
        <v>13929</v>
      </c>
      <c r="N7307" t="s">
        <v>14</v>
      </c>
    </row>
    <row r="7308" x14ac:dyDescent="0.25">
      <c r="A7308" t="n">
        <v>25</v>
      </c>
      <c r="B7308" t="s">
        <v>14</v>
      </c>
      <c r="C7308" t="s">
        <v>22</v>
      </c>
      <c r="D7308" s="2" t="s">
        <f>=HYPERLINK("https://main.knesset.gov.il/APPS/legislation/main/bills/2196112", "הצעת חוק לתיקון פקודת העיריות (תשלום עבור המצאת מסמכי מכרז), התשפ""ג-2022")</f>
        <v>14193</v>
      </c>
      <c r="E7308" t="s">
        <v>14193</v>
      </c>
      <c r="F7308" t="s">
        <v>14194</v>
      </c>
      <c r="G7308" t="s">
        <v>14</v>
      </c>
      <c r="H7308">
             </c>
      <c r="I7308" t="s">
        <v>14</v>
      </c>
      <c r="J7308" t="s">
        <v>141</v>
      </c>
      <c r="K7308" t="s">
        <v>14</v>
      </c>
      <c r="L7308" t="s">
        <v>20</v>
      </c>
      <c r="M7308" t="s">
        <v>13929</v>
      </c>
      <c r="N7308" t="s">
        <v>14</v>
      </c>
    </row>
    <row r="7309" x14ac:dyDescent="0.25">
      <c r="A7309" t="n">
        <v>25</v>
      </c>
      <c r="B7309" t="s">
        <v>14</v>
      </c>
      <c r="C7309" t="s">
        <v>22</v>
      </c>
      <c r="D7309" s="2" t="s">
        <f>=HYPERLINK("https://main.knesset.gov.il/APPS/legislation/main/bills/2196122", "הצעת חוק לתיקון פקודת בתי הסוהר (קביעת משך הביקור), התשפ""ג-2022")</f>
        <v>14195</v>
      </c>
      <c r="E7309" t="s">
        <v>14195</v>
      </c>
      <c r="F7309" t="s">
        <v>14196</v>
      </c>
      <c r="G7309" t="s">
        <v>14</v>
      </c>
      <c r="H7309">
             </c>
      <c r="I7309" t="s">
        <v>14</v>
      </c>
      <c r="J7309" t="s">
        <v>141</v>
      </c>
      <c r="K7309" t="s">
        <v>14</v>
      </c>
      <c r="L7309" t="s">
        <v>20</v>
      </c>
      <c r="M7309" t="s">
        <v>13929</v>
      </c>
      <c r="N7309" t="s">
        <v>14</v>
      </c>
    </row>
    <row r="7310" x14ac:dyDescent="0.25">
      <c r="A7310" t="n">
        <v>25</v>
      </c>
      <c r="B7310" t="s">
        <v>14</v>
      </c>
      <c r="C7310" t="s">
        <v>22</v>
      </c>
      <c r="D7310" s="2" t="s">
        <f>=HYPERLINK("https://main.knesset.gov.il/APPS/legislation/main/bills/2197179", "הצעת חוק להגבלת שכר טרחת כונסי נכסים (תיקוני חקיקה), התשפ""ג-2022")</f>
        <v>14197</v>
      </c>
      <c r="E7310" t="s">
        <v>14197</v>
      </c>
      <c r="F7310" t="s">
        <v>14198</v>
      </c>
      <c r="G7310" t="s">
        <v>14</v>
      </c>
      <c r="H7310">
             </c>
      <c r="I7310" t="s">
        <v>14</v>
      </c>
      <c r="J7310" t="s">
        <v>141</v>
      </c>
      <c r="K7310" t="s">
        <v>14</v>
      </c>
      <c r="L7310" t="s">
        <v>20</v>
      </c>
      <c r="M7310" t="s">
        <v>13929</v>
      </c>
      <c r="N7310" t="s">
        <v>14</v>
      </c>
    </row>
    <row r="7311" x14ac:dyDescent="0.25">
      <c r="A7311" t="n">
        <v>25</v>
      </c>
      <c r="B7311" t="s">
        <v>14</v>
      </c>
      <c r="C7311" t="s">
        <v>22</v>
      </c>
      <c r="D7311" s="2" t="s">
        <f>=HYPERLINK("https://main.knesset.gov.il/APPS/legislation/main/bills/2196119", "הצעת חוק יישוב סכסוכי עבודה (תיקון - בוררות חובה בשירותים חיוניים), התשפ""ג-2022")</f>
        <v>14199</v>
      </c>
      <c r="E7311" t="s">
        <v>14199</v>
      </c>
      <c r="F7311" t="s">
        <v>14200</v>
      </c>
      <c r="G7311" t="s">
        <v>14</v>
      </c>
      <c r="H7311">
             </c>
      <c r="I7311" t="s">
        <v>14</v>
      </c>
      <c r="J7311" t="s">
        <v>141</v>
      </c>
      <c r="K7311" t="s">
        <v>14</v>
      </c>
      <c r="L7311" t="s">
        <v>20</v>
      </c>
      <c r="M7311" t="s">
        <v>13929</v>
      </c>
      <c r="N7311" t="s">
        <v>14</v>
      </c>
    </row>
    <row r="7312" x14ac:dyDescent="0.25">
      <c r="A7312" t="n">
        <v>25</v>
      </c>
      <c r="B7312" t="s">
        <v>14</v>
      </c>
      <c r="C7312" t="s">
        <v>22</v>
      </c>
      <c r="D7312" s="2" t="s">
        <f>=HYPERLINK("https://main.knesset.gov.il/APPS/legislation/main/bills/2195869", "הצעת חוק-יסוד: הממשלה (תיקון - אי-כשירות של נאשם להרכיב את הממשלה)")</f>
        <v>14201</v>
      </c>
      <c r="E7312" t="s">
        <v>14201</v>
      </c>
      <c r="F7312" t="s">
        <v>14202</v>
      </c>
      <c r="G7312" t="s">
        <v>14</v>
      </c>
      <c r="H7312">
             </c>
      <c r="I7312" t="s">
        <v>14</v>
      </c>
      <c r="J7312" t="s">
        <v>141</v>
      </c>
      <c r="K7312" t="s">
        <v>14</v>
      </c>
      <c r="L7312" t="s">
        <v>20</v>
      </c>
      <c r="M7312" t="s">
        <v>13929</v>
      </c>
      <c r="N7312" t="s">
        <v>14</v>
      </c>
    </row>
    <row r="7313" x14ac:dyDescent="0.25">
      <c r="A7313" t="n">
        <v>25</v>
      </c>
      <c r="B7313" t="s">
        <v>14</v>
      </c>
      <c r="C7313" t="s">
        <v>22</v>
      </c>
      <c r="D7313" s="2" t="s">
        <f>=HYPERLINK("https://main.knesset.gov.il/APPS/legislation/main/bills/2195942", "הצעת חוק להגבלת שכר טרחת כונסי נכסים (תיקוני חקיקה), התשפ""ג-2022")</f>
        <v>14197</v>
      </c>
      <c r="E7313" t="s">
        <v>14197</v>
      </c>
      <c r="F7313" t="s">
        <v>14203</v>
      </c>
      <c r="G7313" t="s">
        <v>14</v>
      </c>
      <c r="H7313">
             </c>
      <c r="I7313" t="s">
        <v>14</v>
      </c>
      <c r="J7313" t="s">
        <v>141</v>
      </c>
      <c r="K7313" t="s">
        <v>14</v>
      </c>
      <c r="L7313" t="s">
        <v>20</v>
      </c>
      <c r="M7313" t="s">
        <v>13929</v>
      </c>
      <c r="N7313" t="s">
        <v>14</v>
      </c>
    </row>
    <row r="7314" x14ac:dyDescent="0.25">
      <c r="A7314" t="n">
        <v>25</v>
      </c>
      <c r="B7314" t="s">
        <v>14</v>
      </c>
      <c r="C7314" t="s">
        <v>22</v>
      </c>
      <c r="D7314" s="2" t="s">
        <f>=HYPERLINK("https://main.knesset.gov.il/APPS/legislation/main/bills/2196115", "הצעת חוק זכאות לאבחון לקויות למידה לילדים ממשפחות מעוטות יכולת, התשפ""ג-2022 ")</f>
        <v>13851</v>
      </c>
      <c r="E7314" t="s">
        <v>13851</v>
      </c>
      <c r="F7314" t="s">
        <v>14204</v>
      </c>
      <c r="G7314" t="s">
        <v>14</v>
      </c>
      <c r="H7314">
             </c>
      <c r="I7314" t="s">
        <v>14</v>
      </c>
      <c r="J7314" t="s">
        <v>141</v>
      </c>
      <c r="K7314" t="s">
        <v>14</v>
      </c>
      <c r="L7314" t="s">
        <v>20</v>
      </c>
      <c r="M7314" t="s">
        <v>13929</v>
      </c>
      <c r="N7314" t="s">
        <v>14</v>
      </c>
    </row>
    <row r="7315" x14ac:dyDescent="0.25">
      <c r="A7315" t="n">
        <v>25</v>
      </c>
      <c r="B7315" t="s">
        <v>14</v>
      </c>
      <c r="C7315" t="s">
        <v>22</v>
      </c>
      <c r="D7315" s="2" t="s">
        <f>=HYPERLINK("https://main.knesset.gov.il/APPS/legislation/main/bills/2197053", "הצעת חוק יישום תכנית ההתנתקות (תיקון - ביטול סעיפי הפינוי ושינוי שם החוק), התשפ""ג-2022")</f>
        <v>14205</v>
      </c>
      <c r="E7315" t="s">
        <v>14205</v>
      </c>
      <c r="F7315" t="s">
        <v>14206</v>
      </c>
      <c r="G7315" t="s">
        <v>14</v>
      </c>
      <c r="H7315">
             </c>
      <c r="I7315" t="s">
        <v>14</v>
      </c>
      <c r="J7315" t="s">
        <v>141</v>
      </c>
      <c r="K7315" t="s">
        <v>14</v>
      </c>
      <c r="L7315" t="s">
        <v>20</v>
      </c>
      <c r="M7315" t="s">
        <v>13929</v>
      </c>
      <c r="N7315" t="s">
        <v>14</v>
      </c>
    </row>
    <row r="7316" x14ac:dyDescent="0.25">
      <c r="A7316" t="n">
        <v>25</v>
      </c>
      <c r="B7316" t="s">
        <v>14</v>
      </c>
      <c r="C7316" t="s">
        <v>22</v>
      </c>
      <c r="D7316" s="2" t="s">
        <f>=HYPERLINK("https://main.knesset.gov.il/APPS/legislation/main/bills/2196094", "הצעת חוק בית הדין לעבודה (תיקון - ערעור לפני בית המשפט העליון), התשפ""ג-2022")</f>
        <v>14207</v>
      </c>
      <c r="E7316" t="s">
        <v>14207</v>
      </c>
      <c r="F7316" t="s">
        <v>14208</v>
      </c>
      <c r="G7316" t="s">
        <v>14</v>
      </c>
      <c r="H7316">
             </c>
      <c r="I7316" t="s">
        <v>14</v>
      </c>
      <c r="J7316" t="s">
        <v>141</v>
      </c>
      <c r="K7316" t="s">
        <v>14</v>
      </c>
      <c r="L7316" t="s">
        <v>20</v>
      </c>
      <c r="M7316" t="s">
        <v>13929</v>
      </c>
      <c r="N7316" t="s">
        <v>14</v>
      </c>
    </row>
    <row r="7317" x14ac:dyDescent="0.25">
      <c r="A7317" t="n">
        <v>25</v>
      </c>
      <c r="B7317" t="s">
        <v>14</v>
      </c>
      <c r="C7317" t="s">
        <v>22</v>
      </c>
      <c r="D7317" s="2" t="s">
        <f>=HYPERLINK("https://main.knesset.gov.il/APPS/legislation/main/bills/2196787", "הצעת חוק יישום תכנית ההתנתקות (תיקון - ביטול סעיפי הפינוי ושינוי שם החוק), התשפ""ג-2022")</f>
        <v>14205</v>
      </c>
      <c r="E7317" t="s">
        <v>14205</v>
      </c>
      <c r="F7317" t="s">
        <v>14209</v>
      </c>
      <c r="G7317" t="s">
        <v>14</v>
      </c>
      <c r="H7317">
             </c>
      <c r="I7317" t="s">
        <v>14</v>
      </c>
      <c r="J7317" t="s">
        <v>141</v>
      </c>
      <c r="K7317" t="s">
        <v>14</v>
      </c>
      <c r="L7317" t="s">
        <v>20</v>
      </c>
      <c r="M7317" t="s">
        <v>13929</v>
      </c>
      <c r="N7317" t="s">
        <v>14</v>
      </c>
    </row>
    <row r="7318" x14ac:dyDescent="0.25">
      <c r="A7318" t="n">
        <v>25</v>
      </c>
      <c r="B7318" t="s">
        <v>14</v>
      </c>
      <c r="C7318" t="s">
        <v>22</v>
      </c>
      <c r="D7318" s="2" t="s">
        <f>=HYPERLINK("https://main.knesset.gov.il/APPS/legislation/main/bills/2196047", "הצעת חוק יישום תכנית ההתנתקות (תיקון - ביטול סעיפי הפינוי ושינוי שם החוק), התשפ""ג-2022")</f>
        <v>14205</v>
      </c>
      <c r="E7318" t="s">
        <v>14205</v>
      </c>
      <c r="F7318" t="s">
        <v>14210</v>
      </c>
      <c r="G7318" t="s">
        <v>14</v>
      </c>
      <c r="H7318">
             </c>
      <c r="I7318" t="s">
        <v>14</v>
      </c>
      <c r="J7318" t="s">
        <v>141</v>
      </c>
      <c r="K7318" t="s">
        <v>14</v>
      </c>
      <c r="L7318" t="s">
        <v>20</v>
      </c>
      <c r="M7318" t="s">
        <v>13929</v>
      </c>
      <c r="N7318" t="s">
        <v>14</v>
      </c>
    </row>
    <row r="7319" x14ac:dyDescent="0.25">
      <c r="A7319" t="n">
        <v>25</v>
      </c>
      <c r="B7319" t="s">
        <v>14</v>
      </c>
      <c r="C7319" t="s">
        <v>22</v>
      </c>
      <c r="D7319" s="2" t="s">
        <f>=HYPERLINK("https://main.knesset.gov.il/APPS/legislation/main/bills/2196105", "הצעת חוק סייעות במוסדות חינוך, התשפ""ג-2022")</f>
        <v>14211</v>
      </c>
      <c r="E7319" t="s">
        <v>14211</v>
      </c>
      <c r="F7319" t="s">
        <v>14212</v>
      </c>
      <c r="G7319" t="s">
        <v>14</v>
      </c>
      <c r="H7319">
             </c>
      <c r="I7319" t="s">
        <v>14</v>
      </c>
      <c r="J7319" t="s">
        <v>141</v>
      </c>
      <c r="K7319" t="s">
        <v>14</v>
      </c>
      <c r="L7319" t="s">
        <v>20</v>
      </c>
      <c r="M7319" t="s">
        <v>13929</v>
      </c>
      <c r="N7319" t="s">
        <v>14</v>
      </c>
    </row>
    <row r="7320" x14ac:dyDescent="0.25">
      <c r="A7320" t="n">
        <v>25</v>
      </c>
      <c r="B7320" t="s">
        <v>14</v>
      </c>
      <c r="C7320" t="s">
        <v>22</v>
      </c>
      <c r="D7320" s="2" t="s">
        <f>=HYPERLINK("https://main.knesset.gov.il/APPS/legislation/main/bills/2196098", "הצעת חוק טיפול בחולי נפש (תיקון - תנאי אשפוז הולמים), התשפ""ג-2022")</f>
        <v>13280</v>
      </c>
      <c r="E7320" t="s">
        <v>13280</v>
      </c>
      <c r="F7320" t="s">
        <v>14213</v>
      </c>
      <c r="G7320" t="s">
        <v>14</v>
      </c>
      <c r="H7320">
             </c>
      <c r="I7320" t="s">
        <v>14</v>
      </c>
      <c r="J7320" t="s">
        <v>141</v>
      </c>
      <c r="K7320" t="s">
        <v>14</v>
      </c>
      <c r="L7320" t="s">
        <v>20</v>
      </c>
      <c r="M7320" t="s">
        <v>13929</v>
      </c>
      <c r="N7320" t="s">
        <v>14</v>
      </c>
    </row>
    <row r="7321" x14ac:dyDescent="0.25">
      <c r="A7321" t="n">
        <v>25</v>
      </c>
      <c r="B7321" t="s">
        <v>14</v>
      </c>
      <c r="C7321" t="s">
        <v>22</v>
      </c>
      <c r="D7321" s="2" t="s">
        <f>=HYPERLINK("https://main.knesset.gov.il/APPS/legislation/main/bills/2196104", "הצעת חוק מס ערך מוסף (תיקון - מס בשיעור אפס על תרכובת מזון לתינוקות), התשפ""ג-2022")</f>
        <v>14214</v>
      </c>
      <c r="E7321" t="s">
        <v>14214</v>
      </c>
      <c r="F7321" t="s">
        <v>14215</v>
      </c>
      <c r="G7321" t="s">
        <v>14</v>
      </c>
      <c r="H7321">
             </c>
      <c r="I7321" t="s">
        <v>14</v>
      </c>
      <c r="J7321" t="s">
        <v>141</v>
      </c>
      <c r="K7321" t="s">
        <v>14</v>
      </c>
      <c r="L7321" t="s">
        <v>20</v>
      </c>
      <c r="M7321" t="s">
        <v>13929</v>
      </c>
      <c r="N7321" t="s">
        <v>14</v>
      </c>
    </row>
    <row r="7322" x14ac:dyDescent="0.25">
      <c r="A7322" t="n">
        <v>25</v>
      </c>
      <c r="B7322" t="s">
        <v>14</v>
      </c>
      <c r="C7322" t="s">
        <v>22</v>
      </c>
      <c r="D7322" s="2" t="s">
        <f>=HYPERLINK("https://main.knesset.gov.il/APPS/legislation/main/bills/2196091", "הצעת חוק לתיקון פקודת התעבורה (מאגר מידע של ניקוד מסוכנות לעניין נהגים מקצועיים), התשפ""ג-2022")</f>
        <v>14216</v>
      </c>
      <c r="E7322" t="s">
        <v>14216</v>
      </c>
      <c r="F7322" t="s">
        <v>14217</v>
      </c>
      <c r="G7322" t="s">
        <v>14</v>
      </c>
      <c r="H7322">
             </c>
      <c r="I7322" t="s">
        <v>14</v>
      </c>
      <c r="J7322" t="s">
        <v>141</v>
      </c>
      <c r="K7322" t="s">
        <v>14</v>
      </c>
      <c r="L7322" t="s">
        <v>20</v>
      </c>
      <c r="M7322" t="s">
        <v>13929</v>
      </c>
      <c r="N7322" t="s">
        <v>14</v>
      </c>
    </row>
    <row r="7323" x14ac:dyDescent="0.25">
      <c r="A7323" t="n">
        <v>25</v>
      </c>
      <c r="B7323" t="s">
        <v>14</v>
      </c>
      <c r="C7323" t="s">
        <v>22</v>
      </c>
      <c r="D7323" s="2" t="s">
        <f>=HYPERLINK("https://main.knesset.gov.il/APPS/legislation/main/bills/2196089", "הצעת חוק לתיקון פקודת העיריות (מענק הבירה), התשפ""ג-2022")</f>
        <v>14218</v>
      </c>
      <c r="E7323" t="s">
        <v>14218</v>
      </c>
      <c r="F7323" t="s">
        <v>14219</v>
      </c>
      <c r="G7323" t="s">
        <v>14</v>
      </c>
      <c r="H7323">
             </c>
      <c r="I7323" t="s">
        <v>14</v>
      </c>
      <c r="J7323" t="s">
        <v>141</v>
      </c>
      <c r="K7323" t="s">
        <v>14</v>
      </c>
      <c r="L7323" t="s">
        <v>20</v>
      </c>
      <c r="M7323" t="s">
        <v>13929</v>
      </c>
      <c r="N7323" t="s">
        <v>14</v>
      </c>
    </row>
    <row r="7324" x14ac:dyDescent="0.25">
      <c r="A7324" t="n">
        <v>25</v>
      </c>
      <c r="B7324" t="s">
        <v>14</v>
      </c>
      <c r="C7324" t="s">
        <v>22</v>
      </c>
      <c r="D7324" s="2" t="s">
        <f>=HYPERLINK("https://main.knesset.gov.il/APPS/legislation/main/bills/2196095", "הצעת חוק החזקת תכשיר אפינפרין במוסדות חינוך ובמקומות ציבוריים (תיקון - החזקת תכשיר אפינפרין בבית אוכל), התשפ""ג-2022")</f>
        <v>13405</v>
      </c>
      <c r="E7324" t="s">
        <v>13405</v>
      </c>
      <c r="F7324" t="s">
        <v>14220</v>
      </c>
      <c r="G7324" t="s">
        <v>14</v>
      </c>
      <c r="H7324">
             </c>
      <c r="I7324" t="s">
        <v>14</v>
      </c>
      <c r="J7324" t="s">
        <v>141</v>
      </c>
      <c r="K7324" t="s">
        <v>14</v>
      </c>
      <c r="L7324" t="s">
        <v>20</v>
      </c>
      <c r="M7324" t="s">
        <v>13929</v>
      </c>
      <c r="N7324" t="s">
        <v>14</v>
      </c>
    </row>
    <row r="7325" x14ac:dyDescent="0.25">
      <c r="A7325" t="n">
        <v>25</v>
      </c>
      <c r="B7325" t="s">
        <v>14</v>
      </c>
      <c r="C7325" t="s">
        <v>22</v>
      </c>
      <c r="D7325" s="2" t="s">
        <f>=HYPERLINK("https://main.knesset.gov.il/APPS/legislation/main/bills/2195980", "הצעת חוק חובת המכרזים (תיקון - העדפת טובין ממוחזרים), התשפ""ג-2022")</f>
        <v>14221</v>
      </c>
      <c r="E7325" t="s">
        <v>14221</v>
      </c>
      <c r="F7325" t="s">
        <v>14222</v>
      </c>
      <c r="G7325" t="s">
        <v>14</v>
      </c>
      <c r="H7325">
             </c>
      <c r="I7325" t="s">
        <v>14</v>
      </c>
      <c r="J7325" t="s">
        <v>141</v>
      </c>
      <c r="K7325" t="s">
        <v>14</v>
      </c>
      <c r="L7325" t="s">
        <v>20</v>
      </c>
      <c r="M7325" t="s">
        <v>13929</v>
      </c>
      <c r="N7325" t="s">
        <v>14</v>
      </c>
    </row>
    <row r="7326" x14ac:dyDescent="0.25">
      <c r="A7326" t="n">
        <v>25</v>
      </c>
      <c r="B7326" t="s">
        <v>14</v>
      </c>
      <c r="C7326" t="s">
        <v>22</v>
      </c>
      <c r="D7326" s="2" t="s">
        <f>=HYPERLINK("https://main.knesset.gov.il/APPS/legislation/main/bills/2196087", "הצעת חוק החברות (תיקון - פרסום דוחות כספיים של מונופול), התשפ""ג-2022")</f>
        <v>9198</v>
      </c>
      <c r="E7326" t="s">
        <v>9198</v>
      </c>
      <c r="F7326" t="s">
        <v>14223</v>
      </c>
      <c r="G7326" t="s">
        <v>14</v>
      </c>
      <c r="H7326">
             </c>
      <c r="I7326" t="s">
        <v>14</v>
      </c>
      <c r="J7326" t="s">
        <v>141</v>
      </c>
      <c r="K7326" t="s">
        <v>14</v>
      </c>
      <c r="L7326" t="s">
        <v>20</v>
      </c>
      <c r="M7326" t="s">
        <v>13929</v>
      </c>
      <c r="N7326" t="s">
        <v>14</v>
      </c>
    </row>
    <row r="7327" x14ac:dyDescent="0.25">
      <c r="A7327" t="n">
        <v>25</v>
      </c>
      <c r="B7327" t="s">
        <v>14</v>
      </c>
      <c r="C7327" t="s">
        <v>22</v>
      </c>
      <c r="D7327" s="2" t="s">
        <f>=HYPERLINK("https://main.knesset.gov.il/APPS/legislation/main/bills/2195975", "הצעת חוק חדלות פירעון ושיקום כלכלי (תיקון - הסמכת בית המשפט לעכב הליכי גבייה), התשפ""ג-2022")</f>
        <v>14224</v>
      </c>
      <c r="E7327" t="s">
        <v>14224</v>
      </c>
      <c r="F7327" t="s">
        <v>14225</v>
      </c>
      <c r="G7327" t="s">
        <v>14</v>
      </c>
      <c r="H7327">
             </c>
      <c r="I7327" t="s">
        <v>14</v>
      </c>
      <c r="J7327" t="s">
        <v>343</v>
      </c>
      <c r="K7327" t="s">
        <v>14</v>
      </c>
      <c r="L7327" t="s">
        <v>20</v>
      </c>
      <c r="M7327" t="s">
        <v>13929</v>
      </c>
      <c r="N7327" t="s">
        <v>14</v>
      </c>
    </row>
    <row r="7328" x14ac:dyDescent="0.25">
      <c r="A7328" t="n">
        <v>25</v>
      </c>
      <c r="B7328" t="s">
        <v>14</v>
      </c>
      <c r="C7328" t="s">
        <v>22</v>
      </c>
      <c r="D7328" s="2" t="s">
        <f>=HYPERLINK("https://main.knesset.gov.il/APPS/legislation/main/bills/2195969", "הצעת חוק מגן דוד אדום (תיקון - הענקת שירותי רפואה מרחוק), התשפ""ג-2022")</f>
        <v>14226</v>
      </c>
      <c r="E7328" t="s">
        <v>14226</v>
      </c>
      <c r="F7328" t="s">
        <v>14227</v>
      </c>
      <c r="G7328" t="s">
        <v>14</v>
      </c>
      <c r="H7328">
             </c>
      <c r="I7328" t="s">
        <v>14</v>
      </c>
      <c r="J7328" t="s">
        <v>141</v>
      </c>
      <c r="K7328" t="s">
        <v>14</v>
      </c>
      <c r="L7328" t="s">
        <v>20</v>
      </c>
      <c r="M7328" t="s">
        <v>13929</v>
      </c>
      <c r="N7328" t="s">
        <v>14</v>
      </c>
    </row>
    <row r="7329" x14ac:dyDescent="0.25">
      <c r="A7329" t="n">
        <v>25</v>
      </c>
      <c r="B7329" t="s">
        <v>14</v>
      </c>
      <c r="C7329" t="s">
        <v>22</v>
      </c>
      <c r="D7329" s="2" t="s">
        <f>=HYPERLINK("https://main.knesset.gov.il/APPS/legislation/main/bills/2195987", "הצעת חוק האגודות העותומניות (רישום ופיקוח), התשפ""ג-2022")</f>
        <v>14228</v>
      </c>
      <c r="E7329" t="s">
        <v>14228</v>
      </c>
      <c r="F7329" t="s">
        <v>14229</v>
      </c>
      <c r="G7329" t="s">
        <v>14</v>
      </c>
      <c r="H7329">
             </c>
      <c r="I7329" t="s">
        <v>14</v>
      </c>
      <c r="J7329" t="s">
        <v>141</v>
      </c>
      <c r="K7329" t="s">
        <v>14</v>
      </c>
      <c r="L7329" t="s">
        <v>20</v>
      </c>
      <c r="M7329" t="s">
        <v>13929</v>
      </c>
      <c r="N7329" t="s">
        <v>14</v>
      </c>
    </row>
    <row r="7330" x14ac:dyDescent="0.25">
      <c r="A7330" t="n">
        <v>25</v>
      </c>
      <c r="B7330" t="s">
        <v>14</v>
      </c>
      <c r="C7330" t="s">
        <v>22</v>
      </c>
      <c r="D7330" s="2" t="s">
        <f>=HYPERLINK("https://main.knesset.gov.il/APPS/legislation/main/bills/2195958", "הצעת חוק זכויות נפגעי עבירה (תיקון - הרחבת זכויות נפגעי עבירה), התשפ""ג-2022")</f>
        <v>14230</v>
      </c>
      <c r="E7330" t="s">
        <v>14230</v>
      </c>
      <c r="F7330" t="s">
        <v>14231</v>
      </c>
      <c r="G7330" t="s">
        <v>14</v>
      </c>
      <c r="H7330">
             </c>
      <c r="I7330" t="s">
        <v>14</v>
      </c>
      <c r="J7330" t="s">
        <v>343</v>
      </c>
      <c r="K7330" t="s">
        <v>14</v>
      </c>
      <c r="L7330" t="s">
        <v>20</v>
      </c>
      <c r="M7330" t="s">
        <v>13929</v>
      </c>
      <c r="N7330" t="s">
        <v>14</v>
      </c>
    </row>
    <row r="7331" x14ac:dyDescent="0.25">
      <c r="A7331" t="n">
        <v>25</v>
      </c>
      <c r="B7331" t="s">
        <v>14</v>
      </c>
      <c r="C7331" t="s">
        <v>22</v>
      </c>
      <c r="D7331" s="2" t="s">
        <f>=HYPERLINK("https://main.knesset.gov.il/APPS/legislation/main/bills/2195940", "הצעת חוק טיפול בחולי נפש (תיקון - בחירת מקום אשפוז), התשפ""ג-2022")</f>
        <v>14232</v>
      </c>
      <c r="E7331" t="s">
        <v>14232</v>
      </c>
      <c r="F7331" t="s">
        <v>14233</v>
      </c>
      <c r="G7331" t="s">
        <v>14</v>
      </c>
      <c r="H7331">
             </c>
      <c r="I7331" t="s">
        <v>14</v>
      </c>
      <c r="J7331" t="s">
        <v>141</v>
      </c>
      <c r="K7331" t="s">
        <v>14</v>
      </c>
      <c r="L7331" t="s">
        <v>20</v>
      </c>
      <c r="M7331" t="s">
        <v>13929</v>
      </c>
      <c r="N7331" t="s">
        <v>14</v>
      </c>
    </row>
    <row r="7332" x14ac:dyDescent="0.25">
      <c r="A7332" t="n">
        <v>25</v>
      </c>
      <c r="B7332" t="s">
        <v>14</v>
      </c>
      <c r="C7332" t="s">
        <v>22</v>
      </c>
      <c r="D7332" s="2" t="s">
        <f>=HYPERLINK("https://main.knesset.gov.il/APPS/legislation/main/bills/2196070", "הצעת חוק מתן סמכויות פיקוח והסמכת מפקחים ופקחים (תיקוני חקיקה), התשפ""ג-2022")</f>
        <v>14234</v>
      </c>
      <c r="E7332" t="s">
        <v>14234</v>
      </c>
      <c r="F7332" t="s">
        <v>14235</v>
      </c>
      <c r="G7332" t="s">
        <v>14</v>
      </c>
      <c r="H7332">
             </c>
      <c r="I7332" t="s">
        <v>14</v>
      </c>
      <c r="J7332" t="s">
        <v>141</v>
      </c>
      <c r="K7332" t="s">
        <v>14</v>
      </c>
      <c r="L7332" t="s">
        <v>20</v>
      </c>
      <c r="M7332" t="s">
        <v>13929</v>
      </c>
      <c r="N7332" t="s">
        <v>14</v>
      </c>
    </row>
    <row r="7333" x14ac:dyDescent="0.25">
      <c r="A7333" t="n">
        <v>25</v>
      </c>
      <c r="B7333" t="s">
        <v>14</v>
      </c>
      <c r="C7333" t="s">
        <v>22</v>
      </c>
      <c r="D7333" s="2" t="s">
        <f>=HYPERLINK("https://main.knesset.gov.il/APPS/legislation/main/bills/2195938", "הצעת חוק העונשין (תיקון - אלימות במשפחה בנוכחות קטין או חסר ישע), התשפ""ג-2022")</f>
        <v>13394</v>
      </c>
      <c r="E7333" t="s">
        <v>13394</v>
      </c>
      <c r="F7333" t="s">
        <v>14236</v>
      </c>
      <c r="G7333" t="s">
        <v>14</v>
      </c>
      <c r="H7333">
             </c>
      <c r="I7333" t="s">
        <v>14</v>
      </c>
      <c r="J7333" t="s">
        <v>343</v>
      </c>
      <c r="K7333" t="s">
        <v>14</v>
      </c>
      <c r="L7333" t="s">
        <v>20</v>
      </c>
      <c r="M7333" t="s">
        <v>13929</v>
      </c>
      <c r="N7333" t="s">
        <v>14</v>
      </c>
    </row>
    <row r="7334" x14ac:dyDescent="0.25">
      <c r="A7334" t="n">
        <v>25</v>
      </c>
      <c r="B7334" t="s">
        <v>14</v>
      </c>
      <c r="C7334" t="s">
        <v>22</v>
      </c>
      <c r="D7334" s="2" t="s">
        <f>=HYPERLINK("https://main.knesset.gov.il/APPS/legislation/main/bills/2196069", "הצעת חוק מיסוי מקרקעין (שבח ורכישה) (תיקון - ייצוג נישום על ידי רואה חשבון), התשפ""ג-2022")</f>
        <v>14237</v>
      </c>
      <c r="E7334" t="s">
        <v>14237</v>
      </c>
      <c r="F7334" t="s">
        <v>14238</v>
      </c>
      <c r="G7334" t="s">
        <v>14</v>
      </c>
      <c r="H7334">
             </c>
      <c r="I7334" t="s">
        <v>14</v>
      </c>
      <c r="J7334" t="s">
        <v>141</v>
      </c>
      <c r="K7334" t="s">
        <v>14</v>
      </c>
      <c r="L7334" t="s">
        <v>20</v>
      </c>
      <c r="M7334" t="s">
        <v>13929</v>
      </c>
      <c r="N7334" t="s">
        <v>14</v>
      </c>
    </row>
    <row r="7335" x14ac:dyDescent="0.25">
      <c r="A7335" t="n">
        <v>25</v>
      </c>
      <c r="B7335" t="s">
        <v>14</v>
      </c>
      <c r="C7335" t="s">
        <v>22</v>
      </c>
      <c r="D7335" s="2" t="s">
        <f>=HYPERLINK("https://main.knesset.gov.il/APPS/legislation/main/bills/2195924", "הצעת חוק המידע הפלילי ותקנת השבים (תיקון - סעיף העונשין), התשפ""ג-2022")</f>
        <v>14239</v>
      </c>
      <c r="E7335" t="s">
        <v>14239</v>
      </c>
      <c r="F7335" t="s">
        <v>14240</v>
      </c>
      <c r="G7335" t="s">
        <v>14</v>
      </c>
      <c r="H7335">
             </c>
      <c r="I7335" t="s">
        <v>14</v>
      </c>
      <c r="J7335" t="s">
        <v>141</v>
      </c>
      <c r="K7335" t="s">
        <v>14</v>
      </c>
      <c r="L7335" t="s">
        <v>20</v>
      </c>
      <c r="M7335" t="s">
        <v>13929</v>
      </c>
      <c r="N7335" t="s">
        <v>14</v>
      </c>
    </row>
    <row r="7336" x14ac:dyDescent="0.25">
      <c r="A7336" t="n">
        <v>25</v>
      </c>
      <c r="B7336" t="s">
        <v>14</v>
      </c>
      <c r="C7336" t="s">
        <v>22</v>
      </c>
      <c r="D7336" s="2" t="s">
        <f>=HYPERLINK("https://main.knesset.gov.il/APPS/legislation/main/bills/2195880", "הצעת חוק זכויות ושירותים לילדים ובני נוער עם קשיים נפשיים, התשפ""ג-2022")</f>
        <v>14241</v>
      </c>
      <c r="E7336" t="s">
        <v>14241</v>
      </c>
      <c r="F7336" t="s">
        <v>14242</v>
      </c>
      <c r="G7336" t="s">
        <v>14</v>
      </c>
      <c r="H7336">
             </c>
      <c r="I7336" t="s">
        <v>14</v>
      </c>
      <c r="J7336" t="s">
        <v>141</v>
      </c>
      <c r="K7336" t="s">
        <v>14</v>
      </c>
      <c r="L7336" t="s">
        <v>20</v>
      </c>
      <c r="M7336" t="s">
        <v>13929</v>
      </c>
      <c r="N7336" t="s">
        <v>14</v>
      </c>
    </row>
    <row r="7337" x14ac:dyDescent="0.25">
      <c r="A7337" t="n">
        <v>25</v>
      </c>
      <c r="B7337" t="s">
        <v>14</v>
      </c>
      <c r="C7337" t="s">
        <v>22</v>
      </c>
      <c r="D7337" s="2" t="s">
        <f>=HYPERLINK("https://main.knesset.gov.il/APPS/legislation/main/bills/2195947", "הצעת חוק זכויות הדייר בדיור הציבורי (תיקון - זכות למגורים בדירה ציבורית לנשים ששהו במקלט לנשים מוכות), התשפ""ג-2022")</f>
        <v>14243</v>
      </c>
      <c r="E7337" t="s">
        <v>14243</v>
      </c>
      <c r="F7337" t="s">
        <v>14244</v>
      </c>
      <c r="G7337" t="s">
        <v>14</v>
      </c>
      <c r="H7337">
             </c>
      <c r="I7337" t="s">
        <v>14</v>
      </c>
      <c r="J7337" t="s">
        <v>343</v>
      </c>
      <c r="K7337" t="s">
        <v>14</v>
      </c>
      <c r="L7337" t="s">
        <v>20</v>
      </c>
      <c r="M7337" t="s">
        <v>13929</v>
      </c>
      <c r="N7337" t="s">
        <v>14</v>
      </c>
    </row>
    <row r="7338" x14ac:dyDescent="0.25">
      <c r="A7338" t="n">
        <v>25</v>
      </c>
      <c r="B7338" t="s">
        <v>14</v>
      </c>
      <c r="C7338" t="s">
        <v>22</v>
      </c>
      <c r="D7338" s="2" t="s">
        <f>=HYPERLINK("https://main.knesset.gov.il/APPS/legislation/main/bills/2195948", "הצעת חוק חדלות פירעון ושיקום כלכלי (תיקון - מתן דין קדימה לבעלי עסקים קטנים כנושים), התשפ""ג-2022")</f>
        <v>14245</v>
      </c>
      <c r="E7338" t="s">
        <v>14245</v>
      </c>
      <c r="F7338" t="s">
        <v>14246</v>
      </c>
      <c r="G7338" t="s">
        <v>14</v>
      </c>
      <c r="H7338">
             </c>
      <c r="I7338" t="s">
        <v>14</v>
      </c>
      <c r="J7338" t="s">
        <v>141</v>
      </c>
      <c r="K7338" t="s">
        <v>14</v>
      </c>
      <c r="L7338" t="s">
        <v>20</v>
      </c>
      <c r="M7338" t="s">
        <v>13929</v>
      </c>
      <c r="N7338" t="s">
        <v>14</v>
      </c>
    </row>
    <row r="7339" x14ac:dyDescent="0.25">
      <c r="A7339" t="n">
        <v>25</v>
      </c>
      <c r="B7339" t="s">
        <v>14</v>
      </c>
      <c r="C7339" t="s">
        <v>22</v>
      </c>
      <c r="D7339" s="2" t="s">
        <f>=HYPERLINK("https://main.knesset.gov.il/APPS/legislation/main/bills/2195945", "הצעת חוק לתיקון דיני הרשויות המקומיות (ביטול סמכות שר הפנים לעניין חוקי עזר בדבר פתיחתם וסגירתם של עסקים בימי מנוחה), התשפ""ג-2022")</f>
        <v>14174</v>
      </c>
      <c r="E7339" t="s">
        <v>14174</v>
      </c>
      <c r="F7339" t="s">
        <v>14247</v>
      </c>
      <c r="G7339" t="s">
        <v>14</v>
      </c>
      <c r="H7339">
             </c>
      <c r="I7339" t="s">
        <v>14</v>
      </c>
      <c r="J7339" t="s">
        <v>141</v>
      </c>
      <c r="K7339" t="s">
        <v>14</v>
      </c>
      <c r="L7339" t="s">
        <v>20</v>
      </c>
      <c r="M7339" t="s">
        <v>13929</v>
      </c>
      <c r="N7339" t="s">
        <v>14</v>
      </c>
    </row>
    <row r="7340" x14ac:dyDescent="0.25">
      <c r="A7340" t="n">
        <v>25</v>
      </c>
      <c r="B7340" t="s">
        <v>14</v>
      </c>
      <c r="C7340" t="s">
        <v>22</v>
      </c>
      <c r="D7340" s="2" t="s">
        <f>=HYPERLINK("https://main.knesset.gov.il/APPS/legislation/main/bills/2195988", "הצעת חוק לתיקון פקודת מס הכנסה (דחיית הגשת דיווח שנתי לעסק שהוקם ברבעון האחרון של השנה), התשפ""ג-2022")</f>
        <v>14248</v>
      </c>
      <c r="E7340" t="s">
        <v>14248</v>
      </c>
      <c r="F7340" t="s">
        <v>14249</v>
      </c>
      <c r="G7340" t="s">
        <v>14</v>
      </c>
      <c r="H7340">
             </c>
      <c r="I7340" t="s">
        <v>14</v>
      </c>
      <c r="J7340" t="s">
        <v>141</v>
      </c>
      <c r="K7340" t="s">
        <v>14</v>
      </c>
      <c r="L7340" t="s">
        <v>20</v>
      </c>
      <c r="M7340" t="s">
        <v>13929</v>
      </c>
      <c r="N7340" t="s">
        <v>14</v>
      </c>
    </row>
    <row r="7341" x14ac:dyDescent="0.25">
      <c r="A7341" t="n">
        <v>25</v>
      </c>
      <c r="B7341" t="s">
        <v>14</v>
      </c>
      <c r="C7341" t="s">
        <v>22</v>
      </c>
      <c r="D7341" s="2" t="s">
        <f>=HYPERLINK("https://main.knesset.gov.il/APPS/legislation/main/bills/2196038", "הצעת חוק העונשין (תיקון - החמרת ענישה על תקיפת קטין או חסר ישע), התשפ""ג-2022")</f>
        <v>14250</v>
      </c>
      <c r="E7341" t="s">
        <v>14250</v>
      </c>
      <c r="F7341" t="s">
        <v>14251</v>
      </c>
      <c r="G7341" t="s">
        <v>14</v>
      </c>
      <c r="H7341">
             </c>
      <c r="I7341" t="s">
        <v>14</v>
      </c>
      <c r="J7341" t="s">
        <v>141</v>
      </c>
      <c r="K7341" t="s">
        <v>14</v>
      </c>
      <c r="L7341" t="s">
        <v>20</v>
      </c>
      <c r="M7341" t="s">
        <v>13929</v>
      </c>
      <c r="N7341" t="s">
        <v>14</v>
      </c>
    </row>
    <row r="7342" x14ac:dyDescent="0.25">
      <c r="A7342" t="n">
        <v>25</v>
      </c>
      <c r="B7342" t="s">
        <v>14</v>
      </c>
      <c r="C7342" t="s">
        <v>22</v>
      </c>
      <c r="D7342" s="2" t="s">
        <f>=HYPERLINK("https://main.knesset.gov.il/APPS/legislation/main/bills/2196062", "הצעת חוק מס ערך מוסף (תיקון - פטור בעת קניית דירה ראשונה לזוגות צעירים בכל הארץ), התשפ""ג-2022")</f>
        <v>12744</v>
      </c>
      <c r="E7342" t="s">
        <v>12744</v>
      </c>
      <c r="F7342" t="s">
        <v>14252</v>
      </c>
      <c r="G7342" t="s">
        <v>14</v>
      </c>
      <c r="H7342">
             </c>
      <c r="I7342" t="s">
        <v>14</v>
      </c>
      <c r="J7342" t="s">
        <v>141</v>
      </c>
      <c r="K7342" t="s">
        <v>14</v>
      </c>
      <c r="L7342" t="s">
        <v>20</v>
      </c>
      <c r="M7342" t="s">
        <v>13929</v>
      </c>
      <c r="N7342" t="s">
        <v>14</v>
      </c>
    </row>
    <row r="7343" x14ac:dyDescent="0.25">
      <c r="A7343" t="n">
        <v>25</v>
      </c>
      <c r="B7343" t="s">
        <v>14</v>
      </c>
      <c r="C7343" t="s">
        <v>22</v>
      </c>
      <c r="D7343" s="2" t="s">
        <f>=HYPERLINK("https://main.knesset.gov.il/APPS/legislation/main/bills/2196036", "הצעת חוק מס ערך מוסף (תיקון - עידוד פתיחת עסקים חדשים), התשפ""ג-2022")</f>
        <v>14253</v>
      </c>
      <c r="E7343" t="s">
        <v>14253</v>
      </c>
      <c r="F7343" t="s">
        <v>14254</v>
      </c>
      <c r="G7343" t="s">
        <v>14</v>
      </c>
      <c r="H7343">
             </c>
      <c r="I7343" t="s">
        <v>14</v>
      </c>
      <c r="J7343" t="s">
        <v>141</v>
      </c>
      <c r="K7343" t="s">
        <v>14</v>
      </c>
      <c r="L7343" t="s">
        <v>20</v>
      </c>
      <c r="M7343" t="s">
        <v>13929</v>
      </c>
      <c r="N7343" t="s">
        <v>14</v>
      </c>
    </row>
    <row r="7344" x14ac:dyDescent="0.25">
      <c r="A7344" t="n">
        <v>25</v>
      </c>
      <c r="B7344" t="s">
        <v>14</v>
      </c>
      <c r="C7344" t="s">
        <v>22</v>
      </c>
      <c r="D7344" s="2" t="s">
        <f>=HYPERLINK("https://main.knesset.gov.il/APPS/legislation/main/bills/2195986", "הצעת חוק צירוף משפחות נפגעי טרור כצד להליך המשפטי (תיקוני חקיקה), התשפ""ג-2022")</f>
        <v>9413</v>
      </c>
      <c r="E7344" t="s">
        <v>9413</v>
      </c>
      <c r="F7344" t="s">
        <v>14255</v>
      </c>
      <c r="G7344" t="s">
        <v>14</v>
      </c>
      <c r="H7344">
             </c>
      <c r="I7344" t="s">
        <v>14</v>
      </c>
      <c r="J7344" t="s">
        <v>141</v>
      </c>
      <c r="K7344" t="s">
        <v>14</v>
      </c>
      <c r="L7344" t="s">
        <v>20</v>
      </c>
      <c r="M7344" t="s">
        <v>13929</v>
      </c>
      <c r="N7344" t="s">
        <v>14</v>
      </c>
    </row>
    <row r="7345" x14ac:dyDescent="0.25">
      <c r="A7345" t="n">
        <v>25</v>
      </c>
      <c r="B7345" t="s">
        <v>14</v>
      </c>
      <c r="C7345" t="s">
        <v>22</v>
      </c>
      <c r="D7345" s="2" t="s">
        <f>=HYPERLINK("https://main.knesset.gov.il/APPS/legislation/main/bills/2196035", "הצעת חוק תובענות ייצוגיות (תיקון - תובענה ייצוגית בשל פגיעה בפרטיות), התשפ""ג-2022")</f>
        <v>14256</v>
      </c>
      <c r="E7345" t="s">
        <v>14256</v>
      </c>
      <c r="F7345" t="s">
        <v>14257</v>
      </c>
      <c r="G7345" t="s">
        <v>14</v>
      </c>
      <c r="H7345">
             </c>
      <c r="I7345" t="s">
        <v>14</v>
      </c>
      <c r="J7345" t="s">
        <v>141</v>
      </c>
      <c r="K7345" t="s">
        <v>14</v>
      </c>
      <c r="L7345" t="s">
        <v>20</v>
      </c>
      <c r="M7345" t="s">
        <v>13929</v>
      </c>
      <c r="N7345" t="s">
        <v>14</v>
      </c>
    </row>
    <row r="7346" x14ac:dyDescent="0.25">
      <c r="A7346" t="n">
        <v>25</v>
      </c>
      <c r="B7346" t="s">
        <v>14</v>
      </c>
      <c r="C7346" t="s">
        <v>22</v>
      </c>
      <c r="D7346" s="2" t="s">
        <f>=HYPERLINK("https://main.knesset.gov.il/APPS/legislation/main/bills/2196061", "הצעת חוק תאגידי מים וביוב (תיקון - הקמת ועדת הנחות), התשפ""ג-2022")</f>
        <v>14258</v>
      </c>
      <c r="E7346" t="s">
        <v>14258</v>
      </c>
      <c r="F7346" t="s">
        <v>14259</v>
      </c>
      <c r="G7346" t="s">
        <v>14</v>
      </c>
      <c r="H7346">
             </c>
      <c r="I7346" t="s">
        <v>14</v>
      </c>
      <c r="J7346" t="s">
        <v>141</v>
      </c>
      <c r="K7346" t="s">
        <v>14</v>
      </c>
      <c r="L7346" t="s">
        <v>20</v>
      </c>
      <c r="M7346" t="s">
        <v>13929</v>
      </c>
      <c r="N7346" t="s">
        <v>14</v>
      </c>
    </row>
    <row r="7347" x14ac:dyDescent="0.25">
      <c r="A7347" t="n">
        <v>25</v>
      </c>
      <c r="B7347" t="s">
        <v>14</v>
      </c>
      <c r="C7347" t="s">
        <v>22</v>
      </c>
      <c r="D7347" s="2" t="s">
        <f>=HYPERLINK("https://main.knesset.gov.il/APPS/legislation/main/bills/2196026", "הצעת חוק סל הקליטה (תיקון - זכאות יוצאים לשאלה), התשפ""ג-2022")</f>
        <v>14260</v>
      </c>
      <c r="E7347" t="s">
        <v>14260</v>
      </c>
      <c r="F7347" t="s">
        <v>14261</v>
      </c>
      <c r="G7347" t="s">
        <v>14</v>
      </c>
      <c r="H7347">
             </c>
      <c r="I7347" t="s">
        <v>14</v>
      </c>
      <c r="J7347" t="s">
        <v>141</v>
      </c>
      <c r="K7347" t="s">
        <v>14</v>
      </c>
      <c r="L7347" t="s">
        <v>20</v>
      </c>
      <c r="M7347" t="s">
        <v>13929</v>
      </c>
      <c r="N7347" t="s">
        <v>14</v>
      </c>
    </row>
    <row r="7348" x14ac:dyDescent="0.25">
      <c r="A7348" t="n">
        <v>25</v>
      </c>
      <c r="B7348" t="s">
        <v>14</v>
      </c>
      <c r="C7348" t="s">
        <v>22</v>
      </c>
      <c r="D7348" s="2" t="s">
        <f>=HYPERLINK("https://main.knesset.gov.il/APPS/legislation/main/bills/2196013", "הצעת חוק צער בעלי חיים (הגנה על בעלי חיים) (תיקון - איחוד סמכויות), התשפ""ג-2022")</f>
        <v>14262</v>
      </c>
      <c r="E7348" t="s">
        <v>14262</v>
      </c>
      <c r="F7348" t="s">
        <v>14263</v>
      </c>
      <c r="G7348" t="s">
        <v>14</v>
      </c>
      <c r="H7348">
             </c>
      <c r="I7348" t="s">
        <v>14</v>
      </c>
      <c r="J7348" t="s">
        <v>141</v>
      </c>
      <c r="K7348" t="s">
        <v>14</v>
      </c>
      <c r="L7348" t="s">
        <v>20</v>
      </c>
      <c r="M7348" t="s">
        <v>13929</v>
      </c>
      <c r="N7348" t="s">
        <v>14</v>
      </c>
    </row>
    <row r="7349" x14ac:dyDescent="0.25">
      <c r="A7349" t="n">
        <v>25</v>
      </c>
      <c r="B7349" t="s">
        <v>14</v>
      </c>
      <c r="C7349" t="s">
        <v>22</v>
      </c>
      <c r="D7349" s="2" t="s">
        <f>=HYPERLINK("https://main.knesset.gov.il/APPS/legislation/main/bills/2196033", "הצעת חוק חניה לנכים (תיקון - החלטה בבקשה לתג נכה), התשפ""ג-2022")</f>
        <v>14264</v>
      </c>
      <c r="E7349" t="s">
        <v>14264</v>
      </c>
      <c r="F7349" t="s">
        <v>14265</v>
      </c>
      <c r="G7349" t="s">
        <v>14</v>
      </c>
      <c r="H7349">
             </c>
      <c r="I7349" t="s">
        <v>14</v>
      </c>
      <c r="J7349" t="s">
        <v>141</v>
      </c>
      <c r="K7349" t="s">
        <v>14</v>
      </c>
      <c r="L7349" t="s">
        <v>20</v>
      </c>
      <c r="M7349" t="s">
        <v>13929</v>
      </c>
      <c r="N7349" t="s">
        <v>14</v>
      </c>
    </row>
    <row r="7350" x14ac:dyDescent="0.25">
      <c r="A7350" t="n">
        <v>25</v>
      </c>
      <c r="B7350" t="s">
        <v>14</v>
      </c>
      <c r="C7350" t="s">
        <v>22</v>
      </c>
      <c r="D7350" s="2" t="s">
        <f>=HYPERLINK("https://main.knesset.gov.il/APPS/legislation/main/bills/2195985", "הצעת חוק להגדלת שיעור ההשתתפות בכוח העבודה ולצמצום פערים חברתיים (מענק עבודה) (תיקון - גיל העובד), התשפ""ג-2022")</f>
        <v>13667</v>
      </c>
      <c r="E7350" t="s">
        <v>13667</v>
      </c>
      <c r="F7350" t="s">
        <v>14266</v>
      </c>
      <c r="G7350" t="s">
        <v>14</v>
      </c>
      <c r="H7350">
             </c>
      <c r="I7350" t="s">
        <v>14</v>
      </c>
      <c r="J7350" t="s">
        <v>141</v>
      </c>
      <c r="K7350" t="s">
        <v>14</v>
      </c>
      <c r="L7350" t="s">
        <v>20</v>
      </c>
      <c r="M7350" t="s">
        <v>13929</v>
      </c>
      <c r="N7350" t="s">
        <v>14</v>
      </c>
    </row>
    <row r="7351" x14ac:dyDescent="0.25">
      <c r="A7351" t="n">
        <v>25</v>
      </c>
      <c r="B7351" t="s">
        <v>14</v>
      </c>
      <c r="C7351" t="s">
        <v>22</v>
      </c>
      <c r="D7351" s="2" t="s">
        <f>=HYPERLINK("https://main.knesset.gov.il/APPS/legislation/main/bills/2196019", "הצעת חוק טיפול בחולי נפש (תיקון - התמכרות פסיכוטית לחומרים פסיכו-אקטיביים), התשפ""ג-2022")</f>
        <v>14267</v>
      </c>
      <c r="E7351" t="s">
        <v>14267</v>
      </c>
      <c r="F7351" t="s">
        <v>14268</v>
      </c>
      <c r="G7351" t="s">
        <v>14</v>
      </c>
      <c r="H7351">
             </c>
      <c r="I7351" t="s">
        <v>14</v>
      </c>
      <c r="J7351" t="s">
        <v>141</v>
      </c>
      <c r="K7351" t="s">
        <v>14</v>
      </c>
      <c r="L7351" t="s">
        <v>20</v>
      </c>
      <c r="M7351" t="s">
        <v>13929</v>
      </c>
      <c r="N7351" t="s">
        <v>14</v>
      </c>
    </row>
    <row r="7352" x14ac:dyDescent="0.25">
      <c r="A7352" t="n">
        <v>25</v>
      </c>
      <c r="B7352" t="s">
        <v>14</v>
      </c>
      <c r="C7352" t="s">
        <v>22</v>
      </c>
      <c r="D7352" s="2" t="s">
        <f>=HYPERLINK("https://main.knesset.gov.il/APPS/legislation/main/bills/2196023", "הצעת חוק לתיקון פקודת בתי הסוהר (תוכניות שיקום בערבית ומידע בשפה הערבית), התשפ""ג-2023")</f>
        <v>11679</v>
      </c>
      <c r="E7352" t="s">
        <v>11679</v>
      </c>
      <c r="F7352" t="s">
        <v>14269</v>
      </c>
      <c r="G7352" t="s">
        <v>14</v>
      </c>
      <c r="H7352">
             </c>
      <c r="I7352" t="s">
        <v>14</v>
      </c>
      <c r="J7352" t="s">
        <v>141</v>
      </c>
      <c r="K7352" t="s">
        <v>14</v>
      </c>
      <c r="L7352" t="s">
        <v>20</v>
      </c>
      <c r="M7352" t="s">
        <v>13929</v>
      </c>
      <c r="N7352" t="s">
        <v>14</v>
      </c>
    </row>
    <row r="7353" x14ac:dyDescent="0.25">
      <c r="A7353" t="n">
        <v>25</v>
      </c>
      <c r="B7353" t="s">
        <v>14</v>
      </c>
      <c r="C7353" t="s">
        <v>22</v>
      </c>
      <c r="D7353" s="2" t="s">
        <f>=HYPERLINK("https://main.knesset.gov.il/APPS/legislation/main/bills/2196027", "הצעת חוק לתיקון פקודת בתי הסוהר (מתן הודעה בכתב לאסיר ולנפגעי עבירה בדבר מועד שחרור מנהלי והכנת תכנית שיקום), התשפ""ג-2022")</f>
        <v>14270</v>
      </c>
      <c r="E7353" t="s">
        <v>14270</v>
      </c>
      <c r="F7353" t="s">
        <v>14271</v>
      </c>
      <c r="G7353" t="s">
        <v>14</v>
      </c>
      <c r="H7353">
             </c>
      <c r="I7353" t="s">
        <v>14</v>
      </c>
      <c r="J7353" t="s">
        <v>141</v>
      </c>
      <c r="K7353" t="s">
        <v>14</v>
      </c>
      <c r="L7353" t="s">
        <v>20</v>
      </c>
      <c r="M7353" t="s">
        <v>13929</v>
      </c>
      <c r="N7353" t="s">
        <v>14</v>
      </c>
    </row>
    <row r="7354" x14ac:dyDescent="0.25">
      <c r="A7354" t="n">
        <v>25</v>
      </c>
      <c r="B7354" t="s">
        <v>14</v>
      </c>
      <c r="C7354" t="s">
        <v>22</v>
      </c>
      <c r="D7354" s="2" t="s">
        <f>=HYPERLINK("https://main.knesset.gov.il/APPS/legislation/main/bills/2195983", "הצעת חוק המזונות (הבטחת תשלום) (תיקון - סכום שלא יובא בחשבון במבחן ההכנסה), התשפ""ג-2022")</f>
        <v>14272</v>
      </c>
      <c r="E7354" t="s">
        <v>14272</v>
      </c>
      <c r="F7354" t="s">
        <v>14273</v>
      </c>
      <c r="G7354" t="s">
        <v>14</v>
      </c>
      <c r="H7354">
             </c>
      <c r="I7354" t="s">
        <v>14</v>
      </c>
      <c r="J7354" t="s">
        <v>141</v>
      </c>
      <c r="K7354" t="s">
        <v>14</v>
      </c>
      <c r="L7354" t="s">
        <v>20</v>
      </c>
      <c r="M7354" t="s">
        <v>13929</v>
      </c>
      <c r="N7354" t="s">
        <v>14</v>
      </c>
    </row>
    <row r="7355" x14ac:dyDescent="0.25">
      <c r="A7355" t="n">
        <v>25</v>
      </c>
      <c r="B7355" t="s">
        <v>14</v>
      </c>
      <c r="C7355" t="s">
        <v>22</v>
      </c>
      <c r="D7355" s="2" t="s">
        <f>=HYPERLINK("https://main.knesset.gov.il/APPS/legislation/main/bills/2196017", "הצעת חוק פיקוח על בתי ספר (תיקון - איסור התחזות לגננת), התשפ""ג-2022")</f>
        <v>14274</v>
      </c>
      <c r="E7355" t="s">
        <v>14274</v>
      </c>
      <c r="F7355" t="s">
        <v>14275</v>
      </c>
      <c r="G7355" t="s">
        <v>14</v>
      </c>
      <c r="H7355">
             </c>
      <c r="I7355" t="s">
        <v>14</v>
      </c>
      <c r="J7355" t="s">
        <v>141</v>
      </c>
      <c r="K7355" t="s">
        <v>14</v>
      </c>
      <c r="L7355" t="s">
        <v>20</v>
      </c>
      <c r="M7355" t="s">
        <v>13929</v>
      </c>
      <c r="N7355" t="s">
        <v>14</v>
      </c>
    </row>
    <row r="7356" x14ac:dyDescent="0.25">
      <c r="A7356" t="n">
        <v>25</v>
      </c>
      <c r="B7356" t="s">
        <v>14</v>
      </c>
      <c r="C7356" t="s">
        <v>22</v>
      </c>
      <c r="D7356" s="2" t="s">
        <f>=HYPERLINK("https://main.knesset.gov.il/APPS/legislation/main/bills/2196016", "הצעת חוק הפיקוח על מעונות יום לפעוטות (תיקון - החמרת ענישה), התשפ""ג-2022")</f>
        <v>13695</v>
      </c>
      <c r="E7356" t="s">
        <v>13695</v>
      </c>
      <c r="F7356" t="s">
        <v>14276</v>
      </c>
      <c r="G7356" t="s">
        <v>14</v>
      </c>
      <c r="H7356">
             </c>
      <c r="I7356" t="s">
        <v>14</v>
      </c>
      <c r="J7356" t="s">
        <v>141</v>
      </c>
      <c r="K7356" t="s">
        <v>14</v>
      </c>
      <c r="L7356" t="s">
        <v>20</v>
      </c>
      <c r="M7356" t="s">
        <v>13929</v>
      </c>
      <c r="N7356" t="s">
        <v>14</v>
      </c>
    </row>
    <row r="7357" x14ac:dyDescent="0.25">
      <c r="A7357" t="n">
        <v>25</v>
      </c>
      <c r="B7357" t="s">
        <v>14</v>
      </c>
      <c r="C7357" t="s">
        <v>22</v>
      </c>
      <c r="D7357" s="2" t="s">
        <f>=HYPERLINK("https://main.knesset.gov.il/APPS/legislation/main/bills/2195950", "הצעת חוק זכויות החולה (תיקון - זכות מטופל לקבל רשומות רפואיות), התשפ""ג-2022")</f>
        <v>14277</v>
      </c>
      <c r="E7357" t="s">
        <v>14277</v>
      </c>
      <c r="F7357" t="s">
        <v>14278</v>
      </c>
      <c r="G7357" t="s">
        <v>14</v>
      </c>
      <c r="H7357">
             </c>
      <c r="I7357" t="s">
        <v>14</v>
      </c>
      <c r="J7357" t="s">
        <v>141</v>
      </c>
      <c r="K7357" t="s">
        <v>14</v>
      </c>
      <c r="L7357" t="s">
        <v>20</v>
      </c>
      <c r="M7357" t="s">
        <v>13929</v>
      </c>
      <c r="N7357" t="s">
        <v>14</v>
      </c>
    </row>
    <row r="7358" x14ac:dyDescent="0.25">
      <c r="A7358" t="n">
        <v>25</v>
      </c>
      <c r="B7358" t="s">
        <v>14</v>
      </c>
      <c r="C7358" t="s">
        <v>22</v>
      </c>
      <c r="D7358" s="2" t="s">
        <f>=HYPERLINK("https://main.knesset.gov.il/APPS/legislation/main/bills/2196008", "הצעת חוק שירות לאומי-אזרחי (תיקוני חקיקה), התשפ""ג-2022")</f>
        <v>14279</v>
      </c>
      <c r="E7358" t="s">
        <v>14279</v>
      </c>
      <c r="F7358" t="s">
        <v>14280</v>
      </c>
      <c r="G7358" t="s">
        <v>14</v>
      </c>
      <c r="H7358">
             </c>
      <c r="I7358" t="s">
        <v>14</v>
      </c>
      <c r="J7358" t="s">
        <v>141</v>
      </c>
      <c r="K7358" t="s">
        <v>14</v>
      </c>
      <c r="L7358" t="s">
        <v>20</v>
      </c>
      <c r="M7358" t="s">
        <v>13929</v>
      </c>
      <c r="N7358" t="s">
        <v>14</v>
      </c>
    </row>
    <row r="7359" x14ac:dyDescent="0.25">
      <c r="A7359" t="n">
        <v>25</v>
      </c>
      <c r="B7359" t="s">
        <v>14</v>
      </c>
      <c r="C7359" t="s">
        <v>22</v>
      </c>
      <c r="D7359" s="2" t="s">
        <f>=HYPERLINK("https://main.knesset.gov.il/APPS/legislation/main/bills/2195932", "הצעת חוק הביטוח הלאומי (תיקון - התפטרות הורה על מנת לטפל בילדו), התשפ""ג-2022")</f>
        <v>14281</v>
      </c>
      <c r="E7359" t="s">
        <v>14281</v>
      </c>
      <c r="F7359" t="s">
        <v>14282</v>
      </c>
      <c r="G7359" t="s">
        <v>14</v>
      </c>
      <c r="H7359">
             </c>
      <c r="I7359" t="s">
        <v>14</v>
      </c>
      <c r="J7359" t="s">
        <v>141</v>
      </c>
      <c r="K7359" t="s">
        <v>14</v>
      </c>
      <c r="L7359" t="s">
        <v>20</v>
      </c>
      <c r="M7359" t="s">
        <v>13929</v>
      </c>
      <c r="N7359" t="s">
        <v>14</v>
      </c>
    </row>
    <row r="7360" x14ac:dyDescent="0.25">
      <c r="A7360" t="n">
        <v>25</v>
      </c>
      <c r="B7360" t="s">
        <v>14</v>
      </c>
      <c r="C7360" t="s">
        <v>22</v>
      </c>
      <c r="D7360" s="2" t="s">
        <f>=HYPERLINK("https://main.knesset.gov.il/APPS/legislation/main/bills/2195772", "הצעת חוק הנוער (טיפול והשגחה) (תיקון - ביטול עבירה פלילית על פרסום תחלואה נפשית של קטין), התשפ""ג-2022")</f>
        <v>14283</v>
      </c>
      <c r="E7360" t="s">
        <v>14283</v>
      </c>
      <c r="F7360" t="s">
        <v>14284</v>
      </c>
      <c r="G7360" t="s">
        <v>14</v>
      </c>
      <c r="H7360">
             </c>
      <c r="I7360" t="s">
        <v>14</v>
      </c>
      <c r="J7360" t="s">
        <v>141</v>
      </c>
      <c r="K7360" t="s">
        <v>14</v>
      </c>
      <c r="L7360" t="s">
        <v>20</v>
      </c>
      <c r="M7360" t="s">
        <v>13929</v>
      </c>
      <c r="N7360" t="s">
        <v>14</v>
      </c>
    </row>
    <row r="7361" x14ac:dyDescent="0.25">
      <c r="A7361" t="n">
        <v>25</v>
      </c>
      <c r="B7361" t="s">
        <v>14</v>
      </c>
      <c r="C7361" t="s">
        <v>22</v>
      </c>
      <c r="D7361" s="2" t="s">
        <f>=HYPERLINK("https://main.knesset.gov.il/APPS/legislation/main/bills/2195842", "הצעת חוק הסכמים קיבוציים (תיקון - יציגות ארגון עובדים והגנה על הפרט), התשפ""ג-2022")</f>
        <v>14117</v>
      </c>
      <c r="E7361" t="s">
        <v>14117</v>
      </c>
      <c r="F7361" t="s">
        <v>14285</v>
      </c>
      <c r="G7361" t="s">
        <v>14</v>
      </c>
      <c r="H7361">
             </c>
      <c r="I7361" t="s">
        <v>14</v>
      </c>
      <c r="J7361" t="s">
        <v>141</v>
      </c>
      <c r="K7361" t="s">
        <v>14</v>
      </c>
      <c r="L7361" t="s">
        <v>20</v>
      </c>
      <c r="M7361" t="s">
        <v>13929</v>
      </c>
      <c r="N7361" t="s">
        <v>14</v>
      </c>
    </row>
    <row r="7362" x14ac:dyDescent="0.25">
      <c r="A7362" t="n">
        <v>25</v>
      </c>
      <c r="B7362" t="s">
        <v>14</v>
      </c>
      <c r="C7362" t="s">
        <v>22</v>
      </c>
      <c r="D7362" s="2" t="s">
        <f>=HYPERLINK("https://main.knesset.gov.il/APPS/legislation/main/bills/2195810", "הצעת חוק הקמת מאגר מידע דיגיטלי בנושא הכשרות מקצועיות, התשפ""ג-2022")</f>
        <v>14286</v>
      </c>
      <c r="E7362" t="s">
        <v>14286</v>
      </c>
      <c r="F7362" t="s">
        <v>14287</v>
      </c>
      <c r="G7362" t="s">
        <v>14</v>
      </c>
      <c r="H7362">
             </c>
      <c r="I7362" t="s">
        <v>14</v>
      </c>
      <c r="J7362" t="s">
        <v>141</v>
      </c>
      <c r="K7362" t="s">
        <v>14</v>
      </c>
      <c r="L7362" t="s">
        <v>20</v>
      </c>
      <c r="M7362" t="s">
        <v>13929</v>
      </c>
      <c r="N7362" t="s">
        <v>14</v>
      </c>
    </row>
    <row r="7363" x14ac:dyDescent="0.25">
      <c r="A7363" t="n">
        <v>25</v>
      </c>
      <c r="B7363" t="s">
        <v>14</v>
      </c>
      <c r="C7363" t="s">
        <v>22</v>
      </c>
      <c r="D7363" s="2" t="s">
        <f>=HYPERLINK("https://main.knesset.gov.il/APPS/legislation/main/bills/2195789", "הצעת חוק כביש אגרה (כביש ארצי לישראל) (תיקון - פטור מאגרה בשל האטה ממהירות הנסיעה המותרת), התשפ""ג-2022")</f>
        <v>14063</v>
      </c>
      <c r="E7363" t="s">
        <v>14063</v>
      </c>
      <c r="F7363" t="s">
        <v>14288</v>
      </c>
      <c r="G7363" t="s">
        <v>14</v>
      </c>
      <c r="H7363">
             </c>
      <c r="I7363" t="s">
        <v>14</v>
      </c>
      <c r="J7363" t="s">
        <v>141</v>
      </c>
      <c r="K7363" t="s">
        <v>14</v>
      </c>
      <c r="L7363" t="s">
        <v>20</v>
      </c>
      <c r="M7363" t="s">
        <v>13929</v>
      </c>
      <c r="N7363" t="s">
        <v>14</v>
      </c>
    </row>
    <row r="7364" x14ac:dyDescent="0.25">
      <c r="A7364" t="n">
        <v>25</v>
      </c>
      <c r="B7364" t="s">
        <v>14</v>
      </c>
      <c r="C7364" t="s">
        <v>22</v>
      </c>
      <c r="D7364" s="2" t="s">
        <f>=HYPERLINK("https://main.knesset.gov.il/APPS/legislation/main/bills/2195694", "הצעת חוק לתיקון פקודת הסמים המסוכנים (הגדרת צמח הקנבוס, מדרוג עבירות ועונשים בסם קנבוס), התשפ""ג-2022")</f>
        <v>14189</v>
      </c>
      <c r="E7364" t="s">
        <v>14189</v>
      </c>
      <c r="F7364" t="s">
        <v>14289</v>
      </c>
      <c r="G7364" t="s">
        <v>14</v>
      </c>
      <c r="H7364">
             </c>
      <c r="I7364" t="s">
        <v>14</v>
      </c>
      <c r="J7364" t="s">
        <v>141</v>
      </c>
      <c r="K7364" t="s">
        <v>14</v>
      </c>
      <c r="L7364" t="s">
        <v>20</v>
      </c>
      <c r="M7364" t="s">
        <v>13929</v>
      </c>
      <c r="N7364" t="s">
        <v>14</v>
      </c>
    </row>
    <row r="7365" x14ac:dyDescent="0.25">
      <c r="A7365" t="n">
        <v>25</v>
      </c>
      <c r="B7365" t="s">
        <v>14</v>
      </c>
      <c r="C7365" t="s">
        <v>22</v>
      </c>
      <c r="D7365" s="2" t="s">
        <f>=HYPERLINK("https://main.knesset.gov.il/APPS/legislation/main/bills/2195835", "הצעת חוק הגנת הפרטיות (תיקון - חיזוק הזכות לפרטיות וההגנה עליה), התשפ""ג-2022")</f>
        <v>14290</v>
      </c>
      <c r="E7365" t="s">
        <v>14290</v>
      </c>
      <c r="F7365" t="s">
        <v>14291</v>
      </c>
      <c r="G7365" t="s">
        <v>14</v>
      </c>
      <c r="H7365">
             </c>
      <c r="I7365" t="s">
        <v>14</v>
      </c>
      <c r="J7365" t="s">
        <v>141</v>
      </c>
      <c r="K7365" t="s">
        <v>14</v>
      </c>
      <c r="L7365" t="s">
        <v>20</v>
      </c>
      <c r="M7365" t="s">
        <v>13929</v>
      </c>
      <c r="N7365" t="s">
        <v>14</v>
      </c>
    </row>
    <row r="7366" x14ac:dyDescent="0.25">
      <c r="A7366" t="n">
        <v>25</v>
      </c>
      <c r="B7366" t="s">
        <v>14</v>
      </c>
      <c r="C7366" t="s">
        <v>22</v>
      </c>
      <c r="D7366" s="2" t="s">
        <f>=HYPERLINK("https://main.knesset.gov.il/APPS/legislation/main/bills/2195773", "הצעת חוק-יסוד: הממשלה (תיקון - אצילת סמכויות לסגן שר)")</f>
        <v>14292</v>
      </c>
      <c r="E7366" t="s">
        <v>14292</v>
      </c>
      <c r="F7366" t="s">
        <v>14293</v>
      </c>
      <c r="G7366" t="s">
        <v>14</v>
      </c>
      <c r="H7366">
             </c>
      <c r="I7366" t="s">
        <v>14</v>
      </c>
      <c r="J7366" t="s">
        <v>141</v>
      </c>
      <c r="K7366" t="s">
        <v>14</v>
      </c>
      <c r="L7366" t="s">
        <v>20</v>
      </c>
      <c r="M7366" t="s">
        <v>13929</v>
      </c>
      <c r="N7366" t="s">
        <v>14</v>
      </c>
    </row>
    <row r="7367" x14ac:dyDescent="0.25">
      <c r="A7367" t="n">
        <v>25</v>
      </c>
      <c r="B7367" t="s">
        <v>14</v>
      </c>
      <c r="C7367" t="s">
        <v>22</v>
      </c>
      <c r="D7367" s="2" t="s">
        <f>=HYPERLINK("https://main.knesset.gov.il/APPS/legislation/main/bills/2195751", "הצעת חוק בית המשפט לענייני משפחה (תיקון - בני זוג מאותו מין), התשפ""ג-2022")</f>
        <v>14294</v>
      </c>
      <c r="E7367" t="s">
        <v>14294</v>
      </c>
      <c r="F7367" t="s">
        <v>14295</v>
      </c>
      <c r="G7367" t="s">
        <v>14</v>
      </c>
      <c r="H7367">
             </c>
      <c r="I7367" t="s">
        <v>14</v>
      </c>
      <c r="J7367" t="s">
        <v>141</v>
      </c>
      <c r="K7367" t="s">
        <v>14</v>
      </c>
      <c r="L7367" t="s">
        <v>20</v>
      </c>
      <c r="M7367" t="s">
        <v>13929</v>
      </c>
      <c r="N7367" t="s">
        <v>14</v>
      </c>
    </row>
    <row r="7368" x14ac:dyDescent="0.25">
      <c r="A7368" t="n">
        <v>25</v>
      </c>
      <c r="B7368" t="s">
        <v>14</v>
      </c>
      <c r="C7368" t="s">
        <v>22</v>
      </c>
      <c r="D7368" s="2" t="s">
        <f>=HYPERLINK("https://main.knesset.gov.il/APPS/legislation/main/bills/2195647", "הצעת חוק ביטוח בריאות ממלכתי (תיקון - העברת שירותי הגמילה לאחריות קופות החולים), התשפ""ג-2022")</f>
        <v>14296</v>
      </c>
      <c r="E7368" t="s">
        <v>14296</v>
      </c>
      <c r="F7368" t="s">
        <v>14297</v>
      </c>
      <c r="G7368" t="s">
        <v>14</v>
      </c>
      <c r="H7368">
             </c>
      <c r="I7368" t="s">
        <v>14</v>
      </c>
      <c r="J7368" t="s">
        <v>141</v>
      </c>
      <c r="K7368" t="s">
        <v>14</v>
      </c>
      <c r="L7368" t="s">
        <v>20</v>
      </c>
      <c r="M7368" t="s">
        <v>13929</v>
      </c>
      <c r="N7368" t="s">
        <v>14</v>
      </c>
    </row>
    <row r="7369" x14ac:dyDescent="0.25">
      <c r="A7369" t="n">
        <v>25</v>
      </c>
      <c r="B7369" t="s">
        <v>14</v>
      </c>
      <c r="C7369" t="s">
        <v>22</v>
      </c>
      <c r="D7369" s="2" t="s">
        <f>=HYPERLINK("https://main.knesset.gov.il/APPS/legislation/main/bills/2195685", "הצעת חוק שלילת זכויות לראש ממשלה לשעבר שכיהן תקופה קצרה, התשפ""ג-2022")</f>
        <v>14298</v>
      </c>
      <c r="E7369" t="s">
        <v>14298</v>
      </c>
      <c r="F7369" t="s">
        <v>14299</v>
      </c>
      <c r="G7369" t="s">
        <v>14</v>
      </c>
      <c r="H7369">
             </c>
      <c r="I7369" t="s">
        <v>14</v>
      </c>
      <c r="J7369" t="s">
        <v>141</v>
      </c>
      <c r="K7369" t="s">
        <v>14</v>
      </c>
      <c r="L7369" t="s">
        <v>20</v>
      </c>
      <c r="M7369" t="s">
        <v>13929</v>
      </c>
      <c r="N7369" t="s">
        <v>14</v>
      </c>
    </row>
    <row r="7370" x14ac:dyDescent="0.25">
      <c r="A7370" t="n">
        <v>25</v>
      </c>
      <c r="B7370" t="s">
        <v>14</v>
      </c>
      <c r="C7370" t="s">
        <v>22</v>
      </c>
      <c r="D7370" s="2" t="s">
        <f>=HYPERLINK("https://main.knesset.gov.il/APPS/legislation/main/bills/2195651", "הצעת חוק שעות עבודה ומנוחה (תיקון - קיצור שבוע העבודה), התשפ""ג-2022")</f>
        <v>14135</v>
      </c>
      <c r="E7370" t="s">
        <v>14135</v>
      </c>
      <c r="F7370" t="s">
        <v>14300</v>
      </c>
      <c r="G7370" t="s">
        <v>14</v>
      </c>
      <c r="H7370">
             </c>
      <c r="I7370" t="s">
        <v>14</v>
      </c>
      <c r="J7370" t="s">
        <v>141</v>
      </c>
      <c r="K7370" t="s">
        <v>14</v>
      </c>
      <c r="L7370" t="s">
        <v>20</v>
      </c>
      <c r="M7370" t="s">
        <v>13929</v>
      </c>
      <c r="N7370" t="s">
        <v>14</v>
      </c>
    </row>
    <row r="7371" x14ac:dyDescent="0.25">
      <c r="A7371" t="n">
        <v>24</v>
      </c>
      <c r="B7371" t="s">
        <v>14</v>
      </c>
      <c r="C7371" t="s">
        <v>15</v>
      </c>
      <c r="D7371" s="2" t="s">
        <f>=HYPERLINK("https://main.knesset.gov.il/APPS/legislation/main/bills/2193943", "חוק הכניסה לישראל (תיקון מס' 34 – הוראת שעה – נגיף הקורונה החדש), התשפ""ב-2022 ")</f>
        <v>14301</v>
      </c>
      <c r="E7371" t="s">
        <v>14301</v>
      </c>
      <c r="F7371" t="s">
        <v>14</v>
      </c>
      <c r="G7371" t="s">
        <v>14302</v>
      </c>
      <c r="H7371" t="n">
        <v>3009</v>
      </c>
      <c r="I7371" t="s">
        <v>14</v>
      </c>
      <c r="J7371" t="s">
        <v>91</v>
      </c>
      <c r="K7371" t="s">
        <v>46</v>
      </c>
      <c r="L7371" t="s">
        <v>20</v>
      </c>
      <c r="M7371" t="s">
        <v>14303</v>
      </c>
      <c r="N7371" t="s">
        <v>14</v>
      </c>
    </row>
    <row r="7372" x14ac:dyDescent="0.25">
      <c r="A7372" t="n">
        <v>24</v>
      </c>
      <c r="B7372" t="s">
        <v>14</v>
      </c>
      <c r="C7372" t="s">
        <v>22</v>
      </c>
      <c r="D7372" s="2" t="s">
        <f>=HYPERLINK("https://main.knesset.gov.il/APPS/legislation/main/bills/2164297", "הצעת חוק ההתייעלות הכלכלית (תיקוני חקיקה להשגת יעדי התקציב לשנות התקציב 2017 ו-2018 (תיקון מס' 8) (הקצאת סכום לרשויות המקומיות הסמוכות לנמל התעופה בן-גוריון), התשפ""ב-2022")</f>
        <v>14304</v>
      </c>
      <c r="E7372" t="s">
        <v>14304</v>
      </c>
      <c r="F7372" t="s">
        <v>14305</v>
      </c>
      <c r="G7372" t="s">
        <v>14306</v>
      </c>
      <c r="H7372">
             </c>
      <c r="I7372" t="s">
        <v>14</v>
      </c>
      <c r="J7372" t="s">
        <v>18</v>
      </c>
      <c r="K7372" t="s">
        <v>85</v>
      </c>
      <c r="L7372" t="s">
        <v>20</v>
      </c>
      <c r="M7372" t="s">
        <v>14303</v>
      </c>
      <c r="N7372" t="s">
        <v>14</v>
      </c>
    </row>
    <row r="7373" x14ac:dyDescent="0.25">
      <c r="A7373" t="n">
        <v>24</v>
      </c>
      <c r="B7373" t="s">
        <v>14</v>
      </c>
      <c r="C7373" t="s">
        <v>22</v>
      </c>
      <c r="D7373" s="2" t="s">
        <f>=HYPERLINK("https://main.knesset.gov.il/APPS/legislation/main/bills/2157254", "הצעת חוק שימוש בזרע של נפטר לשם הולדה, התשפ""ב–2022")</f>
        <v>14307</v>
      </c>
      <c r="E7373" t="s">
        <v>14307</v>
      </c>
      <c r="F7373" t="s">
        <v>14308</v>
      </c>
      <c r="G7373" t="s">
        <v>14309</v>
      </c>
      <c r="H7373">
             </c>
      <c r="I7373" t="s">
        <v>26</v>
      </c>
      <c r="J7373" t="s">
        <v>18</v>
      </c>
      <c r="K7373" t="s">
        <v>127</v>
      </c>
      <c r="L7373" t="s">
        <v>20</v>
      </c>
      <c r="M7373" t="s">
        <v>14303</v>
      </c>
      <c r="N7373" t="s">
        <v>14</v>
      </c>
    </row>
    <row r="7374" x14ac:dyDescent="0.25">
      <c r="A7374" t="n">
        <v>24</v>
      </c>
      <c r="B7374" t="s">
        <v>14</v>
      </c>
      <c r="C7374" t="s">
        <v>22</v>
      </c>
      <c r="D7374" s="2" t="s">
        <f>=HYPERLINK("https://main.knesset.gov.il/APPS/legislation/main/bills/2158155", "הצעת חוק ההתייעלות הכלכלית (תיקוני חקיקה להשגת יעדי התקציב לשנות התקציב 2017 ו-2018) (תיקון - הקצאת סכום לרשויות המקומיות הסמוכות לנמל התעופה בן-גוריון), התשפ""א-2021")</f>
        <v>14310</v>
      </c>
      <c r="E7374" t="s">
        <v>14310</v>
      </c>
      <c r="F7374" t="s">
        <v>14311</v>
      </c>
      <c r="G7374" t="s">
        <v>14</v>
      </c>
      <c r="H7374">
             </c>
      <c r="I7374" t="s">
        <v>14</v>
      </c>
      <c r="J7374" t="s">
        <v>31</v>
      </c>
      <c r="K7374" t="s">
        <v>85</v>
      </c>
      <c r="L7374" t="s">
        <v>20</v>
      </c>
      <c r="M7374" t="s">
        <v>14303</v>
      </c>
      <c r="N7374" t="s">
        <v>14</v>
      </c>
    </row>
    <row r="7375" x14ac:dyDescent="0.25">
      <c r="A7375" t="n">
        <v>24</v>
      </c>
      <c r="B7375" t="s">
        <v>14</v>
      </c>
      <c r="C7375" t="s">
        <v>15</v>
      </c>
      <c r="D7375" s="2" t="s">
        <f>=HYPERLINK("https://main.knesset.gov.il/APPS/legislation/main/bills/2195440", "הצעת חוק לתיקון פקודת התעבורה (מס' 132), התשפ""ב-2022")</f>
        <v>14312</v>
      </c>
      <c r="E7375" t="s">
        <v>14312</v>
      </c>
      <c r="F7375" t="s">
        <v>14</v>
      </c>
      <c r="G7375" t="s">
        <v>14313</v>
      </c>
      <c r="H7375">
             </c>
      <c r="I7375" t="s">
        <v>14</v>
      </c>
      <c r="J7375" t="s">
        <v>69</v>
      </c>
      <c r="K7375" t="s">
        <v>14</v>
      </c>
      <c r="L7375" t="s">
        <v>20</v>
      </c>
      <c r="M7375" t="s">
        <v>14303</v>
      </c>
      <c r="N7375" t="s">
        <v>14</v>
      </c>
    </row>
    <row r="7376" x14ac:dyDescent="0.25">
      <c r="A7376" t="n">
        <v>24</v>
      </c>
      <c r="B7376" t="s">
        <v>14</v>
      </c>
      <c r="C7376" t="s">
        <v>15</v>
      </c>
      <c r="D7376" s="2" t="s">
        <f>=HYPERLINK("https://main.knesset.gov.il/APPS/legislation/main/bills/2195429", "הצעת חוק העונשין (תיקון מס' 147) (תחולת הדין הישראלי על עבירות חוץ שנעברה בידי אזרח ישראלי או תושב ישראל), התשפ""ב-2022 ")</f>
        <v>14314</v>
      </c>
      <c r="E7376" t="s">
        <v>14314</v>
      </c>
      <c r="F7376" t="s">
        <v>14</v>
      </c>
      <c r="G7376" t="s">
        <v>14315</v>
      </c>
      <c r="H7376">
             </c>
      <c r="I7376" t="s">
        <v>14</v>
      </c>
      <c r="J7376" t="s">
        <v>69</v>
      </c>
      <c r="K7376" t="s">
        <v>14</v>
      </c>
      <c r="L7376" t="s">
        <v>20</v>
      </c>
      <c r="M7376" t="s">
        <v>14303</v>
      </c>
      <c r="N7376" t="s">
        <v>14</v>
      </c>
    </row>
    <row r="7377" x14ac:dyDescent="0.25">
      <c r="A7377" t="n">
        <v>24</v>
      </c>
      <c r="B7377" t="s">
        <v>14</v>
      </c>
      <c r="C7377" t="s">
        <v>15</v>
      </c>
      <c r="D7377" s="2" t="s">
        <f>=HYPERLINK("https://main.knesset.gov.il/APPS/legislation/main/bills/2195430", "הצעת חוק בתי משפט לעניינים מינהליים (תיקון מס' 132) (בתי משפט שלום לעניינים מינהליים), התשפ""ב-2022 ")</f>
        <v>14316</v>
      </c>
      <c r="E7377" t="s">
        <v>14316</v>
      </c>
      <c r="F7377" t="s">
        <v>14</v>
      </c>
      <c r="G7377" t="s">
        <v>14317</v>
      </c>
      <c r="H7377">
             </c>
      <c r="I7377" t="s">
        <v>14</v>
      </c>
      <c r="J7377" t="s">
        <v>69</v>
      </c>
      <c r="K7377" t="s">
        <v>14</v>
      </c>
      <c r="L7377" t="s">
        <v>20</v>
      </c>
      <c r="M7377" t="s">
        <v>14303</v>
      </c>
      <c r="N7377" t="s">
        <v>14</v>
      </c>
    </row>
    <row r="7378" x14ac:dyDescent="0.25">
      <c r="A7378" t="n">
        <v>24</v>
      </c>
      <c r="B7378" t="s">
        <v>14</v>
      </c>
      <c r="C7378" t="s">
        <v>22</v>
      </c>
      <c r="D7378" s="2" t="s">
        <f>=HYPERLINK("https://main.knesset.gov.il/APPS/legislation/main/bills/2168071", "הצעת חוק משפחות חיילים שנספו במערכה (תגמולים ושיקום) (תיקון - שימוש בזרע חייל שנספה למטרת המשכיות), התשפ''ב-2022")</f>
        <v>14318</v>
      </c>
      <c r="E7378" t="s">
        <v>14318</v>
      </c>
      <c r="F7378" t="s">
        <v>14319</v>
      </c>
      <c r="G7378" t="s">
        <v>14</v>
      </c>
      <c r="H7378">
             </c>
      <c r="I7378" t="s">
        <v>14</v>
      </c>
      <c r="J7378" t="s">
        <v>14320</v>
      </c>
      <c r="K7378" t="s">
        <v>127</v>
      </c>
      <c r="L7378" t="s">
        <v>20</v>
      </c>
      <c r="M7378" t="s">
        <v>14321</v>
      </c>
      <c r="N7378" t="s">
        <v>14</v>
      </c>
    </row>
    <row r="7379" x14ac:dyDescent="0.25">
      <c r="A7379" t="n">
        <v>24</v>
      </c>
      <c r="B7379" t="s">
        <v>14</v>
      </c>
      <c r="C7379" t="s">
        <v>22</v>
      </c>
      <c r="D7379" s="2" t="s">
        <f>=HYPERLINK("https://main.knesset.gov.il/APPS/legislation/main/bills/2166419", "הצעת חוק משפחות חיילים שנספו במערכה (תגמולים ושיקום) (תיקון - שימוש בזרע חייל שנספה), התשפ""ב-2022 ")</f>
        <v>14322</v>
      </c>
      <c r="E7379" t="s">
        <v>14322</v>
      </c>
      <c r="F7379" t="s">
        <v>14323</v>
      </c>
      <c r="G7379" t="s">
        <v>14</v>
      </c>
      <c r="H7379">
             </c>
      <c r="I7379" t="s">
        <v>14</v>
      </c>
      <c r="J7379" t="s">
        <v>99</v>
      </c>
      <c r="K7379" t="s">
        <v>127</v>
      </c>
      <c r="L7379" t="s">
        <v>20</v>
      </c>
      <c r="M7379" t="s">
        <v>14321</v>
      </c>
      <c r="N7379" t="s">
        <v>14</v>
      </c>
    </row>
    <row r="7380" x14ac:dyDescent="0.25">
      <c r="A7380" t="n">
        <v>24</v>
      </c>
      <c r="B7380" t="s">
        <v>14</v>
      </c>
      <c r="C7380" t="s">
        <v>22</v>
      </c>
      <c r="D7380" s="2" t="s">
        <f>=HYPERLINK("https://main.knesset.gov.il/APPS/legislation/main/bills/2166124", "הצעת חוק לעידוד תעשייה עתירת ידע, התשפ""ב-2021")</f>
        <v>14324</v>
      </c>
      <c r="E7380" t="s">
        <v>14324</v>
      </c>
      <c r="F7380" t="s">
        <v>14325</v>
      </c>
      <c r="G7380" t="s">
        <v>14</v>
      </c>
      <c r="H7380">
             </c>
      <c r="I7380" t="s">
        <v>14</v>
      </c>
      <c r="J7380" t="s">
        <v>31</v>
      </c>
      <c r="K7380" t="s">
        <v>85</v>
      </c>
      <c r="L7380" t="s">
        <v>20</v>
      </c>
      <c r="M7380" t="s">
        <v>14326</v>
      </c>
      <c r="N7380" t="s">
        <v>14</v>
      </c>
    </row>
    <row r="7381" x14ac:dyDescent="0.25">
      <c r="A7381" t="n">
        <v>24</v>
      </c>
      <c r="B7381" t="s">
        <v>14</v>
      </c>
      <c r="C7381" t="s">
        <v>22</v>
      </c>
      <c r="D7381" s="2" t="s">
        <f>=HYPERLINK("https://main.knesset.gov.il/APPS/legislation/main/bills/2162970", "הצעת חוק לעידוד תעשייה עתירת ידע, התשפ""ב-2021")</f>
        <v>14324</v>
      </c>
      <c r="E7381" t="s">
        <v>14324</v>
      </c>
      <c r="F7381" t="s">
        <v>14327</v>
      </c>
      <c r="G7381" t="s">
        <v>14</v>
      </c>
      <c r="H7381">
             </c>
      <c r="I7381" t="s">
        <v>14</v>
      </c>
      <c r="J7381" t="s">
        <v>31</v>
      </c>
      <c r="K7381" t="s">
        <v>85</v>
      </c>
      <c r="L7381" t="s">
        <v>20</v>
      </c>
      <c r="M7381" t="s">
        <v>14326</v>
      </c>
      <c r="N7381" t="s">
        <v>14</v>
      </c>
    </row>
    <row r="7382" x14ac:dyDescent="0.25">
      <c r="A7382" t="n">
        <v>24</v>
      </c>
      <c r="B7382" t="s">
        <v>14</v>
      </c>
      <c r="C7382" t="s">
        <v>15</v>
      </c>
      <c r="D7382" s="2" t="s">
        <f>=HYPERLINK("https://main.knesset.gov.il/APPS/legislation/main/bills/2190401", "חוק נכסים של נספי השואה (השבה ליורשים והקדשה למטרות סיוע והנצחה) (תיקון מס' 5), התשפ""ב-2022 ")</f>
        <v>14328</v>
      </c>
      <c r="E7382" t="s">
        <v>14328</v>
      </c>
      <c r="F7382" t="s">
        <v>14</v>
      </c>
      <c r="G7382" t="s">
        <v>14329</v>
      </c>
      <c r="H7382" t="n">
        <v>3008</v>
      </c>
      <c r="I7382" t="s">
        <v>14</v>
      </c>
      <c r="J7382" t="s">
        <v>91</v>
      </c>
      <c r="K7382" t="s">
        <v>27</v>
      </c>
      <c r="L7382" t="s">
        <v>20</v>
      </c>
      <c r="M7382" t="s">
        <v>14326</v>
      </c>
      <c r="N7382" t="s">
        <v>14</v>
      </c>
    </row>
    <row r="7383" x14ac:dyDescent="0.25">
      <c r="A7383" t="n">
        <v>24</v>
      </c>
      <c r="B7383" t="s">
        <v>14</v>
      </c>
      <c r="C7383" t="s">
        <v>22</v>
      </c>
      <c r="D7383" s="2" t="s">
        <f>=HYPERLINK("https://main.knesset.gov.il/APPS/legislation/main/bills/2167562", "הצעת חוק הכניסה לישראל (תיקון - הארכת רישיון לישיבת ביקור לעובד זר המועסק במתן טיפול סיעודי), התשפ""ב-2022")</f>
        <v>14330</v>
      </c>
      <c r="E7383" t="s">
        <v>14330</v>
      </c>
      <c r="F7383" t="s">
        <v>14331</v>
      </c>
      <c r="G7383" t="s">
        <v>14</v>
      </c>
      <c r="H7383">
             </c>
      <c r="I7383" t="s">
        <v>14</v>
      </c>
      <c r="J7383" t="s">
        <v>99</v>
      </c>
      <c r="K7383" t="s">
        <v>46</v>
      </c>
      <c r="L7383" t="s">
        <v>20</v>
      </c>
      <c r="M7383" t="s">
        <v>14332</v>
      </c>
      <c r="N7383" t="s">
        <v>14</v>
      </c>
    </row>
    <row r="7384" x14ac:dyDescent="0.25">
      <c r="A7384" t="n">
        <v>24</v>
      </c>
      <c r="B7384" t="s">
        <v>14</v>
      </c>
      <c r="C7384" t="s">
        <v>22</v>
      </c>
      <c r="D7384" s="2" t="s">
        <f>=HYPERLINK("https://main.knesset.gov.il/APPS/legislation/main/bills/2167645", "הצעת חוק לתיקון פקודת המשטרה (מס' 38) (תיעוד חזותי של השימוש במכת""זית), התשפ""ב–2022")</f>
        <v>14333</v>
      </c>
      <c r="E7384" t="s">
        <v>14333</v>
      </c>
      <c r="F7384" t="s">
        <v>14334</v>
      </c>
      <c r="G7384" t="s">
        <v>14335</v>
      </c>
      <c r="H7384">
             </c>
      <c r="I7384" t="s">
        <v>26</v>
      </c>
      <c r="J7384" t="s">
        <v>18</v>
      </c>
      <c r="K7384" t="s">
        <v>14336</v>
      </c>
      <c r="L7384" t="s">
        <v>20</v>
      </c>
      <c r="M7384" t="s">
        <v>14332</v>
      </c>
      <c r="N7384" t="s">
        <v>14</v>
      </c>
    </row>
    <row r="7385" x14ac:dyDescent="0.25">
      <c r="A7385" t="n">
        <v>24</v>
      </c>
      <c r="B7385" t="s">
        <v>14</v>
      </c>
      <c r="C7385" t="s">
        <v>22</v>
      </c>
      <c r="D7385" s="2" t="s">
        <f>=HYPERLINK("https://main.knesset.gov.il/APPS/legislation/main/bills/2158950", "הצעת חוק הגנת הצרכן (תיקון מס' 66) (שירות טלפוני לביטול עסקה עם חברת תעופה), התשפ""ב–2022")</f>
        <v>14337</v>
      </c>
      <c r="E7385" t="s">
        <v>14337</v>
      </c>
      <c r="F7385" t="s">
        <v>14338</v>
      </c>
      <c r="G7385" t="s">
        <v>14339</v>
      </c>
      <c r="H7385">
             </c>
      <c r="I7385" t="s">
        <v>26</v>
      </c>
      <c r="J7385" t="s">
        <v>69</v>
      </c>
      <c r="K7385" t="s">
        <v>19</v>
      </c>
      <c r="L7385" t="s">
        <v>20</v>
      </c>
      <c r="M7385" t="s">
        <v>14332</v>
      </c>
      <c r="N7385" t="s">
        <v>14</v>
      </c>
    </row>
    <row r="7386" x14ac:dyDescent="0.25">
      <c r="A7386" t="n">
        <v>24</v>
      </c>
      <c r="B7386" t="s">
        <v>14</v>
      </c>
      <c r="C7386" t="s">
        <v>22</v>
      </c>
      <c r="D7386" s="2" t="s">
        <f>=HYPERLINK("https://main.knesset.gov.il/APPS/legislation/main/bills/2163145", "הצעת חוק למניעת אלימות במשפחה (פיקוח טכנולוגי להבטחת קיומו של צו הגנה, והערכת מסוכנות – הוראת שעה), התשפ""ב–2022")</f>
        <v>14340</v>
      </c>
      <c r="E7386" t="s">
        <v>14340</v>
      </c>
      <c r="F7386" t="s">
        <v>14341</v>
      </c>
      <c r="G7386" t="s">
        <v>14342</v>
      </c>
      <c r="H7386">
             </c>
      <c r="I7386" t="s">
        <v>14</v>
      </c>
      <c r="J7386" t="s">
        <v>18</v>
      </c>
      <c r="K7386" t="s">
        <v>14336</v>
      </c>
      <c r="L7386" t="s">
        <v>20</v>
      </c>
      <c r="M7386" t="s">
        <v>14332</v>
      </c>
      <c r="N7386" t="s">
        <v>14</v>
      </c>
    </row>
    <row r="7387" x14ac:dyDescent="0.25">
      <c r="A7387" t="n">
        <v>24</v>
      </c>
      <c r="B7387" t="s">
        <v>14</v>
      </c>
      <c r="C7387" t="s">
        <v>22</v>
      </c>
      <c r="D7387" s="2" t="s">
        <f>=HYPERLINK("https://main.knesset.gov.il/APPS/legislation/main/bills/2163147", "הצעת חוק למניעת אלימות במשפחה (פיקוח טכנולוגי להבטחת קיומו של צו הגנה, והערכת מסוכנות – הוראת שעה), התשפ""ב–2022")</f>
        <v>14340</v>
      </c>
      <c r="E7387" t="s">
        <v>14340</v>
      </c>
      <c r="F7387" t="s">
        <v>14343</v>
      </c>
      <c r="G7387" t="s">
        <v>14342</v>
      </c>
      <c r="H7387">
             </c>
      <c r="I7387" t="s">
        <v>14</v>
      </c>
      <c r="J7387" t="s">
        <v>18</v>
      </c>
      <c r="K7387" t="s">
        <v>14336</v>
      </c>
      <c r="L7387" t="s">
        <v>20</v>
      </c>
      <c r="M7387" t="s">
        <v>14332</v>
      </c>
      <c r="N7387" t="s">
        <v>14</v>
      </c>
    </row>
    <row r="7388" x14ac:dyDescent="0.25">
      <c r="A7388" t="n">
        <v>24</v>
      </c>
      <c r="B7388" t="s">
        <v>14</v>
      </c>
      <c r="C7388" t="s">
        <v>22</v>
      </c>
      <c r="D7388" s="2" t="s">
        <f>=HYPERLINK("https://main.knesset.gov.il/APPS/legislation/main/bills/2160021", "הצעת חוק תובענות ייצוגיות (תיקון מס' 14) (מעמדם של ארגוני סביבה), התשפ""ב–2022")</f>
        <v>14344</v>
      </c>
      <c r="E7388" t="s">
        <v>14344</v>
      </c>
      <c r="F7388" t="s">
        <v>14345</v>
      </c>
      <c r="G7388" t="s">
        <v>14346</v>
      </c>
      <c r="H7388">
             </c>
      <c r="I7388" t="s">
        <v>14</v>
      </c>
      <c r="J7388" t="s">
        <v>69</v>
      </c>
      <c r="K7388" t="s">
        <v>27</v>
      </c>
      <c r="L7388" t="s">
        <v>20</v>
      </c>
      <c r="M7388" t="s">
        <v>14332</v>
      </c>
      <c r="N7388" t="s">
        <v>14</v>
      </c>
    </row>
    <row r="7389" x14ac:dyDescent="0.25">
      <c r="A7389" t="n">
        <v>24</v>
      </c>
      <c r="B7389" t="s">
        <v>14</v>
      </c>
      <c r="C7389" t="s">
        <v>22</v>
      </c>
      <c r="D7389" s="2" t="s">
        <f>=HYPERLINK("https://main.knesset.gov.il/APPS/legislation/main/bills/2156993", "הצעת חוק למניעת אלימות במשפחה (פיקוח טכנולוגי להבטחת קיומו של צו הגנה, והערכת מסוכנות – הוראת שעה), התשפ""ב–2022")</f>
        <v>14340</v>
      </c>
      <c r="E7389" t="s">
        <v>14340</v>
      </c>
      <c r="F7389" t="s">
        <v>14347</v>
      </c>
      <c r="G7389" t="s">
        <v>14342</v>
      </c>
      <c r="H7389">
             </c>
      <c r="I7389" t="s">
        <v>14</v>
      </c>
      <c r="J7389" t="s">
        <v>18</v>
      </c>
      <c r="K7389" t="s">
        <v>14336</v>
      </c>
      <c r="L7389" t="s">
        <v>20</v>
      </c>
      <c r="M7389" t="s">
        <v>14332</v>
      </c>
      <c r="N7389" t="s">
        <v>14</v>
      </c>
    </row>
    <row r="7390" x14ac:dyDescent="0.25">
      <c r="A7390" t="n">
        <v>24</v>
      </c>
      <c r="B7390" t="s">
        <v>14</v>
      </c>
      <c r="C7390" t="s">
        <v>22</v>
      </c>
      <c r="D7390" s="2" t="s">
        <f>=HYPERLINK("https://main.knesset.gov.il/APPS/legislation/main/bills/2156944", "הצעת חוק להגדלת שיעור ההשתתפות בכוח העבודה ולצמצום פערים חברתיים (מענק עבודה) (תיקון מס' 20), התשפ""ב-2022")</f>
        <v>14348</v>
      </c>
      <c r="E7390" t="s">
        <v>14348</v>
      </c>
      <c r="F7390" t="s">
        <v>14349</v>
      </c>
      <c r="G7390" t="s">
        <v>14350</v>
      </c>
      <c r="H7390">
             </c>
      <c r="I7390" t="s">
        <v>14</v>
      </c>
      <c r="J7390" t="s">
        <v>73</v>
      </c>
      <c r="K7390" t="s">
        <v>19</v>
      </c>
      <c r="L7390" t="s">
        <v>20</v>
      </c>
      <c r="M7390" t="s">
        <v>14332</v>
      </c>
      <c r="N7390" t="s">
        <v>14</v>
      </c>
    </row>
    <row r="7391" x14ac:dyDescent="0.25">
      <c r="A7391" t="n">
        <v>24</v>
      </c>
      <c r="B7391" t="s">
        <v>14</v>
      </c>
      <c r="C7391" t="s">
        <v>22</v>
      </c>
      <c r="D7391" s="2" t="s">
        <f>=HYPERLINK("https://main.knesset.gov.il/APPS/legislation/main/bills/2156622", "הצעת חוק למניעת אלימות במשפחה (פיקוח טכנולוגי להבטחת קיומו של צו הגנה, והערכת מסוכנות – הוראת שעה), התשפ""ב–2022")</f>
        <v>14340</v>
      </c>
      <c r="E7391" t="s">
        <v>14340</v>
      </c>
      <c r="F7391" t="s">
        <v>14351</v>
      </c>
      <c r="G7391" t="s">
        <v>14342</v>
      </c>
      <c r="H7391">
             </c>
      <c r="I7391" t="s">
        <v>14</v>
      </c>
      <c r="J7391" t="s">
        <v>18</v>
      </c>
      <c r="K7391" t="s">
        <v>14336</v>
      </c>
      <c r="L7391" t="s">
        <v>20</v>
      </c>
      <c r="M7391" t="s">
        <v>14332</v>
      </c>
      <c r="N7391" t="s">
        <v>14</v>
      </c>
    </row>
    <row r="7392" x14ac:dyDescent="0.25">
      <c r="A7392" t="n">
        <v>24</v>
      </c>
      <c r="B7392" t="s">
        <v>14</v>
      </c>
      <c r="C7392" t="s">
        <v>22</v>
      </c>
      <c r="D7392" s="2" t="s">
        <f>=HYPERLINK("https://main.knesset.gov.il/APPS/legislation/main/bills/2156110", "הצעת חוק למניעת אלימות במשפחה (פיקוח טכנולוגי להבטחת קיומו של צו הגנה, והערכת מסוכנות – הוראת שעה), התשפ""ב–2022")</f>
        <v>14340</v>
      </c>
      <c r="E7392" t="s">
        <v>14340</v>
      </c>
      <c r="F7392" t="s">
        <v>14352</v>
      </c>
      <c r="G7392" t="s">
        <v>14342</v>
      </c>
      <c r="H7392">
             </c>
      <c r="I7392" t="s">
        <v>14</v>
      </c>
      <c r="J7392" t="s">
        <v>18</v>
      </c>
      <c r="K7392" t="s">
        <v>14336</v>
      </c>
      <c r="L7392" t="s">
        <v>20</v>
      </c>
      <c r="M7392" t="s">
        <v>14332</v>
      </c>
      <c r="N7392" t="s">
        <v>14</v>
      </c>
    </row>
    <row r="7393" x14ac:dyDescent="0.25">
      <c r="A7393" t="n">
        <v>24</v>
      </c>
      <c r="B7393" t="s">
        <v>14</v>
      </c>
      <c r="C7393" t="s">
        <v>22</v>
      </c>
      <c r="D7393" s="2" t="s">
        <f>=HYPERLINK("https://main.knesset.gov.il/APPS/legislation/main/bills/2190709", "הצעת חוק לתיקון פקודת המשטרה (תיעוד חזותי של השימוש במכתזית), התשפ""ב-2022")</f>
        <v>14353</v>
      </c>
      <c r="E7393" t="s">
        <v>14353</v>
      </c>
      <c r="F7393" t="s">
        <v>14354</v>
      </c>
      <c r="G7393" t="s">
        <v>14</v>
      </c>
      <c r="H7393">
             </c>
      <c r="I7393" t="s">
        <v>14</v>
      </c>
      <c r="J7393" t="s">
        <v>99</v>
      </c>
      <c r="K7393" t="s">
        <v>14336</v>
      </c>
      <c r="L7393" t="s">
        <v>20</v>
      </c>
      <c r="M7393" t="s">
        <v>14355</v>
      </c>
      <c r="N7393" t="s">
        <v>14</v>
      </c>
    </row>
    <row r="7394" x14ac:dyDescent="0.25">
      <c r="A7394" t="n">
        <v>24</v>
      </c>
      <c r="B7394" t="s">
        <v>14</v>
      </c>
      <c r="C7394" t="s">
        <v>22</v>
      </c>
      <c r="D7394" s="2" t="s">
        <f>=HYPERLINK("https://main.knesset.gov.il/APPS/legislation/main/bills/2190174", "הצעת חוק לתיקון פקודת המשטרה (תיעוד חזותי של השימוש במכתזית), התשפ""ב-2022")</f>
        <v>14353</v>
      </c>
      <c r="E7394" t="s">
        <v>14353</v>
      </c>
      <c r="F7394" t="s">
        <v>14356</v>
      </c>
      <c r="G7394" t="s">
        <v>14</v>
      </c>
      <c r="H7394">
             </c>
      <c r="I7394" t="s">
        <v>14</v>
      </c>
      <c r="J7394" t="s">
        <v>99</v>
      </c>
      <c r="K7394" t="s">
        <v>14336</v>
      </c>
      <c r="L7394" t="s">
        <v>20</v>
      </c>
      <c r="M7394" t="s">
        <v>14355</v>
      </c>
      <c r="N7394" t="s">
        <v>14</v>
      </c>
    </row>
    <row r="7395" x14ac:dyDescent="0.25">
      <c r="A7395" t="n">
        <v>24</v>
      </c>
      <c r="B7395" t="s">
        <v>14</v>
      </c>
      <c r="C7395" t="s">
        <v>15</v>
      </c>
      <c r="D7395" s="2" t="s">
        <f>=HYPERLINK("https://main.knesset.gov.il/APPS/legislation/main/bills/2190420", "חוק לעידוד מחקר, פיתוח וחדשנות טכנולוגית בתעשייה (תיקון מס' 8), התשפ""ב-2022 ")</f>
        <v>14357</v>
      </c>
      <c r="E7395" t="s">
        <v>14357</v>
      </c>
      <c r="F7395" t="s">
        <v>14</v>
      </c>
      <c r="G7395" t="s">
        <v>14358</v>
      </c>
      <c r="H7395" t="n">
        <v>2991</v>
      </c>
      <c r="I7395" t="s">
        <v>14</v>
      </c>
      <c r="J7395" t="s">
        <v>91</v>
      </c>
      <c r="K7395" t="s">
        <v>85</v>
      </c>
      <c r="L7395" t="s">
        <v>20</v>
      </c>
      <c r="M7395" t="s">
        <v>14359</v>
      </c>
      <c r="N7395" t="s">
        <v>14360</v>
      </c>
    </row>
    <row r="7396" x14ac:dyDescent="0.25">
      <c r="A7396" t="n">
        <v>24</v>
      </c>
      <c r="B7396" t="s">
        <v>14</v>
      </c>
      <c r="C7396" t="s">
        <v>20</v>
      </c>
      <c r="D7396" s="2" t="s">
        <f>=HYPERLINK("https://main.knesset.gov.il/APPS/legislation/main/bills/2194751", "חוק הבחירות לכנסת העשרים וחמש (הוראות מיוחדות ותיקוני חקיקה), התשפ""ב–2022")</f>
        <v>14361</v>
      </c>
      <c r="E7396" t="s">
        <v>14361</v>
      </c>
      <c r="F7396" t="s">
        <v>14</v>
      </c>
      <c r="G7396" t="s">
        <v>14362</v>
      </c>
      <c r="H7396" t="n">
        <v>2982</v>
      </c>
      <c r="I7396" t="s">
        <v>14</v>
      </c>
      <c r="J7396" t="s">
        <v>91</v>
      </c>
      <c r="K7396" t="s">
        <v>27</v>
      </c>
      <c r="L7396" t="s">
        <v>20</v>
      </c>
      <c r="M7396" t="s">
        <v>14359</v>
      </c>
      <c r="N7396" t="s">
        <v>14363</v>
      </c>
    </row>
    <row r="7397" x14ac:dyDescent="0.25">
      <c r="A7397" t="n">
        <v>24</v>
      </c>
      <c r="B7397" t="s">
        <v>14</v>
      </c>
      <c r="C7397" t="s">
        <v>22</v>
      </c>
      <c r="D7397" s="2" t="s">
        <f>=HYPERLINK("https://main.knesset.gov.il/APPS/legislation/main/bills/2159416", "הצעת חוק יחסי ממון בין בני זוג (תיקון - הפקעת זכות האיזון מבן זוג שהורשע ברצח בן הזוג השני), התשפ""א-2021")</f>
        <v>14364</v>
      </c>
      <c r="E7397" t="s">
        <v>14364</v>
      </c>
      <c r="F7397" t="s">
        <v>14365</v>
      </c>
      <c r="G7397" t="s">
        <v>14</v>
      </c>
      <c r="H7397">
             </c>
      <c r="I7397" t="s">
        <v>14</v>
      </c>
      <c r="J7397" t="s">
        <v>99</v>
      </c>
      <c r="K7397" t="s">
        <v>27</v>
      </c>
      <c r="L7397" t="s">
        <v>20</v>
      </c>
      <c r="M7397" t="s">
        <v>14359</v>
      </c>
      <c r="N7397" t="s">
        <v>14</v>
      </c>
    </row>
    <row r="7398" x14ac:dyDescent="0.25">
      <c r="A7398" t="n">
        <v>24</v>
      </c>
      <c r="B7398" t="s">
        <v>14</v>
      </c>
      <c r="C7398" t="s">
        <v>22</v>
      </c>
      <c r="D7398" s="2" t="s">
        <f>=HYPERLINK("https://main.knesset.gov.il/APPS/legislation/main/bills/2159317", "הצעת חוק יחסי ממון בין בני זוג (תיקון - הפקעת זכות האיזון מבן זוג שהורשע ברצח בן הזוג השני), התשפ""א-2021")</f>
        <v>14364</v>
      </c>
      <c r="E7398" t="s">
        <v>14364</v>
      </c>
      <c r="F7398" t="s">
        <v>14366</v>
      </c>
      <c r="G7398" t="s">
        <v>14</v>
      </c>
      <c r="H7398">
             </c>
      <c r="I7398" t="s">
        <v>14</v>
      </c>
      <c r="J7398" t="s">
        <v>99</v>
      </c>
      <c r="K7398" t="s">
        <v>27</v>
      </c>
      <c r="L7398" t="s">
        <v>20</v>
      </c>
      <c r="M7398" t="s">
        <v>14359</v>
      </c>
      <c r="N7398" t="s">
        <v>14</v>
      </c>
    </row>
    <row r="7399" x14ac:dyDescent="0.25">
      <c r="A7399" t="n">
        <v>24</v>
      </c>
      <c r="B7399" t="s">
        <v>14</v>
      </c>
      <c r="C7399" t="s">
        <v>22</v>
      </c>
      <c r="D7399" s="2" t="s">
        <f>=HYPERLINK("https://main.knesset.gov.il/APPS/legislation/main/bills/2156664", "הצעת חוק הגנה על זכויות ילדים נפגעי עבירת המתה בדירת המשפחה, התשפ""ב–2022")</f>
        <v>14367</v>
      </c>
      <c r="E7399" t="s">
        <v>14367</v>
      </c>
      <c r="F7399" t="s">
        <v>14368</v>
      </c>
      <c r="G7399" t="s">
        <v>14369</v>
      </c>
      <c r="H7399">
             </c>
      <c r="I7399" t="s">
        <v>26</v>
      </c>
      <c r="J7399" t="s">
        <v>18</v>
      </c>
      <c r="K7399" t="s">
        <v>27</v>
      </c>
      <c r="L7399" t="s">
        <v>20</v>
      </c>
      <c r="M7399" t="s">
        <v>14359</v>
      </c>
      <c r="N7399" t="s">
        <v>14</v>
      </c>
    </row>
    <row r="7400" x14ac:dyDescent="0.25">
      <c r="A7400" t="n">
        <v>24</v>
      </c>
      <c r="B7400" t="s">
        <v>14</v>
      </c>
      <c r="C7400" t="s">
        <v>15</v>
      </c>
      <c r="D7400" s="2" t="s">
        <f>=HYPERLINK("https://main.knesset.gov.il/APPS/legislation/main/bills/2194705", "חוק משפחות חיילים שנספו במערכה (תגמולים ושיקום) (תיקון מס' 40), התשפ""ב-2022 ")</f>
        <v>14370</v>
      </c>
      <c r="E7400" t="s">
        <v>14370</v>
      </c>
      <c r="F7400" t="s">
        <v>14</v>
      </c>
      <c r="G7400" t="s">
        <v>14371</v>
      </c>
      <c r="H7400" t="n">
        <v>2992</v>
      </c>
      <c r="I7400" t="s">
        <v>14</v>
      </c>
      <c r="J7400" t="s">
        <v>91</v>
      </c>
      <c r="K7400" t="s">
        <v>127</v>
      </c>
      <c r="L7400" t="s">
        <v>20</v>
      </c>
      <c r="M7400" t="s">
        <v>14359</v>
      </c>
      <c r="N7400" t="s">
        <v>14372</v>
      </c>
    </row>
    <row r="7401" x14ac:dyDescent="0.25">
      <c r="A7401" t="n">
        <v>24</v>
      </c>
      <c r="B7401" t="s">
        <v>14</v>
      </c>
      <c r="C7401" t="s">
        <v>22</v>
      </c>
      <c r="D7401" s="2" t="s">
        <f>=HYPERLINK("https://main.knesset.gov.il/APPS/legislation/main/bills/2190903", "הצעת חוק משפחות חיילים שנספו במערכה (תגמולים ושיקום) (תיקון - הטבות לאח הנספה), התשפ''ב-2022 ")</f>
        <v>14373</v>
      </c>
      <c r="E7401" t="s">
        <v>14373</v>
      </c>
      <c r="F7401" t="s">
        <v>14374</v>
      </c>
      <c r="G7401" t="s">
        <v>14</v>
      </c>
      <c r="H7401">
             </c>
      <c r="I7401" t="s">
        <v>14</v>
      </c>
      <c r="J7401" t="s">
        <v>31</v>
      </c>
      <c r="K7401" t="s">
        <v>127</v>
      </c>
      <c r="L7401" t="s">
        <v>20</v>
      </c>
      <c r="M7401" t="s">
        <v>14359</v>
      </c>
      <c r="N7401" t="s">
        <v>14</v>
      </c>
    </row>
    <row r="7402" x14ac:dyDescent="0.25">
      <c r="A7402" t="n">
        <v>24</v>
      </c>
      <c r="B7402" t="s">
        <v>14</v>
      </c>
      <c r="C7402" t="s">
        <v>22</v>
      </c>
      <c r="D7402" s="2" t="s">
        <f>=HYPERLINK("https://main.knesset.gov.il/APPS/legislation/main/bills/2189715", "הצעת חוק משפחות חיילים שנספו במערכה (תגמולים ושיקום) (תיקון - הטבות לאח הנספה), התשפ''ב-2022 ")</f>
        <v>14373</v>
      </c>
      <c r="E7402" t="s">
        <v>14373</v>
      </c>
      <c r="F7402" t="s">
        <v>14375</v>
      </c>
      <c r="G7402" t="s">
        <v>14</v>
      </c>
      <c r="H7402">
             </c>
      <c r="I7402" t="s">
        <v>14</v>
      </c>
      <c r="J7402" t="s">
        <v>31</v>
      </c>
      <c r="K7402" t="s">
        <v>127</v>
      </c>
      <c r="L7402" t="s">
        <v>20</v>
      </c>
      <c r="M7402" t="s">
        <v>14359</v>
      </c>
      <c r="N7402" t="s">
        <v>14</v>
      </c>
    </row>
    <row r="7403" x14ac:dyDescent="0.25">
      <c r="A7403" t="n">
        <v>24</v>
      </c>
      <c r="B7403" t="s">
        <v>14</v>
      </c>
      <c r="C7403" t="s">
        <v>22</v>
      </c>
      <c r="D7403" s="2" t="s">
        <f>=HYPERLINK("https://main.knesset.gov.il/APPS/legislation/main/bills/2190069", "הצעת חוק משפחות חיילים שנספו במערכה (תגמולים ושיקום) (תיקון - מענק לימודים), התשפ""ב-2022")</f>
        <v>14376</v>
      </c>
      <c r="E7403" t="s">
        <v>14376</v>
      </c>
      <c r="F7403" t="s">
        <v>14377</v>
      </c>
      <c r="G7403" t="s">
        <v>14</v>
      </c>
      <c r="H7403">
             </c>
      <c r="I7403" t="s">
        <v>14</v>
      </c>
      <c r="J7403" t="s">
        <v>31</v>
      </c>
      <c r="K7403" t="s">
        <v>127</v>
      </c>
      <c r="L7403" t="s">
        <v>20</v>
      </c>
      <c r="M7403" t="s">
        <v>14359</v>
      </c>
      <c r="N7403" t="s">
        <v>14</v>
      </c>
    </row>
    <row r="7404" x14ac:dyDescent="0.25">
      <c r="A7404" t="n">
        <v>24</v>
      </c>
      <c r="B7404" t="s">
        <v>14</v>
      </c>
      <c r="C7404" t="s">
        <v>22</v>
      </c>
      <c r="D7404" s="2" t="s">
        <f>=HYPERLINK("https://main.knesset.gov.il/APPS/legislation/main/bills/2163171", "הצעת חוק משפחות חיילים שנספו במערכה (תגמולים ושיקום) (תיקון מס' 40) (אחים שכולים), התשפ""ב–2022")</f>
        <v>14378</v>
      </c>
      <c r="E7404" t="s">
        <v>14378</v>
      </c>
      <c r="F7404" t="s">
        <v>14379</v>
      </c>
      <c r="G7404" t="s">
        <v>14380</v>
      </c>
      <c r="H7404">
             </c>
      <c r="I7404" t="s">
        <v>14</v>
      </c>
      <c r="J7404" t="s">
        <v>18</v>
      </c>
      <c r="K7404" t="s">
        <v>127</v>
      </c>
      <c r="L7404" t="s">
        <v>20</v>
      </c>
      <c r="M7404" t="s">
        <v>14359</v>
      </c>
      <c r="N7404" t="s">
        <v>14</v>
      </c>
    </row>
    <row r="7405" x14ac:dyDescent="0.25">
      <c r="A7405" t="n">
        <v>23</v>
      </c>
      <c r="B7405" t="s">
        <v>14</v>
      </c>
      <c r="C7405" t="s">
        <v>22</v>
      </c>
      <c r="D7405" s="2" t="s">
        <f>=HYPERLINK("https://main.knesset.gov.il/APPS/legislation/main/bills/2085778", "הצעת חוק הביטוח הלאומי (תיקון מס' 218) (שינוי המונח נכה), התשפ""א-2020")</f>
        <v>14381</v>
      </c>
      <c r="E7405" t="s">
        <v>14381</v>
      </c>
      <c r="F7405" t="s">
        <v>14382</v>
      </c>
      <c r="G7405" t="s">
        <v>14383</v>
      </c>
      <c r="H7405">
             </c>
      <c r="I7405" t="s">
        <v>14</v>
      </c>
      <c r="J7405" t="s">
        <v>3653</v>
      </c>
      <c r="K7405" t="s">
        <v>14</v>
      </c>
      <c r="L7405" t="s">
        <v>20</v>
      </c>
      <c r="M7405" t="s">
        <v>14359</v>
      </c>
      <c r="N7405" t="s">
        <v>14</v>
      </c>
    </row>
    <row r="7406" x14ac:dyDescent="0.25">
      <c r="A7406" t="n">
        <v>24</v>
      </c>
      <c r="B7406" t="s">
        <v>14</v>
      </c>
      <c r="C7406" t="s">
        <v>22</v>
      </c>
      <c r="D7406" s="2" t="s">
        <f>=HYPERLINK("https://main.knesset.gov.il/APPS/legislation/main/bills/2158568", "חוק התפזרות הכנסת העשרים וארבע ומימון מפלגות, התשפ""ב-2022")</f>
        <v>14384</v>
      </c>
      <c r="E7406" t="s">
        <v>14384</v>
      </c>
      <c r="F7406" t="s">
        <v>14385</v>
      </c>
      <c r="G7406" t="s">
        <v>14386</v>
      </c>
      <c r="H7406" t="n">
        <v>2981</v>
      </c>
      <c r="I7406" t="s">
        <v>14</v>
      </c>
      <c r="J7406" t="s">
        <v>91</v>
      </c>
      <c r="K7406" t="s">
        <v>121</v>
      </c>
      <c r="L7406" t="s">
        <v>20</v>
      </c>
      <c r="M7406" t="s">
        <v>14359</v>
      </c>
      <c r="N7406" t="s">
        <v>14387</v>
      </c>
    </row>
    <row r="7407" x14ac:dyDescent="0.25">
      <c r="A7407" t="n">
        <v>24</v>
      </c>
      <c r="B7407" t="s">
        <v>14</v>
      </c>
      <c r="C7407" t="s">
        <v>22</v>
      </c>
      <c r="D7407" s="2" t="s">
        <f>=HYPERLINK("https://main.knesset.gov.il/APPS/legislation/main/bills/2190561", "הצעת חוק התפזרות הכנסת העשרים וארבע ומימון מפלגות, התשפ""ב-2022")</f>
        <v>14388</v>
      </c>
      <c r="E7407" t="s">
        <v>14388</v>
      </c>
      <c r="F7407" t="s">
        <v>14389</v>
      </c>
      <c r="G7407" t="s">
        <v>14390</v>
      </c>
      <c r="H7407">
             </c>
      <c r="I7407" t="s">
        <v>14</v>
      </c>
      <c r="J7407" t="s">
        <v>99</v>
      </c>
      <c r="K7407" t="s">
        <v>121</v>
      </c>
      <c r="L7407" t="s">
        <v>20</v>
      </c>
      <c r="M7407" t="s">
        <v>14359</v>
      </c>
      <c r="N7407" t="s">
        <v>14</v>
      </c>
    </row>
    <row r="7408" x14ac:dyDescent="0.25">
      <c r="A7408" t="n">
        <v>24</v>
      </c>
      <c r="B7408" t="s">
        <v>14</v>
      </c>
      <c r="C7408" t="s">
        <v>22</v>
      </c>
      <c r="D7408" s="2" t="s">
        <f>=HYPERLINK("https://main.knesset.gov.il/APPS/legislation/main/bills/2160311", "חוק ההתיישנות (תיקון מס' 7), התשפ""ב–2022")</f>
        <v>14391</v>
      </c>
      <c r="E7408" t="s">
        <v>14391</v>
      </c>
      <c r="F7408" t="s">
        <v>14392</v>
      </c>
      <c r="G7408" t="s">
        <v>14393</v>
      </c>
      <c r="H7408" t="n">
        <v>3002</v>
      </c>
      <c r="I7408" t="s">
        <v>14</v>
      </c>
      <c r="J7408" t="s">
        <v>91</v>
      </c>
      <c r="K7408" t="s">
        <v>27</v>
      </c>
      <c r="L7408" t="s">
        <v>20</v>
      </c>
      <c r="M7408" t="s">
        <v>14359</v>
      </c>
      <c r="N7408" t="s">
        <v>14394</v>
      </c>
    </row>
    <row r="7409" x14ac:dyDescent="0.25">
      <c r="A7409" t="n">
        <v>24</v>
      </c>
      <c r="B7409" t="s">
        <v>14</v>
      </c>
      <c r="C7409" t="s">
        <v>22</v>
      </c>
      <c r="D7409" s="2" t="s">
        <f>=HYPERLINK("https://main.knesset.gov.il/APPS/legislation/main/bills/2086198", "חוק העונשין (תיקון מס' 143 והוראת שעה), התשפ""ב–2022")</f>
        <v>14395</v>
      </c>
      <c r="E7409" t="s">
        <v>14395</v>
      </c>
      <c r="F7409" t="s">
        <v>14396</v>
      </c>
      <c r="G7409" t="s">
        <v>14397</v>
      </c>
      <c r="H7409" t="n">
        <v>2998</v>
      </c>
      <c r="I7409" t="s">
        <v>14</v>
      </c>
      <c r="J7409" t="s">
        <v>91</v>
      </c>
      <c r="K7409" t="s">
        <v>27</v>
      </c>
      <c r="L7409" t="s">
        <v>20</v>
      </c>
      <c r="M7409" t="s">
        <v>14359</v>
      </c>
      <c r="N7409" t="s">
        <v>14</v>
      </c>
    </row>
    <row r="7410" x14ac:dyDescent="0.25">
      <c r="A7410" t="n">
        <v>24</v>
      </c>
      <c r="B7410" t="s">
        <v>14</v>
      </c>
      <c r="C7410" t="s">
        <v>22</v>
      </c>
      <c r="D7410" s="2" t="s">
        <f>=HYPERLINK("https://main.knesset.gov.il/APPS/legislation/main/bills/2160335", "הצעת חוק ההתיישנות (תיקון מס' 7) (הארכת תקופת התיישנות של תובענה בגין עבירת מין), התשפ""ב-2022")</f>
        <v>14398</v>
      </c>
      <c r="E7410" t="s">
        <v>14398</v>
      </c>
      <c r="F7410" t="s">
        <v>14399</v>
      </c>
      <c r="G7410" t="s">
        <v>14393</v>
      </c>
      <c r="H7410">
             </c>
      <c r="I7410" t="s">
        <v>14</v>
      </c>
      <c r="J7410" t="s">
        <v>99</v>
      </c>
      <c r="K7410" t="s">
        <v>27</v>
      </c>
      <c r="L7410" t="s">
        <v>20</v>
      </c>
      <c r="M7410" t="s">
        <v>14359</v>
      </c>
      <c r="N7410" t="s">
        <v>14</v>
      </c>
    </row>
    <row r="7411" x14ac:dyDescent="0.25">
      <c r="A7411" t="n">
        <v>24</v>
      </c>
      <c r="B7411" t="s">
        <v>14</v>
      </c>
      <c r="C7411" t="s">
        <v>22</v>
      </c>
      <c r="D7411" s="2" t="s">
        <f>=HYPERLINK("https://main.knesset.gov.il/APPS/legislation/main/bills/2163995", "הצעת חוק להתמודדות עם תופעת דמי החסות (תיקוני חקיקה), התשפ""ב-2021")</f>
        <v>14400</v>
      </c>
      <c r="E7411" t="s">
        <v>14400</v>
      </c>
      <c r="F7411" t="s">
        <v>14401</v>
      </c>
      <c r="G7411" t="s">
        <v>14</v>
      </c>
      <c r="H7411">
             </c>
      <c r="I7411" t="s">
        <v>14</v>
      </c>
      <c r="J7411" t="s">
        <v>31</v>
      </c>
      <c r="K7411" t="s">
        <v>14336</v>
      </c>
      <c r="L7411" t="s">
        <v>20</v>
      </c>
      <c r="M7411" t="s">
        <v>14359</v>
      </c>
      <c r="N7411" t="s">
        <v>14</v>
      </c>
    </row>
    <row r="7412" x14ac:dyDescent="0.25">
      <c r="A7412" t="n">
        <v>24</v>
      </c>
      <c r="B7412" t="s">
        <v>14</v>
      </c>
      <c r="C7412" t="s">
        <v>15</v>
      </c>
      <c r="D7412" s="2" t="s">
        <f>=HYPERLINK("https://main.knesset.gov.il/APPS/legislation/main/bills/2194802", "הצעת חוק סדר הדין הפלילי (סמכויות אכיפה – מעצרים) (שטח מחיה במיתקני שירות הביטחון הכללי) (הוראת שעה), התשפ""ב-2022 ")</f>
        <v>14402</v>
      </c>
      <c r="E7412" t="s">
        <v>14402</v>
      </c>
      <c r="F7412" t="s">
        <v>14</v>
      </c>
      <c r="G7412" t="s">
        <v>14403</v>
      </c>
      <c r="H7412">
             </c>
      <c r="I7412" t="s">
        <v>14</v>
      </c>
      <c r="J7412" t="s">
        <v>18</v>
      </c>
      <c r="K7412" t="s">
        <v>114</v>
      </c>
      <c r="L7412" t="s">
        <v>20</v>
      </c>
      <c r="M7412" t="s">
        <v>14359</v>
      </c>
      <c r="N7412" t="s">
        <v>14</v>
      </c>
    </row>
    <row r="7413" x14ac:dyDescent="0.25">
      <c r="A7413" t="n">
        <v>24</v>
      </c>
      <c r="B7413" t="s">
        <v>14</v>
      </c>
      <c r="C7413" t="s">
        <v>15</v>
      </c>
      <c r="D7413" s="2" t="s">
        <f>=HYPERLINK("https://main.knesset.gov.il/APPS/legislation/main/bills/2166051", "הצעת חוק העונשין (תיקון מס' 144 והוראת שעה) (החמרת הענישה בעבירות אלימות נגד קטין או חסר ישע), התשפ""ב-2021 ")</f>
        <v>14404</v>
      </c>
      <c r="E7413" t="s">
        <v>14404</v>
      </c>
      <c r="F7413" t="s">
        <v>14</v>
      </c>
      <c r="G7413" t="s">
        <v>14405</v>
      </c>
      <c r="H7413">
             </c>
      <c r="I7413" t="s">
        <v>14</v>
      </c>
      <c r="J7413" t="s">
        <v>99</v>
      </c>
      <c r="K7413" t="s">
        <v>27</v>
      </c>
      <c r="L7413" t="s">
        <v>20</v>
      </c>
      <c r="M7413" t="s">
        <v>14359</v>
      </c>
      <c r="N7413" t="s">
        <v>14</v>
      </c>
    </row>
    <row r="7414" x14ac:dyDescent="0.25">
      <c r="A7414" t="n">
        <v>24</v>
      </c>
      <c r="B7414" t="s">
        <v>14</v>
      </c>
      <c r="C7414" t="s">
        <v>22</v>
      </c>
      <c r="D7414" s="2" t="s">
        <f>=HYPERLINK("https://main.knesset.gov.il/APPS/legislation/main/bills/2189987", "הצעת חוק הרשויות המקומיות (מימון בחירות) (תיקון - הגברת עידוד התמודדות נשים לראשות רשות מקומית או מועצה אזורית), התשפ""ב-2022")</f>
        <v>14406</v>
      </c>
      <c r="E7414" t="s">
        <v>14406</v>
      </c>
      <c r="F7414" t="s">
        <v>14407</v>
      </c>
      <c r="G7414" t="s">
        <v>14</v>
      </c>
      <c r="H7414">
             </c>
      <c r="I7414" t="s">
        <v>14</v>
      </c>
      <c r="J7414" t="s">
        <v>31</v>
      </c>
      <c r="K7414" t="s">
        <v>5735</v>
      </c>
      <c r="L7414" t="s">
        <v>20</v>
      </c>
      <c r="M7414" t="s">
        <v>14359</v>
      </c>
      <c r="N7414" t="s">
        <v>14</v>
      </c>
    </row>
    <row r="7415" x14ac:dyDescent="0.25">
      <c r="A7415" t="n">
        <v>24</v>
      </c>
      <c r="B7415" t="s">
        <v>14</v>
      </c>
      <c r="C7415" t="s">
        <v>22</v>
      </c>
      <c r="D7415" s="2" t="s">
        <f>=HYPERLINK("https://main.knesset.gov.il/APPS/legislation/main/bills/2167452", "הצעת חוק הרשויות המקומיות (מימון בחירות) (תיקון - הגברת עידוד התמודדות נשים לראשות רשות מקומית או מועצה אזורית), התשפ""ב-2022")</f>
        <v>14406</v>
      </c>
      <c r="E7415" t="s">
        <v>14406</v>
      </c>
      <c r="F7415" t="s">
        <v>14408</v>
      </c>
      <c r="G7415" t="s">
        <v>14</v>
      </c>
      <c r="H7415">
             </c>
      <c r="I7415" t="s">
        <v>14</v>
      </c>
      <c r="J7415" t="s">
        <v>31</v>
      </c>
      <c r="K7415" t="s">
        <v>5735</v>
      </c>
      <c r="L7415" t="s">
        <v>20</v>
      </c>
      <c r="M7415" t="s">
        <v>14359</v>
      </c>
      <c r="N7415" t="s">
        <v>14</v>
      </c>
    </row>
    <row r="7416" x14ac:dyDescent="0.25">
      <c r="A7416" t="n">
        <v>24</v>
      </c>
      <c r="B7416" t="s">
        <v>14</v>
      </c>
      <c r="C7416" t="s">
        <v>22</v>
      </c>
      <c r="D7416" s="2" t="s">
        <f>=HYPERLINK("https://main.knesset.gov.il/APPS/legislation/main/bills/2158540", "הצעת חוק הרשויות המקומיות (מימון בחירות) (תיקון - עידוד ייצוג נשים במועצות אזוריות), התשפ""א-2021")</f>
        <v>14409</v>
      </c>
      <c r="E7416" t="s">
        <v>14409</v>
      </c>
      <c r="F7416" t="s">
        <v>14410</v>
      </c>
      <c r="G7416" t="s">
        <v>14</v>
      </c>
      <c r="H7416">
             </c>
      <c r="I7416" t="s">
        <v>14</v>
      </c>
      <c r="J7416" t="s">
        <v>31</v>
      </c>
      <c r="K7416" t="s">
        <v>5735</v>
      </c>
      <c r="L7416" t="s">
        <v>20</v>
      </c>
      <c r="M7416" t="s">
        <v>14359</v>
      </c>
      <c r="N7416" t="s">
        <v>14</v>
      </c>
    </row>
    <row r="7417" x14ac:dyDescent="0.25">
      <c r="A7417" t="n">
        <v>24</v>
      </c>
      <c r="B7417" t="s">
        <v>14</v>
      </c>
      <c r="C7417" t="s">
        <v>15</v>
      </c>
      <c r="D7417" s="2" t="s">
        <f>=HYPERLINK("https://main.knesset.gov.il/APPS/legislation/main/bills/2193012", "חוק המכר (דירות) (תיקון מס' 9), התשפ""ב-2022")</f>
        <v>14411</v>
      </c>
      <c r="E7417" t="s">
        <v>14411</v>
      </c>
      <c r="F7417" t="s">
        <v>14</v>
      </c>
      <c r="G7417" t="s">
        <v>14412</v>
      </c>
      <c r="H7417" t="n">
        <v>2983</v>
      </c>
      <c r="I7417" t="s">
        <v>14</v>
      </c>
      <c r="J7417" t="s">
        <v>91</v>
      </c>
      <c r="K7417" t="s">
        <v>85</v>
      </c>
      <c r="L7417" t="s">
        <v>20</v>
      </c>
      <c r="M7417" t="s">
        <v>14359</v>
      </c>
      <c r="N7417" t="s">
        <v>14413</v>
      </c>
    </row>
    <row r="7418" x14ac:dyDescent="0.25">
      <c r="A7418" t="n">
        <v>24</v>
      </c>
      <c r="B7418" t="s">
        <v>14</v>
      </c>
      <c r="C7418" t="s">
        <v>22</v>
      </c>
      <c r="D7418" s="2" t="s">
        <f>=HYPERLINK("https://main.knesset.gov.il/APPS/legislation/main/bills/2163443", "הצעת חוק לתיקון פקודת האגודות השיתופיות (מספר בתי אב ביישוב קהילתי), התשפ""ב-2021")</f>
        <v>14414</v>
      </c>
      <c r="E7418" t="s">
        <v>14414</v>
      </c>
      <c r="F7418" t="s">
        <v>14415</v>
      </c>
      <c r="G7418" t="s">
        <v>14</v>
      </c>
      <c r="H7418">
             </c>
      <c r="I7418" t="s">
        <v>14</v>
      </c>
      <c r="J7418" t="s">
        <v>99</v>
      </c>
      <c r="K7418" t="s">
        <v>19</v>
      </c>
      <c r="L7418" t="s">
        <v>20</v>
      </c>
      <c r="M7418" t="s">
        <v>14359</v>
      </c>
      <c r="N7418" t="s">
        <v>14</v>
      </c>
    </row>
    <row r="7419" x14ac:dyDescent="0.25">
      <c r="A7419" t="n">
        <v>24</v>
      </c>
      <c r="B7419" t="s">
        <v>14</v>
      </c>
      <c r="C7419" t="s">
        <v>22</v>
      </c>
      <c r="D7419" s="2" t="s">
        <f>=HYPERLINK("https://main.knesset.gov.il/APPS/legislation/main/bills/2156386", "הצעת חוק לתיקון פקודת האגודות השיתופיות (מספר בתי אב ביישוב קהילתי), התשפ""ב-2021")</f>
        <v>14414</v>
      </c>
      <c r="E7419" t="s">
        <v>14414</v>
      </c>
      <c r="F7419" t="s">
        <v>14416</v>
      </c>
      <c r="G7419" t="s">
        <v>14</v>
      </c>
      <c r="H7419">
             </c>
      <c r="I7419" t="s">
        <v>14</v>
      </c>
      <c r="J7419" t="s">
        <v>99</v>
      </c>
      <c r="K7419" t="s">
        <v>19</v>
      </c>
      <c r="L7419" t="s">
        <v>20</v>
      </c>
      <c r="M7419" t="s">
        <v>14359</v>
      </c>
      <c r="N7419" t="s">
        <v>14</v>
      </c>
    </row>
    <row r="7420" x14ac:dyDescent="0.25">
      <c r="A7420" t="n">
        <v>24</v>
      </c>
      <c r="B7420" t="s">
        <v>14</v>
      </c>
      <c r="C7420" t="s">
        <v>22</v>
      </c>
      <c r="D7420" s="2" t="s">
        <f>=HYPERLINK("https://main.knesset.gov.il/APPS/legislation/main/bills/2167470", "הצעת חוק הגנת הצרכן (תיקון - שלוחה טלפונית ייעודית לביטול עסקה), התשפ""ב-2022")</f>
        <v>14417</v>
      </c>
      <c r="E7420" t="s">
        <v>14417</v>
      </c>
      <c r="F7420" t="s">
        <v>14418</v>
      </c>
      <c r="G7420" t="s">
        <v>14</v>
      </c>
      <c r="H7420">
             </c>
      <c r="I7420" t="s">
        <v>14</v>
      </c>
      <c r="J7420" t="s">
        <v>99</v>
      </c>
      <c r="K7420" t="s">
        <v>19</v>
      </c>
      <c r="L7420" t="s">
        <v>20</v>
      </c>
      <c r="M7420" t="s">
        <v>14359</v>
      </c>
      <c r="N7420" t="s">
        <v>14</v>
      </c>
    </row>
    <row r="7421" x14ac:dyDescent="0.25">
      <c r="A7421" t="n">
        <v>24</v>
      </c>
      <c r="B7421" t="s">
        <v>14</v>
      </c>
      <c r="C7421" t="s">
        <v>15</v>
      </c>
      <c r="D7421" s="2" t="s">
        <f>=HYPERLINK("https://main.knesset.gov.il/APPS/legislation/main/bills/2161823", "חוק שוויון זכויות לאנשים עם מוגבלות (תיקון מס' 23), התשפ""ב-2022")</f>
        <v>14419</v>
      </c>
      <c r="E7421" t="s">
        <v>14419</v>
      </c>
      <c r="F7421" t="s">
        <v>14</v>
      </c>
      <c r="G7421" t="s">
        <v>14420</v>
      </c>
      <c r="H7421" t="n">
        <v>3007</v>
      </c>
      <c r="I7421" t="s">
        <v>14</v>
      </c>
      <c r="J7421" t="s">
        <v>91</v>
      </c>
      <c r="K7421" t="s">
        <v>127</v>
      </c>
      <c r="L7421" t="s">
        <v>20</v>
      </c>
      <c r="M7421" t="s">
        <v>14359</v>
      </c>
      <c r="N7421" t="s">
        <v>14421</v>
      </c>
    </row>
    <row r="7422" x14ac:dyDescent="0.25">
      <c r="A7422" t="n">
        <v>24</v>
      </c>
      <c r="B7422" t="s">
        <v>14</v>
      </c>
      <c r="C7422" t="s">
        <v>15</v>
      </c>
      <c r="D7422" s="2" t="s">
        <f>=HYPERLINK("https://main.knesset.gov.il/APPS/legislation/main/bills/2143625", "חוק לתיקון פקודת העיריות (מס' 151), התשפ""ב–2022 ")</f>
        <v>14422</v>
      </c>
      <c r="E7422" t="s">
        <v>14422</v>
      </c>
      <c r="F7422" t="s">
        <v>14</v>
      </c>
      <c r="G7422" t="s">
        <v>14423</v>
      </c>
      <c r="H7422" t="n">
        <v>3006</v>
      </c>
      <c r="I7422" t="s">
        <v>14</v>
      </c>
      <c r="J7422" t="s">
        <v>91</v>
      </c>
      <c r="K7422" t="s">
        <v>46</v>
      </c>
      <c r="L7422" t="s">
        <v>20</v>
      </c>
      <c r="M7422" t="s">
        <v>14359</v>
      </c>
      <c r="N7422" t="s">
        <v>14424</v>
      </c>
    </row>
    <row r="7423" x14ac:dyDescent="0.25">
      <c r="A7423" t="n">
        <v>24</v>
      </c>
      <c r="B7423" t="s">
        <v>14</v>
      </c>
      <c r="C7423" t="s">
        <v>15</v>
      </c>
      <c r="D7423" s="2" t="s">
        <f>=HYPERLINK("https://main.knesset.gov.il/APPS/legislation/main/bills/2162977", "חוק הניקוז וההגנה מפני שיטפונות (תיקון מס' 7), התשפ""ב–2022")</f>
        <v>14425</v>
      </c>
      <c r="E7423" t="s">
        <v>14425</v>
      </c>
      <c r="F7423" t="s">
        <v>14</v>
      </c>
      <c r="G7423" t="s">
        <v>5568</v>
      </c>
      <c r="H7423" t="n">
        <v>3005</v>
      </c>
      <c r="I7423" t="s">
        <v>14</v>
      </c>
      <c r="J7423" t="s">
        <v>91</v>
      </c>
      <c r="K7423" t="s">
        <v>19</v>
      </c>
      <c r="L7423" t="s">
        <v>20</v>
      </c>
      <c r="M7423" t="s">
        <v>14359</v>
      </c>
      <c r="N7423" t="s">
        <v>14426</v>
      </c>
    </row>
    <row r="7424" x14ac:dyDescent="0.25">
      <c r="A7424" t="n">
        <v>24</v>
      </c>
      <c r="B7424" t="s">
        <v>14</v>
      </c>
      <c r="C7424" t="s">
        <v>15</v>
      </c>
      <c r="D7424" s="2" t="s">
        <f>=HYPERLINK("https://main.knesset.gov.il/APPS/legislation/main/bills/2164877", "חוק התכנון והבנייה (תיקון מס' 139), התשפ""ב-2022 ")</f>
        <v>14427</v>
      </c>
      <c r="E7424" t="s">
        <v>14427</v>
      </c>
      <c r="F7424" t="s">
        <v>14</v>
      </c>
      <c r="G7424" t="s">
        <v>14428</v>
      </c>
      <c r="H7424" t="n">
        <v>3004</v>
      </c>
      <c r="I7424" t="s">
        <v>14</v>
      </c>
      <c r="J7424" t="s">
        <v>91</v>
      </c>
      <c r="K7424" t="s">
        <v>46</v>
      </c>
      <c r="L7424" t="s">
        <v>20</v>
      </c>
      <c r="M7424" t="s">
        <v>14359</v>
      </c>
      <c r="N7424" t="s">
        <v>14429</v>
      </c>
    </row>
    <row r="7425" x14ac:dyDescent="0.25">
      <c r="A7425" t="n">
        <v>24</v>
      </c>
      <c r="B7425" t="s">
        <v>14</v>
      </c>
      <c r="C7425" t="s">
        <v>22</v>
      </c>
      <c r="D7425" s="2" t="s">
        <f>=HYPERLINK("https://main.knesset.gov.il/APPS/legislation/main/bills/2156444", "חוק חסיון ראיות (טיפול נפשי בהליכים פליליים שעניינם עבירות מין או עבירות אלימות חמורה במשפחה) (תיקוני חקיקה), התשפ""ב–2022")</f>
        <v>14430</v>
      </c>
      <c r="E7425" t="s">
        <v>14430</v>
      </c>
      <c r="F7425" t="s">
        <v>14431</v>
      </c>
      <c r="G7425" t="s">
        <v>14432</v>
      </c>
      <c r="H7425" t="n">
        <v>3003</v>
      </c>
      <c r="I7425" t="s">
        <v>14</v>
      </c>
      <c r="J7425" t="s">
        <v>91</v>
      </c>
      <c r="K7425" t="s">
        <v>27</v>
      </c>
      <c r="L7425" t="s">
        <v>20</v>
      </c>
      <c r="M7425" t="s">
        <v>14359</v>
      </c>
      <c r="N7425" t="s">
        <v>14433</v>
      </c>
    </row>
    <row r="7426" x14ac:dyDescent="0.25">
      <c r="A7426" t="n">
        <v>24</v>
      </c>
      <c r="B7426" t="s">
        <v>14</v>
      </c>
      <c r="C7426" t="s">
        <v>22</v>
      </c>
      <c r="D7426" s="2" t="s">
        <f>=HYPERLINK("https://main.knesset.gov.il/APPS/legislation/main/bills/2157092", "חוק שוויון זכויות לאנשים עם מוגבלות (תיקון מס' 22 והוראת שעה), התשפ""ב-2022")</f>
        <v>14434</v>
      </c>
      <c r="E7426" t="s">
        <v>14434</v>
      </c>
      <c r="F7426" t="s">
        <v>14435</v>
      </c>
      <c r="G7426" t="s">
        <v>14436</v>
      </c>
      <c r="H7426" t="n">
        <v>3001</v>
      </c>
      <c r="I7426" t="s">
        <v>14</v>
      </c>
      <c r="J7426" t="s">
        <v>91</v>
      </c>
      <c r="K7426" t="s">
        <v>127</v>
      </c>
      <c r="L7426" t="s">
        <v>20</v>
      </c>
      <c r="M7426" t="s">
        <v>14359</v>
      </c>
      <c r="N7426" t="s">
        <v>14437</v>
      </c>
    </row>
    <row r="7427" x14ac:dyDescent="0.25">
      <c r="A7427" t="n">
        <v>24</v>
      </c>
      <c r="B7427" t="s">
        <v>14</v>
      </c>
      <c r="C7427" t="s">
        <v>15</v>
      </c>
      <c r="D7427" s="2" t="s">
        <f>=HYPERLINK("https://main.knesset.gov.il/APPS/legislation/main/bills/2162978", "חוק המועצה לענף הלול (ייצור ושיווק) (תיקון מס' 18 והוראת שעה), התשפ""ב-2022")</f>
        <v>14438</v>
      </c>
      <c r="E7427" t="s">
        <v>14438</v>
      </c>
      <c r="F7427" t="s">
        <v>14</v>
      </c>
      <c r="G7427" t="s">
        <v>5568</v>
      </c>
      <c r="H7427" t="n">
        <v>3000</v>
      </c>
      <c r="I7427" t="s">
        <v>14</v>
      </c>
      <c r="J7427" t="s">
        <v>91</v>
      </c>
      <c r="K7427" t="s">
        <v>19</v>
      </c>
      <c r="L7427" t="s">
        <v>20</v>
      </c>
      <c r="M7427" t="s">
        <v>14359</v>
      </c>
      <c r="N7427" t="s">
        <v>14439</v>
      </c>
    </row>
    <row r="7428" x14ac:dyDescent="0.25">
      <c r="A7428" t="n">
        <v>24</v>
      </c>
      <c r="B7428" t="s">
        <v>14</v>
      </c>
      <c r="C7428" t="s">
        <v>15</v>
      </c>
      <c r="D7428" s="2" t="s">
        <f>=HYPERLINK("https://main.knesset.gov.il/APPS/legislation/main/bills/2165292", "חוק סדר הדין הפלילי (תיקון מס' 92 – הוראת שעה), התשפ""ב–2022")</f>
        <v>14440</v>
      </c>
      <c r="E7428" t="s">
        <v>14440</v>
      </c>
      <c r="F7428" t="s">
        <v>14</v>
      </c>
      <c r="G7428" t="s">
        <v>14441</v>
      </c>
      <c r="H7428" t="n">
        <v>2999</v>
      </c>
      <c r="I7428" t="s">
        <v>14</v>
      </c>
      <c r="J7428" t="s">
        <v>91</v>
      </c>
      <c r="K7428" t="s">
        <v>27</v>
      </c>
      <c r="L7428" t="s">
        <v>20</v>
      </c>
      <c r="M7428" t="s">
        <v>14359</v>
      </c>
      <c r="N7428" t="s">
        <v>14442</v>
      </c>
    </row>
    <row r="7429" x14ac:dyDescent="0.25">
      <c r="A7429" t="n">
        <v>24</v>
      </c>
      <c r="B7429" t="s">
        <v>14</v>
      </c>
      <c r="C7429" t="s">
        <v>15</v>
      </c>
      <c r="D7429" s="2" t="s">
        <f>=HYPERLINK("https://main.knesset.gov.il/APPS/legislation/main/bills/2164838", "חוק המרכז לגביית קנסות, אגרות והוצאות (תיקון מס' 25), התשפ""ב-2021")</f>
        <v>14443</v>
      </c>
      <c r="E7429" t="s">
        <v>14443</v>
      </c>
      <c r="F7429" t="s">
        <v>14</v>
      </c>
      <c r="G7429" t="s">
        <v>14444</v>
      </c>
      <c r="H7429" t="n">
        <v>2997</v>
      </c>
      <c r="I7429" t="s">
        <v>14</v>
      </c>
      <c r="J7429" t="s">
        <v>91</v>
      </c>
      <c r="K7429" t="s">
        <v>27</v>
      </c>
      <c r="L7429" t="s">
        <v>20</v>
      </c>
      <c r="M7429" t="s">
        <v>14359</v>
      </c>
      <c r="N7429" t="s">
        <v>14445</v>
      </c>
    </row>
    <row r="7430" x14ac:dyDescent="0.25">
      <c r="A7430" t="n">
        <v>24</v>
      </c>
      <c r="B7430" t="s">
        <v>14</v>
      </c>
      <c r="C7430" t="s">
        <v>15</v>
      </c>
      <c r="D7430" s="2" t="s">
        <f>=HYPERLINK("https://main.knesset.gov.il/APPS/legislation/main/bills/2192628", "חוק איסור אלימות בספורט (תיקון מס' 3 והוראת שעה), התשפ""ב-2022 ")</f>
        <v>14446</v>
      </c>
      <c r="E7430" t="s">
        <v>14446</v>
      </c>
      <c r="F7430" t="s">
        <v>14</v>
      </c>
      <c r="G7430" t="s">
        <v>14447</v>
      </c>
      <c r="H7430" t="n">
        <v>2996</v>
      </c>
      <c r="I7430" t="s">
        <v>14</v>
      </c>
      <c r="J7430" t="s">
        <v>91</v>
      </c>
      <c r="K7430" t="s">
        <v>34</v>
      </c>
      <c r="L7430" t="s">
        <v>20</v>
      </c>
      <c r="M7430" t="s">
        <v>14359</v>
      </c>
      <c r="N7430" t="s">
        <v>14448</v>
      </c>
    </row>
    <row r="7431" x14ac:dyDescent="0.25">
      <c r="A7431" t="n">
        <v>24</v>
      </c>
      <c r="B7431" t="s">
        <v>14</v>
      </c>
      <c r="C7431" t="s">
        <v>22</v>
      </c>
      <c r="D7431" s="2" t="s">
        <f>=HYPERLINK("https://main.knesset.gov.il/APPS/legislation/main/bills/2156082", "חוק איסור פרסום מידע לגבי נפגעים, התשפ""ב–2022")</f>
        <v>14449</v>
      </c>
      <c r="E7431" t="s">
        <v>14449</v>
      </c>
      <c r="F7431" t="s">
        <v>14450</v>
      </c>
      <c r="G7431" t="s">
        <v>14451</v>
      </c>
      <c r="H7431" t="n">
        <v>2995</v>
      </c>
      <c r="I7431" t="s">
        <v>14</v>
      </c>
      <c r="J7431" t="s">
        <v>91</v>
      </c>
      <c r="K7431" t="s">
        <v>480</v>
      </c>
      <c r="L7431" t="s">
        <v>20</v>
      </c>
      <c r="M7431" t="s">
        <v>14359</v>
      </c>
      <c r="N7431" t="s">
        <v>14452</v>
      </c>
    </row>
    <row r="7432" x14ac:dyDescent="0.25">
      <c r="A7432" t="n">
        <v>24</v>
      </c>
      <c r="B7432" t="s">
        <v>14</v>
      </c>
      <c r="C7432" t="s">
        <v>22</v>
      </c>
      <c r="D7432" s="2" t="s">
        <f>=HYPERLINK("https://main.knesset.gov.il/APPS/legislation/main/bills/2156346", "חוק לתיקון פקודת מס הכנסה (מס' 262), התשפ״ב-2022")</f>
        <v>14453</v>
      </c>
      <c r="E7432" t="s">
        <v>14453</v>
      </c>
      <c r="F7432" t="s">
        <v>14454</v>
      </c>
      <c r="G7432" t="s">
        <v>14455</v>
      </c>
      <c r="H7432" t="n">
        <v>2994</v>
      </c>
      <c r="I7432" t="s">
        <v>14</v>
      </c>
      <c r="J7432" t="s">
        <v>91</v>
      </c>
      <c r="K7432" t="s">
        <v>85</v>
      </c>
      <c r="L7432" t="s">
        <v>20</v>
      </c>
      <c r="M7432" t="s">
        <v>14359</v>
      </c>
      <c r="N7432" t="s">
        <v>14456</v>
      </c>
    </row>
    <row r="7433" x14ac:dyDescent="0.25">
      <c r="A7433" t="n">
        <v>24</v>
      </c>
      <c r="B7433" t="s">
        <v>14</v>
      </c>
      <c r="C7433" t="s">
        <v>15</v>
      </c>
      <c r="D7433" s="2" t="s">
        <f>=HYPERLINK("https://main.knesset.gov.il/APPS/legislation/main/bills/2159955", "חוק לתיקון פקודת מס הכנסה (תיקון מס' 261), התשפ""ב-2022")</f>
        <v>14457</v>
      </c>
      <c r="E7433" t="s">
        <v>14457</v>
      </c>
      <c r="F7433" t="s">
        <v>14</v>
      </c>
      <c r="G7433" t="s">
        <v>14458</v>
      </c>
      <c r="H7433" t="n">
        <v>2993</v>
      </c>
      <c r="I7433" t="s">
        <v>14</v>
      </c>
      <c r="J7433" t="s">
        <v>91</v>
      </c>
      <c r="K7433" t="s">
        <v>85</v>
      </c>
      <c r="L7433" t="s">
        <v>20</v>
      </c>
      <c r="M7433" t="s">
        <v>14359</v>
      </c>
      <c r="N7433" t="s">
        <v>14459</v>
      </c>
    </row>
    <row r="7434" x14ac:dyDescent="0.25">
      <c r="A7434" t="n">
        <v>24</v>
      </c>
      <c r="B7434" t="s">
        <v>14</v>
      </c>
      <c r="C7434" t="s">
        <v>22</v>
      </c>
      <c r="D7434" s="2" t="s">
        <f>=HYPERLINK("https://main.knesset.gov.il/APPS/legislation/main/bills/2161863", "חוק הרשות השנייה לטלוויזיה ורדיו (תיקון מס' 47), התשפ""ב–2022")</f>
        <v>14460</v>
      </c>
      <c r="E7434" t="s">
        <v>14460</v>
      </c>
      <c r="F7434" t="s">
        <v>14461</v>
      </c>
      <c r="G7434" t="s">
        <v>14462</v>
      </c>
      <c r="H7434" t="n">
        <v>2990</v>
      </c>
      <c r="I7434" t="s">
        <v>14</v>
      </c>
      <c r="J7434" t="s">
        <v>91</v>
      </c>
      <c r="K7434" t="s">
        <v>19</v>
      </c>
      <c r="L7434" t="s">
        <v>20</v>
      </c>
      <c r="M7434" t="s">
        <v>14359</v>
      </c>
      <c r="N7434" t="s">
        <v>14463</v>
      </c>
    </row>
    <row r="7435" x14ac:dyDescent="0.25">
      <c r="A7435" t="n">
        <v>24</v>
      </c>
      <c r="B7435" t="s">
        <v>14</v>
      </c>
      <c r="C7435" t="s">
        <v>15</v>
      </c>
      <c r="D7435" s="2" t="s">
        <f>=HYPERLINK("https://main.knesset.gov.il/APPS/legislation/main/bills/2151997", "חוק הבנקאות (רישוי) (תיקון מס' 28), התשפ""ב-2022")</f>
        <v>14464</v>
      </c>
      <c r="E7435" t="s">
        <v>14464</v>
      </c>
      <c r="F7435" t="s">
        <v>14</v>
      </c>
      <c r="G7435" t="s">
        <v>14465</v>
      </c>
      <c r="H7435" t="n">
        <v>2989</v>
      </c>
      <c r="I7435" t="s">
        <v>14</v>
      </c>
      <c r="J7435" t="s">
        <v>91</v>
      </c>
      <c r="K7435" t="s">
        <v>85</v>
      </c>
      <c r="L7435" t="s">
        <v>20</v>
      </c>
      <c r="M7435" t="s">
        <v>14359</v>
      </c>
      <c r="N7435" t="s">
        <v>14466</v>
      </c>
    </row>
    <row r="7436" x14ac:dyDescent="0.25">
      <c r="A7436" t="n">
        <v>24</v>
      </c>
      <c r="B7436" t="s">
        <v>14</v>
      </c>
      <c r="C7436" t="s">
        <v>15</v>
      </c>
      <c r="D7436" s="2" t="s">
        <f>=HYPERLINK("https://main.knesset.gov.il/APPS/legislation/main/bills/2163400", "חוק לתיקון פקודת הראיות (מס' 19), התשפ""ב–2022")</f>
        <v>14467</v>
      </c>
      <c r="E7436" t="s">
        <v>14467</v>
      </c>
      <c r="F7436" t="s">
        <v>14</v>
      </c>
      <c r="G7436" t="s">
        <v>14468</v>
      </c>
      <c r="H7436" t="n">
        <v>2988</v>
      </c>
      <c r="I7436" t="s">
        <v>14</v>
      </c>
      <c r="J7436" t="s">
        <v>91</v>
      </c>
      <c r="K7436" t="s">
        <v>27</v>
      </c>
      <c r="L7436" t="s">
        <v>20</v>
      </c>
      <c r="M7436" t="s">
        <v>14359</v>
      </c>
      <c r="N7436" t="s">
        <v>14469</v>
      </c>
    </row>
    <row r="7437" x14ac:dyDescent="0.25">
      <c r="A7437" t="n">
        <v>24</v>
      </c>
      <c r="B7437" t="s">
        <v>14</v>
      </c>
      <c r="C7437" t="s">
        <v>15</v>
      </c>
      <c r="D7437" s="2" t="s">
        <f>=HYPERLINK("https://main.knesset.gov.il/APPS/legislation/main/bills/2191855", "חוק מענק סיוע לעסקים בשל ההשפעה הכלכלית של התפשטות זן אומיקרון של נגיף הקורונה החדש (הוראת שעה), התשפ""ב-2022 ")</f>
        <v>14470</v>
      </c>
      <c r="E7437" t="s">
        <v>14470</v>
      </c>
      <c r="F7437" t="s">
        <v>14</v>
      </c>
      <c r="G7437" t="s">
        <v>14471</v>
      </c>
      <c r="H7437" t="n">
        <v>2987</v>
      </c>
      <c r="I7437" t="s">
        <v>14</v>
      </c>
      <c r="J7437" t="s">
        <v>91</v>
      </c>
      <c r="K7437" t="s">
        <v>85</v>
      </c>
      <c r="L7437" t="s">
        <v>20</v>
      </c>
      <c r="M7437" t="s">
        <v>14359</v>
      </c>
      <c r="N7437" t="s">
        <v>14472</v>
      </c>
    </row>
    <row r="7438" x14ac:dyDescent="0.25">
      <c r="A7438" t="n">
        <v>24</v>
      </c>
      <c r="B7438" t="s">
        <v>14</v>
      </c>
      <c r="C7438" t="s">
        <v>15</v>
      </c>
      <c r="D7438" s="2" t="s">
        <f>=HYPERLINK("https://main.knesset.gov.il/APPS/legislation/main/bills/2167004", "חוק רישוי שירותים ומקצועות בענף הרכב (תיקון מס' 8), התשפ""ב–2022")</f>
        <v>14473</v>
      </c>
      <c r="E7438" t="s">
        <v>14473</v>
      </c>
      <c r="F7438" t="s">
        <v>14</v>
      </c>
      <c r="G7438" t="s">
        <v>14474</v>
      </c>
      <c r="H7438" t="n">
        <v>2986</v>
      </c>
      <c r="I7438" t="s">
        <v>14</v>
      </c>
      <c r="J7438" t="s">
        <v>91</v>
      </c>
      <c r="K7438" t="s">
        <v>19</v>
      </c>
      <c r="L7438" t="s">
        <v>20</v>
      </c>
      <c r="M7438" t="s">
        <v>14359</v>
      </c>
      <c r="N7438" t="s">
        <v>14475</v>
      </c>
    </row>
    <row r="7439" x14ac:dyDescent="0.25">
      <c r="A7439" t="n">
        <v>24</v>
      </c>
      <c r="B7439" t="s">
        <v>14</v>
      </c>
      <c r="C7439" t="s">
        <v>15</v>
      </c>
      <c r="D7439" s="2" t="s">
        <f>=HYPERLINK("https://main.knesset.gov.il/APPS/legislation/main/bills/2161820", "חוק התכנית הכלכלית (תיקוני חקיקה ליישום המדיניות הכלכלית לשנות התקציב 2021 ו-2022), התשפ""ב-2021")</f>
        <v>14476</v>
      </c>
      <c r="E7439" t="s">
        <v>14476</v>
      </c>
      <c r="F7439" t="s">
        <v>14</v>
      </c>
      <c r="G7439" t="s">
        <v>5568</v>
      </c>
      <c r="H7439" t="n">
        <v>2933</v>
      </c>
      <c r="I7439" t="s">
        <v>14</v>
      </c>
      <c r="J7439" t="s">
        <v>91</v>
      </c>
      <c r="K7439" t="s">
        <v>85</v>
      </c>
      <c r="L7439" t="s">
        <v>20</v>
      </c>
      <c r="M7439" t="s">
        <v>14359</v>
      </c>
      <c r="N7439" t="s">
        <v>14477</v>
      </c>
    </row>
    <row r="7440" x14ac:dyDescent="0.25">
      <c r="A7440" t="n">
        <v>23</v>
      </c>
      <c r="B7440" t="s">
        <v>14</v>
      </c>
      <c r="C7440" t="s">
        <v>15</v>
      </c>
      <c r="D7440" s="2" t="s">
        <f>=HYPERLINK("https://main.knesset.gov.il/APPS/legislation/main/bills/2143627", "חוק הגז הפחמימני המעובה, התשפ""א-2020 ")</f>
        <v>14478</v>
      </c>
      <c r="E7440" t="s">
        <v>14478</v>
      </c>
      <c r="F7440" t="s">
        <v>14</v>
      </c>
      <c r="G7440" t="s">
        <v>14479</v>
      </c>
      <c r="H7440" t="n">
        <v>2880</v>
      </c>
      <c r="I7440" t="s">
        <v>14</v>
      </c>
      <c r="J7440" t="s">
        <v>91</v>
      </c>
      <c r="K7440" t="s">
        <v>19</v>
      </c>
      <c r="L7440" t="s">
        <v>20</v>
      </c>
      <c r="M7440" t="s">
        <v>14359</v>
      </c>
      <c r="N7440" t="s">
        <v>14480</v>
      </c>
    </row>
    <row r="7441" x14ac:dyDescent="0.25">
      <c r="A7441" t="n">
        <v>24</v>
      </c>
      <c r="B7441" t="s">
        <v>14</v>
      </c>
      <c r="C7441" t="s">
        <v>22</v>
      </c>
      <c r="D7441" s="2" t="s">
        <f>=HYPERLINK("https://main.knesset.gov.il/APPS/legislation/main/bills/2192834", "הצעת חוק הפיקוח על שירותים פיננסיים (ייעוץ, שיווק ומערכת סליקה פנסיוניים) (תיקון - הגבלת עמלת הפצה), התשפ""ב-2022")</f>
        <v>14481</v>
      </c>
      <c r="E7441" t="s">
        <v>14481</v>
      </c>
      <c r="F7441" t="s">
        <v>14482</v>
      </c>
      <c r="G7441" t="s">
        <v>14</v>
      </c>
      <c r="H7441">
             </c>
      <c r="I7441" t="s">
        <v>14</v>
      </c>
      <c r="J7441" t="s">
        <v>141</v>
      </c>
      <c r="K7441" t="s">
        <v>14</v>
      </c>
      <c r="L7441" t="s">
        <v>20</v>
      </c>
      <c r="M7441" t="s">
        <v>14359</v>
      </c>
      <c r="N7441" t="s">
        <v>14</v>
      </c>
    </row>
    <row r="7442" x14ac:dyDescent="0.25">
      <c r="A7442" t="n">
        <v>24</v>
      </c>
      <c r="B7442" t="s">
        <v>14</v>
      </c>
      <c r="C7442" t="s">
        <v>22</v>
      </c>
      <c r="D7442" s="2" t="s">
        <f>=HYPERLINK("https://main.knesset.gov.il/APPS/legislation/main/bills/2194053", "הצעת חוק ערבויות מטעם המדינה (תיקון - אישור ועדת הכספים בקביעת מועד תחולה וסיום), התשפ""ב-2022")</f>
        <v>14483</v>
      </c>
      <c r="E7442" t="s">
        <v>14483</v>
      </c>
      <c r="F7442" t="s">
        <v>14484</v>
      </c>
      <c r="G7442" t="s">
        <v>14</v>
      </c>
      <c r="H7442">
             </c>
      <c r="I7442" t="s">
        <v>14</v>
      </c>
      <c r="J7442" t="s">
        <v>141</v>
      </c>
      <c r="K7442" t="s">
        <v>14</v>
      </c>
      <c r="L7442" t="s">
        <v>20</v>
      </c>
      <c r="M7442" t="s">
        <v>14359</v>
      </c>
      <c r="N7442" t="s">
        <v>14</v>
      </c>
    </row>
    <row r="7443" x14ac:dyDescent="0.25">
      <c r="A7443" t="n">
        <v>24</v>
      </c>
      <c r="B7443" t="s">
        <v>14</v>
      </c>
      <c r="C7443" t="s">
        <v>22</v>
      </c>
      <c r="D7443" s="2" t="s">
        <f>=HYPERLINK("https://main.knesset.gov.il/APPS/legislation/main/bills/2191265", "הצעת חוק הטלת סנקציות בינלאומיות, התשפ""ב-2022")</f>
        <v>14485</v>
      </c>
      <c r="E7443" t="s">
        <v>14485</v>
      </c>
      <c r="F7443" t="s">
        <v>14486</v>
      </c>
      <c r="G7443" t="s">
        <v>14</v>
      </c>
      <c r="H7443">
             </c>
      <c r="I7443" t="s">
        <v>14</v>
      </c>
      <c r="J7443" t="s">
        <v>141</v>
      </c>
      <c r="K7443" t="s">
        <v>14</v>
      </c>
      <c r="L7443" t="s">
        <v>20</v>
      </c>
      <c r="M7443" t="s">
        <v>14359</v>
      </c>
      <c r="N7443" t="s">
        <v>14</v>
      </c>
    </row>
    <row r="7444" x14ac:dyDescent="0.25">
      <c r="A7444" t="n">
        <v>24</v>
      </c>
      <c r="B7444" t="s">
        <v>14</v>
      </c>
      <c r="C7444" t="s">
        <v>22</v>
      </c>
      <c r="D7444" s="2" t="s">
        <f>=HYPERLINK("https://main.knesset.gov.il/APPS/legislation/main/bills/2164955", "הצעת חוק הפיקוח על מעונות יום לפעוטות (תיקון - כשירותם של מחנכים-מטפלים), התשפ""ב-2022")</f>
        <v>14487</v>
      </c>
      <c r="E7444" t="s">
        <v>14487</v>
      </c>
      <c r="F7444" t="s">
        <v>14488</v>
      </c>
      <c r="G7444" t="s">
        <v>14</v>
      </c>
      <c r="H7444">
             </c>
      <c r="I7444" t="s">
        <v>14</v>
      </c>
      <c r="J7444" t="s">
        <v>141</v>
      </c>
      <c r="K7444" t="s">
        <v>14</v>
      </c>
      <c r="L7444" t="s">
        <v>20</v>
      </c>
      <c r="M7444" t="s">
        <v>14359</v>
      </c>
      <c r="N7444" t="s">
        <v>14</v>
      </c>
    </row>
    <row r="7445" x14ac:dyDescent="0.25">
      <c r="A7445" t="n">
        <v>24</v>
      </c>
      <c r="B7445" t="s">
        <v>14</v>
      </c>
      <c r="C7445" t="s">
        <v>22</v>
      </c>
      <c r="D7445" s="2" t="s">
        <f>=HYPERLINK("https://main.knesset.gov.il/APPS/legislation/main/bills/2193420", "הצעת חוק נכסים שהם אוצרות המדינה, התשפ""ב-2022")</f>
        <v>14489</v>
      </c>
      <c r="E7445" t="s">
        <v>14489</v>
      </c>
      <c r="F7445" t="s">
        <v>14490</v>
      </c>
      <c r="G7445" t="s">
        <v>14</v>
      </c>
      <c r="H7445">
             </c>
      <c r="I7445" t="s">
        <v>14</v>
      </c>
      <c r="J7445" t="s">
        <v>141</v>
      </c>
      <c r="K7445" t="s">
        <v>14</v>
      </c>
      <c r="L7445" t="s">
        <v>20</v>
      </c>
      <c r="M7445" t="s">
        <v>14359</v>
      </c>
      <c r="N7445" t="s">
        <v>14</v>
      </c>
    </row>
    <row r="7446" x14ac:dyDescent="0.25">
      <c r="A7446" t="n">
        <v>24</v>
      </c>
      <c r="B7446" t="s">
        <v>14</v>
      </c>
      <c r="C7446" t="s">
        <v>22</v>
      </c>
      <c r="D7446" s="2" t="s">
        <f>=HYPERLINK("https://main.knesset.gov.il/APPS/legislation/main/bills/2193682", "הצעת חוק ביטוח בריאות ממלכתי (תיקון - מחלה נדירה), התשפ""ב-2022")</f>
        <v>14491</v>
      </c>
      <c r="E7446" t="s">
        <v>14491</v>
      </c>
      <c r="F7446" t="s">
        <v>14492</v>
      </c>
      <c r="G7446" t="s">
        <v>14</v>
      </c>
      <c r="H7446">
             </c>
      <c r="I7446" t="s">
        <v>14</v>
      </c>
      <c r="J7446" t="s">
        <v>31</v>
      </c>
      <c r="K7446" t="s">
        <v>480</v>
      </c>
      <c r="L7446" t="s">
        <v>20</v>
      </c>
      <c r="M7446" t="s">
        <v>14359</v>
      </c>
      <c r="N7446" t="s">
        <v>14</v>
      </c>
    </row>
    <row r="7447" x14ac:dyDescent="0.25">
      <c r="A7447" t="n">
        <v>24</v>
      </c>
      <c r="B7447" t="s">
        <v>14</v>
      </c>
      <c r="C7447" t="s">
        <v>22</v>
      </c>
      <c r="D7447" s="2" t="s">
        <f>=HYPERLINK("https://main.knesset.gov.il/APPS/legislation/main/bills/2164889", "הצעת חוק ביטוח בריאות ממלכתי (תיקון מס' 66) (מחלה נדירה), התשפ""ב–2022")</f>
        <v>14493</v>
      </c>
      <c r="E7447" t="s">
        <v>14493</v>
      </c>
      <c r="F7447" t="s">
        <v>14494</v>
      </c>
      <c r="G7447" t="s">
        <v>14495</v>
      </c>
      <c r="H7447">
             </c>
      <c r="I7447" t="s">
        <v>26</v>
      </c>
      <c r="J7447" t="s">
        <v>18</v>
      </c>
      <c r="K7447" t="s">
        <v>480</v>
      </c>
      <c r="L7447" t="s">
        <v>20</v>
      </c>
      <c r="M7447" t="s">
        <v>14359</v>
      </c>
      <c r="N7447" t="s">
        <v>14</v>
      </c>
    </row>
    <row r="7448" x14ac:dyDescent="0.25">
      <c r="A7448" t="n">
        <v>24</v>
      </c>
      <c r="B7448" t="s">
        <v>14</v>
      </c>
      <c r="C7448" t="s">
        <v>22</v>
      </c>
      <c r="D7448" s="2" t="s">
        <f>=HYPERLINK("https://main.knesset.gov.il/APPS/legislation/main/bills/2163514", "הצעת חוק זכויות נפגעי עבירה (תיקון מס' 16) (הרחבת זכויות נפגעי עבירה), התשפ""ב–2022")</f>
        <v>14496</v>
      </c>
      <c r="E7448" t="s">
        <v>14496</v>
      </c>
      <c r="F7448" t="s">
        <v>14497</v>
      </c>
      <c r="G7448" t="s">
        <v>14498</v>
      </c>
      <c r="H7448">
             </c>
      <c r="I7448" t="s">
        <v>26</v>
      </c>
      <c r="J7448" t="s">
        <v>18</v>
      </c>
      <c r="K7448" t="s">
        <v>27</v>
      </c>
      <c r="L7448" t="s">
        <v>20</v>
      </c>
      <c r="M7448" t="s">
        <v>14359</v>
      </c>
      <c r="N7448" t="s">
        <v>14</v>
      </c>
    </row>
    <row r="7449" x14ac:dyDescent="0.25">
      <c r="A7449" t="n">
        <v>24</v>
      </c>
      <c r="B7449" t="s">
        <v>14</v>
      </c>
      <c r="C7449" t="s">
        <v>22</v>
      </c>
      <c r="D7449" s="2" t="s">
        <f>=HYPERLINK("https://main.knesset.gov.il/APPS/legislation/main/bills/2156136", "הצעת חוק לתיקון פקודת התעבורה (מס' 131) (תוספת פיגור בשל אי־תשלום קנס בעבירת חניה), התשפ""ב–2022")</f>
        <v>14499</v>
      </c>
      <c r="E7449" t="s">
        <v>14499</v>
      </c>
      <c r="F7449" t="s">
        <v>14500</v>
      </c>
      <c r="G7449" t="s">
        <v>14501</v>
      </c>
      <c r="H7449">
             </c>
      <c r="I7449" t="s">
        <v>26</v>
      </c>
      <c r="J7449" t="s">
        <v>18</v>
      </c>
      <c r="K7449" t="s">
        <v>19</v>
      </c>
      <c r="L7449" t="s">
        <v>20</v>
      </c>
      <c r="M7449" t="s">
        <v>14359</v>
      </c>
      <c r="N7449" t="s">
        <v>14</v>
      </c>
    </row>
    <row r="7450" x14ac:dyDescent="0.25">
      <c r="A7450" t="n">
        <v>24</v>
      </c>
      <c r="B7450" t="s">
        <v>14</v>
      </c>
      <c r="C7450" t="s">
        <v>22</v>
      </c>
      <c r="D7450" s="2" t="s">
        <f>=HYPERLINK("https://main.knesset.gov.il/APPS/legislation/main/bills/2156774", "הצעת חוק לתיקון פקודת התעבורה (ריבית פיגורים בשל אי תשלום קנס על עבירת חניה), התשפ""ב-2021")</f>
        <v>14502</v>
      </c>
      <c r="E7450" t="s">
        <v>14502</v>
      </c>
      <c r="F7450" t="s">
        <v>14503</v>
      </c>
      <c r="G7450" t="s">
        <v>14</v>
      </c>
      <c r="H7450">
             </c>
      <c r="I7450" t="s">
        <v>14</v>
      </c>
      <c r="J7450" t="s">
        <v>99</v>
      </c>
      <c r="K7450" t="s">
        <v>19</v>
      </c>
      <c r="L7450" t="s">
        <v>20</v>
      </c>
      <c r="M7450" t="s">
        <v>14504</v>
      </c>
      <c r="N7450" t="s">
        <v>14</v>
      </c>
    </row>
    <row r="7451" x14ac:dyDescent="0.25">
      <c r="A7451" t="n">
        <v>24</v>
      </c>
      <c r="B7451" t="s">
        <v>14</v>
      </c>
      <c r="C7451" t="s">
        <v>22</v>
      </c>
      <c r="D7451" s="2" t="s">
        <f>=HYPERLINK("https://main.knesset.gov.il/APPS/legislation/main/bills/2189505", "הצעת חוק להבטחת פיצוי לתושבי גבעת עמל, התשפ""ב-2022")</f>
        <v>14505</v>
      </c>
      <c r="E7451" t="s">
        <v>14505</v>
      </c>
      <c r="F7451" t="s">
        <v>14506</v>
      </c>
      <c r="G7451" t="s">
        <v>14</v>
      </c>
      <c r="H7451">
             </c>
      <c r="I7451" t="s">
        <v>14</v>
      </c>
      <c r="J7451" t="s">
        <v>31</v>
      </c>
      <c r="K7451" t="s">
        <v>127</v>
      </c>
      <c r="L7451" t="s">
        <v>20</v>
      </c>
      <c r="M7451" t="s">
        <v>14504</v>
      </c>
      <c r="N7451" t="s">
        <v>14</v>
      </c>
    </row>
    <row r="7452" x14ac:dyDescent="0.25">
      <c r="A7452" t="n">
        <v>24</v>
      </c>
      <c r="B7452" t="s">
        <v>14</v>
      </c>
      <c r="C7452" t="s">
        <v>22</v>
      </c>
      <c r="D7452" s="2" t="s">
        <f>=HYPERLINK("https://main.knesset.gov.il/APPS/legislation/main/bills/2191362", "הצעת חוק המקרקעין (תיקון מס' 36) (מנגנון שבת למשאבת מים), התשפ""ב–2022")</f>
        <v>14507</v>
      </c>
      <c r="E7452" t="s">
        <v>14507</v>
      </c>
      <c r="F7452" t="s">
        <v>14508</v>
      </c>
      <c r="G7452" t="s">
        <v>14</v>
      </c>
      <c r="H7452">
             </c>
      <c r="I7452" t="s">
        <v>14</v>
      </c>
      <c r="J7452" t="s">
        <v>31</v>
      </c>
      <c r="K7452" t="s">
        <v>46</v>
      </c>
      <c r="L7452" t="s">
        <v>20</v>
      </c>
      <c r="M7452" t="s">
        <v>14504</v>
      </c>
      <c r="N7452" t="s">
        <v>14</v>
      </c>
    </row>
    <row r="7453" x14ac:dyDescent="0.25">
      <c r="A7453" t="n">
        <v>24</v>
      </c>
      <c r="B7453" t="s">
        <v>14</v>
      </c>
      <c r="C7453" t="s">
        <v>22</v>
      </c>
      <c r="D7453" s="2" t="s">
        <f>=HYPERLINK("https://main.knesset.gov.il/APPS/legislation/main/bills/2166118", "הצעת חוק ביטוח בריאות ממלכתי (תיקון - מחלה נדירה), התשפ""ב-2021")</f>
        <v>14509</v>
      </c>
      <c r="E7453" t="s">
        <v>14509</v>
      </c>
      <c r="F7453" t="s">
        <v>14510</v>
      </c>
      <c r="G7453" t="s">
        <v>14</v>
      </c>
      <c r="H7453">
             </c>
      <c r="I7453" t="s">
        <v>14</v>
      </c>
      <c r="J7453" t="s">
        <v>99</v>
      </c>
      <c r="K7453" t="s">
        <v>480</v>
      </c>
      <c r="L7453" t="s">
        <v>20</v>
      </c>
      <c r="M7453" t="s">
        <v>14504</v>
      </c>
      <c r="N7453" t="s">
        <v>14</v>
      </c>
    </row>
    <row r="7454" x14ac:dyDescent="0.25">
      <c r="A7454" t="n">
        <v>24</v>
      </c>
      <c r="B7454" t="s">
        <v>14</v>
      </c>
      <c r="C7454" t="s">
        <v>15</v>
      </c>
      <c r="D7454" s="2" t="s">
        <f>=HYPERLINK("https://main.knesset.gov.il/APPS/legislation/main/bills/2158478", "חוק התקשורת (בזק ושידורים) (תיקון מס' 76), התשפ""ב-2022")</f>
        <v>14511</v>
      </c>
      <c r="E7454" t="s">
        <v>14511</v>
      </c>
      <c r="F7454" t="s">
        <v>14</v>
      </c>
      <c r="G7454" t="s">
        <v>14512</v>
      </c>
      <c r="H7454" t="n">
        <v>2985</v>
      </c>
      <c r="I7454" t="s">
        <v>14</v>
      </c>
      <c r="J7454" t="s">
        <v>91</v>
      </c>
      <c r="K7454" t="s">
        <v>19</v>
      </c>
      <c r="L7454" t="s">
        <v>20</v>
      </c>
      <c r="M7454" t="s">
        <v>14504</v>
      </c>
      <c r="N7454" t="s">
        <v>14513</v>
      </c>
    </row>
    <row r="7455" x14ac:dyDescent="0.25">
      <c r="A7455" t="n">
        <v>24</v>
      </c>
      <c r="B7455" t="s">
        <v>14</v>
      </c>
      <c r="C7455" t="s">
        <v>22</v>
      </c>
      <c r="D7455" s="2" t="s">
        <f>=HYPERLINK("https://main.knesset.gov.il/APPS/legislation/main/bills/2190113", "הצעת חוק הספורט (תיקון מס' 17) (זכויות ספורטאי קטין), התשפ""ב–2022")</f>
        <v>14514</v>
      </c>
      <c r="E7455" t="s">
        <v>14514</v>
      </c>
      <c r="F7455" t="s">
        <v>14515</v>
      </c>
      <c r="G7455" t="s">
        <v>14516</v>
      </c>
      <c r="H7455">
             </c>
      <c r="I7455" t="s">
        <v>14</v>
      </c>
      <c r="J7455" t="s">
        <v>14517</v>
      </c>
      <c r="K7455" t="s">
        <v>14</v>
      </c>
      <c r="L7455" t="s">
        <v>20</v>
      </c>
      <c r="M7455" t="s">
        <v>14504</v>
      </c>
      <c r="N7455" t="s">
        <v>14</v>
      </c>
    </row>
    <row r="7456" x14ac:dyDescent="0.25">
      <c r="A7456" t="n">
        <v>24</v>
      </c>
      <c r="B7456" t="s">
        <v>14</v>
      </c>
      <c r="C7456" t="s">
        <v>22</v>
      </c>
      <c r="D7456" s="2" t="s">
        <f>=HYPERLINK("https://main.knesset.gov.il/APPS/legislation/main/bills/2168399", "הצעת חוק ביטוח בריאות ממלכתי (תיקון - החזר הוצאות עבור נסיעה באמבולנס), התשפ""ב-2022 ")</f>
        <v>14518</v>
      </c>
      <c r="E7456" t="s">
        <v>14518</v>
      </c>
      <c r="F7456" t="s">
        <v>14519</v>
      </c>
      <c r="G7456" t="s">
        <v>14</v>
      </c>
      <c r="H7456">
             </c>
      <c r="I7456" t="s">
        <v>14</v>
      </c>
      <c r="J7456" t="s">
        <v>31</v>
      </c>
      <c r="K7456" t="s">
        <v>480</v>
      </c>
      <c r="L7456" t="s">
        <v>20</v>
      </c>
      <c r="M7456" t="s">
        <v>14504</v>
      </c>
      <c r="N7456" t="s">
        <v>14</v>
      </c>
    </row>
    <row r="7457" x14ac:dyDescent="0.25">
      <c r="A7457" t="n">
        <v>24</v>
      </c>
      <c r="B7457" t="s">
        <v>14</v>
      </c>
      <c r="C7457" t="s">
        <v>22</v>
      </c>
      <c r="D7457" s="2" t="s">
        <f>=HYPERLINK("https://main.knesset.gov.il/APPS/legislation/main/bills/2168058", "הצעת חוק הסדרת העיסוק במקצועות הטיפול הרפואי, התשפ""ב–2022")</f>
        <v>14520</v>
      </c>
      <c r="E7457" t="s">
        <v>14520</v>
      </c>
      <c r="F7457" t="s">
        <v>14521</v>
      </c>
      <c r="G7457" t="s">
        <v>14380</v>
      </c>
      <c r="H7457">
             </c>
      <c r="I7457" t="s">
        <v>26</v>
      </c>
      <c r="J7457" t="s">
        <v>18</v>
      </c>
      <c r="K7457" t="s">
        <v>480</v>
      </c>
      <c r="L7457" t="s">
        <v>20</v>
      </c>
      <c r="M7457" t="s">
        <v>14504</v>
      </c>
      <c r="N7457" t="s">
        <v>14</v>
      </c>
    </row>
    <row r="7458" x14ac:dyDescent="0.25">
      <c r="A7458" t="n">
        <v>24</v>
      </c>
      <c r="B7458" t="s">
        <v>14</v>
      </c>
      <c r="C7458" t="s">
        <v>22</v>
      </c>
      <c r="D7458" s="2" t="s">
        <f>=HYPERLINK("https://main.knesset.gov.il/APPS/legislation/main/bills/2166159", "הצעת חוק הנכים (תגמולים ושיקום) (תיקון מס' 32) (הארכת תקופת הערעור על החלטת קצין תגמולים), התשפ""ב–2022")</f>
        <v>14522</v>
      </c>
      <c r="E7458" t="s">
        <v>14522</v>
      </c>
      <c r="F7458" t="s">
        <v>14523</v>
      </c>
      <c r="G7458" t="s">
        <v>14524</v>
      </c>
      <c r="H7458">
             </c>
      <c r="I7458" t="s">
        <v>14</v>
      </c>
      <c r="J7458" t="s">
        <v>18</v>
      </c>
      <c r="K7458" t="s">
        <v>127</v>
      </c>
      <c r="L7458" t="s">
        <v>20</v>
      </c>
      <c r="M7458" t="s">
        <v>14504</v>
      </c>
      <c r="N7458" t="s">
        <v>14</v>
      </c>
    </row>
    <row r="7459" x14ac:dyDescent="0.25">
      <c r="A7459" t="n">
        <v>24</v>
      </c>
      <c r="B7459" t="s">
        <v>14</v>
      </c>
      <c r="C7459" t="s">
        <v>22</v>
      </c>
      <c r="D7459" s="2" t="s">
        <f>=HYPERLINK("https://main.knesset.gov.il/APPS/legislation/main/bills/2164909", "הצעת חוק הסיוע המשפטי (תיקון - סיוע משפטי לנפגעי עבירות), התשפ""ב-2021")</f>
        <v>14525</v>
      </c>
      <c r="E7459" t="s">
        <v>14525</v>
      </c>
      <c r="F7459" t="s">
        <v>14526</v>
      </c>
      <c r="G7459" t="s">
        <v>14</v>
      </c>
      <c r="H7459">
             </c>
      <c r="I7459" t="s">
        <v>14</v>
      </c>
      <c r="J7459" t="s">
        <v>31</v>
      </c>
      <c r="K7459" t="s">
        <v>27</v>
      </c>
      <c r="L7459" t="s">
        <v>20</v>
      </c>
      <c r="M7459" t="s">
        <v>14504</v>
      </c>
      <c r="N7459" t="s">
        <v>14</v>
      </c>
    </row>
    <row r="7460" x14ac:dyDescent="0.25">
      <c r="A7460" t="n">
        <v>24</v>
      </c>
      <c r="B7460" t="s">
        <v>14</v>
      </c>
      <c r="C7460" t="s">
        <v>22</v>
      </c>
      <c r="D7460" s="2" t="s">
        <f>=HYPERLINK("https://main.knesset.gov.il/APPS/legislation/main/bills/2161388", "הצעת חוק שירותי רווחה (זכויות נשים ששהו במקלט לנשים מוכות) (תיקון מס' 4) (החלפת מונח וסיוע במיצוי זכויות), התשפ""ב–2022")</f>
        <v>14527</v>
      </c>
      <c r="E7460" t="s">
        <v>14527</v>
      </c>
      <c r="F7460" t="s">
        <v>14528</v>
      </c>
      <c r="G7460" t="s">
        <v>14529</v>
      </c>
      <c r="H7460">
             </c>
      <c r="I7460" t="s">
        <v>14</v>
      </c>
      <c r="J7460" t="s">
        <v>18</v>
      </c>
      <c r="K7460" t="s">
        <v>127</v>
      </c>
      <c r="L7460" t="s">
        <v>20</v>
      </c>
      <c r="M7460" t="s">
        <v>14504</v>
      </c>
      <c r="N7460" t="s">
        <v>14</v>
      </c>
    </row>
    <row r="7461" x14ac:dyDescent="0.25">
      <c r="A7461" t="n">
        <v>24</v>
      </c>
      <c r="B7461" t="s">
        <v>14</v>
      </c>
      <c r="C7461" t="s">
        <v>22</v>
      </c>
      <c r="D7461" s="2" t="s">
        <f>=HYPERLINK("https://main.knesset.gov.il/APPS/legislation/main/bills/2160522", "הצעת חוק סיוע לנפגעי אסון לאומי-אזרחי, התשפ""ב–2022")</f>
        <v>14530</v>
      </c>
      <c r="E7461" t="s">
        <v>14530</v>
      </c>
      <c r="F7461" t="s">
        <v>14531</v>
      </c>
      <c r="G7461" t="s">
        <v>14532</v>
      </c>
      <c r="H7461">
             </c>
      <c r="I7461" t="s">
        <v>14</v>
      </c>
      <c r="J7461" t="s">
        <v>18</v>
      </c>
      <c r="K7461" t="s">
        <v>127</v>
      </c>
      <c r="L7461" t="s">
        <v>20</v>
      </c>
      <c r="M7461" t="s">
        <v>14504</v>
      </c>
      <c r="N7461" t="s">
        <v>14</v>
      </c>
    </row>
    <row r="7462" x14ac:dyDescent="0.25">
      <c r="A7462" t="n">
        <v>24</v>
      </c>
      <c r="B7462" t="s">
        <v>14</v>
      </c>
      <c r="C7462" t="s">
        <v>22</v>
      </c>
      <c r="D7462" s="2" t="s">
        <f>=HYPERLINK("https://main.knesset.gov.il/APPS/legislation/main/bills/2160898", "הצעת חוק האנטומיה והפתולוגיה (תיקון מס' 3) (המרכז הלאומי לרפואה משפטית), התשפ""ב-2022")</f>
        <v>14533</v>
      </c>
      <c r="E7462" t="s">
        <v>14533</v>
      </c>
      <c r="F7462" t="s">
        <v>14534</v>
      </c>
      <c r="G7462" t="s">
        <v>14535</v>
      </c>
      <c r="H7462">
             </c>
      <c r="I7462" t="s">
        <v>14</v>
      </c>
      <c r="J7462" t="s">
        <v>69</v>
      </c>
      <c r="K7462" t="s">
        <v>46</v>
      </c>
      <c r="L7462" t="s">
        <v>20</v>
      </c>
      <c r="M7462" t="s">
        <v>14504</v>
      </c>
      <c r="N7462" t="s">
        <v>14</v>
      </c>
    </row>
    <row r="7463" x14ac:dyDescent="0.25">
      <c r="A7463" t="n">
        <v>24</v>
      </c>
      <c r="B7463" t="s">
        <v>14</v>
      </c>
      <c r="C7463" t="s">
        <v>22</v>
      </c>
      <c r="D7463" s="2" t="s">
        <f>=HYPERLINK("https://main.knesset.gov.il/APPS/legislation/main/bills/2157301", "הצעת חוק חובת דיווח שנתי על מצב הטבע והמגוון הביולוגי בישראל, התשפ""ב-2022")</f>
        <v>14536</v>
      </c>
      <c r="E7463" t="s">
        <v>14536</v>
      </c>
      <c r="F7463" t="s">
        <v>14537</v>
      </c>
      <c r="G7463" t="s">
        <v>14538</v>
      </c>
      <c r="H7463">
             </c>
      <c r="I7463" t="s">
        <v>26</v>
      </c>
      <c r="J7463" t="s">
        <v>69</v>
      </c>
      <c r="K7463" t="s">
        <v>46</v>
      </c>
      <c r="L7463" t="s">
        <v>20</v>
      </c>
      <c r="M7463" t="s">
        <v>14504</v>
      </c>
      <c r="N7463" t="s">
        <v>14</v>
      </c>
    </row>
    <row r="7464" x14ac:dyDescent="0.25">
      <c r="A7464" t="n">
        <v>24</v>
      </c>
      <c r="B7464" t="s">
        <v>14</v>
      </c>
      <c r="C7464" t="s">
        <v>22</v>
      </c>
      <c r="D7464" s="2" t="s">
        <f>=HYPERLINK("https://main.knesset.gov.il/APPS/legislation/main/bills/2158025", "הצעת חוק הרשויות המקומיות (בחירות) (תיקון מס' 53) (תשלום שכר לעובד שאינו תושב הרשות המקומית), התשפ""ב–2022")</f>
        <v>14539</v>
      </c>
      <c r="E7464" t="s">
        <v>14539</v>
      </c>
      <c r="F7464" t="s">
        <v>14540</v>
      </c>
      <c r="G7464" t="s">
        <v>14541</v>
      </c>
      <c r="H7464">
             </c>
      <c r="I7464" t="s">
        <v>14</v>
      </c>
      <c r="J7464" t="s">
        <v>18</v>
      </c>
      <c r="K7464" t="s">
        <v>27</v>
      </c>
      <c r="L7464" t="s">
        <v>20</v>
      </c>
      <c r="M7464" t="s">
        <v>14504</v>
      </c>
      <c r="N7464" t="s">
        <v>14</v>
      </c>
    </row>
    <row r="7465" x14ac:dyDescent="0.25">
      <c r="A7465" t="n">
        <v>24</v>
      </c>
      <c r="B7465" t="s">
        <v>14</v>
      </c>
      <c r="C7465" t="s">
        <v>22</v>
      </c>
      <c r="D7465" s="2" t="s">
        <f>=HYPERLINK("https://main.knesset.gov.il/APPS/legislation/main/bills/2157656", "הצעת חוק הוועדה לטיפול במשפחות אזרחים נעדרים, התשפ""ב–2022")</f>
        <v>14542</v>
      </c>
      <c r="E7465" t="s">
        <v>14542</v>
      </c>
      <c r="F7465" t="s">
        <v>14543</v>
      </c>
      <c r="G7465" t="s">
        <v>14544</v>
      </c>
      <c r="H7465">
             </c>
      <c r="I7465" t="s">
        <v>26</v>
      </c>
      <c r="J7465" t="s">
        <v>18</v>
      </c>
      <c r="K7465" t="s">
        <v>14336</v>
      </c>
      <c r="L7465" t="s">
        <v>20</v>
      </c>
      <c r="M7465" t="s">
        <v>14504</v>
      </c>
      <c r="N7465" t="s">
        <v>14</v>
      </c>
    </row>
    <row r="7466" x14ac:dyDescent="0.25">
      <c r="A7466" t="n">
        <v>24</v>
      </c>
      <c r="B7466" t="s">
        <v>14</v>
      </c>
      <c r="C7466" t="s">
        <v>22</v>
      </c>
      <c r="D7466" s="2" t="s">
        <f>=HYPERLINK("https://main.knesset.gov.il/APPS/legislation/main/bills/2156511", "הצעת חוק הביטוח הלאומי (תיקון מס' 233) (תנאי זכאות לדמי לידה), התשפ""ב–2022")</f>
        <v>14545</v>
      </c>
      <c r="E7466" t="s">
        <v>14545</v>
      </c>
      <c r="F7466" t="s">
        <v>14546</v>
      </c>
      <c r="G7466" t="s">
        <v>14547</v>
      </c>
      <c r="H7466">
             </c>
      <c r="I7466" t="s">
        <v>26</v>
      </c>
      <c r="J7466" t="s">
        <v>18</v>
      </c>
      <c r="K7466" t="s">
        <v>127</v>
      </c>
      <c r="L7466" t="s">
        <v>20</v>
      </c>
      <c r="M7466" t="s">
        <v>14504</v>
      </c>
      <c r="N7466" t="s">
        <v>14</v>
      </c>
    </row>
    <row r="7467" x14ac:dyDescent="0.25">
      <c r="A7467" t="n">
        <v>24</v>
      </c>
      <c r="B7467" t="s">
        <v>14</v>
      </c>
      <c r="C7467" t="s">
        <v>15</v>
      </c>
      <c r="D7467" s="2" t="s">
        <f>=HYPERLINK("https://main.knesset.gov.il/APPS/legislation/main/bills/2193180", "הצעת חוק האקלים, התשפ""ב-2022 ")</f>
        <v>14548</v>
      </c>
      <c r="E7467" t="s">
        <v>14548</v>
      </c>
      <c r="F7467" t="s">
        <v>14</v>
      </c>
      <c r="G7467" t="s">
        <v>14549</v>
      </c>
      <c r="H7467">
             </c>
      <c r="I7467" t="s">
        <v>14</v>
      </c>
      <c r="J7467" t="s">
        <v>18</v>
      </c>
      <c r="K7467" t="s">
        <v>46</v>
      </c>
      <c r="L7467" t="s">
        <v>20</v>
      </c>
      <c r="M7467" t="s">
        <v>14504</v>
      </c>
      <c r="N7467" t="s">
        <v>14</v>
      </c>
    </row>
    <row r="7468" x14ac:dyDescent="0.25">
      <c r="A7468" t="n">
        <v>24</v>
      </c>
      <c r="B7468" t="s">
        <v>14</v>
      </c>
      <c r="C7468" t="s">
        <v>22</v>
      </c>
      <c r="D7468" s="2" t="s">
        <f>=HYPERLINK("https://main.knesset.gov.il/APPS/legislation/main/bills/2194478", "הצעת חוק התפזרות הכנסת העשרים וארבע, התשפ""ב-2022")</f>
        <v>14550</v>
      </c>
      <c r="E7468" t="s">
        <v>14550</v>
      </c>
      <c r="F7468" t="s">
        <v>14551</v>
      </c>
      <c r="G7468" t="s">
        <v>14</v>
      </c>
      <c r="H7468">
             </c>
      <c r="I7468" t="s">
        <v>14</v>
      </c>
      <c r="J7468" t="s">
        <v>99</v>
      </c>
      <c r="K7468" t="s">
        <v>121</v>
      </c>
      <c r="L7468" t="s">
        <v>20</v>
      </c>
      <c r="M7468" t="s">
        <v>14552</v>
      </c>
      <c r="N7468" t="s">
        <v>14</v>
      </c>
    </row>
    <row r="7469" x14ac:dyDescent="0.25">
      <c r="A7469" t="n">
        <v>24</v>
      </c>
      <c r="B7469" t="s">
        <v>14</v>
      </c>
      <c r="C7469" t="s">
        <v>22</v>
      </c>
      <c r="D7469" s="2" t="s">
        <f>=HYPERLINK("https://main.knesset.gov.il/APPS/legislation/main/bills/2163384", "הצעת חוק התפזרות הכנסת העשרים וארבע, התשפ""ב-2021")</f>
        <v>14553</v>
      </c>
      <c r="E7469" t="s">
        <v>14553</v>
      </c>
      <c r="F7469" t="s">
        <v>14554</v>
      </c>
      <c r="G7469" t="s">
        <v>14</v>
      </c>
      <c r="H7469">
             </c>
      <c r="I7469" t="s">
        <v>14</v>
      </c>
      <c r="J7469" t="s">
        <v>99</v>
      </c>
      <c r="K7469" t="s">
        <v>121</v>
      </c>
      <c r="L7469" t="s">
        <v>20</v>
      </c>
      <c r="M7469" t="s">
        <v>14552</v>
      </c>
      <c r="N7469" t="s">
        <v>14</v>
      </c>
    </row>
    <row r="7470" x14ac:dyDescent="0.25">
      <c r="A7470" t="n">
        <v>24</v>
      </c>
      <c r="B7470" t="s">
        <v>14</v>
      </c>
      <c r="C7470" t="s">
        <v>22</v>
      </c>
      <c r="D7470" s="2" t="s">
        <f>=HYPERLINK("https://main.knesset.gov.il/APPS/legislation/main/bills/2161133", "הצעת חוק התפזרות הכנסת העשרים וארבע, התשפ""א-2021")</f>
        <v>14555</v>
      </c>
      <c r="E7470" t="s">
        <v>14555</v>
      </c>
      <c r="F7470" t="s">
        <v>14556</v>
      </c>
      <c r="G7470" t="s">
        <v>14</v>
      </c>
      <c r="H7470">
             </c>
      <c r="I7470" t="s">
        <v>14</v>
      </c>
      <c r="J7470" t="s">
        <v>99</v>
      </c>
      <c r="K7470" t="s">
        <v>121</v>
      </c>
      <c r="L7470" t="s">
        <v>20</v>
      </c>
      <c r="M7470" t="s">
        <v>14552</v>
      </c>
      <c r="N7470" t="s">
        <v>14</v>
      </c>
    </row>
    <row r="7471" x14ac:dyDescent="0.25">
      <c r="A7471" t="n">
        <v>24</v>
      </c>
      <c r="B7471" t="s">
        <v>14</v>
      </c>
      <c r="C7471" t="s">
        <v>22</v>
      </c>
      <c r="D7471" s="2" t="s">
        <f>=HYPERLINK("https://main.knesset.gov.il/APPS/legislation/main/bills/2160296", "הצעת חוק התפזרות הכנסת העשרים וארבע, התשפ""א-2021")</f>
        <v>14555</v>
      </c>
      <c r="E7471" t="s">
        <v>14555</v>
      </c>
      <c r="F7471" t="s">
        <v>14557</v>
      </c>
      <c r="G7471" t="s">
        <v>14</v>
      </c>
      <c r="H7471">
             </c>
      <c r="I7471" t="s">
        <v>14</v>
      </c>
      <c r="J7471" t="s">
        <v>99</v>
      </c>
      <c r="K7471" t="s">
        <v>121</v>
      </c>
      <c r="L7471" t="s">
        <v>20</v>
      </c>
      <c r="M7471" t="s">
        <v>14552</v>
      </c>
      <c r="N7471" t="s">
        <v>14</v>
      </c>
    </row>
    <row r="7472" x14ac:dyDescent="0.25">
      <c r="A7472" t="n">
        <v>24</v>
      </c>
      <c r="B7472" t="s">
        <v>14</v>
      </c>
      <c r="C7472" t="s">
        <v>22</v>
      </c>
      <c r="D7472" s="2" t="s">
        <f>=HYPERLINK("https://main.knesset.gov.il/APPS/legislation/main/bills/2159090", "הצעת חוק התפזרות הכנסת העשרים וארבע, התשפ""א-2021 ")</f>
        <v>14558</v>
      </c>
      <c r="E7472" t="s">
        <v>14558</v>
      </c>
      <c r="F7472" t="s">
        <v>14559</v>
      </c>
      <c r="G7472" t="s">
        <v>14</v>
      </c>
      <c r="H7472">
             </c>
      <c r="I7472" t="s">
        <v>14</v>
      </c>
      <c r="J7472" t="s">
        <v>99</v>
      </c>
      <c r="K7472" t="s">
        <v>121</v>
      </c>
      <c r="L7472" t="s">
        <v>20</v>
      </c>
      <c r="M7472" t="s">
        <v>14552</v>
      </c>
      <c r="N7472" t="s">
        <v>14</v>
      </c>
    </row>
    <row r="7473" x14ac:dyDescent="0.25">
      <c r="A7473" t="n">
        <v>24</v>
      </c>
      <c r="B7473" t="s">
        <v>14</v>
      </c>
      <c r="C7473" t="s">
        <v>22</v>
      </c>
      <c r="D7473" s="2" t="s">
        <f>=HYPERLINK("https://main.knesset.gov.il/APPS/legislation/main/bills/2158640", "הצעת חוק התפזרות הכנסת העשרים וארבע, התשפ""א-2021")</f>
        <v>14555</v>
      </c>
      <c r="E7473" t="s">
        <v>14555</v>
      </c>
      <c r="F7473" t="s">
        <v>14560</v>
      </c>
      <c r="G7473" t="s">
        <v>14</v>
      </c>
      <c r="H7473">
             </c>
      <c r="I7473" t="s">
        <v>14</v>
      </c>
      <c r="J7473" t="s">
        <v>99</v>
      </c>
      <c r="K7473" t="s">
        <v>121</v>
      </c>
      <c r="L7473" t="s">
        <v>20</v>
      </c>
      <c r="M7473" t="s">
        <v>14552</v>
      </c>
      <c r="N7473" t="s">
        <v>14</v>
      </c>
    </row>
    <row r="7474" x14ac:dyDescent="0.25">
      <c r="A7474" t="n">
        <v>24</v>
      </c>
      <c r="B7474" t="s">
        <v>14</v>
      </c>
      <c r="C7474" t="s">
        <v>22</v>
      </c>
      <c r="D7474" s="2" t="s">
        <f>=HYPERLINK("https://main.knesset.gov.il/APPS/legislation/main/bills/2159161", "הצעת חוק התפזרות הכנסת העשרים וארבע, התשפ""א-2021")</f>
        <v>14555</v>
      </c>
      <c r="E7474" t="s">
        <v>14555</v>
      </c>
      <c r="F7474" t="s">
        <v>14561</v>
      </c>
      <c r="G7474" t="s">
        <v>14</v>
      </c>
      <c r="H7474">
             </c>
      <c r="I7474" t="s">
        <v>14</v>
      </c>
      <c r="J7474" t="s">
        <v>99</v>
      </c>
      <c r="K7474" t="s">
        <v>121</v>
      </c>
      <c r="L7474" t="s">
        <v>20</v>
      </c>
      <c r="M7474" t="s">
        <v>14552</v>
      </c>
      <c r="N7474" t="s">
        <v>14</v>
      </c>
    </row>
    <row r="7475" x14ac:dyDescent="0.25">
      <c r="A7475" t="n">
        <v>24</v>
      </c>
      <c r="B7475" t="s">
        <v>14</v>
      </c>
      <c r="C7475" t="s">
        <v>22</v>
      </c>
      <c r="D7475" s="2" t="s">
        <f>=HYPERLINK("https://main.knesset.gov.il/APPS/legislation/main/bills/2159111", "הצעת חוק התפזרות הכנסת העשרים וארבע, התשפ""א-2021")</f>
        <v>14555</v>
      </c>
      <c r="E7475" t="s">
        <v>14555</v>
      </c>
      <c r="F7475" t="s">
        <v>14562</v>
      </c>
      <c r="G7475" t="s">
        <v>14</v>
      </c>
      <c r="H7475">
             </c>
      <c r="I7475" t="s">
        <v>14</v>
      </c>
      <c r="J7475" t="s">
        <v>99</v>
      </c>
      <c r="K7475" t="s">
        <v>121</v>
      </c>
      <c r="L7475" t="s">
        <v>20</v>
      </c>
      <c r="M7475" t="s">
        <v>14552</v>
      </c>
      <c r="N7475" t="s">
        <v>14</v>
      </c>
    </row>
    <row r="7476" x14ac:dyDescent="0.25">
      <c r="A7476" t="n">
        <v>24</v>
      </c>
      <c r="B7476" t="s">
        <v>14</v>
      </c>
      <c r="C7476" t="s">
        <v>22</v>
      </c>
      <c r="D7476" s="2" t="s">
        <f>=HYPERLINK("https://main.knesset.gov.il/APPS/legislation/main/bills/2158704", "הצעת חוק התפזרות הכנסת העשרים וארבע, התשפ""א-2021")</f>
        <v>14555</v>
      </c>
      <c r="E7476" t="s">
        <v>14555</v>
      </c>
      <c r="F7476" t="s">
        <v>14563</v>
      </c>
      <c r="G7476" t="s">
        <v>14</v>
      </c>
      <c r="H7476">
             </c>
      <c r="I7476" t="s">
        <v>14</v>
      </c>
      <c r="J7476" t="s">
        <v>99</v>
      </c>
      <c r="K7476" t="s">
        <v>121</v>
      </c>
      <c r="L7476" t="s">
        <v>20</v>
      </c>
      <c r="M7476" t="s">
        <v>14552</v>
      </c>
      <c r="N7476" t="s">
        <v>14</v>
      </c>
    </row>
    <row r="7477" x14ac:dyDescent="0.25">
      <c r="A7477" t="n">
        <v>24</v>
      </c>
      <c r="B7477" t="s">
        <v>14</v>
      </c>
      <c r="C7477" t="s">
        <v>15</v>
      </c>
      <c r="D7477" s="2" t="s">
        <f>=HYPERLINK("https://main.knesset.gov.il/APPS/legislation/main/bills/2194703", "הצעת חוק-יסוד: הממשלה (תיקון מס' 13) (תקופה מרבית לכהונה בתפקיד ראש הממשלה) ")</f>
        <v>14564</v>
      </c>
      <c r="E7477" t="s">
        <v>14564</v>
      </c>
      <c r="F7477" t="s">
        <v>14</v>
      </c>
      <c r="G7477" t="s">
        <v>14565</v>
      </c>
      <c r="H7477">
             </c>
      <c r="I7477" t="s">
        <v>14</v>
      </c>
      <c r="J7477" t="s">
        <v>69</v>
      </c>
      <c r="K7477" t="s">
        <v>14</v>
      </c>
      <c r="L7477" t="s">
        <v>20</v>
      </c>
      <c r="M7477" t="s">
        <v>14552</v>
      </c>
      <c r="N7477" t="s">
        <v>14</v>
      </c>
    </row>
    <row r="7478" x14ac:dyDescent="0.25">
      <c r="A7478" t="n">
        <v>24</v>
      </c>
      <c r="B7478" t="s">
        <v>14</v>
      </c>
      <c r="C7478" t="s">
        <v>22</v>
      </c>
      <c r="D7478" s="2" t="s">
        <f>=HYPERLINK("https://main.knesset.gov.il/APPS/legislation/main/bills/2166584", "הצעת חוק זכויות נפגעי עבירה (תיקון - חובת יידוע נפגעי עבירה בדבר זכויותיהם), התשפ""ב-2021")</f>
        <v>14566</v>
      </c>
      <c r="E7478" t="s">
        <v>14566</v>
      </c>
      <c r="F7478" t="s">
        <v>14567</v>
      </c>
      <c r="G7478" t="s">
        <v>14</v>
      </c>
      <c r="H7478">
             </c>
      <c r="I7478" t="s">
        <v>14</v>
      </c>
      <c r="J7478" t="s">
        <v>99</v>
      </c>
      <c r="K7478" t="s">
        <v>27</v>
      </c>
      <c r="L7478" t="s">
        <v>20</v>
      </c>
      <c r="M7478" t="s">
        <v>14552</v>
      </c>
      <c r="N7478" t="s">
        <v>14</v>
      </c>
    </row>
    <row r="7479" x14ac:dyDescent="0.25">
      <c r="A7479" t="n">
        <v>24</v>
      </c>
      <c r="B7479" t="s">
        <v>14</v>
      </c>
      <c r="C7479" t="s">
        <v>22</v>
      </c>
      <c r="D7479" s="2" t="s">
        <f>=HYPERLINK("https://main.knesset.gov.il/APPS/legislation/main/bills/2157026", "הצעת חוק זכויות נפגעי עבירה (תיקון - חובת יידוע נפגעי עבירה בדבר זכויותיהם), התשפ""א-2021")</f>
        <v>14568</v>
      </c>
      <c r="E7479" t="s">
        <v>14568</v>
      </c>
      <c r="F7479" t="s">
        <v>14569</v>
      </c>
      <c r="G7479" t="s">
        <v>14</v>
      </c>
      <c r="H7479">
             </c>
      <c r="I7479" t="s">
        <v>14</v>
      </c>
      <c r="J7479" t="s">
        <v>99</v>
      </c>
      <c r="K7479" t="s">
        <v>27</v>
      </c>
      <c r="L7479" t="s">
        <v>20</v>
      </c>
      <c r="M7479" t="s">
        <v>14552</v>
      </c>
      <c r="N7479" t="s">
        <v>14</v>
      </c>
    </row>
    <row r="7480" x14ac:dyDescent="0.25">
      <c r="A7480" t="n">
        <v>24</v>
      </c>
      <c r="B7480" t="s">
        <v>14</v>
      </c>
      <c r="C7480" t="s">
        <v>22</v>
      </c>
      <c r="D7480" s="2" t="s">
        <f>=HYPERLINK("https://main.knesset.gov.il/APPS/legislation/main/bills/2194030", "הצעת חוק כביש אגרה (כביש ארצי לישראל) (תיקון - פטור מאגרה בשל האטה ממהירות הנסיעה המותרת), התשפ""ב-2022")</f>
        <v>14570</v>
      </c>
      <c r="E7480" t="s">
        <v>14570</v>
      </c>
      <c r="F7480" t="s">
        <v>14571</v>
      </c>
      <c r="G7480" t="s">
        <v>14</v>
      </c>
      <c r="H7480">
             </c>
      <c r="I7480" t="s">
        <v>14</v>
      </c>
      <c r="J7480" t="s">
        <v>141</v>
      </c>
      <c r="K7480" t="s">
        <v>14</v>
      </c>
      <c r="L7480" t="s">
        <v>20</v>
      </c>
      <c r="M7480" t="s">
        <v>14552</v>
      </c>
      <c r="N7480" t="s">
        <v>14</v>
      </c>
    </row>
    <row r="7481" x14ac:dyDescent="0.25">
      <c r="A7481" t="n">
        <v>24</v>
      </c>
      <c r="B7481" t="s">
        <v>14</v>
      </c>
      <c r="C7481" t="s">
        <v>20</v>
      </c>
      <c r="D7481" s="2" t="s">
        <f>=HYPERLINK("https://main.knesset.gov.il/APPS/legislation/main/bills/2190999", "הצעת חוק הבחירות (דרכי תעמולה) (תיקון מס'..) (יישום המלצות הוועדה הציבורית), התשפ""ב-2022")</f>
        <v>14572</v>
      </c>
      <c r="E7481" t="s">
        <v>14572</v>
      </c>
      <c r="F7481" t="s">
        <v>14</v>
      </c>
      <c r="G7481" t="s">
        <v>14</v>
      </c>
      <c r="H7481">
             </c>
      <c r="I7481" t="s">
        <v>14</v>
      </c>
      <c r="J7481" t="s">
        <v>31</v>
      </c>
      <c r="K7481" t="s">
        <v>27</v>
      </c>
      <c r="L7481" t="s">
        <v>20</v>
      </c>
      <c r="M7481" t="s">
        <v>14552</v>
      </c>
      <c r="N7481" t="s">
        <v>14</v>
      </c>
    </row>
    <row r="7482" x14ac:dyDescent="0.25">
      <c r="A7482" t="n">
        <v>24</v>
      </c>
      <c r="B7482" t="s">
        <v>14</v>
      </c>
      <c r="C7482" t="s">
        <v>15</v>
      </c>
      <c r="D7482" s="2" t="s">
        <f>=HYPERLINK("https://main.knesset.gov.il/APPS/legislation/main/bills/2192650", "חוק שירותי רווחה לאנשים עם מוגבלות, התשפ""ב-2022 ")</f>
        <v>14573</v>
      </c>
      <c r="E7482" t="s">
        <v>14573</v>
      </c>
      <c r="F7482" t="s">
        <v>14</v>
      </c>
      <c r="G7482" t="s">
        <v>14574</v>
      </c>
      <c r="H7482" t="n">
        <v>2984</v>
      </c>
      <c r="I7482" t="s">
        <v>14</v>
      </c>
      <c r="J7482" t="s">
        <v>91</v>
      </c>
      <c r="K7482" t="s">
        <v>127</v>
      </c>
      <c r="L7482" t="s">
        <v>20</v>
      </c>
      <c r="M7482" t="s">
        <v>14552</v>
      </c>
      <c r="N7482" t="s">
        <v>14575</v>
      </c>
    </row>
    <row r="7483" x14ac:dyDescent="0.25">
      <c r="A7483" t="n">
        <v>24</v>
      </c>
      <c r="B7483" t="s">
        <v>14</v>
      </c>
      <c r="C7483" t="s">
        <v>15</v>
      </c>
      <c r="D7483" s="2" t="s">
        <f>=HYPERLINK("https://main.knesset.gov.il/APPS/legislation/main/bills/2189890", "הצעת חוק לתיקון דיני העבודה (העלאת שכר המינימום, הוספת יום חופשה והסדר להשלמת שעות חסרות), התשפ""ב-2022 ")</f>
        <v>14576</v>
      </c>
      <c r="E7483" t="s">
        <v>14576</v>
      </c>
      <c r="F7483" t="s">
        <v>14</v>
      </c>
      <c r="G7483" t="s">
        <v>14577</v>
      </c>
      <c r="H7483">
             </c>
      <c r="I7483" t="s">
        <v>14</v>
      </c>
      <c r="J7483" t="s">
        <v>18</v>
      </c>
      <c r="K7483" t="s">
        <v>127</v>
      </c>
      <c r="L7483" t="s">
        <v>20</v>
      </c>
      <c r="M7483" t="s">
        <v>14552</v>
      </c>
      <c r="N7483" t="s">
        <v>14</v>
      </c>
    </row>
    <row r="7484" x14ac:dyDescent="0.25">
      <c r="A7484" t="n">
        <v>24</v>
      </c>
      <c r="B7484" t="s">
        <v>14</v>
      </c>
      <c r="C7484" t="s">
        <v>22</v>
      </c>
      <c r="D7484" s="2" t="s">
        <f>=HYPERLINK("https://main.knesset.gov.il/APPS/legislation/main/bills/2193584", "הצעת חוק המפלגות (תיקון - הורדת גיל ההתפקדות), התשפ""ב-2022")</f>
        <v>14578</v>
      </c>
      <c r="E7484" t="s">
        <v>14578</v>
      </c>
      <c r="F7484" t="s">
        <v>14579</v>
      </c>
      <c r="G7484" t="s">
        <v>14</v>
      </c>
      <c r="H7484">
             </c>
      <c r="I7484" t="s">
        <v>14</v>
      </c>
      <c r="J7484" t="s">
        <v>141</v>
      </c>
      <c r="K7484" t="s">
        <v>14</v>
      </c>
      <c r="L7484" t="s">
        <v>20</v>
      </c>
      <c r="M7484" t="s">
        <v>14552</v>
      </c>
      <c r="N7484" t="s">
        <v>14</v>
      </c>
    </row>
    <row r="7485" x14ac:dyDescent="0.25">
      <c r="A7485" t="n">
        <v>24</v>
      </c>
      <c r="B7485" t="s">
        <v>14</v>
      </c>
      <c r="C7485" t="s">
        <v>22</v>
      </c>
      <c r="D7485" s="2" t="s">
        <f>=HYPERLINK("https://main.knesset.gov.il/APPS/legislation/main/bills/2165680", "הצעת חוק הפיקוח על מעונות (תיקון - כשירותם של אנשי צוות), התשפ""ב-2022")</f>
        <v>14580</v>
      </c>
      <c r="E7485" t="s">
        <v>14580</v>
      </c>
      <c r="F7485" t="s">
        <v>14581</v>
      </c>
      <c r="G7485" t="s">
        <v>14</v>
      </c>
      <c r="H7485">
             </c>
      <c r="I7485" t="s">
        <v>14</v>
      </c>
      <c r="J7485" t="s">
        <v>141</v>
      </c>
      <c r="K7485" t="s">
        <v>14</v>
      </c>
      <c r="L7485" t="s">
        <v>20</v>
      </c>
      <c r="M7485" t="s">
        <v>14552</v>
      </c>
      <c r="N7485" t="s">
        <v>14</v>
      </c>
    </row>
    <row r="7486" x14ac:dyDescent="0.25">
      <c r="A7486" t="n">
        <v>24</v>
      </c>
      <c r="B7486" t="s">
        <v>14</v>
      </c>
      <c r="C7486" t="s">
        <v>22</v>
      </c>
      <c r="D7486" s="2" t="s">
        <f>=HYPERLINK("https://main.knesset.gov.il/APPS/legislation/main/bills/2189922", "הצעת חוק המועצה להשכלה גבוהה (תיקון - איסור הפליה וקידום שוויון בהשכלה הגבוהה), התשפ""ב-2022")</f>
        <v>14582</v>
      </c>
      <c r="E7486" t="s">
        <v>14582</v>
      </c>
      <c r="F7486" t="s">
        <v>14583</v>
      </c>
      <c r="G7486" t="s">
        <v>14</v>
      </c>
      <c r="H7486">
             </c>
      <c r="I7486" t="s">
        <v>14</v>
      </c>
      <c r="J7486" t="s">
        <v>141</v>
      </c>
      <c r="K7486" t="s">
        <v>14</v>
      </c>
      <c r="L7486" t="s">
        <v>20</v>
      </c>
      <c r="M7486" t="s">
        <v>14552</v>
      </c>
      <c r="N7486" t="s">
        <v>14</v>
      </c>
    </row>
    <row r="7487" x14ac:dyDescent="0.25">
      <c r="A7487" t="n">
        <v>24</v>
      </c>
      <c r="B7487" t="s">
        <v>14</v>
      </c>
      <c r="C7487" t="s">
        <v>22</v>
      </c>
      <c r="D7487" s="2" t="s">
        <f>=HYPERLINK("https://main.knesset.gov.il/APPS/legislation/main/bills/2193208", "הצעת חוק לתיקון פקודת מס הכנסה (זיכוי בעד לימודי תואר ראשון), התשפ""ב-2022")</f>
        <v>14584</v>
      </c>
      <c r="E7487" t="s">
        <v>14584</v>
      </c>
      <c r="F7487" t="s">
        <v>14585</v>
      </c>
      <c r="G7487" t="s">
        <v>14</v>
      </c>
      <c r="H7487">
             </c>
      <c r="I7487" t="s">
        <v>14</v>
      </c>
      <c r="J7487" t="s">
        <v>141</v>
      </c>
      <c r="K7487" t="s">
        <v>14</v>
      </c>
      <c r="L7487" t="s">
        <v>20</v>
      </c>
      <c r="M7487" t="s">
        <v>14552</v>
      </c>
      <c r="N7487" t="s">
        <v>14</v>
      </c>
    </row>
    <row r="7488" x14ac:dyDescent="0.25">
      <c r="A7488" t="n">
        <v>24</v>
      </c>
      <c r="B7488" t="s">
        <v>14</v>
      </c>
      <c r="C7488" t="s">
        <v>22</v>
      </c>
      <c r="D7488" s="2" t="s">
        <f>=HYPERLINK("https://main.knesset.gov.il/APPS/legislation/main/bills/2192290", "הצעת חוק ביטול הרפורמה בכשרות (תיקוני חקיקה), התשפ""ב-2022")</f>
        <v>14586</v>
      </c>
      <c r="E7488" t="s">
        <v>14586</v>
      </c>
      <c r="F7488" t="s">
        <v>14587</v>
      </c>
      <c r="G7488" t="s">
        <v>14</v>
      </c>
      <c r="H7488">
             </c>
      <c r="I7488" t="s">
        <v>14</v>
      </c>
      <c r="J7488" t="s">
        <v>141</v>
      </c>
      <c r="K7488" t="s">
        <v>14</v>
      </c>
      <c r="L7488" t="s">
        <v>20</v>
      </c>
      <c r="M7488" t="s">
        <v>14552</v>
      </c>
      <c r="N7488" t="s">
        <v>14</v>
      </c>
    </row>
    <row r="7489" x14ac:dyDescent="0.25">
      <c r="A7489" t="n">
        <v>24</v>
      </c>
      <c r="B7489" t="s">
        <v>14</v>
      </c>
      <c r="C7489" t="s">
        <v>22</v>
      </c>
      <c r="D7489" s="2" t="s">
        <f>=HYPERLINK("https://main.knesset.gov.il/APPS/legislation/main/bills/2193530", "הצעת חוק לתיקון פקודת מס הכנסה (נקודות זיכוי למשפחות אומנה), התשפ""ב-2022")</f>
        <v>14588</v>
      </c>
      <c r="E7489" t="s">
        <v>14588</v>
      </c>
      <c r="F7489" t="s">
        <v>14589</v>
      </c>
      <c r="G7489" t="s">
        <v>14</v>
      </c>
      <c r="H7489">
             </c>
      <c r="I7489" t="s">
        <v>14</v>
      </c>
      <c r="J7489" t="s">
        <v>141</v>
      </c>
      <c r="K7489" t="s">
        <v>14</v>
      </c>
      <c r="L7489" t="s">
        <v>20</v>
      </c>
      <c r="M7489" t="s">
        <v>14552</v>
      </c>
      <c r="N7489" t="s">
        <v>14</v>
      </c>
    </row>
    <row r="7490" x14ac:dyDescent="0.25">
      <c r="A7490" t="n">
        <v>24</v>
      </c>
      <c r="B7490" t="s">
        <v>14</v>
      </c>
      <c r="C7490" t="s">
        <v>22</v>
      </c>
      <c r="D7490" s="2" t="s">
        <f>=HYPERLINK("https://main.knesset.gov.il/APPS/legislation/main/bills/2192083", "הצעת חוק מס רכוש וקרן פיצויים (תיקון - הרחבת הגדרת נזק), התשפ""ב-2022")</f>
        <v>14590</v>
      </c>
      <c r="E7490" t="s">
        <v>14590</v>
      </c>
      <c r="F7490" t="s">
        <v>14591</v>
      </c>
      <c r="G7490" t="s">
        <v>14</v>
      </c>
      <c r="H7490">
             </c>
      <c r="I7490" t="s">
        <v>14</v>
      </c>
      <c r="J7490" t="s">
        <v>141</v>
      </c>
      <c r="K7490" t="s">
        <v>14</v>
      </c>
      <c r="L7490" t="s">
        <v>20</v>
      </c>
      <c r="M7490" t="s">
        <v>14552</v>
      </c>
      <c r="N7490" t="s">
        <v>14</v>
      </c>
    </row>
    <row r="7491" x14ac:dyDescent="0.25">
      <c r="A7491" t="n">
        <v>24</v>
      </c>
      <c r="B7491" t="s">
        <v>14</v>
      </c>
      <c r="C7491" t="s">
        <v>22</v>
      </c>
      <c r="D7491" s="2" t="s">
        <f>=HYPERLINK("https://main.knesset.gov.il/APPS/legislation/main/bills/2190821", "הצעת חוק לקידום שירותים פיננסיים חברתיים (תיקוני חקיקה), התשפ""ב-2022")</f>
        <v>14592</v>
      </c>
      <c r="E7491" t="s">
        <v>14592</v>
      </c>
      <c r="F7491" t="s">
        <v>14593</v>
      </c>
      <c r="G7491" t="s">
        <v>14</v>
      </c>
      <c r="H7491">
             </c>
      <c r="I7491" t="s">
        <v>14</v>
      </c>
      <c r="J7491" t="s">
        <v>141</v>
      </c>
      <c r="K7491" t="s">
        <v>14</v>
      </c>
      <c r="L7491" t="s">
        <v>20</v>
      </c>
      <c r="M7491" t="s">
        <v>14552</v>
      </c>
      <c r="N7491" t="s">
        <v>14</v>
      </c>
    </row>
    <row r="7492" x14ac:dyDescent="0.25">
      <c r="A7492" t="n">
        <v>24</v>
      </c>
      <c r="B7492" t="s">
        <v>14</v>
      </c>
      <c r="C7492" t="s">
        <v>22</v>
      </c>
      <c r="D7492" s="2" t="s">
        <f>=HYPERLINK("https://main.knesset.gov.il/APPS/legislation/main/bills/2193481", "הצעת חוק לתיקון פקודת מסי העירייה ומסי הממשלה (פטורין) (פטור מארנונה למכללה טכנולוגית מוכרת), התשפ""ב-2022 ")</f>
        <v>14594</v>
      </c>
      <c r="E7492" t="s">
        <v>14594</v>
      </c>
      <c r="F7492" t="s">
        <v>14595</v>
      </c>
      <c r="G7492" t="s">
        <v>14</v>
      </c>
      <c r="H7492">
             </c>
      <c r="I7492" t="s">
        <v>14</v>
      </c>
      <c r="J7492" t="s">
        <v>141</v>
      </c>
      <c r="K7492" t="s">
        <v>14</v>
      </c>
      <c r="L7492" t="s">
        <v>20</v>
      </c>
      <c r="M7492" t="s">
        <v>14552</v>
      </c>
      <c r="N7492" t="s">
        <v>14</v>
      </c>
    </row>
    <row r="7493" x14ac:dyDescent="0.25">
      <c r="A7493" t="n">
        <v>24</v>
      </c>
      <c r="B7493" t="s">
        <v>14</v>
      </c>
      <c r="C7493" t="s">
        <v>22</v>
      </c>
      <c r="D7493" s="2" t="s">
        <f>=HYPERLINK("https://main.knesset.gov.il/APPS/legislation/main/bills/2193583", "הצעת חוק שקיפות בהצהרת הון לנבחרי ציבור בכירים, התשפ""ב-2022")</f>
        <v>14596</v>
      </c>
      <c r="E7493" t="s">
        <v>14596</v>
      </c>
      <c r="F7493" t="s">
        <v>14597</v>
      </c>
      <c r="G7493" t="s">
        <v>14</v>
      </c>
      <c r="H7493">
             </c>
      <c r="I7493" t="s">
        <v>14</v>
      </c>
      <c r="J7493" t="s">
        <v>141</v>
      </c>
      <c r="K7493" t="s">
        <v>14</v>
      </c>
      <c r="L7493" t="s">
        <v>20</v>
      </c>
      <c r="M7493" t="s">
        <v>14552</v>
      </c>
      <c r="N7493" t="s">
        <v>14</v>
      </c>
    </row>
    <row r="7494" x14ac:dyDescent="0.25">
      <c r="A7494" t="n">
        <v>24</v>
      </c>
      <c r="B7494" t="s">
        <v>14</v>
      </c>
      <c r="C7494" t="s">
        <v>22</v>
      </c>
      <c r="D7494" s="2" t="s">
        <f>=HYPERLINK("https://main.knesset.gov.il/APPS/legislation/main/bills/2193610", "הצעת חוק עבודת נשים (תיקון - הארכת תקופת הלידה וההורות להורי פעוט עם מוגבלות מורכבת), התשפ""ב-2022")</f>
        <v>14598</v>
      </c>
      <c r="E7494" t="s">
        <v>14598</v>
      </c>
      <c r="F7494" t="s">
        <v>14599</v>
      </c>
      <c r="G7494" t="s">
        <v>14</v>
      </c>
      <c r="H7494">
             </c>
      <c r="I7494" t="s">
        <v>14</v>
      </c>
      <c r="J7494" t="s">
        <v>141</v>
      </c>
      <c r="K7494" t="s">
        <v>14</v>
      </c>
      <c r="L7494" t="s">
        <v>20</v>
      </c>
      <c r="M7494" t="s">
        <v>14552</v>
      </c>
      <c r="N7494" t="s">
        <v>14</v>
      </c>
    </row>
    <row r="7495" x14ac:dyDescent="0.25">
      <c r="A7495" t="n">
        <v>24</v>
      </c>
      <c r="B7495" t="s">
        <v>14</v>
      </c>
      <c r="C7495" t="s">
        <v>22</v>
      </c>
      <c r="D7495" s="2" t="s">
        <f>=HYPERLINK("https://main.knesset.gov.il/APPS/legislation/main/bills/2194065", "הצעת חוק יסודות התקציב (תיקון - הפחתת תקציב או תמיכה בשל פעילות נגד עקרונות המדינה של עובד או נושא משרה), התשפ""ב-2022")</f>
        <v>14600</v>
      </c>
      <c r="E7495" t="s">
        <v>14600</v>
      </c>
      <c r="F7495" t="s">
        <v>14601</v>
      </c>
      <c r="G7495" t="s">
        <v>14</v>
      </c>
      <c r="H7495">
             </c>
      <c r="I7495" t="s">
        <v>14</v>
      </c>
      <c r="J7495" t="s">
        <v>141</v>
      </c>
      <c r="K7495" t="s">
        <v>14</v>
      </c>
      <c r="L7495" t="s">
        <v>20</v>
      </c>
      <c r="M7495" t="s">
        <v>14552</v>
      </c>
      <c r="N7495" t="s">
        <v>14</v>
      </c>
    </row>
    <row r="7496" x14ac:dyDescent="0.25">
      <c r="A7496" t="n">
        <v>24</v>
      </c>
      <c r="B7496" t="s">
        <v>14</v>
      </c>
      <c r="C7496" t="s">
        <v>22</v>
      </c>
      <c r="D7496" s="2" t="s">
        <f>=HYPERLINK("https://main.knesset.gov.il/APPS/legislation/main/bills/2194198", "הצעת חוק הבטחת הכנסה (תיקון - הגדלת הסכום שאינו מובא בחשבון לגבי מי שהגיע לגיל פרישה ומי שמשתלמות להם קצבאות אזרח ותיק, שאירים או תלויים), התשפ""ב-2022")</f>
        <v>14602</v>
      </c>
      <c r="E7496" t="s">
        <v>14602</v>
      </c>
      <c r="F7496" t="s">
        <v>14603</v>
      </c>
      <c r="G7496" t="s">
        <v>14</v>
      </c>
      <c r="H7496">
             </c>
      <c r="I7496" t="s">
        <v>14</v>
      </c>
      <c r="J7496" t="s">
        <v>141</v>
      </c>
      <c r="K7496" t="s">
        <v>14</v>
      </c>
      <c r="L7496" t="s">
        <v>20</v>
      </c>
      <c r="M7496" t="s">
        <v>14552</v>
      </c>
      <c r="N7496" t="s">
        <v>14</v>
      </c>
    </row>
    <row r="7497" x14ac:dyDescent="0.25">
      <c r="A7497" t="n">
        <v>24</v>
      </c>
      <c r="B7497" t="s">
        <v>14</v>
      </c>
      <c r="C7497" t="s">
        <v>22</v>
      </c>
      <c r="D7497" s="2" t="s">
        <f>=HYPERLINK("https://main.knesset.gov.il/APPS/legislation/main/bills/2194292", "הצעת חוק הבחירות לכנסת (תיקון - הפחתת אחוז החסימה), התשפ""ב-2022")</f>
        <v>14604</v>
      </c>
      <c r="E7497" t="s">
        <v>14604</v>
      </c>
      <c r="F7497" t="s">
        <v>14605</v>
      </c>
      <c r="G7497" t="s">
        <v>14</v>
      </c>
      <c r="H7497">
             </c>
      <c r="I7497" t="s">
        <v>14</v>
      </c>
      <c r="J7497" t="s">
        <v>141</v>
      </c>
      <c r="K7497" t="s">
        <v>14</v>
      </c>
      <c r="L7497" t="s">
        <v>20</v>
      </c>
      <c r="M7497" t="s">
        <v>14552</v>
      </c>
      <c r="N7497" t="s">
        <v>14</v>
      </c>
    </row>
    <row r="7498" x14ac:dyDescent="0.25">
      <c r="A7498" t="n">
        <v>24</v>
      </c>
      <c r="B7498" t="s">
        <v>14</v>
      </c>
      <c r="C7498" t="s">
        <v>22</v>
      </c>
      <c r="D7498" s="2" t="s">
        <f>=HYPERLINK("https://main.knesset.gov.il/APPS/legislation/main/bills/2192912", "הצעת חוק פיצוי חייבים בשל עיכוב בהסרת הליכים (תיקוני חקיקה), התשפ""ב-2022")</f>
        <v>14606</v>
      </c>
      <c r="E7498" t="s">
        <v>14606</v>
      </c>
      <c r="F7498" t="s">
        <v>14607</v>
      </c>
      <c r="G7498" t="s">
        <v>14</v>
      </c>
      <c r="H7498">
             </c>
      <c r="I7498" t="s">
        <v>14</v>
      </c>
      <c r="J7498" t="s">
        <v>141</v>
      </c>
      <c r="K7498" t="s">
        <v>14</v>
      </c>
      <c r="L7498" t="s">
        <v>20</v>
      </c>
      <c r="M7498" t="s">
        <v>14552</v>
      </c>
      <c r="N7498" t="s">
        <v>14</v>
      </c>
    </row>
    <row r="7499" x14ac:dyDescent="0.25">
      <c r="A7499" t="n">
        <v>24</v>
      </c>
      <c r="B7499" t="s">
        <v>14</v>
      </c>
      <c r="C7499" t="s">
        <v>22</v>
      </c>
      <c r="D7499" s="2" t="s">
        <f>=HYPERLINK("https://main.knesset.gov.il/APPS/legislation/main/bills/2192419", "הצעת חוק מס ערך מוסף (תיקון - מכירת טובין למלכ""ר המיועדים לתרומה לכוחות הביטחון וההצלה), התשפ""ב-2022")</f>
        <v>14608</v>
      </c>
      <c r="E7499" t="s">
        <v>14608</v>
      </c>
      <c r="F7499" t="s">
        <v>14609</v>
      </c>
      <c r="G7499" t="s">
        <v>14</v>
      </c>
      <c r="H7499">
             </c>
      <c r="I7499" t="s">
        <v>14</v>
      </c>
      <c r="J7499" t="s">
        <v>141</v>
      </c>
      <c r="K7499" t="s">
        <v>14</v>
      </c>
      <c r="L7499" t="s">
        <v>20</v>
      </c>
      <c r="M7499" t="s">
        <v>14552</v>
      </c>
      <c r="N7499" t="s">
        <v>14</v>
      </c>
    </row>
    <row r="7500" x14ac:dyDescent="0.25">
      <c r="A7500" t="n">
        <v>24</v>
      </c>
      <c r="B7500" t="s">
        <v>14</v>
      </c>
      <c r="C7500" t="s">
        <v>22</v>
      </c>
      <c r="D7500" s="2" t="s">
        <f>=HYPERLINK("https://main.knesset.gov.il/APPS/legislation/main/bills/2194295", "הצעת חוק הבחירות לכנסת (תיקון - זכות הצבעה לאזרחים מחוץ לישראל), התשפ""ב-2022")</f>
        <v>14610</v>
      </c>
      <c r="E7500" t="s">
        <v>14610</v>
      </c>
      <c r="F7500" t="s">
        <v>14611</v>
      </c>
      <c r="G7500" t="s">
        <v>14</v>
      </c>
      <c r="H7500">
             </c>
      <c r="I7500" t="s">
        <v>14</v>
      </c>
      <c r="J7500" t="s">
        <v>141</v>
      </c>
      <c r="K7500" t="s">
        <v>14</v>
      </c>
      <c r="L7500" t="s">
        <v>20</v>
      </c>
      <c r="M7500" t="s">
        <v>14552</v>
      </c>
      <c r="N7500" t="s">
        <v>14</v>
      </c>
    </row>
    <row r="7501" x14ac:dyDescent="0.25">
      <c r="A7501" t="n">
        <v>24</v>
      </c>
      <c r="B7501" t="s">
        <v>14</v>
      </c>
      <c r="C7501" t="s">
        <v>22</v>
      </c>
      <c r="D7501" s="2" t="s">
        <f>=HYPERLINK("https://main.knesset.gov.il/APPS/legislation/main/bills/2194296", "הצעת חוק הבחירות (דרכי תעמולה) (תיקון - איסור על תעמולה גזענית), התשפ""ב-2022")</f>
        <v>14612</v>
      </c>
      <c r="E7501" t="s">
        <v>14612</v>
      </c>
      <c r="F7501" t="s">
        <v>14613</v>
      </c>
      <c r="G7501" t="s">
        <v>14</v>
      </c>
      <c r="H7501">
             </c>
      <c r="I7501" t="s">
        <v>14</v>
      </c>
      <c r="J7501" t="s">
        <v>141</v>
      </c>
      <c r="K7501" t="s">
        <v>14</v>
      </c>
      <c r="L7501" t="s">
        <v>20</v>
      </c>
      <c r="M7501" t="s">
        <v>14552</v>
      </c>
      <c r="N7501" t="s">
        <v>14</v>
      </c>
    </row>
    <row r="7502" x14ac:dyDescent="0.25">
      <c r="A7502" t="n">
        <v>24</v>
      </c>
      <c r="B7502" t="s">
        <v>14</v>
      </c>
      <c r="C7502" t="s">
        <v>22</v>
      </c>
      <c r="D7502" s="2" t="s">
        <f>=HYPERLINK("https://main.knesset.gov.il/APPS/legislation/main/bills/2194297", "הצעת חוק מימון מפלגות (תיקון - ייצוג לנשים ברשימת המועמדים), התשפ""ב-2022")</f>
        <v>14614</v>
      </c>
      <c r="E7502" t="s">
        <v>14614</v>
      </c>
      <c r="F7502" t="s">
        <v>14615</v>
      </c>
      <c r="G7502" t="s">
        <v>14</v>
      </c>
      <c r="H7502">
             </c>
      <c r="I7502" t="s">
        <v>14</v>
      </c>
      <c r="J7502" t="s">
        <v>141</v>
      </c>
      <c r="K7502" t="s">
        <v>14</v>
      </c>
      <c r="L7502" t="s">
        <v>20</v>
      </c>
      <c r="M7502" t="s">
        <v>14552</v>
      </c>
      <c r="N7502" t="s">
        <v>14</v>
      </c>
    </row>
    <row r="7503" x14ac:dyDescent="0.25">
      <c r="A7503" t="n">
        <v>24</v>
      </c>
      <c r="B7503" t="s">
        <v>14</v>
      </c>
      <c r="C7503" t="s">
        <v>22</v>
      </c>
      <c r="D7503" s="2" t="s">
        <f>=HYPERLINK("https://main.knesset.gov.il/APPS/legislation/main/bills/2191184", "הצעת חוק יום הזיכרון לחללי מערכות ישראל (תיקון - הרחבת ההגדרה של חללי מערכות ישראל), התשפ""ב-2022")</f>
        <v>14616</v>
      </c>
      <c r="E7503" t="s">
        <v>14616</v>
      </c>
      <c r="F7503" t="s">
        <v>14617</v>
      </c>
      <c r="G7503" t="s">
        <v>14</v>
      </c>
      <c r="H7503">
             </c>
      <c r="I7503" t="s">
        <v>14</v>
      </c>
      <c r="J7503" t="s">
        <v>141</v>
      </c>
      <c r="K7503" t="s">
        <v>14</v>
      </c>
      <c r="L7503" t="s">
        <v>20</v>
      </c>
      <c r="M7503" t="s">
        <v>14552</v>
      </c>
      <c r="N7503" t="s">
        <v>14</v>
      </c>
    </row>
    <row r="7504" x14ac:dyDescent="0.25">
      <c r="A7504" t="n">
        <v>24</v>
      </c>
      <c r="B7504" t="s">
        <v>14</v>
      </c>
      <c r="C7504" t="s">
        <v>22</v>
      </c>
      <c r="D7504" s="2" t="s">
        <f>=HYPERLINK("https://main.knesset.gov.il/APPS/legislation/main/bills/2194293", "הצעת חוק הבחירות לכנסת (תיקון - ביטול אחוז החסימה ותיקון הסכמי עודפים), התשפ""ב-2022")</f>
        <v>14618</v>
      </c>
      <c r="E7504" t="s">
        <v>14618</v>
      </c>
      <c r="F7504" t="s">
        <v>14619</v>
      </c>
      <c r="G7504" t="s">
        <v>14</v>
      </c>
      <c r="H7504">
             </c>
      <c r="I7504" t="s">
        <v>14</v>
      </c>
      <c r="J7504" t="s">
        <v>141</v>
      </c>
      <c r="K7504" t="s">
        <v>14</v>
      </c>
      <c r="L7504" t="s">
        <v>20</v>
      </c>
      <c r="M7504" t="s">
        <v>14552</v>
      </c>
      <c r="N7504" t="s">
        <v>14</v>
      </c>
    </row>
    <row r="7505" x14ac:dyDescent="0.25">
      <c r="A7505" t="n">
        <v>24</v>
      </c>
      <c r="B7505" t="s">
        <v>14</v>
      </c>
      <c r="C7505" t="s">
        <v>22</v>
      </c>
      <c r="D7505" s="2" t="s">
        <f>=HYPERLINK("https://main.knesset.gov.il/APPS/legislation/main/bills/2194049", "הצעת חוק-יסוד: השפיטה (תיקון - מינוי שופטים לבית המשפט העליון וקציבת כהונתם)")</f>
        <v>11368</v>
      </c>
      <c r="E7505" t="s">
        <v>11368</v>
      </c>
      <c r="F7505" t="s">
        <v>14620</v>
      </c>
      <c r="G7505" t="s">
        <v>14</v>
      </c>
      <c r="H7505">
             </c>
      <c r="I7505" t="s">
        <v>14</v>
      </c>
      <c r="J7505" t="s">
        <v>141</v>
      </c>
      <c r="K7505" t="s">
        <v>14</v>
      </c>
      <c r="L7505" t="s">
        <v>20</v>
      </c>
      <c r="M7505" t="s">
        <v>14552</v>
      </c>
      <c r="N7505" t="s">
        <v>14</v>
      </c>
    </row>
    <row r="7506" x14ac:dyDescent="0.25">
      <c r="A7506" t="n">
        <v>24</v>
      </c>
      <c r="B7506" t="s">
        <v>14</v>
      </c>
      <c r="C7506" t="s">
        <v>22</v>
      </c>
      <c r="D7506" s="2" t="s">
        <f>=HYPERLINK("https://main.knesset.gov.il/APPS/legislation/main/bills/2193586", "הצעת חוק שעות עבודה ומנוחה (תיקון - קיצור שבוע העבודה), התשפ""ב-2022")</f>
        <v>14621</v>
      </c>
      <c r="E7506" t="s">
        <v>14621</v>
      </c>
      <c r="F7506" t="s">
        <v>14622</v>
      </c>
      <c r="G7506" t="s">
        <v>14</v>
      </c>
      <c r="H7506">
             </c>
      <c r="I7506" t="s">
        <v>14</v>
      </c>
      <c r="J7506" t="s">
        <v>141</v>
      </c>
      <c r="K7506" t="s">
        <v>14</v>
      </c>
      <c r="L7506" t="s">
        <v>20</v>
      </c>
      <c r="M7506" t="s">
        <v>14552</v>
      </c>
      <c r="N7506" t="s">
        <v>14</v>
      </c>
    </row>
    <row r="7507" x14ac:dyDescent="0.25">
      <c r="A7507" t="n">
        <v>24</v>
      </c>
      <c r="B7507" t="s">
        <v>14</v>
      </c>
      <c r="C7507" t="s">
        <v>22</v>
      </c>
      <c r="D7507" s="2" t="s">
        <f>=HYPERLINK("https://main.knesset.gov.il/APPS/legislation/main/bills/2194294", "הצעת חוק הבחירות לכנסת (תיקון - הצבעת סטודנטים), התשפ""ב-2022")</f>
        <v>14623</v>
      </c>
      <c r="E7507" t="s">
        <v>14623</v>
      </c>
      <c r="F7507" t="s">
        <v>14624</v>
      </c>
      <c r="G7507" t="s">
        <v>14</v>
      </c>
      <c r="H7507">
             </c>
      <c r="I7507" t="s">
        <v>14</v>
      </c>
      <c r="J7507" t="s">
        <v>141</v>
      </c>
      <c r="K7507" t="s">
        <v>14</v>
      </c>
      <c r="L7507" t="s">
        <v>20</v>
      </c>
      <c r="M7507" t="s">
        <v>14552</v>
      </c>
      <c r="N7507" t="s">
        <v>14</v>
      </c>
    </row>
    <row r="7508" x14ac:dyDescent="0.25">
      <c r="A7508" t="n">
        <v>24</v>
      </c>
      <c r="B7508" t="s">
        <v>14</v>
      </c>
      <c r="C7508" t="s">
        <v>22</v>
      </c>
      <c r="D7508" s="2" t="s">
        <f>=HYPERLINK("https://main.knesset.gov.il/APPS/legislation/main/bills/2194298", "הצעת חוק התמודדות עם תופעת נטילת דמי חסות, התשפ""ב-2022")</f>
        <v>14625</v>
      </c>
      <c r="E7508" t="s">
        <v>14625</v>
      </c>
      <c r="F7508" t="s">
        <v>14626</v>
      </c>
      <c r="G7508" t="s">
        <v>14</v>
      </c>
      <c r="H7508">
             </c>
      <c r="I7508" t="s">
        <v>14</v>
      </c>
      <c r="J7508" t="s">
        <v>141</v>
      </c>
      <c r="K7508" t="s">
        <v>14</v>
      </c>
      <c r="L7508" t="s">
        <v>20</v>
      </c>
      <c r="M7508" t="s">
        <v>14552</v>
      </c>
      <c r="N7508" t="s">
        <v>14</v>
      </c>
    </row>
    <row r="7509" x14ac:dyDescent="0.25">
      <c r="A7509" t="n">
        <v>24</v>
      </c>
      <c r="B7509" t="s">
        <v>14</v>
      </c>
      <c r="C7509" t="s">
        <v>22</v>
      </c>
      <c r="D7509" s="2" t="s">
        <f>=HYPERLINK("https://main.knesset.gov.il/APPS/legislation/main/bills/2194469", "הצעת חוק הביטוח הלאומי (תיקון - השוואת קצבת אזרח ותיק לשכר הממוצע במשק), התשפ""ב-2022")</f>
        <v>14627</v>
      </c>
      <c r="E7509" t="s">
        <v>14627</v>
      </c>
      <c r="F7509" t="s">
        <v>14628</v>
      </c>
      <c r="G7509" t="s">
        <v>14</v>
      </c>
      <c r="H7509">
             </c>
      <c r="I7509" t="s">
        <v>14</v>
      </c>
      <c r="J7509" t="s">
        <v>141</v>
      </c>
      <c r="K7509" t="s">
        <v>14</v>
      </c>
      <c r="L7509" t="s">
        <v>20</v>
      </c>
      <c r="M7509" t="s">
        <v>14552</v>
      </c>
      <c r="N7509" t="s">
        <v>14</v>
      </c>
    </row>
    <row r="7510" x14ac:dyDescent="0.25">
      <c r="A7510" t="n">
        <v>24</v>
      </c>
      <c r="B7510" t="s">
        <v>14</v>
      </c>
      <c r="C7510" t="s">
        <v>22</v>
      </c>
      <c r="D7510" s="2" t="s">
        <f>=HYPERLINK("https://main.knesset.gov.il/APPS/legislation/main/bills/2194472", "הצעת חוק הסיוע המשפטי (תיקון - סיוע משפטי לנפגעי עבירות) (הוראת שעה), התשפ""ב-2022")</f>
        <v>14629</v>
      </c>
      <c r="E7510" t="s">
        <v>14629</v>
      </c>
      <c r="F7510" t="s">
        <v>14630</v>
      </c>
      <c r="G7510" t="s">
        <v>14</v>
      </c>
      <c r="H7510">
             </c>
      <c r="I7510" t="s">
        <v>14</v>
      </c>
      <c r="J7510" t="s">
        <v>141</v>
      </c>
      <c r="K7510" t="s">
        <v>14</v>
      </c>
      <c r="L7510" t="s">
        <v>20</v>
      </c>
      <c r="M7510" t="s">
        <v>14552</v>
      </c>
      <c r="N7510" t="s">
        <v>14</v>
      </c>
    </row>
    <row r="7511" x14ac:dyDescent="0.25">
      <c r="A7511" t="n">
        <v>24</v>
      </c>
      <c r="B7511" t="s">
        <v>14</v>
      </c>
      <c r="C7511" t="s">
        <v>22</v>
      </c>
      <c r="D7511" s="2" t="s">
        <f>=HYPERLINK("https://main.knesset.gov.il/APPS/legislation/main/bills/2194473", "הצעת חוק-יסוד: הממשלה (תיקון - אי-כשירות של נאשם להרכיב את הממשלה)")</f>
        <v>14201</v>
      </c>
      <c r="E7511" t="s">
        <v>14201</v>
      </c>
      <c r="F7511" t="s">
        <v>14631</v>
      </c>
      <c r="G7511" t="s">
        <v>14</v>
      </c>
      <c r="H7511">
             </c>
      <c r="I7511" t="s">
        <v>14</v>
      </c>
      <c r="J7511" t="s">
        <v>141</v>
      </c>
      <c r="K7511" t="s">
        <v>14</v>
      </c>
      <c r="L7511" t="s">
        <v>20</v>
      </c>
      <c r="M7511" t="s">
        <v>14552</v>
      </c>
      <c r="N7511" t="s">
        <v>14</v>
      </c>
    </row>
    <row r="7512" x14ac:dyDescent="0.25">
      <c r="A7512" t="n">
        <v>24</v>
      </c>
      <c r="B7512" t="s">
        <v>14</v>
      </c>
      <c r="C7512" t="s">
        <v>22</v>
      </c>
      <c r="D7512" s="2" t="s">
        <f>=HYPERLINK("https://main.knesset.gov.il/APPS/legislation/main/bills/2165909", "הצעת חוק-יסוד: הכנסת (תיקון - הארכת תקפם של חיקוקים)")</f>
        <v>14632</v>
      </c>
      <c r="E7512" t="s">
        <v>14632</v>
      </c>
      <c r="F7512" t="s">
        <v>14633</v>
      </c>
      <c r="G7512" t="s">
        <v>14</v>
      </c>
      <c r="H7512">
             </c>
      <c r="I7512" t="s">
        <v>14</v>
      </c>
      <c r="J7512" t="s">
        <v>141</v>
      </c>
      <c r="K7512" t="s">
        <v>14</v>
      </c>
      <c r="L7512" t="s">
        <v>20</v>
      </c>
      <c r="M7512" t="s">
        <v>14552</v>
      </c>
      <c r="N7512" t="s">
        <v>14</v>
      </c>
    </row>
    <row r="7513" x14ac:dyDescent="0.25">
      <c r="A7513" t="n">
        <v>24</v>
      </c>
      <c r="B7513" t="s">
        <v>14</v>
      </c>
      <c r="C7513" t="s">
        <v>22</v>
      </c>
      <c r="D7513" s="2" t="s">
        <f>=HYPERLINK("https://main.knesset.gov.il/APPS/legislation/main/bills/2194197", "הצעת חוק המידע הפלילי ותקנת השבים (תיקון - סעיף העונשין), התשפ""ב-2022")</f>
        <v>14634</v>
      </c>
      <c r="E7513" t="s">
        <v>14634</v>
      </c>
      <c r="F7513" t="s">
        <v>14635</v>
      </c>
      <c r="G7513" t="s">
        <v>14</v>
      </c>
      <c r="H7513">
             </c>
      <c r="I7513" t="s">
        <v>14</v>
      </c>
      <c r="J7513" t="s">
        <v>141</v>
      </c>
      <c r="K7513" t="s">
        <v>14</v>
      </c>
      <c r="L7513" t="s">
        <v>20</v>
      </c>
      <c r="M7513" t="s">
        <v>14552</v>
      </c>
      <c r="N7513" t="s">
        <v>14</v>
      </c>
    </row>
    <row r="7514" x14ac:dyDescent="0.25">
      <c r="A7514" t="n">
        <v>24</v>
      </c>
      <c r="B7514" t="s">
        <v>14</v>
      </c>
      <c r="C7514" t="s">
        <v>22</v>
      </c>
      <c r="D7514" s="2" t="s">
        <f>=HYPERLINK("https://main.knesset.gov.il/APPS/legislation/main/bills/2163917", "הצעת חוק מגבלות על חזרתו של עבריין מין לסביבת נפגע העבירה (תיקון מס' 9) (הרחבת הוראות החוק לגבי מבצעי עבירה קטינים השוהים במעון נעול לפי פקודת המבחן), התשפ""ב–2022")</f>
        <v>14636</v>
      </c>
      <c r="E7514" t="s">
        <v>14636</v>
      </c>
      <c r="F7514" t="s">
        <v>14637</v>
      </c>
      <c r="G7514" t="s">
        <v>14638</v>
      </c>
      <c r="H7514">
             </c>
      <c r="I7514" t="s">
        <v>26</v>
      </c>
      <c r="J7514" t="s">
        <v>69</v>
      </c>
      <c r="K7514" t="s">
        <v>14336</v>
      </c>
      <c r="L7514" t="s">
        <v>20</v>
      </c>
      <c r="M7514" t="s">
        <v>14552</v>
      </c>
      <c r="N7514" t="s">
        <v>14</v>
      </c>
    </row>
    <row r="7515" x14ac:dyDescent="0.25">
      <c r="A7515" t="n">
        <v>24</v>
      </c>
      <c r="B7515" t="s">
        <v>14</v>
      </c>
      <c r="C7515" t="s">
        <v>15</v>
      </c>
      <c r="D7515" s="2" t="s">
        <f>=HYPERLINK("https://main.knesset.gov.il/APPS/legislation/main/bills/2194687", "הצעת חוק לעידוד השקעות הון בחקלאות (תיקון מס' 9), התשפ""ב-2022 ")</f>
        <v>14639</v>
      </c>
      <c r="E7515" t="s">
        <v>14639</v>
      </c>
      <c r="F7515" t="s">
        <v>14</v>
      </c>
      <c r="G7515" t="s">
        <v>14640</v>
      </c>
      <c r="H7515">
             </c>
      <c r="I7515" t="s">
        <v>14</v>
      </c>
      <c r="J7515" t="s">
        <v>69</v>
      </c>
      <c r="K7515" t="s">
        <v>14</v>
      </c>
      <c r="L7515" t="s">
        <v>20</v>
      </c>
      <c r="M7515" t="s">
        <v>14552</v>
      </c>
      <c r="N7515" t="s">
        <v>14</v>
      </c>
    </row>
    <row r="7516" x14ac:dyDescent="0.25">
      <c r="A7516" t="n">
        <v>24</v>
      </c>
      <c r="B7516" t="s">
        <v>14</v>
      </c>
      <c r="C7516" t="s">
        <v>15</v>
      </c>
      <c r="D7516" s="2" t="s">
        <f>=HYPERLINK("https://main.knesset.gov.il/APPS/legislation/main/bills/2194688", "הצעת חוק בתי המשפט (תיקון מס' 103) (שופט עמית), התשפ""ב-2022")</f>
        <v>14641</v>
      </c>
      <c r="E7516" t="s">
        <v>14641</v>
      </c>
      <c r="F7516" t="s">
        <v>14</v>
      </c>
      <c r="G7516" t="s">
        <v>14642</v>
      </c>
      <c r="H7516">
             </c>
      <c r="I7516" t="s">
        <v>14</v>
      </c>
      <c r="J7516" t="s">
        <v>69</v>
      </c>
      <c r="K7516" t="s">
        <v>14</v>
      </c>
      <c r="L7516" t="s">
        <v>20</v>
      </c>
      <c r="M7516" t="s">
        <v>14552</v>
      </c>
      <c r="N7516" t="s">
        <v>14</v>
      </c>
    </row>
    <row r="7517" x14ac:dyDescent="0.25">
      <c r="A7517" t="n">
        <v>24</v>
      </c>
      <c r="B7517" t="s">
        <v>14</v>
      </c>
      <c r="C7517" t="s">
        <v>15</v>
      </c>
      <c r="D7517" s="2" t="s">
        <f>=HYPERLINK("https://main.knesset.gov.il/APPS/legislation/main/bills/2194702", "הצעת חוק להסדר ההימורים בספורט (תיקון מס' 16), התשפ""ב-2022")</f>
        <v>14643</v>
      </c>
      <c r="E7517" t="s">
        <v>14643</v>
      </c>
      <c r="F7517" t="s">
        <v>14</v>
      </c>
      <c r="G7517" t="s">
        <v>14644</v>
      </c>
      <c r="H7517">
             </c>
      <c r="I7517" t="s">
        <v>14</v>
      </c>
      <c r="J7517" t="s">
        <v>69</v>
      </c>
      <c r="K7517" t="s">
        <v>14</v>
      </c>
      <c r="L7517" t="s">
        <v>20</v>
      </c>
      <c r="M7517" t="s">
        <v>14552</v>
      </c>
      <c r="N7517" t="s">
        <v>14</v>
      </c>
    </row>
    <row r="7518" x14ac:dyDescent="0.25">
      <c r="A7518" t="n">
        <v>24</v>
      </c>
      <c r="B7518" t="s">
        <v>14</v>
      </c>
      <c r="C7518" t="s">
        <v>15</v>
      </c>
      <c r="D7518" s="2" t="s">
        <f>=HYPERLINK("https://main.knesset.gov.il/APPS/legislation/main/bills/2194708", "הצעת חוק לתיקון פקודת המשטרה (מס' 37) (מערכות צילום מיוחדות), התשפ""ב-2022 ")</f>
        <v>14645</v>
      </c>
      <c r="E7518" t="s">
        <v>14645</v>
      </c>
      <c r="F7518" t="s">
        <v>14</v>
      </c>
      <c r="G7518" t="s">
        <v>14646</v>
      </c>
      <c r="H7518">
             </c>
      <c r="I7518" t="s">
        <v>14</v>
      </c>
      <c r="J7518" t="s">
        <v>69</v>
      </c>
      <c r="K7518" t="s">
        <v>14</v>
      </c>
      <c r="L7518" t="s">
        <v>20</v>
      </c>
      <c r="M7518" t="s">
        <v>14552</v>
      </c>
      <c r="N7518" t="s">
        <v>14</v>
      </c>
    </row>
    <row r="7519" x14ac:dyDescent="0.25">
      <c r="A7519" t="n">
        <v>23</v>
      </c>
      <c r="B7519" t="s">
        <v>14</v>
      </c>
      <c r="C7519" t="s">
        <v>15</v>
      </c>
      <c r="D7519" s="2" t="s">
        <f>=HYPERLINK("https://main.knesset.gov.il/APPS/legislation/main/bills/2155391", "הצעת חוק סדר הדין הפלילי (סמכויות אכיפה - מעצרים) (שטח מחיה במיתקני שירות הביטחון הכללי) (הוראת שעה), התשפ""א-2021")</f>
        <v>14647</v>
      </c>
      <c r="E7519" t="s">
        <v>14647</v>
      </c>
      <c r="F7519" t="s">
        <v>14</v>
      </c>
      <c r="G7519" t="s">
        <v>14648</v>
      </c>
      <c r="H7519">
             </c>
      <c r="I7519" t="s">
        <v>14</v>
      </c>
      <c r="J7519" t="s">
        <v>14649</v>
      </c>
      <c r="K7519" t="s">
        <v>46</v>
      </c>
      <c r="L7519" t="s">
        <v>20</v>
      </c>
      <c r="M7519" t="s">
        <v>14552</v>
      </c>
      <c r="N7519" t="s">
        <v>14</v>
      </c>
    </row>
    <row r="7520" x14ac:dyDescent="0.25">
      <c r="A7520" t="n">
        <v>24</v>
      </c>
      <c r="B7520" t="s">
        <v>14</v>
      </c>
      <c r="C7520" t="s">
        <v>22</v>
      </c>
      <c r="D7520" s="2" t="s">
        <f>=HYPERLINK("https://main.knesset.gov.il/APPS/legislation/main/bills/2158501", "הצעת חוק ביטוח בריאות ממלכתי (תיקון - החזר הוצאות עבור נסיעה באמבולנס), התשפ""א-2021")</f>
        <v>14650</v>
      </c>
      <c r="E7520" t="s">
        <v>14650</v>
      </c>
      <c r="F7520" t="s">
        <v>14651</v>
      </c>
      <c r="G7520" t="s">
        <v>14</v>
      </c>
      <c r="H7520">
             </c>
      <c r="I7520" t="s">
        <v>14</v>
      </c>
      <c r="J7520" t="s">
        <v>99</v>
      </c>
      <c r="K7520" t="s">
        <v>480</v>
      </c>
      <c r="L7520" t="s">
        <v>20</v>
      </c>
      <c r="M7520" t="s">
        <v>14652</v>
      </c>
      <c r="N7520" t="s">
        <v>14</v>
      </c>
    </row>
    <row r="7521" x14ac:dyDescent="0.25">
      <c r="A7521" t="n">
        <v>24</v>
      </c>
      <c r="B7521" t="s">
        <v>14</v>
      </c>
      <c r="C7521" t="s">
        <v>22</v>
      </c>
      <c r="D7521" s="2" t="s">
        <f>=HYPERLINK("https://main.knesset.gov.il/APPS/legislation/main/bills/2164218", "הצעת חוק מגבלות על חזרתו של עבריין מין לסביבת נפגע העבירה (תיקון - הגבלת אזור מגורים לעבריין מין שנשלח למעון), התשפ""ב-2021")</f>
        <v>14653</v>
      </c>
      <c r="E7521" t="s">
        <v>14653</v>
      </c>
      <c r="F7521" t="s">
        <v>14654</v>
      </c>
      <c r="G7521" t="s">
        <v>14</v>
      </c>
      <c r="H7521">
             </c>
      <c r="I7521" t="s">
        <v>14</v>
      </c>
      <c r="J7521" t="s">
        <v>99</v>
      </c>
      <c r="K7521" t="s">
        <v>14336</v>
      </c>
      <c r="L7521" t="s">
        <v>20</v>
      </c>
      <c r="M7521" t="s">
        <v>14655</v>
      </c>
      <c r="N7521" t="s">
        <v>14</v>
      </c>
    </row>
    <row r="7522" x14ac:dyDescent="0.25">
      <c r="A7522" t="n">
        <v>24</v>
      </c>
      <c r="B7522" t="s">
        <v>14</v>
      </c>
      <c r="C7522" t="s">
        <v>22</v>
      </c>
      <c r="D7522" s="2" t="s">
        <f>=HYPERLINK("https://main.knesset.gov.il/APPS/legislation/main/bills/2158017", "הצעת חוק לפיקוח על ייצור הצמח ושיווקו (תיקון - חובת סימון ארץ הייצור של צמחים הנמכרים בתפזורת), התשפ""ב-2021 ")</f>
        <v>14656</v>
      </c>
      <c r="E7522" t="s">
        <v>14656</v>
      </c>
      <c r="F7522" t="s">
        <v>14657</v>
      </c>
      <c r="G7522" t="s">
        <v>14</v>
      </c>
      <c r="H7522">
             </c>
      <c r="I7522" t="s">
        <v>14</v>
      </c>
      <c r="J7522" t="s">
        <v>99</v>
      </c>
      <c r="K7522" t="s">
        <v>19</v>
      </c>
      <c r="L7522" t="s">
        <v>20</v>
      </c>
      <c r="M7522" t="s">
        <v>14655</v>
      </c>
      <c r="N7522" t="s">
        <v>14</v>
      </c>
    </row>
    <row r="7523" x14ac:dyDescent="0.25">
      <c r="A7523" t="n">
        <v>24</v>
      </c>
      <c r="B7523" t="s">
        <v>14</v>
      </c>
      <c r="C7523" t="s">
        <v>22</v>
      </c>
      <c r="D7523" s="2" t="s">
        <f>=HYPERLINK("https://main.knesset.gov.il/APPS/legislation/main/bills/2157317", "הצעת חוק הגנת הצרכן (תיקון - סימון תוצרת חקלאית שאינה ארוזה מראש), התשפ''א-2021")</f>
        <v>14658</v>
      </c>
      <c r="E7523" t="s">
        <v>14658</v>
      </c>
      <c r="F7523" t="s">
        <v>14659</v>
      </c>
      <c r="G7523" t="s">
        <v>14</v>
      </c>
      <c r="H7523">
             </c>
      <c r="I7523" t="s">
        <v>14</v>
      </c>
      <c r="J7523" t="s">
        <v>99</v>
      </c>
      <c r="K7523" t="s">
        <v>19</v>
      </c>
      <c r="L7523" t="s">
        <v>20</v>
      </c>
      <c r="M7523" t="s">
        <v>14655</v>
      </c>
      <c r="N7523" t="s">
        <v>14</v>
      </c>
    </row>
    <row r="7524" x14ac:dyDescent="0.25">
      <c r="A7524" t="n">
        <v>24</v>
      </c>
      <c r="B7524" t="s">
        <v>14</v>
      </c>
      <c r="C7524" t="s">
        <v>22</v>
      </c>
      <c r="D7524" s="2" t="s">
        <f>=HYPERLINK("https://main.knesset.gov.il/APPS/legislation/main/bills/2193442", "הצעת חוק הרבנות הראשית לישראל (תיקון - ייצוג הציבור באסיפה הבוחרת), התשפ""ב-2022")</f>
        <v>14660</v>
      </c>
      <c r="E7524" t="s">
        <v>14660</v>
      </c>
      <c r="F7524" t="s">
        <v>14661</v>
      </c>
      <c r="G7524" t="s">
        <v>14</v>
      </c>
      <c r="H7524">
             </c>
      <c r="I7524" t="s">
        <v>14</v>
      </c>
      <c r="J7524" t="s">
        <v>343</v>
      </c>
      <c r="K7524" t="s">
        <v>14</v>
      </c>
      <c r="L7524" t="s">
        <v>20</v>
      </c>
      <c r="M7524" t="s">
        <v>14655</v>
      </c>
      <c r="N7524" t="s">
        <v>14</v>
      </c>
    </row>
    <row r="7525" x14ac:dyDescent="0.25">
      <c r="A7525" t="n">
        <v>24</v>
      </c>
      <c r="B7525" t="s">
        <v>14</v>
      </c>
      <c r="C7525" t="s">
        <v>22</v>
      </c>
      <c r="D7525" s="2" t="s">
        <f>=HYPERLINK("https://main.knesset.gov.il/APPS/legislation/main/bills/2165950", "הצעת חוק החלת הריבונות של מדינת ישראל בחבלי יהודה והשומרון, התשפ""ב-2022")</f>
        <v>14662</v>
      </c>
      <c r="E7525" t="s">
        <v>14662</v>
      </c>
      <c r="F7525" t="s">
        <v>14663</v>
      </c>
      <c r="G7525" t="s">
        <v>14</v>
      </c>
      <c r="H7525">
             </c>
      <c r="I7525" t="s">
        <v>14</v>
      </c>
      <c r="J7525" t="s">
        <v>55</v>
      </c>
      <c r="K7525" t="s">
        <v>14</v>
      </c>
      <c r="L7525" t="s">
        <v>20</v>
      </c>
      <c r="M7525" t="s">
        <v>14655</v>
      </c>
      <c r="N7525" t="s">
        <v>14</v>
      </c>
    </row>
    <row r="7526" x14ac:dyDescent="0.25">
      <c r="A7526" t="n">
        <v>24</v>
      </c>
      <c r="B7526" t="s">
        <v>14</v>
      </c>
      <c r="C7526" t="s">
        <v>22</v>
      </c>
      <c r="D7526" s="2" t="s">
        <f>=HYPERLINK("https://main.knesset.gov.il/APPS/legislation/main/bills/2170082", "הצעת חוק משמר עירוני, התשפ""ב-2022")</f>
        <v>14664</v>
      </c>
      <c r="E7526" t="s">
        <v>14664</v>
      </c>
      <c r="F7526" t="s">
        <v>14665</v>
      </c>
      <c r="G7526" t="s">
        <v>14</v>
      </c>
      <c r="H7526">
             </c>
      <c r="I7526" t="s">
        <v>14</v>
      </c>
      <c r="J7526" t="s">
        <v>55</v>
      </c>
      <c r="K7526" t="s">
        <v>14</v>
      </c>
      <c r="L7526" t="s">
        <v>20</v>
      </c>
      <c r="M7526" t="s">
        <v>14655</v>
      </c>
      <c r="N7526" t="s">
        <v>14</v>
      </c>
    </row>
    <row r="7527" x14ac:dyDescent="0.25">
      <c r="A7527" t="n">
        <v>24</v>
      </c>
      <c r="B7527" t="s">
        <v>14</v>
      </c>
      <c r="C7527" t="s">
        <v>22</v>
      </c>
      <c r="D7527" s="2" t="s">
        <f>=HYPERLINK("https://main.knesset.gov.il/APPS/legislation/main/bills/2189628", "הצעת חוק העונשין (תיקון - ביטול עבירת המטרד על ידי עיסוק בזנות), התשפ""ב-2022")</f>
        <v>14666</v>
      </c>
      <c r="E7527" t="s">
        <v>14666</v>
      </c>
      <c r="F7527" t="s">
        <v>14667</v>
      </c>
      <c r="G7527" t="s">
        <v>14</v>
      </c>
      <c r="H7527">
             </c>
      <c r="I7527" t="s">
        <v>14</v>
      </c>
      <c r="J7527" t="s">
        <v>343</v>
      </c>
      <c r="K7527" t="s">
        <v>14</v>
      </c>
      <c r="L7527" t="s">
        <v>20</v>
      </c>
      <c r="M7527" t="s">
        <v>14655</v>
      </c>
      <c r="N7527" t="s">
        <v>14</v>
      </c>
    </row>
    <row r="7528" x14ac:dyDescent="0.25">
      <c r="A7528" t="n">
        <v>24</v>
      </c>
      <c r="B7528" t="s">
        <v>14</v>
      </c>
      <c r="C7528" t="s">
        <v>22</v>
      </c>
      <c r="D7528" s="2" t="s">
        <f>=HYPERLINK("https://main.knesset.gov.il/APPS/legislation/main/bills/2189833", "הצעת חוק התמודדות עם תופעת נטילת דמי חסות, התשפ""ב-2022")</f>
        <v>14625</v>
      </c>
      <c r="E7528" t="s">
        <v>14625</v>
      </c>
      <c r="F7528" t="s">
        <v>14668</v>
      </c>
      <c r="G7528" t="s">
        <v>14</v>
      </c>
      <c r="H7528">
             </c>
      <c r="I7528" t="s">
        <v>14</v>
      </c>
      <c r="J7528" t="s">
        <v>60</v>
      </c>
      <c r="K7528" t="s">
        <v>14</v>
      </c>
      <c r="L7528" t="s">
        <v>20</v>
      </c>
      <c r="M7528" t="s">
        <v>14655</v>
      </c>
      <c r="N7528" t="s">
        <v>14</v>
      </c>
    </row>
    <row r="7529" x14ac:dyDescent="0.25">
      <c r="A7529" t="n">
        <v>24</v>
      </c>
      <c r="B7529" t="s">
        <v>14</v>
      </c>
      <c r="C7529" t="s">
        <v>22</v>
      </c>
      <c r="D7529" s="2" t="s">
        <f>=HYPERLINK("https://main.knesset.gov.il/APPS/legislation/main/bills/2159477", "הצעת חוק העונשין (תיקון - הגנת בית מגורים, נכס, בית עסק, משק חקלאי מגודר ורכב), התשפ""ב-2022")</f>
        <v>14669</v>
      </c>
      <c r="E7529" t="s">
        <v>14669</v>
      </c>
      <c r="F7529" t="s">
        <v>14670</v>
      </c>
      <c r="G7529" t="s">
        <v>14</v>
      </c>
      <c r="H7529">
             </c>
      <c r="I7529" t="s">
        <v>14</v>
      </c>
      <c r="J7529" t="s">
        <v>343</v>
      </c>
      <c r="K7529" t="s">
        <v>14</v>
      </c>
      <c r="L7529" t="s">
        <v>20</v>
      </c>
      <c r="M7529" t="s">
        <v>14655</v>
      </c>
      <c r="N7529" t="s">
        <v>14</v>
      </c>
    </row>
    <row r="7530" x14ac:dyDescent="0.25">
      <c r="A7530" t="n">
        <v>24</v>
      </c>
      <c r="B7530" t="s">
        <v>14</v>
      </c>
      <c r="C7530" t="s">
        <v>22</v>
      </c>
      <c r="D7530" s="2" t="s">
        <f>=HYPERLINK("https://main.knesset.gov.il/APPS/legislation/main/bills/2169640", "הצעת חוק האקלים, התשפ""ב-2022")</f>
        <v>14671</v>
      </c>
      <c r="E7530" t="s">
        <v>14671</v>
      </c>
      <c r="F7530" t="s">
        <v>14672</v>
      </c>
      <c r="G7530" t="s">
        <v>14</v>
      </c>
      <c r="H7530">
             </c>
      <c r="I7530" t="s">
        <v>14</v>
      </c>
      <c r="J7530" t="s">
        <v>31</v>
      </c>
      <c r="K7530" t="s">
        <v>46</v>
      </c>
      <c r="L7530" t="s">
        <v>20</v>
      </c>
      <c r="M7530" t="s">
        <v>14655</v>
      </c>
      <c r="N7530" t="s">
        <v>14</v>
      </c>
    </row>
    <row r="7531" x14ac:dyDescent="0.25">
      <c r="A7531" t="n">
        <v>24</v>
      </c>
      <c r="B7531" t="s">
        <v>14</v>
      </c>
      <c r="C7531" t="s">
        <v>22</v>
      </c>
      <c r="D7531" s="2" t="s">
        <f>=HYPERLINK("https://main.knesset.gov.il/APPS/legislation/main/bills/2168607", "הצעת חוק חינוך מיוחד (תיקון - שפת הלימוד במוסד חינוך מיוחד), התשפ""ב-2022")</f>
        <v>14673</v>
      </c>
      <c r="E7531" t="s">
        <v>14673</v>
      </c>
      <c r="F7531" t="s">
        <v>14674</v>
      </c>
      <c r="G7531" t="s">
        <v>14</v>
      </c>
      <c r="H7531">
             </c>
      <c r="I7531" t="s">
        <v>14</v>
      </c>
      <c r="J7531" t="s">
        <v>60</v>
      </c>
      <c r="K7531" t="s">
        <v>14</v>
      </c>
      <c r="L7531" t="s">
        <v>20</v>
      </c>
      <c r="M7531" t="s">
        <v>14655</v>
      </c>
      <c r="N7531" t="s">
        <v>14</v>
      </c>
    </row>
    <row r="7532" x14ac:dyDescent="0.25">
      <c r="A7532" t="n">
        <v>24</v>
      </c>
      <c r="B7532" t="s">
        <v>14</v>
      </c>
      <c r="C7532" t="s">
        <v>22</v>
      </c>
      <c r="D7532" s="2" t="s">
        <f>=HYPERLINK("https://main.knesset.gov.il/APPS/legislation/main/bills/2169594", "הצעת חוק העונשין (תיקון - קביעת עונש מינימום לעבירות יידוי אבנים), התשפ""ב-2022")</f>
        <v>14675</v>
      </c>
      <c r="E7532" t="s">
        <v>14675</v>
      </c>
      <c r="F7532" t="s">
        <v>14676</v>
      </c>
      <c r="G7532" t="s">
        <v>14</v>
      </c>
      <c r="H7532">
             </c>
      <c r="I7532" t="s">
        <v>14</v>
      </c>
      <c r="J7532" t="s">
        <v>60</v>
      </c>
      <c r="K7532" t="s">
        <v>14</v>
      </c>
      <c r="L7532" t="s">
        <v>20</v>
      </c>
      <c r="M7532" t="s">
        <v>14655</v>
      </c>
      <c r="N7532" t="s">
        <v>14</v>
      </c>
    </row>
    <row r="7533" x14ac:dyDescent="0.25">
      <c r="A7533" t="n">
        <v>24</v>
      </c>
      <c r="B7533" t="s">
        <v>14</v>
      </c>
      <c r="C7533" t="s">
        <v>22</v>
      </c>
      <c r="D7533" s="2" t="s">
        <f>=HYPERLINK("https://main.knesset.gov.il/APPS/legislation/main/bills/2168606", "הצעת חוק הגנת הפרטיות (תיקון - מחיקה ממאגרי מידע), התשפ""ב-2022")</f>
        <v>14677</v>
      </c>
      <c r="E7533" t="s">
        <v>14677</v>
      </c>
      <c r="F7533" t="s">
        <v>14678</v>
      </c>
      <c r="G7533" t="s">
        <v>14</v>
      </c>
      <c r="H7533">
             </c>
      <c r="I7533" t="s">
        <v>14</v>
      </c>
      <c r="J7533" t="s">
        <v>60</v>
      </c>
      <c r="K7533" t="s">
        <v>14</v>
      </c>
      <c r="L7533" t="s">
        <v>20</v>
      </c>
      <c r="M7533" t="s">
        <v>14655</v>
      </c>
      <c r="N7533" t="s">
        <v>14</v>
      </c>
    </row>
    <row r="7534" x14ac:dyDescent="0.25">
      <c r="A7534" t="n">
        <v>24</v>
      </c>
      <c r="B7534" t="s">
        <v>14</v>
      </c>
      <c r="C7534" t="s">
        <v>22</v>
      </c>
      <c r="D7534" s="2" t="s">
        <f>=HYPERLINK("https://main.knesset.gov.il/APPS/legislation/main/bills/2160988", "הצעת חוק התקשורת (בזק ושידורים) (תיקון - חובת בעל רישיון להעברת תכני חוזי-שמע להפקה או רכישה של הפקות מקומיות), התשפ""ב-2022")</f>
        <v>14679</v>
      </c>
      <c r="E7534" t="s">
        <v>14679</v>
      </c>
      <c r="F7534" t="s">
        <v>14680</v>
      </c>
      <c r="G7534" t="s">
        <v>14</v>
      </c>
      <c r="H7534">
             </c>
      <c r="I7534" t="s">
        <v>14</v>
      </c>
      <c r="J7534" t="s">
        <v>60</v>
      </c>
      <c r="K7534" t="s">
        <v>14</v>
      </c>
      <c r="L7534" t="s">
        <v>20</v>
      </c>
      <c r="M7534" t="s">
        <v>14655</v>
      </c>
      <c r="N7534" t="s">
        <v>14</v>
      </c>
    </row>
    <row r="7535" x14ac:dyDescent="0.25">
      <c r="A7535" t="n">
        <v>24</v>
      </c>
      <c r="B7535" t="s">
        <v>14</v>
      </c>
      <c r="C7535" t="s">
        <v>22</v>
      </c>
      <c r="D7535" s="2" t="s">
        <f>=HYPERLINK("https://main.knesset.gov.il/APPS/legislation/main/bills/2167467", "הצעת חוק זכאות לאבחון לקויות למידה לילדים ממשפחות מעוטות יכולת, התשפ""ב-2022 ")</f>
        <v>14681</v>
      </c>
      <c r="E7535" t="s">
        <v>14681</v>
      </c>
      <c r="F7535" t="s">
        <v>14682</v>
      </c>
      <c r="G7535" t="s">
        <v>14</v>
      </c>
      <c r="H7535">
             </c>
      <c r="I7535" t="s">
        <v>14</v>
      </c>
      <c r="J7535" t="s">
        <v>60</v>
      </c>
      <c r="K7535" t="s">
        <v>14</v>
      </c>
      <c r="L7535" t="s">
        <v>20</v>
      </c>
      <c r="M7535" t="s">
        <v>14655</v>
      </c>
      <c r="N7535" t="s">
        <v>14</v>
      </c>
    </row>
    <row r="7536" x14ac:dyDescent="0.25">
      <c r="A7536" t="n">
        <v>24</v>
      </c>
      <c r="B7536" t="s">
        <v>14</v>
      </c>
      <c r="C7536" t="s">
        <v>22</v>
      </c>
      <c r="D7536" s="2" t="s">
        <f>=HYPERLINK("https://main.knesset.gov.il/APPS/legislation/main/bills/2166701", "הצעת חוק איסור הלבנת הון (תיקון - איסור גביית דמי שמירה בלא רישיון), התשפ""ב-2022")</f>
        <v>14683</v>
      </c>
      <c r="E7536" t="s">
        <v>14683</v>
      </c>
      <c r="F7536" t="s">
        <v>14684</v>
      </c>
      <c r="G7536" t="s">
        <v>14</v>
      </c>
      <c r="H7536">
             </c>
      <c r="I7536" t="s">
        <v>14</v>
      </c>
      <c r="J7536" t="s">
        <v>31</v>
      </c>
      <c r="K7536" t="s">
        <v>14336</v>
      </c>
      <c r="L7536" t="s">
        <v>20</v>
      </c>
      <c r="M7536" t="s">
        <v>14655</v>
      </c>
      <c r="N7536" t="s">
        <v>14</v>
      </c>
    </row>
    <row r="7537" x14ac:dyDescent="0.25">
      <c r="A7537" t="n">
        <v>24</v>
      </c>
      <c r="B7537" t="s">
        <v>14</v>
      </c>
      <c r="C7537" t="s">
        <v>22</v>
      </c>
      <c r="D7537" s="2" t="s">
        <f>=HYPERLINK("https://main.knesset.gov.il/APPS/legislation/main/bills/2166665", "הצעת חוק איסור לכידת בעלי חיים באמצעות מלכודות, התשפ""ב–2022")</f>
        <v>14685</v>
      </c>
      <c r="E7537" t="s">
        <v>14685</v>
      </c>
      <c r="F7537" t="s">
        <v>14686</v>
      </c>
      <c r="G7537" t="s">
        <v>14516</v>
      </c>
      <c r="H7537">
             </c>
      <c r="I7537" t="s">
        <v>14</v>
      </c>
      <c r="J7537" t="s">
        <v>69</v>
      </c>
      <c r="K7537" t="s">
        <v>34</v>
      </c>
      <c r="L7537" t="s">
        <v>20</v>
      </c>
      <c r="M7537" t="s">
        <v>14655</v>
      </c>
      <c r="N7537" t="s">
        <v>14</v>
      </c>
    </row>
    <row r="7538" x14ac:dyDescent="0.25">
      <c r="A7538" t="n">
        <v>24</v>
      </c>
      <c r="B7538" t="s">
        <v>14</v>
      </c>
      <c r="C7538" t="s">
        <v>22</v>
      </c>
      <c r="D7538" s="2" t="s">
        <f>=HYPERLINK("https://main.knesset.gov.il/APPS/legislation/main/bills/2166173", "הצעת חוק בתי המשפט (תיקון - כשירות שופטים), התשפ""ב-2021")</f>
        <v>14687</v>
      </c>
      <c r="E7538" t="s">
        <v>14687</v>
      </c>
      <c r="F7538" t="s">
        <v>14688</v>
      </c>
      <c r="G7538" t="s">
        <v>14</v>
      </c>
      <c r="H7538">
             </c>
      <c r="I7538" t="s">
        <v>14</v>
      </c>
      <c r="J7538" t="s">
        <v>55</v>
      </c>
      <c r="K7538" t="s">
        <v>14</v>
      </c>
      <c r="L7538" t="s">
        <v>20</v>
      </c>
      <c r="M7538" t="s">
        <v>14655</v>
      </c>
      <c r="N7538" t="s">
        <v>14</v>
      </c>
    </row>
    <row r="7539" x14ac:dyDescent="0.25">
      <c r="A7539" t="n">
        <v>24</v>
      </c>
      <c r="B7539" t="s">
        <v>14</v>
      </c>
      <c r="C7539" t="s">
        <v>22</v>
      </c>
      <c r="D7539" s="2" t="s">
        <f>=HYPERLINK("https://main.knesset.gov.il/APPS/legislation/main/bills/2164183", "הצעת חוק המועצה להשכלה גבוהה (תיקון - פטור משכר לימוד לסטודנטים מתחת לקו העוני), התשפ""ב-2021")</f>
        <v>14689</v>
      </c>
      <c r="E7539" t="s">
        <v>14689</v>
      </c>
      <c r="F7539" t="s">
        <v>14690</v>
      </c>
      <c r="G7539" t="s">
        <v>14</v>
      </c>
      <c r="H7539">
             </c>
      <c r="I7539" t="s">
        <v>14</v>
      </c>
      <c r="J7539" t="s">
        <v>60</v>
      </c>
      <c r="K7539" t="s">
        <v>14</v>
      </c>
      <c r="L7539" t="s">
        <v>20</v>
      </c>
      <c r="M7539" t="s">
        <v>14655</v>
      </c>
      <c r="N7539" t="s">
        <v>14</v>
      </c>
    </row>
    <row r="7540" x14ac:dyDescent="0.25">
      <c r="A7540" t="n">
        <v>24</v>
      </c>
      <c r="B7540" t="s">
        <v>14</v>
      </c>
      <c r="C7540" t="s">
        <v>22</v>
      </c>
      <c r="D7540" s="2" t="s">
        <f>=HYPERLINK("https://main.knesset.gov.il/APPS/legislation/main/bills/2163382", "הצעת חוק החלת הריבונות של מדינת ישראל בחבלי יהודה והשומרון, התשפ""ב-2021")</f>
        <v>14691</v>
      </c>
      <c r="E7540" t="s">
        <v>14691</v>
      </c>
      <c r="F7540" t="s">
        <v>14692</v>
      </c>
      <c r="G7540" t="s">
        <v>14</v>
      </c>
      <c r="H7540">
             </c>
      <c r="I7540" t="s">
        <v>14</v>
      </c>
      <c r="J7540" t="s">
        <v>55</v>
      </c>
      <c r="K7540" t="s">
        <v>14</v>
      </c>
      <c r="L7540" t="s">
        <v>20</v>
      </c>
      <c r="M7540" t="s">
        <v>14655</v>
      </c>
      <c r="N7540" t="s">
        <v>14</v>
      </c>
    </row>
    <row r="7541" x14ac:dyDescent="0.25">
      <c r="A7541" t="n">
        <v>24</v>
      </c>
      <c r="B7541" t="s">
        <v>14</v>
      </c>
      <c r="C7541" t="s">
        <v>22</v>
      </c>
      <c r="D7541" s="2" t="s">
        <f>=HYPERLINK("https://main.knesset.gov.il/APPS/legislation/main/bills/2159877", "הצעת חוק-יסוד: השפיטה (תיקון - מינוי שופטים לבית המשפט העליון וקציבת כהונתם)")</f>
        <v>11368</v>
      </c>
      <c r="E7541" t="s">
        <v>11368</v>
      </c>
      <c r="F7541" t="s">
        <v>14693</v>
      </c>
      <c r="G7541" t="s">
        <v>14</v>
      </c>
      <c r="H7541">
             </c>
      <c r="I7541" t="s">
        <v>14</v>
      </c>
      <c r="J7541" t="s">
        <v>55</v>
      </c>
      <c r="K7541" t="s">
        <v>14</v>
      </c>
      <c r="L7541" t="s">
        <v>20</v>
      </c>
      <c r="M7541" t="s">
        <v>14655</v>
      </c>
      <c r="N7541" t="s">
        <v>14</v>
      </c>
    </row>
    <row r="7542" x14ac:dyDescent="0.25">
      <c r="A7542" t="n">
        <v>24</v>
      </c>
      <c r="B7542" t="s">
        <v>14</v>
      </c>
      <c r="C7542" t="s">
        <v>22</v>
      </c>
      <c r="D7542" s="2" t="s">
        <f>=HYPERLINK("https://main.knesset.gov.il/APPS/legislation/main/bills/2161915", "הצעת חוק הסדרת השימוש בקנאביס למטרות רפואיות, התשפ""ב-2022")</f>
        <v>14694</v>
      </c>
      <c r="E7542" t="s">
        <v>14694</v>
      </c>
      <c r="F7542" t="s">
        <v>14695</v>
      </c>
      <c r="G7542" t="s">
        <v>14696</v>
      </c>
      <c r="H7542">
             </c>
      <c r="I7542" t="s">
        <v>14</v>
      </c>
      <c r="J7542" t="s">
        <v>5516</v>
      </c>
      <c r="K7542" t="s">
        <v>14697</v>
      </c>
      <c r="L7542" t="s">
        <v>20</v>
      </c>
      <c r="M7542" t="s">
        <v>14655</v>
      </c>
      <c r="N7542" t="s">
        <v>14</v>
      </c>
    </row>
    <row r="7543" x14ac:dyDescent="0.25">
      <c r="A7543" t="n">
        <v>24</v>
      </c>
      <c r="B7543" t="s">
        <v>14</v>
      </c>
      <c r="C7543" t="s">
        <v>22</v>
      </c>
      <c r="D7543" s="2" t="s">
        <f>=HYPERLINK("https://main.knesset.gov.il/APPS/legislation/main/bills/2158817", "הצעת חוק בינוי ופינוי של אזורי שיקום (כפר שלם), התשפ""א-2021")</f>
        <v>14698</v>
      </c>
      <c r="E7543" t="s">
        <v>14698</v>
      </c>
      <c r="F7543" t="s">
        <v>14699</v>
      </c>
      <c r="G7543" t="s">
        <v>14</v>
      </c>
      <c r="H7543">
             </c>
      <c r="I7543" t="s">
        <v>14</v>
      </c>
      <c r="J7543" t="s">
        <v>31</v>
      </c>
      <c r="K7543" t="s">
        <v>19</v>
      </c>
      <c r="L7543" t="s">
        <v>20</v>
      </c>
      <c r="M7543" t="s">
        <v>14655</v>
      </c>
      <c r="N7543" t="s">
        <v>14</v>
      </c>
    </row>
    <row r="7544" x14ac:dyDescent="0.25">
      <c r="A7544" t="n">
        <v>24</v>
      </c>
      <c r="B7544" t="s">
        <v>14</v>
      </c>
      <c r="C7544" t="s">
        <v>22</v>
      </c>
      <c r="D7544" s="2" t="s">
        <f>=HYPERLINK("https://main.knesset.gov.il/APPS/legislation/main/bills/2159231", "הצעת חוק הבחירות (דרכי תעמולה) (תיקון - איסור על תעמולה גזענית), התשפ""א-2021")</f>
        <v>14700</v>
      </c>
      <c r="E7544" t="s">
        <v>14700</v>
      </c>
      <c r="F7544" t="s">
        <v>14701</v>
      </c>
      <c r="G7544" t="s">
        <v>14</v>
      </c>
      <c r="H7544">
             </c>
      <c r="I7544" t="s">
        <v>14</v>
      </c>
      <c r="J7544" t="s">
        <v>60</v>
      </c>
      <c r="K7544" t="s">
        <v>14</v>
      </c>
      <c r="L7544" t="s">
        <v>20</v>
      </c>
      <c r="M7544" t="s">
        <v>14655</v>
      </c>
      <c r="N7544" t="s">
        <v>14</v>
      </c>
    </row>
    <row r="7545" x14ac:dyDescent="0.25">
      <c r="A7545" t="n">
        <v>24</v>
      </c>
      <c r="B7545" t="s">
        <v>14</v>
      </c>
      <c r="C7545" t="s">
        <v>22</v>
      </c>
      <c r="D7545" s="2" t="s">
        <f>=HYPERLINK("https://main.knesset.gov.il/APPS/legislation/main/bills/2159028", "הצעת חוק זכאות לאבחון לקויות למידה לילדים ממשפחות מעוטות יכולת, התשפ""א-2021")</f>
        <v>14702</v>
      </c>
      <c r="E7545" t="s">
        <v>14702</v>
      </c>
      <c r="F7545" t="s">
        <v>14703</v>
      </c>
      <c r="G7545" t="s">
        <v>14</v>
      </c>
      <c r="H7545">
             </c>
      <c r="I7545" t="s">
        <v>14</v>
      </c>
      <c r="J7545" t="s">
        <v>60</v>
      </c>
      <c r="K7545" t="s">
        <v>14</v>
      </c>
      <c r="L7545" t="s">
        <v>20</v>
      </c>
      <c r="M7545" t="s">
        <v>14655</v>
      </c>
      <c r="N7545" t="s">
        <v>14</v>
      </c>
    </row>
    <row r="7546" x14ac:dyDescent="0.25">
      <c r="A7546" t="n">
        <v>24</v>
      </c>
      <c r="B7546" t="s">
        <v>14</v>
      </c>
      <c r="C7546" t="s">
        <v>22</v>
      </c>
      <c r="D7546" s="2" t="s">
        <f>=HYPERLINK("https://main.knesset.gov.il/APPS/legislation/main/bills/2159024", "הצעת חוק-יסוד: השפיטה (תיקון - מינוי שופטים לבית המשפט העליון וקציבת כהונתם)")</f>
        <v>11368</v>
      </c>
      <c r="E7546" t="s">
        <v>11368</v>
      </c>
      <c r="F7546" t="s">
        <v>14704</v>
      </c>
      <c r="G7546" t="s">
        <v>14</v>
      </c>
      <c r="H7546">
             </c>
      <c r="I7546" t="s">
        <v>14</v>
      </c>
      <c r="J7546" t="s">
        <v>55</v>
      </c>
      <c r="K7546" t="s">
        <v>14</v>
      </c>
      <c r="L7546" t="s">
        <v>20</v>
      </c>
      <c r="M7546" t="s">
        <v>14655</v>
      </c>
      <c r="N7546" t="s">
        <v>14</v>
      </c>
    </row>
    <row r="7547" x14ac:dyDescent="0.25">
      <c r="A7547" t="n">
        <v>24</v>
      </c>
      <c r="B7547" t="s">
        <v>14</v>
      </c>
      <c r="C7547" t="s">
        <v>22</v>
      </c>
      <c r="D7547" s="2" t="s">
        <f>=HYPERLINK("https://main.knesset.gov.il/APPS/legislation/main/bills/2157371", "הצעת חוק שירות המדינה (מינויים) (תיקון - מתן העדפה למשרתים בהעדפה מתקנת), התשפ""א-2021")</f>
        <v>14705</v>
      </c>
      <c r="E7547" t="s">
        <v>14705</v>
      </c>
      <c r="F7547" t="s">
        <v>14706</v>
      </c>
      <c r="G7547" t="s">
        <v>14</v>
      </c>
      <c r="H7547">
             </c>
      <c r="I7547" t="s">
        <v>14</v>
      </c>
      <c r="J7547" t="s">
        <v>31</v>
      </c>
      <c r="K7547" t="s">
        <v>27</v>
      </c>
      <c r="L7547" t="s">
        <v>20</v>
      </c>
      <c r="M7547" t="s">
        <v>14655</v>
      </c>
      <c r="N7547" t="s">
        <v>14</v>
      </c>
    </row>
    <row r="7548" x14ac:dyDescent="0.25">
      <c r="A7548" t="n">
        <v>24</v>
      </c>
      <c r="B7548" t="s">
        <v>14</v>
      </c>
      <c r="C7548" t="s">
        <v>22</v>
      </c>
      <c r="D7548" s="2" t="s">
        <f>=HYPERLINK("https://main.knesset.gov.il/APPS/legislation/main/bills/2156865", "הצעת חוק הבנקאות (רישוי) (תיקון - ועדה לבחינת סגירת סניפי בנק), התשפ""א-2021")</f>
        <v>14707</v>
      </c>
      <c r="E7548" t="s">
        <v>14707</v>
      </c>
      <c r="F7548" t="s">
        <v>14708</v>
      </c>
      <c r="G7548" t="s">
        <v>14</v>
      </c>
      <c r="H7548">
             </c>
      <c r="I7548" t="s">
        <v>14</v>
      </c>
      <c r="J7548" t="s">
        <v>60</v>
      </c>
      <c r="K7548" t="s">
        <v>14</v>
      </c>
      <c r="L7548" t="s">
        <v>20</v>
      </c>
      <c r="M7548" t="s">
        <v>14655</v>
      </c>
      <c r="N7548" t="s">
        <v>14</v>
      </c>
    </row>
    <row r="7549" x14ac:dyDescent="0.25">
      <c r="A7549" t="n">
        <v>24</v>
      </c>
      <c r="B7549" t="s">
        <v>14</v>
      </c>
      <c r="C7549" t="s">
        <v>22</v>
      </c>
      <c r="D7549" s="2" t="s">
        <f>=HYPERLINK("https://main.knesset.gov.il/APPS/legislation/main/bills/2156269", "הצעת חוק שוויון זכויות לאנשים עם מוגבלות (תיקון - הכשרה מתאימה לממונה תעסוקה), התשפ""א-2021")</f>
        <v>14709</v>
      </c>
      <c r="E7549" t="s">
        <v>14709</v>
      </c>
      <c r="F7549" t="s">
        <v>14710</v>
      </c>
      <c r="G7549" t="s">
        <v>14</v>
      </c>
      <c r="H7549">
             </c>
      <c r="I7549" t="s">
        <v>14</v>
      </c>
      <c r="J7549" t="s">
        <v>343</v>
      </c>
      <c r="K7549" t="s">
        <v>14</v>
      </c>
      <c r="L7549" t="s">
        <v>20</v>
      </c>
      <c r="M7549" t="s">
        <v>14655</v>
      </c>
      <c r="N7549" t="s">
        <v>14</v>
      </c>
    </row>
    <row r="7550" x14ac:dyDescent="0.25">
      <c r="A7550" t="n">
        <v>24</v>
      </c>
      <c r="B7550" t="s">
        <v>14</v>
      </c>
      <c r="C7550" t="s">
        <v>22</v>
      </c>
      <c r="D7550" s="2" t="s">
        <f>=HYPERLINK("https://main.knesset.gov.il/APPS/legislation/main/bills/2156380", "הצעת חוק למניעת העסקה בתחום החינוך והטיפול של אדם שהורשע או שמואשם בתקיפה או בהתעללות בחסר ישע, התשפ""א-2021")</f>
        <v>14711</v>
      </c>
      <c r="E7550" t="s">
        <v>14711</v>
      </c>
      <c r="F7550" t="s">
        <v>14712</v>
      </c>
      <c r="G7550" t="s">
        <v>14</v>
      </c>
      <c r="H7550">
             </c>
      <c r="I7550" t="s">
        <v>14</v>
      </c>
      <c r="J7550" t="s">
        <v>31</v>
      </c>
      <c r="K7550" t="s">
        <v>27</v>
      </c>
      <c r="L7550" t="s">
        <v>20</v>
      </c>
      <c r="M7550" t="s">
        <v>14655</v>
      </c>
      <c r="N7550" t="s">
        <v>14</v>
      </c>
    </row>
    <row r="7551" x14ac:dyDescent="0.25">
      <c r="A7551" t="n">
        <v>24</v>
      </c>
      <c r="B7551" t="s">
        <v>14</v>
      </c>
      <c r="C7551" t="s">
        <v>15</v>
      </c>
      <c r="D7551" s="2" t="s">
        <f>=HYPERLINK("https://main.knesset.gov.il/APPS/legislation/main/bills/2194530", "הצעת חוק חוזה הביטוח (תיקון מס' 12) (ריבית מיוחדת והתיישנות), התשפ""ב-2022 ")</f>
        <v>14713</v>
      </c>
      <c r="E7551" t="s">
        <v>14713</v>
      </c>
      <c r="F7551" t="s">
        <v>14</v>
      </c>
      <c r="G7551" t="s">
        <v>14714</v>
      </c>
      <c r="H7551">
             </c>
      <c r="I7551" t="s">
        <v>14</v>
      </c>
      <c r="J7551" t="s">
        <v>69</v>
      </c>
      <c r="K7551" t="s">
        <v>14</v>
      </c>
      <c r="L7551" t="s">
        <v>20</v>
      </c>
      <c r="M7551" t="s">
        <v>14655</v>
      </c>
      <c r="N7551" t="s">
        <v>14</v>
      </c>
    </row>
    <row r="7552" x14ac:dyDescent="0.25">
      <c r="A7552" t="n">
        <v>24</v>
      </c>
      <c r="B7552" t="s">
        <v>14</v>
      </c>
      <c r="C7552" t="s">
        <v>15</v>
      </c>
      <c r="D7552" s="2" t="s">
        <f>=HYPERLINK("https://main.knesset.gov.il/APPS/legislation/main/bills/2194556", "הצעת חוק הפיקוח על שירותים פיננסיים (ייעוץ, שיווק ומערכת סליקה פנסיוניים) (תיקון מס' 11), התשפ""ב-2022 ")</f>
        <v>14715</v>
      </c>
      <c r="E7552" t="s">
        <v>14715</v>
      </c>
      <c r="F7552" t="s">
        <v>14</v>
      </c>
      <c r="G7552" t="s">
        <v>14716</v>
      </c>
      <c r="H7552">
             </c>
      <c r="I7552" t="s">
        <v>14</v>
      </c>
      <c r="J7552" t="s">
        <v>69</v>
      </c>
      <c r="K7552" t="s">
        <v>14</v>
      </c>
      <c r="L7552" t="s">
        <v>20</v>
      </c>
      <c r="M7552" t="s">
        <v>14655</v>
      </c>
      <c r="N7552" t="s">
        <v>14</v>
      </c>
    </row>
    <row r="7553" x14ac:dyDescent="0.25">
      <c r="A7553" t="n">
        <v>24</v>
      </c>
      <c r="B7553" t="s">
        <v>14</v>
      </c>
      <c r="C7553" t="s">
        <v>15</v>
      </c>
      <c r="D7553" s="2" t="s">
        <f>=HYPERLINK("https://main.knesset.gov.il/APPS/legislation/main/bills/2158844", "הצעת חוק להארכת תוקפן של תקנות שעת חירום (יהודה והשומרון – שיפוט בעבירות ועזרה משפטית) (תיקון), התשפ""ב-2022 ")</f>
        <v>14717</v>
      </c>
      <c r="E7553" t="s">
        <v>14717</v>
      </c>
      <c r="F7553" t="s">
        <v>14</v>
      </c>
      <c r="G7553" t="s">
        <v>14718</v>
      </c>
      <c r="H7553">
             </c>
      <c r="I7553" t="s">
        <v>14</v>
      </c>
      <c r="J7553" t="s">
        <v>73</v>
      </c>
      <c r="K7553" t="s">
        <v>114</v>
      </c>
      <c r="L7553" t="s">
        <v>20</v>
      </c>
      <c r="M7553" t="s">
        <v>14655</v>
      </c>
      <c r="N7553" t="s">
        <v>14</v>
      </c>
    </row>
    <row r="7554" x14ac:dyDescent="0.25">
      <c r="A7554" t="n">
        <v>24</v>
      </c>
      <c r="B7554" t="s">
        <v>14</v>
      </c>
      <c r="C7554" t="s">
        <v>22</v>
      </c>
      <c r="D7554" s="2" t="s">
        <f>=HYPERLINK("https://main.knesset.gov.il/APPS/legislation/main/bills/2165506", "הצעת חוק הגנת הצרכן (תיקון מס' 64 – הוראת שעה) (ביטול עסקת מכר מרחוק למתן שירותי תיירות בישראל), התשפ""ב–2022")</f>
        <v>14719</v>
      </c>
      <c r="E7554" t="s">
        <v>14719</v>
      </c>
      <c r="F7554" t="s">
        <v>14720</v>
      </c>
      <c r="G7554" t="s">
        <v>14721</v>
      </c>
      <c r="H7554">
             </c>
      <c r="I7554" t="s">
        <v>26</v>
      </c>
      <c r="J7554" t="s">
        <v>69</v>
      </c>
      <c r="K7554" t="s">
        <v>19</v>
      </c>
      <c r="L7554" t="s">
        <v>20</v>
      </c>
      <c r="M7554" t="s">
        <v>14722</v>
      </c>
      <c r="N7554" t="s">
        <v>14</v>
      </c>
    </row>
    <row r="7555" x14ac:dyDescent="0.25">
      <c r="A7555" t="n">
        <v>24</v>
      </c>
      <c r="B7555" t="s">
        <v>14</v>
      </c>
      <c r="C7555" t="s">
        <v>22</v>
      </c>
      <c r="D7555" s="2" t="s">
        <f>=HYPERLINK("https://main.knesset.gov.il/APPS/legislation/main/bills/2156974", "הצעת חוק תגמולים לאסירי ציון ולבני משפחותיהם (תיקון מס' 9) (שינוי מועד יום ציון פועלם של אסירי ציון וקביעת פעולות לציונו), התשפ""ב-2022")</f>
        <v>14723</v>
      </c>
      <c r="E7555" t="s">
        <v>14723</v>
      </c>
      <c r="F7555" t="s">
        <v>14724</v>
      </c>
      <c r="G7555" t="s">
        <v>14725</v>
      </c>
      <c r="H7555">
             </c>
      <c r="I7555" t="s">
        <v>14</v>
      </c>
      <c r="J7555" t="s">
        <v>18</v>
      </c>
      <c r="K7555" t="s">
        <v>85</v>
      </c>
      <c r="L7555" t="s">
        <v>20</v>
      </c>
      <c r="M7555" t="s">
        <v>14722</v>
      </c>
      <c r="N7555" t="s">
        <v>14</v>
      </c>
    </row>
    <row r="7556" x14ac:dyDescent="0.25">
      <c r="A7556" t="n">
        <v>24</v>
      </c>
      <c r="B7556" t="s">
        <v>14</v>
      </c>
      <c r="C7556" t="s">
        <v>22</v>
      </c>
      <c r="D7556" s="2" t="s">
        <f>=HYPERLINK("https://main.knesset.gov.il/APPS/legislation/main/bills/2158888", "הצעת חוק הקמת מערכת סולארית בבית משותף שהוקם במסגרת עסקת פינוי ובינוי, התשפ""א-2021")</f>
        <v>14726</v>
      </c>
      <c r="E7556" t="s">
        <v>14726</v>
      </c>
      <c r="F7556" t="s">
        <v>14727</v>
      </c>
      <c r="G7556" t="s">
        <v>14</v>
      </c>
      <c r="H7556">
             </c>
      <c r="I7556" t="s">
        <v>14</v>
      </c>
      <c r="J7556" t="s">
        <v>31</v>
      </c>
      <c r="K7556" t="s">
        <v>19</v>
      </c>
      <c r="L7556" t="s">
        <v>20</v>
      </c>
      <c r="M7556" t="s">
        <v>14728</v>
      </c>
      <c r="N7556" t="s">
        <v>14</v>
      </c>
    </row>
    <row r="7557" x14ac:dyDescent="0.25">
      <c r="A7557" t="n">
        <v>24</v>
      </c>
      <c r="B7557" t="s">
        <v>14</v>
      </c>
      <c r="C7557" t="s">
        <v>22</v>
      </c>
      <c r="D7557" s="2" t="s">
        <f>=HYPERLINK("https://main.knesset.gov.il/APPS/legislation/main/bills/2164591", "הצעת חוק לתיקון פקודת התעבורה (הגבלת סכום אגרת רישיון רכב), התשפ""ב-2021")</f>
        <v>14729</v>
      </c>
      <c r="E7557" t="s">
        <v>14729</v>
      </c>
      <c r="F7557" t="s">
        <v>14730</v>
      </c>
      <c r="G7557" t="s">
        <v>14</v>
      </c>
      <c r="H7557">
             </c>
      <c r="I7557" t="s">
        <v>14</v>
      </c>
      <c r="J7557" t="s">
        <v>31</v>
      </c>
      <c r="K7557" t="s">
        <v>19</v>
      </c>
      <c r="L7557" t="s">
        <v>20</v>
      </c>
      <c r="M7557" t="s">
        <v>14728</v>
      </c>
      <c r="N7557" t="s">
        <v>14</v>
      </c>
    </row>
    <row r="7558" x14ac:dyDescent="0.25">
      <c r="A7558" t="n">
        <v>24</v>
      </c>
      <c r="B7558" t="s">
        <v>14</v>
      </c>
      <c r="C7558" t="s">
        <v>15</v>
      </c>
      <c r="D7558" s="2" t="s">
        <f>=HYPERLINK("https://main.knesset.gov.il/APPS/legislation/main/bills/2162976", "חוק פנייה לגופים ציבוריים באמצעי קשר דיגיטליים (תיקון מס' 2 והוראת שעה), התשפ""ב–2022")</f>
        <v>14731</v>
      </c>
      <c r="E7558" t="s">
        <v>14731</v>
      </c>
      <c r="F7558" t="s">
        <v>14</v>
      </c>
      <c r="G7558" t="s">
        <v>5568</v>
      </c>
      <c r="H7558" t="n">
        <v>2980</v>
      </c>
      <c r="I7558" t="s">
        <v>14</v>
      </c>
      <c r="J7558" t="s">
        <v>91</v>
      </c>
      <c r="K7558" t="s">
        <v>27</v>
      </c>
      <c r="L7558" t="s">
        <v>20</v>
      </c>
      <c r="M7558" t="s">
        <v>14728</v>
      </c>
      <c r="N7558" t="s">
        <v>14732</v>
      </c>
    </row>
    <row r="7559" x14ac:dyDescent="0.25">
      <c r="A7559" t="n">
        <v>24</v>
      </c>
      <c r="B7559" t="s">
        <v>14</v>
      </c>
      <c r="C7559" t="s">
        <v>22</v>
      </c>
      <c r="D7559" s="2" t="s">
        <f>=HYPERLINK("https://main.knesset.gov.il/APPS/legislation/main/bills/2160742", "חוק שמירת הניקיון (תיקון מס' 24), התשפ""ב-2022")</f>
        <v>14733</v>
      </c>
      <c r="E7559" t="s">
        <v>14733</v>
      </c>
      <c r="F7559" t="s">
        <v>14734</v>
      </c>
      <c r="G7559" t="s">
        <v>14735</v>
      </c>
      <c r="H7559" t="n">
        <v>2979</v>
      </c>
      <c r="I7559" t="s">
        <v>14</v>
      </c>
      <c r="J7559" t="s">
        <v>91</v>
      </c>
      <c r="K7559" t="s">
        <v>46</v>
      </c>
      <c r="L7559" t="s">
        <v>20</v>
      </c>
      <c r="M7559" t="s">
        <v>14728</v>
      </c>
      <c r="N7559" t="s">
        <v>14736</v>
      </c>
    </row>
    <row r="7560" x14ac:dyDescent="0.25">
      <c r="A7560" t="n">
        <v>24</v>
      </c>
      <c r="B7560" t="s">
        <v>14</v>
      </c>
      <c r="C7560" t="s">
        <v>22</v>
      </c>
      <c r="D7560" s="2" t="s">
        <f>=HYPERLINK("https://main.knesset.gov.il/APPS/legislation/main/bills/2166722", "חוק הבנקאות (שירות ללקוח) (תיקון מס' 34), התשפ""ב-2022")</f>
        <v>14737</v>
      </c>
      <c r="E7560" t="s">
        <v>14737</v>
      </c>
      <c r="F7560" t="s">
        <v>14738</v>
      </c>
      <c r="G7560" t="s">
        <v>14739</v>
      </c>
      <c r="H7560" t="n">
        <v>2978</v>
      </c>
      <c r="I7560" t="s">
        <v>14</v>
      </c>
      <c r="J7560" t="s">
        <v>91</v>
      </c>
      <c r="K7560" t="s">
        <v>19</v>
      </c>
      <c r="L7560" t="s">
        <v>20</v>
      </c>
      <c r="M7560" t="s">
        <v>14728</v>
      </c>
      <c r="N7560" t="s">
        <v>14740</v>
      </c>
    </row>
    <row r="7561" x14ac:dyDescent="0.25">
      <c r="A7561" t="n">
        <v>24</v>
      </c>
      <c r="B7561" t="s">
        <v>14</v>
      </c>
      <c r="C7561" t="s">
        <v>22</v>
      </c>
      <c r="D7561" s="2" t="s">
        <f>=HYPERLINK("https://main.knesset.gov.il/APPS/legislation/main/bills/2194284", "הצעת חוק להארכת תוקפן של תקנות שעת חירום (יהודה והשומרון - שיפוט בעבירות ועזרה משפטית), התשפ""ב-2022")</f>
        <v>14741</v>
      </c>
      <c r="E7561" t="s">
        <v>14741</v>
      </c>
      <c r="F7561" t="s">
        <v>14742</v>
      </c>
      <c r="G7561" t="s">
        <v>14</v>
      </c>
      <c r="H7561">
             </c>
      <c r="I7561" t="s">
        <v>14</v>
      </c>
      <c r="J7561" t="s">
        <v>141</v>
      </c>
      <c r="K7561" t="s">
        <v>14</v>
      </c>
      <c r="L7561" t="s">
        <v>20</v>
      </c>
      <c r="M7561" t="s">
        <v>14728</v>
      </c>
      <c r="N7561" t="s">
        <v>14</v>
      </c>
    </row>
    <row r="7562" x14ac:dyDescent="0.25">
      <c r="A7562" t="n">
        <v>24</v>
      </c>
      <c r="B7562" t="s">
        <v>14</v>
      </c>
      <c r="C7562" t="s">
        <v>22</v>
      </c>
      <c r="D7562" s="2" t="s">
        <f>=HYPERLINK("https://main.knesset.gov.il/APPS/legislation/main/bills/2191393", "הצעת חוק עובדים זרים (תיקון - אי-תחולת הסדר פנסיוני על עובד זר המועסק אצל יחיד בענף הסיעוד), התשפ""ב-2022")</f>
        <v>14743</v>
      </c>
      <c r="E7562" t="s">
        <v>14743</v>
      </c>
      <c r="F7562" t="s">
        <v>14744</v>
      </c>
      <c r="G7562" t="s">
        <v>14</v>
      </c>
      <c r="H7562">
             </c>
      <c r="I7562" t="s">
        <v>14</v>
      </c>
      <c r="J7562" t="s">
        <v>141</v>
      </c>
      <c r="K7562" t="s">
        <v>14</v>
      </c>
      <c r="L7562" t="s">
        <v>20</v>
      </c>
      <c r="M7562" t="s">
        <v>14728</v>
      </c>
      <c r="N7562" t="s">
        <v>14</v>
      </c>
    </row>
    <row r="7563" x14ac:dyDescent="0.25">
      <c r="A7563" t="n">
        <v>24</v>
      </c>
      <c r="B7563" t="s">
        <v>14</v>
      </c>
      <c r="C7563" t="s">
        <v>22</v>
      </c>
      <c r="D7563" s="2" t="s">
        <f>=HYPERLINK("https://main.knesset.gov.il/APPS/legislation/main/bills/2192081", "הצעת חוק משפחות חיילים שנספו במערכה (תגמולים ושיקום) (תיקון - תוספת לשכול מבוגר), התשפ""ב-2022")</f>
        <v>14745</v>
      </c>
      <c r="E7563" t="s">
        <v>14745</v>
      </c>
      <c r="F7563" t="s">
        <v>14746</v>
      </c>
      <c r="G7563" t="s">
        <v>14</v>
      </c>
      <c r="H7563">
             </c>
      <c r="I7563" t="s">
        <v>14</v>
      </c>
      <c r="J7563" t="s">
        <v>141</v>
      </c>
      <c r="K7563" t="s">
        <v>14</v>
      </c>
      <c r="L7563" t="s">
        <v>20</v>
      </c>
      <c r="M7563" t="s">
        <v>14728</v>
      </c>
      <c r="N7563" t="s">
        <v>14</v>
      </c>
    </row>
    <row r="7564" x14ac:dyDescent="0.25">
      <c r="A7564" t="n">
        <v>24</v>
      </c>
      <c r="B7564" t="s">
        <v>14</v>
      </c>
      <c r="C7564" t="s">
        <v>22</v>
      </c>
      <c r="D7564" s="2" t="s">
        <f>=HYPERLINK("https://main.knesset.gov.il/APPS/legislation/main/bills/2191648", "הצעת חוק הביטוח הלאומי (תיקון - תנאי זכאות לגמלה לשמירת הריון), התשפ""ב-2022")</f>
        <v>14747</v>
      </c>
      <c r="E7564" t="s">
        <v>14747</v>
      </c>
      <c r="F7564" t="s">
        <v>14748</v>
      </c>
      <c r="G7564" t="s">
        <v>14</v>
      </c>
      <c r="H7564">
             </c>
      <c r="I7564" t="s">
        <v>14</v>
      </c>
      <c r="J7564" t="s">
        <v>141</v>
      </c>
      <c r="K7564" t="s">
        <v>14</v>
      </c>
      <c r="L7564" t="s">
        <v>20</v>
      </c>
      <c r="M7564" t="s">
        <v>14728</v>
      </c>
      <c r="N7564" t="s">
        <v>14</v>
      </c>
    </row>
    <row r="7565" x14ac:dyDescent="0.25">
      <c r="A7565" t="n">
        <v>24</v>
      </c>
      <c r="B7565" t="s">
        <v>14</v>
      </c>
      <c r="C7565" t="s">
        <v>22</v>
      </c>
      <c r="D7565" s="2" t="s">
        <f>=HYPERLINK("https://main.knesset.gov.il/APPS/legislation/main/bills/2192072", "הצעת חוק משפחות חיילים שנספו במערכה (תגמולים ושיקום) (תיקון - הטבות לאח הנספה), התשפ''ב-2022 ")</f>
        <v>14373</v>
      </c>
      <c r="E7565" t="s">
        <v>14373</v>
      </c>
      <c r="F7565" t="s">
        <v>14749</v>
      </c>
      <c r="G7565" t="s">
        <v>14</v>
      </c>
      <c r="H7565">
             </c>
      <c r="I7565" t="s">
        <v>14</v>
      </c>
      <c r="J7565" t="s">
        <v>141</v>
      </c>
      <c r="K7565" t="s">
        <v>14</v>
      </c>
      <c r="L7565" t="s">
        <v>20</v>
      </c>
      <c r="M7565" t="s">
        <v>14728</v>
      </c>
      <c r="N7565" t="s">
        <v>14</v>
      </c>
    </row>
    <row r="7566" x14ac:dyDescent="0.25">
      <c r="A7566" t="n">
        <v>24</v>
      </c>
      <c r="B7566" t="s">
        <v>14</v>
      </c>
      <c r="C7566" t="s">
        <v>22</v>
      </c>
      <c r="D7566" s="2" t="s">
        <f>=HYPERLINK("https://main.knesset.gov.il/APPS/legislation/main/bills/2194118", "הצעת חוק חסינות חברי הכנסת, זכויותיהם וחובותיהם (תיקון - פעילות ועדת האתיקה בהרכב חסר), התשפ""ב-2022")</f>
        <v>14750</v>
      </c>
      <c r="E7566" t="s">
        <v>14750</v>
      </c>
      <c r="F7566" t="s">
        <v>14751</v>
      </c>
      <c r="G7566" t="s">
        <v>14</v>
      </c>
      <c r="H7566">
             </c>
      <c r="I7566" t="s">
        <v>14</v>
      </c>
      <c r="J7566" t="s">
        <v>141</v>
      </c>
      <c r="K7566" t="s">
        <v>14</v>
      </c>
      <c r="L7566" t="s">
        <v>20</v>
      </c>
      <c r="M7566" t="s">
        <v>14728</v>
      </c>
      <c r="N7566" t="s">
        <v>14</v>
      </c>
    </row>
    <row r="7567" x14ac:dyDescent="0.25">
      <c r="A7567" t="n">
        <v>24</v>
      </c>
      <c r="B7567" t="s">
        <v>14</v>
      </c>
      <c r="C7567" t="s">
        <v>22</v>
      </c>
      <c r="D7567" s="2" t="s">
        <f>=HYPERLINK("https://main.knesset.gov.il/APPS/legislation/main/bills/2193853", "הצעת חוק הבחירות לכנסת (תיקון - אחוז החסימה), התשפ""ב-2022")</f>
        <v>14752</v>
      </c>
      <c r="E7567" t="s">
        <v>14752</v>
      </c>
      <c r="F7567" t="s">
        <v>14753</v>
      </c>
      <c r="G7567" t="s">
        <v>14</v>
      </c>
      <c r="H7567">
             </c>
      <c r="I7567" t="s">
        <v>14</v>
      </c>
      <c r="J7567" t="s">
        <v>141</v>
      </c>
      <c r="K7567" t="s">
        <v>14</v>
      </c>
      <c r="L7567" t="s">
        <v>20</v>
      </c>
      <c r="M7567" t="s">
        <v>14728</v>
      </c>
      <c r="N7567" t="s">
        <v>14</v>
      </c>
    </row>
    <row r="7568" x14ac:dyDescent="0.25">
      <c r="A7568" t="n">
        <v>24</v>
      </c>
      <c r="B7568" t="s">
        <v>14</v>
      </c>
      <c r="C7568" t="s">
        <v>22</v>
      </c>
      <c r="D7568" s="2" t="s">
        <f>=HYPERLINK("https://main.knesset.gov.il/APPS/legislation/main/bills/2193060", "הצעת חוק הגנת הצרכן (תיקון - שובר זיכוי לנוסע ליעד באזהרת מסע חמורה), התשפ""ב-2022")</f>
        <v>14754</v>
      </c>
      <c r="E7568" t="s">
        <v>14754</v>
      </c>
      <c r="F7568" t="s">
        <v>14755</v>
      </c>
      <c r="G7568" t="s">
        <v>14</v>
      </c>
      <c r="H7568">
             </c>
      <c r="I7568" t="s">
        <v>14</v>
      </c>
      <c r="J7568" t="s">
        <v>141</v>
      </c>
      <c r="K7568" t="s">
        <v>14</v>
      </c>
      <c r="L7568" t="s">
        <v>20</v>
      </c>
      <c r="M7568" t="s">
        <v>14728</v>
      </c>
      <c r="N7568" t="s">
        <v>14</v>
      </c>
    </row>
    <row r="7569" x14ac:dyDescent="0.25">
      <c r="A7569" t="n">
        <v>24</v>
      </c>
      <c r="B7569" t="s">
        <v>14</v>
      </c>
      <c r="C7569" t="s">
        <v>22</v>
      </c>
      <c r="D7569" s="2" t="s">
        <f>=HYPERLINK("https://main.knesset.gov.il/APPS/legislation/main/bills/2192275", "הצעת חוק הספורט (תיקון - צירוף נציג אוהדים להנהלת קבוצת כדורגל), התשפ""ב-2022")</f>
        <v>14756</v>
      </c>
      <c r="E7569" t="s">
        <v>14756</v>
      </c>
      <c r="F7569" t="s">
        <v>14757</v>
      </c>
      <c r="G7569" t="s">
        <v>14</v>
      </c>
      <c r="H7569">
             </c>
      <c r="I7569" t="s">
        <v>14</v>
      </c>
      <c r="J7569" t="s">
        <v>141</v>
      </c>
      <c r="K7569" t="s">
        <v>14</v>
      </c>
      <c r="L7569" t="s">
        <v>20</v>
      </c>
      <c r="M7569" t="s">
        <v>14728</v>
      </c>
      <c r="N7569" t="s">
        <v>14</v>
      </c>
    </row>
    <row r="7570" x14ac:dyDescent="0.25">
      <c r="A7570" t="n">
        <v>24</v>
      </c>
      <c r="B7570" t="s">
        <v>14</v>
      </c>
      <c r="C7570" t="s">
        <v>22</v>
      </c>
      <c r="D7570" s="2" t="s">
        <f>=HYPERLINK("https://main.knesset.gov.il/APPS/legislation/main/bills/2192769", "הצעת חוק עסקאות גופים ציבוריים (תיקון - אכיפת דיווח פערי שכר שנתי בהתייחסות לפי מין), התשפ""ב-2022")</f>
        <v>14758</v>
      </c>
      <c r="E7570" t="s">
        <v>14758</v>
      </c>
      <c r="F7570" t="s">
        <v>14759</v>
      </c>
      <c r="G7570" t="s">
        <v>14</v>
      </c>
      <c r="H7570">
             </c>
      <c r="I7570" t="s">
        <v>14</v>
      </c>
      <c r="J7570" t="s">
        <v>141</v>
      </c>
      <c r="K7570" t="s">
        <v>14</v>
      </c>
      <c r="L7570" t="s">
        <v>20</v>
      </c>
      <c r="M7570" t="s">
        <v>14728</v>
      </c>
      <c r="N7570" t="s">
        <v>14</v>
      </c>
    </row>
    <row r="7571" x14ac:dyDescent="0.25">
      <c r="A7571" t="n">
        <v>24</v>
      </c>
      <c r="B7571" t="s">
        <v>14</v>
      </c>
      <c r="C7571" t="s">
        <v>22</v>
      </c>
      <c r="D7571" s="2" t="s">
        <f>=HYPERLINK("https://main.knesset.gov.il/APPS/legislation/main/bills/2192706", "הצעת חוק לתיקון פקודת התעבורה (הקמת מאגר מידע לריכוז דוחות חניה), התשפ""ב-2022")</f>
        <v>14760</v>
      </c>
      <c r="E7571" t="s">
        <v>14760</v>
      </c>
      <c r="F7571" t="s">
        <v>14761</v>
      </c>
      <c r="G7571" t="s">
        <v>14</v>
      </c>
      <c r="H7571">
             </c>
      <c r="I7571" t="s">
        <v>14</v>
      </c>
      <c r="J7571" t="s">
        <v>141</v>
      </c>
      <c r="K7571" t="s">
        <v>14</v>
      </c>
      <c r="L7571" t="s">
        <v>20</v>
      </c>
      <c r="M7571" t="s">
        <v>14728</v>
      </c>
      <c r="N7571" t="s">
        <v>14</v>
      </c>
    </row>
    <row r="7572" x14ac:dyDescent="0.25">
      <c r="A7572" t="n">
        <v>24</v>
      </c>
      <c r="B7572" t="s">
        <v>14</v>
      </c>
      <c r="C7572" t="s">
        <v>22</v>
      </c>
      <c r="D7572" s="2" t="s">
        <f>=HYPERLINK("https://main.knesset.gov.il/APPS/legislation/main/bills/2192183", "הצעת חוק לתיקון פקודת המועצות המקומיות (בחירות לוועד מקומי במועצה אזורית), התשפ""ב-2022")</f>
        <v>14762</v>
      </c>
      <c r="E7572" t="s">
        <v>14762</v>
      </c>
      <c r="F7572" t="s">
        <v>14763</v>
      </c>
      <c r="G7572" t="s">
        <v>14</v>
      </c>
      <c r="H7572">
             </c>
      <c r="I7572" t="s">
        <v>14</v>
      </c>
      <c r="J7572" t="s">
        <v>141</v>
      </c>
      <c r="K7572" t="s">
        <v>14</v>
      </c>
      <c r="L7572" t="s">
        <v>20</v>
      </c>
      <c r="M7572" t="s">
        <v>14728</v>
      </c>
      <c r="N7572" t="s">
        <v>14</v>
      </c>
    </row>
    <row r="7573" x14ac:dyDescent="0.25">
      <c r="A7573" t="n">
        <v>24</v>
      </c>
      <c r="B7573" t="s">
        <v>14</v>
      </c>
      <c r="C7573" t="s">
        <v>22</v>
      </c>
      <c r="D7573" s="2" t="s">
        <f>=HYPERLINK("https://main.knesset.gov.il/APPS/legislation/main/bills/2191022", "הצעת חוק האזרחות והכניסה לישראל (הוראת שעה) (תיקון - ביטול החוק), התשפ""ב-2022")</f>
        <v>14764</v>
      </c>
      <c r="E7573" t="s">
        <v>14764</v>
      </c>
      <c r="F7573" t="s">
        <v>14765</v>
      </c>
      <c r="G7573" t="s">
        <v>14</v>
      </c>
      <c r="H7573">
             </c>
      <c r="I7573" t="s">
        <v>14</v>
      </c>
      <c r="J7573" t="s">
        <v>141</v>
      </c>
      <c r="K7573" t="s">
        <v>14</v>
      </c>
      <c r="L7573" t="s">
        <v>20</v>
      </c>
      <c r="M7573" t="s">
        <v>14728</v>
      </c>
      <c r="N7573" t="s">
        <v>14</v>
      </c>
    </row>
    <row r="7574" x14ac:dyDescent="0.25">
      <c r="A7574" t="n">
        <v>24</v>
      </c>
      <c r="B7574" t="s">
        <v>14</v>
      </c>
      <c r="C7574" t="s">
        <v>22</v>
      </c>
      <c r="D7574" s="2" t="s">
        <f>=HYPERLINK("https://main.knesset.gov.il/APPS/legislation/main/bills/2192708", "הצעת חוק הגנה על הציבור (מזון) (תיקון - שאריות חומרי הדברה במזון), התשפ""ב-2022")</f>
        <v>14766</v>
      </c>
      <c r="E7574" t="s">
        <v>14766</v>
      </c>
      <c r="F7574" t="s">
        <v>14767</v>
      </c>
      <c r="G7574" t="s">
        <v>14</v>
      </c>
      <c r="H7574">
             </c>
      <c r="I7574" t="s">
        <v>14</v>
      </c>
      <c r="J7574" t="s">
        <v>141</v>
      </c>
      <c r="K7574" t="s">
        <v>14</v>
      </c>
      <c r="L7574" t="s">
        <v>20</v>
      </c>
      <c r="M7574" t="s">
        <v>14728</v>
      </c>
      <c r="N7574" t="s">
        <v>14</v>
      </c>
    </row>
    <row r="7575" x14ac:dyDescent="0.25">
      <c r="A7575" t="n">
        <v>24</v>
      </c>
      <c r="B7575" t="s">
        <v>14</v>
      </c>
      <c r="C7575" t="s">
        <v>22</v>
      </c>
      <c r="D7575" s="2" t="s">
        <f>=HYPERLINK("https://main.knesset.gov.il/APPS/legislation/main/bills/2194244", "הצעת חוק חג הפסח בבסיסי צה""ל, התשפ""ב-2022 ")</f>
        <v>14768</v>
      </c>
      <c r="E7575" t="s">
        <v>14768</v>
      </c>
      <c r="F7575" t="s">
        <v>14769</v>
      </c>
      <c r="G7575" t="s">
        <v>14</v>
      </c>
      <c r="H7575">
             </c>
      <c r="I7575" t="s">
        <v>14</v>
      </c>
      <c r="J7575" t="s">
        <v>141</v>
      </c>
      <c r="K7575" t="s">
        <v>14</v>
      </c>
      <c r="L7575" t="s">
        <v>20</v>
      </c>
      <c r="M7575" t="s">
        <v>14728</v>
      </c>
      <c r="N7575" t="s">
        <v>14</v>
      </c>
    </row>
    <row r="7576" x14ac:dyDescent="0.25">
      <c r="A7576" t="n">
        <v>24</v>
      </c>
      <c r="B7576" t="s">
        <v>14</v>
      </c>
      <c r="C7576" t="s">
        <v>22</v>
      </c>
      <c r="D7576" s="2" t="s">
        <f>=HYPERLINK("https://main.knesset.gov.il/APPS/legislation/main/bills/2166435", "הצעת חוק למניעת אלימות במשפחה (תיקון - הגדרת אלימות במשפחה), התשפ""ב-2022 ")</f>
        <v>14770</v>
      </c>
      <c r="E7576" t="s">
        <v>14770</v>
      </c>
      <c r="F7576" t="s">
        <v>14771</v>
      </c>
      <c r="G7576" t="s">
        <v>14</v>
      </c>
      <c r="H7576">
             </c>
      <c r="I7576" t="s">
        <v>14</v>
      </c>
      <c r="J7576" t="s">
        <v>141</v>
      </c>
      <c r="K7576" t="s">
        <v>14</v>
      </c>
      <c r="L7576" t="s">
        <v>20</v>
      </c>
      <c r="M7576" t="s">
        <v>14728</v>
      </c>
      <c r="N7576" t="s">
        <v>14</v>
      </c>
    </row>
    <row r="7577" x14ac:dyDescent="0.25">
      <c r="A7577" t="n">
        <v>24</v>
      </c>
      <c r="B7577" t="s">
        <v>14</v>
      </c>
      <c r="C7577" t="s">
        <v>22</v>
      </c>
      <c r="D7577" s="2" t="s">
        <f>=HYPERLINK("https://main.knesset.gov.il/APPS/legislation/main/bills/2192832", "הצעת חוק ביטוח בריאות ממלכתי (תיקון - החזר הוצאות עבור נסיעה באמבולנס לאזרחים ותיקים שמקבלים גמלה לפי חוק הבטחת הכנסה), התשפ""ב-2022")</f>
        <v>14772</v>
      </c>
      <c r="E7577" t="s">
        <v>14772</v>
      </c>
      <c r="F7577" t="s">
        <v>14773</v>
      </c>
      <c r="G7577" t="s">
        <v>14</v>
      </c>
      <c r="H7577">
             </c>
      <c r="I7577" t="s">
        <v>14</v>
      </c>
      <c r="J7577" t="s">
        <v>141</v>
      </c>
      <c r="K7577" t="s">
        <v>14</v>
      </c>
      <c r="L7577" t="s">
        <v>20</v>
      </c>
      <c r="M7577" t="s">
        <v>14728</v>
      </c>
      <c r="N7577" t="s">
        <v>14</v>
      </c>
    </row>
    <row r="7578" x14ac:dyDescent="0.25">
      <c r="A7578" t="n">
        <v>24</v>
      </c>
      <c r="B7578" t="s">
        <v>14</v>
      </c>
      <c r="C7578" t="s">
        <v>22</v>
      </c>
      <c r="D7578" s="2" t="s">
        <f>=HYPERLINK("https://main.knesset.gov.il/APPS/legislation/main/bills/2190060", "הצעת חוק הרשויות המקומיות (אכיפה סביבתית - סמכויות פקחים) (תיקון - סמכויות רשות מקומית החברה באיגוד ערים), התשפ״ב-2022")</f>
        <v>14774</v>
      </c>
      <c r="E7578" t="s">
        <v>14774</v>
      </c>
      <c r="F7578" t="s">
        <v>14775</v>
      </c>
      <c r="G7578" t="s">
        <v>14</v>
      </c>
      <c r="H7578">
             </c>
      <c r="I7578" t="s">
        <v>14</v>
      </c>
      <c r="J7578" t="s">
        <v>141</v>
      </c>
      <c r="K7578" t="s">
        <v>14</v>
      </c>
      <c r="L7578" t="s">
        <v>20</v>
      </c>
      <c r="M7578" t="s">
        <v>14728</v>
      </c>
      <c r="N7578" t="s">
        <v>14</v>
      </c>
    </row>
    <row r="7579" x14ac:dyDescent="0.25">
      <c r="A7579" t="n">
        <v>24</v>
      </c>
      <c r="B7579" t="s">
        <v>14</v>
      </c>
      <c r="C7579" t="s">
        <v>22</v>
      </c>
      <c r="D7579" s="2" t="s">
        <f>=HYPERLINK("https://main.knesset.gov.il/APPS/legislation/main/bills/2192886", "הצעת חוק למניעת השתלטות תושבי הרשות הפלסטינית על שטחי c, התשפ""ב-2022")</f>
        <v>14776</v>
      </c>
      <c r="E7579" t="s">
        <v>14776</v>
      </c>
      <c r="F7579" t="s">
        <v>14777</v>
      </c>
      <c r="G7579" t="s">
        <v>14</v>
      </c>
      <c r="H7579">
             </c>
      <c r="I7579" t="s">
        <v>14</v>
      </c>
      <c r="J7579" t="s">
        <v>141</v>
      </c>
      <c r="K7579" t="s">
        <v>14</v>
      </c>
      <c r="L7579" t="s">
        <v>20</v>
      </c>
      <c r="M7579" t="s">
        <v>14728</v>
      </c>
      <c r="N7579" t="s">
        <v>14</v>
      </c>
    </row>
    <row r="7580" x14ac:dyDescent="0.25">
      <c r="A7580" t="n">
        <v>24</v>
      </c>
      <c r="B7580" t="s">
        <v>14</v>
      </c>
      <c r="C7580" t="s">
        <v>22</v>
      </c>
      <c r="D7580" s="2" t="s">
        <f>=HYPERLINK("https://main.knesset.gov.il/APPS/legislation/main/bills/2193201", "הצעת חוק שוויון זכויות לאנשים עם מוגבלות (תיקון - נגישות להורה ולתלמיד במוסד חינוך), התשפ""ב-2022")</f>
        <v>14778</v>
      </c>
      <c r="E7580" t="s">
        <v>14778</v>
      </c>
      <c r="F7580" t="s">
        <v>14779</v>
      </c>
      <c r="G7580" t="s">
        <v>14</v>
      </c>
      <c r="H7580">
             </c>
      <c r="I7580" t="s">
        <v>14</v>
      </c>
      <c r="J7580" t="s">
        <v>141</v>
      </c>
      <c r="K7580" t="s">
        <v>14</v>
      </c>
      <c r="L7580" t="s">
        <v>20</v>
      </c>
      <c r="M7580" t="s">
        <v>14728</v>
      </c>
      <c r="N7580" t="s">
        <v>14</v>
      </c>
    </row>
    <row r="7581" x14ac:dyDescent="0.25">
      <c r="A7581" t="n">
        <v>24</v>
      </c>
      <c r="B7581" t="s">
        <v>14</v>
      </c>
      <c r="C7581" t="s">
        <v>22</v>
      </c>
      <c r="D7581" s="2" t="s">
        <f>=HYPERLINK("https://main.knesset.gov.il/APPS/legislation/main/bills/2193856", "הצעת חוק מאבק בארגוני פשיעה (תיקון - הרחבת הנסיבה המחמירה לזיקה לארגון פשיעה), התשפ""ב-2022")</f>
        <v>14780</v>
      </c>
      <c r="E7581" t="s">
        <v>14780</v>
      </c>
      <c r="F7581" t="s">
        <v>14781</v>
      </c>
      <c r="G7581" t="s">
        <v>14</v>
      </c>
      <c r="H7581">
             </c>
      <c r="I7581" t="s">
        <v>14</v>
      </c>
      <c r="J7581" t="s">
        <v>141</v>
      </c>
      <c r="K7581" t="s">
        <v>14</v>
      </c>
      <c r="L7581" t="s">
        <v>20</v>
      </c>
      <c r="M7581" t="s">
        <v>14728</v>
      </c>
      <c r="N7581" t="s">
        <v>14</v>
      </c>
    </row>
    <row r="7582" x14ac:dyDescent="0.25">
      <c r="A7582" t="n">
        <v>24</v>
      </c>
      <c r="B7582" t="s">
        <v>14</v>
      </c>
      <c r="C7582" t="s">
        <v>22</v>
      </c>
      <c r="D7582" s="2" t="s">
        <f>=HYPERLINK("https://main.knesset.gov.il/APPS/legislation/main/bills/2193075", "הצעת חוק הבטחת הכנסה (תיקון - גמלה לזכאי שהגיע לגיל פרישה ובבעלותו רכב), התשפ""ב-2022")</f>
        <v>14782</v>
      </c>
      <c r="E7582" t="s">
        <v>14782</v>
      </c>
      <c r="F7582" t="s">
        <v>14783</v>
      </c>
      <c r="G7582" t="s">
        <v>14</v>
      </c>
      <c r="H7582">
             </c>
      <c r="I7582" t="s">
        <v>14</v>
      </c>
      <c r="J7582" t="s">
        <v>141</v>
      </c>
      <c r="K7582" t="s">
        <v>14</v>
      </c>
      <c r="L7582" t="s">
        <v>20</v>
      </c>
      <c r="M7582" t="s">
        <v>14728</v>
      </c>
      <c r="N7582" t="s">
        <v>14</v>
      </c>
    </row>
    <row r="7583" x14ac:dyDescent="0.25">
      <c r="A7583" t="n">
        <v>24</v>
      </c>
      <c r="B7583" t="s">
        <v>14</v>
      </c>
      <c r="C7583" t="s">
        <v>22</v>
      </c>
      <c r="D7583" s="2" t="s">
        <f>=HYPERLINK("https://main.knesset.gov.il/APPS/legislation/main/bills/2192928", "הצעת חוק זכויות ושירותים לילדים ולבני נוער עם קשיים נפשיים, התשפ""ב-2022")</f>
        <v>14784</v>
      </c>
      <c r="E7583" t="s">
        <v>14784</v>
      </c>
      <c r="F7583" t="s">
        <v>14785</v>
      </c>
      <c r="G7583" t="s">
        <v>14</v>
      </c>
      <c r="H7583">
             </c>
      <c r="I7583" t="s">
        <v>14</v>
      </c>
      <c r="J7583" t="s">
        <v>141</v>
      </c>
      <c r="K7583" t="s">
        <v>14</v>
      </c>
      <c r="L7583" t="s">
        <v>20</v>
      </c>
      <c r="M7583" t="s">
        <v>14728</v>
      </c>
      <c r="N7583" t="s">
        <v>14</v>
      </c>
    </row>
    <row r="7584" x14ac:dyDescent="0.25">
      <c r="A7584" t="n">
        <v>24</v>
      </c>
      <c r="B7584" t="s">
        <v>14</v>
      </c>
      <c r="C7584" t="s">
        <v>22</v>
      </c>
      <c r="D7584" s="2" t="s">
        <f>=HYPERLINK("https://main.knesset.gov.il/APPS/legislation/main/bills/2193107", "הצעת חוק תאגידי מים וביוב (תיקון - הפעלת שירותי מים וביוב על ידי רשות מקומית), התשפ""ב-2022")</f>
        <v>14786</v>
      </c>
      <c r="E7584" t="s">
        <v>14786</v>
      </c>
      <c r="F7584" t="s">
        <v>14787</v>
      </c>
      <c r="G7584" t="s">
        <v>14</v>
      </c>
      <c r="H7584">
             </c>
      <c r="I7584" t="s">
        <v>14</v>
      </c>
      <c r="J7584" t="s">
        <v>141</v>
      </c>
      <c r="K7584" t="s">
        <v>14</v>
      </c>
      <c r="L7584" t="s">
        <v>20</v>
      </c>
      <c r="M7584" t="s">
        <v>14728</v>
      </c>
      <c r="N7584" t="s">
        <v>14</v>
      </c>
    </row>
    <row r="7585" x14ac:dyDescent="0.25">
      <c r="A7585" t="n">
        <v>24</v>
      </c>
      <c r="B7585" t="s">
        <v>14</v>
      </c>
      <c r="C7585" t="s">
        <v>22</v>
      </c>
      <c r="D7585" s="2" t="s">
        <f>=HYPERLINK("https://main.knesset.gov.il/APPS/legislation/main/bills/2193115", "הצעת חוק הקצאת דירות לדיור בר השגה ולדיור ציבורי, התשפ""ב-2022")</f>
        <v>14788</v>
      </c>
      <c r="E7585" t="s">
        <v>14788</v>
      </c>
      <c r="F7585" t="s">
        <v>14789</v>
      </c>
      <c r="G7585" t="s">
        <v>14</v>
      </c>
      <c r="H7585">
             </c>
      <c r="I7585" t="s">
        <v>14</v>
      </c>
      <c r="J7585" t="s">
        <v>141</v>
      </c>
      <c r="K7585" t="s">
        <v>14</v>
      </c>
      <c r="L7585" t="s">
        <v>20</v>
      </c>
      <c r="M7585" t="s">
        <v>14728</v>
      </c>
      <c r="N7585" t="s">
        <v>14</v>
      </c>
    </row>
    <row r="7586" x14ac:dyDescent="0.25">
      <c r="A7586" t="n">
        <v>24</v>
      </c>
      <c r="B7586" t="s">
        <v>14</v>
      </c>
      <c r="C7586" t="s">
        <v>22</v>
      </c>
      <c r="D7586" s="2" t="s">
        <f>=HYPERLINK("https://main.knesset.gov.il/APPS/legislation/main/bills/2193181", "הצעת חוק הפסיכולוגים (תיקון - פסיכותרפיה), התשפ""ב-2022")</f>
        <v>14790</v>
      </c>
      <c r="E7586" t="s">
        <v>14790</v>
      </c>
      <c r="F7586" t="s">
        <v>14791</v>
      </c>
      <c r="G7586" t="s">
        <v>14</v>
      </c>
      <c r="H7586">
             </c>
      <c r="I7586" t="s">
        <v>14</v>
      </c>
      <c r="J7586" t="s">
        <v>141</v>
      </c>
      <c r="K7586" t="s">
        <v>14</v>
      </c>
      <c r="L7586" t="s">
        <v>20</v>
      </c>
      <c r="M7586" t="s">
        <v>14728</v>
      </c>
      <c r="N7586" t="s">
        <v>14</v>
      </c>
    </row>
    <row r="7587" x14ac:dyDescent="0.25">
      <c r="A7587" t="n">
        <v>24</v>
      </c>
      <c r="B7587" t="s">
        <v>14</v>
      </c>
      <c r="C7587" t="s">
        <v>22</v>
      </c>
      <c r="D7587" s="2" t="s">
        <f>=HYPERLINK("https://main.knesset.gov.il/APPS/legislation/main/bills/2193198", "הצעת חוק הביטוח הלאומי (תיקון - תשלום בעד תקופה שקדמה להגשת התביעה), התשפ""ב-2022")</f>
        <v>14792</v>
      </c>
      <c r="E7587" t="s">
        <v>14792</v>
      </c>
      <c r="F7587" t="s">
        <v>14793</v>
      </c>
      <c r="G7587" t="s">
        <v>14</v>
      </c>
      <c r="H7587">
             </c>
      <c r="I7587" t="s">
        <v>14</v>
      </c>
      <c r="J7587" t="s">
        <v>141</v>
      </c>
      <c r="K7587" t="s">
        <v>14</v>
      </c>
      <c r="L7587" t="s">
        <v>20</v>
      </c>
      <c r="M7587" t="s">
        <v>14728</v>
      </c>
      <c r="N7587" t="s">
        <v>14</v>
      </c>
    </row>
    <row r="7588" x14ac:dyDescent="0.25">
      <c r="A7588" t="n">
        <v>24</v>
      </c>
      <c r="B7588" t="s">
        <v>14</v>
      </c>
      <c r="C7588" t="s">
        <v>22</v>
      </c>
      <c r="D7588" s="2" t="s">
        <f>=HYPERLINK("https://main.knesset.gov.il/APPS/legislation/main/bills/2193289", "הצעת חוק הנגשת מוצרי מחזור בגופים ציבוריים, התשפ""ב-2022")</f>
        <v>14794</v>
      </c>
      <c r="E7588" t="s">
        <v>14794</v>
      </c>
      <c r="F7588" t="s">
        <v>14795</v>
      </c>
      <c r="G7588" t="s">
        <v>14</v>
      </c>
      <c r="H7588">
             </c>
      <c r="I7588" t="s">
        <v>14</v>
      </c>
      <c r="J7588" t="s">
        <v>141</v>
      </c>
      <c r="K7588" t="s">
        <v>14</v>
      </c>
      <c r="L7588" t="s">
        <v>20</v>
      </c>
      <c r="M7588" t="s">
        <v>14728</v>
      </c>
      <c r="N7588" t="s">
        <v>14</v>
      </c>
    </row>
    <row r="7589" x14ac:dyDescent="0.25">
      <c r="A7589" t="n">
        <v>24</v>
      </c>
      <c r="B7589" t="s">
        <v>14</v>
      </c>
      <c r="C7589" t="s">
        <v>22</v>
      </c>
      <c r="D7589" s="2" t="s">
        <f>=HYPERLINK("https://main.knesset.gov.il/APPS/legislation/main/bills/2193388", "הצעת חוק הכשרות המשפטית והאפוטרופסות (תיקון - שלילת אפוטרופסות מהורה שהורשע ברצח או בנסיון לרצח), התשפ""ב-2022")</f>
        <v>14796</v>
      </c>
      <c r="E7589" t="s">
        <v>14796</v>
      </c>
      <c r="F7589" t="s">
        <v>14797</v>
      </c>
      <c r="G7589" t="s">
        <v>14</v>
      </c>
      <c r="H7589">
             </c>
      <c r="I7589" t="s">
        <v>14</v>
      </c>
      <c r="J7589" t="s">
        <v>141</v>
      </c>
      <c r="K7589" t="s">
        <v>14</v>
      </c>
      <c r="L7589" t="s">
        <v>20</v>
      </c>
      <c r="M7589" t="s">
        <v>14728</v>
      </c>
      <c r="N7589" t="s">
        <v>14</v>
      </c>
    </row>
    <row r="7590" x14ac:dyDescent="0.25">
      <c r="A7590" t="n">
        <v>24</v>
      </c>
      <c r="B7590" t="s">
        <v>14</v>
      </c>
      <c r="C7590" t="s">
        <v>22</v>
      </c>
      <c r="D7590" s="2" t="s">
        <f>=HYPERLINK("https://main.knesset.gov.il/APPS/legislation/main/bills/2193394", "הצעת חוק שקיפות בהצהרת הון ובהצהרת מקורבים לנבחרי ציבור בכירים, התשפ""ב-2022")</f>
        <v>14798</v>
      </c>
      <c r="E7590" t="s">
        <v>14798</v>
      </c>
      <c r="F7590" t="s">
        <v>14799</v>
      </c>
      <c r="G7590" t="s">
        <v>14</v>
      </c>
      <c r="H7590">
             </c>
      <c r="I7590" t="s">
        <v>14</v>
      </c>
      <c r="J7590" t="s">
        <v>141</v>
      </c>
      <c r="K7590" t="s">
        <v>14</v>
      </c>
      <c r="L7590" t="s">
        <v>20</v>
      </c>
      <c r="M7590" t="s">
        <v>14728</v>
      </c>
      <c r="N7590" t="s">
        <v>14</v>
      </c>
    </row>
    <row r="7591" x14ac:dyDescent="0.25">
      <c r="A7591" t="n">
        <v>24</v>
      </c>
      <c r="B7591" t="s">
        <v>14</v>
      </c>
      <c r="C7591" t="s">
        <v>22</v>
      </c>
      <c r="D7591" s="2" t="s">
        <f>=HYPERLINK("https://main.knesset.gov.il/APPS/legislation/main/bills/2193505", "הצעת חוק חופשה שנתית (תיקון - ימי חופשה להורים שילדם נפטר), התשפ""ב-2022")</f>
        <v>14800</v>
      </c>
      <c r="E7591" t="s">
        <v>14800</v>
      </c>
      <c r="F7591" t="s">
        <v>14801</v>
      </c>
      <c r="G7591" t="s">
        <v>14</v>
      </c>
      <c r="H7591">
             </c>
      <c r="I7591" t="s">
        <v>14</v>
      </c>
      <c r="J7591" t="s">
        <v>141</v>
      </c>
      <c r="K7591" t="s">
        <v>14</v>
      </c>
      <c r="L7591" t="s">
        <v>20</v>
      </c>
      <c r="M7591" t="s">
        <v>14728</v>
      </c>
      <c r="N7591" t="s">
        <v>14</v>
      </c>
    </row>
    <row r="7592" x14ac:dyDescent="0.25">
      <c r="A7592" t="n">
        <v>24</v>
      </c>
      <c r="B7592" t="s">
        <v>14</v>
      </c>
      <c r="C7592" t="s">
        <v>22</v>
      </c>
      <c r="D7592" s="2" t="s">
        <f>=HYPERLINK("https://main.knesset.gov.il/APPS/legislation/main/bills/2193632", "הצעת חוק לקידום שירותי הרפואה בעיר אילת (תיקוני חקיקה), התשפ""ב-2022")</f>
        <v>14802</v>
      </c>
      <c r="E7592" t="s">
        <v>14802</v>
      </c>
      <c r="F7592" t="s">
        <v>14803</v>
      </c>
      <c r="G7592" t="s">
        <v>14</v>
      </c>
      <c r="H7592">
             </c>
      <c r="I7592" t="s">
        <v>14</v>
      </c>
      <c r="J7592" t="s">
        <v>141</v>
      </c>
      <c r="K7592" t="s">
        <v>14</v>
      </c>
      <c r="L7592" t="s">
        <v>20</v>
      </c>
      <c r="M7592" t="s">
        <v>14728</v>
      </c>
      <c r="N7592" t="s">
        <v>14</v>
      </c>
    </row>
    <row r="7593" x14ac:dyDescent="0.25">
      <c r="A7593" t="n">
        <v>24</v>
      </c>
      <c r="B7593" t="s">
        <v>14</v>
      </c>
      <c r="C7593" t="s">
        <v>22</v>
      </c>
      <c r="D7593" s="2" t="s">
        <f>=HYPERLINK("https://main.knesset.gov.il/APPS/legislation/main/bills/2193200", "הצעת חוק זכויות החולה (תיקון - טיפול בזמן סביר), התשפ""ב-2022")</f>
        <v>14804</v>
      </c>
      <c r="E7593" t="s">
        <v>14804</v>
      </c>
      <c r="F7593" t="s">
        <v>14805</v>
      </c>
      <c r="G7593" t="s">
        <v>14</v>
      </c>
      <c r="H7593">
             </c>
      <c r="I7593" t="s">
        <v>14</v>
      </c>
      <c r="J7593" t="s">
        <v>141</v>
      </c>
      <c r="K7593" t="s">
        <v>14</v>
      </c>
      <c r="L7593" t="s">
        <v>20</v>
      </c>
      <c r="M7593" t="s">
        <v>14728</v>
      </c>
      <c r="N7593" t="s">
        <v>14</v>
      </c>
    </row>
    <row r="7594" x14ac:dyDescent="0.25">
      <c r="A7594" t="n">
        <v>24</v>
      </c>
      <c r="B7594" t="s">
        <v>14</v>
      </c>
      <c r="C7594" t="s">
        <v>22</v>
      </c>
      <c r="D7594" s="2" t="s">
        <f>=HYPERLINK("https://main.knesset.gov.il/APPS/legislation/main/bills/2194078", "הצעת חוק הגנת הצרכן (תיקון - איסור התניית תשלום בכרטיס אשראי בסכום רכישה מזערי), התשפ""ב-2022")</f>
        <v>14806</v>
      </c>
      <c r="E7594" t="s">
        <v>14806</v>
      </c>
      <c r="F7594" t="s">
        <v>14807</v>
      </c>
      <c r="G7594" t="s">
        <v>14</v>
      </c>
      <c r="H7594">
             </c>
      <c r="I7594" t="s">
        <v>14</v>
      </c>
      <c r="J7594" t="s">
        <v>141</v>
      </c>
      <c r="K7594" t="s">
        <v>14</v>
      </c>
      <c r="L7594" t="s">
        <v>20</v>
      </c>
      <c r="M7594" t="s">
        <v>14728</v>
      </c>
      <c r="N7594" t="s">
        <v>14</v>
      </c>
    </row>
    <row r="7595" x14ac:dyDescent="0.25">
      <c r="A7595" t="n">
        <v>24</v>
      </c>
      <c r="B7595" t="s">
        <v>14</v>
      </c>
      <c r="C7595" t="s">
        <v>22</v>
      </c>
      <c r="D7595" s="2" t="s">
        <f>=HYPERLINK("https://main.knesset.gov.il/APPS/legislation/main/bills/2194102", "הצעת חוק המרכז להנצחת מורשתו של הנשיא יצחק נבון, התשפ""ב-2022")</f>
        <v>14808</v>
      </c>
      <c r="E7595" t="s">
        <v>14808</v>
      </c>
      <c r="F7595" t="s">
        <v>14809</v>
      </c>
      <c r="G7595" t="s">
        <v>14</v>
      </c>
      <c r="H7595">
             </c>
      <c r="I7595" t="s">
        <v>14</v>
      </c>
      <c r="J7595" t="s">
        <v>141</v>
      </c>
      <c r="K7595" t="s">
        <v>14</v>
      </c>
      <c r="L7595" t="s">
        <v>20</v>
      </c>
      <c r="M7595" t="s">
        <v>14728</v>
      </c>
      <c r="N7595" t="s">
        <v>14</v>
      </c>
    </row>
    <row r="7596" x14ac:dyDescent="0.25">
      <c r="A7596" t="n">
        <v>24</v>
      </c>
      <c r="B7596" t="s">
        <v>14</v>
      </c>
      <c r="C7596" t="s">
        <v>22</v>
      </c>
      <c r="D7596" s="2" t="s">
        <f>=HYPERLINK("https://main.knesset.gov.il/APPS/legislation/main/bills/2191439", "הצעת חוק הפסיכולוגים (תיקון - פסיכולוג שהורשע בעבירת מין), התשפ""ב-2022")</f>
        <v>14810</v>
      </c>
      <c r="E7596" t="s">
        <v>14810</v>
      </c>
      <c r="F7596" t="s">
        <v>14811</v>
      </c>
      <c r="G7596" t="s">
        <v>14</v>
      </c>
      <c r="H7596">
             </c>
      <c r="I7596" t="s">
        <v>14</v>
      </c>
      <c r="J7596" t="s">
        <v>141</v>
      </c>
      <c r="K7596" t="s">
        <v>14</v>
      </c>
      <c r="L7596" t="s">
        <v>20</v>
      </c>
      <c r="M7596" t="s">
        <v>14728</v>
      </c>
      <c r="N7596" t="s">
        <v>14</v>
      </c>
    </row>
    <row r="7597" x14ac:dyDescent="0.25">
      <c r="A7597" t="n">
        <v>24</v>
      </c>
      <c r="B7597" t="s">
        <v>14</v>
      </c>
      <c r="C7597" t="s">
        <v>22</v>
      </c>
      <c r="D7597" s="2" t="s">
        <f>=HYPERLINK("https://main.knesset.gov.il/APPS/legislation/main/bills/2193731", "הצעת חוק-יסוד: הממשלה (תיקון - הגבלת מועמד שהורשע בשוחד, מרמה והפרת אמונים מהרכבת הממשלה)")</f>
        <v>14812</v>
      </c>
      <c r="E7597" t="s">
        <v>14812</v>
      </c>
      <c r="F7597" t="s">
        <v>14813</v>
      </c>
      <c r="G7597" t="s">
        <v>14</v>
      </c>
      <c r="H7597">
             </c>
      <c r="I7597" t="s">
        <v>14</v>
      </c>
      <c r="J7597" t="s">
        <v>141</v>
      </c>
      <c r="K7597" t="s">
        <v>14</v>
      </c>
      <c r="L7597" t="s">
        <v>20</v>
      </c>
      <c r="M7597" t="s">
        <v>14728</v>
      </c>
      <c r="N7597" t="s">
        <v>14</v>
      </c>
    </row>
    <row r="7598" x14ac:dyDescent="0.25">
      <c r="A7598" t="n">
        <v>24</v>
      </c>
      <c r="B7598" t="s">
        <v>14</v>
      </c>
      <c r="C7598" t="s">
        <v>22</v>
      </c>
      <c r="D7598" s="2" t="s">
        <f>=HYPERLINK("https://main.knesset.gov.il/APPS/legislation/main/bills/2190624", "הצעת חוק הבחירות לכנסת (תיקון - הצבת קלפיות בבתי אבות ובמוסדות לאנשים המוגבלים בניידות), התשפ""ב-2022")</f>
        <v>14814</v>
      </c>
      <c r="E7598" t="s">
        <v>14814</v>
      </c>
      <c r="F7598" t="s">
        <v>14815</v>
      </c>
      <c r="G7598" t="s">
        <v>14</v>
      </c>
      <c r="H7598">
             </c>
      <c r="I7598" t="s">
        <v>14</v>
      </c>
      <c r="J7598" t="s">
        <v>141</v>
      </c>
      <c r="K7598" t="s">
        <v>14</v>
      </c>
      <c r="L7598" t="s">
        <v>20</v>
      </c>
      <c r="M7598" t="s">
        <v>14728</v>
      </c>
      <c r="N7598" t="s">
        <v>14</v>
      </c>
    </row>
    <row r="7599" x14ac:dyDescent="0.25">
      <c r="A7599" t="n">
        <v>24</v>
      </c>
      <c r="B7599" t="s">
        <v>14</v>
      </c>
      <c r="C7599" t="s">
        <v>22</v>
      </c>
      <c r="D7599" s="2" t="s">
        <f>=HYPERLINK("https://main.knesset.gov.il/APPS/legislation/main/bills/2190057", "הצעת חוק איסוף ופינוי פסולת למיחזור (תיקון - מיחזור במוסדות חינוך), התשפ""ב-2022")</f>
        <v>14816</v>
      </c>
      <c r="E7599" t="s">
        <v>14816</v>
      </c>
      <c r="F7599" t="s">
        <v>14817</v>
      </c>
      <c r="G7599" t="s">
        <v>14</v>
      </c>
      <c r="H7599">
             </c>
      <c r="I7599" t="s">
        <v>14</v>
      </c>
      <c r="J7599" t="s">
        <v>141</v>
      </c>
      <c r="K7599" t="s">
        <v>14</v>
      </c>
      <c r="L7599" t="s">
        <v>20</v>
      </c>
      <c r="M7599" t="s">
        <v>14728</v>
      </c>
      <c r="N7599" t="s">
        <v>14</v>
      </c>
    </row>
    <row r="7600" x14ac:dyDescent="0.25">
      <c r="A7600" t="n">
        <v>24</v>
      </c>
      <c r="B7600" t="s">
        <v>14</v>
      </c>
      <c r="C7600" t="s">
        <v>22</v>
      </c>
      <c r="D7600" s="2" t="s">
        <f>=HYPERLINK("https://main.knesset.gov.il/APPS/legislation/main/bills/2194173", "הצעת חוק טיפול בחולי נפש (תיקון - תנאי אשפוז הולמים), התשפ""ב-2022")</f>
        <v>14818</v>
      </c>
      <c r="E7600" t="s">
        <v>14818</v>
      </c>
      <c r="F7600" t="s">
        <v>14819</v>
      </c>
      <c r="G7600" t="s">
        <v>14</v>
      </c>
      <c r="H7600">
             </c>
      <c r="I7600" t="s">
        <v>14</v>
      </c>
      <c r="J7600" t="s">
        <v>141</v>
      </c>
      <c r="K7600" t="s">
        <v>14</v>
      </c>
      <c r="L7600" t="s">
        <v>20</v>
      </c>
      <c r="M7600" t="s">
        <v>14728</v>
      </c>
      <c r="N7600" t="s">
        <v>14</v>
      </c>
    </row>
    <row r="7601" x14ac:dyDescent="0.25">
      <c r="A7601" t="n">
        <v>24</v>
      </c>
      <c r="B7601" t="s">
        <v>14</v>
      </c>
      <c r="C7601" t="s">
        <v>22</v>
      </c>
      <c r="D7601" s="2" t="s">
        <f>=HYPERLINK("https://main.knesset.gov.il/APPS/legislation/main/bills/2190508", "הצעת חוק להכרה, הנצחה, מחקר ותיעוד של פרשת ילדי תימן, המזרח והבלקן, התשפ""ב-2022")</f>
        <v>14820</v>
      </c>
      <c r="E7601" t="s">
        <v>14820</v>
      </c>
      <c r="F7601" t="s">
        <v>14821</v>
      </c>
      <c r="G7601" t="s">
        <v>14</v>
      </c>
      <c r="H7601">
             </c>
      <c r="I7601" t="s">
        <v>14</v>
      </c>
      <c r="J7601" t="s">
        <v>141</v>
      </c>
      <c r="K7601" t="s">
        <v>14</v>
      </c>
      <c r="L7601" t="s">
        <v>20</v>
      </c>
      <c r="M7601" t="s">
        <v>14728</v>
      </c>
      <c r="N7601" t="s">
        <v>14</v>
      </c>
    </row>
    <row r="7602" x14ac:dyDescent="0.25">
      <c r="A7602" t="n">
        <v>24</v>
      </c>
      <c r="B7602" t="s">
        <v>14</v>
      </c>
      <c r="C7602" t="s">
        <v>22</v>
      </c>
      <c r="D7602" s="2" t="s">
        <f>=HYPERLINK("https://main.knesset.gov.il/APPS/legislation/main/bills/2194151", "הצעת חוק התמודדות עם תופעת נטילת דמי חסות, התשפ""ב-2022")</f>
        <v>14625</v>
      </c>
      <c r="E7602" t="s">
        <v>14625</v>
      </c>
      <c r="F7602" t="s">
        <v>14822</v>
      </c>
      <c r="G7602" t="s">
        <v>14</v>
      </c>
      <c r="H7602">
             </c>
      <c r="I7602" t="s">
        <v>14</v>
      </c>
      <c r="J7602" t="s">
        <v>141</v>
      </c>
      <c r="K7602" t="s">
        <v>14</v>
      </c>
      <c r="L7602" t="s">
        <v>20</v>
      </c>
      <c r="M7602" t="s">
        <v>14728</v>
      </c>
      <c r="N7602" t="s">
        <v>14</v>
      </c>
    </row>
    <row r="7603" x14ac:dyDescent="0.25">
      <c r="A7603" t="n">
        <v>24</v>
      </c>
      <c r="B7603" t="s">
        <v>14</v>
      </c>
      <c r="C7603" t="s">
        <v>22</v>
      </c>
      <c r="D7603" s="2" t="s">
        <f>=HYPERLINK("https://main.knesset.gov.il/APPS/legislation/main/bills/2194243", "הצעת חוק זכויות החולה (תיקון - הכנסת מזון למוסדות רפואיים בחג הפסח), התשפ""ב-2022")</f>
        <v>14823</v>
      </c>
      <c r="E7603" t="s">
        <v>14823</v>
      </c>
      <c r="F7603" t="s">
        <v>14824</v>
      </c>
      <c r="G7603" t="s">
        <v>14</v>
      </c>
      <c r="H7603">
             </c>
      <c r="I7603" t="s">
        <v>14</v>
      </c>
      <c r="J7603" t="s">
        <v>141</v>
      </c>
      <c r="K7603" t="s">
        <v>14</v>
      </c>
      <c r="L7603" t="s">
        <v>20</v>
      </c>
      <c r="M7603" t="s">
        <v>14728</v>
      </c>
      <c r="N7603" t="s">
        <v>14</v>
      </c>
    </row>
    <row r="7604" x14ac:dyDescent="0.25">
      <c r="A7604" t="n">
        <v>24</v>
      </c>
      <c r="B7604" t="s">
        <v>14</v>
      </c>
      <c r="C7604" t="s">
        <v>22</v>
      </c>
      <c r="D7604" s="2" t="s">
        <f>=HYPERLINK("https://main.knesset.gov.il/APPS/legislation/main/bills/2191607", "הצעת חוק הבחירות לכנסת (תיקון - אחוז החסימה), התשפ""ב-2022")</f>
        <v>14752</v>
      </c>
      <c r="E7604" t="s">
        <v>14752</v>
      </c>
      <c r="F7604" t="s">
        <v>14825</v>
      </c>
      <c r="G7604" t="s">
        <v>14</v>
      </c>
      <c r="H7604">
             </c>
      <c r="I7604" t="s">
        <v>14</v>
      </c>
      <c r="J7604" t="s">
        <v>141</v>
      </c>
      <c r="K7604" t="s">
        <v>14</v>
      </c>
      <c r="L7604" t="s">
        <v>20</v>
      </c>
      <c r="M7604" t="s">
        <v>14728</v>
      </c>
      <c r="N7604" t="s">
        <v>14</v>
      </c>
    </row>
    <row r="7605" x14ac:dyDescent="0.25">
      <c r="A7605" t="n">
        <v>24</v>
      </c>
      <c r="B7605" t="s">
        <v>14</v>
      </c>
      <c r="C7605" t="s">
        <v>22</v>
      </c>
      <c r="D7605" s="2" t="s">
        <f>=HYPERLINK("https://main.knesset.gov.il/APPS/legislation/main/bills/2190938", "הצעת חוק הסדרים במשק המדינה (תיקוני חקיקה להשגת יעדי התקציב) (תיקון - שינוי הגדרת מצללה), התשפ""ב-2022 ")</f>
        <v>14826</v>
      </c>
      <c r="E7605" t="s">
        <v>14826</v>
      </c>
      <c r="F7605" t="s">
        <v>14827</v>
      </c>
      <c r="G7605" t="s">
        <v>14</v>
      </c>
      <c r="H7605">
             </c>
      <c r="I7605" t="s">
        <v>14</v>
      </c>
      <c r="J7605" t="s">
        <v>141</v>
      </c>
      <c r="K7605" t="s">
        <v>14</v>
      </c>
      <c r="L7605" t="s">
        <v>20</v>
      </c>
      <c r="M7605" t="s">
        <v>14728</v>
      </c>
      <c r="N7605" t="s">
        <v>14</v>
      </c>
    </row>
    <row r="7606" x14ac:dyDescent="0.25">
      <c r="A7606" t="n">
        <v>24</v>
      </c>
      <c r="B7606" t="s">
        <v>14</v>
      </c>
      <c r="C7606" t="s">
        <v>22</v>
      </c>
      <c r="D7606" s="2" t="s">
        <f>=HYPERLINK("https://main.knesset.gov.il/APPS/legislation/main/bills/2193197", "הצעת חוק הביטוח הלאומי (תיקון - עבודה בחינוך וסיוע להוראה או בטיפול בילדים כעבודה מועדפת), התשפ""ב-2022")</f>
        <v>14828</v>
      </c>
      <c r="E7606" t="s">
        <v>14828</v>
      </c>
      <c r="F7606" t="s">
        <v>14829</v>
      </c>
      <c r="G7606" t="s">
        <v>14</v>
      </c>
      <c r="H7606">
             </c>
      <c r="I7606" t="s">
        <v>14</v>
      </c>
      <c r="J7606" t="s">
        <v>141</v>
      </c>
      <c r="K7606" t="s">
        <v>14</v>
      </c>
      <c r="L7606" t="s">
        <v>20</v>
      </c>
      <c r="M7606" t="s">
        <v>14728</v>
      </c>
      <c r="N7606" t="s">
        <v>14</v>
      </c>
    </row>
    <row r="7607" x14ac:dyDescent="0.25">
      <c r="A7607" t="n">
        <v>24</v>
      </c>
      <c r="B7607" t="s">
        <v>14</v>
      </c>
      <c r="C7607" t="s">
        <v>22</v>
      </c>
      <c r="D7607" s="2" t="s">
        <f>=HYPERLINK("https://main.knesset.gov.il/APPS/legislation/main/bills/2193270", "הצעת חוק הכרה באחים שכולים ובזכויותיהם, התשפ""ב-2022")</f>
        <v>14830</v>
      </c>
      <c r="E7607" t="s">
        <v>14830</v>
      </c>
      <c r="F7607" t="s">
        <v>14831</v>
      </c>
      <c r="G7607" t="s">
        <v>14</v>
      </c>
      <c r="H7607">
             </c>
      <c r="I7607" t="s">
        <v>14</v>
      </c>
      <c r="J7607" t="s">
        <v>141</v>
      </c>
      <c r="K7607" t="s">
        <v>14</v>
      </c>
      <c r="L7607" t="s">
        <v>20</v>
      </c>
      <c r="M7607" t="s">
        <v>14728</v>
      </c>
      <c r="N7607" t="s">
        <v>14</v>
      </c>
    </row>
    <row r="7608" x14ac:dyDescent="0.25">
      <c r="A7608" t="n">
        <v>24</v>
      </c>
      <c r="B7608" t="s">
        <v>14</v>
      </c>
      <c r="C7608" t="s">
        <v>22</v>
      </c>
      <c r="D7608" s="2" t="s">
        <f>=HYPERLINK("https://main.knesset.gov.il/APPS/legislation/main/bills/2193630", "הצעת חוק לתיקון פקודת בתי הסוהר (שלילת זכאות למימון שירותי בריאות משפרי איכות חיים לאסיר ביטחוני), התשפ""ב-2022")</f>
        <v>14832</v>
      </c>
      <c r="E7608" t="s">
        <v>14832</v>
      </c>
      <c r="F7608" t="s">
        <v>14833</v>
      </c>
      <c r="G7608" t="s">
        <v>14</v>
      </c>
      <c r="H7608">
             </c>
      <c r="I7608" t="s">
        <v>14</v>
      </c>
      <c r="J7608" t="s">
        <v>141</v>
      </c>
      <c r="K7608" t="s">
        <v>14</v>
      </c>
      <c r="L7608" t="s">
        <v>20</v>
      </c>
      <c r="M7608" t="s">
        <v>14728</v>
      </c>
      <c r="N7608" t="s">
        <v>14</v>
      </c>
    </row>
    <row r="7609" x14ac:dyDescent="0.25">
      <c r="A7609" t="n">
        <v>24</v>
      </c>
      <c r="B7609" t="s">
        <v>14</v>
      </c>
      <c r="C7609" t="s">
        <v>22</v>
      </c>
      <c r="D7609" s="2" t="s">
        <f>=HYPERLINK("https://main.knesset.gov.il/APPS/legislation/main/bills/2194199", "הצעת חוק התאמת טפסים ממשלתיים (פרטי הורים), התשפ""ב-2022")</f>
        <v>14834</v>
      </c>
      <c r="E7609" t="s">
        <v>14834</v>
      </c>
      <c r="F7609" t="s">
        <v>14835</v>
      </c>
      <c r="G7609" t="s">
        <v>14</v>
      </c>
      <c r="H7609">
             </c>
      <c r="I7609" t="s">
        <v>14</v>
      </c>
      <c r="J7609" t="s">
        <v>141</v>
      </c>
      <c r="K7609" t="s">
        <v>14</v>
      </c>
      <c r="L7609" t="s">
        <v>20</v>
      </c>
      <c r="M7609" t="s">
        <v>14728</v>
      </c>
      <c r="N7609" t="s">
        <v>14</v>
      </c>
    </row>
    <row r="7610" x14ac:dyDescent="0.25">
      <c r="A7610" t="n">
        <v>24</v>
      </c>
      <c r="B7610" t="s">
        <v>14</v>
      </c>
      <c r="C7610" t="s">
        <v>22</v>
      </c>
      <c r="D7610" s="2" t="s">
        <f>=HYPERLINK("https://main.knesset.gov.il/APPS/legislation/main/bills/2190066", "הצעת חוק התכנון והבנייה (תיקון - בדיקות נוכחות מזהמים בקרקע, באוויר ובמקורות מים), התשפ״ב-2022")</f>
        <v>14836</v>
      </c>
      <c r="E7610" t="s">
        <v>14836</v>
      </c>
      <c r="F7610" t="s">
        <v>14837</v>
      </c>
      <c r="G7610" t="s">
        <v>14</v>
      </c>
      <c r="H7610">
             </c>
      <c r="I7610" t="s">
        <v>14</v>
      </c>
      <c r="J7610" t="s">
        <v>141</v>
      </c>
      <c r="K7610" t="s">
        <v>14</v>
      </c>
      <c r="L7610" t="s">
        <v>20</v>
      </c>
      <c r="M7610" t="s">
        <v>14728</v>
      </c>
      <c r="N7610" t="s">
        <v>14</v>
      </c>
    </row>
    <row r="7611" x14ac:dyDescent="0.25">
      <c r="A7611" t="n">
        <v>24</v>
      </c>
      <c r="B7611" t="s">
        <v>14</v>
      </c>
      <c r="C7611" t="s">
        <v>22</v>
      </c>
      <c r="D7611" s="2" t="s">
        <f>=HYPERLINK("https://main.knesset.gov.il/APPS/legislation/main/bills/2193472", "הצעת חוק-יסוד: הזכות לדיור")</f>
        <v>11919</v>
      </c>
      <c r="E7611" t="s">
        <v>11919</v>
      </c>
      <c r="F7611" t="s">
        <v>14838</v>
      </c>
      <c r="G7611" t="s">
        <v>14</v>
      </c>
      <c r="H7611">
             </c>
      <c r="I7611" t="s">
        <v>14</v>
      </c>
      <c r="J7611" t="s">
        <v>141</v>
      </c>
      <c r="K7611" t="s">
        <v>14</v>
      </c>
      <c r="L7611" t="s">
        <v>20</v>
      </c>
      <c r="M7611" t="s">
        <v>14728</v>
      </c>
      <c r="N7611" t="s">
        <v>14</v>
      </c>
    </row>
    <row r="7612" x14ac:dyDescent="0.25">
      <c r="A7612" t="n">
        <v>24</v>
      </c>
      <c r="B7612" t="s">
        <v>14</v>
      </c>
      <c r="C7612" t="s">
        <v>22</v>
      </c>
      <c r="D7612" s="2" t="s">
        <f>=HYPERLINK("https://main.knesset.gov.il/APPS/legislation/main/bills/2190063", "הצעת חוק התכנון והבנייה (תיקון - זימון נציג הגופים הציבוריים שעניינם בשמירת איכות הסביבה לדיוני הוועדה המקומית), התשפ״ב-2022")</f>
        <v>14839</v>
      </c>
      <c r="E7612" t="s">
        <v>14839</v>
      </c>
      <c r="F7612" t="s">
        <v>14840</v>
      </c>
      <c r="G7612" t="s">
        <v>14</v>
      </c>
      <c r="H7612">
             </c>
      <c r="I7612" t="s">
        <v>14</v>
      </c>
      <c r="J7612" t="s">
        <v>141</v>
      </c>
      <c r="K7612" t="s">
        <v>14</v>
      </c>
      <c r="L7612" t="s">
        <v>20</v>
      </c>
      <c r="M7612" t="s">
        <v>14728</v>
      </c>
      <c r="N7612" t="s">
        <v>14</v>
      </c>
    </row>
    <row r="7613" x14ac:dyDescent="0.25">
      <c r="A7613" t="n">
        <v>24</v>
      </c>
      <c r="B7613" t="s">
        <v>14</v>
      </c>
      <c r="C7613" t="s">
        <v>22</v>
      </c>
      <c r="D7613" s="2" t="s">
        <f>=HYPERLINK("https://main.knesset.gov.il/APPS/legislation/main/bills/2193457", "הצעת חוק הביטוח הלאומי (תיקון - קביעת אחוזי נכות ללקויי שמיעה - דו-צידי וחד-צידי), התשפ""ב-2022")</f>
        <v>14841</v>
      </c>
      <c r="E7613" t="s">
        <v>14841</v>
      </c>
      <c r="F7613" t="s">
        <v>14842</v>
      </c>
      <c r="G7613" t="s">
        <v>14</v>
      </c>
      <c r="H7613">
             </c>
      <c r="I7613" t="s">
        <v>14</v>
      </c>
      <c r="J7613" t="s">
        <v>141</v>
      </c>
      <c r="K7613" t="s">
        <v>14</v>
      </c>
      <c r="L7613" t="s">
        <v>20</v>
      </c>
      <c r="M7613" t="s">
        <v>14728</v>
      </c>
      <c r="N7613" t="s">
        <v>14</v>
      </c>
    </row>
    <row r="7614" x14ac:dyDescent="0.25">
      <c r="A7614" t="n">
        <v>24</v>
      </c>
      <c r="B7614" t="s">
        <v>14</v>
      </c>
      <c r="C7614" t="s">
        <v>22</v>
      </c>
      <c r="D7614" s="2" t="s">
        <f>=HYPERLINK("https://main.knesset.gov.il/APPS/legislation/main/bills/2193508", "הצעת חוק הגנת הצרכן (תיקון - פיצויים בלא הוכחת נזק בשל חריגה מזמני המתנה במתן שירות טלפוני חינם), התשפ""ב-2022")</f>
        <v>14843</v>
      </c>
      <c r="E7614" t="s">
        <v>14843</v>
      </c>
      <c r="F7614" t="s">
        <v>14844</v>
      </c>
      <c r="G7614" t="s">
        <v>14</v>
      </c>
      <c r="H7614">
             </c>
      <c r="I7614" t="s">
        <v>14</v>
      </c>
      <c r="J7614" t="s">
        <v>141</v>
      </c>
      <c r="K7614" t="s">
        <v>14</v>
      </c>
      <c r="L7614" t="s">
        <v>20</v>
      </c>
      <c r="M7614" t="s">
        <v>14728</v>
      </c>
      <c r="N7614" t="s">
        <v>14</v>
      </c>
    </row>
    <row r="7615" x14ac:dyDescent="0.25">
      <c r="A7615" t="n">
        <v>24</v>
      </c>
      <c r="B7615" t="s">
        <v>14</v>
      </c>
      <c r="C7615" t="s">
        <v>22</v>
      </c>
      <c r="D7615" s="2" t="s">
        <f>=HYPERLINK("https://main.knesset.gov.il/APPS/legislation/main/bills/2193729", "הצעת חוק לקידום דיור בר השגה, התשפ""ב-2022")</f>
        <v>14845</v>
      </c>
      <c r="E7615" t="s">
        <v>14845</v>
      </c>
      <c r="F7615" t="s">
        <v>14846</v>
      </c>
      <c r="G7615" t="s">
        <v>14</v>
      </c>
      <c r="H7615">
             </c>
      <c r="I7615" t="s">
        <v>14</v>
      </c>
      <c r="J7615" t="s">
        <v>141</v>
      </c>
      <c r="K7615" t="s">
        <v>14</v>
      </c>
      <c r="L7615" t="s">
        <v>20</v>
      </c>
      <c r="M7615" t="s">
        <v>14728</v>
      </c>
      <c r="N7615" t="s">
        <v>14</v>
      </c>
    </row>
    <row r="7616" x14ac:dyDescent="0.25">
      <c r="A7616" t="n">
        <v>24</v>
      </c>
      <c r="B7616" t="s">
        <v>14</v>
      </c>
      <c r="C7616" t="s">
        <v>22</v>
      </c>
      <c r="D7616" s="2" t="s">
        <f>=HYPERLINK("https://main.knesset.gov.il/APPS/legislation/main/bills/2193535", "הצעת חוק שכר מינימום (תיקון - העלאת שכר המינימום), התשפ""ב-2022")</f>
        <v>14847</v>
      </c>
      <c r="E7616" t="s">
        <v>14847</v>
      </c>
      <c r="F7616" t="s">
        <v>14848</v>
      </c>
      <c r="G7616" t="s">
        <v>14</v>
      </c>
      <c r="H7616">
             </c>
      <c r="I7616" t="s">
        <v>14</v>
      </c>
      <c r="J7616" t="s">
        <v>141</v>
      </c>
      <c r="K7616" t="s">
        <v>14</v>
      </c>
      <c r="L7616" t="s">
        <v>20</v>
      </c>
      <c r="M7616" t="s">
        <v>14728</v>
      </c>
      <c r="N7616" t="s">
        <v>14</v>
      </c>
    </row>
    <row r="7617" x14ac:dyDescent="0.25">
      <c r="A7617" t="n">
        <v>24</v>
      </c>
      <c r="B7617" t="s">
        <v>14</v>
      </c>
      <c r="C7617" t="s">
        <v>22</v>
      </c>
      <c r="D7617" s="2" t="s">
        <f>=HYPERLINK("https://main.knesset.gov.il/APPS/legislation/main/bills/2194077", "הצעת חוק הגנת הצרכן (תיקון - ביטול אפשרות להארכה אוטומטית של עסקה לתקופה קצובה), התשפ""ב-2022")</f>
        <v>14849</v>
      </c>
      <c r="E7617" t="s">
        <v>14849</v>
      </c>
      <c r="F7617" t="s">
        <v>14850</v>
      </c>
      <c r="G7617" t="s">
        <v>14</v>
      </c>
      <c r="H7617">
             </c>
      <c r="I7617" t="s">
        <v>14</v>
      </c>
      <c r="J7617" t="s">
        <v>141</v>
      </c>
      <c r="K7617" t="s">
        <v>14</v>
      </c>
      <c r="L7617" t="s">
        <v>20</v>
      </c>
      <c r="M7617" t="s">
        <v>14728</v>
      </c>
      <c r="N7617" t="s">
        <v>14</v>
      </c>
    </row>
    <row r="7618" x14ac:dyDescent="0.25">
      <c r="A7618" t="n">
        <v>24</v>
      </c>
      <c r="B7618" t="s">
        <v>14</v>
      </c>
      <c r="C7618" t="s">
        <v>22</v>
      </c>
      <c r="D7618" s="2" t="s">
        <f>=HYPERLINK("https://main.knesset.gov.il/APPS/legislation/main/bills/2193730", "הצעת חוק איסור הפליה בדיור, התשפ""ב-2022")</f>
        <v>14851</v>
      </c>
      <c r="E7618" t="s">
        <v>14851</v>
      </c>
      <c r="F7618" t="s">
        <v>14852</v>
      </c>
      <c r="G7618" t="s">
        <v>14</v>
      </c>
      <c r="H7618">
             </c>
      <c r="I7618" t="s">
        <v>14</v>
      </c>
      <c r="J7618" t="s">
        <v>141</v>
      </c>
      <c r="K7618" t="s">
        <v>14</v>
      </c>
      <c r="L7618" t="s">
        <v>20</v>
      </c>
      <c r="M7618" t="s">
        <v>14728</v>
      </c>
      <c r="N7618" t="s">
        <v>14</v>
      </c>
    </row>
    <row r="7619" x14ac:dyDescent="0.25">
      <c r="A7619" t="n">
        <v>24</v>
      </c>
      <c r="B7619" t="s">
        <v>14</v>
      </c>
      <c r="C7619" t="s">
        <v>22</v>
      </c>
      <c r="D7619" s="2" t="s">
        <f>=HYPERLINK("https://main.knesset.gov.il/APPS/legislation/main/bills/2194091", "הצעת חוק האקלים, התשפ""ב-2022")</f>
        <v>14671</v>
      </c>
      <c r="E7619" t="s">
        <v>14671</v>
      </c>
      <c r="F7619" t="s">
        <v>14853</v>
      </c>
      <c r="G7619" t="s">
        <v>14</v>
      </c>
      <c r="H7619">
             </c>
      <c r="I7619" t="s">
        <v>14</v>
      </c>
      <c r="J7619" t="s">
        <v>141</v>
      </c>
      <c r="K7619" t="s">
        <v>14</v>
      </c>
      <c r="L7619" t="s">
        <v>20</v>
      </c>
      <c r="M7619" t="s">
        <v>14728</v>
      </c>
      <c r="N7619" t="s">
        <v>14</v>
      </c>
    </row>
    <row r="7620" x14ac:dyDescent="0.25">
      <c r="A7620" t="n">
        <v>24</v>
      </c>
      <c r="B7620" t="s">
        <v>14</v>
      </c>
      <c r="C7620" t="s">
        <v>22</v>
      </c>
      <c r="D7620" s="2" t="s">
        <f>=HYPERLINK("https://main.knesset.gov.il/APPS/legislation/main/bills/2194105", "הצעת חוק ליישוב תחת איום מיידי (הוראת שעה), התשפ""ב-2022")</f>
        <v>14854</v>
      </c>
      <c r="E7620" t="s">
        <v>14854</v>
      </c>
      <c r="F7620" t="s">
        <v>14855</v>
      </c>
      <c r="G7620" t="s">
        <v>14</v>
      </c>
      <c r="H7620">
             </c>
      <c r="I7620" t="s">
        <v>14</v>
      </c>
      <c r="J7620" t="s">
        <v>141</v>
      </c>
      <c r="K7620" t="s">
        <v>14</v>
      </c>
      <c r="L7620" t="s">
        <v>20</v>
      </c>
      <c r="M7620" t="s">
        <v>14728</v>
      </c>
      <c r="N7620" t="s">
        <v>14</v>
      </c>
    </row>
    <row r="7621" x14ac:dyDescent="0.25">
      <c r="A7621" t="n">
        <v>24</v>
      </c>
      <c r="B7621" t="s">
        <v>14</v>
      </c>
      <c r="C7621" t="s">
        <v>22</v>
      </c>
      <c r="D7621" s="2" t="s">
        <f>=HYPERLINK("https://main.knesset.gov.il/APPS/legislation/main/bills/2194073", "הצעת חוק מאבק בנטילת דמי חסות (אכיפה וענישה) (תיקוני חקיקה והוראת שעה), התשפ""ב-2022")</f>
        <v>14856</v>
      </c>
      <c r="E7621" t="s">
        <v>14856</v>
      </c>
      <c r="F7621" t="s">
        <v>14857</v>
      </c>
      <c r="G7621" t="s">
        <v>14</v>
      </c>
      <c r="H7621">
             </c>
      <c r="I7621" t="s">
        <v>14</v>
      </c>
      <c r="J7621" t="s">
        <v>141</v>
      </c>
      <c r="K7621" t="s">
        <v>14</v>
      </c>
      <c r="L7621" t="s">
        <v>20</v>
      </c>
      <c r="M7621" t="s">
        <v>14728</v>
      </c>
      <c r="N7621" t="s">
        <v>14</v>
      </c>
    </row>
    <row r="7622" x14ac:dyDescent="0.25">
      <c r="A7622" t="n">
        <v>24</v>
      </c>
      <c r="B7622" t="s">
        <v>14</v>
      </c>
      <c r="C7622" t="s">
        <v>22</v>
      </c>
      <c r="D7622" s="2" t="s">
        <f>=HYPERLINK("https://main.knesset.gov.il/APPS/legislation/main/bills/2169590", "הצעת חוק השכירות והשאילה (תיקון - הארכת הסכמי חכירה לדורות), התשפ""ב-2022")</f>
        <v>14858</v>
      </c>
      <c r="E7622" t="s">
        <v>14858</v>
      </c>
      <c r="F7622" t="s">
        <v>14859</v>
      </c>
      <c r="G7622" t="s">
        <v>14</v>
      </c>
      <c r="H7622">
             </c>
      <c r="I7622" t="s">
        <v>14</v>
      </c>
      <c r="J7622" t="s">
        <v>141</v>
      </c>
      <c r="K7622" t="s">
        <v>14</v>
      </c>
      <c r="L7622" t="s">
        <v>20</v>
      </c>
      <c r="M7622" t="s">
        <v>14728</v>
      </c>
      <c r="N7622" t="s">
        <v>14</v>
      </c>
    </row>
    <row r="7623" x14ac:dyDescent="0.25">
      <c r="A7623" t="n">
        <v>24</v>
      </c>
      <c r="B7623" t="s">
        <v>14</v>
      </c>
      <c r="C7623" t="s">
        <v>22</v>
      </c>
      <c r="D7623" s="2" t="s">
        <f>=HYPERLINK("https://main.knesset.gov.il/APPS/legislation/main/bills/2192885", "הצעת חוק הסדרת העיסוק במקצועות הבריאות (תיקון - הסדרת מקצוע הרנטגנאות והדימות), התשפ""ב-2022")</f>
        <v>14860</v>
      </c>
      <c r="E7623" t="s">
        <v>14860</v>
      </c>
      <c r="F7623" t="s">
        <v>14861</v>
      </c>
      <c r="G7623" t="s">
        <v>14</v>
      </c>
      <c r="H7623">
             </c>
      <c r="I7623" t="s">
        <v>14</v>
      </c>
      <c r="J7623" t="s">
        <v>31</v>
      </c>
      <c r="K7623" t="s">
        <v>480</v>
      </c>
      <c r="L7623" t="s">
        <v>20</v>
      </c>
      <c r="M7623" t="s">
        <v>14728</v>
      </c>
      <c r="N7623" t="s">
        <v>14</v>
      </c>
    </row>
    <row r="7624" x14ac:dyDescent="0.25">
      <c r="A7624" t="n">
        <v>24</v>
      </c>
      <c r="B7624" t="s">
        <v>14</v>
      </c>
      <c r="C7624" t="s">
        <v>22</v>
      </c>
      <c r="D7624" s="2" t="s">
        <f>=HYPERLINK("https://main.knesset.gov.il/APPS/legislation/main/bills/2190562", "הצעת חוק הסדרת העיסוק במקצועות הבריאות (תיקון - הסדרת מקצוע הרנטגנאות והדימות), התשפ""ב-2022")</f>
        <v>14860</v>
      </c>
      <c r="E7624" t="s">
        <v>14860</v>
      </c>
      <c r="F7624" t="s">
        <v>14862</v>
      </c>
      <c r="G7624" t="s">
        <v>14</v>
      </c>
      <c r="H7624">
             </c>
      <c r="I7624" t="s">
        <v>14</v>
      </c>
      <c r="J7624" t="s">
        <v>31</v>
      </c>
      <c r="K7624" t="s">
        <v>480</v>
      </c>
      <c r="L7624" t="s">
        <v>20</v>
      </c>
      <c r="M7624" t="s">
        <v>14728</v>
      </c>
      <c r="N7624" t="s">
        <v>14</v>
      </c>
    </row>
    <row r="7625" x14ac:dyDescent="0.25">
      <c r="A7625" t="n">
        <v>24</v>
      </c>
      <c r="B7625" t="s">
        <v>14</v>
      </c>
      <c r="C7625" t="s">
        <v>22</v>
      </c>
      <c r="D7625" s="2" t="s">
        <f>=HYPERLINK("https://main.knesset.gov.il/APPS/legislation/main/bills/2170087", "הצעת חוק להסדרת מקצוע עוזר רופא, התשפ""ב-2022")</f>
        <v>14863</v>
      </c>
      <c r="E7625" t="s">
        <v>14863</v>
      </c>
      <c r="F7625" t="s">
        <v>14864</v>
      </c>
      <c r="G7625" t="s">
        <v>14</v>
      </c>
      <c r="H7625">
             </c>
      <c r="I7625" t="s">
        <v>14</v>
      </c>
      <c r="J7625" t="s">
        <v>31</v>
      </c>
      <c r="K7625" t="s">
        <v>480</v>
      </c>
      <c r="L7625" t="s">
        <v>20</v>
      </c>
      <c r="M7625" t="s">
        <v>14728</v>
      </c>
      <c r="N7625" t="s">
        <v>14</v>
      </c>
    </row>
    <row r="7626" x14ac:dyDescent="0.25">
      <c r="A7626" t="n">
        <v>24</v>
      </c>
      <c r="B7626" t="s">
        <v>14</v>
      </c>
      <c r="C7626" t="s">
        <v>22</v>
      </c>
      <c r="D7626" s="2" t="s">
        <f>=HYPERLINK("https://main.knesset.gov.il/APPS/legislation/main/bills/2164520", "הצעת חוק ההוצאה לפועל (תיקון - ריבית ודמי פיגורים), התשפ""ב-2021")</f>
        <v>14865</v>
      </c>
      <c r="E7626" t="s">
        <v>14865</v>
      </c>
      <c r="F7626" t="s">
        <v>14866</v>
      </c>
      <c r="G7626" t="s">
        <v>14</v>
      </c>
      <c r="H7626">
             </c>
      <c r="I7626" t="s">
        <v>14</v>
      </c>
      <c r="J7626" t="s">
        <v>31</v>
      </c>
      <c r="K7626" t="s">
        <v>27</v>
      </c>
      <c r="L7626" t="s">
        <v>20</v>
      </c>
      <c r="M7626" t="s">
        <v>14728</v>
      </c>
      <c r="N7626" t="s">
        <v>14</v>
      </c>
    </row>
    <row r="7627" x14ac:dyDescent="0.25">
      <c r="A7627" t="n">
        <v>24</v>
      </c>
      <c r="B7627" t="s">
        <v>14</v>
      </c>
      <c r="C7627" t="s">
        <v>22</v>
      </c>
      <c r="D7627" s="2" t="s">
        <f>=HYPERLINK("https://main.knesset.gov.il/APPS/legislation/main/bills/2156482", "הצעת חוק המוסד העליון ללשון העברית (תיקון מס' 5) (כתיב ותעתיק של שמות מקומות ציבוריים), התשפ""ב–2022")</f>
        <v>14867</v>
      </c>
      <c r="E7627" t="s">
        <v>14867</v>
      </c>
      <c r="F7627" t="s">
        <v>14868</v>
      </c>
      <c r="G7627" t="s">
        <v>14869</v>
      </c>
      <c r="H7627">
             </c>
      <c r="I7627" t="s">
        <v>14</v>
      </c>
      <c r="J7627" t="s">
        <v>69</v>
      </c>
      <c r="K7627" t="s">
        <v>34</v>
      </c>
      <c r="L7627" t="s">
        <v>20</v>
      </c>
      <c r="M7627" t="s">
        <v>14728</v>
      </c>
      <c r="N7627" t="s">
        <v>14</v>
      </c>
    </row>
    <row r="7628" x14ac:dyDescent="0.25">
      <c r="A7628" t="n">
        <v>24</v>
      </c>
      <c r="B7628" t="s">
        <v>14</v>
      </c>
      <c r="C7628" t="s">
        <v>15</v>
      </c>
      <c r="D7628" s="2" t="s">
        <f>=HYPERLINK("https://main.knesset.gov.il/APPS/legislation/main/bills/2194350", "הצעת חוק להסדר ההימורים בספורט (תיקון מס' 15), התשפ""ב-2022")</f>
        <v>14870</v>
      </c>
      <c r="E7628" t="s">
        <v>14870</v>
      </c>
      <c r="F7628" t="s">
        <v>14</v>
      </c>
      <c r="G7628" t="s">
        <v>14871</v>
      </c>
      <c r="H7628">
             </c>
      <c r="I7628" t="s">
        <v>14</v>
      </c>
      <c r="J7628" t="s">
        <v>69</v>
      </c>
      <c r="K7628" t="s">
        <v>14</v>
      </c>
      <c r="L7628" t="s">
        <v>20</v>
      </c>
      <c r="M7628" t="s">
        <v>14728</v>
      </c>
      <c r="N7628" t="s">
        <v>14</v>
      </c>
    </row>
    <row r="7629" x14ac:dyDescent="0.25">
      <c r="A7629" t="n">
        <v>24</v>
      </c>
      <c r="B7629" t="s">
        <v>14</v>
      </c>
      <c r="C7629" t="s">
        <v>15</v>
      </c>
      <c r="D7629" s="2" t="s">
        <f>=HYPERLINK("https://main.knesset.gov.il/APPS/legislation/main/bills/2194351", "הצעת חוק החברות (תיקון מס' 36) (ממשל תאגידי בחברות ציבוריות שאין בהן בעל שליטה), התשפ""ב-2022")</f>
        <v>14872</v>
      </c>
      <c r="E7629" t="s">
        <v>14872</v>
      </c>
      <c r="F7629" t="s">
        <v>14</v>
      </c>
      <c r="G7629" t="s">
        <v>14873</v>
      </c>
      <c r="H7629">
             </c>
      <c r="I7629" t="s">
        <v>14</v>
      </c>
      <c r="J7629" t="s">
        <v>69</v>
      </c>
      <c r="K7629" t="s">
        <v>14</v>
      </c>
      <c r="L7629" t="s">
        <v>20</v>
      </c>
      <c r="M7629" t="s">
        <v>14728</v>
      </c>
      <c r="N7629" t="s">
        <v>14</v>
      </c>
    </row>
    <row r="7630" x14ac:dyDescent="0.25">
      <c r="A7630" t="n">
        <v>24</v>
      </c>
      <c r="B7630" t="s">
        <v>14</v>
      </c>
      <c r="C7630" t="s">
        <v>15</v>
      </c>
      <c r="D7630" s="2" t="s">
        <f>=HYPERLINK("https://main.knesset.gov.il/APPS/legislation/main/bills/2190625", "הצעת חוק-יסוד: זכויות בהליך הפלילי ")</f>
        <v>14874</v>
      </c>
      <c r="E7630" t="s">
        <v>14874</v>
      </c>
      <c r="F7630" t="s">
        <v>14</v>
      </c>
      <c r="G7630" t="s">
        <v>14875</v>
      </c>
      <c r="H7630">
             </c>
      <c r="I7630" t="s">
        <v>14</v>
      </c>
      <c r="J7630" t="s">
        <v>18</v>
      </c>
      <c r="K7630" t="s">
        <v>27</v>
      </c>
      <c r="L7630" t="s">
        <v>20</v>
      </c>
      <c r="M7630" t="s">
        <v>14876</v>
      </c>
      <c r="N7630" t="s">
        <v>14</v>
      </c>
    </row>
    <row r="7631" x14ac:dyDescent="0.25">
      <c r="A7631" t="n">
        <v>24</v>
      </c>
      <c r="B7631" t="s">
        <v>14</v>
      </c>
      <c r="C7631" t="s">
        <v>22</v>
      </c>
      <c r="D7631" s="2" t="s">
        <f>=HYPERLINK("https://main.knesset.gov.il/APPS/legislation/main/bills/2159718", "הצעת חוק שירותי רווחה לאנשים עם מוגבלות, התשפ""א-2021")</f>
        <v>14877</v>
      </c>
      <c r="E7631" t="s">
        <v>14877</v>
      </c>
      <c r="F7631" t="s">
        <v>14878</v>
      </c>
      <c r="G7631" t="s">
        <v>14</v>
      </c>
      <c r="H7631">
             </c>
      <c r="I7631" t="s">
        <v>14</v>
      </c>
      <c r="J7631" t="s">
        <v>31</v>
      </c>
      <c r="K7631" t="s">
        <v>127</v>
      </c>
      <c r="L7631" t="s">
        <v>20</v>
      </c>
      <c r="M7631" t="s">
        <v>14879</v>
      </c>
      <c r="N7631" t="s">
        <v>14</v>
      </c>
    </row>
    <row r="7632" x14ac:dyDescent="0.25">
      <c r="A7632" t="n">
        <v>24</v>
      </c>
      <c r="B7632" t="s">
        <v>14</v>
      </c>
      <c r="C7632" t="s">
        <v>22</v>
      </c>
      <c r="D7632" s="2" t="s">
        <f>=HYPERLINK("https://main.knesset.gov.il/APPS/legislation/main/bills/2160483", "הצעת חוק העונשין (תיקון - ביטול סעיף העלבת עובד ציבור), התשפ""א-2021")</f>
        <v>14880</v>
      </c>
      <c r="E7632" t="s">
        <v>14880</v>
      </c>
      <c r="F7632" t="s">
        <v>14881</v>
      </c>
      <c r="G7632" t="s">
        <v>14</v>
      </c>
      <c r="H7632">
             </c>
      <c r="I7632" t="s">
        <v>14</v>
      </c>
      <c r="J7632" t="s">
        <v>31</v>
      </c>
      <c r="K7632" t="s">
        <v>27</v>
      </c>
      <c r="L7632" t="s">
        <v>20</v>
      </c>
      <c r="M7632" t="s">
        <v>14879</v>
      </c>
      <c r="N7632" t="s">
        <v>14</v>
      </c>
    </row>
    <row r="7633" x14ac:dyDescent="0.25">
      <c r="A7633" t="n">
        <v>24</v>
      </c>
      <c r="B7633" t="s">
        <v>14</v>
      </c>
      <c r="C7633" t="s">
        <v>22</v>
      </c>
      <c r="D7633" s="2" t="s">
        <f>=HYPERLINK("https://main.knesset.gov.il/APPS/legislation/main/bills/2159026", "הצעת חוק שיקום, קידום ושילוב אנשים עם אוטיזם בקהילה, התשפ""א-2021")</f>
        <v>14882</v>
      </c>
      <c r="E7633" t="s">
        <v>14882</v>
      </c>
      <c r="F7633" t="s">
        <v>14883</v>
      </c>
      <c r="G7633" t="s">
        <v>14</v>
      </c>
      <c r="H7633">
             </c>
      <c r="I7633" t="s">
        <v>14</v>
      </c>
      <c r="J7633" t="s">
        <v>31</v>
      </c>
      <c r="K7633" t="s">
        <v>127</v>
      </c>
      <c r="L7633" t="s">
        <v>20</v>
      </c>
      <c r="M7633" t="s">
        <v>14879</v>
      </c>
      <c r="N7633" t="s">
        <v>14</v>
      </c>
    </row>
    <row r="7634" x14ac:dyDescent="0.25">
      <c r="A7634" t="n">
        <v>24</v>
      </c>
      <c r="B7634" t="s">
        <v>14</v>
      </c>
      <c r="C7634" t="s">
        <v>22</v>
      </c>
      <c r="D7634" s="2" t="s">
        <f>=HYPERLINK("https://main.knesset.gov.il/APPS/legislation/main/bills/2156219", "הצעת חוק שוויון זכויות לאנשים עם מוגבלות (תיקון - דיור בקהילה וסיוע אישי), התשפ""א-2021")</f>
        <v>14884</v>
      </c>
      <c r="E7634" t="s">
        <v>14884</v>
      </c>
      <c r="F7634" t="s">
        <v>14885</v>
      </c>
      <c r="G7634" t="s">
        <v>14</v>
      </c>
      <c r="H7634">
             </c>
      <c r="I7634" t="s">
        <v>14</v>
      </c>
      <c r="J7634" t="s">
        <v>31</v>
      </c>
      <c r="K7634" t="s">
        <v>127</v>
      </c>
      <c r="L7634" t="s">
        <v>20</v>
      </c>
      <c r="M7634" t="s">
        <v>14879</v>
      </c>
      <c r="N7634" t="s">
        <v>14</v>
      </c>
    </row>
    <row r="7635" x14ac:dyDescent="0.25">
      <c r="A7635" t="n">
        <v>24</v>
      </c>
      <c r="B7635" t="s">
        <v>14</v>
      </c>
      <c r="C7635" t="s">
        <v>22</v>
      </c>
      <c r="D7635" s="2" t="s">
        <f>=HYPERLINK("https://main.knesset.gov.il/APPS/legislation/main/bills/2192741", "הצעת חוק הספורט (תיקון - הסדרת העיסוק באימון ספורט), התשפ""ב-2022")</f>
        <v>14886</v>
      </c>
      <c r="E7635" t="s">
        <v>14886</v>
      </c>
      <c r="F7635" t="s">
        <v>14887</v>
      </c>
      <c r="G7635" t="s">
        <v>14</v>
      </c>
      <c r="H7635">
             </c>
      <c r="I7635" t="s">
        <v>14</v>
      </c>
      <c r="J7635" t="s">
        <v>99</v>
      </c>
      <c r="K7635" t="s">
        <v>34</v>
      </c>
      <c r="L7635" t="s">
        <v>20</v>
      </c>
      <c r="M7635" t="s">
        <v>14879</v>
      </c>
      <c r="N7635" t="s">
        <v>14</v>
      </c>
    </row>
    <row r="7636" x14ac:dyDescent="0.25">
      <c r="A7636" t="n">
        <v>24</v>
      </c>
      <c r="B7636" t="s">
        <v>14</v>
      </c>
      <c r="C7636" t="s">
        <v>22</v>
      </c>
      <c r="D7636" s="2" t="s">
        <f>=HYPERLINK("https://main.knesset.gov.il/APPS/legislation/main/bills/2192882", "הצעת חוק המידע הפלילי ותקנת השבים (תיקון - סעיף העונשין), התשפ""ב-2022")</f>
        <v>14634</v>
      </c>
      <c r="E7636" t="s">
        <v>14634</v>
      </c>
      <c r="F7636" t="s">
        <v>14888</v>
      </c>
      <c r="G7636" t="s">
        <v>14</v>
      </c>
      <c r="H7636">
             </c>
      <c r="I7636" t="s">
        <v>14</v>
      </c>
      <c r="J7636" t="s">
        <v>343</v>
      </c>
      <c r="K7636" t="s">
        <v>14</v>
      </c>
      <c r="L7636" t="s">
        <v>20</v>
      </c>
      <c r="M7636" t="s">
        <v>14879</v>
      </c>
      <c r="N7636" t="s">
        <v>14</v>
      </c>
    </row>
    <row r="7637" x14ac:dyDescent="0.25">
      <c r="A7637" t="n">
        <v>24</v>
      </c>
      <c r="B7637" t="s">
        <v>14</v>
      </c>
      <c r="C7637" t="s">
        <v>22</v>
      </c>
      <c r="D7637" s="2" t="s">
        <f>=HYPERLINK("https://main.knesset.gov.il/APPS/legislation/main/bills/2192055", "הצעת חוק הספורט (תיקון - הסדרת העיסוק באימון ספורט), התשפ""ב-2022")</f>
        <v>14886</v>
      </c>
      <c r="E7637" t="s">
        <v>14886</v>
      </c>
      <c r="F7637" t="s">
        <v>14889</v>
      </c>
      <c r="G7637" t="s">
        <v>14</v>
      </c>
      <c r="H7637">
             </c>
      <c r="I7637" t="s">
        <v>14</v>
      </c>
      <c r="J7637" t="s">
        <v>99</v>
      </c>
      <c r="K7637" t="s">
        <v>34</v>
      </c>
      <c r="L7637" t="s">
        <v>20</v>
      </c>
      <c r="M7637" t="s">
        <v>14879</v>
      </c>
      <c r="N7637" t="s">
        <v>14</v>
      </c>
    </row>
    <row r="7638" x14ac:dyDescent="0.25">
      <c r="A7638" t="n">
        <v>24</v>
      </c>
      <c r="B7638" t="s">
        <v>14</v>
      </c>
      <c r="C7638" t="s">
        <v>22</v>
      </c>
      <c r="D7638" s="2" t="s">
        <f>=HYPERLINK("https://main.knesset.gov.il/APPS/legislation/main/bills/2191996", "הצעת חוק שיפוט בתי דין דתיים (בוררות), התשפ""ב-2022")</f>
        <v>14890</v>
      </c>
      <c r="E7638" t="s">
        <v>14890</v>
      </c>
      <c r="F7638" t="s">
        <v>14891</v>
      </c>
      <c r="G7638" t="s">
        <v>14</v>
      </c>
      <c r="H7638">
             </c>
      <c r="I7638" t="s">
        <v>14</v>
      </c>
      <c r="J7638" t="s">
        <v>343</v>
      </c>
      <c r="K7638" t="s">
        <v>14</v>
      </c>
      <c r="L7638" t="s">
        <v>20</v>
      </c>
      <c r="M7638" t="s">
        <v>14879</v>
      </c>
      <c r="N7638" t="s">
        <v>14</v>
      </c>
    </row>
    <row r="7639" x14ac:dyDescent="0.25">
      <c r="A7639" t="n">
        <v>24</v>
      </c>
      <c r="B7639" t="s">
        <v>14</v>
      </c>
      <c r="C7639" t="s">
        <v>22</v>
      </c>
      <c r="D7639" s="2" t="s">
        <f>=HYPERLINK("https://main.knesset.gov.il/APPS/legislation/main/bills/2190190", "הצעת חוק העונשין (תיקון - פשיעה לאומנית כפשע שנאה), התשפ""ב-2022")</f>
        <v>14892</v>
      </c>
      <c r="E7639" t="s">
        <v>14892</v>
      </c>
      <c r="F7639" t="s">
        <v>14893</v>
      </c>
      <c r="G7639" t="s">
        <v>14</v>
      </c>
      <c r="H7639">
             </c>
      <c r="I7639" t="s">
        <v>14</v>
      </c>
      <c r="J7639" t="s">
        <v>55</v>
      </c>
      <c r="K7639" t="s">
        <v>14</v>
      </c>
      <c r="L7639" t="s">
        <v>20</v>
      </c>
      <c r="M7639" t="s">
        <v>14879</v>
      </c>
      <c r="N7639" t="s">
        <v>14</v>
      </c>
    </row>
    <row r="7640" x14ac:dyDescent="0.25">
      <c r="A7640" t="n">
        <v>24</v>
      </c>
      <c r="B7640" t="s">
        <v>14</v>
      </c>
      <c r="C7640" t="s">
        <v>22</v>
      </c>
      <c r="D7640" s="2" t="s">
        <f>=HYPERLINK("https://main.knesset.gov.il/APPS/legislation/main/bills/2166386", "הצעת חוק שיפוט בתי דין דתיים (בוררות), התשפ""ב-2022")</f>
        <v>14890</v>
      </c>
      <c r="E7640" t="s">
        <v>14890</v>
      </c>
      <c r="F7640" t="s">
        <v>14894</v>
      </c>
      <c r="G7640" t="s">
        <v>14</v>
      </c>
      <c r="H7640">
             </c>
      <c r="I7640" t="s">
        <v>14</v>
      </c>
      <c r="J7640" t="s">
        <v>343</v>
      </c>
      <c r="K7640" t="s">
        <v>14</v>
      </c>
      <c r="L7640" t="s">
        <v>20</v>
      </c>
      <c r="M7640" t="s">
        <v>14879</v>
      </c>
      <c r="N7640" t="s">
        <v>14</v>
      </c>
    </row>
    <row r="7641" x14ac:dyDescent="0.25">
      <c r="A7641" t="n">
        <v>24</v>
      </c>
      <c r="B7641" t="s">
        <v>14</v>
      </c>
      <c r="C7641" t="s">
        <v>22</v>
      </c>
      <c r="D7641" s="2" t="s">
        <f>=HYPERLINK("https://main.knesset.gov.il/APPS/legislation/main/bills/2166693", "הצעת חוק לתיקון פקודת הטבק (הגברת האכיפה), התשפ""ב-2022")</f>
        <v>14895</v>
      </c>
      <c r="E7641" t="s">
        <v>14895</v>
      </c>
      <c r="F7641" t="s">
        <v>14896</v>
      </c>
      <c r="G7641" t="s">
        <v>14</v>
      </c>
      <c r="H7641">
             </c>
      <c r="I7641" t="s">
        <v>14</v>
      </c>
      <c r="J7641" t="s">
        <v>55</v>
      </c>
      <c r="K7641" t="s">
        <v>14</v>
      </c>
      <c r="L7641" t="s">
        <v>20</v>
      </c>
      <c r="M7641" t="s">
        <v>14879</v>
      </c>
      <c r="N7641" t="s">
        <v>14</v>
      </c>
    </row>
    <row r="7642" x14ac:dyDescent="0.25">
      <c r="A7642" t="n">
        <v>24</v>
      </c>
      <c r="B7642" t="s">
        <v>14</v>
      </c>
      <c r="C7642" t="s">
        <v>22</v>
      </c>
      <c r="D7642" s="2" t="s">
        <f>=HYPERLINK("https://main.knesset.gov.il/APPS/legislation/main/bills/2169724", "הצעת חוק לתיקון פקודת מס הכנסה (שינוי מדרגות המס), התשפ""ב-2022")</f>
        <v>14897</v>
      </c>
      <c r="E7642" t="s">
        <v>14897</v>
      </c>
      <c r="F7642" t="s">
        <v>14898</v>
      </c>
      <c r="G7642" t="s">
        <v>14</v>
      </c>
      <c r="H7642">
             </c>
      <c r="I7642" t="s">
        <v>14</v>
      </c>
      <c r="J7642" t="s">
        <v>60</v>
      </c>
      <c r="K7642" t="s">
        <v>14</v>
      </c>
      <c r="L7642" t="s">
        <v>20</v>
      </c>
      <c r="M7642" t="s">
        <v>14879</v>
      </c>
      <c r="N7642" t="s">
        <v>14</v>
      </c>
    </row>
    <row r="7643" x14ac:dyDescent="0.25">
      <c r="A7643" t="n">
        <v>24</v>
      </c>
      <c r="B7643" t="s">
        <v>14</v>
      </c>
      <c r="C7643" t="s">
        <v>22</v>
      </c>
      <c r="D7643" s="2" t="s">
        <f>=HYPERLINK("https://main.knesset.gov.il/APPS/legislation/main/bills/2169211", "הצעת חוק הנחה לנכים בתחבורה ציבורית, התשפ""ב-2022")</f>
        <v>14899</v>
      </c>
      <c r="E7643" t="s">
        <v>14899</v>
      </c>
      <c r="F7643" t="s">
        <v>14900</v>
      </c>
      <c r="G7643" t="s">
        <v>14</v>
      </c>
      <c r="H7643">
             </c>
      <c r="I7643" t="s">
        <v>14</v>
      </c>
      <c r="J7643" t="s">
        <v>55</v>
      </c>
      <c r="K7643" t="s">
        <v>14</v>
      </c>
      <c r="L7643" t="s">
        <v>20</v>
      </c>
      <c r="M7643" t="s">
        <v>14879</v>
      </c>
      <c r="N7643" t="s">
        <v>14</v>
      </c>
    </row>
    <row r="7644" x14ac:dyDescent="0.25">
      <c r="A7644" t="n">
        <v>24</v>
      </c>
      <c r="B7644" t="s">
        <v>14</v>
      </c>
      <c r="C7644" t="s">
        <v>22</v>
      </c>
      <c r="D7644" s="2" t="s">
        <f>=HYPERLINK("https://main.knesset.gov.il/APPS/legislation/main/bills/2168951", "הצעת חוק לשכת עורכי הדין (תיקון - קורס הכנה למבחני הלשכה), התשפ""ב-2022")</f>
        <v>14901</v>
      </c>
      <c r="E7644" t="s">
        <v>14901</v>
      </c>
      <c r="F7644" t="s">
        <v>14902</v>
      </c>
      <c r="G7644" t="s">
        <v>14</v>
      </c>
      <c r="H7644">
             </c>
      <c r="I7644" t="s">
        <v>14</v>
      </c>
      <c r="J7644" t="s">
        <v>343</v>
      </c>
      <c r="K7644" t="s">
        <v>14</v>
      </c>
      <c r="L7644" t="s">
        <v>20</v>
      </c>
      <c r="M7644" t="s">
        <v>14879</v>
      </c>
      <c r="N7644" t="s">
        <v>14</v>
      </c>
    </row>
    <row r="7645" x14ac:dyDescent="0.25">
      <c r="A7645" t="n">
        <v>24</v>
      </c>
      <c r="B7645" t="s">
        <v>14</v>
      </c>
      <c r="C7645" t="s">
        <v>22</v>
      </c>
      <c r="D7645" s="2" t="s">
        <f>=HYPERLINK("https://main.knesset.gov.il/APPS/legislation/main/bills/2167095", "הצעת חוק דיווח לכנסת - תלונות על הטרדות מיניות במשטרת ישראל ובשירות בתי הסוהר והטיפול בהן (תיקוני חקיקה), התשפ""ב-2022")</f>
        <v>14903</v>
      </c>
      <c r="E7645" t="s">
        <v>14903</v>
      </c>
      <c r="F7645" t="s">
        <v>14904</v>
      </c>
      <c r="G7645" t="s">
        <v>14905</v>
      </c>
      <c r="H7645">
             </c>
      <c r="I7645" t="s">
        <v>14</v>
      </c>
      <c r="J7645" t="s">
        <v>1141</v>
      </c>
      <c r="K7645" t="s">
        <v>14336</v>
      </c>
      <c r="L7645" t="s">
        <v>20</v>
      </c>
      <c r="M7645" t="s">
        <v>14879</v>
      </c>
      <c r="N7645" t="s">
        <v>14</v>
      </c>
    </row>
    <row r="7646" x14ac:dyDescent="0.25">
      <c r="A7646" t="n">
        <v>24</v>
      </c>
      <c r="B7646" t="s">
        <v>14</v>
      </c>
      <c r="C7646" t="s">
        <v>22</v>
      </c>
      <c r="D7646" s="2" t="s">
        <f>=HYPERLINK("https://main.knesset.gov.il/APPS/legislation/main/bills/2161602", "הצעת חוק רישוי עסקים (תיקון - מכירת יין ומשקאות אלכוהוליים בחנות גדולה), התשפ""ב-2021")</f>
        <v>14906</v>
      </c>
      <c r="E7646" t="s">
        <v>14906</v>
      </c>
      <c r="F7646" t="s">
        <v>14907</v>
      </c>
      <c r="G7646" t="s">
        <v>14</v>
      </c>
      <c r="H7646">
             </c>
      <c r="I7646" t="s">
        <v>14</v>
      </c>
      <c r="J7646" t="s">
        <v>60</v>
      </c>
      <c r="K7646" t="s">
        <v>14</v>
      </c>
      <c r="L7646" t="s">
        <v>20</v>
      </c>
      <c r="M7646" t="s">
        <v>14879</v>
      </c>
      <c r="N7646" t="s">
        <v>14</v>
      </c>
    </row>
    <row r="7647" x14ac:dyDescent="0.25">
      <c r="A7647" t="n">
        <v>24</v>
      </c>
      <c r="B7647" t="s">
        <v>14</v>
      </c>
      <c r="C7647" t="s">
        <v>22</v>
      </c>
      <c r="D7647" s="2" t="s">
        <f>=HYPERLINK("https://main.knesset.gov.il/APPS/legislation/main/bills/2166234", "הצעת חוק שיפוט בתי דין רבניים (סמכות שיפוט בהסכמה), התשפ""ב-2021")</f>
        <v>14908</v>
      </c>
      <c r="E7647" t="s">
        <v>14908</v>
      </c>
      <c r="F7647" t="s">
        <v>14909</v>
      </c>
      <c r="G7647" t="s">
        <v>14</v>
      </c>
      <c r="H7647">
             </c>
      <c r="I7647" t="s">
        <v>14</v>
      </c>
      <c r="J7647" t="s">
        <v>343</v>
      </c>
      <c r="K7647" t="s">
        <v>14</v>
      </c>
      <c r="L7647" t="s">
        <v>20</v>
      </c>
      <c r="M7647" t="s">
        <v>14879</v>
      </c>
      <c r="N7647" t="s">
        <v>14</v>
      </c>
    </row>
    <row r="7648" x14ac:dyDescent="0.25">
      <c r="A7648" t="n">
        <v>24</v>
      </c>
      <c r="B7648" t="s">
        <v>14</v>
      </c>
      <c r="C7648" t="s">
        <v>22</v>
      </c>
      <c r="D7648" s="2" t="s">
        <f>=HYPERLINK("https://main.knesset.gov.il/APPS/legislation/main/bills/2158439", "הצעת חוק הביטוח הלאומי (תיקון - זכאות פדיון סכום החיסכון הצבור הכולל לחייל בודד), התשפ""ב-2021")</f>
        <v>14910</v>
      </c>
      <c r="E7648" t="s">
        <v>14910</v>
      </c>
      <c r="F7648" t="s">
        <v>14911</v>
      </c>
      <c r="G7648" t="s">
        <v>14</v>
      </c>
      <c r="H7648">
             </c>
      <c r="I7648" t="s">
        <v>14</v>
      </c>
      <c r="J7648" t="s">
        <v>31</v>
      </c>
      <c r="K7648" t="s">
        <v>127</v>
      </c>
      <c r="L7648" t="s">
        <v>20</v>
      </c>
      <c r="M7648" t="s">
        <v>14879</v>
      </c>
      <c r="N7648" t="s">
        <v>14</v>
      </c>
    </row>
    <row r="7649" x14ac:dyDescent="0.25">
      <c r="A7649" t="n">
        <v>24</v>
      </c>
      <c r="B7649" t="s">
        <v>14</v>
      </c>
      <c r="C7649" t="s">
        <v>22</v>
      </c>
      <c r="D7649" s="2" t="s">
        <f>=HYPERLINK("https://main.knesset.gov.il/APPS/legislation/main/bills/2156800", "הצעת חוק המים (תיקון - איסור הפסקת אספקת מים בשל חובות של רשויות מקומיות), התשפ""א-2021")</f>
        <v>14912</v>
      </c>
      <c r="E7649" t="s">
        <v>14912</v>
      </c>
      <c r="F7649" t="s">
        <v>14913</v>
      </c>
      <c r="G7649" t="s">
        <v>14</v>
      </c>
      <c r="H7649">
             </c>
      <c r="I7649" t="s">
        <v>14</v>
      </c>
      <c r="J7649" t="s">
        <v>343</v>
      </c>
      <c r="K7649" t="s">
        <v>14</v>
      </c>
      <c r="L7649" t="s">
        <v>20</v>
      </c>
      <c r="M7649" t="s">
        <v>14879</v>
      </c>
      <c r="N7649" t="s">
        <v>14</v>
      </c>
    </row>
    <row r="7650" x14ac:dyDescent="0.25">
      <c r="A7650" t="n">
        <v>24</v>
      </c>
      <c r="B7650" t="s">
        <v>14</v>
      </c>
      <c r="C7650" t="s">
        <v>22</v>
      </c>
      <c r="D7650" s="2" t="s">
        <f>=HYPERLINK("https://main.knesset.gov.il/APPS/legislation/main/bills/2156795", "הצעת חוק לתיקון פקודת מס הכנסה (שווי השימוש ברכב או ברדיו טלפון נייד), התשפ""א–2021")</f>
        <v>14914</v>
      </c>
      <c r="E7650" t="s">
        <v>14914</v>
      </c>
      <c r="F7650" t="s">
        <v>14915</v>
      </c>
      <c r="G7650" t="s">
        <v>14</v>
      </c>
      <c r="H7650">
             </c>
      <c r="I7650" t="s">
        <v>14</v>
      </c>
      <c r="J7650" t="s">
        <v>343</v>
      </c>
      <c r="K7650" t="s">
        <v>14</v>
      </c>
      <c r="L7650" t="s">
        <v>20</v>
      </c>
      <c r="M7650" t="s">
        <v>14879</v>
      </c>
      <c r="N7650" t="s">
        <v>14</v>
      </c>
    </row>
    <row r="7651" x14ac:dyDescent="0.25">
      <c r="A7651" t="n">
        <v>24</v>
      </c>
      <c r="B7651" t="s">
        <v>14</v>
      </c>
      <c r="C7651" t="s">
        <v>15</v>
      </c>
      <c r="D7651" s="2" t="s">
        <f>=HYPERLINK("https://main.knesset.gov.il/APPS/legislation/main/bills/2194135", "הצעת חוק טיפול בחולי נפש (תיקון מס' 11) (הוראות לעניין מינוי חברים לוועדות), התשפ""ב-2022")</f>
        <v>14916</v>
      </c>
      <c r="E7651" t="s">
        <v>14916</v>
      </c>
      <c r="F7651" t="s">
        <v>14</v>
      </c>
      <c r="G7651" t="s">
        <v>14917</v>
      </c>
      <c r="H7651">
             </c>
      <c r="I7651" t="s">
        <v>14</v>
      </c>
      <c r="J7651" t="s">
        <v>69</v>
      </c>
      <c r="K7651" t="s">
        <v>14</v>
      </c>
      <c r="L7651" t="s">
        <v>20</v>
      </c>
      <c r="M7651" t="s">
        <v>14879</v>
      </c>
      <c r="N7651" t="s">
        <v>14</v>
      </c>
    </row>
    <row r="7652" x14ac:dyDescent="0.25">
      <c r="A7652" t="n">
        <v>24</v>
      </c>
      <c r="B7652" t="s">
        <v>14</v>
      </c>
      <c r="C7652" t="s">
        <v>22</v>
      </c>
      <c r="D7652" s="2" t="s">
        <f>=HYPERLINK("https://main.knesset.gov.il/APPS/legislation/main/bills/2190686", "הצעת חוק הגנת הצרכן (תיקון - ביטול עסקת מכר מרחוק למתן שירותי תיירות בישראל), התשפ""ב-2022")</f>
        <v>14918</v>
      </c>
      <c r="E7652" t="s">
        <v>14918</v>
      </c>
      <c r="F7652" t="s">
        <v>14919</v>
      </c>
      <c r="G7652" t="s">
        <v>14</v>
      </c>
      <c r="H7652">
             </c>
      <c r="I7652" t="s">
        <v>14</v>
      </c>
      <c r="J7652" t="s">
        <v>99</v>
      </c>
      <c r="K7652" t="s">
        <v>19</v>
      </c>
      <c r="L7652" t="s">
        <v>20</v>
      </c>
      <c r="M7652" t="s">
        <v>14920</v>
      </c>
      <c r="N7652" t="s">
        <v>14</v>
      </c>
    </row>
    <row r="7653" x14ac:dyDescent="0.25">
      <c r="A7653" t="n">
        <v>24</v>
      </c>
      <c r="B7653" t="s">
        <v>14</v>
      </c>
      <c r="C7653" t="s">
        <v>22</v>
      </c>
      <c r="D7653" s="2" t="s">
        <f>=HYPERLINK("https://main.knesset.gov.il/APPS/legislation/main/bills/2162891", "הצעת חוק הוועדה לטיפול במשפחות נעדרים אזרחיים, התשפ""ב-2021")</f>
        <v>14921</v>
      </c>
      <c r="E7653" t="s">
        <v>14921</v>
      </c>
      <c r="F7653" t="s">
        <v>14922</v>
      </c>
      <c r="G7653" t="s">
        <v>14</v>
      </c>
      <c r="H7653">
             </c>
      <c r="I7653" t="s">
        <v>14</v>
      </c>
      <c r="J7653" t="s">
        <v>99</v>
      </c>
      <c r="K7653" t="s">
        <v>14336</v>
      </c>
      <c r="L7653" t="s">
        <v>20</v>
      </c>
      <c r="M7653" t="s">
        <v>14920</v>
      </c>
      <c r="N7653" t="s">
        <v>14</v>
      </c>
    </row>
    <row r="7654" x14ac:dyDescent="0.25">
      <c r="A7654" t="n">
        <v>24</v>
      </c>
      <c r="B7654" t="s">
        <v>14</v>
      </c>
      <c r="C7654" t="s">
        <v>22</v>
      </c>
      <c r="D7654" s="2" t="s">
        <f>=HYPERLINK("https://main.knesset.gov.il/APPS/legislation/main/bills/2161695", "הצעת חוק הוועדה לטיפול במשפחות נעדרים אזרחיים, התשפ""ב-2021")</f>
        <v>14921</v>
      </c>
      <c r="E7654" t="s">
        <v>14921</v>
      </c>
      <c r="F7654" t="s">
        <v>14923</v>
      </c>
      <c r="G7654" t="s">
        <v>14</v>
      </c>
      <c r="H7654">
             </c>
      <c r="I7654" t="s">
        <v>14</v>
      </c>
      <c r="J7654" t="s">
        <v>99</v>
      </c>
      <c r="K7654" t="s">
        <v>14336</v>
      </c>
      <c r="L7654" t="s">
        <v>20</v>
      </c>
      <c r="M7654" t="s">
        <v>14920</v>
      </c>
      <c r="N7654" t="s">
        <v>14</v>
      </c>
    </row>
    <row r="7655" x14ac:dyDescent="0.25">
      <c r="A7655" t="n">
        <v>24</v>
      </c>
      <c r="B7655" t="s">
        <v>14</v>
      </c>
      <c r="C7655" t="s">
        <v>15</v>
      </c>
      <c r="D7655" s="2" t="s">
        <f>=HYPERLINK("https://main.knesset.gov.il/APPS/legislation/main/bills/2194080", "הצעת חוק הרשות לקידום מעמד האישה (תיקון מס' 2) (תיקון שם הרשות ותיקונים במבנה הארגוני של הרשות), התשפ""ב-2022 ")</f>
        <v>14924</v>
      </c>
      <c r="E7655" t="s">
        <v>14924</v>
      </c>
      <c r="F7655" t="s">
        <v>14</v>
      </c>
      <c r="G7655" t="s">
        <v>14925</v>
      </c>
      <c r="H7655">
             </c>
      <c r="I7655" t="s">
        <v>14</v>
      </c>
      <c r="J7655" t="s">
        <v>69</v>
      </c>
      <c r="K7655" t="s">
        <v>14</v>
      </c>
      <c r="L7655" t="s">
        <v>20</v>
      </c>
      <c r="M7655" t="s">
        <v>14920</v>
      </c>
      <c r="N7655" t="s">
        <v>14</v>
      </c>
    </row>
    <row r="7656" x14ac:dyDescent="0.25">
      <c r="A7656" t="n">
        <v>24</v>
      </c>
      <c r="B7656" t="s">
        <v>14</v>
      </c>
      <c r="C7656" t="s">
        <v>22</v>
      </c>
      <c r="D7656" s="2" t="s">
        <f>=HYPERLINK("https://main.knesset.gov.il/APPS/legislation/main/bills/2189778", "הצעת חוק להכרה, לחקר האמת, להנצחה ולפיצוי של נפגעי פרשת ילדי תימן, המזרח והבלקן, התשפ""ב-2022")</f>
        <v>14926</v>
      </c>
      <c r="E7656" t="s">
        <v>14926</v>
      </c>
      <c r="F7656" t="s">
        <v>14927</v>
      </c>
      <c r="G7656" t="s">
        <v>14</v>
      </c>
      <c r="H7656">
             </c>
      <c r="I7656" t="s">
        <v>14</v>
      </c>
      <c r="J7656" t="s">
        <v>141</v>
      </c>
      <c r="K7656" t="s">
        <v>14</v>
      </c>
      <c r="L7656" t="s">
        <v>20</v>
      </c>
      <c r="M7656" t="s">
        <v>14928</v>
      </c>
      <c r="N7656" t="s">
        <v>14</v>
      </c>
    </row>
    <row r="7657" x14ac:dyDescent="0.25">
      <c r="A7657" t="n">
        <v>24</v>
      </c>
      <c r="B7657" t="s">
        <v>14</v>
      </c>
      <c r="C7657" t="s">
        <v>22</v>
      </c>
      <c r="D7657" s="2" t="s">
        <f>=HYPERLINK("https://main.knesset.gov.il/APPS/legislation/main/bills/2191880", "הצעת חוק לתיקון פקודת מס הכנסה (ניכוי הוצאות מסוימות), התשפ""ב-2022")</f>
        <v>14929</v>
      </c>
      <c r="E7657" t="s">
        <v>14929</v>
      </c>
      <c r="F7657" t="s">
        <v>14930</v>
      </c>
      <c r="G7657" t="s">
        <v>14</v>
      </c>
      <c r="H7657">
             </c>
      <c r="I7657" t="s">
        <v>14</v>
      </c>
      <c r="J7657" t="s">
        <v>141</v>
      </c>
      <c r="K7657" t="s">
        <v>14</v>
      </c>
      <c r="L7657" t="s">
        <v>20</v>
      </c>
      <c r="M7657" t="s">
        <v>14928</v>
      </c>
      <c r="N7657" t="s">
        <v>14</v>
      </c>
    </row>
    <row r="7658" x14ac:dyDescent="0.25">
      <c r="A7658" t="n">
        <v>24</v>
      </c>
      <c r="B7658" t="s">
        <v>14</v>
      </c>
      <c r="C7658" t="s">
        <v>22</v>
      </c>
      <c r="D7658" s="2" t="s">
        <f>=HYPERLINK("https://main.knesset.gov.il/APPS/legislation/main/bills/2192824", "הצעת חוק יום העצמאות (תיקון - מועד יום העצמאות), התשפ""ב-2022")</f>
        <v>14931</v>
      </c>
      <c r="E7658" t="s">
        <v>14931</v>
      </c>
      <c r="F7658" t="s">
        <v>14932</v>
      </c>
      <c r="G7658" t="s">
        <v>14</v>
      </c>
      <c r="H7658">
             </c>
      <c r="I7658" t="s">
        <v>14</v>
      </c>
      <c r="J7658" t="s">
        <v>141</v>
      </c>
      <c r="K7658" t="s">
        <v>14</v>
      </c>
      <c r="L7658" t="s">
        <v>20</v>
      </c>
      <c r="M7658" t="s">
        <v>14928</v>
      </c>
      <c r="N7658" t="s">
        <v>14</v>
      </c>
    </row>
    <row r="7659" x14ac:dyDescent="0.25">
      <c r="A7659" t="n">
        <v>24</v>
      </c>
      <c r="B7659" t="s">
        <v>14</v>
      </c>
      <c r="C7659" t="s">
        <v>22</v>
      </c>
      <c r="D7659" s="2" t="s">
        <f>=HYPERLINK("https://main.knesset.gov.il/APPS/legislation/main/bills/2192800", "הצעת חוק הביטוח הלאומי (תיקון - דמי לידה לבן הזוג בלידה שקטה), התשפ""ב-2022")</f>
        <v>14933</v>
      </c>
      <c r="E7659" t="s">
        <v>14933</v>
      </c>
      <c r="F7659" t="s">
        <v>14934</v>
      </c>
      <c r="G7659" t="s">
        <v>14</v>
      </c>
      <c r="H7659">
             </c>
      <c r="I7659" t="s">
        <v>14</v>
      </c>
      <c r="J7659" t="s">
        <v>141</v>
      </c>
      <c r="K7659" t="s">
        <v>14</v>
      </c>
      <c r="L7659" t="s">
        <v>20</v>
      </c>
      <c r="M7659" t="s">
        <v>14928</v>
      </c>
      <c r="N7659" t="s">
        <v>14</v>
      </c>
    </row>
    <row r="7660" x14ac:dyDescent="0.25">
      <c r="A7660" t="n">
        <v>24</v>
      </c>
      <c r="B7660" t="s">
        <v>14</v>
      </c>
      <c r="C7660" t="s">
        <v>22</v>
      </c>
      <c r="D7660" s="2" t="s">
        <f>=HYPERLINK("https://main.knesset.gov.il/APPS/legislation/main/bills/2193392", "הצעת חוק איסור הלבנת הון (תיקון - צו תפיסה זמני טרם הגשת כתב אישום), התשפ""ב-2022")</f>
        <v>14935</v>
      </c>
      <c r="E7660" t="s">
        <v>14935</v>
      </c>
      <c r="F7660" t="s">
        <v>14936</v>
      </c>
      <c r="G7660" t="s">
        <v>14</v>
      </c>
      <c r="H7660">
             </c>
      <c r="I7660" t="s">
        <v>14</v>
      </c>
      <c r="J7660" t="s">
        <v>141</v>
      </c>
      <c r="K7660" t="s">
        <v>14</v>
      </c>
      <c r="L7660" t="s">
        <v>20</v>
      </c>
      <c r="M7660" t="s">
        <v>14928</v>
      </c>
      <c r="N7660" t="s">
        <v>14</v>
      </c>
    </row>
    <row r="7661" x14ac:dyDescent="0.25">
      <c r="A7661" t="n">
        <v>24</v>
      </c>
      <c r="B7661" t="s">
        <v>14</v>
      </c>
      <c r="C7661" t="s">
        <v>22</v>
      </c>
      <c r="D7661" s="2" t="s">
        <f>=HYPERLINK("https://main.knesset.gov.il/APPS/legislation/main/bills/2193554", "הצעת חוק צער בעלי חיים (הגנה על בעלי חיים) (תיקון - קביעת עונש מינימום בגין התעללות בבעלי חיים), התשפ""ב-2022")</f>
        <v>14937</v>
      </c>
      <c r="E7661" t="s">
        <v>14937</v>
      </c>
      <c r="F7661" t="s">
        <v>14938</v>
      </c>
      <c r="G7661" t="s">
        <v>14</v>
      </c>
      <c r="H7661">
             </c>
      <c r="I7661" t="s">
        <v>14</v>
      </c>
      <c r="J7661" t="s">
        <v>141</v>
      </c>
      <c r="K7661" t="s">
        <v>14</v>
      </c>
      <c r="L7661" t="s">
        <v>20</v>
      </c>
      <c r="M7661" t="s">
        <v>14928</v>
      </c>
      <c r="N7661" t="s">
        <v>14</v>
      </c>
    </row>
    <row r="7662" x14ac:dyDescent="0.25">
      <c r="A7662" t="n">
        <v>24</v>
      </c>
      <c r="B7662" t="s">
        <v>14</v>
      </c>
      <c r="C7662" t="s">
        <v>22</v>
      </c>
      <c r="D7662" s="2" t="s">
        <f>=HYPERLINK("https://main.knesset.gov.il/APPS/legislation/main/bills/2192677", "הצעת חוק העונשין (תיקון - החמרת הענישה על עבירות כלפי אנשי צוות רפואי), התשפ""ב-2022")</f>
        <v>14939</v>
      </c>
      <c r="E7662" t="s">
        <v>14939</v>
      </c>
      <c r="F7662" t="s">
        <v>14940</v>
      </c>
      <c r="G7662" t="s">
        <v>14</v>
      </c>
      <c r="H7662">
             </c>
      <c r="I7662" t="s">
        <v>14</v>
      </c>
      <c r="J7662" t="s">
        <v>141</v>
      </c>
      <c r="K7662" t="s">
        <v>14</v>
      </c>
      <c r="L7662" t="s">
        <v>20</v>
      </c>
      <c r="M7662" t="s">
        <v>14928</v>
      </c>
      <c r="N7662" t="s">
        <v>14</v>
      </c>
    </row>
    <row r="7663" x14ac:dyDescent="0.25">
      <c r="A7663" t="n">
        <v>24</v>
      </c>
      <c r="B7663" t="s">
        <v>14</v>
      </c>
      <c r="C7663" t="s">
        <v>22</v>
      </c>
      <c r="D7663" s="2" t="s">
        <f>=HYPERLINK("https://main.knesset.gov.il/APPS/legislation/main/bills/2193364", "הצעת חוק בשר ומוצריו (תיקון - הרחבת הסמכות ליתן תעודת הכשר לבשר מיובא), התשפ""ב-2022")</f>
        <v>14941</v>
      </c>
      <c r="E7663" t="s">
        <v>14941</v>
      </c>
      <c r="F7663" t="s">
        <v>14942</v>
      </c>
      <c r="G7663" t="s">
        <v>14</v>
      </c>
      <c r="H7663">
             </c>
      <c r="I7663" t="s">
        <v>14</v>
      </c>
      <c r="J7663" t="s">
        <v>141</v>
      </c>
      <c r="K7663" t="s">
        <v>14</v>
      </c>
      <c r="L7663" t="s">
        <v>20</v>
      </c>
      <c r="M7663" t="s">
        <v>14928</v>
      </c>
      <c r="N7663" t="s">
        <v>14</v>
      </c>
    </row>
    <row r="7664" x14ac:dyDescent="0.25">
      <c r="A7664" t="n">
        <v>24</v>
      </c>
      <c r="B7664" t="s">
        <v>14</v>
      </c>
      <c r="C7664" t="s">
        <v>22</v>
      </c>
      <c r="D7664" s="2" t="s">
        <f>=HYPERLINK("https://main.knesset.gov.il/APPS/legislation/main/bills/2192115", "הצעת חוק לתיקון סדרי הדין (חקירת עדים) (תיקון - מתן עדות שלא בפני הנאשם בעבירת נטילת דמי חסות), התשפ""ב-2022")</f>
        <v>14943</v>
      </c>
      <c r="E7664" t="s">
        <v>14943</v>
      </c>
      <c r="F7664" t="s">
        <v>14944</v>
      </c>
      <c r="G7664" t="s">
        <v>14</v>
      </c>
      <c r="H7664">
             </c>
      <c r="I7664" t="s">
        <v>14</v>
      </c>
      <c r="J7664" t="s">
        <v>141</v>
      </c>
      <c r="K7664" t="s">
        <v>14</v>
      </c>
      <c r="L7664" t="s">
        <v>20</v>
      </c>
      <c r="M7664" t="s">
        <v>14928</v>
      </c>
      <c r="N7664" t="s">
        <v>14</v>
      </c>
    </row>
    <row r="7665" x14ac:dyDescent="0.25">
      <c r="A7665" t="n">
        <v>24</v>
      </c>
      <c r="B7665" t="s">
        <v>14</v>
      </c>
      <c r="C7665" t="s">
        <v>22</v>
      </c>
      <c r="D7665" s="2" t="s">
        <f>=HYPERLINK("https://main.knesset.gov.il/APPS/legislation/main/bills/2193273", "הצעת חוק העונשין (תיקון - החמרת ענישה בשל תקיפת צוות רפואי), התשפ''ב-2022")</f>
        <v>14945</v>
      </c>
      <c r="E7665" t="s">
        <v>14945</v>
      </c>
      <c r="F7665" t="s">
        <v>14946</v>
      </c>
      <c r="G7665" t="s">
        <v>14</v>
      </c>
      <c r="H7665">
             </c>
      <c r="I7665" t="s">
        <v>14</v>
      </c>
      <c r="J7665" t="s">
        <v>141</v>
      </c>
      <c r="K7665" t="s">
        <v>14</v>
      </c>
      <c r="L7665" t="s">
        <v>20</v>
      </c>
      <c r="M7665" t="s">
        <v>14928</v>
      </c>
      <c r="N7665" t="s">
        <v>14</v>
      </c>
    </row>
    <row r="7666" x14ac:dyDescent="0.25">
      <c r="A7666" t="n">
        <v>24</v>
      </c>
      <c r="B7666" t="s">
        <v>14</v>
      </c>
      <c r="C7666" t="s">
        <v>22</v>
      </c>
      <c r="D7666" s="2" t="s">
        <f>=HYPERLINK("https://main.knesset.gov.il/APPS/legislation/main/bills/2193203", "הצעת חוק הביטוח הלאומי (תיקון - נכה שהגיע לגיל פרישה), התשפ""ב-2022")</f>
        <v>14947</v>
      </c>
      <c r="E7666" t="s">
        <v>14947</v>
      </c>
      <c r="F7666" t="s">
        <v>14948</v>
      </c>
      <c r="G7666" t="s">
        <v>14</v>
      </c>
      <c r="H7666">
             </c>
      <c r="I7666" t="s">
        <v>14</v>
      </c>
      <c r="J7666" t="s">
        <v>141</v>
      </c>
      <c r="K7666" t="s">
        <v>14</v>
      </c>
      <c r="L7666" t="s">
        <v>20</v>
      </c>
      <c r="M7666" t="s">
        <v>14928</v>
      </c>
      <c r="N7666" t="s">
        <v>14</v>
      </c>
    </row>
    <row r="7667" x14ac:dyDescent="0.25">
      <c r="A7667" t="n">
        <v>24</v>
      </c>
      <c r="B7667" t="s">
        <v>14</v>
      </c>
      <c r="C7667" t="s">
        <v>22</v>
      </c>
      <c r="D7667" s="2" t="s">
        <f>=HYPERLINK("https://main.knesset.gov.il/APPS/legislation/main/bills/2193269", "הצעת חוק לתיקון פקודת מס הכנסה (תרומה מישות מפלה), התשפ""ב-2022")</f>
        <v>14949</v>
      </c>
      <c r="E7667" t="s">
        <v>14949</v>
      </c>
      <c r="F7667" t="s">
        <v>14950</v>
      </c>
      <c r="G7667" t="s">
        <v>14</v>
      </c>
      <c r="H7667">
             </c>
      <c r="I7667" t="s">
        <v>14</v>
      </c>
      <c r="J7667" t="s">
        <v>141</v>
      </c>
      <c r="K7667" t="s">
        <v>14</v>
      </c>
      <c r="L7667" t="s">
        <v>20</v>
      </c>
      <c r="M7667" t="s">
        <v>14928</v>
      </c>
      <c r="N7667" t="s">
        <v>14</v>
      </c>
    </row>
    <row r="7668" x14ac:dyDescent="0.25">
      <c r="A7668" t="n">
        <v>24</v>
      </c>
      <c r="B7668" t="s">
        <v>14</v>
      </c>
      <c r="C7668" t="s">
        <v>22</v>
      </c>
      <c r="D7668" s="2" t="s">
        <f>=HYPERLINK("https://main.knesset.gov.il/APPS/legislation/main/bills/2192289", "הצעת חוק ויתור על חסינות מפני תביעות לשון הרע (תיקוני חקיקה), התשפ""ב-2022")</f>
        <v>14951</v>
      </c>
      <c r="E7668" t="s">
        <v>14951</v>
      </c>
      <c r="F7668" t="s">
        <v>14952</v>
      </c>
      <c r="G7668" t="s">
        <v>14</v>
      </c>
      <c r="H7668">
             </c>
      <c r="I7668" t="s">
        <v>14</v>
      </c>
      <c r="J7668" t="s">
        <v>141</v>
      </c>
      <c r="K7668" t="s">
        <v>14</v>
      </c>
      <c r="L7668" t="s">
        <v>20</v>
      </c>
      <c r="M7668" t="s">
        <v>14928</v>
      </c>
      <c r="N7668" t="s">
        <v>14</v>
      </c>
    </row>
    <row r="7669" x14ac:dyDescent="0.25">
      <c r="A7669" t="n">
        <v>24</v>
      </c>
      <c r="B7669" t="s">
        <v>14</v>
      </c>
      <c r="C7669" t="s">
        <v>22</v>
      </c>
      <c r="D7669" s="2" t="s">
        <f>=HYPERLINK("https://main.knesset.gov.il/APPS/legislation/main/bills/2192320", "הצעת חוק סיוע לנפגעי האסון הלאומי בהר מירון, התשפ""ב-2022")</f>
        <v>14953</v>
      </c>
      <c r="E7669" t="s">
        <v>14953</v>
      </c>
      <c r="F7669" t="s">
        <v>14954</v>
      </c>
      <c r="G7669" t="s">
        <v>14</v>
      </c>
      <c r="H7669">
             </c>
      <c r="I7669" t="s">
        <v>14</v>
      </c>
      <c r="J7669" t="s">
        <v>141</v>
      </c>
      <c r="K7669" t="s">
        <v>14</v>
      </c>
      <c r="L7669" t="s">
        <v>20</v>
      </c>
      <c r="M7669" t="s">
        <v>14928</v>
      </c>
      <c r="N7669" t="s">
        <v>14</v>
      </c>
    </row>
    <row r="7670" x14ac:dyDescent="0.25">
      <c r="A7670" t="n">
        <v>24</v>
      </c>
      <c r="B7670" t="s">
        <v>14</v>
      </c>
      <c r="C7670" t="s">
        <v>22</v>
      </c>
      <c r="D7670" s="2" t="s">
        <f>=HYPERLINK("https://main.knesset.gov.il/APPS/legislation/main/bills/2193100", "הצעת חוק הביטוח הלאומי (תיקון - טיפול בפעוטות במעונות יום כעבודה מועדפת), התשפ""ב -2022")</f>
        <v>14955</v>
      </c>
      <c r="E7670" t="s">
        <v>14955</v>
      </c>
      <c r="F7670" t="s">
        <v>14956</v>
      </c>
      <c r="G7670" t="s">
        <v>14</v>
      </c>
      <c r="H7670">
             </c>
      <c r="I7670" t="s">
        <v>14</v>
      </c>
      <c r="J7670" t="s">
        <v>141</v>
      </c>
      <c r="K7670" t="s">
        <v>14</v>
      </c>
      <c r="L7670" t="s">
        <v>20</v>
      </c>
      <c r="M7670" t="s">
        <v>14928</v>
      </c>
      <c r="N7670" t="s">
        <v>14</v>
      </c>
    </row>
    <row r="7671" x14ac:dyDescent="0.25">
      <c r="A7671" t="n">
        <v>24</v>
      </c>
      <c r="B7671" t="s">
        <v>14</v>
      </c>
      <c r="C7671" t="s">
        <v>22</v>
      </c>
      <c r="D7671" s="2" t="s">
        <f>=HYPERLINK("https://main.knesset.gov.il/APPS/legislation/main/bills/2192875", "הצעת חוק חוזה העבודה (הסדרי עבודה מרחוק), התשפ""ב-2022")</f>
        <v>14957</v>
      </c>
      <c r="E7671" t="s">
        <v>14957</v>
      </c>
      <c r="F7671" t="s">
        <v>14958</v>
      </c>
      <c r="G7671" t="s">
        <v>14</v>
      </c>
      <c r="H7671">
             </c>
      <c r="I7671" t="s">
        <v>14</v>
      </c>
      <c r="J7671" t="s">
        <v>141</v>
      </c>
      <c r="K7671" t="s">
        <v>14</v>
      </c>
      <c r="L7671" t="s">
        <v>20</v>
      </c>
      <c r="M7671" t="s">
        <v>14928</v>
      </c>
      <c r="N7671" t="s">
        <v>14</v>
      </c>
    </row>
    <row r="7672" x14ac:dyDescent="0.25">
      <c r="A7672" t="n">
        <v>24</v>
      </c>
      <c r="B7672" t="s">
        <v>14</v>
      </c>
      <c r="C7672" t="s">
        <v>22</v>
      </c>
      <c r="D7672" s="2" t="s">
        <f>=HYPERLINK("https://main.knesset.gov.il/APPS/legislation/main/bills/2163574", "הצעת חוק הבחירות (דרכי תעמולה) (תיקון - ביטול האיסור על שימוש בכלי טיס ובכלי שיט), התשפ""ב-2022")</f>
        <v>14959</v>
      </c>
      <c r="E7672" t="s">
        <v>14959</v>
      </c>
      <c r="F7672" t="s">
        <v>14960</v>
      </c>
      <c r="G7672" t="s">
        <v>14</v>
      </c>
      <c r="H7672">
             </c>
      <c r="I7672" t="s">
        <v>14</v>
      </c>
      <c r="J7672" t="s">
        <v>141</v>
      </c>
      <c r="K7672" t="s">
        <v>14</v>
      </c>
      <c r="L7672" t="s">
        <v>20</v>
      </c>
      <c r="M7672" t="s">
        <v>14928</v>
      </c>
      <c r="N7672" t="s">
        <v>14</v>
      </c>
    </row>
    <row r="7673" x14ac:dyDescent="0.25">
      <c r="A7673" t="n">
        <v>24</v>
      </c>
      <c r="B7673" t="s">
        <v>14</v>
      </c>
      <c r="C7673" t="s">
        <v>22</v>
      </c>
      <c r="D7673" s="2" t="s">
        <f>=HYPERLINK("https://main.knesset.gov.il/APPS/legislation/main/bills/2193271", "הצעת חוק קליטת חיילים משוחררים (תיקון - זכאות לתומכי לחימה מקרן ""ממדים ללימודים""), התשפ""ב-2022")</f>
        <v>14961</v>
      </c>
      <c r="E7673" t="s">
        <v>14961</v>
      </c>
      <c r="F7673" t="s">
        <v>14962</v>
      </c>
      <c r="G7673" t="s">
        <v>14</v>
      </c>
      <c r="H7673">
             </c>
      <c r="I7673" t="s">
        <v>14</v>
      </c>
      <c r="J7673" t="s">
        <v>141</v>
      </c>
      <c r="K7673" t="s">
        <v>14</v>
      </c>
      <c r="L7673" t="s">
        <v>20</v>
      </c>
      <c r="M7673" t="s">
        <v>14928</v>
      </c>
      <c r="N7673" t="s">
        <v>14</v>
      </c>
    </row>
    <row r="7674" x14ac:dyDescent="0.25">
      <c r="A7674" t="n">
        <v>24</v>
      </c>
      <c r="B7674" t="s">
        <v>14</v>
      </c>
      <c r="C7674" t="s">
        <v>22</v>
      </c>
      <c r="D7674" s="2" t="s">
        <f>=HYPERLINK("https://main.knesset.gov.il/APPS/legislation/main/bills/2192143", "הצעת חוק התכנון והבנייה (תיקון - ייצוג הולם לאוכלוסייה הערבית במוסדות התכנון), התשפ""ב-2022")</f>
        <v>14963</v>
      </c>
      <c r="E7674" t="s">
        <v>14963</v>
      </c>
      <c r="F7674" t="s">
        <v>14964</v>
      </c>
      <c r="G7674" t="s">
        <v>14</v>
      </c>
      <c r="H7674">
             </c>
      <c r="I7674" t="s">
        <v>14</v>
      </c>
      <c r="J7674" t="s">
        <v>141</v>
      </c>
      <c r="K7674" t="s">
        <v>14</v>
      </c>
      <c r="L7674" t="s">
        <v>20</v>
      </c>
      <c r="M7674" t="s">
        <v>14928</v>
      </c>
      <c r="N7674" t="s">
        <v>14</v>
      </c>
    </row>
    <row r="7675" x14ac:dyDescent="0.25">
      <c r="A7675" t="n">
        <v>24</v>
      </c>
      <c r="B7675" t="s">
        <v>14</v>
      </c>
      <c r="C7675" t="s">
        <v>22</v>
      </c>
      <c r="D7675" s="2" t="s">
        <f>=HYPERLINK("https://main.knesset.gov.il/APPS/legislation/main/bills/2192023", "הצעת חוק צמצום פערי שכר מגדריים (תיקוני חקיקה), התשפ""ב-2022")</f>
        <v>14965</v>
      </c>
      <c r="E7675" t="s">
        <v>14965</v>
      </c>
      <c r="F7675" t="s">
        <v>14966</v>
      </c>
      <c r="G7675" t="s">
        <v>14</v>
      </c>
      <c r="H7675">
             </c>
      <c r="I7675" t="s">
        <v>14</v>
      </c>
      <c r="J7675" t="s">
        <v>141</v>
      </c>
      <c r="K7675" t="s">
        <v>14</v>
      </c>
      <c r="L7675" t="s">
        <v>20</v>
      </c>
      <c r="M7675" t="s">
        <v>14928</v>
      </c>
      <c r="N7675" t="s">
        <v>14</v>
      </c>
    </row>
    <row r="7676" x14ac:dyDescent="0.25">
      <c r="A7676" t="n">
        <v>24</v>
      </c>
      <c r="B7676" t="s">
        <v>14</v>
      </c>
      <c r="C7676" t="s">
        <v>22</v>
      </c>
      <c r="D7676" s="2" t="s">
        <f>=HYPERLINK("https://main.knesset.gov.il/APPS/legislation/main/bills/2193117", "הצעת חוק השכירות והשאילה (תיקון - הגבלה על העלאת דמי השכירות), התשפ""ב-2022")</f>
        <v>14967</v>
      </c>
      <c r="E7676" t="s">
        <v>14967</v>
      </c>
      <c r="F7676" t="s">
        <v>14968</v>
      </c>
      <c r="G7676" t="s">
        <v>14</v>
      </c>
      <c r="H7676">
             </c>
      <c r="I7676" t="s">
        <v>14</v>
      </c>
      <c r="J7676" t="s">
        <v>141</v>
      </c>
      <c r="K7676" t="s">
        <v>14</v>
      </c>
      <c r="L7676" t="s">
        <v>20</v>
      </c>
      <c r="M7676" t="s">
        <v>14928</v>
      </c>
      <c r="N7676" t="s">
        <v>14</v>
      </c>
    </row>
    <row r="7677" x14ac:dyDescent="0.25">
      <c r="A7677" t="n">
        <v>24</v>
      </c>
      <c r="B7677" t="s">
        <v>14</v>
      </c>
      <c r="C7677" t="s">
        <v>22</v>
      </c>
      <c r="D7677" s="2" t="s">
        <f>=HYPERLINK("https://main.knesset.gov.il/APPS/legislation/main/bills/2160641", "הצעת חוק איסוף ופינוי פסולת למיחזור (תיקון - חובת מיחזור בבית עסק גדול), התשפ""ב-2022")</f>
        <v>14969</v>
      </c>
      <c r="E7677" t="s">
        <v>14969</v>
      </c>
      <c r="F7677" t="s">
        <v>14970</v>
      </c>
      <c r="G7677" t="s">
        <v>14</v>
      </c>
      <c r="H7677">
             </c>
      <c r="I7677" t="s">
        <v>14</v>
      </c>
      <c r="J7677" t="s">
        <v>141</v>
      </c>
      <c r="K7677" t="s">
        <v>14</v>
      </c>
      <c r="L7677" t="s">
        <v>20</v>
      </c>
      <c r="M7677" t="s">
        <v>14928</v>
      </c>
      <c r="N7677" t="s">
        <v>14</v>
      </c>
    </row>
    <row r="7678" x14ac:dyDescent="0.25">
      <c r="A7678" t="n">
        <v>24</v>
      </c>
      <c r="B7678" t="s">
        <v>14</v>
      </c>
      <c r="C7678" t="s">
        <v>22</v>
      </c>
      <c r="D7678" s="2" t="s">
        <f>=HYPERLINK("https://main.knesset.gov.il/APPS/legislation/main/bills/2191513", "הצעת חוק טיפול במכורים לסמים קשים ואשפוזם (תיקוני חקיקה), התשפ""ב-2022")</f>
        <v>14971</v>
      </c>
      <c r="E7678" t="s">
        <v>14971</v>
      </c>
      <c r="F7678" t="s">
        <v>14972</v>
      </c>
      <c r="G7678" t="s">
        <v>14</v>
      </c>
      <c r="H7678">
             </c>
      <c r="I7678" t="s">
        <v>14</v>
      </c>
      <c r="J7678" t="s">
        <v>141</v>
      </c>
      <c r="K7678" t="s">
        <v>14</v>
      </c>
      <c r="L7678" t="s">
        <v>20</v>
      </c>
      <c r="M7678" t="s">
        <v>14928</v>
      </c>
      <c r="N7678" t="s">
        <v>14</v>
      </c>
    </row>
    <row r="7679" x14ac:dyDescent="0.25">
      <c r="A7679" t="n">
        <v>24</v>
      </c>
      <c r="B7679" t="s">
        <v>14</v>
      </c>
      <c r="C7679" t="s">
        <v>22</v>
      </c>
      <c r="D7679" s="2" t="s">
        <f>=HYPERLINK("https://main.knesset.gov.il/APPS/legislation/main/bills/2193237", "הצעת חוק הכנסת (תיקון - אישור אמנות בין-לאומיות), התשפ""ב-2022")</f>
        <v>14973</v>
      </c>
      <c r="E7679" t="s">
        <v>14973</v>
      </c>
      <c r="F7679" t="s">
        <v>14974</v>
      </c>
      <c r="G7679" t="s">
        <v>14</v>
      </c>
      <c r="H7679">
             </c>
      <c r="I7679" t="s">
        <v>14</v>
      </c>
      <c r="J7679" t="s">
        <v>141</v>
      </c>
      <c r="K7679" t="s">
        <v>14</v>
      </c>
      <c r="L7679" t="s">
        <v>20</v>
      </c>
      <c r="M7679" t="s">
        <v>14928</v>
      </c>
      <c r="N7679" t="s">
        <v>14</v>
      </c>
    </row>
    <row r="7680" x14ac:dyDescent="0.25">
      <c r="A7680" t="n">
        <v>24</v>
      </c>
      <c r="B7680" t="s">
        <v>14</v>
      </c>
      <c r="C7680" t="s">
        <v>22</v>
      </c>
      <c r="D7680" s="2" t="s">
        <f>=HYPERLINK("https://main.knesset.gov.il/APPS/legislation/main/bills/2193194", "הצעת חוק בית המשפט לענייני משפחה (תיקון - פטור מתשלום אגרה למקבלי הבטחת הכנסה), התשפ""ב-2022")</f>
        <v>14975</v>
      </c>
      <c r="E7680" t="s">
        <v>14975</v>
      </c>
      <c r="F7680" t="s">
        <v>14976</v>
      </c>
      <c r="G7680" t="s">
        <v>14</v>
      </c>
      <c r="H7680">
             </c>
      <c r="I7680" t="s">
        <v>14</v>
      </c>
      <c r="J7680" t="s">
        <v>141</v>
      </c>
      <c r="K7680" t="s">
        <v>14</v>
      </c>
      <c r="L7680" t="s">
        <v>20</v>
      </c>
      <c r="M7680" t="s">
        <v>14928</v>
      </c>
      <c r="N7680" t="s">
        <v>14</v>
      </c>
    </row>
    <row r="7681" x14ac:dyDescent="0.25">
      <c r="A7681" t="n">
        <v>24</v>
      </c>
      <c r="B7681" t="s">
        <v>14</v>
      </c>
      <c r="C7681" t="s">
        <v>22</v>
      </c>
      <c r="D7681" s="2" t="s">
        <f>=HYPERLINK("https://main.knesset.gov.il/APPS/legislation/main/bills/2193281", "הצעת חוק לשכת עורכי הדין (תיקון - ציון עובר בבחינת ההתמחות) (הוראת שעה), התשפ""ב-2022")</f>
        <v>14977</v>
      </c>
      <c r="E7681" t="s">
        <v>14977</v>
      </c>
      <c r="F7681" t="s">
        <v>14978</v>
      </c>
      <c r="G7681" t="s">
        <v>14</v>
      </c>
      <c r="H7681">
             </c>
      <c r="I7681" t="s">
        <v>14</v>
      </c>
      <c r="J7681" t="s">
        <v>141</v>
      </c>
      <c r="K7681" t="s">
        <v>14</v>
      </c>
      <c r="L7681" t="s">
        <v>20</v>
      </c>
      <c r="M7681" t="s">
        <v>14928</v>
      </c>
      <c r="N7681" t="s">
        <v>14</v>
      </c>
    </row>
    <row r="7682" x14ac:dyDescent="0.25">
      <c r="A7682" t="n">
        <v>24</v>
      </c>
      <c r="B7682" t="s">
        <v>14</v>
      </c>
      <c r="C7682" t="s">
        <v>22</v>
      </c>
      <c r="D7682" s="2" t="s">
        <f>=HYPERLINK("https://main.knesset.gov.il/APPS/legislation/main/bills/2190193", "הצעת חוק המקרקעין (חיזוק בתים משותפים מפני רעידות אדמה) (תיקון - הגנה על קשישים), התשפ""ב-2022")</f>
        <v>14979</v>
      </c>
      <c r="E7682" t="s">
        <v>14979</v>
      </c>
      <c r="F7682" t="s">
        <v>14980</v>
      </c>
      <c r="G7682" t="s">
        <v>14</v>
      </c>
      <c r="H7682">
             </c>
      <c r="I7682" t="s">
        <v>14</v>
      </c>
      <c r="J7682" t="s">
        <v>141</v>
      </c>
      <c r="K7682" t="s">
        <v>14</v>
      </c>
      <c r="L7682" t="s">
        <v>20</v>
      </c>
      <c r="M7682" t="s">
        <v>14928</v>
      </c>
      <c r="N7682" t="s">
        <v>14</v>
      </c>
    </row>
    <row r="7683" x14ac:dyDescent="0.25">
      <c r="A7683" t="n">
        <v>24</v>
      </c>
      <c r="B7683" t="s">
        <v>14</v>
      </c>
      <c r="C7683" t="s">
        <v>22</v>
      </c>
      <c r="D7683" s="2" t="s">
        <f>=HYPERLINK("https://main.knesset.gov.il/APPS/legislation/main/bills/2191727", "הצעת חוק שכר מינימום (תיקון - שכר שווה לאנשים המתמודדים עם מוגבלות), התשפ""ב-2022")</f>
        <v>14981</v>
      </c>
      <c r="E7683" t="s">
        <v>14981</v>
      </c>
      <c r="F7683" t="s">
        <v>14982</v>
      </c>
      <c r="G7683" t="s">
        <v>14</v>
      </c>
      <c r="H7683">
             </c>
      <c r="I7683" t="s">
        <v>14</v>
      </c>
      <c r="J7683" t="s">
        <v>141</v>
      </c>
      <c r="K7683" t="s">
        <v>14</v>
      </c>
      <c r="L7683" t="s">
        <v>20</v>
      </c>
      <c r="M7683" t="s">
        <v>14928</v>
      </c>
      <c r="N7683" t="s">
        <v>14</v>
      </c>
    </row>
    <row r="7684" x14ac:dyDescent="0.25">
      <c r="A7684" t="n">
        <v>24</v>
      </c>
      <c r="B7684" t="s">
        <v>14</v>
      </c>
      <c r="C7684" t="s">
        <v>15</v>
      </c>
      <c r="D7684" s="2" t="s">
        <f>=HYPERLINK("https://main.knesset.gov.il/APPS/legislation/main/bills/2193944", "הצעת חוק להארכת תוקפן של תקנות שעת חירום (יהודה והשומרון – שיפוט בעבירות ועזרה משפטית), התשפ""ב-2022 ")</f>
        <v>14983</v>
      </c>
      <c r="E7684" t="s">
        <v>14983</v>
      </c>
      <c r="F7684" t="s">
        <v>14</v>
      </c>
      <c r="G7684" t="s">
        <v>14984</v>
      </c>
      <c r="H7684">
             </c>
      <c r="I7684" t="s">
        <v>14</v>
      </c>
      <c r="J7684" t="s">
        <v>69</v>
      </c>
      <c r="K7684" t="s">
        <v>14</v>
      </c>
      <c r="L7684" t="s">
        <v>20</v>
      </c>
      <c r="M7684" t="s">
        <v>14928</v>
      </c>
      <c r="N7684" t="s">
        <v>14</v>
      </c>
    </row>
    <row r="7685" x14ac:dyDescent="0.25">
      <c r="A7685" t="n">
        <v>24</v>
      </c>
      <c r="B7685" t="s">
        <v>14</v>
      </c>
      <c r="C7685" t="s">
        <v>15</v>
      </c>
      <c r="D7685" s="2" t="s">
        <f>=HYPERLINK("https://main.knesset.gov.il/APPS/legislation/main/bills/2193964", "הצעת חוק אוויר נקי (תיקון מס' 3), התשפ""ב-2022")</f>
        <v>14985</v>
      </c>
      <c r="E7685" t="s">
        <v>14985</v>
      </c>
      <c r="F7685" t="s">
        <v>14</v>
      </c>
      <c r="G7685" t="s">
        <v>14986</v>
      </c>
      <c r="H7685">
             </c>
      <c r="I7685" t="s">
        <v>14</v>
      </c>
      <c r="J7685" t="s">
        <v>69</v>
      </c>
      <c r="K7685" t="s">
        <v>14</v>
      </c>
      <c r="L7685" t="s">
        <v>20</v>
      </c>
      <c r="M7685" t="s">
        <v>14928</v>
      </c>
      <c r="N7685" t="s">
        <v>14</v>
      </c>
    </row>
    <row r="7686" x14ac:dyDescent="0.25">
      <c r="A7686" t="n">
        <v>24</v>
      </c>
      <c r="B7686" t="s">
        <v>14</v>
      </c>
      <c r="C7686" t="s">
        <v>22</v>
      </c>
      <c r="D7686" s="2" t="s">
        <f>=HYPERLINK("https://main.knesset.gov.il/APPS/legislation/main/bills/2166734", "הצעת חוק איסור הפליה במוצרים, בשירותים ובכניסה למקומות בידור ולמקומות ציבוריים (תיקון - הגדלת סכום הפיצוי בלא הוכחת נזק), התשפ""ב-2021")</f>
        <v>14987</v>
      </c>
      <c r="E7686" t="s">
        <v>14987</v>
      </c>
      <c r="F7686" t="s">
        <v>14988</v>
      </c>
      <c r="G7686" t="s">
        <v>14</v>
      </c>
      <c r="H7686">
             </c>
      <c r="I7686" t="s">
        <v>14</v>
      </c>
      <c r="J7686" t="s">
        <v>31</v>
      </c>
      <c r="K7686" t="s">
        <v>27</v>
      </c>
      <c r="L7686" t="s">
        <v>20</v>
      </c>
      <c r="M7686" t="s">
        <v>14989</v>
      </c>
      <c r="N7686" t="s">
        <v>14</v>
      </c>
    </row>
    <row r="7687" x14ac:dyDescent="0.25">
      <c r="A7687" t="n">
        <v>24</v>
      </c>
      <c r="B7687" t="s">
        <v>14</v>
      </c>
      <c r="C7687" t="s">
        <v>22</v>
      </c>
      <c r="D7687" s="2" t="s">
        <f>=HYPERLINK("https://main.knesset.gov.il/APPS/legislation/main/bills/2169124", "הצעת חוק המכר (דירות) (תיקון - הצמדת מחיר הדירה למדד), התשפ""ב-2022")</f>
        <v>14990</v>
      </c>
      <c r="E7687" t="s">
        <v>14990</v>
      </c>
      <c r="F7687" t="s">
        <v>14991</v>
      </c>
      <c r="G7687" t="s">
        <v>14</v>
      </c>
      <c r="H7687">
             </c>
      <c r="I7687" t="s">
        <v>14</v>
      </c>
      <c r="J7687" t="s">
        <v>31</v>
      </c>
      <c r="K7687" t="s">
        <v>85</v>
      </c>
      <c r="L7687" t="s">
        <v>20</v>
      </c>
      <c r="M7687" t="s">
        <v>14989</v>
      </c>
      <c r="N7687" t="s">
        <v>14</v>
      </c>
    </row>
    <row r="7688" x14ac:dyDescent="0.25">
      <c r="A7688" t="n">
        <v>24</v>
      </c>
      <c r="B7688" t="s">
        <v>14</v>
      </c>
      <c r="C7688" t="s">
        <v>22</v>
      </c>
      <c r="D7688" s="2" t="s">
        <f>=HYPERLINK("https://main.knesset.gov.il/APPS/legislation/main/bills/2167140", "הצעת חוק המכר (דירות) (תיקון - הצמדת מחיר הדירה למדד), התשפ""ב-2022")</f>
        <v>14990</v>
      </c>
      <c r="E7688" t="s">
        <v>14990</v>
      </c>
      <c r="F7688" t="s">
        <v>14992</v>
      </c>
      <c r="G7688" t="s">
        <v>14</v>
      </c>
      <c r="H7688">
             </c>
      <c r="I7688" t="s">
        <v>14</v>
      </c>
      <c r="J7688" t="s">
        <v>31</v>
      </c>
      <c r="K7688" t="s">
        <v>85</v>
      </c>
      <c r="L7688" t="s">
        <v>20</v>
      </c>
      <c r="M7688" t="s">
        <v>14989</v>
      </c>
      <c r="N7688" t="s">
        <v>14</v>
      </c>
    </row>
    <row r="7689" x14ac:dyDescent="0.25">
      <c r="A7689" t="n">
        <v>24</v>
      </c>
      <c r="B7689" t="s">
        <v>14</v>
      </c>
      <c r="C7689" t="s">
        <v>22</v>
      </c>
      <c r="D7689" s="2" t="s">
        <f>=HYPERLINK("https://main.knesset.gov.il/APPS/legislation/main/bills/2191597", "הצעת חוק אומנה לילדים (תיקון - הזכות לחינוך לילדים בהשמה חוץ-ביתית), התשפ""ב-2022")</f>
        <v>14993</v>
      </c>
      <c r="E7689" t="s">
        <v>14993</v>
      </c>
      <c r="F7689" t="s">
        <v>14994</v>
      </c>
      <c r="G7689" t="s">
        <v>14</v>
      </c>
      <c r="H7689">
             </c>
      <c r="I7689" t="s">
        <v>14</v>
      </c>
      <c r="J7689" t="s">
        <v>31</v>
      </c>
      <c r="K7689" t="s">
        <v>127</v>
      </c>
      <c r="L7689" t="s">
        <v>20</v>
      </c>
      <c r="M7689" t="s">
        <v>14989</v>
      </c>
      <c r="N7689" t="s">
        <v>14</v>
      </c>
    </row>
    <row r="7690" x14ac:dyDescent="0.25">
      <c r="A7690" t="n">
        <v>24</v>
      </c>
      <c r="B7690" t="s">
        <v>14</v>
      </c>
      <c r="C7690" t="s">
        <v>22</v>
      </c>
      <c r="D7690" s="2" t="s">
        <f>=HYPERLINK("https://main.knesset.gov.il/APPS/legislation/main/bills/2190213", "הצעת חוק הסדרת העיסוק במקצועות הבריאות (תיקון - הסדרת מקצוע ניתוח התנהגות), התשפ""ב-2022")</f>
        <v>14995</v>
      </c>
      <c r="E7690" t="s">
        <v>14995</v>
      </c>
      <c r="F7690" t="s">
        <v>14996</v>
      </c>
      <c r="G7690" t="s">
        <v>14</v>
      </c>
      <c r="H7690">
             </c>
      <c r="I7690" t="s">
        <v>14</v>
      </c>
      <c r="J7690" t="s">
        <v>31</v>
      </c>
      <c r="K7690" t="s">
        <v>480</v>
      </c>
      <c r="L7690" t="s">
        <v>20</v>
      </c>
      <c r="M7690" t="s">
        <v>14989</v>
      </c>
      <c r="N7690" t="s">
        <v>14</v>
      </c>
    </row>
    <row r="7691" x14ac:dyDescent="0.25">
      <c r="A7691" t="n">
        <v>24</v>
      </c>
      <c r="B7691" t="s">
        <v>14</v>
      </c>
      <c r="C7691" t="s">
        <v>22</v>
      </c>
      <c r="D7691" s="2" t="s">
        <f>=HYPERLINK("https://main.knesset.gov.il/APPS/legislation/main/bills/2170137", "הצעת חוק הסדרת העיסוק במקצועות הבריאות (תיקון - הסדרת העיסוק בניתוח התנהגות), התשפ""ב-2022")</f>
        <v>14997</v>
      </c>
      <c r="E7691" t="s">
        <v>14997</v>
      </c>
      <c r="F7691" t="s">
        <v>14998</v>
      </c>
      <c r="G7691" t="s">
        <v>14</v>
      </c>
      <c r="H7691">
             </c>
      <c r="I7691" t="s">
        <v>14</v>
      </c>
      <c r="J7691" t="s">
        <v>31</v>
      </c>
      <c r="K7691" t="s">
        <v>480</v>
      </c>
      <c r="L7691" t="s">
        <v>20</v>
      </c>
      <c r="M7691" t="s">
        <v>14989</v>
      </c>
      <c r="N7691" t="s">
        <v>14</v>
      </c>
    </row>
    <row r="7692" x14ac:dyDescent="0.25">
      <c r="A7692" t="n">
        <v>24</v>
      </c>
      <c r="B7692" t="s">
        <v>14</v>
      </c>
      <c r="C7692" t="s">
        <v>22</v>
      </c>
      <c r="D7692" s="2" t="s">
        <f>=HYPERLINK("https://main.knesset.gov.il/APPS/legislation/main/bills/2157035", "הצעת חוק הביטוח הלאומי (תיקון - קביעת אחוזי נכות ללקויי שמיעה - דו-צידי וחד-צידי), התשפ""ב-2022 ")</f>
        <v>14999</v>
      </c>
      <c r="E7692" t="s">
        <v>14999</v>
      </c>
      <c r="F7692" t="s">
        <v>15000</v>
      </c>
      <c r="G7692" t="s">
        <v>14</v>
      </c>
      <c r="H7692">
             </c>
      <c r="I7692" t="s">
        <v>14</v>
      </c>
      <c r="J7692" t="s">
        <v>343</v>
      </c>
      <c r="K7692" t="s">
        <v>14</v>
      </c>
      <c r="L7692" t="s">
        <v>20</v>
      </c>
      <c r="M7692" t="s">
        <v>14989</v>
      </c>
      <c r="N7692" t="s">
        <v>14</v>
      </c>
    </row>
    <row r="7693" x14ac:dyDescent="0.25">
      <c r="A7693" t="n">
        <v>24</v>
      </c>
      <c r="B7693" t="s">
        <v>14</v>
      </c>
      <c r="C7693" t="s">
        <v>22</v>
      </c>
      <c r="D7693" s="2" t="s">
        <f>=HYPERLINK("https://main.knesset.gov.il/APPS/legislation/main/bills/2189756", "הצעת חוק שכר מינימום (תיקון - העלאת שכר המינימום), התשפ""ב-2022")</f>
        <v>14847</v>
      </c>
      <c r="E7693" t="s">
        <v>14847</v>
      </c>
      <c r="F7693" t="s">
        <v>15001</v>
      </c>
      <c r="G7693" t="s">
        <v>14</v>
      </c>
      <c r="H7693">
             </c>
      <c r="I7693" t="s">
        <v>14</v>
      </c>
      <c r="J7693" t="s">
        <v>60</v>
      </c>
      <c r="K7693" t="s">
        <v>14</v>
      </c>
      <c r="L7693" t="s">
        <v>20</v>
      </c>
      <c r="M7693" t="s">
        <v>14989</v>
      </c>
      <c r="N7693" t="s">
        <v>14</v>
      </c>
    </row>
    <row r="7694" x14ac:dyDescent="0.25">
      <c r="A7694" t="n">
        <v>24</v>
      </c>
      <c r="B7694" t="s">
        <v>14</v>
      </c>
      <c r="C7694" t="s">
        <v>22</v>
      </c>
      <c r="D7694" s="2" t="s">
        <f>=HYPERLINK("https://main.knesset.gov.il/APPS/legislation/main/bills/2170055", "הצעת חוק מבקר המדינה (תיקון - הגנה על חושפי שחיתויות במשטרת ישראל), התשפ''ב-2022")</f>
        <v>15002</v>
      </c>
      <c r="E7694" t="s">
        <v>15002</v>
      </c>
      <c r="F7694" t="s">
        <v>15003</v>
      </c>
      <c r="G7694" t="s">
        <v>14</v>
      </c>
      <c r="H7694">
             </c>
      <c r="I7694" t="s">
        <v>14</v>
      </c>
      <c r="J7694" t="s">
        <v>31</v>
      </c>
      <c r="K7694" t="s">
        <v>14336</v>
      </c>
      <c r="L7694" t="s">
        <v>20</v>
      </c>
      <c r="M7694" t="s">
        <v>14989</v>
      </c>
      <c r="N7694" t="s">
        <v>14</v>
      </c>
    </row>
    <row r="7695" x14ac:dyDescent="0.25">
      <c r="A7695" t="n">
        <v>24</v>
      </c>
      <c r="B7695" t="s">
        <v>14</v>
      </c>
      <c r="C7695" t="s">
        <v>22</v>
      </c>
      <c r="D7695" s="2" t="s">
        <f>=HYPERLINK("https://main.knesset.gov.il/APPS/legislation/main/bills/2170016", "הצעת חוק מבקר המדינה (תיקון - הגנה על חושפי שחיתויות במשטרת ישראל), התשפ''ב-2022")</f>
        <v>15002</v>
      </c>
      <c r="E7695" t="s">
        <v>15002</v>
      </c>
      <c r="F7695" t="s">
        <v>15004</v>
      </c>
      <c r="G7695" t="s">
        <v>14</v>
      </c>
      <c r="H7695">
             </c>
      <c r="I7695" t="s">
        <v>14</v>
      </c>
      <c r="J7695" t="s">
        <v>31</v>
      </c>
      <c r="K7695" t="s">
        <v>14336</v>
      </c>
      <c r="L7695" t="s">
        <v>20</v>
      </c>
      <c r="M7695" t="s">
        <v>14989</v>
      </c>
      <c r="N7695" t="s">
        <v>14</v>
      </c>
    </row>
    <row r="7696" x14ac:dyDescent="0.25">
      <c r="A7696" t="n">
        <v>24</v>
      </c>
      <c r="B7696" t="s">
        <v>14</v>
      </c>
      <c r="C7696" t="s">
        <v>22</v>
      </c>
      <c r="D7696" s="2" t="s">
        <f>=HYPERLINK("https://main.knesset.gov.il/APPS/legislation/main/bills/2163235", "הצעת חוק שכר מינימום (תיקון - העלאת שכר המינימום), התשפ""ב-2022")</f>
        <v>14847</v>
      </c>
      <c r="E7696" t="s">
        <v>14847</v>
      </c>
      <c r="F7696" t="s">
        <v>15005</v>
      </c>
      <c r="G7696" t="s">
        <v>14</v>
      </c>
      <c r="H7696">
             </c>
      <c r="I7696" t="s">
        <v>14</v>
      </c>
      <c r="J7696" t="s">
        <v>60</v>
      </c>
      <c r="K7696" t="s">
        <v>14</v>
      </c>
      <c r="L7696" t="s">
        <v>20</v>
      </c>
      <c r="M7696" t="s">
        <v>14989</v>
      </c>
      <c r="N7696" t="s">
        <v>14</v>
      </c>
    </row>
    <row r="7697" x14ac:dyDescent="0.25">
      <c r="A7697" t="n">
        <v>24</v>
      </c>
      <c r="B7697" t="s">
        <v>14</v>
      </c>
      <c r="C7697" t="s">
        <v>22</v>
      </c>
      <c r="D7697" s="2" t="s">
        <f>=HYPERLINK("https://main.knesset.gov.il/APPS/legislation/main/bills/2168038", "הצעת חוק הגנת הצרכן (תיקון - משלוח חשבונית לצרכן בדרך מקוונת), התשפ""ב-2022 ")</f>
        <v>15006</v>
      </c>
      <c r="E7697" t="s">
        <v>15006</v>
      </c>
      <c r="F7697" t="s">
        <v>15007</v>
      </c>
      <c r="G7697" t="s">
        <v>14</v>
      </c>
      <c r="H7697">
             </c>
      <c r="I7697" t="s">
        <v>14</v>
      </c>
      <c r="J7697" t="s">
        <v>31</v>
      </c>
      <c r="K7697" t="s">
        <v>19</v>
      </c>
      <c r="L7697" t="s">
        <v>20</v>
      </c>
      <c r="M7697" t="s">
        <v>14989</v>
      </c>
      <c r="N7697" t="s">
        <v>14</v>
      </c>
    </row>
    <row r="7698" x14ac:dyDescent="0.25">
      <c r="A7698" t="n">
        <v>24</v>
      </c>
      <c r="B7698" t="s">
        <v>14</v>
      </c>
      <c r="C7698" t="s">
        <v>22</v>
      </c>
      <c r="D7698" s="2" t="s">
        <f>=HYPERLINK("https://main.knesset.gov.il/APPS/legislation/main/bills/2168066", "הצעת חוק הביטוח הלאומי (תיקון - קצבת נכות לעולים), התשפ""ב-2022")</f>
        <v>15008</v>
      </c>
      <c r="E7698" t="s">
        <v>15008</v>
      </c>
      <c r="F7698" t="s">
        <v>15009</v>
      </c>
      <c r="G7698" t="s">
        <v>14</v>
      </c>
      <c r="H7698">
             </c>
      <c r="I7698" t="s">
        <v>14</v>
      </c>
      <c r="J7698" t="s">
        <v>31</v>
      </c>
      <c r="K7698" t="s">
        <v>127</v>
      </c>
      <c r="L7698" t="s">
        <v>20</v>
      </c>
      <c r="M7698" t="s">
        <v>14989</v>
      </c>
      <c r="N7698" t="s">
        <v>14</v>
      </c>
    </row>
    <row r="7699" x14ac:dyDescent="0.25">
      <c r="A7699" t="n">
        <v>24</v>
      </c>
      <c r="B7699" t="s">
        <v>14</v>
      </c>
      <c r="C7699" t="s">
        <v>22</v>
      </c>
      <c r="D7699" s="2" t="s">
        <f>=HYPERLINK("https://main.knesset.gov.il/APPS/legislation/main/bills/2166034", "הצעת חוק לתיקון פקודת המסים (גבייה) (גבייה לפי חוק ההוצאה לפועל), התשפ""ב-2022")</f>
        <v>15010</v>
      </c>
      <c r="E7699" t="s">
        <v>15010</v>
      </c>
      <c r="F7699" t="s">
        <v>15011</v>
      </c>
      <c r="G7699" t="s">
        <v>14</v>
      </c>
      <c r="H7699">
             </c>
      <c r="I7699" t="s">
        <v>14</v>
      </c>
      <c r="J7699" t="s">
        <v>55</v>
      </c>
      <c r="K7699" t="s">
        <v>14</v>
      </c>
      <c r="L7699" t="s">
        <v>20</v>
      </c>
      <c r="M7699" t="s">
        <v>14989</v>
      </c>
      <c r="N7699" t="s">
        <v>14</v>
      </c>
    </row>
    <row r="7700" x14ac:dyDescent="0.25">
      <c r="A7700" t="n">
        <v>24</v>
      </c>
      <c r="B7700" t="s">
        <v>14</v>
      </c>
      <c r="C7700" t="s">
        <v>22</v>
      </c>
      <c r="D7700" s="2" t="s">
        <f>=HYPERLINK("https://main.knesset.gov.il/APPS/legislation/main/bills/2168726", "הצעת חוק לתיקון פקודת מס הכנסה (החזר בתשלום למעונות יום לאמהות), התשפ""ב-2022")</f>
        <v>15012</v>
      </c>
      <c r="E7700" t="s">
        <v>15012</v>
      </c>
      <c r="F7700" t="s">
        <v>15013</v>
      </c>
      <c r="G7700" t="s">
        <v>14</v>
      </c>
      <c r="H7700">
             </c>
      <c r="I7700" t="s">
        <v>14</v>
      </c>
      <c r="J7700" t="s">
        <v>55</v>
      </c>
      <c r="K7700" t="s">
        <v>14</v>
      </c>
      <c r="L7700" t="s">
        <v>20</v>
      </c>
      <c r="M7700" t="s">
        <v>14989</v>
      </c>
      <c r="N7700" t="s">
        <v>14</v>
      </c>
    </row>
    <row r="7701" x14ac:dyDescent="0.25">
      <c r="A7701" t="n">
        <v>24</v>
      </c>
      <c r="B7701" t="s">
        <v>14</v>
      </c>
      <c r="C7701" t="s">
        <v>22</v>
      </c>
      <c r="D7701" s="2" t="s">
        <f>=HYPERLINK("https://main.knesset.gov.il/APPS/legislation/main/bills/2166707", "הצעת חוק משמר לאומי, התשפ""ב-2022")</f>
        <v>15014</v>
      </c>
      <c r="E7701" t="s">
        <v>15014</v>
      </c>
      <c r="F7701" t="s">
        <v>15015</v>
      </c>
      <c r="G7701" t="s">
        <v>14</v>
      </c>
      <c r="H7701">
             </c>
      <c r="I7701" t="s">
        <v>14</v>
      </c>
      <c r="J7701" t="s">
        <v>55</v>
      </c>
      <c r="K7701" t="s">
        <v>14</v>
      </c>
      <c r="L7701" t="s">
        <v>20</v>
      </c>
      <c r="M7701" t="s">
        <v>14989</v>
      </c>
      <c r="N7701" t="s">
        <v>14</v>
      </c>
    </row>
    <row r="7702" x14ac:dyDescent="0.25">
      <c r="A7702" t="n">
        <v>24</v>
      </c>
      <c r="B7702" t="s">
        <v>14</v>
      </c>
      <c r="C7702" t="s">
        <v>22</v>
      </c>
      <c r="D7702" s="2" t="s">
        <f>=HYPERLINK("https://main.knesset.gov.il/APPS/legislation/main/bills/2164868", "הצעת חוק יום לציון פרשת היעלמותם של ילדי תימן, המזרח והבלקן, התשפ""ב-2021")</f>
        <v>15016</v>
      </c>
      <c r="E7702" t="s">
        <v>15016</v>
      </c>
      <c r="F7702" t="s">
        <v>15017</v>
      </c>
      <c r="G7702" t="s">
        <v>14</v>
      </c>
      <c r="H7702">
             </c>
      <c r="I7702" t="s">
        <v>14</v>
      </c>
      <c r="J7702" t="s">
        <v>55</v>
      </c>
      <c r="K7702" t="s">
        <v>14</v>
      </c>
      <c r="L7702" t="s">
        <v>20</v>
      </c>
      <c r="M7702" t="s">
        <v>14989</v>
      </c>
      <c r="N7702" t="s">
        <v>14</v>
      </c>
    </row>
    <row r="7703" x14ac:dyDescent="0.25">
      <c r="A7703" t="n">
        <v>24</v>
      </c>
      <c r="B7703" t="s">
        <v>14</v>
      </c>
      <c r="C7703" t="s">
        <v>22</v>
      </c>
      <c r="D7703" s="2" t="s">
        <f>=HYPERLINK("https://main.knesset.gov.il/APPS/legislation/main/bills/2163568", "הצעת חוק שכר מינימום (תיקון - העלאת שכר המינימום), התשפ""ב-2021")</f>
        <v>15018</v>
      </c>
      <c r="E7703" t="s">
        <v>15018</v>
      </c>
      <c r="F7703" t="s">
        <v>15019</v>
      </c>
      <c r="G7703" t="s">
        <v>14</v>
      </c>
      <c r="H7703">
             </c>
      <c r="I7703" t="s">
        <v>14</v>
      </c>
      <c r="J7703" t="s">
        <v>60</v>
      </c>
      <c r="K7703" t="s">
        <v>14</v>
      </c>
      <c r="L7703" t="s">
        <v>20</v>
      </c>
      <c r="M7703" t="s">
        <v>14989</v>
      </c>
      <c r="N7703" t="s">
        <v>14</v>
      </c>
    </row>
    <row r="7704" x14ac:dyDescent="0.25">
      <c r="A7704" t="n">
        <v>24</v>
      </c>
      <c r="B7704" t="s">
        <v>14</v>
      </c>
      <c r="C7704" t="s">
        <v>22</v>
      </c>
      <c r="D7704" s="2" t="s">
        <f>=HYPERLINK("https://main.knesset.gov.il/APPS/legislation/main/bills/2163183", "הצעת חוק הביטוח הלאומי (תיקון - דמי פגיעה לעצמאי), התשפ""ב-2021")</f>
        <v>15020</v>
      </c>
      <c r="E7704" t="s">
        <v>15020</v>
      </c>
      <c r="F7704" t="s">
        <v>15021</v>
      </c>
      <c r="G7704" t="s">
        <v>14</v>
      </c>
      <c r="H7704">
             </c>
      <c r="I7704" t="s">
        <v>14</v>
      </c>
      <c r="J7704" t="s">
        <v>55</v>
      </c>
      <c r="K7704" t="s">
        <v>14</v>
      </c>
      <c r="L7704" t="s">
        <v>20</v>
      </c>
      <c r="M7704" t="s">
        <v>14989</v>
      </c>
      <c r="N7704" t="s">
        <v>14</v>
      </c>
    </row>
    <row r="7705" x14ac:dyDescent="0.25">
      <c r="A7705" t="n">
        <v>24</v>
      </c>
      <c r="B7705" t="s">
        <v>14</v>
      </c>
      <c r="C7705" t="s">
        <v>22</v>
      </c>
      <c r="D7705" s="2" t="s">
        <f>=HYPERLINK("https://main.knesset.gov.il/APPS/legislation/main/bills/2157661", "הצעת חוק בטיחות בתעסוקה ובריאות תעסוקתית, התשפ""א-2021")</f>
        <v>15022</v>
      </c>
      <c r="E7705" t="s">
        <v>15022</v>
      </c>
      <c r="F7705" t="s">
        <v>15023</v>
      </c>
      <c r="G7705" t="s">
        <v>14</v>
      </c>
      <c r="H7705">
             </c>
      <c r="I7705" t="s">
        <v>14</v>
      </c>
      <c r="J7705" t="s">
        <v>31</v>
      </c>
      <c r="K7705" t="s">
        <v>127</v>
      </c>
      <c r="L7705" t="s">
        <v>20</v>
      </c>
      <c r="M7705" t="s">
        <v>14989</v>
      </c>
      <c r="N7705" t="s">
        <v>14</v>
      </c>
    </row>
    <row r="7706" x14ac:dyDescent="0.25">
      <c r="A7706" t="n">
        <v>24</v>
      </c>
      <c r="B7706" t="s">
        <v>14</v>
      </c>
      <c r="C7706" t="s">
        <v>22</v>
      </c>
      <c r="D7706" s="2" t="s">
        <f>=HYPERLINK("https://main.knesset.gov.il/APPS/legislation/main/bills/2156568", "הצעת חוק האזרחות (תיקון - אזרחות לצאצא אזרח ישראלי המתגורר מחוץ לישראל), התשפ""א-2021")</f>
        <v>15024</v>
      </c>
      <c r="E7706" t="s">
        <v>15024</v>
      </c>
      <c r="F7706" t="s">
        <v>15025</v>
      </c>
      <c r="G7706" t="s">
        <v>14</v>
      </c>
      <c r="H7706">
             </c>
      <c r="I7706" t="s">
        <v>14</v>
      </c>
      <c r="J7706" t="s">
        <v>55</v>
      </c>
      <c r="K7706" t="s">
        <v>14</v>
      </c>
      <c r="L7706" t="s">
        <v>20</v>
      </c>
      <c r="M7706" t="s">
        <v>14989</v>
      </c>
      <c r="N7706" t="s">
        <v>14</v>
      </c>
    </row>
    <row r="7707" x14ac:dyDescent="0.25">
      <c r="A7707" t="n">
        <v>24</v>
      </c>
      <c r="B7707" t="s">
        <v>14</v>
      </c>
      <c r="C7707" t="s">
        <v>15</v>
      </c>
      <c r="D7707" s="2" t="s">
        <f>=HYPERLINK("https://main.knesset.gov.il/APPS/legislation/main/bills/2193521", "הצעת חוק מיסוי מקרקעין (שבח ורכישה) (תיקון מס' 100), התשפ""ב-2022 ")</f>
        <v>15026</v>
      </c>
      <c r="E7707" t="s">
        <v>15026</v>
      </c>
      <c r="F7707" t="s">
        <v>14</v>
      </c>
      <c r="G7707" t="s">
        <v>15027</v>
      </c>
      <c r="H7707">
             </c>
      <c r="I7707" t="s">
        <v>14</v>
      </c>
      <c r="J7707" t="s">
        <v>69</v>
      </c>
      <c r="K7707" t="s">
        <v>14</v>
      </c>
      <c r="L7707" t="s">
        <v>20</v>
      </c>
      <c r="M7707" t="s">
        <v>14989</v>
      </c>
      <c r="N7707" t="s">
        <v>14</v>
      </c>
    </row>
    <row r="7708" x14ac:dyDescent="0.25">
      <c r="A7708" t="n">
        <v>24</v>
      </c>
      <c r="B7708" t="s">
        <v>14</v>
      </c>
      <c r="C7708" t="s">
        <v>22</v>
      </c>
      <c r="D7708" s="2" t="s">
        <f>=HYPERLINK("https://main.knesset.gov.il/APPS/legislation/main/bills/2157321", "הצעת חוק לתיקון פקודת התעבורה (איסור נהיגת שטח בדרך שאינה דרך ייעודית לנסיעת שטח), התשפ""א-2021")</f>
        <v>15028</v>
      </c>
      <c r="E7708" t="s">
        <v>15028</v>
      </c>
      <c r="F7708" t="s">
        <v>15029</v>
      </c>
      <c r="G7708" t="s">
        <v>14</v>
      </c>
      <c r="H7708">
             </c>
      <c r="I7708" t="s">
        <v>14</v>
      </c>
      <c r="J7708" t="s">
        <v>31</v>
      </c>
      <c r="K7708" t="s">
        <v>46</v>
      </c>
      <c r="L7708" t="s">
        <v>20</v>
      </c>
      <c r="M7708" t="s">
        <v>15030</v>
      </c>
      <c r="N7708" t="s">
        <v>14</v>
      </c>
    </row>
    <row r="7709" x14ac:dyDescent="0.25">
      <c r="A7709" t="n">
        <v>24</v>
      </c>
      <c r="B7709" t="s">
        <v>14</v>
      </c>
      <c r="C7709" t="s">
        <v>22</v>
      </c>
      <c r="D7709" s="2" t="s">
        <f>=HYPERLINK("https://main.knesset.gov.il/APPS/legislation/main/bills/2163363", "חוק לתיקון פקודת הרופאים (מס' 13), התשפ""ב-2022")</f>
        <v>15031</v>
      </c>
      <c r="E7709" t="s">
        <v>15031</v>
      </c>
      <c r="F7709" t="s">
        <v>15032</v>
      </c>
      <c r="G7709" t="s">
        <v>15033</v>
      </c>
      <c r="H7709" t="n">
        <v>2977</v>
      </c>
      <c r="I7709" t="s">
        <v>14</v>
      </c>
      <c r="J7709" t="s">
        <v>91</v>
      </c>
      <c r="K7709" t="s">
        <v>480</v>
      </c>
      <c r="L7709" t="s">
        <v>20</v>
      </c>
      <c r="M7709" t="s">
        <v>15030</v>
      </c>
      <c r="N7709" t="s">
        <v>15034</v>
      </c>
    </row>
    <row r="7710" x14ac:dyDescent="0.25">
      <c r="A7710" t="n">
        <v>24</v>
      </c>
      <c r="B7710" t="s">
        <v>14</v>
      </c>
      <c r="C7710" t="s">
        <v>22</v>
      </c>
      <c r="D7710" s="2" t="s">
        <f>=HYPERLINK("https://main.knesset.gov.il/APPS/legislation/main/bills/2156468", "חוק הביטוח הלאומי (תיקון מס' 231), התשפ""ב-2022")</f>
        <v>15035</v>
      </c>
      <c r="E7710" t="s">
        <v>15035</v>
      </c>
      <c r="F7710" t="s">
        <v>15036</v>
      </c>
      <c r="G7710" t="s">
        <v>15037</v>
      </c>
      <c r="H7710" t="n">
        <v>2976</v>
      </c>
      <c r="I7710" t="s">
        <v>14</v>
      </c>
      <c r="J7710" t="s">
        <v>91</v>
      </c>
      <c r="K7710" t="s">
        <v>127</v>
      </c>
      <c r="L7710" t="s">
        <v>20</v>
      </c>
      <c r="M7710" t="s">
        <v>15030</v>
      </c>
      <c r="N7710" t="s">
        <v>15038</v>
      </c>
    </row>
    <row r="7711" x14ac:dyDescent="0.25">
      <c r="A7711" t="n">
        <v>24</v>
      </c>
      <c r="B7711" t="s">
        <v>14</v>
      </c>
      <c r="C7711" t="s">
        <v>15</v>
      </c>
      <c r="D7711" s="2" t="s">
        <f>=HYPERLINK("https://main.knesset.gov.il/APPS/legislation/main/bills/2193411", "הצעת חוק הסדרת העיסוק בקרינה מייננת, התשפ""ב-2022 ")</f>
        <v>15039</v>
      </c>
      <c r="E7711" t="s">
        <v>15039</v>
      </c>
      <c r="F7711" t="s">
        <v>14</v>
      </c>
      <c r="G7711" t="s">
        <v>15040</v>
      </c>
      <c r="H7711">
             </c>
      <c r="I7711" t="s">
        <v>14</v>
      </c>
      <c r="J7711" t="s">
        <v>69</v>
      </c>
      <c r="K7711" t="s">
        <v>14</v>
      </c>
      <c r="L7711" t="s">
        <v>20</v>
      </c>
      <c r="M7711" t="s">
        <v>15030</v>
      </c>
      <c r="N7711" t="s">
        <v>14</v>
      </c>
    </row>
    <row r="7712" x14ac:dyDescent="0.25">
      <c r="A7712" t="n">
        <v>24</v>
      </c>
      <c r="B7712" t="s">
        <v>14</v>
      </c>
      <c r="C7712" t="s">
        <v>15</v>
      </c>
      <c r="D7712" s="2" t="s">
        <f>=HYPERLINK("https://main.knesset.gov.il/APPS/legislation/main/bills/2193417", "הצעת חוק הצלילה הספורטיבית (תיקון מס' 3) (צלילת היכרות), התשפ""ב-2022 ")</f>
        <v>15041</v>
      </c>
      <c r="E7712" t="s">
        <v>15041</v>
      </c>
      <c r="F7712" t="s">
        <v>14</v>
      </c>
      <c r="G7712" t="s">
        <v>15042</v>
      </c>
      <c r="H7712">
             </c>
      <c r="I7712" t="s">
        <v>14</v>
      </c>
      <c r="J7712" t="s">
        <v>69</v>
      </c>
      <c r="K7712" t="s">
        <v>14</v>
      </c>
      <c r="L7712" t="s">
        <v>20</v>
      </c>
      <c r="M7712" t="s">
        <v>15030</v>
      </c>
      <c r="N7712" t="s">
        <v>14</v>
      </c>
    </row>
    <row r="7713" x14ac:dyDescent="0.25">
      <c r="A7713" t="n">
        <v>24</v>
      </c>
      <c r="B7713" t="s">
        <v>14</v>
      </c>
      <c r="C7713" t="s">
        <v>22</v>
      </c>
      <c r="D7713" s="2" t="s">
        <f>=HYPERLINK("https://main.knesset.gov.il/APPS/legislation/main/bills/2166720", "הצעת חוק לצמצום השימוש בשקיות נשיאה חד-פעמיות (תיקון - היטל על שקית נשיאה חד-פעמית), התשפ""ב-2022")</f>
        <v>15043</v>
      </c>
      <c r="E7713" t="s">
        <v>15043</v>
      </c>
      <c r="F7713" t="s">
        <v>15044</v>
      </c>
      <c r="G7713" t="s">
        <v>14</v>
      </c>
      <c r="H7713">
             </c>
      <c r="I7713" t="s">
        <v>14</v>
      </c>
      <c r="J7713" t="s">
        <v>99</v>
      </c>
      <c r="K7713" t="s">
        <v>46</v>
      </c>
      <c r="L7713" t="s">
        <v>20</v>
      </c>
      <c r="M7713" t="s">
        <v>15045</v>
      </c>
      <c r="N7713" t="s">
        <v>14</v>
      </c>
    </row>
    <row r="7714" x14ac:dyDescent="0.25">
      <c r="A7714" t="n">
        <v>24</v>
      </c>
      <c r="B7714" t="s">
        <v>14</v>
      </c>
      <c r="C7714" t="s">
        <v>22</v>
      </c>
      <c r="D7714" s="2" t="s">
        <f>=HYPERLINK("https://main.knesset.gov.il/APPS/legislation/main/bills/2166531", "הצעת חוק לצמצום השימוש בשקיות נשיאה חד-פעמיות (תיקון - היטל על שקית נשיאה חד-פעמית), התשפ""ב-2022")</f>
        <v>15043</v>
      </c>
      <c r="E7714" t="s">
        <v>15043</v>
      </c>
      <c r="F7714" t="s">
        <v>15046</v>
      </c>
      <c r="G7714" t="s">
        <v>14</v>
      </c>
      <c r="H7714">
             </c>
      <c r="I7714" t="s">
        <v>26</v>
      </c>
      <c r="J7714" t="s">
        <v>31</v>
      </c>
      <c r="K7714" t="s">
        <v>46</v>
      </c>
      <c r="L7714" t="s">
        <v>20</v>
      </c>
      <c r="M7714" t="s">
        <v>15045</v>
      </c>
      <c r="N7714" t="s">
        <v>14</v>
      </c>
    </row>
    <row r="7715" x14ac:dyDescent="0.25">
      <c r="A7715" t="n">
        <v>24</v>
      </c>
      <c r="B7715" t="s">
        <v>14</v>
      </c>
      <c r="C7715" t="s">
        <v>22</v>
      </c>
      <c r="D7715" s="2" t="s">
        <f>=HYPERLINK("https://main.knesset.gov.il/APPS/legislation/main/bills/2193213", "הצעת חוק לתיקון פקודת בתי הסוהר (שלילת זכאות למימון שירותי בריאות משפרי איכות חיים לאסיר ביטחוני), התשפ""ב-2022")</f>
        <v>14832</v>
      </c>
      <c r="E7715" t="s">
        <v>14832</v>
      </c>
      <c r="F7715" t="s">
        <v>15047</v>
      </c>
      <c r="G7715" t="s">
        <v>14</v>
      </c>
      <c r="H7715">
             </c>
      <c r="I7715" t="s">
        <v>14</v>
      </c>
      <c r="J7715" t="s">
        <v>141</v>
      </c>
      <c r="K7715" t="s">
        <v>14</v>
      </c>
      <c r="L7715" t="s">
        <v>20</v>
      </c>
      <c r="M7715" t="s">
        <v>15045</v>
      </c>
      <c r="N7715" t="s">
        <v>14</v>
      </c>
    </row>
    <row r="7716" x14ac:dyDescent="0.25">
      <c r="A7716" t="n">
        <v>24</v>
      </c>
      <c r="B7716" t="s">
        <v>14</v>
      </c>
      <c r="C7716" t="s">
        <v>22</v>
      </c>
      <c r="D7716" s="2" t="s">
        <f>=HYPERLINK("https://main.knesset.gov.il/APPS/legislation/main/bills/2193278", "הצעת חוק התקנת מצלמות לשם הגנה על פעוטות במעונות יום לפעוטות (תיקון - צפייה מקוונת של ההורים בצילומים), התשפ""ב-2022")</f>
        <v>15048</v>
      </c>
      <c r="E7716" t="s">
        <v>15048</v>
      </c>
      <c r="F7716" t="s">
        <v>15049</v>
      </c>
      <c r="G7716" t="s">
        <v>14</v>
      </c>
      <c r="H7716">
             </c>
      <c r="I7716" t="s">
        <v>14</v>
      </c>
      <c r="J7716" t="s">
        <v>141</v>
      </c>
      <c r="K7716" t="s">
        <v>14</v>
      </c>
      <c r="L7716" t="s">
        <v>20</v>
      </c>
      <c r="M7716" t="s">
        <v>15045</v>
      </c>
      <c r="N7716" t="s">
        <v>14</v>
      </c>
    </row>
    <row r="7717" x14ac:dyDescent="0.25">
      <c r="A7717" t="n">
        <v>24</v>
      </c>
      <c r="B7717" t="s">
        <v>14</v>
      </c>
      <c r="C7717" t="s">
        <v>22</v>
      </c>
      <c r="D7717" s="2" t="s">
        <f>=HYPERLINK("https://main.knesset.gov.il/APPS/legislation/main/bills/2192402", "הצעת חוק הביטוח הלאומי (תיקון - פטור לעולים חדשים מתשלום דמי ביטוח עבור פנסיה מוקדמת), התשפ""ב-2022")</f>
        <v>15050</v>
      </c>
      <c r="E7717" t="s">
        <v>15050</v>
      </c>
      <c r="F7717" t="s">
        <v>15051</v>
      </c>
      <c r="G7717" t="s">
        <v>14</v>
      </c>
      <c r="H7717">
             </c>
      <c r="I7717" t="s">
        <v>14</v>
      </c>
      <c r="J7717" t="s">
        <v>141</v>
      </c>
      <c r="K7717" t="s">
        <v>14</v>
      </c>
      <c r="L7717" t="s">
        <v>20</v>
      </c>
      <c r="M7717" t="s">
        <v>15045</v>
      </c>
      <c r="N7717" t="s">
        <v>14</v>
      </c>
    </row>
    <row r="7718" x14ac:dyDescent="0.25">
      <c r="A7718" t="n">
        <v>24</v>
      </c>
      <c r="B7718" t="s">
        <v>14</v>
      </c>
      <c r="C7718" t="s">
        <v>22</v>
      </c>
      <c r="D7718" s="2" t="s">
        <f>=HYPERLINK("https://main.knesset.gov.il/APPS/legislation/main/bills/2193179", "הצעת חוק טיפול בחולי נפש (תיקון - חברי הוועדות הפסיכיאטריות), התשפ''ב -2022")</f>
        <v>15052</v>
      </c>
      <c r="E7718" t="s">
        <v>15052</v>
      </c>
      <c r="F7718" t="s">
        <v>15053</v>
      </c>
      <c r="G7718" t="s">
        <v>14</v>
      </c>
      <c r="H7718">
             </c>
      <c r="I7718" t="s">
        <v>14</v>
      </c>
      <c r="J7718" t="s">
        <v>141</v>
      </c>
      <c r="K7718" t="s">
        <v>14</v>
      </c>
      <c r="L7718" t="s">
        <v>20</v>
      </c>
      <c r="M7718" t="s">
        <v>15045</v>
      </c>
      <c r="N7718" t="s">
        <v>14</v>
      </c>
    </row>
    <row r="7719" x14ac:dyDescent="0.25">
      <c r="A7719" t="n">
        <v>24</v>
      </c>
      <c r="B7719" t="s">
        <v>14</v>
      </c>
      <c r="C7719" t="s">
        <v>22</v>
      </c>
      <c r="D7719" s="2" t="s">
        <f>=HYPERLINK("https://main.knesset.gov.il/APPS/legislation/main/bills/2192342", "הצעת חוק איסור הנפת דגל הרשות הפלסטינית, התשפ""ב-2022")</f>
        <v>15054</v>
      </c>
      <c r="E7719" t="s">
        <v>15054</v>
      </c>
      <c r="F7719" t="s">
        <v>15055</v>
      </c>
      <c r="G7719" t="s">
        <v>14</v>
      </c>
      <c r="H7719">
             </c>
      <c r="I7719" t="s">
        <v>14</v>
      </c>
      <c r="J7719" t="s">
        <v>141</v>
      </c>
      <c r="K7719" t="s">
        <v>14</v>
      </c>
      <c r="L7719" t="s">
        <v>20</v>
      </c>
      <c r="M7719" t="s">
        <v>15045</v>
      </c>
      <c r="N7719" t="s">
        <v>14</v>
      </c>
    </row>
    <row r="7720" x14ac:dyDescent="0.25">
      <c r="A7720" t="n">
        <v>24</v>
      </c>
      <c r="B7720" t="s">
        <v>14</v>
      </c>
      <c r="C7720" t="s">
        <v>22</v>
      </c>
      <c r="D7720" s="2" t="s">
        <f>=HYPERLINK("https://main.knesset.gov.il/APPS/legislation/main/bills/2191977", "הצעת חוק הבנקאות (שירות ללקוח) (תיקון - הפחתת יוקר תשלומי הלוואה לדיור), התשפ""ב-2022")</f>
        <v>15056</v>
      </c>
      <c r="E7720" t="s">
        <v>15056</v>
      </c>
      <c r="F7720" t="s">
        <v>15057</v>
      </c>
      <c r="G7720" t="s">
        <v>14</v>
      </c>
      <c r="H7720">
             </c>
      <c r="I7720" t="s">
        <v>14</v>
      </c>
      <c r="J7720" t="s">
        <v>141</v>
      </c>
      <c r="K7720" t="s">
        <v>14</v>
      </c>
      <c r="L7720" t="s">
        <v>20</v>
      </c>
      <c r="M7720" t="s">
        <v>15045</v>
      </c>
      <c r="N7720" t="s">
        <v>14</v>
      </c>
    </row>
    <row r="7721" x14ac:dyDescent="0.25">
      <c r="A7721" t="n">
        <v>24</v>
      </c>
      <c r="B7721" t="s">
        <v>14</v>
      </c>
      <c r="C7721" t="s">
        <v>22</v>
      </c>
      <c r="D7721" s="2" t="s">
        <f>=HYPERLINK("https://main.knesset.gov.il/APPS/legislation/main/bills/2191688", "הצעת חוק סיוע לשדרות וליישובי הנגב המערבי (הוראת שעה) (תיקון - הגדרת קו עימות דרומי), התשפ""ב-2022")</f>
        <v>15058</v>
      </c>
      <c r="E7721" t="s">
        <v>15058</v>
      </c>
      <c r="F7721" t="s">
        <v>15059</v>
      </c>
      <c r="G7721" t="s">
        <v>14</v>
      </c>
      <c r="H7721">
             </c>
      <c r="I7721" t="s">
        <v>14</v>
      </c>
      <c r="J7721" t="s">
        <v>141</v>
      </c>
      <c r="K7721" t="s">
        <v>14</v>
      </c>
      <c r="L7721" t="s">
        <v>20</v>
      </c>
      <c r="M7721" t="s">
        <v>15045</v>
      </c>
      <c r="N7721" t="s">
        <v>14</v>
      </c>
    </row>
    <row r="7722" x14ac:dyDescent="0.25">
      <c r="A7722" t="n">
        <v>24</v>
      </c>
      <c r="B7722" t="s">
        <v>14</v>
      </c>
      <c r="C7722" t="s">
        <v>22</v>
      </c>
      <c r="D7722" s="2" t="s">
        <f>=HYPERLINK("https://main.knesset.gov.il/APPS/legislation/main/bills/2192329", "הצעת חוק לתיקון פקודת המשטרה (הפגנה ליד בתי מגורים), התשפ""ב-2022")</f>
        <v>15060</v>
      </c>
      <c r="E7722" t="s">
        <v>15060</v>
      </c>
      <c r="F7722" t="s">
        <v>15061</v>
      </c>
      <c r="G7722" t="s">
        <v>14</v>
      </c>
      <c r="H7722">
             </c>
      <c r="I7722" t="s">
        <v>14</v>
      </c>
      <c r="J7722" t="s">
        <v>141</v>
      </c>
      <c r="K7722" t="s">
        <v>14</v>
      </c>
      <c r="L7722" t="s">
        <v>20</v>
      </c>
      <c r="M7722" t="s">
        <v>15045</v>
      </c>
      <c r="N7722" t="s">
        <v>14</v>
      </c>
    </row>
    <row r="7723" x14ac:dyDescent="0.25">
      <c r="A7723" t="n">
        <v>24</v>
      </c>
      <c r="B7723" t="s">
        <v>14</v>
      </c>
      <c r="C7723" t="s">
        <v>22</v>
      </c>
      <c r="D7723" s="2" t="s">
        <f>=HYPERLINK("https://main.knesset.gov.il/APPS/legislation/main/bills/2193312", "הצעת חוק חוזה הביטוח (תיקון - ביטוח דירה), התשפ""ב-2022")</f>
        <v>15062</v>
      </c>
      <c r="E7723" t="s">
        <v>15062</v>
      </c>
      <c r="F7723" t="s">
        <v>15063</v>
      </c>
      <c r="G7723" t="s">
        <v>14</v>
      </c>
      <c r="H7723">
             </c>
      <c r="I7723" t="s">
        <v>14</v>
      </c>
      <c r="J7723" t="s">
        <v>141</v>
      </c>
      <c r="K7723" t="s">
        <v>14</v>
      </c>
      <c r="L7723" t="s">
        <v>20</v>
      </c>
      <c r="M7723" t="s">
        <v>15045</v>
      </c>
      <c r="N7723" t="s">
        <v>14</v>
      </c>
    </row>
    <row r="7724" x14ac:dyDescent="0.25">
      <c r="A7724" t="n">
        <v>24</v>
      </c>
      <c r="B7724" t="s">
        <v>14</v>
      </c>
      <c r="C7724" t="s">
        <v>22</v>
      </c>
      <c r="D7724" s="2" t="s">
        <f>=HYPERLINK("https://main.knesset.gov.il/APPS/legislation/main/bills/2191732", "הצעת חוק יסודות התקציב (תיקון - פילוח לפי מגדר), התשפ""ב-2022")</f>
        <v>15064</v>
      </c>
      <c r="E7724" t="s">
        <v>15064</v>
      </c>
      <c r="F7724" t="s">
        <v>15065</v>
      </c>
      <c r="G7724" t="s">
        <v>14</v>
      </c>
      <c r="H7724">
             </c>
      <c r="I7724" t="s">
        <v>14</v>
      </c>
      <c r="J7724" t="s">
        <v>141</v>
      </c>
      <c r="K7724" t="s">
        <v>14</v>
      </c>
      <c r="L7724" t="s">
        <v>20</v>
      </c>
      <c r="M7724" t="s">
        <v>15045</v>
      </c>
      <c r="N7724" t="s">
        <v>14</v>
      </c>
    </row>
    <row r="7725" x14ac:dyDescent="0.25">
      <c r="A7725" t="n">
        <v>24</v>
      </c>
      <c r="B7725" t="s">
        <v>14</v>
      </c>
      <c r="C7725" t="s">
        <v>22</v>
      </c>
      <c r="D7725" s="2" t="s">
        <f>=HYPERLINK("https://main.knesset.gov.il/APPS/legislation/main/bills/2190779", "הצעת חוק למניעת הטרדה מינית (תיקון - הרחבת תחולה על עובדים עצמאים, מתנדבים ועובדי כלכלת הפלטפורמה), התשפ""ב-2022")</f>
        <v>15066</v>
      </c>
      <c r="E7725" t="s">
        <v>15066</v>
      </c>
      <c r="F7725" t="s">
        <v>15067</v>
      </c>
      <c r="G7725" t="s">
        <v>14</v>
      </c>
      <c r="H7725">
             </c>
      <c r="I7725" t="s">
        <v>14</v>
      </c>
      <c r="J7725" t="s">
        <v>141</v>
      </c>
      <c r="K7725" t="s">
        <v>14</v>
      </c>
      <c r="L7725" t="s">
        <v>20</v>
      </c>
      <c r="M7725" t="s">
        <v>15045</v>
      </c>
      <c r="N7725" t="s">
        <v>14</v>
      </c>
    </row>
    <row r="7726" x14ac:dyDescent="0.25">
      <c r="A7726" t="n">
        <v>24</v>
      </c>
      <c r="B7726" t="s">
        <v>14</v>
      </c>
      <c r="C7726" t="s">
        <v>22</v>
      </c>
      <c r="D7726" s="2" t="s">
        <f>=HYPERLINK("https://main.knesset.gov.il/APPS/legislation/main/bills/2192417", "הצעת חוק העונשין (תיקון - בעילה אסורה בהסכמה תוך ניצול מעמד ציבורי מיוחד), התשפ""ב-2022")</f>
        <v>15068</v>
      </c>
      <c r="E7726" t="s">
        <v>15068</v>
      </c>
      <c r="F7726" t="s">
        <v>15069</v>
      </c>
      <c r="G7726" t="s">
        <v>14</v>
      </c>
      <c r="H7726">
             </c>
      <c r="I7726" t="s">
        <v>14</v>
      </c>
      <c r="J7726" t="s">
        <v>141</v>
      </c>
      <c r="K7726" t="s">
        <v>14</v>
      </c>
      <c r="L7726" t="s">
        <v>20</v>
      </c>
      <c r="M7726" t="s">
        <v>15045</v>
      </c>
      <c r="N7726" t="s">
        <v>14</v>
      </c>
    </row>
    <row r="7727" x14ac:dyDescent="0.25">
      <c r="A7727" t="n">
        <v>24</v>
      </c>
      <c r="B7727" t="s">
        <v>14</v>
      </c>
      <c r="C7727" t="s">
        <v>22</v>
      </c>
      <c r="D7727" s="2" t="s">
        <f>=HYPERLINK("https://main.knesset.gov.il/APPS/legislation/main/bills/2193276", "הצעת חוק ליווי בני משפחות של משרתים בגופי ביטחון ששלחו יד בנפשם, התשפ""ב-2022")</f>
        <v>15070</v>
      </c>
      <c r="E7727" t="s">
        <v>15070</v>
      </c>
      <c r="F7727" t="s">
        <v>15071</v>
      </c>
      <c r="G7727" t="s">
        <v>14</v>
      </c>
      <c r="H7727">
             </c>
      <c r="I7727" t="s">
        <v>14</v>
      </c>
      <c r="J7727" t="s">
        <v>141</v>
      </c>
      <c r="K7727" t="s">
        <v>14</v>
      </c>
      <c r="L7727" t="s">
        <v>20</v>
      </c>
      <c r="M7727" t="s">
        <v>15045</v>
      </c>
      <c r="N7727" t="s">
        <v>14</v>
      </c>
    </row>
    <row r="7728" x14ac:dyDescent="0.25">
      <c r="A7728" t="n">
        <v>24</v>
      </c>
      <c r="B7728" t="s">
        <v>14</v>
      </c>
      <c r="C7728" t="s">
        <v>22</v>
      </c>
      <c r="D7728" s="2" t="s">
        <f>=HYPERLINK("https://main.knesset.gov.il/APPS/legislation/main/bills/2191385", "הצעת חוק תשתיות להולכה ולאחסון של נפט על ידי גורם מפעיל (תיקון - ביטול החוק), התשפ""ב-2022")</f>
        <v>15072</v>
      </c>
      <c r="E7728" t="s">
        <v>15072</v>
      </c>
      <c r="F7728" t="s">
        <v>15073</v>
      </c>
      <c r="G7728" t="s">
        <v>14</v>
      </c>
      <c r="H7728">
             </c>
      <c r="I7728" t="s">
        <v>14</v>
      </c>
      <c r="J7728" t="s">
        <v>141</v>
      </c>
      <c r="K7728" t="s">
        <v>14</v>
      </c>
      <c r="L7728" t="s">
        <v>20</v>
      </c>
      <c r="M7728" t="s">
        <v>15045</v>
      </c>
      <c r="N7728" t="s">
        <v>14</v>
      </c>
    </row>
    <row r="7729" x14ac:dyDescent="0.25">
      <c r="A7729" t="n">
        <v>24</v>
      </c>
      <c r="B7729" t="s">
        <v>14</v>
      </c>
      <c r="C7729" t="s">
        <v>22</v>
      </c>
      <c r="D7729" s="2" t="s">
        <f>=HYPERLINK("https://main.knesset.gov.il/APPS/legislation/main/bills/2192466", "הצעת חוק להנצחה, מחקר ותיעוד של פרשת ילדי תימן, המזרח והבלקן, התשפ""ב-2022")</f>
        <v>15074</v>
      </c>
      <c r="E7729" t="s">
        <v>15074</v>
      </c>
      <c r="F7729" t="s">
        <v>15075</v>
      </c>
      <c r="G7729" t="s">
        <v>14</v>
      </c>
      <c r="H7729">
             </c>
      <c r="I7729" t="s">
        <v>14</v>
      </c>
      <c r="J7729" t="s">
        <v>141</v>
      </c>
      <c r="K7729" t="s">
        <v>14</v>
      </c>
      <c r="L7729" t="s">
        <v>20</v>
      </c>
      <c r="M7729" t="s">
        <v>15045</v>
      </c>
      <c r="N7729" t="s">
        <v>14</v>
      </c>
    </row>
    <row r="7730" x14ac:dyDescent="0.25">
      <c r="A7730" t="n">
        <v>24</v>
      </c>
      <c r="B7730" t="s">
        <v>14</v>
      </c>
      <c r="C7730" t="s">
        <v>22</v>
      </c>
      <c r="D7730" s="2" t="s">
        <f>=HYPERLINK("https://main.knesset.gov.il/APPS/legislation/main/bills/2191777", "הצעת חוק פרס כספי בעבור לכידת מחבל, התשפ""ב-2022")</f>
        <v>15076</v>
      </c>
      <c r="E7730" t="s">
        <v>15076</v>
      </c>
      <c r="F7730" t="s">
        <v>15077</v>
      </c>
      <c r="G7730" t="s">
        <v>14</v>
      </c>
      <c r="H7730">
             </c>
      <c r="I7730" t="s">
        <v>14</v>
      </c>
      <c r="J7730" t="s">
        <v>141</v>
      </c>
      <c r="K7730" t="s">
        <v>14</v>
      </c>
      <c r="L7730" t="s">
        <v>20</v>
      </c>
      <c r="M7730" t="s">
        <v>15045</v>
      </c>
      <c r="N7730" t="s">
        <v>14</v>
      </c>
    </row>
    <row r="7731" x14ac:dyDescent="0.25">
      <c r="A7731" t="n">
        <v>24</v>
      </c>
      <c r="B7731" t="s">
        <v>14</v>
      </c>
      <c r="C7731" t="s">
        <v>22</v>
      </c>
      <c r="D7731" s="2" t="s">
        <f>=HYPERLINK("https://main.knesset.gov.il/APPS/legislation/main/bills/2192949", "הצעת חוק הסדרים במשק המדינה (תיקוני חקיקה להשגת יעדי התקציב) (תיקון - הנחה בארנונה בעד בן משפחה נכה), התשפ""ב-2022")</f>
        <v>15078</v>
      </c>
      <c r="E7731" t="s">
        <v>15078</v>
      </c>
      <c r="F7731" t="s">
        <v>15079</v>
      </c>
      <c r="G7731" t="s">
        <v>14</v>
      </c>
      <c r="H7731">
             </c>
      <c r="I7731" t="s">
        <v>14</v>
      </c>
      <c r="J7731" t="s">
        <v>141</v>
      </c>
      <c r="K7731" t="s">
        <v>14</v>
      </c>
      <c r="L7731" t="s">
        <v>20</v>
      </c>
      <c r="M7731" t="s">
        <v>15045</v>
      </c>
      <c r="N7731" t="s">
        <v>14</v>
      </c>
    </row>
    <row r="7732" x14ac:dyDescent="0.25">
      <c r="A7732" t="n">
        <v>24</v>
      </c>
      <c r="B7732" t="s">
        <v>14</v>
      </c>
      <c r="C7732" t="s">
        <v>22</v>
      </c>
      <c r="D7732" s="2" t="s">
        <f>=HYPERLINK("https://main.knesset.gov.il/APPS/legislation/main/bills/2193139", "הצעת חוק האקלים, התשפ""ב-2022")</f>
        <v>14671</v>
      </c>
      <c r="E7732" t="s">
        <v>14671</v>
      </c>
      <c r="F7732" t="s">
        <v>15080</v>
      </c>
      <c r="G7732" t="s">
        <v>14</v>
      </c>
      <c r="H7732">
             </c>
      <c r="I7732" t="s">
        <v>14</v>
      </c>
      <c r="J7732" t="s">
        <v>141</v>
      </c>
      <c r="K7732" t="s">
        <v>14</v>
      </c>
      <c r="L7732" t="s">
        <v>20</v>
      </c>
      <c r="M7732" t="s">
        <v>15045</v>
      </c>
      <c r="N7732" t="s">
        <v>14</v>
      </c>
    </row>
    <row r="7733" x14ac:dyDescent="0.25">
      <c r="A7733" t="n">
        <v>24</v>
      </c>
      <c r="B7733" t="s">
        <v>14</v>
      </c>
      <c r="C7733" t="s">
        <v>22</v>
      </c>
      <c r="D7733" s="2" t="s">
        <f>=HYPERLINK("https://main.knesset.gov.il/APPS/legislation/main/bills/2193176", "הצעת חוק ביטוח בריאות ממלכתי (תיקון - פנייה לנציב קבילות הציבור), התשפ""ב-2022 ")</f>
        <v>15081</v>
      </c>
      <c r="E7733" t="s">
        <v>15081</v>
      </c>
      <c r="F7733" t="s">
        <v>15082</v>
      </c>
      <c r="G7733" t="s">
        <v>14</v>
      </c>
      <c r="H7733">
             </c>
      <c r="I7733" t="s">
        <v>14</v>
      </c>
      <c r="J7733" t="s">
        <v>141</v>
      </c>
      <c r="K7733" t="s">
        <v>14</v>
      </c>
      <c r="L7733" t="s">
        <v>20</v>
      </c>
      <c r="M7733" t="s">
        <v>15045</v>
      </c>
      <c r="N7733" t="s">
        <v>14</v>
      </c>
    </row>
    <row r="7734" x14ac:dyDescent="0.25">
      <c r="A7734" t="n">
        <v>24</v>
      </c>
      <c r="B7734" t="s">
        <v>14</v>
      </c>
      <c r="C7734" t="s">
        <v>22</v>
      </c>
      <c r="D7734" s="2" t="s">
        <f>=HYPERLINK("https://main.knesset.gov.il/APPS/legislation/main/bills/2189939", "הצעת חוק שוויון ההזדמנויות בעבודה (תיקון - איסור הפליה מחמת מצב כלכלי), התשפ""ב-2022")</f>
        <v>15083</v>
      </c>
      <c r="E7734" t="s">
        <v>15083</v>
      </c>
      <c r="F7734" t="s">
        <v>15084</v>
      </c>
      <c r="G7734" t="s">
        <v>14</v>
      </c>
      <c r="H7734">
             </c>
      <c r="I7734" t="s">
        <v>14</v>
      </c>
      <c r="J7734" t="s">
        <v>141</v>
      </c>
      <c r="K7734" t="s">
        <v>14</v>
      </c>
      <c r="L7734" t="s">
        <v>20</v>
      </c>
      <c r="M7734" t="s">
        <v>15045</v>
      </c>
      <c r="N7734" t="s">
        <v>14</v>
      </c>
    </row>
    <row r="7735" x14ac:dyDescent="0.25">
      <c r="A7735" t="n">
        <v>24</v>
      </c>
      <c r="B7735" t="s">
        <v>14</v>
      </c>
      <c r="C7735" t="s">
        <v>22</v>
      </c>
      <c r="D7735" s="2" t="s">
        <f>=HYPERLINK("https://main.knesset.gov.il/APPS/legislation/main/bills/2193091", "הצעת חוק הבלו על דלק (תיקון - הגבלת שיעור המס על הדלק), התשפ""ב-2022")</f>
        <v>15085</v>
      </c>
      <c r="E7735" t="s">
        <v>15085</v>
      </c>
      <c r="F7735" t="s">
        <v>15086</v>
      </c>
      <c r="G7735" t="s">
        <v>14</v>
      </c>
      <c r="H7735">
             </c>
      <c r="I7735" t="s">
        <v>14</v>
      </c>
      <c r="J7735" t="s">
        <v>141</v>
      </c>
      <c r="K7735" t="s">
        <v>14</v>
      </c>
      <c r="L7735" t="s">
        <v>20</v>
      </c>
      <c r="M7735" t="s">
        <v>15045</v>
      </c>
      <c r="N7735" t="s">
        <v>14</v>
      </c>
    </row>
    <row r="7736" x14ac:dyDescent="0.25">
      <c r="A7736" t="n">
        <v>24</v>
      </c>
      <c r="B7736" t="s">
        <v>14</v>
      </c>
      <c r="C7736" t="s">
        <v>22</v>
      </c>
      <c r="D7736" s="2" t="s">
        <f>=HYPERLINK("https://main.knesset.gov.il/APPS/legislation/main/bills/2192131", "הצעת חוק הרשות הלאומית לתרבות הארמית, התשפ""ב-2022")</f>
        <v>15087</v>
      </c>
      <c r="E7736" t="s">
        <v>15087</v>
      </c>
      <c r="F7736" t="s">
        <v>15088</v>
      </c>
      <c r="G7736" t="s">
        <v>14</v>
      </c>
      <c r="H7736">
             </c>
      <c r="I7736" t="s">
        <v>14</v>
      </c>
      <c r="J7736" t="s">
        <v>141</v>
      </c>
      <c r="K7736" t="s">
        <v>14</v>
      </c>
      <c r="L7736" t="s">
        <v>20</v>
      </c>
      <c r="M7736" t="s">
        <v>15045</v>
      </c>
      <c r="N7736" t="s">
        <v>14</v>
      </c>
    </row>
    <row r="7737" x14ac:dyDescent="0.25">
      <c r="A7737" t="n">
        <v>24</v>
      </c>
      <c r="B7737" t="s">
        <v>14</v>
      </c>
      <c r="C7737" t="s">
        <v>22</v>
      </c>
      <c r="D7737" s="2" t="s">
        <f>=HYPERLINK("https://main.knesset.gov.il/APPS/legislation/main/bills/2190522", "הצעת חוק ארוחה יומית לתלמיד (תיקון - הרחבת תחולת החוק), התשפ""ב-2022")</f>
        <v>15089</v>
      </c>
      <c r="E7737" t="s">
        <v>15089</v>
      </c>
      <c r="F7737" t="s">
        <v>15090</v>
      </c>
      <c r="G7737" t="s">
        <v>14</v>
      </c>
      <c r="H7737">
             </c>
      <c r="I7737" t="s">
        <v>14</v>
      </c>
      <c r="J7737" t="s">
        <v>141</v>
      </c>
      <c r="K7737" t="s">
        <v>14</v>
      </c>
      <c r="L7737" t="s">
        <v>20</v>
      </c>
      <c r="M7737" t="s">
        <v>15045</v>
      </c>
      <c r="N7737" t="s">
        <v>14</v>
      </c>
    </row>
    <row r="7738" x14ac:dyDescent="0.25">
      <c r="A7738" t="n">
        <v>24</v>
      </c>
      <c r="B7738" t="s">
        <v>14</v>
      </c>
      <c r="C7738" t="s">
        <v>22</v>
      </c>
      <c r="D7738" s="2" t="s">
        <f>=HYPERLINK("https://main.knesset.gov.il/APPS/legislation/main/bills/2192570", "הצעת חוק שוויון זכויות לאנשים עם מוגבלות (תיקון - עמידת מעסיקים פרטיים גדולים ביעד הייצוג ההולם), התשפ""ב-2022")</f>
        <v>15091</v>
      </c>
      <c r="E7738" t="s">
        <v>15091</v>
      </c>
      <c r="F7738" t="s">
        <v>15092</v>
      </c>
      <c r="G7738" t="s">
        <v>14</v>
      </c>
      <c r="H7738">
             </c>
      <c r="I7738" t="s">
        <v>14</v>
      </c>
      <c r="J7738" t="s">
        <v>141</v>
      </c>
      <c r="K7738" t="s">
        <v>14</v>
      </c>
      <c r="L7738" t="s">
        <v>20</v>
      </c>
      <c r="M7738" t="s">
        <v>15045</v>
      </c>
      <c r="N7738" t="s">
        <v>14</v>
      </c>
    </row>
    <row r="7739" x14ac:dyDescent="0.25">
      <c r="A7739" t="n">
        <v>24</v>
      </c>
      <c r="B7739" t="s">
        <v>14</v>
      </c>
      <c r="C7739" t="s">
        <v>22</v>
      </c>
      <c r="D7739" s="2" t="s">
        <f>=HYPERLINK("https://main.knesset.gov.il/APPS/legislation/main/bills/2192839", "הצעת חוק ביטוח בריאות ממלכתי (תיקון - החזר עבור פינוי באמבולנס), התשפ""ב-2022")</f>
        <v>15093</v>
      </c>
      <c r="E7739" t="s">
        <v>15093</v>
      </c>
      <c r="F7739" t="s">
        <v>15094</v>
      </c>
      <c r="G7739" t="s">
        <v>14</v>
      </c>
      <c r="H7739">
             </c>
      <c r="I7739" t="s">
        <v>14</v>
      </c>
      <c r="J7739" t="s">
        <v>141</v>
      </c>
      <c r="K7739" t="s">
        <v>14</v>
      </c>
      <c r="L7739" t="s">
        <v>20</v>
      </c>
      <c r="M7739" t="s">
        <v>15045</v>
      </c>
      <c r="N7739" t="s">
        <v>14</v>
      </c>
    </row>
    <row r="7740" x14ac:dyDescent="0.25">
      <c r="A7740" t="n">
        <v>24</v>
      </c>
      <c r="B7740" t="s">
        <v>14</v>
      </c>
      <c r="C7740" t="s">
        <v>22</v>
      </c>
      <c r="D7740" s="2" t="s">
        <f>=HYPERLINK("https://main.knesset.gov.il/APPS/legislation/main/bills/2192929", "הצעת חוק הסדרת העיסוק במקצועות הבריאות (תיקון - הסדרת העיסוק בניתוח התנהגות), התשפ""ב-2022")</f>
        <v>14997</v>
      </c>
      <c r="E7740" t="s">
        <v>14997</v>
      </c>
      <c r="F7740" t="s">
        <v>15095</v>
      </c>
      <c r="G7740" t="s">
        <v>14</v>
      </c>
      <c r="H7740">
             </c>
      <c r="I7740" t="s">
        <v>14</v>
      </c>
      <c r="J7740" t="s">
        <v>141</v>
      </c>
      <c r="K7740" t="s">
        <v>14</v>
      </c>
      <c r="L7740" t="s">
        <v>20</v>
      </c>
      <c r="M7740" t="s">
        <v>15045</v>
      </c>
      <c r="N7740" t="s">
        <v>14</v>
      </c>
    </row>
    <row r="7741" x14ac:dyDescent="0.25">
      <c r="A7741" t="n">
        <v>24</v>
      </c>
      <c r="B7741" t="s">
        <v>14</v>
      </c>
      <c r="C7741" t="s">
        <v>22</v>
      </c>
      <c r="D7741" s="2" t="s">
        <f>=HYPERLINK("https://main.knesset.gov.il/APPS/legislation/main/bills/2192133", "הצעת חוק הרשות הלאומית לתרבות והשפה המרוקאית יהודית, התשפ""ב-2022")</f>
        <v>15096</v>
      </c>
      <c r="E7741" t="s">
        <v>15096</v>
      </c>
      <c r="F7741" t="s">
        <v>15097</v>
      </c>
      <c r="G7741" t="s">
        <v>14</v>
      </c>
      <c r="H7741">
             </c>
      <c r="I7741" t="s">
        <v>14</v>
      </c>
      <c r="J7741" t="s">
        <v>141</v>
      </c>
      <c r="K7741" t="s">
        <v>14</v>
      </c>
      <c r="L7741" t="s">
        <v>20</v>
      </c>
      <c r="M7741" t="s">
        <v>15045</v>
      </c>
      <c r="N7741" t="s">
        <v>14</v>
      </c>
    </row>
    <row r="7742" x14ac:dyDescent="0.25">
      <c r="A7742" t="n">
        <v>24</v>
      </c>
      <c r="B7742" t="s">
        <v>14</v>
      </c>
      <c r="C7742" t="s">
        <v>22</v>
      </c>
      <c r="D7742" s="2" t="s">
        <f>=HYPERLINK("https://main.knesset.gov.il/APPS/legislation/main/bills/2192538", "הצעת חוק לתיקון פקודת המשטרה (ביטול איסור הנפת דגל), התשפ""ב-2022")</f>
        <v>15098</v>
      </c>
      <c r="E7742" t="s">
        <v>15098</v>
      </c>
      <c r="F7742" t="s">
        <v>15099</v>
      </c>
      <c r="G7742" t="s">
        <v>14</v>
      </c>
      <c r="H7742">
             </c>
      <c r="I7742" t="s">
        <v>14</v>
      </c>
      <c r="J7742" t="s">
        <v>141</v>
      </c>
      <c r="K7742" t="s">
        <v>14</v>
      </c>
      <c r="L7742" t="s">
        <v>20</v>
      </c>
      <c r="M7742" t="s">
        <v>15045</v>
      </c>
      <c r="N7742" t="s">
        <v>14</v>
      </c>
    </row>
    <row r="7743" x14ac:dyDescent="0.25">
      <c r="A7743" t="n">
        <v>24</v>
      </c>
      <c r="B7743" t="s">
        <v>14</v>
      </c>
      <c r="C7743" t="s">
        <v>22</v>
      </c>
      <c r="D7743" s="2" t="s">
        <f>=HYPERLINK("https://main.knesset.gov.il/APPS/legislation/main/bills/2190950", "הצעת חוק הביטוח הלאומי (תיקון - תשלום תוספת לגמלת אזרח ותיק לנכה שהכנסתו נמוכה משכר המינימום), התשפ""ב-2022 ")</f>
        <v>15100</v>
      </c>
      <c r="E7743" t="s">
        <v>15100</v>
      </c>
      <c r="F7743" t="s">
        <v>15101</v>
      </c>
      <c r="G7743" t="s">
        <v>14</v>
      </c>
      <c r="H7743">
             </c>
      <c r="I7743" t="s">
        <v>14</v>
      </c>
      <c r="J7743" t="s">
        <v>141</v>
      </c>
      <c r="K7743" t="s">
        <v>14</v>
      </c>
      <c r="L7743" t="s">
        <v>20</v>
      </c>
      <c r="M7743" t="s">
        <v>15045</v>
      </c>
      <c r="N7743" t="s">
        <v>14</v>
      </c>
    </row>
    <row r="7744" x14ac:dyDescent="0.25">
      <c r="A7744" t="n">
        <v>24</v>
      </c>
      <c r="B7744" t="s">
        <v>14</v>
      </c>
      <c r="C7744" t="s">
        <v>22</v>
      </c>
      <c r="D7744" s="2" t="s">
        <f>=HYPERLINK("https://main.knesset.gov.il/APPS/legislation/main/bills/2169910", "הצעת חוק מס רכוש וקרן פיצויים (תיקון - פיצוי בגין נזקי מגיפה ונזקי פגעי טבע), התשפ""ב-2022")</f>
        <v>15102</v>
      </c>
      <c r="E7744" t="s">
        <v>15102</v>
      </c>
      <c r="F7744" t="s">
        <v>15103</v>
      </c>
      <c r="G7744" t="s">
        <v>14</v>
      </c>
      <c r="H7744">
             </c>
      <c r="I7744" t="s">
        <v>14</v>
      </c>
      <c r="J7744" t="s">
        <v>141</v>
      </c>
      <c r="K7744" t="s">
        <v>14</v>
      </c>
      <c r="L7744" t="s">
        <v>20</v>
      </c>
      <c r="M7744" t="s">
        <v>15045</v>
      </c>
      <c r="N7744" t="s">
        <v>14</v>
      </c>
    </row>
    <row r="7745" x14ac:dyDescent="0.25">
      <c r="A7745" t="n">
        <v>24</v>
      </c>
      <c r="B7745" t="s">
        <v>14</v>
      </c>
      <c r="C7745" t="s">
        <v>22</v>
      </c>
      <c r="D7745" s="2" t="s">
        <f>=HYPERLINK("https://main.knesset.gov.il/APPS/legislation/main/bills/2192571", "הצעת חוק הביטוח הלאומי (תיקון - תשלום דמי אבטלה לנשים שיצאו לחופשה ללא תשלום לאחר לידה), התשפ""ב-2022")</f>
        <v>15104</v>
      </c>
      <c r="E7745" t="s">
        <v>15104</v>
      </c>
      <c r="F7745" t="s">
        <v>15105</v>
      </c>
      <c r="G7745" t="s">
        <v>14</v>
      </c>
      <c r="H7745">
             </c>
      <c r="I7745" t="s">
        <v>14</v>
      </c>
      <c r="J7745" t="s">
        <v>141</v>
      </c>
      <c r="K7745" t="s">
        <v>14</v>
      </c>
      <c r="L7745" t="s">
        <v>20</v>
      </c>
      <c r="M7745" t="s">
        <v>15045</v>
      </c>
      <c r="N7745" t="s">
        <v>14</v>
      </c>
    </row>
    <row r="7746" x14ac:dyDescent="0.25">
      <c r="A7746" t="n">
        <v>24</v>
      </c>
      <c r="B7746" t="s">
        <v>14</v>
      </c>
      <c r="C7746" t="s">
        <v>22</v>
      </c>
      <c r="D7746" s="2" t="s">
        <f>=HYPERLINK("https://main.knesset.gov.il/APPS/legislation/main/bills/2192828", "הצעת חוק העונשין (תיקון - מעשה מגונה בהסכמה בקטין שמלאו לו ארבע עשרה שנים וטרם מלאו לו שש עשרה שנים), התשפ""ב-2022")</f>
        <v>15106</v>
      </c>
      <c r="E7746" t="s">
        <v>15106</v>
      </c>
      <c r="F7746" t="s">
        <v>15107</v>
      </c>
      <c r="G7746" t="s">
        <v>14</v>
      </c>
      <c r="H7746">
             </c>
      <c r="I7746" t="s">
        <v>14</v>
      </c>
      <c r="J7746" t="s">
        <v>141</v>
      </c>
      <c r="K7746" t="s">
        <v>14</v>
      </c>
      <c r="L7746" t="s">
        <v>20</v>
      </c>
      <c r="M7746" t="s">
        <v>15045</v>
      </c>
      <c r="N7746" t="s">
        <v>14</v>
      </c>
    </row>
    <row r="7747" x14ac:dyDescent="0.25">
      <c r="A7747" t="n">
        <v>24</v>
      </c>
      <c r="B7747" t="s">
        <v>14</v>
      </c>
      <c r="C7747" t="s">
        <v>22</v>
      </c>
      <c r="D7747" s="2" t="s">
        <f>=HYPERLINK("https://main.knesset.gov.il/APPS/legislation/main/bills/2192857", "הצעת חוק העונשין (תיקון - תקיפת עובד מערך הבריאות), התשפ""ב-2022")</f>
        <v>15108</v>
      </c>
      <c r="E7747" t="s">
        <v>15108</v>
      </c>
      <c r="F7747" t="s">
        <v>15109</v>
      </c>
      <c r="G7747" t="s">
        <v>14</v>
      </c>
      <c r="H7747">
             </c>
      <c r="I7747" t="s">
        <v>14</v>
      </c>
      <c r="J7747" t="s">
        <v>141</v>
      </c>
      <c r="K7747" t="s">
        <v>14</v>
      </c>
      <c r="L7747" t="s">
        <v>20</v>
      </c>
      <c r="M7747" t="s">
        <v>15045</v>
      </c>
      <c r="N7747" t="s">
        <v>14</v>
      </c>
    </row>
    <row r="7748" x14ac:dyDescent="0.25">
      <c r="A7748" t="n">
        <v>24</v>
      </c>
      <c r="B7748" t="s">
        <v>14</v>
      </c>
      <c r="C7748" t="s">
        <v>22</v>
      </c>
      <c r="D7748" s="2" t="s">
        <f>=HYPERLINK("https://main.knesset.gov.il/APPS/legislation/main/bills/2192451", "הצעת חוק איסור אלימות בספורט (תיקון - מניעת הרחקה גורפת מאירועי ספורט), התשפ""ב-2022")</f>
        <v>15110</v>
      </c>
      <c r="E7748" t="s">
        <v>15110</v>
      </c>
      <c r="F7748" t="s">
        <v>15111</v>
      </c>
      <c r="G7748" t="s">
        <v>14</v>
      </c>
      <c r="H7748">
             </c>
      <c r="I7748" t="s">
        <v>14</v>
      </c>
      <c r="J7748" t="s">
        <v>141</v>
      </c>
      <c r="K7748" t="s">
        <v>14</v>
      </c>
      <c r="L7748" t="s">
        <v>20</v>
      </c>
      <c r="M7748" t="s">
        <v>15045</v>
      </c>
      <c r="N7748" t="s">
        <v>14</v>
      </c>
    </row>
    <row r="7749" x14ac:dyDescent="0.25">
      <c r="A7749" t="n">
        <v>24</v>
      </c>
      <c r="B7749" t="s">
        <v>14</v>
      </c>
      <c r="C7749" t="s">
        <v>22</v>
      </c>
      <c r="D7749" s="2" t="s">
        <f>=HYPERLINK("https://main.knesset.gov.il/APPS/legislation/main/bills/2192858", "הצעת חוק סייעות במוסדות חינוך, התשפ""ב-2022")</f>
        <v>15112</v>
      </c>
      <c r="E7749" t="s">
        <v>15112</v>
      </c>
      <c r="F7749" t="s">
        <v>15113</v>
      </c>
      <c r="G7749" t="s">
        <v>14</v>
      </c>
      <c r="H7749">
             </c>
      <c r="I7749" t="s">
        <v>14</v>
      </c>
      <c r="J7749" t="s">
        <v>141</v>
      </c>
      <c r="K7749" t="s">
        <v>14</v>
      </c>
      <c r="L7749" t="s">
        <v>20</v>
      </c>
      <c r="M7749" t="s">
        <v>15045</v>
      </c>
      <c r="N7749" t="s">
        <v>14</v>
      </c>
    </row>
    <row r="7750" x14ac:dyDescent="0.25">
      <c r="A7750" t="n">
        <v>24</v>
      </c>
      <c r="B7750" t="s">
        <v>14</v>
      </c>
      <c r="C7750" t="s">
        <v>22</v>
      </c>
      <c r="D7750" s="2" t="s">
        <f>=HYPERLINK("https://main.knesset.gov.il/APPS/legislation/main/bills/2192793", "הצעת חוק השכלה גבוהה חינם, התשפ""ב-2022")</f>
        <v>15114</v>
      </c>
      <c r="E7750" t="s">
        <v>15114</v>
      </c>
      <c r="F7750" t="s">
        <v>15115</v>
      </c>
      <c r="G7750" t="s">
        <v>14</v>
      </c>
      <c r="H7750">
             </c>
      <c r="I7750" t="s">
        <v>14</v>
      </c>
      <c r="J7750" t="s">
        <v>141</v>
      </c>
      <c r="K7750" t="s">
        <v>14</v>
      </c>
      <c r="L7750" t="s">
        <v>20</v>
      </c>
      <c r="M7750" t="s">
        <v>15045</v>
      </c>
      <c r="N7750" t="s">
        <v>14</v>
      </c>
    </row>
    <row r="7751" x14ac:dyDescent="0.25">
      <c r="A7751" t="n">
        <v>24</v>
      </c>
      <c r="B7751" t="s">
        <v>14</v>
      </c>
      <c r="C7751" t="s">
        <v>22</v>
      </c>
      <c r="D7751" s="2" t="s">
        <f>=HYPERLINK("https://main.knesset.gov.il/APPS/legislation/main/bills/2161115", "הצעת חוק דמי מחלה (היעדרות בשל מחלת ילד) (תיקון - היעדרות בעקבות פגיעה בעבירת מין או אלימות חמורה), התשפ""ב-2022")</f>
        <v>15116</v>
      </c>
      <c r="E7751" t="s">
        <v>15116</v>
      </c>
      <c r="F7751" t="s">
        <v>15117</v>
      </c>
      <c r="G7751" t="s">
        <v>14</v>
      </c>
      <c r="H7751">
             </c>
      <c r="I7751" t="s">
        <v>14</v>
      </c>
      <c r="J7751" t="s">
        <v>141</v>
      </c>
      <c r="K7751" t="s">
        <v>14</v>
      </c>
      <c r="L7751" t="s">
        <v>20</v>
      </c>
      <c r="M7751" t="s">
        <v>15045</v>
      </c>
      <c r="N7751" t="s">
        <v>14</v>
      </c>
    </row>
    <row r="7752" x14ac:dyDescent="0.25">
      <c r="A7752" t="n">
        <v>24</v>
      </c>
      <c r="B7752" t="s">
        <v>14</v>
      </c>
      <c r="C7752" t="s">
        <v>22</v>
      </c>
      <c r="D7752" s="2" t="s">
        <f>=HYPERLINK("https://main.knesset.gov.il/APPS/legislation/main/bills/2192139", "הצעת חוק חכירה הוגנת, התשפ""ב-2022")</f>
        <v>15118</v>
      </c>
      <c r="E7752" t="s">
        <v>15118</v>
      </c>
      <c r="F7752" t="s">
        <v>15119</v>
      </c>
      <c r="G7752" t="s">
        <v>14</v>
      </c>
      <c r="H7752">
             </c>
      <c r="I7752" t="s">
        <v>14</v>
      </c>
      <c r="J7752" t="s">
        <v>141</v>
      </c>
      <c r="K7752" t="s">
        <v>14</v>
      </c>
      <c r="L7752" t="s">
        <v>20</v>
      </c>
      <c r="M7752" t="s">
        <v>15045</v>
      </c>
      <c r="N7752" t="s">
        <v>14</v>
      </c>
    </row>
    <row r="7753" x14ac:dyDescent="0.25">
      <c r="A7753" t="n">
        <v>24</v>
      </c>
      <c r="B7753" t="s">
        <v>14</v>
      </c>
      <c r="C7753" t="s">
        <v>22</v>
      </c>
      <c r="D7753" s="2" t="s">
        <f>=HYPERLINK("https://main.knesset.gov.il/APPS/legislation/main/bills/2193099", "הצעת חוק צער בעלי חיים (הגנה על בעלי חיים) (תיקון - ענישה מזערית), התשפ""ב-2022")</f>
        <v>15120</v>
      </c>
      <c r="E7753" t="s">
        <v>15120</v>
      </c>
      <c r="F7753" t="s">
        <v>15121</v>
      </c>
      <c r="G7753" t="s">
        <v>14</v>
      </c>
      <c r="H7753">
             </c>
      <c r="I7753" t="s">
        <v>14</v>
      </c>
      <c r="J7753" t="s">
        <v>141</v>
      </c>
      <c r="K7753" t="s">
        <v>14</v>
      </c>
      <c r="L7753" t="s">
        <v>20</v>
      </c>
      <c r="M7753" t="s">
        <v>15045</v>
      </c>
      <c r="N7753" t="s">
        <v>14</v>
      </c>
    </row>
    <row r="7754" x14ac:dyDescent="0.25">
      <c r="A7754" t="n">
        <v>24</v>
      </c>
      <c r="B7754" t="s">
        <v>14</v>
      </c>
      <c r="C7754" t="s">
        <v>22</v>
      </c>
      <c r="D7754" s="2" t="s">
        <f>=HYPERLINK("https://main.knesset.gov.il/APPS/legislation/main/bills/2193046", "הצעת חוק איסור הפליה במוצרים, בשירותים ובכניסה למקומות בידור ולמקומות ציבוריים (תיקון - איסור הפליה בשל נשיאת נשק), התשפ""ב-2022")</f>
        <v>15122</v>
      </c>
      <c r="E7754" t="s">
        <v>15122</v>
      </c>
      <c r="F7754" t="s">
        <v>15123</v>
      </c>
      <c r="G7754" t="s">
        <v>14</v>
      </c>
      <c r="H7754">
             </c>
      <c r="I7754" t="s">
        <v>14</v>
      </c>
      <c r="J7754" t="s">
        <v>141</v>
      </c>
      <c r="K7754" t="s">
        <v>14</v>
      </c>
      <c r="L7754" t="s">
        <v>20</v>
      </c>
      <c r="M7754" t="s">
        <v>15045</v>
      </c>
      <c r="N7754" t="s">
        <v>14</v>
      </c>
    </row>
    <row r="7755" x14ac:dyDescent="0.25">
      <c r="A7755" t="n">
        <v>24</v>
      </c>
      <c r="B7755" t="s">
        <v>14</v>
      </c>
      <c r="C7755" t="s">
        <v>22</v>
      </c>
      <c r="D7755" s="2" t="s">
        <f>=HYPERLINK("https://main.knesset.gov.il/APPS/legislation/main/bills/2192354", "הצעת חוק הקמת ועדת חקירה ממלכתית לפרשת גל הירש, התשפ""ב-2022")</f>
        <v>15124</v>
      </c>
      <c r="E7755" t="s">
        <v>15124</v>
      </c>
      <c r="F7755" t="s">
        <v>15125</v>
      </c>
      <c r="G7755" t="s">
        <v>14</v>
      </c>
      <c r="H7755">
             </c>
      <c r="I7755" t="s">
        <v>14</v>
      </c>
      <c r="J7755" t="s">
        <v>141</v>
      </c>
      <c r="K7755" t="s">
        <v>14</v>
      </c>
      <c r="L7755" t="s">
        <v>20</v>
      </c>
      <c r="M7755" t="s">
        <v>15045</v>
      </c>
      <c r="N7755" t="s">
        <v>14</v>
      </c>
    </row>
    <row r="7756" x14ac:dyDescent="0.25">
      <c r="A7756" t="n">
        <v>24</v>
      </c>
      <c r="B7756" t="s">
        <v>14</v>
      </c>
      <c r="C7756" t="s">
        <v>22</v>
      </c>
      <c r="D7756" s="2" t="s">
        <f>=HYPERLINK("https://main.knesset.gov.il/APPS/legislation/main/bills/2190976", "הצעת חוק לתיקון פקודת ביטוח רכב מנועי (חיוב שיווק פוליסה), התשפ""ב-2022 ")</f>
        <v>15126</v>
      </c>
      <c r="E7756" t="s">
        <v>15126</v>
      </c>
      <c r="F7756" t="s">
        <v>15127</v>
      </c>
      <c r="G7756" t="s">
        <v>14</v>
      </c>
      <c r="H7756">
             </c>
      <c r="I7756" t="s">
        <v>14</v>
      </c>
      <c r="J7756" t="s">
        <v>141</v>
      </c>
      <c r="K7756" t="s">
        <v>14</v>
      </c>
      <c r="L7756" t="s">
        <v>20</v>
      </c>
      <c r="M7756" t="s">
        <v>15045</v>
      </c>
      <c r="N7756" t="s">
        <v>14</v>
      </c>
    </row>
    <row r="7757" x14ac:dyDescent="0.25">
      <c r="A7757" t="n">
        <v>24</v>
      </c>
      <c r="B7757" t="s">
        <v>14</v>
      </c>
      <c r="C7757" t="s">
        <v>22</v>
      </c>
      <c r="D7757" s="2" t="s">
        <f>=HYPERLINK("https://main.knesset.gov.il/APPS/legislation/main/bills/2190874", "הצעת חוק הרחבת לימודי הבסיס בחינוך שאינו ממלכתי (הוראת שעה), התשפ""ב-2022")</f>
        <v>15128</v>
      </c>
      <c r="E7757" t="s">
        <v>15128</v>
      </c>
      <c r="F7757" t="s">
        <v>15129</v>
      </c>
      <c r="G7757" t="s">
        <v>14</v>
      </c>
      <c r="H7757">
             </c>
      <c r="I7757" t="s">
        <v>14</v>
      </c>
      <c r="J7757" t="s">
        <v>141</v>
      </c>
      <c r="K7757" t="s">
        <v>14</v>
      </c>
      <c r="L7757" t="s">
        <v>20</v>
      </c>
      <c r="M7757" t="s">
        <v>15045</v>
      </c>
      <c r="N7757" t="s">
        <v>14</v>
      </c>
    </row>
    <row r="7758" x14ac:dyDescent="0.25">
      <c r="A7758" t="n">
        <v>24</v>
      </c>
      <c r="B7758" t="s">
        <v>14</v>
      </c>
      <c r="C7758" t="s">
        <v>22</v>
      </c>
      <c r="D7758" s="2" t="s">
        <f>=HYPERLINK("https://main.knesset.gov.il/APPS/legislation/main/bills/2193045", "הצעת חוק יישום תוכנית ההתנתקות (תיקון - ביטול סעיפי הפינוי ושינוי שם החוק), התשפ""ב-2022")</f>
        <v>15130</v>
      </c>
      <c r="E7758" t="s">
        <v>15130</v>
      </c>
      <c r="F7758" t="s">
        <v>15131</v>
      </c>
      <c r="G7758" t="s">
        <v>14</v>
      </c>
      <c r="H7758">
             </c>
      <c r="I7758" t="s">
        <v>14</v>
      </c>
      <c r="J7758" t="s">
        <v>141</v>
      </c>
      <c r="K7758" t="s">
        <v>14</v>
      </c>
      <c r="L7758" t="s">
        <v>20</v>
      </c>
      <c r="M7758" t="s">
        <v>15045</v>
      </c>
      <c r="N7758" t="s">
        <v>14</v>
      </c>
    </row>
    <row r="7759" x14ac:dyDescent="0.25">
      <c r="A7759" t="n">
        <v>24</v>
      </c>
      <c r="B7759" t="s">
        <v>14</v>
      </c>
      <c r="C7759" t="s">
        <v>22</v>
      </c>
      <c r="D7759" s="2" t="s">
        <f>=HYPERLINK("https://main.knesset.gov.il/APPS/legislation/main/bills/2193083", "הצעת חוק העונשין (תיקון - החמרת הענישה בשל תקיפת צוות רפואי), התשפ""ב-2022")</f>
        <v>15132</v>
      </c>
      <c r="E7759" t="s">
        <v>15132</v>
      </c>
      <c r="F7759" t="s">
        <v>15133</v>
      </c>
      <c r="G7759" t="s">
        <v>14</v>
      </c>
      <c r="H7759">
             </c>
      <c r="I7759" t="s">
        <v>14</v>
      </c>
      <c r="J7759" t="s">
        <v>141</v>
      </c>
      <c r="K7759" t="s">
        <v>14</v>
      </c>
      <c r="L7759" t="s">
        <v>20</v>
      </c>
      <c r="M7759" t="s">
        <v>15045</v>
      </c>
      <c r="N7759" t="s">
        <v>14</v>
      </c>
    </row>
    <row r="7760" x14ac:dyDescent="0.25">
      <c r="A7760" t="n">
        <v>24</v>
      </c>
      <c r="B7760" t="s">
        <v>14</v>
      </c>
      <c r="C7760" t="s">
        <v>22</v>
      </c>
      <c r="D7760" s="2" t="s">
        <f>=HYPERLINK("https://main.knesset.gov.il/APPS/legislation/main/bills/2190102", "הצעת חוק סיוע מיידי לנפגעת אונס, התשפ""ב-2022")</f>
        <v>15134</v>
      </c>
      <c r="E7760" t="s">
        <v>15134</v>
      </c>
      <c r="F7760" t="s">
        <v>15135</v>
      </c>
      <c r="G7760" t="s">
        <v>14</v>
      </c>
      <c r="H7760">
             </c>
      <c r="I7760" t="s">
        <v>14</v>
      </c>
      <c r="J7760" t="s">
        <v>141</v>
      </c>
      <c r="K7760" t="s">
        <v>14</v>
      </c>
      <c r="L7760" t="s">
        <v>20</v>
      </c>
      <c r="M7760" t="s">
        <v>15045</v>
      </c>
      <c r="N7760" t="s">
        <v>14</v>
      </c>
    </row>
    <row r="7761" x14ac:dyDescent="0.25">
      <c r="A7761" t="n">
        <v>24</v>
      </c>
      <c r="B7761" t="s">
        <v>14</v>
      </c>
      <c r="C7761" t="s">
        <v>22</v>
      </c>
      <c r="D7761" s="2" t="s">
        <f>=HYPERLINK("https://main.knesset.gov.il/APPS/legislation/main/bills/2167101", "הצעת חוק לתיקון פקודת מס הכנסה (תיקון מס' 262 – הוראת שעה) (אישור ועדת הכספים בקביעת מוסד ציבורי), התשפ""ב-2022")</f>
        <v>15136</v>
      </c>
      <c r="E7761" t="s">
        <v>15136</v>
      </c>
      <c r="F7761" t="s">
        <v>15137</v>
      </c>
      <c r="G7761" t="s">
        <v>15138</v>
      </c>
      <c r="H7761">
             </c>
      <c r="I7761" t="s">
        <v>14</v>
      </c>
      <c r="J7761" t="s">
        <v>1141</v>
      </c>
      <c r="K7761" t="s">
        <v>85</v>
      </c>
      <c r="L7761" t="s">
        <v>20</v>
      </c>
      <c r="M7761" t="s">
        <v>15045</v>
      </c>
      <c r="N7761" t="s">
        <v>14</v>
      </c>
    </row>
    <row r="7762" x14ac:dyDescent="0.25">
      <c r="A7762" t="n">
        <v>24</v>
      </c>
      <c r="B7762" t="s">
        <v>14</v>
      </c>
      <c r="C7762" t="s">
        <v>22</v>
      </c>
      <c r="D7762" s="2" t="s">
        <f>=HYPERLINK("https://main.knesset.gov.il/APPS/legislation/main/bills/2160150", "הצעת חוק הרב אברהם יצחק הכהן קוק (ציון זכרו ופועלו), התשפ""ב-2022")</f>
        <v>15139</v>
      </c>
      <c r="E7762" t="s">
        <v>15139</v>
      </c>
      <c r="F7762" t="s">
        <v>15140</v>
      </c>
      <c r="G7762" t="s">
        <v>15141</v>
      </c>
      <c r="H7762">
             </c>
      <c r="I7762" t="s">
        <v>14</v>
      </c>
      <c r="J7762" t="s">
        <v>18</v>
      </c>
      <c r="K7762" t="s">
        <v>121</v>
      </c>
      <c r="L7762" t="s">
        <v>20</v>
      </c>
      <c r="M7762" t="s">
        <v>15045</v>
      </c>
      <c r="N7762" t="s">
        <v>14</v>
      </c>
    </row>
    <row r="7763" x14ac:dyDescent="0.25">
      <c r="A7763" t="n">
        <v>24</v>
      </c>
      <c r="B7763" t="s">
        <v>14</v>
      </c>
      <c r="C7763" t="s">
        <v>22</v>
      </c>
      <c r="D7763" s="2" t="s">
        <f>=HYPERLINK("https://main.knesset.gov.il/APPS/legislation/main/bills/2157930", "הצעת חוק ברל כצנלסון (ציון זכרו ופועלו), התשפ""ב-2022")</f>
        <v>15142</v>
      </c>
      <c r="E7763" t="s">
        <v>15142</v>
      </c>
      <c r="F7763" t="s">
        <v>15143</v>
      </c>
      <c r="G7763" t="s">
        <v>15141</v>
      </c>
      <c r="H7763">
             </c>
      <c r="I7763" t="s">
        <v>14</v>
      </c>
      <c r="J7763" t="s">
        <v>5516</v>
      </c>
      <c r="K7763" t="s">
        <v>121</v>
      </c>
      <c r="L7763" t="s">
        <v>20</v>
      </c>
      <c r="M7763" t="s">
        <v>15045</v>
      </c>
      <c r="N7763" t="s">
        <v>14</v>
      </c>
    </row>
    <row r="7764" x14ac:dyDescent="0.25">
      <c r="A7764" t="n">
        <v>24</v>
      </c>
      <c r="B7764" t="s">
        <v>14</v>
      </c>
      <c r="C7764" t="s">
        <v>15</v>
      </c>
      <c r="D7764" s="2" t="s">
        <f>=HYPERLINK("https://main.knesset.gov.il/APPS/legislation/main/bills/2192626", "הצעת חוק להארכת תוקפן של תקנות שעת חירום (יהודה והשומרון – שיפוט בעבירות ועזרה משפטית), התשפ""ב-2022 ")</f>
        <v>14983</v>
      </c>
      <c r="E7764" t="s">
        <v>14983</v>
      </c>
      <c r="F7764" t="s">
        <v>14</v>
      </c>
      <c r="G7764" t="s">
        <v>15144</v>
      </c>
      <c r="H7764">
             </c>
      <c r="I7764" t="s">
        <v>14</v>
      </c>
      <c r="J7764" t="s">
        <v>5516</v>
      </c>
      <c r="K7764" t="s">
        <v>14</v>
      </c>
      <c r="L7764" t="s">
        <v>20</v>
      </c>
      <c r="M7764" t="s">
        <v>15045</v>
      </c>
      <c r="N7764" t="s">
        <v>14</v>
      </c>
    </row>
    <row r="7765" x14ac:dyDescent="0.25">
      <c r="A7765" t="n">
        <v>23</v>
      </c>
      <c r="B7765" t="s">
        <v>14</v>
      </c>
      <c r="C7765" t="s">
        <v>15</v>
      </c>
      <c r="D7765" s="2" t="s">
        <f>=HYPERLINK("https://main.knesset.gov.il/APPS/legislation/main/bills/2143162", "הצעת חוק התאגיד לפיקוח וטרינרי (תיקוני חקיקה), התש""ף-2020")</f>
        <v>15145</v>
      </c>
      <c r="E7765" t="s">
        <v>15145</v>
      </c>
      <c r="F7765" t="s">
        <v>14</v>
      </c>
      <c r="G7765" t="s">
        <v>15146</v>
      </c>
      <c r="H7765">
             </c>
      <c r="I7765" t="s">
        <v>14</v>
      </c>
      <c r="J7765" t="s">
        <v>3653</v>
      </c>
      <c r="K7765" t="s">
        <v>15147</v>
      </c>
      <c r="L7765" t="s">
        <v>20</v>
      </c>
      <c r="M7765" t="s">
        <v>15045</v>
      </c>
      <c r="N7765" t="s">
        <v>14</v>
      </c>
    </row>
    <row r="7766" x14ac:dyDescent="0.25">
      <c r="A7766" t="n">
        <v>24</v>
      </c>
      <c r="B7766" t="s">
        <v>14</v>
      </c>
      <c r="C7766" t="s">
        <v>22</v>
      </c>
      <c r="D7766" s="2" t="s">
        <f>=HYPERLINK("https://main.knesset.gov.il/APPS/legislation/main/bills/2169567", "הצעת חוק קידום התחרות בענף המזון (תיקון - הפיכת הוראת שעה להוראה קבועה), התשפ""ב-2022")</f>
        <v>15148</v>
      </c>
      <c r="E7766" t="s">
        <v>15148</v>
      </c>
      <c r="F7766" t="s">
        <v>15149</v>
      </c>
      <c r="G7766" t="s">
        <v>14</v>
      </c>
      <c r="H7766">
             </c>
      <c r="I7766" t="s">
        <v>14</v>
      </c>
      <c r="J7766" t="s">
        <v>31</v>
      </c>
      <c r="K7766" t="s">
        <v>14</v>
      </c>
      <c r="L7766" t="s">
        <v>20</v>
      </c>
      <c r="M7766" t="s">
        <v>15150</v>
      </c>
      <c r="N7766" t="s">
        <v>14</v>
      </c>
    </row>
    <row r="7767" x14ac:dyDescent="0.25">
      <c r="A7767" t="n">
        <v>24</v>
      </c>
      <c r="B7767" t="s">
        <v>14</v>
      </c>
      <c r="C7767" t="s">
        <v>22</v>
      </c>
      <c r="D7767" s="2" t="s">
        <f>=HYPERLINK("https://main.knesset.gov.il/APPS/legislation/main/bills/2191961", "הצעת חוק סיוע לצעירים חסרי עורף משפחתי, התשפ""ב-2022")</f>
        <v>15151</v>
      </c>
      <c r="E7767" t="s">
        <v>15151</v>
      </c>
      <c r="F7767" t="s">
        <v>15152</v>
      </c>
      <c r="G7767" t="s">
        <v>14</v>
      </c>
      <c r="H7767">
             </c>
      <c r="I7767" t="s">
        <v>14</v>
      </c>
      <c r="J7767" t="s">
        <v>31</v>
      </c>
      <c r="K7767" t="s">
        <v>127</v>
      </c>
      <c r="L7767" t="s">
        <v>20</v>
      </c>
      <c r="M7767" t="s">
        <v>15150</v>
      </c>
      <c r="N7767" t="s">
        <v>14</v>
      </c>
    </row>
    <row r="7768" x14ac:dyDescent="0.25">
      <c r="A7768" t="n">
        <v>24</v>
      </c>
      <c r="B7768" t="s">
        <v>14</v>
      </c>
      <c r="C7768" t="s">
        <v>22</v>
      </c>
      <c r="D7768" s="2" t="s">
        <f>=HYPERLINK("https://main.knesset.gov.il/APPS/legislation/main/bills/2190502", "הצעת חוק צעירים חסרי עורף משפחתי, התשפ""ב-2022")</f>
        <v>15153</v>
      </c>
      <c r="E7768" t="s">
        <v>15153</v>
      </c>
      <c r="F7768" t="s">
        <v>15154</v>
      </c>
      <c r="G7768" t="s">
        <v>14</v>
      </c>
      <c r="H7768">
             </c>
      <c r="I7768" t="s">
        <v>14</v>
      </c>
      <c r="J7768" t="s">
        <v>31</v>
      </c>
      <c r="K7768" t="s">
        <v>127</v>
      </c>
      <c r="L7768" t="s">
        <v>20</v>
      </c>
      <c r="M7768" t="s">
        <v>15150</v>
      </c>
      <c r="N7768" t="s">
        <v>14</v>
      </c>
    </row>
    <row r="7769" x14ac:dyDescent="0.25">
      <c r="A7769" t="n">
        <v>24</v>
      </c>
      <c r="B7769" t="s">
        <v>14</v>
      </c>
      <c r="C7769" t="s">
        <v>22</v>
      </c>
      <c r="D7769" s="2" t="s">
        <f>=HYPERLINK("https://main.knesset.gov.il/APPS/legislation/main/bills/2189988", "הצעת חוק העונשין (תיקון - תקיפת עובד מערך בריאות), התשפ""ב-2022")</f>
        <v>15155</v>
      </c>
      <c r="E7769" t="s">
        <v>15155</v>
      </c>
      <c r="F7769" t="s">
        <v>15156</v>
      </c>
      <c r="G7769" t="s">
        <v>14</v>
      </c>
      <c r="H7769">
             </c>
      <c r="I7769" t="s">
        <v>14</v>
      </c>
      <c r="J7769" t="s">
        <v>31</v>
      </c>
      <c r="K7769" t="s">
        <v>27</v>
      </c>
      <c r="L7769" t="s">
        <v>20</v>
      </c>
      <c r="M7769" t="s">
        <v>15150</v>
      </c>
      <c r="N7769" t="s">
        <v>14</v>
      </c>
    </row>
    <row r="7770" x14ac:dyDescent="0.25">
      <c r="A7770" t="n">
        <v>24</v>
      </c>
      <c r="B7770" t="s">
        <v>14</v>
      </c>
      <c r="C7770" t="s">
        <v>22</v>
      </c>
      <c r="D7770" s="2" t="s">
        <f>=HYPERLINK("https://main.knesset.gov.il/APPS/legislation/main/bills/2169661", "הצעת חוק העונשין (תיקון - החמרת הענישה על עבירות כלפי אנשי צוות רפואי), התשפ""ב-2022")</f>
        <v>14939</v>
      </c>
      <c r="E7770" t="s">
        <v>14939</v>
      </c>
      <c r="F7770" t="s">
        <v>15157</v>
      </c>
      <c r="G7770" t="s">
        <v>14</v>
      </c>
      <c r="H7770">
             </c>
      <c r="I7770" t="s">
        <v>14</v>
      </c>
      <c r="J7770" t="s">
        <v>31</v>
      </c>
      <c r="K7770" t="s">
        <v>27</v>
      </c>
      <c r="L7770" t="s">
        <v>20</v>
      </c>
      <c r="M7770" t="s">
        <v>15150</v>
      </c>
      <c r="N7770" t="s">
        <v>14</v>
      </c>
    </row>
    <row r="7771" x14ac:dyDescent="0.25">
      <c r="A7771" t="n">
        <v>24</v>
      </c>
      <c r="B7771" t="s">
        <v>14</v>
      </c>
      <c r="C7771" t="s">
        <v>22</v>
      </c>
      <c r="D7771" s="2" t="s">
        <f>=HYPERLINK("https://main.knesset.gov.il/APPS/legislation/main/bills/2189517", "הצעת חוק מס ערך מוסף (תיקון - מס בשיעור אפס על תרופות), התשפ""ב-2022")</f>
        <v>15158</v>
      </c>
      <c r="E7771" t="s">
        <v>15158</v>
      </c>
      <c r="F7771" t="s">
        <v>15159</v>
      </c>
      <c r="G7771" t="s">
        <v>14</v>
      </c>
      <c r="H7771">
             </c>
      <c r="I7771" t="s">
        <v>14</v>
      </c>
      <c r="J7771" t="s">
        <v>55</v>
      </c>
      <c r="K7771" t="s">
        <v>14</v>
      </c>
      <c r="L7771" t="s">
        <v>20</v>
      </c>
      <c r="M7771" t="s">
        <v>15150</v>
      </c>
      <c r="N7771" t="s">
        <v>14</v>
      </c>
    </row>
    <row r="7772" x14ac:dyDescent="0.25">
      <c r="A7772" t="n">
        <v>24</v>
      </c>
      <c r="B7772" t="s">
        <v>14</v>
      </c>
      <c r="C7772" t="s">
        <v>22</v>
      </c>
      <c r="D7772" s="2" t="s">
        <f>=HYPERLINK("https://main.knesset.gov.il/APPS/legislation/main/bills/2167037", "הצעת חוק המשטרה (תיקון - התיישנות עבירות), תשפ""ב-2022")</f>
        <v>15160</v>
      </c>
      <c r="E7772" t="s">
        <v>15160</v>
      </c>
      <c r="F7772" t="s">
        <v>15161</v>
      </c>
      <c r="G7772" t="s">
        <v>14</v>
      </c>
      <c r="H7772">
             </c>
      <c r="I7772" t="s">
        <v>14</v>
      </c>
      <c r="J7772" t="s">
        <v>60</v>
      </c>
      <c r="K7772" t="s">
        <v>14</v>
      </c>
      <c r="L7772" t="s">
        <v>20</v>
      </c>
      <c r="M7772" t="s">
        <v>15150</v>
      </c>
      <c r="N7772" t="s">
        <v>14</v>
      </c>
    </row>
    <row r="7773" x14ac:dyDescent="0.25">
      <c r="A7773" t="n">
        <v>24</v>
      </c>
      <c r="B7773" t="s">
        <v>14</v>
      </c>
      <c r="C7773" t="s">
        <v>22</v>
      </c>
      <c r="D7773" s="2" t="s">
        <f>=HYPERLINK("https://main.knesset.gov.il/APPS/legislation/main/bills/2166732", "הצעת חוק העונשין (תיקון - איסור הנפת דגל של מדינת אויב או של הרשות הפלסטינית בגופים המתוקצבים או הנתמכים על ידי המדינה), התשפ""ב-2022")</f>
        <v>15162</v>
      </c>
      <c r="E7773" t="s">
        <v>15162</v>
      </c>
      <c r="F7773" t="s">
        <v>15163</v>
      </c>
      <c r="G7773" t="s">
        <v>14</v>
      </c>
      <c r="H7773">
             </c>
      <c r="I7773" t="s">
        <v>14</v>
      </c>
      <c r="J7773" t="s">
        <v>60</v>
      </c>
      <c r="K7773" t="s">
        <v>14</v>
      </c>
      <c r="L7773" t="s">
        <v>20</v>
      </c>
      <c r="M7773" t="s">
        <v>15150</v>
      </c>
      <c r="N7773" t="s">
        <v>14</v>
      </c>
    </row>
    <row r="7774" x14ac:dyDescent="0.25">
      <c r="A7774" t="n">
        <v>24</v>
      </c>
      <c r="B7774" t="s">
        <v>14</v>
      </c>
      <c r="C7774" t="s">
        <v>22</v>
      </c>
      <c r="D7774" s="2" t="s">
        <f>=HYPERLINK("https://main.knesset.gov.il/APPS/legislation/main/bills/2168052", "הצעת חוק הביטוח הלאומי (תיקון - אבטחה במוסד רפואי כעבודה מועדפת), התשפ""ב-2022")</f>
        <v>15164</v>
      </c>
      <c r="E7774" t="s">
        <v>15164</v>
      </c>
      <c r="F7774" t="s">
        <v>15165</v>
      </c>
      <c r="G7774" t="s">
        <v>14</v>
      </c>
      <c r="H7774">
             </c>
      <c r="I7774" t="s">
        <v>14</v>
      </c>
      <c r="J7774" t="s">
        <v>55</v>
      </c>
      <c r="K7774" t="s">
        <v>14</v>
      </c>
      <c r="L7774" t="s">
        <v>20</v>
      </c>
      <c r="M7774" t="s">
        <v>15150</v>
      </c>
      <c r="N7774" t="s">
        <v>14</v>
      </c>
    </row>
    <row r="7775" x14ac:dyDescent="0.25">
      <c r="A7775" t="n">
        <v>24</v>
      </c>
      <c r="B7775" t="s">
        <v>14</v>
      </c>
      <c r="C7775" t="s">
        <v>22</v>
      </c>
      <c r="D7775" s="2" t="s">
        <f>=HYPERLINK("https://main.knesset.gov.il/APPS/legislation/main/bills/2166363", "הצעת חוק העונשין (תיקון - עבירה כלפי קשיש או חסר ישע), התשפ""ב-2022")</f>
        <v>15166</v>
      </c>
      <c r="E7775" t="s">
        <v>15166</v>
      </c>
      <c r="F7775" t="s">
        <v>15167</v>
      </c>
      <c r="G7775" t="s">
        <v>14</v>
      </c>
      <c r="H7775">
             </c>
      <c r="I7775" t="s">
        <v>14</v>
      </c>
      <c r="J7775" t="s">
        <v>55</v>
      </c>
      <c r="K7775" t="s">
        <v>14</v>
      </c>
      <c r="L7775" t="s">
        <v>20</v>
      </c>
      <c r="M7775" t="s">
        <v>15150</v>
      </c>
      <c r="N7775" t="s">
        <v>14</v>
      </c>
    </row>
    <row r="7776" x14ac:dyDescent="0.25">
      <c r="A7776" t="n">
        <v>24</v>
      </c>
      <c r="B7776" t="s">
        <v>14</v>
      </c>
      <c r="C7776" t="s">
        <v>22</v>
      </c>
      <c r="D7776" s="2" t="s">
        <f>=HYPERLINK("https://main.knesset.gov.il/APPS/legislation/main/bills/2166663", "הצעת חוק טובות הנאה לראש ממשלה או ראש ממשלה חלופי שחדל לכהן, התשפ""ב-2021")</f>
        <v>15168</v>
      </c>
      <c r="E7776" t="s">
        <v>15168</v>
      </c>
      <c r="F7776" t="s">
        <v>15169</v>
      </c>
      <c r="G7776" t="s">
        <v>14</v>
      </c>
      <c r="H7776">
             </c>
      <c r="I7776" t="s">
        <v>14</v>
      </c>
      <c r="J7776" t="s">
        <v>55</v>
      </c>
      <c r="K7776" t="s">
        <v>14</v>
      </c>
      <c r="L7776" t="s">
        <v>20</v>
      </c>
      <c r="M7776" t="s">
        <v>15150</v>
      </c>
      <c r="N7776" t="s">
        <v>14</v>
      </c>
    </row>
    <row r="7777" x14ac:dyDescent="0.25">
      <c r="A7777" t="n">
        <v>24</v>
      </c>
      <c r="B7777" t="s">
        <v>14</v>
      </c>
      <c r="C7777" t="s">
        <v>22</v>
      </c>
      <c r="D7777" s="2" t="s">
        <f>=HYPERLINK("https://main.knesset.gov.il/APPS/legislation/main/bills/2165252", "הצעת חוק הביטוח הלאומי (תיקון - אבטחה במוסד רפואי כעבודה מועדפת), התשפ""ב-2021")</f>
        <v>15170</v>
      </c>
      <c r="E7777" t="s">
        <v>15170</v>
      </c>
      <c r="F7777" t="s">
        <v>15171</v>
      </c>
      <c r="G7777" t="s">
        <v>14</v>
      </c>
      <c r="H7777">
             </c>
      <c r="I7777" t="s">
        <v>14</v>
      </c>
      <c r="J7777" t="s">
        <v>55</v>
      </c>
      <c r="K7777" t="s">
        <v>14</v>
      </c>
      <c r="L7777" t="s">
        <v>20</v>
      </c>
      <c r="M7777" t="s">
        <v>15150</v>
      </c>
      <c r="N7777" t="s">
        <v>14</v>
      </c>
    </row>
    <row r="7778" x14ac:dyDescent="0.25">
      <c r="A7778" t="n">
        <v>24</v>
      </c>
      <c r="B7778" t="s">
        <v>14</v>
      </c>
      <c r="C7778" t="s">
        <v>22</v>
      </c>
      <c r="D7778" s="2" t="s">
        <f>=HYPERLINK("https://main.knesset.gov.il/APPS/legislation/main/bills/2158530", "הצעת חוק העונשין (תיקון - חוק עונש מוות למחבלים), התשפ""ב-2021")</f>
        <v>15172</v>
      </c>
      <c r="E7778" t="s">
        <v>15172</v>
      </c>
      <c r="F7778" t="s">
        <v>15173</v>
      </c>
      <c r="G7778" t="s">
        <v>14</v>
      </c>
      <c r="H7778">
             </c>
      <c r="I7778" t="s">
        <v>14</v>
      </c>
      <c r="J7778" t="s">
        <v>55</v>
      </c>
      <c r="K7778" t="s">
        <v>14</v>
      </c>
      <c r="L7778" t="s">
        <v>20</v>
      </c>
      <c r="M7778" t="s">
        <v>15150</v>
      </c>
      <c r="N7778" t="s">
        <v>14</v>
      </c>
    </row>
    <row r="7779" x14ac:dyDescent="0.25">
      <c r="A7779" t="n">
        <v>24</v>
      </c>
      <c r="B7779" t="s">
        <v>14</v>
      </c>
      <c r="C7779" t="s">
        <v>22</v>
      </c>
      <c r="D7779" s="2" t="s">
        <f>=HYPERLINK("https://main.knesset.gov.il/APPS/legislation/main/bills/2163178", "הצעת חוק לשיפור השירות במגזר הציבורי, התשפ""ב-2021")</f>
        <v>15174</v>
      </c>
      <c r="E7779" t="s">
        <v>15174</v>
      </c>
      <c r="F7779" t="s">
        <v>15175</v>
      </c>
      <c r="G7779" t="s">
        <v>14</v>
      </c>
      <c r="H7779">
             </c>
      <c r="I7779" t="s">
        <v>14</v>
      </c>
      <c r="J7779" t="s">
        <v>55</v>
      </c>
      <c r="K7779" t="s">
        <v>14</v>
      </c>
      <c r="L7779" t="s">
        <v>20</v>
      </c>
      <c r="M7779" t="s">
        <v>15150</v>
      </c>
      <c r="N7779" t="s">
        <v>14</v>
      </c>
    </row>
    <row r="7780" x14ac:dyDescent="0.25">
      <c r="A7780" t="n">
        <v>24</v>
      </c>
      <c r="B7780" t="s">
        <v>14</v>
      </c>
      <c r="C7780" t="s">
        <v>22</v>
      </c>
      <c r="D7780" s="2" t="s">
        <f>=HYPERLINK("https://main.knesset.gov.il/APPS/legislation/main/bills/2161001", "הצעת חוק להפחתת סכום הפיצוי הכספי בשל נסיעה ללא תיקוף כרטיס בתחבורה ציבורית (תיקוני חקיקה), התשפ""א-2021")</f>
        <v>15176</v>
      </c>
      <c r="E7780" t="s">
        <v>15176</v>
      </c>
      <c r="F7780" t="s">
        <v>15177</v>
      </c>
      <c r="G7780" t="s">
        <v>14</v>
      </c>
      <c r="H7780">
             </c>
      <c r="I7780" t="s">
        <v>14</v>
      </c>
      <c r="J7780" t="s">
        <v>31</v>
      </c>
      <c r="K7780" t="s">
        <v>19</v>
      </c>
      <c r="L7780" t="s">
        <v>20</v>
      </c>
      <c r="M7780" t="s">
        <v>15150</v>
      </c>
      <c r="N7780" t="s">
        <v>14</v>
      </c>
    </row>
    <row r="7781" x14ac:dyDescent="0.25">
      <c r="A7781" t="n">
        <v>24</v>
      </c>
      <c r="B7781" t="s">
        <v>14</v>
      </c>
      <c r="C7781" t="s">
        <v>22</v>
      </c>
      <c r="D7781" s="2" t="s">
        <f>=HYPERLINK("https://main.knesset.gov.il/APPS/legislation/main/bills/2159068", "הצעת חוק סיוע לבוגרי מסגרת השמה חוץ ביתית, התשפ""א-2021")</f>
        <v>15178</v>
      </c>
      <c r="E7781" t="s">
        <v>15178</v>
      </c>
      <c r="F7781" t="s">
        <v>15179</v>
      </c>
      <c r="G7781" t="s">
        <v>14</v>
      </c>
      <c r="H7781">
             </c>
      <c r="I7781" t="s">
        <v>14</v>
      </c>
      <c r="J7781" t="s">
        <v>31</v>
      </c>
      <c r="K7781" t="s">
        <v>127</v>
      </c>
      <c r="L7781" t="s">
        <v>20</v>
      </c>
      <c r="M7781" t="s">
        <v>15150</v>
      </c>
      <c r="N7781" t="s">
        <v>14</v>
      </c>
    </row>
    <row r="7782" x14ac:dyDescent="0.25">
      <c r="A7782" t="n">
        <v>24</v>
      </c>
      <c r="B7782" t="s">
        <v>14</v>
      </c>
      <c r="C7782" t="s">
        <v>15</v>
      </c>
      <c r="D7782" s="2" t="s">
        <f>=HYPERLINK("https://main.knesset.gov.il/APPS/legislation/main/bills/2193152", "הצעת חוק משק הגז הטבעי (תיקון מס' 12) (אישור בהליך מהיר של מיתקן גז טבעי ברשת חלוקה), התשפ""ב-2022 ")</f>
        <v>15180</v>
      </c>
      <c r="E7782" t="s">
        <v>15180</v>
      </c>
      <c r="F7782" t="s">
        <v>14</v>
      </c>
      <c r="G7782" t="s">
        <v>15181</v>
      </c>
      <c r="H7782">
             </c>
      <c r="I7782" t="s">
        <v>14</v>
      </c>
      <c r="J7782" t="s">
        <v>69</v>
      </c>
      <c r="K7782" t="s">
        <v>14</v>
      </c>
      <c r="L7782" t="s">
        <v>20</v>
      </c>
      <c r="M7782" t="s">
        <v>15150</v>
      </c>
      <c r="N7782" t="s">
        <v>14</v>
      </c>
    </row>
    <row r="7783" x14ac:dyDescent="0.25">
      <c r="A7783" t="n">
        <v>24</v>
      </c>
      <c r="B7783" t="s">
        <v>14</v>
      </c>
      <c r="C7783" t="s">
        <v>15</v>
      </c>
      <c r="D7783" s="2" t="s">
        <f>=HYPERLINK("https://main.knesset.gov.il/APPS/legislation/main/bills/2163828", "הצעת חוק לתיקון פקודת סדר הדין הפלילי (מעצר וחיפוש) (עילות חיפוש בלא צו בית משפט) (הוראת שעה), התשפ""ב-2021")</f>
        <v>15182</v>
      </c>
      <c r="E7783" t="s">
        <v>15182</v>
      </c>
      <c r="F7783" t="s">
        <v>14</v>
      </c>
      <c r="G7783" t="s">
        <v>15183</v>
      </c>
      <c r="H7783">
             </c>
      <c r="I7783" t="s">
        <v>14</v>
      </c>
      <c r="J7783" t="s">
        <v>18</v>
      </c>
      <c r="K7783" t="s">
        <v>27</v>
      </c>
      <c r="L7783" t="s">
        <v>20</v>
      </c>
      <c r="M7783" t="s">
        <v>15184</v>
      </c>
      <c r="N7783" t="s">
        <v>14</v>
      </c>
    </row>
    <row r="7784" x14ac:dyDescent="0.25">
      <c r="A7784" t="n">
        <v>24</v>
      </c>
      <c r="B7784" t="s">
        <v>14</v>
      </c>
      <c r="C7784" t="s">
        <v>22</v>
      </c>
      <c r="D7784" s="2" t="s">
        <f>=HYPERLINK("https://main.knesset.gov.il/APPS/legislation/main/bills/2164323", "הצעת חוק הביטוח הלאומי (תיקון - תנאי זכאות לדמי לידה), התשפ""ב-2021")</f>
        <v>15185</v>
      </c>
      <c r="E7784" t="s">
        <v>15185</v>
      </c>
      <c r="F7784" t="s">
        <v>15186</v>
      </c>
      <c r="G7784" t="s">
        <v>14</v>
      </c>
      <c r="H7784">
             </c>
      <c r="I7784" t="s">
        <v>14</v>
      </c>
      <c r="J7784" t="s">
        <v>99</v>
      </c>
      <c r="K7784" t="s">
        <v>127</v>
      </c>
      <c r="L7784" t="s">
        <v>20</v>
      </c>
      <c r="M7784" t="s">
        <v>15184</v>
      </c>
      <c r="N7784" t="s">
        <v>14</v>
      </c>
    </row>
    <row r="7785" x14ac:dyDescent="0.25">
      <c r="A7785" t="n">
        <v>24</v>
      </c>
      <c r="B7785" t="s">
        <v>14</v>
      </c>
      <c r="C7785" t="s">
        <v>22</v>
      </c>
      <c r="D7785" s="2" t="s">
        <f>=HYPERLINK("https://main.knesset.gov.il/APPS/legislation/main/bills/2156293", "חוק כבילת עצורים ואסירים (חובת יידוע) (תיקוני חקיקה), התשפ""ב–2022")</f>
        <v>15187</v>
      </c>
      <c r="E7785" t="s">
        <v>15187</v>
      </c>
      <c r="F7785" t="s">
        <v>15188</v>
      </c>
      <c r="G7785" t="s">
        <v>15189</v>
      </c>
      <c r="H7785" t="n">
        <v>2975</v>
      </c>
      <c r="I7785" t="s">
        <v>14</v>
      </c>
      <c r="J7785" t="s">
        <v>91</v>
      </c>
      <c r="K7785" t="s">
        <v>14336</v>
      </c>
      <c r="L7785" t="s">
        <v>20</v>
      </c>
      <c r="M7785" t="s">
        <v>15184</v>
      </c>
      <c r="N7785" t="s">
        <v>15190</v>
      </c>
    </row>
    <row r="7786" x14ac:dyDescent="0.25">
      <c r="A7786" t="n">
        <v>24</v>
      </c>
      <c r="B7786" t="s">
        <v>14</v>
      </c>
      <c r="C7786" t="s">
        <v>22</v>
      </c>
      <c r="D7786" s="2" t="s">
        <f>=HYPERLINK("https://main.knesset.gov.il/APPS/legislation/main/bills/2157495", "חוק איסור פרסומת והגבלת השיווק של מוצרי טבק ועישון (תיקון מס' 8), התשפ""ב–2022")</f>
        <v>15191</v>
      </c>
      <c r="E7786" t="s">
        <v>15191</v>
      </c>
      <c r="F7786" t="s">
        <v>15192</v>
      </c>
      <c r="G7786" t="s">
        <v>14541</v>
      </c>
      <c r="H7786" t="n">
        <v>2974</v>
      </c>
      <c r="I7786" t="s">
        <v>14</v>
      </c>
      <c r="J7786" t="s">
        <v>91</v>
      </c>
      <c r="K7786" t="s">
        <v>19</v>
      </c>
      <c r="L7786" t="s">
        <v>20</v>
      </c>
      <c r="M7786" t="s">
        <v>15184</v>
      </c>
      <c r="N7786" t="s">
        <v>15193</v>
      </c>
    </row>
    <row r="7787" x14ac:dyDescent="0.25">
      <c r="A7787" t="n">
        <v>24</v>
      </c>
      <c r="B7787" t="s">
        <v>14</v>
      </c>
      <c r="C7787" t="s">
        <v>22</v>
      </c>
      <c r="D7787" s="2" t="s">
        <f>=HYPERLINK("https://main.knesset.gov.il/APPS/legislation/main/bills/2161234", "הצעת חוק שידורי טלוויזיה (כתוביות ושפת סימנים) (תיקון מס' 10) (הודעות חירום מונגשות), התשפ""ב–2022")</f>
        <v>15194</v>
      </c>
      <c r="E7787" t="s">
        <v>15194</v>
      </c>
      <c r="F7787" t="s">
        <v>15195</v>
      </c>
      <c r="G7787" t="s">
        <v>15196</v>
      </c>
      <c r="H7787">
             </c>
      <c r="I7787" t="s">
        <v>14</v>
      </c>
      <c r="J7787" t="s">
        <v>18</v>
      </c>
      <c r="K7787" t="s">
        <v>127</v>
      </c>
      <c r="L7787" t="s">
        <v>20</v>
      </c>
      <c r="M7787" t="s">
        <v>15184</v>
      </c>
      <c r="N7787" t="s">
        <v>14</v>
      </c>
    </row>
    <row r="7788" x14ac:dyDescent="0.25">
      <c r="A7788" t="n">
        <v>24</v>
      </c>
      <c r="B7788" t="s">
        <v>14</v>
      </c>
      <c r="C7788" t="s">
        <v>22</v>
      </c>
      <c r="D7788" s="2" t="s">
        <f>=HYPERLINK("https://main.knesset.gov.il/APPS/legislation/main/bills/2167842", "הצעת חוק עבודת נשים (תיקון - הגנה על עובדת מפני הליכי פיטורים), התשפ""ב-2022")</f>
        <v>15197</v>
      </c>
      <c r="E7788" t="s">
        <v>15197</v>
      </c>
      <c r="F7788" t="s">
        <v>15198</v>
      </c>
      <c r="G7788" t="s">
        <v>14</v>
      </c>
      <c r="H7788">
             </c>
      <c r="I7788" t="s">
        <v>14</v>
      </c>
      <c r="J7788" t="s">
        <v>31</v>
      </c>
      <c r="K7788" t="s">
        <v>127</v>
      </c>
      <c r="L7788" t="s">
        <v>20</v>
      </c>
      <c r="M7788" t="s">
        <v>15199</v>
      </c>
      <c r="N7788" t="s">
        <v>14</v>
      </c>
    </row>
    <row r="7789" x14ac:dyDescent="0.25">
      <c r="A7789" t="n">
        <v>24</v>
      </c>
      <c r="B7789" t="s">
        <v>14</v>
      </c>
      <c r="C7789" t="s">
        <v>22</v>
      </c>
      <c r="D7789" s="2" t="s">
        <f>=HYPERLINK("https://main.knesset.gov.il/APPS/legislation/main/bills/2168048", "הצעת חוק הבנקאות (שירות ללקוח) (תיקון - העברת משכנתה בין בנקים), התשפ""ב-2022")</f>
        <v>15200</v>
      </c>
      <c r="E7789" t="s">
        <v>15200</v>
      </c>
      <c r="F7789" t="s">
        <v>15201</v>
      </c>
      <c r="G7789" t="s">
        <v>14</v>
      </c>
      <c r="H7789">
             </c>
      <c r="I7789" t="s">
        <v>14</v>
      </c>
      <c r="J7789" t="s">
        <v>31</v>
      </c>
      <c r="K7789" t="s">
        <v>19</v>
      </c>
      <c r="L7789" t="s">
        <v>20</v>
      </c>
      <c r="M7789" t="s">
        <v>15199</v>
      </c>
      <c r="N7789" t="s">
        <v>14</v>
      </c>
    </row>
    <row r="7790" x14ac:dyDescent="0.25">
      <c r="A7790" t="n">
        <v>24</v>
      </c>
      <c r="B7790" t="s">
        <v>14</v>
      </c>
      <c r="C7790" t="s">
        <v>22</v>
      </c>
      <c r="D7790" s="2" t="s">
        <f>=HYPERLINK("https://main.knesset.gov.il/APPS/legislation/main/bills/2162550", "הצעת חוק עבודת נשים (תיקון - הגנה על עובדת מפני הליכי פיטורים), התשפ""ב-2021")</f>
        <v>15202</v>
      </c>
      <c r="E7790" t="s">
        <v>15202</v>
      </c>
      <c r="F7790" t="s">
        <v>15203</v>
      </c>
      <c r="G7790" t="s">
        <v>14</v>
      </c>
      <c r="H7790">
             </c>
      <c r="I7790" t="s">
        <v>14</v>
      </c>
      <c r="J7790" t="s">
        <v>31</v>
      </c>
      <c r="K7790" t="s">
        <v>127</v>
      </c>
      <c r="L7790" t="s">
        <v>20</v>
      </c>
      <c r="M7790" t="s">
        <v>15199</v>
      </c>
      <c r="N7790" t="s">
        <v>14</v>
      </c>
    </row>
    <row r="7791" x14ac:dyDescent="0.25">
      <c r="A7791" t="n">
        <v>24</v>
      </c>
      <c r="B7791" t="s">
        <v>14</v>
      </c>
      <c r="C7791" t="s">
        <v>22</v>
      </c>
      <c r="D7791" s="2" t="s">
        <f>=HYPERLINK("https://main.knesset.gov.il/APPS/legislation/main/bills/2165288", "הצעת חוק הגנת השכר (תיקון - פנקס שכר, תלוש שכר וגליון אלקטרוני), התשפ""ב-2021")</f>
        <v>15204</v>
      </c>
      <c r="E7791" t="s">
        <v>15204</v>
      </c>
      <c r="F7791" t="s">
        <v>15205</v>
      </c>
      <c r="G7791" t="s">
        <v>14</v>
      </c>
      <c r="H7791">
             </c>
      <c r="I7791" t="s">
        <v>14</v>
      </c>
      <c r="J7791" t="s">
        <v>31</v>
      </c>
      <c r="K7791" t="s">
        <v>127</v>
      </c>
      <c r="L7791" t="s">
        <v>20</v>
      </c>
      <c r="M7791" t="s">
        <v>15199</v>
      </c>
      <c r="N7791" t="s">
        <v>14</v>
      </c>
    </row>
    <row r="7792" x14ac:dyDescent="0.25">
      <c r="A7792" t="n">
        <v>24</v>
      </c>
      <c r="B7792" t="s">
        <v>14</v>
      </c>
      <c r="C7792" t="s">
        <v>22</v>
      </c>
      <c r="D7792" s="2" t="s">
        <f>=HYPERLINK("https://main.knesset.gov.il/APPS/legislation/main/bills/2163188", "הצעת חוק פיצוי עסקים קטנים בשל אירועי איבה מתמשכים או מצב חירום כלכלי, התשפ""ב-2021")</f>
        <v>15206</v>
      </c>
      <c r="E7792" t="s">
        <v>15206</v>
      </c>
      <c r="F7792" t="s">
        <v>15207</v>
      </c>
      <c r="G7792" t="s">
        <v>14</v>
      </c>
      <c r="H7792">
             </c>
      <c r="I7792" t="s">
        <v>14</v>
      </c>
      <c r="J7792" t="s">
        <v>31</v>
      </c>
      <c r="K7792" t="s">
        <v>19</v>
      </c>
      <c r="L7792" t="s">
        <v>20</v>
      </c>
      <c r="M7792" t="s">
        <v>15199</v>
      </c>
      <c r="N7792" t="s">
        <v>14</v>
      </c>
    </row>
    <row r="7793" x14ac:dyDescent="0.25">
      <c r="A7793" t="n">
        <v>24</v>
      </c>
      <c r="B7793" t="s">
        <v>14</v>
      </c>
      <c r="C7793" t="s">
        <v>22</v>
      </c>
      <c r="D7793" s="2" t="s">
        <f>=HYPERLINK("https://main.knesset.gov.il/APPS/legislation/main/bills/2159513", "הצעת חוק סיוע למשפחות ברוכות ילדים (תיקוני חקיקה), התשפ""א-2021")</f>
        <v>15208</v>
      </c>
      <c r="E7793" t="s">
        <v>15208</v>
      </c>
      <c r="F7793" t="s">
        <v>15209</v>
      </c>
      <c r="G7793" t="s">
        <v>14</v>
      </c>
      <c r="H7793">
             </c>
      <c r="I7793" t="s">
        <v>14</v>
      </c>
      <c r="J7793" t="s">
        <v>60</v>
      </c>
      <c r="K7793" t="s">
        <v>14</v>
      </c>
      <c r="L7793" t="s">
        <v>20</v>
      </c>
      <c r="M7793" t="s">
        <v>15199</v>
      </c>
      <c r="N7793" t="s">
        <v>14</v>
      </c>
    </row>
    <row r="7794" x14ac:dyDescent="0.25">
      <c r="A7794" t="n">
        <v>24</v>
      </c>
      <c r="B7794" t="s">
        <v>14</v>
      </c>
      <c r="C7794" t="s">
        <v>22</v>
      </c>
      <c r="D7794" s="2" t="s">
        <f>=HYPERLINK("https://main.knesset.gov.il/APPS/legislation/main/bills/2156195", "הצעת חוק להגדלת שיעור ההשתתפות בכוח העבודה ולצמצום פערים חברתיים (מענק עבודה) (תיקון - גיל העובד), התשפ""א-2021")</f>
        <v>15210</v>
      </c>
      <c r="E7794" t="s">
        <v>15210</v>
      </c>
      <c r="F7794" t="s">
        <v>15211</v>
      </c>
      <c r="G7794" t="s">
        <v>14</v>
      </c>
      <c r="H7794">
             </c>
      <c r="I7794" t="s">
        <v>14</v>
      </c>
      <c r="J7794" t="s">
        <v>31</v>
      </c>
      <c r="K7794" t="s">
        <v>85</v>
      </c>
      <c r="L7794" t="s">
        <v>20</v>
      </c>
      <c r="M7794" t="s">
        <v>15199</v>
      </c>
      <c r="N7794" t="s">
        <v>14</v>
      </c>
    </row>
    <row r="7795" x14ac:dyDescent="0.25">
      <c r="A7795" t="n">
        <v>24</v>
      </c>
      <c r="B7795" t="s">
        <v>14</v>
      </c>
      <c r="C7795" t="s">
        <v>22</v>
      </c>
      <c r="D7795" s="2" t="s">
        <f>=HYPERLINK("https://main.knesset.gov.il/APPS/legislation/main/bills/2156172", "הצעת חוק הגנת הצרכן (תיקון - פריסת תשלומים בעסקה מתמשכת), התשפ""א-2021")</f>
        <v>15212</v>
      </c>
      <c r="E7795" t="s">
        <v>15212</v>
      </c>
      <c r="F7795" t="s">
        <v>15213</v>
      </c>
      <c r="G7795" t="s">
        <v>14</v>
      </c>
      <c r="H7795">
             </c>
      <c r="I7795" t="s">
        <v>14</v>
      </c>
      <c r="J7795" t="s">
        <v>31</v>
      </c>
      <c r="K7795" t="s">
        <v>19</v>
      </c>
      <c r="L7795" t="s">
        <v>20</v>
      </c>
      <c r="M7795" t="s">
        <v>15199</v>
      </c>
      <c r="N7795" t="s">
        <v>14</v>
      </c>
    </row>
    <row r="7796" x14ac:dyDescent="0.25">
      <c r="A7796" t="n">
        <v>24</v>
      </c>
      <c r="B7796" t="s">
        <v>14</v>
      </c>
      <c r="C7796" t="s">
        <v>22</v>
      </c>
      <c r="D7796" s="2" t="s">
        <f>=HYPERLINK("https://main.knesset.gov.il/APPS/legislation/main/bills/2157409", "הצעת חוק צירוף משפחות נפגעי טרור כצד להליך המשפטי (תיקוני חקיקה), התשפ""א-2021")</f>
        <v>15214</v>
      </c>
      <c r="E7796" t="s">
        <v>15214</v>
      </c>
      <c r="F7796" t="s">
        <v>15215</v>
      </c>
      <c r="G7796" t="s">
        <v>14</v>
      </c>
      <c r="H7796">
             </c>
      <c r="I7796" t="s">
        <v>14</v>
      </c>
      <c r="J7796" t="s">
        <v>31</v>
      </c>
      <c r="K7796" t="s">
        <v>114</v>
      </c>
      <c r="L7796" t="s">
        <v>20</v>
      </c>
      <c r="M7796" t="s">
        <v>15199</v>
      </c>
      <c r="N7796" t="s">
        <v>14</v>
      </c>
    </row>
    <row r="7797" x14ac:dyDescent="0.25">
      <c r="A7797" t="n">
        <v>24</v>
      </c>
      <c r="B7797" t="s">
        <v>14</v>
      </c>
      <c r="C7797" t="s">
        <v>22</v>
      </c>
      <c r="D7797" s="2" t="s">
        <f>=HYPERLINK("https://main.knesset.gov.il/APPS/legislation/main/bills/2156889", "הצעת חוק יישובים ושכונות בהליכי הסדרה, התשפ""א-2021")</f>
        <v>15216</v>
      </c>
      <c r="E7797" t="s">
        <v>15216</v>
      </c>
      <c r="F7797" t="s">
        <v>15217</v>
      </c>
      <c r="G7797" t="s">
        <v>14</v>
      </c>
      <c r="H7797">
             </c>
      <c r="I7797" t="s">
        <v>14</v>
      </c>
      <c r="J7797" t="s">
        <v>31</v>
      </c>
      <c r="K7797" t="s">
        <v>27</v>
      </c>
      <c r="L7797" t="s">
        <v>20</v>
      </c>
      <c r="M7797" t="s">
        <v>15199</v>
      </c>
      <c r="N7797" t="s">
        <v>14</v>
      </c>
    </row>
    <row r="7798" x14ac:dyDescent="0.25">
      <c r="A7798" t="n">
        <v>24</v>
      </c>
      <c r="B7798" t="s">
        <v>14</v>
      </c>
      <c r="C7798" t="s">
        <v>22</v>
      </c>
      <c r="D7798" s="2" t="s">
        <f>=HYPERLINK("https://main.knesset.gov.il/APPS/legislation/main/bills/2156593", "הצעת חוק יישובים ושכונות בהליכי הסדרה, התשפ""א-2021")</f>
        <v>15216</v>
      </c>
      <c r="E7798" t="s">
        <v>15216</v>
      </c>
      <c r="F7798" t="s">
        <v>15218</v>
      </c>
      <c r="G7798" t="s">
        <v>14</v>
      </c>
      <c r="H7798">
             </c>
      <c r="I7798" t="s">
        <v>14</v>
      </c>
      <c r="J7798" t="s">
        <v>31</v>
      </c>
      <c r="K7798" t="s">
        <v>27</v>
      </c>
      <c r="L7798" t="s">
        <v>20</v>
      </c>
      <c r="M7798" t="s">
        <v>15199</v>
      </c>
      <c r="N7798" t="s">
        <v>14</v>
      </c>
    </row>
    <row r="7799" x14ac:dyDescent="0.25">
      <c r="A7799" t="n">
        <v>24</v>
      </c>
      <c r="B7799" t="s">
        <v>14</v>
      </c>
      <c r="C7799" t="s">
        <v>22</v>
      </c>
      <c r="D7799" s="2" t="s">
        <f>=HYPERLINK("https://main.knesset.gov.il/APPS/legislation/main/bills/2156088", "הצעת חוק יישובים ושכונות בהליכי הסדרה, התשפ""א-2021")</f>
        <v>15216</v>
      </c>
      <c r="E7799" t="s">
        <v>15216</v>
      </c>
      <c r="F7799" t="s">
        <v>15219</v>
      </c>
      <c r="G7799" t="s">
        <v>14</v>
      </c>
      <c r="H7799">
             </c>
      <c r="I7799" t="s">
        <v>14</v>
      </c>
      <c r="J7799" t="s">
        <v>31</v>
      </c>
      <c r="K7799" t="s">
        <v>27</v>
      </c>
      <c r="L7799" t="s">
        <v>20</v>
      </c>
      <c r="M7799" t="s">
        <v>15199</v>
      </c>
      <c r="N7799" t="s">
        <v>14</v>
      </c>
    </row>
    <row r="7800" x14ac:dyDescent="0.25">
      <c r="A7800" t="n">
        <v>24</v>
      </c>
      <c r="B7800" t="s">
        <v>14</v>
      </c>
      <c r="C7800" t="s">
        <v>22</v>
      </c>
      <c r="D7800" s="2" t="s">
        <f>=HYPERLINK("https://main.knesset.gov.il/APPS/legislation/main/bills/2156175", "הצעת חוק יישום תכנית ההתנתקות (תיקון - ביטול סעיפי הפינוי ושינוי שם החוק), התשפ""א-2021")</f>
        <v>15220</v>
      </c>
      <c r="E7800" t="s">
        <v>15220</v>
      </c>
      <c r="F7800" t="s">
        <v>15221</v>
      </c>
      <c r="G7800" t="s">
        <v>14</v>
      </c>
      <c r="H7800">
             </c>
      <c r="I7800" t="s">
        <v>14</v>
      </c>
      <c r="J7800" t="s">
        <v>31</v>
      </c>
      <c r="K7800" t="s">
        <v>114</v>
      </c>
      <c r="L7800" t="s">
        <v>20</v>
      </c>
      <c r="M7800" t="s">
        <v>15199</v>
      </c>
      <c r="N7800" t="s">
        <v>14</v>
      </c>
    </row>
    <row r="7801" x14ac:dyDescent="0.25">
      <c r="A7801" t="n">
        <v>24</v>
      </c>
      <c r="B7801" t="s">
        <v>14</v>
      </c>
      <c r="C7801" t="s">
        <v>22</v>
      </c>
      <c r="D7801" s="2" t="s">
        <f>=HYPERLINK("https://main.knesset.gov.il/APPS/legislation/main/bills/2156970", "הצעת חוק מענה טלפוני אנושי לאזרח ותיק (תיקוני חקיקה), התשפ""א-2021")</f>
        <v>15222</v>
      </c>
      <c r="E7801" t="s">
        <v>15222</v>
      </c>
      <c r="F7801" t="s">
        <v>15223</v>
      </c>
      <c r="G7801" t="s">
        <v>14</v>
      </c>
      <c r="H7801">
             </c>
      <c r="I7801" t="s">
        <v>14</v>
      </c>
      <c r="J7801" t="s">
        <v>31</v>
      </c>
      <c r="K7801" t="s">
        <v>19</v>
      </c>
      <c r="L7801" t="s">
        <v>20</v>
      </c>
      <c r="M7801" t="s">
        <v>15199</v>
      </c>
      <c r="N7801" t="s">
        <v>14</v>
      </c>
    </row>
    <row r="7802" x14ac:dyDescent="0.25">
      <c r="A7802" t="n">
        <v>24</v>
      </c>
      <c r="B7802" t="s">
        <v>14</v>
      </c>
      <c r="C7802" t="s">
        <v>22</v>
      </c>
      <c r="D7802" s="2" t="s">
        <f>=HYPERLINK("https://main.knesset.gov.il/APPS/legislation/main/bills/2156258", "הצעת חוק משק החשמל (תיקון - גביית תשלומים), התשפ""א-2021")</f>
        <v>15224</v>
      </c>
      <c r="E7802" t="s">
        <v>15224</v>
      </c>
      <c r="F7802" t="s">
        <v>15225</v>
      </c>
      <c r="G7802" t="s">
        <v>14</v>
      </c>
      <c r="H7802">
             </c>
      <c r="I7802" t="s">
        <v>14</v>
      </c>
      <c r="J7802" t="s">
        <v>31</v>
      </c>
      <c r="K7802" t="s">
        <v>19</v>
      </c>
      <c r="L7802" t="s">
        <v>20</v>
      </c>
      <c r="M7802" t="s">
        <v>15199</v>
      </c>
      <c r="N7802" t="s">
        <v>14</v>
      </c>
    </row>
    <row r="7803" x14ac:dyDescent="0.25">
      <c r="A7803" t="n">
        <v>24</v>
      </c>
      <c r="B7803" t="s">
        <v>14</v>
      </c>
      <c r="C7803" t="s">
        <v>22</v>
      </c>
      <c r="D7803" s="2" t="s">
        <f>=HYPERLINK("https://main.knesset.gov.il/APPS/legislation/main/bills/2156748", "הצעת חוק סייעות במוסדות חינוך, התשפ""א-2021")</f>
        <v>15226</v>
      </c>
      <c r="E7803" t="s">
        <v>15226</v>
      </c>
      <c r="F7803" t="s">
        <v>15227</v>
      </c>
      <c r="G7803" t="s">
        <v>14</v>
      </c>
      <c r="H7803">
             </c>
      <c r="I7803" t="s">
        <v>14</v>
      </c>
      <c r="J7803" t="s">
        <v>31</v>
      </c>
      <c r="K7803" t="s">
        <v>34</v>
      </c>
      <c r="L7803" t="s">
        <v>20</v>
      </c>
      <c r="M7803" t="s">
        <v>15199</v>
      </c>
      <c r="N7803" t="s">
        <v>14</v>
      </c>
    </row>
    <row r="7804" x14ac:dyDescent="0.25">
      <c r="A7804" t="n">
        <v>24</v>
      </c>
      <c r="B7804" t="s">
        <v>14</v>
      </c>
      <c r="C7804" t="s">
        <v>22</v>
      </c>
      <c r="D7804" s="2" t="s">
        <f>=HYPERLINK("https://main.knesset.gov.il/APPS/legislation/main/bills/2170229", "הצעת חוק הפרמדיקים, התשפ""ב-2022")</f>
        <v>15228</v>
      </c>
      <c r="E7804" t="s">
        <v>15228</v>
      </c>
      <c r="F7804" t="s">
        <v>15229</v>
      </c>
      <c r="G7804" t="s">
        <v>14</v>
      </c>
      <c r="H7804">
             </c>
      <c r="I7804" t="s">
        <v>14</v>
      </c>
      <c r="J7804" t="s">
        <v>99</v>
      </c>
      <c r="K7804" t="s">
        <v>480</v>
      </c>
      <c r="L7804" t="s">
        <v>20</v>
      </c>
      <c r="M7804" t="s">
        <v>15199</v>
      </c>
      <c r="N7804" t="s">
        <v>14</v>
      </c>
    </row>
    <row r="7805" x14ac:dyDescent="0.25">
      <c r="A7805" t="n">
        <v>24</v>
      </c>
      <c r="B7805" t="s">
        <v>14</v>
      </c>
      <c r="C7805" t="s">
        <v>22</v>
      </c>
      <c r="D7805" s="2" t="s">
        <f>=HYPERLINK("https://main.knesset.gov.il/APPS/legislation/main/bills/2192894", "הצעת חוק הסדרת הטיפול בחולי נפש (תיקוני חקיקה), התשפ""ב-2022")</f>
        <v>15230</v>
      </c>
      <c r="E7805" t="s">
        <v>15230</v>
      </c>
      <c r="F7805" t="s">
        <v>15231</v>
      </c>
      <c r="G7805" t="s">
        <v>14</v>
      </c>
      <c r="H7805">
             </c>
      <c r="I7805" t="s">
        <v>14</v>
      </c>
      <c r="J7805" t="s">
        <v>141</v>
      </c>
      <c r="K7805" t="s">
        <v>14</v>
      </c>
      <c r="L7805" t="s">
        <v>20</v>
      </c>
      <c r="M7805" t="s">
        <v>15199</v>
      </c>
      <c r="N7805" t="s">
        <v>14</v>
      </c>
    </row>
    <row r="7806" x14ac:dyDescent="0.25">
      <c r="A7806" t="n">
        <v>24</v>
      </c>
      <c r="B7806" t="s">
        <v>14</v>
      </c>
      <c r="C7806" t="s">
        <v>22</v>
      </c>
      <c r="D7806" s="2" t="s">
        <f>=HYPERLINK("https://main.knesset.gov.il/APPS/legislation/main/bills/2192364", "הצעת חוק שכר מינימום (תיקון - העלאת שכר המינימום), התשפ""ב-2022")</f>
        <v>14847</v>
      </c>
      <c r="E7806" t="s">
        <v>14847</v>
      </c>
      <c r="F7806" t="s">
        <v>15232</v>
      </c>
      <c r="G7806" t="s">
        <v>14</v>
      </c>
      <c r="H7806">
             </c>
      <c r="I7806" t="s">
        <v>14</v>
      </c>
      <c r="J7806" t="s">
        <v>141</v>
      </c>
      <c r="K7806" t="s">
        <v>14</v>
      </c>
      <c r="L7806" t="s">
        <v>20</v>
      </c>
      <c r="M7806" t="s">
        <v>15199</v>
      </c>
      <c r="N7806" t="s">
        <v>14</v>
      </c>
    </row>
    <row r="7807" x14ac:dyDescent="0.25">
      <c r="A7807" t="n">
        <v>24</v>
      </c>
      <c r="B7807" t="s">
        <v>14</v>
      </c>
      <c r="C7807" t="s">
        <v>22</v>
      </c>
      <c r="D7807" s="2" t="s">
        <f>=HYPERLINK("https://main.knesset.gov.il/APPS/legislation/main/bills/2192392", "הצעת חוק העונשין (תיקון - עבירות אלימות במתחם הר הבית), התשפ""ב-2022")</f>
        <v>15233</v>
      </c>
      <c r="E7807" t="s">
        <v>15233</v>
      </c>
      <c r="F7807" t="s">
        <v>15234</v>
      </c>
      <c r="G7807" t="s">
        <v>14</v>
      </c>
      <c r="H7807">
             </c>
      <c r="I7807" t="s">
        <v>14</v>
      </c>
      <c r="J7807" t="s">
        <v>141</v>
      </c>
      <c r="K7807" t="s">
        <v>14</v>
      </c>
      <c r="L7807" t="s">
        <v>20</v>
      </c>
      <c r="M7807" t="s">
        <v>15199</v>
      </c>
      <c r="N7807" t="s">
        <v>14</v>
      </c>
    </row>
    <row r="7808" x14ac:dyDescent="0.25">
      <c r="A7808" t="n">
        <v>24</v>
      </c>
      <c r="B7808" t="s">
        <v>14</v>
      </c>
      <c r="C7808" t="s">
        <v>22</v>
      </c>
      <c r="D7808" s="2" t="s">
        <f>=HYPERLINK("https://main.knesset.gov.il/APPS/legislation/main/bills/2191632", "הצעת חוק העסקת עובדי חינוך בגני ילדים באמצעות חוזה אישי (תיקוני חקיקה), התשפ""ב-2022")</f>
        <v>15235</v>
      </c>
      <c r="E7808" t="s">
        <v>15235</v>
      </c>
      <c r="F7808" t="s">
        <v>15236</v>
      </c>
      <c r="G7808" t="s">
        <v>14</v>
      </c>
      <c r="H7808">
             </c>
      <c r="I7808" t="s">
        <v>14</v>
      </c>
      <c r="J7808" t="s">
        <v>141</v>
      </c>
      <c r="K7808" t="s">
        <v>14</v>
      </c>
      <c r="L7808" t="s">
        <v>20</v>
      </c>
      <c r="M7808" t="s">
        <v>15199</v>
      </c>
      <c r="N7808" t="s">
        <v>14</v>
      </c>
    </row>
    <row r="7809" x14ac:dyDescent="0.25">
      <c r="A7809" t="n">
        <v>24</v>
      </c>
      <c r="B7809" t="s">
        <v>14</v>
      </c>
      <c r="C7809" t="s">
        <v>22</v>
      </c>
      <c r="D7809" s="2" t="s">
        <f>=HYPERLINK("https://main.knesset.gov.il/APPS/legislation/main/bills/2190887", "הצעת חוק איסור מכירת קמינים ושימוש בהם, התשפ""ב-2022")</f>
        <v>15237</v>
      </c>
      <c r="E7809" t="s">
        <v>15237</v>
      </c>
      <c r="F7809" t="s">
        <v>15238</v>
      </c>
      <c r="G7809" t="s">
        <v>14</v>
      </c>
      <c r="H7809">
             </c>
      <c r="I7809" t="s">
        <v>14</v>
      </c>
      <c r="J7809" t="s">
        <v>141</v>
      </c>
      <c r="K7809" t="s">
        <v>14</v>
      </c>
      <c r="L7809" t="s">
        <v>20</v>
      </c>
      <c r="M7809" t="s">
        <v>15199</v>
      </c>
      <c r="N7809" t="s">
        <v>14</v>
      </c>
    </row>
    <row r="7810" x14ac:dyDescent="0.25">
      <c r="A7810" t="n">
        <v>24</v>
      </c>
      <c r="B7810" t="s">
        <v>14</v>
      </c>
      <c r="C7810" t="s">
        <v>22</v>
      </c>
      <c r="D7810" s="2" t="s">
        <f>=HYPERLINK("https://main.knesset.gov.il/APPS/legislation/main/bills/2190921", "הצעת חוק העברת הכנסות מהימורים לתמיכה במרכזי גמילה מהימורים, התשפ""ב-2022")</f>
        <v>15239</v>
      </c>
      <c r="E7810" t="s">
        <v>15239</v>
      </c>
      <c r="F7810" t="s">
        <v>15240</v>
      </c>
      <c r="G7810" t="s">
        <v>14</v>
      </c>
      <c r="H7810">
             </c>
      <c r="I7810" t="s">
        <v>14</v>
      </c>
      <c r="J7810" t="s">
        <v>141</v>
      </c>
      <c r="K7810" t="s">
        <v>14</v>
      </c>
      <c r="L7810" t="s">
        <v>20</v>
      </c>
      <c r="M7810" t="s">
        <v>15199</v>
      </c>
      <c r="N7810" t="s">
        <v>14</v>
      </c>
    </row>
    <row r="7811" x14ac:dyDescent="0.25">
      <c r="A7811" t="n">
        <v>24</v>
      </c>
      <c r="B7811" t="s">
        <v>14</v>
      </c>
      <c r="C7811" t="s">
        <v>22</v>
      </c>
      <c r="D7811" s="2" t="s">
        <f>=HYPERLINK("https://main.knesset.gov.il/APPS/legislation/main/bills/2192361", "הצעת חוק הבטחת הכנסה (תיקון - תוספת לגמלה בעד הילד השלישי ואילך), התשפ""ב- 2022")</f>
        <v>15241</v>
      </c>
      <c r="E7811" t="s">
        <v>15241</v>
      </c>
      <c r="F7811" t="s">
        <v>15242</v>
      </c>
      <c r="G7811" t="s">
        <v>14</v>
      </c>
      <c r="H7811">
             </c>
      <c r="I7811" t="s">
        <v>14</v>
      </c>
      <c r="J7811" t="s">
        <v>141</v>
      </c>
      <c r="K7811" t="s">
        <v>14</v>
      </c>
      <c r="L7811" t="s">
        <v>20</v>
      </c>
      <c r="M7811" t="s">
        <v>15199</v>
      </c>
      <c r="N7811" t="s">
        <v>14</v>
      </c>
    </row>
    <row r="7812" x14ac:dyDescent="0.25">
      <c r="A7812" t="n">
        <v>24</v>
      </c>
      <c r="B7812" t="s">
        <v>14</v>
      </c>
      <c r="C7812" t="s">
        <v>22</v>
      </c>
      <c r="D7812" s="2" t="s">
        <f>=HYPERLINK("https://main.knesset.gov.il/APPS/legislation/main/bills/2190961", "הצעת חוק רשות שדות התעופה (תיקון – פטור מתשלום אגרה לסטודנטים הלומדים באוניברסיטאות בירדן), התשפ""ב–2022")</f>
        <v>15243</v>
      </c>
      <c r="E7812" t="s">
        <v>15243</v>
      </c>
      <c r="F7812" t="s">
        <v>15244</v>
      </c>
      <c r="G7812" t="s">
        <v>14</v>
      </c>
      <c r="H7812">
             </c>
      <c r="I7812" t="s">
        <v>14</v>
      </c>
      <c r="J7812" t="s">
        <v>141</v>
      </c>
      <c r="K7812" t="s">
        <v>14</v>
      </c>
      <c r="L7812" t="s">
        <v>20</v>
      </c>
      <c r="M7812" t="s">
        <v>15199</v>
      </c>
      <c r="N7812" t="s">
        <v>14</v>
      </c>
    </row>
    <row r="7813" x14ac:dyDescent="0.25">
      <c r="A7813" t="n">
        <v>24</v>
      </c>
      <c r="B7813" t="s">
        <v>14</v>
      </c>
      <c r="C7813" t="s">
        <v>22</v>
      </c>
      <c r="D7813" s="2" t="s">
        <f>=HYPERLINK("https://main.knesset.gov.il/APPS/legislation/main/bills/2192707", "הצעת חוק הביטוח הלאומי (תיקון - כפל קצבאות), התשפ""ב-2022")</f>
        <v>15245</v>
      </c>
      <c r="E7813" t="s">
        <v>15245</v>
      </c>
      <c r="F7813" t="s">
        <v>15246</v>
      </c>
      <c r="G7813" t="s">
        <v>14</v>
      </c>
      <c r="H7813">
             </c>
      <c r="I7813" t="s">
        <v>14</v>
      </c>
      <c r="J7813" t="s">
        <v>141</v>
      </c>
      <c r="K7813" t="s">
        <v>14</v>
      </c>
      <c r="L7813" t="s">
        <v>20</v>
      </c>
      <c r="M7813" t="s">
        <v>15199</v>
      </c>
      <c r="N7813" t="s">
        <v>14</v>
      </c>
    </row>
    <row r="7814" x14ac:dyDescent="0.25">
      <c r="A7814" t="n">
        <v>24</v>
      </c>
      <c r="B7814" t="s">
        <v>14</v>
      </c>
      <c r="C7814" t="s">
        <v>22</v>
      </c>
      <c r="D7814" s="2" t="s">
        <f>=HYPERLINK("https://main.knesset.gov.il/APPS/legislation/main/bills/2192515", "הצעת חוק טיפול בחולי נפש (תיקון - תנאי אשפוז הולמים), התשפ''ב-2022")</f>
        <v>15247</v>
      </c>
      <c r="E7814" t="s">
        <v>15247</v>
      </c>
      <c r="F7814" t="s">
        <v>15248</v>
      </c>
      <c r="G7814" t="s">
        <v>14</v>
      </c>
      <c r="H7814">
             </c>
      <c r="I7814" t="s">
        <v>14</v>
      </c>
      <c r="J7814" t="s">
        <v>141</v>
      </c>
      <c r="K7814" t="s">
        <v>14</v>
      </c>
      <c r="L7814" t="s">
        <v>20</v>
      </c>
      <c r="M7814" t="s">
        <v>15199</v>
      </c>
      <c r="N7814" t="s">
        <v>14</v>
      </c>
    </row>
    <row r="7815" x14ac:dyDescent="0.25">
      <c r="A7815" t="n">
        <v>24</v>
      </c>
      <c r="B7815" t="s">
        <v>14</v>
      </c>
      <c r="C7815" t="s">
        <v>22</v>
      </c>
      <c r="D7815" s="2" t="s">
        <f>=HYPERLINK("https://main.knesset.gov.il/APPS/legislation/main/bills/2191341", "הצעת חוק שלילת זכויות למעורב בטרור (תיקוני חקיקה), התשפ""ב-2022")</f>
        <v>15249</v>
      </c>
      <c r="E7815" t="s">
        <v>15249</v>
      </c>
      <c r="F7815" t="s">
        <v>15250</v>
      </c>
      <c r="G7815" t="s">
        <v>14</v>
      </c>
      <c r="H7815">
             </c>
      <c r="I7815" t="s">
        <v>14</v>
      </c>
      <c r="J7815" t="s">
        <v>141</v>
      </c>
      <c r="K7815" t="s">
        <v>14</v>
      </c>
      <c r="L7815" t="s">
        <v>20</v>
      </c>
      <c r="M7815" t="s">
        <v>15199</v>
      </c>
      <c r="N7815" t="s">
        <v>14</v>
      </c>
    </row>
    <row r="7816" x14ac:dyDescent="0.25">
      <c r="A7816" t="n">
        <v>24</v>
      </c>
      <c r="B7816" t="s">
        <v>14</v>
      </c>
      <c r="C7816" t="s">
        <v>22</v>
      </c>
      <c r="D7816" s="2" t="s">
        <f>=HYPERLINK("https://main.knesset.gov.il/APPS/legislation/main/bills/2192397", "הצעת חוק הקמת חדר מיון בקרית שמונה, התשפ""ב-2022")</f>
        <v>15251</v>
      </c>
      <c r="E7816" t="s">
        <v>15251</v>
      </c>
      <c r="F7816" t="s">
        <v>15252</v>
      </c>
      <c r="G7816" t="s">
        <v>14</v>
      </c>
      <c r="H7816">
             </c>
      <c r="I7816" t="s">
        <v>14</v>
      </c>
      <c r="J7816" t="s">
        <v>141</v>
      </c>
      <c r="K7816" t="s">
        <v>14</v>
      </c>
      <c r="L7816" t="s">
        <v>20</v>
      </c>
      <c r="M7816" t="s">
        <v>15199</v>
      </c>
      <c r="N7816" t="s">
        <v>14</v>
      </c>
    </row>
    <row r="7817" x14ac:dyDescent="0.25">
      <c r="A7817" t="n">
        <v>24</v>
      </c>
      <c r="B7817" t="s">
        <v>14</v>
      </c>
      <c r="C7817" t="s">
        <v>22</v>
      </c>
      <c r="D7817" s="2" t="s">
        <f>=HYPERLINK("https://main.knesset.gov.il/APPS/legislation/main/bills/2192396", "הצעת חוק הקמת חדר מיון בנתיבות, התשפ""ב-2022")</f>
        <v>15253</v>
      </c>
      <c r="E7817" t="s">
        <v>15253</v>
      </c>
      <c r="F7817" t="s">
        <v>15254</v>
      </c>
      <c r="G7817" t="s">
        <v>14</v>
      </c>
      <c r="H7817">
             </c>
      <c r="I7817" t="s">
        <v>14</v>
      </c>
      <c r="J7817" t="s">
        <v>141</v>
      </c>
      <c r="K7817" t="s">
        <v>14</v>
      </c>
      <c r="L7817" t="s">
        <v>20</v>
      </c>
      <c r="M7817" t="s">
        <v>15199</v>
      </c>
      <c r="N7817" t="s">
        <v>14</v>
      </c>
    </row>
    <row r="7818" x14ac:dyDescent="0.25">
      <c r="A7818" t="n">
        <v>24</v>
      </c>
      <c r="B7818" t="s">
        <v>14</v>
      </c>
      <c r="C7818" t="s">
        <v>22</v>
      </c>
      <c r="D7818" s="2" t="s">
        <f>=HYPERLINK("https://main.knesset.gov.il/APPS/legislation/main/bills/2191015", "הצעת חוק התכנון והבנייה (תיקון - מניעת פגיעה בעץ בוגר), התשפ""ב-2022")</f>
        <v>15255</v>
      </c>
      <c r="E7818" t="s">
        <v>15255</v>
      </c>
      <c r="F7818" t="s">
        <v>15256</v>
      </c>
      <c r="G7818" t="s">
        <v>14</v>
      </c>
      <c r="H7818">
             </c>
      <c r="I7818" t="s">
        <v>14</v>
      </c>
      <c r="J7818" t="s">
        <v>141</v>
      </c>
      <c r="K7818" t="s">
        <v>14</v>
      </c>
      <c r="L7818" t="s">
        <v>20</v>
      </c>
      <c r="M7818" t="s">
        <v>15199</v>
      </c>
      <c r="N7818" t="s">
        <v>14</v>
      </c>
    </row>
    <row r="7819" x14ac:dyDescent="0.25">
      <c r="A7819" t="n">
        <v>24</v>
      </c>
      <c r="B7819" t="s">
        <v>14</v>
      </c>
      <c r="C7819" t="s">
        <v>22</v>
      </c>
      <c r="D7819" s="2" t="s">
        <f>=HYPERLINK("https://main.knesset.gov.il/APPS/legislation/main/bills/2191507", "הצעת חוק התכנון והבנייה (תיקון - בקרת יציבות שלד הבניין), התשפ""ב-2022")</f>
        <v>15257</v>
      </c>
      <c r="E7819" t="s">
        <v>15257</v>
      </c>
      <c r="F7819" t="s">
        <v>15258</v>
      </c>
      <c r="G7819" t="s">
        <v>14</v>
      </c>
      <c r="H7819">
             </c>
      <c r="I7819" t="s">
        <v>14</v>
      </c>
      <c r="J7819" t="s">
        <v>141</v>
      </c>
      <c r="K7819" t="s">
        <v>14</v>
      </c>
      <c r="L7819" t="s">
        <v>20</v>
      </c>
      <c r="M7819" t="s">
        <v>15199</v>
      </c>
      <c r="N7819" t="s">
        <v>14</v>
      </c>
    </row>
    <row r="7820" x14ac:dyDescent="0.25">
      <c r="A7820" t="n">
        <v>24</v>
      </c>
      <c r="B7820" t="s">
        <v>14</v>
      </c>
      <c r="C7820" t="s">
        <v>22</v>
      </c>
      <c r="D7820" s="2" t="s">
        <f>=HYPERLINK("https://main.knesset.gov.il/APPS/legislation/main/bills/2162518", "הצעת חוק לימוד חובה (תיקון - הבטחת פיקוח פרלמנטרי על תשלומי הורים), התשפ""ב-2022")</f>
        <v>15259</v>
      </c>
      <c r="E7820" t="s">
        <v>15259</v>
      </c>
      <c r="F7820" t="s">
        <v>15260</v>
      </c>
      <c r="G7820" t="s">
        <v>14</v>
      </c>
      <c r="H7820">
             </c>
      <c r="I7820" t="s">
        <v>14</v>
      </c>
      <c r="J7820" t="s">
        <v>141</v>
      </c>
      <c r="K7820" t="s">
        <v>14</v>
      </c>
      <c r="L7820" t="s">
        <v>20</v>
      </c>
      <c r="M7820" t="s">
        <v>15199</v>
      </c>
      <c r="N7820" t="s">
        <v>14</v>
      </c>
    </row>
    <row r="7821" x14ac:dyDescent="0.25">
      <c r="A7821" t="n">
        <v>24</v>
      </c>
      <c r="B7821" t="s">
        <v>14</v>
      </c>
      <c r="C7821" t="s">
        <v>22</v>
      </c>
      <c r="D7821" s="2" t="s">
        <f>=HYPERLINK("https://main.knesset.gov.il/APPS/legislation/main/bills/2191396", "הצעת חוק חוזה הביטוח (תיקון - התיישנות וריבית מיוחדת), התשפ""ב-2022")</f>
        <v>15261</v>
      </c>
      <c r="E7821" t="s">
        <v>15261</v>
      </c>
      <c r="F7821" t="s">
        <v>15262</v>
      </c>
      <c r="G7821" t="s">
        <v>14</v>
      </c>
      <c r="H7821">
             </c>
      <c r="I7821" t="s">
        <v>14</v>
      </c>
      <c r="J7821" t="s">
        <v>141</v>
      </c>
      <c r="K7821" t="s">
        <v>14</v>
      </c>
      <c r="L7821" t="s">
        <v>20</v>
      </c>
      <c r="M7821" t="s">
        <v>15199</v>
      </c>
      <c r="N7821" t="s">
        <v>14</v>
      </c>
    </row>
    <row r="7822" x14ac:dyDescent="0.25">
      <c r="A7822" t="n">
        <v>24</v>
      </c>
      <c r="B7822" t="s">
        <v>14</v>
      </c>
      <c r="C7822" t="s">
        <v>22</v>
      </c>
      <c r="D7822" s="2" t="s">
        <f>=HYPERLINK("https://main.knesset.gov.il/APPS/legislation/main/bills/2191185", "הצעת חוק-יסוד: השוויון")</f>
        <v>11747</v>
      </c>
      <c r="E7822" t="s">
        <v>11747</v>
      </c>
      <c r="F7822" t="s">
        <v>15263</v>
      </c>
      <c r="G7822" t="s">
        <v>14</v>
      </c>
      <c r="H7822">
             </c>
      <c r="I7822" t="s">
        <v>14</v>
      </c>
      <c r="J7822" t="s">
        <v>141</v>
      </c>
      <c r="K7822" t="s">
        <v>14</v>
      </c>
      <c r="L7822" t="s">
        <v>20</v>
      </c>
      <c r="M7822" t="s">
        <v>15199</v>
      </c>
      <c r="N7822" t="s">
        <v>14</v>
      </c>
    </row>
    <row r="7823" x14ac:dyDescent="0.25">
      <c r="A7823" t="n">
        <v>24</v>
      </c>
      <c r="B7823" t="s">
        <v>14</v>
      </c>
      <c r="C7823" t="s">
        <v>22</v>
      </c>
      <c r="D7823" s="2" t="s">
        <f>=HYPERLINK("https://main.knesset.gov.il/APPS/legislation/main/bills/2190466", "הצעת חוק העונשין (תיקון - הכרה באינוס גברים), התשפ""ב-2022")</f>
        <v>15264</v>
      </c>
      <c r="E7823" t="s">
        <v>15264</v>
      </c>
      <c r="F7823" t="s">
        <v>15265</v>
      </c>
      <c r="G7823" t="s">
        <v>14</v>
      </c>
      <c r="H7823">
             </c>
      <c r="I7823" t="s">
        <v>14</v>
      </c>
      <c r="J7823" t="s">
        <v>141</v>
      </c>
      <c r="K7823" t="s">
        <v>14</v>
      </c>
      <c r="L7823" t="s">
        <v>20</v>
      </c>
      <c r="M7823" t="s">
        <v>15199</v>
      </c>
      <c r="N7823" t="s">
        <v>14</v>
      </c>
    </row>
    <row r="7824" x14ac:dyDescent="0.25">
      <c r="A7824" t="n">
        <v>24</v>
      </c>
      <c r="B7824" t="s">
        <v>14</v>
      </c>
      <c r="C7824" t="s">
        <v>22</v>
      </c>
      <c r="D7824" s="2" t="s">
        <f>=HYPERLINK("https://main.knesset.gov.il/APPS/legislation/main/bills/2190928", "הצעת חוק נתוני אשראי (תיקון - תקופת החזקת מידע במאגר), התשפ""ב-2022")</f>
        <v>15266</v>
      </c>
      <c r="E7824" t="s">
        <v>15266</v>
      </c>
      <c r="F7824" t="s">
        <v>15267</v>
      </c>
      <c r="G7824" t="s">
        <v>14</v>
      </c>
      <c r="H7824">
             </c>
      <c r="I7824" t="s">
        <v>14</v>
      </c>
      <c r="J7824" t="s">
        <v>141</v>
      </c>
      <c r="K7824" t="s">
        <v>14</v>
      </c>
      <c r="L7824" t="s">
        <v>20</v>
      </c>
      <c r="M7824" t="s">
        <v>15199</v>
      </c>
      <c r="N7824" t="s">
        <v>14</v>
      </c>
    </row>
    <row r="7825" x14ac:dyDescent="0.25">
      <c r="A7825" t="n">
        <v>24</v>
      </c>
      <c r="B7825" t="s">
        <v>14</v>
      </c>
      <c r="C7825" t="s">
        <v>22</v>
      </c>
      <c r="D7825" s="2" t="s">
        <f>=HYPERLINK("https://main.knesset.gov.il/APPS/legislation/main/bills/2192450", "הצעת חוק לתיקון פקודת המסים (גבייה) (חובת יידוע החייב), התשפ""ב-2022")</f>
        <v>15268</v>
      </c>
      <c r="E7825" t="s">
        <v>15268</v>
      </c>
      <c r="F7825" t="s">
        <v>15269</v>
      </c>
      <c r="G7825" t="s">
        <v>14</v>
      </c>
      <c r="H7825">
             </c>
      <c r="I7825" t="s">
        <v>14</v>
      </c>
      <c r="J7825" t="s">
        <v>141</v>
      </c>
      <c r="K7825" t="s">
        <v>14</v>
      </c>
      <c r="L7825" t="s">
        <v>20</v>
      </c>
      <c r="M7825" t="s">
        <v>15199</v>
      </c>
      <c r="N7825" t="s">
        <v>14</v>
      </c>
    </row>
    <row r="7826" x14ac:dyDescent="0.25">
      <c r="A7826" t="n">
        <v>24</v>
      </c>
      <c r="B7826" t="s">
        <v>14</v>
      </c>
      <c r="C7826" t="s">
        <v>22</v>
      </c>
      <c r="D7826" s="2" t="s">
        <f>=HYPERLINK("https://main.knesset.gov.il/APPS/legislation/main/bills/2190871", "הצעת חוק העונשין (תיקון - החמרת ענישה בשל תקיפת צוות רפואי), התשפ''ב-2022")</f>
        <v>14945</v>
      </c>
      <c r="E7826" t="s">
        <v>14945</v>
      </c>
      <c r="F7826" t="s">
        <v>15270</v>
      </c>
      <c r="G7826" t="s">
        <v>14</v>
      </c>
      <c r="H7826">
             </c>
      <c r="I7826" t="s">
        <v>14</v>
      </c>
      <c r="J7826" t="s">
        <v>141</v>
      </c>
      <c r="K7826" t="s">
        <v>14</v>
      </c>
      <c r="L7826" t="s">
        <v>20</v>
      </c>
      <c r="M7826" t="s">
        <v>15199</v>
      </c>
      <c r="N7826" t="s">
        <v>14</v>
      </c>
    </row>
    <row r="7827" x14ac:dyDescent="0.25">
      <c r="A7827" t="n">
        <v>24</v>
      </c>
      <c r="B7827" t="s">
        <v>14</v>
      </c>
      <c r="C7827" t="s">
        <v>22</v>
      </c>
      <c r="D7827" s="2" t="s">
        <f>=HYPERLINK("https://main.knesset.gov.il/APPS/legislation/main/bills/2192366", "הצעת חוק איסור אלימות בספורט (תיקון - מניעת הרחקה גורפת מאירועי ספורט), התשפ""ב-2022")</f>
        <v>15110</v>
      </c>
      <c r="E7827" t="s">
        <v>15110</v>
      </c>
      <c r="F7827" t="s">
        <v>15271</v>
      </c>
      <c r="G7827" t="s">
        <v>14</v>
      </c>
      <c r="H7827">
             </c>
      <c r="I7827" t="s">
        <v>14</v>
      </c>
      <c r="J7827" t="s">
        <v>141</v>
      </c>
      <c r="K7827" t="s">
        <v>14</v>
      </c>
      <c r="L7827" t="s">
        <v>20</v>
      </c>
      <c r="M7827" t="s">
        <v>15199</v>
      </c>
      <c r="N7827" t="s">
        <v>14</v>
      </c>
    </row>
    <row r="7828" x14ac:dyDescent="0.25">
      <c r="A7828" t="n">
        <v>24</v>
      </c>
      <c r="B7828" t="s">
        <v>14</v>
      </c>
      <c r="C7828" t="s">
        <v>22</v>
      </c>
      <c r="D7828" s="2" t="s">
        <f>=HYPERLINK("https://main.knesset.gov.il/APPS/legislation/main/bills/2191337", "הצעת חוק הכניסה לישראל (תיקון - הסמכת מבקרים רשמיים לביקור במקום משמורת), התשפ""ב-2022")</f>
        <v>15272</v>
      </c>
      <c r="E7828" t="s">
        <v>15272</v>
      </c>
      <c r="F7828" t="s">
        <v>15273</v>
      </c>
      <c r="G7828" t="s">
        <v>14</v>
      </c>
      <c r="H7828">
             </c>
      <c r="I7828" t="s">
        <v>14</v>
      </c>
      <c r="J7828" t="s">
        <v>141</v>
      </c>
      <c r="K7828" t="s">
        <v>14</v>
      </c>
      <c r="L7828" t="s">
        <v>20</v>
      </c>
      <c r="M7828" t="s">
        <v>15199</v>
      </c>
      <c r="N7828" t="s">
        <v>14</v>
      </c>
    </row>
    <row r="7829" x14ac:dyDescent="0.25">
      <c r="A7829" t="n">
        <v>24</v>
      </c>
      <c r="B7829" t="s">
        <v>14</v>
      </c>
      <c r="C7829" t="s">
        <v>22</v>
      </c>
      <c r="D7829" s="2" t="s">
        <f>=HYPERLINK("https://main.knesset.gov.il/APPS/legislation/main/bills/2192056", "הצעת חוק איסור אלימות בספורט (תיקון - מניעת הרחקה גורפת מאירועי ספורט), התשפ""ב-2022")</f>
        <v>15110</v>
      </c>
      <c r="E7829" t="s">
        <v>15110</v>
      </c>
      <c r="F7829" t="s">
        <v>15274</v>
      </c>
      <c r="G7829" t="s">
        <v>14</v>
      </c>
      <c r="H7829">
             </c>
      <c r="I7829" t="s">
        <v>14</v>
      </c>
      <c r="J7829" t="s">
        <v>141</v>
      </c>
      <c r="K7829" t="s">
        <v>14</v>
      </c>
      <c r="L7829" t="s">
        <v>20</v>
      </c>
      <c r="M7829" t="s">
        <v>15199</v>
      </c>
      <c r="N7829" t="s">
        <v>14</v>
      </c>
    </row>
    <row r="7830" x14ac:dyDescent="0.25">
      <c r="A7830" t="n">
        <v>24</v>
      </c>
      <c r="B7830" t="s">
        <v>14</v>
      </c>
      <c r="C7830" t="s">
        <v>22</v>
      </c>
      <c r="D7830" s="2" t="s">
        <f>=HYPERLINK("https://main.knesset.gov.il/APPS/legislation/main/bills/2191186", "הצעת חוק המועצה להשכלה גבוהה (תיקון - ביטול חובת דרישות מבחני כניסה וציון פסיכומטרי), התשפ""ב-2022")</f>
        <v>15275</v>
      </c>
      <c r="E7830" t="s">
        <v>15275</v>
      </c>
      <c r="F7830" t="s">
        <v>15276</v>
      </c>
      <c r="G7830" t="s">
        <v>14</v>
      </c>
      <c r="H7830">
             </c>
      <c r="I7830" t="s">
        <v>14</v>
      </c>
      <c r="J7830" t="s">
        <v>141</v>
      </c>
      <c r="K7830" t="s">
        <v>14</v>
      </c>
      <c r="L7830" t="s">
        <v>20</v>
      </c>
      <c r="M7830" t="s">
        <v>15199</v>
      </c>
      <c r="N7830" t="s">
        <v>14</v>
      </c>
    </row>
    <row r="7831" x14ac:dyDescent="0.25">
      <c r="A7831" t="n">
        <v>24</v>
      </c>
      <c r="B7831" t="s">
        <v>14</v>
      </c>
      <c r="C7831" t="s">
        <v>22</v>
      </c>
      <c r="D7831" s="2" t="s">
        <f>=HYPERLINK("https://main.knesset.gov.il/APPS/legislation/main/bills/2192456", "הצעת חוק לתיקון פקודת התעבורה (תשלום דמי חניה), התשפ""ב-2022")</f>
        <v>15277</v>
      </c>
      <c r="E7831" t="s">
        <v>15277</v>
      </c>
      <c r="F7831" t="s">
        <v>15278</v>
      </c>
      <c r="G7831" t="s">
        <v>14</v>
      </c>
      <c r="H7831">
             </c>
      <c r="I7831" t="s">
        <v>14</v>
      </c>
      <c r="J7831" t="s">
        <v>141</v>
      </c>
      <c r="K7831" t="s">
        <v>14</v>
      </c>
      <c r="L7831" t="s">
        <v>20</v>
      </c>
      <c r="M7831" t="s">
        <v>15199</v>
      </c>
      <c r="N7831" t="s">
        <v>14</v>
      </c>
    </row>
    <row r="7832" x14ac:dyDescent="0.25">
      <c r="A7832" t="n">
        <v>24</v>
      </c>
      <c r="B7832" t="s">
        <v>14</v>
      </c>
      <c r="C7832" t="s">
        <v>22</v>
      </c>
      <c r="D7832" s="2" t="s">
        <f>=HYPERLINK("https://main.knesset.gov.il/APPS/legislation/main/bills/2192295", "הצעת חוק העונשין (תיקון - איסור הנפת דגל של ישות עוינת), התשפ""ב-2022")</f>
        <v>15279</v>
      </c>
      <c r="E7832" t="s">
        <v>15279</v>
      </c>
      <c r="F7832" t="s">
        <v>15280</v>
      </c>
      <c r="G7832" t="s">
        <v>14</v>
      </c>
      <c r="H7832">
             </c>
      <c r="I7832" t="s">
        <v>14</v>
      </c>
      <c r="J7832" t="s">
        <v>141</v>
      </c>
      <c r="K7832" t="s">
        <v>14</v>
      </c>
      <c r="L7832" t="s">
        <v>20</v>
      </c>
      <c r="M7832" t="s">
        <v>15199</v>
      </c>
      <c r="N7832" t="s">
        <v>14</v>
      </c>
    </row>
    <row r="7833" x14ac:dyDescent="0.25">
      <c r="A7833" t="n">
        <v>24</v>
      </c>
      <c r="B7833" t="s">
        <v>14</v>
      </c>
      <c r="C7833" t="s">
        <v>22</v>
      </c>
      <c r="D7833" s="2" t="s">
        <f>=HYPERLINK("https://main.knesset.gov.il/APPS/legislation/main/bills/2192282", "הצעת חוק יסוד: ישראל - מדינת הלאום של העם היהודי (תיקון - ביטול החוק)")</f>
        <v>15281</v>
      </c>
      <c r="E7833" t="s">
        <v>15281</v>
      </c>
      <c r="F7833" t="s">
        <v>15282</v>
      </c>
      <c r="G7833" t="s">
        <v>14</v>
      </c>
      <c r="H7833">
             </c>
      <c r="I7833" t="s">
        <v>14</v>
      </c>
      <c r="J7833" t="s">
        <v>141</v>
      </c>
      <c r="K7833" t="s">
        <v>14</v>
      </c>
      <c r="L7833" t="s">
        <v>20</v>
      </c>
      <c r="M7833" t="s">
        <v>15199</v>
      </c>
      <c r="N7833" t="s">
        <v>14</v>
      </c>
    </row>
    <row r="7834" x14ac:dyDescent="0.25">
      <c r="A7834" t="n">
        <v>24</v>
      </c>
      <c r="B7834" t="s">
        <v>14</v>
      </c>
      <c r="C7834" t="s">
        <v>22</v>
      </c>
      <c r="D7834" s="2" t="s">
        <f>=HYPERLINK("https://main.knesset.gov.il/APPS/legislation/main/bills/2192252", "הצעת חוק-יסוד: ישראל - מדינת הלאום של העם היהודי (תיקון - ביטול החוק)")</f>
        <v>4732</v>
      </c>
      <c r="E7834" t="s">
        <v>4732</v>
      </c>
      <c r="F7834" t="s">
        <v>15283</v>
      </c>
      <c r="G7834" t="s">
        <v>14</v>
      </c>
      <c r="H7834">
             </c>
      <c r="I7834" t="s">
        <v>14</v>
      </c>
      <c r="J7834" t="s">
        <v>141</v>
      </c>
      <c r="K7834" t="s">
        <v>14</v>
      </c>
      <c r="L7834" t="s">
        <v>20</v>
      </c>
      <c r="M7834" t="s">
        <v>15199</v>
      </c>
      <c r="N7834" t="s">
        <v>14</v>
      </c>
    </row>
    <row r="7835" x14ac:dyDescent="0.25">
      <c r="A7835" t="n">
        <v>24</v>
      </c>
      <c r="B7835" t="s">
        <v>14</v>
      </c>
      <c r="C7835" t="s">
        <v>22</v>
      </c>
      <c r="D7835" s="2" t="s">
        <f>=HYPERLINK("https://main.knesset.gov.il/APPS/legislation/main/bills/2164654", "הצעת חוק איסור שימוש ברכב ממשלתי לשר וסגן שר ביום המנוחה השבועי ובחג, התשפ""ב-2022")</f>
        <v>15284</v>
      </c>
      <c r="E7835" t="s">
        <v>15284</v>
      </c>
      <c r="F7835" t="s">
        <v>15285</v>
      </c>
      <c r="G7835" t="s">
        <v>14</v>
      </c>
      <c r="H7835">
             </c>
      <c r="I7835" t="s">
        <v>14</v>
      </c>
      <c r="J7835" t="s">
        <v>141</v>
      </c>
      <c r="K7835" t="s">
        <v>14</v>
      </c>
      <c r="L7835" t="s">
        <v>20</v>
      </c>
      <c r="M7835" t="s">
        <v>15199</v>
      </c>
      <c r="N7835" t="s">
        <v>14</v>
      </c>
    </row>
    <row r="7836" x14ac:dyDescent="0.25">
      <c r="A7836" t="n">
        <v>24</v>
      </c>
      <c r="B7836" t="s">
        <v>14</v>
      </c>
      <c r="C7836" t="s">
        <v>22</v>
      </c>
      <c r="D7836" s="2" t="s">
        <f>=HYPERLINK("https://main.knesset.gov.il/APPS/legislation/main/bills/2190946", "הצעת חוק המועצה להשכלה גבוהה (תיקון - הגבלת מחירים ללימוד אנגלית), התשפ""ב-2022")</f>
        <v>15286</v>
      </c>
      <c r="E7836" t="s">
        <v>15286</v>
      </c>
      <c r="F7836" t="s">
        <v>15287</v>
      </c>
      <c r="G7836" t="s">
        <v>14</v>
      </c>
      <c r="H7836">
             </c>
      <c r="I7836" t="s">
        <v>14</v>
      </c>
      <c r="J7836" t="s">
        <v>141</v>
      </c>
      <c r="K7836" t="s">
        <v>14</v>
      </c>
      <c r="L7836" t="s">
        <v>20</v>
      </c>
      <c r="M7836" t="s">
        <v>15199</v>
      </c>
      <c r="N7836" t="s">
        <v>14</v>
      </c>
    </row>
    <row r="7837" x14ac:dyDescent="0.25">
      <c r="A7837" t="n">
        <v>24</v>
      </c>
      <c r="B7837" t="s">
        <v>14</v>
      </c>
      <c r="C7837" t="s">
        <v>22</v>
      </c>
      <c r="D7837" s="2" t="s">
        <f>=HYPERLINK("https://main.knesset.gov.il/APPS/legislation/main/bills/2190881", "הצעת חוק שוברים להשלמת לימודי בסיס בחינוך הבלתי פורמלי, התשפ""ב-2022")</f>
        <v>15288</v>
      </c>
      <c r="E7837" t="s">
        <v>15288</v>
      </c>
      <c r="F7837" t="s">
        <v>15289</v>
      </c>
      <c r="G7837" t="s">
        <v>14</v>
      </c>
      <c r="H7837">
             </c>
      <c r="I7837" t="s">
        <v>14</v>
      </c>
      <c r="J7837" t="s">
        <v>141</v>
      </c>
      <c r="K7837" t="s">
        <v>14</v>
      </c>
      <c r="L7837" t="s">
        <v>20</v>
      </c>
      <c r="M7837" t="s">
        <v>15199</v>
      </c>
      <c r="N7837" t="s">
        <v>14</v>
      </c>
    </row>
    <row r="7838" x14ac:dyDescent="0.25">
      <c r="A7838" t="n">
        <v>24</v>
      </c>
      <c r="B7838" t="s">
        <v>14</v>
      </c>
      <c r="C7838" t="s">
        <v>22</v>
      </c>
      <c r="D7838" s="2" t="s">
        <f>=HYPERLINK("https://main.knesset.gov.il/APPS/legislation/main/bills/2192036", "הצעת חוק הביטוח הלאומי (תיקון - חישוב דיפרנציאלי של קצבת אזרח ותיק), התשפ""ב-2022")</f>
        <v>15290</v>
      </c>
      <c r="E7838" t="s">
        <v>15290</v>
      </c>
      <c r="F7838" t="s">
        <v>15291</v>
      </c>
      <c r="G7838" t="s">
        <v>14</v>
      </c>
      <c r="H7838">
             </c>
      <c r="I7838" t="s">
        <v>14</v>
      </c>
      <c r="J7838" t="s">
        <v>141</v>
      </c>
      <c r="K7838" t="s">
        <v>14</v>
      </c>
      <c r="L7838" t="s">
        <v>20</v>
      </c>
      <c r="M7838" t="s">
        <v>15199</v>
      </c>
      <c r="N7838" t="s">
        <v>14</v>
      </c>
    </row>
    <row r="7839" x14ac:dyDescent="0.25">
      <c r="A7839" t="n">
        <v>24</v>
      </c>
      <c r="B7839" t="s">
        <v>14</v>
      </c>
      <c r="C7839" t="s">
        <v>22</v>
      </c>
      <c r="D7839" s="2" t="s">
        <f>=HYPERLINK("https://main.knesset.gov.il/APPS/legislation/main/bills/2192303", "הצעת חוק בתי המשפט (תיקון - קביעת הרכבים בבית המשפט העליון וקביעת דיון נוסף), התשפ""ב-2022")</f>
        <v>15292</v>
      </c>
      <c r="E7839" t="s">
        <v>15292</v>
      </c>
      <c r="F7839" t="s">
        <v>15293</v>
      </c>
      <c r="G7839" t="s">
        <v>14</v>
      </c>
      <c r="H7839">
             </c>
      <c r="I7839" t="s">
        <v>14</v>
      </c>
      <c r="J7839" t="s">
        <v>141</v>
      </c>
      <c r="K7839" t="s">
        <v>14</v>
      </c>
      <c r="L7839" t="s">
        <v>20</v>
      </c>
      <c r="M7839" t="s">
        <v>15199</v>
      </c>
      <c r="N7839" t="s">
        <v>14</v>
      </c>
    </row>
    <row r="7840" x14ac:dyDescent="0.25">
      <c r="A7840" t="n">
        <v>24</v>
      </c>
      <c r="B7840" t="s">
        <v>14</v>
      </c>
      <c r="C7840" t="s">
        <v>22</v>
      </c>
      <c r="D7840" s="2" t="s">
        <f>=HYPERLINK("https://main.knesset.gov.il/APPS/legislation/main/bills/2192562", "הצעת חוק הביטוח הלאומי (תיקון - אבטחה במוסד רפואי כעבודה מועדפת), התשפ""ב-2022")</f>
        <v>15164</v>
      </c>
      <c r="E7840" t="s">
        <v>15164</v>
      </c>
      <c r="F7840" t="s">
        <v>15294</v>
      </c>
      <c r="G7840" t="s">
        <v>14</v>
      </c>
      <c r="H7840">
             </c>
      <c r="I7840" t="s">
        <v>14</v>
      </c>
      <c r="J7840" t="s">
        <v>141</v>
      </c>
      <c r="K7840" t="s">
        <v>14</v>
      </c>
      <c r="L7840" t="s">
        <v>20</v>
      </c>
      <c r="M7840" t="s">
        <v>15199</v>
      </c>
      <c r="N7840" t="s">
        <v>14</v>
      </c>
    </row>
    <row r="7841" x14ac:dyDescent="0.25">
      <c r="A7841" t="n">
        <v>24</v>
      </c>
      <c r="B7841" t="s">
        <v>14</v>
      </c>
      <c r="C7841" t="s">
        <v>22</v>
      </c>
      <c r="D7841" s="2" t="s">
        <f>=HYPERLINK("https://main.knesset.gov.il/APPS/legislation/main/bills/2192501", "הצעת חוק זכויות ושירותים לילדים ולבני נוער עם קשיים נפשיים, התשפ''ב-2022")</f>
        <v>15295</v>
      </c>
      <c r="E7841" t="s">
        <v>15295</v>
      </c>
      <c r="F7841" t="s">
        <v>15296</v>
      </c>
      <c r="G7841" t="s">
        <v>14</v>
      </c>
      <c r="H7841">
             </c>
      <c r="I7841" t="s">
        <v>14</v>
      </c>
      <c r="J7841" t="s">
        <v>141</v>
      </c>
      <c r="K7841" t="s">
        <v>14</v>
      </c>
      <c r="L7841" t="s">
        <v>20</v>
      </c>
      <c r="M7841" t="s">
        <v>15199</v>
      </c>
      <c r="N7841" t="s">
        <v>14</v>
      </c>
    </row>
    <row r="7842" x14ac:dyDescent="0.25">
      <c r="A7842" t="n">
        <v>24</v>
      </c>
      <c r="B7842" t="s">
        <v>14</v>
      </c>
      <c r="C7842" t="s">
        <v>22</v>
      </c>
      <c r="D7842" s="2" t="s">
        <f>=HYPERLINK("https://main.knesset.gov.il/APPS/legislation/main/bills/2166736", "הצעת חוק איסור הפליה במוצרים, בשירותים ובכניסה למקומות בידור ולמקומות ציבוריים (תיקון - הסמכת בית משפט למתן צו מניעה או צו עשה), התשפ""ב-2021")</f>
        <v>15297</v>
      </c>
      <c r="E7842" t="s">
        <v>15297</v>
      </c>
      <c r="F7842" t="s">
        <v>15298</v>
      </c>
      <c r="G7842" t="s">
        <v>14</v>
      </c>
      <c r="H7842">
             </c>
      <c r="I7842" t="s">
        <v>14</v>
      </c>
      <c r="J7842" t="s">
        <v>31</v>
      </c>
      <c r="K7842" t="s">
        <v>27</v>
      </c>
      <c r="L7842" t="s">
        <v>20</v>
      </c>
      <c r="M7842" t="s">
        <v>15299</v>
      </c>
      <c r="N7842" t="s">
        <v>14</v>
      </c>
    </row>
    <row r="7843" x14ac:dyDescent="0.25">
      <c r="A7843" t="n">
        <v>24</v>
      </c>
      <c r="B7843" t="s">
        <v>14</v>
      </c>
      <c r="C7843" t="s">
        <v>22</v>
      </c>
      <c r="D7843" s="2" t="s">
        <f>=HYPERLINK("https://main.knesset.gov.il/APPS/legislation/main/bills/2165732", "הצעת חוק המאבק בטרור (תיקון - אי-החזרת גופות מחבלים), התשפ""ב-2022")</f>
        <v>15300</v>
      </c>
      <c r="E7843" t="s">
        <v>15300</v>
      </c>
      <c r="F7843" t="s">
        <v>15301</v>
      </c>
      <c r="G7843" t="s">
        <v>14</v>
      </c>
      <c r="H7843">
             </c>
      <c r="I7843" t="s">
        <v>14</v>
      </c>
      <c r="J7843" t="s">
        <v>55</v>
      </c>
      <c r="K7843" t="s">
        <v>14</v>
      </c>
      <c r="L7843" t="s">
        <v>20</v>
      </c>
      <c r="M7843" t="s">
        <v>15299</v>
      </c>
      <c r="N7843" t="s">
        <v>14</v>
      </c>
    </row>
    <row r="7844" x14ac:dyDescent="0.25">
      <c r="A7844" t="n">
        <v>24</v>
      </c>
      <c r="B7844" t="s">
        <v>14</v>
      </c>
      <c r="C7844" t="s">
        <v>22</v>
      </c>
      <c r="D7844" s="2" t="s">
        <f>=HYPERLINK("https://main.knesset.gov.il/APPS/legislation/main/bills/2161224", "הצעת חוק-יסוד: ביטול ההסדר המיוחד להפסקת חברות בכנסת של שר או סגן שר (תיקוני חקיקה)")</f>
        <v>15302</v>
      </c>
      <c r="E7844" t="s">
        <v>15302</v>
      </c>
      <c r="F7844" t="s">
        <v>15303</v>
      </c>
      <c r="G7844" t="s">
        <v>14</v>
      </c>
      <c r="H7844">
             </c>
      <c r="I7844" t="s">
        <v>14</v>
      </c>
      <c r="J7844" t="s">
        <v>55</v>
      </c>
      <c r="K7844" t="s">
        <v>14</v>
      </c>
      <c r="L7844" t="s">
        <v>20</v>
      </c>
      <c r="M7844" t="s">
        <v>15299</v>
      </c>
      <c r="N7844" t="s">
        <v>14</v>
      </c>
    </row>
    <row r="7845" x14ac:dyDescent="0.25">
      <c r="A7845" t="n">
        <v>24</v>
      </c>
      <c r="B7845" t="s">
        <v>14</v>
      </c>
      <c r="C7845" t="s">
        <v>22</v>
      </c>
      <c r="D7845" s="2" t="s">
        <f>=HYPERLINK("https://main.knesset.gov.il/APPS/legislation/main/bills/2190521", "הצעת חוק הביטוח הלאומי (תיקון - ביטוח שאירים לאלמן), התשפ""ב-2022")</f>
        <v>15304</v>
      </c>
      <c r="E7845" t="s">
        <v>15304</v>
      </c>
      <c r="F7845" t="s">
        <v>15305</v>
      </c>
      <c r="G7845" t="s">
        <v>14</v>
      </c>
      <c r="H7845">
             </c>
      <c r="I7845" t="s">
        <v>14</v>
      </c>
      <c r="J7845" t="s">
        <v>31</v>
      </c>
      <c r="K7845" t="s">
        <v>127</v>
      </c>
      <c r="L7845" t="s">
        <v>20</v>
      </c>
      <c r="M7845" t="s">
        <v>15299</v>
      </c>
      <c r="N7845" t="s">
        <v>14</v>
      </c>
    </row>
    <row r="7846" x14ac:dyDescent="0.25">
      <c r="A7846" t="n">
        <v>24</v>
      </c>
      <c r="B7846" t="s">
        <v>14</v>
      </c>
      <c r="C7846" t="s">
        <v>22</v>
      </c>
      <c r="D7846" s="2" t="s">
        <f>=HYPERLINK("https://main.knesset.gov.il/APPS/legislation/main/bills/2190559", "הצעת חוק קליטת חיילים משוחררים (תיקון - הקרן להעצמת המשרתים בשירות צבאי), התשפ""ב-2022")</f>
        <v>15306</v>
      </c>
      <c r="E7846" t="s">
        <v>15306</v>
      </c>
      <c r="F7846" t="s">
        <v>15307</v>
      </c>
      <c r="G7846" t="s">
        <v>14</v>
      </c>
      <c r="H7846">
             </c>
      <c r="I7846" t="s">
        <v>14</v>
      </c>
      <c r="J7846" t="s">
        <v>55</v>
      </c>
      <c r="K7846" t="s">
        <v>14</v>
      </c>
      <c r="L7846" t="s">
        <v>20</v>
      </c>
      <c r="M7846" t="s">
        <v>15299</v>
      </c>
      <c r="N7846" t="s">
        <v>14</v>
      </c>
    </row>
    <row r="7847" x14ac:dyDescent="0.25">
      <c r="A7847" t="n">
        <v>24</v>
      </c>
      <c r="B7847" t="s">
        <v>14</v>
      </c>
      <c r="C7847" t="s">
        <v>22</v>
      </c>
      <c r="D7847" s="2" t="s">
        <f>=HYPERLINK("https://main.knesset.gov.il/APPS/legislation/main/bills/2170035", "הצעת חוק יישום תוכנית ההתנתקות (תיקון - ביטול סעיפי הפינוי ושינוי שם החוק), התשפ""ב-2022")</f>
        <v>15130</v>
      </c>
      <c r="E7847" t="s">
        <v>15130</v>
      </c>
      <c r="F7847" t="s">
        <v>15308</v>
      </c>
      <c r="G7847" t="s">
        <v>14</v>
      </c>
      <c r="H7847">
             </c>
      <c r="I7847" t="s">
        <v>14</v>
      </c>
      <c r="J7847" t="s">
        <v>55</v>
      </c>
      <c r="K7847" t="s">
        <v>14</v>
      </c>
      <c r="L7847" t="s">
        <v>20</v>
      </c>
      <c r="M7847" t="s">
        <v>15299</v>
      </c>
      <c r="N7847" t="s">
        <v>14</v>
      </c>
    </row>
    <row r="7848" x14ac:dyDescent="0.25">
      <c r="A7848" t="n">
        <v>24</v>
      </c>
      <c r="B7848" t="s">
        <v>14</v>
      </c>
      <c r="C7848" t="s">
        <v>22</v>
      </c>
      <c r="D7848" s="2" t="s">
        <f>=HYPERLINK("https://main.knesset.gov.il/APPS/legislation/main/bills/2170143", "הצעת חוק הביטוח הלאומי (תיקון - ביטוח שאירים לאלמן), התשפ""ב-2022")</f>
        <v>15304</v>
      </c>
      <c r="E7848" t="s">
        <v>15304</v>
      </c>
      <c r="F7848" t="s">
        <v>15309</v>
      </c>
      <c r="G7848" t="s">
        <v>14</v>
      </c>
      <c r="H7848">
             </c>
      <c r="I7848" t="s">
        <v>14</v>
      </c>
      <c r="J7848" t="s">
        <v>55</v>
      </c>
      <c r="K7848" t="s">
        <v>14</v>
      </c>
      <c r="L7848" t="s">
        <v>20</v>
      </c>
      <c r="M7848" t="s">
        <v>15299</v>
      </c>
      <c r="N7848" t="s">
        <v>14</v>
      </c>
    </row>
    <row r="7849" x14ac:dyDescent="0.25">
      <c r="A7849" t="n">
        <v>24</v>
      </c>
      <c r="B7849" t="s">
        <v>14</v>
      </c>
      <c r="C7849" t="s">
        <v>22</v>
      </c>
      <c r="D7849" s="2" t="s">
        <f>=HYPERLINK("https://main.knesset.gov.il/APPS/legislation/main/bills/2164632", "הצעת חוק הלוואות לדיור (תיקון - מענק מיוחד לרכישת דירת מגורים מזכה באזור עדיפות לאומית), התשפ""ב-2022")</f>
        <v>15310</v>
      </c>
      <c r="E7849" t="s">
        <v>15310</v>
      </c>
      <c r="F7849" t="s">
        <v>15311</v>
      </c>
      <c r="G7849" t="s">
        <v>14</v>
      </c>
      <c r="H7849">
             </c>
      <c r="I7849" t="s">
        <v>14</v>
      </c>
      <c r="J7849" t="s">
        <v>55</v>
      </c>
      <c r="K7849" t="s">
        <v>14</v>
      </c>
      <c r="L7849" t="s">
        <v>20</v>
      </c>
      <c r="M7849" t="s">
        <v>15299</v>
      </c>
      <c r="N7849" t="s">
        <v>14</v>
      </c>
    </row>
    <row r="7850" x14ac:dyDescent="0.25">
      <c r="A7850" t="n">
        <v>24</v>
      </c>
      <c r="B7850" t="s">
        <v>14</v>
      </c>
      <c r="C7850" t="s">
        <v>22</v>
      </c>
      <c r="D7850" s="2" t="s">
        <f>=HYPERLINK("https://main.knesset.gov.il/APPS/legislation/main/bills/2169101", "הצעת חוק יישום תכנית ההתנתקות (תיקון - ביטול סעיפי הפינוי ושינוי שם החוק), תשפ""ב-2022 ")</f>
        <v>15312</v>
      </c>
      <c r="E7850" t="s">
        <v>15312</v>
      </c>
      <c r="F7850" t="s">
        <v>15313</v>
      </c>
      <c r="G7850" t="s">
        <v>14</v>
      </c>
      <c r="H7850">
             </c>
      <c r="I7850" t="s">
        <v>14</v>
      </c>
      <c r="J7850" t="s">
        <v>55</v>
      </c>
      <c r="K7850" t="s">
        <v>14</v>
      </c>
      <c r="L7850" t="s">
        <v>20</v>
      </c>
      <c r="M7850" t="s">
        <v>15299</v>
      </c>
      <c r="N7850" t="s">
        <v>14</v>
      </c>
    </row>
    <row r="7851" x14ac:dyDescent="0.25">
      <c r="A7851" t="n">
        <v>24</v>
      </c>
      <c r="B7851" t="s">
        <v>14</v>
      </c>
      <c r="C7851" t="s">
        <v>22</v>
      </c>
      <c r="D7851" s="2" t="s">
        <f>=HYPERLINK("https://main.knesset.gov.il/APPS/legislation/main/bills/2169953", "הצעת חוק הכשרה מקצועית ישירה לעולים, התשפ""ב-2022")</f>
        <v>15314</v>
      </c>
      <c r="E7851" t="s">
        <v>15314</v>
      </c>
      <c r="F7851" t="s">
        <v>15315</v>
      </c>
      <c r="G7851" t="s">
        <v>14</v>
      </c>
      <c r="H7851">
             </c>
      <c r="I7851" t="s">
        <v>14</v>
      </c>
      <c r="J7851" t="s">
        <v>343</v>
      </c>
      <c r="K7851" t="s">
        <v>14</v>
      </c>
      <c r="L7851" t="s">
        <v>20</v>
      </c>
      <c r="M7851" t="s">
        <v>15299</v>
      </c>
      <c r="N7851" t="s">
        <v>14</v>
      </c>
    </row>
    <row r="7852" x14ac:dyDescent="0.25">
      <c r="A7852" t="n">
        <v>24</v>
      </c>
      <c r="B7852" t="s">
        <v>14</v>
      </c>
      <c r="C7852" t="s">
        <v>22</v>
      </c>
      <c r="D7852" s="2" t="s">
        <f>=HYPERLINK("https://main.knesset.gov.il/APPS/legislation/main/bills/2166444", "הצעת חוק לצמצום השימוש בשקיות נשיאה חד-פעמיות (תיקון - היטל על שקית נשיאה חד-פעמית), התשפ""ב-2022")</f>
        <v>15043</v>
      </c>
      <c r="E7852" t="s">
        <v>15043</v>
      </c>
      <c r="F7852" t="s">
        <v>15316</v>
      </c>
      <c r="G7852" t="s">
        <v>14</v>
      </c>
      <c r="H7852">
             </c>
      <c r="I7852" t="s">
        <v>14</v>
      </c>
      <c r="J7852" t="s">
        <v>55</v>
      </c>
      <c r="K7852" t="s">
        <v>14</v>
      </c>
      <c r="L7852" t="s">
        <v>20</v>
      </c>
      <c r="M7852" t="s">
        <v>15299</v>
      </c>
      <c r="N7852" t="s">
        <v>14</v>
      </c>
    </row>
    <row r="7853" x14ac:dyDescent="0.25">
      <c r="A7853" t="n">
        <v>24</v>
      </c>
      <c r="B7853" t="s">
        <v>14</v>
      </c>
      <c r="C7853" t="s">
        <v>22</v>
      </c>
      <c r="D7853" s="2" t="s">
        <f>=HYPERLINK("https://main.knesset.gov.il/APPS/legislation/main/bills/2169114", "הצעת חוק העונשין (תיקון - החמרת ענישה במקרי אונס ותקיפה מינית), התשפ""ב-2022")</f>
        <v>15317</v>
      </c>
      <c r="E7853" t="s">
        <v>15317</v>
      </c>
      <c r="F7853" t="s">
        <v>15318</v>
      </c>
      <c r="G7853" t="s">
        <v>14</v>
      </c>
      <c r="H7853">
             </c>
      <c r="I7853" t="s">
        <v>14</v>
      </c>
      <c r="J7853" t="s">
        <v>55</v>
      </c>
      <c r="K7853" t="s">
        <v>14</v>
      </c>
      <c r="L7853" t="s">
        <v>20</v>
      </c>
      <c r="M7853" t="s">
        <v>15299</v>
      </c>
      <c r="N7853" t="s">
        <v>14</v>
      </c>
    </row>
    <row r="7854" x14ac:dyDescent="0.25">
      <c r="A7854" t="n">
        <v>24</v>
      </c>
      <c r="B7854" t="s">
        <v>14</v>
      </c>
      <c r="C7854" t="s">
        <v>22</v>
      </c>
      <c r="D7854" s="2" t="s">
        <f>=HYPERLINK("https://main.knesset.gov.il/APPS/legislation/main/bills/2169378", "הצעת חוק המועצה להשכלה גבוהה (תיקון - ביטול חובת דרישות מבחני כניסה וציון פסיכומטרי), התשפ""ב-2022")</f>
        <v>15275</v>
      </c>
      <c r="E7854" t="s">
        <v>15275</v>
      </c>
      <c r="F7854" t="s">
        <v>15319</v>
      </c>
      <c r="G7854" t="s">
        <v>14</v>
      </c>
      <c r="H7854">
             </c>
      <c r="I7854" t="s">
        <v>14</v>
      </c>
      <c r="J7854" t="s">
        <v>55</v>
      </c>
      <c r="K7854" t="s">
        <v>14</v>
      </c>
      <c r="L7854" t="s">
        <v>20</v>
      </c>
      <c r="M7854" t="s">
        <v>15299</v>
      </c>
      <c r="N7854" t="s">
        <v>14</v>
      </c>
    </row>
    <row r="7855" x14ac:dyDescent="0.25">
      <c r="A7855" t="n">
        <v>24</v>
      </c>
      <c r="B7855" t="s">
        <v>14</v>
      </c>
      <c r="C7855" t="s">
        <v>22</v>
      </c>
      <c r="D7855" s="2" t="s">
        <f>=HYPERLINK("https://main.knesset.gov.il/APPS/legislation/main/bills/2165980", "הצעת חוק העונשין (תיקון - הסדר חילוט בעבירת סחר בנשק), התשפ""ב-2022")</f>
        <v>15320</v>
      </c>
      <c r="E7855" t="s">
        <v>15320</v>
      </c>
      <c r="F7855" t="s">
        <v>15321</v>
      </c>
      <c r="G7855" t="s">
        <v>14</v>
      </c>
      <c r="H7855">
             </c>
      <c r="I7855" t="s">
        <v>14</v>
      </c>
      <c r="J7855" t="s">
        <v>31</v>
      </c>
      <c r="K7855" t="s">
        <v>27</v>
      </c>
      <c r="L7855" t="s">
        <v>20</v>
      </c>
      <c r="M7855" t="s">
        <v>15299</v>
      </c>
      <c r="N7855" t="s">
        <v>14</v>
      </c>
    </row>
    <row r="7856" x14ac:dyDescent="0.25">
      <c r="A7856" t="n">
        <v>24</v>
      </c>
      <c r="B7856" t="s">
        <v>14</v>
      </c>
      <c r="C7856" t="s">
        <v>22</v>
      </c>
      <c r="D7856" s="2" t="s">
        <f>=HYPERLINK("https://main.knesset.gov.il/APPS/legislation/main/bills/2166025", "הצעת חוק הארכת תקופות ודחיית מועדים בענייני הליכי מס ומענקי סיוע (נגיף הקורונה החדש - הוראת שעה - תיקוני חקיקה) (תיקון - תקופות לעניין מס רכישה לדירה יחידה), התשפ""ב-2021")</f>
        <v>15322</v>
      </c>
      <c r="E7856" t="s">
        <v>15322</v>
      </c>
      <c r="F7856" t="s">
        <v>15323</v>
      </c>
      <c r="G7856" t="s">
        <v>14</v>
      </c>
      <c r="H7856">
             </c>
      <c r="I7856" t="s">
        <v>14</v>
      </c>
      <c r="J7856" t="s">
        <v>55</v>
      </c>
      <c r="K7856" t="s">
        <v>14</v>
      </c>
      <c r="L7856" t="s">
        <v>20</v>
      </c>
      <c r="M7856" t="s">
        <v>15299</v>
      </c>
      <c r="N7856" t="s">
        <v>14</v>
      </c>
    </row>
    <row r="7857" x14ac:dyDescent="0.25">
      <c r="A7857" t="n">
        <v>24</v>
      </c>
      <c r="B7857" t="s">
        <v>14</v>
      </c>
      <c r="C7857" t="s">
        <v>22</v>
      </c>
      <c r="D7857" s="2" t="s">
        <f>=HYPERLINK("https://main.knesset.gov.il/APPS/legislation/main/bills/2163924", "הצעת חוק הכשרות המשפטית והאפוטרופסות (תיקון - הסדרי ראיה לדודים ודודות), התשפ""ב-2021")</f>
        <v>15324</v>
      </c>
      <c r="E7857" t="s">
        <v>15324</v>
      </c>
      <c r="F7857" t="s">
        <v>15325</v>
      </c>
      <c r="G7857" t="s">
        <v>14</v>
      </c>
      <c r="H7857">
             </c>
      <c r="I7857" t="s">
        <v>14</v>
      </c>
      <c r="J7857" t="s">
        <v>31</v>
      </c>
      <c r="K7857" t="s">
        <v>27</v>
      </c>
      <c r="L7857" t="s">
        <v>20</v>
      </c>
      <c r="M7857" t="s">
        <v>15299</v>
      </c>
      <c r="N7857" t="s">
        <v>14</v>
      </c>
    </row>
    <row r="7858" x14ac:dyDescent="0.25">
      <c r="A7858" t="n">
        <v>24</v>
      </c>
      <c r="B7858" t="s">
        <v>14</v>
      </c>
      <c r="C7858" t="s">
        <v>22</v>
      </c>
      <c r="D7858" s="2" t="s">
        <f>=HYPERLINK("https://main.knesset.gov.il/APPS/legislation/main/bills/2161107", "הצעת חוק סיוע לקטינים נפגעי עבירות מין או אלימות (תיקון - טיפול נפשי לילדים נפגעי אלימות במשפחה), התשפ""א-2021")</f>
        <v>15326</v>
      </c>
      <c r="E7858" t="s">
        <v>15326</v>
      </c>
      <c r="F7858" t="s">
        <v>15327</v>
      </c>
      <c r="G7858" t="s">
        <v>14</v>
      </c>
      <c r="H7858">
             </c>
      <c r="I7858" t="s">
        <v>14</v>
      </c>
      <c r="J7858" t="s">
        <v>60</v>
      </c>
      <c r="K7858" t="s">
        <v>14</v>
      </c>
      <c r="L7858" t="s">
        <v>20</v>
      </c>
      <c r="M7858" t="s">
        <v>15299</v>
      </c>
      <c r="N7858" t="s">
        <v>14</v>
      </c>
    </row>
    <row r="7859" x14ac:dyDescent="0.25">
      <c r="A7859" t="n">
        <v>24</v>
      </c>
      <c r="B7859" t="s">
        <v>14</v>
      </c>
      <c r="C7859" t="s">
        <v>22</v>
      </c>
      <c r="D7859" s="2" t="s">
        <f>=HYPERLINK("https://main.knesset.gov.il/APPS/legislation/main/bills/2161048", "הצעת חוק הביטוח הלאומי (תיקון - ביטוח שאירים לאלמן), התשפ""א-2021")</f>
        <v>15328</v>
      </c>
      <c r="E7859" t="s">
        <v>15328</v>
      </c>
      <c r="F7859" t="s">
        <v>15329</v>
      </c>
      <c r="G7859" t="s">
        <v>14</v>
      </c>
      <c r="H7859">
             </c>
      <c r="I7859" t="s">
        <v>14</v>
      </c>
      <c r="J7859" t="s">
        <v>60</v>
      </c>
      <c r="K7859" t="s">
        <v>14</v>
      </c>
      <c r="L7859" t="s">
        <v>20</v>
      </c>
      <c r="M7859" t="s">
        <v>15299</v>
      </c>
      <c r="N7859" t="s">
        <v>14</v>
      </c>
    </row>
    <row r="7860" x14ac:dyDescent="0.25">
      <c r="A7860" t="n">
        <v>24</v>
      </c>
      <c r="B7860" t="s">
        <v>14</v>
      </c>
      <c r="C7860" t="s">
        <v>22</v>
      </c>
      <c r="D7860" s="2" t="s">
        <f>=HYPERLINK("https://main.knesset.gov.il/APPS/legislation/main/bills/2160862", "הצעת חוק הסעות לחיילים, התשפ""א-2021")</f>
        <v>15330</v>
      </c>
      <c r="E7860" t="s">
        <v>15330</v>
      </c>
      <c r="F7860" t="s">
        <v>15331</v>
      </c>
      <c r="G7860" t="s">
        <v>14</v>
      </c>
      <c r="H7860">
             </c>
      <c r="I7860" t="s">
        <v>14</v>
      </c>
      <c r="J7860" t="s">
        <v>55</v>
      </c>
      <c r="K7860" t="s">
        <v>14</v>
      </c>
      <c r="L7860" t="s">
        <v>20</v>
      </c>
      <c r="M7860" t="s">
        <v>15299</v>
      </c>
      <c r="N7860" t="s">
        <v>14</v>
      </c>
    </row>
    <row r="7861" x14ac:dyDescent="0.25">
      <c r="A7861" t="n">
        <v>24</v>
      </c>
      <c r="B7861" t="s">
        <v>14</v>
      </c>
      <c r="C7861" t="s">
        <v>22</v>
      </c>
      <c r="D7861" s="2" t="s">
        <f>=HYPERLINK("https://main.knesset.gov.il/APPS/legislation/main/bills/2158509", "הצעת חוק יסודות התקציב (תיקון - הפחתת תקציב או תמיכה בשל פעילות נגד עקרונות המדינה של עובד או נושא משרה), התשפ""א-2021")</f>
        <v>15332</v>
      </c>
      <c r="E7861" t="s">
        <v>15332</v>
      </c>
      <c r="F7861" t="s">
        <v>15333</v>
      </c>
      <c r="G7861" t="s">
        <v>14</v>
      </c>
      <c r="H7861">
             </c>
      <c r="I7861" t="s">
        <v>14</v>
      </c>
      <c r="J7861" t="s">
        <v>55</v>
      </c>
      <c r="K7861" t="s">
        <v>14</v>
      </c>
      <c r="L7861" t="s">
        <v>20</v>
      </c>
      <c r="M7861" t="s">
        <v>15299</v>
      </c>
      <c r="N7861" t="s">
        <v>14</v>
      </c>
    </row>
    <row r="7862" x14ac:dyDescent="0.25">
      <c r="A7862" t="n">
        <v>24</v>
      </c>
      <c r="B7862" t="s">
        <v>14</v>
      </c>
      <c r="C7862" t="s">
        <v>22</v>
      </c>
      <c r="D7862" s="2" t="s">
        <f>=HYPERLINK("https://main.knesset.gov.il/APPS/legislation/main/bills/2158473", "הצעת חוק האזרחות (תיקון - ביטול אזרחות לאדם שהורשע ברצח או ניסיון לרצח על רקע לאומני), התשפ""א-2021")</f>
        <v>15334</v>
      </c>
      <c r="E7862" t="s">
        <v>15334</v>
      </c>
      <c r="F7862" t="s">
        <v>15335</v>
      </c>
      <c r="G7862" t="s">
        <v>14</v>
      </c>
      <c r="H7862">
             </c>
      <c r="I7862" t="s">
        <v>14</v>
      </c>
      <c r="J7862" t="s">
        <v>55</v>
      </c>
      <c r="K7862" t="s">
        <v>14</v>
      </c>
      <c r="L7862" t="s">
        <v>20</v>
      </c>
      <c r="M7862" t="s">
        <v>15299</v>
      </c>
      <c r="N7862" t="s">
        <v>14</v>
      </c>
    </row>
    <row r="7863" x14ac:dyDescent="0.25">
      <c r="A7863" t="n">
        <v>24</v>
      </c>
      <c r="B7863" t="s">
        <v>14</v>
      </c>
      <c r="C7863" t="s">
        <v>22</v>
      </c>
      <c r="D7863" s="2" t="s">
        <f>=HYPERLINK("https://main.knesset.gov.il/APPS/legislation/main/bills/2157144", "הצעת חוק ההתיישנות (תיקון - הרחבת הגדרת בן משפחה לעניין תקופת ההתיישנות של תביעה בשל תקיפה מינית או התעללות), התשפ""א-2021")</f>
        <v>15336</v>
      </c>
      <c r="E7863" t="s">
        <v>15336</v>
      </c>
      <c r="F7863" t="s">
        <v>15337</v>
      </c>
      <c r="G7863" t="s">
        <v>14</v>
      </c>
      <c r="H7863">
             </c>
      <c r="I7863" t="s">
        <v>14</v>
      </c>
      <c r="J7863" t="s">
        <v>31</v>
      </c>
      <c r="K7863" t="s">
        <v>27</v>
      </c>
      <c r="L7863" t="s">
        <v>20</v>
      </c>
      <c r="M7863" t="s">
        <v>15299</v>
      </c>
      <c r="N7863" t="s">
        <v>14</v>
      </c>
    </row>
    <row r="7864" x14ac:dyDescent="0.25">
      <c r="A7864" t="n">
        <v>24</v>
      </c>
      <c r="B7864" t="s">
        <v>14</v>
      </c>
      <c r="C7864" t="s">
        <v>22</v>
      </c>
      <c r="D7864" s="2" t="s">
        <f>=HYPERLINK("https://main.knesset.gov.il/APPS/legislation/main/bills/2157346", "הצעת חוק העונשין (תיקון מס' 142), התשפ""ב–2022")</f>
        <v>15338</v>
      </c>
      <c r="E7864" t="s">
        <v>15338</v>
      </c>
      <c r="F7864" t="s">
        <v>15339</v>
      </c>
      <c r="G7864" t="s">
        <v>15340</v>
      </c>
      <c r="H7864">
             </c>
      <c r="I7864" t="s">
        <v>14</v>
      </c>
      <c r="J7864" t="s">
        <v>73</v>
      </c>
      <c r="K7864" t="s">
        <v>27</v>
      </c>
      <c r="L7864" t="s">
        <v>20</v>
      </c>
      <c r="M7864" t="s">
        <v>15299</v>
      </c>
      <c r="N7864" t="s">
        <v>14</v>
      </c>
    </row>
    <row r="7865" x14ac:dyDescent="0.25">
      <c r="A7865" t="n">
        <v>24</v>
      </c>
      <c r="B7865" t="s">
        <v>14</v>
      </c>
      <c r="C7865" t="s">
        <v>22</v>
      </c>
      <c r="D7865" s="2" t="s">
        <f>=HYPERLINK("https://main.knesset.gov.il/APPS/legislation/main/bills/2156773", "הצעת חוק סיוע לקטינים נפגעי עבירות מין או אלימות (תיקון - טיפול נפשי לילדים), התשפ""א-2021")</f>
        <v>15341</v>
      </c>
      <c r="E7865" t="s">
        <v>15341</v>
      </c>
      <c r="F7865" t="s">
        <v>15342</v>
      </c>
      <c r="G7865" t="s">
        <v>14</v>
      </c>
      <c r="H7865">
             </c>
      <c r="I7865" t="s">
        <v>14</v>
      </c>
      <c r="J7865" t="s">
        <v>60</v>
      </c>
      <c r="K7865" t="s">
        <v>14</v>
      </c>
      <c r="L7865" t="s">
        <v>20</v>
      </c>
      <c r="M7865" t="s">
        <v>15299</v>
      </c>
      <c r="N7865" t="s">
        <v>14</v>
      </c>
    </row>
    <row r="7866" x14ac:dyDescent="0.25">
      <c r="A7866" t="n">
        <v>24</v>
      </c>
      <c r="B7866" t="s">
        <v>14</v>
      </c>
      <c r="C7866" t="s">
        <v>22</v>
      </c>
      <c r="D7866" s="2" t="s">
        <f>=HYPERLINK("https://main.knesset.gov.il/APPS/legislation/main/bills/2162299", "הצעת חוק המסייעים לנטרול תוצאות אסון צ'רנוביל (תיקון מס' 2), התשפ""ב–2022")</f>
        <v>15343</v>
      </c>
      <c r="E7866" t="s">
        <v>15343</v>
      </c>
      <c r="F7866" t="s">
        <v>15344</v>
      </c>
      <c r="G7866" t="s">
        <v>15345</v>
      </c>
      <c r="H7866">
             </c>
      <c r="I7866" t="s">
        <v>14</v>
      </c>
      <c r="J7866" t="s">
        <v>289</v>
      </c>
      <c r="K7866" t="s">
        <v>127</v>
      </c>
      <c r="L7866" t="s">
        <v>20</v>
      </c>
      <c r="M7866" t="s">
        <v>15346</v>
      </c>
      <c r="N7866" t="s">
        <v>14</v>
      </c>
    </row>
    <row r="7867" x14ac:dyDescent="0.25">
      <c r="A7867" t="n">
        <v>24</v>
      </c>
      <c r="B7867" t="s">
        <v>14</v>
      </c>
      <c r="C7867" t="s">
        <v>22</v>
      </c>
      <c r="D7867" s="2" t="s">
        <f>=HYPERLINK("https://main.knesset.gov.il/APPS/legislation/main/bills/2169513", "הצעת חוק צער בעלי חיים (הגנה על בעלי חיים) (תיקון - איסור ביצוע פעולות השחתה וריסון בבהמות), התשפ""ב-2022")</f>
        <v>15347</v>
      </c>
      <c r="E7867" t="s">
        <v>15347</v>
      </c>
      <c r="F7867" t="s">
        <v>15348</v>
      </c>
      <c r="G7867" t="s">
        <v>14</v>
      </c>
      <c r="H7867">
             </c>
      <c r="I7867" t="s">
        <v>14</v>
      </c>
      <c r="J7867" t="s">
        <v>31</v>
      </c>
      <c r="K7867" t="s">
        <v>34</v>
      </c>
      <c r="L7867" t="s">
        <v>20</v>
      </c>
      <c r="M7867" t="s">
        <v>15346</v>
      </c>
      <c r="N7867" t="s">
        <v>14</v>
      </c>
    </row>
    <row r="7868" x14ac:dyDescent="0.25">
      <c r="A7868" t="n">
        <v>24</v>
      </c>
      <c r="B7868" t="s">
        <v>14</v>
      </c>
      <c r="C7868" t="s">
        <v>15</v>
      </c>
      <c r="D7868" s="2" t="s">
        <f>=HYPERLINK("https://main.knesset.gov.il/APPS/legislation/main/bills/2163803", "חוק קליטת חיילים משוחררים (תיקון מס' 24), התשפ""ב-2022")</f>
        <v>15349</v>
      </c>
      <c r="E7868" t="s">
        <v>15349</v>
      </c>
      <c r="F7868" t="s">
        <v>14</v>
      </c>
      <c r="G7868" t="s">
        <v>15350</v>
      </c>
      <c r="H7868" t="n">
        <v>2973</v>
      </c>
      <c r="I7868" t="s">
        <v>14</v>
      </c>
      <c r="J7868" t="s">
        <v>91</v>
      </c>
      <c r="K7868" t="s">
        <v>114</v>
      </c>
      <c r="L7868" t="s">
        <v>20</v>
      </c>
      <c r="M7868" t="s">
        <v>15346</v>
      </c>
      <c r="N7868" t="s">
        <v>15351</v>
      </c>
    </row>
    <row r="7869" x14ac:dyDescent="0.25">
      <c r="A7869" t="n">
        <v>24</v>
      </c>
      <c r="B7869" t="s">
        <v>14</v>
      </c>
      <c r="C7869" t="s">
        <v>22</v>
      </c>
      <c r="D7869" s="2" t="s">
        <f>=HYPERLINK("https://main.knesset.gov.il/APPS/legislation/main/bills/2192588", "הצעת חוק העונשין (תיקון - תקיפת עובד מערך בריאות), התשפ""ב-2022")</f>
        <v>15155</v>
      </c>
      <c r="E7869" t="s">
        <v>15155</v>
      </c>
      <c r="F7869" t="s">
        <v>15352</v>
      </c>
      <c r="G7869" t="s">
        <v>14</v>
      </c>
      <c r="H7869">
             </c>
      <c r="I7869" t="s">
        <v>14</v>
      </c>
      <c r="J7869" t="s">
        <v>141</v>
      </c>
      <c r="K7869" t="s">
        <v>14</v>
      </c>
      <c r="L7869" t="s">
        <v>20</v>
      </c>
      <c r="M7869" t="s">
        <v>15346</v>
      </c>
      <c r="N7869" t="s">
        <v>14</v>
      </c>
    </row>
    <row r="7870" x14ac:dyDescent="0.25">
      <c r="A7870" t="n">
        <v>24</v>
      </c>
      <c r="B7870" t="s">
        <v>14</v>
      </c>
      <c r="C7870" t="s">
        <v>22</v>
      </c>
      <c r="D7870" s="2" t="s">
        <f>=HYPERLINK("https://main.knesset.gov.il/APPS/legislation/main/bills/2191357", "הצעת חוק צוותי התערבות במשבר, התשפ""ב-2022")</f>
        <v>15353</v>
      </c>
      <c r="E7870" t="s">
        <v>15353</v>
      </c>
      <c r="F7870" t="s">
        <v>15354</v>
      </c>
      <c r="G7870" t="s">
        <v>14</v>
      </c>
      <c r="H7870">
             </c>
      <c r="I7870" t="s">
        <v>14</v>
      </c>
      <c r="J7870" t="s">
        <v>141</v>
      </c>
      <c r="K7870" t="s">
        <v>14</v>
      </c>
      <c r="L7870" t="s">
        <v>20</v>
      </c>
      <c r="M7870" t="s">
        <v>15346</v>
      </c>
      <c r="N7870" t="s">
        <v>14</v>
      </c>
    </row>
    <row r="7871" x14ac:dyDescent="0.25">
      <c r="A7871" t="n">
        <v>24</v>
      </c>
      <c r="B7871" t="s">
        <v>14</v>
      </c>
      <c r="C7871" t="s">
        <v>22</v>
      </c>
      <c r="D7871" s="2" t="s">
        <f>=HYPERLINK("https://main.knesset.gov.il/APPS/legislation/main/bills/2191402", "הצעת חוק תמיכה בביטחון תזונתי אצל תינוקות, התשפ""ב - 2022 ")</f>
        <v>15355</v>
      </c>
      <c r="E7871" t="s">
        <v>15355</v>
      </c>
      <c r="F7871" t="s">
        <v>15356</v>
      </c>
      <c r="G7871" t="s">
        <v>14</v>
      </c>
      <c r="H7871">
             </c>
      <c r="I7871" t="s">
        <v>14</v>
      </c>
      <c r="J7871" t="s">
        <v>141</v>
      </c>
      <c r="K7871" t="s">
        <v>14</v>
      </c>
      <c r="L7871" t="s">
        <v>20</v>
      </c>
      <c r="M7871" t="s">
        <v>15346</v>
      </c>
      <c r="N7871" t="s">
        <v>14</v>
      </c>
    </row>
    <row r="7872" x14ac:dyDescent="0.25">
      <c r="A7872" t="n">
        <v>24</v>
      </c>
      <c r="B7872" t="s">
        <v>14</v>
      </c>
      <c r="C7872" t="s">
        <v>22</v>
      </c>
      <c r="D7872" s="2" t="s">
        <f>=HYPERLINK("https://main.knesset.gov.il/APPS/legislation/main/bills/2191959", "הצעת חוק האקלים, התשפ""ב-2022")</f>
        <v>14671</v>
      </c>
      <c r="E7872" t="s">
        <v>14671</v>
      </c>
      <c r="F7872" t="s">
        <v>15357</v>
      </c>
      <c r="G7872" t="s">
        <v>14</v>
      </c>
      <c r="H7872">
             </c>
      <c r="I7872" t="s">
        <v>14</v>
      </c>
      <c r="J7872" t="s">
        <v>141</v>
      </c>
      <c r="K7872" t="s">
        <v>14</v>
      </c>
      <c r="L7872" t="s">
        <v>20</v>
      </c>
      <c r="M7872" t="s">
        <v>15346</v>
      </c>
      <c r="N7872" t="s">
        <v>14</v>
      </c>
    </row>
    <row r="7873" x14ac:dyDescent="0.25">
      <c r="A7873" t="n">
        <v>24</v>
      </c>
      <c r="B7873" t="s">
        <v>14</v>
      </c>
      <c r="C7873" t="s">
        <v>22</v>
      </c>
      <c r="D7873" s="2" t="s">
        <f>=HYPERLINK("https://main.knesset.gov.il/APPS/legislation/main/bills/2191969", "הצעת חוק הכנסת (תיקון - אישור אמנות בין-לאומיות), התשפ""ב-2022")</f>
        <v>14973</v>
      </c>
      <c r="E7873" t="s">
        <v>14973</v>
      </c>
      <c r="F7873" t="s">
        <v>15358</v>
      </c>
      <c r="G7873" t="s">
        <v>14</v>
      </c>
      <c r="H7873">
             </c>
      <c r="I7873" t="s">
        <v>14</v>
      </c>
      <c r="J7873" t="s">
        <v>141</v>
      </c>
      <c r="K7873" t="s">
        <v>14</v>
      </c>
      <c r="L7873" t="s">
        <v>20</v>
      </c>
      <c r="M7873" t="s">
        <v>15346</v>
      </c>
      <c r="N7873" t="s">
        <v>14</v>
      </c>
    </row>
    <row r="7874" x14ac:dyDescent="0.25">
      <c r="A7874" t="n">
        <v>24</v>
      </c>
      <c r="B7874" t="s">
        <v>14</v>
      </c>
      <c r="C7874" t="s">
        <v>22</v>
      </c>
      <c r="D7874" s="2" t="s">
        <f>=HYPERLINK("https://main.knesset.gov.il/APPS/legislation/main/bills/2191687", "הצעת חוק תמיכה במימון פעילות ארגון נכי צהל ובתי הלוחם, התשפ""ב-2022")</f>
        <v>15359</v>
      </c>
      <c r="E7874" t="s">
        <v>15359</v>
      </c>
      <c r="F7874" t="s">
        <v>15360</v>
      </c>
      <c r="G7874" t="s">
        <v>14</v>
      </c>
      <c r="H7874">
             </c>
      <c r="I7874" t="s">
        <v>14</v>
      </c>
      <c r="J7874" t="s">
        <v>141</v>
      </c>
      <c r="K7874" t="s">
        <v>14</v>
      </c>
      <c r="L7874" t="s">
        <v>20</v>
      </c>
      <c r="M7874" t="s">
        <v>15346</v>
      </c>
      <c r="N7874" t="s">
        <v>14</v>
      </c>
    </row>
    <row r="7875" x14ac:dyDescent="0.25">
      <c r="A7875" t="n">
        <v>24</v>
      </c>
      <c r="B7875" t="s">
        <v>14</v>
      </c>
      <c r="C7875" t="s">
        <v>22</v>
      </c>
      <c r="D7875" s="2" t="s">
        <f>=HYPERLINK("https://main.knesset.gov.il/APPS/legislation/main/bills/2192340", "הצעת חוק הביטוח הלאומי (תיקון - דמי לידה לעצמאיות - מתן זכות לעבודה חלקית), התשפ""ב-2022")</f>
        <v>15361</v>
      </c>
      <c r="E7875" t="s">
        <v>15361</v>
      </c>
      <c r="F7875" t="s">
        <v>15362</v>
      </c>
      <c r="G7875" t="s">
        <v>14</v>
      </c>
      <c r="H7875">
             </c>
      <c r="I7875" t="s">
        <v>14</v>
      </c>
      <c r="J7875" t="s">
        <v>141</v>
      </c>
      <c r="K7875" t="s">
        <v>14</v>
      </c>
      <c r="L7875" t="s">
        <v>20</v>
      </c>
      <c r="M7875" t="s">
        <v>15346</v>
      </c>
      <c r="N7875" t="s">
        <v>14</v>
      </c>
    </row>
    <row r="7876" x14ac:dyDescent="0.25">
      <c r="A7876" t="n">
        <v>24</v>
      </c>
      <c r="B7876" t="s">
        <v>14</v>
      </c>
      <c r="C7876" t="s">
        <v>22</v>
      </c>
      <c r="D7876" s="2" t="s">
        <f>=HYPERLINK("https://main.knesset.gov.il/APPS/legislation/main/bills/2191631", "הצעת חוק התגמולים לנפגעי פעולות איבה (תיקון - זכאות לתגמולים ולפיצויים לפי חוק אחר), התשפ""ב-2022")</f>
        <v>15363</v>
      </c>
      <c r="E7876" t="s">
        <v>15363</v>
      </c>
      <c r="F7876" t="s">
        <v>15364</v>
      </c>
      <c r="G7876" t="s">
        <v>14</v>
      </c>
      <c r="H7876">
             </c>
      <c r="I7876" t="s">
        <v>14</v>
      </c>
      <c r="J7876" t="s">
        <v>141</v>
      </c>
      <c r="K7876" t="s">
        <v>14</v>
      </c>
      <c r="L7876" t="s">
        <v>20</v>
      </c>
      <c r="M7876" t="s">
        <v>15346</v>
      </c>
      <c r="N7876" t="s">
        <v>14</v>
      </c>
    </row>
    <row r="7877" x14ac:dyDescent="0.25">
      <c r="A7877" t="n">
        <v>24</v>
      </c>
      <c r="B7877" t="s">
        <v>14</v>
      </c>
      <c r="C7877" t="s">
        <v>22</v>
      </c>
      <c r="D7877" s="2" t="s">
        <f>=HYPERLINK("https://main.knesset.gov.il/APPS/legislation/main/bills/2190833", "הצעת חוק הסדרים במשק המדינה (תיקוני חקיקה להשגת יעדי התקציב) (תיקון - זכאות להנחה בארנונה בגין ילד נכה נוסף), התשפ""ב-2022")</f>
        <v>15365</v>
      </c>
      <c r="E7877" t="s">
        <v>15365</v>
      </c>
      <c r="F7877" t="s">
        <v>15366</v>
      </c>
      <c r="G7877" t="s">
        <v>14</v>
      </c>
      <c r="H7877">
             </c>
      <c r="I7877" t="s">
        <v>14</v>
      </c>
      <c r="J7877" t="s">
        <v>141</v>
      </c>
      <c r="K7877" t="s">
        <v>14</v>
      </c>
      <c r="L7877" t="s">
        <v>20</v>
      </c>
      <c r="M7877" t="s">
        <v>15346</v>
      </c>
      <c r="N7877" t="s">
        <v>14</v>
      </c>
    </row>
    <row r="7878" x14ac:dyDescent="0.25">
      <c r="A7878" t="n">
        <v>24</v>
      </c>
      <c r="B7878" t="s">
        <v>14</v>
      </c>
      <c r="C7878" t="s">
        <v>22</v>
      </c>
      <c r="D7878" s="2" t="s">
        <f>=HYPERLINK("https://main.knesset.gov.il/APPS/legislation/main/bills/2192378", "הצעת חוק הליכי חקירה והעדה (התאמה לאנשים עם מוגבלות שכלית או נפשית) (תיקון - מנגיש צדק), התשפ""ב-2022")</f>
        <v>15367</v>
      </c>
      <c r="E7878" t="s">
        <v>15367</v>
      </c>
      <c r="F7878" t="s">
        <v>15368</v>
      </c>
      <c r="G7878" t="s">
        <v>14</v>
      </c>
      <c r="H7878">
             </c>
      <c r="I7878" t="s">
        <v>14</v>
      </c>
      <c r="J7878" t="s">
        <v>141</v>
      </c>
      <c r="K7878" t="s">
        <v>14</v>
      </c>
      <c r="L7878" t="s">
        <v>20</v>
      </c>
      <c r="M7878" t="s">
        <v>15346</v>
      </c>
      <c r="N7878" t="s">
        <v>14</v>
      </c>
    </row>
    <row r="7879" x14ac:dyDescent="0.25">
      <c r="A7879" t="n">
        <v>24</v>
      </c>
      <c r="B7879" t="s">
        <v>14</v>
      </c>
      <c r="C7879" t="s">
        <v>22</v>
      </c>
      <c r="D7879" s="2" t="s">
        <f>=HYPERLINK("https://main.knesset.gov.il/APPS/legislation/main/bills/2191517", "הצעת חוק הבטחת הכנסה (תיקון - גמלה להורה עצמאי), התשפ""ב-2022 ")</f>
        <v>15369</v>
      </c>
      <c r="E7879" t="s">
        <v>15369</v>
      </c>
      <c r="F7879" t="s">
        <v>15370</v>
      </c>
      <c r="G7879" t="s">
        <v>14</v>
      </c>
      <c r="H7879">
             </c>
      <c r="I7879" t="s">
        <v>14</v>
      </c>
      <c r="J7879" t="s">
        <v>141</v>
      </c>
      <c r="K7879" t="s">
        <v>14</v>
      </c>
      <c r="L7879" t="s">
        <v>20</v>
      </c>
      <c r="M7879" t="s">
        <v>15346</v>
      </c>
      <c r="N7879" t="s">
        <v>14</v>
      </c>
    </row>
    <row r="7880" x14ac:dyDescent="0.25">
      <c r="A7880" t="n">
        <v>24</v>
      </c>
      <c r="B7880" t="s">
        <v>14</v>
      </c>
      <c r="C7880" t="s">
        <v>22</v>
      </c>
      <c r="D7880" s="2" t="s">
        <f>=HYPERLINK("https://main.knesset.gov.il/APPS/legislation/main/bills/2192110", "הצעת חוק מימון מפלגות (תיקון - שלילת מימון ממפלגה שקוראת להטלת חרם על מדינת ישראל), התשפ""ב-2022")</f>
        <v>15371</v>
      </c>
      <c r="E7880" t="s">
        <v>15371</v>
      </c>
      <c r="F7880" t="s">
        <v>15372</v>
      </c>
      <c r="G7880" t="s">
        <v>14</v>
      </c>
      <c r="H7880">
             </c>
      <c r="I7880" t="s">
        <v>14</v>
      </c>
      <c r="J7880" t="s">
        <v>141</v>
      </c>
      <c r="K7880" t="s">
        <v>14</v>
      </c>
      <c r="L7880" t="s">
        <v>20</v>
      </c>
      <c r="M7880" t="s">
        <v>15346</v>
      </c>
      <c r="N7880" t="s">
        <v>14</v>
      </c>
    </row>
    <row r="7881" x14ac:dyDescent="0.25">
      <c r="A7881" t="n">
        <v>24</v>
      </c>
      <c r="B7881" t="s">
        <v>14</v>
      </c>
      <c r="C7881" t="s">
        <v>22</v>
      </c>
      <c r="D7881" s="2" t="s">
        <f>=HYPERLINK("https://main.knesset.gov.il/APPS/legislation/main/bills/2192519", "הצעת חוק-יסוד: הממשלה (תיקון - הגבלת תקופת כהונה)")</f>
        <v>15373</v>
      </c>
      <c r="E7881" t="s">
        <v>15373</v>
      </c>
      <c r="F7881" t="s">
        <v>15374</v>
      </c>
      <c r="G7881" t="s">
        <v>14</v>
      </c>
      <c r="H7881">
             </c>
      <c r="I7881" t="s">
        <v>14</v>
      </c>
      <c r="J7881" t="s">
        <v>141</v>
      </c>
      <c r="K7881" t="s">
        <v>14</v>
      </c>
      <c r="L7881" t="s">
        <v>20</v>
      </c>
      <c r="M7881" t="s">
        <v>15346</v>
      </c>
      <c r="N7881" t="s">
        <v>14</v>
      </c>
    </row>
    <row r="7882" x14ac:dyDescent="0.25">
      <c r="A7882" t="n">
        <v>24</v>
      </c>
      <c r="B7882" t="s">
        <v>14</v>
      </c>
      <c r="C7882" t="s">
        <v>22</v>
      </c>
      <c r="D7882" s="2" t="s">
        <f>=HYPERLINK("https://main.knesset.gov.il/APPS/legislation/main/bills/2191242", "הצעת חוק המועצה לייצור ולשיווק של אגוזי אדמה (תיקון - ביטול החוק), התשפ""ב-2022")</f>
        <v>15375</v>
      </c>
      <c r="E7882" t="s">
        <v>15375</v>
      </c>
      <c r="F7882" t="s">
        <v>15376</v>
      </c>
      <c r="G7882" t="s">
        <v>14</v>
      </c>
      <c r="H7882">
             </c>
      <c r="I7882" t="s">
        <v>14</v>
      </c>
      <c r="J7882" t="s">
        <v>141</v>
      </c>
      <c r="K7882" t="s">
        <v>14</v>
      </c>
      <c r="L7882" t="s">
        <v>20</v>
      </c>
      <c r="M7882" t="s">
        <v>15346</v>
      </c>
      <c r="N7882" t="s">
        <v>14</v>
      </c>
    </row>
    <row r="7883" x14ac:dyDescent="0.25">
      <c r="A7883" t="n">
        <v>24</v>
      </c>
      <c r="B7883" t="s">
        <v>14</v>
      </c>
      <c r="C7883" t="s">
        <v>22</v>
      </c>
      <c r="D7883" s="2" t="s">
        <f>=HYPERLINK("https://main.knesset.gov.il/APPS/legislation/main/bills/2190055", "הצעת חוק התכנון והבנייה (תיקון - תסקירי השפעה על הסביבה ועל הבריאות), התשפ״ב-2022")</f>
        <v>15377</v>
      </c>
      <c r="E7883" t="s">
        <v>15377</v>
      </c>
      <c r="F7883" t="s">
        <v>15378</v>
      </c>
      <c r="G7883" t="s">
        <v>14</v>
      </c>
      <c r="H7883">
             </c>
      <c r="I7883" t="s">
        <v>14</v>
      </c>
      <c r="J7883" t="s">
        <v>141</v>
      </c>
      <c r="K7883" t="s">
        <v>14</v>
      </c>
      <c r="L7883" t="s">
        <v>20</v>
      </c>
      <c r="M7883" t="s">
        <v>15346</v>
      </c>
      <c r="N7883" t="s">
        <v>14</v>
      </c>
    </row>
    <row r="7884" x14ac:dyDescent="0.25">
      <c r="A7884" t="n">
        <v>24</v>
      </c>
      <c r="B7884" t="s">
        <v>14</v>
      </c>
      <c r="C7884" t="s">
        <v>22</v>
      </c>
      <c r="D7884" s="2" t="s">
        <f>=HYPERLINK("https://main.knesset.gov.il/APPS/legislation/main/bills/2192251", "הצעת חוק-יסוד: ישראל - מדינת הלאום של העם היהודי (תיקון - שוויון ברוח עקרונות הכרזת העצמאות של מדינת ישראל)")</f>
        <v>5171</v>
      </c>
      <c r="E7884" t="s">
        <v>5171</v>
      </c>
      <c r="F7884" t="s">
        <v>15379</v>
      </c>
      <c r="G7884" t="s">
        <v>14</v>
      </c>
      <c r="H7884">
             </c>
      <c r="I7884" t="s">
        <v>14</v>
      </c>
      <c r="J7884" t="s">
        <v>141</v>
      </c>
      <c r="K7884" t="s">
        <v>14</v>
      </c>
      <c r="L7884" t="s">
        <v>20</v>
      </c>
      <c r="M7884" t="s">
        <v>15346</v>
      </c>
      <c r="N7884" t="s">
        <v>14</v>
      </c>
    </row>
    <row r="7885" x14ac:dyDescent="0.25">
      <c r="A7885" t="n">
        <v>24</v>
      </c>
      <c r="B7885" t="s">
        <v>14</v>
      </c>
      <c r="C7885" t="s">
        <v>22</v>
      </c>
      <c r="D7885" s="2" t="s">
        <f>=HYPERLINK("https://main.knesset.gov.il/APPS/legislation/main/bills/2191775", "הצעת חוק זכויות נפגעי עבירה (תיקון - זכויות נפגעי פעולות איבה), התשפ""ב-2022")</f>
        <v>15380</v>
      </c>
      <c r="E7885" t="s">
        <v>15380</v>
      </c>
      <c r="F7885" t="s">
        <v>15381</v>
      </c>
      <c r="G7885" t="s">
        <v>14</v>
      </c>
      <c r="H7885">
             </c>
      <c r="I7885" t="s">
        <v>14</v>
      </c>
      <c r="J7885" t="s">
        <v>141</v>
      </c>
      <c r="K7885" t="s">
        <v>14</v>
      </c>
      <c r="L7885" t="s">
        <v>20</v>
      </c>
      <c r="M7885" t="s">
        <v>15346</v>
      </c>
      <c r="N7885" t="s">
        <v>14</v>
      </c>
    </row>
    <row r="7886" x14ac:dyDescent="0.25">
      <c r="A7886" t="n">
        <v>24</v>
      </c>
      <c r="B7886" t="s">
        <v>14</v>
      </c>
      <c r="C7886" t="s">
        <v>22</v>
      </c>
      <c r="D7886" s="2" t="s">
        <f>=HYPERLINK("https://main.knesset.gov.il/APPS/legislation/main/bills/2192074", "הצעת חוק העונשין (תיקון - קנס על החזקת נשק בלתי חוקי), התשפ""ב-2022")</f>
        <v>15382</v>
      </c>
      <c r="E7886" t="s">
        <v>15382</v>
      </c>
      <c r="F7886" t="s">
        <v>15383</v>
      </c>
      <c r="G7886" t="s">
        <v>14</v>
      </c>
      <c r="H7886">
             </c>
      <c r="I7886" t="s">
        <v>14</v>
      </c>
      <c r="J7886" t="s">
        <v>141</v>
      </c>
      <c r="K7886" t="s">
        <v>14</v>
      </c>
      <c r="L7886" t="s">
        <v>20</v>
      </c>
      <c r="M7886" t="s">
        <v>15346</v>
      </c>
      <c r="N7886" t="s">
        <v>14</v>
      </c>
    </row>
    <row r="7887" x14ac:dyDescent="0.25">
      <c r="A7887" t="n">
        <v>24</v>
      </c>
      <c r="B7887" t="s">
        <v>14</v>
      </c>
      <c r="C7887" t="s">
        <v>22</v>
      </c>
      <c r="D7887" s="2" t="s">
        <f>=HYPERLINK("https://main.knesset.gov.il/APPS/legislation/main/bills/2191625", "הצעת חוק העונשין (תיקון - אלימות במשפחה בנוכחות קטין או חסר ישע), התשפ""ב-2022")</f>
        <v>15384</v>
      </c>
      <c r="E7887" t="s">
        <v>15384</v>
      </c>
      <c r="F7887" t="s">
        <v>15385</v>
      </c>
      <c r="G7887" t="s">
        <v>14</v>
      </c>
      <c r="H7887">
             </c>
      <c r="I7887" t="s">
        <v>14</v>
      </c>
      <c r="J7887" t="s">
        <v>141</v>
      </c>
      <c r="K7887" t="s">
        <v>14</v>
      </c>
      <c r="L7887" t="s">
        <v>20</v>
      </c>
      <c r="M7887" t="s">
        <v>15346</v>
      </c>
      <c r="N7887" t="s">
        <v>14</v>
      </c>
    </row>
    <row r="7888" x14ac:dyDescent="0.25">
      <c r="A7888" t="n">
        <v>24</v>
      </c>
      <c r="B7888" t="s">
        <v>14</v>
      </c>
      <c r="C7888" t="s">
        <v>22</v>
      </c>
      <c r="D7888" s="2" t="s">
        <f>=HYPERLINK("https://main.knesset.gov.il/APPS/legislation/main/bills/2191398", "הצעת חוק להסדרת שיווק והפצה של תרכובות מזון לתינוקות במוסדות הבריאות, התשפ""ב-2022 ")</f>
        <v>15386</v>
      </c>
      <c r="E7888" t="s">
        <v>15386</v>
      </c>
      <c r="F7888" t="s">
        <v>15387</v>
      </c>
      <c r="G7888" t="s">
        <v>14</v>
      </c>
      <c r="H7888">
             </c>
      <c r="I7888" t="s">
        <v>14</v>
      </c>
      <c r="J7888" t="s">
        <v>141</v>
      </c>
      <c r="K7888" t="s">
        <v>14</v>
      </c>
      <c r="L7888" t="s">
        <v>20</v>
      </c>
      <c r="M7888" t="s">
        <v>15346</v>
      </c>
      <c r="N7888" t="s">
        <v>14</v>
      </c>
    </row>
    <row r="7889" x14ac:dyDescent="0.25">
      <c r="A7889" t="n">
        <v>24</v>
      </c>
      <c r="B7889" t="s">
        <v>14</v>
      </c>
      <c r="C7889" t="s">
        <v>22</v>
      </c>
      <c r="D7889" s="2" t="s">
        <f>=HYPERLINK("https://main.knesset.gov.il/APPS/legislation/main/bills/2192140", "הצעת חוק הנוער (טיפול והשגחה) (תיקון - טיפול בבריחה ממשמורת), התשפ""ב-2022")</f>
        <v>15388</v>
      </c>
      <c r="E7889" t="s">
        <v>15388</v>
      </c>
      <c r="F7889" t="s">
        <v>15389</v>
      </c>
      <c r="G7889" t="s">
        <v>14</v>
      </c>
      <c r="H7889">
             </c>
      <c r="I7889" t="s">
        <v>14</v>
      </c>
      <c r="J7889" t="s">
        <v>141</v>
      </c>
      <c r="K7889" t="s">
        <v>14</v>
      </c>
      <c r="L7889" t="s">
        <v>20</v>
      </c>
      <c r="M7889" t="s">
        <v>15346</v>
      </c>
      <c r="N7889" t="s">
        <v>14</v>
      </c>
    </row>
    <row r="7890" x14ac:dyDescent="0.25">
      <c r="A7890" t="n">
        <v>24</v>
      </c>
      <c r="B7890" t="s">
        <v>14</v>
      </c>
      <c r="C7890" t="s">
        <v>22</v>
      </c>
      <c r="D7890" s="2" t="s">
        <f>=HYPERLINK("https://main.knesset.gov.il/APPS/legislation/main/bills/2192005", "הצעת חוק הירושה (תיקון - שלילת הזכות לירושה), התשפ""ב-2022")</f>
        <v>15390</v>
      </c>
      <c r="E7890" t="s">
        <v>15390</v>
      </c>
      <c r="F7890" t="s">
        <v>15391</v>
      </c>
      <c r="G7890" t="s">
        <v>14</v>
      </c>
      <c r="H7890">
             </c>
      <c r="I7890" t="s">
        <v>14</v>
      </c>
      <c r="J7890" t="s">
        <v>141</v>
      </c>
      <c r="K7890" t="s">
        <v>14</v>
      </c>
      <c r="L7890" t="s">
        <v>20</v>
      </c>
      <c r="M7890" t="s">
        <v>15346</v>
      </c>
      <c r="N7890" t="s">
        <v>14</v>
      </c>
    </row>
    <row r="7891" x14ac:dyDescent="0.25">
      <c r="A7891" t="n">
        <v>24</v>
      </c>
      <c r="B7891" t="s">
        <v>14</v>
      </c>
      <c r="C7891" t="s">
        <v>22</v>
      </c>
      <c r="D7891" s="2" t="s">
        <f>=HYPERLINK("https://main.knesset.gov.il/APPS/legislation/main/bills/2192123", "הצעת חוק לתיקון פקודת העיריות (ייצוג הולם בשמות מקומות ציבוריים), התשפ""ב-2022")</f>
        <v>15392</v>
      </c>
      <c r="E7891" t="s">
        <v>15392</v>
      </c>
      <c r="F7891" t="s">
        <v>15393</v>
      </c>
      <c r="G7891" t="s">
        <v>14</v>
      </c>
      <c r="H7891">
             </c>
      <c r="I7891" t="s">
        <v>14</v>
      </c>
      <c r="J7891" t="s">
        <v>141</v>
      </c>
      <c r="K7891" t="s">
        <v>14</v>
      </c>
      <c r="L7891" t="s">
        <v>20</v>
      </c>
      <c r="M7891" t="s">
        <v>15346</v>
      </c>
      <c r="N7891" t="s">
        <v>14</v>
      </c>
    </row>
    <row r="7892" x14ac:dyDescent="0.25">
      <c r="A7892" t="n">
        <v>24</v>
      </c>
      <c r="B7892" t="s">
        <v>14</v>
      </c>
      <c r="C7892" t="s">
        <v>22</v>
      </c>
      <c r="D7892" s="2" t="s">
        <f>=HYPERLINK("https://main.knesset.gov.il/APPS/legislation/main/bills/2191895", "הצעת חוק הפיקוח על מעונות יום לפעוטות (תיקון - החמרת ענישה), התשפ""ב-2022")</f>
        <v>15394</v>
      </c>
      <c r="E7892" t="s">
        <v>15394</v>
      </c>
      <c r="F7892" t="s">
        <v>15395</v>
      </c>
      <c r="G7892" t="s">
        <v>14</v>
      </c>
      <c r="H7892">
             </c>
      <c r="I7892" t="s">
        <v>14</v>
      </c>
      <c r="J7892" t="s">
        <v>141</v>
      </c>
      <c r="K7892" t="s">
        <v>14</v>
      </c>
      <c r="L7892" t="s">
        <v>20</v>
      </c>
      <c r="M7892" t="s">
        <v>15346</v>
      </c>
      <c r="N7892" t="s">
        <v>14</v>
      </c>
    </row>
    <row r="7893" x14ac:dyDescent="0.25">
      <c r="A7893" t="n">
        <v>24</v>
      </c>
      <c r="B7893" t="s">
        <v>14</v>
      </c>
      <c r="C7893" t="s">
        <v>22</v>
      </c>
      <c r="D7893" s="2" t="s">
        <f>=HYPERLINK("https://main.knesset.gov.il/APPS/legislation/main/bills/2192328", "הצעת חוק התכנון והבנייה (תיקון - ייצוג הולם לאוכלוסייה החרדית במוסדות התכנון), התשפ""ב-2022")</f>
        <v>15396</v>
      </c>
      <c r="E7893" t="s">
        <v>15396</v>
      </c>
      <c r="F7893" t="s">
        <v>15397</v>
      </c>
      <c r="G7893" t="s">
        <v>14</v>
      </c>
      <c r="H7893">
             </c>
      <c r="I7893" t="s">
        <v>14</v>
      </c>
      <c r="J7893" t="s">
        <v>141</v>
      </c>
      <c r="K7893" t="s">
        <v>14</v>
      </c>
      <c r="L7893" t="s">
        <v>20</v>
      </c>
      <c r="M7893" t="s">
        <v>15346</v>
      </c>
      <c r="N7893" t="s">
        <v>14</v>
      </c>
    </row>
    <row r="7894" x14ac:dyDescent="0.25">
      <c r="A7894" t="n">
        <v>24</v>
      </c>
      <c r="B7894" t="s">
        <v>14</v>
      </c>
      <c r="C7894" t="s">
        <v>22</v>
      </c>
      <c r="D7894" s="2" t="s">
        <f>=HYPERLINK("https://main.knesset.gov.il/APPS/legislation/main/bills/2192169", "הצעת חוק תכנון משק החלב (תיקון - ביטול החוק), התשפ""ב-2022")</f>
        <v>15398</v>
      </c>
      <c r="E7894" t="s">
        <v>15398</v>
      </c>
      <c r="F7894" t="s">
        <v>15399</v>
      </c>
      <c r="G7894" t="s">
        <v>14</v>
      </c>
      <c r="H7894">
             </c>
      <c r="I7894" t="s">
        <v>14</v>
      </c>
      <c r="J7894" t="s">
        <v>141</v>
      </c>
      <c r="K7894" t="s">
        <v>14</v>
      </c>
      <c r="L7894" t="s">
        <v>20</v>
      </c>
      <c r="M7894" t="s">
        <v>15346</v>
      </c>
      <c r="N7894" t="s">
        <v>14</v>
      </c>
    </row>
    <row r="7895" x14ac:dyDescent="0.25">
      <c r="A7895" t="n">
        <v>24</v>
      </c>
      <c r="B7895" t="s">
        <v>14</v>
      </c>
      <c r="C7895" t="s">
        <v>22</v>
      </c>
      <c r="D7895" s="2" t="s">
        <f>=HYPERLINK("https://main.knesset.gov.il/APPS/legislation/main/bills/2170262", "הצעת חוק לתיקון פקודת העיריות (קבלת מידע מהמרשם הפלילי) (הוראת שעה), התשפ""ב-2022")</f>
        <v>15400</v>
      </c>
      <c r="E7895" t="s">
        <v>15400</v>
      </c>
      <c r="F7895" t="s">
        <v>15401</v>
      </c>
      <c r="G7895" t="s">
        <v>14</v>
      </c>
      <c r="H7895">
             </c>
      <c r="I7895" t="s">
        <v>14</v>
      </c>
      <c r="J7895" t="s">
        <v>141</v>
      </c>
      <c r="K7895" t="s">
        <v>14</v>
      </c>
      <c r="L7895" t="s">
        <v>20</v>
      </c>
      <c r="M7895" t="s">
        <v>15346</v>
      </c>
      <c r="N7895" t="s">
        <v>14</v>
      </c>
    </row>
    <row r="7896" x14ac:dyDescent="0.25">
      <c r="A7896" t="n">
        <v>24</v>
      </c>
      <c r="B7896" t="s">
        <v>14</v>
      </c>
      <c r="C7896" t="s">
        <v>22</v>
      </c>
      <c r="D7896" s="2" t="s">
        <f>=HYPERLINK("https://main.knesset.gov.il/APPS/legislation/main/bills/2192104", "הצעת חוק-יסוד: הכנסת (תיקון - מניעת השתתפות של תומכי חרם בישראל בבחירות)")</f>
        <v>11508</v>
      </c>
      <c r="E7896" t="s">
        <v>11508</v>
      </c>
      <c r="F7896" t="s">
        <v>15402</v>
      </c>
      <c r="G7896" t="s">
        <v>14</v>
      </c>
      <c r="H7896">
             </c>
      <c r="I7896" t="s">
        <v>14</v>
      </c>
      <c r="J7896" t="s">
        <v>141</v>
      </c>
      <c r="K7896" t="s">
        <v>14</v>
      </c>
      <c r="L7896" t="s">
        <v>20</v>
      </c>
      <c r="M7896" t="s">
        <v>15346</v>
      </c>
      <c r="N7896" t="s">
        <v>14</v>
      </c>
    </row>
    <row r="7897" x14ac:dyDescent="0.25">
      <c r="A7897" t="n">
        <v>24</v>
      </c>
      <c r="B7897" t="s">
        <v>14</v>
      </c>
      <c r="C7897" t="s">
        <v>22</v>
      </c>
      <c r="D7897" s="2" t="s">
        <f>=HYPERLINK("https://main.knesset.gov.il/APPS/legislation/main/bills/2192362", "הצעת חוק פתיחת קבר של קטין יוצא תימן, המזרח או הבלקן לשם זיהוי ועריכת בדיקה גנטית לקשר משפחה (הוראת שעה) (תיקון - הארכת תוקף הוראת השעה ואישור בקשה מטעמים מיוחדים), התשפ""ב-2022")</f>
        <v>15403</v>
      </c>
      <c r="E7897" t="s">
        <v>15403</v>
      </c>
      <c r="F7897" t="s">
        <v>15404</v>
      </c>
      <c r="G7897" t="s">
        <v>14</v>
      </c>
      <c r="H7897">
             </c>
      <c r="I7897" t="s">
        <v>14</v>
      </c>
      <c r="J7897" t="s">
        <v>141</v>
      </c>
      <c r="K7897" t="s">
        <v>14</v>
      </c>
      <c r="L7897" t="s">
        <v>20</v>
      </c>
      <c r="M7897" t="s">
        <v>15346</v>
      </c>
      <c r="N7897" t="s">
        <v>14</v>
      </c>
    </row>
    <row r="7898" x14ac:dyDescent="0.25">
      <c r="A7898" t="n">
        <v>24</v>
      </c>
      <c r="B7898" t="s">
        <v>14</v>
      </c>
      <c r="C7898" t="s">
        <v>22</v>
      </c>
      <c r="D7898" s="2" t="s">
        <f>=HYPERLINK("https://main.knesset.gov.il/APPS/legislation/main/bills/2191938", "הצעת חוק הדיור הציבורי (זכויות רכישה) (תיקון - הארכת תוקף), התשפ""ב-2022")</f>
        <v>15405</v>
      </c>
      <c r="E7898" t="s">
        <v>15405</v>
      </c>
      <c r="F7898" t="s">
        <v>15406</v>
      </c>
      <c r="G7898" t="s">
        <v>14</v>
      </c>
      <c r="H7898">
             </c>
      <c r="I7898" t="s">
        <v>14</v>
      </c>
      <c r="J7898" t="s">
        <v>141</v>
      </c>
      <c r="K7898" t="s">
        <v>14</v>
      </c>
      <c r="L7898" t="s">
        <v>20</v>
      </c>
      <c r="M7898" t="s">
        <v>15346</v>
      </c>
      <c r="N7898" t="s">
        <v>14</v>
      </c>
    </row>
    <row r="7899" x14ac:dyDescent="0.25">
      <c r="A7899" t="n">
        <v>24</v>
      </c>
      <c r="B7899" t="s">
        <v>14</v>
      </c>
      <c r="C7899" t="s">
        <v>22</v>
      </c>
      <c r="D7899" s="2" t="s">
        <f>=HYPERLINK("https://main.knesset.gov.il/APPS/legislation/main/bills/2192338", "הצעת חוק העונשין (תיקון - איסור שימוש בדגל או בסמל של ישות האויב), התשפ""ב-2022")</f>
        <v>15407</v>
      </c>
      <c r="E7899" t="s">
        <v>15407</v>
      </c>
      <c r="F7899" t="s">
        <v>15408</v>
      </c>
      <c r="G7899" t="s">
        <v>14</v>
      </c>
      <c r="H7899">
             </c>
      <c r="I7899" t="s">
        <v>14</v>
      </c>
      <c r="J7899" t="s">
        <v>141</v>
      </c>
      <c r="K7899" t="s">
        <v>14</v>
      </c>
      <c r="L7899" t="s">
        <v>20</v>
      </c>
      <c r="M7899" t="s">
        <v>15346</v>
      </c>
      <c r="N7899" t="s">
        <v>14</v>
      </c>
    </row>
    <row r="7900" x14ac:dyDescent="0.25">
      <c r="A7900" t="n">
        <v>24</v>
      </c>
      <c r="B7900" t="s">
        <v>14</v>
      </c>
      <c r="C7900" t="s">
        <v>22</v>
      </c>
      <c r="D7900" s="2" t="s">
        <f>=HYPERLINK("https://main.knesset.gov.il/APPS/legislation/main/bills/2192395", "הצעת חוק הגנת הצרכן (תיקון - הפרה בנסיבות מחמירות), התשפ""ב-2022")</f>
        <v>15409</v>
      </c>
      <c r="E7900" t="s">
        <v>15409</v>
      </c>
      <c r="F7900" t="s">
        <v>15410</v>
      </c>
      <c r="G7900" t="s">
        <v>14</v>
      </c>
      <c r="H7900">
             </c>
      <c r="I7900" t="s">
        <v>14</v>
      </c>
      <c r="J7900" t="s">
        <v>141</v>
      </c>
      <c r="K7900" t="s">
        <v>14</v>
      </c>
      <c r="L7900" t="s">
        <v>20</v>
      </c>
      <c r="M7900" t="s">
        <v>15346</v>
      </c>
      <c r="N7900" t="s">
        <v>14</v>
      </c>
    </row>
    <row r="7901" x14ac:dyDescent="0.25">
      <c r="A7901" t="n">
        <v>24</v>
      </c>
      <c r="B7901" t="s">
        <v>14</v>
      </c>
      <c r="C7901" t="s">
        <v>22</v>
      </c>
      <c r="D7901" s="2" t="s">
        <f>=HYPERLINK("https://main.knesset.gov.il/APPS/legislation/main/bills/2190162", "הצעת חוק המוסיקה הישראלית, התשפ""ב-2022")</f>
        <v>15411</v>
      </c>
      <c r="E7901" t="s">
        <v>15411</v>
      </c>
      <c r="F7901" t="s">
        <v>15412</v>
      </c>
      <c r="G7901" t="s">
        <v>14</v>
      </c>
      <c r="H7901">
             </c>
      <c r="I7901" t="s">
        <v>14</v>
      </c>
      <c r="J7901" t="s">
        <v>141</v>
      </c>
      <c r="K7901" t="s">
        <v>14</v>
      </c>
      <c r="L7901" t="s">
        <v>20</v>
      </c>
      <c r="M7901" t="s">
        <v>15346</v>
      </c>
      <c r="N7901" t="s">
        <v>14</v>
      </c>
    </row>
    <row r="7902" x14ac:dyDescent="0.25">
      <c r="A7902" t="n">
        <v>24</v>
      </c>
      <c r="B7902" t="s">
        <v>14</v>
      </c>
      <c r="C7902" t="s">
        <v>22</v>
      </c>
      <c r="D7902" s="2" t="s">
        <f>=HYPERLINK("https://main.knesset.gov.il/APPS/legislation/main/bills/2190700", "הצעת חוק להגדלת שיעור ההשתתפות בכוח העבודה ולצמצום פערים חברתיים (מענק עבודה) (תיקון - הוראות לעניין השבת תשלום ביתר של מענקים להתמודדות עם השלכות נגיף הקורונה), התשפ""ב-2022")</f>
        <v>15413</v>
      </c>
      <c r="E7902" t="s">
        <v>15413</v>
      </c>
      <c r="F7902" t="s">
        <v>15414</v>
      </c>
      <c r="G7902" t="s">
        <v>14</v>
      </c>
      <c r="H7902">
             </c>
      <c r="I7902" t="s">
        <v>14</v>
      </c>
      <c r="J7902" t="s">
        <v>141</v>
      </c>
      <c r="K7902" t="s">
        <v>14</v>
      </c>
      <c r="L7902" t="s">
        <v>20</v>
      </c>
      <c r="M7902" t="s">
        <v>15346</v>
      </c>
      <c r="N7902" t="s">
        <v>14</v>
      </c>
    </row>
    <row r="7903" x14ac:dyDescent="0.25">
      <c r="A7903" t="n">
        <v>24</v>
      </c>
      <c r="B7903" t="s">
        <v>14</v>
      </c>
      <c r="C7903" t="s">
        <v>22</v>
      </c>
      <c r="D7903" s="2" t="s">
        <f>=HYPERLINK("https://main.knesset.gov.il/APPS/legislation/main/bills/2190865", "הצעת חוק הקפאת כספים ששילמה הרשות הפלסטינית בזיקה לטרור מהכספים המועברים אליה מממשלת ישראל (תיקון - חילוט הכספים וניהולם), התשפ""ב-2022")</f>
        <v>15415</v>
      </c>
      <c r="E7903" t="s">
        <v>15415</v>
      </c>
      <c r="F7903" t="s">
        <v>15416</v>
      </c>
      <c r="G7903" t="s">
        <v>14</v>
      </c>
      <c r="H7903">
             </c>
      <c r="I7903" t="s">
        <v>14</v>
      </c>
      <c r="J7903" t="s">
        <v>141</v>
      </c>
      <c r="K7903" t="s">
        <v>14</v>
      </c>
      <c r="L7903" t="s">
        <v>20</v>
      </c>
      <c r="M7903" t="s">
        <v>15346</v>
      </c>
      <c r="N7903" t="s">
        <v>14</v>
      </c>
    </row>
    <row r="7904" x14ac:dyDescent="0.25">
      <c r="A7904" t="n">
        <v>24</v>
      </c>
      <c r="B7904" t="s">
        <v>14</v>
      </c>
      <c r="C7904" t="s">
        <v>22</v>
      </c>
      <c r="D7904" s="2" t="s">
        <f>=HYPERLINK("https://main.knesset.gov.il/APPS/legislation/main/bills/2192004", "הצעת חוק-יסוד: הממשלה (תיקון - ביטול מנגנון החילופין שלא במועד החילופין הקבוע)")</f>
        <v>15417</v>
      </c>
      <c r="E7904" t="s">
        <v>15417</v>
      </c>
      <c r="F7904" t="s">
        <v>15418</v>
      </c>
      <c r="G7904" t="s">
        <v>14</v>
      </c>
      <c r="H7904">
             </c>
      <c r="I7904" t="s">
        <v>14</v>
      </c>
      <c r="J7904" t="s">
        <v>141</v>
      </c>
      <c r="K7904" t="s">
        <v>14</v>
      </c>
      <c r="L7904" t="s">
        <v>20</v>
      </c>
      <c r="M7904" t="s">
        <v>15346</v>
      </c>
      <c r="N7904" t="s">
        <v>14</v>
      </c>
    </row>
    <row r="7905" x14ac:dyDescent="0.25">
      <c r="A7905" t="n">
        <v>24</v>
      </c>
      <c r="B7905" t="s">
        <v>14</v>
      </c>
      <c r="C7905" t="s">
        <v>22</v>
      </c>
      <c r="D7905" s="2" t="s">
        <f>=HYPERLINK("https://main.knesset.gov.il/APPS/legislation/main/bills/2192011", "הצעת חוק איסור הפליה במוצרים, בשירותים ובכניסה למקומות בידור ולמקומות ציבוריים (תיקון - פגיעה באמונה דתית), התשפ""ב-2022 ")</f>
        <v>15419</v>
      </c>
      <c r="E7905" t="s">
        <v>15419</v>
      </c>
      <c r="F7905" t="s">
        <v>15420</v>
      </c>
      <c r="G7905" t="s">
        <v>14</v>
      </c>
      <c r="H7905">
             </c>
      <c r="I7905" t="s">
        <v>14</v>
      </c>
      <c r="J7905" t="s">
        <v>141</v>
      </c>
      <c r="K7905" t="s">
        <v>14</v>
      </c>
      <c r="L7905" t="s">
        <v>20</v>
      </c>
      <c r="M7905" t="s">
        <v>15346</v>
      </c>
      <c r="N7905" t="s">
        <v>14</v>
      </c>
    </row>
    <row r="7906" x14ac:dyDescent="0.25">
      <c r="A7906" t="n">
        <v>24</v>
      </c>
      <c r="B7906" t="s">
        <v>14</v>
      </c>
      <c r="C7906" t="s">
        <v>22</v>
      </c>
      <c r="D7906" s="2" t="s">
        <f>=HYPERLINK("https://main.knesset.gov.il/APPS/legislation/main/bills/2192086", "הצעת חוק הרשות לקידום מעמד האישה (תיקון - הרשות לקידום שוויון מגדרי), התשפ""ב-2022")</f>
        <v>15421</v>
      </c>
      <c r="E7906" t="s">
        <v>15421</v>
      </c>
      <c r="F7906" t="s">
        <v>15422</v>
      </c>
      <c r="G7906" t="s">
        <v>14</v>
      </c>
      <c r="H7906">
             </c>
      <c r="I7906" t="s">
        <v>14</v>
      </c>
      <c r="J7906" t="s">
        <v>141</v>
      </c>
      <c r="K7906" t="s">
        <v>14</v>
      </c>
      <c r="L7906" t="s">
        <v>20</v>
      </c>
      <c r="M7906" t="s">
        <v>15346</v>
      </c>
      <c r="N7906" t="s">
        <v>14</v>
      </c>
    </row>
    <row r="7907" x14ac:dyDescent="0.25">
      <c r="A7907" t="n">
        <v>24</v>
      </c>
      <c r="B7907" t="s">
        <v>14</v>
      </c>
      <c r="C7907" t="s">
        <v>22</v>
      </c>
      <c r="D7907" s="2" t="s">
        <f>=HYPERLINK("https://main.knesset.gov.il/APPS/legislation/main/bills/2192304", "הצעת חוק לתיקון פקודת התעבורה (ריבית פיגורים בגין אי תשלום קנס על עבירת חניה), התשפ""ב-2022")</f>
        <v>15423</v>
      </c>
      <c r="E7907" t="s">
        <v>15423</v>
      </c>
      <c r="F7907" t="s">
        <v>15424</v>
      </c>
      <c r="G7907" t="s">
        <v>14</v>
      </c>
      <c r="H7907">
             </c>
      <c r="I7907" t="s">
        <v>14</v>
      </c>
      <c r="J7907" t="s">
        <v>141</v>
      </c>
      <c r="K7907" t="s">
        <v>14</v>
      </c>
      <c r="L7907" t="s">
        <v>20</v>
      </c>
      <c r="M7907" t="s">
        <v>15346</v>
      </c>
      <c r="N7907" t="s">
        <v>14</v>
      </c>
    </row>
    <row r="7908" x14ac:dyDescent="0.25">
      <c r="A7908" t="n">
        <v>24</v>
      </c>
      <c r="B7908" t="s">
        <v>14</v>
      </c>
      <c r="C7908" t="s">
        <v>22</v>
      </c>
      <c r="D7908" s="2" t="s">
        <f>=HYPERLINK("https://main.knesset.gov.il/APPS/legislation/main/bills/2169867", "הצעת חוק להגדלת שיעור ההשתתפות בכוח העבודה ולצמצום פערים חברתיים (מענק עבודה) (תיקון - פטור מהשבת מענקים להתמודדות עם השלכות נגיף הקורונה), התשפ""ב-2022")</f>
        <v>15425</v>
      </c>
      <c r="E7908" t="s">
        <v>15425</v>
      </c>
      <c r="F7908" t="s">
        <v>15426</v>
      </c>
      <c r="G7908" t="s">
        <v>14</v>
      </c>
      <c r="H7908">
             </c>
      <c r="I7908" t="s">
        <v>14</v>
      </c>
      <c r="J7908" t="s">
        <v>141</v>
      </c>
      <c r="K7908" t="s">
        <v>14</v>
      </c>
      <c r="L7908" t="s">
        <v>20</v>
      </c>
      <c r="M7908" t="s">
        <v>15346</v>
      </c>
      <c r="N7908" t="s">
        <v>14</v>
      </c>
    </row>
    <row r="7909" x14ac:dyDescent="0.25">
      <c r="A7909" t="n">
        <v>24</v>
      </c>
      <c r="B7909" t="s">
        <v>14</v>
      </c>
      <c r="C7909" t="s">
        <v>22</v>
      </c>
      <c r="D7909" s="2" t="s">
        <f>=HYPERLINK("https://main.knesset.gov.il/APPS/legislation/main/bills/2192108", "הצעת חוק לתיקון פקודת מס הכנסה (שווי השימוש ברכב או ברדיו טלפון נייד), התשפ""ב-2022")</f>
        <v>15427</v>
      </c>
      <c r="E7909" t="s">
        <v>15427</v>
      </c>
      <c r="F7909" t="s">
        <v>15428</v>
      </c>
      <c r="G7909" t="s">
        <v>14</v>
      </c>
      <c r="H7909">
             </c>
      <c r="I7909" t="s">
        <v>14</v>
      </c>
      <c r="J7909" t="s">
        <v>141</v>
      </c>
      <c r="K7909" t="s">
        <v>14</v>
      </c>
      <c r="L7909" t="s">
        <v>20</v>
      </c>
      <c r="M7909" t="s">
        <v>15346</v>
      </c>
      <c r="N7909" t="s">
        <v>14</v>
      </c>
    </row>
    <row r="7910" x14ac:dyDescent="0.25">
      <c r="A7910" t="n">
        <v>24</v>
      </c>
      <c r="B7910" t="s">
        <v>14</v>
      </c>
      <c r="C7910" t="s">
        <v>22</v>
      </c>
      <c r="D7910" s="2" t="s">
        <f>=HYPERLINK("https://main.knesset.gov.il/APPS/legislation/main/bills/2192188", "הצעת חוק התכנון והבנייה (תיקון - ייצוג הולם לאוכלוסייה החרדית והערבית במוסדות התכנון), התשפ""ב-2022")</f>
        <v>15429</v>
      </c>
      <c r="E7910" t="s">
        <v>15429</v>
      </c>
      <c r="F7910" t="s">
        <v>15430</v>
      </c>
      <c r="G7910" t="s">
        <v>14</v>
      </c>
      <c r="H7910">
             </c>
      <c r="I7910" t="s">
        <v>14</v>
      </c>
      <c r="J7910" t="s">
        <v>141</v>
      </c>
      <c r="K7910" t="s">
        <v>14</v>
      </c>
      <c r="L7910" t="s">
        <v>20</v>
      </c>
      <c r="M7910" t="s">
        <v>15346</v>
      </c>
      <c r="N7910" t="s">
        <v>14</v>
      </c>
    </row>
    <row r="7911" x14ac:dyDescent="0.25">
      <c r="A7911" t="n">
        <v>24</v>
      </c>
      <c r="B7911" t="s">
        <v>14</v>
      </c>
      <c r="C7911" t="s">
        <v>22</v>
      </c>
      <c r="D7911" s="2" t="s">
        <f>=HYPERLINK("https://main.knesset.gov.il/APPS/legislation/main/bills/2191816", "הצעת חוק מס ערך מוסף (תיקון - מס בשיעור אפס על תרופות), התשפ""ב-2022")</f>
        <v>15158</v>
      </c>
      <c r="E7911" t="s">
        <v>15158</v>
      </c>
      <c r="F7911" t="s">
        <v>15431</v>
      </c>
      <c r="G7911" t="s">
        <v>14</v>
      </c>
      <c r="H7911">
             </c>
      <c r="I7911" t="s">
        <v>14</v>
      </c>
      <c r="J7911" t="s">
        <v>141</v>
      </c>
      <c r="K7911" t="s">
        <v>14</v>
      </c>
      <c r="L7911" t="s">
        <v>20</v>
      </c>
      <c r="M7911" t="s">
        <v>15346</v>
      </c>
      <c r="N7911" t="s">
        <v>14</v>
      </c>
    </row>
    <row r="7912" x14ac:dyDescent="0.25">
      <c r="A7912" t="n">
        <v>24</v>
      </c>
      <c r="B7912" t="s">
        <v>14</v>
      </c>
      <c r="C7912" t="s">
        <v>22</v>
      </c>
      <c r="D7912" s="2" t="s">
        <f>=HYPERLINK("https://main.knesset.gov.il/APPS/legislation/main/bills/2192095", "הצעת חוק-יסוד: הכנסת (תיקון - הצהרת אמונים)")</f>
        <v>11966</v>
      </c>
      <c r="E7912" t="s">
        <v>11966</v>
      </c>
      <c r="F7912" t="s">
        <v>15432</v>
      </c>
      <c r="G7912" t="s">
        <v>14</v>
      </c>
      <c r="H7912">
             </c>
      <c r="I7912" t="s">
        <v>14</v>
      </c>
      <c r="J7912" t="s">
        <v>141</v>
      </c>
      <c r="K7912" t="s">
        <v>14</v>
      </c>
      <c r="L7912" t="s">
        <v>20</v>
      </c>
      <c r="M7912" t="s">
        <v>15346</v>
      </c>
      <c r="N7912" t="s">
        <v>14</v>
      </c>
    </row>
    <row r="7913" x14ac:dyDescent="0.25">
      <c r="A7913" t="n">
        <v>24</v>
      </c>
      <c r="B7913" t="s">
        <v>14</v>
      </c>
      <c r="C7913" t="s">
        <v>22</v>
      </c>
      <c r="D7913" s="2" t="s">
        <f>=HYPERLINK("https://main.knesset.gov.il/APPS/legislation/main/bills/2191968", "הצעת חוק הכנסת (תיקון - אישור מליאת הכנסת לפרישה מסיעה), התשע""ב-2022")</f>
        <v>15433</v>
      </c>
      <c r="E7913" t="s">
        <v>15433</v>
      </c>
      <c r="F7913" t="s">
        <v>15434</v>
      </c>
      <c r="G7913" t="s">
        <v>14</v>
      </c>
      <c r="H7913">
             </c>
      <c r="I7913" t="s">
        <v>14</v>
      </c>
      <c r="J7913" t="s">
        <v>141</v>
      </c>
      <c r="K7913" t="s">
        <v>14</v>
      </c>
      <c r="L7913" t="s">
        <v>20</v>
      </c>
      <c r="M7913" t="s">
        <v>15346</v>
      </c>
      <c r="N7913" t="s">
        <v>14</v>
      </c>
    </row>
    <row r="7914" x14ac:dyDescent="0.25">
      <c r="A7914" t="n">
        <v>24</v>
      </c>
      <c r="B7914" t="s">
        <v>14</v>
      </c>
      <c r="C7914" t="s">
        <v>22</v>
      </c>
      <c r="D7914" s="2" t="s">
        <f>=HYPERLINK("https://main.knesset.gov.il/APPS/legislation/main/bills/2191479", "הצעת חוק ניירות ערך (תיקון - חובת דיווח על תמיכות סביבתיות), התשפ״ב-2022")</f>
        <v>15435</v>
      </c>
      <c r="E7914" t="s">
        <v>15435</v>
      </c>
      <c r="F7914" t="s">
        <v>15436</v>
      </c>
      <c r="G7914" t="s">
        <v>14</v>
      </c>
      <c r="H7914">
             </c>
      <c r="I7914" t="s">
        <v>14</v>
      </c>
      <c r="J7914" t="s">
        <v>141</v>
      </c>
      <c r="K7914" t="s">
        <v>14</v>
      </c>
      <c r="L7914" t="s">
        <v>20</v>
      </c>
      <c r="M7914" t="s">
        <v>15346</v>
      </c>
      <c r="N7914" t="s">
        <v>14</v>
      </c>
    </row>
    <row r="7915" x14ac:dyDescent="0.25">
      <c r="A7915" t="n">
        <v>24</v>
      </c>
      <c r="B7915" t="s">
        <v>14</v>
      </c>
      <c r="C7915" t="s">
        <v>22</v>
      </c>
      <c r="D7915" s="2" t="s">
        <f>=HYPERLINK("https://main.knesset.gov.il/APPS/legislation/main/bills/2192127", "הצעת חוק הביטוח הלאומי (תיקון - העלאת קצבת הילדים), התשפ""ב-2022")</f>
        <v>15437</v>
      </c>
      <c r="E7915" t="s">
        <v>15437</v>
      </c>
      <c r="F7915" t="s">
        <v>15438</v>
      </c>
      <c r="G7915" t="s">
        <v>14</v>
      </c>
      <c r="H7915">
             </c>
      <c r="I7915" t="s">
        <v>14</v>
      </c>
      <c r="J7915" t="s">
        <v>141</v>
      </c>
      <c r="K7915" t="s">
        <v>14</v>
      </c>
      <c r="L7915" t="s">
        <v>20</v>
      </c>
      <c r="M7915" t="s">
        <v>15346</v>
      </c>
      <c r="N7915" t="s">
        <v>14</v>
      </c>
    </row>
    <row r="7916" x14ac:dyDescent="0.25">
      <c r="A7916" t="n">
        <v>24</v>
      </c>
      <c r="B7916" t="s">
        <v>14</v>
      </c>
      <c r="C7916" t="s">
        <v>22</v>
      </c>
      <c r="D7916" s="2" t="s">
        <f>=HYPERLINK("https://main.knesset.gov.il/APPS/legislation/main/bills/2192093", "הצעת חוק משק החשמל (תיקון - איסור ניתוק חשמל), התשפ""ב-2022")</f>
        <v>15439</v>
      </c>
      <c r="E7916" t="s">
        <v>15439</v>
      </c>
      <c r="F7916" t="s">
        <v>15440</v>
      </c>
      <c r="G7916" t="s">
        <v>14</v>
      </c>
      <c r="H7916">
             </c>
      <c r="I7916" t="s">
        <v>14</v>
      </c>
      <c r="J7916" t="s">
        <v>141</v>
      </c>
      <c r="K7916" t="s">
        <v>14</v>
      </c>
      <c r="L7916" t="s">
        <v>20</v>
      </c>
      <c r="M7916" t="s">
        <v>15346</v>
      </c>
      <c r="N7916" t="s">
        <v>14</v>
      </c>
    </row>
    <row r="7917" x14ac:dyDescent="0.25">
      <c r="A7917" t="n">
        <v>24</v>
      </c>
      <c r="B7917" t="s">
        <v>14</v>
      </c>
      <c r="C7917" t="s">
        <v>22</v>
      </c>
      <c r="D7917" s="2" t="s">
        <f>=HYPERLINK("https://main.knesset.gov.il/APPS/legislation/main/bills/2192164", "הצעת חוק משק החשמל (תיקון - איסור ניתוק חשמל), התשפ""ב-2022")</f>
        <v>15439</v>
      </c>
      <c r="E7917" t="s">
        <v>15439</v>
      </c>
      <c r="F7917" t="s">
        <v>15441</v>
      </c>
      <c r="G7917" t="s">
        <v>14</v>
      </c>
      <c r="H7917">
             </c>
      <c r="I7917" t="s">
        <v>14</v>
      </c>
      <c r="J7917" t="s">
        <v>141</v>
      </c>
      <c r="K7917" t="s">
        <v>14</v>
      </c>
      <c r="L7917" t="s">
        <v>20</v>
      </c>
      <c r="M7917" t="s">
        <v>15346</v>
      </c>
      <c r="N7917" t="s">
        <v>14</v>
      </c>
    </row>
    <row r="7918" x14ac:dyDescent="0.25">
      <c r="A7918" t="n">
        <v>24</v>
      </c>
      <c r="B7918" t="s">
        <v>14</v>
      </c>
      <c r="C7918" t="s">
        <v>22</v>
      </c>
      <c r="D7918" s="2" t="s">
        <f>=HYPERLINK("https://main.knesset.gov.il/APPS/legislation/main/bills/2160534", "הצעת חוק משק החשמל (תיקון - איסור ניתוק חשמל), התשפ""ב-2022")</f>
        <v>15439</v>
      </c>
      <c r="E7918" t="s">
        <v>15439</v>
      </c>
      <c r="F7918" t="s">
        <v>15442</v>
      </c>
      <c r="G7918" t="s">
        <v>14</v>
      </c>
      <c r="H7918">
             </c>
      <c r="I7918" t="s">
        <v>14</v>
      </c>
      <c r="J7918" t="s">
        <v>141</v>
      </c>
      <c r="K7918" t="s">
        <v>14</v>
      </c>
      <c r="L7918" t="s">
        <v>20</v>
      </c>
      <c r="M7918" t="s">
        <v>15346</v>
      </c>
      <c r="N7918" t="s">
        <v>14</v>
      </c>
    </row>
    <row r="7919" x14ac:dyDescent="0.25">
      <c r="A7919" t="n">
        <v>24</v>
      </c>
      <c r="B7919" t="s">
        <v>14</v>
      </c>
      <c r="C7919" t="s">
        <v>22</v>
      </c>
      <c r="D7919" s="2" t="s">
        <f>=HYPERLINK("https://main.knesset.gov.il/APPS/legislation/main/bills/2191397", "הצעת חוק הבטחת הכנסה (תיקון - שלילת גמלה בגלל פעולת טרור), התשפ""ב-2022")</f>
        <v>15443</v>
      </c>
      <c r="E7919" t="s">
        <v>15443</v>
      </c>
      <c r="F7919" t="s">
        <v>15444</v>
      </c>
      <c r="G7919" t="s">
        <v>14</v>
      </c>
      <c r="H7919">
             </c>
      <c r="I7919" t="s">
        <v>14</v>
      </c>
      <c r="J7919" t="s">
        <v>141</v>
      </c>
      <c r="K7919" t="s">
        <v>14</v>
      </c>
      <c r="L7919" t="s">
        <v>20</v>
      </c>
      <c r="M7919" t="s">
        <v>15346</v>
      </c>
      <c r="N7919" t="s">
        <v>14</v>
      </c>
    </row>
    <row r="7920" x14ac:dyDescent="0.25">
      <c r="A7920" t="n">
        <v>24</v>
      </c>
      <c r="B7920" t="s">
        <v>14</v>
      </c>
      <c r="C7920" t="s">
        <v>22</v>
      </c>
      <c r="D7920" s="2" t="s">
        <f>=HYPERLINK("https://main.knesset.gov.il/APPS/legislation/main/bills/2192137", "הצעת חוק הביטוח הלאומי (תיקון - תשלום דמי אבטלה לנשים שיצאו לחופשה ללא תשלום לאחר לידה מסיבות מוצדקות), התשפ""ב-2022")</f>
        <v>15445</v>
      </c>
      <c r="E7920" t="s">
        <v>15445</v>
      </c>
      <c r="F7920" t="s">
        <v>15446</v>
      </c>
      <c r="G7920" t="s">
        <v>14</v>
      </c>
      <c r="H7920">
             </c>
      <c r="I7920" t="s">
        <v>14</v>
      </c>
      <c r="J7920" t="s">
        <v>141</v>
      </c>
      <c r="K7920" t="s">
        <v>14</v>
      </c>
      <c r="L7920" t="s">
        <v>20</v>
      </c>
      <c r="M7920" t="s">
        <v>15346</v>
      </c>
      <c r="N7920" t="s">
        <v>14</v>
      </c>
    </row>
    <row r="7921" x14ac:dyDescent="0.25">
      <c r="A7921" t="n">
        <v>24</v>
      </c>
      <c r="B7921" t="s">
        <v>14</v>
      </c>
      <c r="C7921" t="s">
        <v>22</v>
      </c>
      <c r="D7921" s="2" t="s">
        <f>=HYPERLINK("https://main.knesset.gov.il/APPS/legislation/main/bills/2191942", "הצעת חוק הגנת הצרכן (תיקון - מענה אנושי חינם ללקוחות חברות התעופה), התשפ""ב-2022")</f>
        <v>15447</v>
      </c>
      <c r="E7921" t="s">
        <v>15447</v>
      </c>
      <c r="F7921" t="s">
        <v>15448</v>
      </c>
      <c r="G7921" t="s">
        <v>14</v>
      </c>
      <c r="H7921">
             </c>
      <c r="I7921" t="s">
        <v>14</v>
      </c>
      <c r="J7921" t="s">
        <v>141</v>
      </c>
      <c r="K7921" t="s">
        <v>14</v>
      </c>
      <c r="L7921" t="s">
        <v>20</v>
      </c>
      <c r="M7921" t="s">
        <v>15346</v>
      </c>
      <c r="N7921" t="s">
        <v>14</v>
      </c>
    </row>
    <row r="7922" x14ac:dyDescent="0.25">
      <c r="A7922" t="n">
        <v>24</v>
      </c>
      <c r="B7922" t="s">
        <v>14</v>
      </c>
      <c r="C7922" t="s">
        <v>22</v>
      </c>
      <c r="D7922" s="2" t="s">
        <f>=HYPERLINK("https://main.knesset.gov.il/APPS/legislation/main/bills/2191944", "הצעת חוק בתי הדין הדתיים הדרוזיים (תיקון - הענקת סמכויות לבתי הדין הדתיים הדרוזיים בנושאים כרוכים), התשפ""ב-2022")</f>
        <v>15449</v>
      </c>
      <c r="E7922" t="s">
        <v>15449</v>
      </c>
      <c r="F7922" t="s">
        <v>15450</v>
      </c>
      <c r="G7922" t="s">
        <v>14</v>
      </c>
      <c r="H7922">
             </c>
      <c r="I7922" t="s">
        <v>14</v>
      </c>
      <c r="J7922" t="s">
        <v>141</v>
      </c>
      <c r="K7922" t="s">
        <v>14</v>
      </c>
      <c r="L7922" t="s">
        <v>20</v>
      </c>
      <c r="M7922" t="s">
        <v>15346</v>
      </c>
      <c r="N7922" t="s">
        <v>14</v>
      </c>
    </row>
    <row r="7923" x14ac:dyDescent="0.25">
      <c r="A7923" t="n">
        <v>24</v>
      </c>
      <c r="B7923" t="s">
        <v>14</v>
      </c>
      <c r="C7923" t="s">
        <v>22</v>
      </c>
      <c r="D7923" s="2" t="s">
        <f>=HYPERLINK("https://main.knesset.gov.il/APPS/legislation/main/bills/2191914", "הצעת חוק הסיוע המשפטי (תיקון - סיוע משפטי לתובע בגין הפליה), התשפ""ב-2022")</f>
        <v>15451</v>
      </c>
      <c r="E7923" t="s">
        <v>15451</v>
      </c>
      <c r="F7923" t="s">
        <v>15452</v>
      </c>
      <c r="G7923" t="s">
        <v>14</v>
      </c>
      <c r="H7923">
             </c>
      <c r="I7923" t="s">
        <v>14</v>
      </c>
      <c r="J7923" t="s">
        <v>141</v>
      </c>
      <c r="K7923" t="s">
        <v>14</v>
      </c>
      <c r="L7923" t="s">
        <v>20</v>
      </c>
      <c r="M7923" t="s">
        <v>15346</v>
      </c>
      <c r="N7923" t="s">
        <v>14</v>
      </c>
    </row>
    <row r="7924" x14ac:dyDescent="0.25">
      <c r="A7924" t="n">
        <v>24</v>
      </c>
      <c r="B7924" t="s">
        <v>14</v>
      </c>
      <c r="C7924" t="s">
        <v>15</v>
      </c>
      <c r="D7924" s="2" t="s">
        <f>=HYPERLINK("https://main.knesset.gov.il/APPS/legislation/main/bills/2192627", "הצעת חוק בתי דין רבניים (סדרי דין בעת מצב חירום מיוחד), התשפ""ב-2022 ")</f>
        <v>15453</v>
      </c>
      <c r="E7924" t="s">
        <v>15453</v>
      </c>
      <c r="F7924" t="s">
        <v>14</v>
      </c>
      <c r="G7924" t="s">
        <v>15454</v>
      </c>
      <c r="H7924">
             </c>
      <c r="I7924" t="s">
        <v>14</v>
      </c>
      <c r="J7924" t="s">
        <v>69</v>
      </c>
      <c r="K7924" t="s">
        <v>14</v>
      </c>
      <c r="L7924" t="s">
        <v>20</v>
      </c>
      <c r="M7924" t="s">
        <v>15346</v>
      </c>
      <c r="N7924" t="s">
        <v>14</v>
      </c>
    </row>
    <row r="7925" x14ac:dyDescent="0.25">
      <c r="A7925" t="n">
        <v>24</v>
      </c>
      <c r="B7925" t="s">
        <v>14</v>
      </c>
      <c r="C7925" t="s">
        <v>22</v>
      </c>
      <c r="D7925" s="2" t="s">
        <f>=HYPERLINK("https://main.knesset.gov.il/APPS/legislation/main/bills/2191803", "הצעת חוק הביטוח הלאומי (תיקון - שלילת זכויות סוציאליות לאדם שהורשע בעבירות ביטחון חמורות), התשפ""ב-2022")</f>
        <v>15455</v>
      </c>
      <c r="E7925" t="s">
        <v>15455</v>
      </c>
      <c r="F7925" t="s">
        <v>15456</v>
      </c>
      <c r="G7925" t="s">
        <v>14</v>
      </c>
      <c r="H7925">
             </c>
      <c r="I7925" t="s">
        <v>14</v>
      </c>
      <c r="J7925" t="s">
        <v>141</v>
      </c>
      <c r="K7925" t="s">
        <v>14</v>
      </c>
      <c r="L7925" t="s">
        <v>20</v>
      </c>
      <c r="M7925" t="s">
        <v>15457</v>
      </c>
      <c r="N7925" t="s">
        <v>14</v>
      </c>
    </row>
    <row r="7926" x14ac:dyDescent="0.25">
      <c r="A7926" t="n">
        <v>24</v>
      </c>
      <c r="B7926" t="s">
        <v>14</v>
      </c>
      <c r="C7926" t="s">
        <v>22</v>
      </c>
      <c r="D7926" s="2" t="s">
        <f>=HYPERLINK("https://main.knesset.gov.il/APPS/legislation/main/bills/2168605", "הצעת חוק הגנת הצרכן (תיקון - תיעוד שיחות בין צרכן לעוסק ומסירתו לצרכן), התשפ""ב-2022")</f>
        <v>15458</v>
      </c>
      <c r="E7926" t="s">
        <v>15458</v>
      </c>
      <c r="F7926" t="s">
        <v>15459</v>
      </c>
      <c r="G7926" t="s">
        <v>14</v>
      </c>
      <c r="H7926">
             </c>
      <c r="I7926" t="s">
        <v>14</v>
      </c>
      <c r="J7926" t="s">
        <v>31</v>
      </c>
      <c r="K7926" t="s">
        <v>19</v>
      </c>
      <c r="L7926" t="s">
        <v>20</v>
      </c>
      <c r="M7926" t="s">
        <v>15457</v>
      </c>
      <c r="N7926" t="s">
        <v>14</v>
      </c>
    </row>
    <row r="7927" x14ac:dyDescent="0.25">
      <c r="A7927" t="n">
        <v>24</v>
      </c>
      <c r="B7927" t="s">
        <v>14</v>
      </c>
      <c r="C7927" t="s">
        <v>22</v>
      </c>
      <c r="D7927" s="2" t="s">
        <f>=HYPERLINK("https://main.knesset.gov.il/APPS/legislation/main/bills/2160998", "הצעת חוק החומרים המסוכנים (תיקון - פרטי התקשרות למרכז רעלים), התשפ”א-2021")</f>
        <v>15460</v>
      </c>
      <c r="E7927" t="s">
        <v>15460</v>
      </c>
      <c r="F7927" t="s">
        <v>15461</v>
      </c>
      <c r="G7927" t="s">
        <v>14</v>
      </c>
      <c r="H7927">
             </c>
      <c r="I7927" t="s">
        <v>14</v>
      </c>
      <c r="J7927" t="s">
        <v>31</v>
      </c>
      <c r="K7927" t="s">
        <v>46</v>
      </c>
      <c r="L7927" t="s">
        <v>20</v>
      </c>
      <c r="M7927" t="s">
        <v>15457</v>
      </c>
      <c r="N7927" t="s">
        <v>14</v>
      </c>
    </row>
    <row r="7928" x14ac:dyDescent="0.25">
      <c r="A7928" t="n">
        <v>24</v>
      </c>
      <c r="B7928" t="s">
        <v>14</v>
      </c>
      <c r="C7928" t="s">
        <v>22</v>
      </c>
      <c r="D7928" s="2" t="s">
        <f>=HYPERLINK("https://main.knesset.gov.il/APPS/legislation/main/bills/2159018", "הצעת חוק הביטוח הלאומי (תיקון - דמי לידה לעצמאיות - מתן זכות לעבודה חלקית), התשפ""א-2021")</f>
        <v>15462</v>
      </c>
      <c r="E7928" t="s">
        <v>15462</v>
      </c>
      <c r="F7928" t="s">
        <v>15463</v>
      </c>
      <c r="G7928" t="s">
        <v>14</v>
      </c>
      <c r="H7928">
             </c>
      <c r="I7928" t="s">
        <v>14</v>
      </c>
      <c r="J7928" t="s">
        <v>31</v>
      </c>
      <c r="K7928" t="s">
        <v>127</v>
      </c>
      <c r="L7928" t="s">
        <v>20</v>
      </c>
      <c r="M7928" t="s">
        <v>15457</v>
      </c>
      <c r="N7928" t="s">
        <v>14</v>
      </c>
    </row>
    <row r="7929" x14ac:dyDescent="0.25">
      <c r="A7929" t="n">
        <v>24</v>
      </c>
      <c r="B7929" t="s">
        <v>14</v>
      </c>
      <c r="C7929" t="s">
        <v>22</v>
      </c>
      <c r="D7929" s="2" t="s">
        <f>=HYPERLINK("https://main.knesset.gov.il/APPS/legislation/main/bills/2159079", "הצעת חוק הגנת הצרכן (תיקון - חובת הקלטה של עסקה טלפונית), התשפ""א-2021")</f>
        <v>15464</v>
      </c>
      <c r="E7929" t="s">
        <v>15464</v>
      </c>
      <c r="F7929" t="s">
        <v>15465</v>
      </c>
      <c r="G7929" t="s">
        <v>14</v>
      </c>
      <c r="H7929">
             </c>
      <c r="I7929" t="s">
        <v>14</v>
      </c>
      <c r="J7929" t="s">
        <v>31</v>
      </c>
      <c r="K7929" t="s">
        <v>19</v>
      </c>
      <c r="L7929" t="s">
        <v>20</v>
      </c>
      <c r="M7929" t="s">
        <v>15457</v>
      </c>
      <c r="N7929" t="s">
        <v>14</v>
      </c>
    </row>
    <row r="7930" x14ac:dyDescent="0.25">
      <c r="A7930" t="n">
        <v>24</v>
      </c>
      <c r="B7930" t="s">
        <v>14</v>
      </c>
      <c r="C7930" t="s">
        <v>22</v>
      </c>
      <c r="D7930" s="2" t="s">
        <f>=HYPERLINK("https://main.knesset.gov.il/APPS/legislation/main/bills/2156714", "הצעת חוק הגנת הצרכן (תיקון - חובת הקלטה של עסקה טלפונית), התשפ""א-2021")</f>
        <v>15464</v>
      </c>
      <c r="E7930" t="s">
        <v>15464</v>
      </c>
      <c r="F7930" t="s">
        <v>15466</v>
      </c>
      <c r="G7930" t="s">
        <v>14</v>
      </c>
      <c r="H7930">
             </c>
      <c r="I7930" t="s">
        <v>14</v>
      </c>
      <c r="J7930" t="s">
        <v>31</v>
      </c>
      <c r="K7930" t="s">
        <v>19</v>
      </c>
      <c r="L7930" t="s">
        <v>20</v>
      </c>
      <c r="M7930" t="s">
        <v>15457</v>
      </c>
      <c r="N7930" t="s">
        <v>14</v>
      </c>
    </row>
    <row r="7931" x14ac:dyDescent="0.25">
      <c r="A7931" t="n">
        <v>24</v>
      </c>
      <c r="B7931" t="s">
        <v>14</v>
      </c>
      <c r="C7931" t="s">
        <v>22</v>
      </c>
      <c r="D7931" s="2" t="s">
        <f>=HYPERLINK("https://main.knesset.gov.il/APPS/legislation/main/bills/2156667", "הצעת חוק הביטוח הלאומי (תיקון - דמי לידה לעצמאיות - מתן זכות לעבודה חלקית), התשפ""א-2021")</f>
        <v>15462</v>
      </c>
      <c r="E7931" t="s">
        <v>15462</v>
      </c>
      <c r="F7931" t="s">
        <v>15467</v>
      </c>
      <c r="G7931" t="s">
        <v>14</v>
      </c>
      <c r="H7931">
             </c>
      <c r="I7931" t="s">
        <v>14</v>
      </c>
      <c r="J7931" t="s">
        <v>31</v>
      </c>
      <c r="K7931" t="s">
        <v>127</v>
      </c>
      <c r="L7931" t="s">
        <v>20</v>
      </c>
      <c r="M7931" t="s">
        <v>15457</v>
      </c>
      <c r="N7931" t="s">
        <v>14</v>
      </c>
    </row>
    <row r="7932" x14ac:dyDescent="0.25">
      <c r="A7932" t="n">
        <v>24</v>
      </c>
      <c r="B7932" t="s">
        <v>14</v>
      </c>
      <c r="C7932" t="s">
        <v>22</v>
      </c>
      <c r="D7932" s="2" t="s">
        <f>=HYPERLINK("https://main.knesset.gov.il/APPS/legislation/main/bills/2189556", "הצעת חוק לביטול קובלנה (תיקוני חקיקה), התשפ""ב-2022")</f>
        <v>15468</v>
      </c>
      <c r="E7932" t="s">
        <v>15468</v>
      </c>
      <c r="F7932" t="s">
        <v>15469</v>
      </c>
      <c r="G7932" t="s">
        <v>14</v>
      </c>
      <c r="H7932">
             </c>
      <c r="I7932" t="s">
        <v>14</v>
      </c>
      <c r="J7932" t="s">
        <v>31</v>
      </c>
      <c r="K7932" t="s">
        <v>27</v>
      </c>
      <c r="L7932" t="s">
        <v>20</v>
      </c>
      <c r="M7932" t="s">
        <v>15470</v>
      </c>
      <c r="N7932" t="s">
        <v>14</v>
      </c>
    </row>
    <row r="7933" x14ac:dyDescent="0.25">
      <c r="A7933" t="n">
        <v>24</v>
      </c>
      <c r="B7933" t="s">
        <v>14</v>
      </c>
      <c r="C7933" t="s">
        <v>22</v>
      </c>
      <c r="D7933" s="2" t="s">
        <f>=HYPERLINK("https://main.knesset.gov.il/APPS/legislation/main/bills/2156570", "הצעת חוק-יסוד: ההתגברות (תיקוני חקיקה)")</f>
        <v>13726</v>
      </c>
      <c r="E7933" t="s">
        <v>13726</v>
      </c>
      <c r="F7933" t="s">
        <v>15471</v>
      </c>
      <c r="G7933" t="s">
        <v>14</v>
      </c>
      <c r="H7933">
             </c>
      <c r="I7933" t="s">
        <v>14</v>
      </c>
      <c r="J7933" t="s">
        <v>31</v>
      </c>
      <c r="K7933" t="s">
        <v>27</v>
      </c>
      <c r="L7933" t="s">
        <v>20</v>
      </c>
      <c r="M7933" t="s">
        <v>15470</v>
      </c>
      <c r="N7933" t="s">
        <v>14</v>
      </c>
    </row>
    <row r="7934" x14ac:dyDescent="0.25">
      <c r="A7934" t="n">
        <v>24</v>
      </c>
      <c r="B7934" t="s">
        <v>14</v>
      </c>
      <c r="C7934" t="s">
        <v>22</v>
      </c>
      <c r="D7934" s="2" t="s">
        <f>=HYPERLINK("https://main.knesset.gov.il/APPS/legislation/main/bills/2156067", "הצעת חוק העונשין (תיקון - הרחבת הגדרת הגזענות), התשפ""א-2021")</f>
        <v>15472</v>
      </c>
      <c r="E7934" t="s">
        <v>15472</v>
      </c>
      <c r="F7934" t="s">
        <v>15473</v>
      </c>
      <c r="G7934" t="s">
        <v>14</v>
      </c>
      <c r="H7934">
             </c>
      <c r="I7934" t="s">
        <v>14</v>
      </c>
      <c r="J7934" t="s">
        <v>31</v>
      </c>
      <c r="K7934" t="s">
        <v>27</v>
      </c>
      <c r="L7934" t="s">
        <v>20</v>
      </c>
      <c r="M7934" t="s">
        <v>15470</v>
      </c>
      <c r="N7934" t="s">
        <v>14</v>
      </c>
    </row>
    <row r="7935" x14ac:dyDescent="0.25">
      <c r="A7935" t="n">
        <v>24</v>
      </c>
      <c r="B7935" t="s">
        <v>14</v>
      </c>
      <c r="C7935" t="s">
        <v>22</v>
      </c>
      <c r="D7935" s="2" t="s">
        <f>=HYPERLINK("https://main.knesset.gov.il/APPS/legislation/main/bills/2156094", "הצעת חוק-יסוד: כבוד האדם וחירותו (תיקון - פסקת התגברות)")</f>
        <v>13607</v>
      </c>
      <c r="E7935" t="s">
        <v>13607</v>
      </c>
      <c r="F7935" t="s">
        <v>15474</v>
      </c>
      <c r="G7935" t="s">
        <v>14</v>
      </c>
      <c r="H7935">
             </c>
      <c r="I7935" t="s">
        <v>14</v>
      </c>
      <c r="J7935" t="s">
        <v>31</v>
      </c>
      <c r="K7935" t="s">
        <v>27</v>
      </c>
      <c r="L7935" t="s">
        <v>20</v>
      </c>
      <c r="M7935" t="s">
        <v>15470</v>
      </c>
      <c r="N7935" t="s">
        <v>14</v>
      </c>
    </row>
    <row r="7936" x14ac:dyDescent="0.25">
      <c r="A7936" t="n">
        <v>24</v>
      </c>
      <c r="B7936" t="s">
        <v>14</v>
      </c>
      <c r="C7936" t="s">
        <v>22</v>
      </c>
      <c r="D7936" s="2" t="s">
        <f>=HYPERLINK("https://main.knesset.gov.il/APPS/legislation/main/bills/2156366", "הצעת חוק-יסוד: ההתגברות (תיקוני חקיקה) ")</f>
        <v>10391</v>
      </c>
      <c r="E7936" t="s">
        <v>10391</v>
      </c>
      <c r="F7936" t="s">
        <v>15475</v>
      </c>
      <c r="G7936" t="s">
        <v>14</v>
      </c>
      <c r="H7936">
             </c>
      <c r="I7936" t="s">
        <v>14</v>
      </c>
      <c r="J7936" t="s">
        <v>31</v>
      </c>
      <c r="K7936" t="s">
        <v>27</v>
      </c>
      <c r="L7936" t="s">
        <v>20</v>
      </c>
      <c r="M7936" t="s">
        <v>15470</v>
      </c>
      <c r="N7936" t="s">
        <v>14</v>
      </c>
    </row>
    <row r="7937" x14ac:dyDescent="0.25">
      <c r="A7937" t="n">
        <v>24</v>
      </c>
      <c r="B7937" t="s">
        <v>14</v>
      </c>
      <c r="C7937" t="s">
        <v>15</v>
      </c>
      <c r="D7937" s="2" t="s">
        <f>=HYPERLINK("https://main.knesset.gov.il/APPS/legislation/main/bills/2189892", "חוק הגדלת נקודות זיכוי להורים במס הכנסה והגדלת מענק עבודה (הוראת שעה), התשפ""ב-2022 ")</f>
        <v>15476</v>
      </c>
      <c r="E7937" t="s">
        <v>15476</v>
      </c>
      <c r="F7937" t="s">
        <v>14</v>
      </c>
      <c r="G7937" t="s">
        <v>15477</v>
      </c>
      <c r="H7937" t="n">
        <v>2972</v>
      </c>
      <c r="I7937" t="s">
        <v>14</v>
      </c>
      <c r="J7937" t="s">
        <v>91</v>
      </c>
      <c r="K7937" t="s">
        <v>85</v>
      </c>
      <c r="L7937" t="s">
        <v>20</v>
      </c>
      <c r="M7937" t="s">
        <v>15470</v>
      </c>
      <c r="N7937" t="s">
        <v>15478</v>
      </c>
    </row>
    <row r="7938" x14ac:dyDescent="0.25">
      <c r="A7938" t="n">
        <v>24</v>
      </c>
      <c r="B7938" t="s">
        <v>14</v>
      </c>
      <c r="C7938" t="s">
        <v>22</v>
      </c>
      <c r="D7938" s="2" t="s">
        <f>=HYPERLINK("https://main.knesset.gov.il/APPS/legislation/main/bills/2157283", "חוק הגנה על עובדים (חשיפת עבירות ופגיעה בטוהר המידות או במינהל התקין) (תיקון מס' 4), התשפ""ב-2022")</f>
        <v>15479</v>
      </c>
      <c r="E7938" t="s">
        <v>15479</v>
      </c>
      <c r="F7938" t="s">
        <v>15480</v>
      </c>
      <c r="G7938" t="s">
        <v>15481</v>
      </c>
      <c r="H7938" t="n">
        <v>2971</v>
      </c>
      <c r="I7938" t="s">
        <v>14</v>
      </c>
      <c r="J7938" t="s">
        <v>91</v>
      </c>
      <c r="K7938" t="s">
        <v>127</v>
      </c>
      <c r="L7938" t="s">
        <v>20</v>
      </c>
      <c r="M7938" t="s">
        <v>15470</v>
      </c>
      <c r="N7938" t="s">
        <v>15482</v>
      </c>
    </row>
    <row r="7939" x14ac:dyDescent="0.25">
      <c r="A7939" t="n">
        <v>24</v>
      </c>
      <c r="B7939" t="s">
        <v>14</v>
      </c>
      <c r="C7939" t="s">
        <v>22</v>
      </c>
      <c r="D7939" s="2" t="s">
        <f>=HYPERLINK("https://main.knesset.gov.il/APPS/legislation/main/bills/2166030", "הצעת חוק החולה הנוטה למות (תיקון - העדפות טיפוליות), התשפ""ב-2022")</f>
        <v>15483</v>
      </c>
      <c r="E7939" t="s">
        <v>15483</v>
      </c>
      <c r="F7939" t="s">
        <v>15484</v>
      </c>
      <c r="G7939" t="s">
        <v>14</v>
      </c>
      <c r="H7939">
             </c>
      <c r="I7939" t="s">
        <v>14</v>
      </c>
      <c r="J7939" t="s">
        <v>141</v>
      </c>
      <c r="K7939" t="s">
        <v>14</v>
      </c>
      <c r="L7939" t="s">
        <v>20</v>
      </c>
      <c r="M7939" t="s">
        <v>15470</v>
      </c>
      <c r="N7939" t="s">
        <v>14</v>
      </c>
    </row>
    <row r="7940" x14ac:dyDescent="0.25">
      <c r="A7940" t="n">
        <v>24</v>
      </c>
      <c r="B7940" t="s">
        <v>14</v>
      </c>
      <c r="C7940" t="s">
        <v>22</v>
      </c>
      <c r="D7940" s="2" t="s">
        <f>=HYPERLINK("https://main.knesset.gov.il/APPS/legislation/main/bills/2191946", "הצעת חוק הביטוח הלאומי (תיקון - קביעת דרגת נכות לנפגעי עבודה), התשפ""ב-2022")</f>
        <v>15485</v>
      </c>
      <c r="E7940" t="s">
        <v>15485</v>
      </c>
      <c r="F7940" t="s">
        <v>15486</v>
      </c>
      <c r="G7940" t="s">
        <v>14</v>
      </c>
      <c r="H7940">
             </c>
      <c r="I7940" t="s">
        <v>14</v>
      </c>
      <c r="J7940" t="s">
        <v>141</v>
      </c>
      <c r="K7940" t="s">
        <v>14</v>
      </c>
      <c r="L7940" t="s">
        <v>20</v>
      </c>
      <c r="M7940" t="s">
        <v>15470</v>
      </c>
      <c r="N7940" t="s">
        <v>14</v>
      </c>
    </row>
    <row r="7941" x14ac:dyDescent="0.25">
      <c r="A7941" t="n">
        <v>24</v>
      </c>
      <c r="B7941" t="s">
        <v>14</v>
      </c>
      <c r="C7941" t="s">
        <v>22</v>
      </c>
      <c r="D7941" s="2" t="s">
        <f>=HYPERLINK("https://main.knesset.gov.il/APPS/legislation/main/bills/2191239", "הצעת חוק למניעת העסקה של עובד הוראה התומך בטרור, התשפ""ב-2022")</f>
        <v>15487</v>
      </c>
      <c r="E7941" t="s">
        <v>15487</v>
      </c>
      <c r="F7941" t="s">
        <v>15488</v>
      </c>
      <c r="G7941" t="s">
        <v>14</v>
      </c>
      <c r="H7941">
             </c>
      <c r="I7941" t="s">
        <v>14</v>
      </c>
      <c r="J7941" t="s">
        <v>141</v>
      </c>
      <c r="K7941" t="s">
        <v>14</v>
      </c>
      <c r="L7941" t="s">
        <v>20</v>
      </c>
      <c r="M7941" t="s">
        <v>15470</v>
      </c>
      <c r="N7941" t="s">
        <v>14</v>
      </c>
    </row>
    <row r="7942" x14ac:dyDescent="0.25">
      <c r="A7942" t="n">
        <v>24</v>
      </c>
      <c r="B7942" t="s">
        <v>14</v>
      </c>
      <c r="C7942" t="s">
        <v>22</v>
      </c>
      <c r="D7942" s="2" t="s">
        <f>=HYPERLINK("https://main.knesset.gov.il/APPS/legislation/main/bills/2190854", "הצעת חוק קליטת חיילים משוחררים (תיקון - הוקרת שירות הלוחם והלוחמת), התשפ""ב-2022")</f>
        <v>15489</v>
      </c>
      <c r="E7942" t="s">
        <v>15489</v>
      </c>
      <c r="F7942" t="s">
        <v>15490</v>
      </c>
      <c r="G7942" t="s">
        <v>14</v>
      </c>
      <c r="H7942">
             </c>
      <c r="I7942" t="s">
        <v>14</v>
      </c>
      <c r="J7942" t="s">
        <v>141</v>
      </c>
      <c r="K7942" t="s">
        <v>14</v>
      </c>
      <c r="L7942" t="s">
        <v>20</v>
      </c>
      <c r="M7942" t="s">
        <v>15470</v>
      </c>
      <c r="N7942" t="s">
        <v>14</v>
      </c>
    </row>
    <row r="7943" x14ac:dyDescent="0.25">
      <c r="A7943" t="n">
        <v>24</v>
      </c>
      <c r="B7943" t="s">
        <v>14</v>
      </c>
      <c r="C7943" t="s">
        <v>22</v>
      </c>
      <c r="D7943" s="2" t="s">
        <f>=HYPERLINK("https://main.knesset.gov.il/APPS/legislation/main/bills/2191434", "הצעת חוק לתיקון פקודת מס הכנסה (פטור ממס על הכנסה ממעשה זנות), התשפ""ב-2022 ")</f>
        <v>15491</v>
      </c>
      <c r="E7943" t="s">
        <v>15491</v>
      </c>
      <c r="F7943" t="s">
        <v>15492</v>
      </c>
      <c r="G7943" t="s">
        <v>14</v>
      </c>
      <c r="H7943">
             </c>
      <c r="I7943" t="s">
        <v>14</v>
      </c>
      <c r="J7943" t="s">
        <v>141</v>
      </c>
      <c r="K7943" t="s">
        <v>14</v>
      </c>
      <c r="L7943" t="s">
        <v>20</v>
      </c>
      <c r="M7943" t="s">
        <v>15470</v>
      </c>
      <c r="N7943" t="s">
        <v>14</v>
      </c>
    </row>
    <row r="7944" x14ac:dyDescent="0.25">
      <c r="A7944" t="n">
        <v>24</v>
      </c>
      <c r="B7944" t="s">
        <v>14</v>
      </c>
      <c r="C7944" t="s">
        <v>22</v>
      </c>
      <c r="D7944" s="2" t="s">
        <f>=HYPERLINK("https://main.knesset.gov.il/APPS/legislation/main/bills/2191949", "הצעת חוק משפחות חיילים שנספו במערכה (תיקון - יתומי צה""ל), התשפ""ב-2022")</f>
        <v>15493</v>
      </c>
      <c r="E7944" t="s">
        <v>15493</v>
      </c>
      <c r="F7944" t="s">
        <v>15494</v>
      </c>
      <c r="G7944" t="s">
        <v>14</v>
      </c>
      <c r="H7944">
             </c>
      <c r="I7944" t="s">
        <v>14</v>
      </c>
      <c r="J7944" t="s">
        <v>141</v>
      </c>
      <c r="K7944" t="s">
        <v>14</v>
      </c>
      <c r="L7944" t="s">
        <v>20</v>
      </c>
      <c r="M7944" t="s">
        <v>15470</v>
      </c>
      <c r="N7944" t="s">
        <v>14</v>
      </c>
    </row>
    <row r="7945" x14ac:dyDescent="0.25">
      <c r="A7945" t="n">
        <v>24</v>
      </c>
      <c r="B7945" t="s">
        <v>14</v>
      </c>
      <c r="C7945" t="s">
        <v>22</v>
      </c>
      <c r="D7945" s="2" t="s">
        <f>=HYPERLINK("https://main.knesset.gov.il/APPS/legislation/main/bills/2191953", "הצעת חוק איסור פרסום זמני של מתקפת סייבר, התשפ""ב-2022")</f>
        <v>15495</v>
      </c>
      <c r="E7945" t="s">
        <v>15495</v>
      </c>
      <c r="F7945" t="s">
        <v>15496</v>
      </c>
      <c r="G7945" t="s">
        <v>14</v>
      </c>
      <c r="H7945">
             </c>
      <c r="I7945" t="s">
        <v>14</v>
      </c>
      <c r="J7945" t="s">
        <v>141</v>
      </c>
      <c r="K7945" t="s">
        <v>14</v>
      </c>
      <c r="L7945" t="s">
        <v>20</v>
      </c>
      <c r="M7945" t="s">
        <v>15470</v>
      </c>
      <c r="N7945" t="s">
        <v>14</v>
      </c>
    </row>
    <row r="7946" x14ac:dyDescent="0.25">
      <c r="A7946" t="n">
        <v>24</v>
      </c>
      <c r="B7946" t="s">
        <v>14</v>
      </c>
      <c r="C7946" t="s">
        <v>22</v>
      </c>
      <c r="D7946" s="2" t="s">
        <f>=HYPERLINK("https://main.knesset.gov.il/APPS/legislation/main/bills/2168713", "הצעת חוק לעידוד חקלאות גגות (תיקוני חקיקה), התשפ""ב-2022")</f>
        <v>15497</v>
      </c>
      <c r="E7946" t="s">
        <v>15497</v>
      </c>
      <c r="F7946" t="s">
        <v>15498</v>
      </c>
      <c r="G7946" t="s">
        <v>14</v>
      </c>
      <c r="H7946">
             </c>
      <c r="I7946" t="s">
        <v>14</v>
      </c>
      <c r="J7946" t="s">
        <v>141</v>
      </c>
      <c r="K7946" t="s">
        <v>14</v>
      </c>
      <c r="L7946" t="s">
        <v>20</v>
      </c>
      <c r="M7946" t="s">
        <v>15470</v>
      </c>
      <c r="N7946" t="s">
        <v>14</v>
      </c>
    </row>
    <row r="7947" x14ac:dyDescent="0.25">
      <c r="A7947" t="n">
        <v>24</v>
      </c>
      <c r="B7947" t="s">
        <v>14</v>
      </c>
      <c r="C7947" t="s">
        <v>22</v>
      </c>
      <c r="D7947" s="2" t="s">
        <f>=HYPERLINK("https://main.knesset.gov.il/APPS/legislation/main/bills/2191419", "הצעת חוק הביטוח הלאומי (תיקון - תשלום גמלאות מתקציב מערכת בתי המשפט), התשפ""ב-2022")</f>
        <v>15499</v>
      </c>
      <c r="E7947" t="s">
        <v>15499</v>
      </c>
      <c r="F7947" t="s">
        <v>15500</v>
      </c>
      <c r="G7947" t="s">
        <v>14</v>
      </c>
      <c r="H7947">
             </c>
      <c r="I7947" t="s">
        <v>14</v>
      </c>
      <c r="J7947" t="s">
        <v>141</v>
      </c>
      <c r="K7947" t="s">
        <v>14</v>
      </c>
      <c r="L7947" t="s">
        <v>20</v>
      </c>
      <c r="M7947" t="s">
        <v>15470</v>
      </c>
      <c r="N7947" t="s">
        <v>14</v>
      </c>
    </row>
    <row r="7948" x14ac:dyDescent="0.25">
      <c r="A7948" t="n">
        <v>24</v>
      </c>
      <c r="B7948" t="s">
        <v>14</v>
      </c>
      <c r="C7948" t="s">
        <v>22</v>
      </c>
      <c r="D7948" s="2" t="s">
        <f>=HYPERLINK("https://main.knesset.gov.il/APPS/legislation/main/bills/2191399", "הצעת חוק מס ערך מוסף (תיקון - מס בשיעור אפס על תרכובת מזון לתינוקות), התשפ""ב-2022")</f>
        <v>15501</v>
      </c>
      <c r="E7948" t="s">
        <v>15501</v>
      </c>
      <c r="F7948" t="s">
        <v>15502</v>
      </c>
      <c r="G7948" t="s">
        <v>14</v>
      </c>
      <c r="H7948">
             </c>
      <c r="I7948" t="s">
        <v>14</v>
      </c>
      <c r="J7948" t="s">
        <v>141</v>
      </c>
      <c r="K7948" t="s">
        <v>14</v>
      </c>
      <c r="L7948" t="s">
        <v>20</v>
      </c>
      <c r="M7948" t="s">
        <v>15470</v>
      </c>
      <c r="N7948" t="s">
        <v>14</v>
      </c>
    </row>
    <row r="7949" x14ac:dyDescent="0.25">
      <c r="A7949" t="n">
        <v>24</v>
      </c>
      <c r="B7949" t="s">
        <v>14</v>
      </c>
      <c r="C7949" t="s">
        <v>22</v>
      </c>
      <c r="D7949" s="2" t="s">
        <f>=HYPERLINK("https://main.knesset.gov.il/APPS/legislation/main/bills/2191493", "הצעת חוק צער בעלי חיים (הגנה על בעלי חיים) (תיקון - איסור ייצוא בעלי חיים לשחיטה לשם שימוש בעורותיהם לתעשיית הקוסמטיקה), התשפ""ב-2022")</f>
        <v>15503</v>
      </c>
      <c r="E7949" t="s">
        <v>15503</v>
      </c>
      <c r="F7949" t="s">
        <v>15504</v>
      </c>
      <c r="G7949" t="s">
        <v>14</v>
      </c>
      <c r="H7949">
             </c>
      <c r="I7949" t="s">
        <v>14</v>
      </c>
      <c r="J7949" t="s">
        <v>141</v>
      </c>
      <c r="K7949" t="s">
        <v>14</v>
      </c>
      <c r="L7949" t="s">
        <v>20</v>
      </c>
      <c r="M7949" t="s">
        <v>15470</v>
      </c>
      <c r="N7949" t="s">
        <v>14</v>
      </c>
    </row>
    <row r="7950" x14ac:dyDescent="0.25">
      <c r="A7950" t="n">
        <v>24</v>
      </c>
      <c r="B7950" t="s">
        <v>14</v>
      </c>
      <c r="C7950" t="s">
        <v>22</v>
      </c>
      <c r="D7950" s="2" t="s">
        <f>=HYPERLINK("https://main.knesset.gov.il/APPS/legislation/main/bills/2191511", "הצעת חוק ביטוח בריאות ממלכתי (תיקון - קלנועית לאנשים עם נכויות סומטיות), התשפ""ב-2022")</f>
        <v>15505</v>
      </c>
      <c r="E7950" t="s">
        <v>15505</v>
      </c>
      <c r="F7950" t="s">
        <v>15506</v>
      </c>
      <c r="G7950" t="s">
        <v>14</v>
      </c>
      <c r="H7950">
             </c>
      <c r="I7950" t="s">
        <v>14</v>
      </c>
      <c r="J7950" t="s">
        <v>141</v>
      </c>
      <c r="K7950" t="s">
        <v>14</v>
      </c>
      <c r="L7950" t="s">
        <v>20</v>
      </c>
      <c r="M7950" t="s">
        <v>15470</v>
      </c>
      <c r="N7950" t="s">
        <v>14</v>
      </c>
    </row>
    <row r="7951" x14ac:dyDescent="0.25">
      <c r="A7951" t="n">
        <v>24</v>
      </c>
      <c r="B7951" t="s">
        <v>14</v>
      </c>
      <c r="C7951" t="s">
        <v>22</v>
      </c>
      <c r="D7951" s="2" t="s">
        <f>=HYPERLINK("https://main.knesset.gov.il/APPS/legislation/main/bills/2167831", "הצעת חוק לתיקון פקודת מס הכנסה (ניכוי ריבית על משכנתה וסיוע ברכישת דירה), התשפ""ב-2022")</f>
        <v>15507</v>
      </c>
      <c r="E7951" t="s">
        <v>15507</v>
      </c>
      <c r="F7951" t="s">
        <v>15508</v>
      </c>
      <c r="G7951" t="s">
        <v>14</v>
      </c>
      <c r="H7951">
             </c>
      <c r="I7951" t="s">
        <v>14</v>
      </c>
      <c r="J7951" t="s">
        <v>141</v>
      </c>
      <c r="K7951" t="s">
        <v>14</v>
      </c>
      <c r="L7951" t="s">
        <v>20</v>
      </c>
      <c r="M7951" t="s">
        <v>15470</v>
      </c>
      <c r="N7951" t="s">
        <v>14</v>
      </c>
    </row>
    <row r="7952" x14ac:dyDescent="0.25">
      <c r="A7952" t="n">
        <v>24</v>
      </c>
      <c r="B7952" t="s">
        <v>14</v>
      </c>
      <c r="C7952" t="s">
        <v>22</v>
      </c>
      <c r="D7952" s="2" t="s">
        <f>=HYPERLINK("https://main.knesset.gov.il/APPS/legislation/main/bills/2189549", "הצעת חוק להגבלת הוראות ההיתרים לעריכת הגרלות והימורים מאת שר האוצר (הוראת שעה), התשפ""ב-2022")</f>
        <v>15509</v>
      </c>
      <c r="E7952" t="s">
        <v>15509</v>
      </c>
      <c r="F7952" t="s">
        <v>15510</v>
      </c>
      <c r="G7952" t="s">
        <v>14</v>
      </c>
      <c r="H7952">
             </c>
      <c r="I7952" t="s">
        <v>14</v>
      </c>
      <c r="J7952" t="s">
        <v>141</v>
      </c>
      <c r="K7952" t="s">
        <v>14</v>
      </c>
      <c r="L7952" t="s">
        <v>20</v>
      </c>
      <c r="M7952" t="s">
        <v>15470</v>
      </c>
      <c r="N7952" t="s">
        <v>14</v>
      </c>
    </row>
    <row r="7953" x14ac:dyDescent="0.25">
      <c r="A7953" t="n">
        <v>24</v>
      </c>
      <c r="B7953" t="s">
        <v>14</v>
      </c>
      <c r="C7953" t="s">
        <v>22</v>
      </c>
      <c r="D7953" s="2" t="s">
        <f>=HYPERLINK("https://main.knesset.gov.il/APPS/legislation/main/bills/2191433", "הצעת חוק המידע הפלילי ותקנת השבים (תיקון - מחיקת רישום פלילי לשורדות זנות), התשפ""ב-2022 ")</f>
        <v>15511</v>
      </c>
      <c r="E7953" t="s">
        <v>15511</v>
      </c>
      <c r="F7953" t="s">
        <v>15512</v>
      </c>
      <c r="G7953" t="s">
        <v>14</v>
      </c>
      <c r="H7953">
             </c>
      <c r="I7953" t="s">
        <v>14</v>
      </c>
      <c r="J7953" t="s">
        <v>141</v>
      </c>
      <c r="K7953" t="s">
        <v>14</v>
      </c>
      <c r="L7953" t="s">
        <v>20</v>
      </c>
      <c r="M7953" t="s">
        <v>15470</v>
      </c>
      <c r="N7953" t="s">
        <v>14</v>
      </c>
    </row>
    <row r="7954" x14ac:dyDescent="0.25">
      <c r="A7954" t="n">
        <v>24</v>
      </c>
      <c r="B7954" t="s">
        <v>14</v>
      </c>
      <c r="C7954" t="s">
        <v>22</v>
      </c>
      <c r="D7954" s="2" t="s">
        <f>=HYPERLINK("https://main.knesset.gov.il/APPS/legislation/main/bills/2165251", "הצעת חוק בתי המשפט (תיקון - בעל דין טרדן), התשפ""ב-2022")</f>
        <v>15513</v>
      </c>
      <c r="E7954" t="s">
        <v>15513</v>
      </c>
      <c r="F7954" t="s">
        <v>15514</v>
      </c>
      <c r="G7954" t="s">
        <v>14</v>
      </c>
      <c r="H7954">
             </c>
      <c r="I7954" t="s">
        <v>14</v>
      </c>
      <c r="J7954" t="s">
        <v>141</v>
      </c>
      <c r="K7954" t="s">
        <v>14</v>
      </c>
      <c r="L7954" t="s">
        <v>20</v>
      </c>
      <c r="M7954" t="s">
        <v>15470</v>
      </c>
      <c r="N7954" t="s">
        <v>14</v>
      </c>
    </row>
    <row r="7955" x14ac:dyDescent="0.25">
      <c r="A7955" t="n">
        <v>24</v>
      </c>
      <c r="B7955" t="s">
        <v>14</v>
      </c>
      <c r="C7955" t="s">
        <v>22</v>
      </c>
      <c r="D7955" s="2" t="s">
        <f>=HYPERLINK("https://main.knesset.gov.il/APPS/legislation/main/bills/2190979", "הצעת חוק דמי מחלה (היעדרות בשל מחלת ילד) (תיקון - מחלה קשה), התשפ""ב- 2022")</f>
        <v>15515</v>
      </c>
      <c r="E7955" t="s">
        <v>15515</v>
      </c>
      <c r="F7955" t="s">
        <v>15516</v>
      </c>
      <c r="G7955" t="s">
        <v>14</v>
      </c>
      <c r="H7955">
             </c>
      <c r="I7955" t="s">
        <v>14</v>
      </c>
      <c r="J7955" t="s">
        <v>141</v>
      </c>
      <c r="K7955" t="s">
        <v>14</v>
      </c>
      <c r="L7955" t="s">
        <v>20</v>
      </c>
      <c r="M7955" t="s">
        <v>15470</v>
      </c>
      <c r="N7955" t="s">
        <v>14</v>
      </c>
    </row>
    <row r="7956" x14ac:dyDescent="0.25">
      <c r="A7956" t="n">
        <v>24</v>
      </c>
      <c r="B7956" t="s">
        <v>14</v>
      </c>
      <c r="C7956" t="s">
        <v>22</v>
      </c>
      <c r="D7956" s="2" t="s">
        <f>=HYPERLINK("https://main.knesset.gov.il/APPS/legislation/main/bills/2189750", "הצעת חוק סל מזון בריא - פיקוח על מחירים, שיווק וסבסוד, התשפ""ב-2022")</f>
        <v>15517</v>
      </c>
      <c r="E7956" t="s">
        <v>15517</v>
      </c>
      <c r="F7956" t="s">
        <v>15518</v>
      </c>
      <c r="G7956" t="s">
        <v>14</v>
      </c>
      <c r="H7956">
             </c>
      <c r="I7956" t="s">
        <v>14</v>
      </c>
      <c r="J7956" t="s">
        <v>141</v>
      </c>
      <c r="K7956" t="s">
        <v>14</v>
      </c>
      <c r="L7956" t="s">
        <v>20</v>
      </c>
      <c r="M7956" t="s">
        <v>15470</v>
      </c>
      <c r="N7956" t="s">
        <v>14</v>
      </c>
    </row>
    <row r="7957" x14ac:dyDescent="0.25">
      <c r="A7957" t="n">
        <v>24</v>
      </c>
      <c r="B7957" t="s">
        <v>14</v>
      </c>
      <c r="C7957" t="s">
        <v>22</v>
      </c>
      <c r="D7957" s="2" t="s">
        <f>=HYPERLINK("https://main.knesset.gov.il/APPS/legislation/main/bills/2191706", "הצעת חוק נכסים של נספי השואה (השבה ליורשים והקדשה למטרות סיוע והנצחה) (תיקון - הארכת תקופת הביניים והחלת הוראות נוספות), התשפ""ב-2022")</f>
        <v>15519</v>
      </c>
      <c r="E7957" t="s">
        <v>15519</v>
      </c>
      <c r="F7957" t="s">
        <v>15520</v>
      </c>
      <c r="G7957" t="s">
        <v>14</v>
      </c>
      <c r="H7957">
             </c>
      <c r="I7957" t="s">
        <v>14</v>
      </c>
      <c r="J7957" t="s">
        <v>141</v>
      </c>
      <c r="K7957" t="s">
        <v>14</v>
      </c>
      <c r="L7957" t="s">
        <v>20</v>
      </c>
      <c r="M7957" t="s">
        <v>15470</v>
      </c>
      <c r="N7957" t="s">
        <v>14</v>
      </c>
    </row>
    <row r="7958" x14ac:dyDescent="0.25">
      <c r="A7958" t="n">
        <v>24</v>
      </c>
      <c r="B7958" t="s">
        <v>14</v>
      </c>
      <c r="C7958" t="s">
        <v>22</v>
      </c>
      <c r="D7958" s="2" t="s">
        <f>=HYPERLINK("https://main.knesset.gov.il/APPS/legislation/main/bills/2190645", "הצעת חוק הזדמנות שווה בחינוך היסודי וביטול ההפליה (תיקוני חקיקה), התשפ""ב-2022")</f>
        <v>15521</v>
      </c>
      <c r="E7958" t="s">
        <v>15521</v>
      </c>
      <c r="F7958" t="s">
        <v>15522</v>
      </c>
      <c r="G7958" t="s">
        <v>14</v>
      </c>
      <c r="H7958">
             </c>
      <c r="I7958" t="s">
        <v>14</v>
      </c>
      <c r="J7958" t="s">
        <v>141</v>
      </c>
      <c r="K7958" t="s">
        <v>14</v>
      </c>
      <c r="L7958" t="s">
        <v>20</v>
      </c>
      <c r="M7958" t="s">
        <v>15470</v>
      </c>
      <c r="N7958" t="s">
        <v>14</v>
      </c>
    </row>
    <row r="7959" x14ac:dyDescent="0.25">
      <c r="A7959" t="n">
        <v>24</v>
      </c>
      <c r="B7959" t="s">
        <v>14</v>
      </c>
      <c r="C7959" t="s">
        <v>22</v>
      </c>
      <c r="D7959" s="2" t="s">
        <f>=HYPERLINK("https://main.knesset.gov.il/APPS/legislation/main/bills/2191619", "הצעת חוק שירות המדינה (מינויים) (תיקון - מינוי יועצים משפטיים של משרדים), התשפ""ב-2022")</f>
        <v>15523</v>
      </c>
      <c r="E7959" t="s">
        <v>15523</v>
      </c>
      <c r="F7959" t="s">
        <v>15524</v>
      </c>
      <c r="G7959" t="s">
        <v>14</v>
      </c>
      <c r="H7959">
             </c>
      <c r="I7959" t="s">
        <v>14</v>
      </c>
      <c r="J7959" t="s">
        <v>141</v>
      </c>
      <c r="K7959" t="s">
        <v>14</v>
      </c>
      <c r="L7959" t="s">
        <v>20</v>
      </c>
      <c r="M7959" t="s">
        <v>15470</v>
      </c>
      <c r="N7959" t="s">
        <v>14</v>
      </c>
    </row>
    <row r="7960" x14ac:dyDescent="0.25">
      <c r="A7960" t="n">
        <v>24</v>
      </c>
      <c r="B7960" t="s">
        <v>14</v>
      </c>
      <c r="C7960" t="s">
        <v>22</v>
      </c>
      <c r="D7960" s="2" t="s">
        <f>=HYPERLINK("https://main.knesset.gov.il/APPS/legislation/main/bills/2191907", "הצעת חוק ההתיישנות (תיקון - הרחבת הגדרת בן משפחה לעניין תקופת ההתיישנות של תביעה בשל תקיפה מינית או התעללות), התשפ""ב-2022")</f>
        <v>15525</v>
      </c>
      <c r="E7960" t="s">
        <v>15525</v>
      </c>
      <c r="F7960" t="s">
        <v>15526</v>
      </c>
      <c r="G7960" t="s">
        <v>14</v>
      </c>
      <c r="H7960">
             </c>
      <c r="I7960" t="s">
        <v>14</v>
      </c>
      <c r="J7960" t="s">
        <v>141</v>
      </c>
      <c r="K7960" t="s">
        <v>14</v>
      </c>
      <c r="L7960" t="s">
        <v>20</v>
      </c>
      <c r="M7960" t="s">
        <v>15470</v>
      </c>
      <c r="N7960" t="s">
        <v>14</v>
      </c>
    </row>
    <row r="7961" x14ac:dyDescent="0.25">
      <c r="A7961" t="n">
        <v>24</v>
      </c>
      <c r="B7961" t="s">
        <v>14</v>
      </c>
      <c r="C7961" t="s">
        <v>22</v>
      </c>
      <c r="D7961" s="2" t="s">
        <f>=HYPERLINK("https://main.knesset.gov.il/APPS/legislation/main/bills/2190277", "הצעת חוק הפיקוח על מעונות יום לפעוטות (תיקון - הסמכת מתנדבים וטכנאי מצלמות), התשפ""ב-2022")</f>
        <v>15527</v>
      </c>
      <c r="E7961" t="s">
        <v>15527</v>
      </c>
      <c r="F7961" t="s">
        <v>15528</v>
      </c>
      <c r="G7961" t="s">
        <v>14</v>
      </c>
      <c r="H7961">
             </c>
      <c r="I7961" t="s">
        <v>14</v>
      </c>
      <c r="J7961" t="s">
        <v>141</v>
      </c>
      <c r="K7961" t="s">
        <v>14</v>
      </c>
      <c r="L7961" t="s">
        <v>20</v>
      </c>
      <c r="M7961" t="s">
        <v>15470</v>
      </c>
      <c r="N7961" t="s">
        <v>14</v>
      </c>
    </row>
    <row r="7962" x14ac:dyDescent="0.25">
      <c r="A7962" t="n">
        <v>24</v>
      </c>
      <c r="B7962" t="s">
        <v>14</v>
      </c>
      <c r="C7962" t="s">
        <v>22</v>
      </c>
      <c r="D7962" s="2" t="s">
        <f>=HYPERLINK("https://main.knesset.gov.il/APPS/legislation/main/bills/2191470", "הצעת חוק זכויות הסטודנט (תיקון - הכרה בדור ראשון להשכלה גבוהה), התשפ""ב-2022")</f>
        <v>15529</v>
      </c>
      <c r="E7962" t="s">
        <v>15529</v>
      </c>
      <c r="F7962" t="s">
        <v>15530</v>
      </c>
      <c r="G7962" t="s">
        <v>14</v>
      </c>
      <c r="H7962">
             </c>
      <c r="I7962" t="s">
        <v>14</v>
      </c>
      <c r="J7962" t="s">
        <v>141</v>
      </c>
      <c r="K7962" t="s">
        <v>14</v>
      </c>
      <c r="L7962" t="s">
        <v>20</v>
      </c>
      <c r="M7962" t="s">
        <v>15470</v>
      </c>
      <c r="N7962" t="s">
        <v>14</v>
      </c>
    </row>
    <row r="7963" x14ac:dyDescent="0.25">
      <c r="A7963" t="n">
        <v>24</v>
      </c>
      <c r="B7963" t="s">
        <v>14</v>
      </c>
      <c r="C7963" t="s">
        <v>22</v>
      </c>
      <c r="D7963" s="2" t="s">
        <f>=HYPERLINK("https://main.knesset.gov.il/APPS/legislation/main/bills/2191921", "הצעת חוק לתיקון פקודת מס הכנסה (שינוי הקריטריונים ליישוב מוטב), התשפ""ב-2022")</f>
        <v>15531</v>
      </c>
      <c r="E7963" t="s">
        <v>15531</v>
      </c>
      <c r="F7963" t="s">
        <v>15532</v>
      </c>
      <c r="G7963" t="s">
        <v>14</v>
      </c>
      <c r="H7963">
             </c>
      <c r="I7963" t="s">
        <v>14</v>
      </c>
      <c r="J7963" t="s">
        <v>141</v>
      </c>
      <c r="K7963" t="s">
        <v>14</v>
      </c>
      <c r="L7963" t="s">
        <v>20</v>
      </c>
      <c r="M7963" t="s">
        <v>15470</v>
      </c>
      <c r="N7963" t="s">
        <v>14</v>
      </c>
    </row>
    <row r="7964" x14ac:dyDescent="0.25">
      <c r="A7964" t="n">
        <v>24</v>
      </c>
      <c r="B7964" t="s">
        <v>14</v>
      </c>
      <c r="C7964" t="s">
        <v>22</v>
      </c>
      <c r="D7964" s="2" t="s">
        <f>=HYPERLINK("https://main.knesset.gov.il/APPS/legislation/main/bills/2190554", "הצעת חוק לתיקון פקודת העיריות (ראש האופוזיציה), התשפ""ב-2022")</f>
        <v>15533</v>
      </c>
      <c r="E7964" t="s">
        <v>15533</v>
      </c>
      <c r="F7964" t="s">
        <v>15534</v>
      </c>
      <c r="G7964" t="s">
        <v>14</v>
      </c>
      <c r="H7964">
             </c>
      <c r="I7964" t="s">
        <v>14</v>
      </c>
      <c r="J7964" t="s">
        <v>141</v>
      </c>
      <c r="K7964" t="s">
        <v>14</v>
      </c>
      <c r="L7964" t="s">
        <v>20</v>
      </c>
      <c r="M7964" t="s">
        <v>15470</v>
      </c>
      <c r="N7964" t="s">
        <v>14</v>
      </c>
    </row>
    <row r="7965" x14ac:dyDescent="0.25">
      <c r="A7965" t="n">
        <v>24</v>
      </c>
      <c r="B7965" t="s">
        <v>14</v>
      </c>
      <c r="C7965" t="s">
        <v>22</v>
      </c>
      <c r="D7965" s="2" t="s">
        <f>=HYPERLINK("https://main.knesset.gov.il/APPS/legislation/main/bills/2160317", "הצעת חוק להסדרת הפיקוח על כלבים (תיקון מס' 6 – הוראת שעה) (כלבי הפקר), התשפ""ב-2022")</f>
        <v>15535</v>
      </c>
      <c r="E7965" t="s">
        <v>15535</v>
      </c>
      <c r="F7965" t="s">
        <v>15536</v>
      </c>
      <c r="G7965" t="s">
        <v>15537</v>
      </c>
      <c r="H7965">
             </c>
      <c r="I7965" t="s">
        <v>26</v>
      </c>
      <c r="J7965" t="s">
        <v>1141</v>
      </c>
      <c r="K7965" t="s">
        <v>34</v>
      </c>
      <c r="L7965" t="s">
        <v>20</v>
      </c>
      <c r="M7965" t="s">
        <v>15470</v>
      </c>
      <c r="N7965" t="s">
        <v>14</v>
      </c>
    </row>
    <row r="7966" x14ac:dyDescent="0.25">
      <c r="A7966" t="n">
        <v>24</v>
      </c>
      <c r="B7966" t="s">
        <v>14</v>
      </c>
      <c r="C7966" t="s">
        <v>22</v>
      </c>
      <c r="D7966" s="2" t="s">
        <f>=HYPERLINK("https://main.knesset.gov.il/APPS/legislation/main/bills/2190758", "הצעת חוק הקמת ועדת חקירה ממלכתית לפרשת הרוגלות בשימוש משטרת ישראל, התשפ""ב-2022")</f>
        <v>15538</v>
      </c>
      <c r="E7966" t="s">
        <v>15538</v>
      </c>
      <c r="F7966" t="s">
        <v>15539</v>
      </c>
      <c r="G7966" t="s">
        <v>14</v>
      </c>
      <c r="H7966">
             </c>
      <c r="I7966" t="s">
        <v>14</v>
      </c>
      <c r="J7966" t="s">
        <v>60</v>
      </c>
      <c r="K7966" t="s">
        <v>14</v>
      </c>
      <c r="L7966" t="s">
        <v>20</v>
      </c>
      <c r="M7966" t="s">
        <v>15540</v>
      </c>
      <c r="N7966" t="s">
        <v>14</v>
      </c>
    </row>
    <row r="7967" x14ac:dyDescent="0.25">
      <c r="A7967" t="n">
        <v>24</v>
      </c>
      <c r="B7967" t="s">
        <v>14</v>
      </c>
      <c r="C7967" t="s">
        <v>22</v>
      </c>
      <c r="D7967" s="2" t="s">
        <f>=HYPERLINK("https://main.knesset.gov.il/APPS/legislation/main/bills/2190689", "הצעת חוק החברות (תיקון - פרסום דוחות כספיים של מונופול), התשפ""ב-2022")</f>
        <v>15541</v>
      </c>
      <c r="E7967" t="s">
        <v>15541</v>
      </c>
      <c r="F7967" t="s">
        <v>15542</v>
      </c>
      <c r="G7967" t="s">
        <v>14</v>
      </c>
      <c r="H7967">
             </c>
      <c r="I7967" t="s">
        <v>14</v>
      </c>
      <c r="J7967" t="s">
        <v>31</v>
      </c>
      <c r="K7967" t="s">
        <v>27</v>
      </c>
      <c r="L7967" t="s">
        <v>20</v>
      </c>
      <c r="M7967" t="s">
        <v>15540</v>
      </c>
      <c r="N7967" t="s">
        <v>14</v>
      </c>
    </row>
    <row r="7968" x14ac:dyDescent="0.25">
      <c r="A7968" t="n">
        <v>24</v>
      </c>
      <c r="B7968" t="s">
        <v>14</v>
      </c>
      <c r="C7968" t="s">
        <v>22</v>
      </c>
      <c r="D7968" s="2" t="s">
        <f>=HYPERLINK("https://main.knesset.gov.il/APPS/legislation/main/bills/2190693", "הצעת חוק העונשין (תיקון - הגדרת סוכן חוץ), התשפ""ב-2022")</f>
        <v>15543</v>
      </c>
      <c r="E7968" t="s">
        <v>15543</v>
      </c>
      <c r="F7968" t="s">
        <v>15544</v>
      </c>
      <c r="G7968" t="s">
        <v>14</v>
      </c>
      <c r="H7968">
             </c>
      <c r="I7968" t="s">
        <v>14</v>
      </c>
      <c r="J7968" t="s">
        <v>60</v>
      </c>
      <c r="K7968" t="s">
        <v>14</v>
      </c>
      <c r="L7968" t="s">
        <v>20</v>
      </c>
      <c r="M7968" t="s">
        <v>15540</v>
      </c>
      <c r="N7968" t="s">
        <v>14</v>
      </c>
    </row>
    <row r="7969" x14ac:dyDescent="0.25">
      <c r="A7969" t="n">
        <v>24</v>
      </c>
      <c r="B7969" t="s">
        <v>14</v>
      </c>
      <c r="C7969" t="s">
        <v>22</v>
      </c>
      <c r="D7969" s="2" t="s">
        <f>=HYPERLINK("https://main.knesset.gov.il/APPS/legislation/main/bills/2170264", "הצעת חוק פנייה לגופים ציבוריים באמצעי קשר דיגיטליים (תיקון - פנייה באמצעות מסרון), התשפ""ב-2022")</f>
        <v>15545</v>
      </c>
      <c r="E7969" t="s">
        <v>15545</v>
      </c>
      <c r="F7969" t="s">
        <v>15546</v>
      </c>
      <c r="G7969" t="s">
        <v>14</v>
      </c>
      <c r="H7969">
             </c>
      <c r="I7969" t="s">
        <v>14</v>
      </c>
      <c r="J7969" t="s">
        <v>31</v>
      </c>
      <c r="K7969" t="s">
        <v>34</v>
      </c>
      <c r="L7969" t="s">
        <v>20</v>
      </c>
      <c r="M7969" t="s">
        <v>15540</v>
      </c>
      <c r="N7969" t="s">
        <v>14</v>
      </c>
    </row>
    <row r="7970" x14ac:dyDescent="0.25">
      <c r="A7970" t="n">
        <v>24</v>
      </c>
      <c r="B7970" t="s">
        <v>14</v>
      </c>
      <c r="C7970" t="s">
        <v>22</v>
      </c>
      <c r="D7970" s="2" t="s">
        <f>=HYPERLINK("https://main.knesset.gov.il/APPS/legislation/main/bills/2169951", "הצעת חוק העונשין (תיקון - עונשי מינימום בעבירות נשק), התשפ""ב-2022")</f>
        <v>15547</v>
      </c>
      <c r="E7970" t="s">
        <v>15547</v>
      </c>
      <c r="F7970" t="s">
        <v>15548</v>
      </c>
      <c r="G7970" t="s">
        <v>14</v>
      </c>
      <c r="H7970">
             </c>
      <c r="I7970" t="s">
        <v>14</v>
      </c>
      <c r="J7970" t="s">
        <v>55</v>
      </c>
      <c r="K7970" t="s">
        <v>14</v>
      </c>
      <c r="L7970" t="s">
        <v>20</v>
      </c>
      <c r="M7970" t="s">
        <v>15540</v>
      </c>
      <c r="N7970" t="s">
        <v>14</v>
      </c>
    </row>
    <row r="7971" x14ac:dyDescent="0.25">
      <c r="A7971" t="n">
        <v>24</v>
      </c>
      <c r="B7971" t="s">
        <v>14</v>
      </c>
      <c r="C7971" t="s">
        <v>22</v>
      </c>
      <c r="D7971" s="2" t="s">
        <f>=HYPERLINK("https://main.knesset.gov.il/APPS/legislation/main/bills/2189743", "הצעת חוק הסדרת העיסוק במקצועות הבריאות (תיקון - הסדרת מקצוע הרנטגנאות והדימות), התשפ""ב-2022")</f>
        <v>14860</v>
      </c>
      <c r="E7971" t="s">
        <v>14860</v>
      </c>
      <c r="F7971" t="s">
        <v>15549</v>
      </c>
      <c r="G7971" t="s">
        <v>14</v>
      </c>
      <c r="H7971">
             </c>
      <c r="I7971" t="s">
        <v>14</v>
      </c>
      <c r="J7971" t="s">
        <v>31</v>
      </c>
      <c r="K7971" t="s">
        <v>480</v>
      </c>
      <c r="L7971" t="s">
        <v>20</v>
      </c>
      <c r="M7971" t="s">
        <v>15540</v>
      </c>
      <c r="N7971" t="s">
        <v>14</v>
      </c>
    </row>
    <row r="7972" x14ac:dyDescent="0.25">
      <c r="A7972" t="n">
        <v>24</v>
      </c>
      <c r="B7972" t="s">
        <v>14</v>
      </c>
      <c r="C7972" t="s">
        <v>22</v>
      </c>
      <c r="D7972" s="2" t="s">
        <f>=HYPERLINK("https://main.knesset.gov.il/APPS/legislation/main/bills/2169967", "הצעת חוק החברות (תיקון - פרסום דוחות כספיים של מונופול), התשפ""ב-2022")</f>
        <v>15541</v>
      </c>
      <c r="E7972" t="s">
        <v>15541</v>
      </c>
      <c r="F7972" t="s">
        <v>15550</v>
      </c>
      <c r="G7972" t="s">
        <v>14</v>
      </c>
      <c r="H7972">
             </c>
      <c r="I7972" t="s">
        <v>14</v>
      </c>
      <c r="J7972" t="s">
        <v>31</v>
      </c>
      <c r="K7972" t="s">
        <v>27</v>
      </c>
      <c r="L7972" t="s">
        <v>20</v>
      </c>
      <c r="M7972" t="s">
        <v>15540</v>
      </c>
      <c r="N7972" t="s">
        <v>14</v>
      </c>
    </row>
    <row r="7973" x14ac:dyDescent="0.25">
      <c r="A7973" t="n">
        <v>24</v>
      </c>
      <c r="B7973" t="s">
        <v>14</v>
      </c>
      <c r="C7973" t="s">
        <v>22</v>
      </c>
      <c r="D7973" s="2" t="s">
        <f>=HYPERLINK("https://main.knesset.gov.il/APPS/legislation/main/bills/2169490", "הצעת חוק בתי דין רבניים (קיום פסקי דין של גירושין) (תיקון - הגבלת שימוש בכרטיסי אשראי לסרבני גט), התשפ""ב-2022")</f>
        <v>15551</v>
      </c>
      <c r="E7973" t="s">
        <v>15551</v>
      </c>
      <c r="F7973" t="s">
        <v>15552</v>
      </c>
      <c r="G7973" t="s">
        <v>14</v>
      </c>
      <c r="H7973">
             </c>
      <c r="I7973" t="s">
        <v>14</v>
      </c>
      <c r="J7973" t="s">
        <v>31</v>
      </c>
      <c r="K7973" t="s">
        <v>27</v>
      </c>
      <c r="L7973" t="s">
        <v>20</v>
      </c>
      <c r="M7973" t="s">
        <v>15540</v>
      </c>
      <c r="N7973" t="s">
        <v>14</v>
      </c>
    </row>
    <row r="7974" x14ac:dyDescent="0.25">
      <c r="A7974" t="n">
        <v>24</v>
      </c>
      <c r="B7974" t="s">
        <v>14</v>
      </c>
      <c r="C7974" t="s">
        <v>22</v>
      </c>
      <c r="D7974" s="2" t="s">
        <f>=HYPERLINK("https://main.knesset.gov.il/APPS/legislation/main/bills/2168627", "הצעת חוק לתיקון פקודת בתי הסוהר (תנאי אסיר ביטחוני בבתי הסוהר), התשפ""ב-2022")</f>
        <v>15553</v>
      </c>
      <c r="E7974" t="s">
        <v>15553</v>
      </c>
      <c r="F7974" t="s">
        <v>15554</v>
      </c>
      <c r="G7974" t="s">
        <v>14</v>
      </c>
      <c r="H7974">
             </c>
      <c r="I7974" t="s">
        <v>14</v>
      </c>
      <c r="J7974" t="s">
        <v>55</v>
      </c>
      <c r="K7974" t="s">
        <v>14</v>
      </c>
      <c r="L7974" t="s">
        <v>20</v>
      </c>
      <c r="M7974" t="s">
        <v>15540</v>
      </c>
      <c r="N7974" t="s">
        <v>14</v>
      </c>
    </row>
    <row r="7975" x14ac:dyDescent="0.25">
      <c r="A7975" t="n">
        <v>24</v>
      </c>
      <c r="B7975" t="s">
        <v>14</v>
      </c>
      <c r="C7975" t="s">
        <v>22</v>
      </c>
      <c r="D7975" s="2" t="s">
        <f>=HYPERLINK("https://main.knesset.gov.il/APPS/legislation/main/bills/2168847", "הצעת חוק משק החשמל (תיקון - איסור ניתוק חשמל), התשפ""ב-2022")</f>
        <v>15439</v>
      </c>
      <c r="E7975" t="s">
        <v>15439</v>
      </c>
      <c r="F7975" t="s">
        <v>15555</v>
      </c>
      <c r="G7975" t="s">
        <v>14</v>
      </c>
      <c r="H7975">
             </c>
      <c r="I7975" t="s">
        <v>14</v>
      </c>
      <c r="J7975" t="s">
        <v>55</v>
      </c>
      <c r="K7975" t="s">
        <v>14</v>
      </c>
      <c r="L7975" t="s">
        <v>20</v>
      </c>
      <c r="M7975" t="s">
        <v>15540</v>
      </c>
      <c r="N7975" t="s">
        <v>14</v>
      </c>
    </row>
    <row r="7976" x14ac:dyDescent="0.25">
      <c r="A7976" t="n">
        <v>24</v>
      </c>
      <c r="B7976" t="s">
        <v>14</v>
      </c>
      <c r="C7976" t="s">
        <v>22</v>
      </c>
      <c r="D7976" s="2" t="s">
        <f>=HYPERLINK("https://main.knesset.gov.il/APPS/legislation/main/bills/2163935", "הצעת חוק התכנון והבנייה (תיקון - ייצוג הולם לאוכלוסייה החרדית במוסדות התכנון), התשפ""ב-2022")</f>
        <v>15396</v>
      </c>
      <c r="E7976" t="s">
        <v>15396</v>
      </c>
      <c r="F7976" t="s">
        <v>15556</v>
      </c>
      <c r="G7976" t="s">
        <v>14</v>
      </c>
      <c r="H7976">
             </c>
      <c r="I7976" t="s">
        <v>14</v>
      </c>
      <c r="J7976" t="s">
        <v>55</v>
      </c>
      <c r="K7976" t="s">
        <v>14</v>
      </c>
      <c r="L7976" t="s">
        <v>20</v>
      </c>
      <c r="M7976" t="s">
        <v>15540</v>
      </c>
      <c r="N7976" t="s">
        <v>14</v>
      </c>
    </row>
    <row r="7977" x14ac:dyDescent="0.25">
      <c r="A7977" t="n">
        <v>24</v>
      </c>
      <c r="B7977" t="s">
        <v>14</v>
      </c>
      <c r="C7977" t="s">
        <v>22</v>
      </c>
      <c r="D7977" s="2" t="s">
        <f>=HYPERLINK("https://main.knesset.gov.il/APPS/legislation/main/bills/2163745", "הצעת חוק ירושלים ובנותיה, התשפ""ב-2022")</f>
        <v>15557</v>
      </c>
      <c r="E7977" t="s">
        <v>15557</v>
      </c>
      <c r="F7977" t="s">
        <v>15558</v>
      </c>
      <c r="G7977" t="s">
        <v>14</v>
      </c>
      <c r="H7977">
             </c>
      <c r="I7977" t="s">
        <v>14</v>
      </c>
      <c r="J7977" t="s">
        <v>343</v>
      </c>
      <c r="K7977" t="s">
        <v>14</v>
      </c>
      <c r="L7977" t="s">
        <v>20</v>
      </c>
      <c r="M7977" t="s">
        <v>15540</v>
      </c>
      <c r="N7977" t="s">
        <v>14</v>
      </c>
    </row>
    <row r="7978" x14ac:dyDescent="0.25">
      <c r="A7978" t="n">
        <v>24</v>
      </c>
      <c r="B7978" t="s">
        <v>14</v>
      </c>
      <c r="C7978" t="s">
        <v>22</v>
      </c>
      <c r="D7978" s="2" t="s">
        <f>=HYPERLINK("https://main.knesset.gov.il/APPS/legislation/main/bills/2165642", "הצעת חוק בתי דין רבניים (קיום פסקי דין של גירושין) (תיקון - הגבלת שימוש בכרטיסי אשראי לסרבני גט), התשפ""ב-2021")</f>
        <v>15559</v>
      </c>
      <c r="E7978" t="s">
        <v>15559</v>
      </c>
      <c r="F7978" t="s">
        <v>15560</v>
      </c>
      <c r="G7978" t="s">
        <v>14</v>
      </c>
      <c r="H7978">
             </c>
      <c r="I7978" t="s">
        <v>14</v>
      </c>
      <c r="J7978" t="s">
        <v>31</v>
      </c>
      <c r="K7978" t="s">
        <v>27</v>
      </c>
      <c r="L7978" t="s">
        <v>20</v>
      </c>
      <c r="M7978" t="s">
        <v>15540</v>
      </c>
      <c r="N7978" t="s">
        <v>14</v>
      </c>
    </row>
    <row r="7979" x14ac:dyDescent="0.25">
      <c r="A7979" t="n">
        <v>24</v>
      </c>
      <c r="B7979" t="s">
        <v>14</v>
      </c>
      <c r="C7979" t="s">
        <v>22</v>
      </c>
      <c r="D7979" s="2" t="s">
        <f>=HYPERLINK("https://main.knesset.gov.il/APPS/legislation/main/bills/2160325", "הצעת חוק-יסוד: ירושלים בירת ישראל (תיקון - איסור על פתיחת נציגות דיפלומטית זרה)")</f>
        <v>5998</v>
      </c>
      <c r="E7979" t="s">
        <v>5998</v>
      </c>
      <c r="F7979" t="s">
        <v>15561</v>
      </c>
      <c r="G7979" t="s">
        <v>14</v>
      </c>
      <c r="H7979">
             </c>
      <c r="I7979" t="s">
        <v>14</v>
      </c>
      <c r="J7979" t="s">
        <v>55</v>
      </c>
      <c r="K7979" t="s">
        <v>14</v>
      </c>
      <c r="L7979" t="s">
        <v>20</v>
      </c>
      <c r="M7979" t="s">
        <v>15540</v>
      </c>
      <c r="N7979" t="s">
        <v>14</v>
      </c>
    </row>
    <row r="7980" x14ac:dyDescent="0.25">
      <c r="A7980" t="n">
        <v>24</v>
      </c>
      <c r="B7980" t="s">
        <v>14</v>
      </c>
      <c r="C7980" t="s">
        <v>22</v>
      </c>
      <c r="D7980" s="2" t="s">
        <f>=HYPERLINK("https://main.knesset.gov.il/APPS/legislation/main/bills/2160845", "הצעת חוק חובת המכרזים (תיקון - עידוד עסקים להעסקת בני החברה הערבית והחרדית), התשפ""א-2021")</f>
        <v>15562</v>
      </c>
      <c r="E7980" t="s">
        <v>15562</v>
      </c>
      <c r="F7980" t="s">
        <v>15563</v>
      </c>
      <c r="G7980" t="s">
        <v>14</v>
      </c>
      <c r="H7980">
             </c>
      <c r="I7980" t="s">
        <v>14</v>
      </c>
      <c r="J7980" t="s">
        <v>60</v>
      </c>
      <c r="K7980" t="s">
        <v>14</v>
      </c>
      <c r="L7980" t="s">
        <v>20</v>
      </c>
      <c r="M7980" t="s">
        <v>15540</v>
      </c>
      <c r="N7980" t="s">
        <v>14</v>
      </c>
    </row>
    <row r="7981" x14ac:dyDescent="0.25">
      <c r="A7981" t="n">
        <v>24</v>
      </c>
      <c r="B7981" t="s">
        <v>14</v>
      </c>
      <c r="C7981" t="s">
        <v>22</v>
      </c>
      <c r="D7981" s="2" t="s">
        <f>=HYPERLINK("https://main.knesset.gov.il/APPS/legislation/main/bills/2160538", "הצעת חוק משק החשמל (תיקון - איסור ניתוק חשמל), התשפ""א-2021")</f>
        <v>15564</v>
      </c>
      <c r="E7981" t="s">
        <v>15564</v>
      </c>
      <c r="F7981" t="s">
        <v>15565</v>
      </c>
      <c r="G7981" t="s">
        <v>14</v>
      </c>
      <c r="H7981">
             </c>
      <c r="I7981" t="s">
        <v>14</v>
      </c>
      <c r="J7981" t="s">
        <v>55</v>
      </c>
      <c r="K7981" t="s">
        <v>14</v>
      </c>
      <c r="L7981" t="s">
        <v>20</v>
      </c>
      <c r="M7981" t="s">
        <v>15540</v>
      </c>
      <c r="N7981" t="s">
        <v>14</v>
      </c>
    </row>
    <row r="7982" x14ac:dyDescent="0.25">
      <c r="A7982" t="n">
        <v>24</v>
      </c>
      <c r="B7982" t="s">
        <v>14</v>
      </c>
      <c r="C7982" t="s">
        <v>22</v>
      </c>
      <c r="D7982" s="2" t="s">
        <f>=HYPERLINK("https://main.knesset.gov.il/APPS/legislation/main/bills/2157626", "הצעת חוק הבחירות (דרכי תעמולה) (תיקון - הגבלת הסמכות להגשת קובלנה פלילית), התשפ""א-2021")</f>
        <v>15566</v>
      </c>
      <c r="E7982" t="s">
        <v>15566</v>
      </c>
      <c r="F7982" t="s">
        <v>15567</v>
      </c>
      <c r="G7982" t="s">
        <v>14</v>
      </c>
      <c r="H7982">
             </c>
      <c r="I7982" t="s">
        <v>14</v>
      </c>
      <c r="J7982" t="s">
        <v>55</v>
      </c>
      <c r="K7982" t="s">
        <v>14</v>
      </c>
      <c r="L7982" t="s">
        <v>20</v>
      </c>
      <c r="M7982" t="s">
        <v>15540</v>
      </c>
      <c r="N7982" t="s">
        <v>14</v>
      </c>
    </row>
    <row r="7983" x14ac:dyDescent="0.25">
      <c r="A7983" t="n">
        <v>24</v>
      </c>
      <c r="B7983" t="s">
        <v>14</v>
      </c>
      <c r="C7983" t="s">
        <v>22</v>
      </c>
      <c r="D7983" s="2" t="s">
        <f>=HYPERLINK("https://main.knesset.gov.il/APPS/legislation/main/bills/2157023", "הצעת חוק חובת המכרזים (תיקון - עידוד עסקים להעסקת בני החברה הערבית והחרדית), התשפ""א-2021")</f>
        <v>15562</v>
      </c>
      <c r="E7983" t="s">
        <v>15562</v>
      </c>
      <c r="F7983" t="s">
        <v>15568</v>
      </c>
      <c r="G7983" t="s">
        <v>14</v>
      </c>
      <c r="H7983">
             </c>
      <c r="I7983" t="s">
        <v>14</v>
      </c>
      <c r="J7983" t="s">
        <v>60</v>
      </c>
      <c r="K7983" t="s">
        <v>14</v>
      </c>
      <c r="L7983" t="s">
        <v>20</v>
      </c>
      <c r="M7983" t="s">
        <v>15540</v>
      </c>
      <c r="N7983" t="s">
        <v>14</v>
      </c>
    </row>
    <row r="7984" x14ac:dyDescent="0.25">
      <c r="A7984" t="n">
        <v>24</v>
      </c>
      <c r="B7984" t="s">
        <v>14</v>
      </c>
      <c r="C7984" t="s">
        <v>15</v>
      </c>
      <c r="D7984" s="2" t="s">
        <f>=HYPERLINK("https://main.knesset.gov.il/APPS/legislation/main/bills/2192012", "הצעת חוק התגמולים לנפגעי פעולות איבה (תיקון מס' 38) (היכל ההנצחה בהר הרצל), התשפ""ב-2022 ")</f>
        <v>15569</v>
      </c>
      <c r="E7984" t="s">
        <v>15569</v>
      </c>
      <c r="F7984" t="s">
        <v>14</v>
      </c>
      <c r="G7984" t="s">
        <v>15570</v>
      </c>
      <c r="H7984">
             </c>
      <c r="I7984" t="s">
        <v>14</v>
      </c>
      <c r="J7984" t="s">
        <v>69</v>
      </c>
      <c r="K7984" t="s">
        <v>14</v>
      </c>
      <c r="L7984" t="s">
        <v>20</v>
      </c>
      <c r="M7984" t="s">
        <v>15540</v>
      </c>
      <c r="N7984" t="s">
        <v>14</v>
      </c>
    </row>
    <row r="7985" x14ac:dyDescent="0.25">
      <c r="A7985" t="n">
        <v>24</v>
      </c>
      <c r="B7985" t="s">
        <v>14</v>
      </c>
      <c r="C7985" t="s">
        <v>15</v>
      </c>
      <c r="D7985" s="2" t="s">
        <f>=HYPERLINK("https://main.knesset.gov.il/APPS/legislation/main/bills/2192013", "הצעת חוק הגנת הצרכן (תיקון מס' 63) (הפרה בנסיבות מחמירות), התשפ""ב-2022 ")</f>
        <v>15571</v>
      </c>
      <c r="E7985" t="s">
        <v>15571</v>
      </c>
      <c r="F7985" t="s">
        <v>14</v>
      </c>
      <c r="G7985" t="s">
        <v>15572</v>
      </c>
      <c r="H7985">
             </c>
      <c r="I7985" t="s">
        <v>14</v>
      </c>
      <c r="J7985" t="s">
        <v>69</v>
      </c>
      <c r="K7985" t="s">
        <v>14</v>
      </c>
      <c r="L7985" t="s">
        <v>20</v>
      </c>
      <c r="M7985" t="s">
        <v>15540</v>
      </c>
      <c r="N7985" t="s">
        <v>14</v>
      </c>
    </row>
    <row r="7986" x14ac:dyDescent="0.25">
      <c r="A7986" t="n">
        <v>24</v>
      </c>
      <c r="B7986" t="s">
        <v>14</v>
      </c>
      <c r="C7986" t="s">
        <v>22</v>
      </c>
      <c r="D7986" s="2" t="s">
        <f>=HYPERLINK("https://main.knesset.gov.il/APPS/legislation/main/bills/2167942", "הצעת חוק איסור פרסום והפצת שמות נפגעים, התשפ""ב-2022")</f>
        <v>15573</v>
      </c>
      <c r="E7986" t="s">
        <v>15573</v>
      </c>
      <c r="F7986" t="s">
        <v>15574</v>
      </c>
      <c r="G7986" t="s">
        <v>14</v>
      </c>
      <c r="H7986">
             </c>
      <c r="I7986" t="s">
        <v>14</v>
      </c>
      <c r="J7986" t="s">
        <v>99</v>
      </c>
      <c r="K7986" t="s">
        <v>480</v>
      </c>
      <c r="L7986" t="s">
        <v>20</v>
      </c>
      <c r="M7986" t="s">
        <v>15575</v>
      </c>
      <c r="N7986" t="s">
        <v>14</v>
      </c>
    </row>
    <row r="7987" x14ac:dyDescent="0.25">
      <c r="A7987" t="n">
        <v>24</v>
      </c>
      <c r="B7987" t="s">
        <v>14</v>
      </c>
      <c r="C7987" t="s">
        <v>22</v>
      </c>
      <c r="D7987" s="2" t="s">
        <f>=HYPERLINK("https://main.knesset.gov.il/APPS/legislation/main/bills/2159065", "חוק דמי מחלה (תיקון מס' 6), התשפ""ב-2022")</f>
        <v>15576</v>
      </c>
      <c r="E7987" t="s">
        <v>15576</v>
      </c>
      <c r="F7987" t="s">
        <v>15577</v>
      </c>
      <c r="G7987" t="s">
        <v>15481</v>
      </c>
      <c r="H7987" t="n">
        <v>2970</v>
      </c>
      <c r="I7987" t="s">
        <v>14</v>
      </c>
      <c r="J7987" t="s">
        <v>91</v>
      </c>
      <c r="K7987" t="s">
        <v>127</v>
      </c>
      <c r="L7987" t="s">
        <v>20</v>
      </c>
      <c r="M7987" t="s">
        <v>15575</v>
      </c>
      <c r="N7987" t="s">
        <v>15578</v>
      </c>
    </row>
    <row r="7988" x14ac:dyDescent="0.25">
      <c r="A7988" t="n">
        <v>24</v>
      </c>
      <c r="B7988" t="s">
        <v>14</v>
      </c>
      <c r="C7988" t="s">
        <v>22</v>
      </c>
      <c r="D7988" s="2" t="s">
        <f>=HYPERLINK("https://main.knesset.gov.il/APPS/legislation/main/bills/2190369", "הצעת חוק הרשות לשימור בתי כנסת ואתרי קדושה בקהילות יהדות התפוצות, התשפ""ב-2022")</f>
        <v>15579</v>
      </c>
      <c r="E7988" t="s">
        <v>15579</v>
      </c>
      <c r="F7988" t="s">
        <v>15580</v>
      </c>
      <c r="G7988" t="s">
        <v>14</v>
      </c>
      <c r="H7988">
             </c>
      <c r="I7988" t="s">
        <v>14</v>
      </c>
      <c r="J7988" t="s">
        <v>141</v>
      </c>
      <c r="K7988" t="s">
        <v>14</v>
      </c>
      <c r="L7988" t="s">
        <v>20</v>
      </c>
      <c r="M7988" t="s">
        <v>15581</v>
      </c>
      <c r="N7988" t="s">
        <v>14</v>
      </c>
    </row>
    <row r="7989" x14ac:dyDescent="0.25">
      <c r="A7989" t="n">
        <v>24</v>
      </c>
      <c r="B7989" t="s">
        <v>14</v>
      </c>
      <c r="C7989" t="s">
        <v>22</v>
      </c>
      <c r="D7989" s="2" t="s">
        <f>=HYPERLINK("https://main.knesset.gov.il/APPS/legislation/main/bills/2191360", "הצעת חוק חוזה הביטוח (תיקון - העברת מוטב בביטוח חיים בין תאגידים בנקאיים), התשפ""ב-2022")</f>
        <v>15582</v>
      </c>
      <c r="E7989" t="s">
        <v>15582</v>
      </c>
      <c r="F7989" t="s">
        <v>15583</v>
      </c>
      <c r="G7989" t="s">
        <v>14</v>
      </c>
      <c r="H7989">
             </c>
      <c r="I7989" t="s">
        <v>14</v>
      </c>
      <c r="J7989" t="s">
        <v>141</v>
      </c>
      <c r="K7989" t="s">
        <v>14</v>
      </c>
      <c r="L7989" t="s">
        <v>20</v>
      </c>
      <c r="M7989" t="s">
        <v>15581</v>
      </c>
      <c r="N7989" t="s">
        <v>14</v>
      </c>
    </row>
    <row r="7990" x14ac:dyDescent="0.25">
      <c r="A7990" t="n">
        <v>24</v>
      </c>
      <c r="B7990" t="s">
        <v>14</v>
      </c>
      <c r="C7990" t="s">
        <v>22</v>
      </c>
      <c r="D7990" s="2" t="s">
        <f>=HYPERLINK("https://main.knesset.gov.il/APPS/legislation/main/bills/2191333", "הצעת חוק פיצויים לבעלי זכות במקרקעין מועברים, התשפ""ב-2022")</f>
        <v>15584</v>
      </c>
      <c r="E7990" t="s">
        <v>15584</v>
      </c>
      <c r="F7990" t="s">
        <v>15585</v>
      </c>
      <c r="G7990" t="s">
        <v>14</v>
      </c>
      <c r="H7990">
             </c>
      <c r="I7990" t="s">
        <v>14</v>
      </c>
      <c r="J7990" t="s">
        <v>141</v>
      </c>
      <c r="K7990" t="s">
        <v>14</v>
      </c>
      <c r="L7990" t="s">
        <v>20</v>
      </c>
      <c r="M7990" t="s">
        <v>15581</v>
      </c>
      <c r="N7990" t="s">
        <v>14</v>
      </c>
    </row>
    <row r="7991" x14ac:dyDescent="0.25">
      <c r="A7991" t="n">
        <v>24</v>
      </c>
      <c r="B7991" t="s">
        <v>14</v>
      </c>
      <c r="C7991" t="s">
        <v>22</v>
      </c>
      <c r="D7991" s="2" t="s">
        <f>=HYPERLINK("https://main.knesset.gov.il/APPS/legislation/main/bills/2190977", "הצעת חוק חג הפסח בבסיסי צה""ל, התשפ""ב-2022 ")</f>
        <v>14768</v>
      </c>
      <c r="E7991" t="s">
        <v>14768</v>
      </c>
      <c r="F7991" t="s">
        <v>15586</v>
      </c>
      <c r="G7991" t="s">
        <v>14</v>
      </c>
      <c r="H7991">
             </c>
      <c r="I7991" t="s">
        <v>14</v>
      </c>
      <c r="J7991" t="s">
        <v>141</v>
      </c>
      <c r="K7991" t="s">
        <v>14</v>
      </c>
      <c r="L7991" t="s">
        <v>20</v>
      </c>
      <c r="M7991" t="s">
        <v>15581</v>
      </c>
      <c r="N7991" t="s">
        <v>14</v>
      </c>
    </row>
    <row r="7992" x14ac:dyDescent="0.25">
      <c r="A7992" t="n">
        <v>24</v>
      </c>
      <c r="B7992" t="s">
        <v>14</v>
      </c>
      <c r="C7992" t="s">
        <v>22</v>
      </c>
      <c r="D7992" s="2" t="s">
        <f>=HYPERLINK("https://main.knesset.gov.il/APPS/legislation/main/bills/2157800", "הצעת חוק בתי קברות צבאיים (תיקון - השחתה וחילול קבר), התשפ""ב-2022")</f>
        <v>15587</v>
      </c>
      <c r="E7992" t="s">
        <v>15587</v>
      </c>
      <c r="F7992" t="s">
        <v>15588</v>
      </c>
      <c r="G7992" t="s">
        <v>14</v>
      </c>
      <c r="H7992">
             </c>
      <c r="I7992" t="s">
        <v>14</v>
      </c>
      <c r="J7992" t="s">
        <v>141</v>
      </c>
      <c r="K7992" t="s">
        <v>14</v>
      </c>
      <c r="L7992" t="s">
        <v>20</v>
      </c>
      <c r="M7992" t="s">
        <v>15581</v>
      </c>
      <c r="N7992" t="s">
        <v>14</v>
      </c>
    </row>
    <row r="7993" x14ac:dyDescent="0.25">
      <c r="A7993" t="n">
        <v>24</v>
      </c>
      <c r="B7993" t="s">
        <v>14</v>
      </c>
      <c r="C7993" t="s">
        <v>22</v>
      </c>
      <c r="D7993" s="2" t="s">
        <f>=HYPERLINK("https://main.knesset.gov.il/APPS/legislation/main/bills/2191296", "הצעת חוק כלי היריה (תיקון - זכאות לרישיון כלי יריה למי ששירת כלוחם וכשוטר), התשפ""ב-2022")</f>
        <v>15589</v>
      </c>
      <c r="E7993" t="s">
        <v>15589</v>
      </c>
      <c r="F7993" t="s">
        <v>15590</v>
      </c>
      <c r="G7993" t="s">
        <v>14</v>
      </c>
      <c r="H7993">
             </c>
      <c r="I7993" t="s">
        <v>14</v>
      </c>
      <c r="J7993" t="s">
        <v>141</v>
      </c>
      <c r="K7993" t="s">
        <v>14</v>
      </c>
      <c r="L7993" t="s">
        <v>20</v>
      </c>
      <c r="M7993" t="s">
        <v>15581</v>
      </c>
      <c r="N7993" t="s">
        <v>14</v>
      </c>
    </row>
    <row r="7994" x14ac:dyDescent="0.25">
      <c r="A7994" t="n">
        <v>24</v>
      </c>
      <c r="B7994" t="s">
        <v>14</v>
      </c>
      <c r="C7994" t="s">
        <v>22</v>
      </c>
      <c r="D7994" s="2" t="s">
        <f>=HYPERLINK("https://main.knesset.gov.il/APPS/legislation/main/bills/2191466", "הצעת חוק הפיקוח על מעונות (תיקון - תנאי כשירות לעובדי מעון), התשפ""ב-2022")</f>
        <v>15591</v>
      </c>
      <c r="E7994" t="s">
        <v>15591</v>
      </c>
      <c r="F7994" t="s">
        <v>15592</v>
      </c>
      <c r="G7994" t="s">
        <v>14</v>
      </c>
      <c r="H7994">
             </c>
      <c r="I7994" t="s">
        <v>14</v>
      </c>
      <c r="J7994" t="s">
        <v>141</v>
      </c>
      <c r="K7994" t="s">
        <v>14</v>
      </c>
      <c r="L7994" t="s">
        <v>20</v>
      </c>
      <c r="M7994" t="s">
        <v>15581</v>
      </c>
      <c r="N7994" t="s">
        <v>14</v>
      </c>
    </row>
    <row r="7995" x14ac:dyDescent="0.25">
      <c r="A7995" t="n">
        <v>24</v>
      </c>
      <c r="B7995" t="s">
        <v>14</v>
      </c>
      <c r="C7995" t="s">
        <v>22</v>
      </c>
      <c r="D7995" s="2" t="s">
        <f>=HYPERLINK("https://main.knesset.gov.il/APPS/legislation/main/bills/2191454", "הצעת חוק לתיקון פקודת בתי הסוהר (פיקוח על ערוצי טלויזיה ורדיו), התשפ""ב-2022")</f>
        <v>15593</v>
      </c>
      <c r="E7995" t="s">
        <v>15593</v>
      </c>
      <c r="F7995" t="s">
        <v>15594</v>
      </c>
      <c r="G7995" t="s">
        <v>14</v>
      </c>
      <c r="H7995">
             </c>
      <c r="I7995" t="s">
        <v>14</v>
      </c>
      <c r="J7995" t="s">
        <v>141</v>
      </c>
      <c r="K7995" t="s">
        <v>14</v>
      </c>
      <c r="L7995" t="s">
        <v>20</v>
      </c>
      <c r="M7995" t="s">
        <v>15581</v>
      </c>
      <c r="N7995" t="s">
        <v>14</v>
      </c>
    </row>
    <row r="7996" x14ac:dyDescent="0.25">
      <c r="A7996" t="n">
        <v>24</v>
      </c>
      <c r="B7996" t="s">
        <v>14</v>
      </c>
      <c r="C7996" t="s">
        <v>22</v>
      </c>
      <c r="D7996" s="2" t="s">
        <f>=HYPERLINK("https://main.knesset.gov.il/APPS/legislation/main/bills/2190652", "הצעת חוק שירות המדינה (מינויים) (תיקון - הגבלה על מינוי דיפלומטים), התשפ""ב-2022")</f>
        <v>15595</v>
      </c>
      <c r="E7996" t="s">
        <v>15595</v>
      </c>
      <c r="F7996" t="s">
        <v>15596</v>
      </c>
      <c r="G7996" t="s">
        <v>14</v>
      </c>
      <c r="H7996">
             </c>
      <c r="I7996" t="s">
        <v>14</v>
      </c>
      <c r="J7996" t="s">
        <v>141</v>
      </c>
      <c r="K7996" t="s">
        <v>14</v>
      </c>
      <c r="L7996" t="s">
        <v>20</v>
      </c>
      <c r="M7996" t="s">
        <v>15581</v>
      </c>
      <c r="N7996" t="s">
        <v>14</v>
      </c>
    </row>
    <row r="7997" x14ac:dyDescent="0.25">
      <c r="A7997" t="n">
        <v>24</v>
      </c>
      <c r="B7997" t="s">
        <v>14</v>
      </c>
      <c r="C7997" t="s">
        <v>22</v>
      </c>
      <c r="D7997" s="2" t="s">
        <f>=HYPERLINK("https://main.knesset.gov.il/APPS/legislation/main/bills/2191330", "הצעת חוק חובת המכרזים (תיקון - עידוד אגודות שיתופיות ותאגידים שחל עליהם הסכם קיבוצי מיוחד), התשפ""ב-2022")</f>
        <v>15597</v>
      </c>
      <c r="E7997" t="s">
        <v>15597</v>
      </c>
      <c r="F7997" t="s">
        <v>15598</v>
      </c>
      <c r="G7997" t="s">
        <v>14</v>
      </c>
      <c r="H7997">
             </c>
      <c r="I7997" t="s">
        <v>14</v>
      </c>
      <c r="J7997" t="s">
        <v>141</v>
      </c>
      <c r="K7997" t="s">
        <v>14</v>
      </c>
      <c r="L7997" t="s">
        <v>20</v>
      </c>
      <c r="M7997" t="s">
        <v>15581</v>
      </c>
      <c r="N7997" t="s">
        <v>14</v>
      </c>
    </row>
    <row r="7998" x14ac:dyDescent="0.25">
      <c r="A7998" t="n">
        <v>24</v>
      </c>
      <c r="B7998" t="s">
        <v>14</v>
      </c>
      <c r="C7998" t="s">
        <v>22</v>
      </c>
      <c r="D7998" s="2" t="s">
        <f>=HYPERLINK("https://main.knesset.gov.il/APPS/legislation/main/bills/2191332", "הצעת חוק לתיקון פקודת סדרי השלטון והמשפט (חקיקה באזור באמצעות צו), התשפ""ב-2022")</f>
        <v>15599</v>
      </c>
      <c r="E7998" t="s">
        <v>15599</v>
      </c>
      <c r="F7998" t="s">
        <v>15600</v>
      </c>
      <c r="G7998" t="s">
        <v>14</v>
      </c>
      <c r="H7998">
             </c>
      <c r="I7998" t="s">
        <v>14</v>
      </c>
      <c r="J7998" t="s">
        <v>141</v>
      </c>
      <c r="K7998" t="s">
        <v>14</v>
      </c>
      <c r="L7998" t="s">
        <v>20</v>
      </c>
      <c r="M7998" t="s">
        <v>15581</v>
      </c>
      <c r="N7998" t="s">
        <v>14</v>
      </c>
    </row>
    <row r="7999" x14ac:dyDescent="0.25">
      <c r="A7999" t="n">
        <v>24</v>
      </c>
      <c r="B7999" t="s">
        <v>14</v>
      </c>
      <c r="C7999" t="s">
        <v>22</v>
      </c>
      <c r="D7999" s="2" t="s">
        <f>=HYPERLINK("https://main.knesset.gov.il/APPS/legislation/main/bills/2191603", "הצעת חוק להקפאת כספים ששילמה הרשות הפלסטינית בזיקה לטרור מהכספים המועברים אליה מממשלת ישראל (תיקון - איסור מתן הטבות פיננסיות לרשות הפלסטינית), התשפ""ב-2022")</f>
        <v>15601</v>
      </c>
      <c r="E7999" t="s">
        <v>15601</v>
      </c>
      <c r="F7999" t="s">
        <v>15602</v>
      </c>
      <c r="G7999" t="s">
        <v>14</v>
      </c>
      <c r="H7999">
             </c>
      <c r="I7999" t="s">
        <v>14</v>
      </c>
      <c r="J7999" t="s">
        <v>141</v>
      </c>
      <c r="K7999" t="s">
        <v>14</v>
      </c>
      <c r="L7999" t="s">
        <v>20</v>
      </c>
      <c r="M7999" t="s">
        <v>15581</v>
      </c>
      <c r="N7999" t="s">
        <v>14</v>
      </c>
    </row>
    <row r="8000" x14ac:dyDescent="0.25">
      <c r="A8000" t="n">
        <v>24</v>
      </c>
      <c r="B8000" t="s">
        <v>14</v>
      </c>
      <c r="C8000" t="s">
        <v>22</v>
      </c>
      <c r="D8000" s="2" t="s">
        <f>=HYPERLINK("https://main.knesset.gov.il/APPS/legislation/main/bills/2170191", "הצעת חוק זכויות מבצעים ומשדרים (תיקון - הרחבת היקף הזכויות), התשפ""ב-2022")</f>
        <v>15603</v>
      </c>
      <c r="E8000" t="s">
        <v>15603</v>
      </c>
      <c r="F8000" t="s">
        <v>15604</v>
      </c>
      <c r="G8000" t="s">
        <v>14</v>
      </c>
      <c r="H8000">
             </c>
      <c r="I8000" t="s">
        <v>14</v>
      </c>
      <c r="J8000" t="s">
        <v>141</v>
      </c>
      <c r="K8000" t="s">
        <v>14</v>
      </c>
      <c r="L8000" t="s">
        <v>20</v>
      </c>
      <c r="M8000" t="s">
        <v>15581</v>
      </c>
      <c r="N8000" t="s">
        <v>14</v>
      </c>
    </row>
    <row r="8001" x14ac:dyDescent="0.25">
      <c r="A8001" t="n">
        <v>24</v>
      </c>
      <c r="B8001" t="s">
        <v>14</v>
      </c>
      <c r="C8001" t="s">
        <v>22</v>
      </c>
      <c r="D8001" s="2" t="s">
        <f>=HYPERLINK("https://main.knesset.gov.il/APPS/legislation/main/bills/2191418", "הצעת חוק המועצה לענף הלול (ייצור ושיווק) (תיקון - ביטול החוק), התשפ""ב-2022")</f>
        <v>15605</v>
      </c>
      <c r="E8001" t="s">
        <v>15605</v>
      </c>
      <c r="F8001" t="s">
        <v>15606</v>
      </c>
      <c r="G8001" t="s">
        <v>14</v>
      </c>
      <c r="H8001">
             </c>
      <c r="I8001" t="s">
        <v>14</v>
      </c>
      <c r="J8001" t="s">
        <v>141</v>
      </c>
      <c r="K8001" t="s">
        <v>14</v>
      </c>
      <c r="L8001" t="s">
        <v>20</v>
      </c>
      <c r="M8001" t="s">
        <v>15581</v>
      </c>
      <c r="N8001" t="s">
        <v>14</v>
      </c>
    </row>
    <row r="8002" x14ac:dyDescent="0.25">
      <c r="A8002" t="n">
        <v>24</v>
      </c>
      <c r="B8002" t="s">
        <v>14</v>
      </c>
      <c r="C8002" t="s">
        <v>22</v>
      </c>
      <c r="D8002" s="2" t="s">
        <f>=HYPERLINK("https://main.knesset.gov.il/APPS/legislation/main/bills/2191016", "הצעת חוק המקרקעין (תיקון - עישון בבית משותף הפוגע בשכנים), התשפ״ב-2022")</f>
        <v>15607</v>
      </c>
      <c r="E8002" t="s">
        <v>15607</v>
      </c>
      <c r="F8002" t="s">
        <v>15608</v>
      </c>
      <c r="G8002" t="s">
        <v>14</v>
      </c>
      <c r="H8002">
             </c>
      <c r="I8002" t="s">
        <v>14</v>
      </c>
      <c r="J8002" t="s">
        <v>141</v>
      </c>
      <c r="K8002" t="s">
        <v>14</v>
      </c>
      <c r="L8002" t="s">
        <v>20</v>
      </c>
      <c r="M8002" t="s">
        <v>15581</v>
      </c>
      <c r="N8002" t="s">
        <v>14</v>
      </c>
    </row>
    <row r="8003" x14ac:dyDescent="0.25">
      <c r="A8003" t="n">
        <v>24</v>
      </c>
      <c r="B8003" t="s">
        <v>14</v>
      </c>
      <c r="C8003" t="s">
        <v>22</v>
      </c>
      <c r="D8003" s="2" t="s">
        <f>=HYPERLINK("https://main.knesset.gov.il/APPS/legislation/main/bills/2190926", "הצעת חוק לתיקון פקודת המשטרה (תיעוד חזותי של השימוש במכתזית), התשפ""ב-2022")</f>
        <v>14353</v>
      </c>
      <c r="E8003" t="s">
        <v>14353</v>
      </c>
      <c r="F8003" t="s">
        <v>15609</v>
      </c>
      <c r="G8003" t="s">
        <v>14</v>
      </c>
      <c r="H8003">
             </c>
      <c r="I8003" t="s">
        <v>14</v>
      </c>
      <c r="J8003" t="s">
        <v>141</v>
      </c>
      <c r="K8003" t="s">
        <v>14</v>
      </c>
      <c r="L8003" t="s">
        <v>20</v>
      </c>
      <c r="M8003" t="s">
        <v>15581</v>
      </c>
      <c r="N8003" t="s">
        <v>14</v>
      </c>
    </row>
    <row r="8004" x14ac:dyDescent="0.25">
      <c r="A8004" t="n">
        <v>24</v>
      </c>
      <c r="B8004" t="s">
        <v>14</v>
      </c>
      <c r="C8004" t="s">
        <v>22</v>
      </c>
      <c r="D8004" s="2" t="s">
        <f>=HYPERLINK("https://main.knesset.gov.il/APPS/legislation/main/bills/2190848", "הצעת חוק בתי קברות צבאיים (תיקון - כיתוב על מצבה צבאית), התשפ""ב-2022")</f>
        <v>15610</v>
      </c>
      <c r="E8004" t="s">
        <v>15610</v>
      </c>
      <c r="F8004" t="s">
        <v>15611</v>
      </c>
      <c r="G8004" t="s">
        <v>14</v>
      </c>
      <c r="H8004">
             </c>
      <c r="I8004" t="s">
        <v>14</v>
      </c>
      <c r="J8004" t="s">
        <v>141</v>
      </c>
      <c r="K8004" t="s">
        <v>14</v>
      </c>
      <c r="L8004" t="s">
        <v>20</v>
      </c>
      <c r="M8004" t="s">
        <v>15581</v>
      </c>
      <c r="N8004" t="s">
        <v>14</v>
      </c>
    </row>
    <row r="8005" x14ac:dyDescent="0.25">
      <c r="A8005" t="n">
        <v>24</v>
      </c>
      <c r="B8005" t="s">
        <v>14</v>
      </c>
      <c r="C8005" t="s">
        <v>22</v>
      </c>
      <c r="D8005" s="2" t="s">
        <f>=HYPERLINK("https://main.knesset.gov.il/APPS/legislation/main/bills/2190531", "הצעת חוק איסור הכנסת חמץ לבסיסי צה""ל, התשפ""ב-2022")</f>
        <v>15612</v>
      </c>
      <c r="E8005" t="s">
        <v>15612</v>
      </c>
      <c r="F8005" t="s">
        <v>15613</v>
      </c>
      <c r="G8005" t="s">
        <v>14</v>
      </c>
      <c r="H8005">
             </c>
      <c r="I8005" t="s">
        <v>14</v>
      </c>
      <c r="J8005" t="s">
        <v>141</v>
      </c>
      <c r="K8005" t="s">
        <v>14</v>
      </c>
      <c r="L8005" t="s">
        <v>20</v>
      </c>
      <c r="M8005" t="s">
        <v>15581</v>
      </c>
      <c r="N8005" t="s">
        <v>14</v>
      </c>
    </row>
    <row r="8006" x14ac:dyDescent="0.25">
      <c r="A8006" t="n">
        <v>24</v>
      </c>
      <c r="B8006" t="s">
        <v>14</v>
      </c>
      <c r="C8006" t="s">
        <v>22</v>
      </c>
      <c r="D8006" s="2" t="s">
        <f>=HYPERLINK("https://main.knesset.gov.il/APPS/legislation/main/bills/2191021", "הצעת חוק האזרחות והכניסה לישראל (הוראת שעה) (תיקון - ביטול החוק), התשפ""ב-2022")</f>
        <v>14764</v>
      </c>
      <c r="E8006" t="s">
        <v>14764</v>
      </c>
      <c r="F8006" t="s">
        <v>15614</v>
      </c>
      <c r="G8006" t="s">
        <v>14</v>
      </c>
      <c r="H8006">
             </c>
      <c r="I8006" t="s">
        <v>14</v>
      </c>
      <c r="J8006" t="s">
        <v>141</v>
      </c>
      <c r="K8006" t="s">
        <v>14</v>
      </c>
      <c r="L8006" t="s">
        <v>20</v>
      </c>
      <c r="M8006" t="s">
        <v>15581</v>
      </c>
      <c r="N8006" t="s">
        <v>14</v>
      </c>
    </row>
    <row r="8007" x14ac:dyDescent="0.25">
      <c r="A8007" t="n">
        <v>24</v>
      </c>
      <c r="B8007" t="s">
        <v>14</v>
      </c>
      <c r="C8007" t="s">
        <v>22</v>
      </c>
      <c r="D8007" s="2" t="s">
        <f>=HYPERLINK("https://main.knesset.gov.il/APPS/legislation/main/bills/2191031", "הצעת חוק האזרחות והכניסה לישראל (הוראת שעה) (תיקון - ביטול החוק), התשפ""ב-2022")</f>
        <v>14764</v>
      </c>
      <c r="E8007" t="s">
        <v>14764</v>
      </c>
      <c r="F8007" t="s">
        <v>15615</v>
      </c>
      <c r="G8007" t="s">
        <v>14</v>
      </c>
      <c r="H8007">
             </c>
      <c r="I8007" t="s">
        <v>14</v>
      </c>
      <c r="J8007" t="s">
        <v>141</v>
      </c>
      <c r="K8007" t="s">
        <v>14</v>
      </c>
      <c r="L8007" t="s">
        <v>20</v>
      </c>
      <c r="M8007" t="s">
        <v>15581</v>
      </c>
      <c r="N8007" t="s">
        <v>14</v>
      </c>
    </row>
    <row r="8008" x14ac:dyDescent="0.25">
      <c r="A8008" t="n">
        <v>24</v>
      </c>
      <c r="B8008" t="s">
        <v>14</v>
      </c>
      <c r="C8008" t="s">
        <v>22</v>
      </c>
      <c r="D8008" s="2" t="s">
        <f>=HYPERLINK("https://main.knesset.gov.il/APPS/legislation/main/bills/2191249", "הצעת חוק הגנת הצרכן (תיקון - חובת הקלטת שיחות, שמירתן ומסירתן לצרכן לפי בקשתו), התשפ""ב-2022")</f>
        <v>15616</v>
      </c>
      <c r="E8008" t="s">
        <v>15616</v>
      </c>
      <c r="F8008" t="s">
        <v>15617</v>
      </c>
      <c r="G8008" t="s">
        <v>14</v>
      </c>
      <c r="H8008">
             </c>
      <c r="I8008" t="s">
        <v>14</v>
      </c>
      <c r="J8008" t="s">
        <v>141</v>
      </c>
      <c r="K8008" t="s">
        <v>14</v>
      </c>
      <c r="L8008" t="s">
        <v>20</v>
      </c>
      <c r="M8008" t="s">
        <v>15581</v>
      </c>
      <c r="N8008" t="s">
        <v>14</v>
      </c>
    </row>
    <row r="8009" x14ac:dyDescent="0.25">
      <c r="A8009" t="n">
        <v>24</v>
      </c>
      <c r="B8009" t="s">
        <v>14</v>
      </c>
      <c r="C8009" t="s">
        <v>22</v>
      </c>
      <c r="D8009" s="2" t="s">
        <f>=HYPERLINK("https://main.knesset.gov.il/APPS/legislation/main/bills/2191478", "הצעת חוק הגנת השכר (תיקון - איסור ניכוי חוב או קנס), התשפ""ב-2022")</f>
        <v>15618</v>
      </c>
      <c r="E8009" t="s">
        <v>15618</v>
      </c>
      <c r="F8009" t="s">
        <v>15619</v>
      </c>
      <c r="G8009" t="s">
        <v>14</v>
      </c>
      <c r="H8009">
             </c>
      <c r="I8009" t="s">
        <v>14</v>
      </c>
      <c r="J8009" t="s">
        <v>141</v>
      </c>
      <c r="K8009" t="s">
        <v>14</v>
      </c>
      <c r="L8009" t="s">
        <v>20</v>
      </c>
      <c r="M8009" t="s">
        <v>15581</v>
      </c>
      <c r="N8009" t="s">
        <v>14</v>
      </c>
    </row>
    <row r="8010" x14ac:dyDescent="0.25">
      <c r="A8010" t="n">
        <v>24</v>
      </c>
      <c r="B8010" t="s">
        <v>14</v>
      </c>
      <c r="C8010" t="s">
        <v>22</v>
      </c>
      <c r="D8010" s="2" t="s">
        <f>=HYPERLINK("https://main.knesset.gov.il/APPS/legislation/main/bills/2168737", "הצעת חוק יסודות התקציב (תיקון - מיסוי, עדכון וביקורת), התשפ""ב-2022")</f>
        <v>15620</v>
      </c>
      <c r="E8010" t="s">
        <v>15620</v>
      </c>
      <c r="F8010" t="s">
        <v>15621</v>
      </c>
      <c r="G8010" t="s">
        <v>14</v>
      </c>
      <c r="H8010">
             </c>
      <c r="I8010" t="s">
        <v>14</v>
      </c>
      <c r="J8010" t="s">
        <v>141</v>
      </c>
      <c r="K8010" t="s">
        <v>14</v>
      </c>
      <c r="L8010" t="s">
        <v>20</v>
      </c>
      <c r="M8010" t="s">
        <v>15581</v>
      </c>
      <c r="N8010" t="s">
        <v>14</v>
      </c>
    </row>
    <row r="8011" x14ac:dyDescent="0.25">
      <c r="A8011" t="n">
        <v>24</v>
      </c>
      <c r="B8011" t="s">
        <v>14</v>
      </c>
      <c r="C8011" t="s">
        <v>22</v>
      </c>
      <c r="D8011" s="2" t="s">
        <f>=HYPERLINK("https://main.knesset.gov.il/APPS/legislation/main/bills/2191515", "הצעת חוק החברות (תיקון - ייצוג הולם של נשים בדירקטוריונים של חברות ציבוריות), התשפ""ב-2022")</f>
        <v>15622</v>
      </c>
      <c r="E8011" t="s">
        <v>15622</v>
      </c>
      <c r="F8011" t="s">
        <v>15623</v>
      </c>
      <c r="G8011" t="s">
        <v>14</v>
      </c>
      <c r="H8011">
             </c>
      <c r="I8011" t="s">
        <v>14</v>
      </c>
      <c r="J8011" t="s">
        <v>141</v>
      </c>
      <c r="K8011" t="s">
        <v>14</v>
      </c>
      <c r="L8011" t="s">
        <v>20</v>
      </c>
      <c r="M8011" t="s">
        <v>15581</v>
      </c>
      <c r="N8011" t="s">
        <v>14</v>
      </c>
    </row>
    <row r="8012" x14ac:dyDescent="0.25">
      <c r="A8012" t="n">
        <v>24</v>
      </c>
      <c r="B8012" t="s">
        <v>14</v>
      </c>
      <c r="C8012" t="s">
        <v>22</v>
      </c>
      <c r="D8012" s="2" t="s">
        <f>=HYPERLINK("https://main.knesset.gov.il/APPS/legislation/main/bills/2191238", "הצעת חוק הגנת הצרכן (תיקון - מסירת מסמך עיקרי עסקה בשפה שבה נעשה שיווק מרחוק), התשפ""ב-2022")</f>
        <v>15624</v>
      </c>
      <c r="E8012" t="s">
        <v>15624</v>
      </c>
      <c r="F8012" t="s">
        <v>15625</v>
      </c>
      <c r="G8012" t="s">
        <v>14</v>
      </c>
      <c r="H8012">
             </c>
      <c r="I8012" t="s">
        <v>14</v>
      </c>
      <c r="J8012" t="s">
        <v>141</v>
      </c>
      <c r="K8012" t="s">
        <v>14</v>
      </c>
      <c r="L8012" t="s">
        <v>20</v>
      </c>
      <c r="M8012" t="s">
        <v>15581</v>
      </c>
      <c r="N8012" t="s">
        <v>14</v>
      </c>
    </row>
    <row r="8013" x14ac:dyDescent="0.25">
      <c r="A8013" t="n">
        <v>24</v>
      </c>
      <c r="B8013" t="s">
        <v>14</v>
      </c>
      <c r="C8013" t="s">
        <v>22</v>
      </c>
      <c r="D8013" s="2" t="s">
        <f>=HYPERLINK("https://main.knesset.gov.il/APPS/legislation/main/bills/2191361", "הצעת חוק הביטוח הלאומי (תיקון - שלילת קצבאות ממחבלים), התשפ""ב-2022")</f>
        <v>15626</v>
      </c>
      <c r="E8013" t="s">
        <v>15626</v>
      </c>
      <c r="F8013" t="s">
        <v>15627</v>
      </c>
      <c r="G8013" t="s">
        <v>14</v>
      </c>
      <c r="H8013">
             </c>
      <c r="I8013" t="s">
        <v>14</v>
      </c>
      <c r="J8013" t="s">
        <v>141</v>
      </c>
      <c r="K8013" t="s">
        <v>14</v>
      </c>
      <c r="L8013" t="s">
        <v>20</v>
      </c>
      <c r="M8013" t="s">
        <v>15581</v>
      </c>
      <c r="N8013" t="s">
        <v>14</v>
      </c>
    </row>
    <row r="8014" x14ac:dyDescent="0.25">
      <c r="A8014" t="n">
        <v>24</v>
      </c>
      <c r="B8014" t="s">
        <v>14</v>
      </c>
      <c r="C8014" t="s">
        <v>22</v>
      </c>
      <c r="D8014" s="2" t="s">
        <f>=HYPERLINK("https://main.knesset.gov.il/APPS/legislation/main/bills/2190378", "הצעת חוק לתיקון פקודת התעבורה (איסור שימוש במצלמות ניידות לאכיפת עבירות חניה), התשפ""ב-2022")</f>
        <v>15628</v>
      </c>
      <c r="E8014" t="s">
        <v>15628</v>
      </c>
      <c r="F8014" t="s">
        <v>15629</v>
      </c>
      <c r="G8014" t="s">
        <v>14</v>
      </c>
      <c r="H8014">
             </c>
      <c r="I8014" t="s">
        <v>14</v>
      </c>
      <c r="J8014" t="s">
        <v>141</v>
      </c>
      <c r="K8014" t="s">
        <v>14</v>
      </c>
      <c r="L8014" t="s">
        <v>20</v>
      </c>
      <c r="M8014" t="s">
        <v>15581</v>
      </c>
      <c r="N8014" t="s">
        <v>14</v>
      </c>
    </row>
    <row r="8015" x14ac:dyDescent="0.25">
      <c r="A8015" t="n">
        <v>24</v>
      </c>
      <c r="B8015" t="s">
        <v>14</v>
      </c>
      <c r="C8015" t="s">
        <v>22</v>
      </c>
      <c r="D8015" s="2" t="s">
        <f>=HYPERLINK("https://main.knesset.gov.il/APPS/legislation/main/bills/2190949", "הצעת חוק חופשה שנתית (תיקון - ביטול תקופת ההתיישנות), התשפ""ב-2022")</f>
        <v>15630</v>
      </c>
      <c r="E8015" t="s">
        <v>15630</v>
      </c>
      <c r="F8015" t="s">
        <v>15631</v>
      </c>
      <c r="G8015" t="s">
        <v>14</v>
      </c>
      <c r="H8015">
             </c>
      <c r="I8015" t="s">
        <v>14</v>
      </c>
      <c r="J8015" t="s">
        <v>141</v>
      </c>
      <c r="K8015" t="s">
        <v>14</v>
      </c>
      <c r="L8015" t="s">
        <v>20</v>
      </c>
      <c r="M8015" t="s">
        <v>15581</v>
      </c>
      <c r="N8015" t="s">
        <v>14</v>
      </c>
    </row>
    <row r="8016" x14ac:dyDescent="0.25">
      <c r="A8016" t="n">
        <v>24</v>
      </c>
      <c r="B8016" t="s">
        <v>14</v>
      </c>
      <c r="C8016" t="s">
        <v>22</v>
      </c>
      <c r="D8016" s="2" t="s">
        <f>=HYPERLINK("https://main.knesset.gov.il/APPS/legislation/main/bills/2164154", "הצעת חוק ביטוח בריאות ממלכתי (תיקון - פטור מתשלום דמי ביטוח למי שטרם מלאו לו 21 שנים), התשפ""ב-2022")</f>
        <v>15632</v>
      </c>
      <c r="E8016" t="s">
        <v>15632</v>
      </c>
      <c r="F8016" t="s">
        <v>15633</v>
      </c>
      <c r="G8016" t="s">
        <v>14</v>
      </c>
      <c r="H8016">
             </c>
      <c r="I8016" t="s">
        <v>14</v>
      </c>
      <c r="J8016" t="s">
        <v>141</v>
      </c>
      <c r="K8016" t="s">
        <v>14</v>
      </c>
      <c r="L8016" t="s">
        <v>20</v>
      </c>
      <c r="M8016" t="s">
        <v>15581</v>
      </c>
      <c r="N8016" t="s">
        <v>14</v>
      </c>
    </row>
    <row r="8017" x14ac:dyDescent="0.25">
      <c r="A8017" t="n">
        <v>24</v>
      </c>
      <c r="B8017" t="s">
        <v>14</v>
      </c>
      <c r="C8017" t="s">
        <v>22</v>
      </c>
      <c r="D8017" s="2" t="s">
        <f>=HYPERLINK("https://main.knesset.gov.il/APPS/legislation/main/bills/2190962", "הצעת חוק הדגל, הסמל והמנון המדינה (תיקון - פגיעה בכבוד דגל המדינה או סמלה), התשפ״ב-2022")</f>
        <v>15634</v>
      </c>
      <c r="E8017" t="s">
        <v>15634</v>
      </c>
      <c r="F8017" t="s">
        <v>15635</v>
      </c>
      <c r="G8017" t="s">
        <v>14</v>
      </c>
      <c r="H8017">
             </c>
      <c r="I8017" t="s">
        <v>14</v>
      </c>
      <c r="J8017" t="s">
        <v>141</v>
      </c>
      <c r="K8017" t="s">
        <v>14</v>
      </c>
      <c r="L8017" t="s">
        <v>20</v>
      </c>
      <c r="M8017" t="s">
        <v>15581</v>
      </c>
      <c r="N8017" t="s">
        <v>14</v>
      </c>
    </row>
    <row r="8018" x14ac:dyDescent="0.25">
      <c r="A8018" t="n">
        <v>24</v>
      </c>
      <c r="B8018" t="s">
        <v>14</v>
      </c>
      <c r="C8018" t="s">
        <v>22</v>
      </c>
      <c r="D8018" s="2" t="s">
        <f>=HYPERLINK("https://main.knesset.gov.il/APPS/legislation/main/bills/2169497", "הצעת חוק איסור הפליה במוצרים, בשירותים ובכניסה למקומות בידור ולמקומות ציבוריים (תיקון - הפליה בשל מוצא עדתי), התשפ""ב-2022")</f>
        <v>15636</v>
      </c>
      <c r="E8018" t="s">
        <v>15636</v>
      </c>
      <c r="F8018" t="s">
        <v>15637</v>
      </c>
      <c r="G8018" t="s">
        <v>14</v>
      </c>
      <c r="H8018">
             </c>
      <c r="I8018" t="s">
        <v>14</v>
      </c>
      <c r="J8018" t="s">
        <v>141</v>
      </c>
      <c r="K8018" t="s">
        <v>14</v>
      </c>
      <c r="L8018" t="s">
        <v>20</v>
      </c>
      <c r="M8018" t="s">
        <v>15581</v>
      </c>
      <c r="N8018" t="s">
        <v>14</v>
      </c>
    </row>
    <row r="8019" x14ac:dyDescent="0.25">
      <c r="A8019" t="n">
        <v>24</v>
      </c>
      <c r="B8019" t="s">
        <v>14</v>
      </c>
      <c r="C8019" t="s">
        <v>22</v>
      </c>
      <c r="D8019" s="2" t="s">
        <f>=HYPERLINK("https://main.knesset.gov.il/APPS/legislation/main/bills/2190775", "הצעת חוק-יסוד: הגנת הסביבה")</f>
        <v>6547</v>
      </c>
      <c r="E8019" t="s">
        <v>6547</v>
      </c>
      <c r="F8019" t="s">
        <v>15638</v>
      </c>
      <c r="G8019" t="s">
        <v>14</v>
      </c>
      <c r="H8019">
             </c>
      <c r="I8019" t="s">
        <v>14</v>
      </c>
      <c r="J8019" t="s">
        <v>141</v>
      </c>
      <c r="K8019" t="s">
        <v>14</v>
      </c>
      <c r="L8019" t="s">
        <v>20</v>
      </c>
      <c r="M8019" t="s">
        <v>15581</v>
      </c>
      <c r="N8019" t="s">
        <v>14</v>
      </c>
    </row>
    <row r="8020" x14ac:dyDescent="0.25">
      <c r="A8020" t="n">
        <v>24</v>
      </c>
      <c r="B8020" t="s">
        <v>14</v>
      </c>
      <c r="C8020" t="s">
        <v>22</v>
      </c>
      <c r="D8020" s="2" t="s">
        <f>=HYPERLINK("https://main.knesset.gov.il/APPS/legislation/main/bills/2191202", "הצעת חוק העונשין (תיקון - החמרת ענישה לעובר עבירה נגד קשיש), התשפ""ב-2022")</f>
        <v>15639</v>
      </c>
      <c r="E8020" t="s">
        <v>15639</v>
      </c>
      <c r="F8020" t="s">
        <v>15640</v>
      </c>
      <c r="G8020" t="s">
        <v>14</v>
      </c>
      <c r="H8020">
             </c>
      <c r="I8020" t="s">
        <v>14</v>
      </c>
      <c r="J8020" t="s">
        <v>141</v>
      </c>
      <c r="K8020" t="s">
        <v>14</v>
      </c>
      <c r="L8020" t="s">
        <v>20</v>
      </c>
      <c r="M8020" t="s">
        <v>15581</v>
      </c>
      <c r="N8020" t="s">
        <v>14</v>
      </c>
    </row>
    <row r="8021" x14ac:dyDescent="0.25">
      <c r="A8021" t="n">
        <v>24</v>
      </c>
      <c r="B8021" t="s">
        <v>14</v>
      </c>
      <c r="C8021" t="s">
        <v>22</v>
      </c>
      <c r="D8021" s="2" t="s">
        <f>=HYPERLINK("https://main.knesset.gov.il/APPS/legislation/main/bills/2191403", "הצעת חוק אתרי התיישבות בהליכי הסדרה, התשפ""ב-2022")</f>
        <v>15641</v>
      </c>
      <c r="E8021" t="s">
        <v>15641</v>
      </c>
      <c r="F8021" t="s">
        <v>15642</v>
      </c>
      <c r="G8021" t="s">
        <v>14</v>
      </c>
      <c r="H8021">
             </c>
      <c r="I8021" t="s">
        <v>14</v>
      </c>
      <c r="J8021" t="s">
        <v>141</v>
      </c>
      <c r="K8021" t="s">
        <v>14</v>
      </c>
      <c r="L8021" t="s">
        <v>20</v>
      </c>
      <c r="M8021" t="s">
        <v>15581</v>
      </c>
      <c r="N8021" t="s">
        <v>14</v>
      </c>
    </row>
    <row r="8022" x14ac:dyDescent="0.25">
      <c r="A8022" t="n">
        <v>24</v>
      </c>
      <c r="B8022" t="s">
        <v>14</v>
      </c>
      <c r="C8022" t="s">
        <v>22</v>
      </c>
      <c r="D8022" s="2" t="s">
        <f>=HYPERLINK("https://main.knesset.gov.il/APPS/legislation/main/bills/2190897", "הצעת חוק-יסוד: ישראל - מדינת הלאום של העם היהודי (תיקון - חובת המדינה לעם היהודי במצבי חירום)")</f>
        <v>15643</v>
      </c>
      <c r="E8022" t="s">
        <v>15643</v>
      </c>
      <c r="F8022" t="s">
        <v>15644</v>
      </c>
      <c r="G8022" t="s">
        <v>14</v>
      </c>
      <c r="H8022">
             </c>
      <c r="I8022" t="s">
        <v>14</v>
      </c>
      <c r="J8022" t="s">
        <v>141</v>
      </c>
      <c r="K8022" t="s">
        <v>14</v>
      </c>
      <c r="L8022" t="s">
        <v>20</v>
      </c>
      <c r="M8022" t="s">
        <v>15581</v>
      </c>
      <c r="N8022" t="s">
        <v>14</v>
      </c>
    </row>
    <row r="8023" x14ac:dyDescent="0.25">
      <c r="A8023" t="n">
        <v>24</v>
      </c>
      <c r="B8023" t="s">
        <v>14</v>
      </c>
      <c r="C8023" t="s">
        <v>22</v>
      </c>
      <c r="D8023" s="2" t="s">
        <f>=HYPERLINK("https://main.knesset.gov.il/APPS/legislation/main/bills/2190763", "הצעת חוק לתיקון פקודת התעבורה (רישום סוג הדם ברישיון נהיגה), התשפ""ב-2022")</f>
        <v>15645</v>
      </c>
      <c r="E8023" t="s">
        <v>15645</v>
      </c>
      <c r="F8023" t="s">
        <v>15646</v>
      </c>
      <c r="G8023" t="s">
        <v>14</v>
      </c>
      <c r="H8023">
             </c>
      <c r="I8023" t="s">
        <v>14</v>
      </c>
      <c r="J8023" t="s">
        <v>141</v>
      </c>
      <c r="K8023" t="s">
        <v>14</v>
      </c>
      <c r="L8023" t="s">
        <v>20</v>
      </c>
      <c r="M8023" t="s">
        <v>15581</v>
      </c>
      <c r="N8023" t="s">
        <v>14</v>
      </c>
    </row>
    <row r="8024" x14ac:dyDescent="0.25">
      <c r="A8024" t="n">
        <v>24</v>
      </c>
      <c r="B8024" t="s">
        <v>14</v>
      </c>
      <c r="C8024" t="s">
        <v>22</v>
      </c>
      <c r="D8024" s="2" t="s">
        <f>=HYPERLINK("https://main.knesset.gov.il/APPS/legislation/main/bills/2190734", "הצעת חוק הגנת הצרכן (תיקון - איסור התניית תשלום בכרטיס אשראי בסכום רכישה מזערי), התשפ""ב-2022")</f>
        <v>14806</v>
      </c>
      <c r="E8024" t="s">
        <v>14806</v>
      </c>
      <c r="F8024" t="s">
        <v>15647</v>
      </c>
      <c r="G8024" t="s">
        <v>14</v>
      </c>
      <c r="H8024">
             </c>
      <c r="I8024" t="s">
        <v>14</v>
      </c>
      <c r="J8024" t="s">
        <v>141</v>
      </c>
      <c r="K8024" t="s">
        <v>14</v>
      </c>
      <c r="L8024" t="s">
        <v>20</v>
      </c>
      <c r="M8024" t="s">
        <v>15581</v>
      </c>
      <c r="N8024" t="s">
        <v>14</v>
      </c>
    </row>
    <row r="8025" x14ac:dyDescent="0.25">
      <c r="A8025" t="n">
        <v>24</v>
      </c>
      <c r="B8025" t="s">
        <v>14</v>
      </c>
      <c r="C8025" t="s">
        <v>22</v>
      </c>
      <c r="D8025" s="2" t="s">
        <f>=HYPERLINK("https://main.knesset.gov.il/APPS/legislation/main/bills/2190834", "הצעת חוק איסור הפליה ברישוי מחמת מצב בריאותי (תיקוני חקיקה), התשפ""ב-2022")</f>
        <v>15648</v>
      </c>
      <c r="E8025" t="s">
        <v>15648</v>
      </c>
      <c r="F8025" t="s">
        <v>15649</v>
      </c>
      <c r="G8025" t="s">
        <v>14</v>
      </c>
      <c r="H8025">
             </c>
      <c r="I8025" t="s">
        <v>14</v>
      </c>
      <c r="J8025" t="s">
        <v>141</v>
      </c>
      <c r="K8025" t="s">
        <v>14</v>
      </c>
      <c r="L8025" t="s">
        <v>20</v>
      </c>
      <c r="M8025" t="s">
        <v>15581</v>
      </c>
      <c r="N8025" t="s">
        <v>14</v>
      </c>
    </row>
    <row r="8026" x14ac:dyDescent="0.25">
      <c r="A8026" t="n">
        <v>24</v>
      </c>
      <c r="B8026" t="s">
        <v>14</v>
      </c>
      <c r="C8026" t="s">
        <v>22</v>
      </c>
      <c r="D8026" s="2" t="s">
        <f>=HYPERLINK("https://main.knesset.gov.il/APPS/legislation/main/bills/2190959", "הצעת חוק העונשין (תיקון - תקיפת עובדי חירום), התשפ""ב-2022")</f>
        <v>15650</v>
      </c>
      <c r="E8026" t="s">
        <v>15650</v>
      </c>
      <c r="F8026" t="s">
        <v>15651</v>
      </c>
      <c r="G8026" t="s">
        <v>14</v>
      </c>
      <c r="H8026">
             </c>
      <c r="I8026" t="s">
        <v>14</v>
      </c>
      <c r="J8026" t="s">
        <v>141</v>
      </c>
      <c r="K8026" t="s">
        <v>14</v>
      </c>
      <c r="L8026" t="s">
        <v>20</v>
      </c>
      <c r="M8026" t="s">
        <v>15581</v>
      </c>
      <c r="N8026" t="s">
        <v>14</v>
      </c>
    </row>
    <row r="8027" x14ac:dyDescent="0.25">
      <c r="A8027" t="n">
        <v>24</v>
      </c>
      <c r="B8027" t="s">
        <v>14</v>
      </c>
      <c r="C8027" t="s">
        <v>22</v>
      </c>
      <c r="D8027" s="2" t="s">
        <f>=HYPERLINK("https://main.knesset.gov.il/APPS/legislation/main/bills/2190850", "הצעת חוק הביטוח הלאומי (תיקון - תגמול למשרתים במילואים), התשפ""ב-2022")</f>
        <v>15652</v>
      </c>
      <c r="E8027" t="s">
        <v>15652</v>
      </c>
      <c r="F8027" t="s">
        <v>15653</v>
      </c>
      <c r="G8027" t="s">
        <v>14</v>
      </c>
      <c r="H8027">
             </c>
      <c r="I8027" t="s">
        <v>14</v>
      </c>
      <c r="J8027" t="s">
        <v>141</v>
      </c>
      <c r="K8027" t="s">
        <v>14</v>
      </c>
      <c r="L8027" t="s">
        <v>20</v>
      </c>
      <c r="M8027" t="s">
        <v>15581</v>
      </c>
      <c r="N8027" t="s">
        <v>14</v>
      </c>
    </row>
    <row r="8028" x14ac:dyDescent="0.25">
      <c r="A8028" t="n">
        <v>24</v>
      </c>
      <c r="B8028" t="s">
        <v>14</v>
      </c>
      <c r="C8028" t="s">
        <v>22</v>
      </c>
      <c r="D8028" s="2" t="s">
        <f>=HYPERLINK("https://main.knesset.gov.il/APPS/legislation/main/bills/2167888", "הצעת חוק להגבלת הריסה וענישה על בנייה בלתי חוקית במגזר הערבי (הוראת שעה), התשפ""ב-2022")</f>
        <v>15654</v>
      </c>
      <c r="E8028" t="s">
        <v>15654</v>
      </c>
      <c r="F8028" t="s">
        <v>15655</v>
      </c>
      <c r="G8028" t="s">
        <v>14</v>
      </c>
      <c r="H8028">
             </c>
      <c r="I8028" t="s">
        <v>14</v>
      </c>
      <c r="J8028" t="s">
        <v>141</v>
      </c>
      <c r="K8028" t="s">
        <v>14</v>
      </c>
      <c r="L8028" t="s">
        <v>20</v>
      </c>
      <c r="M8028" t="s">
        <v>15581</v>
      </c>
      <c r="N8028" t="s">
        <v>14</v>
      </c>
    </row>
    <row r="8029" x14ac:dyDescent="0.25">
      <c r="A8029" t="n">
        <v>24</v>
      </c>
      <c r="B8029" t="s">
        <v>14</v>
      </c>
      <c r="C8029" t="s">
        <v>22</v>
      </c>
      <c r="D8029" s="2" t="s">
        <f>=HYPERLINK("https://main.knesset.gov.il/APPS/legislation/main/bills/2190826", "הצעת חוק הבנקאות (שירות ללקוח) (תיקון - הגבלת עמלת ערבות בנקאית שמובטחת בפיקדון כספי מסוים), התשפ""ב-2022")</f>
        <v>15656</v>
      </c>
      <c r="E8029" t="s">
        <v>15656</v>
      </c>
      <c r="F8029" t="s">
        <v>15657</v>
      </c>
      <c r="G8029" t="s">
        <v>14</v>
      </c>
      <c r="H8029">
             </c>
      <c r="I8029" t="s">
        <v>14</v>
      </c>
      <c r="J8029" t="s">
        <v>141</v>
      </c>
      <c r="K8029" t="s">
        <v>14</v>
      </c>
      <c r="L8029" t="s">
        <v>20</v>
      </c>
      <c r="M8029" t="s">
        <v>15581</v>
      </c>
      <c r="N8029" t="s">
        <v>14</v>
      </c>
    </row>
    <row r="8030" x14ac:dyDescent="0.25">
      <c r="A8030" t="n">
        <v>24</v>
      </c>
      <c r="B8030" t="s">
        <v>14</v>
      </c>
      <c r="C8030" t="s">
        <v>22</v>
      </c>
      <c r="D8030" s="2" t="s">
        <f>=HYPERLINK("https://main.knesset.gov.il/APPS/legislation/main/bills/2167891", "הצעת חוק לתיקון פקודת התעבורה (פטור מאגרת רישיון לרכב חשמלי), התשפ""ב-2022")</f>
        <v>15658</v>
      </c>
      <c r="E8030" t="s">
        <v>15658</v>
      </c>
      <c r="F8030" t="s">
        <v>15659</v>
      </c>
      <c r="G8030" t="s">
        <v>14</v>
      </c>
      <c r="H8030">
             </c>
      <c r="I8030" t="s">
        <v>14</v>
      </c>
      <c r="J8030" t="s">
        <v>141</v>
      </c>
      <c r="K8030" t="s">
        <v>14</v>
      </c>
      <c r="L8030" t="s">
        <v>20</v>
      </c>
      <c r="M8030" t="s">
        <v>15581</v>
      </c>
      <c r="N8030" t="s">
        <v>14</v>
      </c>
    </row>
    <row r="8031" x14ac:dyDescent="0.25">
      <c r="A8031" t="n">
        <v>24</v>
      </c>
      <c r="B8031" t="s">
        <v>14</v>
      </c>
      <c r="C8031" t="s">
        <v>22</v>
      </c>
      <c r="D8031" s="2" t="s">
        <f>=HYPERLINK("https://main.knesset.gov.il/APPS/legislation/main/bills/2190964", "הצעת חוק-יסוד: הכנסת (תיקון - הרחבת העילות למניעת השתתפות בבחירות)")</f>
        <v>2473</v>
      </c>
      <c r="E8031" t="s">
        <v>2473</v>
      </c>
      <c r="F8031" t="s">
        <v>15660</v>
      </c>
      <c r="G8031" t="s">
        <v>14</v>
      </c>
      <c r="H8031">
             </c>
      <c r="I8031" t="s">
        <v>14</v>
      </c>
      <c r="J8031" t="s">
        <v>141</v>
      </c>
      <c r="K8031" t="s">
        <v>14</v>
      </c>
      <c r="L8031" t="s">
        <v>20</v>
      </c>
      <c r="M8031" t="s">
        <v>15581</v>
      </c>
      <c r="N8031" t="s">
        <v>14</v>
      </c>
    </row>
    <row r="8032" x14ac:dyDescent="0.25">
      <c r="A8032" t="n">
        <v>24</v>
      </c>
      <c r="B8032" t="s">
        <v>14</v>
      </c>
      <c r="C8032" t="s">
        <v>22</v>
      </c>
      <c r="D8032" s="2" t="s">
        <f>=HYPERLINK("https://main.knesset.gov.il/APPS/legislation/main/bills/2190965", "הצעת חוק נכסי נפקדים (תיקון - ביטול החוק), התשפ""ב-2022")</f>
        <v>15661</v>
      </c>
      <c r="E8032" t="s">
        <v>15661</v>
      </c>
      <c r="F8032" t="s">
        <v>15662</v>
      </c>
      <c r="G8032" t="s">
        <v>14</v>
      </c>
      <c r="H8032">
             </c>
      <c r="I8032" t="s">
        <v>14</v>
      </c>
      <c r="J8032" t="s">
        <v>141</v>
      </c>
      <c r="K8032" t="s">
        <v>14</v>
      </c>
      <c r="L8032" t="s">
        <v>20</v>
      </c>
      <c r="M8032" t="s">
        <v>15581</v>
      </c>
      <c r="N8032" t="s">
        <v>14</v>
      </c>
    </row>
    <row r="8033" x14ac:dyDescent="0.25">
      <c r="A8033" t="n">
        <v>24</v>
      </c>
      <c r="B8033" t="s">
        <v>14</v>
      </c>
      <c r="C8033" t="s">
        <v>22</v>
      </c>
      <c r="D8033" s="2" t="s">
        <f>=HYPERLINK("https://main.knesset.gov.il/APPS/legislation/main/bills/2191222", "הצעת חוק הרשויות המקומיות (בחירת ראש הרשות וסגניו וכהונתם) (תיקון - מינוי סגן ראש רשות בשכר), התשפ""ב-2022")</f>
        <v>15663</v>
      </c>
      <c r="E8033" t="s">
        <v>15663</v>
      </c>
      <c r="F8033" t="s">
        <v>15664</v>
      </c>
      <c r="G8033" t="s">
        <v>14</v>
      </c>
      <c r="H8033">
             </c>
      <c r="I8033" t="s">
        <v>14</v>
      </c>
      <c r="J8033" t="s">
        <v>343</v>
      </c>
      <c r="K8033" t="s">
        <v>14</v>
      </c>
      <c r="L8033" t="s">
        <v>20</v>
      </c>
      <c r="M8033" t="s">
        <v>15581</v>
      </c>
      <c r="N8033" t="s">
        <v>14</v>
      </c>
    </row>
    <row r="8034" x14ac:dyDescent="0.25">
      <c r="A8034" t="n">
        <v>24</v>
      </c>
      <c r="B8034" t="s">
        <v>14</v>
      </c>
      <c r="C8034" t="s">
        <v>22</v>
      </c>
      <c r="D8034" s="2" t="s">
        <f>=HYPERLINK("https://main.knesset.gov.il/APPS/legislation/main/bills/2189755", "הצעת חוק הגנת הצרכן (תיקון - פריסת תשלומים בעסקה מתמשכת), התשפ""ב-2022")</f>
        <v>15665</v>
      </c>
      <c r="E8034" t="s">
        <v>15665</v>
      </c>
      <c r="F8034" t="s">
        <v>15666</v>
      </c>
      <c r="G8034" t="s">
        <v>14</v>
      </c>
      <c r="H8034">
             </c>
      <c r="I8034" t="s">
        <v>14</v>
      </c>
      <c r="J8034" t="s">
        <v>141</v>
      </c>
      <c r="K8034" t="s">
        <v>14</v>
      </c>
      <c r="L8034" t="s">
        <v>20</v>
      </c>
      <c r="M8034" t="s">
        <v>15581</v>
      </c>
      <c r="N8034" t="s">
        <v>14</v>
      </c>
    </row>
    <row r="8035" x14ac:dyDescent="0.25">
      <c r="A8035" t="n">
        <v>24</v>
      </c>
      <c r="B8035" t="s">
        <v>14</v>
      </c>
      <c r="C8035" t="s">
        <v>22</v>
      </c>
      <c r="D8035" s="2" t="s">
        <f>=HYPERLINK("https://main.knesset.gov.il/APPS/legislation/main/bills/2169946", "הצעת חוק חינוך לבטיחות והורות, התשפ""ב -2022")</f>
        <v>15667</v>
      </c>
      <c r="E8035" t="s">
        <v>15667</v>
      </c>
      <c r="F8035" t="s">
        <v>15668</v>
      </c>
      <c r="G8035" t="s">
        <v>14</v>
      </c>
      <c r="H8035">
             </c>
      <c r="I8035" t="s">
        <v>14</v>
      </c>
      <c r="J8035" t="s">
        <v>141</v>
      </c>
      <c r="K8035" t="s">
        <v>14</v>
      </c>
      <c r="L8035" t="s">
        <v>20</v>
      </c>
      <c r="M8035" t="s">
        <v>15581</v>
      </c>
      <c r="N8035" t="s">
        <v>14</v>
      </c>
    </row>
    <row r="8036" x14ac:dyDescent="0.25">
      <c r="A8036" t="n">
        <v>24</v>
      </c>
      <c r="B8036" t="s">
        <v>14</v>
      </c>
      <c r="C8036" t="s">
        <v>22</v>
      </c>
      <c r="D8036" s="2" t="s">
        <f>=HYPERLINK("https://main.knesset.gov.il/APPS/legislation/main/bills/2167836", "הצעת חוק לתיקון פקודת מס הכנסה (הכרה בהוצאות עבודה מהבית בתקופת התפשטות נגיף הקורונה החדש) (הוראת שעה), התשפ""ב-2022")</f>
        <v>15669</v>
      </c>
      <c r="E8036" t="s">
        <v>15669</v>
      </c>
      <c r="F8036" t="s">
        <v>15670</v>
      </c>
      <c r="G8036" t="s">
        <v>14</v>
      </c>
      <c r="H8036">
             </c>
      <c r="I8036" t="s">
        <v>14</v>
      </c>
      <c r="J8036" t="s">
        <v>141</v>
      </c>
      <c r="K8036" t="s">
        <v>14</v>
      </c>
      <c r="L8036" t="s">
        <v>20</v>
      </c>
      <c r="M8036" t="s">
        <v>15581</v>
      </c>
      <c r="N8036" t="s">
        <v>14</v>
      </c>
    </row>
    <row r="8037" x14ac:dyDescent="0.25">
      <c r="A8037" t="n">
        <v>24</v>
      </c>
      <c r="B8037" t="s">
        <v>14</v>
      </c>
      <c r="C8037" t="s">
        <v>22</v>
      </c>
      <c r="D8037" s="2" t="s">
        <f>=HYPERLINK("https://main.knesset.gov.il/APPS/legislation/main/bills/2190824", "הצעת חוק המתווכים במקרקעין (תיקון - הגבלת דמי תיווך), התשפ""ב-2022")</f>
        <v>15671</v>
      </c>
      <c r="E8037" t="s">
        <v>15671</v>
      </c>
      <c r="F8037" t="s">
        <v>15672</v>
      </c>
      <c r="G8037" t="s">
        <v>14</v>
      </c>
      <c r="H8037">
             </c>
      <c r="I8037" t="s">
        <v>14</v>
      </c>
      <c r="J8037" t="s">
        <v>141</v>
      </c>
      <c r="K8037" t="s">
        <v>14</v>
      </c>
      <c r="L8037" t="s">
        <v>20</v>
      </c>
      <c r="M8037" t="s">
        <v>15581</v>
      </c>
      <c r="N8037" t="s">
        <v>14</v>
      </c>
    </row>
    <row r="8038" x14ac:dyDescent="0.25">
      <c r="A8038" t="n">
        <v>24</v>
      </c>
      <c r="B8038" t="s">
        <v>14</v>
      </c>
      <c r="C8038" t="s">
        <v>22</v>
      </c>
      <c r="D8038" s="2" t="s">
        <f>=HYPERLINK("https://main.knesset.gov.il/APPS/legislation/main/bills/2190731", "הצעת חוק הנוטריונים (תיקון - ביטול תעריף מינימום לשירות נוטריוני), התשפ""ב-2022")</f>
        <v>15673</v>
      </c>
      <c r="E8038" t="s">
        <v>15673</v>
      </c>
      <c r="F8038" t="s">
        <v>15674</v>
      </c>
      <c r="G8038" t="s">
        <v>14</v>
      </c>
      <c r="H8038">
             </c>
      <c r="I8038" t="s">
        <v>14</v>
      </c>
      <c r="J8038" t="s">
        <v>141</v>
      </c>
      <c r="K8038" t="s">
        <v>14</v>
      </c>
      <c r="L8038" t="s">
        <v>20</v>
      </c>
      <c r="M8038" t="s">
        <v>15581</v>
      </c>
      <c r="N8038" t="s">
        <v>14</v>
      </c>
    </row>
    <row r="8039" x14ac:dyDescent="0.25">
      <c r="A8039" t="n">
        <v>24</v>
      </c>
      <c r="B8039" t="s">
        <v>14</v>
      </c>
      <c r="C8039" t="s">
        <v>22</v>
      </c>
      <c r="D8039" s="2" t="s">
        <f>=HYPERLINK("https://main.knesset.gov.il/APPS/legislation/main/bills/2191343", "הצעת חוק-יסוד: הממשלה (תיקון - הטלת התפקיד להרכיב ממשלה)")</f>
        <v>15675</v>
      </c>
      <c r="E8039" t="s">
        <v>15675</v>
      </c>
      <c r="F8039" t="s">
        <v>15676</v>
      </c>
      <c r="G8039" t="s">
        <v>14</v>
      </c>
      <c r="H8039">
             </c>
      <c r="I8039" t="s">
        <v>14</v>
      </c>
      <c r="J8039" t="s">
        <v>141</v>
      </c>
      <c r="K8039" t="s">
        <v>14</v>
      </c>
      <c r="L8039" t="s">
        <v>20</v>
      </c>
      <c r="M8039" t="s">
        <v>15581</v>
      </c>
      <c r="N8039" t="s">
        <v>14</v>
      </c>
    </row>
    <row r="8040" x14ac:dyDescent="0.25">
      <c r="A8040" t="n">
        <v>24</v>
      </c>
      <c r="B8040" t="s">
        <v>14</v>
      </c>
      <c r="C8040" t="s">
        <v>22</v>
      </c>
      <c r="D8040" s="2" t="s">
        <f>=HYPERLINK("https://main.knesset.gov.il/APPS/legislation/main/bills/2167829", "הצעת חוק השכירות והשאילה (תיקון - הגבלה על העלאת דמי השכירות), התשפ""ב-2022")</f>
        <v>14967</v>
      </c>
      <c r="E8040" t="s">
        <v>14967</v>
      </c>
      <c r="F8040" t="s">
        <v>15677</v>
      </c>
      <c r="G8040" t="s">
        <v>14</v>
      </c>
      <c r="H8040">
             </c>
      <c r="I8040" t="s">
        <v>14</v>
      </c>
      <c r="J8040" t="s">
        <v>141</v>
      </c>
      <c r="K8040" t="s">
        <v>14</v>
      </c>
      <c r="L8040" t="s">
        <v>20</v>
      </c>
      <c r="M8040" t="s">
        <v>15581</v>
      </c>
      <c r="N8040" t="s">
        <v>14</v>
      </c>
    </row>
    <row r="8041" x14ac:dyDescent="0.25">
      <c r="A8041" t="n">
        <v>24</v>
      </c>
      <c r="B8041" t="s">
        <v>14</v>
      </c>
      <c r="C8041" t="s">
        <v>22</v>
      </c>
      <c r="D8041" s="2" t="s">
        <f>=HYPERLINK("https://main.knesset.gov.il/APPS/legislation/main/bills/2167890", "הצעת חוק בריאות ממלכתי (תיקון - העברת מידע מלא בעת מעבר בין קופות החולים), התשפ""ב-2022")</f>
        <v>15678</v>
      </c>
      <c r="E8041" t="s">
        <v>15678</v>
      </c>
      <c r="F8041" t="s">
        <v>15679</v>
      </c>
      <c r="G8041" t="s">
        <v>14</v>
      </c>
      <c r="H8041">
             </c>
      <c r="I8041" t="s">
        <v>14</v>
      </c>
      <c r="J8041" t="s">
        <v>141</v>
      </c>
      <c r="K8041" t="s">
        <v>14</v>
      </c>
      <c r="L8041" t="s">
        <v>20</v>
      </c>
      <c r="M8041" t="s">
        <v>15581</v>
      </c>
      <c r="N8041" t="s">
        <v>14</v>
      </c>
    </row>
    <row r="8042" x14ac:dyDescent="0.25">
      <c r="A8042" t="n">
        <v>24</v>
      </c>
      <c r="B8042" t="s">
        <v>14</v>
      </c>
      <c r="C8042" t="s">
        <v>22</v>
      </c>
      <c r="D8042" s="2" t="s">
        <f>=HYPERLINK("https://main.knesset.gov.il/APPS/legislation/main/bills/2168268", "הצעת חוק יישוב חיילים משוחררים בנגב, התשפ""ב-2022")</f>
        <v>15680</v>
      </c>
      <c r="E8042" t="s">
        <v>15680</v>
      </c>
      <c r="F8042" t="s">
        <v>15681</v>
      </c>
      <c r="G8042" t="s">
        <v>14</v>
      </c>
      <c r="H8042">
             </c>
      <c r="I8042" t="s">
        <v>14</v>
      </c>
      <c r="J8042" t="s">
        <v>141</v>
      </c>
      <c r="K8042" t="s">
        <v>14</v>
      </c>
      <c r="L8042" t="s">
        <v>20</v>
      </c>
      <c r="M8042" t="s">
        <v>15581</v>
      </c>
      <c r="N8042" t="s">
        <v>14</v>
      </c>
    </row>
    <row r="8043" x14ac:dyDescent="0.25">
      <c r="A8043" t="n">
        <v>24</v>
      </c>
      <c r="B8043" t="s">
        <v>14</v>
      </c>
      <c r="C8043" t="s">
        <v>22</v>
      </c>
      <c r="D8043" s="2" t="s">
        <f>=HYPERLINK("https://main.knesset.gov.il/APPS/legislation/main/bills/2169875", "הצעת חוק מוסדות חינוך עצמאיים, התשפ""ב-2022")</f>
        <v>15682</v>
      </c>
      <c r="E8043" t="s">
        <v>15682</v>
      </c>
      <c r="F8043" t="s">
        <v>15683</v>
      </c>
      <c r="G8043" t="s">
        <v>14</v>
      </c>
      <c r="H8043">
             </c>
      <c r="I8043" t="s">
        <v>14</v>
      </c>
      <c r="J8043" t="s">
        <v>141</v>
      </c>
      <c r="K8043" t="s">
        <v>14</v>
      </c>
      <c r="L8043" t="s">
        <v>20</v>
      </c>
      <c r="M8043" t="s">
        <v>15581</v>
      </c>
      <c r="N8043" t="s">
        <v>14</v>
      </c>
    </row>
    <row r="8044" x14ac:dyDescent="0.25">
      <c r="A8044" t="n">
        <v>24</v>
      </c>
      <c r="B8044" t="s">
        <v>14</v>
      </c>
      <c r="C8044" t="s">
        <v>22</v>
      </c>
      <c r="D8044" s="2" t="s">
        <f>=HYPERLINK("https://main.knesset.gov.il/APPS/legislation/main/bills/2167825", "הצעת חוק לתיקון פקודת התעבורה (הגבלת דמי חניה בחניוני בתי חולים), התשפ""ב-2022")</f>
        <v>15684</v>
      </c>
      <c r="E8044" t="s">
        <v>15684</v>
      </c>
      <c r="F8044" t="s">
        <v>15685</v>
      </c>
      <c r="G8044" t="s">
        <v>14</v>
      </c>
      <c r="H8044">
             </c>
      <c r="I8044" t="s">
        <v>14</v>
      </c>
      <c r="J8044" t="s">
        <v>141</v>
      </c>
      <c r="K8044" t="s">
        <v>14</v>
      </c>
      <c r="L8044" t="s">
        <v>20</v>
      </c>
      <c r="M8044" t="s">
        <v>15581</v>
      </c>
      <c r="N8044" t="s">
        <v>14</v>
      </c>
    </row>
    <row r="8045" x14ac:dyDescent="0.25">
      <c r="A8045" t="n">
        <v>24</v>
      </c>
      <c r="B8045" t="s">
        <v>14</v>
      </c>
      <c r="C8045" t="s">
        <v>22</v>
      </c>
      <c r="D8045" s="2" t="s">
        <f>=HYPERLINK("https://main.knesset.gov.il/APPS/legislation/main/bills/2168777", "הצעת חוק סדר הדין הפלילי (חקירת חשודים) (תיקון - נוכחות עורך דין בחקירת חשוד), התשפ""ב-2022")</f>
        <v>15686</v>
      </c>
      <c r="E8045" t="s">
        <v>15686</v>
      </c>
      <c r="F8045" t="s">
        <v>15687</v>
      </c>
      <c r="G8045" t="s">
        <v>14</v>
      </c>
      <c r="H8045">
             </c>
      <c r="I8045" t="s">
        <v>14</v>
      </c>
      <c r="J8045" t="s">
        <v>141</v>
      </c>
      <c r="K8045" t="s">
        <v>14</v>
      </c>
      <c r="L8045" t="s">
        <v>20</v>
      </c>
      <c r="M8045" t="s">
        <v>15581</v>
      </c>
      <c r="N8045" t="s">
        <v>14</v>
      </c>
    </row>
    <row r="8046" x14ac:dyDescent="0.25">
      <c r="A8046" t="n">
        <v>24</v>
      </c>
      <c r="B8046" t="s">
        <v>14</v>
      </c>
      <c r="C8046" t="s">
        <v>22</v>
      </c>
      <c r="D8046" s="2" t="s">
        <f>=HYPERLINK("https://main.knesset.gov.il/APPS/legislation/main/bills/2167824", "הצעת חוק לתיקון פקודת התעבורה (הסדרי תנועה בקרבת בית ספר), התשפ""ב-2022")</f>
        <v>15688</v>
      </c>
      <c r="E8046" t="s">
        <v>15688</v>
      </c>
      <c r="F8046" t="s">
        <v>15689</v>
      </c>
      <c r="G8046" t="s">
        <v>14</v>
      </c>
      <c r="H8046">
             </c>
      <c r="I8046" t="s">
        <v>14</v>
      </c>
      <c r="J8046" t="s">
        <v>141</v>
      </c>
      <c r="K8046" t="s">
        <v>14</v>
      </c>
      <c r="L8046" t="s">
        <v>20</v>
      </c>
      <c r="M8046" t="s">
        <v>15581</v>
      </c>
      <c r="N8046" t="s">
        <v>14</v>
      </c>
    </row>
    <row r="8047" x14ac:dyDescent="0.25">
      <c r="A8047" t="n">
        <v>24</v>
      </c>
      <c r="B8047" t="s">
        <v>14</v>
      </c>
      <c r="C8047" t="s">
        <v>22</v>
      </c>
      <c r="D8047" s="2" t="s">
        <f>=HYPERLINK("https://main.knesset.gov.il/APPS/legislation/main/bills/2167820", "הצעת חוק זכאות לאבחון לקויות למידה לילדים ממשפחות מעוטות יכולת, התשפ""ב-2022")</f>
        <v>15690</v>
      </c>
      <c r="E8047" t="s">
        <v>15690</v>
      </c>
      <c r="F8047" t="s">
        <v>15691</v>
      </c>
      <c r="G8047" t="s">
        <v>14</v>
      </c>
      <c r="H8047">
             </c>
      <c r="I8047" t="s">
        <v>14</v>
      </c>
      <c r="J8047" t="s">
        <v>141</v>
      </c>
      <c r="K8047" t="s">
        <v>14</v>
      </c>
      <c r="L8047" t="s">
        <v>20</v>
      </c>
      <c r="M8047" t="s">
        <v>15581</v>
      </c>
      <c r="N8047" t="s">
        <v>14</v>
      </c>
    </row>
    <row r="8048" x14ac:dyDescent="0.25">
      <c r="A8048" t="n">
        <v>24</v>
      </c>
      <c r="B8048" t="s">
        <v>14</v>
      </c>
      <c r="C8048" t="s">
        <v>22</v>
      </c>
      <c r="D8048" s="2" t="s">
        <f>=HYPERLINK("https://main.knesset.gov.il/APPS/legislation/main/bills/2166077", "הצעת חוק לתיקון פקודת ביטוח רכב מנועי (חיוב שיווק פוליסה), התשפ""ב-2022")</f>
        <v>15692</v>
      </c>
      <c r="E8048" t="s">
        <v>15692</v>
      </c>
      <c r="F8048" t="s">
        <v>15693</v>
      </c>
      <c r="G8048" t="s">
        <v>14</v>
      </c>
      <c r="H8048">
             </c>
      <c r="I8048" t="s">
        <v>14</v>
      </c>
      <c r="J8048" t="s">
        <v>141</v>
      </c>
      <c r="K8048" t="s">
        <v>14</v>
      </c>
      <c r="L8048" t="s">
        <v>20</v>
      </c>
      <c r="M8048" t="s">
        <v>15581</v>
      </c>
      <c r="N8048" t="s">
        <v>14</v>
      </c>
    </row>
    <row r="8049" x14ac:dyDescent="0.25">
      <c r="A8049" t="n">
        <v>24</v>
      </c>
      <c r="B8049" t="s">
        <v>14</v>
      </c>
      <c r="C8049" t="s">
        <v>22</v>
      </c>
      <c r="D8049" s="2" t="s">
        <f>=HYPERLINK("https://main.knesset.gov.il/APPS/legislation/main/bills/2167336", "הצעת חוק איות שמות רחובות, דרכים ומקומות ציבוריים (תיקוני חקיקה), התשפ""ב-2022")</f>
        <v>15694</v>
      </c>
      <c r="E8049" t="s">
        <v>15694</v>
      </c>
      <c r="F8049" t="s">
        <v>15695</v>
      </c>
      <c r="G8049" t="s">
        <v>14</v>
      </c>
      <c r="H8049">
             </c>
      <c r="I8049" t="s">
        <v>14</v>
      </c>
      <c r="J8049" t="s">
        <v>141</v>
      </c>
      <c r="K8049" t="s">
        <v>14</v>
      </c>
      <c r="L8049" t="s">
        <v>20</v>
      </c>
      <c r="M8049" t="s">
        <v>15581</v>
      </c>
      <c r="N8049" t="s">
        <v>14</v>
      </c>
    </row>
    <row r="8050" x14ac:dyDescent="0.25">
      <c r="A8050" t="n">
        <v>24</v>
      </c>
      <c r="B8050" t="s">
        <v>14</v>
      </c>
      <c r="C8050" t="s">
        <v>22</v>
      </c>
      <c r="D8050" s="2" t="s">
        <f>=HYPERLINK("https://main.knesset.gov.il/APPS/legislation/main/bills/2158349", "הצעת חוק הטבות לניצולי שואה (תיקון - הטבות לניצולים שעלו לאחר שנת 1953), התשפ""ב-2022")</f>
        <v>15696</v>
      </c>
      <c r="E8050" t="s">
        <v>15696</v>
      </c>
      <c r="F8050" t="s">
        <v>15697</v>
      </c>
      <c r="G8050" t="s">
        <v>14</v>
      </c>
      <c r="H8050">
             </c>
      <c r="I8050" t="s">
        <v>14</v>
      </c>
      <c r="J8050" t="s">
        <v>141</v>
      </c>
      <c r="K8050" t="s">
        <v>14</v>
      </c>
      <c r="L8050" t="s">
        <v>20</v>
      </c>
      <c r="M8050" t="s">
        <v>15581</v>
      </c>
      <c r="N8050" t="s">
        <v>14</v>
      </c>
    </row>
    <row r="8051" x14ac:dyDescent="0.25">
      <c r="A8051" t="n">
        <v>24</v>
      </c>
      <c r="B8051" t="s">
        <v>14</v>
      </c>
      <c r="C8051" t="s">
        <v>22</v>
      </c>
      <c r="D8051" s="2" t="s">
        <f>=HYPERLINK("https://main.knesset.gov.il/APPS/legislation/main/bills/2165981", "הצעת חוק הרשות השנייה לטלוויזיה ורדיו (תיקון - הגדלת היקף השידורים בשפה הערבית), התשפ""ב-2022")</f>
        <v>15698</v>
      </c>
      <c r="E8051" t="s">
        <v>15698</v>
      </c>
      <c r="F8051" t="s">
        <v>15699</v>
      </c>
      <c r="G8051" t="s">
        <v>14</v>
      </c>
      <c r="H8051">
             </c>
      <c r="I8051" t="s">
        <v>14</v>
      </c>
      <c r="J8051" t="s">
        <v>141</v>
      </c>
      <c r="K8051" t="s">
        <v>14</v>
      </c>
      <c r="L8051" t="s">
        <v>20</v>
      </c>
      <c r="M8051" t="s">
        <v>15581</v>
      </c>
      <c r="N8051" t="s">
        <v>14</v>
      </c>
    </row>
    <row r="8052" x14ac:dyDescent="0.25">
      <c r="A8052" t="n">
        <v>24</v>
      </c>
      <c r="B8052" t="s">
        <v>14</v>
      </c>
      <c r="C8052" t="s">
        <v>22</v>
      </c>
      <c r="D8052" s="2" t="s">
        <f>=HYPERLINK("https://main.knesset.gov.il/APPS/legislation/main/bills/2164487", "הצעת חוק שירות המדינה (מינויים) (תיקון - ייצוג הולם לבני החברה הערבית, לרבות הדרוזית והצ'רקסית), התשפ""ב-2022")</f>
        <v>15700</v>
      </c>
      <c r="E8052" t="s">
        <v>15700</v>
      </c>
      <c r="F8052" t="s">
        <v>15701</v>
      </c>
      <c r="G8052" t="s">
        <v>14</v>
      </c>
      <c r="H8052">
             </c>
      <c r="I8052" t="s">
        <v>14</v>
      </c>
      <c r="J8052" t="s">
        <v>141</v>
      </c>
      <c r="K8052" t="s">
        <v>14</v>
      </c>
      <c r="L8052" t="s">
        <v>20</v>
      </c>
      <c r="M8052" t="s">
        <v>15581</v>
      </c>
      <c r="N8052" t="s">
        <v>14</v>
      </c>
    </row>
    <row r="8053" x14ac:dyDescent="0.25">
      <c r="A8053" t="n">
        <v>24</v>
      </c>
      <c r="B8053" t="s">
        <v>14</v>
      </c>
      <c r="C8053" t="s">
        <v>22</v>
      </c>
      <c r="D8053" s="2" t="s">
        <f>=HYPERLINK("https://main.knesset.gov.il/APPS/legislation/main/bills/2190866", "הצעת חוק הקמת מאגר מידע גנטי של כלבים, התשפ""ב-2022")</f>
        <v>15702</v>
      </c>
      <c r="E8053" t="s">
        <v>15702</v>
      </c>
      <c r="F8053" t="s">
        <v>15703</v>
      </c>
      <c r="G8053" t="s">
        <v>14</v>
      </c>
      <c r="H8053">
             </c>
      <c r="I8053" t="s">
        <v>14</v>
      </c>
      <c r="J8053" t="s">
        <v>141</v>
      </c>
      <c r="K8053" t="s">
        <v>14</v>
      </c>
      <c r="L8053" t="s">
        <v>20</v>
      </c>
      <c r="M8053" t="s">
        <v>15581</v>
      </c>
      <c r="N8053" t="s">
        <v>14</v>
      </c>
    </row>
    <row r="8054" x14ac:dyDescent="0.25">
      <c r="A8054" t="n">
        <v>24</v>
      </c>
      <c r="B8054" t="s">
        <v>14</v>
      </c>
      <c r="C8054" t="s">
        <v>22</v>
      </c>
      <c r="D8054" s="2" t="s">
        <f>=HYPERLINK("https://main.knesset.gov.il/APPS/legislation/main/bills/2165946", "הצעת חוק שירותי הובלה (תיקון - אחריות לעבירות תעבורה), התשפ""ב-2022")</f>
        <v>15704</v>
      </c>
      <c r="E8054" t="s">
        <v>15704</v>
      </c>
      <c r="F8054" t="s">
        <v>15705</v>
      </c>
      <c r="G8054" t="s">
        <v>14</v>
      </c>
      <c r="H8054">
             </c>
      <c r="I8054" t="s">
        <v>14</v>
      </c>
      <c r="J8054" t="s">
        <v>141</v>
      </c>
      <c r="K8054" t="s">
        <v>14</v>
      </c>
      <c r="L8054" t="s">
        <v>20</v>
      </c>
      <c r="M8054" t="s">
        <v>15581</v>
      </c>
      <c r="N8054" t="s">
        <v>14</v>
      </c>
    </row>
    <row r="8055" x14ac:dyDescent="0.25">
      <c r="A8055" t="n">
        <v>24</v>
      </c>
      <c r="B8055" t="s">
        <v>14</v>
      </c>
      <c r="C8055" t="s">
        <v>22</v>
      </c>
      <c r="D8055" s="2" t="s">
        <f>=HYPERLINK("https://main.knesset.gov.il/APPS/legislation/main/bills/2190958", "הצעת חוק העונשין (תיקון - עונש מזערי בגין יידוי או ירי של אבן או חפץ אחר לעבר כלי תחבורה), התשפ""ב-2022")</f>
        <v>15706</v>
      </c>
      <c r="E8055" t="s">
        <v>15706</v>
      </c>
      <c r="F8055" t="s">
        <v>15707</v>
      </c>
      <c r="G8055" t="s">
        <v>14</v>
      </c>
      <c r="H8055">
             </c>
      <c r="I8055" t="s">
        <v>14</v>
      </c>
      <c r="J8055" t="s">
        <v>141</v>
      </c>
      <c r="K8055" t="s">
        <v>14</v>
      </c>
      <c r="L8055" t="s">
        <v>20</v>
      </c>
      <c r="M8055" t="s">
        <v>15581</v>
      </c>
      <c r="N8055" t="s">
        <v>14</v>
      </c>
    </row>
    <row r="8056" x14ac:dyDescent="0.25">
      <c r="A8056" t="n">
        <v>24</v>
      </c>
      <c r="B8056" t="s">
        <v>14</v>
      </c>
      <c r="C8056" t="s">
        <v>22</v>
      </c>
      <c r="D8056" s="2" t="s">
        <f>=HYPERLINK("https://main.knesset.gov.il/APPS/legislation/main/bills/2167823", "הצעת חוק שיקים ללא כיסוי (תיקון - הקלות בהגבלת חשבון), התשפ""ב-2022")</f>
        <v>15708</v>
      </c>
      <c r="E8056" t="s">
        <v>15708</v>
      </c>
      <c r="F8056" t="s">
        <v>15709</v>
      </c>
      <c r="G8056" t="s">
        <v>14</v>
      </c>
      <c r="H8056">
             </c>
      <c r="I8056" t="s">
        <v>14</v>
      </c>
      <c r="J8056" t="s">
        <v>141</v>
      </c>
      <c r="K8056" t="s">
        <v>14</v>
      </c>
      <c r="L8056" t="s">
        <v>20</v>
      </c>
      <c r="M8056" t="s">
        <v>15581</v>
      </c>
      <c r="N8056" t="s">
        <v>14</v>
      </c>
    </row>
    <row r="8057" x14ac:dyDescent="0.25">
      <c r="A8057" t="n">
        <v>24</v>
      </c>
      <c r="B8057" t="s">
        <v>14</v>
      </c>
      <c r="C8057" t="s">
        <v>22</v>
      </c>
      <c r="D8057" s="2" t="s">
        <f>=HYPERLINK("https://main.knesset.gov.il/APPS/legislation/main/bills/2160654", "הצעת חוק לעידוד בנייה בת קיימא (תיקוני חקיקה), התשפ""ב-2022")</f>
        <v>15710</v>
      </c>
      <c r="E8057" t="s">
        <v>15710</v>
      </c>
      <c r="F8057" t="s">
        <v>15711</v>
      </c>
      <c r="G8057" t="s">
        <v>14</v>
      </c>
      <c r="H8057">
             </c>
      <c r="I8057" t="s">
        <v>14</v>
      </c>
      <c r="J8057" t="s">
        <v>141</v>
      </c>
      <c r="K8057" t="s">
        <v>14</v>
      </c>
      <c r="L8057" t="s">
        <v>20</v>
      </c>
      <c r="M8057" t="s">
        <v>15581</v>
      </c>
      <c r="N8057" t="s">
        <v>14</v>
      </c>
    </row>
    <row r="8058" x14ac:dyDescent="0.25">
      <c r="A8058" t="n">
        <v>24</v>
      </c>
      <c r="B8058" t="s">
        <v>14</v>
      </c>
      <c r="C8058" t="s">
        <v>22</v>
      </c>
      <c r="D8058" s="2" t="s">
        <f>=HYPERLINK("https://main.knesset.gov.il/APPS/legislation/main/bills/2189485", "הצעת חוק-יסוד: המיעוט הערבי")</f>
        <v>11646</v>
      </c>
      <c r="E8058" t="s">
        <v>11646</v>
      </c>
      <c r="F8058" t="s">
        <v>15712</v>
      </c>
      <c r="G8058" t="s">
        <v>14</v>
      </c>
      <c r="H8058">
             </c>
      <c r="I8058" t="s">
        <v>14</v>
      </c>
      <c r="J8058" t="s">
        <v>141</v>
      </c>
      <c r="K8058" t="s">
        <v>14</v>
      </c>
      <c r="L8058" t="s">
        <v>20</v>
      </c>
      <c r="M8058" t="s">
        <v>15581</v>
      </c>
      <c r="N8058" t="s">
        <v>14</v>
      </c>
    </row>
    <row r="8059" x14ac:dyDescent="0.25">
      <c r="A8059" t="n">
        <v>24</v>
      </c>
      <c r="B8059" t="s">
        <v>14</v>
      </c>
      <c r="C8059" t="s">
        <v>22</v>
      </c>
      <c r="D8059" s="2" t="s">
        <f>=HYPERLINK("https://main.knesset.gov.il/APPS/legislation/main/bills/2190558", "הצעת חוק לתיקון פקודת התעבורה (חובת רישום מונה קילומטרים), התשפ""ב-2022 ")</f>
        <v>15713</v>
      </c>
      <c r="E8059" t="s">
        <v>15713</v>
      </c>
      <c r="F8059" t="s">
        <v>15714</v>
      </c>
      <c r="G8059" t="s">
        <v>14</v>
      </c>
      <c r="H8059">
             </c>
      <c r="I8059" t="s">
        <v>14</v>
      </c>
      <c r="J8059" t="s">
        <v>141</v>
      </c>
      <c r="K8059" t="s">
        <v>14</v>
      </c>
      <c r="L8059" t="s">
        <v>20</v>
      </c>
      <c r="M8059" t="s">
        <v>15581</v>
      </c>
      <c r="N8059" t="s">
        <v>14</v>
      </c>
    </row>
    <row r="8060" x14ac:dyDescent="0.25">
      <c r="A8060" t="n">
        <v>24</v>
      </c>
      <c r="B8060" t="s">
        <v>14</v>
      </c>
      <c r="C8060" t="s">
        <v>22</v>
      </c>
      <c r="D8060" s="2" t="s">
        <f>=HYPERLINK("https://main.knesset.gov.il/APPS/legislation/main/bills/2190680", "הצעת חוק הספורט (תיקון - זכויות ספורטאי קטין), התשפ""ב-2022")</f>
        <v>15715</v>
      </c>
      <c r="E8060" t="s">
        <v>15715</v>
      </c>
      <c r="F8060" t="s">
        <v>15716</v>
      </c>
      <c r="G8060" t="s">
        <v>14</v>
      </c>
      <c r="H8060">
             </c>
      <c r="I8060" t="s">
        <v>14</v>
      </c>
      <c r="J8060" t="s">
        <v>141</v>
      </c>
      <c r="K8060" t="s">
        <v>14</v>
      </c>
      <c r="L8060" t="s">
        <v>20</v>
      </c>
      <c r="M8060" t="s">
        <v>15581</v>
      </c>
      <c r="N8060" t="s">
        <v>14</v>
      </c>
    </row>
    <row r="8061" x14ac:dyDescent="0.25">
      <c r="A8061" t="n">
        <v>24</v>
      </c>
      <c r="B8061" t="s">
        <v>14</v>
      </c>
      <c r="C8061" t="s">
        <v>22</v>
      </c>
      <c r="D8061" s="2" t="s">
        <f>=HYPERLINK("https://main.knesset.gov.il/APPS/legislation/main/bills/2190547", "הצעת חוק הרשויות המקומיות (בחירת ראש הרשות וסגניו וכהונתם) (תיקון - הליכים משפטיים נגד ראש רשות), התשפ""ב-2022")</f>
        <v>15717</v>
      </c>
      <c r="E8061" t="s">
        <v>15717</v>
      </c>
      <c r="F8061" t="s">
        <v>15718</v>
      </c>
      <c r="G8061" t="s">
        <v>14</v>
      </c>
      <c r="H8061">
             </c>
      <c r="I8061" t="s">
        <v>14</v>
      </c>
      <c r="J8061" t="s">
        <v>141</v>
      </c>
      <c r="K8061" t="s">
        <v>14</v>
      </c>
      <c r="L8061" t="s">
        <v>20</v>
      </c>
      <c r="M8061" t="s">
        <v>15581</v>
      </c>
      <c r="N8061" t="s">
        <v>14</v>
      </c>
    </row>
    <row r="8062" x14ac:dyDescent="0.25">
      <c r="A8062" t="n">
        <v>24</v>
      </c>
      <c r="B8062" t="s">
        <v>14</v>
      </c>
      <c r="C8062" t="s">
        <v>22</v>
      </c>
      <c r="D8062" s="2" t="s">
        <f>=HYPERLINK("https://main.knesset.gov.il/APPS/legislation/main/bills/2191127", "הצעת חוק הגנת הצרכן (תיקון - סימון תוצרת חקלאית שאינה ארוזה מראש), התשפ''ב-2022")</f>
        <v>15719</v>
      </c>
      <c r="E8062" t="s">
        <v>15719</v>
      </c>
      <c r="F8062" t="s">
        <v>15720</v>
      </c>
      <c r="G8062" t="s">
        <v>14</v>
      </c>
      <c r="H8062">
             </c>
      <c r="I8062" t="s">
        <v>14</v>
      </c>
      <c r="J8062" t="s">
        <v>141</v>
      </c>
      <c r="K8062" t="s">
        <v>14</v>
      </c>
      <c r="L8062" t="s">
        <v>20</v>
      </c>
      <c r="M8062" t="s">
        <v>15581</v>
      </c>
      <c r="N8062" t="s">
        <v>14</v>
      </c>
    </row>
    <row r="8063" x14ac:dyDescent="0.25">
      <c r="A8063" t="n">
        <v>24</v>
      </c>
      <c r="B8063" t="s">
        <v>14</v>
      </c>
      <c r="C8063" t="s">
        <v>22</v>
      </c>
      <c r="D8063" s="2" t="s">
        <f>=HYPERLINK("https://main.knesset.gov.il/APPS/legislation/main/bills/2167821", "הצעת חוק הביטוח הלאומי (תיקון - הגדלת התוספת לקצבת אזרח ותיק בעד ילדים), התשפ""ב-2022 ")</f>
        <v>15721</v>
      </c>
      <c r="E8063" t="s">
        <v>15721</v>
      </c>
      <c r="F8063" t="s">
        <v>15722</v>
      </c>
      <c r="G8063" t="s">
        <v>14</v>
      </c>
      <c r="H8063">
             </c>
      <c r="I8063" t="s">
        <v>14</v>
      </c>
      <c r="J8063" t="s">
        <v>141</v>
      </c>
      <c r="K8063" t="s">
        <v>14</v>
      </c>
      <c r="L8063" t="s">
        <v>20</v>
      </c>
      <c r="M8063" t="s">
        <v>15581</v>
      </c>
      <c r="N8063" t="s">
        <v>14</v>
      </c>
    </row>
    <row r="8064" x14ac:dyDescent="0.25">
      <c r="A8064" t="n">
        <v>24</v>
      </c>
      <c r="B8064" t="s">
        <v>14</v>
      </c>
      <c r="C8064" t="s">
        <v>22</v>
      </c>
      <c r="D8064" s="2" t="s">
        <f>=HYPERLINK("https://main.knesset.gov.il/APPS/legislation/main/bills/2167822", "הצעת חוק זכויות התלמיד (תיקון - הנפקת תעודות בגרות), התשפ""ב-2022")</f>
        <v>15723</v>
      </c>
      <c r="E8064" t="s">
        <v>15723</v>
      </c>
      <c r="F8064" t="s">
        <v>15724</v>
      </c>
      <c r="G8064" t="s">
        <v>14</v>
      </c>
      <c r="H8064">
             </c>
      <c r="I8064" t="s">
        <v>14</v>
      </c>
      <c r="J8064" t="s">
        <v>141</v>
      </c>
      <c r="K8064" t="s">
        <v>14</v>
      </c>
      <c r="L8064" t="s">
        <v>20</v>
      </c>
      <c r="M8064" t="s">
        <v>15581</v>
      </c>
      <c r="N8064" t="s">
        <v>14</v>
      </c>
    </row>
    <row r="8065" x14ac:dyDescent="0.25">
      <c r="A8065" t="n">
        <v>24</v>
      </c>
      <c r="B8065" t="s">
        <v>14</v>
      </c>
      <c r="C8065" t="s">
        <v>22</v>
      </c>
      <c r="D8065" s="2" t="s">
        <f>=HYPERLINK("https://main.knesset.gov.il/APPS/legislation/main/bills/2191342", "הצעת חוק-יסוד: השפיטה (תיקון - רשות ערעור למדינה על זיכוי אדם בפלילים)")</f>
        <v>1398</v>
      </c>
      <c r="E8065" t="s">
        <v>1398</v>
      </c>
      <c r="F8065" t="s">
        <v>15725</v>
      </c>
      <c r="G8065" t="s">
        <v>14</v>
      </c>
      <c r="H8065">
             </c>
      <c r="I8065" t="s">
        <v>14</v>
      </c>
      <c r="J8065" t="s">
        <v>141</v>
      </c>
      <c r="K8065" t="s">
        <v>14</v>
      </c>
      <c r="L8065" t="s">
        <v>20</v>
      </c>
      <c r="M8065" t="s">
        <v>15581</v>
      </c>
      <c r="N8065" t="s">
        <v>14</v>
      </c>
    </row>
    <row r="8066" x14ac:dyDescent="0.25">
      <c r="A8066" t="n">
        <v>24</v>
      </c>
      <c r="B8066" t="s">
        <v>14</v>
      </c>
      <c r="C8066" t="s">
        <v>22</v>
      </c>
      <c r="D8066" s="2" t="s">
        <f>=HYPERLINK("https://main.knesset.gov.il/APPS/legislation/main/bills/2170071", "הצעת חוק חניה לנכים (תיקון - סיווג חניות הנכים), התשפ""ב-2022")</f>
        <v>15726</v>
      </c>
      <c r="E8066" t="s">
        <v>15726</v>
      </c>
      <c r="F8066" t="s">
        <v>15727</v>
      </c>
      <c r="G8066" t="s">
        <v>14</v>
      </c>
      <c r="H8066">
             </c>
      <c r="I8066" t="s">
        <v>14</v>
      </c>
      <c r="J8066" t="s">
        <v>141</v>
      </c>
      <c r="K8066" t="s">
        <v>14</v>
      </c>
      <c r="L8066" t="s">
        <v>20</v>
      </c>
      <c r="M8066" t="s">
        <v>15581</v>
      </c>
      <c r="N8066" t="s">
        <v>14</v>
      </c>
    </row>
    <row r="8067" x14ac:dyDescent="0.25">
      <c r="A8067" t="n">
        <v>24</v>
      </c>
      <c r="B8067" t="s">
        <v>14</v>
      </c>
      <c r="C8067" t="s">
        <v>22</v>
      </c>
      <c r="D8067" s="2" t="s">
        <f>=HYPERLINK("https://main.knesset.gov.il/APPS/legislation/main/bills/2190835", "הצעת חוק שלילת זכויות לראש ממשלה לשעבר שכיהן תקופה קצרה, התשפ""ב-2022")</f>
        <v>15728</v>
      </c>
      <c r="E8067" t="s">
        <v>15728</v>
      </c>
      <c r="F8067" t="s">
        <v>15729</v>
      </c>
      <c r="G8067" t="s">
        <v>14</v>
      </c>
      <c r="H8067">
             </c>
      <c r="I8067" t="s">
        <v>14</v>
      </c>
      <c r="J8067" t="s">
        <v>141</v>
      </c>
      <c r="K8067" t="s">
        <v>14</v>
      </c>
      <c r="L8067" t="s">
        <v>20</v>
      </c>
      <c r="M8067" t="s">
        <v>15581</v>
      </c>
      <c r="N8067" t="s">
        <v>14</v>
      </c>
    </row>
    <row r="8068" x14ac:dyDescent="0.25">
      <c r="A8068" t="n">
        <v>24</v>
      </c>
      <c r="B8068" t="s">
        <v>14</v>
      </c>
      <c r="C8068" t="s">
        <v>22</v>
      </c>
      <c r="D8068" s="2" t="s">
        <f>=HYPERLINK("https://main.knesset.gov.il/APPS/legislation/main/bills/2190563", "הצעת חוק שירות הקבע בצבא הגנה לישראל (גמלאות) (תיקון - העלאת גיל הפרישה), התשפ""ב-2022")</f>
        <v>15730</v>
      </c>
      <c r="E8068" t="s">
        <v>15730</v>
      </c>
      <c r="F8068" t="s">
        <v>15731</v>
      </c>
      <c r="G8068" t="s">
        <v>14</v>
      </c>
      <c r="H8068">
             </c>
      <c r="I8068" t="s">
        <v>14</v>
      </c>
      <c r="J8068" t="s">
        <v>141</v>
      </c>
      <c r="K8068" t="s">
        <v>14</v>
      </c>
      <c r="L8068" t="s">
        <v>20</v>
      </c>
      <c r="M8068" t="s">
        <v>15581</v>
      </c>
      <c r="N8068" t="s">
        <v>14</v>
      </c>
    </row>
    <row r="8069" x14ac:dyDescent="0.25">
      <c r="A8069" t="n">
        <v>24</v>
      </c>
      <c r="B8069" t="s">
        <v>14</v>
      </c>
      <c r="C8069" t="s">
        <v>22</v>
      </c>
      <c r="D8069" s="2" t="s">
        <f>=HYPERLINK("https://main.knesset.gov.il/APPS/legislation/main/bills/2190449", "הצעת חוק חדלות פירעון ושיקום כלכלי (תיקון - הסמכת בית המשפט לעכב הליכי גבייה), התשפ""ב-2022")</f>
        <v>15732</v>
      </c>
      <c r="E8069" t="s">
        <v>15732</v>
      </c>
      <c r="F8069" t="s">
        <v>15733</v>
      </c>
      <c r="G8069" t="s">
        <v>14</v>
      </c>
      <c r="H8069">
             </c>
      <c r="I8069" t="s">
        <v>14</v>
      </c>
      <c r="J8069" t="s">
        <v>141</v>
      </c>
      <c r="K8069" t="s">
        <v>14</v>
      </c>
      <c r="L8069" t="s">
        <v>20</v>
      </c>
      <c r="M8069" t="s">
        <v>15581</v>
      </c>
      <c r="N8069" t="s">
        <v>14</v>
      </c>
    </row>
    <row r="8070" x14ac:dyDescent="0.25">
      <c r="A8070" t="n">
        <v>24</v>
      </c>
      <c r="B8070" t="s">
        <v>14</v>
      </c>
      <c r="C8070" t="s">
        <v>15</v>
      </c>
      <c r="D8070" s="2" t="s">
        <f>=HYPERLINK("https://main.knesset.gov.il/APPS/legislation/main/bills/2191854", "הצעת חוק להסדרת הצבה של כוורות וייצור דבש, התשפ""ב-2022 ")</f>
        <v>15734</v>
      </c>
      <c r="E8070" t="s">
        <v>15734</v>
      </c>
      <c r="F8070" t="s">
        <v>14</v>
      </c>
      <c r="G8070" t="s">
        <v>15735</v>
      </c>
      <c r="H8070">
             </c>
      <c r="I8070" t="s">
        <v>14</v>
      </c>
      <c r="J8070" t="s">
        <v>69</v>
      </c>
      <c r="K8070" t="s">
        <v>14</v>
      </c>
      <c r="L8070" t="s">
        <v>20</v>
      </c>
      <c r="M8070" t="s">
        <v>15581</v>
      </c>
      <c r="N8070" t="s">
        <v>14</v>
      </c>
    </row>
    <row r="8071" x14ac:dyDescent="0.25">
      <c r="A8071" t="n">
        <v>24</v>
      </c>
      <c r="B8071" t="s">
        <v>14</v>
      </c>
      <c r="C8071" t="s">
        <v>15</v>
      </c>
      <c r="D8071" s="2" t="s">
        <f>=HYPERLINK("https://main.knesset.gov.il/APPS/legislation/main/bills/2191847", "הצעת חוק שירותי הדת היהודיים (תיקון מס' 26) (הגבלת כהונת ממונה), התשפ""ב-2022 ")</f>
        <v>15736</v>
      </c>
      <c r="E8071" t="s">
        <v>15736</v>
      </c>
      <c r="F8071" t="s">
        <v>14</v>
      </c>
      <c r="G8071" t="s">
        <v>15737</v>
      </c>
      <c r="H8071">
             </c>
      <c r="I8071" t="s">
        <v>14</v>
      </c>
      <c r="J8071" t="s">
        <v>69</v>
      </c>
      <c r="K8071" t="s">
        <v>14</v>
      </c>
      <c r="L8071" t="s">
        <v>20</v>
      </c>
      <c r="M8071" t="s">
        <v>15581</v>
      </c>
      <c r="N8071" t="s">
        <v>14</v>
      </c>
    </row>
    <row r="8072" x14ac:dyDescent="0.25">
      <c r="A8072" t="n">
        <v>24</v>
      </c>
      <c r="B8072" t="s">
        <v>14</v>
      </c>
      <c r="C8072" t="s">
        <v>15</v>
      </c>
      <c r="D8072" s="2" t="s">
        <f>=HYPERLINK("https://main.knesset.gov.il/APPS/legislation/main/bills/2191848", "הצעת חוק הגנת הצרכן (תיקון מס' 61) (תיקון), התשפ""ב-2022 ")</f>
        <v>15738</v>
      </c>
      <c r="E8072" t="s">
        <v>15738</v>
      </c>
      <c r="F8072" t="s">
        <v>14</v>
      </c>
      <c r="G8072" t="s">
        <v>15739</v>
      </c>
      <c r="H8072">
             </c>
      <c r="I8072" t="s">
        <v>14</v>
      </c>
      <c r="J8072" t="s">
        <v>69</v>
      </c>
      <c r="K8072" t="s">
        <v>14</v>
      </c>
      <c r="L8072" t="s">
        <v>20</v>
      </c>
      <c r="M8072" t="s">
        <v>15581</v>
      </c>
      <c r="N8072" t="s">
        <v>14</v>
      </c>
    </row>
    <row r="8073" x14ac:dyDescent="0.25">
      <c r="A8073" t="n">
        <v>24</v>
      </c>
      <c r="B8073" t="s">
        <v>14</v>
      </c>
      <c r="C8073" t="s">
        <v>15</v>
      </c>
      <c r="D8073" s="2" t="s">
        <f>=HYPERLINK("https://main.knesset.gov.il/APPS/legislation/main/bills/2191849", "הצעת חוק התכנון והבנייה (תיקון מס' 139) (חלוקה למחוזות), התשפ""ב-2022")</f>
        <v>15740</v>
      </c>
      <c r="E8073" t="s">
        <v>15740</v>
      </c>
      <c r="F8073" t="s">
        <v>14</v>
      </c>
      <c r="G8073" t="s">
        <v>15741</v>
      </c>
      <c r="H8073">
             </c>
      <c r="I8073" t="s">
        <v>14</v>
      </c>
      <c r="J8073" t="s">
        <v>69</v>
      </c>
      <c r="K8073" t="s">
        <v>14</v>
      </c>
      <c r="L8073" t="s">
        <v>20</v>
      </c>
      <c r="M8073" t="s">
        <v>15581</v>
      </c>
      <c r="N8073" t="s">
        <v>14</v>
      </c>
    </row>
    <row r="8074" x14ac:dyDescent="0.25">
      <c r="A8074" t="n">
        <v>24</v>
      </c>
      <c r="B8074" t="s">
        <v>14</v>
      </c>
      <c r="C8074" t="s">
        <v>15</v>
      </c>
      <c r="D8074" s="2" t="s">
        <f>=HYPERLINK("https://main.knesset.gov.il/APPS/legislation/main/bills/2191850", "הצעת חוק בתי הדין הדתיים הדרוזיים (תיקון מס' 22), התשפ""ב-2022 ")</f>
        <v>15742</v>
      </c>
      <c r="E8074" t="s">
        <v>15742</v>
      </c>
      <c r="F8074" t="s">
        <v>14</v>
      </c>
      <c r="G8074" t="s">
        <v>15743</v>
      </c>
      <c r="H8074">
             </c>
      <c r="I8074" t="s">
        <v>14</v>
      </c>
      <c r="J8074" t="s">
        <v>69</v>
      </c>
      <c r="K8074" t="s">
        <v>14</v>
      </c>
      <c r="L8074" t="s">
        <v>20</v>
      </c>
      <c r="M8074" t="s">
        <v>15581</v>
      </c>
      <c r="N8074" t="s">
        <v>14</v>
      </c>
    </row>
    <row r="8075" x14ac:dyDescent="0.25">
      <c r="A8075" t="n">
        <v>24</v>
      </c>
      <c r="B8075" t="s">
        <v>14</v>
      </c>
      <c r="C8075" t="s">
        <v>15</v>
      </c>
      <c r="D8075" s="2" t="s">
        <f>=HYPERLINK("https://main.knesset.gov.il/APPS/legislation/main/bills/2191851", "הצעת חוק בתי המשפט (תיקון מס' 102) (הסדר גישור בין-לאומי), התשפ""ב-2022 ")</f>
        <v>15744</v>
      </c>
      <c r="E8075" t="s">
        <v>15744</v>
      </c>
      <c r="F8075" t="s">
        <v>14</v>
      </c>
      <c r="G8075" t="s">
        <v>15745</v>
      </c>
      <c r="H8075">
             </c>
      <c r="I8075" t="s">
        <v>14</v>
      </c>
      <c r="J8075" t="s">
        <v>69</v>
      </c>
      <c r="K8075" t="s">
        <v>14</v>
      </c>
      <c r="L8075" t="s">
        <v>20</v>
      </c>
      <c r="M8075" t="s">
        <v>15581</v>
      </c>
      <c r="N8075" t="s">
        <v>14</v>
      </c>
    </row>
    <row r="8076" x14ac:dyDescent="0.25">
      <c r="A8076" t="n">
        <v>24</v>
      </c>
      <c r="B8076" t="s">
        <v>14</v>
      </c>
      <c r="C8076" t="s">
        <v>15</v>
      </c>
      <c r="D8076" s="2" t="s">
        <f>=HYPERLINK("https://main.knesset.gov.il/APPS/legislation/main/bills/2191852", "הצעת חוק רשות התעופה האזרחית (תיקון מס' 3) (אישור בדבר כשירות אווירית לכלי טיס של צבא זר), התשפ""ב-2022 ")</f>
        <v>15746</v>
      </c>
      <c r="E8076" t="s">
        <v>15746</v>
      </c>
      <c r="F8076" t="s">
        <v>14</v>
      </c>
      <c r="G8076" t="s">
        <v>15747</v>
      </c>
      <c r="H8076">
             </c>
      <c r="I8076" t="s">
        <v>14</v>
      </c>
      <c r="J8076" t="s">
        <v>69</v>
      </c>
      <c r="K8076" t="s">
        <v>14</v>
      </c>
      <c r="L8076" t="s">
        <v>20</v>
      </c>
      <c r="M8076" t="s">
        <v>15581</v>
      </c>
      <c r="N8076" t="s">
        <v>14</v>
      </c>
    </row>
    <row r="8077" x14ac:dyDescent="0.25">
      <c r="A8077" t="n">
        <v>24</v>
      </c>
      <c r="B8077" t="s">
        <v>14</v>
      </c>
      <c r="C8077" t="s">
        <v>15</v>
      </c>
      <c r="D8077" s="2" t="s">
        <f>=HYPERLINK("https://main.knesset.gov.il/APPS/legislation/main/bills/2165091", "הצעת חוק העונשין (תיקון מס' 143) (עבירות בנשק), התשפ""ב-2021 ")</f>
        <v>15748</v>
      </c>
      <c r="E8077" t="s">
        <v>15748</v>
      </c>
      <c r="F8077" t="s">
        <v>14</v>
      </c>
      <c r="G8077" t="s">
        <v>15749</v>
      </c>
      <c r="H8077">
             </c>
      <c r="I8077" t="s">
        <v>14</v>
      </c>
      <c r="J8077" t="s">
        <v>18</v>
      </c>
      <c r="K8077" t="s">
        <v>27</v>
      </c>
      <c r="L8077" t="s">
        <v>20</v>
      </c>
      <c r="M8077" t="s">
        <v>15581</v>
      </c>
      <c r="N8077" t="s">
        <v>14</v>
      </c>
    </row>
    <row r="8078" x14ac:dyDescent="0.25">
      <c r="A8078" t="n">
        <v>24</v>
      </c>
      <c r="B8078" t="s">
        <v>14</v>
      </c>
      <c r="C8078" t="s">
        <v>22</v>
      </c>
      <c r="D8078" s="2" t="s">
        <f>=HYPERLINK("https://main.knesset.gov.il/APPS/legislation/main/bills/2167622", "הצעת חוק מניעת סיכון בריאותי מהפעלת פליקרים במקומות ציבוריים, התשפ""ב-2022")</f>
        <v>15750</v>
      </c>
      <c r="E8078" t="s">
        <v>15750</v>
      </c>
      <c r="F8078" t="s">
        <v>15751</v>
      </c>
      <c r="G8078" t="s">
        <v>14</v>
      </c>
      <c r="H8078">
             </c>
      <c r="I8078" t="s">
        <v>14</v>
      </c>
      <c r="J8078" t="s">
        <v>31</v>
      </c>
      <c r="K8078" t="s">
        <v>27</v>
      </c>
      <c r="L8078" t="s">
        <v>20</v>
      </c>
      <c r="M8078" t="s">
        <v>15752</v>
      </c>
      <c r="N8078" t="s">
        <v>14</v>
      </c>
    </row>
    <row r="8079" x14ac:dyDescent="0.25">
      <c r="A8079" t="n">
        <v>24</v>
      </c>
      <c r="B8079" t="s">
        <v>14</v>
      </c>
      <c r="C8079" t="s">
        <v>22</v>
      </c>
      <c r="D8079" s="2" t="s">
        <f>=HYPERLINK("https://main.knesset.gov.il/APPS/legislation/main/bills/2166441", "הצעת חוק ההוצאה לפועל (תיקון - טלפונים ניידים ומחשבים אישיים), התשפ""ב-2021")</f>
        <v>15753</v>
      </c>
      <c r="E8079" t="s">
        <v>15753</v>
      </c>
      <c r="F8079" t="s">
        <v>15754</v>
      </c>
      <c r="G8079" t="s">
        <v>14</v>
      </c>
      <c r="H8079">
             </c>
      <c r="I8079" t="s">
        <v>14</v>
      </c>
      <c r="J8079" t="s">
        <v>31</v>
      </c>
      <c r="K8079" t="s">
        <v>27</v>
      </c>
      <c r="L8079" t="s">
        <v>20</v>
      </c>
      <c r="M8079" t="s">
        <v>15752</v>
      </c>
      <c r="N8079" t="s">
        <v>14</v>
      </c>
    </row>
    <row r="8080" x14ac:dyDescent="0.25">
      <c r="A8080" t="n">
        <v>24</v>
      </c>
      <c r="B8080" t="s">
        <v>14</v>
      </c>
      <c r="C8080" t="s">
        <v>22</v>
      </c>
      <c r="D8080" s="2" t="s">
        <f>=HYPERLINK("https://main.knesset.gov.il/APPS/legislation/main/bills/2162316", "הצעת חוק הבחירות לכנסת (תיקון - הצבעת אנשי צוות אוויר), התשפ""ב-2021")</f>
        <v>15755</v>
      </c>
      <c r="E8080" t="s">
        <v>15755</v>
      </c>
      <c r="F8080" t="s">
        <v>15756</v>
      </c>
      <c r="G8080" t="s">
        <v>14</v>
      </c>
      <c r="H8080">
             </c>
      <c r="I8080" t="s">
        <v>14</v>
      </c>
      <c r="J8080" t="s">
        <v>31</v>
      </c>
      <c r="K8080" t="s">
        <v>27</v>
      </c>
      <c r="L8080" t="s">
        <v>20</v>
      </c>
      <c r="M8080" t="s">
        <v>15752</v>
      </c>
      <c r="N8080" t="s">
        <v>14</v>
      </c>
    </row>
    <row r="8081" x14ac:dyDescent="0.25">
      <c r="A8081" t="n">
        <v>24</v>
      </c>
      <c r="B8081" t="s">
        <v>14</v>
      </c>
      <c r="C8081" t="s">
        <v>15</v>
      </c>
      <c r="D8081" s="2" t="s">
        <f>=HYPERLINK("https://main.knesset.gov.il/APPS/legislation/main/bills/2191665", "הצעת חוק ציוד רפואי (תיקון והוראת שעה), התשפ""ב-2022")</f>
        <v>15757</v>
      </c>
      <c r="E8081" t="s">
        <v>15757</v>
      </c>
      <c r="F8081" t="s">
        <v>14</v>
      </c>
      <c r="G8081" t="s">
        <v>15758</v>
      </c>
      <c r="H8081">
             </c>
      <c r="I8081" t="s">
        <v>14</v>
      </c>
      <c r="J8081" t="s">
        <v>69</v>
      </c>
      <c r="K8081" t="s">
        <v>14</v>
      </c>
      <c r="L8081" t="s">
        <v>20</v>
      </c>
      <c r="M8081" t="s">
        <v>15752</v>
      </c>
      <c r="N8081" t="s">
        <v>14</v>
      </c>
    </row>
    <row r="8082" x14ac:dyDescent="0.25">
      <c r="A8082" t="n">
        <v>24</v>
      </c>
      <c r="B8082" t="s">
        <v>14</v>
      </c>
      <c r="C8082" t="s">
        <v>15</v>
      </c>
      <c r="D8082" s="2" t="s">
        <f>=HYPERLINK("https://main.knesset.gov.il/APPS/legislation/main/bills/2191666", "הצעת חוק החברות (תיקון מס' 35), התשפ""ב-2022")</f>
        <v>15759</v>
      </c>
      <c r="E8082" t="s">
        <v>15759</v>
      </c>
      <c r="F8082" t="s">
        <v>14</v>
      </c>
      <c r="G8082" t="s">
        <v>15760</v>
      </c>
      <c r="H8082">
             </c>
      <c r="I8082" t="s">
        <v>14</v>
      </c>
      <c r="J8082" t="s">
        <v>1141</v>
      </c>
      <c r="K8082" t="s">
        <v>14</v>
      </c>
      <c r="L8082" t="s">
        <v>20</v>
      </c>
      <c r="M8082" t="s">
        <v>15752</v>
      </c>
      <c r="N8082" t="s">
        <v>14</v>
      </c>
    </row>
    <row r="8083" x14ac:dyDescent="0.25">
      <c r="A8083" t="n">
        <v>24</v>
      </c>
      <c r="B8083" t="s">
        <v>14</v>
      </c>
      <c r="C8083" t="s">
        <v>15</v>
      </c>
      <c r="D8083" s="2" t="s">
        <f>=HYPERLINK("https://main.knesset.gov.il/APPS/legislation/main/bills/2191667", "הצעת חוק המידע הפלילי ותקנת השבים (תיקון מס' 3), התשפ""ב-2022")</f>
        <v>15761</v>
      </c>
      <c r="E8083" t="s">
        <v>15761</v>
      </c>
      <c r="F8083" t="s">
        <v>14</v>
      </c>
      <c r="G8083" t="s">
        <v>15762</v>
      </c>
      <c r="H8083">
             </c>
      <c r="I8083" t="s">
        <v>14</v>
      </c>
      <c r="J8083" t="s">
        <v>69</v>
      </c>
      <c r="K8083" t="s">
        <v>14</v>
      </c>
      <c r="L8083" t="s">
        <v>20</v>
      </c>
      <c r="M8083" t="s">
        <v>15752</v>
      </c>
      <c r="N8083" t="s">
        <v>14</v>
      </c>
    </row>
    <row r="8084" x14ac:dyDescent="0.25">
      <c r="A8084" t="n">
        <v>24</v>
      </c>
      <c r="B8084" t="s">
        <v>14</v>
      </c>
      <c r="C8084" t="s">
        <v>22</v>
      </c>
      <c r="D8084" s="2" t="s">
        <f>=HYPERLINK("https://main.knesset.gov.il/APPS/legislation/main/bills/2157086", "הצעת חוק העונשין (תיקון - עבירת תקיפה בנסיבות מחמירות על ידי אחראי על קטין), התשפ""א-2021")</f>
        <v>15763</v>
      </c>
      <c r="E8084" t="s">
        <v>15763</v>
      </c>
      <c r="F8084" t="s">
        <v>15764</v>
      </c>
      <c r="G8084" t="s">
        <v>14</v>
      </c>
      <c r="H8084">
             </c>
      <c r="I8084" t="s">
        <v>14</v>
      </c>
      <c r="J8084" t="s">
        <v>99</v>
      </c>
      <c r="K8084" t="s">
        <v>27</v>
      </c>
      <c r="L8084" t="s">
        <v>20</v>
      </c>
      <c r="M8084" t="s">
        <v>15765</v>
      </c>
      <c r="N8084" t="s">
        <v>14</v>
      </c>
    </row>
    <row r="8085" x14ac:dyDescent="0.25">
      <c r="A8085" t="n">
        <v>24</v>
      </c>
      <c r="B8085" t="s">
        <v>14</v>
      </c>
      <c r="C8085" t="s">
        <v>15</v>
      </c>
      <c r="D8085" s="2" t="s">
        <f>=HYPERLINK("https://main.knesset.gov.il/APPS/legislation/main/bills/2169827", "חוק האזרחות והכניסה לישראל (הוראת שעה), התשפ""ב-2022 ")</f>
        <v>15766</v>
      </c>
      <c r="E8085" t="s">
        <v>15766</v>
      </c>
      <c r="F8085" t="s">
        <v>14</v>
      </c>
      <c r="G8085" t="s">
        <v>15767</v>
      </c>
      <c r="H8085" t="n">
        <v>2968</v>
      </c>
      <c r="I8085" t="s">
        <v>14</v>
      </c>
      <c r="J8085" t="s">
        <v>91</v>
      </c>
      <c r="K8085" t="s">
        <v>114</v>
      </c>
      <c r="L8085" t="s">
        <v>20</v>
      </c>
      <c r="M8085" t="s">
        <v>15768</v>
      </c>
      <c r="N8085" t="s">
        <v>15769</v>
      </c>
    </row>
    <row r="8086" x14ac:dyDescent="0.25">
      <c r="A8086" t="n">
        <v>24</v>
      </c>
      <c r="B8086" t="s">
        <v>14</v>
      </c>
      <c r="C8086" t="s">
        <v>22</v>
      </c>
      <c r="D8086" s="2" t="s">
        <f>=HYPERLINK("https://main.knesset.gov.il/APPS/legislation/main/bills/2157265", "חוק זכויות נפגעי עבירה (תיקון מס' 15), התשפ""ב-2022")</f>
        <v>15770</v>
      </c>
      <c r="E8086" t="s">
        <v>15770</v>
      </c>
      <c r="F8086" t="s">
        <v>15771</v>
      </c>
      <c r="G8086" t="s">
        <v>15772</v>
      </c>
      <c r="H8086" t="n">
        <v>2966</v>
      </c>
      <c r="I8086" t="s">
        <v>14</v>
      </c>
      <c r="J8086" t="s">
        <v>91</v>
      </c>
      <c r="K8086" t="s">
        <v>27</v>
      </c>
      <c r="L8086" t="s">
        <v>20</v>
      </c>
      <c r="M8086" t="s">
        <v>15773</v>
      </c>
      <c r="N8086" t="s">
        <v>15774</v>
      </c>
    </row>
    <row r="8087" x14ac:dyDescent="0.25">
      <c r="A8087" t="n">
        <v>24</v>
      </c>
      <c r="B8087" t="s">
        <v>14</v>
      </c>
      <c r="C8087" t="s">
        <v>15</v>
      </c>
      <c r="D8087" s="2" t="s">
        <f>=HYPERLINK("https://main.knesset.gov.il/APPS/legislation/main/bills/2160464", "חוק העונשין (תיקון מס' 141), התשפ""ב–2022")</f>
        <v>15775</v>
      </c>
      <c r="E8087" t="s">
        <v>15775</v>
      </c>
      <c r="F8087" t="s">
        <v>14</v>
      </c>
      <c r="G8087" t="s">
        <v>15776</v>
      </c>
      <c r="H8087" t="n">
        <v>2965</v>
      </c>
      <c r="I8087" t="s">
        <v>14</v>
      </c>
      <c r="J8087" t="s">
        <v>91</v>
      </c>
      <c r="K8087" t="s">
        <v>27</v>
      </c>
      <c r="L8087" t="s">
        <v>20</v>
      </c>
      <c r="M8087" t="s">
        <v>15773</v>
      </c>
      <c r="N8087" t="s">
        <v>15777</v>
      </c>
    </row>
    <row r="8088" x14ac:dyDescent="0.25">
      <c r="A8088" t="n">
        <v>24</v>
      </c>
      <c r="B8088" t="s">
        <v>14</v>
      </c>
      <c r="C8088" t="s">
        <v>15</v>
      </c>
      <c r="D8088" s="2" t="s">
        <f>=HYPERLINK("https://main.knesset.gov.il/APPS/legislation/main/bills/2161825", "חוק שירות ביטחון (תיקון מס' 24), התשפ""ב-2022")</f>
        <v>15778</v>
      </c>
      <c r="E8088" t="s">
        <v>15778</v>
      </c>
      <c r="F8088" t="s">
        <v>14</v>
      </c>
      <c r="G8088" t="s">
        <v>15779</v>
      </c>
      <c r="H8088" t="n">
        <v>2964</v>
      </c>
      <c r="I8088" t="s">
        <v>14</v>
      </c>
      <c r="J8088" t="s">
        <v>91</v>
      </c>
      <c r="K8088" t="s">
        <v>114</v>
      </c>
      <c r="L8088" t="s">
        <v>20</v>
      </c>
      <c r="M8088" t="s">
        <v>15773</v>
      </c>
      <c r="N8088" t="s">
        <v>15780</v>
      </c>
    </row>
    <row r="8089" x14ac:dyDescent="0.25">
      <c r="A8089" t="n">
        <v>24</v>
      </c>
      <c r="B8089" t="s">
        <v>14</v>
      </c>
      <c r="C8089" t="s">
        <v>22</v>
      </c>
      <c r="D8089" s="2" t="s">
        <f>=HYPERLINK("https://main.knesset.gov.il/APPS/legislation/main/bills/2190682", "הצעת חוק צער בעלי חיים (הגנה על בעלי חיים) (תיקון - איסור שימוש באביזרים חשמליים), התשפ""ב-2022")</f>
        <v>15781</v>
      </c>
      <c r="E8089" t="s">
        <v>15781</v>
      </c>
      <c r="F8089" t="s">
        <v>15782</v>
      </c>
      <c r="G8089" t="s">
        <v>14</v>
      </c>
      <c r="H8089">
             </c>
      <c r="I8089" t="s">
        <v>14</v>
      </c>
      <c r="J8089" t="s">
        <v>141</v>
      </c>
      <c r="K8089" t="s">
        <v>14</v>
      </c>
      <c r="L8089" t="s">
        <v>20</v>
      </c>
      <c r="M8089" t="s">
        <v>15773</v>
      </c>
      <c r="N8089" t="s">
        <v>14</v>
      </c>
    </row>
    <row r="8090" x14ac:dyDescent="0.25">
      <c r="A8090" t="n">
        <v>24</v>
      </c>
      <c r="B8090" t="s">
        <v>14</v>
      </c>
      <c r="C8090" t="s">
        <v>22</v>
      </c>
      <c r="D8090" s="2" t="s">
        <f>=HYPERLINK("https://main.knesset.gov.il/APPS/legislation/main/bills/2165911", "הצעת חוק לביטול ההפליה ברכישת מקרקעין ביהודה והשומרון (זכות לרכוש מקרקעין), התשפ""ב-2022")</f>
        <v>15783</v>
      </c>
      <c r="E8090" t="s">
        <v>15783</v>
      </c>
      <c r="F8090" t="s">
        <v>15784</v>
      </c>
      <c r="G8090" t="s">
        <v>14</v>
      </c>
      <c r="H8090">
             </c>
      <c r="I8090" t="s">
        <v>14</v>
      </c>
      <c r="J8090" t="s">
        <v>141</v>
      </c>
      <c r="K8090" t="s">
        <v>14</v>
      </c>
      <c r="L8090" t="s">
        <v>20</v>
      </c>
      <c r="M8090" t="s">
        <v>15773</v>
      </c>
      <c r="N8090" t="s">
        <v>14</v>
      </c>
    </row>
    <row r="8091" x14ac:dyDescent="0.25">
      <c r="A8091" t="n">
        <v>24</v>
      </c>
      <c r="B8091" t="s">
        <v>14</v>
      </c>
      <c r="C8091" t="s">
        <v>22</v>
      </c>
      <c r="D8091" s="2" t="s">
        <f>=HYPERLINK("https://main.knesset.gov.il/APPS/legislation/main/bills/2165957", "הצעת חוק שירות ביטחון (תיקון - שירות על פי אמונה דתית), התשפ""ב-2022")</f>
        <v>15785</v>
      </c>
      <c r="E8091" t="s">
        <v>15785</v>
      </c>
      <c r="F8091" t="s">
        <v>15786</v>
      </c>
      <c r="G8091" t="s">
        <v>14</v>
      </c>
      <c r="H8091">
             </c>
      <c r="I8091" t="s">
        <v>14</v>
      </c>
      <c r="J8091" t="s">
        <v>141</v>
      </c>
      <c r="K8091" t="s">
        <v>14</v>
      </c>
      <c r="L8091" t="s">
        <v>20</v>
      </c>
      <c r="M8091" t="s">
        <v>15773</v>
      </c>
      <c r="N8091" t="s">
        <v>14</v>
      </c>
    </row>
    <row r="8092" x14ac:dyDescent="0.25">
      <c r="A8092" t="n">
        <v>24</v>
      </c>
      <c r="B8092" t="s">
        <v>14</v>
      </c>
      <c r="C8092" t="s">
        <v>22</v>
      </c>
      <c r="D8092" s="2" t="s">
        <f>=HYPERLINK("https://main.knesset.gov.il/APPS/legislation/main/bills/2189857", "הצעת חוק הנחה לחיילי צה""ל לוחמים בתחבורה ציבורית, התשפ""ב-2022")</f>
        <v>15787</v>
      </c>
      <c r="E8092" t="s">
        <v>15787</v>
      </c>
      <c r="F8092" t="s">
        <v>15788</v>
      </c>
      <c r="G8092" t="s">
        <v>14</v>
      </c>
      <c r="H8092">
             </c>
      <c r="I8092" t="s">
        <v>14</v>
      </c>
      <c r="J8092" t="s">
        <v>141</v>
      </c>
      <c r="K8092" t="s">
        <v>14</v>
      </c>
      <c r="L8092" t="s">
        <v>20</v>
      </c>
      <c r="M8092" t="s">
        <v>15773</v>
      </c>
      <c r="N8092" t="s">
        <v>14</v>
      </c>
    </row>
    <row r="8093" x14ac:dyDescent="0.25">
      <c r="A8093" t="n">
        <v>24</v>
      </c>
      <c r="B8093" t="s">
        <v>14</v>
      </c>
      <c r="C8093" t="s">
        <v>22</v>
      </c>
      <c r="D8093" s="2" t="s">
        <f>=HYPERLINK("https://main.knesset.gov.il/APPS/legislation/main/bills/2165903", "הצעת חוק ביטול המינהל האזרחי, התשפ""ב-2022")</f>
        <v>15789</v>
      </c>
      <c r="E8093" t="s">
        <v>15789</v>
      </c>
      <c r="F8093" t="s">
        <v>15790</v>
      </c>
      <c r="G8093" t="s">
        <v>14</v>
      </c>
      <c r="H8093">
             </c>
      <c r="I8093" t="s">
        <v>14</v>
      </c>
      <c r="J8093" t="s">
        <v>141</v>
      </c>
      <c r="K8093" t="s">
        <v>14</v>
      </c>
      <c r="L8093" t="s">
        <v>20</v>
      </c>
      <c r="M8093" t="s">
        <v>15773</v>
      </c>
      <c r="N8093" t="s">
        <v>14</v>
      </c>
    </row>
    <row r="8094" x14ac:dyDescent="0.25">
      <c r="A8094" t="n">
        <v>24</v>
      </c>
      <c r="B8094" t="s">
        <v>14</v>
      </c>
      <c r="C8094" t="s">
        <v>22</v>
      </c>
      <c r="D8094" s="2" t="s">
        <f>=HYPERLINK("https://main.knesset.gov.il/APPS/legislation/main/bills/2189627", "הצעת חוק לתיקון פקודת בתי הסוהר (איסור כבילה במוסדות רפואיים), התשפ""ב-2022")</f>
        <v>15791</v>
      </c>
      <c r="E8094" t="s">
        <v>15791</v>
      </c>
      <c r="F8094" t="s">
        <v>15792</v>
      </c>
      <c r="G8094" t="s">
        <v>14</v>
      </c>
      <c r="H8094">
             </c>
      <c r="I8094" t="s">
        <v>14</v>
      </c>
      <c r="J8094" t="s">
        <v>141</v>
      </c>
      <c r="K8094" t="s">
        <v>14</v>
      </c>
      <c r="L8094" t="s">
        <v>20</v>
      </c>
      <c r="M8094" t="s">
        <v>15773</v>
      </c>
      <c r="N8094" t="s">
        <v>14</v>
      </c>
    </row>
    <row r="8095" x14ac:dyDescent="0.25">
      <c r="A8095" t="n">
        <v>24</v>
      </c>
      <c r="B8095" t="s">
        <v>14</v>
      </c>
      <c r="C8095" t="s">
        <v>22</v>
      </c>
      <c r="D8095" s="2" t="s">
        <f>=HYPERLINK("https://main.knesset.gov.il/APPS/legislation/main/bills/2165752", "הצעת חוק לביטול ההפליה ברכישת מקרקעין ביהודה והשומרון (ביטול החוק הירדני), התשפ""ב-2022")</f>
        <v>15793</v>
      </c>
      <c r="E8095" t="s">
        <v>15793</v>
      </c>
      <c r="F8095" t="s">
        <v>15794</v>
      </c>
      <c r="G8095" t="s">
        <v>14</v>
      </c>
      <c r="H8095">
             </c>
      <c r="I8095" t="s">
        <v>14</v>
      </c>
      <c r="J8095" t="s">
        <v>141</v>
      </c>
      <c r="K8095" t="s">
        <v>14</v>
      </c>
      <c r="L8095" t="s">
        <v>20</v>
      </c>
      <c r="M8095" t="s">
        <v>15773</v>
      </c>
      <c r="N8095" t="s">
        <v>14</v>
      </c>
    </row>
    <row r="8096" x14ac:dyDescent="0.25">
      <c r="A8096" t="n">
        <v>24</v>
      </c>
      <c r="B8096" t="s">
        <v>14</v>
      </c>
      <c r="C8096" t="s">
        <v>22</v>
      </c>
      <c r="D8096" s="2" t="s">
        <f>=HYPERLINK("https://main.knesset.gov.il/APPS/legislation/main/bills/2165951", "הצעת חוק יישום הסכם הביניים בדבר הגדה המערבית ורצועת עזה (הגבלת פעילות) (תיקון - עונשין על קיום פעילות), התשפ""ב-2022")</f>
        <v>15795</v>
      </c>
      <c r="E8096" t="s">
        <v>15795</v>
      </c>
      <c r="F8096" t="s">
        <v>15796</v>
      </c>
      <c r="G8096" t="s">
        <v>14</v>
      </c>
      <c r="H8096">
             </c>
      <c r="I8096" t="s">
        <v>14</v>
      </c>
      <c r="J8096" t="s">
        <v>141</v>
      </c>
      <c r="K8096" t="s">
        <v>14</v>
      </c>
      <c r="L8096" t="s">
        <v>20</v>
      </c>
      <c r="M8096" t="s">
        <v>15773</v>
      </c>
      <c r="N8096" t="s">
        <v>14</v>
      </c>
    </row>
    <row r="8097" x14ac:dyDescent="0.25">
      <c r="A8097" t="n">
        <v>24</v>
      </c>
      <c r="B8097" t="s">
        <v>14</v>
      </c>
      <c r="C8097" t="s">
        <v>22</v>
      </c>
      <c r="D8097" s="2" t="s">
        <f>=HYPERLINK("https://main.knesset.gov.il/APPS/legislation/main/bills/2165915", "הצעת חוק הרב הצבאי הראשי, התשפ""ב-2022")</f>
        <v>15797</v>
      </c>
      <c r="E8097" t="s">
        <v>15797</v>
      </c>
      <c r="F8097" t="s">
        <v>15798</v>
      </c>
      <c r="G8097" t="s">
        <v>14</v>
      </c>
      <c r="H8097">
             </c>
      <c r="I8097" t="s">
        <v>14</v>
      </c>
      <c r="J8097" t="s">
        <v>141</v>
      </c>
      <c r="K8097" t="s">
        <v>14</v>
      </c>
      <c r="L8097" t="s">
        <v>20</v>
      </c>
      <c r="M8097" t="s">
        <v>15773</v>
      </c>
      <c r="N8097" t="s">
        <v>14</v>
      </c>
    </row>
    <row r="8098" x14ac:dyDescent="0.25">
      <c r="A8098" t="n">
        <v>24</v>
      </c>
      <c r="B8098" t="s">
        <v>14</v>
      </c>
      <c r="C8098" t="s">
        <v>22</v>
      </c>
      <c r="D8098" s="2" t="s">
        <f>=HYPERLINK("https://main.knesset.gov.il/APPS/legislation/main/bills/2190517", "הצעת חוק המתווכים במקרקעין (תיקון - אחריות לתשלום דמי תיווך), התשפ""ב-2022")</f>
        <v>15799</v>
      </c>
      <c r="E8098" t="s">
        <v>15799</v>
      </c>
      <c r="F8098" t="s">
        <v>15800</v>
      </c>
      <c r="G8098" t="s">
        <v>14</v>
      </c>
      <c r="H8098">
             </c>
      <c r="I8098" t="s">
        <v>14</v>
      </c>
      <c r="J8098" t="s">
        <v>141</v>
      </c>
      <c r="K8098" t="s">
        <v>14</v>
      </c>
      <c r="L8098" t="s">
        <v>20</v>
      </c>
      <c r="M8098" t="s">
        <v>15773</v>
      </c>
      <c r="N8098" t="s">
        <v>14</v>
      </c>
    </row>
    <row r="8099" x14ac:dyDescent="0.25">
      <c r="A8099" t="n">
        <v>24</v>
      </c>
      <c r="B8099" t="s">
        <v>14</v>
      </c>
      <c r="C8099" t="s">
        <v>22</v>
      </c>
      <c r="D8099" s="2" t="s">
        <f>=HYPERLINK("https://main.knesset.gov.il/APPS/legislation/main/bills/2190585", "הצעת חוק למניעת פגיעה במדינת ישראל באמצעות חרם (תיקון - פיצויים ללא הוכחת נזק), התשפ""ב-2022")</f>
        <v>15801</v>
      </c>
      <c r="E8099" t="s">
        <v>15801</v>
      </c>
      <c r="F8099" t="s">
        <v>15802</v>
      </c>
      <c r="G8099" t="s">
        <v>14</v>
      </c>
      <c r="H8099">
             </c>
      <c r="I8099" t="s">
        <v>14</v>
      </c>
      <c r="J8099" t="s">
        <v>141</v>
      </c>
      <c r="K8099" t="s">
        <v>14</v>
      </c>
      <c r="L8099" t="s">
        <v>20</v>
      </c>
      <c r="M8099" t="s">
        <v>15773</v>
      </c>
      <c r="N8099" t="s">
        <v>14</v>
      </c>
    </row>
    <row r="8100" x14ac:dyDescent="0.25">
      <c r="A8100" t="n">
        <v>24</v>
      </c>
      <c r="B8100" t="s">
        <v>14</v>
      </c>
      <c r="C8100" t="s">
        <v>22</v>
      </c>
      <c r="D8100" s="2" t="s">
        <f>=HYPERLINK("https://main.knesset.gov.il/APPS/legislation/main/bills/2190769", "הצעת חוק הבחירות (דרכי תעמולה) (תיקון - תעמולה דיגיטלית), התשפ""ב-2022")</f>
        <v>15803</v>
      </c>
      <c r="E8100" t="s">
        <v>15803</v>
      </c>
      <c r="F8100" t="s">
        <v>15804</v>
      </c>
      <c r="G8100" t="s">
        <v>14</v>
      </c>
      <c r="H8100">
             </c>
      <c r="I8100" t="s">
        <v>14</v>
      </c>
      <c r="J8100" t="s">
        <v>141</v>
      </c>
      <c r="K8100" t="s">
        <v>14</v>
      </c>
      <c r="L8100" t="s">
        <v>20</v>
      </c>
      <c r="M8100" t="s">
        <v>15773</v>
      </c>
      <c r="N8100" t="s">
        <v>14</v>
      </c>
    </row>
    <row r="8101" x14ac:dyDescent="0.25">
      <c r="A8101" t="n">
        <v>24</v>
      </c>
      <c r="B8101" t="s">
        <v>14</v>
      </c>
      <c r="C8101" t="s">
        <v>22</v>
      </c>
      <c r="D8101" s="2" t="s">
        <f>=HYPERLINK("https://main.knesset.gov.il/APPS/legislation/main/bills/2190209", "הצעת חוק הרשויות המקומיות (בחירת ראש רשות סגניו וכהונתם) (תיקון - פתיחה בחקירה כנגד ראשי רשויות), התשפ""ב-2022")</f>
        <v>15805</v>
      </c>
      <c r="E8101" t="s">
        <v>15805</v>
      </c>
      <c r="F8101" t="s">
        <v>15806</v>
      </c>
      <c r="G8101" t="s">
        <v>14</v>
      </c>
      <c r="H8101">
             </c>
      <c r="I8101" t="s">
        <v>14</v>
      </c>
      <c r="J8101" t="s">
        <v>141</v>
      </c>
      <c r="K8101" t="s">
        <v>14</v>
      </c>
      <c r="L8101" t="s">
        <v>20</v>
      </c>
      <c r="M8101" t="s">
        <v>15773</v>
      </c>
      <c r="N8101" t="s">
        <v>14</v>
      </c>
    </row>
    <row r="8102" x14ac:dyDescent="0.25">
      <c r="A8102" t="n">
        <v>24</v>
      </c>
      <c r="B8102" t="s">
        <v>14</v>
      </c>
      <c r="C8102" t="s">
        <v>22</v>
      </c>
      <c r="D8102" s="2" t="s">
        <f>=HYPERLINK("https://main.knesset.gov.il/APPS/legislation/main/bills/2189805", "הצעת חוק לתיקון פקודת התעבורה (מונים למוניות והשכרת רכב), התשפ""ב-2022")</f>
        <v>15807</v>
      </c>
      <c r="E8102" t="s">
        <v>15807</v>
      </c>
      <c r="F8102" t="s">
        <v>15808</v>
      </c>
      <c r="G8102" t="s">
        <v>14</v>
      </c>
      <c r="H8102">
             </c>
      <c r="I8102" t="s">
        <v>14</v>
      </c>
      <c r="J8102" t="s">
        <v>141</v>
      </c>
      <c r="K8102" t="s">
        <v>14</v>
      </c>
      <c r="L8102" t="s">
        <v>20</v>
      </c>
      <c r="M8102" t="s">
        <v>15773</v>
      </c>
      <c r="N8102" t="s">
        <v>14</v>
      </c>
    </row>
    <row r="8103" x14ac:dyDescent="0.25">
      <c r="A8103" t="n">
        <v>24</v>
      </c>
      <c r="B8103" t="s">
        <v>14</v>
      </c>
      <c r="C8103" t="s">
        <v>22</v>
      </c>
      <c r="D8103" s="2" t="s">
        <f>=HYPERLINK("https://main.knesset.gov.il/APPS/legislation/main/bills/2190584", "הצעת חוק-יסוד: ההתגברות (תיקוני חקיקה)")</f>
        <v>13726</v>
      </c>
      <c r="E8103" t="s">
        <v>13726</v>
      </c>
      <c r="F8103" t="s">
        <v>15809</v>
      </c>
      <c r="G8103" t="s">
        <v>14</v>
      </c>
      <c r="H8103">
             </c>
      <c r="I8103" t="s">
        <v>14</v>
      </c>
      <c r="J8103" t="s">
        <v>141</v>
      </c>
      <c r="K8103" t="s">
        <v>14</v>
      </c>
      <c r="L8103" t="s">
        <v>20</v>
      </c>
      <c r="M8103" t="s">
        <v>15773</v>
      </c>
      <c r="N8103" t="s">
        <v>14</v>
      </c>
    </row>
    <row r="8104" x14ac:dyDescent="0.25">
      <c r="A8104" t="n">
        <v>24</v>
      </c>
      <c r="B8104" t="s">
        <v>14</v>
      </c>
      <c r="C8104" t="s">
        <v>22</v>
      </c>
      <c r="D8104" s="2" t="s">
        <f>=HYPERLINK("https://main.knesset.gov.il/APPS/legislation/main/bills/2190114", "הצעת חוק התחרות הכלכלית (תיקון - איסור פטור סוג להסדר בלעדיות), התשפ""ב-2022")</f>
        <v>15810</v>
      </c>
      <c r="E8104" t="s">
        <v>15810</v>
      </c>
      <c r="F8104" t="s">
        <v>15811</v>
      </c>
      <c r="G8104" t="s">
        <v>14</v>
      </c>
      <c r="H8104">
             </c>
      <c r="I8104" t="s">
        <v>14</v>
      </c>
      <c r="J8104" t="s">
        <v>141</v>
      </c>
      <c r="K8104" t="s">
        <v>14</v>
      </c>
      <c r="L8104" t="s">
        <v>20</v>
      </c>
      <c r="M8104" t="s">
        <v>15773</v>
      </c>
      <c r="N8104" t="s">
        <v>14</v>
      </c>
    </row>
    <row r="8105" x14ac:dyDescent="0.25">
      <c r="A8105" t="n">
        <v>24</v>
      </c>
      <c r="B8105" t="s">
        <v>14</v>
      </c>
      <c r="C8105" t="s">
        <v>22</v>
      </c>
      <c r="D8105" s="2" t="s">
        <f>=HYPERLINK("https://main.knesset.gov.il/APPS/legislation/main/bills/2166133", "הצעת חוק בתי המשפט (תיקון - תקופת צינון למינוי היועץ המשפטי לממשלה או פרקליט המדינה כשופטים בבית המשפט העליון), התשפ""ב-2022")</f>
        <v>15812</v>
      </c>
      <c r="E8105" t="s">
        <v>15812</v>
      </c>
      <c r="F8105" t="s">
        <v>15813</v>
      </c>
      <c r="G8105" t="s">
        <v>14</v>
      </c>
      <c r="H8105">
             </c>
      <c r="I8105" t="s">
        <v>14</v>
      </c>
      <c r="J8105" t="s">
        <v>141</v>
      </c>
      <c r="K8105" t="s">
        <v>14</v>
      </c>
      <c r="L8105" t="s">
        <v>20</v>
      </c>
      <c r="M8105" t="s">
        <v>15773</v>
      </c>
      <c r="N8105" t="s">
        <v>14</v>
      </c>
    </row>
    <row r="8106" x14ac:dyDescent="0.25">
      <c r="A8106" t="n">
        <v>24</v>
      </c>
      <c r="B8106" t="s">
        <v>14</v>
      </c>
      <c r="C8106" t="s">
        <v>22</v>
      </c>
      <c r="D8106" s="2" t="s">
        <f>=HYPERLINK("https://main.knesset.gov.il/APPS/legislation/main/bills/2190587", "הצעת חוק החלת הריבונות של מדינת ישראל בחבלי יהודה והשומרון, התשפ""ב-2022")</f>
        <v>14662</v>
      </c>
      <c r="E8106" t="s">
        <v>14662</v>
      </c>
      <c r="F8106" t="s">
        <v>15814</v>
      </c>
      <c r="G8106" t="s">
        <v>14</v>
      </c>
      <c r="H8106">
             </c>
      <c r="I8106" t="s">
        <v>14</v>
      </c>
      <c r="J8106" t="s">
        <v>141</v>
      </c>
      <c r="K8106" t="s">
        <v>14</v>
      </c>
      <c r="L8106" t="s">
        <v>20</v>
      </c>
      <c r="M8106" t="s">
        <v>15773</v>
      </c>
      <c r="N8106" t="s">
        <v>14</v>
      </c>
    </row>
    <row r="8107" x14ac:dyDescent="0.25">
      <c r="A8107" t="n">
        <v>24</v>
      </c>
      <c r="B8107" t="s">
        <v>14</v>
      </c>
      <c r="C8107" t="s">
        <v>22</v>
      </c>
      <c r="D8107" s="2" t="s">
        <f>=HYPERLINK("https://main.knesset.gov.il/APPS/legislation/main/bills/2190589", "הצעת חוק ירושלים ובנותיה, התשפ""ב-2022")</f>
        <v>15557</v>
      </c>
      <c r="E8107" t="s">
        <v>15557</v>
      </c>
      <c r="F8107" t="s">
        <v>15815</v>
      </c>
      <c r="G8107" t="s">
        <v>14</v>
      </c>
      <c r="H8107">
             </c>
      <c r="I8107" t="s">
        <v>14</v>
      </c>
      <c r="J8107" t="s">
        <v>141</v>
      </c>
      <c r="K8107" t="s">
        <v>14</v>
      </c>
      <c r="L8107" t="s">
        <v>20</v>
      </c>
      <c r="M8107" t="s">
        <v>15773</v>
      </c>
      <c r="N8107" t="s">
        <v>14</v>
      </c>
    </row>
    <row r="8108" x14ac:dyDescent="0.25">
      <c r="A8108" t="n">
        <v>24</v>
      </c>
      <c r="B8108" t="s">
        <v>14</v>
      </c>
      <c r="C8108" t="s">
        <v>22</v>
      </c>
      <c r="D8108" s="2" t="s">
        <f>=HYPERLINK("https://main.knesset.gov.il/APPS/legislation/main/bills/2190513", "הצעת חוק המכר (דירות) (הבטחת השקעות של רוכשי דירות) (תיקון - הבטחת נכסי בעלי דירות בעסקאות מסוג של התחדשות עירונית), התשפ""ב-2022")</f>
        <v>15816</v>
      </c>
      <c r="E8108" t="s">
        <v>15816</v>
      </c>
      <c r="F8108" t="s">
        <v>15817</v>
      </c>
      <c r="G8108" t="s">
        <v>14</v>
      </c>
      <c r="H8108">
             </c>
      <c r="I8108" t="s">
        <v>14</v>
      </c>
      <c r="J8108" t="s">
        <v>141</v>
      </c>
      <c r="K8108" t="s">
        <v>14</v>
      </c>
      <c r="L8108" t="s">
        <v>20</v>
      </c>
      <c r="M8108" t="s">
        <v>15773</v>
      </c>
      <c r="N8108" t="s">
        <v>14</v>
      </c>
    </row>
    <row r="8109" x14ac:dyDescent="0.25">
      <c r="A8109" t="n">
        <v>24</v>
      </c>
      <c r="B8109" t="s">
        <v>14</v>
      </c>
      <c r="C8109" t="s">
        <v>22</v>
      </c>
      <c r="D8109" s="2" t="s">
        <f>=HYPERLINK("https://main.knesset.gov.il/APPS/legislation/main/bills/2190593", "הצעת חוק החלת דיני הקרקעות והתכנון והבנייה הישראליים ביהודה והשומרון, התשפ""ב-2022")</f>
        <v>15818</v>
      </c>
      <c r="E8109" t="s">
        <v>15818</v>
      </c>
      <c r="F8109" t="s">
        <v>15819</v>
      </c>
      <c r="G8109" t="s">
        <v>14</v>
      </c>
      <c r="H8109">
             </c>
      <c r="I8109" t="s">
        <v>14</v>
      </c>
      <c r="J8109" t="s">
        <v>141</v>
      </c>
      <c r="K8109" t="s">
        <v>14</v>
      </c>
      <c r="L8109" t="s">
        <v>20</v>
      </c>
      <c r="M8109" t="s">
        <v>15773</v>
      </c>
      <c r="N8109" t="s">
        <v>14</v>
      </c>
    </row>
    <row r="8110" x14ac:dyDescent="0.25">
      <c r="A8110" t="n">
        <v>24</v>
      </c>
      <c r="B8110" t="s">
        <v>14</v>
      </c>
      <c r="C8110" t="s">
        <v>22</v>
      </c>
      <c r="D8110" s="2" t="s">
        <f>=HYPERLINK("https://main.knesset.gov.il/APPS/legislation/main/bills/2190604", "הצעת חוק-יסוד: הכנסת (תיקון - סמכות זימון של ועדות הכנסת לגורמים פרטיים)")</f>
        <v>15820</v>
      </c>
      <c r="E8110" t="s">
        <v>15820</v>
      </c>
      <c r="F8110" t="s">
        <v>15821</v>
      </c>
      <c r="G8110" t="s">
        <v>14</v>
      </c>
      <c r="H8110">
             </c>
      <c r="I8110" t="s">
        <v>14</v>
      </c>
      <c r="J8110" t="s">
        <v>141</v>
      </c>
      <c r="K8110" t="s">
        <v>14</v>
      </c>
      <c r="L8110" t="s">
        <v>20</v>
      </c>
      <c r="M8110" t="s">
        <v>15773</v>
      </c>
      <c r="N8110" t="s">
        <v>14</v>
      </c>
    </row>
    <row r="8111" x14ac:dyDescent="0.25">
      <c r="A8111" t="n">
        <v>24</v>
      </c>
      <c r="B8111" t="s">
        <v>14</v>
      </c>
      <c r="C8111" t="s">
        <v>22</v>
      </c>
      <c r="D8111" s="2" t="s">
        <f>=HYPERLINK("https://main.knesset.gov.il/APPS/legislation/main/bills/2189801", "הצעת חוק להסדרת הצבה של כוורות וייצור דבש, התשפ""ב-2022")</f>
        <v>15822</v>
      </c>
      <c r="E8111" t="s">
        <v>15822</v>
      </c>
      <c r="F8111" t="s">
        <v>15823</v>
      </c>
      <c r="G8111" t="s">
        <v>14</v>
      </c>
      <c r="H8111">
             </c>
      <c r="I8111" t="s">
        <v>14</v>
      </c>
      <c r="J8111" t="s">
        <v>141</v>
      </c>
      <c r="K8111" t="s">
        <v>14</v>
      </c>
      <c r="L8111" t="s">
        <v>20</v>
      </c>
      <c r="M8111" t="s">
        <v>15773</v>
      </c>
      <c r="N8111" t="s">
        <v>14</v>
      </c>
    </row>
    <row r="8112" x14ac:dyDescent="0.25">
      <c r="A8112" t="n">
        <v>24</v>
      </c>
      <c r="B8112" t="s">
        <v>14</v>
      </c>
      <c r="C8112" t="s">
        <v>22</v>
      </c>
      <c r="D8112" s="2" t="s">
        <f>=HYPERLINK("https://main.knesset.gov.il/APPS/legislation/main/bills/2190108", "הצעת חוק לתיקון פקודת מס הכנסה (מיסוי הכנסה מהשכרת דירה למגורים), התשפ""ב-2022")</f>
        <v>15824</v>
      </c>
      <c r="E8112" t="s">
        <v>15824</v>
      </c>
      <c r="F8112" t="s">
        <v>15825</v>
      </c>
      <c r="G8112" t="s">
        <v>14</v>
      </c>
      <c r="H8112">
             </c>
      <c r="I8112" t="s">
        <v>14</v>
      </c>
      <c r="J8112" t="s">
        <v>141</v>
      </c>
      <c r="K8112" t="s">
        <v>14</v>
      </c>
      <c r="L8112" t="s">
        <v>20</v>
      </c>
      <c r="M8112" t="s">
        <v>15773</v>
      </c>
      <c r="N8112" t="s">
        <v>14</v>
      </c>
    </row>
    <row r="8113" x14ac:dyDescent="0.25">
      <c r="A8113" t="n">
        <v>24</v>
      </c>
      <c r="B8113" t="s">
        <v>14</v>
      </c>
      <c r="C8113" t="s">
        <v>22</v>
      </c>
      <c r="D8113" s="2" t="s">
        <f>=HYPERLINK("https://main.knesset.gov.il/APPS/legislation/main/bills/2190620", "הצעת חוק ביטוח בריאות ממלכתי (תיקון - הקצאת תוספת שנתית ייעודית לתרופות למחלות יתומות בסל שירותי הבריאות), התשפ""ב-2022")</f>
        <v>15826</v>
      </c>
      <c r="E8113" t="s">
        <v>15826</v>
      </c>
      <c r="F8113" t="s">
        <v>15827</v>
      </c>
      <c r="G8113" t="s">
        <v>14</v>
      </c>
      <c r="H8113">
             </c>
      <c r="I8113" t="s">
        <v>14</v>
      </c>
      <c r="J8113" t="s">
        <v>141</v>
      </c>
      <c r="K8113" t="s">
        <v>14</v>
      </c>
      <c r="L8113" t="s">
        <v>20</v>
      </c>
      <c r="M8113" t="s">
        <v>15773</v>
      </c>
      <c r="N8113" t="s">
        <v>14</v>
      </c>
    </row>
    <row r="8114" x14ac:dyDescent="0.25">
      <c r="A8114" t="n">
        <v>24</v>
      </c>
      <c r="B8114" t="s">
        <v>14</v>
      </c>
      <c r="C8114" t="s">
        <v>22</v>
      </c>
      <c r="D8114" s="2" t="s">
        <f>=HYPERLINK("https://main.knesset.gov.il/APPS/legislation/main/bills/2189802", "הצעת חוק לשמירה על בטיחות מעליות, התשפ""ב-2022")</f>
        <v>15828</v>
      </c>
      <c r="E8114" t="s">
        <v>15828</v>
      </c>
      <c r="F8114" t="s">
        <v>15829</v>
      </c>
      <c r="G8114" t="s">
        <v>14</v>
      </c>
      <c r="H8114">
             </c>
      <c r="I8114" t="s">
        <v>14</v>
      </c>
      <c r="J8114" t="s">
        <v>141</v>
      </c>
      <c r="K8114" t="s">
        <v>14</v>
      </c>
      <c r="L8114" t="s">
        <v>20</v>
      </c>
      <c r="M8114" t="s">
        <v>15773</v>
      </c>
      <c r="N8114" t="s">
        <v>14</v>
      </c>
    </row>
    <row r="8115" x14ac:dyDescent="0.25">
      <c r="A8115" t="n">
        <v>24</v>
      </c>
      <c r="B8115" t="s">
        <v>14</v>
      </c>
      <c r="C8115" t="s">
        <v>22</v>
      </c>
      <c r="D8115" s="2" t="s">
        <f>=HYPERLINK("https://main.knesset.gov.il/APPS/legislation/main/bills/2189803", "הצעת חוק הפיקוח על צעצועים מסוכנים, התשפ""ב-2022")</f>
        <v>15830</v>
      </c>
      <c r="E8115" t="s">
        <v>15830</v>
      </c>
      <c r="F8115" t="s">
        <v>15831</v>
      </c>
      <c r="G8115" t="s">
        <v>14</v>
      </c>
      <c r="H8115">
             </c>
      <c r="I8115" t="s">
        <v>14</v>
      </c>
      <c r="J8115" t="s">
        <v>141</v>
      </c>
      <c r="K8115" t="s">
        <v>14</v>
      </c>
      <c r="L8115" t="s">
        <v>20</v>
      </c>
      <c r="M8115" t="s">
        <v>15773</v>
      </c>
      <c r="N8115" t="s">
        <v>14</v>
      </c>
    </row>
    <row r="8116" x14ac:dyDescent="0.25">
      <c r="A8116" t="n">
        <v>24</v>
      </c>
      <c r="B8116" t="s">
        <v>14</v>
      </c>
      <c r="C8116" t="s">
        <v>22</v>
      </c>
      <c r="D8116" s="2" t="s">
        <f>=HYPERLINK("https://main.knesset.gov.il/APPS/legislation/main/bills/2190770", "הצעת חוק התגמולים לנפגעי פעולות שנאה, התשפ""ב-2022")</f>
        <v>15832</v>
      </c>
      <c r="E8116" t="s">
        <v>15832</v>
      </c>
      <c r="F8116" t="s">
        <v>15833</v>
      </c>
      <c r="G8116" t="s">
        <v>14</v>
      </c>
      <c r="H8116">
             </c>
      <c r="I8116" t="s">
        <v>14</v>
      </c>
      <c r="J8116" t="s">
        <v>141</v>
      </c>
      <c r="K8116" t="s">
        <v>14</v>
      </c>
      <c r="L8116" t="s">
        <v>20</v>
      </c>
      <c r="M8116" t="s">
        <v>15773</v>
      </c>
      <c r="N8116" t="s">
        <v>14</v>
      </c>
    </row>
    <row r="8117" x14ac:dyDescent="0.25">
      <c r="A8117" t="n">
        <v>24</v>
      </c>
      <c r="B8117" t="s">
        <v>14</v>
      </c>
      <c r="C8117" t="s">
        <v>22</v>
      </c>
      <c r="D8117" s="2" t="s">
        <f>=HYPERLINK("https://main.knesset.gov.il/APPS/legislation/main/bills/2190868", "הצעת חוק לתיקון פקודת הראיות (חיסיון רואה חשבון), התשפ""ב-2022")</f>
        <v>15834</v>
      </c>
      <c r="E8117" t="s">
        <v>15834</v>
      </c>
      <c r="F8117" t="s">
        <v>15835</v>
      </c>
      <c r="G8117" t="s">
        <v>14</v>
      </c>
      <c r="H8117">
             </c>
      <c r="I8117" t="s">
        <v>14</v>
      </c>
      <c r="J8117" t="s">
        <v>343</v>
      </c>
      <c r="K8117" t="s">
        <v>14</v>
      </c>
      <c r="L8117" t="s">
        <v>20</v>
      </c>
      <c r="M8117" t="s">
        <v>15773</v>
      </c>
      <c r="N8117" t="s">
        <v>14</v>
      </c>
    </row>
    <row r="8118" x14ac:dyDescent="0.25">
      <c r="A8118" t="n">
        <v>24</v>
      </c>
      <c r="B8118" t="s">
        <v>14</v>
      </c>
      <c r="C8118" t="s">
        <v>22</v>
      </c>
      <c r="D8118" s="2" t="s">
        <f>=HYPERLINK("https://main.knesset.gov.il/APPS/legislation/main/bills/2165912", "הצעת חוק מעמדן של ההסתדרות הציונית העולמית ושל הסוכנות היהודית לארץ-ישראל (תיקון - ניהול והקצאת מקרקעין באזור יהודה והשומרון על ידי החטיבה להתיישבות), התשפ""ב-2022")</f>
        <v>15836</v>
      </c>
      <c r="E8118" t="s">
        <v>15836</v>
      </c>
      <c r="F8118" t="s">
        <v>15837</v>
      </c>
      <c r="G8118" t="s">
        <v>14</v>
      </c>
      <c r="H8118">
             </c>
      <c r="I8118" t="s">
        <v>14</v>
      </c>
      <c r="J8118" t="s">
        <v>141</v>
      </c>
      <c r="K8118" t="s">
        <v>14</v>
      </c>
      <c r="L8118" t="s">
        <v>20</v>
      </c>
      <c r="M8118" t="s">
        <v>15773</v>
      </c>
      <c r="N8118" t="s">
        <v>14</v>
      </c>
    </row>
    <row r="8119" x14ac:dyDescent="0.25">
      <c r="A8119" t="n">
        <v>24</v>
      </c>
      <c r="B8119" t="s">
        <v>14</v>
      </c>
      <c r="C8119" t="s">
        <v>22</v>
      </c>
      <c r="D8119" s="2" t="s">
        <f>=HYPERLINK("https://main.knesset.gov.il/APPS/legislation/main/bills/2190169", "הצעת חוק הסכמים קיבוציים (תיקון - בחירות לוועד עובדים ולארגון יציג), התשפ""ב-2022")</f>
        <v>15838</v>
      </c>
      <c r="E8119" t="s">
        <v>15838</v>
      </c>
      <c r="F8119" t="s">
        <v>15839</v>
      </c>
      <c r="G8119" t="s">
        <v>14</v>
      </c>
      <c r="H8119">
             </c>
      <c r="I8119" t="s">
        <v>14</v>
      </c>
      <c r="J8119" t="s">
        <v>141</v>
      </c>
      <c r="K8119" t="s">
        <v>14</v>
      </c>
      <c r="L8119" t="s">
        <v>20</v>
      </c>
      <c r="M8119" t="s">
        <v>15773</v>
      </c>
      <c r="N8119" t="s">
        <v>14</v>
      </c>
    </row>
    <row r="8120" x14ac:dyDescent="0.25">
      <c r="A8120" t="n">
        <v>24</v>
      </c>
      <c r="B8120" t="s">
        <v>14</v>
      </c>
      <c r="C8120" t="s">
        <v>22</v>
      </c>
      <c r="D8120" s="2" t="s">
        <f>=HYPERLINK("https://main.knesset.gov.il/APPS/legislation/main/bills/2168395", "הצעת חוק זכויות הסטודנט (תיקון - העדפה מתקנת ללוחמים), התשפ""ב-2022")</f>
        <v>15840</v>
      </c>
      <c r="E8120" t="s">
        <v>15840</v>
      </c>
      <c r="F8120" t="s">
        <v>15841</v>
      </c>
      <c r="G8120" t="s">
        <v>14</v>
      </c>
      <c r="H8120">
             </c>
      <c r="I8120" t="s">
        <v>14</v>
      </c>
      <c r="J8120" t="s">
        <v>141</v>
      </c>
      <c r="K8120" t="s">
        <v>14</v>
      </c>
      <c r="L8120" t="s">
        <v>20</v>
      </c>
      <c r="M8120" t="s">
        <v>15773</v>
      </c>
      <c r="N8120" t="s">
        <v>14</v>
      </c>
    </row>
    <row r="8121" x14ac:dyDescent="0.25">
      <c r="A8121" t="n">
        <v>24</v>
      </c>
      <c r="B8121" t="s">
        <v>14</v>
      </c>
      <c r="C8121" t="s">
        <v>22</v>
      </c>
      <c r="D8121" s="2" t="s">
        <f>=HYPERLINK("https://main.knesset.gov.il/APPS/legislation/main/bills/2189874", "הצעת חוק הביטוח הלאומי (תיקון - פטור מתשלומים של דמי ביטוח בעד ימי מילואים), התשפ""ב-2022")</f>
        <v>15842</v>
      </c>
      <c r="E8121" t="s">
        <v>15842</v>
      </c>
      <c r="F8121" t="s">
        <v>15843</v>
      </c>
      <c r="G8121" t="s">
        <v>14</v>
      </c>
      <c r="H8121">
             </c>
      <c r="I8121" t="s">
        <v>14</v>
      </c>
      <c r="J8121" t="s">
        <v>141</v>
      </c>
      <c r="K8121" t="s">
        <v>14</v>
      </c>
      <c r="L8121" t="s">
        <v>20</v>
      </c>
      <c r="M8121" t="s">
        <v>15773</v>
      </c>
      <c r="N8121" t="s">
        <v>14</v>
      </c>
    </row>
    <row r="8122" x14ac:dyDescent="0.25">
      <c r="A8122" t="n">
        <v>24</v>
      </c>
      <c r="B8122" t="s">
        <v>14</v>
      </c>
      <c r="C8122" t="s">
        <v>22</v>
      </c>
      <c r="D8122" s="2" t="s">
        <f>=HYPERLINK("https://main.knesset.gov.il/APPS/legislation/main/bills/2190524", "הצעת חוק לתיקון פקודת המשטרה (מינוי חשב המשטרה), התשפ""ב-2022")</f>
        <v>15844</v>
      </c>
      <c r="E8122" t="s">
        <v>15844</v>
      </c>
      <c r="F8122" t="s">
        <v>15845</v>
      </c>
      <c r="G8122" t="s">
        <v>14</v>
      </c>
      <c r="H8122">
             </c>
      <c r="I8122" t="s">
        <v>14</v>
      </c>
      <c r="J8122" t="s">
        <v>141</v>
      </c>
      <c r="K8122" t="s">
        <v>14</v>
      </c>
      <c r="L8122" t="s">
        <v>20</v>
      </c>
      <c r="M8122" t="s">
        <v>15773</v>
      </c>
      <c r="N8122" t="s">
        <v>14</v>
      </c>
    </row>
    <row r="8123" x14ac:dyDescent="0.25">
      <c r="A8123" t="n">
        <v>24</v>
      </c>
      <c r="B8123" t="s">
        <v>14</v>
      </c>
      <c r="C8123" t="s">
        <v>22</v>
      </c>
      <c r="D8123" s="2" t="s">
        <f>=HYPERLINK("https://main.knesset.gov.il/APPS/legislation/main/bills/2190619", "הצעת חוק שירותי רווחה לאנשים עם מוגבלות, התשפ""ב-2022")</f>
        <v>15846</v>
      </c>
      <c r="E8123" t="s">
        <v>15846</v>
      </c>
      <c r="F8123" t="s">
        <v>15847</v>
      </c>
      <c r="G8123" t="s">
        <v>14</v>
      </c>
      <c r="H8123">
             </c>
      <c r="I8123" t="s">
        <v>14</v>
      </c>
      <c r="J8123" t="s">
        <v>141</v>
      </c>
      <c r="K8123" t="s">
        <v>14</v>
      </c>
      <c r="L8123" t="s">
        <v>20</v>
      </c>
      <c r="M8123" t="s">
        <v>15773</v>
      </c>
      <c r="N8123" t="s">
        <v>14</v>
      </c>
    </row>
    <row r="8124" x14ac:dyDescent="0.25">
      <c r="A8124" t="n">
        <v>24</v>
      </c>
      <c r="B8124" t="s">
        <v>14</v>
      </c>
      <c r="C8124" t="s">
        <v>22</v>
      </c>
      <c r="D8124" s="2" t="s">
        <f>=HYPERLINK("https://main.knesset.gov.il/APPS/legislation/main/bills/2189876", "הצעת חוק ביטוח בריאות ממלכתי (תיקון - צמצום הפערים בין הפריפריה למרכז), התשפ""ב-2022")</f>
        <v>15848</v>
      </c>
      <c r="E8124" t="s">
        <v>15848</v>
      </c>
      <c r="F8124" t="s">
        <v>15849</v>
      </c>
      <c r="G8124" t="s">
        <v>14</v>
      </c>
      <c r="H8124">
             </c>
      <c r="I8124" t="s">
        <v>14</v>
      </c>
      <c r="J8124" t="s">
        <v>141</v>
      </c>
      <c r="K8124" t="s">
        <v>14</v>
      </c>
      <c r="L8124" t="s">
        <v>20</v>
      </c>
      <c r="M8124" t="s">
        <v>15773</v>
      </c>
      <c r="N8124" t="s">
        <v>14</v>
      </c>
    </row>
    <row r="8125" x14ac:dyDescent="0.25">
      <c r="A8125" t="n">
        <v>24</v>
      </c>
      <c r="B8125" t="s">
        <v>14</v>
      </c>
      <c r="C8125" t="s">
        <v>22</v>
      </c>
      <c r="D8125" s="2" t="s">
        <f>=HYPERLINK("https://main.knesset.gov.il/APPS/legislation/main/bills/2190684", "הצעת חוק שירות המדינה (מינויים) (תיקון - הצהרת אמונים), התשפ""ב-2022")</f>
        <v>15850</v>
      </c>
      <c r="E8125" t="s">
        <v>15850</v>
      </c>
      <c r="F8125" t="s">
        <v>15851</v>
      </c>
      <c r="G8125" t="s">
        <v>14</v>
      </c>
      <c r="H8125">
             </c>
      <c r="I8125" t="s">
        <v>14</v>
      </c>
      <c r="J8125" t="s">
        <v>141</v>
      </c>
      <c r="K8125" t="s">
        <v>14</v>
      </c>
      <c r="L8125" t="s">
        <v>20</v>
      </c>
      <c r="M8125" t="s">
        <v>15773</v>
      </c>
      <c r="N8125" t="s">
        <v>14</v>
      </c>
    </row>
    <row r="8126" x14ac:dyDescent="0.25">
      <c r="A8126" t="n">
        <v>24</v>
      </c>
      <c r="B8126" t="s">
        <v>14</v>
      </c>
      <c r="C8126" t="s">
        <v>22</v>
      </c>
      <c r="D8126" s="2" t="s">
        <f>=HYPERLINK("https://main.knesset.gov.il/APPS/legislation/main/bills/2190702", "הצעת חוק לתיקון פקודת מס הכנסה (מיסוי קרן הון סיכון נסחרת), התשפ""ב-2022")</f>
        <v>15852</v>
      </c>
      <c r="E8126" t="s">
        <v>15852</v>
      </c>
      <c r="F8126" t="s">
        <v>15853</v>
      </c>
      <c r="G8126" t="s">
        <v>14</v>
      </c>
      <c r="H8126">
             </c>
      <c r="I8126" t="s">
        <v>14</v>
      </c>
      <c r="J8126" t="s">
        <v>141</v>
      </c>
      <c r="K8126" t="s">
        <v>14</v>
      </c>
      <c r="L8126" t="s">
        <v>20</v>
      </c>
      <c r="M8126" t="s">
        <v>15773</v>
      </c>
      <c r="N8126" t="s">
        <v>14</v>
      </c>
    </row>
    <row r="8127" x14ac:dyDescent="0.25">
      <c r="A8127" t="n">
        <v>24</v>
      </c>
      <c r="B8127" t="s">
        <v>14</v>
      </c>
      <c r="C8127" t="s">
        <v>22</v>
      </c>
      <c r="D8127" s="2" t="s">
        <f>=HYPERLINK("https://main.knesset.gov.il/APPS/legislation/main/bills/2190688", "הצעת חוק פטור מתשלומים בעד ימי מילואים (תיקוני חקיקה), התשפ""ב-2022")</f>
        <v>15854</v>
      </c>
      <c r="E8127" t="s">
        <v>15854</v>
      </c>
      <c r="F8127" t="s">
        <v>15855</v>
      </c>
      <c r="G8127" t="s">
        <v>14</v>
      </c>
      <c r="H8127">
             </c>
      <c r="I8127" t="s">
        <v>14</v>
      </c>
      <c r="J8127" t="s">
        <v>141</v>
      </c>
      <c r="K8127" t="s">
        <v>14</v>
      </c>
      <c r="L8127" t="s">
        <v>20</v>
      </c>
      <c r="M8127" t="s">
        <v>15773</v>
      </c>
      <c r="N8127" t="s">
        <v>14</v>
      </c>
    </row>
    <row r="8128" x14ac:dyDescent="0.25">
      <c r="A8128" t="n">
        <v>24</v>
      </c>
      <c r="B8128" t="s">
        <v>14</v>
      </c>
      <c r="C8128" t="s">
        <v>22</v>
      </c>
      <c r="D8128" s="2" t="s">
        <f>=HYPERLINK("https://main.knesset.gov.il/APPS/legislation/main/bills/2190594", "הצעת חוק לקידום מתחרים ולהגברת יעילות במתן רישיונות והיתרים בענף הפיננסים, התשפ""ב-2022")</f>
        <v>15856</v>
      </c>
      <c r="E8128" t="s">
        <v>15856</v>
      </c>
      <c r="F8128" t="s">
        <v>15857</v>
      </c>
      <c r="G8128" t="s">
        <v>14</v>
      </c>
      <c r="H8128">
             </c>
      <c r="I8128" t="s">
        <v>14</v>
      </c>
      <c r="J8128" t="s">
        <v>141</v>
      </c>
      <c r="K8128" t="s">
        <v>14</v>
      </c>
      <c r="L8128" t="s">
        <v>20</v>
      </c>
      <c r="M8128" t="s">
        <v>15773</v>
      </c>
      <c r="N8128" t="s">
        <v>14</v>
      </c>
    </row>
    <row r="8129" x14ac:dyDescent="0.25">
      <c r="A8129" t="n">
        <v>24</v>
      </c>
      <c r="B8129" t="s">
        <v>14</v>
      </c>
      <c r="C8129" t="s">
        <v>22</v>
      </c>
      <c r="D8129" s="2" t="s">
        <f>=HYPERLINK("https://main.knesset.gov.il/APPS/legislation/main/bills/2168469", "הצעת חוק הגבלת עמלת פירעון מוקדם ואיחוד הליכים של הלוואה לדיור (תיקוני חקיקה), התשפ""ב-2022")</f>
        <v>15858</v>
      </c>
      <c r="E8129" t="s">
        <v>15858</v>
      </c>
      <c r="F8129" t="s">
        <v>15859</v>
      </c>
      <c r="G8129" t="s">
        <v>14</v>
      </c>
      <c r="H8129">
             </c>
      <c r="I8129" t="s">
        <v>14</v>
      </c>
      <c r="J8129" t="s">
        <v>141</v>
      </c>
      <c r="K8129" t="s">
        <v>14</v>
      </c>
      <c r="L8129" t="s">
        <v>20</v>
      </c>
      <c r="M8129" t="s">
        <v>15773</v>
      </c>
      <c r="N8129" t="s">
        <v>14</v>
      </c>
    </row>
    <row r="8130" x14ac:dyDescent="0.25">
      <c r="A8130" t="n">
        <v>24</v>
      </c>
      <c r="B8130" t="s">
        <v>14</v>
      </c>
      <c r="C8130" t="s">
        <v>22</v>
      </c>
      <c r="D8130" s="2" t="s">
        <f>=HYPERLINK("https://main.knesset.gov.il/APPS/legislation/main/bills/2165731", "הצעת חוק הסיוע המשפטי (תיקון - העמדת סיוע לנפגע פעולות איבה), התשפ""ב-2022")</f>
        <v>15860</v>
      </c>
      <c r="E8130" t="s">
        <v>15860</v>
      </c>
      <c r="F8130" t="s">
        <v>15861</v>
      </c>
      <c r="G8130" t="s">
        <v>14</v>
      </c>
      <c r="H8130">
             </c>
      <c r="I8130" t="s">
        <v>14</v>
      </c>
      <c r="J8130" t="s">
        <v>141</v>
      </c>
      <c r="K8130" t="s">
        <v>14</v>
      </c>
      <c r="L8130" t="s">
        <v>20</v>
      </c>
      <c r="M8130" t="s">
        <v>15773</v>
      </c>
      <c r="N8130" t="s">
        <v>14</v>
      </c>
    </row>
    <row r="8131" x14ac:dyDescent="0.25">
      <c r="A8131" t="n">
        <v>24</v>
      </c>
      <c r="B8131" t="s">
        <v>14</v>
      </c>
      <c r="C8131" t="s">
        <v>22</v>
      </c>
      <c r="D8131" s="2" t="s">
        <f>=HYPERLINK("https://main.knesset.gov.il/APPS/legislation/main/bills/2189996", "הצעת חוק לתיקון פקודת התעבורה (תמרור סימון על פני הכביש - שימוש באמצעי מונע החלקה), התשפ""ב-2022")</f>
        <v>15862</v>
      </c>
      <c r="E8131" t="s">
        <v>15862</v>
      </c>
      <c r="F8131" t="s">
        <v>15863</v>
      </c>
      <c r="G8131" t="s">
        <v>14</v>
      </c>
      <c r="H8131">
             </c>
      <c r="I8131" t="s">
        <v>14</v>
      </c>
      <c r="J8131" t="s">
        <v>141</v>
      </c>
      <c r="K8131" t="s">
        <v>14</v>
      </c>
      <c r="L8131" t="s">
        <v>20</v>
      </c>
      <c r="M8131" t="s">
        <v>15773</v>
      </c>
      <c r="N8131" t="s">
        <v>14</v>
      </c>
    </row>
    <row r="8132" x14ac:dyDescent="0.25">
      <c r="A8132" t="n">
        <v>24</v>
      </c>
      <c r="B8132" t="s">
        <v>14</v>
      </c>
      <c r="C8132" t="s">
        <v>22</v>
      </c>
      <c r="D8132" s="2" t="s">
        <f>=HYPERLINK("https://main.knesset.gov.il/APPS/legislation/main/bills/2166158", "הצעת חוק-יסוד: השפיטה (תיקון - הגבלת זכות העמידה)")</f>
        <v>4330</v>
      </c>
      <c r="E8132" t="s">
        <v>4330</v>
      </c>
      <c r="F8132" t="s">
        <v>15864</v>
      </c>
      <c r="G8132" t="s">
        <v>14</v>
      </c>
      <c r="H8132">
             </c>
      <c r="I8132" t="s">
        <v>14</v>
      </c>
      <c r="J8132" t="s">
        <v>141</v>
      </c>
      <c r="K8132" t="s">
        <v>14</v>
      </c>
      <c r="L8132" t="s">
        <v>20</v>
      </c>
      <c r="M8132" t="s">
        <v>15773</v>
      </c>
      <c r="N8132" t="s">
        <v>14</v>
      </c>
    </row>
    <row r="8133" x14ac:dyDescent="0.25">
      <c r="A8133" t="n">
        <v>24</v>
      </c>
      <c r="B8133" t="s">
        <v>14</v>
      </c>
      <c r="C8133" t="s">
        <v>22</v>
      </c>
      <c r="D8133" s="2" t="s">
        <f>=HYPERLINK("https://main.knesset.gov.il/APPS/legislation/main/bills/2190611", "הצעת חוק הגנת הצרכן (תיקון - חובת מסירת הקלטת שיחת טלפון לצרכן), התשפ""ב-2022")</f>
        <v>15865</v>
      </c>
      <c r="E8133" t="s">
        <v>15865</v>
      </c>
      <c r="F8133" t="s">
        <v>15866</v>
      </c>
      <c r="G8133" t="s">
        <v>14</v>
      </c>
      <c r="H8133">
             </c>
      <c r="I8133" t="s">
        <v>14</v>
      </c>
      <c r="J8133" t="s">
        <v>141</v>
      </c>
      <c r="K8133" t="s">
        <v>14</v>
      </c>
      <c r="L8133" t="s">
        <v>20</v>
      </c>
      <c r="M8133" t="s">
        <v>15773</v>
      </c>
      <c r="N8133" t="s">
        <v>14</v>
      </c>
    </row>
    <row r="8134" x14ac:dyDescent="0.25">
      <c r="A8134" t="n">
        <v>24</v>
      </c>
      <c r="B8134" t="s">
        <v>14</v>
      </c>
      <c r="C8134" t="s">
        <v>22</v>
      </c>
      <c r="D8134" s="2" t="s">
        <f>=HYPERLINK("https://main.knesset.gov.il/APPS/legislation/main/bills/2190773", "הצעת חוק-יסוד: הכנסת (תיקון - קבלת סעיף בחוק-יסוד שדרוש לביטולו או לשינויו רוב מיוחס)")</f>
        <v>2436</v>
      </c>
      <c r="E8134" t="s">
        <v>2436</v>
      </c>
      <c r="F8134" t="s">
        <v>15867</v>
      </c>
      <c r="G8134" t="s">
        <v>14</v>
      </c>
      <c r="H8134">
             </c>
      <c r="I8134" t="s">
        <v>14</v>
      </c>
      <c r="J8134" t="s">
        <v>141</v>
      </c>
      <c r="K8134" t="s">
        <v>14</v>
      </c>
      <c r="L8134" t="s">
        <v>20</v>
      </c>
      <c r="M8134" t="s">
        <v>15773</v>
      </c>
      <c r="N8134" t="s">
        <v>14</v>
      </c>
    </row>
    <row r="8135" x14ac:dyDescent="0.25">
      <c r="A8135" t="n">
        <v>24</v>
      </c>
      <c r="B8135" t="s">
        <v>14</v>
      </c>
      <c r="C8135" t="s">
        <v>22</v>
      </c>
      <c r="D8135" s="2" t="s">
        <f>=HYPERLINK("https://main.knesset.gov.il/APPS/legislation/main/bills/2189572", "הצעת חוק ביטוח בריאות ממלכתי (תיקון - רשם המחלות הנדירות), התשפ""ב-2022")</f>
        <v>15868</v>
      </c>
      <c r="E8135" t="s">
        <v>15868</v>
      </c>
      <c r="F8135" t="s">
        <v>15869</v>
      </c>
      <c r="G8135" t="s">
        <v>14</v>
      </c>
      <c r="H8135">
             </c>
      <c r="I8135" t="s">
        <v>14</v>
      </c>
      <c r="J8135" t="s">
        <v>141</v>
      </c>
      <c r="K8135" t="s">
        <v>14</v>
      </c>
      <c r="L8135" t="s">
        <v>20</v>
      </c>
      <c r="M8135" t="s">
        <v>15773</v>
      </c>
      <c r="N8135" t="s">
        <v>14</v>
      </c>
    </row>
    <row r="8136" x14ac:dyDescent="0.25">
      <c r="A8136" t="n">
        <v>24</v>
      </c>
      <c r="B8136" t="s">
        <v>14</v>
      </c>
      <c r="C8136" t="s">
        <v>22</v>
      </c>
      <c r="D8136" s="2" t="s">
        <f>=HYPERLINK("https://main.knesset.gov.il/APPS/legislation/main/bills/2170279", "הצעת חוק שירות ביטחון (תיקון - ביטול גיוס חובה), התשפ""ב-2022")</f>
        <v>15870</v>
      </c>
      <c r="E8136" t="s">
        <v>15870</v>
      </c>
      <c r="F8136" t="s">
        <v>15871</v>
      </c>
      <c r="G8136" t="s">
        <v>14</v>
      </c>
      <c r="H8136">
             </c>
      <c r="I8136" t="s">
        <v>14</v>
      </c>
      <c r="J8136" t="s">
        <v>141</v>
      </c>
      <c r="K8136" t="s">
        <v>14</v>
      </c>
      <c r="L8136" t="s">
        <v>20</v>
      </c>
      <c r="M8136" t="s">
        <v>15773</v>
      </c>
      <c r="N8136" t="s">
        <v>14</v>
      </c>
    </row>
    <row r="8137" x14ac:dyDescent="0.25">
      <c r="A8137" t="n">
        <v>24</v>
      </c>
      <c r="B8137" t="s">
        <v>14</v>
      </c>
      <c r="C8137" t="s">
        <v>22</v>
      </c>
      <c r="D8137" s="2" t="s">
        <f>=HYPERLINK("https://main.knesset.gov.il/APPS/legislation/main/bills/2190690", "הצעת חוק שירות המילואים (תיקון - קביעת נקודות זיכוי), התשפ""ב-2022")</f>
        <v>15872</v>
      </c>
      <c r="E8137" t="s">
        <v>15872</v>
      </c>
      <c r="F8137" t="s">
        <v>15873</v>
      </c>
      <c r="G8137" t="s">
        <v>14</v>
      </c>
      <c r="H8137">
             </c>
      <c r="I8137" t="s">
        <v>14</v>
      </c>
      <c r="J8137" t="s">
        <v>141</v>
      </c>
      <c r="K8137" t="s">
        <v>14</v>
      </c>
      <c r="L8137" t="s">
        <v>20</v>
      </c>
      <c r="M8137" t="s">
        <v>15773</v>
      </c>
      <c r="N8137" t="s">
        <v>14</v>
      </c>
    </row>
    <row r="8138" x14ac:dyDescent="0.25">
      <c r="A8138" t="n">
        <v>24</v>
      </c>
      <c r="B8138" t="s">
        <v>14</v>
      </c>
      <c r="C8138" t="s">
        <v>22</v>
      </c>
      <c r="D8138" s="2" t="s">
        <f>=HYPERLINK("https://main.knesset.gov.il/APPS/legislation/main/bills/2190837", "הצעת חוק חובת פרסום הודעות באינטרנט, התשפ""ב-2022 ")</f>
        <v>15874</v>
      </c>
      <c r="E8138" t="s">
        <v>15874</v>
      </c>
      <c r="F8138" t="s">
        <v>15875</v>
      </c>
      <c r="G8138" t="s">
        <v>14</v>
      </c>
      <c r="H8138">
             </c>
      <c r="I8138" t="s">
        <v>14</v>
      </c>
      <c r="J8138" t="s">
        <v>141</v>
      </c>
      <c r="K8138" t="s">
        <v>14</v>
      </c>
      <c r="L8138" t="s">
        <v>20</v>
      </c>
      <c r="M8138" t="s">
        <v>15773</v>
      </c>
      <c r="N8138" t="s">
        <v>14</v>
      </c>
    </row>
    <row r="8139" x14ac:dyDescent="0.25">
      <c r="A8139" t="n">
        <v>24</v>
      </c>
      <c r="B8139" t="s">
        <v>14</v>
      </c>
      <c r="C8139" t="s">
        <v>22</v>
      </c>
      <c r="D8139" s="2" t="s">
        <f>=HYPERLINK("https://main.knesset.gov.il/APPS/legislation/main/bills/2190495", "הצעת חוק להגבלת היתרים לעריכת הגרלות והימורים בקרבת מוסדות ציבוריים, התשפ""ב-2022")</f>
        <v>15876</v>
      </c>
      <c r="E8139" t="s">
        <v>15876</v>
      </c>
      <c r="F8139" t="s">
        <v>15877</v>
      </c>
      <c r="G8139" t="s">
        <v>14</v>
      </c>
      <c r="H8139">
             </c>
      <c r="I8139" t="s">
        <v>14</v>
      </c>
      <c r="J8139" t="s">
        <v>141</v>
      </c>
      <c r="K8139" t="s">
        <v>14</v>
      </c>
      <c r="L8139" t="s">
        <v>20</v>
      </c>
      <c r="M8139" t="s">
        <v>15773</v>
      </c>
      <c r="N8139" t="s">
        <v>14</v>
      </c>
    </row>
    <row r="8140" x14ac:dyDescent="0.25">
      <c r="A8140" t="n">
        <v>24</v>
      </c>
      <c r="B8140" t="s">
        <v>14</v>
      </c>
      <c r="C8140" t="s">
        <v>22</v>
      </c>
      <c r="D8140" s="2" t="s">
        <f>=HYPERLINK("https://main.knesset.gov.il/APPS/legislation/main/bills/2170192", "הצעת חוק בחינת חלופות מדיניות לא-צבאיות (תיקוני חקיקה), התשפ""ב-2022")</f>
        <v>15878</v>
      </c>
      <c r="E8140" t="s">
        <v>15878</v>
      </c>
      <c r="F8140" t="s">
        <v>15879</v>
      </c>
      <c r="G8140" t="s">
        <v>14</v>
      </c>
      <c r="H8140">
             </c>
      <c r="I8140" t="s">
        <v>14</v>
      </c>
      <c r="J8140" t="s">
        <v>141</v>
      </c>
      <c r="K8140" t="s">
        <v>14</v>
      </c>
      <c r="L8140" t="s">
        <v>20</v>
      </c>
      <c r="M8140" t="s">
        <v>15773</v>
      </c>
      <c r="N8140" t="s">
        <v>14</v>
      </c>
    </row>
    <row r="8141" x14ac:dyDescent="0.25">
      <c r="A8141" t="n">
        <v>24</v>
      </c>
      <c r="B8141" t="s">
        <v>14</v>
      </c>
      <c r="C8141" t="s">
        <v>22</v>
      </c>
      <c r="D8141" s="2" t="s">
        <f>=HYPERLINK("https://main.knesset.gov.il/APPS/legislation/main/bills/2169702", "הצעת חוק הבנקאות (שירות ללקוח) (תיקון - הגבלת עמלת ערבות בנקאית שמובטחת בפיקדון כספי מסוים), התשפ""ב-2022")</f>
        <v>15656</v>
      </c>
      <c r="E8141" t="s">
        <v>15656</v>
      </c>
      <c r="F8141" t="s">
        <v>15880</v>
      </c>
      <c r="G8141" t="s">
        <v>14</v>
      </c>
      <c r="H8141">
             </c>
      <c r="I8141" t="s">
        <v>14</v>
      </c>
      <c r="J8141" t="s">
        <v>141</v>
      </c>
      <c r="K8141" t="s">
        <v>14</v>
      </c>
      <c r="L8141" t="s">
        <v>20</v>
      </c>
      <c r="M8141" t="s">
        <v>15773</v>
      </c>
      <c r="N8141" t="s">
        <v>14</v>
      </c>
    </row>
    <row r="8142" x14ac:dyDescent="0.25">
      <c r="A8142" t="n">
        <v>24</v>
      </c>
      <c r="B8142" t="s">
        <v>14</v>
      </c>
      <c r="C8142" t="s">
        <v>22</v>
      </c>
      <c r="D8142" s="2" t="s">
        <f>=HYPERLINK("https://main.knesset.gov.il/APPS/legislation/main/bills/2190772", "הצעת חוק מימון מפלגות (תיקון - ייצוג לנשים ברשימת המועמדים), התשפ""ב-2022")</f>
        <v>14614</v>
      </c>
      <c r="E8142" t="s">
        <v>14614</v>
      </c>
      <c r="F8142" t="s">
        <v>15881</v>
      </c>
      <c r="G8142" t="s">
        <v>14</v>
      </c>
      <c r="H8142">
             </c>
      <c r="I8142" t="s">
        <v>14</v>
      </c>
      <c r="J8142" t="s">
        <v>141</v>
      </c>
      <c r="K8142" t="s">
        <v>14</v>
      </c>
      <c r="L8142" t="s">
        <v>20</v>
      </c>
      <c r="M8142" t="s">
        <v>15773</v>
      </c>
      <c r="N8142" t="s">
        <v>14</v>
      </c>
    </row>
    <row r="8143" x14ac:dyDescent="0.25">
      <c r="A8143" t="n">
        <v>24</v>
      </c>
      <c r="B8143" t="s">
        <v>14</v>
      </c>
      <c r="C8143" t="s">
        <v>22</v>
      </c>
      <c r="D8143" s="2" t="s">
        <f>=HYPERLINK("https://main.knesset.gov.il/APPS/legislation/main/bills/2190623", "הצעת חוק לניתוק זיקתם של חיקוקים ממצב החירום (שמירת דינים והוראות שעה), התשפ""ב-2022")</f>
        <v>15882</v>
      </c>
      <c r="E8143" t="s">
        <v>15882</v>
      </c>
      <c r="F8143" t="s">
        <v>15883</v>
      </c>
      <c r="G8143" t="s">
        <v>14</v>
      </c>
      <c r="H8143">
             </c>
      <c r="I8143" t="s">
        <v>14</v>
      </c>
      <c r="J8143" t="s">
        <v>141</v>
      </c>
      <c r="K8143" t="s">
        <v>14</v>
      </c>
      <c r="L8143" t="s">
        <v>20</v>
      </c>
      <c r="M8143" t="s">
        <v>15773</v>
      </c>
      <c r="N8143" t="s">
        <v>14</v>
      </c>
    </row>
    <row r="8144" x14ac:dyDescent="0.25">
      <c r="A8144" t="n">
        <v>24</v>
      </c>
      <c r="B8144" t="s">
        <v>14</v>
      </c>
      <c r="C8144" t="s">
        <v>22</v>
      </c>
      <c r="D8144" s="2" t="s">
        <f>=HYPERLINK("https://main.knesset.gov.il/APPS/legislation/main/bills/2190275", "הצעת חוק התקנת מצלמות לשם הגנה על פעוטות במעונות יום לפעוטות (תיקון - צפייה של ההורים בצילומים), התשפ""ב-2022")</f>
        <v>15884</v>
      </c>
      <c r="E8144" t="s">
        <v>15884</v>
      </c>
      <c r="F8144" t="s">
        <v>15885</v>
      </c>
      <c r="G8144" t="s">
        <v>14</v>
      </c>
      <c r="H8144">
             </c>
      <c r="I8144" t="s">
        <v>14</v>
      </c>
      <c r="J8144" t="s">
        <v>141</v>
      </c>
      <c r="K8144" t="s">
        <v>14</v>
      </c>
      <c r="L8144" t="s">
        <v>20</v>
      </c>
      <c r="M8144" t="s">
        <v>15773</v>
      </c>
      <c r="N8144" t="s">
        <v>14</v>
      </c>
    </row>
    <row r="8145" x14ac:dyDescent="0.25">
      <c r="A8145" t="n">
        <v>24</v>
      </c>
      <c r="B8145" t="s">
        <v>14</v>
      </c>
      <c r="C8145" t="s">
        <v>22</v>
      </c>
      <c r="D8145" s="2" t="s">
        <f>=HYPERLINK("https://main.knesset.gov.il/APPS/legislation/main/bills/2166166", "הצעת חוק-יסוד: הממשלה (תיקון - איסור חקירה פלילית נגד ראש הממשלה במהלך תקופת כהונתו)")</f>
        <v>10193</v>
      </c>
      <c r="E8145" t="s">
        <v>10193</v>
      </c>
      <c r="F8145" t="s">
        <v>15886</v>
      </c>
      <c r="G8145" t="s">
        <v>14</v>
      </c>
      <c r="H8145">
             </c>
      <c r="I8145" t="s">
        <v>14</v>
      </c>
      <c r="J8145" t="s">
        <v>141</v>
      </c>
      <c r="K8145" t="s">
        <v>14</v>
      </c>
      <c r="L8145" t="s">
        <v>20</v>
      </c>
      <c r="M8145" t="s">
        <v>15773</v>
      </c>
      <c r="N8145" t="s">
        <v>14</v>
      </c>
    </row>
    <row r="8146" x14ac:dyDescent="0.25">
      <c r="A8146" t="n">
        <v>24</v>
      </c>
      <c r="B8146" t="s">
        <v>14</v>
      </c>
      <c r="C8146" t="s">
        <v>22</v>
      </c>
      <c r="D8146" s="2" t="s">
        <f>=HYPERLINK("https://main.knesset.gov.il/APPS/legislation/main/bills/2169943", "הצעת חוק הסדרת העיסוק במקצועות הבריאות (תיקון - הסדרת העיסוק בפודולוגיה), התשפ""ב-2022")</f>
        <v>15887</v>
      </c>
      <c r="E8146" t="s">
        <v>15887</v>
      </c>
      <c r="F8146" t="s">
        <v>15888</v>
      </c>
      <c r="G8146" t="s">
        <v>14</v>
      </c>
      <c r="H8146">
             </c>
      <c r="I8146" t="s">
        <v>14</v>
      </c>
      <c r="J8146" t="s">
        <v>141</v>
      </c>
      <c r="K8146" t="s">
        <v>14</v>
      </c>
      <c r="L8146" t="s">
        <v>20</v>
      </c>
      <c r="M8146" t="s">
        <v>15773</v>
      </c>
      <c r="N8146" t="s">
        <v>14</v>
      </c>
    </row>
    <row r="8147" x14ac:dyDescent="0.25">
      <c r="A8147" t="n">
        <v>24</v>
      </c>
      <c r="B8147" t="s">
        <v>14</v>
      </c>
      <c r="C8147" t="s">
        <v>22</v>
      </c>
      <c r="D8147" s="2" t="s">
        <f>=HYPERLINK("https://main.knesset.gov.il/APPS/legislation/main/bills/2168393", "הצעת חוק להסדרת הפיקוח על כלבים (תיקון - אגרה סביבתית), התשפ""ב-2022")</f>
        <v>15889</v>
      </c>
      <c r="E8147" t="s">
        <v>15889</v>
      </c>
      <c r="F8147" t="s">
        <v>15890</v>
      </c>
      <c r="G8147" t="s">
        <v>14</v>
      </c>
      <c r="H8147">
             </c>
      <c r="I8147" t="s">
        <v>14</v>
      </c>
      <c r="J8147" t="s">
        <v>141</v>
      </c>
      <c r="K8147" t="s">
        <v>14</v>
      </c>
      <c r="L8147" t="s">
        <v>20</v>
      </c>
      <c r="M8147" t="s">
        <v>15773</v>
      </c>
      <c r="N8147" t="s">
        <v>14</v>
      </c>
    </row>
    <row r="8148" x14ac:dyDescent="0.25">
      <c r="A8148" t="n">
        <v>24</v>
      </c>
      <c r="B8148" t="s">
        <v>14</v>
      </c>
      <c r="C8148" t="s">
        <v>22</v>
      </c>
      <c r="D8148" s="2" t="s">
        <f>=HYPERLINK("https://main.knesset.gov.il/APPS/legislation/main/bills/2166976", "הצעת חוק הכניסה לישראל (תיקון - זמן שהייה לעובד סיעודי זר) (הוראת שעה), התשפ""ב-2022")</f>
        <v>15891</v>
      </c>
      <c r="E8148" t="s">
        <v>15891</v>
      </c>
      <c r="F8148" t="s">
        <v>15892</v>
      </c>
      <c r="G8148" t="s">
        <v>14</v>
      </c>
      <c r="H8148">
             </c>
      <c r="I8148" t="s">
        <v>14</v>
      </c>
      <c r="J8148" t="s">
        <v>141</v>
      </c>
      <c r="K8148" t="s">
        <v>14</v>
      </c>
      <c r="L8148" t="s">
        <v>20</v>
      </c>
      <c r="M8148" t="s">
        <v>15773</v>
      </c>
      <c r="N8148" t="s">
        <v>14</v>
      </c>
    </row>
    <row r="8149" x14ac:dyDescent="0.25">
      <c r="A8149" t="n">
        <v>24</v>
      </c>
      <c r="B8149" t="s">
        <v>14</v>
      </c>
      <c r="C8149" t="s">
        <v>22</v>
      </c>
      <c r="D8149" s="2" t="s">
        <f>=HYPERLINK("https://main.knesset.gov.il/APPS/legislation/main/bills/2165639", "הצעת חוק לתיקון פקודת סדרי הדין (התייצבות היועץ המשפטי לממשלה) (ייצוג המדינה), התשפ""ב-2022")</f>
        <v>15893</v>
      </c>
      <c r="E8149" t="s">
        <v>15893</v>
      </c>
      <c r="F8149" t="s">
        <v>15894</v>
      </c>
      <c r="G8149" t="s">
        <v>14</v>
      </c>
      <c r="H8149">
             </c>
      <c r="I8149" t="s">
        <v>14</v>
      </c>
      <c r="J8149" t="s">
        <v>141</v>
      </c>
      <c r="K8149" t="s">
        <v>14</v>
      </c>
      <c r="L8149" t="s">
        <v>20</v>
      </c>
      <c r="M8149" t="s">
        <v>15773</v>
      </c>
      <c r="N8149" t="s">
        <v>14</v>
      </c>
    </row>
    <row r="8150" x14ac:dyDescent="0.25">
      <c r="A8150" t="n">
        <v>24</v>
      </c>
      <c r="B8150" t="s">
        <v>14</v>
      </c>
      <c r="C8150" t="s">
        <v>22</v>
      </c>
      <c r="D8150" s="2" t="s">
        <f>=HYPERLINK("https://main.knesset.gov.il/APPS/legislation/main/bills/2189626", "הצעת חוק צער בעלי חיים (ניסויים בבעלי חיים) (תיקון - הגברת הפיקוח על ניסויים), התשפ""ב-2022")</f>
        <v>15895</v>
      </c>
      <c r="E8150" t="s">
        <v>15895</v>
      </c>
      <c r="F8150" t="s">
        <v>15896</v>
      </c>
      <c r="G8150" t="s">
        <v>14</v>
      </c>
      <c r="H8150">
             </c>
      <c r="I8150" t="s">
        <v>14</v>
      </c>
      <c r="J8150" t="s">
        <v>141</v>
      </c>
      <c r="K8150" t="s">
        <v>14</v>
      </c>
      <c r="L8150" t="s">
        <v>20</v>
      </c>
      <c r="M8150" t="s">
        <v>15773</v>
      </c>
      <c r="N8150" t="s">
        <v>14</v>
      </c>
    </row>
    <row r="8151" x14ac:dyDescent="0.25">
      <c r="A8151" t="n">
        <v>24</v>
      </c>
      <c r="B8151" t="s">
        <v>14</v>
      </c>
      <c r="C8151" t="s">
        <v>22</v>
      </c>
      <c r="D8151" s="2" t="s">
        <f>=HYPERLINK("https://main.knesset.gov.il/APPS/legislation/main/bills/2189569", "הצעת חוק-יסוד: ביטול מוסד הקלון (תיקוני חקיקה)")</f>
        <v>15897</v>
      </c>
      <c r="E8151" t="s">
        <v>15897</v>
      </c>
      <c r="F8151" t="s">
        <v>15898</v>
      </c>
      <c r="G8151" t="s">
        <v>14</v>
      </c>
      <c r="H8151">
             </c>
      <c r="I8151" t="s">
        <v>14</v>
      </c>
      <c r="J8151" t="s">
        <v>141</v>
      </c>
      <c r="K8151" t="s">
        <v>14</v>
      </c>
      <c r="L8151" t="s">
        <v>20</v>
      </c>
      <c r="M8151" t="s">
        <v>15773</v>
      </c>
      <c r="N8151" t="s">
        <v>14</v>
      </c>
    </row>
    <row r="8152" x14ac:dyDescent="0.25">
      <c r="A8152" t="n">
        <v>24</v>
      </c>
      <c r="B8152" t="s">
        <v>14</v>
      </c>
      <c r="C8152" t="s">
        <v>22</v>
      </c>
      <c r="D8152" s="2" t="s">
        <f>=HYPERLINK("https://main.knesset.gov.il/APPS/legislation/main/bills/2170066", "הצעת חוק להקמת אוניברסיטה במחזון הצפון, התשפ""ב-2022")</f>
        <v>15899</v>
      </c>
      <c r="E8152" t="s">
        <v>15899</v>
      </c>
      <c r="F8152" t="s">
        <v>15900</v>
      </c>
      <c r="G8152" t="s">
        <v>14</v>
      </c>
      <c r="H8152">
             </c>
      <c r="I8152" t="s">
        <v>14</v>
      </c>
      <c r="J8152" t="s">
        <v>141</v>
      </c>
      <c r="K8152" t="s">
        <v>14</v>
      </c>
      <c r="L8152" t="s">
        <v>20</v>
      </c>
      <c r="M8152" t="s">
        <v>15773</v>
      </c>
      <c r="N8152" t="s">
        <v>14</v>
      </c>
    </row>
    <row r="8153" x14ac:dyDescent="0.25">
      <c r="A8153" t="n">
        <v>24</v>
      </c>
      <c r="B8153" t="s">
        <v>14</v>
      </c>
      <c r="C8153" t="s">
        <v>22</v>
      </c>
      <c r="D8153" s="2" t="s">
        <f>=HYPERLINK("https://main.knesset.gov.il/APPS/legislation/main/bills/2170081", "הצעת חוק שיפוט בתי דין רבניים (נישואין וגירושין) (תיקון - מינוי נציגות ציבור), התשפ""ב-2022")</f>
        <v>15901</v>
      </c>
      <c r="E8153" t="s">
        <v>15901</v>
      </c>
      <c r="F8153" t="s">
        <v>15902</v>
      </c>
      <c r="G8153" t="s">
        <v>14</v>
      </c>
      <c r="H8153">
             </c>
      <c r="I8153" t="s">
        <v>14</v>
      </c>
      <c r="J8153" t="s">
        <v>141</v>
      </c>
      <c r="K8153" t="s">
        <v>14</v>
      </c>
      <c r="L8153" t="s">
        <v>20</v>
      </c>
      <c r="M8153" t="s">
        <v>15773</v>
      </c>
      <c r="N8153" t="s">
        <v>14</v>
      </c>
    </row>
    <row r="8154" x14ac:dyDescent="0.25">
      <c r="A8154" t="n">
        <v>24</v>
      </c>
      <c r="B8154" t="s">
        <v>14</v>
      </c>
      <c r="C8154" t="s">
        <v>22</v>
      </c>
      <c r="D8154" s="2" t="s">
        <f>=HYPERLINK("https://main.knesset.gov.il/APPS/legislation/main/bills/2168608", "הצעת חוק מיסוי מקרקעין (שבח ורכישה) (תיקון - מס שבח על מכירת דירה שנייה), התשפ""ב-2022")</f>
        <v>15903</v>
      </c>
      <c r="E8154" t="s">
        <v>15903</v>
      </c>
      <c r="F8154" t="s">
        <v>15904</v>
      </c>
      <c r="G8154" t="s">
        <v>14</v>
      </c>
      <c r="H8154">
             </c>
      <c r="I8154" t="s">
        <v>14</v>
      </c>
      <c r="J8154" t="s">
        <v>141</v>
      </c>
      <c r="K8154" t="s">
        <v>14</v>
      </c>
      <c r="L8154" t="s">
        <v>20</v>
      </c>
      <c r="M8154" t="s">
        <v>15773</v>
      </c>
      <c r="N8154" t="s">
        <v>14</v>
      </c>
    </row>
    <row r="8155" x14ac:dyDescent="0.25">
      <c r="A8155" t="n">
        <v>24</v>
      </c>
      <c r="B8155" t="s">
        <v>14</v>
      </c>
      <c r="C8155" t="s">
        <v>22</v>
      </c>
      <c r="D8155" s="2" t="s">
        <f>=HYPERLINK("https://main.knesset.gov.il/APPS/legislation/main/bills/2168492", "הצעת חוק קרן קיימת לישראל (תיקון - ביטול החוק), התשפ""ב-2022")</f>
        <v>15905</v>
      </c>
      <c r="E8155" t="s">
        <v>15905</v>
      </c>
      <c r="F8155" t="s">
        <v>15906</v>
      </c>
      <c r="G8155" t="s">
        <v>14</v>
      </c>
      <c r="H8155">
             </c>
      <c r="I8155" t="s">
        <v>14</v>
      </c>
      <c r="J8155" t="s">
        <v>141</v>
      </c>
      <c r="K8155" t="s">
        <v>14</v>
      </c>
      <c r="L8155" t="s">
        <v>20</v>
      </c>
      <c r="M8155" t="s">
        <v>15773</v>
      </c>
      <c r="N8155" t="s">
        <v>14</v>
      </c>
    </row>
    <row r="8156" x14ac:dyDescent="0.25">
      <c r="A8156" t="n">
        <v>24</v>
      </c>
      <c r="B8156" t="s">
        <v>14</v>
      </c>
      <c r="C8156" t="s">
        <v>22</v>
      </c>
      <c r="D8156" s="2" t="s">
        <f>=HYPERLINK("https://main.knesset.gov.il/APPS/legislation/main/bills/2170296", "הצעת חוק להגדלת שיעור ההשתתפות בכוח העבודה ולצמצום פערים חברתיים (מענק עבודה) (תיקון - אוטומציה בקבלת מענק העבודה), התשפ""ב-2022")</f>
        <v>15907</v>
      </c>
      <c r="E8156" t="s">
        <v>15907</v>
      </c>
      <c r="F8156" t="s">
        <v>15908</v>
      </c>
      <c r="G8156" t="s">
        <v>14</v>
      </c>
      <c r="H8156">
             </c>
      <c r="I8156" t="s">
        <v>14</v>
      </c>
      <c r="J8156" t="s">
        <v>141</v>
      </c>
      <c r="K8156" t="s">
        <v>14</v>
      </c>
      <c r="L8156" t="s">
        <v>20</v>
      </c>
      <c r="M8156" t="s">
        <v>15773</v>
      </c>
      <c r="N8156" t="s">
        <v>14</v>
      </c>
    </row>
    <row r="8157" x14ac:dyDescent="0.25">
      <c r="A8157" t="n">
        <v>24</v>
      </c>
      <c r="B8157" t="s">
        <v>14</v>
      </c>
      <c r="C8157" t="s">
        <v>22</v>
      </c>
      <c r="D8157" s="2" t="s">
        <f>=HYPERLINK("https://main.knesset.gov.il/APPS/legislation/main/bills/2190528", "הצעת חוק הרשות הלאומית למניעת התאבדויות, התשפ""ב-2022")</f>
        <v>15909</v>
      </c>
      <c r="E8157" t="s">
        <v>15909</v>
      </c>
      <c r="F8157" t="s">
        <v>15910</v>
      </c>
      <c r="G8157" t="s">
        <v>14</v>
      </c>
      <c r="H8157">
             </c>
      <c r="I8157" t="s">
        <v>14</v>
      </c>
      <c r="J8157" t="s">
        <v>141</v>
      </c>
      <c r="K8157" t="s">
        <v>14</v>
      </c>
      <c r="L8157" t="s">
        <v>20</v>
      </c>
      <c r="M8157" t="s">
        <v>15773</v>
      </c>
      <c r="N8157" t="s">
        <v>14</v>
      </c>
    </row>
    <row r="8158" x14ac:dyDescent="0.25">
      <c r="A8158" t="n">
        <v>24</v>
      </c>
      <c r="B8158" t="s">
        <v>14</v>
      </c>
      <c r="C8158" t="s">
        <v>22</v>
      </c>
      <c r="D8158" s="2" t="s">
        <f>=HYPERLINK("https://main.knesset.gov.il/APPS/legislation/main/bills/2190216", "הצעת חוק להגדלת שיעור ההשתתפות בכוח העבודה ולצמצום פערים חברתיים (מענק עבודה) (תיקון - פטור מהשבת מענקים להתמודדות עם השלכות נגיף הקורונה לעסקים במחזור קטן), התשפ""ב-2022")</f>
        <v>15911</v>
      </c>
      <c r="E8158" t="s">
        <v>15911</v>
      </c>
      <c r="F8158" t="s">
        <v>15912</v>
      </c>
      <c r="G8158" t="s">
        <v>14</v>
      </c>
      <c r="H8158">
             </c>
      <c r="I8158" t="s">
        <v>14</v>
      </c>
      <c r="J8158" t="s">
        <v>141</v>
      </c>
      <c r="K8158" t="s">
        <v>14</v>
      </c>
      <c r="L8158" t="s">
        <v>20</v>
      </c>
      <c r="M8158" t="s">
        <v>15773</v>
      </c>
      <c r="N8158" t="s">
        <v>14</v>
      </c>
    </row>
    <row r="8159" x14ac:dyDescent="0.25">
      <c r="A8159" t="n">
        <v>24</v>
      </c>
      <c r="B8159" t="s">
        <v>14</v>
      </c>
      <c r="C8159" t="s">
        <v>22</v>
      </c>
      <c r="D8159" s="2" t="s">
        <f>=HYPERLINK("https://main.knesset.gov.il/APPS/legislation/main/bills/2190252", "הצעת חוק להקמת קרן למוצרי מזון בריא, התשפ''ב-2022")</f>
        <v>15913</v>
      </c>
      <c r="E8159" t="s">
        <v>15913</v>
      </c>
      <c r="F8159" t="s">
        <v>15914</v>
      </c>
      <c r="G8159" t="s">
        <v>14</v>
      </c>
      <c r="H8159">
             </c>
      <c r="I8159" t="s">
        <v>14</v>
      </c>
      <c r="J8159" t="s">
        <v>141</v>
      </c>
      <c r="K8159" t="s">
        <v>14</v>
      </c>
      <c r="L8159" t="s">
        <v>20</v>
      </c>
      <c r="M8159" t="s">
        <v>15773</v>
      </c>
      <c r="N8159" t="s">
        <v>14</v>
      </c>
    </row>
    <row r="8160" x14ac:dyDescent="0.25">
      <c r="A8160" t="n">
        <v>24</v>
      </c>
      <c r="B8160" t="s">
        <v>14</v>
      </c>
      <c r="C8160" t="s">
        <v>22</v>
      </c>
      <c r="D8160" s="2" t="s">
        <f>=HYPERLINK("https://main.knesset.gov.il/APPS/legislation/main/bills/2190485", "הצעת חוק הביטוח הלאומי (תיקון - עדכון קצבת אזרח ותיק בהתאם לשכר המינימום), התשפ""ב-2022")</f>
        <v>15915</v>
      </c>
      <c r="E8160" t="s">
        <v>15915</v>
      </c>
      <c r="F8160" t="s">
        <v>15916</v>
      </c>
      <c r="G8160" t="s">
        <v>14</v>
      </c>
      <c r="H8160">
             </c>
      <c r="I8160" t="s">
        <v>14</v>
      </c>
      <c r="J8160" t="s">
        <v>141</v>
      </c>
      <c r="K8160" t="s">
        <v>14</v>
      </c>
      <c r="L8160" t="s">
        <v>20</v>
      </c>
      <c r="M8160" t="s">
        <v>15773</v>
      </c>
      <c r="N8160" t="s">
        <v>14</v>
      </c>
    </row>
    <row r="8161" x14ac:dyDescent="0.25">
      <c r="A8161" t="n">
        <v>24</v>
      </c>
      <c r="B8161" t="s">
        <v>14</v>
      </c>
      <c r="C8161" t="s">
        <v>22</v>
      </c>
      <c r="D8161" s="2" t="s">
        <f>=HYPERLINK("https://main.knesset.gov.il/APPS/legislation/main/bills/2190503", "הצעת חוק-יסוד: הממשלה (תיקון - אי-כשירות של נאשם להרכיב את הממשלה)")</f>
        <v>14201</v>
      </c>
      <c r="E8161" t="s">
        <v>14201</v>
      </c>
      <c r="F8161" t="s">
        <v>15917</v>
      </c>
      <c r="G8161" t="s">
        <v>14</v>
      </c>
      <c r="H8161">
             </c>
      <c r="I8161" t="s">
        <v>14</v>
      </c>
      <c r="J8161" t="s">
        <v>141</v>
      </c>
      <c r="K8161" t="s">
        <v>14</v>
      </c>
      <c r="L8161" t="s">
        <v>20</v>
      </c>
      <c r="M8161" t="s">
        <v>15773</v>
      </c>
      <c r="N8161" t="s">
        <v>14</v>
      </c>
    </row>
    <row r="8162" x14ac:dyDescent="0.25">
      <c r="A8162" t="n">
        <v>24</v>
      </c>
      <c r="B8162" t="s">
        <v>14</v>
      </c>
      <c r="C8162" t="s">
        <v>22</v>
      </c>
      <c r="D8162" s="2" t="s">
        <f>=HYPERLINK("https://main.knesset.gov.il/APPS/legislation/main/bills/2167621", "הצעת חוק תוכנית לימודים נוספת (תיקוני חקיקה), התשפ""ב-2022")</f>
        <v>15918</v>
      </c>
      <c r="E8162" t="s">
        <v>15918</v>
      </c>
      <c r="F8162" t="s">
        <v>15919</v>
      </c>
      <c r="G8162" t="s">
        <v>14</v>
      </c>
      <c r="H8162">
             </c>
      <c r="I8162" t="s">
        <v>14</v>
      </c>
      <c r="J8162" t="s">
        <v>141</v>
      </c>
      <c r="K8162" t="s">
        <v>14</v>
      </c>
      <c r="L8162" t="s">
        <v>20</v>
      </c>
      <c r="M8162" t="s">
        <v>15773</v>
      </c>
      <c r="N8162" t="s">
        <v>14</v>
      </c>
    </row>
    <row r="8163" x14ac:dyDescent="0.25">
      <c r="A8163" t="n">
        <v>24</v>
      </c>
      <c r="B8163" t="s">
        <v>14</v>
      </c>
      <c r="C8163" t="s">
        <v>22</v>
      </c>
      <c r="D8163" s="2" t="s">
        <f>=HYPERLINK("https://main.knesset.gov.il/APPS/legislation/main/bills/2190514", "הצעת חוק חובת תשלום בשוברים, התשפ""ב-2022")</f>
        <v>15920</v>
      </c>
      <c r="E8163" t="s">
        <v>15920</v>
      </c>
      <c r="F8163" t="s">
        <v>15921</v>
      </c>
      <c r="G8163" t="s">
        <v>14</v>
      </c>
      <c r="H8163">
             </c>
      <c r="I8163" t="s">
        <v>14</v>
      </c>
      <c r="J8163" t="s">
        <v>141</v>
      </c>
      <c r="K8163" t="s">
        <v>14</v>
      </c>
      <c r="L8163" t="s">
        <v>20</v>
      </c>
      <c r="M8163" t="s">
        <v>15773</v>
      </c>
      <c r="N8163" t="s">
        <v>14</v>
      </c>
    </row>
    <row r="8164" x14ac:dyDescent="0.25">
      <c r="A8164" t="n">
        <v>24</v>
      </c>
      <c r="B8164" t="s">
        <v>14</v>
      </c>
      <c r="C8164" t="s">
        <v>22</v>
      </c>
      <c r="D8164" s="2" t="s">
        <f>=HYPERLINK("https://main.knesset.gov.il/APPS/legislation/main/bills/2190765", "הצעת חוק הרשויות המקומיות (בחירות) (תיקון - העלאת אחוז החסימה), התשפ""ב-2022")</f>
        <v>15922</v>
      </c>
      <c r="E8164" t="s">
        <v>15922</v>
      </c>
      <c r="F8164" t="s">
        <v>15923</v>
      </c>
      <c r="G8164" t="s">
        <v>14</v>
      </c>
      <c r="H8164">
             </c>
      <c r="I8164" t="s">
        <v>14</v>
      </c>
      <c r="J8164" t="s">
        <v>141</v>
      </c>
      <c r="K8164" t="s">
        <v>14</v>
      </c>
      <c r="L8164" t="s">
        <v>20</v>
      </c>
      <c r="M8164" t="s">
        <v>15773</v>
      </c>
      <c r="N8164" t="s">
        <v>14</v>
      </c>
    </row>
    <row r="8165" x14ac:dyDescent="0.25">
      <c r="A8165" t="n">
        <v>24</v>
      </c>
      <c r="B8165" t="s">
        <v>14</v>
      </c>
      <c r="C8165" t="s">
        <v>22</v>
      </c>
      <c r="D8165" s="2" t="s">
        <f>=HYPERLINK("https://main.knesset.gov.il/APPS/legislation/main/bills/2190827", "הצעת חוק הבלו על דלק (תיקון - הגבלת שיעור המס על הדלק), התשפ""ב-2022")</f>
        <v>15085</v>
      </c>
      <c r="E8165" t="s">
        <v>15085</v>
      </c>
      <c r="F8165" t="s">
        <v>15924</v>
      </c>
      <c r="G8165" t="s">
        <v>14</v>
      </c>
      <c r="H8165">
             </c>
      <c r="I8165" t="s">
        <v>14</v>
      </c>
      <c r="J8165" t="s">
        <v>141</v>
      </c>
      <c r="K8165" t="s">
        <v>14</v>
      </c>
      <c r="L8165" t="s">
        <v>20</v>
      </c>
      <c r="M8165" t="s">
        <v>15773</v>
      </c>
      <c r="N8165" t="s">
        <v>14</v>
      </c>
    </row>
    <row r="8166" x14ac:dyDescent="0.25">
      <c r="A8166" t="n">
        <v>24</v>
      </c>
      <c r="B8166" t="s">
        <v>14</v>
      </c>
      <c r="C8166" t="s">
        <v>22</v>
      </c>
      <c r="D8166" s="2" t="s">
        <f>=HYPERLINK("https://main.knesset.gov.il/APPS/legislation/main/bills/2170059", "הצעת חוק להקמת טכניון בנגב, התשפ""ב-2022")</f>
        <v>15925</v>
      </c>
      <c r="E8166" t="s">
        <v>15925</v>
      </c>
      <c r="F8166" t="s">
        <v>15926</v>
      </c>
      <c r="G8166" t="s">
        <v>14</v>
      </c>
      <c r="H8166">
             </c>
      <c r="I8166" t="s">
        <v>14</v>
      </c>
      <c r="J8166" t="s">
        <v>141</v>
      </c>
      <c r="K8166" t="s">
        <v>14</v>
      </c>
      <c r="L8166" t="s">
        <v>20</v>
      </c>
      <c r="M8166" t="s">
        <v>15773</v>
      </c>
      <c r="N8166" t="s">
        <v>14</v>
      </c>
    </row>
    <row r="8167" x14ac:dyDescent="0.25">
      <c r="A8167" t="n">
        <v>24</v>
      </c>
      <c r="B8167" t="s">
        <v>14</v>
      </c>
      <c r="C8167" t="s">
        <v>22</v>
      </c>
      <c r="D8167" s="2" t="s">
        <f>=HYPERLINK("https://main.knesset.gov.il/APPS/legislation/main/bills/2169868", "הצעת חוק יום משפחות היתומים בישראל, התשפ""ב-2022")</f>
        <v>15927</v>
      </c>
      <c r="E8167" t="s">
        <v>15927</v>
      </c>
      <c r="F8167" t="s">
        <v>15928</v>
      </c>
      <c r="G8167" t="s">
        <v>14</v>
      </c>
      <c r="H8167">
             </c>
      <c r="I8167" t="s">
        <v>14</v>
      </c>
      <c r="J8167" t="s">
        <v>141</v>
      </c>
      <c r="K8167" t="s">
        <v>14</v>
      </c>
      <c r="L8167" t="s">
        <v>20</v>
      </c>
      <c r="M8167" t="s">
        <v>15773</v>
      </c>
      <c r="N8167" t="s">
        <v>14</v>
      </c>
    </row>
    <row r="8168" x14ac:dyDescent="0.25">
      <c r="A8168" t="n">
        <v>24</v>
      </c>
      <c r="B8168" t="s">
        <v>14</v>
      </c>
      <c r="C8168" t="s">
        <v>22</v>
      </c>
      <c r="D8168" s="2" t="s">
        <f>=HYPERLINK("https://main.knesset.gov.il/APPS/legislation/main/bills/2169668", "הצעת חוק תגמול לנושאי משרה בתאגידים פיננסיים (אישור מיוחד ואי-התרת הוצאה לצורכי מס בשל תגמול חריג) (תיקון - הרחבת התחולה על ספקים וקמעונאים גדולים), התשפ""ב-2022")</f>
        <v>15929</v>
      </c>
      <c r="E8168" t="s">
        <v>15929</v>
      </c>
      <c r="F8168" t="s">
        <v>15930</v>
      </c>
      <c r="G8168" t="s">
        <v>14</v>
      </c>
      <c r="H8168">
             </c>
      <c r="I8168" t="s">
        <v>14</v>
      </c>
      <c r="J8168" t="s">
        <v>141</v>
      </c>
      <c r="K8168" t="s">
        <v>14</v>
      </c>
      <c r="L8168" t="s">
        <v>20</v>
      </c>
      <c r="M8168" t="s">
        <v>15773</v>
      </c>
      <c r="N8168" t="s">
        <v>14</v>
      </c>
    </row>
    <row r="8169" x14ac:dyDescent="0.25">
      <c r="A8169" t="n">
        <v>24</v>
      </c>
      <c r="B8169" t="s">
        <v>14</v>
      </c>
      <c r="C8169" t="s">
        <v>22</v>
      </c>
      <c r="D8169" s="2" t="s">
        <f>=HYPERLINK("https://main.knesset.gov.il/APPS/legislation/main/bills/2166417", "הצעת חוק לטיפול סביבתי בציוד חשמלי ואלקטרוני ובסוללות (תיקון - חובת מיחזור פסולת רכב חשמלי ורכב היברידי), התשפ""ב-2022")</f>
        <v>15931</v>
      </c>
      <c r="E8169" t="s">
        <v>15931</v>
      </c>
      <c r="F8169" t="s">
        <v>15932</v>
      </c>
      <c r="G8169" t="s">
        <v>14</v>
      </c>
      <c r="H8169">
             </c>
      <c r="I8169" t="s">
        <v>14</v>
      </c>
      <c r="J8169" t="s">
        <v>141</v>
      </c>
      <c r="K8169" t="s">
        <v>14</v>
      </c>
      <c r="L8169" t="s">
        <v>20</v>
      </c>
      <c r="M8169" t="s">
        <v>15773</v>
      </c>
      <c r="N8169" t="s">
        <v>14</v>
      </c>
    </row>
    <row r="8170" x14ac:dyDescent="0.25">
      <c r="A8170" t="n">
        <v>24</v>
      </c>
      <c r="B8170" t="s">
        <v>14</v>
      </c>
      <c r="C8170" t="s">
        <v>22</v>
      </c>
      <c r="D8170" s="2" t="s">
        <f>=HYPERLINK("https://main.knesset.gov.il/APPS/legislation/main/bills/2165267", "הצעת חוק עמותות חוץ, התשפ""ב-2022")</f>
        <v>15933</v>
      </c>
      <c r="E8170" t="s">
        <v>15933</v>
      </c>
      <c r="F8170" t="s">
        <v>15934</v>
      </c>
      <c r="G8170" t="s">
        <v>14</v>
      </c>
      <c r="H8170">
             </c>
      <c r="I8170" t="s">
        <v>14</v>
      </c>
      <c r="J8170" t="s">
        <v>141</v>
      </c>
      <c r="K8170" t="s">
        <v>14</v>
      </c>
      <c r="L8170" t="s">
        <v>20</v>
      </c>
      <c r="M8170" t="s">
        <v>15773</v>
      </c>
      <c r="N8170" t="s">
        <v>14</v>
      </c>
    </row>
    <row r="8171" x14ac:dyDescent="0.25">
      <c r="A8171" t="n">
        <v>24</v>
      </c>
      <c r="B8171" t="s">
        <v>14</v>
      </c>
      <c r="C8171" t="s">
        <v>22</v>
      </c>
      <c r="D8171" s="2" t="s">
        <f>=HYPERLINK("https://main.knesset.gov.il/APPS/legislation/main/bills/2168636", "הצעת חוק משפחות חיילים שנספו במערכה (תיקון - יתומי צה""ל), התשפ""ב-2022")</f>
        <v>15493</v>
      </c>
      <c r="E8171" t="s">
        <v>15493</v>
      </c>
      <c r="F8171" t="s">
        <v>15935</v>
      </c>
      <c r="G8171" t="s">
        <v>14</v>
      </c>
      <c r="H8171">
             </c>
      <c r="I8171" t="s">
        <v>14</v>
      </c>
      <c r="J8171" t="s">
        <v>141</v>
      </c>
      <c r="K8171" t="s">
        <v>14</v>
      </c>
      <c r="L8171" t="s">
        <v>20</v>
      </c>
      <c r="M8171" t="s">
        <v>15773</v>
      </c>
      <c r="N8171" t="s">
        <v>14</v>
      </c>
    </row>
    <row r="8172" x14ac:dyDescent="0.25">
      <c r="A8172" t="n">
        <v>24</v>
      </c>
      <c r="B8172" t="s">
        <v>14</v>
      </c>
      <c r="C8172" t="s">
        <v>22</v>
      </c>
      <c r="D8172" s="2" t="s">
        <f>=HYPERLINK("https://main.knesset.gov.il/APPS/legislation/main/bills/2169472", "הצעת חוק-יסוד: כבוד האדם וחירותו (תיקון - פגיעה בזכויות)")</f>
        <v>12952</v>
      </c>
      <c r="E8172" t="s">
        <v>12952</v>
      </c>
      <c r="F8172" t="s">
        <v>15936</v>
      </c>
      <c r="G8172" t="s">
        <v>14</v>
      </c>
      <c r="H8172">
             </c>
      <c r="I8172" t="s">
        <v>14</v>
      </c>
      <c r="J8172" t="s">
        <v>141</v>
      </c>
      <c r="K8172" t="s">
        <v>14</v>
      </c>
      <c r="L8172" t="s">
        <v>20</v>
      </c>
      <c r="M8172" t="s">
        <v>15773</v>
      </c>
      <c r="N8172" t="s">
        <v>14</v>
      </c>
    </row>
    <row r="8173" x14ac:dyDescent="0.25">
      <c r="A8173" t="n">
        <v>24</v>
      </c>
      <c r="B8173" t="s">
        <v>14</v>
      </c>
      <c r="C8173" t="s">
        <v>22</v>
      </c>
      <c r="D8173" s="2" t="s">
        <f>=HYPERLINK("https://main.knesset.gov.il/APPS/legislation/main/bills/2190597", "הצעת חוק שירות המדינה (מינויים) (תיקון - מינוי יועץ משפטי וחשב למשרד ממשלתי), התשפ""ב-2022")</f>
        <v>15937</v>
      </c>
      <c r="E8173" t="s">
        <v>15937</v>
      </c>
      <c r="F8173" t="s">
        <v>15938</v>
      </c>
      <c r="G8173" t="s">
        <v>14</v>
      </c>
      <c r="H8173">
             </c>
      <c r="I8173" t="s">
        <v>14</v>
      </c>
      <c r="J8173" t="s">
        <v>141</v>
      </c>
      <c r="K8173" t="s">
        <v>14</v>
      </c>
      <c r="L8173" t="s">
        <v>20</v>
      </c>
      <c r="M8173" t="s">
        <v>15773</v>
      </c>
      <c r="N8173" t="s">
        <v>14</v>
      </c>
    </row>
    <row r="8174" x14ac:dyDescent="0.25">
      <c r="A8174" t="n">
        <v>24</v>
      </c>
      <c r="B8174" t="s">
        <v>14</v>
      </c>
      <c r="C8174" t="s">
        <v>22</v>
      </c>
      <c r="D8174" s="2" t="s">
        <f>=HYPERLINK("https://main.knesset.gov.il/APPS/legislation/main/bills/2162952", "הצעת חוק התכנון והבנייה (תיקון - מכירה ישירה של תוצרת חקלאית), התשפ""ב-2022")</f>
        <v>15939</v>
      </c>
      <c r="E8174" t="s">
        <v>15939</v>
      </c>
      <c r="F8174" t="s">
        <v>15940</v>
      </c>
      <c r="G8174" t="s">
        <v>14</v>
      </c>
      <c r="H8174">
             </c>
      <c r="I8174" t="s">
        <v>14</v>
      </c>
      <c r="J8174" t="s">
        <v>141</v>
      </c>
      <c r="K8174" t="s">
        <v>14</v>
      </c>
      <c r="L8174" t="s">
        <v>20</v>
      </c>
      <c r="M8174" t="s">
        <v>15773</v>
      </c>
      <c r="N8174" t="s">
        <v>14</v>
      </c>
    </row>
    <row r="8175" x14ac:dyDescent="0.25">
      <c r="A8175" t="n">
        <v>24</v>
      </c>
      <c r="B8175" t="s">
        <v>14</v>
      </c>
      <c r="C8175" t="s">
        <v>22</v>
      </c>
      <c r="D8175" s="2" t="s">
        <f>=HYPERLINK("https://main.knesset.gov.il/APPS/legislation/main/bills/2165637", "הצעת חוק שעות עבודה ומנוחה (תיקון - סוף שבוע ארוך), התשפ""ב-2022")</f>
        <v>15941</v>
      </c>
      <c r="E8175" t="s">
        <v>15941</v>
      </c>
      <c r="F8175" t="s">
        <v>15942</v>
      </c>
      <c r="G8175" t="s">
        <v>14</v>
      </c>
      <c r="H8175">
             </c>
      <c r="I8175" t="s">
        <v>14</v>
      </c>
      <c r="J8175" t="s">
        <v>141</v>
      </c>
      <c r="K8175" t="s">
        <v>14</v>
      </c>
      <c r="L8175" t="s">
        <v>20</v>
      </c>
      <c r="M8175" t="s">
        <v>15773</v>
      </c>
      <c r="N8175" t="s">
        <v>14</v>
      </c>
    </row>
    <row r="8176" x14ac:dyDescent="0.25">
      <c r="A8176" t="n">
        <v>24</v>
      </c>
      <c r="B8176" t="s">
        <v>14</v>
      </c>
      <c r="C8176" t="s">
        <v>22</v>
      </c>
      <c r="D8176" s="2" t="s">
        <f>=HYPERLINK("https://main.knesset.gov.il/APPS/legislation/main/bills/2166157", "הצעת חוק-יסוד: השפיטה (תיקון - בחירת נשיא בית המשפט העליון בידי הכנסת)")</f>
        <v>4363</v>
      </c>
      <c r="E8176" t="s">
        <v>4363</v>
      </c>
      <c r="F8176" t="s">
        <v>15943</v>
      </c>
      <c r="G8176" t="s">
        <v>14</v>
      </c>
      <c r="H8176">
             </c>
      <c r="I8176" t="s">
        <v>14</v>
      </c>
      <c r="J8176" t="s">
        <v>141</v>
      </c>
      <c r="K8176" t="s">
        <v>14</v>
      </c>
      <c r="L8176" t="s">
        <v>20</v>
      </c>
      <c r="M8176" t="s">
        <v>15773</v>
      </c>
      <c r="N8176" t="s">
        <v>14</v>
      </c>
    </row>
    <row r="8177" x14ac:dyDescent="0.25">
      <c r="A8177" t="n">
        <v>24</v>
      </c>
      <c r="B8177" t="s">
        <v>14</v>
      </c>
      <c r="C8177" t="s">
        <v>22</v>
      </c>
      <c r="D8177" s="2" t="s">
        <f>=HYPERLINK("https://main.knesset.gov.il/APPS/legislation/main/bills/2164498", "הצעת חוק רישוי סוכני אונייה, התשפ""ב-2022 ")</f>
        <v>15944</v>
      </c>
      <c r="E8177" t="s">
        <v>15944</v>
      </c>
      <c r="F8177" t="s">
        <v>15945</v>
      </c>
      <c r="G8177" t="s">
        <v>14</v>
      </c>
      <c r="H8177">
             </c>
      <c r="I8177" t="s">
        <v>14</v>
      </c>
      <c r="J8177" t="s">
        <v>141</v>
      </c>
      <c r="K8177" t="s">
        <v>14</v>
      </c>
      <c r="L8177" t="s">
        <v>20</v>
      </c>
      <c r="M8177" t="s">
        <v>15773</v>
      </c>
      <c r="N8177" t="s">
        <v>14</v>
      </c>
    </row>
    <row r="8178" x14ac:dyDescent="0.25">
      <c r="A8178" t="n">
        <v>24</v>
      </c>
      <c r="B8178" t="s">
        <v>14</v>
      </c>
      <c r="C8178" t="s">
        <v>22</v>
      </c>
      <c r="D8178" s="2" t="s">
        <f>=HYPERLINK("https://main.knesset.gov.il/APPS/legislation/main/bills/2165443", "הצעת חוק לתיקון פקודת מס הכנסה (הטבות במס ליישוב מאוים באזור), התשפ""ב-2022")</f>
        <v>15946</v>
      </c>
      <c r="E8178" t="s">
        <v>15946</v>
      </c>
      <c r="F8178" t="s">
        <v>15947</v>
      </c>
      <c r="G8178" t="s">
        <v>14</v>
      </c>
      <c r="H8178">
             </c>
      <c r="I8178" t="s">
        <v>14</v>
      </c>
      <c r="J8178" t="s">
        <v>141</v>
      </c>
      <c r="K8178" t="s">
        <v>14</v>
      </c>
      <c r="L8178" t="s">
        <v>20</v>
      </c>
      <c r="M8178" t="s">
        <v>15773</v>
      </c>
      <c r="N8178" t="s">
        <v>14</v>
      </c>
    </row>
    <row r="8179" x14ac:dyDescent="0.25">
      <c r="A8179" t="n">
        <v>24</v>
      </c>
      <c r="B8179" t="s">
        <v>14</v>
      </c>
      <c r="C8179" t="s">
        <v>22</v>
      </c>
      <c r="D8179" s="2" t="s">
        <f>=HYPERLINK("https://main.knesset.gov.il/APPS/legislation/main/bills/2167609", "הצעת חוק הביטוח הלאומי (תיקון - שמירה חקלאית כעבודה מועדפת), התשפ""ב-2022")</f>
        <v>15948</v>
      </c>
      <c r="E8179" t="s">
        <v>15948</v>
      </c>
      <c r="F8179" t="s">
        <v>15949</v>
      </c>
      <c r="G8179" t="s">
        <v>14</v>
      </c>
      <c r="H8179">
             </c>
      <c r="I8179" t="s">
        <v>14</v>
      </c>
      <c r="J8179" t="s">
        <v>141</v>
      </c>
      <c r="K8179" t="s">
        <v>14</v>
      </c>
      <c r="L8179" t="s">
        <v>20</v>
      </c>
      <c r="M8179" t="s">
        <v>15773</v>
      </c>
      <c r="N8179" t="s">
        <v>14</v>
      </c>
    </row>
    <row r="8180" x14ac:dyDescent="0.25">
      <c r="A8180" t="n">
        <v>24</v>
      </c>
      <c r="B8180" t="s">
        <v>14</v>
      </c>
      <c r="C8180" t="s">
        <v>22</v>
      </c>
      <c r="D8180" s="2" t="s">
        <f>=HYPERLINK("https://main.knesset.gov.il/APPS/legislation/main/bills/2167279", "הצעת חוק להגנת חיית הבר (תיקון - סחר, החזקה והעברה של חיות בר), התשפ""ב-2022")</f>
        <v>15950</v>
      </c>
      <c r="E8180" t="s">
        <v>15950</v>
      </c>
      <c r="F8180" t="s">
        <v>15951</v>
      </c>
      <c r="G8180" t="s">
        <v>14</v>
      </c>
      <c r="H8180">
             </c>
      <c r="I8180" t="s">
        <v>14</v>
      </c>
      <c r="J8180" t="s">
        <v>141</v>
      </c>
      <c r="K8180" t="s">
        <v>14</v>
      </c>
      <c r="L8180" t="s">
        <v>20</v>
      </c>
      <c r="M8180" t="s">
        <v>15773</v>
      </c>
      <c r="N8180" t="s">
        <v>14</v>
      </c>
    </row>
    <row r="8181" x14ac:dyDescent="0.25">
      <c r="A8181" t="n">
        <v>24</v>
      </c>
      <c r="B8181" t="s">
        <v>14</v>
      </c>
      <c r="C8181" t="s">
        <v>22</v>
      </c>
      <c r="D8181" s="2" t="s">
        <f>=HYPERLINK("https://main.knesset.gov.il/APPS/legislation/main/bills/2165737", "הצעת חוק התכנון והבנייה (תיקון - התקנת מנגנון שבת למשאבות מים), התשפ""ב-2022")</f>
        <v>15952</v>
      </c>
      <c r="E8181" t="s">
        <v>15952</v>
      </c>
      <c r="F8181" t="s">
        <v>15953</v>
      </c>
      <c r="G8181" t="s">
        <v>14</v>
      </c>
      <c r="H8181">
             </c>
      <c r="I8181" t="s">
        <v>14</v>
      </c>
      <c r="J8181" t="s">
        <v>141</v>
      </c>
      <c r="K8181" t="s">
        <v>14</v>
      </c>
      <c r="L8181" t="s">
        <v>20</v>
      </c>
      <c r="M8181" t="s">
        <v>15773</v>
      </c>
      <c r="N8181" t="s">
        <v>14</v>
      </c>
    </row>
    <row r="8182" x14ac:dyDescent="0.25">
      <c r="A8182" t="n">
        <v>24</v>
      </c>
      <c r="B8182" t="s">
        <v>14</v>
      </c>
      <c r="C8182" t="s">
        <v>22</v>
      </c>
      <c r="D8182" s="2" t="s">
        <f>=HYPERLINK("https://main.knesset.gov.il/APPS/legislation/main/bills/2190696", "הצעת חוק משכן הכנסת, רחבתו ומשמר הכנסת (תיקון - איסור העסקה קבלנית), התשפ""ב-2022")</f>
        <v>15954</v>
      </c>
      <c r="E8182" t="s">
        <v>15954</v>
      </c>
      <c r="F8182" t="s">
        <v>15955</v>
      </c>
      <c r="G8182" t="s">
        <v>14</v>
      </c>
      <c r="H8182">
             </c>
      <c r="I8182" t="s">
        <v>14</v>
      </c>
      <c r="J8182" t="s">
        <v>141</v>
      </c>
      <c r="K8182" t="s">
        <v>14</v>
      </c>
      <c r="L8182" t="s">
        <v>20</v>
      </c>
      <c r="M8182" t="s">
        <v>15773</v>
      </c>
      <c r="N8182" t="s">
        <v>14</v>
      </c>
    </row>
    <row r="8183" x14ac:dyDescent="0.25">
      <c r="A8183" t="n">
        <v>24</v>
      </c>
      <c r="B8183" t="s">
        <v>14</v>
      </c>
      <c r="C8183" t="s">
        <v>22</v>
      </c>
      <c r="D8183" s="2" t="s">
        <f>=HYPERLINK("https://main.knesset.gov.il/APPS/legislation/main/bills/2190706", "הצעת חוק שוויון ההזדמנויות בעבודה (תיקון - איסור הפליה מחמת מצב כלכלי), התשפ""ב-2022")</f>
        <v>15083</v>
      </c>
      <c r="E8183" t="s">
        <v>15083</v>
      </c>
      <c r="F8183" t="s">
        <v>15956</v>
      </c>
      <c r="G8183" t="s">
        <v>14</v>
      </c>
      <c r="H8183">
             </c>
      <c r="I8183" t="s">
        <v>14</v>
      </c>
      <c r="J8183" t="s">
        <v>141</v>
      </c>
      <c r="K8183" t="s">
        <v>14</v>
      </c>
      <c r="L8183" t="s">
        <v>20</v>
      </c>
      <c r="M8183" t="s">
        <v>15773</v>
      </c>
      <c r="N8183" t="s">
        <v>14</v>
      </c>
    </row>
    <row r="8184" x14ac:dyDescent="0.25">
      <c r="A8184" t="n">
        <v>24</v>
      </c>
      <c r="B8184" t="s">
        <v>14</v>
      </c>
      <c r="C8184" t="s">
        <v>22</v>
      </c>
      <c r="D8184" s="2" t="s">
        <f>=HYPERLINK("https://main.knesset.gov.il/APPS/legislation/main/bills/2190340", "הצעת חוק הגנת הצרכן (תיקון - חובת הצגת מחיר מומלץ של ירקות), התשפ""ב-2022")</f>
        <v>15957</v>
      </c>
      <c r="E8184" t="s">
        <v>15957</v>
      </c>
      <c r="F8184" t="s">
        <v>15958</v>
      </c>
      <c r="G8184" t="s">
        <v>14</v>
      </c>
      <c r="H8184">
             </c>
      <c r="I8184" t="s">
        <v>14</v>
      </c>
      <c r="J8184" t="s">
        <v>141</v>
      </c>
      <c r="K8184" t="s">
        <v>14</v>
      </c>
      <c r="L8184" t="s">
        <v>20</v>
      </c>
      <c r="M8184" t="s">
        <v>15773</v>
      </c>
      <c r="N8184" t="s">
        <v>14</v>
      </c>
    </row>
    <row r="8185" x14ac:dyDescent="0.25">
      <c r="A8185" t="n">
        <v>24</v>
      </c>
      <c r="B8185" t="s">
        <v>14</v>
      </c>
      <c r="C8185" t="s">
        <v>22</v>
      </c>
      <c r="D8185" s="2" t="s">
        <f>=HYPERLINK("https://main.knesset.gov.il/APPS/legislation/main/bills/2165713", "הצעת חוק שימוש חוזר במים אפורים, התשפ""ב-2022")</f>
        <v>15959</v>
      </c>
      <c r="E8185" t="s">
        <v>15959</v>
      </c>
      <c r="F8185" t="s">
        <v>15960</v>
      </c>
      <c r="G8185" t="s">
        <v>14</v>
      </c>
      <c r="H8185">
             </c>
      <c r="I8185" t="s">
        <v>14</v>
      </c>
      <c r="J8185" t="s">
        <v>141</v>
      </c>
      <c r="K8185" t="s">
        <v>14</v>
      </c>
      <c r="L8185" t="s">
        <v>20</v>
      </c>
      <c r="M8185" t="s">
        <v>15773</v>
      </c>
      <c r="N8185" t="s">
        <v>14</v>
      </c>
    </row>
    <row r="8186" x14ac:dyDescent="0.25">
      <c r="A8186" t="n">
        <v>24</v>
      </c>
      <c r="B8186" t="s">
        <v>14</v>
      </c>
      <c r="C8186" t="s">
        <v>22</v>
      </c>
      <c r="D8186" s="2" t="s">
        <f>=HYPERLINK("https://main.knesset.gov.il/APPS/legislation/main/bills/2164446", "הצעת חוק לתיקון פקודת הדיג (איסור דיג מכמורת), התשפ""ב-2022")</f>
        <v>15961</v>
      </c>
      <c r="E8186" t="s">
        <v>15961</v>
      </c>
      <c r="F8186" t="s">
        <v>15962</v>
      </c>
      <c r="G8186" t="s">
        <v>14</v>
      </c>
      <c r="H8186">
             </c>
      <c r="I8186" t="s">
        <v>14</v>
      </c>
      <c r="J8186" t="s">
        <v>141</v>
      </c>
      <c r="K8186" t="s">
        <v>14</v>
      </c>
      <c r="L8186" t="s">
        <v>20</v>
      </c>
      <c r="M8186" t="s">
        <v>15773</v>
      </c>
      <c r="N8186" t="s">
        <v>14</v>
      </c>
    </row>
    <row r="8187" x14ac:dyDescent="0.25">
      <c r="A8187" t="n">
        <v>24</v>
      </c>
      <c r="B8187" t="s">
        <v>14</v>
      </c>
      <c r="C8187" t="s">
        <v>22</v>
      </c>
      <c r="D8187" s="2" t="s">
        <f>=HYPERLINK("https://main.knesset.gov.il/APPS/legislation/main/bills/2190698", "הצעת חוק לתיקון פקודת בריאות העם (החרגת מכשירי דימות תהודה מגנטית הפועלים בשדה מגנטי נמוך מ-0.5 טסלה), התשפ""ב-2022")</f>
        <v>15963</v>
      </c>
      <c r="E8187" t="s">
        <v>15963</v>
      </c>
      <c r="F8187" t="s">
        <v>15964</v>
      </c>
      <c r="G8187" t="s">
        <v>14</v>
      </c>
      <c r="H8187">
             </c>
      <c r="I8187" t="s">
        <v>14</v>
      </c>
      <c r="J8187" t="s">
        <v>141</v>
      </c>
      <c r="K8187" t="s">
        <v>14</v>
      </c>
      <c r="L8187" t="s">
        <v>20</v>
      </c>
      <c r="M8187" t="s">
        <v>15773</v>
      </c>
      <c r="N8187" t="s">
        <v>14</v>
      </c>
    </row>
    <row r="8188" x14ac:dyDescent="0.25">
      <c r="A8188" t="n">
        <v>24</v>
      </c>
      <c r="B8188" t="s">
        <v>14</v>
      </c>
      <c r="C8188" t="s">
        <v>22</v>
      </c>
      <c r="D8188" s="2" t="s">
        <f>=HYPERLINK("https://main.knesset.gov.il/APPS/legislation/main/bills/2190704", "הצעת חוק הגנת הצרכן (תיקון - סימון תוצרת חקלאית שאינה ארוזה מראש), התשפ""ב-2022")</f>
        <v>15965</v>
      </c>
      <c r="E8188" t="s">
        <v>15965</v>
      </c>
      <c r="F8188" t="s">
        <v>15966</v>
      </c>
      <c r="G8188" t="s">
        <v>14</v>
      </c>
      <c r="H8188">
             </c>
      <c r="I8188" t="s">
        <v>14</v>
      </c>
      <c r="J8188" t="s">
        <v>141</v>
      </c>
      <c r="K8188" t="s">
        <v>14</v>
      </c>
      <c r="L8188" t="s">
        <v>20</v>
      </c>
      <c r="M8188" t="s">
        <v>15773</v>
      </c>
      <c r="N8188" t="s">
        <v>14</v>
      </c>
    </row>
    <row r="8189" x14ac:dyDescent="0.25">
      <c r="A8189" t="n">
        <v>24</v>
      </c>
      <c r="B8189" t="s">
        <v>14</v>
      </c>
      <c r="C8189" t="s">
        <v>22</v>
      </c>
      <c r="D8189" s="2" t="s">
        <f>=HYPERLINK("https://main.knesset.gov.il/APPS/legislation/main/bills/2190780", "הצעת חוק הביטוח הלאומי (תיקון - גמלת סיעוד למבוטח הנמצא במוסד סיעודי), התשפ""ב-2022")</f>
        <v>15967</v>
      </c>
      <c r="E8189" t="s">
        <v>15967</v>
      </c>
      <c r="F8189" t="s">
        <v>15968</v>
      </c>
      <c r="G8189" t="s">
        <v>14</v>
      </c>
      <c r="H8189">
             </c>
      <c r="I8189" t="s">
        <v>14</v>
      </c>
      <c r="J8189" t="s">
        <v>141</v>
      </c>
      <c r="K8189" t="s">
        <v>14</v>
      </c>
      <c r="L8189" t="s">
        <v>20</v>
      </c>
      <c r="M8189" t="s">
        <v>15773</v>
      </c>
      <c r="N8189" t="s">
        <v>14</v>
      </c>
    </row>
    <row r="8190" x14ac:dyDescent="0.25">
      <c r="A8190" t="n">
        <v>24</v>
      </c>
      <c r="B8190" t="s">
        <v>14</v>
      </c>
      <c r="C8190" t="s">
        <v>22</v>
      </c>
      <c r="D8190" s="2" t="s">
        <f>=HYPERLINK("https://main.knesset.gov.il/APPS/legislation/main/bills/2190022", "הצעת חוק מתאם ממשלתי לזכויות ילדים ונוער, התשפ""ב-2022")</f>
        <v>15969</v>
      </c>
      <c r="E8190" t="s">
        <v>15969</v>
      </c>
      <c r="F8190" t="s">
        <v>15970</v>
      </c>
      <c r="G8190" t="s">
        <v>14</v>
      </c>
      <c r="H8190">
             </c>
      <c r="I8190" t="s">
        <v>14</v>
      </c>
      <c r="J8190" t="s">
        <v>141</v>
      </c>
      <c r="K8190" t="s">
        <v>14</v>
      </c>
      <c r="L8190" t="s">
        <v>20</v>
      </c>
      <c r="M8190" t="s">
        <v>15773</v>
      </c>
      <c r="N8190" t="s">
        <v>14</v>
      </c>
    </row>
    <row r="8191" x14ac:dyDescent="0.25">
      <c r="A8191" t="n">
        <v>24</v>
      </c>
      <c r="B8191" t="s">
        <v>14</v>
      </c>
      <c r="C8191" t="s">
        <v>22</v>
      </c>
      <c r="D8191" s="2" t="s">
        <f>=HYPERLINK("https://main.knesset.gov.il/APPS/legislation/main/bills/2167893", "הצעת חוק עבודת נשים (תיקון - הסדרי עבודה גמישים להורה עצמאי), התשפ""ב-2022")</f>
        <v>15971</v>
      </c>
      <c r="E8191" t="s">
        <v>15971</v>
      </c>
      <c r="F8191" t="s">
        <v>15972</v>
      </c>
      <c r="G8191" t="s">
        <v>14</v>
      </c>
      <c r="H8191">
             </c>
      <c r="I8191" t="s">
        <v>14</v>
      </c>
      <c r="J8191" t="s">
        <v>141</v>
      </c>
      <c r="K8191" t="s">
        <v>14</v>
      </c>
      <c r="L8191" t="s">
        <v>20</v>
      </c>
      <c r="M8191" t="s">
        <v>15773</v>
      </c>
      <c r="N8191" t="s">
        <v>14</v>
      </c>
    </row>
    <row r="8192" x14ac:dyDescent="0.25">
      <c r="A8192" t="n">
        <v>24</v>
      </c>
      <c r="B8192" t="s">
        <v>14</v>
      </c>
      <c r="C8192" t="s">
        <v>22</v>
      </c>
      <c r="D8192" s="2" t="s">
        <f>=HYPERLINK("https://main.knesset.gov.il/APPS/legislation/main/bills/2189872", "הצעת חוק לתיקון פקודת בתי הסוהר (שלילת זכויות יתר מאסיר ביטחוני המשתייך לארגון טרור), התשפ""ב-2022")</f>
        <v>15973</v>
      </c>
      <c r="E8192" t="s">
        <v>15973</v>
      </c>
      <c r="F8192" t="s">
        <v>15974</v>
      </c>
      <c r="G8192" t="s">
        <v>14</v>
      </c>
      <c r="H8192">
             </c>
      <c r="I8192" t="s">
        <v>14</v>
      </c>
      <c r="J8192" t="s">
        <v>141</v>
      </c>
      <c r="K8192" t="s">
        <v>14</v>
      </c>
      <c r="L8192" t="s">
        <v>20</v>
      </c>
      <c r="M8192" t="s">
        <v>15773</v>
      </c>
      <c r="N8192" t="s">
        <v>14</v>
      </c>
    </row>
    <row r="8193" x14ac:dyDescent="0.25">
      <c r="A8193" t="n">
        <v>24</v>
      </c>
      <c r="B8193" t="s">
        <v>14</v>
      </c>
      <c r="C8193" t="s">
        <v>22</v>
      </c>
      <c r="D8193" s="2" t="s">
        <f>=HYPERLINK("https://main.knesset.gov.il/APPS/legislation/main/bills/2189863", "הצעת חוק הביטוח הלאומי (תיקון - תגמול למשרתים במילואים), התשפ""ב-2022")</f>
        <v>15652</v>
      </c>
      <c r="E8193" t="s">
        <v>15652</v>
      </c>
      <c r="F8193" t="s">
        <v>15975</v>
      </c>
      <c r="G8193" t="s">
        <v>14</v>
      </c>
      <c r="H8193">
             </c>
      <c r="I8193" t="s">
        <v>14</v>
      </c>
      <c r="J8193" t="s">
        <v>141</v>
      </c>
      <c r="K8193" t="s">
        <v>14</v>
      </c>
      <c r="L8193" t="s">
        <v>20</v>
      </c>
      <c r="M8193" t="s">
        <v>15773</v>
      </c>
      <c r="N8193" t="s">
        <v>14</v>
      </c>
    </row>
    <row r="8194" x14ac:dyDescent="0.25">
      <c r="A8194" t="n">
        <v>24</v>
      </c>
      <c r="B8194" t="s">
        <v>14</v>
      </c>
      <c r="C8194" t="s">
        <v>22</v>
      </c>
      <c r="D8194" s="2" t="s">
        <f>=HYPERLINK("https://main.knesset.gov.il/APPS/legislation/main/bills/2167551", "הצעת חוק חילופי מידע בין גופי הביטחון, המודיעין והאכיפה לבין קורבנות טרור, התשפ""ב-2022 ")</f>
        <v>15976</v>
      </c>
      <c r="E8194" t="s">
        <v>15976</v>
      </c>
      <c r="F8194" t="s">
        <v>15977</v>
      </c>
      <c r="G8194" t="s">
        <v>14</v>
      </c>
      <c r="H8194">
             </c>
      <c r="I8194" t="s">
        <v>14</v>
      </c>
      <c r="J8194" t="s">
        <v>141</v>
      </c>
      <c r="K8194" t="s">
        <v>14</v>
      </c>
      <c r="L8194" t="s">
        <v>20</v>
      </c>
      <c r="M8194" t="s">
        <v>15773</v>
      </c>
      <c r="N8194" t="s">
        <v>14</v>
      </c>
    </row>
    <row r="8195" x14ac:dyDescent="0.25">
      <c r="A8195" t="n">
        <v>24</v>
      </c>
      <c r="B8195" t="s">
        <v>14</v>
      </c>
      <c r="C8195" t="s">
        <v>22</v>
      </c>
      <c r="D8195" s="2" t="s">
        <f>=HYPERLINK("https://main.knesset.gov.il/APPS/legislation/main/bills/2166886", "הצעת חוק חינוך ממלכתי (תיקון - חינוך ממלכתי חרדי), התשפ""ב-2022")</f>
        <v>15978</v>
      </c>
      <c r="E8195" t="s">
        <v>15978</v>
      </c>
      <c r="F8195" t="s">
        <v>15979</v>
      </c>
      <c r="G8195" t="s">
        <v>14</v>
      </c>
      <c r="H8195">
             </c>
      <c r="I8195" t="s">
        <v>14</v>
      </c>
      <c r="J8195" t="s">
        <v>141</v>
      </c>
      <c r="K8195" t="s">
        <v>14</v>
      </c>
      <c r="L8195" t="s">
        <v>20</v>
      </c>
      <c r="M8195" t="s">
        <v>15773</v>
      </c>
      <c r="N8195" t="s">
        <v>14</v>
      </c>
    </row>
    <row r="8196" x14ac:dyDescent="0.25">
      <c r="A8196" t="n">
        <v>24</v>
      </c>
      <c r="B8196" t="s">
        <v>14</v>
      </c>
      <c r="C8196" t="s">
        <v>22</v>
      </c>
      <c r="D8196" s="2" t="s">
        <f>=HYPERLINK("https://main.knesset.gov.il/APPS/legislation/main/bills/2189989", "הצעת חוק משפחות חיילים שנספו במערכה (תגמולים ושיקום) (תיקון - תוספת לשכול מבוגר), התשפ""ב-2022")</f>
        <v>14745</v>
      </c>
      <c r="E8196" t="s">
        <v>14745</v>
      </c>
      <c r="F8196" t="s">
        <v>15980</v>
      </c>
      <c r="G8196" t="s">
        <v>14</v>
      </c>
      <c r="H8196">
             </c>
      <c r="I8196" t="s">
        <v>14</v>
      </c>
      <c r="J8196" t="s">
        <v>141</v>
      </c>
      <c r="K8196" t="s">
        <v>14</v>
      </c>
      <c r="L8196" t="s">
        <v>20</v>
      </c>
      <c r="M8196" t="s">
        <v>15773</v>
      </c>
      <c r="N8196" t="s">
        <v>14</v>
      </c>
    </row>
    <row r="8197" x14ac:dyDescent="0.25">
      <c r="A8197" t="n">
        <v>24</v>
      </c>
      <c r="B8197" t="s">
        <v>14</v>
      </c>
      <c r="C8197" t="s">
        <v>22</v>
      </c>
      <c r="D8197" s="2" t="s">
        <f>=HYPERLINK("https://main.knesset.gov.il/APPS/legislation/main/bills/2190692", "הצעת חוק אישור לפתיחת חקירת שוטרים המעורבים באירוע לאומני, התשפ""ב-2022")</f>
        <v>15981</v>
      </c>
      <c r="E8197" t="s">
        <v>15981</v>
      </c>
      <c r="F8197" t="s">
        <v>15982</v>
      </c>
      <c r="G8197" t="s">
        <v>14</v>
      </c>
      <c r="H8197">
             </c>
      <c r="I8197" t="s">
        <v>14</v>
      </c>
      <c r="J8197" t="s">
        <v>141</v>
      </c>
      <c r="K8197" t="s">
        <v>14</v>
      </c>
      <c r="L8197" t="s">
        <v>20</v>
      </c>
      <c r="M8197" t="s">
        <v>15773</v>
      </c>
      <c r="N8197" t="s">
        <v>14</v>
      </c>
    </row>
    <row r="8198" x14ac:dyDescent="0.25">
      <c r="A8198" t="n">
        <v>24</v>
      </c>
      <c r="B8198" t="s">
        <v>14</v>
      </c>
      <c r="C8198" t="s">
        <v>22</v>
      </c>
      <c r="D8198" s="2" t="s">
        <f>=HYPERLINK("https://main.knesset.gov.il/APPS/legislation/main/bills/2158713", "הצעת חוק שידורי טלוויזיה (כתוביות ושפת סימנים) (תיקון - חובת ליווי בכתוביות תכנית ותשדיר פרסומת), התשפ""ב-2021")</f>
        <v>15983</v>
      </c>
      <c r="E8198" t="s">
        <v>15983</v>
      </c>
      <c r="F8198" t="s">
        <v>15984</v>
      </c>
      <c r="G8198" t="s">
        <v>14</v>
      </c>
      <c r="H8198">
             </c>
      <c r="I8198" t="s">
        <v>14</v>
      </c>
      <c r="J8198" t="s">
        <v>31</v>
      </c>
      <c r="K8198" t="s">
        <v>127</v>
      </c>
      <c r="L8198" t="s">
        <v>20</v>
      </c>
      <c r="M8198" t="s">
        <v>15773</v>
      </c>
      <c r="N8198" t="s">
        <v>14</v>
      </c>
    </row>
    <row r="8199" x14ac:dyDescent="0.25">
      <c r="A8199" t="n">
        <v>24</v>
      </c>
      <c r="B8199" t="s">
        <v>14</v>
      </c>
      <c r="C8199" t="s">
        <v>22</v>
      </c>
      <c r="D8199" s="2" t="s">
        <f>=HYPERLINK("https://main.knesset.gov.il/APPS/legislation/main/bills/2156861", "הצעת חוק מוקד חירום רפואי טלפוני, התשפ""ב–2022")</f>
        <v>15985</v>
      </c>
      <c r="E8199" t="s">
        <v>15985</v>
      </c>
      <c r="F8199" t="s">
        <v>15986</v>
      </c>
      <c r="G8199" t="s">
        <v>15987</v>
      </c>
      <c r="H8199">
             </c>
      <c r="I8199" t="s">
        <v>26</v>
      </c>
      <c r="J8199" t="s">
        <v>69</v>
      </c>
      <c r="K8199" t="s">
        <v>480</v>
      </c>
      <c r="L8199" t="s">
        <v>20</v>
      </c>
      <c r="M8199" t="s">
        <v>15773</v>
      </c>
      <c r="N8199" t="s">
        <v>14</v>
      </c>
    </row>
    <row r="8200" x14ac:dyDescent="0.25">
      <c r="A8200" t="n">
        <v>24</v>
      </c>
      <c r="B8200" t="s">
        <v>14</v>
      </c>
      <c r="C8200" t="s">
        <v>15</v>
      </c>
      <c r="D8200" s="2" t="s">
        <f>=HYPERLINK("https://main.knesset.gov.il/APPS/legislation/main/bills/2190892", "הצעת חוק המקרקעין (תיקון מס' 35) (התקנת עמדת טעינה לרכב חשמלי בבית משותף ודייני מקרקעין), התשפ""ב-2022 ")</f>
        <v>15988</v>
      </c>
      <c r="E8200" t="s">
        <v>15988</v>
      </c>
      <c r="F8200" t="s">
        <v>14</v>
      </c>
      <c r="G8200" t="s">
        <v>15989</v>
      </c>
      <c r="H8200">
             </c>
      <c r="I8200" t="s">
        <v>14</v>
      </c>
      <c r="J8200" t="s">
        <v>69</v>
      </c>
      <c r="K8200" t="s">
        <v>14</v>
      </c>
      <c r="L8200" t="s">
        <v>20</v>
      </c>
      <c r="M8200" t="s">
        <v>15773</v>
      </c>
      <c r="N8200" t="s">
        <v>14</v>
      </c>
    </row>
    <row r="8201" x14ac:dyDescent="0.25">
      <c r="A8201" t="n">
        <v>24</v>
      </c>
      <c r="B8201" t="s">
        <v>14</v>
      </c>
      <c r="C8201" t="s">
        <v>15</v>
      </c>
      <c r="D8201" s="2" t="s">
        <f>=HYPERLINK("https://main.knesset.gov.il/APPS/legislation/main/bills/2162006", "חוק הדואר (תיקון מס' 13), התשפ""ב–2022")</f>
        <v>15990</v>
      </c>
      <c r="E8201" t="s">
        <v>15990</v>
      </c>
      <c r="F8201" t="s">
        <v>14</v>
      </c>
      <c r="G8201" t="s">
        <v>15991</v>
      </c>
      <c r="H8201" t="n">
        <v>2969</v>
      </c>
      <c r="I8201" t="s">
        <v>14</v>
      </c>
      <c r="J8201" t="s">
        <v>91</v>
      </c>
      <c r="K8201" t="s">
        <v>19</v>
      </c>
      <c r="L8201" t="s">
        <v>20</v>
      </c>
      <c r="M8201" t="s">
        <v>15992</v>
      </c>
      <c r="N8201" t="s">
        <v>15993</v>
      </c>
    </row>
    <row r="8202" x14ac:dyDescent="0.25">
      <c r="A8202" t="n">
        <v>24</v>
      </c>
      <c r="B8202" t="s">
        <v>14</v>
      </c>
      <c r="C8202" t="s">
        <v>15</v>
      </c>
      <c r="D8202" s="2" t="s">
        <f>=HYPERLINK("https://main.knesset.gov.il/APPS/legislation/main/bills/2161538", "חוק לתיקון פקודת התעבורה (מס' 130), התשפ""ב–2022")</f>
        <v>15994</v>
      </c>
      <c r="E8202" t="s">
        <v>15994</v>
      </c>
      <c r="F8202" t="s">
        <v>14</v>
      </c>
      <c r="G8202" t="s">
        <v>15995</v>
      </c>
      <c r="H8202" t="n">
        <v>2967</v>
      </c>
      <c r="I8202" t="s">
        <v>14</v>
      </c>
      <c r="J8202" t="s">
        <v>91</v>
      </c>
      <c r="K8202" t="s">
        <v>19</v>
      </c>
      <c r="L8202" t="s">
        <v>20</v>
      </c>
      <c r="M8202" t="s">
        <v>15992</v>
      </c>
      <c r="N8202" t="s">
        <v>15996</v>
      </c>
    </row>
    <row r="8203" x14ac:dyDescent="0.25">
      <c r="A8203" t="n">
        <v>24</v>
      </c>
      <c r="B8203" t="s">
        <v>14</v>
      </c>
      <c r="C8203" t="s">
        <v>22</v>
      </c>
      <c r="D8203" s="2" t="s">
        <f>=HYPERLINK("https://main.knesset.gov.il/APPS/legislation/main/bills/2163460", "חוק עבודת נשים (תיקון מס' 63), התשפ""ב–2022")</f>
        <v>15997</v>
      </c>
      <c r="E8203" t="s">
        <v>15997</v>
      </c>
      <c r="F8203" t="s">
        <v>15998</v>
      </c>
      <c r="G8203" t="s">
        <v>15481</v>
      </c>
      <c r="H8203" t="n">
        <v>2963</v>
      </c>
      <c r="I8203" t="s">
        <v>14</v>
      </c>
      <c r="J8203" t="s">
        <v>91</v>
      </c>
      <c r="K8203" t="s">
        <v>127</v>
      </c>
      <c r="L8203" t="s">
        <v>20</v>
      </c>
      <c r="M8203" t="s">
        <v>15992</v>
      </c>
      <c r="N8203" t="s">
        <v>15999</v>
      </c>
    </row>
    <row r="8204" x14ac:dyDescent="0.25">
      <c r="A8204" t="n">
        <v>24</v>
      </c>
      <c r="B8204" t="s">
        <v>14</v>
      </c>
      <c r="C8204" t="s">
        <v>15</v>
      </c>
      <c r="D8204" s="2" t="s">
        <f>=HYPERLINK("https://main.knesset.gov.il/APPS/legislation/main/bills/2167776", "חוק הביטוח הלאומי (תיקון מס' 229) (נגיף הקורונה החדש – הוראת שעה), התשפ""ב-2022 ")</f>
        <v>16000</v>
      </c>
      <c r="E8204" t="s">
        <v>16000</v>
      </c>
      <c r="F8204" t="s">
        <v>14</v>
      </c>
      <c r="G8204" t="s">
        <v>16001</v>
      </c>
      <c r="H8204" t="n">
        <v>2962</v>
      </c>
      <c r="I8204" t="s">
        <v>14</v>
      </c>
      <c r="J8204" t="s">
        <v>91</v>
      </c>
      <c r="K8204" t="s">
        <v>127</v>
      </c>
      <c r="L8204" t="s">
        <v>20</v>
      </c>
      <c r="M8204" t="s">
        <v>16002</v>
      </c>
      <c r="N8204" t="s">
        <v>16003</v>
      </c>
    </row>
    <row r="8205" x14ac:dyDescent="0.25">
      <c r="A8205" t="n">
        <v>24</v>
      </c>
      <c r="B8205" t="s">
        <v>14</v>
      </c>
      <c r="C8205" t="s">
        <v>15</v>
      </c>
      <c r="D8205" s="2" t="s">
        <f>=HYPERLINK("https://main.knesset.gov.il/APPS/legislation/main/bills/2190793", "הצעת חוק מערך הגיור, התשפ""ב-2022 ")</f>
        <v>16004</v>
      </c>
      <c r="E8205" t="s">
        <v>16004</v>
      </c>
      <c r="F8205" t="s">
        <v>14</v>
      </c>
      <c r="G8205" t="s">
        <v>16005</v>
      </c>
      <c r="H8205">
             </c>
      <c r="I8205" t="s">
        <v>14</v>
      </c>
      <c r="J8205" t="s">
        <v>1141</v>
      </c>
      <c r="K8205" t="s">
        <v>14</v>
      </c>
      <c r="L8205" t="s">
        <v>20</v>
      </c>
      <c r="M8205" t="s">
        <v>16002</v>
      </c>
      <c r="N8205" t="s">
        <v>14</v>
      </c>
    </row>
    <row r="8206" x14ac:dyDescent="0.25">
      <c r="A8206" t="n">
        <v>24</v>
      </c>
      <c r="B8206" t="s">
        <v>14</v>
      </c>
      <c r="C8206" t="s">
        <v>22</v>
      </c>
      <c r="D8206" s="2" t="s">
        <f>=HYPERLINK("https://main.knesset.gov.il/APPS/legislation/main/bills/2167826", "הצעת חוק האזרחות והכניסה לישראל (הוראת שעה), התשפ""ב-2022")</f>
        <v>16006</v>
      </c>
      <c r="E8206" t="s">
        <v>16006</v>
      </c>
      <c r="F8206" t="s">
        <v>16007</v>
      </c>
      <c r="G8206" t="s">
        <v>14</v>
      </c>
      <c r="H8206">
             </c>
      <c r="I8206" t="s">
        <v>14</v>
      </c>
      <c r="J8206" t="s">
        <v>99</v>
      </c>
      <c r="K8206" t="s">
        <v>114</v>
      </c>
      <c r="L8206" t="s">
        <v>20</v>
      </c>
      <c r="M8206" t="s">
        <v>16002</v>
      </c>
      <c r="N8206" t="s">
        <v>14</v>
      </c>
    </row>
    <row r="8207" x14ac:dyDescent="0.25">
      <c r="A8207" t="n">
        <v>24</v>
      </c>
      <c r="B8207" t="s">
        <v>14</v>
      </c>
      <c r="C8207" t="s">
        <v>22</v>
      </c>
      <c r="D8207" s="2" t="s">
        <f>=HYPERLINK("https://main.knesset.gov.il/APPS/legislation/main/bills/2162396", "הצעת חוק האזרחות והכניסה לישראל (הוראת שעה), התשפ""ב-2021")</f>
        <v>16008</v>
      </c>
      <c r="E8207" t="s">
        <v>16008</v>
      </c>
      <c r="F8207" t="s">
        <v>16009</v>
      </c>
      <c r="G8207" t="s">
        <v>14</v>
      </c>
      <c r="H8207">
             </c>
      <c r="I8207" t="s">
        <v>14</v>
      </c>
      <c r="J8207" t="s">
        <v>99</v>
      </c>
      <c r="K8207" t="s">
        <v>114</v>
      </c>
      <c r="L8207" t="s">
        <v>20</v>
      </c>
      <c r="M8207" t="s">
        <v>16002</v>
      </c>
      <c r="N8207" t="s">
        <v>14</v>
      </c>
    </row>
    <row r="8208" x14ac:dyDescent="0.25">
      <c r="A8208" t="n">
        <v>24</v>
      </c>
      <c r="B8208" t="s">
        <v>14</v>
      </c>
      <c r="C8208" t="s">
        <v>22</v>
      </c>
      <c r="D8208" s="2" t="s">
        <f>=HYPERLINK("https://main.knesset.gov.il/APPS/legislation/main/bills/2160030", "הצעת חוק האזרחות והכניסה לישראל (הוראת שעה), התשפ""א-2021")</f>
        <v>16010</v>
      </c>
      <c r="E8208" t="s">
        <v>16010</v>
      </c>
      <c r="F8208" t="s">
        <v>16011</v>
      </c>
      <c r="G8208" t="s">
        <v>14</v>
      </c>
      <c r="H8208">
             </c>
      <c r="I8208" t="s">
        <v>14</v>
      </c>
      <c r="J8208" t="s">
        <v>99</v>
      </c>
      <c r="K8208" t="s">
        <v>114</v>
      </c>
      <c r="L8208" t="s">
        <v>20</v>
      </c>
      <c r="M8208" t="s">
        <v>16002</v>
      </c>
      <c r="N8208" t="s">
        <v>14</v>
      </c>
    </row>
    <row r="8209" x14ac:dyDescent="0.25">
      <c r="A8209" t="n">
        <v>24</v>
      </c>
      <c r="B8209" t="s">
        <v>14</v>
      </c>
      <c r="C8209" t="s">
        <v>22</v>
      </c>
      <c r="D8209" s="2" t="s">
        <f>=HYPERLINK("https://main.knesset.gov.il/APPS/legislation/main/bills/2167130", "הצעת חוק לאיחוד מוקדי החירום הרפואיים הטלפוניים, התשפ""ב-2021")</f>
        <v>16012</v>
      </c>
      <c r="E8209" t="s">
        <v>16012</v>
      </c>
      <c r="F8209" t="s">
        <v>16013</v>
      </c>
      <c r="G8209" t="s">
        <v>14</v>
      </c>
      <c r="H8209">
             </c>
      <c r="I8209" t="s">
        <v>14</v>
      </c>
      <c r="J8209" t="s">
        <v>99</v>
      </c>
      <c r="K8209" t="s">
        <v>480</v>
      </c>
      <c r="L8209" t="s">
        <v>20</v>
      </c>
      <c r="M8209" t="s">
        <v>16002</v>
      </c>
      <c r="N8209" t="s">
        <v>14</v>
      </c>
    </row>
    <row r="8210" x14ac:dyDescent="0.25">
      <c r="A8210" t="n">
        <v>24</v>
      </c>
      <c r="B8210" t="s">
        <v>14</v>
      </c>
      <c r="C8210" t="s">
        <v>22</v>
      </c>
      <c r="D8210" s="2" t="s">
        <f>=HYPERLINK("https://main.knesset.gov.il/APPS/legislation/main/bills/2163155", "הצעת חוק ייצוג גופים ציבוריים שעניינם בשמירת איכות הסביבה (תיקוני חקיקה), התשפ""ב-2022")</f>
        <v>16014</v>
      </c>
      <c r="E8210" t="s">
        <v>16014</v>
      </c>
      <c r="F8210" t="s">
        <v>16015</v>
      </c>
      <c r="G8210" t="s">
        <v>14</v>
      </c>
      <c r="H8210">
             </c>
      <c r="I8210" t="s">
        <v>14</v>
      </c>
      <c r="J8210" t="s">
        <v>141</v>
      </c>
      <c r="K8210" t="s">
        <v>14</v>
      </c>
      <c r="L8210" t="s">
        <v>20</v>
      </c>
      <c r="M8210" t="s">
        <v>16002</v>
      </c>
      <c r="N8210" t="s">
        <v>14</v>
      </c>
    </row>
    <row r="8211" x14ac:dyDescent="0.25">
      <c r="A8211" t="n">
        <v>24</v>
      </c>
      <c r="B8211" t="s">
        <v>14</v>
      </c>
      <c r="C8211" t="s">
        <v>22</v>
      </c>
      <c r="D8211" s="2" t="s">
        <f>=HYPERLINK("https://main.knesset.gov.il/APPS/legislation/main/bills/2189586", "הצעת חוק ביטוח בריאות ממלכתי (תיקון - סבסוד מחוללי חמצן ניידים), התשפ""ב-2022")</f>
        <v>16016</v>
      </c>
      <c r="E8211" t="s">
        <v>16016</v>
      </c>
      <c r="F8211" t="s">
        <v>16017</v>
      </c>
      <c r="G8211" t="s">
        <v>14</v>
      </c>
      <c r="H8211">
             </c>
      <c r="I8211" t="s">
        <v>14</v>
      </c>
      <c r="J8211" t="s">
        <v>141</v>
      </c>
      <c r="K8211" t="s">
        <v>14</v>
      </c>
      <c r="L8211" t="s">
        <v>20</v>
      </c>
      <c r="M8211" t="s">
        <v>16002</v>
      </c>
      <c r="N8211" t="s">
        <v>14</v>
      </c>
    </row>
    <row r="8212" x14ac:dyDescent="0.25">
      <c r="A8212" t="n">
        <v>24</v>
      </c>
      <c r="B8212" t="s">
        <v>14</v>
      </c>
      <c r="C8212" t="s">
        <v>22</v>
      </c>
      <c r="D8212" s="2" t="s">
        <f>=HYPERLINK("https://main.knesset.gov.il/APPS/legislation/main/bills/2190011", "הצעת חוק יישוב סכסוכי עבודה (תיקון - ריכוז מידע על שביתות והשבתות), התשפ""ב-2022")</f>
        <v>16018</v>
      </c>
      <c r="E8212" t="s">
        <v>16018</v>
      </c>
      <c r="F8212" t="s">
        <v>16019</v>
      </c>
      <c r="G8212" t="s">
        <v>14</v>
      </c>
      <c r="H8212">
             </c>
      <c r="I8212" t="s">
        <v>14</v>
      </c>
      <c r="J8212" t="s">
        <v>141</v>
      </c>
      <c r="K8212" t="s">
        <v>14</v>
      </c>
      <c r="L8212" t="s">
        <v>20</v>
      </c>
      <c r="M8212" t="s">
        <v>16002</v>
      </c>
      <c r="N8212" t="s">
        <v>14</v>
      </c>
    </row>
    <row r="8213" x14ac:dyDescent="0.25">
      <c r="A8213" t="n">
        <v>24</v>
      </c>
      <c r="B8213" t="s">
        <v>14</v>
      </c>
      <c r="C8213" t="s">
        <v>22</v>
      </c>
      <c r="D8213" s="2" t="s">
        <f>=HYPERLINK("https://main.knesset.gov.il/APPS/legislation/main/bills/2190101", "הצעת חוק הסדרת העיסוק בייצוג דוגמנים, התשפ""ב-2022")</f>
        <v>16020</v>
      </c>
      <c r="E8213" t="s">
        <v>16020</v>
      </c>
      <c r="F8213" t="s">
        <v>16021</v>
      </c>
      <c r="G8213" t="s">
        <v>14</v>
      </c>
      <c r="H8213">
             </c>
      <c r="I8213" t="s">
        <v>14</v>
      </c>
      <c r="J8213" t="s">
        <v>141</v>
      </c>
      <c r="K8213" t="s">
        <v>14</v>
      </c>
      <c r="L8213" t="s">
        <v>20</v>
      </c>
      <c r="M8213" t="s">
        <v>16002</v>
      </c>
      <c r="N8213" t="s">
        <v>14</v>
      </c>
    </row>
    <row r="8214" x14ac:dyDescent="0.25">
      <c r="A8214" t="n">
        <v>24</v>
      </c>
      <c r="B8214" t="s">
        <v>14</v>
      </c>
      <c r="C8214" t="s">
        <v>22</v>
      </c>
      <c r="D8214" s="2" t="s">
        <f>=HYPERLINK("https://main.knesset.gov.il/APPS/legislation/main/bills/2168542", "הצעת חוק זכויות נפגעי עבירה (תיקון - הרחבת זכות העיון לנפגעי עבירות מין), התשפ""ב-2022")</f>
        <v>16022</v>
      </c>
      <c r="E8214" t="s">
        <v>16022</v>
      </c>
      <c r="F8214" t="s">
        <v>16023</v>
      </c>
      <c r="G8214" t="s">
        <v>14</v>
      </c>
      <c r="H8214">
             </c>
      <c r="I8214" t="s">
        <v>14</v>
      </c>
      <c r="J8214" t="s">
        <v>141</v>
      </c>
      <c r="K8214" t="s">
        <v>14</v>
      </c>
      <c r="L8214" t="s">
        <v>20</v>
      </c>
      <c r="M8214" t="s">
        <v>16002</v>
      </c>
      <c r="N8214" t="s">
        <v>14</v>
      </c>
    </row>
    <row r="8215" x14ac:dyDescent="0.25">
      <c r="A8215" t="n">
        <v>24</v>
      </c>
      <c r="B8215" t="s">
        <v>14</v>
      </c>
      <c r="C8215" t="s">
        <v>22</v>
      </c>
      <c r="D8215" s="2" t="s">
        <f>=HYPERLINK("https://main.knesset.gov.il/APPS/legislation/main/bills/2170006", "הצעת חוק הנגשת שירותי קבלת קהל הניתנים בגופי שלטון לשפות נוספות, התשפ""ב-2022")</f>
        <v>16024</v>
      </c>
      <c r="E8215" t="s">
        <v>16024</v>
      </c>
      <c r="F8215" t="s">
        <v>16025</v>
      </c>
      <c r="G8215" t="s">
        <v>14</v>
      </c>
      <c r="H8215">
             </c>
      <c r="I8215" t="s">
        <v>14</v>
      </c>
      <c r="J8215" t="s">
        <v>141</v>
      </c>
      <c r="K8215" t="s">
        <v>14</v>
      </c>
      <c r="L8215" t="s">
        <v>20</v>
      </c>
      <c r="M8215" t="s">
        <v>16002</v>
      </c>
      <c r="N8215" t="s">
        <v>14</v>
      </c>
    </row>
    <row r="8216" x14ac:dyDescent="0.25">
      <c r="A8216" t="n">
        <v>24</v>
      </c>
      <c r="B8216" t="s">
        <v>14</v>
      </c>
      <c r="C8216" t="s">
        <v>22</v>
      </c>
      <c r="D8216" s="2" t="s">
        <f>=HYPERLINK("https://main.knesset.gov.il/APPS/legislation/main/bills/2169225", "הצעת חוק הנכים (תגמולים ושיקום) (תיקון - סיוע לבן משפחה של נכה הסובל מהלם קרב), התשפ""ב-2022")</f>
        <v>16026</v>
      </c>
      <c r="E8216" t="s">
        <v>16026</v>
      </c>
      <c r="F8216" t="s">
        <v>16027</v>
      </c>
      <c r="G8216" t="s">
        <v>14</v>
      </c>
      <c r="H8216">
             </c>
      <c r="I8216" t="s">
        <v>14</v>
      </c>
      <c r="J8216" t="s">
        <v>141</v>
      </c>
      <c r="K8216" t="s">
        <v>14</v>
      </c>
      <c r="L8216" t="s">
        <v>20</v>
      </c>
      <c r="M8216" t="s">
        <v>16002</v>
      </c>
      <c r="N8216" t="s">
        <v>14</v>
      </c>
    </row>
    <row r="8217" x14ac:dyDescent="0.25">
      <c r="A8217" t="n">
        <v>24</v>
      </c>
      <c r="B8217" t="s">
        <v>14</v>
      </c>
      <c r="C8217" t="s">
        <v>22</v>
      </c>
      <c r="D8217" s="2" t="s">
        <f>=HYPERLINK("https://main.knesset.gov.il/APPS/legislation/main/bills/2190707", "הצעת חוק הרבנות הראשית לישראל (תיקון - ייצוג הציבור באסיפה הבוחרת), התשפ""ב-2022")</f>
        <v>14660</v>
      </c>
      <c r="E8217" t="s">
        <v>14660</v>
      </c>
      <c r="F8217" t="s">
        <v>16028</v>
      </c>
      <c r="G8217" t="s">
        <v>14</v>
      </c>
      <c r="H8217">
             </c>
      <c r="I8217" t="s">
        <v>14</v>
      </c>
      <c r="J8217" t="s">
        <v>141</v>
      </c>
      <c r="K8217" t="s">
        <v>14</v>
      </c>
      <c r="L8217" t="s">
        <v>20</v>
      </c>
      <c r="M8217" t="s">
        <v>16002</v>
      </c>
      <c r="N8217" t="s">
        <v>14</v>
      </c>
    </row>
    <row r="8218" x14ac:dyDescent="0.25">
      <c r="A8218" t="n">
        <v>24</v>
      </c>
      <c r="B8218" t="s">
        <v>14</v>
      </c>
      <c r="C8218" t="s">
        <v>22</v>
      </c>
      <c r="D8218" s="2" t="s">
        <f>=HYPERLINK("https://main.knesset.gov.il/APPS/legislation/main/bills/2190244", "הצעת חוק מס ערך מוסף (תיקון - הגדרת עוסק פטור), התשפ""ב-2022")</f>
        <v>16029</v>
      </c>
      <c r="E8218" t="s">
        <v>16029</v>
      </c>
      <c r="F8218" t="s">
        <v>16030</v>
      </c>
      <c r="G8218" t="s">
        <v>14</v>
      </c>
      <c r="H8218">
             </c>
      <c r="I8218" t="s">
        <v>14</v>
      </c>
      <c r="J8218" t="s">
        <v>141</v>
      </c>
      <c r="K8218" t="s">
        <v>14</v>
      </c>
      <c r="L8218" t="s">
        <v>20</v>
      </c>
      <c r="M8218" t="s">
        <v>16002</v>
      </c>
      <c r="N8218" t="s">
        <v>14</v>
      </c>
    </row>
    <row r="8219" x14ac:dyDescent="0.25">
      <c r="A8219" t="n">
        <v>24</v>
      </c>
      <c r="B8219" t="s">
        <v>14</v>
      </c>
      <c r="C8219" t="s">
        <v>22</v>
      </c>
      <c r="D8219" s="2" t="s">
        <f>=HYPERLINK("https://main.knesset.gov.il/APPS/legislation/main/bills/2190342", "הצעת חוק להארכת מועד לקבלת דברי דואר (הוראת שעה), התשפ""ב-2022")</f>
        <v>16031</v>
      </c>
      <c r="E8219" t="s">
        <v>16031</v>
      </c>
      <c r="F8219" t="s">
        <v>16032</v>
      </c>
      <c r="G8219" t="s">
        <v>14</v>
      </c>
      <c r="H8219">
             </c>
      <c r="I8219" t="s">
        <v>14</v>
      </c>
      <c r="J8219" t="s">
        <v>141</v>
      </c>
      <c r="K8219" t="s">
        <v>14</v>
      </c>
      <c r="L8219" t="s">
        <v>20</v>
      </c>
      <c r="M8219" t="s">
        <v>16002</v>
      </c>
      <c r="N8219" t="s">
        <v>14</v>
      </c>
    </row>
    <row r="8220" x14ac:dyDescent="0.25">
      <c r="A8220" t="n">
        <v>24</v>
      </c>
      <c r="B8220" t="s">
        <v>14</v>
      </c>
      <c r="C8220" t="s">
        <v>22</v>
      </c>
      <c r="D8220" s="2" t="s">
        <f>=HYPERLINK("https://main.knesset.gov.il/APPS/legislation/main/bills/2190343", "הצעת חוק מידע גנטי (תיקון - עריכת בדיקה גנטית לאיתור בן משפחה שעלה בין השנים 1948 עד 1959), התשפ""ב-2022")</f>
        <v>16033</v>
      </c>
      <c r="E8220" t="s">
        <v>16033</v>
      </c>
      <c r="F8220" t="s">
        <v>16034</v>
      </c>
      <c r="G8220" t="s">
        <v>14</v>
      </c>
      <c r="H8220">
             </c>
      <c r="I8220" t="s">
        <v>14</v>
      </c>
      <c r="J8220" t="s">
        <v>141</v>
      </c>
      <c r="K8220" t="s">
        <v>14</v>
      </c>
      <c r="L8220" t="s">
        <v>20</v>
      </c>
      <c r="M8220" t="s">
        <v>16002</v>
      </c>
      <c r="N8220" t="s">
        <v>14</v>
      </c>
    </row>
    <row r="8221" x14ac:dyDescent="0.25">
      <c r="A8221" t="n">
        <v>24</v>
      </c>
      <c r="B8221" t="s">
        <v>14</v>
      </c>
      <c r="C8221" t="s">
        <v>22</v>
      </c>
      <c r="D8221" s="2" t="s">
        <f>=HYPERLINK("https://main.knesset.gov.il/APPS/legislation/main/bills/2190345", "הצעת חוק רישום רכב ניזוק שנמכר על ידי מבטח או תאגיד, התשפ""ב-2022")</f>
        <v>16035</v>
      </c>
      <c r="E8221" t="s">
        <v>16035</v>
      </c>
      <c r="F8221" t="s">
        <v>16036</v>
      </c>
      <c r="G8221" t="s">
        <v>14</v>
      </c>
      <c r="H8221">
             </c>
      <c r="I8221" t="s">
        <v>14</v>
      </c>
      <c r="J8221" t="s">
        <v>141</v>
      </c>
      <c r="K8221" t="s">
        <v>14</v>
      </c>
      <c r="L8221" t="s">
        <v>20</v>
      </c>
      <c r="M8221" t="s">
        <v>16002</v>
      </c>
      <c r="N8221" t="s">
        <v>14</v>
      </c>
    </row>
    <row r="8222" x14ac:dyDescent="0.25">
      <c r="A8222" t="n">
        <v>24</v>
      </c>
      <c r="B8222" t="s">
        <v>14</v>
      </c>
      <c r="C8222" t="s">
        <v>22</v>
      </c>
      <c r="D8222" s="2" t="s">
        <f>=HYPERLINK("https://main.knesset.gov.il/APPS/legislation/main/bills/2190226", "הצעת חוק מעונות יום שיקומיים (תיקון - טיפולים לפעוט עם מוגבלות מחוץ למעון היום השיקומי), התשפ""ב-2022")</f>
        <v>16037</v>
      </c>
      <c r="E8222" t="s">
        <v>16037</v>
      </c>
      <c r="F8222" t="s">
        <v>16038</v>
      </c>
      <c r="G8222" t="s">
        <v>14</v>
      </c>
      <c r="H8222">
             </c>
      <c r="I8222" t="s">
        <v>14</v>
      </c>
      <c r="J8222" t="s">
        <v>141</v>
      </c>
      <c r="K8222" t="s">
        <v>14</v>
      </c>
      <c r="L8222" t="s">
        <v>20</v>
      </c>
      <c r="M8222" t="s">
        <v>16002</v>
      </c>
      <c r="N8222" t="s">
        <v>14</v>
      </c>
    </row>
    <row r="8223" x14ac:dyDescent="0.25">
      <c r="A8223" t="n">
        <v>24</v>
      </c>
      <c r="B8223" t="s">
        <v>14</v>
      </c>
      <c r="C8223" t="s">
        <v>22</v>
      </c>
      <c r="D8223" s="2" t="s">
        <f>=HYPERLINK("https://main.knesset.gov.il/APPS/legislation/main/bills/2190160", "הצעת חוק ברית הזוגיות לחסרי דת (תיקון - ברית זוגיות למנועי חיתון בישראל), התשפ""ב-2022")</f>
        <v>16039</v>
      </c>
      <c r="E8223" t="s">
        <v>16039</v>
      </c>
      <c r="F8223" t="s">
        <v>16040</v>
      </c>
      <c r="G8223" t="s">
        <v>14</v>
      </c>
      <c r="H8223">
             </c>
      <c r="I8223" t="s">
        <v>14</v>
      </c>
      <c r="J8223" t="s">
        <v>141</v>
      </c>
      <c r="K8223" t="s">
        <v>14</v>
      </c>
      <c r="L8223" t="s">
        <v>20</v>
      </c>
      <c r="M8223" t="s">
        <v>16002</v>
      </c>
      <c r="N8223" t="s">
        <v>14</v>
      </c>
    </row>
    <row r="8224" x14ac:dyDescent="0.25">
      <c r="A8224" t="n">
        <v>24</v>
      </c>
      <c r="B8224" t="s">
        <v>14</v>
      </c>
      <c r="C8224" t="s">
        <v>22</v>
      </c>
      <c r="D8224" s="2" t="s">
        <f>=HYPERLINK("https://main.knesset.gov.il/APPS/legislation/main/bills/2190072", "הצעת חוק שירותי הדת היהודיים (תיקון - קציבת כהונת רב עיר), התשפ""ב-2022")</f>
        <v>16041</v>
      </c>
      <c r="E8224" t="s">
        <v>16041</v>
      </c>
      <c r="F8224" t="s">
        <v>16042</v>
      </c>
      <c r="G8224" t="s">
        <v>14</v>
      </c>
      <c r="H8224">
             </c>
      <c r="I8224" t="s">
        <v>14</v>
      </c>
      <c r="J8224" t="s">
        <v>141</v>
      </c>
      <c r="K8224" t="s">
        <v>14</v>
      </c>
      <c r="L8224" t="s">
        <v>20</v>
      </c>
      <c r="M8224" t="s">
        <v>16002</v>
      </c>
      <c r="N8224" t="s">
        <v>14</v>
      </c>
    </row>
    <row r="8225" x14ac:dyDescent="0.25">
      <c r="A8225" t="n">
        <v>24</v>
      </c>
      <c r="B8225" t="s">
        <v>14</v>
      </c>
      <c r="C8225" t="s">
        <v>22</v>
      </c>
      <c r="D8225" s="2" t="s">
        <f>=HYPERLINK("https://main.knesset.gov.il/APPS/legislation/main/bills/2169428", "הצעת חוק ביטוח בריאות ממלכתי (תיקון - פנייה לנציב קבילות הציבור), התשפ""ב-2022 ")</f>
        <v>15081</v>
      </c>
      <c r="E8225" t="s">
        <v>15081</v>
      </c>
      <c r="F8225" t="s">
        <v>16043</v>
      </c>
      <c r="G8225" t="s">
        <v>14</v>
      </c>
      <c r="H8225">
             </c>
      <c r="I8225" t="s">
        <v>14</v>
      </c>
      <c r="J8225" t="s">
        <v>141</v>
      </c>
      <c r="K8225" t="s">
        <v>14</v>
      </c>
      <c r="L8225" t="s">
        <v>20</v>
      </c>
      <c r="M8225" t="s">
        <v>16002</v>
      </c>
      <c r="N8225" t="s">
        <v>14</v>
      </c>
    </row>
    <row r="8226" x14ac:dyDescent="0.25">
      <c r="A8226" t="n">
        <v>24</v>
      </c>
      <c r="B8226" t="s">
        <v>14</v>
      </c>
      <c r="C8226" t="s">
        <v>22</v>
      </c>
      <c r="D8226" s="2" t="s">
        <f>=HYPERLINK("https://main.knesset.gov.il/APPS/legislation/main/bills/2190457", "הצעת חוק מינוי ייצוג משפטי לקטין (תיקוני חקיקה), התשפ""ב-2022")</f>
        <v>16044</v>
      </c>
      <c r="E8226" t="s">
        <v>16044</v>
      </c>
      <c r="F8226" t="s">
        <v>16045</v>
      </c>
      <c r="G8226" t="s">
        <v>14</v>
      </c>
      <c r="H8226">
             </c>
      <c r="I8226" t="s">
        <v>14</v>
      </c>
      <c r="J8226" t="s">
        <v>141</v>
      </c>
      <c r="K8226" t="s">
        <v>14</v>
      </c>
      <c r="L8226" t="s">
        <v>20</v>
      </c>
      <c r="M8226" t="s">
        <v>16002</v>
      </c>
      <c r="N8226" t="s">
        <v>14</v>
      </c>
    </row>
    <row r="8227" x14ac:dyDescent="0.25">
      <c r="A8227" t="n">
        <v>24</v>
      </c>
      <c r="B8227" t="s">
        <v>14</v>
      </c>
      <c r="C8227" t="s">
        <v>22</v>
      </c>
      <c r="D8227" s="2" t="s">
        <f>=HYPERLINK("https://main.knesset.gov.il/APPS/legislation/main/bills/2190565", "הצעת חוק השפה הערבית שפה רשמית, התשפ""ב-2022")</f>
        <v>16046</v>
      </c>
      <c r="E8227" t="s">
        <v>16046</v>
      </c>
      <c r="F8227" t="s">
        <v>16047</v>
      </c>
      <c r="G8227" t="s">
        <v>14</v>
      </c>
      <c r="H8227">
             </c>
      <c r="I8227" t="s">
        <v>14</v>
      </c>
      <c r="J8227" t="s">
        <v>141</v>
      </c>
      <c r="K8227" t="s">
        <v>14</v>
      </c>
      <c r="L8227" t="s">
        <v>20</v>
      </c>
      <c r="M8227" t="s">
        <v>16002</v>
      </c>
      <c r="N8227" t="s">
        <v>14</v>
      </c>
    </row>
    <row r="8228" x14ac:dyDescent="0.25">
      <c r="A8228" t="n">
        <v>24</v>
      </c>
      <c r="B8228" t="s">
        <v>14</v>
      </c>
      <c r="C8228" t="s">
        <v>22</v>
      </c>
      <c r="D8228" s="2" t="s">
        <f>=HYPERLINK("https://main.knesset.gov.il/APPS/legislation/main/bills/2190566", "הצעת חוק השפה הערבית שפה רשמית (מתן שירותים בשפה הערבית), התשפ""ב-2022")</f>
        <v>16048</v>
      </c>
      <c r="E8228" t="s">
        <v>16048</v>
      </c>
      <c r="F8228" t="s">
        <v>16049</v>
      </c>
      <c r="G8228" t="s">
        <v>14</v>
      </c>
      <c r="H8228">
             </c>
      <c r="I8228" t="s">
        <v>14</v>
      </c>
      <c r="J8228" t="s">
        <v>141</v>
      </c>
      <c r="K8228" t="s">
        <v>14</v>
      </c>
      <c r="L8228" t="s">
        <v>20</v>
      </c>
      <c r="M8228" t="s">
        <v>16002</v>
      </c>
      <c r="N8228" t="s">
        <v>14</v>
      </c>
    </row>
    <row r="8229" x14ac:dyDescent="0.25">
      <c r="A8229" t="n">
        <v>24</v>
      </c>
      <c r="B8229" t="s">
        <v>14</v>
      </c>
      <c r="C8229" t="s">
        <v>22</v>
      </c>
      <c r="D8229" s="2" t="s">
        <f>=HYPERLINK("https://main.knesset.gov.il/APPS/legislation/main/bills/2190515", "הצעת חוק סינון תכנים פוגעניים באינטרנט במוסדות החינוך, התשפ""ב-2022")</f>
        <v>16050</v>
      </c>
      <c r="E8229" t="s">
        <v>16050</v>
      </c>
      <c r="F8229" t="s">
        <v>16051</v>
      </c>
      <c r="G8229" t="s">
        <v>14</v>
      </c>
      <c r="H8229">
             </c>
      <c r="I8229" t="s">
        <v>14</v>
      </c>
      <c r="J8229" t="s">
        <v>141</v>
      </c>
      <c r="K8229" t="s">
        <v>14</v>
      </c>
      <c r="L8229" t="s">
        <v>20</v>
      </c>
      <c r="M8229" t="s">
        <v>16002</v>
      </c>
      <c r="N8229" t="s">
        <v>14</v>
      </c>
    </row>
    <row r="8230" x14ac:dyDescent="0.25">
      <c r="A8230" t="n">
        <v>24</v>
      </c>
      <c r="B8230" t="s">
        <v>14</v>
      </c>
      <c r="C8230" t="s">
        <v>22</v>
      </c>
      <c r="D8230" s="2" t="s">
        <f>=HYPERLINK("https://main.knesset.gov.il/APPS/legislation/main/bills/2190532", "הצעת חוק לסימון סוסים, חמורים ופרדים ולהגנתם, התשפ""ב-2022")</f>
        <v>16052</v>
      </c>
      <c r="E8230" t="s">
        <v>16052</v>
      </c>
      <c r="F8230" t="s">
        <v>16053</v>
      </c>
      <c r="G8230" t="s">
        <v>14</v>
      </c>
      <c r="H8230">
             </c>
      <c r="I8230" t="s">
        <v>14</v>
      </c>
      <c r="J8230" t="s">
        <v>141</v>
      </c>
      <c r="K8230" t="s">
        <v>14</v>
      </c>
      <c r="L8230" t="s">
        <v>20</v>
      </c>
      <c r="M8230" t="s">
        <v>16002</v>
      </c>
      <c r="N8230" t="s">
        <v>14</v>
      </c>
    </row>
    <row r="8231" x14ac:dyDescent="0.25">
      <c r="A8231" t="n">
        <v>24</v>
      </c>
      <c r="B8231" t="s">
        <v>14</v>
      </c>
      <c r="C8231" t="s">
        <v>22</v>
      </c>
      <c r="D8231" s="2" t="s">
        <f>=HYPERLINK("https://main.knesset.gov.il/APPS/legislation/main/bills/2189993", "הצעת חוק העונשין (תיקון - חזקת סוחר בכלי נשק), התשפ""ב-2022")</f>
        <v>16054</v>
      </c>
      <c r="E8231" t="s">
        <v>16054</v>
      </c>
      <c r="F8231" t="s">
        <v>16055</v>
      </c>
      <c r="G8231" t="s">
        <v>14</v>
      </c>
      <c r="H8231">
             </c>
      <c r="I8231" t="s">
        <v>14</v>
      </c>
      <c r="J8231" t="s">
        <v>141</v>
      </c>
      <c r="K8231" t="s">
        <v>14</v>
      </c>
      <c r="L8231" t="s">
        <v>20</v>
      </c>
      <c r="M8231" t="s">
        <v>16002</v>
      </c>
      <c r="N8231" t="s">
        <v>14</v>
      </c>
    </row>
    <row r="8232" x14ac:dyDescent="0.25">
      <c r="A8232" t="n">
        <v>24</v>
      </c>
      <c r="B8232" t="s">
        <v>14</v>
      </c>
      <c r="C8232" t="s">
        <v>22</v>
      </c>
      <c r="D8232" s="2" t="s">
        <f>=HYPERLINK("https://main.knesset.gov.il/APPS/legislation/main/bills/2189709", "הצעת חוק לתיקון פקודת הראיות (סייג לעדות עד מדינה), התשפ""ב-2022")</f>
        <v>16056</v>
      </c>
      <c r="E8232" t="s">
        <v>16056</v>
      </c>
      <c r="F8232" t="s">
        <v>16057</v>
      </c>
      <c r="G8232" t="s">
        <v>14</v>
      </c>
      <c r="H8232">
             </c>
      <c r="I8232" t="s">
        <v>14</v>
      </c>
      <c r="J8232" t="s">
        <v>141</v>
      </c>
      <c r="K8232" t="s">
        <v>14</v>
      </c>
      <c r="L8232" t="s">
        <v>20</v>
      </c>
      <c r="M8232" t="s">
        <v>16002</v>
      </c>
      <c r="N8232" t="s">
        <v>14</v>
      </c>
    </row>
    <row r="8233" x14ac:dyDescent="0.25">
      <c r="A8233" t="n">
        <v>24</v>
      </c>
      <c r="B8233" t="s">
        <v>14</v>
      </c>
      <c r="C8233" t="s">
        <v>22</v>
      </c>
      <c r="D8233" s="2" t="s">
        <f>=HYPERLINK("https://main.knesset.gov.il/APPS/legislation/main/bills/2190456", "הצעת חוק לתיקון דיני הרשויות המקומיות (ביטול סמכות שר הפנים לעניין חוקי עזר בדבר פתיחתם וסגירתם של עסקים בימי מנוחה), התשפ""ב-2022")</f>
        <v>16058</v>
      </c>
      <c r="E8233" t="s">
        <v>16058</v>
      </c>
      <c r="F8233" t="s">
        <v>16059</v>
      </c>
      <c r="G8233" t="s">
        <v>14</v>
      </c>
      <c r="H8233">
             </c>
      <c r="I8233" t="s">
        <v>14</v>
      </c>
      <c r="J8233" t="s">
        <v>141</v>
      </c>
      <c r="K8233" t="s">
        <v>14</v>
      </c>
      <c r="L8233" t="s">
        <v>20</v>
      </c>
      <c r="M8233" t="s">
        <v>16002</v>
      </c>
      <c r="N8233" t="s">
        <v>14</v>
      </c>
    </row>
    <row r="8234" x14ac:dyDescent="0.25">
      <c r="A8234" t="n">
        <v>24</v>
      </c>
      <c r="B8234" t="s">
        <v>14</v>
      </c>
      <c r="C8234" t="s">
        <v>22</v>
      </c>
      <c r="D8234" s="2" t="s">
        <f>=HYPERLINK("https://main.knesset.gov.il/APPS/legislation/main/bills/2190339", "הצעת חוק הגנת הצרכן (תיקון - ביטול אפשרות להארכה אוטומטית של עסקה לתקופה קצובה), התשפ""ב-2022")</f>
        <v>14849</v>
      </c>
      <c r="E8234" t="s">
        <v>14849</v>
      </c>
      <c r="F8234" t="s">
        <v>16060</v>
      </c>
      <c r="G8234" t="s">
        <v>14</v>
      </c>
      <c r="H8234">
             </c>
      <c r="I8234" t="s">
        <v>14</v>
      </c>
      <c r="J8234" t="s">
        <v>141</v>
      </c>
      <c r="K8234" t="s">
        <v>14</v>
      </c>
      <c r="L8234" t="s">
        <v>20</v>
      </c>
      <c r="M8234" t="s">
        <v>16002</v>
      </c>
      <c r="N8234" t="s">
        <v>14</v>
      </c>
    </row>
    <row r="8235" x14ac:dyDescent="0.25">
      <c r="A8235" t="n">
        <v>24</v>
      </c>
      <c r="B8235" t="s">
        <v>14</v>
      </c>
      <c r="C8235" t="s">
        <v>22</v>
      </c>
      <c r="D8235" s="2" t="s">
        <f>=HYPERLINK("https://main.knesset.gov.il/APPS/legislation/main/bills/2190366", "הצעת חוק הכנסת (תיקון - ויתור על שכר כנסת של חבר הכנסת), התשע""ב-2022")</f>
        <v>16061</v>
      </c>
      <c r="E8235" t="s">
        <v>16061</v>
      </c>
      <c r="F8235" t="s">
        <v>16062</v>
      </c>
      <c r="G8235" t="s">
        <v>14</v>
      </c>
      <c r="H8235">
             </c>
      <c r="I8235" t="s">
        <v>14</v>
      </c>
      <c r="J8235" t="s">
        <v>141</v>
      </c>
      <c r="K8235" t="s">
        <v>14</v>
      </c>
      <c r="L8235" t="s">
        <v>20</v>
      </c>
      <c r="M8235" t="s">
        <v>16002</v>
      </c>
      <c r="N8235" t="s">
        <v>14</v>
      </c>
    </row>
    <row r="8236" x14ac:dyDescent="0.25">
      <c r="A8236" t="n">
        <v>24</v>
      </c>
      <c r="B8236" t="s">
        <v>14</v>
      </c>
      <c r="C8236" t="s">
        <v>22</v>
      </c>
      <c r="D8236" s="2" t="s">
        <f>=HYPERLINK("https://main.knesset.gov.il/APPS/legislation/main/bills/2169126", "הצעת חוק הירושה (תיקון - צוואה לטובת מטפל), התשפ""ב-2022")</f>
        <v>16063</v>
      </c>
      <c r="E8236" t="s">
        <v>16063</v>
      </c>
      <c r="F8236" t="s">
        <v>16064</v>
      </c>
      <c r="G8236" t="s">
        <v>14</v>
      </c>
      <c r="H8236">
             </c>
      <c r="I8236" t="s">
        <v>14</v>
      </c>
      <c r="J8236" t="s">
        <v>141</v>
      </c>
      <c r="K8236" t="s">
        <v>14</v>
      </c>
      <c r="L8236" t="s">
        <v>20</v>
      </c>
      <c r="M8236" t="s">
        <v>16002</v>
      </c>
      <c r="N8236" t="s">
        <v>14</v>
      </c>
    </row>
    <row r="8237" x14ac:dyDescent="0.25">
      <c r="A8237" t="n">
        <v>24</v>
      </c>
      <c r="B8237" t="s">
        <v>14</v>
      </c>
      <c r="C8237" t="s">
        <v>22</v>
      </c>
      <c r="D8237" s="2" t="s">
        <f>=HYPERLINK("https://main.knesset.gov.il/APPS/legislation/main/bills/2190204", "הצעת חוק חובת שקיפות תקציבית במוסדות החינוך, התשפ""ב-2022")</f>
        <v>16065</v>
      </c>
      <c r="E8237" t="s">
        <v>16065</v>
      </c>
      <c r="F8237" t="s">
        <v>16066</v>
      </c>
      <c r="G8237" t="s">
        <v>14</v>
      </c>
      <c r="H8237">
             </c>
      <c r="I8237" t="s">
        <v>14</v>
      </c>
      <c r="J8237" t="s">
        <v>141</v>
      </c>
      <c r="K8237" t="s">
        <v>14</v>
      </c>
      <c r="L8237" t="s">
        <v>20</v>
      </c>
      <c r="M8237" t="s">
        <v>16002</v>
      </c>
      <c r="N8237" t="s">
        <v>14</v>
      </c>
    </row>
    <row r="8238" x14ac:dyDescent="0.25">
      <c r="A8238" t="n">
        <v>24</v>
      </c>
      <c r="B8238" t="s">
        <v>14</v>
      </c>
      <c r="C8238" t="s">
        <v>22</v>
      </c>
      <c r="D8238" s="2" t="s">
        <f>=HYPERLINK("https://main.knesset.gov.il/APPS/legislation/main/bills/2190341", "הצעת חוק הגנת הצרכן (תיקון - מתן שירות טלפוני על ידי בעל רישיון להפעלת קו שירות לאוטובוס), התשפ""ב-2022")</f>
        <v>16067</v>
      </c>
      <c r="E8238" t="s">
        <v>16067</v>
      </c>
      <c r="F8238" t="s">
        <v>16068</v>
      </c>
      <c r="G8238" t="s">
        <v>14</v>
      </c>
      <c r="H8238">
             </c>
      <c r="I8238" t="s">
        <v>14</v>
      </c>
      <c r="J8238" t="s">
        <v>141</v>
      </c>
      <c r="K8238" t="s">
        <v>14</v>
      </c>
      <c r="L8238" t="s">
        <v>20</v>
      </c>
      <c r="M8238" t="s">
        <v>16002</v>
      </c>
      <c r="N8238" t="s">
        <v>14</v>
      </c>
    </row>
    <row r="8239" x14ac:dyDescent="0.25">
      <c r="A8239" t="n">
        <v>24</v>
      </c>
      <c r="B8239" t="s">
        <v>14</v>
      </c>
      <c r="C8239" t="s">
        <v>22</v>
      </c>
      <c r="D8239" s="2" t="s">
        <f>=HYPERLINK("https://main.knesset.gov.il/APPS/legislation/main/bills/2190223", "הצעת חוק הביטוח הלאומי (תיקון - קצבת נכות לעקרת בית), התשפ""ב-2022")</f>
        <v>16069</v>
      </c>
      <c r="E8239" t="s">
        <v>16069</v>
      </c>
      <c r="F8239" t="s">
        <v>16070</v>
      </c>
      <c r="G8239" t="s">
        <v>14</v>
      </c>
      <c r="H8239">
             </c>
      <c r="I8239" t="s">
        <v>14</v>
      </c>
      <c r="J8239" t="s">
        <v>141</v>
      </c>
      <c r="K8239" t="s">
        <v>14</v>
      </c>
      <c r="L8239" t="s">
        <v>20</v>
      </c>
      <c r="M8239" t="s">
        <v>16002</v>
      </c>
      <c r="N8239" t="s">
        <v>14</v>
      </c>
    </row>
    <row r="8240" x14ac:dyDescent="0.25">
      <c r="A8240" t="n">
        <v>24</v>
      </c>
      <c r="B8240" t="s">
        <v>14</v>
      </c>
      <c r="C8240" t="s">
        <v>22</v>
      </c>
      <c r="D8240" s="2" t="s">
        <f>=HYPERLINK("https://main.knesset.gov.il/APPS/legislation/main/bills/2190335", "הצעת חוק עבודת נשים (תיקון - זכאות להשתתפות בעלות מעון יום בתקופת הלידה וההורות), התשפ""ב-2022")</f>
        <v>16071</v>
      </c>
      <c r="E8240" t="s">
        <v>16071</v>
      </c>
      <c r="F8240" t="s">
        <v>16072</v>
      </c>
      <c r="G8240" t="s">
        <v>14</v>
      </c>
      <c r="H8240">
             </c>
      <c r="I8240" t="s">
        <v>14</v>
      </c>
      <c r="J8240" t="s">
        <v>141</v>
      </c>
      <c r="K8240" t="s">
        <v>14</v>
      </c>
      <c r="L8240" t="s">
        <v>20</v>
      </c>
      <c r="M8240" t="s">
        <v>16002</v>
      </c>
      <c r="N8240" t="s">
        <v>14</v>
      </c>
    </row>
    <row r="8241" x14ac:dyDescent="0.25">
      <c r="A8241" t="n">
        <v>24</v>
      </c>
      <c r="B8241" t="s">
        <v>14</v>
      </c>
      <c r="C8241" t="s">
        <v>22</v>
      </c>
      <c r="D8241" s="2" t="s">
        <f>=HYPERLINK("https://main.knesset.gov.il/APPS/legislation/main/bills/2190334", "הצעת חוק עבודת נשים (תיקון - הארכת תקופת הלידה וההורות להורי פג), התשפ""ב-2022")</f>
        <v>16073</v>
      </c>
      <c r="E8241" t="s">
        <v>16073</v>
      </c>
      <c r="F8241" t="s">
        <v>16074</v>
      </c>
      <c r="G8241" t="s">
        <v>14</v>
      </c>
      <c r="H8241">
             </c>
      <c r="I8241" t="s">
        <v>14</v>
      </c>
      <c r="J8241" t="s">
        <v>141</v>
      </c>
      <c r="K8241" t="s">
        <v>14</v>
      </c>
      <c r="L8241" t="s">
        <v>20</v>
      </c>
      <c r="M8241" t="s">
        <v>16002</v>
      </c>
      <c r="N8241" t="s">
        <v>14</v>
      </c>
    </row>
    <row r="8242" x14ac:dyDescent="0.25">
      <c r="A8242" t="n">
        <v>24</v>
      </c>
      <c r="B8242" t="s">
        <v>14</v>
      </c>
      <c r="C8242" t="s">
        <v>22</v>
      </c>
      <c r="D8242" s="2" t="s">
        <f>=HYPERLINK("https://main.knesset.gov.il/APPS/legislation/main/bills/2190242", "הצעת חוק התכנון והבנייה (תיקון - תסקירי השפעה על הסביבה ועל הבריאות), התשפ""ב-2022")</f>
        <v>16075</v>
      </c>
      <c r="E8242" t="s">
        <v>16075</v>
      </c>
      <c r="F8242" t="s">
        <v>16076</v>
      </c>
      <c r="G8242" t="s">
        <v>14</v>
      </c>
      <c r="H8242">
             </c>
      <c r="I8242" t="s">
        <v>14</v>
      </c>
      <c r="J8242" t="s">
        <v>141</v>
      </c>
      <c r="K8242" t="s">
        <v>14</v>
      </c>
      <c r="L8242" t="s">
        <v>20</v>
      </c>
      <c r="M8242" t="s">
        <v>16002</v>
      </c>
      <c r="N8242" t="s">
        <v>14</v>
      </c>
    </row>
    <row r="8243" x14ac:dyDescent="0.25">
      <c r="A8243" t="n">
        <v>24</v>
      </c>
      <c r="B8243" t="s">
        <v>14</v>
      </c>
      <c r="C8243" t="s">
        <v>22</v>
      </c>
      <c r="D8243" s="2" t="s">
        <f>=HYPERLINK("https://main.knesset.gov.il/APPS/legislation/main/bills/2189714", "הצעת חוק העסקת עובדים על ידי קבלני כוח אדם (תיקון - מניעת סיום העסקה לשם הימנעות מהעסקה ישירה), התשפ""ב-2022")</f>
        <v>16077</v>
      </c>
      <c r="E8243" t="s">
        <v>16077</v>
      </c>
      <c r="F8243" t="s">
        <v>16078</v>
      </c>
      <c r="G8243" t="s">
        <v>14</v>
      </c>
      <c r="H8243">
             </c>
      <c r="I8243" t="s">
        <v>14</v>
      </c>
      <c r="J8243" t="s">
        <v>141</v>
      </c>
      <c r="K8243" t="s">
        <v>14</v>
      </c>
      <c r="L8243" t="s">
        <v>20</v>
      </c>
      <c r="M8243" t="s">
        <v>16002</v>
      </c>
      <c r="N8243" t="s">
        <v>14</v>
      </c>
    </row>
    <row r="8244" x14ac:dyDescent="0.25">
      <c r="A8244" t="n">
        <v>24</v>
      </c>
      <c r="B8244" t="s">
        <v>14</v>
      </c>
      <c r="C8244" t="s">
        <v>22</v>
      </c>
      <c r="D8244" s="2" t="s">
        <f>=HYPERLINK("https://main.knesset.gov.il/APPS/legislation/main/bills/2190512", "הצעת חוק הפרשנות (תיקון - הגדרת הפליה על רקע נטייה מינית או זהות מגדרית), התשפ""ב-2022")</f>
        <v>16079</v>
      </c>
      <c r="E8244" t="s">
        <v>16079</v>
      </c>
      <c r="F8244" t="s">
        <v>16080</v>
      </c>
      <c r="G8244" t="s">
        <v>14</v>
      </c>
      <c r="H8244">
             </c>
      <c r="I8244" t="s">
        <v>14</v>
      </c>
      <c r="J8244" t="s">
        <v>141</v>
      </c>
      <c r="K8244" t="s">
        <v>14</v>
      </c>
      <c r="L8244" t="s">
        <v>20</v>
      </c>
      <c r="M8244" t="s">
        <v>16002</v>
      </c>
      <c r="N8244" t="s">
        <v>14</v>
      </c>
    </row>
    <row r="8245" x14ac:dyDescent="0.25">
      <c r="A8245" t="n">
        <v>24</v>
      </c>
      <c r="B8245" t="s">
        <v>14</v>
      </c>
      <c r="C8245" t="s">
        <v>22</v>
      </c>
      <c r="D8245" s="2" t="s">
        <f>=HYPERLINK("https://main.knesset.gov.il/APPS/legislation/main/bills/2190323", "הצעת חוק מס הכנסה (פטור ממס על הכנסה מהשכרת דירת מגורים) (תיקון - פטור למוסד חינוך), התשפ""ב-2022")</f>
        <v>16081</v>
      </c>
      <c r="E8245" t="s">
        <v>16081</v>
      </c>
      <c r="F8245" t="s">
        <v>16082</v>
      </c>
      <c r="G8245" t="s">
        <v>14</v>
      </c>
      <c r="H8245">
             </c>
      <c r="I8245" t="s">
        <v>14</v>
      </c>
      <c r="J8245" t="s">
        <v>141</v>
      </c>
      <c r="K8245" t="s">
        <v>14</v>
      </c>
      <c r="L8245" t="s">
        <v>20</v>
      </c>
      <c r="M8245" t="s">
        <v>16002</v>
      </c>
      <c r="N8245" t="s">
        <v>14</v>
      </c>
    </row>
    <row r="8246" x14ac:dyDescent="0.25">
      <c r="A8246" t="n">
        <v>24</v>
      </c>
      <c r="B8246" t="s">
        <v>14</v>
      </c>
      <c r="C8246" t="s">
        <v>22</v>
      </c>
      <c r="D8246" s="2" t="s">
        <f>=HYPERLINK("https://main.knesset.gov.il/APPS/legislation/main/bills/2189697", "הצעת חוק קרן לאזרחי ישראל (תיקון - ועדה אתית מייעצת), התשפ""ג-2023")</f>
        <v>13099</v>
      </c>
      <c r="E8246" t="s">
        <v>13099</v>
      </c>
      <c r="F8246" t="s">
        <v>16083</v>
      </c>
      <c r="G8246" t="s">
        <v>14</v>
      </c>
      <c r="H8246">
             </c>
      <c r="I8246" t="s">
        <v>14</v>
      </c>
      <c r="J8246" t="s">
        <v>141</v>
      </c>
      <c r="K8246" t="s">
        <v>14</v>
      </c>
      <c r="L8246" t="s">
        <v>20</v>
      </c>
      <c r="M8246" t="s">
        <v>16002</v>
      </c>
      <c r="N8246" t="s">
        <v>14</v>
      </c>
    </row>
    <row r="8247" x14ac:dyDescent="0.25">
      <c r="A8247" t="n">
        <v>24</v>
      </c>
      <c r="B8247" t="s">
        <v>14</v>
      </c>
      <c r="C8247" t="s">
        <v>22</v>
      </c>
      <c r="D8247" s="2" t="s">
        <f>=HYPERLINK("https://main.knesset.gov.il/APPS/legislation/main/bills/2190017", "הצעת חוק העונשין (תיקון - תקיפת איש כוחות הביטחון וההצלה), התשפ""ב-2022")</f>
        <v>16084</v>
      </c>
      <c r="E8247" t="s">
        <v>16084</v>
      </c>
      <c r="F8247" t="s">
        <v>16085</v>
      </c>
      <c r="G8247" t="s">
        <v>14</v>
      </c>
      <c r="H8247">
             </c>
      <c r="I8247" t="s">
        <v>14</v>
      </c>
      <c r="J8247" t="s">
        <v>141</v>
      </c>
      <c r="K8247" t="s">
        <v>14</v>
      </c>
      <c r="L8247" t="s">
        <v>20</v>
      </c>
      <c r="M8247" t="s">
        <v>16002</v>
      </c>
      <c r="N8247" t="s">
        <v>14</v>
      </c>
    </row>
    <row r="8248" x14ac:dyDescent="0.25">
      <c r="A8248" t="n">
        <v>24</v>
      </c>
      <c r="B8248" t="s">
        <v>14</v>
      </c>
      <c r="C8248" t="s">
        <v>22</v>
      </c>
      <c r="D8248" s="2" t="s">
        <f>=HYPERLINK("https://main.knesset.gov.il/APPS/legislation/main/bills/2190403", "הצעת חוק הנוער (טיפול והשגחה) (תיקון - ביטול עבירה פלילית על פרסום תחלואה נפשית של קטין), התשפ""ב-2022")</f>
        <v>16086</v>
      </c>
      <c r="E8248" t="s">
        <v>16086</v>
      </c>
      <c r="F8248" t="s">
        <v>16087</v>
      </c>
      <c r="G8248" t="s">
        <v>14</v>
      </c>
      <c r="H8248">
             </c>
      <c r="I8248" t="s">
        <v>14</v>
      </c>
      <c r="J8248" t="s">
        <v>141</v>
      </c>
      <c r="K8248" t="s">
        <v>14</v>
      </c>
      <c r="L8248" t="s">
        <v>20</v>
      </c>
      <c r="M8248" t="s">
        <v>16002</v>
      </c>
      <c r="N8248" t="s">
        <v>14</v>
      </c>
    </row>
    <row r="8249" x14ac:dyDescent="0.25">
      <c r="A8249" t="n">
        <v>24</v>
      </c>
      <c r="B8249" t="s">
        <v>14</v>
      </c>
      <c r="C8249" t="s">
        <v>22</v>
      </c>
      <c r="D8249" s="2" t="s">
        <f>=HYPERLINK("https://main.knesset.gov.il/APPS/legislation/main/bills/2164273", "הצעת חוק שכר המינימום (תיקון - העלאת שכר המינימום), התשפ""ב-2022")</f>
        <v>16088</v>
      </c>
      <c r="E8249" t="s">
        <v>16088</v>
      </c>
      <c r="F8249" t="s">
        <v>16089</v>
      </c>
      <c r="G8249" t="s">
        <v>14</v>
      </c>
      <c r="H8249">
             </c>
      <c r="I8249" t="s">
        <v>14</v>
      </c>
      <c r="J8249" t="s">
        <v>141</v>
      </c>
      <c r="K8249" t="s">
        <v>14</v>
      </c>
      <c r="L8249" t="s">
        <v>20</v>
      </c>
      <c r="M8249" t="s">
        <v>16002</v>
      </c>
      <c r="N8249" t="s">
        <v>14</v>
      </c>
    </row>
    <row r="8250" x14ac:dyDescent="0.25">
      <c r="A8250" t="n">
        <v>24</v>
      </c>
      <c r="B8250" t="s">
        <v>14</v>
      </c>
      <c r="C8250" t="s">
        <v>22</v>
      </c>
      <c r="D8250" s="2" t="s">
        <f>=HYPERLINK("https://main.knesset.gov.il/APPS/legislation/main/bills/2190298", "הצעת חוק לתיקון פקודת התעבורה (הסדר ארצי אחיד לעניין גרירת רכב), התשפ""ב-2022")</f>
        <v>16090</v>
      </c>
      <c r="E8250" t="s">
        <v>16090</v>
      </c>
      <c r="F8250" t="s">
        <v>16091</v>
      </c>
      <c r="G8250" t="s">
        <v>14</v>
      </c>
      <c r="H8250">
             </c>
      <c r="I8250" t="s">
        <v>14</v>
      </c>
      <c r="J8250" t="s">
        <v>141</v>
      </c>
      <c r="K8250" t="s">
        <v>14</v>
      </c>
      <c r="L8250" t="s">
        <v>20</v>
      </c>
      <c r="M8250" t="s">
        <v>16002</v>
      </c>
      <c r="N8250" t="s">
        <v>14</v>
      </c>
    </row>
    <row r="8251" x14ac:dyDescent="0.25">
      <c r="A8251" t="n">
        <v>24</v>
      </c>
      <c r="B8251" t="s">
        <v>14</v>
      </c>
      <c r="C8251" t="s">
        <v>22</v>
      </c>
      <c r="D8251" s="2" t="s">
        <f>=HYPERLINK("https://main.knesset.gov.il/APPS/legislation/main/bills/2190295", "הצעת חוק לתיקון פקודת העיריות (הרשאת שימוש במקרקעין למוסד ציבורי), התשפ""ב-2022")</f>
        <v>16092</v>
      </c>
      <c r="E8251" t="s">
        <v>16092</v>
      </c>
      <c r="F8251" t="s">
        <v>16093</v>
      </c>
      <c r="G8251" t="s">
        <v>14</v>
      </c>
      <c r="H8251">
             </c>
      <c r="I8251" t="s">
        <v>14</v>
      </c>
      <c r="J8251" t="s">
        <v>141</v>
      </c>
      <c r="K8251" t="s">
        <v>14</v>
      </c>
      <c r="L8251" t="s">
        <v>20</v>
      </c>
      <c r="M8251" t="s">
        <v>16002</v>
      </c>
      <c r="N8251" t="s">
        <v>14</v>
      </c>
    </row>
    <row r="8252" x14ac:dyDescent="0.25">
      <c r="A8252" t="n">
        <v>24</v>
      </c>
      <c r="B8252" t="s">
        <v>14</v>
      </c>
      <c r="C8252" t="s">
        <v>22</v>
      </c>
      <c r="D8252" s="2" t="s">
        <f>=HYPERLINK("https://main.knesset.gov.il/APPS/legislation/main/bills/2190218", "הצעת חוק עבודת נשים (תיקון - תקופת לידה והורות להורה יחיד), התשפ""ב-2022 ")</f>
        <v>16094</v>
      </c>
      <c r="E8252" t="s">
        <v>16094</v>
      </c>
      <c r="F8252" t="s">
        <v>16095</v>
      </c>
      <c r="G8252" t="s">
        <v>14</v>
      </c>
      <c r="H8252">
             </c>
      <c r="I8252" t="s">
        <v>14</v>
      </c>
      <c r="J8252" t="s">
        <v>141</v>
      </c>
      <c r="K8252" t="s">
        <v>14</v>
      </c>
      <c r="L8252" t="s">
        <v>20</v>
      </c>
      <c r="M8252" t="s">
        <v>16002</v>
      </c>
      <c r="N8252" t="s">
        <v>14</v>
      </c>
    </row>
    <row r="8253" x14ac:dyDescent="0.25">
      <c r="A8253" t="n">
        <v>24</v>
      </c>
      <c r="B8253" t="s">
        <v>14</v>
      </c>
      <c r="C8253" t="s">
        <v>22</v>
      </c>
      <c r="D8253" s="2" t="s">
        <f>=HYPERLINK("https://main.knesset.gov.il/APPS/legislation/main/bills/2190215", "הצעת חוק משפחות חיילים שנספו במערכה (תגמולים ושיקום) (תיקון - הכרה בארוסות חיילים שנספו במערכה), התשפ""ב-2022")</f>
        <v>16096</v>
      </c>
      <c r="E8253" t="s">
        <v>16096</v>
      </c>
      <c r="F8253" t="s">
        <v>16097</v>
      </c>
      <c r="G8253" t="s">
        <v>14</v>
      </c>
      <c r="H8253">
             </c>
      <c r="I8253" t="s">
        <v>14</v>
      </c>
      <c r="J8253" t="s">
        <v>141</v>
      </c>
      <c r="K8253" t="s">
        <v>14</v>
      </c>
      <c r="L8253" t="s">
        <v>20</v>
      </c>
      <c r="M8253" t="s">
        <v>16002</v>
      </c>
      <c r="N8253" t="s">
        <v>14</v>
      </c>
    </row>
    <row r="8254" x14ac:dyDescent="0.25">
      <c r="A8254" t="n">
        <v>24</v>
      </c>
      <c r="B8254" t="s">
        <v>14</v>
      </c>
      <c r="C8254" t="s">
        <v>22</v>
      </c>
      <c r="D8254" s="2" t="s">
        <f>=HYPERLINK("https://main.knesset.gov.il/APPS/legislation/main/bills/2190166", "הצעת חוק הביטוח הלאומי (תיקון - עבודה מועדפת בענף המסעדנות), התשפ""ב-2022")</f>
        <v>16098</v>
      </c>
      <c r="E8254" t="s">
        <v>16098</v>
      </c>
      <c r="F8254" t="s">
        <v>16099</v>
      </c>
      <c r="G8254" t="s">
        <v>14</v>
      </c>
      <c r="H8254">
             </c>
      <c r="I8254" t="s">
        <v>14</v>
      </c>
      <c r="J8254" t="s">
        <v>141</v>
      </c>
      <c r="K8254" t="s">
        <v>14</v>
      </c>
      <c r="L8254" t="s">
        <v>20</v>
      </c>
      <c r="M8254" t="s">
        <v>16002</v>
      </c>
      <c r="N8254" t="s">
        <v>14</v>
      </c>
    </row>
    <row r="8255" x14ac:dyDescent="0.25">
      <c r="A8255" t="n">
        <v>24</v>
      </c>
      <c r="B8255" t="s">
        <v>14</v>
      </c>
      <c r="C8255" t="s">
        <v>22</v>
      </c>
      <c r="D8255" s="2" t="s">
        <f>=HYPERLINK("https://main.knesset.gov.il/APPS/legislation/main/bills/2190194", "הצעת חוק מס ערך מוסף (תיקון - מס בשיעור אפס על מוצרי מזון בסיסיים), התשפ""ב-2022")</f>
        <v>16100</v>
      </c>
      <c r="E8255" t="s">
        <v>16100</v>
      </c>
      <c r="F8255" t="s">
        <v>16101</v>
      </c>
      <c r="G8255" t="s">
        <v>14</v>
      </c>
      <c r="H8255">
             </c>
      <c r="I8255" t="s">
        <v>14</v>
      </c>
      <c r="J8255" t="s">
        <v>141</v>
      </c>
      <c r="K8255" t="s">
        <v>14</v>
      </c>
      <c r="L8255" t="s">
        <v>20</v>
      </c>
      <c r="M8255" t="s">
        <v>16002</v>
      </c>
      <c r="N8255" t="s">
        <v>14</v>
      </c>
    </row>
    <row r="8256" x14ac:dyDescent="0.25">
      <c r="A8256" t="n">
        <v>24</v>
      </c>
      <c r="B8256" t="s">
        <v>14</v>
      </c>
      <c r="C8256" t="s">
        <v>22</v>
      </c>
      <c r="D8256" s="2" t="s">
        <f>=HYPERLINK("https://main.knesset.gov.il/APPS/legislation/main/bills/2190156", "הצעת חוק הבטחת הכנסה (תיקון - גמלה לתלמיד), התשפ""ב-2022")</f>
        <v>16102</v>
      </c>
      <c r="E8256" t="s">
        <v>16102</v>
      </c>
      <c r="F8256" t="s">
        <v>16103</v>
      </c>
      <c r="G8256" t="s">
        <v>14</v>
      </c>
      <c r="H8256">
             </c>
      <c r="I8256" t="s">
        <v>14</v>
      </c>
      <c r="J8256" t="s">
        <v>141</v>
      </c>
      <c r="K8256" t="s">
        <v>14</v>
      </c>
      <c r="L8256" t="s">
        <v>20</v>
      </c>
      <c r="M8256" t="s">
        <v>16002</v>
      </c>
      <c r="N8256" t="s">
        <v>14</v>
      </c>
    </row>
    <row r="8257" x14ac:dyDescent="0.25">
      <c r="A8257" t="n">
        <v>24</v>
      </c>
      <c r="B8257" t="s">
        <v>14</v>
      </c>
      <c r="C8257" t="s">
        <v>22</v>
      </c>
      <c r="D8257" s="2" t="s">
        <f>=HYPERLINK("https://main.knesset.gov.il/APPS/legislation/main/bills/2190331", "הצעת חוק סיוע בקידום תעסוקתי למשפחות של עובדים מעוטי הכנסה, התשפ""ב-2022")</f>
        <v>16104</v>
      </c>
      <c r="E8257" t="s">
        <v>16104</v>
      </c>
      <c r="F8257" t="s">
        <v>16105</v>
      </c>
      <c r="G8257" t="s">
        <v>14</v>
      </c>
      <c r="H8257">
             </c>
      <c r="I8257" t="s">
        <v>14</v>
      </c>
      <c r="J8257" t="s">
        <v>141</v>
      </c>
      <c r="K8257" t="s">
        <v>14</v>
      </c>
      <c r="L8257" t="s">
        <v>20</v>
      </c>
      <c r="M8257" t="s">
        <v>16002</v>
      </c>
      <c r="N8257" t="s">
        <v>14</v>
      </c>
    </row>
    <row r="8258" x14ac:dyDescent="0.25">
      <c r="A8258" t="n">
        <v>24</v>
      </c>
      <c r="B8258" t="s">
        <v>14</v>
      </c>
      <c r="C8258" t="s">
        <v>22</v>
      </c>
      <c r="D8258" s="2" t="s">
        <f>=HYPERLINK("https://main.knesset.gov.il/APPS/legislation/main/bills/2190318", "הצעת חוק סיוע לצעירים חסרי עורף משפחתי, התשפ""ב-2022")</f>
        <v>15151</v>
      </c>
      <c r="E8258" t="s">
        <v>15151</v>
      </c>
      <c r="F8258" t="s">
        <v>16106</v>
      </c>
      <c r="G8258" t="s">
        <v>14</v>
      </c>
      <c r="H8258">
             </c>
      <c r="I8258" t="s">
        <v>14</v>
      </c>
      <c r="J8258" t="s">
        <v>141</v>
      </c>
      <c r="K8258" t="s">
        <v>14</v>
      </c>
      <c r="L8258" t="s">
        <v>20</v>
      </c>
      <c r="M8258" t="s">
        <v>16002</v>
      </c>
      <c r="N8258" t="s">
        <v>14</v>
      </c>
    </row>
    <row r="8259" x14ac:dyDescent="0.25">
      <c r="A8259" t="n">
        <v>24</v>
      </c>
      <c r="B8259" t="s">
        <v>14</v>
      </c>
      <c r="C8259" t="s">
        <v>22</v>
      </c>
      <c r="D8259" s="2" t="s">
        <f>=HYPERLINK("https://main.knesset.gov.il/APPS/legislation/main/bills/2190337", "הצעת חוק שירות המדינה (גמלאות) (תיקון - ביטול שלילת גמלאות מאלמנים שנישאו), התשפ""ב-2022")</f>
        <v>16107</v>
      </c>
      <c r="E8259" t="s">
        <v>16107</v>
      </c>
      <c r="F8259" t="s">
        <v>16108</v>
      </c>
      <c r="G8259" t="s">
        <v>14</v>
      </c>
      <c r="H8259">
             </c>
      <c r="I8259" t="s">
        <v>14</v>
      </c>
      <c r="J8259" t="s">
        <v>141</v>
      </c>
      <c r="K8259" t="s">
        <v>14</v>
      </c>
      <c r="L8259" t="s">
        <v>20</v>
      </c>
      <c r="M8259" t="s">
        <v>16002</v>
      </c>
      <c r="N8259" t="s">
        <v>14</v>
      </c>
    </row>
    <row r="8260" x14ac:dyDescent="0.25">
      <c r="A8260" t="n">
        <v>24</v>
      </c>
      <c r="B8260" t="s">
        <v>14</v>
      </c>
      <c r="C8260" t="s">
        <v>22</v>
      </c>
      <c r="D8260" s="2" t="s">
        <f>=HYPERLINK("https://main.knesset.gov.il/APPS/legislation/main/bills/2190313", "הצעת חוק לתיקון פקודת מס הכנסה (פטור ממס להכנסות קשיש וניכוי הוצאות שכר דירה), התשפ""ב-2022")</f>
        <v>16109</v>
      </c>
      <c r="E8260" t="s">
        <v>16109</v>
      </c>
      <c r="F8260" t="s">
        <v>16110</v>
      </c>
      <c r="G8260" t="s">
        <v>14</v>
      </c>
      <c r="H8260">
             </c>
      <c r="I8260" t="s">
        <v>14</v>
      </c>
      <c r="J8260" t="s">
        <v>141</v>
      </c>
      <c r="K8260" t="s">
        <v>14</v>
      </c>
      <c r="L8260" t="s">
        <v>20</v>
      </c>
      <c r="M8260" t="s">
        <v>16002</v>
      </c>
      <c r="N8260" t="s">
        <v>14</v>
      </c>
    </row>
    <row r="8261" x14ac:dyDescent="0.25">
      <c r="A8261" t="n">
        <v>24</v>
      </c>
      <c r="B8261" t="s">
        <v>14</v>
      </c>
      <c r="C8261" t="s">
        <v>22</v>
      </c>
      <c r="D8261" s="2" t="s">
        <f>=HYPERLINK("https://main.knesset.gov.il/APPS/legislation/main/bills/2190330", "הצעת חוק סדר הדין הפלילי (תיקון - ביטול פסק דין שניתן בהיעדרו של הנאשם), התשפ""ב-2022")</f>
        <v>16111</v>
      </c>
      <c r="E8261" t="s">
        <v>16111</v>
      </c>
      <c r="F8261" t="s">
        <v>16112</v>
      </c>
      <c r="G8261" t="s">
        <v>14</v>
      </c>
      <c r="H8261">
             </c>
      <c r="I8261" t="s">
        <v>14</v>
      </c>
      <c r="J8261" t="s">
        <v>141</v>
      </c>
      <c r="K8261" t="s">
        <v>14</v>
      </c>
      <c r="L8261" t="s">
        <v>20</v>
      </c>
      <c r="M8261" t="s">
        <v>16002</v>
      </c>
      <c r="N8261" t="s">
        <v>14</v>
      </c>
    </row>
    <row r="8262" x14ac:dyDescent="0.25">
      <c r="A8262" t="n">
        <v>24</v>
      </c>
      <c r="B8262" t="s">
        <v>14</v>
      </c>
      <c r="C8262" t="s">
        <v>22</v>
      </c>
      <c r="D8262" s="2" t="s">
        <f>=HYPERLINK("https://main.knesset.gov.il/APPS/legislation/main/bills/2190533", "הצעת חוק גנים לאומיים, שמורות טבע, אתרים לאומיים ואתרי הנצחה (תיקון - פטור מתשלומי חובה עבור התקנת תשתיות ציבוריות), התשפ""ב-2022")</f>
        <v>16113</v>
      </c>
      <c r="E8262" t="s">
        <v>16113</v>
      </c>
      <c r="F8262" t="s">
        <v>16114</v>
      </c>
      <c r="G8262" t="s">
        <v>14</v>
      </c>
      <c r="H8262">
             </c>
      <c r="I8262" t="s">
        <v>14</v>
      </c>
      <c r="J8262" t="s">
        <v>141</v>
      </c>
      <c r="K8262" t="s">
        <v>14</v>
      </c>
      <c r="L8262" t="s">
        <v>20</v>
      </c>
      <c r="M8262" t="s">
        <v>16002</v>
      </c>
      <c r="N8262" t="s">
        <v>14</v>
      </c>
    </row>
    <row r="8263" x14ac:dyDescent="0.25">
      <c r="A8263" t="n">
        <v>24</v>
      </c>
      <c r="B8263" t="s">
        <v>14</v>
      </c>
      <c r="C8263" t="s">
        <v>22</v>
      </c>
      <c r="D8263" s="2" t="s">
        <f>=HYPERLINK("https://main.knesset.gov.il/APPS/legislation/main/bills/2190007", "הצעת חוק צער בעלי חיים (הגנה על בעלי חיים) (תיקון - איסור שימוש במלכודות דבק ומלכודות רגל, והחלת עבירות באזור יהודה ושומרון), התשפ""ב-2022")</f>
        <v>16115</v>
      </c>
      <c r="E8263" t="s">
        <v>16115</v>
      </c>
      <c r="F8263" t="s">
        <v>16116</v>
      </c>
      <c r="G8263" t="s">
        <v>14</v>
      </c>
      <c r="H8263">
             </c>
      <c r="I8263" t="s">
        <v>14</v>
      </c>
      <c r="J8263" t="s">
        <v>141</v>
      </c>
      <c r="K8263" t="s">
        <v>14</v>
      </c>
      <c r="L8263" t="s">
        <v>20</v>
      </c>
      <c r="M8263" t="s">
        <v>16002</v>
      </c>
      <c r="N8263" t="s">
        <v>14</v>
      </c>
    </row>
    <row r="8264" x14ac:dyDescent="0.25">
      <c r="A8264" t="n">
        <v>24</v>
      </c>
      <c r="B8264" t="s">
        <v>14</v>
      </c>
      <c r="C8264" t="s">
        <v>22</v>
      </c>
      <c r="D8264" s="2" t="s">
        <f>=HYPERLINK("https://main.knesset.gov.il/APPS/legislation/main/bills/2190332", "הצעת חוק סיוע לחולי דגנת, התשפ""ב-2022")</f>
        <v>16117</v>
      </c>
      <c r="E8264" t="s">
        <v>16117</v>
      </c>
      <c r="F8264" t="s">
        <v>16118</v>
      </c>
      <c r="G8264" t="s">
        <v>14</v>
      </c>
      <c r="H8264">
             </c>
      <c r="I8264" t="s">
        <v>14</v>
      </c>
      <c r="J8264" t="s">
        <v>141</v>
      </c>
      <c r="K8264" t="s">
        <v>14</v>
      </c>
      <c r="L8264" t="s">
        <v>20</v>
      </c>
      <c r="M8264" t="s">
        <v>16002</v>
      </c>
      <c r="N8264" t="s">
        <v>14</v>
      </c>
    </row>
    <row r="8265" x14ac:dyDescent="0.25">
      <c r="A8265" t="n">
        <v>24</v>
      </c>
      <c r="B8265" t="s">
        <v>14</v>
      </c>
      <c r="C8265" t="s">
        <v>22</v>
      </c>
      <c r="D8265" s="2" t="s">
        <f>=HYPERLINK("https://main.knesset.gov.il/APPS/legislation/main/bills/2190536", "הצעת חוק צער בעלי חיים (ניסויים בבעלי חיים) (תיקון - נציג ציבור בוועדה פנימית), התשפ""ב-2022")</f>
        <v>16119</v>
      </c>
      <c r="E8265" t="s">
        <v>16119</v>
      </c>
      <c r="F8265" t="s">
        <v>16120</v>
      </c>
      <c r="G8265" t="s">
        <v>14</v>
      </c>
      <c r="H8265">
             </c>
      <c r="I8265" t="s">
        <v>14</v>
      </c>
      <c r="J8265" t="s">
        <v>141</v>
      </c>
      <c r="K8265" t="s">
        <v>14</v>
      </c>
      <c r="L8265" t="s">
        <v>20</v>
      </c>
      <c r="M8265" t="s">
        <v>16002</v>
      </c>
      <c r="N8265" t="s">
        <v>14</v>
      </c>
    </row>
    <row r="8266" x14ac:dyDescent="0.25">
      <c r="A8266" t="n">
        <v>24</v>
      </c>
      <c r="B8266" t="s">
        <v>14</v>
      </c>
      <c r="C8266" t="s">
        <v>22</v>
      </c>
      <c r="D8266" s="2" t="s">
        <f>=HYPERLINK("https://main.knesset.gov.il/APPS/legislation/main/bills/2190207", "הצעת חוק הרשויות המקומיות (דירות מקלט), התשפ""ב-2022")</f>
        <v>16121</v>
      </c>
      <c r="E8266" t="s">
        <v>16121</v>
      </c>
      <c r="F8266" t="s">
        <v>16122</v>
      </c>
      <c r="G8266" t="s">
        <v>14</v>
      </c>
      <c r="H8266">
             </c>
      <c r="I8266" t="s">
        <v>14</v>
      </c>
      <c r="J8266" t="s">
        <v>141</v>
      </c>
      <c r="K8266" t="s">
        <v>14</v>
      </c>
      <c r="L8266" t="s">
        <v>20</v>
      </c>
      <c r="M8266" t="s">
        <v>16002</v>
      </c>
      <c r="N8266" t="s">
        <v>14</v>
      </c>
    </row>
    <row r="8267" x14ac:dyDescent="0.25">
      <c r="A8267" t="n">
        <v>24</v>
      </c>
      <c r="B8267" t="s">
        <v>14</v>
      </c>
      <c r="C8267" t="s">
        <v>22</v>
      </c>
      <c r="D8267" s="2" t="s">
        <f>=HYPERLINK("https://main.knesset.gov.il/APPS/legislation/main/bills/2190539", "הצעת חוק שיווי זכויות האישה (תיקון - תחולה), התשפ""ב-2022")</f>
        <v>16123</v>
      </c>
      <c r="E8267" t="s">
        <v>16123</v>
      </c>
      <c r="F8267" t="s">
        <v>16124</v>
      </c>
      <c r="G8267" t="s">
        <v>14</v>
      </c>
      <c r="H8267">
             </c>
      <c r="I8267" t="s">
        <v>14</v>
      </c>
      <c r="J8267" t="s">
        <v>141</v>
      </c>
      <c r="K8267" t="s">
        <v>14</v>
      </c>
      <c r="L8267" t="s">
        <v>20</v>
      </c>
      <c r="M8267" t="s">
        <v>16002</v>
      </c>
      <c r="N8267" t="s">
        <v>14</v>
      </c>
    </row>
    <row r="8268" x14ac:dyDescent="0.25">
      <c r="A8268" t="n">
        <v>24</v>
      </c>
      <c r="B8268" t="s">
        <v>14</v>
      </c>
      <c r="C8268" t="s">
        <v>22</v>
      </c>
      <c r="D8268" s="2" t="s">
        <f>=HYPERLINK("https://main.knesset.gov.il/APPS/legislation/main/bills/2190538", "הצעת חוק לתיקון פקודת הרוקחים (חיוב רישום רכיבי תמרוקים ומוצרי ניקיון), התשפ""ב-2022")</f>
        <v>16125</v>
      </c>
      <c r="E8268" t="s">
        <v>16125</v>
      </c>
      <c r="F8268" t="s">
        <v>16126</v>
      </c>
      <c r="G8268" t="s">
        <v>14</v>
      </c>
      <c r="H8268">
             </c>
      <c r="I8268" t="s">
        <v>14</v>
      </c>
      <c r="J8268" t="s">
        <v>141</v>
      </c>
      <c r="K8268" t="s">
        <v>14</v>
      </c>
      <c r="L8268" t="s">
        <v>20</v>
      </c>
      <c r="M8268" t="s">
        <v>16002</v>
      </c>
      <c r="N8268" t="s">
        <v>14</v>
      </c>
    </row>
    <row r="8269" x14ac:dyDescent="0.25">
      <c r="A8269" t="n">
        <v>24</v>
      </c>
      <c r="B8269" t="s">
        <v>14</v>
      </c>
      <c r="C8269" t="s">
        <v>22</v>
      </c>
      <c r="D8269" s="2" t="s">
        <f>=HYPERLINK("https://main.knesset.gov.il/APPS/legislation/main/bills/2190100", "הצעת חוק מס הכנסה (פטור ממס על הכנסה מהשכרת דירת מגורים) (תיקון - ניכוי דמי שכירות ששולמו בעד דירת מגורים), התשפ""ב-2022")</f>
        <v>16127</v>
      </c>
      <c r="E8269" t="s">
        <v>16127</v>
      </c>
      <c r="F8269" t="s">
        <v>16128</v>
      </c>
      <c r="G8269" t="s">
        <v>14</v>
      </c>
      <c r="H8269">
             </c>
      <c r="I8269" t="s">
        <v>14</v>
      </c>
      <c r="J8269" t="s">
        <v>141</v>
      </c>
      <c r="K8269" t="s">
        <v>14</v>
      </c>
      <c r="L8269" t="s">
        <v>20</v>
      </c>
      <c r="M8269" t="s">
        <v>16002</v>
      </c>
      <c r="N8269" t="s">
        <v>14</v>
      </c>
    </row>
    <row r="8270" x14ac:dyDescent="0.25">
      <c r="A8270" t="n">
        <v>24</v>
      </c>
      <c r="B8270" t="s">
        <v>14</v>
      </c>
      <c r="C8270" t="s">
        <v>22</v>
      </c>
      <c r="D8270" s="2" t="s">
        <f>=HYPERLINK("https://main.knesset.gov.il/APPS/legislation/main/bills/2190534", "הצעת חוק הביטוח הלאומי (תיקון - פטור מכפל תשלום דמי ביטוח לאומי), התשפ""ב-2022")</f>
        <v>16129</v>
      </c>
      <c r="E8270" t="s">
        <v>16129</v>
      </c>
      <c r="F8270" t="s">
        <v>16130</v>
      </c>
      <c r="G8270" t="s">
        <v>14</v>
      </c>
      <c r="H8270">
             </c>
      <c r="I8270" t="s">
        <v>14</v>
      </c>
      <c r="J8270" t="s">
        <v>141</v>
      </c>
      <c r="K8270" t="s">
        <v>14</v>
      </c>
      <c r="L8270" t="s">
        <v>20</v>
      </c>
      <c r="M8270" t="s">
        <v>16002</v>
      </c>
      <c r="N8270" t="s">
        <v>14</v>
      </c>
    </row>
    <row r="8271" x14ac:dyDescent="0.25">
      <c r="A8271" t="n">
        <v>24</v>
      </c>
      <c r="B8271" t="s">
        <v>14</v>
      </c>
      <c r="C8271" t="s">
        <v>22</v>
      </c>
      <c r="D8271" s="2" t="s">
        <f>=HYPERLINK("https://main.knesset.gov.il/APPS/legislation/main/bills/2189821", "הצעת חוק מיסוי מקרקעין (שבח ורכישה) (תיקון - הרחבת פטור לדירת מגורים מזכה), התשפ""ב-2022")</f>
        <v>16131</v>
      </c>
      <c r="E8271" t="s">
        <v>16131</v>
      </c>
      <c r="F8271" t="s">
        <v>16132</v>
      </c>
      <c r="G8271" t="s">
        <v>14</v>
      </c>
      <c r="H8271">
             </c>
      <c r="I8271" t="s">
        <v>14</v>
      </c>
      <c r="J8271" t="s">
        <v>141</v>
      </c>
      <c r="K8271" t="s">
        <v>14</v>
      </c>
      <c r="L8271" t="s">
        <v>20</v>
      </c>
      <c r="M8271" t="s">
        <v>16002</v>
      </c>
      <c r="N8271" t="s">
        <v>14</v>
      </c>
    </row>
    <row r="8272" x14ac:dyDescent="0.25">
      <c r="A8272" t="n">
        <v>24</v>
      </c>
      <c r="B8272" t="s">
        <v>14</v>
      </c>
      <c r="C8272" t="s">
        <v>22</v>
      </c>
      <c r="D8272" s="2" t="s">
        <f>=HYPERLINK("https://main.knesset.gov.il/APPS/legislation/main/bills/2190527", "הצעת חוק לתיקון פקודת היערות (הגברת ההגנה על עצים בוגרים), התשפ""ב-2022")</f>
        <v>16133</v>
      </c>
      <c r="E8272" t="s">
        <v>16133</v>
      </c>
      <c r="F8272" t="s">
        <v>16134</v>
      </c>
      <c r="G8272" t="s">
        <v>14</v>
      </c>
      <c r="H8272">
             </c>
      <c r="I8272" t="s">
        <v>14</v>
      </c>
      <c r="J8272" t="s">
        <v>141</v>
      </c>
      <c r="K8272" t="s">
        <v>14</v>
      </c>
      <c r="L8272" t="s">
        <v>20</v>
      </c>
      <c r="M8272" t="s">
        <v>16002</v>
      </c>
      <c r="N8272" t="s">
        <v>14</v>
      </c>
    </row>
    <row r="8273" x14ac:dyDescent="0.25">
      <c r="A8273" t="n">
        <v>24</v>
      </c>
      <c r="B8273" t="s">
        <v>14</v>
      </c>
      <c r="C8273" t="s">
        <v>22</v>
      </c>
      <c r="D8273" s="2" t="s">
        <f>=HYPERLINK("https://main.knesset.gov.il/APPS/legislation/main/bills/2189760", "הצעת חוק תמיכה במימון פעילות ארגון נכי צה""ל ובתי הלוחם ובארגון נפגעי פעולות האיבה, התשפ""ב-2022")</f>
        <v>16135</v>
      </c>
      <c r="E8273" t="s">
        <v>16135</v>
      </c>
      <c r="F8273" t="s">
        <v>16136</v>
      </c>
      <c r="G8273" t="s">
        <v>14</v>
      </c>
      <c r="H8273">
             </c>
      <c r="I8273" t="s">
        <v>14</v>
      </c>
      <c r="J8273" t="s">
        <v>343</v>
      </c>
      <c r="K8273" t="s">
        <v>14</v>
      </c>
      <c r="L8273" t="s">
        <v>20</v>
      </c>
      <c r="M8273" t="s">
        <v>16002</v>
      </c>
      <c r="N8273" t="s">
        <v>14</v>
      </c>
    </row>
    <row r="8274" x14ac:dyDescent="0.25">
      <c r="A8274" t="n">
        <v>24</v>
      </c>
      <c r="B8274" t="s">
        <v>14</v>
      </c>
      <c r="C8274" t="s">
        <v>22</v>
      </c>
      <c r="D8274" s="2" t="s">
        <f>=HYPERLINK("https://main.knesset.gov.il/APPS/legislation/main/bills/2170289", "הצעת חוק להגדלת שיעור ההשתתפות בכוח העבודה ולצמצום פערים חברתיים (מענק עבודה) (תיקון - הורדת גיל הזכאות), התשפ""ב-2022")</f>
        <v>16137</v>
      </c>
      <c r="E8274" t="s">
        <v>16137</v>
      </c>
      <c r="F8274" t="s">
        <v>16138</v>
      </c>
      <c r="G8274" t="s">
        <v>14</v>
      </c>
      <c r="H8274">
             </c>
      <c r="I8274" t="s">
        <v>14</v>
      </c>
      <c r="J8274" t="s">
        <v>141</v>
      </c>
      <c r="K8274" t="s">
        <v>14</v>
      </c>
      <c r="L8274" t="s">
        <v>20</v>
      </c>
      <c r="M8274" t="s">
        <v>16002</v>
      </c>
      <c r="N8274" t="s">
        <v>14</v>
      </c>
    </row>
    <row r="8275" x14ac:dyDescent="0.25">
      <c r="A8275" t="n">
        <v>24</v>
      </c>
      <c r="B8275" t="s">
        <v>14</v>
      </c>
      <c r="C8275" t="s">
        <v>22</v>
      </c>
      <c r="D8275" s="2" t="s">
        <f>=HYPERLINK("https://main.knesset.gov.il/APPS/legislation/main/bills/2168206", "הצעת חוק אחריות סביבתית (חובת דיווח סביבתית), התשפ״ב-2022")</f>
        <v>16139</v>
      </c>
      <c r="E8275" t="s">
        <v>16139</v>
      </c>
      <c r="F8275" t="s">
        <v>16140</v>
      </c>
      <c r="G8275" t="s">
        <v>14</v>
      </c>
      <c r="H8275">
             </c>
      <c r="I8275" t="s">
        <v>14</v>
      </c>
      <c r="J8275" t="s">
        <v>141</v>
      </c>
      <c r="K8275" t="s">
        <v>14</v>
      </c>
      <c r="L8275" t="s">
        <v>20</v>
      </c>
      <c r="M8275" t="s">
        <v>16002</v>
      </c>
      <c r="N8275" t="s">
        <v>14</v>
      </c>
    </row>
    <row r="8276" x14ac:dyDescent="0.25">
      <c r="A8276" t="n">
        <v>24</v>
      </c>
      <c r="B8276" t="s">
        <v>14</v>
      </c>
      <c r="C8276" t="s">
        <v>22</v>
      </c>
      <c r="D8276" s="2" t="s">
        <f>=HYPERLINK("https://main.knesset.gov.il/APPS/legislation/main/bills/2170280", "הצעת חוק ההוצאה לפועל (תיקון - ביטול האפשרות לצוות על עיכוב יציאה מהארץ בגין חוב כספי נמוך), התשפ""ב-2022")</f>
        <v>16141</v>
      </c>
      <c r="E8276" t="s">
        <v>16141</v>
      </c>
      <c r="F8276" t="s">
        <v>16142</v>
      </c>
      <c r="G8276" t="s">
        <v>14</v>
      </c>
      <c r="H8276">
             </c>
      <c r="I8276" t="s">
        <v>14</v>
      </c>
      <c r="J8276" t="s">
        <v>141</v>
      </c>
      <c r="K8276" t="s">
        <v>14</v>
      </c>
      <c r="L8276" t="s">
        <v>20</v>
      </c>
      <c r="M8276" t="s">
        <v>16002</v>
      </c>
      <c r="N8276" t="s">
        <v>14</v>
      </c>
    </row>
    <row r="8277" x14ac:dyDescent="0.25">
      <c r="A8277" t="n">
        <v>24</v>
      </c>
      <c r="B8277" t="s">
        <v>14</v>
      </c>
      <c r="C8277" t="s">
        <v>22</v>
      </c>
      <c r="D8277" s="2" t="s">
        <f>=HYPERLINK("https://main.knesset.gov.il/APPS/legislation/main/bills/2169745", "הצעת חוק מס ריבוי דירות, התשפ""ב-2022")</f>
        <v>16143</v>
      </c>
      <c r="E8277" t="s">
        <v>16143</v>
      </c>
      <c r="F8277" t="s">
        <v>16144</v>
      </c>
      <c r="G8277" t="s">
        <v>14</v>
      </c>
      <c r="H8277">
             </c>
      <c r="I8277" t="s">
        <v>14</v>
      </c>
      <c r="J8277" t="s">
        <v>141</v>
      </c>
      <c r="K8277" t="s">
        <v>14</v>
      </c>
      <c r="L8277" t="s">
        <v>20</v>
      </c>
      <c r="M8277" t="s">
        <v>16002</v>
      </c>
      <c r="N8277" t="s">
        <v>14</v>
      </c>
    </row>
    <row r="8278" x14ac:dyDescent="0.25">
      <c r="A8278" t="n">
        <v>24</v>
      </c>
      <c r="B8278" t="s">
        <v>14</v>
      </c>
      <c r="C8278" t="s">
        <v>22</v>
      </c>
      <c r="D8278" s="2" t="s">
        <f>=HYPERLINK("https://main.knesset.gov.il/APPS/legislation/main/bills/2169777", "הצעת חוק חובת המכרזים (תיקון - חובה לשקול שיקולי הגנת צרכן במכרזים), התשפ""ב-2022")</f>
        <v>16145</v>
      </c>
      <c r="E8278" t="s">
        <v>16145</v>
      </c>
      <c r="F8278" t="s">
        <v>16146</v>
      </c>
      <c r="G8278" t="s">
        <v>14</v>
      </c>
      <c r="H8278">
             </c>
      <c r="I8278" t="s">
        <v>14</v>
      </c>
      <c r="J8278" t="s">
        <v>141</v>
      </c>
      <c r="K8278" t="s">
        <v>14</v>
      </c>
      <c r="L8278" t="s">
        <v>20</v>
      </c>
      <c r="M8278" t="s">
        <v>16002</v>
      </c>
      <c r="N8278" t="s">
        <v>14</v>
      </c>
    </row>
    <row r="8279" x14ac:dyDescent="0.25">
      <c r="A8279" t="n">
        <v>24</v>
      </c>
      <c r="B8279" t="s">
        <v>14</v>
      </c>
      <c r="C8279" t="s">
        <v>22</v>
      </c>
      <c r="D8279" s="2" t="s">
        <f>=HYPERLINK("https://main.knesset.gov.il/APPS/legislation/main/bills/2169664", "הצעת חוק צער בעלי חיים (הגנה על בעלי חיים) (תיקון - איסור משלוחים חיים לשחיטה), התשפ""ב-2022")</f>
        <v>16147</v>
      </c>
      <c r="E8279" t="s">
        <v>16147</v>
      </c>
      <c r="F8279" t="s">
        <v>16148</v>
      </c>
      <c r="G8279" t="s">
        <v>14</v>
      </c>
      <c r="H8279">
             </c>
      <c r="I8279" t="s">
        <v>14</v>
      </c>
      <c r="J8279" t="s">
        <v>141</v>
      </c>
      <c r="K8279" t="s">
        <v>14</v>
      </c>
      <c r="L8279" t="s">
        <v>20</v>
      </c>
      <c r="M8279" t="s">
        <v>16002</v>
      </c>
      <c r="N8279" t="s">
        <v>14</v>
      </c>
    </row>
    <row r="8280" x14ac:dyDescent="0.25">
      <c r="A8280" t="n">
        <v>24</v>
      </c>
      <c r="B8280" t="s">
        <v>14</v>
      </c>
      <c r="C8280" t="s">
        <v>22</v>
      </c>
      <c r="D8280" s="2" t="s">
        <f>=HYPERLINK("https://main.knesset.gov.il/APPS/legislation/main/bills/2169503", "הצעת חוק שעות עבודה ומנוחה (תיקון - תשלום עבור שעות כוננות), התשפ״ב-2022")</f>
        <v>16149</v>
      </c>
      <c r="E8280" t="s">
        <v>16149</v>
      </c>
      <c r="F8280" t="s">
        <v>16150</v>
      </c>
      <c r="G8280" t="s">
        <v>14</v>
      </c>
      <c r="H8280">
             </c>
      <c r="I8280" t="s">
        <v>14</v>
      </c>
      <c r="J8280" t="s">
        <v>141</v>
      </c>
      <c r="K8280" t="s">
        <v>14</v>
      </c>
      <c r="L8280" t="s">
        <v>20</v>
      </c>
      <c r="M8280" t="s">
        <v>16002</v>
      </c>
      <c r="N8280" t="s">
        <v>14</v>
      </c>
    </row>
    <row r="8281" x14ac:dyDescent="0.25">
      <c r="A8281" t="n">
        <v>24</v>
      </c>
      <c r="B8281" t="s">
        <v>14</v>
      </c>
      <c r="C8281" t="s">
        <v>22</v>
      </c>
      <c r="D8281" s="2" t="s">
        <f>=HYPERLINK("https://main.knesset.gov.il/APPS/legislation/main/bills/2167857", "הצעת חוק הביטוח הלאומי (תיקון - ביטוח זכויות עצמאי שעיקר הכנסתו מעסק בהליכי חדלות פירעון), התשפ""ב-2022")</f>
        <v>16151</v>
      </c>
      <c r="E8281" t="s">
        <v>16151</v>
      </c>
      <c r="F8281" t="s">
        <v>16152</v>
      </c>
      <c r="G8281" t="s">
        <v>14</v>
      </c>
      <c r="H8281">
             </c>
      <c r="I8281" t="s">
        <v>14</v>
      </c>
      <c r="J8281" t="s">
        <v>141</v>
      </c>
      <c r="K8281" t="s">
        <v>14</v>
      </c>
      <c r="L8281" t="s">
        <v>20</v>
      </c>
      <c r="M8281" t="s">
        <v>16002</v>
      </c>
      <c r="N8281" t="s">
        <v>14</v>
      </c>
    </row>
    <row r="8282" x14ac:dyDescent="0.25">
      <c r="A8282" t="n">
        <v>24</v>
      </c>
      <c r="B8282" t="s">
        <v>14</v>
      </c>
      <c r="C8282" t="s">
        <v>22</v>
      </c>
      <c r="D8282" s="2" t="s">
        <f>=HYPERLINK("https://main.knesset.gov.il/APPS/legislation/main/bills/2190294", "הצעת חוק לתיקון פקודת בריאות העם (הוספת מגנזיום למי השתייה), התשפ""ב-2022")</f>
        <v>16153</v>
      </c>
      <c r="E8282" t="s">
        <v>16153</v>
      </c>
      <c r="F8282" t="s">
        <v>16154</v>
      </c>
      <c r="G8282" t="s">
        <v>14</v>
      </c>
      <c r="H8282">
             </c>
      <c r="I8282" t="s">
        <v>14</v>
      </c>
      <c r="J8282" t="s">
        <v>141</v>
      </c>
      <c r="K8282" t="s">
        <v>14</v>
      </c>
      <c r="L8282" t="s">
        <v>20</v>
      </c>
      <c r="M8282" t="s">
        <v>16002</v>
      </c>
      <c r="N8282" t="s">
        <v>14</v>
      </c>
    </row>
    <row r="8283" x14ac:dyDescent="0.25">
      <c r="A8283" t="n">
        <v>24</v>
      </c>
      <c r="B8283" t="s">
        <v>14</v>
      </c>
      <c r="C8283" t="s">
        <v>22</v>
      </c>
      <c r="D8283" s="2" t="s">
        <f>=HYPERLINK("https://main.knesset.gov.il/APPS/legislation/main/bills/2190516", "הצעת חוק החזר הוצאות כספיות בגין עריכת נישואין אזרחיים בחוץ לארץ למי שאינם רשאים או שאינם מעוניינים להינשא על פי הדין הדתי, התשפ""ב-2022")</f>
        <v>16155</v>
      </c>
      <c r="E8283" t="s">
        <v>16155</v>
      </c>
      <c r="F8283" t="s">
        <v>16156</v>
      </c>
      <c r="G8283" t="s">
        <v>14</v>
      </c>
      <c r="H8283">
             </c>
      <c r="I8283" t="s">
        <v>14</v>
      </c>
      <c r="J8283" t="s">
        <v>141</v>
      </c>
      <c r="K8283" t="s">
        <v>14</v>
      </c>
      <c r="L8283" t="s">
        <v>20</v>
      </c>
      <c r="M8283" t="s">
        <v>16002</v>
      </c>
      <c r="N8283" t="s">
        <v>14</v>
      </c>
    </row>
    <row r="8284" x14ac:dyDescent="0.25">
      <c r="A8284" t="n">
        <v>24</v>
      </c>
      <c r="B8284" t="s">
        <v>14</v>
      </c>
      <c r="C8284" t="s">
        <v>22</v>
      </c>
      <c r="D8284" s="2" t="s">
        <f>=HYPERLINK("https://main.knesset.gov.il/APPS/legislation/main/bills/2190344", "הצעת חוק פיקוח על בתי ספר (תיקון - הרחבת תחולה), התשפ""ב-2022")</f>
        <v>16157</v>
      </c>
      <c r="E8284" t="s">
        <v>16157</v>
      </c>
      <c r="F8284" t="s">
        <v>16158</v>
      </c>
      <c r="G8284" t="s">
        <v>14</v>
      </c>
      <c r="H8284">
             </c>
      <c r="I8284" t="s">
        <v>14</v>
      </c>
      <c r="J8284" t="s">
        <v>141</v>
      </c>
      <c r="K8284" t="s">
        <v>14</v>
      </c>
      <c r="L8284" t="s">
        <v>20</v>
      </c>
      <c r="M8284" t="s">
        <v>16002</v>
      </c>
      <c r="N8284" t="s">
        <v>14</v>
      </c>
    </row>
    <row r="8285" x14ac:dyDescent="0.25">
      <c r="A8285" t="n">
        <v>24</v>
      </c>
      <c r="B8285" t="s">
        <v>14</v>
      </c>
      <c r="C8285" t="s">
        <v>22</v>
      </c>
      <c r="D8285" s="2" t="s">
        <f>=HYPERLINK("https://main.knesset.gov.il/APPS/legislation/main/bills/2190325", "הצעת חוק מס ערך מוסף (תיקון - פטור ממס במכירת תרופות מצילות חיים שאינן כלולות בסל הבריאות), התשפ""ב-2022")</f>
        <v>16159</v>
      </c>
      <c r="E8285" t="s">
        <v>16159</v>
      </c>
      <c r="F8285" t="s">
        <v>16160</v>
      </c>
      <c r="G8285" t="s">
        <v>14</v>
      </c>
      <c r="H8285">
             </c>
      <c r="I8285" t="s">
        <v>14</v>
      </c>
      <c r="J8285" t="s">
        <v>141</v>
      </c>
      <c r="K8285" t="s">
        <v>14</v>
      </c>
      <c r="L8285" t="s">
        <v>20</v>
      </c>
      <c r="M8285" t="s">
        <v>16002</v>
      </c>
      <c r="N8285" t="s">
        <v>14</v>
      </c>
    </row>
    <row r="8286" x14ac:dyDescent="0.25">
      <c r="A8286" t="n">
        <v>24</v>
      </c>
      <c r="B8286" t="s">
        <v>14</v>
      </c>
      <c r="C8286" t="s">
        <v>22</v>
      </c>
      <c r="D8286" s="2" t="s">
        <f>=HYPERLINK("https://main.knesset.gov.il/APPS/legislation/main/bills/2190333", "הצעת חוק סינון אתרים פוגעניים במקומות ציבוריים, התשפ""ב-2022")</f>
        <v>16161</v>
      </c>
      <c r="E8286" t="s">
        <v>16161</v>
      </c>
      <c r="F8286" t="s">
        <v>16162</v>
      </c>
      <c r="G8286" t="s">
        <v>14</v>
      </c>
      <c r="H8286">
             </c>
      <c r="I8286" t="s">
        <v>14</v>
      </c>
      <c r="J8286" t="s">
        <v>141</v>
      </c>
      <c r="K8286" t="s">
        <v>14</v>
      </c>
      <c r="L8286" t="s">
        <v>20</v>
      </c>
      <c r="M8286" t="s">
        <v>16002</v>
      </c>
      <c r="N8286" t="s">
        <v>14</v>
      </c>
    </row>
    <row r="8287" x14ac:dyDescent="0.25">
      <c r="A8287" t="n">
        <v>24</v>
      </c>
      <c r="B8287" t="s">
        <v>14</v>
      </c>
      <c r="C8287" t="s">
        <v>22</v>
      </c>
      <c r="D8287" s="2" t="s">
        <f>=HYPERLINK("https://main.knesset.gov.il/APPS/legislation/main/bills/2189836", "הצעת חוק חוזה קבלנות (תיקון - חופש מהעסקה), התשפ""ב-2022")</f>
        <v>16163</v>
      </c>
      <c r="E8287" t="s">
        <v>16163</v>
      </c>
      <c r="F8287" t="s">
        <v>16164</v>
      </c>
      <c r="G8287" t="s">
        <v>14</v>
      </c>
      <c r="H8287">
             </c>
      <c r="I8287" t="s">
        <v>14</v>
      </c>
      <c r="J8287" t="s">
        <v>141</v>
      </c>
      <c r="K8287" t="s">
        <v>14</v>
      </c>
      <c r="L8287" t="s">
        <v>20</v>
      </c>
      <c r="M8287" t="s">
        <v>16002</v>
      </c>
      <c r="N8287" t="s">
        <v>14</v>
      </c>
    </row>
    <row r="8288" x14ac:dyDescent="0.25">
      <c r="A8288" t="n">
        <v>24</v>
      </c>
      <c r="B8288" t="s">
        <v>14</v>
      </c>
      <c r="C8288" t="s">
        <v>22</v>
      </c>
      <c r="D8288" s="2" t="s">
        <f>=HYPERLINK("https://main.knesset.gov.il/APPS/legislation/main/bills/2190529", "הצעת חוק-יסוד: הממשלה (תיקון - איסור על חקירה פלילית נגד ראש הממשלה במהלך תקופת כהונתו) ")</f>
        <v>16165</v>
      </c>
      <c r="E8288" t="s">
        <v>16165</v>
      </c>
      <c r="F8288" t="s">
        <v>16166</v>
      </c>
      <c r="G8288" t="s">
        <v>14</v>
      </c>
      <c r="H8288">
             </c>
      <c r="I8288" t="s">
        <v>14</v>
      </c>
      <c r="J8288" t="s">
        <v>141</v>
      </c>
      <c r="K8288" t="s">
        <v>14</v>
      </c>
      <c r="L8288" t="s">
        <v>20</v>
      </c>
      <c r="M8288" t="s">
        <v>16002</v>
      </c>
      <c r="N8288" t="s">
        <v>14</v>
      </c>
    </row>
    <row r="8289" x14ac:dyDescent="0.25">
      <c r="A8289" t="n">
        <v>24</v>
      </c>
      <c r="B8289" t="s">
        <v>14</v>
      </c>
      <c r="C8289" t="s">
        <v>22</v>
      </c>
      <c r="D8289" s="2" t="s">
        <f>=HYPERLINK("https://main.knesset.gov.il/APPS/legislation/main/bills/2190530", "הצעת חוק עסקאות גופים ציבוריים (תיקון - מעבר לרכבים ידידותיים לסביבה בגופים ציבוריים), התשפ""ב-2022")</f>
        <v>16167</v>
      </c>
      <c r="E8289" t="s">
        <v>16167</v>
      </c>
      <c r="F8289" t="s">
        <v>16168</v>
      </c>
      <c r="G8289" t="s">
        <v>14</v>
      </c>
      <c r="H8289">
             </c>
      <c r="I8289" t="s">
        <v>14</v>
      </c>
      <c r="J8289" t="s">
        <v>141</v>
      </c>
      <c r="K8289" t="s">
        <v>14</v>
      </c>
      <c r="L8289" t="s">
        <v>20</v>
      </c>
      <c r="M8289" t="s">
        <v>16002</v>
      </c>
      <c r="N8289" t="s">
        <v>14</v>
      </c>
    </row>
    <row r="8290" x14ac:dyDescent="0.25">
      <c r="A8290" t="n">
        <v>24</v>
      </c>
      <c r="B8290" t="s">
        <v>14</v>
      </c>
      <c r="C8290" t="s">
        <v>22</v>
      </c>
      <c r="D8290" s="2" t="s">
        <f>=HYPERLINK("https://main.knesset.gov.il/APPS/legislation/main/bills/2190296", "הצעת חוק לתיקון פקודת הראיות (התייחסות איש צוות רפואי שלא תשמש ראיה), התשפ""ב-2022")</f>
        <v>16169</v>
      </c>
      <c r="E8290" t="s">
        <v>16169</v>
      </c>
      <c r="F8290" t="s">
        <v>16170</v>
      </c>
      <c r="G8290" t="s">
        <v>14</v>
      </c>
      <c r="H8290">
             </c>
      <c r="I8290" t="s">
        <v>14</v>
      </c>
      <c r="J8290" t="s">
        <v>141</v>
      </c>
      <c r="K8290" t="s">
        <v>14</v>
      </c>
      <c r="L8290" t="s">
        <v>20</v>
      </c>
      <c r="M8290" t="s">
        <v>16002</v>
      </c>
      <c r="N8290" t="s">
        <v>14</v>
      </c>
    </row>
    <row r="8291" x14ac:dyDescent="0.25">
      <c r="A8291" t="n">
        <v>24</v>
      </c>
      <c r="B8291" t="s">
        <v>14</v>
      </c>
      <c r="C8291" t="s">
        <v>22</v>
      </c>
      <c r="D8291" s="2" t="s">
        <f>=HYPERLINK("https://main.knesset.gov.il/APPS/legislation/main/bills/2190327", "הצעת חוק מעונות יום שיקומיים (תיקון - הקדמת גיל הזכאות), התשפ""ב-2022")</f>
        <v>16171</v>
      </c>
      <c r="E8291" t="s">
        <v>16171</v>
      </c>
      <c r="F8291" t="s">
        <v>16172</v>
      </c>
      <c r="G8291" t="s">
        <v>14</v>
      </c>
      <c r="H8291">
             </c>
      <c r="I8291" t="s">
        <v>14</v>
      </c>
      <c r="J8291" t="s">
        <v>141</v>
      </c>
      <c r="K8291" t="s">
        <v>14</v>
      </c>
      <c r="L8291" t="s">
        <v>20</v>
      </c>
      <c r="M8291" t="s">
        <v>16002</v>
      </c>
      <c r="N8291" t="s">
        <v>14</v>
      </c>
    </row>
    <row r="8292" x14ac:dyDescent="0.25">
      <c r="A8292" t="n">
        <v>24</v>
      </c>
      <c r="B8292" t="s">
        <v>14</v>
      </c>
      <c r="C8292" t="s">
        <v>22</v>
      </c>
      <c r="D8292" s="2" t="s">
        <f>=HYPERLINK("https://main.knesset.gov.il/APPS/legislation/main/bills/2158438", "הצעת חוק קליטת חיילים משוחררים (תיקון - הטבות לחיילים בודדים), התשפ""ב-2022")</f>
        <v>16173</v>
      </c>
      <c r="E8292" t="s">
        <v>16173</v>
      </c>
      <c r="F8292" t="s">
        <v>16174</v>
      </c>
      <c r="G8292" t="s">
        <v>14</v>
      </c>
      <c r="H8292">
             </c>
      <c r="I8292" t="s">
        <v>14</v>
      </c>
      <c r="J8292" t="s">
        <v>141</v>
      </c>
      <c r="K8292" t="s">
        <v>14</v>
      </c>
      <c r="L8292" t="s">
        <v>20</v>
      </c>
      <c r="M8292" t="s">
        <v>16002</v>
      </c>
      <c r="N8292" t="s">
        <v>14</v>
      </c>
    </row>
    <row r="8293" x14ac:dyDescent="0.25">
      <c r="A8293" t="n">
        <v>24</v>
      </c>
      <c r="B8293" t="s">
        <v>14</v>
      </c>
      <c r="C8293" t="s">
        <v>22</v>
      </c>
      <c r="D8293" s="2" t="s">
        <f>=HYPERLINK("https://main.knesset.gov.il/APPS/legislation/main/bills/2190338", "הצעת חוק דמי מחלה (היעדרות בשל מחלת ילד) (תיקון - הורה ליותר מילד אחד), התשפ""ב-2022")</f>
        <v>16175</v>
      </c>
      <c r="E8293" t="s">
        <v>16175</v>
      </c>
      <c r="F8293" t="s">
        <v>16176</v>
      </c>
      <c r="G8293" t="s">
        <v>14</v>
      </c>
      <c r="H8293">
             </c>
      <c r="I8293" t="s">
        <v>14</v>
      </c>
      <c r="J8293" t="s">
        <v>141</v>
      </c>
      <c r="K8293" t="s">
        <v>14</v>
      </c>
      <c r="L8293" t="s">
        <v>20</v>
      </c>
      <c r="M8293" t="s">
        <v>16002</v>
      </c>
      <c r="N8293" t="s">
        <v>14</v>
      </c>
    </row>
    <row r="8294" x14ac:dyDescent="0.25">
      <c r="A8294" t="n">
        <v>24</v>
      </c>
      <c r="B8294" t="s">
        <v>14</v>
      </c>
      <c r="C8294" t="s">
        <v>22</v>
      </c>
      <c r="D8294" s="2" t="s">
        <f>=HYPERLINK("https://main.knesset.gov.il/APPS/legislation/main/bills/2167870", "הצעת חוק הסיוע המשפטי (תיקון - הוצאות מומחים), התשפ""ב-2022")</f>
        <v>16177</v>
      </c>
      <c r="E8294" t="s">
        <v>16177</v>
      </c>
      <c r="F8294" t="s">
        <v>16178</v>
      </c>
      <c r="G8294" t="s">
        <v>14</v>
      </c>
      <c r="H8294">
             </c>
      <c r="I8294" t="s">
        <v>14</v>
      </c>
      <c r="J8294" t="s">
        <v>141</v>
      </c>
      <c r="K8294" t="s">
        <v>14</v>
      </c>
      <c r="L8294" t="s">
        <v>20</v>
      </c>
      <c r="M8294" t="s">
        <v>16002</v>
      </c>
      <c r="N8294" t="s">
        <v>14</v>
      </c>
    </row>
    <row r="8295" x14ac:dyDescent="0.25">
      <c r="A8295" t="n">
        <v>24</v>
      </c>
      <c r="B8295" t="s">
        <v>14</v>
      </c>
      <c r="C8295" t="s">
        <v>22</v>
      </c>
      <c r="D8295" s="2" t="s">
        <f>=HYPERLINK("https://main.knesset.gov.il/APPS/legislation/main/bills/2190537", "הצעת חוק העונשין (תיקון - החמרת ענישה בפשיעה חקלאית), התשפ""ב-2022")</f>
        <v>16179</v>
      </c>
      <c r="E8295" t="s">
        <v>16179</v>
      </c>
      <c r="F8295" t="s">
        <v>16180</v>
      </c>
      <c r="G8295" t="s">
        <v>14</v>
      </c>
      <c r="H8295">
             </c>
      <c r="I8295" t="s">
        <v>14</v>
      </c>
      <c r="J8295" t="s">
        <v>141</v>
      </c>
      <c r="K8295" t="s">
        <v>14</v>
      </c>
      <c r="L8295" t="s">
        <v>20</v>
      </c>
      <c r="M8295" t="s">
        <v>16002</v>
      </c>
      <c r="N8295" t="s">
        <v>14</v>
      </c>
    </row>
    <row r="8296" x14ac:dyDescent="0.25">
      <c r="A8296" t="n">
        <v>24</v>
      </c>
      <c r="B8296" t="s">
        <v>14</v>
      </c>
      <c r="C8296" t="s">
        <v>22</v>
      </c>
      <c r="D8296" s="2" t="s">
        <f>=HYPERLINK("https://main.knesset.gov.il/APPS/legislation/main/bills/2190302", "הצעת חוק לתיקון פקודת התעבורה (סדרי דין מיוחדים לעניין שירות לתועלת הציבור בעבירות תעבורה), התשפ""ב-2022")</f>
        <v>16181</v>
      </c>
      <c r="E8296" t="s">
        <v>16181</v>
      </c>
      <c r="F8296" t="s">
        <v>16182</v>
      </c>
      <c r="G8296" t="s">
        <v>14</v>
      </c>
      <c r="H8296">
             </c>
      <c r="I8296" t="s">
        <v>14</v>
      </c>
      <c r="J8296" t="s">
        <v>141</v>
      </c>
      <c r="K8296" t="s">
        <v>14</v>
      </c>
      <c r="L8296" t="s">
        <v>20</v>
      </c>
      <c r="M8296" t="s">
        <v>16002</v>
      </c>
      <c r="N8296" t="s">
        <v>14</v>
      </c>
    </row>
    <row r="8297" x14ac:dyDescent="0.25">
      <c r="A8297" t="n">
        <v>24</v>
      </c>
      <c r="B8297" t="s">
        <v>14</v>
      </c>
      <c r="C8297" t="s">
        <v>22</v>
      </c>
      <c r="D8297" s="2" t="s">
        <f>=HYPERLINK("https://main.knesset.gov.il/APPS/legislation/main/bills/2190336", "הצעת חוק פיקוח על מחירי מצרכים ושירותים (תיקון - קביעת ההפרש בין מחיר מצרך לצרכן ומחיר מצרך לקמעונאי כרווח מרבי), התשפ""ב-2022")</f>
        <v>16183</v>
      </c>
      <c r="E8297" t="s">
        <v>16183</v>
      </c>
      <c r="F8297" t="s">
        <v>16184</v>
      </c>
      <c r="G8297" t="s">
        <v>14</v>
      </c>
      <c r="H8297">
             </c>
      <c r="I8297" t="s">
        <v>14</v>
      </c>
      <c r="J8297" t="s">
        <v>141</v>
      </c>
      <c r="K8297" t="s">
        <v>14</v>
      </c>
      <c r="L8297" t="s">
        <v>20</v>
      </c>
      <c r="M8297" t="s">
        <v>16002</v>
      </c>
      <c r="N8297" t="s">
        <v>14</v>
      </c>
    </row>
    <row r="8298" x14ac:dyDescent="0.25">
      <c r="A8298" t="n">
        <v>24</v>
      </c>
      <c r="B8298" t="s">
        <v>14</v>
      </c>
      <c r="C8298" t="s">
        <v>22</v>
      </c>
      <c r="D8298" s="2" t="s">
        <f>=HYPERLINK("https://main.knesset.gov.il/APPS/legislation/main/bills/2190299", "הצעת חוק לתיקון פקודת התעבורה (הפחתת גובה קנס בשל תשלום מיידי), התשפ""ב-2022")</f>
        <v>16185</v>
      </c>
      <c r="E8298" t="s">
        <v>16185</v>
      </c>
      <c r="F8298" t="s">
        <v>16186</v>
      </c>
      <c r="G8298" t="s">
        <v>14</v>
      </c>
      <c r="H8298">
             </c>
      <c r="I8298" t="s">
        <v>14</v>
      </c>
      <c r="J8298" t="s">
        <v>141</v>
      </c>
      <c r="K8298" t="s">
        <v>14</v>
      </c>
      <c r="L8298" t="s">
        <v>20</v>
      </c>
      <c r="M8298" t="s">
        <v>16002</v>
      </c>
      <c r="N8298" t="s">
        <v>14</v>
      </c>
    </row>
    <row r="8299" x14ac:dyDescent="0.25">
      <c r="A8299" t="n">
        <v>24</v>
      </c>
      <c r="B8299" t="s">
        <v>14</v>
      </c>
      <c r="C8299" t="s">
        <v>22</v>
      </c>
      <c r="D8299" s="2" t="s">
        <f>=HYPERLINK("https://main.knesset.gov.il/APPS/legislation/main/bills/2190394", "הצעת חוק לעידוד השקעות הון בחקלאות (תיקון - השוואת ההטבות בתעשייה להטבות בחקלאות), התשפ""ב-2022")</f>
        <v>16187</v>
      </c>
      <c r="E8299" t="s">
        <v>16187</v>
      </c>
      <c r="F8299" t="s">
        <v>16188</v>
      </c>
      <c r="G8299" t="s">
        <v>14</v>
      </c>
      <c r="H8299">
             </c>
      <c r="I8299" t="s">
        <v>14</v>
      </c>
      <c r="J8299" t="s">
        <v>141</v>
      </c>
      <c r="K8299" t="s">
        <v>14</v>
      </c>
      <c r="L8299" t="s">
        <v>20</v>
      </c>
      <c r="M8299" t="s">
        <v>16002</v>
      </c>
      <c r="N8299" t="s">
        <v>14</v>
      </c>
    </row>
    <row r="8300" x14ac:dyDescent="0.25">
      <c r="A8300" t="n">
        <v>24</v>
      </c>
      <c r="B8300" t="s">
        <v>14</v>
      </c>
      <c r="C8300" t="s">
        <v>22</v>
      </c>
      <c r="D8300" s="2" t="s">
        <f>=HYPERLINK("https://main.knesset.gov.il/APPS/legislation/main/bills/2190300", "הצעת חוק לתיקון פקודת התעבורה (חובת התקנת חיישן בטיחות), התשפ""ב-2022")</f>
        <v>16189</v>
      </c>
      <c r="E8300" t="s">
        <v>16189</v>
      </c>
      <c r="F8300" t="s">
        <v>16190</v>
      </c>
      <c r="G8300" t="s">
        <v>14</v>
      </c>
      <c r="H8300">
             </c>
      <c r="I8300" t="s">
        <v>14</v>
      </c>
      <c r="J8300" t="s">
        <v>141</v>
      </c>
      <c r="K8300" t="s">
        <v>14</v>
      </c>
      <c r="L8300" t="s">
        <v>20</v>
      </c>
      <c r="M8300" t="s">
        <v>16002</v>
      </c>
      <c r="N8300" t="s">
        <v>14</v>
      </c>
    </row>
    <row r="8301" x14ac:dyDescent="0.25">
      <c r="A8301" t="n">
        <v>24</v>
      </c>
      <c r="B8301" t="s">
        <v>14</v>
      </c>
      <c r="C8301" t="s">
        <v>22</v>
      </c>
      <c r="D8301" s="2" t="s">
        <f>=HYPERLINK("https://main.knesset.gov.il/APPS/legislation/main/bills/2190238", "הצעת חוק איסור יבוא ומכירת כבד של בעלי חיים שעברו התעללות, התשפ""ב-2022")</f>
        <v>16191</v>
      </c>
      <c r="E8301" t="s">
        <v>16191</v>
      </c>
      <c r="F8301" t="s">
        <v>16192</v>
      </c>
      <c r="G8301" t="s">
        <v>14</v>
      </c>
      <c r="H8301">
             </c>
      <c r="I8301" t="s">
        <v>14</v>
      </c>
      <c r="J8301" t="s">
        <v>141</v>
      </c>
      <c r="K8301" t="s">
        <v>14</v>
      </c>
      <c r="L8301" t="s">
        <v>20</v>
      </c>
      <c r="M8301" t="s">
        <v>16002</v>
      </c>
      <c r="N8301" t="s">
        <v>14</v>
      </c>
    </row>
    <row r="8302" x14ac:dyDescent="0.25">
      <c r="A8302" t="n">
        <v>24</v>
      </c>
      <c r="B8302" t="s">
        <v>14</v>
      </c>
      <c r="C8302" t="s">
        <v>22</v>
      </c>
      <c r="D8302" s="2" t="s">
        <f>=HYPERLINK("https://main.knesset.gov.il/APPS/legislation/main/bills/2190222", "הצעת חוק-יסוד: כבוד האדם וחירותו (תיקון - הזכות לקיום מינימלי בכבוד)")</f>
        <v>16193</v>
      </c>
      <c r="E8302" t="s">
        <v>16193</v>
      </c>
      <c r="F8302" t="s">
        <v>16194</v>
      </c>
      <c r="G8302" t="s">
        <v>14</v>
      </c>
      <c r="H8302">
             </c>
      <c r="I8302" t="s">
        <v>14</v>
      </c>
      <c r="J8302" t="s">
        <v>141</v>
      </c>
      <c r="K8302" t="s">
        <v>14</v>
      </c>
      <c r="L8302" t="s">
        <v>20</v>
      </c>
      <c r="M8302" t="s">
        <v>16002</v>
      </c>
      <c r="N8302" t="s">
        <v>14</v>
      </c>
    </row>
    <row r="8303" x14ac:dyDescent="0.25">
      <c r="A8303" t="n">
        <v>24</v>
      </c>
      <c r="B8303" t="s">
        <v>14</v>
      </c>
      <c r="C8303" t="s">
        <v>22</v>
      </c>
      <c r="D8303" s="2" t="s">
        <f>=HYPERLINK("https://main.knesset.gov.il/APPS/legislation/main/bills/2190240", "הצעת חוק להגנת חיית הבר (תיקון - איסור שימוש ברעל ובחומרי הדברה), התשפ""ב-2022 ")</f>
        <v>16195</v>
      </c>
      <c r="E8303" t="s">
        <v>16195</v>
      </c>
      <c r="F8303" t="s">
        <v>16196</v>
      </c>
      <c r="G8303" t="s">
        <v>14</v>
      </c>
      <c r="H8303">
             </c>
      <c r="I8303" t="s">
        <v>14</v>
      </c>
      <c r="J8303" t="s">
        <v>141</v>
      </c>
      <c r="K8303" t="s">
        <v>14</v>
      </c>
      <c r="L8303" t="s">
        <v>20</v>
      </c>
      <c r="M8303" t="s">
        <v>16002</v>
      </c>
      <c r="N8303" t="s">
        <v>14</v>
      </c>
    </row>
    <row r="8304" x14ac:dyDescent="0.25">
      <c r="A8304" t="n">
        <v>24</v>
      </c>
      <c r="B8304" t="s">
        <v>14</v>
      </c>
      <c r="C8304" t="s">
        <v>22</v>
      </c>
      <c r="D8304" s="2" t="s">
        <f>=HYPERLINK("https://main.knesset.gov.il/APPS/legislation/main/bills/2190021", "הצעת חוק מס ערך מוסף (תיקון - מס בשיעור אפס על מוצרי היגיינה נשית), התשפ""ב-2022")</f>
        <v>16197</v>
      </c>
      <c r="E8304" t="s">
        <v>16197</v>
      </c>
      <c r="F8304" t="s">
        <v>16198</v>
      </c>
      <c r="G8304" t="s">
        <v>14</v>
      </c>
      <c r="H8304">
             </c>
      <c r="I8304" t="s">
        <v>14</v>
      </c>
      <c r="J8304" t="s">
        <v>141</v>
      </c>
      <c r="K8304" t="s">
        <v>14</v>
      </c>
      <c r="L8304" t="s">
        <v>20</v>
      </c>
      <c r="M8304" t="s">
        <v>16002</v>
      </c>
      <c r="N8304" t="s">
        <v>14</v>
      </c>
    </row>
    <row r="8305" x14ac:dyDescent="0.25">
      <c r="A8305" t="n">
        <v>24</v>
      </c>
      <c r="B8305" t="s">
        <v>14</v>
      </c>
      <c r="C8305" t="s">
        <v>22</v>
      </c>
      <c r="D8305" s="2" t="s">
        <f>=HYPERLINK("https://main.knesset.gov.il/APPS/legislation/main/bills/2170080", "הצעת חוק שכר מינימום (תיקון - העלאת שכר המינימום), התשפ""ב-2022")</f>
        <v>14847</v>
      </c>
      <c r="E8305" t="s">
        <v>14847</v>
      </c>
      <c r="F8305" t="s">
        <v>16199</v>
      </c>
      <c r="G8305" t="s">
        <v>14</v>
      </c>
      <c r="H8305">
             </c>
      <c r="I8305" t="s">
        <v>14</v>
      </c>
      <c r="J8305" t="s">
        <v>343</v>
      </c>
      <c r="K8305" t="s">
        <v>14</v>
      </c>
      <c r="L8305" t="s">
        <v>20</v>
      </c>
      <c r="M8305" t="s">
        <v>16002</v>
      </c>
      <c r="N8305" t="s">
        <v>14</v>
      </c>
    </row>
    <row r="8306" x14ac:dyDescent="0.25">
      <c r="A8306" t="n">
        <v>24</v>
      </c>
      <c r="B8306" t="s">
        <v>14</v>
      </c>
      <c r="C8306" t="s">
        <v>22</v>
      </c>
      <c r="D8306" s="2" t="s">
        <f>=HYPERLINK("https://main.knesset.gov.il/APPS/legislation/main/bills/2170267", "הצעת חוק תאגידי מים וביוב (תיקון - ועדת חריגים), התשפ""ב-2022")</f>
        <v>16200</v>
      </c>
      <c r="E8306" t="s">
        <v>16200</v>
      </c>
      <c r="F8306" t="s">
        <v>16201</v>
      </c>
      <c r="G8306" t="s">
        <v>14</v>
      </c>
      <c r="H8306">
             </c>
      <c r="I8306" t="s">
        <v>14</v>
      </c>
      <c r="J8306" t="s">
        <v>141</v>
      </c>
      <c r="K8306" t="s">
        <v>14</v>
      </c>
      <c r="L8306" t="s">
        <v>20</v>
      </c>
      <c r="M8306" t="s">
        <v>16002</v>
      </c>
      <c r="N8306" t="s">
        <v>14</v>
      </c>
    </row>
    <row r="8307" x14ac:dyDescent="0.25">
      <c r="A8307" t="n">
        <v>24</v>
      </c>
      <c r="B8307" t="s">
        <v>14</v>
      </c>
      <c r="C8307" t="s">
        <v>22</v>
      </c>
      <c r="D8307" s="2" t="s">
        <f>=HYPERLINK("https://main.knesset.gov.il/APPS/legislation/main/bills/2189994", "הצעת חוק החזקת תעודת זהות והצגתה (תיקון - תעודה מזהה), התשפ""ב-2022")</f>
        <v>16202</v>
      </c>
      <c r="E8307" t="s">
        <v>16202</v>
      </c>
      <c r="F8307" t="s">
        <v>16203</v>
      </c>
      <c r="G8307" t="s">
        <v>14</v>
      </c>
      <c r="H8307">
             </c>
      <c r="I8307" t="s">
        <v>14</v>
      </c>
      <c r="J8307" t="s">
        <v>141</v>
      </c>
      <c r="K8307" t="s">
        <v>14</v>
      </c>
      <c r="L8307" t="s">
        <v>20</v>
      </c>
      <c r="M8307" t="s">
        <v>16002</v>
      </c>
      <c r="N8307" t="s">
        <v>14</v>
      </c>
    </row>
    <row r="8308" x14ac:dyDescent="0.25">
      <c r="A8308" t="n">
        <v>24</v>
      </c>
      <c r="B8308" t="s">
        <v>14</v>
      </c>
      <c r="C8308" t="s">
        <v>22</v>
      </c>
      <c r="D8308" s="2" t="s">
        <f>=HYPERLINK("https://main.knesset.gov.il/APPS/legislation/main/bills/2190329", "הצעת חוק משק החשמל (תיקון - תשלומי חשמל מופחתים לקשישים נכים), התשפ""ב-2022")</f>
        <v>16204</v>
      </c>
      <c r="E8308" t="s">
        <v>16204</v>
      </c>
      <c r="F8308" t="s">
        <v>16205</v>
      </c>
      <c r="G8308" t="s">
        <v>14</v>
      </c>
      <c r="H8308">
             </c>
      <c r="I8308" t="s">
        <v>14</v>
      </c>
      <c r="J8308" t="s">
        <v>141</v>
      </c>
      <c r="K8308" t="s">
        <v>14</v>
      </c>
      <c r="L8308" t="s">
        <v>20</v>
      </c>
      <c r="M8308" t="s">
        <v>16002</v>
      </c>
      <c r="N8308" t="s">
        <v>14</v>
      </c>
    </row>
    <row r="8309" x14ac:dyDescent="0.25">
      <c r="A8309" t="n">
        <v>24</v>
      </c>
      <c r="B8309" t="s">
        <v>14</v>
      </c>
      <c r="C8309" t="s">
        <v>22</v>
      </c>
      <c r="D8309" s="2" t="s">
        <f>=HYPERLINK("https://main.knesset.gov.il/APPS/legislation/main/bills/2190526", "הצעת חוק המים (תיקון - איסוף מי גשמים), התשפ""ב-2022")</f>
        <v>16206</v>
      </c>
      <c r="E8309" t="s">
        <v>16206</v>
      </c>
      <c r="F8309" t="s">
        <v>16207</v>
      </c>
      <c r="G8309" t="s">
        <v>14</v>
      </c>
      <c r="H8309">
             </c>
      <c r="I8309" t="s">
        <v>14</v>
      </c>
      <c r="J8309" t="s">
        <v>141</v>
      </c>
      <c r="K8309" t="s">
        <v>14</v>
      </c>
      <c r="L8309" t="s">
        <v>20</v>
      </c>
      <c r="M8309" t="s">
        <v>16002</v>
      </c>
      <c r="N8309" t="s">
        <v>14</v>
      </c>
    </row>
    <row r="8310" x14ac:dyDescent="0.25">
      <c r="A8310" t="n">
        <v>24</v>
      </c>
      <c r="B8310" t="s">
        <v>14</v>
      </c>
      <c r="C8310" t="s">
        <v>22</v>
      </c>
      <c r="D8310" s="2" t="s">
        <f>=HYPERLINK("https://main.knesset.gov.il/APPS/legislation/main/bills/2190306", "הצעת חוק לתיקון פקודת התעבורה (פיצוי למתלונן), התשפ""ב-2022")</f>
        <v>16208</v>
      </c>
      <c r="E8310" t="s">
        <v>16208</v>
      </c>
      <c r="F8310" t="s">
        <v>16209</v>
      </c>
      <c r="G8310" t="s">
        <v>14</v>
      </c>
      <c r="H8310">
             </c>
      <c r="I8310" t="s">
        <v>14</v>
      </c>
      <c r="J8310" t="s">
        <v>141</v>
      </c>
      <c r="K8310" t="s">
        <v>14</v>
      </c>
      <c r="L8310" t="s">
        <v>20</v>
      </c>
      <c r="M8310" t="s">
        <v>16002</v>
      </c>
      <c r="N8310" t="s">
        <v>14</v>
      </c>
    </row>
    <row r="8311" x14ac:dyDescent="0.25">
      <c r="A8311" t="n">
        <v>24</v>
      </c>
      <c r="B8311" t="s">
        <v>14</v>
      </c>
      <c r="C8311" t="s">
        <v>22</v>
      </c>
      <c r="D8311" s="2" t="s">
        <f>=HYPERLINK("https://main.knesset.gov.il/APPS/legislation/main/bills/2190311", "הצעת חוק לתיקון פקודת התעבורה (שירות טלפוני לדיווח ולקבלת תלונות על עבירות תעבורה או נהיגה מסוכנת של נהג אוטובוס), התשפ""ב-2022")</f>
        <v>16210</v>
      </c>
      <c r="E8311" t="s">
        <v>16210</v>
      </c>
      <c r="F8311" t="s">
        <v>16211</v>
      </c>
      <c r="G8311" t="s">
        <v>14</v>
      </c>
      <c r="H8311">
             </c>
      <c r="I8311" t="s">
        <v>14</v>
      </c>
      <c r="J8311" t="s">
        <v>141</v>
      </c>
      <c r="K8311" t="s">
        <v>14</v>
      </c>
      <c r="L8311" t="s">
        <v>20</v>
      </c>
      <c r="M8311" t="s">
        <v>16002</v>
      </c>
      <c r="N8311" t="s">
        <v>14</v>
      </c>
    </row>
    <row r="8312" x14ac:dyDescent="0.25">
      <c r="A8312" t="n">
        <v>24</v>
      </c>
      <c r="B8312" t="s">
        <v>14</v>
      </c>
      <c r="C8312" t="s">
        <v>22</v>
      </c>
      <c r="D8312" s="2" t="s">
        <f>=HYPERLINK("https://main.knesset.gov.il/APPS/legislation/main/bills/2190234", "הצעת חוק התכנון והבנייה (תיקון - חובת הקמת מערכת סולארית לייצור חשמל במבנים), התשפ""ב-2022")</f>
        <v>16212</v>
      </c>
      <c r="E8312" t="s">
        <v>16212</v>
      </c>
      <c r="F8312" t="s">
        <v>16213</v>
      </c>
      <c r="G8312" t="s">
        <v>14</v>
      </c>
      <c r="H8312">
             </c>
      <c r="I8312" t="s">
        <v>14</v>
      </c>
      <c r="J8312" t="s">
        <v>141</v>
      </c>
      <c r="K8312" t="s">
        <v>14</v>
      </c>
      <c r="L8312" t="s">
        <v>20</v>
      </c>
      <c r="M8312" t="s">
        <v>16002</v>
      </c>
      <c r="N8312" t="s">
        <v>14</v>
      </c>
    </row>
    <row r="8313" x14ac:dyDescent="0.25">
      <c r="A8313" t="n">
        <v>24</v>
      </c>
      <c r="B8313" t="s">
        <v>14</v>
      </c>
      <c r="C8313" t="s">
        <v>22</v>
      </c>
      <c r="D8313" s="2" t="s">
        <f>=HYPERLINK("https://main.knesset.gov.il/APPS/legislation/main/bills/2170138", "הצעת חוק יום לציון המאבק בגזענות, התשפ""ב-2022")</f>
        <v>16214</v>
      </c>
      <c r="E8313" t="s">
        <v>16214</v>
      </c>
      <c r="F8313" t="s">
        <v>16215</v>
      </c>
      <c r="G8313" t="s">
        <v>14</v>
      </c>
      <c r="H8313">
             </c>
      <c r="I8313" t="s">
        <v>14</v>
      </c>
      <c r="J8313" t="s">
        <v>141</v>
      </c>
      <c r="K8313" t="s">
        <v>14</v>
      </c>
      <c r="L8313" t="s">
        <v>20</v>
      </c>
      <c r="M8313" t="s">
        <v>16002</v>
      </c>
      <c r="N8313" t="s">
        <v>14</v>
      </c>
    </row>
    <row r="8314" x14ac:dyDescent="0.25">
      <c r="A8314" t="n">
        <v>24</v>
      </c>
      <c r="B8314" t="s">
        <v>14</v>
      </c>
      <c r="C8314" t="s">
        <v>22</v>
      </c>
      <c r="D8314" s="2" t="s">
        <f>=HYPERLINK("https://main.knesset.gov.il/APPS/legislation/main/bills/2189580", "הצעת חוק חופש המידע (תיקון - הקרן הקיימת לישראל רשות ציבורית), התשפ""ב -2022")</f>
        <v>16216</v>
      </c>
      <c r="E8314" t="s">
        <v>16216</v>
      </c>
      <c r="F8314" t="s">
        <v>16217</v>
      </c>
      <c r="G8314" t="s">
        <v>14</v>
      </c>
      <c r="H8314">
             </c>
      <c r="I8314" t="s">
        <v>14</v>
      </c>
      <c r="J8314" t="s">
        <v>141</v>
      </c>
      <c r="K8314" t="s">
        <v>14</v>
      </c>
      <c r="L8314" t="s">
        <v>20</v>
      </c>
      <c r="M8314" t="s">
        <v>16002</v>
      </c>
      <c r="N8314" t="s">
        <v>14</v>
      </c>
    </row>
    <row r="8315" x14ac:dyDescent="0.25">
      <c r="A8315" t="n">
        <v>24</v>
      </c>
      <c r="B8315" t="s">
        <v>14</v>
      </c>
      <c r="C8315" t="s">
        <v>22</v>
      </c>
      <c r="D8315" s="2" t="s">
        <f>=HYPERLINK("https://main.knesset.gov.il/APPS/legislation/main/bills/2190328", "הצעת חוק משק החשמל (תיקון - פיקוח פרלמנטרי על תעריפי החשמל), התשפ""ב-2022")</f>
        <v>16218</v>
      </c>
      <c r="E8315" t="s">
        <v>16218</v>
      </c>
      <c r="F8315" t="s">
        <v>16219</v>
      </c>
      <c r="G8315" t="s">
        <v>14</v>
      </c>
      <c r="H8315">
             </c>
      <c r="I8315" t="s">
        <v>14</v>
      </c>
      <c r="J8315" t="s">
        <v>141</v>
      </c>
      <c r="K8315" t="s">
        <v>14</v>
      </c>
      <c r="L8315" t="s">
        <v>20</v>
      </c>
      <c r="M8315" t="s">
        <v>16002</v>
      </c>
      <c r="N8315" t="s">
        <v>14</v>
      </c>
    </row>
    <row r="8316" x14ac:dyDescent="0.25">
      <c r="A8316" t="n">
        <v>24</v>
      </c>
      <c r="B8316" t="s">
        <v>14</v>
      </c>
      <c r="C8316" t="s">
        <v>22</v>
      </c>
      <c r="D8316" s="2" t="s">
        <f>=HYPERLINK("https://main.knesset.gov.il/APPS/legislation/main/bills/2168774", "הצעת חוק צער בעלי חיים (הגנה על בעלי חיים) (תיקון - איסור קשירת כלבים), התשפ""ב-2022")</f>
        <v>16220</v>
      </c>
      <c r="E8316" t="s">
        <v>16220</v>
      </c>
      <c r="F8316" t="s">
        <v>16221</v>
      </c>
      <c r="G8316" t="s">
        <v>14</v>
      </c>
      <c r="H8316">
             </c>
      <c r="I8316" t="s">
        <v>14</v>
      </c>
      <c r="J8316" t="s">
        <v>141</v>
      </c>
      <c r="K8316" t="s">
        <v>14</v>
      </c>
      <c r="L8316" t="s">
        <v>20</v>
      </c>
      <c r="M8316" t="s">
        <v>16002</v>
      </c>
      <c r="N8316" t="s">
        <v>14</v>
      </c>
    </row>
    <row r="8317" x14ac:dyDescent="0.25">
      <c r="A8317" t="n">
        <v>24</v>
      </c>
      <c r="B8317" t="s">
        <v>14</v>
      </c>
      <c r="C8317" t="s">
        <v>22</v>
      </c>
      <c r="D8317" s="2" t="s">
        <f>=HYPERLINK("https://main.knesset.gov.il/APPS/legislation/main/bills/2190231", "הצעת חוק התכנון והבנייה (תיקון - היתר בנייה להקמת מתקן פוטו-וולטאי על גבי מאגרי מים ובריכות דגים), התשפ""ב-2022")</f>
        <v>16222</v>
      </c>
      <c r="E8317" t="s">
        <v>16222</v>
      </c>
      <c r="F8317" t="s">
        <v>16223</v>
      </c>
      <c r="G8317" t="s">
        <v>14</v>
      </c>
      <c r="H8317">
             </c>
      <c r="I8317" t="s">
        <v>14</v>
      </c>
      <c r="J8317" t="s">
        <v>141</v>
      </c>
      <c r="K8317" t="s">
        <v>14</v>
      </c>
      <c r="L8317" t="s">
        <v>20</v>
      </c>
      <c r="M8317" t="s">
        <v>16002</v>
      </c>
      <c r="N8317" t="s">
        <v>14</v>
      </c>
    </row>
    <row r="8318" x14ac:dyDescent="0.25">
      <c r="A8318" t="n">
        <v>24</v>
      </c>
      <c r="B8318" t="s">
        <v>14</v>
      </c>
      <c r="C8318" t="s">
        <v>22</v>
      </c>
      <c r="D8318" s="2" t="s">
        <f>=HYPERLINK("https://main.knesset.gov.il/APPS/legislation/main/bills/2190303", "הצעת חוק לתיקון פקודת התעבורה (סימון שונה במקומות שבהם היתר החניה תלוי בשעות), התשפ""ב-2022")</f>
        <v>16224</v>
      </c>
      <c r="E8318" t="s">
        <v>16224</v>
      </c>
      <c r="F8318" t="s">
        <v>16225</v>
      </c>
      <c r="G8318" t="s">
        <v>14</v>
      </c>
      <c r="H8318">
             </c>
      <c r="I8318" t="s">
        <v>14</v>
      </c>
      <c r="J8318" t="s">
        <v>141</v>
      </c>
      <c r="K8318" t="s">
        <v>14</v>
      </c>
      <c r="L8318" t="s">
        <v>20</v>
      </c>
      <c r="M8318" t="s">
        <v>16002</v>
      </c>
      <c r="N8318" t="s">
        <v>14</v>
      </c>
    </row>
    <row r="8319" x14ac:dyDescent="0.25">
      <c r="A8319" t="n">
        <v>24</v>
      </c>
      <c r="B8319" t="s">
        <v>14</v>
      </c>
      <c r="C8319" t="s">
        <v>22</v>
      </c>
      <c r="D8319" s="2" t="s">
        <f>=HYPERLINK("https://main.knesset.gov.il/APPS/legislation/main/bills/2190301", "הצעת חוק לתיקון פקודת התעבורה (חובת התקנת מערכת למניעת השארת ילדים ברכב סגור), התשפ""ב-2022")</f>
        <v>16226</v>
      </c>
      <c r="E8319" t="s">
        <v>16226</v>
      </c>
      <c r="F8319" t="s">
        <v>16227</v>
      </c>
      <c r="G8319" t="s">
        <v>14</v>
      </c>
      <c r="H8319">
             </c>
      <c r="I8319" t="s">
        <v>14</v>
      </c>
      <c r="J8319" t="s">
        <v>141</v>
      </c>
      <c r="K8319" t="s">
        <v>14</v>
      </c>
      <c r="L8319" t="s">
        <v>20</v>
      </c>
      <c r="M8319" t="s">
        <v>16002</v>
      </c>
      <c r="N8319" t="s">
        <v>14</v>
      </c>
    </row>
    <row r="8320" x14ac:dyDescent="0.25">
      <c r="A8320" t="n">
        <v>24</v>
      </c>
      <c r="B8320" t="s">
        <v>14</v>
      </c>
      <c r="C8320" t="s">
        <v>22</v>
      </c>
      <c r="D8320" s="2" t="s">
        <f>=HYPERLINK("https://main.knesset.gov.il/APPS/legislation/main/bills/2190232", "הצעת חוק חינוך אקלימי, התשפ""ב-2022")</f>
        <v>16228</v>
      </c>
      <c r="E8320" t="s">
        <v>16228</v>
      </c>
      <c r="F8320" t="s">
        <v>16229</v>
      </c>
      <c r="G8320" t="s">
        <v>14</v>
      </c>
      <c r="H8320">
             </c>
      <c r="I8320" t="s">
        <v>14</v>
      </c>
      <c r="J8320" t="s">
        <v>141</v>
      </c>
      <c r="K8320" t="s">
        <v>14</v>
      </c>
      <c r="L8320" t="s">
        <v>20</v>
      </c>
      <c r="M8320" t="s">
        <v>16002</v>
      </c>
      <c r="N8320" t="s">
        <v>14</v>
      </c>
    </row>
    <row r="8321" x14ac:dyDescent="0.25">
      <c r="A8321" t="n">
        <v>24</v>
      </c>
      <c r="B8321" t="s">
        <v>14</v>
      </c>
      <c r="C8321" t="s">
        <v>22</v>
      </c>
      <c r="D8321" s="2" t="s">
        <f>=HYPERLINK("https://main.knesset.gov.il/APPS/legislation/main/bills/2190305", "הצעת חוק לתיקון פקודת התעבורה (סמכות לאכיפת עבירות חניה בידי רשויות מקומיות באמצעות מצלמות וסימון אזורי האכיפה בתמרור), התשפ""ב-2022")</f>
        <v>16230</v>
      </c>
      <c r="E8321" t="s">
        <v>16230</v>
      </c>
      <c r="F8321" t="s">
        <v>16231</v>
      </c>
      <c r="G8321" t="s">
        <v>14</v>
      </c>
      <c r="H8321">
             </c>
      <c r="I8321" t="s">
        <v>14</v>
      </c>
      <c r="J8321" t="s">
        <v>141</v>
      </c>
      <c r="K8321" t="s">
        <v>14</v>
      </c>
      <c r="L8321" t="s">
        <v>20</v>
      </c>
      <c r="M8321" t="s">
        <v>16002</v>
      </c>
      <c r="N8321" t="s">
        <v>14</v>
      </c>
    </row>
    <row r="8322" x14ac:dyDescent="0.25">
      <c r="A8322" t="n">
        <v>24</v>
      </c>
      <c r="B8322" t="s">
        <v>14</v>
      </c>
      <c r="C8322" t="s">
        <v>22</v>
      </c>
      <c r="D8322" s="2" t="s">
        <f>=HYPERLINK("https://main.knesset.gov.il/APPS/legislation/main/bills/2190291", "הצעת חוק לעידוד השקעות הון (תיקון - עידוד ענף היהלומים) (הוראת שעה), התשפ""ב-2022")</f>
        <v>16232</v>
      </c>
      <c r="E8322" t="s">
        <v>16232</v>
      </c>
      <c r="F8322" t="s">
        <v>16233</v>
      </c>
      <c r="G8322" t="s">
        <v>14</v>
      </c>
      <c r="H8322">
             </c>
      <c r="I8322" t="s">
        <v>14</v>
      </c>
      <c r="J8322" t="s">
        <v>141</v>
      </c>
      <c r="K8322" t="s">
        <v>14</v>
      </c>
      <c r="L8322" t="s">
        <v>20</v>
      </c>
      <c r="M8322" t="s">
        <v>16002</v>
      </c>
      <c r="N8322" t="s">
        <v>14</v>
      </c>
    </row>
    <row r="8323" x14ac:dyDescent="0.25">
      <c r="A8323" t="n">
        <v>24</v>
      </c>
      <c r="B8323" t="s">
        <v>14</v>
      </c>
      <c r="C8323" t="s">
        <v>22</v>
      </c>
      <c r="D8323" s="2" t="s">
        <f>=HYPERLINK("https://main.knesset.gov.il/APPS/legislation/main/bills/2156933", "הצעת חוק הבחירות לכנסת (תיקון מס' 76) (כתובת לצורכי בחירות), התשפ""ב-2022")</f>
        <v>16234</v>
      </c>
      <c r="E8323" t="s">
        <v>16234</v>
      </c>
      <c r="F8323" t="s">
        <v>16235</v>
      </c>
      <c r="G8323" t="s">
        <v>16236</v>
      </c>
      <c r="H8323">
             </c>
      <c r="I8323" t="s">
        <v>26</v>
      </c>
      <c r="J8323" t="s">
        <v>69</v>
      </c>
      <c r="K8323" t="s">
        <v>27</v>
      </c>
      <c r="L8323" t="s">
        <v>20</v>
      </c>
      <c r="M8323" t="s">
        <v>16002</v>
      </c>
      <c r="N8323" t="s">
        <v>14</v>
      </c>
    </row>
    <row r="8324" x14ac:dyDescent="0.25">
      <c r="A8324" t="n">
        <v>24</v>
      </c>
      <c r="B8324" t="s">
        <v>14</v>
      </c>
      <c r="C8324" t="s">
        <v>15</v>
      </c>
      <c r="D8324" s="2" t="s">
        <f>=HYPERLINK("https://main.knesset.gov.il/APPS/legislation/main/bills/2166333", "הצעת חוק שירות ביטחון (תיקון מס' 7 והוראת שעה) (שירות במשטרה ושירות מוכר) (תיקון מס' 17), התשפ""ב-2021 ")</f>
        <v>16237</v>
      </c>
      <c r="E8324" t="s">
        <v>16237</v>
      </c>
      <c r="F8324" t="s">
        <v>14</v>
      </c>
      <c r="G8324" t="s">
        <v>16238</v>
      </c>
      <c r="H8324">
             </c>
      <c r="I8324" t="s">
        <v>14</v>
      </c>
      <c r="J8324" t="s">
        <v>99</v>
      </c>
      <c r="K8324" t="s">
        <v>114</v>
      </c>
      <c r="L8324" t="s">
        <v>20</v>
      </c>
      <c r="M8324" t="s">
        <v>16002</v>
      </c>
      <c r="N8324" t="s">
        <v>14</v>
      </c>
    </row>
    <row r="8325" x14ac:dyDescent="0.25">
      <c r="A8325" t="n">
        <v>24</v>
      </c>
      <c r="B8325" t="s">
        <v>14</v>
      </c>
      <c r="C8325" t="s">
        <v>22</v>
      </c>
      <c r="D8325" s="2" t="s">
        <f>=HYPERLINK("https://main.knesset.gov.il/APPS/legislation/main/bills/2156224", "חוק הביטוח הלאומי (תיקון מס' 230), התשפ""ב-2022")</f>
        <v>16239</v>
      </c>
      <c r="E8325" t="s">
        <v>16239</v>
      </c>
      <c r="F8325" t="s">
        <v>16240</v>
      </c>
      <c r="G8325" t="s">
        <v>16241</v>
      </c>
      <c r="H8325" t="n">
        <v>2962</v>
      </c>
      <c r="I8325" t="s">
        <v>14</v>
      </c>
      <c r="J8325" t="s">
        <v>91</v>
      </c>
      <c r="K8325" t="s">
        <v>127</v>
      </c>
      <c r="L8325" t="s">
        <v>20</v>
      </c>
      <c r="M8325" t="s">
        <v>16242</v>
      </c>
      <c r="N8325" t="s">
        <v>16243</v>
      </c>
    </row>
    <row r="8326" x14ac:dyDescent="0.25">
      <c r="A8326" t="n">
        <v>24</v>
      </c>
      <c r="B8326" t="s">
        <v>14</v>
      </c>
      <c r="C8326" t="s">
        <v>22</v>
      </c>
      <c r="D8326" s="2" t="s">
        <f>=HYPERLINK("https://main.knesset.gov.il/APPS/legislation/main/bills/2169221", "הצעת חוק הרבנות הראשית לישראל (תיקון - ייצוג הציבור באסיפה הבוחרת), התשפ""ב-2022")</f>
        <v>14660</v>
      </c>
      <c r="E8326" t="s">
        <v>14660</v>
      </c>
      <c r="F8326" t="s">
        <v>16244</v>
      </c>
      <c r="G8326" t="s">
        <v>14</v>
      </c>
      <c r="H8326">
             </c>
      <c r="I8326" t="s">
        <v>14</v>
      </c>
      <c r="J8326" t="s">
        <v>55</v>
      </c>
      <c r="K8326" t="s">
        <v>14</v>
      </c>
      <c r="L8326" t="s">
        <v>20</v>
      </c>
      <c r="M8326" t="s">
        <v>16242</v>
      </c>
      <c r="N8326" t="s">
        <v>14</v>
      </c>
    </row>
    <row r="8327" x14ac:dyDescent="0.25">
      <c r="A8327" t="n">
        <v>24</v>
      </c>
      <c r="B8327" t="s">
        <v>14</v>
      </c>
      <c r="C8327" t="s">
        <v>22</v>
      </c>
      <c r="D8327" s="2" t="s">
        <f>=HYPERLINK("https://main.knesset.gov.il/APPS/legislation/main/bills/2168472", "הצעת חוק שלילת תקצוב מוסדות חינוך המפלים תלמידים ברישום אליהם (תיקוני חקיקה), התשפ""ב-2022")</f>
        <v>16245</v>
      </c>
      <c r="E8327" t="s">
        <v>16245</v>
      </c>
      <c r="F8327" t="s">
        <v>16246</v>
      </c>
      <c r="G8327" t="s">
        <v>14</v>
      </c>
      <c r="H8327">
             </c>
      <c r="I8327" t="s">
        <v>14</v>
      </c>
      <c r="J8327" t="s">
        <v>60</v>
      </c>
      <c r="K8327" t="s">
        <v>14</v>
      </c>
      <c r="L8327" t="s">
        <v>20</v>
      </c>
      <c r="M8327" t="s">
        <v>16242</v>
      </c>
      <c r="N8327" t="s">
        <v>14</v>
      </c>
    </row>
    <row r="8328" x14ac:dyDescent="0.25">
      <c r="A8328" t="n">
        <v>24</v>
      </c>
      <c r="B8328" t="s">
        <v>14</v>
      </c>
      <c r="C8328" t="s">
        <v>22</v>
      </c>
      <c r="D8328" s="2" t="s">
        <f>=HYPERLINK("https://main.knesset.gov.il/APPS/legislation/main/bills/2167450", "הצעת חוק הנוער (טיפול והשגחה) (תיקון - ביטול עבירה פלילית על פרסום תחלואה נפשית של קטין), התשפ""ב-2022")</f>
        <v>16086</v>
      </c>
      <c r="E8328" t="s">
        <v>16086</v>
      </c>
      <c r="F8328" t="s">
        <v>16247</v>
      </c>
      <c r="G8328" t="s">
        <v>14</v>
      </c>
      <c r="H8328">
             </c>
      <c r="I8328" t="s">
        <v>14</v>
      </c>
      <c r="J8328" t="s">
        <v>55</v>
      </c>
      <c r="K8328" t="s">
        <v>14</v>
      </c>
      <c r="L8328" t="s">
        <v>20</v>
      </c>
      <c r="M8328" t="s">
        <v>16242</v>
      </c>
      <c r="N8328" t="s">
        <v>14</v>
      </c>
    </row>
    <row r="8329" x14ac:dyDescent="0.25">
      <c r="A8329" t="n">
        <v>24</v>
      </c>
      <c r="B8329" t="s">
        <v>14</v>
      </c>
      <c r="C8329" t="s">
        <v>22</v>
      </c>
      <c r="D8329" s="2" t="s">
        <f>=HYPERLINK("https://main.knesset.gov.il/APPS/legislation/main/bills/2163664", "הצעת חוק העונשין (תיקון - החמרת ענישה לעובר עבירה נגד קשיש), התשפ""ב-2022")</f>
        <v>15639</v>
      </c>
      <c r="E8329" t="s">
        <v>15639</v>
      </c>
      <c r="F8329" t="s">
        <v>16248</v>
      </c>
      <c r="G8329" t="s">
        <v>14</v>
      </c>
      <c r="H8329">
             </c>
      <c r="I8329" t="s">
        <v>14</v>
      </c>
      <c r="J8329" t="s">
        <v>55</v>
      </c>
      <c r="K8329" t="s">
        <v>14</v>
      </c>
      <c r="L8329" t="s">
        <v>20</v>
      </c>
      <c r="M8329" t="s">
        <v>16242</v>
      </c>
      <c r="N8329" t="s">
        <v>14</v>
      </c>
    </row>
    <row r="8330" x14ac:dyDescent="0.25">
      <c r="A8330" t="n">
        <v>24</v>
      </c>
      <c r="B8330" t="s">
        <v>14</v>
      </c>
      <c r="C8330" t="s">
        <v>22</v>
      </c>
      <c r="D8330" s="2" t="s">
        <f>=HYPERLINK("https://main.knesset.gov.il/APPS/legislation/main/bills/2162133", "הצעת חוק הקפאת כספים ששילמה הרשות הפלסטינית בזיקה לטרור מהכספים המועברים אליה מממשלת ישראל (תיקון - חילוט הכספים וניהולם), התשפ""ב-2021")</f>
        <v>16249</v>
      </c>
      <c r="E8330" t="s">
        <v>16249</v>
      </c>
      <c r="F8330" t="s">
        <v>16250</v>
      </c>
      <c r="G8330" t="s">
        <v>14</v>
      </c>
      <c r="H8330">
             </c>
      <c r="I8330" t="s">
        <v>14</v>
      </c>
      <c r="J8330" t="s">
        <v>55</v>
      </c>
      <c r="K8330" t="s">
        <v>14</v>
      </c>
      <c r="L8330" t="s">
        <v>20</v>
      </c>
      <c r="M8330" t="s">
        <v>16242</v>
      </c>
      <c r="N8330" t="s">
        <v>14</v>
      </c>
    </row>
    <row r="8331" x14ac:dyDescent="0.25">
      <c r="A8331" t="n">
        <v>24</v>
      </c>
      <c r="B8331" t="s">
        <v>14</v>
      </c>
      <c r="C8331" t="s">
        <v>22</v>
      </c>
      <c r="D8331" s="2" t="s">
        <f>=HYPERLINK("https://main.knesset.gov.il/APPS/legislation/main/bills/2166125", "הצעת חוק לתיקון פקודת בריאות העם (הזכות לשימור פוריות), התשפ""ב-2021")</f>
        <v>16251</v>
      </c>
      <c r="E8331" t="s">
        <v>16251</v>
      </c>
      <c r="F8331" t="s">
        <v>16252</v>
      </c>
      <c r="G8331" t="s">
        <v>14</v>
      </c>
      <c r="H8331">
             </c>
      <c r="I8331" t="s">
        <v>14</v>
      </c>
      <c r="J8331" t="s">
        <v>60</v>
      </c>
      <c r="K8331" t="s">
        <v>14</v>
      </c>
      <c r="L8331" t="s">
        <v>20</v>
      </c>
      <c r="M8331" t="s">
        <v>16242</v>
      </c>
      <c r="N8331" t="s">
        <v>14</v>
      </c>
    </row>
    <row r="8332" x14ac:dyDescent="0.25">
      <c r="A8332" t="n">
        <v>24</v>
      </c>
      <c r="B8332" t="s">
        <v>14</v>
      </c>
      <c r="C8332" t="s">
        <v>22</v>
      </c>
      <c r="D8332" s="2" t="s">
        <f>=HYPERLINK("https://main.knesset.gov.il/APPS/legislation/main/bills/2164151", "הצעת חוק הקמת ועדת חקירה ממלכתית לפרשת המימד החמישי, התשפ""ב-2021")</f>
        <v>16253</v>
      </c>
      <c r="E8332" t="s">
        <v>16253</v>
      </c>
      <c r="F8332" t="s">
        <v>16254</v>
      </c>
      <c r="G8332" t="s">
        <v>14</v>
      </c>
      <c r="H8332">
             </c>
      <c r="I8332" t="s">
        <v>14</v>
      </c>
      <c r="J8332" t="s">
        <v>55</v>
      </c>
      <c r="K8332" t="s">
        <v>14</v>
      </c>
      <c r="L8332" t="s">
        <v>20</v>
      </c>
      <c r="M8332" t="s">
        <v>16242</v>
      </c>
      <c r="N8332" t="s">
        <v>14</v>
      </c>
    </row>
    <row r="8333" x14ac:dyDescent="0.25">
      <c r="A8333" t="n">
        <v>24</v>
      </c>
      <c r="B8333" t="s">
        <v>14</v>
      </c>
      <c r="C8333" t="s">
        <v>22</v>
      </c>
      <c r="D8333" s="2" t="s">
        <f>=HYPERLINK("https://main.knesset.gov.il/APPS/legislation/main/bills/2161430", "הצעת חוק הביטוח הלאומי (תיקון - דמי אבטלה למתמחים), התשפ""ב-2021")</f>
        <v>16255</v>
      </c>
      <c r="E8333" t="s">
        <v>16255</v>
      </c>
      <c r="F8333" t="s">
        <v>16256</v>
      </c>
      <c r="G8333" t="s">
        <v>14</v>
      </c>
      <c r="H8333">
             </c>
      <c r="I8333" t="s">
        <v>14</v>
      </c>
      <c r="J8333" t="s">
        <v>31</v>
      </c>
      <c r="K8333" t="s">
        <v>127</v>
      </c>
      <c r="L8333" t="s">
        <v>20</v>
      </c>
      <c r="M8333" t="s">
        <v>16242</v>
      </c>
      <c r="N8333" t="s">
        <v>14</v>
      </c>
    </row>
    <row r="8334" x14ac:dyDescent="0.25">
      <c r="A8334" t="n">
        <v>24</v>
      </c>
      <c r="B8334" t="s">
        <v>14</v>
      </c>
      <c r="C8334" t="s">
        <v>22</v>
      </c>
      <c r="D8334" s="2" t="s">
        <f>=HYPERLINK("https://main.knesset.gov.il/APPS/legislation/main/bills/2161026", "הצעת חוק חינוך ממלכתי (תיקון - שלילת השתתפות בתקציב עקב הפליה), התשפ""א-2021")</f>
        <v>16257</v>
      </c>
      <c r="E8334" t="s">
        <v>16257</v>
      </c>
      <c r="F8334" t="s">
        <v>16258</v>
      </c>
      <c r="G8334" t="s">
        <v>14</v>
      </c>
      <c r="H8334">
             </c>
      <c r="I8334" t="s">
        <v>14</v>
      </c>
      <c r="J8334" t="s">
        <v>60</v>
      </c>
      <c r="K8334" t="s">
        <v>14</v>
      </c>
      <c r="L8334" t="s">
        <v>20</v>
      </c>
      <c r="M8334" t="s">
        <v>16242</v>
      </c>
      <c r="N8334" t="s">
        <v>14</v>
      </c>
    </row>
    <row r="8335" x14ac:dyDescent="0.25">
      <c r="A8335" t="n">
        <v>24</v>
      </c>
      <c r="B8335" t="s">
        <v>14</v>
      </c>
      <c r="C8335" t="s">
        <v>22</v>
      </c>
      <c r="D8335" s="2" t="s">
        <f>=HYPERLINK("https://main.knesset.gov.il/APPS/legislation/main/bills/2159794", "הצעת חוק לתיקון פקודת מס הכנסה (תרומה מישות מפלה), התשפ""א-2021")</f>
        <v>16259</v>
      </c>
      <c r="E8335" t="s">
        <v>16259</v>
      </c>
      <c r="F8335" t="s">
        <v>16260</v>
      </c>
      <c r="G8335" t="s">
        <v>14</v>
      </c>
      <c r="H8335">
             </c>
      <c r="I8335" t="s">
        <v>14</v>
      </c>
      <c r="J8335" t="s">
        <v>55</v>
      </c>
      <c r="K8335" t="s">
        <v>14</v>
      </c>
      <c r="L8335" t="s">
        <v>20</v>
      </c>
      <c r="M8335" t="s">
        <v>16242</v>
      </c>
      <c r="N8335" t="s">
        <v>14</v>
      </c>
    </row>
    <row r="8336" x14ac:dyDescent="0.25">
      <c r="A8336" t="n">
        <v>24</v>
      </c>
      <c r="B8336" t="s">
        <v>14</v>
      </c>
      <c r="C8336" t="s">
        <v>22</v>
      </c>
      <c r="D8336" s="2" t="s">
        <f>=HYPERLINK("https://main.knesset.gov.il/APPS/legislation/main/bills/2157677", "הצעת חוק המים (תיקון - הנחות לבתי תפילה), התשפ""א-2021")</f>
        <v>16261</v>
      </c>
      <c r="E8336" t="s">
        <v>16261</v>
      </c>
      <c r="F8336" t="s">
        <v>16262</v>
      </c>
      <c r="G8336" t="s">
        <v>14</v>
      </c>
      <c r="H8336">
             </c>
      <c r="I8336" t="s">
        <v>14</v>
      </c>
      <c r="J8336" t="s">
        <v>60</v>
      </c>
      <c r="K8336" t="s">
        <v>14</v>
      </c>
      <c r="L8336" t="s">
        <v>20</v>
      </c>
      <c r="M8336" t="s">
        <v>16242</v>
      </c>
      <c r="N8336" t="s">
        <v>14</v>
      </c>
    </row>
    <row r="8337" x14ac:dyDescent="0.25">
      <c r="A8337" t="n">
        <v>24</v>
      </c>
      <c r="B8337" t="s">
        <v>14</v>
      </c>
      <c r="C8337" t="s">
        <v>22</v>
      </c>
      <c r="D8337" s="2" t="s">
        <f>=HYPERLINK("https://main.knesset.gov.il/APPS/legislation/main/bills/2159554", "הצעת חוק הגנת הצרכן (תיקון - סימון תוצרת חקלאית שאינה ארוזה מראש), התשפ""א-2021")</f>
        <v>16263</v>
      </c>
      <c r="E8337" t="s">
        <v>16263</v>
      </c>
      <c r="F8337" t="s">
        <v>16264</v>
      </c>
      <c r="G8337" t="s">
        <v>14</v>
      </c>
      <c r="H8337">
             </c>
      <c r="I8337" t="s">
        <v>14</v>
      </c>
      <c r="J8337" t="s">
        <v>55</v>
      </c>
      <c r="K8337" t="s">
        <v>14</v>
      </c>
      <c r="L8337" t="s">
        <v>20</v>
      </c>
      <c r="M8337" t="s">
        <v>16242</v>
      </c>
      <c r="N8337" t="s">
        <v>14</v>
      </c>
    </row>
    <row r="8338" x14ac:dyDescent="0.25">
      <c r="A8338" t="n">
        <v>24</v>
      </c>
      <c r="B8338" t="s">
        <v>14</v>
      </c>
      <c r="C8338" t="s">
        <v>22</v>
      </c>
      <c r="D8338" s="2" t="s">
        <f>=HYPERLINK("https://main.knesset.gov.il/APPS/legislation/main/bills/2156627", "הצעת חוק הנחות בתעריפי מים וחשמל לבתי תפילה (תיקוני חקיקה) (הוראת שעה), התשפ""א-2021")</f>
        <v>16265</v>
      </c>
      <c r="E8338" t="s">
        <v>16265</v>
      </c>
      <c r="F8338" t="s">
        <v>16266</v>
      </c>
      <c r="G8338" t="s">
        <v>14</v>
      </c>
      <c r="H8338">
             </c>
      <c r="I8338" t="s">
        <v>14</v>
      </c>
      <c r="J8338" t="s">
        <v>60</v>
      </c>
      <c r="K8338" t="s">
        <v>14</v>
      </c>
      <c r="L8338" t="s">
        <v>20</v>
      </c>
      <c r="M8338" t="s">
        <v>16242</v>
      </c>
      <c r="N8338" t="s">
        <v>14</v>
      </c>
    </row>
    <row r="8339" x14ac:dyDescent="0.25">
      <c r="A8339" t="n">
        <v>24</v>
      </c>
      <c r="B8339" t="s">
        <v>14</v>
      </c>
      <c r="C8339" t="s">
        <v>22</v>
      </c>
      <c r="D8339" s="2" t="s">
        <f>=HYPERLINK("https://main.knesset.gov.il/APPS/legislation/main/bills/2156165", "הצעת חוק יום לציון אירועי הפרהוד, התשפ""א-2021")</f>
        <v>16267</v>
      </c>
      <c r="E8339" t="s">
        <v>16267</v>
      </c>
      <c r="F8339" t="s">
        <v>16268</v>
      </c>
      <c r="G8339" t="s">
        <v>14</v>
      </c>
      <c r="H8339">
             </c>
      <c r="I8339" t="s">
        <v>14</v>
      </c>
      <c r="J8339" t="s">
        <v>343</v>
      </c>
      <c r="K8339" t="s">
        <v>14</v>
      </c>
      <c r="L8339" t="s">
        <v>20</v>
      </c>
      <c r="M8339" t="s">
        <v>16242</v>
      </c>
      <c r="N8339" t="s">
        <v>14</v>
      </c>
    </row>
    <row r="8340" x14ac:dyDescent="0.25">
      <c r="A8340" t="n">
        <v>24</v>
      </c>
      <c r="B8340" t="s">
        <v>14</v>
      </c>
      <c r="C8340" t="s">
        <v>22</v>
      </c>
      <c r="D8340" s="2" t="s">
        <f>=HYPERLINK("https://main.knesset.gov.il/APPS/legislation/main/bills/2156592", "הצעת חוק הסדרת העיסוק במקצועות הבריאות (תיקון - טיפול באמצעות אמנויות), התשפ""א-2021")</f>
        <v>16269</v>
      </c>
      <c r="E8340" t="s">
        <v>16269</v>
      </c>
      <c r="F8340" t="s">
        <v>16270</v>
      </c>
      <c r="G8340" t="s">
        <v>14</v>
      </c>
      <c r="H8340">
             </c>
      <c r="I8340" t="s">
        <v>26</v>
      </c>
      <c r="J8340" t="s">
        <v>31</v>
      </c>
      <c r="K8340" t="s">
        <v>480</v>
      </c>
      <c r="L8340" t="s">
        <v>20</v>
      </c>
      <c r="M8340" t="s">
        <v>16271</v>
      </c>
      <c r="N8340" t="s">
        <v>14</v>
      </c>
    </row>
    <row r="8341" x14ac:dyDescent="0.25">
      <c r="A8341" t="n">
        <v>24</v>
      </c>
      <c r="B8341" t="s">
        <v>14</v>
      </c>
      <c r="C8341" t="s">
        <v>15</v>
      </c>
      <c r="D8341" s="2" t="s">
        <f>=HYPERLINK("https://main.knesset.gov.il/APPS/legislation/main/bills/2190518", "הצעת חוק בתי דין רבניים (קיום פסקי דין של גירושין) (תיקון מס' 9), התשפ""ב-2022")</f>
        <v>16272</v>
      </c>
      <c r="E8341" t="s">
        <v>16272</v>
      </c>
      <c r="F8341" t="s">
        <v>14</v>
      </c>
      <c r="G8341" t="s">
        <v>16273</v>
      </c>
      <c r="H8341">
             </c>
      <c r="I8341" t="s">
        <v>14</v>
      </c>
      <c r="J8341" t="s">
        <v>69</v>
      </c>
      <c r="K8341" t="s">
        <v>14</v>
      </c>
      <c r="L8341" t="s">
        <v>20</v>
      </c>
      <c r="M8341" t="s">
        <v>16271</v>
      </c>
      <c r="N8341" t="s">
        <v>14</v>
      </c>
    </row>
    <row r="8342" x14ac:dyDescent="0.25">
      <c r="A8342" t="n">
        <v>24</v>
      </c>
      <c r="B8342" t="s">
        <v>14</v>
      </c>
      <c r="C8342" t="s">
        <v>15</v>
      </c>
      <c r="D8342" s="2" t="s">
        <f>=HYPERLINK("https://main.knesset.gov.il/APPS/legislation/main/bills/2165126", "הצעת חוק-יסוד: הממשלה (תיקון מס' 11)")</f>
        <v>16274</v>
      </c>
      <c r="E8342" t="s">
        <v>16274</v>
      </c>
      <c r="F8342" t="s">
        <v>14</v>
      </c>
      <c r="G8342" t="s">
        <v>16275</v>
      </c>
      <c r="H8342">
             </c>
      <c r="I8342" t="s">
        <v>14</v>
      </c>
      <c r="J8342" t="s">
        <v>289</v>
      </c>
      <c r="K8342" t="s">
        <v>27</v>
      </c>
      <c r="L8342" t="s">
        <v>20</v>
      </c>
      <c r="M8342" t="s">
        <v>16271</v>
      </c>
      <c r="N8342" t="s">
        <v>14</v>
      </c>
    </row>
    <row r="8343" x14ac:dyDescent="0.25">
      <c r="A8343" t="n">
        <v>24</v>
      </c>
      <c r="B8343" t="s">
        <v>14</v>
      </c>
      <c r="C8343" t="s">
        <v>22</v>
      </c>
      <c r="D8343" s="2" t="s">
        <f>=HYPERLINK("https://main.knesset.gov.il/APPS/legislation/main/bills/2157936", "הצעת חוק זכויות החולה (תיקון - איסור הפליה), התשפ""א-2021")</f>
        <v>16276</v>
      </c>
      <c r="E8343" t="s">
        <v>16276</v>
      </c>
      <c r="F8343" t="s">
        <v>16277</v>
      </c>
      <c r="G8343" t="s">
        <v>14</v>
      </c>
      <c r="H8343">
             </c>
      <c r="I8343" t="s">
        <v>14</v>
      </c>
      <c r="J8343" t="s">
        <v>31</v>
      </c>
      <c r="K8343" t="s">
        <v>480</v>
      </c>
      <c r="L8343" t="s">
        <v>20</v>
      </c>
      <c r="M8343" t="s">
        <v>16278</v>
      </c>
      <c r="N8343" t="s">
        <v>14</v>
      </c>
    </row>
    <row r="8344" x14ac:dyDescent="0.25">
      <c r="A8344" t="n">
        <v>24</v>
      </c>
      <c r="B8344" t="s">
        <v>14</v>
      </c>
      <c r="C8344" t="s">
        <v>15</v>
      </c>
      <c r="D8344" s="2" t="s">
        <f>=HYPERLINK("https://main.knesset.gov.il/APPS/legislation/main/bills/2166887", "חוק האזרחים הוותיקים (תיקון מס' 17), התשפ""ב-2022 ")</f>
        <v>16279</v>
      </c>
      <c r="E8344" t="s">
        <v>16279</v>
      </c>
      <c r="F8344" t="s">
        <v>14</v>
      </c>
      <c r="G8344" t="s">
        <v>16280</v>
      </c>
      <c r="H8344" t="n">
        <v>2961</v>
      </c>
      <c r="I8344" t="s">
        <v>14</v>
      </c>
      <c r="J8344" t="s">
        <v>91</v>
      </c>
      <c r="K8344" t="s">
        <v>127</v>
      </c>
      <c r="L8344" t="s">
        <v>20</v>
      </c>
      <c r="M8344" t="s">
        <v>16278</v>
      </c>
      <c r="N8344" t="s">
        <v>16281</v>
      </c>
    </row>
    <row r="8345" x14ac:dyDescent="0.25">
      <c r="A8345" t="n">
        <v>24</v>
      </c>
      <c r="B8345" t="s">
        <v>14</v>
      </c>
      <c r="C8345" t="s">
        <v>22</v>
      </c>
      <c r="D8345" s="2" t="s">
        <f>=HYPERLINK("https://main.knesset.gov.il/APPS/legislation/main/bills/2169687", "הצעת חוק לתיקון פקודת הבנקאות (תקופת צינון למפקח על הבנקים והארכת כהונה), התשפ""ב-2022")</f>
        <v>16282</v>
      </c>
      <c r="E8345" t="s">
        <v>16282</v>
      </c>
      <c r="F8345" t="s">
        <v>16283</v>
      </c>
      <c r="G8345" t="s">
        <v>14</v>
      </c>
      <c r="H8345">
             </c>
      <c r="I8345" t="s">
        <v>14</v>
      </c>
      <c r="J8345" t="s">
        <v>141</v>
      </c>
      <c r="K8345" t="s">
        <v>14</v>
      </c>
      <c r="L8345" t="s">
        <v>20</v>
      </c>
      <c r="M8345" t="s">
        <v>16278</v>
      </c>
      <c r="N8345" t="s">
        <v>14</v>
      </c>
    </row>
    <row r="8346" x14ac:dyDescent="0.25">
      <c r="A8346" t="n">
        <v>24</v>
      </c>
      <c r="B8346" t="s">
        <v>14</v>
      </c>
      <c r="C8346" t="s">
        <v>22</v>
      </c>
      <c r="D8346" s="2" t="s">
        <f>=HYPERLINK("https://main.knesset.gov.il/APPS/legislation/main/bills/2168638", "הצעת חוק צער בעלי חיים (הגנה על בעלי חיים) (תיקון - איסור על זיווג ומכירה של כלבים וחתולים), התשפ""ב-2022")</f>
        <v>16284</v>
      </c>
      <c r="E8346" t="s">
        <v>16284</v>
      </c>
      <c r="F8346" t="s">
        <v>16285</v>
      </c>
      <c r="G8346" t="s">
        <v>14</v>
      </c>
      <c r="H8346">
             </c>
      <c r="I8346" t="s">
        <v>14</v>
      </c>
      <c r="J8346" t="s">
        <v>141</v>
      </c>
      <c r="K8346" t="s">
        <v>14</v>
      </c>
      <c r="L8346" t="s">
        <v>20</v>
      </c>
      <c r="M8346" t="s">
        <v>16278</v>
      </c>
      <c r="N8346" t="s">
        <v>14</v>
      </c>
    </row>
    <row r="8347" x14ac:dyDescent="0.25">
      <c r="A8347" t="n">
        <v>24</v>
      </c>
      <c r="B8347" t="s">
        <v>14</v>
      </c>
      <c r="C8347" t="s">
        <v>22</v>
      </c>
      <c r="D8347" s="2" t="s">
        <f>=HYPERLINK("https://main.knesset.gov.il/APPS/legislation/main/bills/2189804", "הצעת חוק סמכויות שעת חירום (תיקוני חקיקה), התשפ""ב-2022")</f>
        <v>16286</v>
      </c>
      <c r="E8347" t="s">
        <v>16286</v>
      </c>
      <c r="F8347" t="s">
        <v>16287</v>
      </c>
      <c r="G8347" t="s">
        <v>14</v>
      </c>
      <c r="H8347">
             </c>
      <c r="I8347" t="s">
        <v>14</v>
      </c>
      <c r="J8347" t="s">
        <v>141</v>
      </c>
      <c r="K8347" t="s">
        <v>14</v>
      </c>
      <c r="L8347" t="s">
        <v>20</v>
      </c>
      <c r="M8347" t="s">
        <v>16278</v>
      </c>
      <c r="N8347" t="s">
        <v>14</v>
      </c>
    </row>
    <row r="8348" x14ac:dyDescent="0.25">
      <c r="A8348" t="n">
        <v>24</v>
      </c>
      <c r="B8348" t="s">
        <v>14</v>
      </c>
      <c r="C8348" t="s">
        <v>22</v>
      </c>
      <c r="D8348" s="2" t="s">
        <f>=HYPERLINK("https://main.knesset.gov.il/APPS/legislation/main/bills/2190012", "הצעת חוק הפיקוח על יצוא ביטחוני (תיקון - איסור העברת חומרי נפץ לרשות הפלסטינית), התשפ""ב- 2022")</f>
        <v>16288</v>
      </c>
      <c r="E8348" t="s">
        <v>16288</v>
      </c>
      <c r="F8348" t="s">
        <v>16289</v>
      </c>
      <c r="G8348" t="s">
        <v>14</v>
      </c>
      <c r="H8348">
             </c>
      <c r="I8348" t="s">
        <v>14</v>
      </c>
      <c r="J8348" t="s">
        <v>141</v>
      </c>
      <c r="K8348" t="s">
        <v>14</v>
      </c>
      <c r="L8348" t="s">
        <v>20</v>
      </c>
      <c r="M8348" t="s">
        <v>16278</v>
      </c>
      <c r="N8348" t="s">
        <v>14</v>
      </c>
    </row>
    <row r="8349" x14ac:dyDescent="0.25">
      <c r="A8349" t="n">
        <v>24</v>
      </c>
      <c r="B8349" t="s">
        <v>14</v>
      </c>
      <c r="C8349" t="s">
        <v>22</v>
      </c>
      <c r="D8349" s="2" t="s">
        <f>=HYPERLINK("https://main.knesset.gov.il/APPS/legislation/main/bills/2189739", "הצעת חוק הביטוח הלאומי (תיקון - עבודה מועדפת בהדרכה בתחום החינוך הבלתי פורמלי), התשפ""ב-2022")</f>
        <v>16290</v>
      </c>
      <c r="E8349" t="s">
        <v>16290</v>
      </c>
      <c r="F8349" t="s">
        <v>16291</v>
      </c>
      <c r="G8349" t="s">
        <v>14</v>
      </c>
      <c r="H8349">
             </c>
      <c r="I8349" t="s">
        <v>14</v>
      </c>
      <c r="J8349" t="s">
        <v>141</v>
      </c>
      <c r="K8349" t="s">
        <v>14</v>
      </c>
      <c r="L8349" t="s">
        <v>20</v>
      </c>
      <c r="M8349" t="s">
        <v>16278</v>
      </c>
      <c r="N8349" t="s">
        <v>14</v>
      </c>
    </row>
    <row r="8350" x14ac:dyDescent="0.25">
      <c r="A8350" t="n">
        <v>24</v>
      </c>
      <c r="B8350" t="s">
        <v>14</v>
      </c>
      <c r="C8350" t="s">
        <v>22</v>
      </c>
      <c r="D8350" s="2" t="s">
        <f>=HYPERLINK("https://main.knesset.gov.il/APPS/legislation/main/bills/2189609", "הצעת חוק הביטוח הלאומי (תיקון - דמי אבטלה למי שנמצא בהכשרה מקצועית), התשפ""ב-2022")</f>
        <v>16292</v>
      </c>
      <c r="E8350" t="s">
        <v>16292</v>
      </c>
      <c r="F8350" t="s">
        <v>16293</v>
      </c>
      <c r="G8350" t="s">
        <v>14</v>
      </c>
      <c r="H8350">
             </c>
      <c r="I8350" t="s">
        <v>14</v>
      </c>
      <c r="J8350" t="s">
        <v>141</v>
      </c>
      <c r="K8350" t="s">
        <v>14</v>
      </c>
      <c r="L8350" t="s">
        <v>20</v>
      </c>
      <c r="M8350" t="s">
        <v>16278</v>
      </c>
      <c r="N8350" t="s">
        <v>14</v>
      </c>
    </row>
    <row r="8351" x14ac:dyDescent="0.25">
      <c r="A8351" t="n">
        <v>24</v>
      </c>
      <c r="B8351" t="s">
        <v>14</v>
      </c>
      <c r="C8351" t="s">
        <v>22</v>
      </c>
      <c r="D8351" s="2" t="s">
        <f>=HYPERLINK("https://main.knesset.gov.il/APPS/legislation/main/bills/2170260", "הצעת חוק הביטוח הלאומי (תיקון - קביעת אחוזי נכות ללקויי שמיעה - דו-צידי וחד-צידי), התשפ""ב-2022")</f>
        <v>14841</v>
      </c>
      <c r="E8351" t="s">
        <v>14841</v>
      </c>
      <c r="F8351" t="s">
        <v>16294</v>
      </c>
      <c r="G8351" t="s">
        <v>14</v>
      </c>
      <c r="H8351">
             </c>
      <c r="I8351" t="s">
        <v>14</v>
      </c>
      <c r="J8351" t="s">
        <v>141</v>
      </c>
      <c r="K8351" t="s">
        <v>14</v>
      </c>
      <c r="L8351" t="s">
        <v>20</v>
      </c>
      <c r="M8351" t="s">
        <v>16278</v>
      </c>
      <c r="N8351" t="s">
        <v>14</v>
      </c>
    </row>
    <row r="8352" x14ac:dyDescent="0.25">
      <c r="A8352" t="n">
        <v>24</v>
      </c>
      <c r="B8352" t="s">
        <v>14</v>
      </c>
      <c r="C8352" t="s">
        <v>22</v>
      </c>
      <c r="D8352" s="2" t="s">
        <f>=HYPERLINK("https://main.knesset.gov.il/APPS/legislation/main/bills/2189707", "הצעת חוק הביטוח הלאומי (תיקון - ביטול מבחני התלות לקבלת גמלת סיעוד), התשפ""ב-2022")</f>
        <v>16295</v>
      </c>
      <c r="E8352" t="s">
        <v>16295</v>
      </c>
      <c r="F8352" t="s">
        <v>16296</v>
      </c>
      <c r="G8352" t="s">
        <v>14</v>
      </c>
      <c r="H8352">
             </c>
      <c r="I8352" t="s">
        <v>14</v>
      </c>
      <c r="J8352" t="s">
        <v>141</v>
      </c>
      <c r="K8352" t="s">
        <v>14</v>
      </c>
      <c r="L8352" t="s">
        <v>20</v>
      </c>
      <c r="M8352" t="s">
        <v>16278</v>
      </c>
      <c r="N8352" t="s">
        <v>14</v>
      </c>
    </row>
    <row r="8353" x14ac:dyDescent="0.25">
      <c r="A8353" t="n">
        <v>24</v>
      </c>
      <c r="B8353" t="s">
        <v>14</v>
      </c>
      <c r="C8353" t="s">
        <v>22</v>
      </c>
      <c r="D8353" s="2" t="s">
        <f>=HYPERLINK("https://main.knesset.gov.il/APPS/legislation/main/bills/2189705", "הצעת חוק הביטוח הלאומי (תיקון - ביטול מבחני התלות לקבלת גמלת סיעוד לאזרח שמלאו לו 80 שנים), התשפ""ב-2022")</f>
        <v>16297</v>
      </c>
      <c r="E8353" t="s">
        <v>16297</v>
      </c>
      <c r="F8353" t="s">
        <v>16298</v>
      </c>
      <c r="G8353" t="s">
        <v>14</v>
      </c>
      <c r="H8353">
             </c>
      <c r="I8353" t="s">
        <v>14</v>
      </c>
      <c r="J8353" t="s">
        <v>141</v>
      </c>
      <c r="K8353" t="s">
        <v>14</v>
      </c>
      <c r="L8353" t="s">
        <v>20</v>
      </c>
      <c r="M8353" t="s">
        <v>16278</v>
      </c>
      <c r="N8353" t="s">
        <v>14</v>
      </c>
    </row>
    <row r="8354" x14ac:dyDescent="0.25">
      <c r="A8354" t="n">
        <v>24</v>
      </c>
      <c r="B8354" t="s">
        <v>14</v>
      </c>
      <c r="C8354" t="s">
        <v>22</v>
      </c>
      <c r="D8354" s="2" t="s">
        <f>=HYPERLINK("https://main.knesset.gov.il/APPS/legislation/main/bills/2169553", "הצעת חוק מס ערך מוסף (תיקון - שיעור מס אפס על מוצרי מזון בסיסיים), התשפ""ב-2022")</f>
        <v>16299</v>
      </c>
      <c r="E8354" t="s">
        <v>16299</v>
      </c>
      <c r="F8354" t="s">
        <v>16300</v>
      </c>
      <c r="G8354" t="s">
        <v>14</v>
      </c>
      <c r="H8354">
             </c>
      <c r="I8354" t="s">
        <v>14</v>
      </c>
      <c r="J8354" t="s">
        <v>141</v>
      </c>
      <c r="K8354" t="s">
        <v>14</v>
      </c>
      <c r="L8354" t="s">
        <v>20</v>
      </c>
      <c r="M8354" t="s">
        <v>16278</v>
      </c>
      <c r="N8354" t="s">
        <v>14</v>
      </c>
    </row>
    <row r="8355" x14ac:dyDescent="0.25">
      <c r="A8355" t="n">
        <v>24</v>
      </c>
      <c r="B8355" t="s">
        <v>14</v>
      </c>
      <c r="C8355" t="s">
        <v>22</v>
      </c>
      <c r="D8355" s="2" t="s">
        <f>=HYPERLINK("https://main.knesset.gov.il/APPS/legislation/main/bills/2166918", "הצעת חוק לתיקון פקודת התעבורה (אכיפת נסיעה בלא כרטיס בידי מפקחים), התשפ""ב-2022")</f>
        <v>16301</v>
      </c>
      <c r="E8355" t="s">
        <v>16301</v>
      </c>
      <c r="F8355" t="s">
        <v>16302</v>
      </c>
      <c r="G8355" t="s">
        <v>14</v>
      </c>
      <c r="H8355">
             </c>
      <c r="I8355" t="s">
        <v>14</v>
      </c>
      <c r="J8355" t="s">
        <v>141</v>
      </c>
      <c r="K8355" t="s">
        <v>14</v>
      </c>
      <c r="L8355" t="s">
        <v>20</v>
      </c>
      <c r="M8355" t="s">
        <v>16278</v>
      </c>
      <c r="N8355" t="s">
        <v>14</v>
      </c>
    </row>
    <row r="8356" x14ac:dyDescent="0.25">
      <c r="A8356" t="n">
        <v>24</v>
      </c>
      <c r="B8356" t="s">
        <v>14</v>
      </c>
      <c r="C8356" t="s">
        <v>22</v>
      </c>
      <c r="D8356" s="2" t="s">
        <f>=HYPERLINK("https://main.knesset.gov.il/APPS/legislation/main/bills/2167102", "הצעת חוק התכנון והבנייה (תיקון - חובת הקמת מערכת סולארית לייצור חשמל במבנים), התשפ""ב-2022")</f>
        <v>16212</v>
      </c>
      <c r="E8356" t="s">
        <v>16212</v>
      </c>
      <c r="F8356" t="s">
        <v>16303</v>
      </c>
      <c r="G8356" t="s">
        <v>14</v>
      </c>
      <c r="H8356">
             </c>
      <c r="I8356" t="s">
        <v>14</v>
      </c>
      <c r="J8356" t="s">
        <v>141</v>
      </c>
      <c r="K8356" t="s">
        <v>14</v>
      </c>
      <c r="L8356" t="s">
        <v>20</v>
      </c>
      <c r="M8356" t="s">
        <v>16278</v>
      </c>
      <c r="N8356" t="s">
        <v>14</v>
      </c>
    </row>
    <row r="8357" x14ac:dyDescent="0.25">
      <c r="A8357" t="n">
        <v>24</v>
      </c>
      <c r="B8357" t="s">
        <v>14</v>
      </c>
      <c r="C8357" t="s">
        <v>22</v>
      </c>
      <c r="D8357" s="2" t="s">
        <f>=HYPERLINK("https://main.knesset.gov.il/APPS/legislation/main/bills/2169295", "הצעת חוק לתיקון פקודת מס הכנסה (הגדלת מגבלת הייזום המותר בקרן להשקעות במקרקעין), התשפ""ב-2022")</f>
        <v>16304</v>
      </c>
      <c r="E8357" t="s">
        <v>16304</v>
      </c>
      <c r="F8357" t="s">
        <v>16305</v>
      </c>
      <c r="G8357" t="s">
        <v>14</v>
      </c>
      <c r="H8357">
             </c>
      <c r="I8357" t="s">
        <v>14</v>
      </c>
      <c r="J8357" t="s">
        <v>141</v>
      </c>
      <c r="K8357" t="s">
        <v>14</v>
      </c>
      <c r="L8357" t="s">
        <v>20</v>
      </c>
      <c r="M8357" t="s">
        <v>16278</v>
      </c>
      <c r="N8357" t="s">
        <v>14</v>
      </c>
    </row>
    <row r="8358" x14ac:dyDescent="0.25">
      <c r="A8358" t="n">
        <v>24</v>
      </c>
      <c r="B8358" t="s">
        <v>14</v>
      </c>
      <c r="C8358" t="s">
        <v>22</v>
      </c>
      <c r="D8358" s="2" t="s">
        <f>=HYPERLINK("https://main.knesset.gov.il/APPS/legislation/main/bills/2170230", "הצעת חוק הצבת מכשירי החייאה במקומות ציבוריים (תיקון - צעדים ליישום מיטבי של החוק), התשפ""ב-2022")</f>
        <v>16306</v>
      </c>
      <c r="E8358" t="s">
        <v>16306</v>
      </c>
      <c r="F8358" t="s">
        <v>16307</v>
      </c>
      <c r="G8358" t="s">
        <v>14</v>
      </c>
      <c r="H8358">
             </c>
      <c r="I8358" t="s">
        <v>14</v>
      </c>
      <c r="J8358" t="s">
        <v>141</v>
      </c>
      <c r="K8358" t="s">
        <v>14</v>
      </c>
      <c r="L8358" t="s">
        <v>20</v>
      </c>
      <c r="M8358" t="s">
        <v>16278</v>
      </c>
      <c r="N8358" t="s">
        <v>14</v>
      </c>
    </row>
    <row r="8359" x14ac:dyDescent="0.25">
      <c r="A8359" t="n">
        <v>24</v>
      </c>
      <c r="B8359" t="s">
        <v>14</v>
      </c>
      <c r="C8359" t="s">
        <v>22</v>
      </c>
      <c r="D8359" s="2" t="s">
        <f>=HYPERLINK("https://main.knesset.gov.il/APPS/legislation/main/bills/2167202", "הצעת חוק הסדרת מקומות רחצה (תיקון - קביעת מקומות לרחצה נפרדת), התשפ""ב-2022")</f>
        <v>16308</v>
      </c>
      <c r="E8359" t="s">
        <v>16308</v>
      </c>
      <c r="F8359" t="s">
        <v>16309</v>
      </c>
      <c r="G8359" t="s">
        <v>14</v>
      </c>
      <c r="H8359">
             </c>
      <c r="I8359" t="s">
        <v>14</v>
      </c>
      <c r="J8359" t="s">
        <v>141</v>
      </c>
      <c r="K8359" t="s">
        <v>14</v>
      </c>
      <c r="L8359" t="s">
        <v>20</v>
      </c>
      <c r="M8359" t="s">
        <v>16278</v>
      </c>
      <c r="N8359" t="s">
        <v>14</v>
      </c>
    </row>
    <row r="8360" x14ac:dyDescent="0.25">
      <c r="A8360" t="n">
        <v>24</v>
      </c>
      <c r="B8360" t="s">
        <v>14</v>
      </c>
      <c r="C8360" t="s">
        <v>22</v>
      </c>
      <c r="D8360" s="2" t="s">
        <f>=HYPERLINK("https://main.knesset.gov.il/APPS/legislation/main/bills/2167853", "הצעת חוק ההוצאה לפועל (תיקון - ביטול האפשרות לצוות על עיכוב יציאה מהארץ בגין חוב כספי נמוך), התשפ""ב-2022")</f>
        <v>16141</v>
      </c>
      <c r="E8360" t="s">
        <v>16141</v>
      </c>
      <c r="F8360" t="s">
        <v>16310</v>
      </c>
      <c r="G8360" t="s">
        <v>14</v>
      </c>
      <c r="H8360">
             </c>
      <c r="I8360" t="s">
        <v>14</v>
      </c>
      <c r="J8360" t="s">
        <v>141</v>
      </c>
      <c r="K8360" t="s">
        <v>14</v>
      </c>
      <c r="L8360" t="s">
        <v>20</v>
      </c>
      <c r="M8360" t="s">
        <v>16278</v>
      </c>
      <c r="N8360" t="s">
        <v>14</v>
      </c>
    </row>
    <row r="8361" x14ac:dyDescent="0.25">
      <c r="A8361" t="n">
        <v>24</v>
      </c>
      <c r="B8361" t="s">
        <v>14</v>
      </c>
      <c r="C8361" t="s">
        <v>22</v>
      </c>
      <c r="D8361" s="2" t="s">
        <f>=HYPERLINK("https://main.knesset.gov.il/APPS/legislation/main/bills/2190214", "הצעת חוק לתיקון פקודת מס הכנסה (נקודות זיכוי לאפוטרופוס), התשפ""ב-2022")</f>
        <v>16311</v>
      </c>
      <c r="E8361" t="s">
        <v>16311</v>
      </c>
      <c r="F8361" t="s">
        <v>16312</v>
      </c>
      <c r="G8361" t="s">
        <v>14</v>
      </c>
      <c r="H8361">
             </c>
      <c r="I8361" t="s">
        <v>14</v>
      </c>
      <c r="J8361" t="s">
        <v>141</v>
      </c>
      <c r="K8361" t="s">
        <v>14</v>
      </c>
      <c r="L8361" t="s">
        <v>20</v>
      </c>
      <c r="M8361" t="s">
        <v>16278</v>
      </c>
      <c r="N8361" t="s">
        <v>14</v>
      </c>
    </row>
    <row r="8362" x14ac:dyDescent="0.25">
      <c r="A8362" t="n">
        <v>24</v>
      </c>
      <c r="B8362" t="s">
        <v>14</v>
      </c>
      <c r="C8362" t="s">
        <v>22</v>
      </c>
      <c r="D8362" s="2" t="s">
        <f>=HYPERLINK("https://main.knesset.gov.il/APPS/legislation/main/bills/2189741", "הצעת חוק ביטוח בריאות ממלכתי (תיקון - החזר אגרת נסיעה באמבולנס), התשפ""ב-2022")</f>
        <v>16313</v>
      </c>
      <c r="E8362" t="s">
        <v>16313</v>
      </c>
      <c r="F8362" t="s">
        <v>16314</v>
      </c>
      <c r="G8362" t="s">
        <v>14</v>
      </c>
      <c r="H8362">
             </c>
      <c r="I8362" t="s">
        <v>14</v>
      </c>
      <c r="J8362" t="s">
        <v>141</v>
      </c>
      <c r="K8362" t="s">
        <v>14</v>
      </c>
      <c r="L8362" t="s">
        <v>20</v>
      </c>
      <c r="M8362" t="s">
        <v>16278</v>
      </c>
      <c r="N8362" t="s">
        <v>14</v>
      </c>
    </row>
    <row r="8363" x14ac:dyDescent="0.25">
      <c r="A8363" t="n">
        <v>24</v>
      </c>
      <c r="B8363" t="s">
        <v>14</v>
      </c>
      <c r="C8363" t="s">
        <v>22</v>
      </c>
      <c r="D8363" s="2" t="s">
        <f>=HYPERLINK("https://main.knesset.gov.il/APPS/legislation/main/bills/2168418", "הצעת חוק חובת המכרזים (תיקון - עידוד מציע המספק טובין מתוצרת אזורי עדיפות לאומית), התשפ""ב-2022")</f>
        <v>16315</v>
      </c>
      <c r="E8363" t="s">
        <v>16315</v>
      </c>
      <c r="F8363" t="s">
        <v>16316</v>
      </c>
      <c r="G8363" t="s">
        <v>14</v>
      </c>
      <c r="H8363">
             </c>
      <c r="I8363" t="s">
        <v>14</v>
      </c>
      <c r="J8363" t="s">
        <v>141</v>
      </c>
      <c r="K8363" t="s">
        <v>14</v>
      </c>
      <c r="L8363" t="s">
        <v>20</v>
      </c>
      <c r="M8363" t="s">
        <v>16278</v>
      </c>
      <c r="N8363" t="s">
        <v>14</v>
      </c>
    </row>
    <row r="8364" x14ac:dyDescent="0.25">
      <c r="A8364" t="n">
        <v>24</v>
      </c>
      <c r="B8364" t="s">
        <v>14</v>
      </c>
      <c r="C8364" t="s">
        <v>22</v>
      </c>
      <c r="D8364" s="2" t="s">
        <f>=HYPERLINK("https://main.knesset.gov.il/APPS/legislation/main/bills/2167867", "הצעת חוק לתיקון פקודת התעבורה (חובת התקנת לחצן מצוקה באוטובוס), התשפ""ב-2022")</f>
        <v>16317</v>
      </c>
      <c r="E8364" t="s">
        <v>16317</v>
      </c>
      <c r="F8364" t="s">
        <v>16318</v>
      </c>
      <c r="G8364" t="s">
        <v>14</v>
      </c>
      <c r="H8364">
             </c>
      <c r="I8364" t="s">
        <v>14</v>
      </c>
      <c r="J8364" t="s">
        <v>141</v>
      </c>
      <c r="K8364" t="s">
        <v>14</v>
      </c>
      <c r="L8364" t="s">
        <v>20</v>
      </c>
      <c r="M8364" t="s">
        <v>16278</v>
      </c>
      <c r="N8364" t="s">
        <v>14</v>
      </c>
    </row>
    <row r="8365" x14ac:dyDescent="0.25">
      <c r="A8365" t="n">
        <v>24</v>
      </c>
      <c r="B8365" t="s">
        <v>14</v>
      </c>
      <c r="C8365" t="s">
        <v>22</v>
      </c>
      <c r="D8365" s="2" t="s">
        <f>=HYPERLINK("https://main.knesset.gov.il/APPS/legislation/main/bills/2189716", "הצעת חוק הנציבות לקידום השלום, התשפ""ב-2022")</f>
        <v>16319</v>
      </c>
      <c r="E8365" t="s">
        <v>16319</v>
      </c>
      <c r="F8365" t="s">
        <v>16320</v>
      </c>
      <c r="G8365" t="s">
        <v>14</v>
      </c>
      <c r="H8365">
             </c>
      <c r="I8365" t="s">
        <v>14</v>
      </c>
      <c r="J8365" t="s">
        <v>141</v>
      </c>
      <c r="K8365" t="s">
        <v>14</v>
      </c>
      <c r="L8365" t="s">
        <v>20</v>
      </c>
      <c r="M8365" t="s">
        <v>16278</v>
      </c>
      <c r="N8365" t="s">
        <v>14</v>
      </c>
    </row>
    <row r="8366" x14ac:dyDescent="0.25">
      <c r="A8366" t="n">
        <v>24</v>
      </c>
      <c r="B8366" t="s">
        <v>14</v>
      </c>
      <c r="C8366" t="s">
        <v>22</v>
      </c>
      <c r="D8366" s="2" t="s">
        <f>=HYPERLINK("https://main.knesset.gov.il/APPS/legislation/main/bills/2189800", "הצעת חוק הסדרי משפט ומינהל (תיקון - ניתוק הזיקה להכרזה על מצב חירום), התשפ""ב-2022")</f>
        <v>16321</v>
      </c>
      <c r="E8366" t="s">
        <v>16321</v>
      </c>
      <c r="F8366" t="s">
        <v>16322</v>
      </c>
      <c r="G8366" t="s">
        <v>14</v>
      </c>
      <c r="H8366">
             </c>
      <c r="I8366" t="s">
        <v>14</v>
      </c>
      <c r="J8366" t="s">
        <v>141</v>
      </c>
      <c r="K8366" t="s">
        <v>14</v>
      </c>
      <c r="L8366" t="s">
        <v>20</v>
      </c>
      <c r="M8366" t="s">
        <v>16278</v>
      </c>
      <c r="N8366" t="s">
        <v>14</v>
      </c>
    </row>
    <row r="8367" x14ac:dyDescent="0.25">
      <c r="A8367" t="n">
        <v>24</v>
      </c>
      <c r="B8367" t="s">
        <v>14</v>
      </c>
      <c r="C8367" t="s">
        <v>22</v>
      </c>
      <c r="D8367" s="2" t="s">
        <f>=HYPERLINK("https://main.knesset.gov.il/APPS/legislation/main/bills/2189701", "הצעת חוק עובדים זרים (תיקון - היתר להעסקת עובד זר בתחום הסיעוד המוסדי), התשפ""ב-2022")</f>
        <v>16323</v>
      </c>
      <c r="E8367" t="s">
        <v>16323</v>
      </c>
      <c r="F8367" t="s">
        <v>16324</v>
      </c>
      <c r="G8367" t="s">
        <v>14</v>
      </c>
      <c r="H8367">
             </c>
      <c r="I8367" t="s">
        <v>14</v>
      </c>
      <c r="J8367" t="s">
        <v>141</v>
      </c>
      <c r="K8367" t="s">
        <v>14</v>
      </c>
      <c r="L8367" t="s">
        <v>20</v>
      </c>
      <c r="M8367" t="s">
        <v>16278</v>
      </c>
      <c r="N8367" t="s">
        <v>14</v>
      </c>
    </row>
    <row r="8368" x14ac:dyDescent="0.25">
      <c r="A8368" t="n">
        <v>24</v>
      </c>
      <c r="B8368" t="s">
        <v>14</v>
      </c>
      <c r="C8368" t="s">
        <v>22</v>
      </c>
      <c r="D8368" s="2" t="s">
        <f>=HYPERLINK("https://main.knesset.gov.il/APPS/legislation/main/bills/2167851", "הצעת חוק לתיקון פקודת המכס (איסור השמדת טובין חבי מכס), התשפ""ב-2022")</f>
        <v>16325</v>
      </c>
      <c r="E8368" t="s">
        <v>16325</v>
      </c>
      <c r="F8368" t="s">
        <v>16326</v>
      </c>
      <c r="G8368" t="s">
        <v>14</v>
      </c>
      <c r="H8368">
             </c>
      <c r="I8368" t="s">
        <v>14</v>
      </c>
      <c r="J8368" t="s">
        <v>141</v>
      </c>
      <c r="K8368" t="s">
        <v>14</v>
      </c>
      <c r="L8368" t="s">
        <v>20</v>
      </c>
      <c r="M8368" t="s">
        <v>16278</v>
      </c>
      <c r="N8368" t="s">
        <v>14</v>
      </c>
    </row>
    <row r="8369" x14ac:dyDescent="0.25">
      <c r="A8369" t="n">
        <v>24</v>
      </c>
      <c r="B8369" t="s">
        <v>14</v>
      </c>
      <c r="C8369" t="s">
        <v>22</v>
      </c>
      <c r="D8369" s="2" t="s">
        <f>=HYPERLINK("https://main.knesset.gov.il/APPS/legislation/main/bills/2189603", "הצעת חוק מס ערך מוסף (תיקון - פטור ממס במכירת תרופות מצילות חיים שאינן כלולות בסל הבריאות), התשפ""ב-2022")</f>
        <v>16159</v>
      </c>
      <c r="E8369" t="s">
        <v>16159</v>
      </c>
      <c r="F8369" t="s">
        <v>16327</v>
      </c>
      <c r="G8369" t="s">
        <v>14</v>
      </c>
      <c r="H8369">
             </c>
      <c r="I8369" t="s">
        <v>14</v>
      </c>
      <c r="J8369" t="s">
        <v>141</v>
      </c>
      <c r="K8369" t="s">
        <v>14</v>
      </c>
      <c r="L8369" t="s">
        <v>20</v>
      </c>
      <c r="M8369" t="s">
        <v>16278</v>
      </c>
      <c r="N8369" t="s">
        <v>14</v>
      </c>
    </row>
    <row r="8370" x14ac:dyDescent="0.25">
      <c r="A8370" t="n">
        <v>24</v>
      </c>
      <c r="B8370" t="s">
        <v>14</v>
      </c>
      <c r="C8370" t="s">
        <v>22</v>
      </c>
      <c r="D8370" s="2" t="s">
        <f>=HYPERLINK("https://main.knesset.gov.il/APPS/legislation/main/bills/2189699", "הצעת חוק-יסוד: השפיטה (תיקון - זכות עמידה בבית המשפט הגבוה לצדק)")</f>
        <v>5401</v>
      </c>
      <c r="E8370" t="s">
        <v>5401</v>
      </c>
      <c r="F8370" t="s">
        <v>16328</v>
      </c>
      <c r="G8370" t="s">
        <v>14</v>
      </c>
      <c r="H8370">
             </c>
      <c r="I8370" t="s">
        <v>14</v>
      </c>
      <c r="J8370" t="s">
        <v>141</v>
      </c>
      <c r="K8370" t="s">
        <v>14</v>
      </c>
      <c r="L8370" t="s">
        <v>20</v>
      </c>
      <c r="M8370" t="s">
        <v>16278</v>
      </c>
      <c r="N8370" t="s">
        <v>14</v>
      </c>
    </row>
    <row r="8371" x14ac:dyDescent="0.25">
      <c r="A8371" t="n">
        <v>24</v>
      </c>
      <c r="B8371" t="s">
        <v>14</v>
      </c>
      <c r="C8371" t="s">
        <v>22</v>
      </c>
      <c r="D8371" s="2" t="s">
        <f>=HYPERLINK("https://main.knesset.gov.il/APPS/legislation/main/bills/2167845", "הצעת חוק איסור מכירת צעצועים המדמים כלי נשק, התשפ""ב-2022")</f>
        <v>16329</v>
      </c>
      <c r="E8371" t="s">
        <v>16329</v>
      </c>
      <c r="F8371" t="s">
        <v>16330</v>
      </c>
      <c r="G8371" t="s">
        <v>14</v>
      </c>
      <c r="H8371">
             </c>
      <c r="I8371" t="s">
        <v>14</v>
      </c>
      <c r="J8371" t="s">
        <v>141</v>
      </c>
      <c r="K8371" t="s">
        <v>14</v>
      </c>
      <c r="L8371" t="s">
        <v>20</v>
      </c>
      <c r="M8371" t="s">
        <v>16278</v>
      </c>
      <c r="N8371" t="s">
        <v>14</v>
      </c>
    </row>
    <row r="8372" x14ac:dyDescent="0.25">
      <c r="A8372" t="n">
        <v>24</v>
      </c>
      <c r="B8372" t="s">
        <v>14</v>
      </c>
      <c r="C8372" t="s">
        <v>22</v>
      </c>
      <c r="D8372" s="2" t="s">
        <f>=HYPERLINK("https://main.knesset.gov.il/APPS/legislation/main/bills/2189634", "הצעת חוק הביטוח הלאומי (תיקון - פטור מכפל תשלום דמי ביטוח לאומי), התשפ""ב-2022")</f>
        <v>16129</v>
      </c>
      <c r="E8372" t="s">
        <v>16129</v>
      </c>
      <c r="F8372" t="s">
        <v>16331</v>
      </c>
      <c r="G8372" t="s">
        <v>14</v>
      </c>
      <c r="H8372">
             </c>
      <c r="I8372" t="s">
        <v>14</v>
      </c>
      <c r="J8372" t="s">
        <v>141</v>
      </c>
      <c r="K8372" t="s">
        <v>14</v>
      </c>
      <c r="L8372" t="s">
        <v>20</v>
      </c>
      <c r="M8372" t="s">
        <v>16278</v>
      </c>
      <c r="N8372" t="s">
        <v>14</v>
      </c>
    </row>
    <row r="8373" x14ac:dyDescent="0.25">
      <c r="A8373" t="n">
        <v>24</v>
      </c>
      <c r="B8373" t="s">
        <v>14</v>
      </c>
      <c r="C8373" t="s">
        <v>22</v>
      </c>
      <c r="D8373" s="2" t="s">
        <f>=HYPERLINK("https://main.knesset.gov.il/APPS/legislation/main/bills/2189598", "הצעת חוק עידוד שירות צבאי, לאומי או לאומי-אזרחי, התשפ""ב-2022")</f>
        <v>16332</v>
      </c>
      <c r="E8373" t="s">
        <v>16332</v>
      </c>
      <c r="F8373" t="s">
        <v>16333</v>
      </c>
      <c r="G8373" t="s">
        <v>14</v>
      </c>
      <c r="H8373">
             </c>
      <c r="I8373" t="s">
        <v>14</v>
      </c>
      <c r="J8373" t="s">
        <v>141</v>
      </c>
      <c r="K8373" t="s">
        <v>14</v>
      </c>
      <c r="L8373" t="s">
        <v>20</v>
      </c>
      <c r="M8373" t="s">
        <v>16278</v>
      </c>
      <c r="N8373" t="s">
        <v>14</v>
      </c>
    </row>
    <row r="8374" x14ac:dyDescent="0.25">
      <c r="A8374" t="n">
        <v>24</v>
      </c>
      <c r="B8374" t="s">
        <v>14</v>
      </c>
      <c r="C8374" t="s">
        <v>22</v>
      </c>
      <c r="D8374" s="2" t="s">
        <f>=HYPERLINK("https://main.knesset.gov.il/APPS/legislation/main/bills/2189635", "הצעת חוק נכסי נפקדים (תיקון - ביטול החוק), התשפ""ב-2022")</f>
        <v>15661</v>
      </c>
      <c r="E8374" t="s">
        <v>15661</v>
      </c>
      <c r="F8374" t="s">
        <v>16334</v>
      </c>
      <c r="G8374" t="s">
        <v>14</v>
      </c>
      <c r="H8374">
             </c>
      <c r="I8374" t="s">
        <v>14</v>
      </c>
      <c r="J8374" t="s">
        <v>141</v>
      </c>
      <c r="K8374" t="s">
        <v>14</v>
      </c>
      <c r="L8374" t="s">
        <v>20</v>
      </c>
      <c r="M8374" t="s">
        <v>16278</v>
      </c>
      <c r="N8374" t="s">
        <v>14</v>
      </c>
    </row>
    <row r="8375" x14ac:dyDescent="0.25">
      <c r="A8375" t="n">
        <v>24</v>
      </c>
      <c r="B8375" t="s">
        <v>14</v>
      </c>
      <c r="C8375" t="s">
        <v>22</v>
      </c>
      <c r="D8375" s="2" t="s">
        <f>=HYPERLINK("https://main.knesset.gov.il/APPS/legislation/main/bills/2189599", "הצעת חוק הדחת נציג ציבור התומך במאבק מזוין נגד מדינת ישראל (תיקוני חקיקה), התשפ""ב-2022")</f>
        <v>16335</v>
      </c>
      <c r="E8375" t="s">
        <v>16335</v>
      </c>
      <c r="F8375" t="s">
        <v>16336</v>
      </c>
      <c r="G8375" t="s">
        <v>14</v>
      </c>
      <c r="H8375">
             </c>
      <c r="I8375" t="s">
        <v>14</v>
      </c>
      <c r="J8375" t="s">
        <v>141</v>
      </c>
      <c r="K8375" t="s">
        <v>14</v>
      </c>
      <c r="L8375" t="s">
        <v>20</v>
      </c>
      <c r="M8375" t="s">
        <v>16278</v>
      </c>
      <c r="N8375" t="s">
        <v>14</v>
      </c>
    </row>
    <row r="8376" x14ac:dyDescent="0.25">
      <c r="A8376" t="n">
        <v>24</v>
      </c>
      <c r="B8376" t="s">
        <v>14</v>
      </c>
      <c r="C8376" t="s">
        <v>22</v>
      </c>
      <c r="D8376" s="2" t="s">
        <f>=HYPERLINK("https://main.knesset.gov.il/APPS/legislation/main/bills/2167886", "הצעת חוק העבירות המינהליות (תיקון - ביטול קנסות תכנון ובנייה), התשפ""ב-2022")</f>
        <v>16337</v>
      </c>
      <c r="E8376" t="s">
        <v>16337</v>
      </c>
      <c r="F8376" t="s">
        <v>16338</v>
      </c>
      <c r="G8376" t="s">
        <v>14</v>
      </c>
      <c r="H8376">
             </c>
      <c r="I8376" t="s">
        <v>14</v>
      </c>
      <c r="J8376" t="s">
        <v>141</v>
      </c>
      <c r="K8376" t="s">
        <v>14</v>
      </c>
      <c r="L8376" t="s">
        <v>20</v>
      </c>
      <c r="M8376" t="s">
        <v>16278</v>
      </c>
      <c r="N8376" t="s">
        <v>14</v>
      </c>
    </row>
    <row r="8377" x14ac:dyDescent="0.25">
      <c r="A8377" t="n">
        <v>24</v>
      </c>
      <c r="B8377" t="s">
        <v>14</v>
      </c>
      <c r="C8377" t="s">
        <v>22</v>
      </c>
      <c r="D8377" s="2" t="s">
        <f>=HYPERLINK("https://main.knesset.gov.il/APPS/legislation/main/bills/2189757", "הצעת חוק הקמת מיתקן פוטו-וולטאי ומיתקן אגירה בבית משותף המוקם במתחם פינוי ובינוי, התשפ""ב-2022")</f>
        <v>16339</v>
      </c>
      <c r="E8377" t="s">
        <v>16339</v>
      </c>
      <c r="F8377" t="s">
        <v>16340</v>
      </c>
      <c r="G8377" t="s">
        <v>14</v>
      </c>
      <c r="H8377">
             </c>
      <c r="I8377" t="s">
        <v>14</v>
      </c>
      <c r="J8377" t="s">
        <v>141</v>
      </c>
      <c r="K8377" t="s">
        <v>14</v>
      </c>
      <c r="L8377" t="s">
        <v>20</v>
      </c>
      <c r="M8377" t="s">
        <v>16278</v>
      </c>
      <c r="N8377" t="s">
        <v>14</v>
      </c>
    </row>
    <row r="8378" x14ac:dyDescent="0.25">
      <c r="A8378" t="n">
        <v>24</v>
      </c>
      <c r="B8378" t="s">
        <v>14</v>
      </c>
      <c r="C8378" t="s">
        <v>22</v>
      </c>
      <c r="D8378" s="2" t="s">
        <f>=HYPERLINK("https://main.knesset.gov.il/APPS/legislation/main/bills/2167948", "הצעת חוק איסור השקעת כספי מוצרים פנסיונים וקופות גמל בתאגידים פוסיליים, התשפ""ב-2022")</f>
        <v>16341</v>
      </c>
      <c r="E8378" t="s">
        <v>16341</v>
      </c>
      <c r="F8378" t="s">
        <v>16342</v>
      </c>
      <c r="G8378" t="s">
        <v>14</v>
      </c>
      <c r="H8378">
             </c>
      <c r="I8378" t="s">
        <v>14</v>
      </c>
      <c r="J8378" t="s">
        <v>141</v>
      </c>
      <c r="K8378" t="s">
        <v>14</v>
      </c>
      <c r="L8378" t="s">
        <v>20</v>
      </c>
      <c r="M8378" t="s">
        <v>16278</v>
      </c>
      <c r="N8378" t="s">
        <v>14</v>
      </c>
    </row>
    <row r="8379" x14ac:dyDescent="0.25">
      <c r="A8379" t="n">
        <v>24</v>
      </c>
      <c r="B8379" t="s">
        <v>14</v>
      </c>
      <c r="C8379" t="s">
        <v>22</v>
      </c>
      <c r="D8379" s="2" t="s">
        <f>=HYPERLINK("https://main.knesset.gov.il/APPS/legislation/main/bills/2169965", "הצעת חוק העונשין (תיקון - חיוב אוצר המדינה בהוצאות הגנה ובפיצוי על מאסר או מעצר בשל זיכוי או אישום שבוטל), התשפ""ב-2022")</f>
        <v>16343</v>
      </c>
      <c r="E8379" t="s">
        <v>16343</v>
      </c>
      <c r="F8379" t="s">
        <v>16344</v>
      </c>
      <c r="G8379" t="s">
        <v>14</v>
      </c>
      <c r="H8379">
             </c>
      <c r="I8379" t="s">
        <v>14</v>
      </c>
      <c r="J8379" t="s">
        <v>141</v>
      </c>
      <c r="K8379" t="s">
        <v>14</v>
      </c>
      <c r="L8379" t="s">
        <v>20</v>
      </c>
      <c r="M8379" t="s">
        <v>16278</v>
      </c>
      <c r="N8379" t="s">
        <v>14</v>
      </c>
    </row>
    <row r="8380" x14ac:dyDescent="0.25">
      <c r="A8380" t="n">
        <v>24</v>
      </c>
      <c r="B8380" t="s">
        <v>14</v>
      </c>
      <c r="C8380" t="s">
        <v>22</v>
      </c>
      <c r="D8380" s="2" t="s">
        <f>=HYPERLINK("https://main.knesset.gov.il/APPS/legislation/main/bills/2168291", "הצעת חוק הבטחת הכנסה (תיקון - זכויות נשים ששהו במקלט לנשים מוכות), התשפ""ב-2022")</f>
        <v>16345</v>
      </c>
      <c r="E8380" t="s">
        <v>16345</v>
      </c>
      <c r="F8380" t="s">
        <v>16346</v>
      </c>
      <c r="G8380" t="s">
        <v>14</v>
      </c>
      <c r="H8380">
             </c>
      <c r="I8380" t="s">
        <v>14</v>
      </c>
      <c r="J8380" t="s">
        <v>141</v>
      </c>
      <c r="K8380" t="s">
        <v>14</v>
      </c>
      <c r="L8380" t="s">
        <v>20</v>
      </c>
      <c r="M8380" t="s">
        <v>16278</v>
      </c>
      <c r="N8380" t="s">
        <v>14</v>
      </c>
    </row>
    <row r="8381" x14ac:dyDescent="0.25">
      <c r="A8381" t="n">
        <v>24</v>
      </c>
      <c r="B8381" t="s">
        <v>14</v>
      </c>
      <c r="C8381" t="s">
        <v>22</v>
      </c>
      <c r="D8381" s="2" t="s">
        <f>=HYPERLINK("https://main.knesset.gov.il/APPS/legislation/main/bills/2190121", "הצעת חוק הרשויות המקומיות (גמול השתתפות בישיבות והחזר הוצאות לחברי מועצה), התשפ""ב-2022")</f>
        <v>16347</v>
      </c>
      <c r="E8381" t="s">
        <v>16347</v>
      </c>
      <c r="F8381" t="s">
        <v>16348</v>
      </c>
      <c r="G8381" t="s">
        <v>14</v>
      </c>
      <c r="H8381">
             </c>
      <c r="I8381" t="s">
        <v>14</v>
      </c>
      <c r="J8381" t="s">
        <v>141</v>
      </c>
      <c r="K8381" t="s">
        <v>14</v>
      </c>
      <c r="L8381" t="s">
        <v>20</v>
      </c>
      <c r="M8381" t="s">
        <v>16278</v>
      </c>
      <c r="N8381" t="s">
        <v>14</v>
      </c>
    </row>
    <row r="8382" x14ac:dyDescent="0.25">
      <c r="A8382" t="n">
        <v>24</v>
      </c>
      <c r="B8382" t="s">
        <v>14</v>
      </c>
      <c r="C8382" t="s">
        <v>22</v>
      </c>
      <c r="D8382" s="2" t="s">
        <f>=HYPERLINK("https://main.knesset.gov.il/APPS/legislation/main/bills/2169778", "הצעת חוק חובת המכרזים (תיקון - עידוד העסקת עובדים מאוכלוסיות ייחודיות), התשפ""ב-2022")</f>
        <v>16349</v>
      </c>
      <c r="E8382" t="s">
        <v>16349</v>
      </c>
      <c r="F8382" t="s">
        <v>16350</v>
      </c>
      <c r="G8382" t="s">
        <v>14</v>
      </c>
      <c r="H8382">
             </c>
      <c r="I8382" t="s">
        <v>14</v>
      </c>
      <c r="J8382" t="s">
        <v>141</v>
      </c>
      <c r="K8382" t="s">
        <v>14</v>
      </c>
      <c r="L8382" t="s">
        <v>20</v>
      </c>
      <c r="M8382" t="s">
        <v>16278</v>
      </c>
      <c r="N8382" t="s">
        <v>14</v>
      </c>
    </row>
    <row r="8383" x14ac:dyDescent="0.25">
      <c r="A8383" t="n">
        <v>24</v>
      </c>
      <c r="B8383" t="s">
        <v>14</v>
      </c>
      <c r="C8383" t="s">
        <v>22</v>
      </c>
      <c r="D8383" s="2" t="s">
        <f>=HYPERLINK("https://main.knesset.gov.il/APPS/legislation/main/bills/2189761", "הצעת חוק המרכז לתולדות החברה הערבית, התשפ""ב-2022")</f>
        <v>16351</v>
      </c>
      <c r="E8383" t="s">
        <v>16351</v>
      </c>
      <c r="F8383" t="s">
        <v>16352</v>
      </c>
      <c r="G8383" t="s">
        <v>14</v>
      </c>
      <c r="H8383">
             </c>
      <c r="I8383" t="s">
        <v>14</v>
      </c>
      <c r="J8383" t="s">
        <v>141</v>
      </c>
      <c r="K8383" t="s">
        <v>14</v>
      </c>
      <c r="L8383" t="s">
        <v>20</v>
      </c>
      <c r="M8383" t="s">
        <v>16278</v>
      </c>
      <c r="N8383" t="s">
        <v>14</v>
      </c>
    </row>
    <row r="8384" x14ac:dyDescent="0.25">
      <c r="A8384" t="n">
        <v>24</v>
      </c>
      <c r="B8384" t="s">
        <v>14</v>
      </c>
      <c r="C8384" t="s">
        <v>22</v>
      </c>
      <c r="D8384" s="2" t="s">
        <f>=HYPERLINK("https://main.knesset.gov.il/APPS/legislation/main/bills/2190211", "הצעת חוק התכנון והבנייה (תיקון - חובת שידור והקלטת ישיבות, ניהול פרוטוקול ופרסומו), התשפ""ב-2022")</f>
        <v>16353</v>
      </c>
      <c r="E8384" t="s">
        <v>16353</v>
      </c>
      <c r="F8384" t="s">
        <v>16354</v>
      </c>
      <c r="G8384" t="s">
        <v>14</v>
      </c>
      <c r="H8384">
             </c>
      <c r="I8384" t="s">
        <v>14</v>
      </c>
      <c r="J8384" t="s">
        <v>141</v>
      </c>
      <c r="K8384" t="s">
        <v>14</v>
      </c>
      <c r="L8384" t="s">
        <v>20</v>
      </c>
      <c r="M8384" t="s">
        <v>16278</v>
      </c>
      <c r="N8384" t="s">
        <v>14</v>
      </c>
    </row>
    <row r="8385" x14ac:dyDescent="0.25">
      <c r="A8385" t="n">
        <v>24</v>
      </c>
      <c r="B8385" t="s">
        <v>14</v>
      </c>
      <c r="C8385" t="s">
        <v>22</v>
      </c>
      <c r="D8385" s="2" t="s">
        <f>=HYPERLINK("https://main.knesset.gov.il/APPS/legislation/main/bills/2189747", "הצעת חוק ביטוח בריאות ממלכתי (תיקון - צמצום פערים בין הפריפריה למרכז), התשפ""ב-2022")</f>
        <v>16355</v>
      </c>
      <c r="E8385" t="s">
        <v>16355</v>
      </c>
      <c r="F8385" t="s">
        <v>16356</v>
      </c>
      <c r="G8385" t="s">
        <v>14</v>
      </c>
      <c r="H8385">
             </c>
      <c r="I8385" t="s">
        <v>14</v>
      </c>
      <c r="J8385" t="s">
        <v>141</v>
      </c>
      <c r="K8385" t="s">
        <v>14</v>
      </c>
      <c r="L8385" t="s">
        <v>20</v>
      </c>
      <c r="M8385" t="s">
        <v>16278</v>
      </c>
      <c r="N8385" t="s">
        <v>14</v>
      </c>
    </row>
    <row r="8386" x14ac:dyDescent="0.25">
      <c r="A8386" t="n">
        <v>24</v>
      </c>
      <c r="B8386" t="s">
        <v>14</v>
      </c>
      <c r="C8386" t="s">
        <v>22</v>
      </c>
      <c r="D8386" s="2" t="s">
        <f>=HYPERLINK("https://main.knesset.gov.il/APPS/legislation/main/bills/2190013", "הצעת חוק כביש אגרה (כביש ארצי לישראל) (תיקון - פטור מאגרה בשל האטה ממהירות הנסיעה המותרת), התשפ""ב-2022")</f>
        <v>14570</v>
      </c>
      <c r="E8386" t="s">
        <v>14570</v>
      </c>
      <c r="F8386" t="s">
        <v>16357</v>
      </c>
      <c r="G8386" t="s">
        <v>14</v>
      </c>
      <c r="H8386">
             </c>
      <c r="I8386" t="s">
        <v>14</v>
      </c>
      <c r="J8386" t="s">
        <v>141</v>
      </c>
      <c r="K8386" t="s">
        <v>14</v>
      </c>
      <c r="L8386" t="s">
        <v>20</v>
      </c>
      <c r="M8386" t="s">
        <v>16278</v>
      </c>
      <c r="N8386" t="s">
        <v>14</v>
      </c>
    </row>
    <row r="8387" x14ac:dyDescent="0.25">
      <c r="A8387" t="n">
        <v>24</v>
      </c>
      <c r="B8387" t="s">
        <v>14</v>
      </c>
      <c r="C8387" t="s">
        <v>22</v>
      </c>
      <c r="D8387" s="2" t="s">
        <f>=HYPERLINK("https://main.knesset.gov.il/APPS/legislation/main/bills/2189758", "הצעת חוק הסיוע המשפטי (תיקון - סיוע משפטי לנפגעי אלימות במשפחה), התשפ""ב-2022")</f>
        <v>16358</v>
      </c>
      <c r="E8387" t="s">
        <v>16358</v>
      </c>
      <c r="F8387" t="s">
        <v>16359</v>
      </c>
      <c r="G8387" t="s">
        <v>14</v>
      </c>
      <c r="H8387">
             </c>
      <c r="I8387" t="s">
        <v>14</v>
      </c>
      <c r="J8387" t="s">
        <v>141</v>
      </c>
      <c r="K8387" t="s">
        <v>14</v>
      </c>
      <c r="L8387" t="s">
        <v>20</v>
      </c>
      <c r="M8387" t="s">
        <v>16278</v>
      </c>
      <c r="N8387" t="s">
        <v>14</v>
      </c>
    </row>
    <row r="8388" x14ac:dyDescent="0.25">
      <c r="A8388" t="n">
        <v>24</v>
      </c>
      <c r="B8388" t="s">
        <v>14</v>
      </c>
      <c r="C8388" t="s">
        <v>22</v>
      </c>
      <c r="D8388" s="2" t="s">
        <f>=HYPERLINK("https://main.knesset.gov.il/APPS/legislation/main/bills/2170156", "הצעת חוק לתיקון פקודת התעבורה (הגבלת דמי חניה במוסד רפואי), התשפ""ב-2022")</f>
        <v>16360</v>
      </c>
      <c r="E8388" t="s">
        <v>16360</v>
      </c>
      <c r="F8388" t="s">
        <v>16361</v>
      </c>
      <c r="G8388" t="s">
        <v>14</v>
      </c>
      <c r="H8388">
             </c>
      <c r="I8388" t="s">
        <v>14</v>
      </c>
      <c r="J8388" t="s">
        <v>141</v>
      </c>
      <c r="K8388" t="s">
        <v>14</v>
      </c>
      <c r="L8388" t="s">
        <v>20</v>
      </c>
      <c r="M8388" t="s">
        <v>16278</v>
      </c>
      <c r="N8388" t="s">
        <v>14</v>
      </c>
    </row>
    <row r="8389" x14ac:dyDescent="0.25">
      <c r="A8389" t="n">
        <v>24</v>
      </c>
      <c r="B8389" t="s">
        <v>14</v>
      </c>
      <c r="C8389" t="s">
        <v>22</v>
      </c>
      <c r="D8389" s="2" t="s">
        <f>=HYPERLINK("https://main.knesset.gov.il/APPS/legislation/main/bills/2189928", "הצעת חוק הכנסת (תיקון - חובת התייצבות בפני ועדות הכנסת), התשפ""ב-2022")</f>
        <v>16362</v>
      </c>
      <c r="E8389" t="s">
        <v>16362</v>
      </c>
      <c r="F8389" t="s">
        <v>16363</v>
      </c>
      <c r="G8389" t="s">
        <v>14</v>
      </c>
      <c r="H8389">
             </c>
      <c r="I8389" t="s">
        <v>14</v>
      </c>
      <c r="J8389" t="s">
        <v>141</v>
      </c>
      <c r="K8389" t="s">
        <v>14</v>
      </c>
      <c r="L8389" t="s">
        <v>20</v>
      </c>
      <c r="M8389" t="s">
        <v>16278</v>
      </c>
      <c r="N8389" t="s">
        <v>14</v>
      </c>
    </row>
    <row r="8390" x14ac:dyDescent="0.25">
      <c r="A8390" t="n">
        <v>24</v>
      </c>
      <c r="B8390" t="s">
        <v>14</v>
      </c>
      <c r="C8390" t="s">
        <v>22</v>
      </c>
      <c r="D8390" s="2" t="s">
        <f>=HYPERLINK("https://main.knesset.gov.il/APPS/legislation/main/bills/2169558", "הצעת חוק האזנת סתר (תיקון - האזנה בשל חשד להתעללות בילדים ובחסרי ישע), התשפ״ב-2022")</f>
        <v>16364</v>
      </c>
      <c r="E8390" t="s">
        <v>16364</v>
      </c>
      <c r="F8390" t="s">
        <v>16365</v>
      </c>
      <c r="G8390" t="s">
        <v>14</v>
      </c>
      <c r="H8390">
             </c>
      <c r="I8390" t="s">
        <v>14</v>
      </c>
      <c r="J8390" t="s">
        <v>141</v>
      </c>
      <c r="K8390" t="s">
        <v>14</v>
      </c>
      <c r="L8390" t="s">
        <v>20</v>
      </c>
      <c r="M8390" t="s">
        <v>16278</v>
      </c>
      <c r="N8390" t="s">
        <v>14</v>
      </c>
    </row>
    <row r="8391" x14ac:dyDescent="0.25">
      <c r="A8391" t="n">
        <v>24</v>
      </c>
      <c r="B8391" t="s">
        <v>14</v>
      </c>
      <c r="C8391" t="s">
        <v>22</v>
      </c>
      <c r="D8391" s="2" t="s">
        <f>=HYPERLINK("https://main.knesset.gov.il/APPS/legislation/main/bills/2189754", "הצעת חוק הדיור הציבורי (הגדלת המלאי), התשפ""ב-2022")</f>
        <v>16366</v>
      </c>
      <c r="E8391" t="s">
        <v>16366</v>
      </c>
      <c r="F8391" t="s">
        <v>16367</v>
      </c>
      <c r="G8391" t="s">
        <v>14</v>
      </c>
      <c r="H8391">
             </c>
      <c r="I8391" t="s">
        <v>14</v>
      </c>
      <c r="J8391" t="s">
        <v>141</v>
      </c>
      <c r="K8391" t="s">
        <v>14</v>
      </c>
      <c r="L8391" t="s">
        <v>20</v>
      </c>
      <c r="M8391" t="s">
        <v>16278</v>
      </c>
      <c r="N8391" t="s">
        <v>14</v>
      </c>
    </row>
    <row r="8392" x14ac:dyDescent="0.25">
      <c r="A8392" t="n">
        <v>24</v>
      </c>
      <c r="B8392" t="s">
        <v>14</v>
      </c>
      <c r="C8392" t="s">
        <v>22</v>
      </c>
      <c r="D8392" s="2" t="s">
        <f>=HYPERLINK("https://main.knesset.gov.il/APPS/legislation/main/bills/2189931", "הצעת חוק ביטול מאסר חלף קנס (תיקוני חקיקה), התשפ""ב-2022")</f>
        <v>16368</v>
      </c>
      <c r="E8392" t="s">
        <v>16368</v>
      </c>
      <c r="F8392" t="s">
        <v>16369</v>
      </c>
      <c r="G8392" t="s">
        <v>14</v>
      </c>
      <c r="H8392">
             </c>
      <c r="I8392" t="s">
        <v>14</v>
      </c>
      <c r="J8392" t="s">
        <v>141</v>
      </c>
      <c r="K8392" t="s">
        <v>14</v>
      </c>
      <c r="L8392" t="s">
        <v>20</v>
      </c>
      <c r="M8392" t="s">
        <v>16278</v>
      </c>
      <c r="N8392" t="s">
        <v>14</v>
      </c>
    </row>
    <row r="8393" x14ac:dyDescent="0.25">
      <c r="A8393" t="n">
        <v>24</v>
      </c>
      <c r="B8393" t="s">
        <v>14</v>
      </c>
      <c r="C8393" t="s">
        <v>22</v>
      </c>
      <c r="D8393" s="2" t="s">
        <f>=HYPERLINK("https://main.knesset.gov.il/APPS/legislation/main/bills/2189595", "הצעת חוק השבות (תיקון - זכויות בני משפחה), התשפ""ב-2022")</f>
        <v>16370</v>
      </c>
      <c r="E8393" t="s">
        <v>16370</v>
      </c>
      <c r="F8393" t="s">
        <v>16371</v>
      </c>
      <c r="G8393" t="s">
        <v>14</v>
      </c>
      <c r="H8393">
             </c>
      <c r="I8393" t="s">
        <v>14</v>
      </c>
      <c r="J8393" t="s">
        <v>141</v>
      </c>
      <c r="K8393" t="s">
        <v>14</v>
      </c>
      <c r="L8393" t="s">
        <v>20</v>
      </c>
      <c r="M8393" t="s">
        <v>16278</v>
      </c>
      <c r="N8393" t="s">
        <v>14</v>
      </c>
    </row>
    <row r="8394" x14ac:dyDescent="0.25">
      <c r="A8394" t="n">
        <v>24</v>
      </c>
      <c r="B8394" t="s">
        <v>14</v>
      </c>
      <c r="C8394" t="s">
        <v>22</v>
      </c>
      <c r="D8394" s="2" t="s">
        <f>=HYPERLINK("https://main.knesset.gov.il/APPS/legislation/main/bills/2167887", "הצעת חוק זכויות התלמיד (תיקון - הזכות להיבחן בבחינת בגרות ללא תשלום), התשפ""ב-2022")</f>
        <v>16372</v>
      </c>
      <c r="E8394" t="s">
        <v>16372</v>
      </c>
      <c r="F8394" t="s">
        <v>16373</v>
      </c>
      <c r="G8394" t="s">
        <v>14</v>
      </c>
      <c r="H8394">
             </c>
      <c r="I8394" t="s">
        <v>14</v>
      </c>
      <c r="J8394" t="s">
        <v>141</v>
      </c>
      <c r="K8394" t="s">
        <v>14</v>
      </c>
      <c r="L8394" t="s">
        <v>20</v>
      </c>
      <c r="M8394" t="s">
        <v>16278</v>
      </c>
      <c r="N8394" t="s">
        <v>14</v>
      </c>
    </row>
    <row r="8395" x14ac:dyDescent="0.25">
      <c r="A8395" t="n">
        <v>24</v>
      </c>
      <c r="B8395" t="s">
        <v>14</v>
      </c>
      <c r="C8395" t="s">
        <v>22</v>
      </c>
      <c r="D8395" s="2" t="s">
        <f>=HYPERLINK("https://main.knesset.gov.il/APPS/legislation/main/bills/2169774", "הצעת חוק התקשורת (בזק ושידורים) (תיקון - חובת מסירת פרטים של שולח פרסומת בניגוד לחוק), התשפ""ב-2022")</f>
        <v>16374</v>
      </c>
      <c r="E8395" t="s">
        <v>16374</v>
      </c>
      <c r="F8395" t="s">
        <v>16375</v>
      </c>
      <c r="G8395" t="s">
        <v>14</v>
      </c>
      <c r="H8395">
             </c>
      <c r="I8395" t="s">
        <v>14</v>
      </c>
      <c r="J8395" t="s">
        <v>141</v>
      </c>
      <c r="K8395" t="s">
        <v>14</v>
      </c>
      <c r="L8395" t="s">
        <v>20</v>
      </c>
      <c r="M8395" t="s">
        <v>16278</v>
      </c>
      <c r="N8395" t="s">
        <v>14</v>
      </c>
    </row>
    <row r="8396" x14ac:dyDescent="0.25">
      <c r="A8396" t="n">
        <v>24</v>
      </c>
      <c r="B8396" t="s">
        <v>14</v>
      </c>
      <c r="C8396" t="s">
        <v>22</v>
      </c>
      <c r="D8396" s="2" t="s">
        <f>=HYPERLINK("https://main.knesset.gov.il/APPS/legislation/main/bills/2190015", "הצעת חוק כרטיסי חיוב (תיקון - חובת פרסום פרטי ספק), התשפ""ב-2022")</f>
        <v>16376</v>
      </c>
      <c r="E8396" t="s">
        <v>16376</v>
      </c>
      <c r="F8396" t="s">
        <v>16377</v>
      </c>
      <c r="G8396" t="s">
        <v>14</v>
      </c>
      <c r="H8396">
             </c>
      <c r="I8396" t="s">
        <v>14</v>
      </c>
      <c r="J8396" t="s">
        <v>141</v>
      </c>
      <c r="K8396" t="s">
        <v>14</v>
      </c>
      <c r="L8396" t="s">
        <v>20</v>
      </c>
      <c r="M8396" t="s">
        <v>16278</v>
      </c>
      <c r="N8396" t="s">
        <v>14</v>
      </c>
    </row>
    <row r="8397" x14ac:dyDescent="0.25">
      <c r="A8397" t="n">
        <v>24</v>
      </c>
      <c r="B8397" t="s">
        <v>14</v>
      </c>
      <c r="C8397" t="s">
        <v>22</v>
      </c>
      <c r="D8397" s="2" t="s">
        <f>=HYPERLINK("https://main.knesset.gov.il/APPS/legislation/main/bills/2189748", "הצעת חוק איסור פרסום והפצת שמות נפגעים, התשפ""ב-2022")</f>
        <v>15573</v>
      </c>
      <c r="E8397" t="s">
        <v>15573</v>
      </c>
      <c r="F8397" t="s">
        <v>16378</v>
      </c>
      <c r="G8397" t="s">
        <v>14</v>
      </c>
      <c r="H8397">
             </c>
      <c r="I8397" t="s">
        <v>14</v>
      </c>
      <c r="J8397" t="s">
        <v>141</v>
      </c>
      <c r="K8397" t="s">
        <v>14</v>
      </c>
      <c r="L8397" t="s">
        <v>20</v>
      </c>
      <c r="M8397" t="s">
        <v>16278</v>
      </c>
      <c r="N8397" t="s">
        <v>14</v>
      </c>
    </row>
    <row r="8398" x14ac:dyDescent="0.25">
      <c r="A8398" t="n">
        <v>24</v>
      </c>
      <c r="B8398" t="s">
        <v>14</v>
      </c>
      <c r="C8398" t="s">
        <v>22</v>
      </c>
      <c r="D8398" s="2" t="s">
        <f>=HYPERLINK("https://main.knesset.gov.il/APPS/legislation/main/bills/2170177", "הצעת חוק לתיקון פקודת התעבורה (הגבלת תשלום דמי חניה במוסד רפואי), התשפ""ב-2022")</f>
        <v>16379</v>
      </c>
      <c r="E8398" t="s">
        <v>16379</v>
      </c>
      <c r="F8398" t="s">
        <v>16380</v>
      </c>
      <c r="G8398" t="s">
        <v>14</v>
      </c>
      <c r="H8398">
             </c>
      <c r="I8398" t="s">
        <v>14</v>
      </c>
      <c r="J8398" t="s">
        <v>141</v>
      </c>
      <c r="K8398" t="s">
        <v>14</v>
      </c>
      <c r="L8398" t="s">
        <v>20</v>
      </c>
      <c r="M8398" t="s">
        <v>16278</v>
      </c>
      <c r="N8398" t="s">
        <v>14</v>
      </c>
    </row>
    <row r="8399" x14ac:dyDescent="0.25">
      <c r="A8399" t="n">
        <v>24</v>
      </c>
      <c r="B8399" t="s">
        <v>14</v>
      </c>
      <c r="C8399" t="s">
        <v>22</v>
      </c>
      <c r="D8399" s="2" t="s">
        <f>=HYPERLINK("https://main.knesset.gov.il/APPS/legislation/main/bills/2169715", "הצעת חוק שכר מינימום (העלאת סכומי שכר מינימום - הוראת שעה) (תיקון - העלאת שכר המינימום), התשפ""ב-2022")</f>
        <v>16381</v>
      </c>
      <c r="E8399" t="s">
        <v>16381</v>
      </c>
      <c r="F8399" t="s">
        <v>16382</v>
      </c>
      <c r="G8399" t="s">
        <v>14</v>
      </c>
      <c r="H8399">
             </c>
      <c r="I8399" t="s">
        <v>14</v>
      </c>
      <c r="J8399" t="s">
        <v>141</v>
      </c>
      <c r="K8399" t="s">
        <v>14</v>
      </c>
      <c r="L8399" t="s">
        <v>20</v>
      </c>
      <c r="M8399" t="s">
        <v>16278</v>
      </c>
      <c r="N8399" t="s">
        <v>14</v>
      </c>
    </row>
    <row r="8400" x14ac:dyDescent="0.25">
      <c r="A8400" t="n">
        <v>24</v>
      </c>
      <c r="B8400" t="s">
        <v>14</v>
      </c>
      <c r="C8400" t="s">
        <v>22</v>
      </c>
      <c r="D8400" s="2" t="s">
        <f>=HYPERLINK("https://main.knesset.gov.il/APPS/legislation/main/bills/2190014", "הצעת חוק כביש אגרה (כביש ארצי לישראל) (תיקון - פטור מאגרה לתחבורה ציבורית), התשפ""ב-2022")</f>
        <v>16383</v>
      </c>
      <c r="E8400" t="s">
        <v>16383</v>
      </c>
      <c r="F8400" t="s">
        <v>16384</v>
      </c>
      <c r="G8400" t="s">
        <v>14</v>
      </c>
      <c r="H8400">
             </c>
      <c r="I8400" t="s">
        <v>14</v>
      </c>
      <c r="J8400" t="s">
        <v>141</v>
      </c>
      <c r="K8400" t="s">
        <v>14</v>
      </c>
      <c r="L8400" t="s">
        <v>20</v>
      </c>
      <c r="M8400" t="s">
        <v>16278</v>
      </c>
      <c r="N8400" t="s">
        <v>14</v>
      </c>
    </row>
    <row r="8401" x14ac:dyDescent="0.25">
      <c r="A8401" t="n">
        <v>24</v>
      </c>
      <c r="B8401" t="s">
        <v>14</v>
      </c>
      <c r="C8401" t="s">
        <v>22</v>
      </c>
      <c r="D8401" s="2" t="s">
        <f>=HYPERLINK("https://main.knesset.gov.il/APPS/legislation/main/bills/2189752", "הצעת חוק פיקוח על מחירי מצרכים ושירותים (תיקון - הגבלת מרווחי שיווק על ירקות), התשפ""ב-2022")</f>
        <v>16385</v>
      </c>
      <c r="E8401" t="s">
        <v>16385</v>
      </c>
      <c r="F8401" t="s">
        <v>16386</v>
      </c>
      <c r="G8401" t="s">
        <v>14</v>
      </c>
      <c r="H8401">
             </c>
      <c r="I8401" t="s">
        <v>14</v>
      </c>
      <c r="J8401" t="s">
        <v>141</v>
      </c>
      <c r="K8401" t="s">
        <v>14</v>
      </c>
      <c r="L8401" t="s">
        <v>20</v>
      </c>
      <c r="M8401" t="s">
        <v>16278</v>
      </c>
      <c r="N8401" t="s">
        <v>14</v>
      </c>
    </row>
    <row r="8402" x14ac:dyDescent="0.25">
      <c r="A8402" t="n">
        <v>24</v>
      </c>
      <c r="B8402" t="s">
        <v>14</v>
      </c>
      <c r="C8402" t="s">
        <v>22</v>
      </c>
      <c r="D8402" s="2" t="s">
        <f>=HYPERLINK("https://main.knesset.gov.il/APPS/legislation/main/bills/2167892", "הצעת חוק יסודות התקציב (תיקון - פטור מתשלומי תאגיד בריאות לבית חולים), התשפ""ב-2022")</f>
        <v>16387</v>
      </c>
      <c r="E8402" t="s">
        <v>16387</v>
      </c>
      <c r="F8402" t="s">
        <v>16388</v>
      </c>
      <c r="G8402" t="s">
        <v>14</v>
      </c>
      <c r="H8402">
             </c>
      <c r="I8402" t="s">
        <v>14</v>
      </c>
      <c r="J8402" t="s">
        <v>141</v>
      </c>
      <c r="K8402" t="s">
        <v>14</v>
      </c>
      <c r="L8402" t="s">
        <v>20</v>
      </c>
      <c r="M8402" t="s">
        <v>16278</v>
      </c>
      <c r="N8402" t="s">
        <v>14</v>
      </c>
    </row>
    <row r="8403" x14ac:dyDescent="0.25">
      <c r="A8403" t="n">
        <v>24</v>
      </c>
      <c r="B8403" t="s">
        <v>14</v>
      </c>
      <c r="C8403" t="s">
        <v>22</v>
      </c>
      <c r="D8403" s="2" t="s">
        <f>=HYPERLINK("https://main.knesset.gov.il/APPS/legislation/main/bills/2167874", "הצעת חוק כביש אגרה (כביש ארצי לישראל) (תיקון - הפחתת ריבית פיגורים על חוב חלוט), התשפ""ב-2022")</f>
        <v>16389</v>
      </c>
      <c r="E8403" t="s">
        <v>16389</v>
      </c>
      <c r="F8403" t="s">
        <v>16390</v>
      </c>
      <c r="G8403" t="s">
        <v>14</v>
      </c>
      <c r="H8403">
             </c>
      <c r="I8403" t="s">
        <v>14</v>
      </c>
      <c r="J8403" t="s">
        <v>141</v>
      </c>
      <c r="K8403" t="s">
        <v>14</v>
      </c>
      <c r="L8403" t="s">
        <v>20</v>
      </c>
      <c r="M8403" t="s">
        <v>16278</v>
      </c>
      <c r="N8403" t="s">
        <v>14</v>
      </c>
    </row>
    <row r="8404" x14ac:dyDescent="0.25">
      <c r="A8404" t="n">
        <v>24</v>
      </c>
      <c r="B8404" t="s">
        <v>14</v>
      </c>
      <c r="C8404" t="s">
        <v>22</v>
      </c>
      <c r="D8404" s="2" t="s">
        <f>=HYPERLINK("https://main.knesset.gov.il/APPS/legislation/main/bills/2189488", "הצעת חוק דחיית תשלומי מס לעסק חדש (תיקוני חקיקה), התשפ""ב-2022")</f>
        <v>16391</v>
      </c>
      <c r="E8404" t="s">
        <v>16391</v>
      </c>
      <c r="F8404" t="s">
        <v>16392</v>
      </c>
      <c r="G8404" t="s">
        <v>14</v>
      </c>
      <c r="H8404">
             </c>
      <c r="I8404" t="s">
        <v>14</v>
      </c>
      <c r="J8404" t="s">
        <v>141</v>
      </c>
      <c r="K8404" t="s">
        <v>14</v>
      </c>
      <c r="L8404" t="s">
        <v>20</v>
      </c>
      <c r="M8404" t="s">
        <v>16278</v>
      </c>
      <c r="N8404" t="s">
        <v>14</v>
      </c>
    </row>
    <row r="8405" x14ac:dyDescent="0.25">
      <c r="A8405" t="n">
        <v>24</v>
      </c>
      <c r="B8405" t="s">
        <v>14</v>
      </c>
      <c r="C8405" t="s">
        <v>22</v>
      </c>
      <c r="D8405" s="2" t="s">
        <f>=HYPERLINK("https://main.knesset.gov.il/APPS/legislation/main/bills/2169733", "הצעת חוק משק החשמל (תיקון - איסור ניתוק חשמל), התשפ""ב-2022")</f>
        <v>15439</v>
      </c>
      <c r="E8405" t="s">
        <v>15439</v>
      </c>
      <c r="F8405" t="s">
        <v>16393</v>
      </c>
      <c r="G8405" t="s">
        <v>14</v>
      </c>
      <c r="H8405">
             </c>
      <c r="I8405" t="s">
        <v>14</v>
      </c>
      <c r="J8405" t="s">
        <v>141</v>
      </c>
      <c r="K8405" t="s">
        <v>14</v>
      </c>
      <c r="L8405" t="s">
        <v>20</v>
      </c>
      <c r="M8405" t="s">
        <v>16278</v>
      </c>
      <c r="N8405" t="s">
        <v>14</v>
      </c>
    </row>
    <row r="8406" x14ac:dyDescent="0.25">
      <c r="A8406" t="n">
        <v>24</v>
      </c>
      <c r="B8406" t="s">
        <v>14</v>
      </c>
      <c r="C8406" t="s">
        <v>22</v>
      </c>
      <c r="D8406" s="2" t="s">
        <f>=HYPERLINK("https://main.knesset.gov.il/APPS/legislation/main/bills/2169783", "הצעת חוק המאבק בשחיתות הציבורית (הרשעה בעבירה שיש עמה קלון) (תיקוני חקיקה), התשפ""ב-2022 ")</f>
        <v>16394</v>
      </c>
      <c r="E8406" t="s">
        <v>16394</v>
      </c>
      <c r="F8406" t="s">
        <v>16395</v>
      </c>
      <c r="G8406" t="s">
        <v>14</v>
      </c>
      <c r="H8406">
             </c>
      <c r="I8406" t="s">
        <v>14</v>
      </c>
      <c r="J8406" t="s">
        <v>141</v>
      </c>
      <c r="K8406" t="s">
        <v>14</v>
      </c>
      <c r="L8406" t="s">
        <v>20</v>
      </c>
      <c r="M8406" t="s">
        <v>16278</v>
      </c>
      <c r="N8406" t="s">
        <v>14</v>
      </c>
    </row>
    <row r="8407" x14ac:dyDescent="0.25">
      <c r="A8407" t="n">
        <v>24</v>
      </c>
      <c r="B8407" t="s">
        <v>14</v>
      </c>
      <c r="C8407" t="s">
        <v>22</v>
      </c>
      <c r="D8407" s="2" t="s">
        <f>=HYPERLINK("https://main.knesset.gov.il/APPS/legislation/main/bills/2189745", "הצעת חוק לתיקון פקודת התעבורה (הגבלת תשלום בעד חניה במוסד רפואי), התשפ""ב-2022")</f>
        <v>16396</v>
      </c>
      <c r="E8407" t="s">
        <v>16396</v>
      </c>
      <c r="F8407" t="s">
        <v>16397</v>
      </c>
      <c r="G8407" t="s">
        <v>14</v>
      </c>
      <c r="H8407">
             </c>
      <c r="I8407" t="s">
        <v>14</v>
      </c>
      <c r="J8407" t="s">
        <v>141</v>
      </c>
      <c r="K8407" t="s">
        <v>14</v>
      </c>
      <c r="L8407" t="s">
        <v>20</v>
      </c>
      <c r="M8407" t="s">
        <v>16278</v>
      </c>
      <c r="N8407" t="s">
        <v>14</v>
      </c>
    </row>
    <row r="8408" x14ac:dyDescent="0.25">
      <c r="A8408" t="n">
        <v>24</v>
      </c>
      <c r="B8408" t="s">
        <v>14</v>
      </c>
      <c r="C8408" t="s">
        <v>22</v>
      </c>
      <c r="D8408" s="2" t="s">
        <f>=HYPERLINK("https://main.knesset.gov.il/APPS/legislation/main/bills/2189597", "הצעת חוק-יסוד: השפיטה (תיקון - רשות ערעור למדינה על זיכוי אדם בפלילים)")</f>
        <v>1398</v>
      </c>
      <c r="E8408" t="s">
        <v>1398</v>
      </c>
      <c r="F8408" t="s">
        <v>16398</v>
      </c>
      <c r="G8408" t="s">
        <v>14</v>
      </c>
      <c r="H8408">
             </c>
      <c r="I8408" t="s">
        <v>14</v>
      </c>
      <c r="J8408" t="s">
        <v>141</v>
      </c>
      <c r="K8408" t="s">
        <v>14</v>
      </c>
      <c r="L8408" t="s">
        <v>20</v>
      </c>
      <c r="M8408" t="s">
        <v>16278</v>
      </c>
      <c r="N8408" t="s">
        <v>14</v>
      </c>
    </row>
    <row r="8409" x14ac:dyDescent="0.25">
      <c r="A8409" t="n">
        <v>24</v>
      </c>
      <c r="B8409" t="s">
        <v>14</v>
      </c>
      <c r="C8409" t="s">
        <v>22</v>
      </c>
      <c r="D8409" s="2" t="s">
        <f>=HYPERLINK("https://main.knesset.gov.il/APPS/legislation/main/bills/2167881", "הצעת חוק הפיקוח על שירותים פיננסיים (קופות גמל) (תיקון - חישוב מקדם המרה לקצבה), התשפ""ב-2022")</f>
        <v>16399</v>
      </c>
      <c r="E8409" t="s">
        <v>16399</v>
      </c>
      <c r="F8409" t="s">
        <v>16400</v>
      </c>
      <c r="G8409" t="s">
        <v>14</v>
      </c>
      <c r="H8409">
             </c>
      <c r="I8409" t="s">
        <v>14</v>
      </c>
      <c r="J8409" t="s">
        <v>141</v>
      </c>
      <c r="K8409" t="s">
        <v>14</v>
      </c>
      <c r="L8409" t="s">
        <v>20</v>
      </c>
      <c r="M8409" t="s">
        <v>16278</v>
      </c>
      <c r="N8409" t="s">
        <v>14</v>
      </c>
    </row>
    <row r="8410" x14ac:dyDescent="0.25">
      <c r="A8410" t="n">
        <v>24</v>
      </c>
      <c r="B8410" t="s">
        <v>14</v>
      </c>
      <c r="C8410" t="s">
        <v>22</v>
      </c>
      <c r="D8410" s="2" t="s">
        <f>=HYPERLINK("https://main.knesset.gov.il/APPS/legislation/main/bills/2190009", "הצעת חוק יסודות התקציב (תיקון - ועדת ערר לתמיכה במוסד ציבור), התשפ""ב-2022")</f>
        <v>16401</v>
      </c>
      <c r="E8410" t="s">
        <v>16401</v>
      </c>
      <c r="F8410" t="s">
        <v>16402</v>
      </c>
      <c r="G8410" t="s">
        <v>14</v>
      </c>
      <c r="H8410">
             </c>
      <c r="I8410" t="s">
        <v>14</v>
      </c>
      <c r="J8410" t="s">
        <v>141</v>
      </c>
      <c r="K8410" t="s">
        <v>14</v>
      </c>
      <c r="L8410" t="s">
        <v>20</v>
      </c>
      <c r="M8410" t="s">
        <v>16278</v>
      </c>
      <c r="N8410" t="s">
        <v>14</v>
      </c>
    </row>
    <row r="8411" x14ac:dyDescent="0.25">
      <c r="A8411" t="n">
        <v>24</v>
      </c>
      <c r="B8411" t="s">
        <v>14</v>
      </c>
      <c r="C8411" t="s">
        <v>22</v>
      </c>
      <c r="D8411" s="2" t="s">
        <f>=HYPERLINK("https://main.knesset.gov.il/APPS/legislation/main/bills/2169305", "הצעת חוק השמות (תיקון - הורה שהוא אפוטרופוס), התשפ""ב-2022")</f>
        <v>16403</v>
      </c>
      <c r="E8411" t="s">
        <v>16403</v>
      </c>
      <c r="F8411" t="s">
        <v>16404</v>
      </c>
      <c r="G8411" t="s">
        <v>14</v>
      </c>
      <c r="H8411">
             </c>
      <c r="I8411" t="s">
        <v>14</v>
      </c>
      <c r="J8411" t="s">
        <v>141</v>
      </c>
      <c r="K8411" t="s">
        <v>14</v>
      </c>
      <c r="L8411" t="s">
        <v>20</v>
      </c>
      <c r="M8411" t="s">
        <v>16278</v>
      </c>
      <c r="N8411" t="s">
        <v>14</v>
      </c>
    </row>
    <row r="8412" x14ac:dyDescent="0.25">
      <c r="A8412" t="n">
        <v>24</v>
      </c>
      <c r="B8412" t="s">
        <v>14</v>
      </c>
      <c r="C8412" t="s">
        <v>22</v>
      </c>
      <c r="D8412" s="2" t="s">
        <f>=HYPERLINK("https://main.knesset.gov.il/APPS/legislation/main/bills/2167342", "הצעת חוק משק החשמל (תיקון - סקירת השפעות על הסביבה), התשפ""ב-2022")</f>
        <v>16405</v>
      </c>
      <c r="E8412" t="s">
        <v>16405</v>
      </c>
      <c r="F8412" t="s">
        <v>16406</v>
      </c>
      <c r="G8412" t="s">
        <v>14</v>
      </c>
      <c r="H8412">
             </c>
      <c r="I8412" t="s">
        <v>14</v>
      </c>
      <c r="J8412" t="s">
        <v>141</v>
      </c>
      <c r="K8412" t="s">
        <v>14</v>
      </c>
      <c r="L8412" t="s">
        <v>20</v>
      </c>
      <c r="M8412" t="s">
        <v>16278</v>
      </c>
      <c r="N8412" t="s">
        <v>14</v>
      </c>
    </row>
    <row r="8413" x14ac:dyDescent="0.25">
      <c r="A8413" t="n">
        <v>24</v>
      </c>
      <c r="B8413" t="s">
        <v>14</v>
      </c>
      <c r="C8413" t="s">
        <v>22</v>
      </c>
      <c r="D8413" s="2" t="s">
        <f>=HYPERLINK("https://main.knesset.gov.il/APPS/legislation/main/bills/2167885", "הצעת חוק מס ערך מוסף (תיקון - פטור ממס בגין תרומות לבתי חולים בפריפריה), התשפ""ב-2022")</f>
        <v>16407</v>
      </c>
      <c r="E8413" t="s">
        <v>16407</v>
      </c>
      <c r="F8413" t="s">
        <v>16408</v>
      </c>
      <c r="G8413" t="s">
        <v>14</v>
      </c>
      <c r="H8413">
             </c>
      <c r="I8413" t="s">
        <v>14</v>
      </c>
      <c r="J8413" t="s">
        <v>141</v>
      </c>
      <c r="K8413" t="s">
        <v>14</v>
      </c>
      <c r="L8413" t="s">
        <v>20</v>
      </c>
      <c r="M8413" t="s">
        <v>16278</v>
      </c>
      <c r="N8413" t="s">
        <v>14</v>
      </c>
    </row>
    <row r="8414" x14ac:dyDescent="0.25">
      <c r="A8414" t="n">
        <v>24</v>
      </c>
      <c r="B8414" t="s">
        <v>14</v>
      </c>
      <c r="C8414" t="s">
        <v>15</v>
      </c>
      <c r="D8414" s="2" t="s">
        <f>=HYPERLINK("https://main.knesset.gov.il/APPS/legislation/main/bills/2190402", "הצעת חוק משק הגז הטבעי (תיקון מס' 11), התשפ""ב-2022 ")</f>
        <v>16409</v>
      </c>
      <c r="E8414" t="s">
        <v>16409</v>
      </c>
      <c r="F8414" t="s">
        <v>14</v>
      </c>
      <c r="G8414" t="s">
        <v>16410</v>
      </c>
      <c r="H8414">
             </c>
      <c r="I8414" t="s">
        <v>14</v>
      </c>
      <c r="J8414" t="s">
        <v>1141</v>
      </c>
      <c r="K8414" t="s">
        <v>14</v>
      </c>
      <c r="L8414" t="s">
        <v>20</v>
      </c>
      <c r="M8414" t="s">
        <v>16278</v>
      </c>
      <c r="N8414" t="s">
        <v>14</v>
      </c>
    </row>
    <row r="8415" x14ac:dyDescent="0.25">
      <c r="A8415" t="n">
        <v>24</v>
      </c>
      <c r="B8415" t="s">
        <v>14</v>
      </c>
      <c r="C8415" t="s">
        <v>15</v>
      </c>
      <c r="D8415" s="2" t="s">
        <f>=HYPERLINK("https://main.knesset.gov.il/APPS/legislation/main/bills/2169437", "הצעת חוק שירות הקבע בצבא הגנה לישראל (גמלאות) (תיקון מס' 33), התשפ""ב-2022")</f>
        <v>16411</v>
      </c>
      <c r="E8415" t="s">
        <v>16411</v>
      </c>
      <c r="F8415" t="s">
        <v>14</v>
      </c>
      <c r="G8415" t="s">
        <v>16412</v>
      </c>
      <c r="H8415">
             </c>
      <c r="I8415" t="s">
        <v>14</v>
      </c>
      <c r="J8415" t="s">
        <v>60</v>
      </c>
      <c r="K8415" t="s">
        <v>14</v>
      </c>
      <c r="L8415" t="s">
        <v>20</v>
      </c>
      <c r="M8415" t="s">
        <v>16278</v>
      </c>
      <c r="N8415" t="s">
        <v>14</v>
      </c>
    </row>
    <row r="8416" x14ac:dyDescent="0.25">
      <c r="A8416" t="n">
        <v>24</v>
      </c>
      <c r="B8416" t="s">
        <v>14</v>
      </c>
      <c r="C8416" t="s">
        <v>22</v>
      </c>
      <c r="D8416" s="2" t="s">
        <f>=HYPERLINK("https://main.knesset.gov.il/APPS/legislation/main/bills/2168425", "הצעת חוק הסדרת העיסוק במקצועות הבריאות (תיקון - הסדרת מקצוע הרנטגנאות והדימות), התשפ""ב-2022")</f>
        <v>14860</v>
      </c>
      <c r="E8416" t="s">
        <v>14860</v>
      </c>
      <c r="F8416" t="s">
        <v>16413</v>
      </c>
      <c r="G8416" t="s">
        <v>14</v>
      </c>
      <c r="H8416">
             </c>
      <c r="I8416" t="s">
        <v>14</v>
      </c>
      <c r="J8416" t="s">
        <v>31</v>
      </c>
      <c r="K8416" t="s">
        <v>480</v>
      </c>
      <c r="L8416" t="s">
        <v>20</v>
      </c>
      <c r="M8416" t="s">
        <v>16414</v>
      </c>
      <c r="N8416" t="s">
        <v>14</v>
      </c>
    </row>
    <row r="8417" x14ac:dyDescent="0.25">
      <c r="A8417" t="n">
        <v>24</v>
      </c>
      <c r="B8417" t="s">
        <v>14</v>
      </c>
      <c r="C8417" t="s">
        <v>22</v>
      </c>
      <c r="D8417" s="2" t="s">
        <f>=HYPERLINK("https://main.knesset.gov.il/APPS/legislation/main/bills/2165621", "הצעת חוק סמכויות שעת חירום (מעצרים) (תיקון - מעצרים מנהליים), התשפ""ב-2021")</f>
        <v>16415</v>
      </c>
      <c r="E8417" t="s">
        <v>16415</v>
      </c>
      <c r="F8417" t="s">
        <v>16416</v>
      </c>
      <c r="G8417" t="s">
        <v>14</v>
      </c>
      <c r="H8417">
             </c>
      <c r="I8417" t="s">
        <v>14</v>
      </c>
      <c r="J8417" t="s">
        <v>343</v>
      </c>
      <c r="K8417" t="s">
        <v>14</v>
      </c>
      <c r="L8417" t="s">
        <v>20</v>
      </c>
      <c r="M8417" t="s">
        <v>16414</v>
      </c>
      <c r="N8417" t="s">
        <v>14</v>
      </c>
    </row>
    <row r="8418" x14ac:dyDescent="0.25">
      <c r="A8418" t="n">
        <v>24</v>
      </c>
      <c r="B8418" t="s">
        <v>14</v>
      </c>
      <c r="C8418" t="s">
        <v>22</v>
      </c>
      <c r="D8418" s="2" t="s">
        <f>=HYPERLINK("https://main.knesset.gov.il/APPS/legislation/main/bills/2163920", "הצעת חוק עמדות טעינת רכבים חשמליים בתחנות דלק, התשפ""ב-2021")</f>
        <v>16417</v>
      </c>
      <c r="E8418" t="s">
        <v>16417</v>
      </c>
      <c r="F8418" t="s">
        <v>16418</v>
      </c>
      <c r="G8418" t="s">
        <v>14</v>
      </c>
      <c r="H8418">
             </c>
      <c r="I8418" t="s">
        <v>14</v>
      </c>
      <c r="J8418" t="s">
        <v>60</v>
      </c>
      <c r="K8418" t="s">
        <v>14</v>
      </c>
      <c r="L8418" t="s">
        <v>20</v>
      </c>
      <c r="M8418" t="s">
        <v>16414</v>
      </c>
      <c r="N8418" t="s">
        <v>14</v>
      </c>
    </row>
    <row r="8419" x14ac:dyDescent="0.25">
      <c r="A8419" t="n">
        <v>24</v>
      </c>
      <c r="B8419" t="s">
        <v>14</v>
      </c>
      <c r="C8419" t="s">
        <v>22</v>
      </c>
      <c r="D8419" s="2" t="s">
        <f>=HYPERLINK("https://main.knesset.gov.il/APPS/legislation/main/bills/2165206", "הצעת חוק-יסוד: השפיטה (תיקון - הקבלת התקופה המרבית לכהונת שופט בית המשפט העליון למשך כהונת ראש ממשלה)")</f>
        <v>16419</v>
      </c>
      <c r="E8419" t="s">
        <v>16419</v>
      </c>
      <c r="F8419" t="s">
        <v>16420</v>
      </c>
      <c r="G8419" t="s">
        <v>14</v>
      </c>
      <c r="H8419">
             </c>
      <c r="I8419" t="s">
        <v>14</v>
      </c>
      <c r="J8419" t="s">
        <v>60</v>
      </c>
      <c r="K8419" t="s">
        <v>14</v>
      </c>
      <c r="L8419" t="s">
        <v>20</v>
      </c>
      <c r="M8419" t="s">
        <v>16414</v>
      </c>
      <c r="N8419" t="s">
        <v>14</v>
      </c>
    </row>
    <row r="8420" x14ac:dyDescent="0.25">
      <c r="A8420" t="n">
        <v>24</v>
      </c>
      <c r="B8420" t="s">
        <v>14</v>
      </c>
      <c r="C8420" t="s">
        <v>22</v>
      </c>
      <c r="D8420" s="2" t="s">
        <f>=HYPERLINK("https://main.knesset.gov.il/APPS/legislation/main/bills/2163904", "הצעת חוק החזקת תכשיר אפינפרין במוסדות חינוך ובמקומות ציבוריים (תיקון - החזקת תכשיר אפינפרין בבית אוכל), התשפ""ב-2021")</f>
        <v>16421</v>
      </c>
      <c r="E8420" t="s">
        <v>16421</v>
      </c>
      <c r="F8420" t="s">
        <v>16422</v>
      </c>
      <c r="G8420" t="s">
        <v>14</v>
      </c>
      <c r="H8420">
             </c>
      <c r="I8420" t="s">
        <v>14</v>
      </c>
      <c r="J8420" t="s">
        <v>31</v>
      </c>
      <c r="K8420" t="s">
        <v>480</v>
      </c>
      <c r="L8420" t="s">
        <v>20</v>
      </c>
      <c r="M8420" t="s">
        <v>16414</v>
      </c>
      <c r="N8420" t="s">
        <v>14</v>
      </c>
    </row>
    <row r="8421" x14ac:dyDescent="0.25">
      <c r="A8421" t="n">
        <v>24</v>
      </c>
      <c r="B8421" t="s">
        <v>14</v>
      </c>
      <c r="C8421" t="s">
        <v>22</v>
      </c>
      <c r="D8421" s="2" t="s">
        <f>=HYPERLINK("https://main.knesset.gov.il/APPS/legislation/main/bills/2162700", "הצעת חוק דמי ביטוח לאומי ודמי ביטוח בריאות מופחתים למי שפרש פרישה מוקדמת (תיקוני חקיקה), התשפ""ב-2021")</f>
        <v>16423</v>
      </c>
      <c r="E8421" t="s">
        <v>16423</v>
      </c>
      <c r="F8421" t="s">
        <v>16424</v>
      </c>
      <c r="G8421" t="s">
        <v>14</v>
      </c>
      <c r="H8421">
             </c>
      <c r="I8421" t="s">
        <v>14</v>
      </c>
      <c r="J8421" t="s">
        <v>31</v>
      </c>
      <c r="K8421" t="s">
        <v>127</v>
      </c>
      <c r="L8421" t="s">
        <v>20</v>
      </c>
      <c r="M8421" t="s">
        <v>16414</v>
      </c>
      <c r="N8421" t="s">
        <v>14</v>
      </c>
    </row>
    <row r="8422" x14ac:dyDescent="0.25">
      <c r="A8422" t="n">
        <v>24</v>
      </c>
      <c r="B8422" t="s">
        <v>14</v>
      </c>
      <c r="C8422" t="s">
        <v>22</v>
      </c>
      <c r="D8422" s="2" t="s">
        <f>=HYPERLINK("https://main.knesset.gov.il/APPS/legislation/main/bills/2160619", "הצעת חוק-יסוד: השפיטה (תיקון - הגבלת כהונת שופט בית המשפט העליון) ")</f>
        <v>16425</v>
      </c>
      <c r="E8422" t="s">
        <v>16425</v>
      </c>
      <c r="F8422" t="s">
        <v>16426</v>
      </c>
      <c r="G8422" t="s">
        <v>14</v>
      </c>
      <c r="H8422">
             </c>
      <c r="I8422" t="s">
        <v>14</v>
      </c>
      <c r="J8422" t="s">
        <v>60</v>
      </c>
      <c r="K8422" t="s">
        <v>14</v>
      </c>
      <c r="L8422" t="s">
        <v>20</v>
      </c>
      <c r="M8422" t="s">
        <v>16414</v>
      </c>
      <c r="N8422" t="s">
        <v>14</v>
      </c>
    </row>
    <row r="8423" x14ac:dyDescent="0.25">
      <c r="A8423" t="n">
        <v>24</v>
      </c>
      <c r="B8423" t="s">
        <v>14</v>
      </c>
      <c r="C8423" t="s">
        <v>22</v>
      </c>
      <c r="D8423" s="2" t="s">
        <f>=HYPERLINK("https://main.knesset.gov.il/APPS/legislation/main/bills/2159133", "הצעת חוק לעידוד תחבורת אופניים, התשפ""א-2021")</f>
        <v>16427</v>
      </c>
      <c r="E8423" t="s">
        <v>16427</v>
      </c>
      <c r="F8423" t="s">
        <v>16428</v>
      </c>
      <c r="G8423" t="s">
        <v>14</v>
      </c>
      <c r="H8423">
             </c>
      <c r="I8423" t="s">
        <v>14</v>
      </c>
      <c r="J8423" t="s">
        <v>60</v>
      </c>
      <c r="K8423" t="s">
        <v>14</v>
      </c>
      <c r="L8423" t="s">
        <v>20</v>
      </c>
      <c r="M8423" t="s">
        <v>16414</v>
      </c>
      <c r="N8423" t="s">
        <v>14</v>
      </c>
    </row>
    <row r="8424" x14ac:dyDescent="0.25">
      <c r="A8424" t="n">
        <v>24</v>
      </c>
      <c r="B8424" t="s">
        <v>14</v>
      </c>
      <c r="C8424" t="s">
        <v>22</v>
      </c>
      <c r="D8424" s="2" t="s">
        <f>=HYPERLINK("https://main.knesset.gov.il/APPS/legislation/main/bills/2156265", "הצעת חוק פיקוח על בתי ספר (תיקון - איסור התחזות לגננת), התשפ""א-2021")</f>
        <v>16429</v>
      </c>
      <c r="E8424" t="s">
        <v>16429</v>
      </c>
      <c r="F8424" t="s">
        <v>16430</v>
      </c>
      <c r="G8424" t="s">
        <v>14</v>
      </c>
      <c r="H8424">
             </c>
      <c r="I8424" t="s">
        <v>14</v>
      </c>
      <c r="J8424" t="s">
        <v>60</v>
      </c>
      <c r="K8424" t="s">
        <v>14</v>
      </c>
      <c r="L8424" t="s">
        <v>20</v>
      </c>
      <c r="M8424" t="s">
        <v>16414</v>
      </c>
      <c r="N8424" t="s">
        <v>14</v>
      </c>
    </row>
    <row r="8425" x14ac:dyDescent="0.25">
      <c r="A8425" t="n">
        <v>24</v>
      </c>
      <c r="B8425" t="s">
        <v>14</v>
      </c>
      <c r="C8425" t="s">
        <v>22</v>
      </c>
      <c r="D8425" s="2" t="s">
        <f>=HYPERLINK("https://main.knesset.gov.il/APPS/legislation/main/bills/2157550", "הצעת חוק הסדרת העיסוק במקצועות הבריאות (תיקון - הסדרת מקצוע הרנטגנאות והדימות), התשפ""א-2021 ")</f>
        <v>16431</v>
      </c>
      <c r="E8425" t="s">
        <v>16431</v>
      </c>
      <c r="F8425" t="s">
        <v>16432</v>
      </c>
      <c r="G8425" t="s">
        <v>14</v>
      </c>
      <c r="H8425">
             </c>
      <c r="I8425" t="s">
        <v>14</v>
      </c>
      <c r="J8425" t="s">
        <v>31</v>
      </c>
      <c r="K8425" t="s">
        <v>480</v>
      </c>
      <c r="L8425" t="s">
        <v>20</v>
      </c>
      <c r="M8425" t="s">
        <v>16414</v>
      </c>
      <c r="N8425" t="s">
        <v>14</v>
      </c>
    </row>
    <row r="8426" x14ac:dyDescent="0.25">
      <c r="A8426" t="n">
        <v>24</v>
      </c>
      <c r="B8426" t="s">
        <v>14</v>
      </c>
      <c r="C8426" t="s">
        <v>22</v>
      </c>
      <c r="D8426" s="2" t="s">
        <f>=HYPERLINK("https://main.knesset.gov.il/APPS/legislation/main/bills/2158997", "הצעת חוק איסור פרסומת והגבלת השיווק של מוצרי טבק ועישון (תיקון - ביטול החרגת העיתונות המודפסת), התשפ""א-2021")</f>
        <v>16433</v>
      </c>
      <c r="E8426" t="s">
        <v>16433</v>
      </c>
      <c r="F8426" t="s">
        <v>16434</v>
      </c>
      <c r="G8426" t="s">
        <v>14</v>
      </c>
      <c r="H8426">
             </c>
      <c r="I8426" t="s">
        <v>14</v>
      </c>
      <c r="J8426" t="s">
        <v>99</v>
      </c>
      <c r="K8426" t="s">
        <v>19</v>
      </c>
      <c r="L8426" t="s">
        <v>20</v>
      </c>
      <c r="M8426" t="s">
        <v>16435</v>
      </c>
      <c r="N8426" t="s">
        <v>14</v>
      </c>
    </row>
    <row r="8427" x14ac:dyDescent="0.25">
      <c r="A8427" t="n">
        <v>24</v>
      </c>
      <c r="B8427" t="s">
        <v>14</v>
      </c>
      <c r="C8427" t="s">
        <v>22</v>
      </c>
      <c r="D8427" s="2" t="s">
        <f>=HYPERLINK("https://main.knesset.gov.il/APPS/legislation/main/bills/2164265", "הצעת חוק הסדרת העיסוק במקצועות הבריאות (תיקון - טיפול באמצעות אמנויות), התשפ""ב-2021")</f>
        <v>16436</v>
      </c>
      <c r="E8427" t="s">
        <v>16436</v>
      </c>
      <c r="F8427" t="s">
        <v>16437</v>
      </c>
      <c r="G8427" t="s">
        <v>14</v>
      </c>
      <c r="H8427">
             </c>
      <c r="I8427" t="s">
        <v>14</v>
      </c>
      <c r="J8427" t="s">
        <v>99</v>
      </c>
      <c r="K8427" t="s">
        <v>480</v>
      </c>
      <c r="L8427" t="s">
        <v>20</v>
      </c>
      <c r="M8427" t="s">
        <v>16438</v>
      </c>
      <c r="N8427" t="s">
        <v>14</v>
      </c>
    </row>
    <row r="8428" x14ac:dyDescent="0.25">
      <c r="A8428" t="n">
        <v>24</v>
      </c>
      <c r="B8428" t="s">
        <v>14</v>
      </c>
      <c r="C8428" t="s">
        <v>22</v>
      </c>
      <c r="D8428" s="2" t="s">
        <f>=HYPERLINK("https://main.knesset.gov.il/APPS/legislation/main/bills/2163971", "הצעת חוק הסדרת העיסוק במקצועות הבריאות (תיקון - טיפול באמצעות אמנויות), התשפ""ב-2021")</f>
        <v>16436</v>
      </c>
      <c r="E8428" t="s">
        <v>16436</v>
      </c>
      <c r="F8428" t="s">
        <v>16439</v>
      </c>
      <c r="G8428" t="s">
        <v>14</v>
      </c>
      <c r="H8428">
             </c>
      <c r="I8428" t="s">
        <v>14</v>
      </c>
      <c r="J8428" t="s">
        <v>99</v>
      </c>
      <c r="K8428" t="s">
        <v>480</v>
      </c>
      <c r="L8428" t="s">
        <v>20</v>
      </c>
      <c r="M8428" t="s">
        <v>16438</v>
      </c>
      <c r="N8428" t="s">
        <v>14</v>
      </c>
    </row>
    <row r="8429" x14ac:dyDescent="0.25">
      <c r="A8429" t="n">
        <v>24</v>
      </c>
      <c r="B8429" t="s">
        <v>14</v>
      </c>
      <c r="C8429" t="s">
        <v>22</v>
      </c>
      <c r="D8429" s="2" t="s">
        <f>=HYPERLINK("https://main.knesset.gov.il/APPS/legislation/main/bills/2163573", "הצעת חוק הסדרת העיסוק במקצועות הבריאות (תיקון - טיפול באמצעות אמנויות), התשפ""ב-2021")</f>
        <v>16436</v>
      </c>
      <c r="E8429" t="s">
        <v>16436</v>
      </c>
      <c r="F8429" t="s">
        <v>16440</v>
      </c>
      <c r="G8429" t="s">
        <v>14</v>
      </c>
      <c r="H8429">
             </c>
      <c r="I8429" t="s">
        <v>14</v>
      </c>
      <c r="J8429" t="s">
        <v>99</v>
      </c>
      <c r="K8429" t="s">
        <v>480</v>
      </c>
      <c r="L8429" t="s">
        <v>20</v>
      </c>
      <c r="M8429" t="s">
        <v>16438</v>
      </c>
      <c r="N8429" t="s">
        <v>14</v>
      </c>
    </row>
    <row r="8430" x14ac:dyDescent="0.25">
      <c r="A8430" t="n">
        <v>24</v>
      </c>
      <c r="B8430" t="s">
        <v>14</v>
      </c>
      <c r="C8430" t="s">
        <v>22</v>
      </c>
      <c r="D8430" s="2" t="s">
        <f>=HYPERLINK("https://main.knesset.gov.il/APPS/legislation/main/bills/2159592", "הצעת חוק הסדרת העיסוק במקצועות הבריאות (תיקון - טיפול באמצעות אמנויות), התשפ""א-2021")</f>
        <v>16269</v>
      </c>
      <c r="E8430" t="s">
        <v>16269</v>
      </c>
      <c r="F8430" t="s">
        <v>16441</v>
      </c>
      <c r="G8430" t="s">
        <v>14</v>
      </c>
      <c r="H8430">
             </c>
      <c r="I8430" t="s">
        <v>14</v>
      </c>
      <c r="J8430" t="s">
        <v>99</v>
      </c>
      <c r="K8430" t="s">
        <v>480</v>
      </c>
      <c r="L8430" t="s">
        <v>20</v>
      </c>
      <c r="M8430" t="s">
        <v>16438</v>
      </c>
      <c r="N8430" t="s">
        <v>14</v>
      </c>
    </row>
    <row r="8431" x14ac:dyDescent="0.25">
      <c r="A8431" t="n">
        <v>24</v>
      </c>
      <c r="B8431" t="s">
        <v>14</v>
      </c>
      <c r="C8431" t="s">
        <v>15</v>
      </c>
      <c r="D8431" s="2" t="s">
        <f>=HYPERLINK("https://main.knesset.gov.il/APPS/legislation/main/bills/2189889", "הצעת חוק ההוצאה לפועל (תיקון מס' 70 והוראת שעה) (נגיף הקורונה החדש), התפ""ב-2022")</f>
        <v>16442</v>
      </c>
      <c r="E8431" t="s">
        <v>16442</v>
      </c>
      <c r="F8431" t="s">
        <v>14</v>
      </c>
      <c r="G8431" t="s">
        <v>16443</v>
      </c>
      <c r="H8431">
             </c>
      <c r="I8431" t="s">
        <v>14</v>
      </c>
      <c r="J8431" t="s">
        <v>69</v>
      </c>
      <c r="K8431" t="s">
        <v>14</v>
      </c>
      <c r="L8431" t="s">
        <v>20</v>
      </c>
      <c r="M8431" t="s">
        <v>16438</v>
      </c>
      <c r="N8431" t="s">
        <v>14</v>
      </c>
    </row>
    <row r="8432" x14ac:dyDescent="0.25">
      <c r="A8432" t="n">
        <v>24</v>
      </c>
      <c r="B8432" t="s">
        <v>14</v>
      </c>
      <c r="C8432" t="s">
        <v>20</v>
      </c>
      <c r="D8432" s="2" t="s">
        <f>=HYPERLINK("https://main.knesset.gov.il/APPS/legislation/main/bills/2189859", "הצעת חוק הספרים (חובת מסירה וציון הפרטים) (תיקון מס' 4) (ביטול חובת המסירה לכנסת), התשפ""ב–2022")</f>
        <v>16444</v>
      </c>
      <c r="E8432" t="s">
        <v>16444</v>
      </c>
      <c r="F8432" t="s">
        <v>14</v>
      </c>
      <c r="G8432" t="s">
        <v>16445</v>
      </c>
      <c r="H8432">
             </c>
      <c r="I8432" t="s">
        <v>14</v>
      </c>
      <c r="J8432" t="s">
        <v>1141</v>
      </c>
      <c r="K8432" t="s">
        <v>121</v>
      </c>
      <c r="L8432" t="s">
        <v>20</v>
      </c>
      <c r="M8432" t="s">
        <v>16438</v>
      </c>
      <c r="N8432" t="s">
        <v>14</v>
      </c>
    </row>
    <row r="8433" x14ac:dyDescent="0.25">
      <c r="A8433" t="n">
        <v>24</v>
      </c>
      <c r="B8433" t="s">
        <v>14</v>
      </c>
      <c r="C8433" t="s">
        <v>22</v>
      </c>
      <c r="D8433" s="2" t="s">
        <f>=HYPERLINK("https://main.knesset.gov.il/APPS/legislation/main/bills/2167313", "הצעת חוק לייעול הפיקוח והאכיפה העירוניים ברשויות המקומיות (תעבורה) (תיקון - הגברת האכיפה), התשפ""ב-2022")</f>
        <v>16446</v>
      </c>
      <c r="E8433" t="s">
        <v>16446</v>
      </c>
      <c r="F8433" t="s">
        <v>16447</v>
      </c>
      <c r="G8433" t="s">
        <v>14</v>
      </c>
      <c r="H8433">
             </c>
      <c r="I8433" t="s">
        <v>14</v>
      </c>
      <c r="J8433" t="s">
        <v>31</v>
      </c>
      <c r="K8433" t="s">
        <v>19</v>
      </c>
      <c r="L8433" t="s">
        <v>20</v>
      </c>
      <c r="M8433" t="s">
        <v>16438</v>
      </c>
      <c r="N8433" t="s">
        <v>14</v>
      </c>
    </row>
    <row r="8434" x14ac:dyDescent="0.25">
      <c r="A8434" t="n">
        <v>24</v>
      </c>
      <c r="B8434" t="s">
        <v>14</v>
      </c>
      <c r="C8434" t="s">
        <v>22</v>
      </c>
      <c r="D8434" s="2" t="s">
        <f>=HYPERLINK("https://main.knesset.gov.il/APPS/legislation/main/bills/2167029", "הצעת חוק הבחירות לכנסת (תיקון - זכות הצבעה לאזרחים מחוץ לישראל), התשפ""ב-2022")</f>
        <v>14610</v>
      </c>
      <c r="E8434" t="s">
        <v>14610</v>
      </c>
      <c r="F8434" t="s">
        <v>16448</v>
      </c>
      <c r="G8434" t="s">
        <v>14</v>
      </c>
      <c r="H8434">
             </c>
      <c r="I8434" t="s">
        <v>14</v>
      </c>
      <c r="J8434" t="s">
        <v>141</v>
      </c>
      <c r="K8434" t="s">
        <v>14</v>
      </c>
      <c r="L8434" t="s">
        <v>20</v>
      </c>
      <c r="M8434" t="s">
        <v>16438</v>
      </c>
      <c r="N8434" t="s">
        <v>14</v>
      </c>
    </row>
    <row r="8435" x14ac:dyDescent="0.25">
      <c r="A8435" t="n">
        <v>24</v>
      </c>
      <c r="B8435" t="s">
        <v>14</v>
      </c>
      <c r="C8435" t="s">
        <v>22</v>
      </c>
      <c r="D8435" s="2" t="s">
        <f>=HYPERLINK("https://main.knesset.gov.il/APPS/legislation/main/bills/2168819", "הצעת חוק לתיקון פקודת המסים (גבייה) (חובת יידוע החייב), התשפ""ב-2022")</f>
        <v>15268</v>
      </c>
      <c r="E8435" t="s">
        <v>15268</v>
      </c>
      <c r="F8435" t="s">
        <v>16449</v>
      </c>
      <c r="G8435" t="s">
        <v>14</v>
      </c>
      <c r="H8435">
             </c>
      <c r="I8435" t="s">
        <v>14</v>
      </c>
      <c r="J8435" t="s">
        <v>141</v>
      </c>
      <c r="K8435" t="s">
        <v>14</v>
      </c>
      <c r="L8435" t="s">
        <v>20</v>
      </c>
      <c r="M8435" t="s">
        <v>16438</v>
      </c>
      <c r="N8435" t="s">
        <v>14</v>
      </c>
    </row>
    <row r="8436" x14ac:dyDescent="0.25">
      <c r="A8436" t="n">
        <v>24</v>
      </c>
      <c r="B8436" t="s">
        <v>14</v>
      </c>
      <c r="C8436" t="s">
        <v>22</v>
      </c>
      <c r="D8436" s="2" t="s">
        <f>=HYPERLINK("https://main.knesset.gov.il/APPS/legislation/main/bills/2168217", "הצעת חוק ניירות ערך (תיקון - חובת גילוי בדוחות הכספיים של חברות ציבוריות אודות סיכונים סביבתיים), התשפ""ב-2022")</f>
        <v>16450</v>
      </c>
      <c r="E8436" t="s">
        <v>16450</v>
      </c>
      <c r="F8436" t="s">
        <v>16451</v>
      </c>
      <c r="G8436" t="s">
        <v>14</v>
      </c>
      <c r="H8436">
             </c>
      <c r="I8436" t="s">
        <v>14</v>
      </c>
      <c r="J8436" t="s">
        <v>141</v>
      </c>
      <c r="K8436" t="s">
        <v>14</v>
      </c>
      <c r="L8436" t="s">
        <v>20</v>
      </c>
      <c r="M8436" t="s">
        <v>16438</v>
      </c>
      <c r="N8436" t="s">
        <v>14</v>
      </c>
    </row>
    <row r="8437" x14ac:dyDescent="0.25">
      <c r="A8437" t="n">
        <v>24</v>
      </c>
      <c r="B8437" t="s">
        <v>14</v>
      </c>
      <c r="C8437" t="s">
        <v>22</v>
      </c>
      <c r="D8437" s="2" t="s">
        <f>=HYPERLINK("https://main.knesset.gov.il/APPS/legislation/main/bills/2169961", "הצעת חוק לקידום שירותי הרפואה בעיר אילת (תיקוני חקיקה), התשפ""ב-2022")</f>
        <v>14802</v>
      </c>
      <c r="E8437" t="s">
        <v>14802</v>
      </c>
      <c r="F8437" t="s">
        <v>16452</v>
      </c>
      <c r="G8437" t="s">
        <v>14</v>
      </c>
      <c r="H8437">
             </c>
      <c r="I8437" t="s">
        <v>14</v>
      </c>
      <c r="J8437" t="s">
        <v>141</v>
      </c>
      <c r="K8437" t="s">
        <v>14</v>
      </c>
      <c r="L8437" t="s">
        <v>20</v>
      </c>
      <c r="M8437" t="s">
        <v>16438</v>
      </c>
      <c r="N8437" t="s">
        <v>14</v>
      </c>
    </row>
    <row r="8438" x14ac:dyDescent="0.25">
      <c r="A8438" t="n">
        <v>24</v>
      </c>
      <c r="B8438" t="s">
        <v>14</v>
      </c>
      <c r="C8438" t="s">
        <v>22</v>
      </c>
      <c r="D8438" s="2" t="s">
        <f>=HYPERLINK("https://main.knesset.gov.il/APPS/legislation/main/bills/2169131", "הצעת חוק השפה הערבית שפה רשמית, התשפ""ב-2022")</f>
        <v>16046</v>
      </c>
      <c r="E8438" t="s">
        <v>16046</v>
      </c>
      <c r="F8438" t="s">
        <v>16453</v>
      </c>
      <c r="G8438" t="s">
        <v>14</v>
      </c>
      <c r="H8438">
             </c>
      <c r="I8438" t="s">
        <v>14</v>
      </c>
      <c r="J8438" t="s">
        <v>141</v>
      </c>
      <c r="K8438" t="s">
        <v>14</v>
      </c>
      <c r="L8438" t="s">
        <v>20</v>
      </c>
      <c r="M8438" t="s">
        <v>16438</v>
      </c>
      <c r="N8438" t="s">
        <v>14</v>
      </c>
    </row>
    <row r="8439" x14ac:dyDescent="0.25">
      <c r="A8439" t="n">
        <v>24</v>
      </c>
      <c r="B8439" t="s">
        <v>14</v>
      </c>
      <c r="C8439" t="s">
        <v>22</v>
      </c>
      <c r="D8439" s="2" t="s">
        <f>=HYPERLINK("https://main.knesset.gov.il/APPS/legislation/main/bills/2169631", "הצעת חוק הסעד (טיפול באנשים עם מוגבלות שכלית-התפתחותית) (תיקון - דיווח לכנסת לעניין פגיעה באדם עם מוגבלות שכלית-התפתחותית), התשפ""ב-2022")</f>
        <v>16454</v>
      </c>
      <c r="E8439" t="s">
        <v>16454</v>
      </c>
      <c r="F8439" t="s">
        <v>16455</v>
      </c>
      <c r="G8439" t="s">
        <v>14</v>
      </c>
      <c r="H8439">
             </c>
      <c r="I8439" t="s">
        <v>14</v>
      </c>
      <c r="J8439" t="s">
        <v>141</v>
      </c>
      <c r="K8439" t="s">
        <v>14</v>
      </c>
      <c r="L8439" t="s">
        <v>20</v>
      </c>
      <c r="M8439" t="s">
        <v>16438</v>
      </c>
      <c r="N8439" t="s">
        <v>14</v>
      </c>
    </row>
    <row r="8440" x14ac:dyDescent="0.25">
      <c r="A8440" t="n">
        <v>24</v>
      </c>
      <c r="B8440" t="s">
        <v>14</v>
      </c>
      <c r="C8440" t="s">
        <v>22</v>
      </c>
      <c r="D8440" s="2" t="s">
        <f>=HYPERLINK("https://main.knesset.gov.il/APPS/legislation/main/bills/2169430", "הצעת חוק הגנה על הציבור מפני עבריינים שביצעו עבירות אלימות חמורות, התשפ""ב-2022")</f>
        <v>16456</v>
      </c>
      <c r="E8440" t="s">
        <v>16456</v>
      </c>
      <c r="F8440" t="s">
        <v>16457</v>
      </c>
      <c r="G8440" t="s">
        <v>14</v>
      </c>
      <c r="H8440">
             </c>
      <c r="I8440" t="s">
        <v>14</v>
      </c>
      <c r="J8440" t="s">
        <v>141</v>
      </c>
      <c r="K8440" t="s">
        <v>14</v>
      </c>
      <c r="L8440" t="s">
        <v>20</v>
      </c>
      <c r="M8440" t="s">
        <v>16438</v>
      </c>
      <c r="N8440" t="s">
        <v>14</v>
      </c>
    </row>
    <row r="8441" x14ac:dyDescent="0.25">
      <c r="A8441" t="n">
        <v>24</v>
      </c>
      <c r="B8441" t="s">
        <v>14</v>
      </c>
      <c r="C8441" t="s">
        <v>22</v>
      </c>
      <c r="D8441" s="2" t="s">
        <f>=HYPERLINK("https://main.knesset.gov.il/APPS/legislation/main/bills/2169776", "הצעת חוק זכויות החולה (תיקון - מתן הסכמה לטיפול רפואי), התשפ""ב-2022")</f>
        <v>16458</v>
      </c>
      <c r="E8441" t="s">
        <v>16458</v>
      </c>
      <c r="F8441" t="s">
        <v>16459</v>
      </c>
      <c r="G8441" t="s">
        <v>14</v>
      </c>
      <c r="H8441">
             </c>
      <c r="I8441" t="s">
        <v>14</v>
      </c>
      <c r="J8441" t="s">
        <v>141</v>
      </c>
      <c r="K8441" t="s">
        <v>14</v>
      </c>
      <c r="L8441" t="s">
        <v>20</v>
      </c>
      <c r="M8441" t="s">
        <v>16438</v>
      </c>
      <c r="N8441" t="s">
        <v>14</v>
      </c>
    </row>
    <row r="8442" x14ac:dyDescent="0.25">
      <c r="A8442" t="n">
        <v>24</v>
      </c>
      <c r="B8442" t="s">
        <v>14</v>
      </c>
      <c r="C8442" t="s">
        <v>22</v>
      </c>
      <c r="D8442" s="2" t="s">
        <f>=HYPERLINK("https://main.knesset.gov.il/APPS/legislation/main/bills/2168900", "הצעת חוק שירות הציבור (הגבלות לאחר פרישה) (תיקון - תקופת צינון לשופטים), התשפ""ב-2022")</f>
        <v>16460</v>
      </c>
      <c r="E8442" t="s">
        <v>16460</v>
      </c>
      <c r="F8442" t="s">
        <v>16461</v>
      </c>
      <c r="G8442" t="s">
        <v>14</v>
      </c>
      <c r="H8442">
             </c>
      <c r="I8442" t="s">
        <v>14</v>
      </c>
      <c r="J8442" t="s">
        <v>141</v>
      </c>
      <c r="K8442" t="s">
        <v>14</v>
      </c>
      <c r="L8442" t="s">
        <v>20</v>
      </c>
      <c r="M8442" t="s">
        <v>16438</v>
      </c>
      <c r="N8442" t="s">
        <v>14</v>
      </c>
    </row>
    <row r="8443" x14ac:dyDescent="0.25">
      <c r="A8443" t="n">
        <v>24</v>
      </c>
      <c r="B8443" t="s">
        <v>14</v>
      </c>
      <c r="C8443" t="s">
        <v>22</v>
      </c>
      <c r="D8443" s="2" t="s">
        <f>=HYPERLINK("https://main.knesset.gov.il/APPS/legislation/main/bills/2169206", "הצעת חוק מגורים זמניים לעובדים בחקלאות, התשפ""ב-2022")</f>
        <v>16462</v>
      </c>
      <c r="E8443" t="s">
        <v>16462</v>
      </c>
      <c r="F8443" t="s">
        <v>16463</v>
      </c>
      <c r="G8443" t="s">
        <v>14</v>
      </c>
      <c r="H8443">
             </c>
      <c r="I8443" t="s">
        <v>14</v>
      </c>
      <c r="J8443" t="s">
        <v>141</v>
      </c>
      <c r="K8443" t="s">
        <v>14</v>
      </c>
      <c r="L8443" t="s">
        <v>20</v>
      </c>
      <c r="M8443" t="s">
        <v>16438</v>
      </c>
      <c r="N8443" t="s">
        <v>14</v>
      </c>
    </row>
    <row r="8444" x14ac:dyDescent="0.25">
      <c r="A8444" t="n">
        <v>24</v>
      </c>
      <c r="B8444" t="s">
        <v>14</v>
      </c>
      <c r="C8444" t="s">
        <v>22</v>
      </c>
      <c r="D8444" s="2" t="s">
        <f>=HYPERLINK("https://main.knesset.gov.il/APPS/legislation/main/bills/2169576", "הצעת חוק פיקוח על מחירי מצרכים ושירותים (תיקון - פיקוח על מוצרי מזון בריא בסיסיים), התשפ""ב-2022 ")</f>
        <v>16464</v>
      </c>
      <c r="E8444" t="s">
        <v>16464</v>
      </c>
      <c r="F8444" t="s">
        <v>16465</v>
      </c>
      <c r="G8444" t="s">
        <v>14</v>
      </c>
      <c r="H8444">
             </c>
      <c r="I8444" t="s">
        <v>14</v>
      </c>
      <c r="J8444" t="s">
        <v>141</v>
      </c>
      <c r="K8444" t="s">
        <v>14</v>
      </c>
      <c r="L8444" t="s">
        <v>20</v>
      </c>
      <c r="M8444" t="s">
        <v>16438</v>
      </c>
      <c r="N8444" t="s">
        <v>14</v>
      </c>
    </row>
    <row r="8445" x14ac:dyDescent="0.25">
      <c r="A8445" t="n">
        <v>24</v>
      </c>
      <c r="B8445" t="s">
        <v>14</v>
      </c>
      <c r="C8445" t="s">
        <v>22</v>
      </c>
      <c r="D8445" s="2" t="s">
        <f>=HYPERLINK("https://main.knesset.gov.il/APPS/legislation/main/bills/2169725", "הצעת חוק-יסוד: נשיא המדינה (תיקון - כשירות מועמדים לכהונה כנשיא המדינה)")</f>
        <v>2549</v>
      </c>
      <c r="E8445" t="s">
        <v>2549</v>
      </c>
      <c r="F8445" t="s">
        <v>16466</v>
      </c>
      <c r="G8445" t="s">
        <v>14</v>
      </c>
      <c r="H8445">
             </c>
      <c r="I8445" t="s">
        <v>14</v>
      </c>
      <c r="J8445" t="s">
        <v>141</v>
      </c>
      <c r="K8445" t="s">
        <v>14</v>
      </c>
      <c r="L8445" t="s">
        <v>20</v>
      </c>
      <c r="M8445" t="s">
        <v>16438</v>
      </c>
      <c r="N8445" t="s">
        <v>14</v>
      </c>
    </row>
    <row r="8446" x14ac:dyDescent="0.25">
      <c r="A8446" t="n">
        <v>24</v>
      </c>
      <c r="B8446" t="s">
        <v>14</v>
      </c>
      <c r="C8446" t="s">
        <v>22</v>
      </c>
      <c r="D8446" s="2" t="s">
        <f>=HYPERLINK("https://main.knesset.gov.il/APPS/legislation/main/bills/2161910", "הצעת חוק השפה הערבית שפה רשמית, התשפ""ב-2022")</f>
        <v>16046</v>
      </c>
      <c r="E8446" t="s">
        <v>16046</v>
      </c>
      <c r="F8446" t="s">
        <v>16467</v>
      </c>
      <c r="G8446" t="s">
        <v>14</v>
      </c>
      <c r="H8446">
             </c>
      <c r="I8446" t="s">
        <v>14</v>
      </c>
      <c r="J8446" t="s">
        <v>141</v>
      </c>
      <c r="K8446" t="s">
        <v>14</v>
      </c>
      <c r="L8446" t="s">
        <v>20</v>
      </c>
      <c r="M8446" t="s">
        <v>16438</v>
      </c>
      <c r="N8446" t="s">
        <v>14</v>
      </c>
    </row>
    <row r="8447" x14ac:dyDescent="0.25">
      <c r="A8447" t="n">
        <v>24</v>
      </c>
      <c r="B8447" t="s">
        <v>14</v>
      </c>
      <c r="C8447" t="s">
        <v>22</v>
      </c>
      <c r="D8447" s="2" t="s">
        <f>=HYPERLINK("https://main.knesset.gov.il/APPS/legislation/main/bills/2170175", "הצעת חוק מס ערך מוסף (תיקון - פטור ממס ממכירת תרופות מאריכות חיים שאינן כלולות בסל הבריאות), התשפ""ב-2022")</f>
        <v>16468</v>
      </c>
      <c r="E8447" t="s">
        <v>16468</v>
      </c>
      <c r="F8447" t="s">
        <v>16469</v>
      </c>
      <c r="G8447" t="s">
        <v>14</v>
      </c>
      <c r="H8447">
             </c>
      <c r="I8447" t="s">
        <v>14</v>
      </c>
      <c r="J8447" t="s">
        <v>141</v>
      </c>
      <c r="K8447" t="s">
        <v>14</v>
      </c>
      <c r="L8447" t="s">
        <v>20</v>
      </c>
      <c r="M8447" t="s">
        <v>16438</v>
      </c>
      <c r="N8447" t="s">
        <v>14</v>
      </c>
    </row>
    <row r="8448" x14ac:dyDescent="0.25">
      <c r="A8448" t="n">
        <v>24</v>
      </c>
      <c r="B8448" t="s">
        <v>14</v>
      </c>
      <c r="C8448" t="s">
        <v>22</v>
      </c>
      <c r="D8448" s="2" t="s">
        <f>=HYPERLINK("https://main.knesset.gov.il/APPS/legislation/main/bills/2189514", "הצעת חוק הסיוע המשפטי (תיקון - סיוע משפטי לתובע בגין הפליה), התשפ""ב-2022")</f>
        <v>15451</v>
      </c>
      <c r="E8448" t="s">
        <v>15451</v>
      </c>
      <c r="F8448" t="s">
        <v>16470</v>
      </c>
      <c r="G8448" t="s">
        <v>14</v>
      </c>
      <c r="H8448">
             </c>
      <c r="I8448" t="s">
        <v>14</v>
      </c>
      <c r="J8448" t="s">
        <v>141</v>
      </c>
      <c r="K8448" t="s">
        <v>14</v>
      </c>
      <c r="L8448" t="s">
        <v>20</v>
      </c>
      <c r="M8448" t="s">
        <v>16438</v>
      </c>
      <c r="N8448" t="s">
        <v>14</v>
      </c>
    </row>
    <row r="8449" x14ac:dyDescent="0.25">
      <c r="A8449" t="n">
        <v>24</v>
      </c>
      <c r="B8449" t="s">
        <v>14</v>
      </c>
      <c r="C8449" t="s">
        <v>22</v>
      </c>
      <c r="D8449" s="2" t="s">
        <f>=HYPERLINK("https://main.knesset.gov.il/APPS/legislation/main/bills/2169879", "הצעת חוק ועדות חקירה (תיקון - הבטחת שקיפות), התשפ""ב-2022")</f>
        <v>16471</v>
      </c>
      <c r="E8449" t="s">
        <v>16471</v>
      </c>
      <c r="F8449" t="s">
        <v>16472</v>
      </c>
      <c r="G8449" t="s">
        <v>14</v>
      </c>
      <c r="H8449">
             </c>
      <c r="I8449" t="s">
        <v>14</v>
      </c>
      <c r="J8449" t="s">
        <v>141</v>
      </c>
      <c r="K8449" t="s">
        <v>14</v>
      </c>
      <c r="L8449" t="s">
        <v>20</v>
      </c>
      <c r="M8449" t="s">
        <v>16438</v>
      </c>
      <c r="N8449" t="s">
        <v>14</v>
      </c>
    </row>
    <row r="8450" x14ac:dyDescent="0.25">
      <c r="A8450" t="n">
        <v>24</v>
      </c>
      <c r="B8450" t="s">
        <v>14</v>
      </c>
      <c r="C8450" t="s">
        <v>22</v>
      </c>
      <c r="D8450" s="2" t="s">
        <f>=HYPERLINK("https://main.knesset.gov.il/APPS/legislation/main/bills/2158206", "הצעת חוק התובע הכללי, התשפ""ב-2022")</f>
        <v>16473</v>
      </c>
      <c r="E8450" t="s">
        <v>16473</v>
      </c>
      <c r="F8450" t="s">
        <v>16474</v>
      </c>
      <c r="G8450" t="s">
        <v>14</v>
      </c>
      <c r="H8450">
             </c>
      <c r="I8450" t="s">
        <v>14</v>
      </c>
      <c r="J8450" t="s">
        <v>141</v>
      </c>
      <c r="K8450" t="s">
        <v>14</v>
      </c>
      <c r="L8450" t="s">
        <v>20</v>
      </c>
      <c r="M8450" t="s">
        <v>16438</v>
      </c>
      <c r="N8450" t="s">
        <v>14</v>
      </c>
    </row>
    <row r="8451" x14ac:dyDescent="0.25">
      <c r="A8451" t="n">
        <v>24</v>
      </c>
      <c r="B8451" t="s">
        <v>14</v>
      </c>
      <c r="C8451" t="s">
        <v>22</v>
      </c>
      <c r="D8451" s="2" t="s">
        <f>=HYPERLINK("https://main.knesset.gov.il/APPS/legislation/main/bills/2158860", "הצעת חוק לתיקון פקודת התעבורה (חניית נשים בהריון והורה לתינוק), התשפ""ב-2022")</f>
        <v>16475</v>
      </c>
      <c r="E8451" t="s">
        <v>16475</v>
      </c>
      <c r="F8451" t="s">
        <v>16476</v>
      </c>
      <c r="G8451" t="s">
        <v>14</v>
      </c>
      <c r="H8451">
             </c>
      <c r="I8451" t="s">
        <v>14</v>
      </c>
      <c r="J8451" t="s">
        <v>141</v>
      </c>
      <c r="K8451" t="s">
        <v>14</v>
      </c>
      <c r="L8451" t="s">
        <v>20</v>
      </c>
      <c r="M8451" t="s">
        <v>16438</v>
      </c>
      <c r="N8451" t="s">
        <v>14</v>
      </c>
    </row>
    <row r="8452" x14ac:dyDescent="0.25">
      <c r="A8452" t="n">
        <v>24</v>
      </c>
      <c r="B8452" t="s">
        <v>14</v>
      </c>
      <c r="C8452" t="s">
        <v>22</v>
      </c>
      <c r="D8452" s="2" t="s">
        <f>=HYPERLINK("https://main.knesset.gov.il/APPS/legislation/main/bills/2170061", "הצעת חוק האזנת סתר (תיקון - האזנה בשל חשד להתעללות), התשפ""ב-2022")</f>
        <v>16477</v>
      </c>
      <c r="E8452" t="s">
        <v>16477</v>
      </c>
      <c r="F8452" t="s">
        <v>16478</v>
      </c>
      <c r="G8452" t="s">
        <v>14</v>
      </c>
      <c r="H8452">
             </c>
      <c r="I8452" t="s">
        <v>14</v>
      </c>
      <c r="J8452" t="s">
        <v>141</v>
      </c>
      <c r="K8452" t="s">
        <v>14</v>
      </c>
      <c r="L8452" t="s">
        <v>20</v>
      </c>
      <c r="M8452" t="s">
        <v>16438</v>
      </c>
      <c r="N8452" t="s">
        <v>14</v>
      </c>
    </row>
    <row r="8453" x14ac:dyDescent="0.25">
      <c r="A8453" t="n">
        <v>24</v>
      </c>
      <c r="B8453" t="s">
        <v>14</v>
      </c>
      <c r="C8453" t="s">
        <v>22</v>
      </c>
      <c r="D8453" s="2" t="s">
        <f>=HYPERLINK("https://main.knesset.gov.il/APPS/legislation/main/bills/2169463", "הצעת חוק השיפוט הצבאי (תיקון - עתירות אסיר), התשפ""ב-2022")</f>
        <v>16479</v>
      </c>
      <c r="E8453" t="s">
        <v>16479</v>
      </c>
      <c r="F8453" t="s">
        <v>16480</v>
      </c>
      <c r="G8453" t="s">
        <v>14</v>
      </c>
      <c r="H8453">
             </c>
      <c r="I8453" t="s">
        <v>14</v>
      </c>
      <c r="J8453" t="s">
        <v>141</v>
      </c>
      <c r="K8453" t="s">
        <v>14</v>
      </c>
      <c r="L8453" t="s">
        <v>20</v>
      </c>
      <c r="M8453" t="s">
        <v>16438</v>
      </c>
      <c r="N8453" t="s">
        <v>14</v>
      </c>
    </row>
    <row r="8454" x14ac:dyDescent="0.25">
      <c r="A8454" t="n">
        <v>24</v>
      </c>
      <c r="B8454" t="s">
        <v>14</v>
      </c>
      <c r="C8454" t="s">
        <v>22</v>
      </c>
      <c r="D8454" s="2" t="s">
        <f>=HYPERLINK("https://main.knesset.gov.il/APPS/legislation/main/bills/2169775", "הצעת חוק זכויות החולה (תיקון - הסדר חניה למאושפזים בבית חולים ולמבקריהם), התשפ""ב-2022")</f>
        <v>16481</v>
      </c>
      <c r="E8454" t="s">
        <v>16481</v>
      </c>
      <c r="F8454" t="s">
        <v>16482</v>
      </c>
      <c r="G8454" t="s">
        <v>14</v>
      </c>
      <c r="H8454">
             </c>
      <c r="I8454" t="s">
        <v>14</v>
      </c>
      <c r="J8454" t="s">
        <v>141</v>
      </c>
      <c r="K8454" t="s">
        <v>14</v>
      </c>
      <c r="L8454" t="s">
        <v>20</v>
      </c>
      <c r="M8454" t="s">
        <v>16438</v>
      </c>
      <c r="N8454" t="s">
        <v>14</v>
      </c>
    </row>
    <row r="8455" x14ac:dyDescent="0.25">
      <c r="A8455" t="n">
        <v>24</v>
      </c>
      <c r="B8455" t="s">
        <v>14</v>
      </c>
      <c r="C8455" t="s">
        <v>22</v>
      </c>
      <c r="D8455" s="2" t="s">
        <f>=HYPERLINK("https://main.knesset.gov.il/APPS/legislation/main/bills/2169321", "הצעת חוק לחיזוק הקשר בין יהודי התפוצות למדינת ישראל, התשפ""ב-2022")</f>
        <v>16483</v>
      </c>
      <c r="E8455" t="s">
        <v>16483</v>
      </c>
      <c r="F8455" t="s">
        <v>16484</v>
      </c>
      <c r="G8455" t="s">
        <v>14</v>
      </c>
      <c r="H8455">
             </c>
      <c r="I8455" t="s">
        <v>14</v>
      </c>
      <c r="J8455" t="s">
        <v>141</v>
      </c>
      <c r="K8455" t="s">
        <v>14</v>
      </c>
      <c r="L8455" t="s">
        <v>20</v>
      </c>
      <c r="M8455" t="s">
        <v>16438</v>
      </c>
      <c r="N8455" t="s">
        <v>14</v>
      </c>
    </row>
    <row r="8456" x14ac:dyDescent="0.25">
      <c r="A8456" t="n">
        <v>24</v>
      </c>
      <c r="B8456" t="s">
        <v>14</v>
      </c>
      <c r="C8456" t="s">
        <v>22</v>
      </c>
      <c r="D8456" s="2" t="s">
        <f>=HYPERLINK("https://main.knesset.gov.il/APPS/legislation/main/bills/2170058", "הצעת חוק לתיקון פקודת בריאות העם (מכשירים רפואיים מיוחדים), התשפ""ב-2022")</f>
        <v>16485</v>
      </c>
      <c r="E8456" t="s">
        <v>16485</v>
      </c>
      <c r="F8456" t="s">
        <v>16486</v>
      </c>
      <c r="G8456" t="s">
        <v>14</v>
      </c>
      <c r="H8456">
             </c>
      <c r="I8456" t="s">
        <v>14</v>
      </c>
      <c r="J8456" t="s">
        <v>141</v>
      </c>
      <c r="K8456" t="s">
        <v>14</v>
      </c>
      <c r="L8456" t="s">
        <v>20</v>
      </c>
      <c r="M8456" t="s">
        <v>16438</v>
      </c>
      <c r="N8456" t="s">
        <v>14</v>
      </c>
    </row>
    <row r="8457" x14ac:dyDescent="0.25">
      <c r="A8457" t="n">
        <v>24</v>
      </c>
      <c r="B8457" t="s">
        <v>14</v>
      </c>
      <c r="C8457" t="s">
        <v>22</v>
      </c>
      <c r="D8457" s="2" t="s">
        <f>=HYPERLINK("https://main.knesset.gov.il/APPS/legislation/main/bills/2168221", "הצעת חוק ניירות ערך (תיקון - חובת גילוי בדוחות הכספיים של חברות ציבוריות אודות תביעות הנוגעות למפגעים סביבתיים), התשפ""ב-2022")</f>
        <v>16487</v>
      </c>
      <c r="E8457" t="s">
        <v>16487</v>
      </c>
      <c r="F8457" t="s">
        <v>16488</v>
      </c>
      <c r="G8457" t="s">
        <v>14</v>
      </c>
      <c r="H8457">
             </c>
      <c r="I8457" t="s">
        <v>14</v>
      </c>
      <c r="J8457" t="s">
        <v>141</v>
      </c>
      <c r="K8457" t="s">
        <v>14</v>
      </c>
      <c r="L8457" t="s">
        <v>20</v>
      </c>
      <c r="M8457" t="s">
        <v>16438</v>
      </c>
      <c r="N8457" t="s">
        <v>14</v>
      </c>
    </row>
    <row r="8458" x14ac:dyDescent="0.25">
      <c r="A8458" t="n">
        <v>24</v>
      </c>
      <c r="B8458" t="s">
        <v>14</v>
      </c>
      <c r="C8458" t="s">
        <v>22</v>
      </c>
      <c r="D8458" s="2" t="s">
        <f>=HYPERLINK("https://main.knesset.gov.il/APPS/legislation/main/bills/2169731", "הצעת חוק זכויות החולה (תיקון - מסירת מידע רפואי לאחר בידי מטופל), התשפ""ב-2022")</f>
        <v>16489</v>
      </c>
      <c r="E8458" t="s">
        <v>16489</v>
      </c>
      <c r="F8458" t="s">
        <v>16490</v>
      </c>
      <c r="G8458" t="s">
        <v>14</v>
      </c>
      <c r="H8458">
             </c>
      <c r="I8458" t="s">
        <v>14</v>
      </c>
      <c r="J8458" t="s">
        <v>141</v>
      </c>
      <c r="K8458" t="s">
        <v>14</v>
      </c>
      <c r="L8458" t="s">
        <v>20</v>
      </c>
      <c r="M8458" t="s">
        <v>16438</v>
      </c>
      <c r="N8458" t="s">
        <v>14</v>
      </c>
    </row>
    <row r="8459" x14ac:dyDescent="0.25">
      <c r="A8459" t="n">
        <v>24</v>
      </c>
      <c r="B8459" t="s">
        <v>14</v>
      </c>
      <c r="C8459" t="s">
        <v>22</v>
      </c>
      <c r="D8459" s="2" t="s">
        <f>=HYPERLINK("https://main.knesset.gov.il/APPS/legislation/main/bills/2169874", "הצעת חוק הסכמים קיבוציים (תיקון - ביטול גביית דמי טיפול ארגוני-מקצועי), התשפ""ב-2022")</f>
        <v>16491</v>
      </c>
      <c r="E8459" t="s">
        <v>16491</v>
      </c>
      <c r="F8459" t="s">
        <v>16492</v>
      </c>
      <c r="G8459" t="s">
        <v>14</v>
      </c>
      <c r="H8459">
             </c>
      <c r="I8459" t="s">
        <v>14</v>
      </c>
      <c r="J8459" t="s">
        <v>141</v>
      </c>
      <c r="K8459" t="s">
        <v>14</v>
      </c>
      <c r="L8459" t="s">
        <v>20</v>
      </c>
      <c r="M8459" t="s">
        <v>16438</v>
      </c>
      <c r="N8459" t="s">
        <v>14</v>
      </c>
    </row>
    <row r="8460" x14ac:dyDescent="0.25">
      <c r="A8460" t="n">
        <v>24</v>
      </c>
      <c r="B8460" t="s">
        <v>14</v>
      </c>
      <c r="C8460" t="s">
        <v>22</v>
      </c>
      <c r="D8460" s="2" t="s">
        <f>=HYPERLINK("https://main.knesset.gov.il/APPS/legislation/main/bills/2169574", "הצעת חוק-יסוד: כניסה, הגירה ומעמד בישראל")</f>
        <v>2331</v>
      </c>
      <c r="E8460" t="s">
        <v>2331</v>
      </c>
      <c r="F8460" t="s">
        <v>16493</v>
      </c>
      <c r="G8460" t="s">
        <v>14</v>
      </c>
      <c r="H8460">
             </c>
      <c r="I8460" t="s">
        <v>14</v>
      </c>
      <c r="J8460" t="s">
        <v>141</v>
      </c>
      <c r="K8460" t="s">
        <v>14</v>
      </c>
      <c r="L8460" t="s">
        <v>20</v>
      </c>
      <c r="M8460" t="s">
        <v>16438</v>
      </c>
      <c r="N8460" t="s">
        <v>14</v>
      </c>
    </row>
    <row r="8461" x14ac:dyDescent="0.25">
      <c r="A8461" t="n">
        <v>24</v>
      </c>
      <c r="B8461" t="s">
        <v>14</v>
      </c>
      <c r="C8461" t="s">
        <v>22</v>
      </c>
      <c r="D8461" s="2" t="s">
        <f>=HYPERLINK("https://main.knesset.gov.il/APPS/legislation/main/bills/2165188", "הצעת חוק לתיקון פקודת התעבורה (הגבלת סכום אגרת רישיון רכב), התשפ""ב-2022")</f>
        <v>16494</v>
      </c>
      <c r="E8461" t="s">
        <v>16494</v>
      </c>
      <c r="F8461" t="s">
        <v>16495</v>
      </c>
      <c r="G8461" t="s">
        <v>14</v>
      </c>
      <c r="H8461">
             </c>
      <c r="I8461" t="s">
        <v>14</v>
      </c>
      <c r="J8461" t="s">
        <v>141</v>
      </c>
      <c r="K8461" t="s">
        <v>14</v>
      </c>
      <c r="L8461" t="s">
        <v>20</v>
      </c>
      <c r="M8461" t="s">
        <v>16438</v>
      </c>
      <c r="N8461" t="s">
        <v>14</v>
      </c>
    </row>
    <row r="8462" x14ac:dyDescent="0.25">
      <c r="A8462" t="n">
        <v>24</v>
      </c>
      <c r="B8462" t="s">
        <v>14</v>
      </c>
      <c r="C8462" t="s">
        <v>22</v>
      </c>
      <c r="D8462" s="2" t="s">
        <f>=HYPERLINK("https://main.knesset.gov.il/APPS/legislation/main/bills/2169152", "הצעת חוק הסכמים קיבוציים (תיקון - אי תחולה על עובד זר בענף החקלאות), התשפ""ב-2022")</f>
        <v>16496</v>
      </c>
      <c r="E8462" t="s">
        <v>16496</v>
      </c>
      <c r="F8462" t="s">
        <v>16497</v>
      </c>
      <c r="G8462" t="s">
        <v>14</v>
      </c>
      <c r="H8462">
             </c>
      <c r="I8462" t="s">
        <v>14</v>
      </c>
      <c r="J8462" t="s">
        <v>141</v>
      </c>
      <c r="K8462" t="s">
        <v>14</v>
      </c>
      <c r="L8462" t="s">
        <v>20</v>
      </c>
      <c r="M8462" t="s">
        <v>16438</v>
      </c>
      <c r="N8462" t="s">
        <v>14</v>
      </c>
    </row>
    <row r="8463" x14ac:dyDescent="0.25">
      <c r="A8463" t="n">
        <v>24</v>
      </c>
      <c r="B8463" t="s">
        <v>14</v>
      </c>
      <c r="C8463" t="s">
        <v>22</v>
      </c>
      <c r="D8463" s="2" t="s">
        <f>=HYPERLINK("https://main.knesset.gov.il/APPS/legislation/main/bills/2167542", "הצעת חוק העונשין (תיקון - ביטול העבירה על העלבת עובד ציבור), התשפ""ב-2022")</f>
        <v>16498</v>
      </c>
      <c r="E8463" t="s">
        <v>16498</v>
      </c>
      <c r="F8463" t="s">
        <v>16499</v>
      </c>
      <c r="G8463" t="s">
        <v>14</v>
      </c>
      <c r="H8463">
             </c>
      <c r="I8463" t="s">
        <v>14</v>
      </c>
      <c r="J8463" t="s">
        <v>141</v>
      </c>
      <c r="K8463" t="s">
        <v>14</v>
      </c>
      <c r="L8463" t="s">
        <v>20</v>
      </c>
      <c r="M8463" t="s">
        <v>16438</v>
      </c>
      <c r="N8463" t="s">
        <v>14</v>
      </c>
    </row>
    <row r="8464" x14ac:dyDescent="0.25">
      <c r="A8464" t="n">
        <v>24</v>
      </c>
      <c r="B8464" t="s">
        <v>14</v>
      </c>
      <c r="C8464" t="s">
        <v>22</v>
      </c>
      <c r="D8464" s="2" t="s">
        <f>=HYPERLINK("https://main.knesset.gov.il/APPS/legislation/main/bills/2166989", "הצעת חוק ההוצאה לפועל (תיקון - הגבלת סכום עיקול בידי צד שלישי שהוא תאגיד בנקאי), התשפ""ב-2022")</f>
        <v>16500</v>
      </c>
      <c r="E8464" t="s">
        <v>16500</v>
      </c>
      <c r="F8464" t="s">
        <v>16501</v>
      </c>
      <c r="G8464" t="s">
        <v>14</v>
      </c>
      <c r="H8464">
             </c>
      <c r="I8464" t="s">
        <v>14</v>
      </c>
      <c r="J8464" t="s">
        <v>141</v>
      </c>
      <c r="K8464" t="s">
        <v>14</v>
      </c>
      <c r="L8464" t="s">
        <v>20</v>
      </c>
      <c r="M8464" t="s">
        <v>16438</v>
      </c>
      <c r="N8464" t="s">
        <v>14</v>
      </c>
    </row>
    <row r="8465" x14ac:dyDescent="0.25">
      <c r="A8465" t="n">
        <v>24</v>
      </c>
      <c r="B8465" t="s">
        <v>14</v>
      </c>
      <c r="C8465" t="s">
        <v>22</v>
      </c>
      <c r="D8465" s="2" t="s">
        <f>=HYPERLINK("https://main.knesset.gov.il/APPS/legislation/main/bills/2189581", "הצעת חוק הקמת רשות לפיתוח מקומות קדושים למוסלמים, התשפ""ב-2022")</f>
        <v>16502</v>
      </c>
      <c r="E8465" t="s">
        <v>16502</v>
      </c>
      <c r="F8465" t="s">
        <v>16503</v>
      </c>
      <c r="G8465" t="s">
        <v>14</v>
      </c>
      <c r="H8465">
             </c>
      <c r="I8465" t="s">
        <v>14</v>
      </c>
      <c r="J8465" t="s">
        <v>141</v>
      </c>
      <c r="K8465" t="s">
        <v>14</v>
      </c>
      <c r="L8465" t="s">
        <v>20</v>
      </c>
      <c r="M8465" t="s">
        <v>16438</v>
      </c>
      <c r="N8465" t="s">
        <v>14</v>
      </c>
    </row>
    <row r="8466" x14ac:dyDescent="0.25">
      <c r="A8466" t="n">
        <v>24</v>
      </c>
      <c r="B8466" t="s">
        <v>14</v>
      </c>
      <c r="C8466" t="s">
        <v>22</v>
      </c>
      <c r="D8466" s="2" t="s">
        <f>=HYPERLINK("https://main.knesset.gov.il/APPS/legislation/main/bills/2170053", "הצעת חוק מינוי תובע מיוחד, התשפ""ב-2022")</f>
        <v>16504</v>
      </c>
      <c r="E8466" t="s">
        <v>16504</v>
      </c>
      <c r="F8466" t="s">
        <v>16505</v>
      </c>
      <c r="G8466" t="s">
        <v>14</v>
      </c>
      <c r="H8466">
             </c>
      <c r="I8466" t="s">
        <v>14</v>
      </c>
      <c r="J8466" t="s">
        <v>141</v>
      </c>
      <c r="K8466" t="s">
        <v>14</v>
      </c>
      <c r="L8466" t="s">
        <v>20</v>
      </c>
      <c r="M8466" t="s">
        <v>16438</v>
      </c>
      <c r="N8466" t="s">
        <v>14</v>
      </c>
    </row>
    <row r="8467" x14ac:dyDescent="0.25">
      <c r="A8467" t="n">
        <v>24</v>
      </c>
      <c r="B8467" t="s">
        <v>14</v>
      </c>
      <c r="C8467" t="s">
        <v>22</v>
      </c>
      <c r="D8467" s="2" t="s">
        <f>=HYPERLINK("https://main.knesset.gov.il/APPS/legislation/main/bills/2170041", "הצעת חוק מינוי תובע מיוחד, התשפ""ב-2022")</f>
        <v>16504</v>
      </c>
      <c r="E8467" t="s">
        <v>16504</v>
      </c>
      <c r="F8467" t="s">
        <v>16506</v>
      </c>
      <c r="G8467" t="s">
        <v>14</v>
      </c>
      <c r="H8467">
             </c>
      <c r="I8467" t="s">
        <v>14</v>
      </c>
      <c r="J8467" t="s">
        <v>141</v>
      </c>
      <c r="K8467" t="s">
        <v>14</v>
      </c>
      <c r="L8467" t="s">
        <v>20</v>
      </c>
      <c r="M8467" t="s">
        <v>16438</v>
      </c>
      <c r="N8467" t="s">
        <v>14</v>
      </c>
    </row>
    <row r="8468" x14ac:dyDescent="0.25">
      <c r="A8468" t="n">
        <v>24</v>
      </c>
      <c r="B8468" t="s">
        <v>14</v>
      </c>
      <c r="C8468" t="s">
        <v>22</v>
      </c>
      <c r="D8468" s="2" t="s">
        <f>=HYPERLINK("https://main.knesset.gov.il/APPS/legislation/main/bills/2189585", "הצעת חוק משק החשמל (תיקון - תשלומי חשמל מופחתים לבני שמונים שנים ומעלה), התשפ""ב-2022")</f>
        <v>16507</v>
      </c>
      <c r="E8468" t="s">
        <v>16507</v>
      </c>
      <c r="F8468" t="s">
        <v>16508</v>
      </c>
      <c r="G8468" t="s">
        <v>14</v>
      </c>
      <c r="H8468">
             </c>
      <c r="I8468" t="s">
        <v>14</v>
      </c>
      <c r="J8468" t="s">
        <v>141</v>
      </c>
      <c r="K8468" t="s">
        <v>14</v>
      </c>
      <c r="L8468" t="s">
        <v>20</v>
      </c>
      <c r="M8468" t="s">
        <v>16438</v>
      </c>
      <c r="N8468" t="s">
        <v>14</v>
      </c>
    </row>
    <row r="8469" x14ac:dyDescent="0.25">
      <c r="A8469" t="n">
        <v>24</v>
      </c>
      <c r="B8469" t="s">
        <v>14</v>
      </c>
      <c r="C8469" t="s">
        <v>22</v>
      </c>
      <c r="D8469" s="2" t="s">
        <f>=HYPERLINK("https://main.knesset.gov.il/APPS/legislation/main/bills/2170242", "הצעת חוק הפרטת גלי צה""ל, התשפ""ב-2022")</f>
        <v>16509</v>
      </c>
      <c r="E8469" t="s">
        <v>16509</v>
      </c>
      <c r="F8469" t="s">
        <v>16510</v>
      </c>
      <c r="G8469" t="s">
        <v>14</v>
      </c>
      <c r="H8469">
             </c>
      <c r="I8469" t="s">
        <v>14</v>
      </c>
      <c r="J8469" t="s">
        <v>141</v>
      </c>
      <c r="K8469" t="s">
        <v>14</v>
      </c>
      <c r="L8469" t="s">
        <v>20</v>
      </c>
      <c r="M8469" t="s">
        <v>16438</v>
      </c>
      <c r="N8469" t="s">
        <v>14</v>
      </c>
    </row>
    <row r="8470" x14ac:dyDescent="0.25">
      <c r="A8470" t="n">
        <v>24</v>
      </c>
      <c r="B8470" t="s">
        <v>14</v>
      </c>
      <c r="C8470" t="s">
        <v>22</v>
      </c>
      <c r="D8470" s="2" t="s">
        <f>=HYPERLINK("https://main.knesset.gov.il/APPS/legislation/main/bills/2159168", "הצעת חוק המכר (דירות) (הבטחת השקעות של רוכשי דירות) (תיקון - איסור על סירוב קבלת תשלומים טרם זמנם), התשפ""ב-2022")</f>
        <v>16511</v>
      </c>
      <c r="E8470" t="s">
        <v>16511</v>
      </c>
      <c r="F8470" t="s">
        <v>16512</v>
      </c>
      <c r="G8470" t="s">
        <v>14</v>
      </c>
      <c r="H8470">
             </c>
      <c r="I8470" t="s">
        <v>14</v>
      </c>
      <c r="J8470" t="s">
        <v>141</v>
      </c>
      <c r="K8470" t="s">
        <v>14</v>
      </c>
      <c r="L8470" t="s">
        <v>20</v>
      </c>
      <c r="M8470" t="s">
        <v>16438</v>
      </c>
      <c r="N8470" t="s">
        <v>14</v>
      </c>
    </row>
    <row r="8471" x14ac:dyDescent="0.25">
      <c r="A8471" t="n">
        <v>24</v>
      </c>
      <c r="B8471" t="s">
        <v>14</v>
      </c>
      <c r="C8471" t="s">
        <v>22</v>
      </c>
      <c r="D8471" s="2" t="s">
        <f>=HYPERLINK("https://main.knesset.gov.il/APPS/legislation/main/bills/2169455", "הצעת חוק החולה הנוטה למות (תיקון - מוות במרשם רופא), התשפ""ב-2022")</f>
        <v>16513</v>
      </c>
      <c r="E8471" t="s">
        <v>16513</v>
      </c>
      <c r="F8471" t="s">
        <v>16514</v>
      </c>
      <c r="G8471" t="s">
        <v>14</v>
      </c>
      <c r="H8471">
             </c>
      <c r="I8471" t="s">
        <v>14</v>
      </c>
      <c r="J8471" t="s">
        <v>141</v>
      </c>
      <c r="K8471" t="s">
        <v>14</v>
      </c>
      <c r="L8471" t="s">
        <v>20</v>
      </c>
      <c r="M8471" t="s">
        <v>16438</v>
      </c>
      <c r="N8471" t="s">
        <v>14</v>
      </c>
    </row>
    <row r="8472" x14ac:dyDescent="0.25">
      <c r="A8472" t="n">
        <v>24</v>
      </c>
      <c r="B8472" t="s">
        <v>14</v>
      </c>
      <c r="C8472" t="s">
        <v>22</v>
      </c>
      <c r="D8472" s="2" t="s">
        <f>=HYPERLINK("https://main.knesset.gov.il/APPS/legislation/main/bills/2166988", "הצעת חוק ההוצאה לפועל (תיקון - ביטול האפשרות לצוות על עיכוב יציאה מהארץ בגין חוב כספי נמוך), התשפ""ב-2022")</f>
        <v>16141</v>
      </c>
      <c r="E8472" t="s">
        <v>16141</v>
      </c>
      <c r="F8472" t="s">
        <v>16515</v>
      </c>
      <c r="G8472" t="s">
        <v>14</v>
      </c>
      <c r="H8472">
             </c>
      <c r="I8472" t="s">
        <v>14</v>
      </c>
      <c r="J8472" t="s">
        <v>141</v>
      </c>
      <c r="K8472" t="s">
        <v>14</v>
      </c>
      <c r="L8472" t="s">
        <v>20</v>
      </c>
      <c r="M8472" t="s">
        <v>16438</v>
      </c>
      <c r="N8472" t="s">
        <v>14</v>
      </c>
    </row>
    <row r="8473" x14ac:dyDescent="0.25">
      <c r="A8473" t="n">
        <v>24</v>
      </c>
      <c r="B8473" t="s">
        <v>14</v>
      </c>
      <c r="C8473" t="s">
        <v>22</v>
      </c>
      <c r="D8473" s="2" t="s">
        <f>=HYPERLINK("https://main.knesset.gov.il/APPS/legislation/main/bills/2163309", "הצעת חוק החברות הממשלתיות (תיקון - קווי פעולה של חברה ממשלתית), התשפ""ב-2022")</f>
        <v>16516</v>
      </c>
      <c r="E8473" t="s">
        <v>16516</v>
      </c>
      <c r="F8473" t="s">
        <v>16517</v>
      </c>
      <c r="G8473" t="s">
        <v>14</v>
      </c>
      <c r="H8473">
             </c>
      <c r="I8473" t="s">
        <v>14</v>
      </c>
      <c r="J8473" t="s">
        <v>141</v>
      </c>
      <c r="K8473" t="s">
        <v>14</v>
      </c>
      <c r="L8473" t="s">
        <v>20</v>
      </c>
      <c r="M8473" t="s">
        <v>16438</v>
      </c>
      <c r="N8473" t="s">
        <v>14</v>
      </c>
    </row>
    <row r="8474" x14ac:dyDescent="0.25">
      <c r="A8474" t="n">
        <v>24</v>
      </c>
      <c r="B8474" t="s">
        <v>14</v>
      </c>
      <c r="C8474" t="s">
        <v>22</v>
      </c>
      <c r="D8474" s="2" t="s">
        <f>=HYPERLINK("https://main.knesset.gov.il/APPS/legislation/main/bills/2166075", "הצעת חוק הגנת הצרכן (תיקון - סיכום פנייה), התשפ""ב-2022")</f>
        <v>16518</v>
      </c>
      <c r="E8474" t="s">
        <v>16518</v>
      </c>
      <c r="F8474" t="s">
        <v>16519</v>
      </c>
      <c r="G8474" t="s">
        <v>14</v>
      </c>
      <c r="H8474">
             </c>
      <c r="I8474" t="s">
        <v>14</v>
      </c>
      <c r="J8474" t="s">
        <v>141</v>
      </c>
      <c r="K8474" t="s">
        <v>14</v>
      </c>
      <c r="L8474" t="s">
        <v>20</v>
      </c>
      <c r="M8474" t="s">
        <v>16438</v>
      </c>
      <c r="N8474" t="s">
        <v>14</v>
      </c>
    </row>
    <row r="8475" x14ac:dyDescent="0.25">
      <c r="A8475" t="n">
        <v>24</v>
      </c>
      <c r="B8475" t="s">
        <v>14</v>
      </c>
      <c r="C8475" t="s">
        <v>22</v>
      </c>
      <c r="D8475" s="2" t="s">
        <f>=HYPERLINK("https://main.knesset.gov.il/APPS/legislation/main/bills/2169842", "הצעת חוק דמי מחלה (היעדרות בשל מחלת ילד) (תיקון - ימי מחלה נוספים בשל מחלת ילד), התשפ""ב-2022")</f>
        <v>16520</v>
      </c>
      <c r="E8475" t="s">
        <v>16520</v>
      </c>
      <c r="F8475" t="s">
        <v>16521</v>
      </c>
      <c r="G8475" t="s">
        <v>14</v>
      </c>
      <c r="H8475">
             </c>
      <c r="I8475" t="s">
        <v>14</v>
      </c>
      <c r="J8475" t="s">
        <v>141</v>
      </c>
      <c r="K8475" t="s">
        <v>14</v>
      </c>
      <c r="L8475" t="s">
        <v>20</v>
      </c>
      <c r="M8475" t="s">
        <v>16438</v>
      </c>
      <c r="N8475" t="s">
        <v>14</v>
      </c>
    </row>
    <row r="8476" x14ac:dyDescent="0.25">
      <c r="A8476" t="n">
        <v>24</v>
      </c>
      <c r="B8476" t="s">
        <v>14</v>
      </c>
      <c r="C8476" t="s">
        <v>22</v>
      </c>
      <c r="D8476" s="2" t="s">
        <f>=HYPERLINK("https://main.knesset.gov.il/APPS/legislation/main/bills/2161404", "הצעת חוק עבודת הנוער (תיקון - עבודת נוער בהופעות וצילומים), התשפ""ב-2021 ")</f>
        <v>16522</v>
      </c>
      <c r="E8476" t="s">
        <v>16522</v>
      </c>
      <c r="F8476" t="s">
        <v>16523</v>
      </c>
      <c r="G8476" t="s">
        <v>14</v>
      </c>
      <c r="H8476">
             </c>
      <c r="I8476" t="s">
        <v>14</v>
      </c>
      <c r="J8476" t="s">
        <v>99</v>
      </c>
      <c r="K8476" t="s">
        <v>7953</v>
      </c>
      <c r="L8476" t="s">
        <v>20</v>
      </c>
      <c r="M8476" t="s">
        <v>16524</v>
      </c>
      <c r="N8476" t="s">
        <v>14</v>
      </c>
    </row>
    <row r="8477" x14ac:dyDescent="0.25">
      <c r="A8477" t="n">
        <v>24</v>
      </c>
      <c r="B8477" t="s">
        <v>14</v>
      </c>
      <c r="C8477" t="s">
        <v>22</v>
      </c>
      <c r="D8477" s="2" t="s">
        <f>=HYPERLINK("https://main.knesset.gov.il/APPS/legislation/main/bills/2161344", "הצעת חוק השתלת אברים (תיקון - הפנייה להסכמה לתרומת אברים בטפסים מקוונים), התשפ""א-2021 ")</f>
        <v>16525</v>
      </c>
      <c r="E8477" t="s">
        <v>16525</v>
      </c>
      <c r="F8477" t="s">
        <v>16526</v>
      </c>
      <c r="G8477" t="s">
        <v>14</v>
      </c>
      <c r="H8477">
             </c>
      <c r="I8477" t="s">
        <v>14</v>
      </c>
      <c r="J8477" t="s">
        <v>31</v>
      </c>
      <c r="K8477" t="s">
        <v>480</v>
      </c>
      <c r="L8477" t="s">
        <v>20</v>
      </c>
      <c r="M8477" t="s">
        <v>16524</v>
      </c>
      <c r="N8477" t="s">
        <v>14</v>
      </c>
    </row>
    <row r="8478" x14ac:dyDescent="0.25">
      <c r="A8478" t="n">
        <v>24</v>
      </c>
      <c r="B8478" t="s">
        <v>14</v>
      </c>
      <c r="C8478" t="s">
        <v>22</v>
      </c>
      <c r="D8478" s="2" t="s">
        <f>=HYPERLINK("https://main.knesset.gov.il/APPS/legislation/main/bills/2169519", "הצעת חוק העדה הדרוזית, התשפ""ב-2022")</f>
        <v>16527</v>
      </c>
      <c r="E8478" t="s">
        <v>16527</v>
      </c>
      <c r="F8478" t="s">
        <v>16528</v>
      </c>
      <c r="G8478" t="s">
        <v>14</v>
      </c>
      <c r="H8478">
             </c>
      <c r="I8478" t="s">
        <v>14</v>
      </c>
      <c r="J8478" t="s">
        <v>31</v>
      </c>
      <c r="K8478" t="s">
        <v>27</v>
      </c>
      <c r="L8478" t="s">
        <v>20</v>
      </c>
      <c r="M8478" t="s">
        <v>16524</v>
      </c>
      <c r="N8478" t="s">
        <v>14</v>
      </c>
    </row>
    <row r="8479" x14ac:dyDescent="0.25">
      <c r="A8479" t="n">
        <v>24</v>
      </c>
      <c r="B8479" t="s">
        <v>14</v>
      </c>
      <c r="C8479" t="s">
        <v>22</v>
      </c>
      <c r="D8479" s="2" t="s">
        <f>=HYPERLINK("https://main.knesset.gov.il/APPS/legislation/main/bills/2169153", "הצעת חוק העדה הדרוזית, התשפ""ב-2022")</f>
        <v>16527</v>
      </c>
      <c r="E8479" t="s">
        <v>16527</v>
      </c>
      <c r="F8479" t="s">
        <v>16529</v>
      </c>
      <c r="G8479" t="s">
        <v>14</v>
      </c>
      <c r="H8479">
             </c>
      <c r="I8479" t="s">
        <v>14</v>
      </c>
      <c r="J8479" t="s">
        <v>31</v>
      </c>
      <c r="K8479" t="s">
        <v>27</v>
      </c>
      <c r="L8479" t="s">
        <v>20</v>
      </c>
      <c r="M8479" t="s">
        <v>16524</v>
      </c>
      <c r="N8479" t="s">
        <v>14</v>
      </c>
    </row>
    <row r="8480" x14ac:dyDescent="0.25">
      <c r="A8480" t="n">
        <v>24</v>
      </c>
      <c r="B8480" t="s">
        <v>14</v>
      </c>
      <c r="C8480" t="s">
        <v>22</v>
      </c>
      <c r="D8480" s="2" t="s">
        <f>=HYPERLINK("https://main.knesset.gov.il/APPS/legislation/main/bills/2164347", "הצעת חוק איסור מתן כספים קואליציוניים, התשפ""ב-2021")</f>
        <v>16530</v>
      </c>
      <c r="E8480" t="s">
        <v>16530</v>
      </c>
      <c r="F8480" t="s">
        <v>16531</v>
      </c>
      <c r="G8480" t="s">
        <v>14</v>
      </c>
      <c r="H8480">
             </c>
      <c r="I8480" t="s">
        <v>14</v>
      </c>
      <c r="J8480" t="s">
        <v>55</v>
      </c>
      <c r="K8480" t="s">
        <v>14</v>
      </c>
      <c r="L8480" t="s">
        <v>20</v>
      </c>
      <c r="M8480" t="s">
        <v>16524</v>
      </c>
      <c r="N8480" t="s">
        <v>14</v>
      </c>
    </row>
    <row r="8481" x14ac:dyDescent="0.25">
      <c r="A8481" t="n">
        <v>24</v>
      </c>
      <c r="B8481" t="s">
        <v>14</v>
      </c>
      <c r="C8481" t="s">
        <v>22</v>
      </c>
      <c r="D8481" s="2" t="s">
        <f>=HYPERLINK("https://main.knesset.gov.il/APPS/legislation/main/bills/2164463", "הצעת חוק עקרונות האסדרה (תיקון - פקיעת אסדרה), התשפ""ב-2021")</f>
        <v>16532</v>
      </c>
      <c r="E8481" t="s">
        <v>16532</v>
      </c>
      <c r="F8481" t="s">
        <v>16533</v>
      </c>
      <c r="G8481" t="s">
        <v>14</v>
      </c>
      <c r="H8481">
             </c>
      <c r="I8481" t="s">
        <v>14</v>
      </c>
      <c r="J8481" t="s">
        <v>55</v>
      </c>
      <c r="K8481" t="s">
        <v>14</v>
      </c>
      <c r="L8481" t="s">
        <v>20</v>
      </c>
      <c r="M8481" t="s">
        <v>16524</v>
      </c>
      <c r="N8481" t="s">
        <v>14</v>
      </c>
    </row>
    <row r="8482" x14ac:dyDescent="0.25">
      <c r="A8482" t="n">
        <v>24</v>
      </c>
      <c r="B8482" t="s">
        <v>14</v>
      </c>
      <c r="C8482" t="s">
        <v>22</v>
      </c>
      <c r="D8482" s="2" t="s">
        <f>=HYPERLINK("https://main.knesset.gov.il/APPS/legislation/main/bills/2164509", "הצעת חוק העדה הדרוזית, התשפ""ב-2021")</f>
        <v>16534</v>
      </c>
      <c r="E8482" t="s">
        <v>16534</v>
      </c>
      <c r="F8482" t="s">
        <v>16535</v>
      </c>
      <c r="G8482" t="s">
        <v>14</v>
      </c>
      <c r="H8482">
             </c>
      <c r="I8482" t="s">
        <v>14</v>
      </c>
      <c r="J8482" t="s">
        <v>31</v>
      </c>
      <c r="K8482" t="s">
        <v>27</v>
      </c>
      <c r="L8482" t="s">
        <v>20</v>
      </c>
      <c r="M8482" t="s">
        <v>16524</v>
      </c>
      <c r="N8482" t="s">
        <v>14</v>
      </c>
    </row>
    <row r="8483" x14ac:dyDescent="0.25">
      <c r="A8483" t="n">
        <v>24</v>
      </c>
      <c r="B8483" t="s">
        <v>14</v>
      </c>
      <c r="C8483" t="s">
        <v>22</v>
      </c>
      <c r="D8483" s="2" t="s">
        <f>=HYPERLINK("https://main.knesset.gov.il/APPS/legislation/main/bills/2158912", "הצעת חוק הכנסת (תיקון - חובת התייצבות בפני ועדות הכנסת), התשפ""א-2021")</f>
        <v>16536</v>
      </c>
      <c r="E8483" t="s">
        <v>16536</v>
      </c>
      <c r="F8483" t="s">
        <v>16537</v>
      </c>
      <c r="G8483" t="s">
        <v>14</v>
      </c>
      <c r="H8483">
             </c>
      <c r="I8483" t="s">
        <v>14</v>
      </c>
      <c r="J8483" t="s">
        <v>55</v>
      </c>
      <c r="K8483" t="s">
        <v>14</v>
      </c>
      <c r="L8483" t="s">
        <v>20</v>
      </c>
      <c r="M8483" t="s">
        <v>16524</v>
      </c>
      <c r="N8483" t="s">
        <v>14</v>
      </c>
    </row>
    <row r="8484" x14ac:dyDescent="0.25">
      <c r="A8484" t="n">
        <v>24</v>
      </c>
      <c r="B8484" t="s">
        <v>14</v>
      </c>
      <c r="C8484" t="s">
        <v>22</v>
      </c>
      <c r="D8484" s="2" t="s">
        <f>=HYPERLINK("https://main.knesset.gov.il/APPS/legislation/main/bills/2157697", "הצעת חוק לתיקון פקודת מס הכנסה (הכרה בהוצאות עבודה מהבית בתקופת התפשטות נגיף הקורונה החדש) (הוראת שעה), התשפ""א-2021")</f>
        <v>16538</v>
      </c>
      <c r="E8484" t="s">
        <v>16538</v>
      </c>
      <c r="F8484" t="s">
        <v>16539</v>
      </c>
      <c r="G8484" t="s">
        <v>14</v>
      </c>
      <c r="H8484">
             </c>
      <c r="I8484" t="s">
        <v>14</v>
      </c>
      <c r="J8484" t="s">
        <v>55</v>
      </c>
      <c r="K8484" t="s">
        <v>14</v>
      </c>
      <c r="L8484" t="s">
        <v>20</v>
      </c>
      <c r="M8484" t="s">
        <v>16524</v>
      </c>
      <c r="N8484" t="s">
        <v>14</v>
      </c>
    </row>
    <row r="8485" x14ac:dyDescent="0.25">
      <c r="A8485" t="n">
        <v>24</v>
      </c>
      <c r="B8485" t="s">
        <v>14</v>
      </c>
      <c r="C8485" t="s">
        <v>22</v>
      </c>
      <c r="D8485" s="2" t="s">
        <f>=HYPERLINK("https://main.knesset.gov.il/APPS/legislation/main/bills/2159159", "הצעת חוק הקמת יישוב עירוני חדש, התשפ""א-2021 ")</f>
        <v>16540</v>
      </c>
      <c r="E8485" t="s">
        <v>16540</v>
      </c>
      <c r="F8485" t="s">
        <v>16541</v>
      </c>
      <c r="G8485" t="s">
        <v>14</v>
      </c>
      <c r="H8485">
             </c>
      <c r="I8485" t="s">
        <v>14</v>
      </c>
      <c r="J8485" t="s">
        <v>55</v>
      </c>
      <c r="K8485" t="s">
        <v>14</v>
      </c>
      <c r="L8485" t="s">
        <v>20</v>
      </c>
      <c r="M8485" t="s">
        <v>16524</v>
      </c>
      <c r="N8485" t="s">
        <v>14</v>
      </c>
    </row>
    <row r="8486" x14ac:dyDescent="0.25">
      <c r="A8486" t="n">
        <v>24</v>
      </c>
      <c r="B8486" t="s">
        <v>14</v>
      </c>
      <c r="C8486" t="s">
        <v>22</v>
      </c>
      <c r="D8486" s="2" t="s">
        <f>=HYPERLINK("https://main.knesset.gov.il/APPS/legislation/main/bills/2158383", "הצעת חוק העונשין (תיקון - עונש מזערי בגין יידוי או ירי של אבן או חפץ אחר לעבר כלי תחבורה), התשפ""א-2021")</f>
        <v>16542</v>
      </c>
      <c r="E8486" t="s">
        <v>16542</v>
      </c>
      <c r="F8486" t="s">
        <v>16543</v>
      </c>
      <c r="G8486" t="s">
        <v>14</v>
      </c>
      <c r="H8486">
             </c>
      <c r="I8486" t="s">
        <v>14</v>
      </c>
      <c r="J8486" t="s">
        <v>55</v>
      </c>
      <c r="K8486" t="s">
        <v>14</v>
      </c>
      <c r="L8486" t="s">
        <v>20</v>
      </c>
      <c r="M8486" t="s">
        <v>16524</v>
      </c>
      <c r="N8486" t="s">
        <v>14</v>
      </c>
    </row>
    <row r="8487" x14ac:dyDescent="0.25">
      <c r="A8487" t="n">
        <v>24</v>
      </c>
      <c r="B8487" t="s">
        <v>14</v>
      </c>
      <c r="C8487" t="s">
        <v>22</v>
      </c>
      <c r="D8487" s="2" t="s">
        <f>=HYPERLINK("https://main.knesset.gov.il/APPS/legislation/main/bills/2156333", "הצעת חוק הגנת הצרכן (תיקון - מענה אנושי בשירות טלפוני לאזרח ותיק), התשפ""א-2021")</f>
        <v>16544</v>
      </c>
      <c r="E8487" t="s">
        <v>16544</v>
      </c>
      <c r="F8487" t="s">
        <v>16545</v>
      </c>
      <c r="G8487" t="s">
        <v>14</v>
      </c>
      <c r="H8487">
             </c>
      <c r="I8487" t="s">
        <v>14</v>
      </c>
      <c r="J8487" t="s">
        <v>343</v>
      </c>
      <c r="K8487" t="s">
        <v>14</v>
      </c>
      <c r="L8487" t="s">
        <v>20</v>
      </c>
      <c r="M8487" t="s">
        <v>16524</v>
      </c>
      <c r="N8487" t="s">
        <v>14</v>
      </c>
    </row>
    <row r="8488" x14ac:dyDescent="0.25">
      <c r="A8488" t="n">
        <v>24</v>
      </c>
      <c r="B8488" t="s">
        <v>14</v>
      </c>
      <c r="C8488" t="s">
        <v>22</v>
      </c>
      <c r="D8488" s="2" t="s">
        <f>=HYPERLINK("https://main.knesset.gov.il/APPS/legislation/main/bills/2156169", "הצעת חוק ציון יום לאומי לתרומתה ולפועלה של העדה הדרוזית (תיקון - עיגון מעמדה של העדה הדרוזית כשוות זכויות במדינת ישראל), התשפ""א-2021")</f>
        <v>16546</v>
      </c>
      <c r="E8488" t="s">
        <v>16546</v>
      </c>
      <c r="F8488" t="s">
        <v>16547</v>
      </c>
      <c r="G8488" t="s">
        <v>14</v>
      </c>
      <c r="H8488">
             </c>
      <c r="I8488" t="s">
        <v>14</v>
      </c>
      <c r="J8488" t="s">
        <v>31</v>
      </c>
      <c r="K8488" t="s">
        <v>34</v>
      </c>
      <c r="L8488" t="s">
        <v>20</v>
      </c>
      <c r="M8488" t="s">
        <v>16524</v>
      </c>
      <c r="N8488" t="s">
        <v>14</v>
      </c>
    </row>
    <row r="8489" x14ac:dyDescent="0.25">
      <c r="A8489" t="n">
        <v>24</v>
      </c>
      <c r="B8489" t="s">
        <v>14</v>
      </c>
      <c r="C8489" t="s">
        <v>22</v>
      </c>
      <c r="D8489" s="2" t="s">
        <f>=HYPERLINK("https://main.knesset.gov.il/APPS/legislation/main/bills/2156102", "הצעת חוק לתיקון פקודת מס הכנסה (הכרה בהוצאות עבודה מהבית בתקופת התפשטות נגיף הקורונה החדש) (הוראת שעה), התשפ""א-2021")</f>
        <v>16538</v>
      </c>
      <c r="E8489" t="s">
        <v>16538</v>
      </c>
      <c r="F8489" t="s">
        <v>16548</v>
      </c>
      <c r="G8489" t="s">
        <v>14</v>
      </c>
      <c r="H8489">
             </c>
      <c r="I8489" t="s">
        <v>14</v>
      </c>
      <c r="J8489" t="s">
        <v>31</v>
      </c>
      <c r="K8489" t="s">
        <v>85</v>
      </c>
      <c r="L8489" t="s">
        <v>20</v>
      </c>
      <c r="M8489" t="s">
        <v>16524</v>
      </c>
      <c r="N8489" t="s">
        <v>14</v>
      </c>
    </row>
    <row r="8490" x14ac:dyDescent="0.25">
      <c r="A8490" t="n">
        <v>24</v>
      </c>
      <c r="B8490" t="s">
        <v>14</v>
      </c>
      <c r="C8490" t="s">
        <v>15</v>
      </c>
      <c r="D8490" s="2" t="s">
        <f>=HYPERLINK("https://main.knesset.gov.il/APPS/legislation/main/bills/2189605", "הצעת חוק זכויות לאנשים עם מוגבלות המועסקים כמשתקמים, התשפ""ב-2022")</f>
        <v>16549</v>
      </c>
      <c r="E8490" t="s">
        <v>16549</v>
      </c>
      <c r="F8490" t="s">
        <v>14</v>
      </c>
      <c r="G8490" t="s">
        <v>16550</v>
      </c>
      <c r="H8490">
             </c>
      <c r="I8490" t="s">
        <v>14</v>
      </c>
      <c r="J8490" t="s">
        <v>1141</v>
      </c>
      <c r="K8490" t="s">
        <v>14</v>
      </c>
      <c r="L8490" t="s">
        <v>20</v>
      </c>
      <c r="M8490" t="s">
        <v>16524</v>
      </c>
      <c r="N8490" t="s">
        <v>14</v>
      </c>
    </row>
    <row r="8491" x14ac:dyDescent="0.25">
      <c r="A8491" t="n">
        <v>24</v>
      </c>
      <c r="B8491" t="s">
        <v>14</v>
      </c>
      <c r="C8491" t="s">
        <v>22</v>
      </c>
      <c r="D8491" s="2" t="s">
        <f>=HYPERLINK("https://main.knesset.gov.il/APPS/legislation/main/bills/2166743", "הצעת חוק הבחירות לכנסת (תיקון - עדכון כתובת לצורכי בחירות), התשפ""ב-2021")</f>
        <v>16551</v>
      </c>
      <c r="E8491" t="s">
        <v>16551</v>
      </c>
      <c r="F8491" t="s">
        <v>16552</v>
      </c>
      <c r="G8491" t="s">
        <v>14</v>
      </c>
      <c r="H8491">
             </c>
      <c r="I8491" t="s">
        <v>14</v>
      </c>
      <c r="J8491" t="s">
        <v>99</v>
      </c>
      <c r="K8491" t="s">
        <v>27</v>
      </c>
      <c r="L8491" t="s">
        <v>20</v>
      </c>
      <c r="M8491" t="s">
        <v>16553</v>
      </c>
      <c r="N8491" t="s">
        <v>14</v>
      </c>
    </row>
    <row r="8492" x14ac:dyDescent="0.25">
      <c r="A8492" t="n">
        <v>24</v>
      </c>
      <c r="B8492" t="s">
        <v>14</v>
      </c>
      <c r="C8492" t="s">
        <v>15</v>
      </c>
      <c r="D8492" s="2" t="s">
        <f>=HYPERLINK("https://main.knesset.gov.il/APPS/legislation/main/bills/2189559", "הצעת חוק אומנה לילדים (תיקון מס' 3) (אומנת חירום), התשפ""ב-2022 ")</f>
        <v>16554</v>
      </c>
      <c r="E8492" t="s">
        <v>16554</v>
      </c>
      <c r="F8492" t="s">
        <v>14</v>
      </c>
      <c r="G8492" t="s">
        <v>16555</v>
      </c>
      <c r="H8492">
             </c>
      <c r="I8492" t="s">
        <v>14</v>
      </c>
      <c r="J8492" t="s">
        <v>1141</v>
      </c>
      <c r="K8492" t="s">
        <v>14</v>
      </c>
      <c r="L8492" t="s">
        <v>20</v>
      </c>
      <c r="M8492" t="s">
        <v>16553</v>
      </c>
      <c r="N8492" t="s">
        <v>14</v>
      </c>
    </row>
    <row r="8493" x14ac:dyDescent="0.25">
      <c r="A8493" t="n">
        <v>24</v>
      </c>
      <c r="B8493" t="s">
        <v>14</v>
      </c>
      <c r="C8493" t="s">
        <v>22</v>
      </c>
      <c r="D8493" s="2" t="s">
        <f>=HYPERLINK("https://main.knesset.gov.il/APPS/legislation/main/bills/2160245", "הצעת חוק הביטוח הלאומי (תיקון - פטור לסטודנטים מתשלום דמי ביטוח לאומי), התשפ""א-2021")</f>
        <v>16556</v>
      </c>
      <c r="E8493" t="s">
        <v>16556</v>
      </c>
      <c r="F8493" t="s">
        <v>16557</v>
      </c>
      <c r="G8493" t="s">
        <v>14</v>
      </c>
      <c r="H8493">
             </c>
      <c r="I8493" t="s">
        <v>14</v>
      </c>
      <c r="J8493" t="s">
        <v>99</v>
      </c>
      <c r="K8493" t="s">
        <v>127</v>
      </c>
      <c r="L8493" t="s">
        <v>20</v>
      </c>
      <c r="M8493" t="s">
        <v>16558</v>
      </c>
      <c r="N8493" t="s">
        <v>14</v>
      </c>
    </row>
    <row r="8494" x14ac:dyDescent="0.25">
      <c r="A8494" t="n">
        <v>24</v>
      </c>
      <c r="B8494" t="s">
        <v>14</v>
      </c>
      <c r="C8494" t="s">
        <v>22</v>
      </c>
      <c r="D8494" s="2" t="s">
        <f>=HYPERLINK("https://main.knesset.gov.il/APPS/legislation/main/bills/2158532", "הצעת חוק הביטוח הלאומי (תיקון - תשלום דמי ביטוח לאומי מופחתים לסטודנט במוסד להשכלה גבוהה מחוץ לישראל), התשפ""א-2021")</f>
        <v>16559</v>
      </c>
      <c r="E8494" t="s">
        <v>16559</v>
      </c>
      <c r="F8494" t="s">
        <v>16560</v>
      </c>
      <c r="G8494" t="s">
        <v>14</v>
      </c>
      <c r="H8494">
             </c>
      <c r="I8494" t="s">
        <v>14</v>
      </c>
      <c r="J8494" t="s">
        <v>99</v>
      </c>
      <c r="K8494" t="s">
        <v>127</v>
      </c>
      <c r="L8494" t="s">
        <v>20</v>
      </c>
      <c r="M8494" t="s">
        <v>16558</v>
      </c>
      <c r="N8494" t="s">
        <v>14</v>
      </c>
    </row>
    <row r="8495" x14ac:dyDescent="0.25">
      <c r="A8495" t="n">
        <v>24</v>
      </c>
      <c r="B8495" t="s">
        <v>14</v>
      </c>
      <c r="C8495" t="s">
        <v>22</v>
      </c>
      <c r="D8495" s="2" t="s">
        <f>=HYPERLINK("https://main.knesset.gov.il/APPS/legislation/main/bills/2156130", "הצעת חוק הביטוח הלאומי (תיקון - פטור מתשלום דמי ביטוח לסטודנטים בשל הכנסות הוריהם), התשפ""א-2021")</f>
        <v>16561</v>
      </c>
      <c r="E8495" t="s">
        <v>16561</v>
      </c>
      <c r="F8495" t="s">
        <v>16562</v>
      </c>
      <c r="G8495" t="s">
        <v>14</v>
      </c>
      <c r="H8495">
             </c>
      <c r="I8495" t="s">
        <v>14</v>
      </c>
      <c r="J8495" t="s">
        <v>99</v>
      </c>
      <c r="K8495" t="s">
        <v>127</v>
      </c>
      <c r="L8495" t="s">
        <v>20</v>
      </c>
      <c r="M8495" t="s">
        <v>16558</v>
      </c>
      <c r="N8495" t="s">
        <v>14</v>
      </c>
    </row>
    <row r="8496" x14ac:dyDescent="0.25">
      <c r="A8496" t="n">
        <v>24</v>
      </c>
      <c r="B8496" t="s">
        <v>14</v>
      </c>
      <c r="C8496" t="s">
        <v>22</v>
      </c>
      <c r="D8496" s="2" t="s">
        <f>=HYPERLINK("https://main.knesset.gov.il/APPS/legislation/main/bills/2156999", "הצעת חוק הביטוח הלאומי (תיקון - תשלום דמי ביטוח לאומי מופחתים לסטודנט במוסד להשכלה גבוהה מחוץ לישראל), התשפ""א-2021")</f>
        <v>16559</v>
      </c>
      <c r="E8496" t="s">
        <v>16559</v>
      </c>
      <c r="F8496" t="s">
        <v>16563</v>
      </c>
      <c r="G8496" t="s">
        <v>14</v>
      </c>
      <c r="H8496">
             </c>
      <c r="I8496" t="s">
        <v>14</v>
      </c>
      <c r="J8496" t="s">
        <v>99</v>
      </c>
      <c r="K8496" t="s">
        <v>127</v>
      </c>
      <c r="L8496" t="s">
        <v>20</v>
      </c>
      <c r="M8496" t="s">
        <v>16558</v>
      </c>
      <c r="N8496" t="s">
        <v>14</v>
      </c>
    </row>
    <row r="8497" x14ac:dyDescent="0.25">
      <c r="A8497" t="n">
        <v>24</v>
      </c>
      <c r="B8497" t="s">
        <v>14</v>
      </c>
      <c r="C8497" t="s">
        <v>22</v>
      </c>
      <c r="D8497" s="2" t="s">
        <f>=HYPERLINK("https://main.knesset.gov.il/APPS/legislation/main/bills/2156668", "הצעת חוק הביטוח הלאומי (תיקון - פטור מתשלום דמי ביטוח לסטודנטים בשל הכנסות הוריהם), התשפ""א-2021")</f>
        <v>16561</v>
      </c>
      <c r="E8497" t="s">
        <v>16561</v>
      </c>
      <c r="F8497" t="s">
        <v>16564</v>
      </c>
      <c r="G8497" t="s">
        <v>14</v>
      </c>
      <c r="H8497">
             </c>
      <c r="I8497" t="s">
        <v>14</v>
      </c>
      <c r="J8497" t="s">
        <v>99</v>
      </c>
      <c r="K8497" t="s">
        <v>127</v>
      </c>
      <c r="L8497" t="s">
        <v>20</v>
      </c>
      <c r="M8497" t="s">
        <v>16558</v>
      </c>
      <c r="N8497" t="s">
        <v>14</v>
      </c>
    </row>
    <row r="8498" x14ac:dyDescent="0.25">
      <c r="A8498" t="n">
        <v>24</v>
      </c>
      <c r="B8498" t="s">
        <v>14</v>
      </c>
      <c r="C8498" t="s">
        <v>22</v>
      </c>
      <c r="D8498" s="2" t="s">
        <f>=HYPERLINK("https://main.knesset.gov.il/APPS/legislation/main/bills/2164943", "הצעת חוק איסור הפליית אנשים עם עיוורון המלווים בכלבי נחייה (תיקון - אנשים עם מוגבלות המלווים בכלבי שירות), התשפ״ב-2021")</f>
        <v>16565</v>
      </c>
      <c r="E8498" t="s">
        <v>16565</v>
      </c>
      <c r="F8498" t="s">
        <v>16566</v>
      </c>
      <c r="G8498" t="s">
        <v>14</v>
      </c>
      <c r="H8498">
             </c>
      <c r="I8498" t="s">
        <v>14</v>
      </c>
      <c r="J8498" t="s">
        <v>99</v>
      </c>
      <c r="K8498" t="s">
        <v>127</v>
      </c>
      <c r="L8498" t="s">
        <v>20</v>
      </c>
      <c r="M8498" t="s">
        <v>16558</v>
      </c>
      <c r="N8498" t="s">
        <v>14</v>
      </c>
    </row>
    <row r="8499" x14ac:dyDescent="0.25">
      <c r="A8499" t="n">
        <v>24</v>
      </c>
      <c r="B8499" t="s">
        <v>14</v>
      </c>
      <c r="C8499" t="s">
        <v>22</v>
      </c>
      <c r="D8499" s="2" t="s">
        <f>=HYPERLINK("https://main.knesset.gov.il/APPS/legislation/main/bills/2164664", "הצעת חוק איסור הפליית אנשים עם עיוורון המלווים בכלבי נחייה (תיקון - אנשים עם הפרעות בתר חבלתיות או בעלי מוגבלות המלווים בכלב שירות), התשפ""ב-2021")</f>
        <v>16567</v>
      </c>
      <c r="E8499" t="s">
        <v>16567</v>
      </c>
      <c r="F8499" t="s">
        <v>16568</v>
      </c>
      <c r="G8499" t="s">
        <v>14</v>
      </c>
      <c r="H8499">
             </c>
      <c r="I8499" t="s">
        <v>14</v>
      </c>
      <c r="J8499" t="s">
        <v>99</v>
      </c>
      <c r="K8499" t="s">
        <v>127</v>
      </c>
      <c r="L8499" t="s">
        <v>20</v>
      </c>
      <c r="M8499" t="s">
        <v>16558</v>
      </c>
      <c r="N8499" t="s">
        <v>14</v>
      </c>
    </row>
    <row r="8500" x14ac:dyDescent="0.25">
      <c r="A8500" t="n">
        <v>24</v>
      </c>
      <c r="B8500" t="s">
        <v>14</v>
      </c>
      <c r="C8500" t="s">
        <v>22</v>
      </c>
      <c r="D8500" s="2" t="s">
        <f>=HYPERLINK("https://main.knesset.gov.il/APPS/legislation/main/bills/2167954", "הצעת חוק הפיקוח על שירותים פיננסיים (קופות גמל) (תיקון - שיקולי השקעה הנוגעים להיבטים סביבתיים ולסיכונים מתפתחים), התשפ""ב-2022")</f>
        <v>16569</v>
      </c>
      <c r="E8500" t="s">
        <v>16569</v>
      </c>
      <c r="F8500" t="s">
        <v>16570</v>
      </c>
      <c r="G8500" t="s">
        <v>14</v>
      </c>
      <c r="H8500">
             </c>
      <c r="I8500" t="s">
        <v>14</v>
      </c>
      <c r="J8500" t="s">
        <v>141</v>
      </c>
      <c r="K8500" t="s">
        <v>14</v>
      </c>
      <c r="L8500" t="s">
        <v>20</v>
      </c>
      <c r="M8500" t="s">
        <v>16558</v>
      </c>
      <c r="N8500" t="s">
        <v>14</v>
      </c>
    </row>
    <row r="8501" x14ac:dyDescent="0.25">
      <c r="A8501" t="n">
        <v>24</v>
      </c>
      <c r="B8501" t="s">
        <v>14</v>
      </c>
      <c r="C8501" t="s">
        <v>22</v>
      </c>
      <c r="D8501" s="2" t="s">
        <f>=HYPERLINK("https://main.knesset.gov.il/APPS/legislation/main/bills/2168586", "הצעת חוק הגשת תביעה למענקי סיוע בתקופת ההתמודדות עם נגיף הקורונה (תיקוני חקיקה), התשפ""ב-2022 ")</f>
        <v>16571</v>
      </c>
      <c r="E8501" t="s">
        <v>16571</v>
      </c>
      <c r="F8501" t="s">
        <v>16572</v>
      </c>
      <c r="G8501" t="s">
        <v>14</v>
      </c>
      <c r="H8501">
             </c>
      <c r="I8501" t="s">
        <v>14</v>
      </c>
      <c r="J8501" t="s">
        <v>141</v>
      </c>
      <c r="K8501" t="s">
        <v>14</v>
      </c>
      <c r="L8501" t="s">
        <v>20</v>
      </c>
      <c r="M8501" t="s">
        <v>16558</v>
      </c>
      <c r="N8501" t="s">
        <v>14</v>
      </c>
    </row>
    <row r="8502" x14ac:dyDescent="0.25">
      <c r="A8502" t="n">
        <v>24</v>
      </c>
      <c r="B8502" t="s">
        <v>14</v>
      </c>
      <c r="C8502" t="s">
        <v>22</v>
      </c>
      <c r="D8502" s="2" t="s">
        <f>=HYPERLINK("https://main.knesset.gov.il/APPS/legislation/main/bills/2168023", "הצעת חוק הפיקוח על שירותים פיננסיים (קופות גמל) (תיקון - חשיפת מדיניות סיכונים סביבתיים), התשפ""ב-2022")</f>
        <v>16573</v>
      </c>
      <c r="E8502" t="s">
        <v>16573</v>
      </c>
      <c r="F8502" t="s">
        <v>16574</v>
      </c>
      <c r="G8502" t="s">
        <v>14</v>
      </c>
      <c r="H8502">
             </c>
      <c r="I8502" t="s">
        <v>14</v>
      </c>
      <c r="J8502" t="s">
        <v>141</v>
      </c>
      <c r="K8502" t="s">
        <v>14</v>
      </c>
      <c r="L8502" t="s">
        <v>20</v>
      </c>
      <c r="M8502" t="s">
        <v>16558</v>
      </c>
      <c r="N8502" t="s">
        <v>14</v>
      </c>
    </row>
    <row r="8503" x14ac:dyDescent="0.25">
      <c r="A8503" t="n">
        <v>24</v>
      </c>
      <c r="B8503" t="s">
        <v>14</v>
      </c>
      <c r="C8503" t="s">
        <v>22</v>
      </c>
      <c r="D8503" s="2" t="s">
        <f>=HYPERLINK("https://main.knesset.gov.il/APPS/legislation/main/bills/2168199", "הצעת חוק ניירות ערך (תיקון - חובת דיווח על תמיכות סביבתיות), התשפ״ב-2022")</f>
        <v>15435</v>
      </c>
      <c r="E8503" t="s">
        <v>15435</v>
      </c>
      <c r="F8503" t="s">
        <v>16575</v>
      </c>
      <c r="G8503" t="s">
        <v>14</v>
      </c>
      <c r="H8503">
             </c>
      <c r="I8503" t="s">
        <v>14</v>
      </c>
      <c r="J8503" t="s">
        <v>141</v>
      </c>
      <c r="K8503" t="s">
        <v>14</v>
      </c>
      <c r="L8503" t="s">
        <v>20</v>
      </c>
      <c r="M8503" t="s">
        <v>16558</v>
      </c>
      <c r="N8503" t="s">
        <v>14</v>
      </c>
    </row>
    <row r="8504" x14ac:dyDescent="0.25">
      <c r="A8504" t="n">
        <v>24</v>
      </c>
      <c r="B8504" t="s">
        <v>14</v>
      </c>
      <c r="C8504" t="s">
        <v>22</v>
      </c>
      <c r="D8504" s="2" t="s">
        <f>=HYPERLINK("https://main.knesset.gov.il/APPS/legislation/main/bills/2170189", "הצעת חוק הגנת הצרכן (תיקון - סימון תוצרת חקלאית שאינה ארוזה מראש), התשפ''ב-2022")</f>
        <v>15719</v>
      </c>
      <c r="E8504" t="s">
        <v>15719</v>
      </c>
      <c r="F8504" t="s">
        <v>16576</v>
      </c>
      <c r="G8504" t="s">
        <v>14</v>
      </c>
      <c r="H8504">
             </c>
      <c r="I8504" t="s">
        <v>14</v>
      </c>
      <c r="J8504" t="s">
        <v>141</v>
      </c>
      <c r="K8504" t="s">
        <v>14</v>
      </c>
      <c r="L8504" t="s">
        <v>20</v>
      </c>
      <c r="M8504" t="s">
        <v>16558</v>
      </c>
      <c r="N8504" t="s">
        <v>14</v>
      </c>
    </row>
    <row r="8505" x14ac:dyDescent="0.25">
      <c r="A8505" t="n">
        <v>24</v>
      </c>
      <c r="B8505" t="s">
        <v>14</v>
      </c>
      <c r="C8505" t="s">
        <v>22</v>
      </c>
      <c r="D8505" s="2" t="s">
        <f>=HYPERLINK("https://main.knesset.gov.il/APPS/legislation/main/bills/2168772", "הצעת חוק לתיקון פקודת מס הכנסה (ניכוי בגין הוצאות טיפול בילדים), התשפ""ב-2022")</f>
        <v>16577</v>
      </c>
      <c r="E8505" t="s">
        <v>16577</v>
      </c>
      <c r="F8505" t="s">
        <v>16578</v>
      </c>
      <c r="G8505" t="s">
        <v>14</v>
      </c>
      <c r="H8505">
             </c>
      <c r="I8505" t="s">
        <v>14</v>
      </c>
      <c r="J8505" t="s">
        <v>141</v>
      </c>
      <c r="K8505" t="s">
        <v>14</v>
      </c>
      <c r="L8505" t="s">
        <v>20</v>
      </c>
      <c r="M8505" t="s">
        <v>16558</v>
      </c>
      <c r="N8505" t="s">
        <v>14</v>
      </c>
    </row>
    <row r="8506" x14ac:dyDescent="0.25">
      <c r="A8506" t="n">
        <v>24</v>
      </c>
      <c r="B8506" t="s">
        <v>14</v>
      </c>
      <c r="C8506" t="s">
        <v>22</v>
      </c>
      <c r="D8506" s="2" t="s">
        <f>=HYPERLINK("https://main.knesset.gov.il/APPS/legislation/main/bills/2169229", "הצעת חוק הבנקאות (שירות ללקוח) (תיקון - הקלת התנאים במתן הלוואה לרכישת דירה), התשפ""ב-2022")</f>
        <v>16579</v>
      </c>
      <c r="E8506" t="s">
        <v>16579</v>
      </c>
      <c r="F8506" t="s">
        <v>16580</v>
      </c>
      <c r="G8506" t="s">
        <v>14</v>
      </c>
      <c r="H8506">
             </c>
      <c r="I8506" t="s">
        <v>14</v>
      </c>
      <c r="J8506" t="s">
        <v>141</v>
      </c>
      <c r="K8506" t="s">
        <v>14</v>
      </c>
      <c r="L8506" t="s">
        <v>20</v>
      </c>
      <c r="M8506" t="s">
        <v>16558</v>
      </c>
      <c r="N8506" t="s">
        <v>14</v>
      </c>
    </row>
    <row r="8507" x14ac:dyDescent="0.25">
      <c r="A8507" t="n">
        <v>24</v>
      </c>
      <c r="B8507" t="s">
        <v>14</v>
      </c>
      <c r="C8507" t="s">
        <v>22</v>
      </c>
      <c r="D8507" s="2" t="s">
        <f>=HYPERLINK("https://main.knesset.gov.il/APPS/legislation/main/bills/2169109", "הצעת חוק הגנה על מחזיקים במקרקעין ביהודה ושומרון, התשפ""ב-2022")</f>
        <v>16581</v>
      </c>
      <c r="E8507" t="s">
        <v>16581</v>
      </c>
      <c r="F8507" t="s">
        <v>16582</v>
      </c>
      <c r="G8507" t="s">
        <v>14</v>
      </c>
      <c r="H8507">
             </c>
      <c r="I8507" t="s">
        <v>14</v>
      </c>
      <c r="J8507" t="s">
        <v>141</v>
      </c>
      <c r="K8507" t="s">
        <v>14</v>
      </c>
      <c r="L8507" t="s">
        <v>20</v>
      </c>
      <c r="M8507" t="s">
        <v>16558</v>
      </c>
      <c r="N8507" t="s">
        <v>14</v>
      </c>
    </row>
    <row r="8508" x14ac:dyDescent="0.25">
      <c r="A8508" t="n">
        <v>24</v>
      </c>
      <c r="B8508" t="s">
        <v>14</v>
      </c>
      <c r="C8508" t="s">
        <v>22</v>
      </c>
      <c r="D8508" s="2" t="s">
        <f>=HYPERLINK("https://main.knesset.gov.il/APPS/legislation/main/bills/2169456", "הצעת חוק ייצוג הולם לצעירים במגזר הציבורי (תיקוני חקיקה), התשפ""ב-2022")</f>
        <v>16583</v>
      </c>
      <c r="E8508" t="s">
        <v>16583</v>
      </c>
      <c r="F8508" t="s">
        <v>16584</v>
      </c>
      <c r="G8508" t="s">
        <v>14</v>
      </c>
      <c r="H8508">
             </c>
      <c r="I8508" t="s">
        <v>14</v>
      </c>
      <c r="J8508" t="s">
        <v>141</v>
      </c>
      <c r="K8508" t="s">
        <v>14</v>
      </c>
      <c r="L8508" t="s">
        <v>20</v>
      </c>
      <c r="M8508" t="s">
        <v>16558</v>
      </c>
      <c r="N8508" t="s">
        <v>14</v>
      </c>
    </row>
    <row r="8509" x14ac:dyDescent="0.25">
      <c r="A8509" t="n">
        <v>24</v>
      </c>
      <c r="B8509" t="s">
        <v>14</v>
      </c>
      <c r="C8509" t="s">
        <v>22</v>
      </c>
      <c r="D8509" s="2" t="s">
        <f>=HYPERLINK("https://main.knesset.gov.il/APPS/legislation/main/bills/2168861", "הצעת חוק ההוצאה לפועל (תיקון - מסלול מקוצר חובה), התשפ""ב-2022")</f>
        <v>16585</v>
      </c>
      <c r="E8509" t="s">
        <v>16585</v>
      </c>
      <c r="F8509" t="s">
        <v>16586</v>
      </c>
      <c r="G8509" t="s">
        <v>14</v>
      </c>
      <c r="H8509">
             </c>
      <c r="I8509" t="s">
        <v>14</v>
      </c>
      <c r="J8509" t="s">
        <v>141</v>
      </c>
      <c r="K8509" t="s">
        <v>14</v>
      </c>
      <c r="L8509" t="s">
        <v>20</v>
      </c>
      <c r="M8509" t="s">
        <v>16558</v>
      </c>
      <c r="N8509" t="s">
        <v>14</v>
      </c>
    </row>
    <row r="8510" x14ac:dyDescent="0.25">
      <c r="A8510" t="n">
        <v>24</v>
      </c>
      <c r="B8510" t="s">
        <v>14</v>
      </c>
      <c r="C8510" t="s">
        <v>22</v>
      </c>
      <c r="D8510" s="2" t="s">
        <f>=HYPERLINK("https://main.knesset.gov.il/APPS/legislation/main/bills/2168386", "הצעת חוק מעקב ומניעת העברת כספים מתקציב המדינה לגורמים החשודים בסיוע לטרור, התשפ""ב-2022")</f>
        <v>16587</v>
      </c>
      <c r="E8510" t="s">
        <v>16587</v>
      </c>
      <c r="F8510" t="s">
        <v>16588</v>
      </c>
      <c r="G8510" t="s">
        <v>14</v>
      </c>
      <c r="H8510">
             </c>
      <c r="I8510" t="s">
        <v>14</v>
      </c>
      <c r="J8510" t="s">
        <v>141</v>
      </c>
      <c r="K8510" t="s">
        <v>14</v>
      </c>
      <c r="L8510" t="s">
        <v>20</v>
      </c>
      <c r="M8510" t="s">
        <v>16558</v>
      </c>
      <c r="N8510" t="s">
        <v>14</v>
      </c>
    </row>
    <row r="8511" x14ac:dyDescent="0.25">
      <c r="A8511" t="n">
        <v>24</v>
      </c>
      <c r="B8511" t="s">
        <v>14</v>
      </c>
      <c r="C8511" t="s">
        <v>22</v>
      </c>
      <c r="D8511" s="2" t="s">
        <f>=HYPERLINK("https://main.knesset.gov.il/APPS/legislation/main/bills/2169005", "הצעת חוק החזרתם של תושבי איקרית ובירעם לכפריהם, התשפ""ב-2022")</f>
        <v>16589</v>
      </c>
      <c r="E8511" t="s">
        <v>16589</v>
      </c>
      <c r="F8511" t="s">
        <v>16590</v>
      </c>
      <c r="G8511" t="s">
        <v>14</v>
      </c>
      <c r="H8511">
             </c>
      <c r="I8511" t="s">
        <v>14</v>
      </c>
      <c r="J8511" t="s">
        <v>141</v>
      </c>
      <c r="K8511" t="s">
        <v>14</v>
      </c>
      <c r="L8511" t="s">
        <v>20</v>
      </c>
      <c r="M8511" t="s">
        <v>16558</v>
      </c>
      <c r="N8511" t="s">
        <v>14</v>
      </c>
    </row>
    <row r="8512" x14ac:dyDescent="0.25">
      <c r="A8512" t="n">
        <v>24</v>
      </c>
      <c r="B8512" t="s">
        <v>14</v>
      </c>
      <c r="C8512" t="s">
        <v>22</v>
      </c>
      <c r="D8512" s="2" t="s">
        <f>=HYPERLINK("https://main.knesset.gov.il/APPS/legislation/main/bills/2167508", "הצעת חוק לתיקון פקודת מס הכנסה (הגדלת זיכוי מס על תרומה לבתי חולים בפריפריה), התשפ""ב-2022")</f>
        <v>16591</v>
      </c>
      <c r="E8512" t="s">
        <v>16591</v>
      </c>
      <c r="F8512" t="s">
        <v>16592</v>
      </c>
      <c r="G8512" t="s">
        <v>14</v>
      </c>
      <c r="H8512">
             </c>
      <c r="I8512" t="s">
        <v>14</v>
      </c>
      <c r="J8512" t="s">
        <v>141</v>
      </c>
      <c r="K8512" t="s">
        <v>14</v>
      </c>
      <c r="L8512" t="s">
        <v>20</v>
      </c>
      <c r="M8512" t="s">
        <v>16558</v>
      </c>
      <c r="N8512" t="s">
        <v>14</v>
      </c>
    </row>
    <row r="8513" x14ac:dyDescent="0.25">
      <c r="A8513" t="n">
        <v>24</v>
      </c>
      <c r="B8513" t="s">
        <v>14</v>
      </c>
      <c r="C8513" t="s">
        <v>22</v>
      </c>
      <c r="D8513" s="2" t="s">
        <f>=HYPERLINK("https://main.knesset.gov.il/APPS/legislation/main/bills/2165984", "הצעת חוק פינוי ובינוי (עידוד מיזמי פינוי ובינוי) (תיקון - מבנה מסוכן), התשפ""ב-2022")</f>
        <v>16593</v>
      </c>
      <c r="E8513" t="s">
        <v>16593</v>
      </c>
      <c r="F8513" t="s">
        <v>16594</v>
      </c>
      <c r="G8513" t="s">
        <v>14</v>
      </c>
      <c r="H8513">
             </c>
      <c r="I8513" t="s">
        <v>14</v>
      </c>
      <c r="J8513" t="s">
        <v>141</v>
      </c>
      <c r="K8513" t="s">
        <v>14</v>
      </c>
      <c r="L8513" t="s">
        <v>20</v>
      </c>
      <c r="M8513" t="s">
        <v>16558</v>
      </c>
      <c r="N8513" t="s">
        <v>14</v>
      </c>
    </row>
    <row r="8514" x14ac:dyDescent="0.25">
      <c r="A8514" t="n">
        <v>24</v>
      </c>
      <c r="B8514" t="s">
        <v>14</v>
      </c>
      <c r="C8514" t="s">
        <v>22</v>
      </c>
      <c r="D8514" s="2" t="s">
        <f>=HYPERLINK("https://main.knesset.gov.il/APPS/legislation/main/bills/2168902", "הצעת חוק הצבת מכשירי החייאה במקומות ציבוריים (תיקון - צעדים ליישום מיטבי של החוק), התשפ""ב-2022")</f>
        <v>16306</v>
      </c>
      <c r="E8514" t="s">
        <v>16306</v>
      </c>
      <c r="F8514" t="s">
        <v>16595</v>
      </c>
      <c r="G8514" t="s">
        <v>14</v>
      </c>
      <c r="H8514">
             </c>
      <c r="I8514" t="s">
        <v>14</v>
      </c>
      <c r="J8514" t="s">
        <v>141</v>
      </c>
      <c r="K8514" t="s">
        <v>14</v>
      </c>
      <c r="L8514" t="s">
        <v>20</v>
      </c>
      <c r="M8514" t="s">
        <v>16558</v>
      </c>
      <c r="N8514" t="s">
        <v>14</v>
      </c>
    </row>
    <row r="8515" x14ac:dyDescent="0.25">
      <c r="A8515" t="n">
        <v>24</v>
      </c>
      <c r="B8515" t="s">
        <v>14</v>
      </c>
      <c r="C8515" t="s">
        <v>22</v>
      </c>
      <c r="D8515" s="2" t="s">
        <f>=HYPERLINK("https://main.knesset.gov.il/APPS/legislation/main/bills/2169247", "הצעת חוק האזרחות (תיקון - איסור הפליה בקבלת אזרחות), התשפ""ב-2022")</f>
        <v>16596</v>
      </c>
      <c r="E8515" t="s">
        <v>16596</v>
      </c>
      <c r="F8515" t="s">
        <v>16597</v>
      </c>
      <c r="G8515" t="s">
        <v>14</v>
      </c>
      <c r="H8515">
             </c>
      <c r="I8515" t="s">
        <v>14</v>
      </c>
      <c r="J8515" t="s">
        <v>141</v>
      </c>
      <c r="K8515" t="s">
        <v>14</v>
      </c>
      <c r="L8515" t="s">
        <v>20</v>
      </c>
      <c r="M8515" t="s">
        <v>16558</v>
      </c>
      <c r="N8515" t="s">
        <v>14</v>
      </c>
    </row>
    <row r="8516" x14ac:dyDescent="0.25">
      <c r="A8516" t="n">
        <v>24</v>
      </c>
      <c r="B8516" t="s">
        <v>14</v>
      </c>
      <c r="C8516" t="s">
        <v>22</v>
      </c>
      <c r="D8516" s="2" t="s">
        <f>=HYPERLINK("https://main.knesset.gov.il/APPS/legislation/main/bills/2169525", "הצעת חוק הביטוח הלאומי (תיקון - מועד לאישור או לדחיית תביעה לפי פרק ח'), התשפ""ב-2022")</f>
        <v>16598</v>
      </c>
      <c r="E8516" t="s">
        <v>16598</v>
      </c>
      <c r="F8516" t="s">
        <v>16599</v>
      </c>
      <c r="G8516" t="s">
        <v>14</v>
      </c>
      <c r="H8516">
             </c>
      <c r="I8516" t="s">
        <v>14</v>
      </c>
      <c r="J8516" t="s">
        <v>141</v>
      </c>
      <c r="K8516" t="s">
        <v>14</v>
      </c>
      <c r="L8516" t="s">
        <v>20</v>
      </c>
      <c r="M8516" t="s">
        <v>16558</v>
      </c>
      <c r="N8516" t="s">
        <v>14</v>
      </c>
    </row>
    <row r="8517" x14ac:dyDescent="0.25">
      <c r="A8517" t="n">
        <v>24</v>
      </c>
      <c r="B8517" t="s">
        <v>14</v>
      </c>
      <c r="C8517" t="s">
        <v>22</v>
      </c>
      <c r="D8517" s="2" t="s">
        <f>=HYPERLINK("https://main.knesset.gov.il/APPS/legislation/main/bills/2169601", "הצעת חוק תמיכה במימון פעילות ארגון נכי צה""ל ובתי הלוחם ובארגון נפגעי פעולות האיבה, התשפ""ב-2022")</f>
        <v>16135</v>
      </c>
      <c r="E8517" t="s">
        <v>16135</v>
      </c>
      <c r="F8517" t="s">
        <v>16600</v>
      </c>
      <c r="G8517" t="s">
        <v>14</v>
      </c>
      <c r="H8517">
             </c>
      <c r="I8517" t="s">
        <v>14</v>
      </c>
      <c r="J8517" t="s">
        <v>141</v>
      </c>
      <c r="K8517" t="s">
        <v>14</v>
      </c>
      <c r="L8517" t="s">
        <v>20</v>
      </c>
      <c r="M8517" t="s">
        <v>16558</v>
      </c>
      <c r="N8517" t="s">
        <v>14</v>
      </c>
    </row>
    <row r="8518" x14ac:dyDescent="0.25">
      <c r="A8518" t="n">
        <v>24</v>
      </c>
      <c r="B8518" t="s">
        <v>14</v>
      </c>
      <c r="C8518" t="s">
        <v>22</v>
      </c>
      <c r="D8518" s="2" t="s">
        <f>=HYPERLINK("https://main.knesset.gov.il/APPS/legislation/main/bills/2169213", "הצעת חוק הנכים נפגעי הנאצים (תיקוני חקיקה), התשפ""ב-2022")</f>
        <v>16601</v>
      </c>
      <c r="E8518" t="s">
        <v>16601</v>
      </c>
      <c r="F8518" t="s">
        <v>16602</v>
      </c>
      <c r="G8518" t="s">
        <v>14</v>
      </c>
      <c r="H8518">
             </c>
      <c r="I8518" t="s">
        <v>14</v>
      </c>
      <c r="J8518" t="s">
        <v>141</v>
      </c>
      <c r="K8518" t="s">
        <v>14</v>
      </c>
      <c r="L8518" t="s">
        <v>20</v>
      </c>
      <c r="M8518" t="s">
        <v>16558</v>
      </c>
      <c r="N8518" t="s">
        <v>14</v>
      </c>
    </row>
    <row r="8519" x14ac:dyDescent="0.25">
      <c r="A8519" t="n">
        <v>24</v>
      </c>
      <c r="B8519" t="s">
        <v>14</v>
      </c>
      <c r="C8519" t="s">
        <v>22</v>
      </c>
      <c r="D8519" s="2" t="s">
        <f>=HYPERLINK("https://main.knesset.gov.il/APPS/legislation/main/bills/2169368", "הצעת חוק עבודת נשים (תיקון - הגנה על עובדת מפני הליכי פיטורים), התשפ""ב-2022")</f>
        <v>15197</v>
      </c>
      <c r="E8519" t="s">
        <v>15197</v>
      </c>
      <c r="F8519" t="s">
        <v>16603</v>
      </c>
      <c r="G8519" t="s">
        <v>14</v>
      </c>
      <c r="H8519">
             </c>
      <c r="I8519" t="s">
        <v>14</v>
      </c>
      <c r="J8519" t="s">
        <v>141</v>
      </c>
      <c r="K8519" t="s">
        <v>14</v>
      </c>
      <c r="L8519" t="s">
        <v>20</v>
      </c>
      <c r="M8519" t="s">
        <v>16558</v>
      </c>
      <c r="N8519" t="s">
        <v>14</v>
      </c>
    </row>
    <row r="8520" x14ac:dyDescent="0.25">
      <c r="A8520" t="n">
        <v>24</v>
      </c>
      <c r="B8520" t="s">
        <v>14</v>
      </c>
      <c r="C8520" t="s">
        <v>22</v>
      </c>
      <c r="D8520" s="2" t="s">
        <f>=HYPERLINK("https://main.knesset.gov.il/APPS/legislation/main/bills/2167962", "הצעת חוק האפוטרופוס הכללי (תיקון - שיקולי השקעה סביבתיים), התשפ""ב-2022")</f>
        <v>16604</v>
      </c>
      <c r="E8520" t="s">
        <v>16604</v>
      </c>
      <c r="F8520" t="s">
        <v>16605</v>
      </c>
      <c r="G8520" t="s">
        <v>14</v>
      </c>
      <c r="H8520">
             </c>
      <c r="I8520" t="s">
        <v>14</v>
      </c>
      <c r="J8520" t="s">
        <v>141</v>
      </c>
      <c r="K8520" t="s">
        <v>14</v>
      </c>
      <c r="L8520" t="s">
        <v>20</v>
      </c>
      <c r="M8520" t="s">
        <v>16558</v>
      </c>
      <c r="N8520" t="s">
        <v>14</v>
      </c>
    </row>
    <row r="8521" x14ac:dyDescent="0.25">
      <c r="A8521" t="n">
        <v>24</v>
      </c>
      <c r="B8521" t="s">
        <v>14</v>
      </c>
      <c r="C8521" t="s">
        <v>22</v>
      </c>
      <c r="D8521" s="2" t="s">
        <f>=HYPERLINK("https://main.knesset.gov.il/APPS/legislation/main/bills/2168007", "הצעת חוק החברות הממשלתיות (תיקון - דוח אחריות סביבתית), התשפ""ב-2022")</f>
        <v>16606</v>
      </c>
      <c r="E8521" t="s">
        <v>16606</v>
      </c>
      <c r="F8521" t="s">
        <v>16607</v>
      </c>
      <c r="G8521" t="s">
        <v>14</v>
      </c>
      <c r="H8521">
             </c>
      <c r="I8521" t="s">
        <v>14</v>
      </c>
      <c r="J8521" t="s">
        <v>141</v>
      </c>
      <c r="K8521" t="s">
        <v>14</v>
      </c>
      <c r="L8521" t="s">
        <v>20</v>
      </c>
      <c r="M8521" t="s">
        <v>16558</v>
      </c>
      <c r="N8521" t="s">
        <v>14</v>
      </c>
    </row>
    <row r="8522" x14ac:dyDescent="0.25">
      <c r="A8522" t="n">
        <v>24</v>
      </c>
      <c r="B8522" t="s">
        <v>14</v>
      </c>
      <c r="C8522" t="s">
        <v>22</v>
      </c>
      <c r="D8522" s="2" t="s">
        <f>=HYPERLINK("https://main.knesset.gov.il/APPS/legislation/main/bills/2169282", "הצעת חוק הנגשת שירותים הניתנים על ידי גופי שלטון לשפות נוספות, התשפ""ב-2022")</f>
        <v>16608</v>
      </c>
      <c r="E8522" t="s">
        <v>16608</v>
      </c>
      <c r="F8522" t="s">
        <v>16609</v>
      </c>
      <c r="G8522" t="s">
        <v>14</v>
      </c>
      <c r="H8522">
             </c>
      <c r="I8522" t="s">
        <v>14</v>
      </c>
      <c r="J8522" t="s">
        <v>141</v>
      </c>
      <c r="K8522" t="s">
        <v>14</v>
      </c>
      <c r="L8522" t="s">
        <v>20</v>
      </c>
      <c r="M8522" t="s">
        <v>16558</v>
      </c>
      <c r="N8522" t="s">
        <v>14</v>
      </c>
    </row>
    <row r="8523" x14ac:dyDescent="0.25">
      <c r="A8523" t="n">
        <v>24</v>
      </c>
      <c r="B8523" t="s">
        <v>14</v>
      </c>
      <c r="C8523" t="s">
        <v>22</v>
      </c>
      <c r="D8523" s="2" t="s">
        <f>=HYPERLINK("https://main.knesset.gov.il/APPS/legislation/main/bills/2167913", "הצעת חוק לתיקון פקודת מס הכנסה (נקודת זיכוי לאפוטרופוס), התשפ""ב-2022")</f>
        <v>16610</v>
      </c>
      <c r="E8523" t="s">
        <v>16610</v>
      </c>
      <c r="F8523" t="s">
        <v>16611</v>
      </c>
      <c r="G8523" t="s">
        <v>14</v>
      </c>
      <c r="H8523">
             </c>
      <c r="I8523" t="s">
        <v>14</v>
      </c>
      <c r="J8523" t="s">
        <v>141</v>
      </c>
      <c r="K8523" t="s">
        <v>14</v>
      </c>
      <c r="L8523" t="s">
        <v>20</v>
      </c>
      <c r="M8523" t="s">
        <v>16558</v>
      </c>
      <c r="N8523" t="s">
        <v>14</v>
      </c>
    </row>
    <row r="8524" x14ac:dyDescent="0.25">
      <c r="A8524" t="n">
        <v>24</v>
      </c>
      <c r="B8524" t="s">
        <v>14</v>
      </c>
      <c r="C8524" t="s">
        <v>22</v>
      </c>
      <c r="D8524" s="2" t="s">
        <f>=HYPERLINK("https://main.knesset.gov.il/APPS/legislation/main/bills/2166716", "הצעת חוק התכנון והבנייה (תיקון - היתר בנייה להקמת מתקן פוטו-וולטאי על גבי מאגרי מים ובריכות דגים), התשפ""ב-2022")</f>
        <v>16222</v>
      </c>
      <c r="E8524" t="s">
        <v>16222</v>
      </c>
      <c r="F8524" t="s">
        <v>16612</v>
      </c>
      <c r="G8524" t="s">
        <v>14</v>
      </c>
      <c r="H8524">
             </c>
      <c r="I8524" t="s">
        <v>14</v>
      </c>
      <c r="J8524" t="s">
        <v>141</v>
      </c>
      <c r="K8524" t="s">
        <v>14</v>
      </c>
      <c r="L8524" t="s">
        <v>20</v>
      </c>
      <c r="M8524" t="s">
        <v>16558</v>
      </c>
      <c r="N8524" t="s">
        <v>14</v>
      </c>
    </row>
    <row r="8525" x14ac:dyDescent="0.25">
      <c r="A8525" t="n">
        <v>24</v>
      </c>
      <c r="B8525" t="s">
        <v>14</v>
      </c>
      <c r="C8525" t="s">
        <v>22</v>
      </c>
      <c r="D8525" s="2" t="s">
        <f>=HYPERLINK("https://main.knesset.gov.il/APPS/legislation/main/bills/2156742", "הצעת חוק המועצה להשכלה גבוהה (תיקון - קביעת תנאי קבלה בידי מוסד), התשפ""ב-2022")</f>
        <v>16613</v>
      </c>
      <c r="E8525" t="s">
        <v>16613</v>
      </c>
      <c r="F8525" t="s">
        <v>16614</v>
      </c>
      <c r="G8525" t="s">
        <v>14</v>
      </c>
      <c r="H8525">
             </c>
      <c r="I8525" t="s">
        <v>14</v>
      </c>
      <c r="J8525" t="s">
        <v>141</v>
      </c>
      <c r="K8525" t="s">
        <v>14</v>
      </c>
      <c r="L8525" t="s">
        <v>20</v>
      </c>
      <c r="M8525" t="s">
        <v>16558</v>
      </c>
      <c r="N8525" t="s">
        <v>14</v>
      </c>
    </row>
    <row r="8526" x14ac:dyDescent="0.25">
      <c r="A8526" t="n">
        <v>24</v>
      </c>
      <c r="B8526" t="s">
        <v>14</v>
      </c>
      <c r="C8526" t="s">
        <v>22</v>
      </c>
      <c r="D8526" s="2" t="s">
        <f>=HYPERLINK("https://main.knesset.gov.il/APPS/legislation/main/bills/2166577", "הצעת חוק ארוחה יומית לתלמיד (תיקון - עודפי תקציב), התשפ""ב-2022")</f>
        <v>16615</v>
      </c>
      <c r="E8526" t="s">
        <v>16615</v>
      </c>
      <c r="F8526" t="s">
        <v>16616</v>
      </c>
      <c r="G8526" t="s">
        <v>14</v>
      </c>
      <c r="H8526">
             </c>
      <c r="I8526" t="s">
        <v>14</v>
      </c>
      <c r="J8526" t="s">
        <v>141</v>
      </c>
      <c r="K8526" t="s">
        <v>14</v>
      </c>
      <c r="L8526" t="s">
        <v>20</v>
      </c>
      <c r="M8526" t="s">
        <v>16558</v>
      </c>
      <c r="N8526" t="s">
        <v>14</v>
      </c>
    </row>
    <row r="8527" x14ac:dyDescent="0.25">
      <c r="A8527" t="n">
        <v>24</v>
      </c>
      <c r="B8527" t="s">
        <v>14</v>
      </c>
      <c r="C8527" t="s">
        <v>22</v>
      </c>
      <c r="D8527" s="2" t="s">
        <f>=HYPERLINK("https://main.knesset.gov.il/APPS/legislation/main/bills/2168392", "הצעת חוק הכשרת חיילים בשירות סדיר לנהיגה ברכב כבד, התשפ''ב-2022")</f>
        <v>16617</v>
      </c>
      <c r="E8527" t="s">
        <v>16617</v>
      </c>
      <c r="F8527" t="s">
        <v>16618</v>
      </c>
      <c r="G8527" t="s">
        <v>14</v>
      </c>
      <c r="H8527">
             </c>
      <c r="I8527" t="s">
        <v>14</v>
      </c>
      <c r="J8527" t="s">
        <v>141</v>
      </c>
      <c r="K8527" t="s">
        <v>14</v>
      </c>
      <c r="L8527" t="s">
        <v>20</v>
      </c>
      <c r="M8527" t="s">
        <v>16558</v>
      </c>
      <c r="N8527" t="s">
        <v>14</v>
      </c>
    </row>
    <row r="8528" x14ac:dyDescent="0.25">
      <c r="A8528" t="n">
        <v>24</v>
      </c>
      <c r="B8528" t="s">
        <v>14</v>
      </c>
      <c r="C8528" t="s">
        <v>22</v>
      </c>
      <c r="D8528" s="2" t="s">
        <f>=HYPERLINK("https://main.knesset.gov.il/APPS/legislation/main/bills/2167419", "הצעת חוק המכר (דירות) (תיקון - הגבלת הסכום הנקוב במפרט בשל שינוי מיקומו של פריט בדירה חדשה), התשפ""ב-2022")</f>
        <v>16619</v>
      </c>
      <c r="E8528" t="s">
        <v>16619</v>
      </c>
      <c r="F8528" t="s">
        <v>16620</v>
      </c>
      <c r="G8528" t="s">
        <v>14</v>
      </c>
      <c r="H8528">
             </c>
      <c r="I8528" t="s">
        <v>14</v>
      </c>
      <c r="J8528" t="s">
        <v>141</v>
      </c>
      <c r="K8528" t="s">
        <v>14</v>
      </c>
      <c r="L8528" t="s">
        <v>20</v>
      </c>
      <c r="M8528" t="s">
        <v>16558</v>
      </c>
      <c r="N8528" t="s">
        <v>14</v>
      </c>
    </row>
    <row r="8529" x14ac:dyDescent="0.25">
      <c r="A8529" t="n">
        <v>24</v>
      </c>
      <c r="B8529" t="s">
        <v>14</v>
      </c>
      <c r="C8529" t="s">
        <v>22</v>
      </c>
      <c r="D8529" s="2" t="s">
        <f>=HYPERLINK("https://main.knesset.gov.il/APPS/legislation/main/bills/2166062", "הצעת חוק הגנת הצרכן (תיקון - איסור התניית עסקה באופן תשלום), התשפ""ב-2022")</f>
        <v>16621</v>
      </c>
      <c r="E8529" t="s">
        <v>16621</v>
      </c>
      <c r="F8529" t="s">
        <v>16622</v>
      </c>
      <c r="G8529" t="s">
        <v>14</v>
      </c>
      <c r="H8529">
             </c>
      <c r="I8529" t="s">
        <v>14</v>
      </c>
      <c r="J8529" t="s">
        <v>141</v>
      </c>
      <c r="K8529" t="s">
        <v>14</v>
      </c>
      <c r="L8529" t="s">
        <v>20</v>
      </c>
      <c r="M8529" t="s">
        <v>16558</v>
      </c>
      <c r="N8529" t="s">
        <v>14</v>
      </c>
    </row>
    <row r="8530" x14ac:dyDescent="0.25">
      <c r="A8530" t="n">
        <v>24</v>
      </c>
      <c r="B8530" t="s">
        <v>14</v>
      </c>
      <c r="C8530" t="s">
        <v>22</v>
      </c>
      <c r="D8530" s="2" t="s">
        <f>=HYPERLINK("https://main.knesset.gov.il/APPS/legislation/main/bills/2168591", "הצעת חוק הביטוח הלאומי (תיקון - תוספת בעד בן הזוג לקצבת אזרח ותיק), התשפ""ב-2022")</f>
        <v>16623</v>
      </c>
      <c r="E8530" t="s">
        <v>16623</v>
      </c>
      <c r="F8530" t="s">
        <v>16624</v>
      </c>
      <c r="G8530" t="s">
        <v>14</v>
      </c>
      <c r="H8530">
             </c>
      <c r="I8530" t="s">
        <v>14</v>
      </c>
      <c r="J8530" t="s">
        <v>141</v>
      </c>
      <c r="K8530" t="s">
        <v>14</v>
      </c>
      <c r="L8530" t="s">
        <v>20</v>
      </c>
      <c r="M8530" t="s">
        <v>16558</v>
      </c>
      <c r="N8530" t="s">
        <v>14</v>
      </c>
    </row>
    <row r="8531" x14ac:dyDescent="0.25">
      <c r="A8531" t="n">
        <v>24</v>
      </c>
      <c r="B8531" t="s">
        <v>14</v>
      </c>
      <c r="C8531" t="s">
        <v>22</v>
      </c>
      <c r="D8531" s="2" t="s">
        <f>=HYPERLINK("https://main.knesset.gov.il/APPS/legislation/main/bills/2169841", "הצעת חוק חינוך ממלכתי (תיקון - תקצוב מלא למוסדות מוכרים לא רשמיים), התשפ""ב-2022")</f>
        <v>16625</v>
      </c>
      <c r="E8531" t="s">
        <v>16625</v>
      </c>
      <c r="F8531" t="s">
        <v>16626</v>
      </c>
      <c r="G8531" t="s">
        <v>14</v>
      </c>
      <c r="H8531">
             </c>
      <c r="I8531" t="s">
        <v>14</v>
      </c>
      <c r="J8531" t="s">
        <v>141</v>
      </c>
      <c r="K8531" t="s">
        <v>14</v>
      </c>
      <c r="L8531" t="s">
        <v>20</v>
      </c>
      <c r="M8531" t="s">
        <v>16558</v>
      </c>
      <c r="N8531" t="s">
        <v>14</v>
      </c>
    </row>
    <row r="8532" x14ac:dyDescent="0.25">
      <c r="A8532" t="n">
        <v>24</v>
      </c>
      <c r="B8532" t="s">
        <v>14</v>
      </c>
      <c r="C8532" t="s">
        <v>22</v>
      </c>
      <c r="D8532" s="2" t="s">
        <f>=HYPERLINK("https://main.knesset.gov.il/APPS/legislation/main/bills/2169772", "הצעת חוק התכנון והבנייה (תיקון - ייצוג הוועדה המקומית), התשפ""ב-2022")</f>
        <v>16627</v>
      </c>
      <c r="E8532" t="s">
        <v>16627</v>
      </c>
      <c r="F8532" t="s">
        <v>16628</v>
      </c>
      <c r="G8532" t="s">
        <v>14</v>
      </c>
      <c r="H8532">
             </c>
      <c r="I8532" t="s">
        <v>14</v>
      </c>
      <c r="J8532" t="s">
        <v>141</v>
      </c>
      <c r="K8532" t="s">
        <v>14</v>
      </c>
      <c r="L8532" t="s">
        <v>20</v>
      </c>
      <c r="M8532" t="s">
        <v>16558</v>
      </c>
      <c r="N8532" t="s">
        <v>14</v>
      </c>
    </row>
    <row r="8533" x14ac:dyDescent="0.25">
      <c r="A8533" t="n">
        <v>24</v>
      </c>
      <c r="B8533" t="s">
        <v>14</v>
      </c>
      <c r="C8533" t="s">
        <v>22</v>
      </c>
      <c r="D8533" s="2" t="s">
        <f>=HYPERLINK("https://main.knesset.gov.il/APPS/legislation/main/bills/2169773", "הצעת חוק התכנון והבנייה (תיקון - סייגים להתניית היתר), התשפ""ב-2022")</f>
        <v>16629</v>
      </c>
      <c r="E8533" t="s">
        <v>16629</v>
      </c>
      <c r="F8533" t="s">
        <v>16630</v>
      </c>
      <c r="G8533" t="s">
        <v>14</v>
      </c>
      <c r="H8533">
             </c>
      <c r="I8533" t="s">
        <v>14</v>
      </c>
      <c r="J8533" t="s">
        <v>141</v>
      </c>
      <c r="K8533" t="s">
        <v>14</v>
      </c>
      <c r="L8533" t="s">
        <v>20</v>
      </c>
      <c r="M8533" t="s">
        <v>16558</v>
      </c>
      <c r="N8533" t="s">
        <v>14</v>
      </c>
    </row>
    <row r="8534" x14ac:dyDescent="0.25">
      <c r="A8534" t="n">
        <v>24</v>
      </c>
      <c r="B8534" t="s">
        <v>14</v>
      </c>
      <c r="C8534" t="s">
        <v>22</v>
      </c>
      <c r="D8534" s="2" t="s">
        <f>=HYPERLINK("https://main.knesset.gov.il/APPS/legislation/main/bills/2166061", "הצעת חוק הגנת הצרכן (תיקון - איסור גביית עמלה בהרשאה לחיוב חשבון בהוראת קבע), התשפ""ב-2022")</f>
        <v>16631</v>
      </c>
      <c r="E8534" t="s">
        <v>16631</v>
      </c>
      <c r="F8534" t="s">
        <v>16632</v>
      </c>
      <c r="G8534" t="s">
        <v>14</v>
      </c>
      <c r="H8534">
             </c>
      <c r="I8534" t="s">
        <v>14</v>
      </c>
      <c r="J8534" t="s">
        <v>141</v>
      </c>
      <c r="K8534" t="s">
        <v>14</v>
      </c>
      <c r="L8534" t="s">
        <v>20</v>
      </c>
      <c r="M8534" t="s">
        <v>16558</v>
      </c>
      <c r="N8534" t="s">
        <v>14</v>
      </c>
    </row>
    <row r="8535" x14ac:dyDescent="0.25">
      <c r="A8535" t="n">
        <v>24</v>
      </c>
      <c r="B8535" t="s">
        <v>14</v>
      </c>
      <c r="C8535" t="s">
        <v>22</v>
      </c>
      <c r="D8535" s="2" t="s">
        <f>=HYPERLINK("https://main.knesset.gov.il/APPS/legislation/main/bills/2169566", "הצעת חוק הכניסה לישראל (תיקון - הארכת רישיונות עובדים זרים בתחום הסיעוד מטעמים הומניטריים מיוחדים וחריגים) (הוראת שעה), התשפ""ב-2022")</f>
        <v>16633</v>
      </c>
      <c r="E8535" t="s">
        <v>16633</v>
      </c>
      <c r="F8535" t="s">
        <v>16634</v>
      </c>
      <c r="G8535" t="s">
        <v>14</v>
      </c>
      <c r="H8535">
             </c>
      <c r="I8535" t="s">
        <v>14</v>
      </c>
      <c r="J8535" t="s">
        <v>141</v>
      </c>
      <c r="K8535" t="s">
        <v>14</v>
      </c>
      <c r="L8535" t="s">
        <v>20</v>
      </c>
      <c r="M8535" t="s">
        <v>16558</v>
      </c>
      <c r="N8535" t="s">
        <v>14</v>
      </c>
    </row>
    <row r="8536" x14ac:dyDescent="0.25">
      <c r="A8536" t="n">
        <v>24</v>
      </c>
      <c r="B8536" t="s">
        <v>14</v>
      </c>
      <c r="C8536" t="s">
        <v>22</v>
      </c>
      <c r="D8536" s="2" t="s">
        <f>=HYPERLINK("https://main.knesset.gov.il/APPS/legislation/main/bills/2166067", "הצעת חוק הגנת הצרכן (תיקון - אישור להמשך מתן שירות בעסקה מתמשכת), התשפ""ב-2022")</f>
        <v>16635</v>
      </c>
      <c r="E8536" t="s">
        <v>16635</v>
      </c>
      <c r="F8536" t="s">
        <v>16636</v>
      </c>
      <c r="G8536" t="s">
        <v>14</v>
      </c>
      <c r="H8536">
             </c>
      <c r="I8536" t="s">
        <v>14</v>
      </c>
      <c r="J8536" t="s">
        <v>141</v>
      </c>
      <c r="K8536" t="s">
        <v>14</v>
      </c>
      <c r="L8536" t="s">
        <v>20</v>
      </c>
      <c r="M8536" t="s">
        <v>16558</v>
      </c>
      <c r="N8536" t="s">
        <v>14</v>
      </c>
    </row>
    <row r="8537" x14ac:dyDescent="0.25">
      <c r="A8537" t="n">
        <v>24</v>
      </c>
      <c r="B8537" t="s">
        <v>14</v>
      </c>
      <c r="C8537" t="s">
        <v>22</v>
      </c>
      <c r="D8537" s="2" t="s">
        <f>=HYPERLINK("https://main.knesset.gov.il/APPS/legislation/main/bills/2169771", "הצעת חוק התכנון והבנייה (תיקון - הרחבת הפטור מהיטל השבחה), התשפ""ב-2022")</f>
        <v>16637</v>
      </c>
      <c r="E8537" t="s">
        <v>16637</v>
      </c>
      <c r="F8537" t="s">
        <v>16638</v>
      </c>
      <c r="G8537" t="s">
        <v>14</v>
      </c>
      <c r="H8537">
             </c>
      <c r="I8537" t="s">
        <v>14</v>
      </c>
      <c r="J8537" t="s">
        <v>141</v>
      </c>
      <c r="K8537" t="s">
        <v>14</v>
      </c>
      <c r="L8537" t="s">
        <v>20</v>
      </c>
      <c r="M8537" t="s">
        <v>16558</v>
      </c>
      <c r="N8537" t="s">
        <v>14</v>
      </c>
    </row>
    <row r="8538" x14ac:dyDescent="0.25">
      <c r="A8538" t="n">
        <v>24</v>
      </c>
      <c r="B8538" t="s">
        <v>14</v>
      </c>
      <c r="C8538" t="s">
        <v>22</v>
      </c>
      <c r="D8538" s="2" t="s">
        <f>=HYPERLINK("https://main.knesset.gov.il/APPS/legislation/main/bills/2169081", "הצעת חוק יישום תוכנית ההתנתקות (תיקון - ביטול סעיפי הפינוי ושינוי שם החוק), התשפ""ב-2022")</f>
        <v>15130</v>
      </c>
      <c r="E8538" t="s">
        <v>15130</v>
      </c>
      <c r="F8538" t="s">
        <v>16639</v>
      </c>
      <c r="G8538" t="s">
        <v>14</v>
      </c>
      <c r="H8538">
             </c>
      <c r="I8538" t="s">
        <v>14</v>
      </c>
      <c r="J8538" t="s">
        <v>141</v>
      </c>
      <c r="K8538" t="s">
        <v>14</v>
      </c>
      <c r="L8538" t="s">
        <v>20</v>
      </c>
      <c r="M8538" t="s">
        <v>16558</v>
      </c>
      <c r="N8538" t="s">
        <v>14</v>
      </c>
    </row>
    <row r="8539" x14ac:dyDescent="0.25">
      <c r="A8539" t="n">
        <v>24</v>
      </c>
      <c r="B8539" t="s">
        <v>14</v>
      </c>
      <c r="C8539" t="s">
        <v>22</v>
      </c>
      <c r="D8539" s="2" t="s">
        <f>=HYPERLINK("https://main.knesset.gov.il/APPS/legislation/main/bills/2168828", "הצעת חוק שכר שווה לעובדת ולעובד (תיקון - חובת מסירת מידע), התשפ""ב-2022")</f>
        <v>16640</v>
      </c>
      <c r="E8539" t="s">
        <v>16640</v>
      </c>
      <c r="F8539" t="s">
        <v>16641</v>
      </c>
      <c r="G8539" t="s">
        <v>14</v>
      </c>
      <c r="H8539">
             </c>
      <c r="I8539" t="s">
        <v>14</v>
      </c>
      <c r="J8539" t="s">
        <v>141</v>
      </c>
      <c r="K8539" t="s">
        <v>14</v>
      </c>
      <c r="L8539" t="s">
        <v>20</v>
      </c>
      <c r="M8539" t="s">
        <v>16558</v>
      </c>
      <c r="N8539" t="s">
        <v>14</v>
      </c>
    </row>
    <row r="8540" x14ac:dyDescent="0.25">
      <c r="A8540" t="n">
        <v>24</v>
      </c>
      <c r="B8540" t="s">
        <v>14</v>
      </c>
      <c r="C8540" t="s">
        <v>22</v>
      </c>
      <c r="D8540" s="2" t="s">
        <f>=HYPERLINK("https://main.knesset.gov.il/APPS/legislation/main/bills/2169388", "הצעת חוק מעונות יום שיקומיים (תיקון - פעוט עם מוגבלות שטרם מלאו לו שישה חודשים), התשפ""ב-2022")</f>
        <v>16642</v>
      </c>
      <c r="E8540" t="s">
        <v>16642</v>
      </c>
      <c r="F8540" t="s">
        <v>16643</v>
      </c>
      <c r="G8540" t="s">
        <v>14</v>
      </c>
      <c r="H8540">
             </c>
      <c r="I8540" t="s">
        <v>14</v>
      </c>
      <c r="J8540" t="s">
        <v>141</v>
      </c>
      <c r="K8540" t="s">
        <v>14</v>
      </c>
      <c r="L8540" t="s">
        <v>20</v>
      </c>
      <c r="M8540" t="s">
        <v>16558</v>
      </c>
      <c r="N8540" t="s">
        <v>14</v>
      </c>
    </row>
    <row r="8541" x14ac:dyDescent="0.25">
      <c r="A8541" t="n">
        <v>24</v>
      </c>
      <c r="B8541" t="s">
        <v>14</v>
      </c>
      <c r="C8541" t="s">
        <v>22</v>
      </c>
      <c r="D8541" s="2" t="s">
        <f>=HYPERLINK("https://main.knesset.gov.il/APPS/legislation/main/bills/2168222", "הצעת חוק ועדת חקירה ממלכתית לרכש ספינות השיט והצוללות לחיל הים, התשפ""ב-2022")</f>
        <v>16644</v>
      </c>
      <c r="E8541" t="s">
        <v>16644</v>
      </c>
      <c r="F8541" t="s">
        <v>16645</v>
      </c>
      <c r="G8541" t="s">
        <v>14</v>
      </c>
      <c r="H8541">
             </c>
      <c r="I8541" t="s">
        <v>14</v>
      </c>
      <c r="J8541" t="s">
        <v>141</v>
      </c>
      <c r="K8541" t="s">
        <v>14</v>
      </c>
      <c r="L8541" t="s">
        <v>20</v>
      </c>
      <c r="M8541" t="s">
        <v>16558</v>
      </c>
      <c r="N8541" t="s">
        <v>14</v>
      </c>
    </row>
    <row r="8542" x14ac:dyDescent="0.25">
      <c r="A8542" t="n">
        <v>24</v>
      </c>
      <c r="B8542" t="s">
        <v>14</v>
      </c>
      <c r="C8542" t="s">
        <v>22</v>
      </c>
      <c r="D8542" s="2" t="s">
        <f>=HYPERLINK("https://main.knesset.gov.il/APPS/legislation/main/bills/2169242", "הצעת חוק לביטול אזרחותו או תושבותו של פעיל טרור שמקבל תגמול עבור ביצוע מעשה הטרור (תיקוני חקיקה), התשפ""ב-2022")</f>
        <v>16646</v>
      </c>
      <c r="E8542" t="s">
        <v>16646</v>
      </c>
      <c r="F8542" t="s">
        <v>16647</v>
      </c>
      <c r="G8542" t="s">
        <v>14</v>
      </c>
      <c r="H8542">
             </c>
      <c r="I8542" t="s">
        <v>14</v>
      </c>
      <c r="J8542" t="s">
        <v>141</v>
      </c>
      <c r="K8542" t="s">
        <v>14</v>
      </c>
      <c r="L8542" t="s">
        <v>20</v>
      </c>
      <c r="M8542" t="s">
        <v>16558</v>
      </c>
      <c r="N8542" t="s">
        <v>14</v>
      </c>
    </row>
    <row r="8543" x14ac:dyDescent="0.25">
      <c r="A8543" t="n">
        <v>24</v>
      </c>
      <c r="B8543" t="s">
        <v>14</v>
      </c>
      <c r="C8543" t="s">
        <v>22</v>
      </c>
      <c r="D8543" s="2" t="s">
        <f>=HYPERLINK("https://main.knesset.gov.il/APPS/legislation/main/bills/2169494", "הצעת חוק דמי מחלה (היעדרות בשל מחלת ילד) (תיקון - ימי מחלה נוספים בשל מחלת ילד), התשפ""ב-2022")</f>
        <v>16520</v>
      </c>
      <c r="E8543" t="s">
        <v>16520</v>
      </c>
      <c r="F8543" t="s">
        <v>16648</v>
      </c>
      <c r="G8543" t="s">
        <v>14</v>
      </c>
      <c r="H8543">
             </c>
      <c r="I8543" t="s">
        <v>14</v>
      </c>
      <c r="J8543" t="s">
        <v>141</v>
      </c>
      <c r="K8543" t="s">
        <v>14</v>
      </c>
      <c r="L8543" t="s">
        <v>20</v>
      </c>
      <c r="M8543" t="s">
        <v>16558</v>
      </c>
      <c r="N8543" t="s">
        <v>14</v>
      </c>
    </row>
    <row r="8544" x14ac:dyDescent="0.25">
      <c r="A8544" t="n">
        <v>24</v>
      </c>
      <c r="B8544" t="s">
        <v>14</v>
      </c>
      <c r="C8544" t="s">
        <v>22</v>
      </c>
      <c r="D8544" s="2" t="s">
        <f>=HYPERLINK("https://main.knesset.gov.il/APPS/legislation/main/bills/2169471", "הצעת חוק המזונות (הבטחת תשלום) (תיקון - סכום שלא יובא בחשבון במבחן ההכנסה), התשפ""ב-2022")</f>
        <v>16649</v>
      </c>
      <c r="E8544" t="s">
        <v>16649</v>
      </c>
      <c r="F8544" t="s">
        <v>16650</v>
      </c>
      <c r="G8544" t="s">
        <v>14</v>
      </c>
      <c r="H8544">
             </c>
      <c r="I8544" t="s">
        <v>14</v>
      </c>
      <c r="J8544" t="s">
        <v>141</v>
      </c>
      <c r="K8544" t="s">
        <v>14</v>
      </c>
      <c r="L8544" t="s">
        <v>20</v>
      </c>
      <c r="M8544" t="s">
        <v>16558</v>
      </c>
      <c r="N8544" t="s">
        <v>14</v>
      </c>
    </row>
    <row r="8545" x14ac:dyDescent="0.25">
      <c r="A8545" t="n">
        <v>24</v>
      </c>
      <c r="B8545" t="s">
        <v>14</v>
      </c>
      <c r="C8545" t="s">
        <v>22</v>
      </c>
      <c r="D8545" s="2" t="s">
        <f>=HYPERLINK("https://main.knesset.gov.il/APPS/legislation/main/bills/2166084", "הצעת חוק הגנת הצרכן (תיקון - פנייה מקדימה בעסקת מכר מרחוק), התשפ""ב-2022")</f>
        <v>16651</v>
      </c>
      <c r="E8545" t="s">
        <v>16651</v>
      </c>
      <c r="F8545" t="s">
        <v>16652</v>
      </c>
      <c r="G8545" t="s">
        <v>14</v>
      </c>
      <c r="H8545">
             </c>
      <c r="I8545" t="s">
        <v>14</v>
      </c>
      <c r="J8545" t="s">
        <v>141</v>
      </c>
      <c r="K8545" t="s">
        <v>14</v>
      </c>
      <c r="L8545" t="s">
        <v>20</v>
      </c>
      <c r="M8545" t="s">
        <v>16558</v>
      </c>
      <c r="N8545" t="s">
        <v>14</v>
      </c>
    </row>
    <row r="8546" x14ac:dyDescent="0.25">
      <c r="A8546" t="n">
        <v>24</v>
      </c>
      <c r="B8546" t="s">
        <v>14</v>
      </c>
      <c r="C8546" t="s">
        <v>22</v>
      </c>
      <c r="D8546" s="2" t="s">
        <f>=HYPERLINK("https://main.knesset.gov.il/APPS/legislation/main/bills/2169671", "הצעת חוק הכנסת (תיקון - ועדה לפיקוח על רשויות פיקוח פיננסיות), התשפ""ב-2022")</f>
        <v>16653</v>
      </c>
      <c r="E8546" t="s">
        <v>16653</v>
      </c>
      <c r="F8546" t="s">
        <v>16654</v>
      </c>
      <c r="G8546" t="s">
        <v>14</v>
      </c>
      <c r="H8546">
             </c>
      <c r="I8546" t="s">
        <v>14</v>
      </c>
      <c r="J8546" t="s">
        <v>141</v>
      </c>
      <c r="K8546" t="s">
        <v>14</v>
      </c>
      <c r="L8546" t="s">
        <v>20</v>
      </c>
      <c r="M8546" t="s">
        <v>16558</v>
      </c>
      <c r="N8546" t="s">
        <v>14</v>
      </c>
    </row>
    <row r="8547" x14ac:dyDescent="0.25">
      <c r="A8547" t="n">
        <v>24</v>
      </c>
      <c r="B8547" t="s">
        <v>14</v>
      </c>
      <c r="C8547" t="s">
        <v>22</v>
      </c>
      <c r="D8547" s="2" t="s">
        <f>=HYPERLINK("https://main.knesset.gov.il/APPS/legislation/main/bills/2169369", "הצעת חוק העונשין (תיקון - הגנה עצמית בנסיבות של אלימות במשפחה), התשפ""ב-2022")</f>
        <v>16655</v>
      </c>
      <c r="E8547" t="s">
        <v>16655</v>
      </c>
      <c r="F8547" t="s">
        <v>16656</v>
      </c>
      <c r="G8547" t="s">
        <v>14</v>
      </c>
      <c r="H8547">
             </c>
      <c r="I8547" t="s">
        <v>14</v>
      </c>
      <c r="J8547" t="s">
        <v>141</v>
      </c>
      <c r="K8547" t="s">
        <v>14</v>
      </c>
      <c r="L8547" t="s">
        <v>20</v>
      </c>
      <c r="M8547" t="s">
        <v>16558</v>
      </c>
      <c r="N8547" t="s">
        <v>14</v>
      </c>
    </row>
    <row r="8548" x14ac:dyDescent="0.25">
      <c r="A8548" t="n">
        <v>24</v>
      </c>
      <c r="B8548" t="s">
        <v>14</v>
      </c>
      <c r="C8548" t="s">
        <v>22</v>
      </c>
      <c r="D8548" s="2" t="s">
        <f>=HYPERLINK("https://main.knesset.gov.il/APPS/legislation/main/bills/2166074", "הצעת חוק הגנת הצרכן (תיקון - מגבלות על חיוב חשבון של צרכן בתשלומים), התשפ""ב-2022")</f>
        <v>16657</v>
      </c>
      <c r="E8548" t="s">
        <v>16657</v>
      </c>
      <c r="F8548" t="s">
        <v>16658</v>
      </c>
      <c r="G8548" t="s">
        <v>14</v>
      </c>
      <c r="H8548">
             </c>
      <c r="I8548" t="s">
        <v>14</v>
      </c>
      <c r="J8548" t="s">
        <v>141</v>
      </c>
      <c r="K8548" t="s">
        <v>14</v>
      </c>
      <c r="L8548" t="s">
        <v>20</v>
      </c>
      <c r="M8548" t="s">
        <v>16558</v>
      </c>
      <c r="N8548" t="s">
        <v>14</v>
      </c>
    </row>
    <row r="8549" x14ac:dyDescent="0.25">
      <c r="A8549" t="n">
        <v>24</v>
      </c>
      <c r="B8549" t="s">
        <v>14</v>
      </c>
      <c r="C8549" t="s">
        <v>22</v>
      </c>
      <c r="D8549" s="2" t="s">
        <f>=HYPERLINK("https://main.knesset.gov.il/APPS/legislation/main/bills/2169283", "הצעת חוק הכשרה מקצועית לעולים, התשפ""ב-2022")</f>
        <v>16659</v>
      </c>
      <c r="E8549" t="s">
        <v>16659</v>
      </c>
      <c r="F8549" t="s">
        <v>16660</v>
      </c>
      <c r="G8549" t="s">
        <v>14</v>
      </c>
      <c r="H8549">
             </c>
      <c r="I8549" t="s">
        <v>14</v>
      </c>
      <c r="J8549" t="s">
        <v>141</v>
      </c>
      <c r="K8549" t="s">
        <v>14</v>
      </c>
      <c r="L8549" t="s">
        <v>20</v>
      </c>
      <c r="M8549" t="s">
        <v>16558</v>
      </c>
      <c r="N8549" t="s">
        <v>14</v>
      </c>
    </row>
    <row r="8550" x14ac:dyDescent="0.25">
      <c r="A8550" t="n">
        <v>24</v>
      </c>
      <c r="B8550" t="s">
        <v>14</v>
      </c>
      <c r="C8550" t="s">
        <v>22</v>
      </c>
      <c r="D8550" s="2" t="s">
        <f>=HYPERLINK("https://main.knesset.gov.il/APPS/legislation/main/bills/2166072", "הצעת חוק הגנת הצרכן (תיקון - חובת פרסום שם יצרן ודגם מוצר), התשפ""ב-2022")</f>
        <v>16661</v>
      </c>
      <c r="E8550" t="s">
        <v>16661</v>
      </c>
      <c r="F8550" t="s">
        <v>16662</v>
      </c>
      <c r="G8550" t="s">
        <v>14</v>
      </c>
      <c r="H8550">
             </c>
      <c r="I8550" t="s">
        <v>14</v>
      </c>
      <c r="J8550" t="s">
        <v>141</v>
      </c>
      <c r="K8550" t="s">
        <v>14</v>
      </c>
      <c r="L8550" t="s">
        <v>20</v>
      </c>
      <c r="M8550" t="s">
        <v>16558</v>
      </c>
      <c r="N8550" t="s">
        <v>14</v>
      </c>
    </row>
    <row r="8551" x14ac:dyDescent="0.25">
      <c r="A8551" t="n">
        <v>24</v>
      </c>
      <c r="B8551" t="s">
        <v>14</v>
      </c>
      <c r="C8551" t="s">
        <v>22</v>
      </c>
      <c r="D8551" s="2" t="s">
        <f>=HYPERLINK("https://main.knesset.gov.il/APPS/legislation/main/bills/2169426", "הצעת חוק עובדים זרים (תיקון - היתר להעסקת עובד זר בענף הסיעוד), התשפ""ב-2022")</f>
        <v>16663</v>
      </c>
      <c r="E8551" t="s">
        <v>16663</v>
      </c>
      <c r="F8551" t="s">
        <v>16664</v>
      </c>
      <c r="G8551" t="s">
        <v>14</v>
      </c>
      <c r="H8551">
             </c>
      <c r="I8551" t="s">
        <v>14</v>
      </c>
      <c r="J8551" t="s">
        <v>141</v>
      </c>
      <c r="K8551" t="s">
        <v>14</v>
      </c>
      <c r="L8551" t="s">
        <v>20</v>
      </c>
      <c r="M8551" t="s">
        <v>16558</v>
      </c>
      <c r="N8551" t="s">
        <v>14</v>
      </c>
    </row>
    <row r="8552" x14ac:dyDescent="0.25">
      <c r="A8552" t="n">
        <v>24</v>
      </c>
      <c r="B8552" t="s">
        <v>14</v>
      </c>
      <c r="C8552" t="s">
        <v>22</v>
      </c>
      <c r="D8552" s="2" t="s">
        <f>=HYPERLINK("https://main.knesset.gov.il/APPS/legislation/main/bills/2166086", "הצעת חוק המועצה הישראלית לצרכנות (תיקון - ודאות תקציבית), התשפ""ב-2022")</f>
        <v>16665</v>
      </c>
      <c r="E8552" t="s">
        <v>16665</v>
      </c>
      <c r="F8552" t="s">
        <v>16666</v>
      </c>
      <c r="G8552" t="s">
        <v>14</v>
      </c>
      <c r="H8552">
             </c>
      <c r="I8552" t="s">
        <v>14</v>
      </c>
      <c r="J8552" t="s">
        <v>141</v>
      </c>
      <c r="K8552" t="s">
        <v>14</v>
      </c>
      <c r="L8552" t="s">
        <v>20</v>
      </c>
      <c r="M8552" t="s">
        <v>16558</v>
      </c>
      <c r="N8552" t="s">
        <v>14</v>
      </c>
    </row>
    <row r="8553" x14ac:dyDescent="0.25">
      <c r="A8553" t="n">
        <v>24</v>
      </c>
      <c r="B8553" t="s">
        <v>14</v>
      </c>
      <c r="C8553" t="s">
        <v>22</v>
      </c>
      <c r="D8553" s="2" t="s">
        <f>=HYPERLINK("https://main.knesset.gov.il/APPS/legislation/main/bills/2169043", "הצעת חוק שעות עבודה ומנוחה (תיקון - תשלום עבור שעות כוננות), התשפ""ב-2022")</f>
        <v>16667</v>
      </c>
      <c r="E8553" t="s">
        <v>16667</v>
      </c>
      <c r="F8553" t="s">
        <v>16668</v>
      </c>
      <c r="G8553" t="s">
        <v>14</v>
      </c>
      <c r="H8553">
             </c>
      <c r="I8553" t="s">
        <v>14</v>
      </c>
      <c r="J8553" t="s">
        <v>141</v>
      </c>
      <c r="K8553" t="s">
        <v>14</v>
      </c>
      <c r="L8553" t="s">
        <v>20</v>
      </c>
      <c r="M8553" t="s">
        <v>16558</v>
      </c>
      <c r="N8553" t="s">
        <v>14</v>
      </c>
    </row>
    <row r="8554" x14ac:dyDescent="0.25">
      <c r="A8554" t="n">
        <v>24</v>
      </c>
      <c r="B8554" t="s">
        <v>14</v>
      </c>
      <c r="C8554" t="s">
        <v>22</v>
      </c>
      <c r="D8554" s="2" t="s">
        <f>=HYPERLINK("https://main.knesset.gov.il/APPS/legislation/main/bills/2166071", "הצעת חוק הגנת הצרכן (תיקון - חובת סימון נפח האריזה וקביעת הנפח בשימוש), התשפ""ב-2022")</f>
        <v>16669</v>
      </c>
      <c r="E8554" t="s">
        <v>16669</v>
      </c>
      <c r="F8554" t="s">
        <v>16670</v>
      </c>
      <c r="G8554" t="s">
        <v>14</v>
      </c>
      <c r="H8554">
             </c>
      <c r="I8554" t="s">
        <v>14</v>
      </c>
      <c r="J8554" t="s">
        <v>141</v>
      </c>
      <c r="K8554" t="s">
        <v>14</v>
      </c>
      <c r="L8554" t="s">
        <v>20</v>
      </c>
      <c r="M8554" t="s">
        <v>16558</v>
      </c>
      <c r="N8554" t="s">
        <v>14</v>
      </c>
    </row>
    <row r="8555" x14ac:dyDescent="0.25">
      <c r="A8555" t="n">
        <v>24</v>
      </c>
      <c r="B8555" t="s">
        <v>14</v>
      </c>
      <c r="C8555" t="s">
        <v>22</v>
      </c>
      <c r="D8555" s="2" t="s">
        <f>=HYPERLINK("https://main.knesset.gov.il/APPS/legislation/main/bills/2166087", "הצעת חוק המים (תיקון - הנחות לאוכלוסיות זכאיות), התשפ""ב-2022")</f>
        <v>16671</v>
      </c>
      <c r="E8555" t="s">
        <v>16671</v>
      </c>
      <c r="F8555" t="s">
        <v>16672</v>
      </c>
      <c r="G8555" t="s">
        <v>14</v>
      </c>
      <c r="H8555">
             </c>
      <c r="I8555" t="s">
        <v>14</v>
      </c>
      <c r="J8555" t="s">
        <v>141</v>
      </c>
      <c r="K8555" t="s">
        <v>14</v>
      </c>
      <c r="L8555" t="s">
        <v>20</v>
      </c>
      <c r="M8555" t="s">
        <v>16558</v>
      </c>
      <c r="N8555" t="s">
        <v>14</v>
      </c>
    </row>
    <row r="8556" x14ac:dyDescent="0.25">
      <c r="A8556" t="n">
        <v>24</v>
      </c>
      <c r="B8556" t="s">
        <v>14</v>
      </c>
      <c r="C8556" t="s">
        <v>22</v>
      </c>
      <c r="D8556" s="2" t="s">
        <f>=HYPERLINK("https://main.knesset.gov.il/APPS/legislation/main/bills/2167415", "הצעת חוק לתיקון פקודת מס הכנסה (פטור ממס לרשויות מקומיות על דיבידנד מחברות עירוניות), התשפ""ב-2022")</f>
        <v>16673</v>
      </c>
      <c r="E8556" t="s">
        <v>16673</v>
      </c>
      <c r="F8556" t="s">
        <v>16674</v>
      </c>
      <c r="G8556" t="s">
        <v>14</v>
      </c>
      <c r="H8556">
             </c>
      <c r="I8556" t="s">
        <v>14</v>
      </c>
      <c r="J8556" t="s">
        <v>141</v>
      </c>
      <c r="K8556" t="s">
        <v>14</v>
      </c>
      <c r="L8556" t="s">
        <v>20</v>
      </c>
      <c r="M8556" t="s">
        <v>16558</v>
      </c>
      <c r="N8556" t="s">
        <v>14</v>
      </c>
    </row>
    <row r="8557" x14ac:dyDescent="0.25">
      <c r="A8557" t="n">
        <v>24</v>
      </c>
      <c r="B8557" t="s">
        <v>14</v>
      </c>
      <c r="C8557" t="s">
        <v>22</v>
      </c>
      <c r="D8557" s="2" t="s">
        <f>=HYPERLINK("https://main.knesset.gov.il/APPS/legislation/main/bills/2166070", "הצעת חוק הגנת הצרכן (תיקון - חובת הצגת מחיר מוצר בעת עריכת החשבון בקופה), התשפ""ב-2022")</f>
        <v>16675</v>
      </c>
      <c r="E8557" t="s">
        <v>16675</v>
      </c>
      <c r="F8557" t="s">
        <v>16676</v>
      </c>
      <c r="G8557" t="s">
        <v>14</v>
      </c>
      <c r="H8557">
             </c>
      <c r="I8557" t="s">
        <v>14</v>
      </c>
      <c r="J8557" t="s">
        <v>141</v>
      </c>
      <c r="K8557" t="s">
        <v>14</v>
      </c>
      <c r="L8557" t="s">
        <v>20</v>
      </c>
      <c r="M8557" t="s">
        <v>16558</v>
      </c>
      <c r="N8557" t="s">
        <v>14</v>
      </c>
    </row>
    <row r="8558" x14ac:dyDescent="0.25">
      <c r="A8558" t="n">
        <v>24</v>
      </c>
      <c r="B8558" t="s">
        <v>14</v>
      </c>
      <c r="C8558" t="s">
        <v>22</v>
      </c>
      <c r="D8558" s="2" t="s">
        <f>=HYPERLINK("https://main.knesset.gov.il/APPS/legislation/main/bills/2166069", "הצעת חוק הגנת הצרכן (תיקון - חובת גילוי הוזלה במחיר בעסקה מתמשכת), התשפ""ב-2022")</f>
        <v>16677</v>
      </c>
      <c r="E8558" t="s">
        <v>16677</v>
      </c>
      <c r="F8558" t="s">
        <v>16678</v>
      </c>
      <c r="G8558" t="s">
        <v>14</v>
      </c>
      <c r="H8558">
             </c>
      <c r="I8558" t="s">
        <v>14</v>
      </c>
      <c r="J8558" t="s">
        <v>141</v>
      </c>
      <c r="K8558" t="s">
        <v>14</v>
      </c>
      <c r="L8558" t="s">
        <v>20</v>
      </c>
      <c r="M8558" t="s">
        <v>16558</v>
      </c>
      <c r="N8558" t="s">
        <v>14</v>
      </c>
    </row>
    <row r="8559" x14ac:dyDescent="0.25">
      <c r="A8559" t="n">
        <v>24</v>
      </c>
      <c r="B8559" t="s">
        <v>14</v>
      </c>
      <c r="C8559" t="s">
        <v>22</v>
      </c>
      <c r="D8559" s="2" t="s">
        <f>=HYPERLINK("https://main.knesset.gov.il/APPS/legislation/main/bills/2161882", "הצעת חוק ההתיישנות (תיקון - תביעה בגין אחריות לפגיעה מינית בקטין), התשפ""ב-2021")</f>
        <v>16679</v>
      </c>
      <c r="E8559" t="s">
        <v>16679</v>
      </c>
      <c r="F8559" t="s">
        <v>16680</v>
      </c>
      <c r="G8559" t="s">
        <v>14</v>
      </c>
      <c r="H8559">
             </c>
      <c r="I8559" t="s">
        <v>14</v>
      </c>
      <c r="J8559" t="s">
        <v>99</v>
      </c>
      <c r="K8559" t="s">
        <v>27</v>
      </c>
      <c r="L8559" t="s">
        <v>20</v>
      </c>
      <c r="M8559" t="s">
        <v>16681</v>
      </c>
      <c r="N8559" t="s">
        <v>14</v>
      </c>
    </row>
    <row r="8560" x14ac:dyDescent="0.25">
      <c r="A8560" t="n">
        <v>24</v>
      </c>
      <c r="B8560" t="s">
        <v>14</v>
      </c>
      <c r="C8560" t="s">
        <v>22</v>
      </c>
      <c r="D8560" s="2" t="s">
        <f>=HYPERLINK("https://main.knesset.gov.il/APPS/legislation/main/bills/2156392", "הצעת חוק לתיקון פקודת התעבורה (הגבלת תשלום דמי חניה במוסד רפואי), התשפ""ב-2021")</f>
        <v>16682</v>
      </c>
      <c r="E8560" t="s">
        <v>16682</v>
      </c>
      <c r="F8560" t="s">
        <v>16683</v>
      </c>
      <c r="G8560" t="s">
        <v>14</v>
      </c>
      <c r="H8560">
             </c>
      <c r="I8560" t="s">
        <v>14</v>
      </c>
      <c r="J8560" t="s">
        <v>55</v>
      </c>
      <c r="K8560" t="s">
        <v>14</v>
      </c>
      <c r="L8560" t="s">
        <v>20</v>
      </c>
      <c r="M8560" t="s">
        <v>16681</v>
      </c>
      <c r="N8560" t="s">
        <v>14</v>
      </c>
    </row>
    <row r="8561" x14ac:dyDescent="0.25">
      <c r="A8561" t="n">
        <v>24</v>
      </c>
      <c r="B8561" t="s">
        <v>14</v>
      </c>
      <c r="C8561" t="s">
        <v>22</v>
      </c>
      <c r="D8561" s="2" t="s">
        <f>=HYPERLINK("https://main.knesset.gov.il/APPS/legislation/main/bills/2165450", "הצעת חוק חיבור בתים בהתיישבות הצעירה לחשמל, התשפ""ב-2021")</f>
        <v>16684</v>
      </c>
      <c r="E8561" t="s">
        <v>16684</v>
      </c>
      <c r="F8561" t="s">
        <v>16685</v>
      </c>
      <c r="G8561" t="s">
        <v>14</v>
      </c>
      <c r="H8561">
             </c>
      <c r="I8561" t="s">
        <v>14</v>
      </c>
      <c r="J8561" t="s">
        <v>55</v>
      </c>
      <c r="K8561" t="s">
        <v>14</v>
      </c>
      <c r="L8561" t="s">
        <v>20</v>
      </c>
      <c r="M8561" t="s">
        <v>16681</v>
      </c>
      <c r="N8561" t="s">
        <v>14</v>
      </c>
    </row>
    <row r="8562" x14ac:dyDescent="0.25">
      <c r="A8562" t="n">
        <v>24</v>
      </c>
      <c r="B8562" t="s">
        <v>14</v>
      </c>
      <c r="C8562" t="s">
        <v>22</v>
      </c>
      <c r="D8562" s="2" t="s">
        <f>=HYPERLINK("https://main.knesset.gov.il/APPS/legislation/main/bills/2164492", "הצעת חוק מס ערך מוסף (תיקון - פטור ממס ממכירת תרופות מאריכות חיים שאינן כלולות בסל הבריאות), התשפ""ב-2021")</f>
        <v>16686</v>
      </c>
      <c r="E8562" t="s">
        <v>16686</v>
      </c>
      <c r="F8562" t="s">
        <v>16687</v>
      </c>
      <c r="G8562" t="s">
        <v>14</v>
      </c>
      <c r="H8562">
             </c>
      <c r="I8562" t="s">
        <v>14</v>
      </c>
      <c r="J8562" t="s">
        <v>55</v>
      </c>
      <c r="K8562" t="s">
        <v>14</v>
      </c>
      <c r="L8562" t="s">
        <v>20</v>
      </c>
      <c r="M8562" t="s">
        <v>16681</v>
      </c>
      <c r="N8562" t="s">
        <v>14</v>
      </c>
    </row>
    <row r="8563" x14ac:dyDescent="0.25">
      <c r="A8563" t="n">
        <v>24</v>
      </c>
      <c r="B8563" t="s">
        <v>14</v>
      </c>
      <c r="C8563" t="s">
        <v>22</v>
      </c>
      <c r="D8563" s="2" t="s">
        <f>=HYPERLINK("https://main.knesset.gov.il/APPS/legislation/main/bills/2164637", "הצעת חוק מעונות יום שיקומיים (תיקון - פעוט עם מוגבלות שטרם מלאו לו שישה חודשים), התשפ""ב-2021")</f>
        <v>16688</v>
      </c>
      <c r="E8563" t="s">
        <v>16688</v>
      </c>
      <c r="F8563" t="s">
        <v>16689</v>
      </c>
      <c r="G8563" t="s">
        <v>14</v>
      </c>
      <c r="H8563">
             </c>
      <c r="I8563" t="s">
        <v>14</v>
      </c>
      <c r="J8563" t="s">
        <v>31</v>
      </c>
      <c r="K8563" t="s">
        <v>127</v>
      </c>
      <c r="L8563" t="s">
        <v>20</v>
      </c>
      <c r="M8563" t="s">
        <v>16681</v>
      </c>
      <c r="N8563" t="s">
        <v>14</v>
      </c>
    </row>
    <row r="8564" x14ac:dyDescent="0.25">
      <c r="A8564" t="n">
        <v>24</v>
      </c>
      <c r="B8564" t="s">
        <v>14</v>
      </c>
      <c r="C8564" t="s">
        <v>22</v>
      </c>
      <c r="D8564" s="2" t="s">
        <f>=HYPERLINK("https://main.knesset.gov.il/APPS/legislation/main/bills/2163680", "הצעת חוק אחריות קבלן שיפוצים, התשפ""ב-2021")</f>
        <v>16690</v>
      </c>
      <c r="E8564" t="s">
        <v>16690</v>
      </c>
      <c r="F8564" t="s">
        <v>16691</v>
      </c>
      <c r="G8564" t="s">
        <v>14</v>
      </c>
      <c r="H8564">
             </c>
      <c r="I8564" t="s">
        <v>14</v>
      </c>
      <c r="J8564" t="s">
        <v>31</v>
      </c>
      <c r="K8564" t="s">
        <v>19</v>
      </c>
      <c r="L8564" t="s">
        <v>20</v>
      </c>
      <c r="M8564" t="s">
        <v>16681</v>
      </c>
      <c r="N8564" t="s">
        <v>14</v>
      </c>
    </row>
    <row r="8565" x14ac:dyDescent="0.25">
      <c r="A8565" t="n">
        <v>24</v>
      </c>
      <c r="B8565" t="s">
        <v>14</v>
      </c>
      <c r="C8565" t="s">
        <v>22</v>
      </c>
      <c r="D8565" s="2" t="s">
        <f>=HYPERLINK("https://main.knesset.gov.il/APPS/legislation/main/bills/2164121", "הצעת חוק ההוצאה לפועל (תיקון - ביטול האפשרות לצוות על עיכוב יציאה מהארץ בגין חוב כספי נמוך), התשפ""ב-2021")</f>
        <v>16692</v>
      </c>
      <c r="E8565" t="s">
        <v>16692</v>
      </c>
      <c r="F8565" t="s">
        <v>16693</v>
      </c>
      <c r="G8565" t="s">
        <v>14</v>
      </c>
      <c r="H8565">
             </c>
      <c r="I8565" t="s">
        <v>14</v>
      </c>
      <c r="J8565" t="s">
        <v>55</v>
      </c>
      <c r="K8565" t="s">
        <v>14</v>
      </c>
      <c r="L8565" t="s">
        <v>20</v>
      </c>
      <c r="M8565" t="s">
        <v>16681</v>
      </c>
      <c r="N8565" t="s">
        <v>14</v>
      </c>
    </row>
    <row r="8566" x14ac:dyDescent="0.25">
      <c r="A8566" t="n">
        <v>24</v>
      </c>
      <c r="B8566" t="s">
        <v>14</v>
      </c>
      <c r="C8566" t="s">
        <v>22</v>
      </c>
      <c r="D8566" s="2" t="s">
        <f>=HYPERLINK("https://main.knesset.gov.il/APPS/legislation/main/bills/2157307", "הצעת חוק לתיקון פקודת התעבורה (הגבלת דמי חניה במוסד רפואי), התשפ""ב-2021")</f>
        <v>16694</v>
      </c>
      <c r="E8566" t="s">
        <v>16694</v>
      </c>
      <c r="F8566" t="s">
        <v>16695</v>
      </c>
      <c r="G8566" t="s">
        <v>14</v>
      </c>
      <c r="H8566">
             </c>
      <c r="I8566" t="s">
        <v>14</v>
      </c>
      <c r="J8566" t="s">
        <v>55</v>
      </c>
      <c r="K8566" t="s">
        <v>14</v>
      </c>
      <c r="L8566" t="s">
        <v>20</v>
      </c>
      <c r="M8566" t="s">
        <v>16681</v>
      </c>
      <c r="N8566" t="s">
        <v>14</v>
      </c>
    </row>
    <row r="8567" x14ac:dyDescent="0.25">
      <c r="A8567" t="n">
        <v>24</v>
      </c>
      <c r="B8567" t="s">
        <v>14</v>
      </c>
      <c r="C8567" t="s">
        <v>22</v>
      </c>
      <c r="D8567" s="2" t="s">
        <f>=HYPERLINK("https://main.knesset.gov.il/APPS/legislation/main/bills/2160969", "הצעת חוק הגבלת משקל בתעשיית הדוגמנות (תיקון - פיקוח ואכיפה), התשפ""ב-2021")</f>
        <v>16696</v>
      </c>
      <c r="E8567" t="s">
        <v>16696</v>
      </c>
      <c r="F8567" t="s">
        <v>16697</v>
      </c>
      <c r="G8567" t="s">
        <v>14</v>
      </c>
      <c r="H8567">
             </c>
      <c r="I8567" t="s">
        <v>14</v>
      </c>
      <c r="J8567" t="s">
        <v>31</v>
      </c>
      <c r="K8567" t="s">
        <v>480</v>
      </c>
      <c r="L8567" t="s">
        <v>20</v>
      </c>
      <c r="M8567" t="s">
        <v>16681</v>
      </c>
      <c r="N8567" t="s">
        <v>14</v>
      </c>
    </row>
    <row r="8568" x14ac:dyDescent="0.25">
      <c r="A8568" t="n">
        <v>24</v>
      </c>
      <c r="B8568" t="s">
        <v>14</v>
      </c>
      <c r="C8568" t="s">
        <v>22</v>
      </c>
      <c r="D8568" s="2" t="s">
        <f>=HYPERLINK("https://main.knesset.gov.il/APPS/legislation/main/bills/2159721", "הצעת חוק מס ערך מוסף (תיקון - מס בשיעור אפס לתרופות), התשפ""א-2021")</f>
        <v>16698</v>
      </c>
      <c r="E8568" t="s">
        <v>16698</v>
      </c>
      <c r="F8568" t="s">
        <v>16699</v>
      </c>
      <c r="G8568" t="s">
        <v>14</v>
      </c>
      <c r="H8568">
             </c>
      <c r="I8568" t="s">
        <v>14</v>
      </c>
      <c r="J8568" t="s">
        <v>55</v>
      </c>
      <c r="K8568" t="s">
        <v>14</v>
      </c>
      <c r="L8568" t="s">
        <v>20</v>
      </c>
      <c r="M8568" t="s">
        <v>16681</v>
      </c>
      <c r="N8568" t="s">
        <v>14</v>
      </c>
    </row>
    <row r="8569" x14ac:dyDescent="0.25">
      <c r="A8569" t="n">
        <v>24</v>
      </c>
      <c r="B8569" t="s">
        <v>14</v>
      </c>
      <c r="C8569" t="s">
        <v>22</v>
      </c>
      <c r="D8569" s="2" t="s">
        <f>=HYPERLINK("https://main.knesset.gov.il/APPS/legislation/main/bills/2159244", "הצעת חוק הביטוח הלאומי (תיקון - הצמדת קצבת אזרח ותיק לקו העוני), התשפ''א-2021")</f>
        <v>16700</v>
      </c>
      <c r="E8569" t="s">
        <v>16700</v>
      </c>
      <c r="F8569" t="s">
        <v>16701</v>
      </c>
      <c r="G8569" t="s">
        <v>14</v>
      </c>
      <c r="H8569">
             </c>
      <c r="I8569" t="s">
        <v>14</v>
      </c>
      <c r="J8569" t="s">
        <v>65</v>
      </c>
      <c r="K8569" t="s">
        <v>14</v>
      </c>
      <c r="L8569" t="s">
        <v>20</v>
      </c>
      <c r="M8569" t="s">
        <v>16681</v>
      </c>
      <c r="N8569" t="s">
        <v>14</v>
      </c>
    </row>
    <row r="8570" x14ac:dyDescent="0.25">
      <c r="A8570" t="n">
        <v>24</v>
      </c>
      <c r="B8570" t="s">
        <v>14</v>
      </c>
      <c r="C8570" t="s">
        <v>22</v>
      </c>
      <c r="D8570" s="2" t="s">
        <f>=HYPERLINK("https://main.knesset.gov.il/APPS/legislation/main/bills/2159045", "הצעת חוק מס ערך מוסף (תיקון - פטור ממס במכירת תרופות מצילות חיים שאינן כלולות בסל הבריאות), התשפ""א-2021")</f>
        <v>16702</v>
      </c>
      <c r="E8570" t="s">
        <v>16702</v>
      </c>
      <c r="F8570" t="s">
        <v>16703</v>
      </c>
      <c r="G8570" t="s">
        <v>14</v>
      </c>
      <c r="H8570">
             </c>
      <c r="I8570" t="s">
        <v>14</v>
      </c>
      <c r="J8570" t="s">
        <v>55</v>
      </c>
      <c r="K8570" t="s">
        <v>14</v>
      </c>
      <c r="L8570" t="s">
        <v>20</v>
      </c>
      <c r="M8570" t="s">
        <v>16681</v>
      </c>
      <c r="N8570" t="s">
        <v>14</v>
      </c>
    </row>
    <row r="8571" x14ac:dyDescent="0.25">
      <c r="A8571" t="n">
        <v>24</v>
      </c>
      <c r="B8571" t="s">
        <v>14</v>
      </c>
      <c r="C8571" t="s">
        <v>22</v>
      </c>
      <c r="D8571" s="2" t="s">
        <f>=HYPERLINK("https://main.knesset.gov.il/APPS/legislation/main/bills/2159023", "הצעת חוק לתיקון פקודת התעבורה (הגבלת תשלום בעד חניה במוסד רפואי), התשפ""א-2021")</f>
        <v>16704</v>
      </c>
      <c r="E8571" t="s">
        <v>16704</v>
      </c>
      <c r="F8571" t="s">
        <v>16705</v>
      </c>
      <c r="G8571" t="s">
        <v>14</v>
      </c>
      <c r="H8571">
             </c>
      <c r="I8571" t="s">
        <v>14</v>
      </c>
      <c r="J8571" t="s">
        <v>55</v>
      </c>
      <c r="K8571" t="s">
        <v>14</v>
      </c>
      <c r="L8571" t="s">
        <v>20</v>
      </c>
      <c r="M8571" t="s">
        <v>16681</v>
      </c>
      <c r="N8571" t="s">
        <v>14</v>
      </c>
    </row>
    <row r="8572" x14ac:dyDescent="0.25">
      <c r="A8572" t="n">
        <v>24</v>
      </c>
      <c r="B8572" t="s">
        <v>14</v>
      </c>
      <c r="C8572" t="s">
        <v>22</v>
      </c>
      <c r="D8572" s="2" t="s">
        <f>=HYPERLINK("https://main.knesset.gov.il/APPS/legislation/main/bills/2157667", "הצעת חוק הפיקוח על ייצוא ביטחוני (תיקון - הגבלות על ייצוא ביטחוני לכוחות ביטחון שביצעו הפרות חמורות של זכויות אדם), התשפ""א-2021")</f>
        <v>16706</v>
      </c>
      <c r="E8572" t="s">
        <v>16706</v>
      </c>
      <c r="F8572" t="s">
        <v>16707</v>
      </c>
      <c r="G8572" t="s">
        <v>14</v>
      </c>
      <c r="H8572">
             </c>
      <c r="I8572" t="s">
        <v>14</v>
      </c>
      <c r="J8572" t="s">
        <v>55</v>
      </c>
      <c r="K8572" t="s">
        <v>14</v>
      </c>
      <c r="L8572" t="s">
        <v>20</v>
      </c>
      <c r="M8572" t="s">
        <v>16681</v>
      </c>
      <c r="N8572" t="s">
        <v>14</v>
      </c>
    </row>
    <row r="8573" x14ac:dyDescent="0.25">
      <c r="A8573" t="n">
        <v>24</v>
      </c>
      <c r="B8573" t="s">
        <v>14</v>
      </c>
      <c r="C8573" t="s">
        <v>22</v>
      </c>
      <c r="D8573" s="2" t="s">
        <f>=HYPERLINK("https://main.knesset.gov.il/APPS/legislation/main/bills/2158562", "הצעת חוק העונשין (תיקון - איסור הנפת דגל של ישות עוינת), התשפ""א-2021")</f>
        <v>16708</v>
      </c>
      <c r="E8573" t="s">
        <v>16708</v>
      </c>
      <c r="F8573" t="s">
        <v>16709</v>
      </c>
      <c r="G8573" t="s">
        <v>14</v>
      </c>
      <c r="H8573">
             </c>
      <c r="I8573" t="s">
        <v>14</v>
      </c>
      <c r="J8573" t="s">
        <v>55</v>
      </c>
      <c r="K8573" t="s">
        <v>14</v>
      </c>
      <c r="L8573" t="s">
        <v>20</v>
      </c>
      <c r="M8573" t="s">
        <v>16681</v>
      </c>
      <c r="N8573" t="s">
        <v>14</v>
      </c>
    </row>
    <row r="8574" x14ac:dyDescent="0.25">
      <c r="A8574" t="n">
        <v>24</v>
      </c>
      <c r="B8574" t="s">
        <v>14</v>
      </c>
      <c r="C8574" t="s">
        <v>22</v>
      </c>
      <c r="D8574" s="2" t="s">
        <f>=HYPERLINK("https://main.knesset.gov.il/APPS/legislation/main/bills/2156316", "הצעת חוק ההוצאה לפועל (תיקון - ביטול האפשרות לצוות על עיכוב יציאה מהארץ בגין חוב כספי נמוך), התשפ""א-2021")</f>
        <v>16710</v>
      </c>
      <c r="E8574" t="s">
        <v>16710</v>
      </c>
      <c r="F8574" t="s">
        <v>16711</v>
      </c>
      <c r="G8574" t="s">
        <v>14</v>
      </c>
      <c r="H8574">
             </c>
      <c r="I8574" t="s">
        <v>14</v>
      </c>
      <c r="J8574" t="s">
        <v>55</v>
      </c>
      <c r="K8574" t="s">
        <v>14</v>
      </c>
      <c r="L8574" t="s">
        <v>20</v>
      </c>
      <c r="M8574" t="s">
        <v>16681</v>
      </c>
      <c r="N8574" t="s">
        <v>14</v>
      </c>
    </row>
    <row r="8575" x14ac:dyDescent="0.25">
      <c r="A8575" t="n">
        <v>24</v>
      </c>
      <c r="B8575" t="s">
        <v>14</v>
      </c>
      <c r="C8575" t="s">
        <v>22</v>
      </c>
      <c r="D8575" s="2" t="s">
        <f>=HYPERLINK("https://main.knesset.gov.il/APPS/legislation/main/bills/2156525", "הצעת חוק מעונות יום שיקומיים (תיקון - פעוט עם מוגבלות שטרם מלאו לו שישה חודשים), התשפ""א-2021")</f>
        <v>16712</v>
      </c>
      <c r="E8575" t="s">
        <v>16712</v>
      </c>
      <c r="F8575" t="s">
        <v>16713</v>
      </c>
      <c r="G8575" t="s">
        <v>14</v>
      </c>
      <c r="H8575">
             </c>
      <c r="I8575" t="s">
        <v>14</v>
      </c>
      <c r="J8575" t="s">
        <v>31</v>
      </c>
      <c r="K8575" t="s">
        <v>127</v>
      </c>
      <c r="L8575" t="s">
        <v>20</v>
      </c>
      <c r="M8575" t="s">
        <v>16681</v>
      </c>
      <c r="N8575" t="s">
        <v>14</v>
      </c>
    </row>
    <row r="8576" x14ac:dyDescent="0.25">
      <c r="A8576" t="n">
        <v>24</v>
      </c>
      <c r="B8576" t="s">
        <v>14</v>
      </c>
      <c r="C8576" t="s">
        <v>15</v>
      </c>
      <c r="D8576" s="2" t="s">
        <f>=HYPERLINK("https://main.knesset.gov.il/APPS/legislation/main/bills/2170037", "הצעת חוק לתיקון פקודת מס הכנסה (מס' 261), התשפ""ב-2022")</f>
        <v>16714</v>
      </c>
      <c r="E8576" t="s">
        <v>16714</v>
      </c>
      <c r="F8576" t="s">
        <v>14</v>
      </c>
      <c r="G8576" t="s">
        <v>16715</v>
      </c>
      <c r="H8576">
             </c>
      <c r="I8576" t="s">
        <v>14</v>
      </c>
      <c r="J8576" t="s">
        <v>69</v>
      </c>
      <c r="K8576" t="s">
        <v>14</v>
      </c>
      <c r="L8576" t="s">
        <v>20</v>
      </c>
      <c r="M8576" t="s">
        <v>16681</v>
      </c>
      <c r="N8576" t="s">
        <v>14</v>
      </c>
    </row>
    <row r="8577" x14ac:dyDescent="0.25">
      <c r="A8577" t="n">
        <v>24</v>
      </c>
      <c r="B8577" t="s">
        <v>14</v>
      </c>
      <c r="C8577" t="s">
        <v>22</v>
      </c>
      <c r="D8577" s="2" t="s">
        <f>=HYPERLINK("https://main.knesset.gov.il/APPS/legislation/main/bills/2162440", "הצעת חוק דמי מחלה (תיקון - חישוב היעדרות לחולים במחלה קשה), התשפ""ב-2021")</f>
        <v>16716</v>
      </c>
      <c r="E8577" t="s">
        <v>16716</v>
      </c>
      <c r="F8577" t="s">
        <v>16717</v>
      </c>
      <c r="G8577" t="s">
        <v>14</v>
      </c>
      <c r="H8577">
             </c>
      <c r="I8577" t="s">
        <v>14</v>
      </c>
      <c r="J8577" t="s">
        <v>99</v>
      </c>
      <c r="K8577" t="s">
        <v>127</v>
      </c>
      <c r="L8577" t="s">
        <v>20</v>
      </c>
      <c r="M8577" t="s">
        <v>16718</v>
      </c>
      <c r="N8577" t="s">
        <v>14</v>
      </c>
    </row>
    <row r="8578" x14ac:dyDescent="0.25">
      <c r="A8578" t="n">
        <v>24</v>
      </c>
      <c r="B8578" t="s">
        <v>14</v>
      </c>
      <c r="C8578" t="s">
        <v>22</v>
      </c>
      <c r="D8578" s="2" t="s">
        <f>=HYPERLINK("https://main.knesset.gov.il/APPS/legislation/main/bills/2166655", "הצעת חוק כבילת עצורים ואסירים שלא כדין - עוולה אזרחית (תיקוני חקיקה), התשפ""ב-2021 ")</f>
        <v>16719</v>
      </c>
      <c r="E8578" t="s">
        <v>16719</v>
      </c>
      <c r="F8578" t="s">
        <v>16720</v>
      </c>
      <c r="G8578" t="s">
        <v>14</v>
      </c>
      <c r="H8578">
             </c>
      <c r="I8578" t="s">
        <v>14</v>
      </c>
      <c r="J8578" t="s">
        <v>99</v>
      </c>
      <c r="K8578" t="s">
        <v>14336</v>
      </c>
      <c r="L8578" t="s">
        <v>20</v>
      </c>
      <c r="M8578" t="s">
        <v>16718</v>
      </c>
      <c r="N8578" t="s">
        <v>14</v>
      </c>
    </row>
    <row r="8579" x14ac:dyDescent="0.25">
      <c r="A8579" t="n">
        <v>24</v>
      </c>
      <c r="B8579" t="s">
        <v>14</v>
      </c>
      <c r="C8579" t="s">
        <v>22</v>
      </c>
      <c r="D8579" s="2" t="s">
        <f>=HYPERLINK("https://main.knesset.gov.il/APPS/legislation/main/bills/2165962", "הצעת חוק החברות הממשלתיות (תיקון - ייצוג הולם בתאגידים ממשלתיים וגופים סטטוטוריים), התשפ""ב-2021")</f>
        <v>16721</v>
      </c>
      <c r="E8579" t="s">
        <v>16721</v>
      </c>
      <c r="F8579" t="s">
        <v>16722</v>
      </c>
      <c r="G8579" t="s">
        <v>14</v>
      </c>
      <c r="H8579">
             </c>
      <c r="I8579" t="s">
        <v>14</v>
      </c>
      <c r="J8579" t="s">
        <v>31</v>
      </c>
      <c r="K8579" t="s">
        <v>27</v>
      </c>
      <c r="L8579" t="s">
        <v>20</v>
      </c>
      <c r="M8579" t="s">
        <v>16723</v>
      </c>
      <c r="N8579" t="s">
        <v>14</v>
      </c>
    </row>
    <row r="8580" x14ac:dyDescent="0.25">
      <c r="A8580" t="n">
        <v>24</v>
      </c>
      <c r="B8580" t="s">
        <v>14</v>
      </c>
      <c r="C8580" t="s">
        <v>22</v>
      </c>
      <c r="D8580" s="2" t="s">
        <f>=HYPERLINK("https://main.knesset.gov.il/APPS/legislation/main/bills/2157328", "הצעת חוק העונשין (תיקון - חילוט רווחי סרסרות), התשפ""א-2021")</f>
        <v>16724</v>
      </c>
      <c r="E8580" t="s">
        <v>16724</v>
      </c>
      <c r="F8580" t="s">
        <v>16725</v>
      </c>
      <c r="G8580" t="s">
        <v>14</v>
      </c>
      <c r="H8580">
             </c>
      <c r="I8580" t="s">
        <v>14</v>
      </c>
      <c r="J8580" t="s">
        <v>31</v>
      </c>
      <c r="K8580" t="s">
        <v>27</v>
      </c>
      <c r="L8580" t="s">
        <v>20</v>
      </c>
      <c r="M8580" t="s">
        <v>16723</v>
      </c>
      <c r="N8580" t="s">
        <v>14</v>
      </c>
    </row>
    <row r="8581" x14ac:dyDescent="0.25">
      <c r="A8581" t="n">
        <v>24</v>
      </c>
      <c r="B8581" t="s">
        <v>14</v>
      </c>
      <c r="C8581" t="s">
        <v>22</v>
      </c>
      <c r="D8581" s="2" t="s">
        <f>=HYPERLINK("https://main.knesset.gov.il/APPS/legislation/main/bills/2157882", "הצעת חוק הכנסת (תיקון - ציון מקור חקיקה פרטית), התשפ""א-2021")</f>
        <v>16726</v>
      </c>
      <c r="E8581" t="s">
        <v>16726</v>
      </c>
      <c r="F8581" t="s">
        <v>16727</v>
      </c>
      <c r="G8581" t="s">
        <v>14</v>
      </c>
      <c r="H8581">
             </c>
      <c r="I8581" t="s">
        <v>14</v>
      </c>
      <c r="J8581" t="s">
        <v>31</v>
      </c>
      <c r="K8581" t="s">
        <v>121</v>
      </c>
      <c r="L8581" t="s">
        <v>20</v>
      </c>
      <c r="M8581" t="s">
        <v>16723</v>
      </c>
      <c r="N8581" t="s">
        <v>14</v>
      </c>
    </row>
    <row r="8582" x14ac:dyDescent="0.25">
      <c r="A8582" t="n">
        <v>24</v>
      </c>
      <c r="B8582" t="s">
        <v>14</v>
      </c>
      <c r="C8582" t="s">
        <v>22</v>
      </c>
      <c r="D8582" s="2" t="s">
        <f>=HYPERLINK("https://main.knesset.gov.il/APPS/legislation/main/bills/2165710", "הצעת חוק האזרחים הוותיקים (תיקון - חידוש אוטומטי של הנחה בארנונה), התשפ""ב-2021")</f>
        <v>16728</v>
      </c>
      <c r="E8582" t="s">
        <v>16728</v>
      </c>
      <c r="F8582" t="s">
        <v>16729</v>
      </c>
      <c r="G8582" t="s">
        <v>14</v>
      </c>
      <c r="H8582">
             </c>
      <c r="I8582" t="s">
        <v>14</v>
      </c>
      <c r="J8582" t="s">
        <v>99</v>
      </c>
      <c r="K8582" t="s">
        <v>127</v>
      </c>
      <c r="L8582" t="s">
        <v>20</v>
      </c>
      <c r="M8582" t="s">
        <v>16723</v>
      </c>
      <c r="N8582" t="s">
        <v>14</v>
      </c>
    </row>
    <row r="8583" x14ac:dyDescent="0.25">
      <c r="A8583" t="n">
        <v>24</v>
      </c>
      <c r="B8583" t="s">
        <v>14</v>
      </c>
      <c r="C8583" t="s">
        <v>22</v>
      </c>
      <c r="D8583" s="2" t="s">
        <f>=HYPERLINK("https://main.knesset.gov.il/APPS/legislation/main/bills/2157598", "הצעת חוק האזרחים הוותיקים (תיקון - חידוש אוטומטי של הנחה בארנונה), התשפ""א-2021")</f>
        <v>16730</v>
      </c>
      <c r="E8583" t="s">
        <v>16730</v>
      </c>
      <c r="F8583" t="s">
        <v>16731</v>
      </c>
      <c r="G8583" t="s">
        <v>14</v>
      </c>
      <c r="H8583">
             </c>
      <c r="I8583" t="s">
        <v>14</v>
      </c>
      <c r="J8583" t="s">
        <v>99</v>
      </c>
      <c r="K8583" t="s">
        <v>127</v>
      </c>
      <c r="L8583" t="s">
        <v>20</v>
      </c>
      <c r="M8583" t="s">
        <v>16723</v>
      </c>
      <c r="N8583" t="s">
        <v>14</v>
      </c>
    </row>
    <row r="8584" x14ac:dyDescent="0.25">
      <c r="A8584" t="n">
        <v>24</v>
      </c>
      <c r="B8584" t="s">
        <v>14</v>
      </c>
      <c r="C8584" t="s">
        <v>15</v>
      </c>
      <c r="D8584" s="2" t="s">
        <f>=HYPERLINK("https://main.knesset.gov.il/APPS/legislation/main/bills/2165615", "חוק ההוצאה לפועל (תיקון מס' 69), התשפ""ב-2022")</f>
        <v>16732</v>
      </c>
      <c r="E8584" t="s">
        <v>16732</v>
      </c>
      <c r="F8584" t="s">
        <v>14</v>
      </c>
      <c r="G8584" t="s">
        <v>16733</v>
      </c>
      <c r="H8584" t="n">
        <v>2960</v>
      </c>
      <c r="I8584" t="s">
        <v>14</v>
      </c>
      <c r="J8584" t="s">
        <v>91</v>
      </c>
      <c r="K8584" t="s">
        <v>27</v>
      </c>
      <c r="L8584" t="s">
        <v>20</v>
      </c>
      <c r="M8584" t="s">
        <v>16723</v>
      </c>
      <c r="N8584" t="s">
        <v>16734</v>
      </c>
    </row>
    <row r="8585" x14ac:dyDescent="0.25">
      <c r="A8585" t="n">
        <v>24</v>
      </c>
      <c r="B8585" t="s">
        <v>14</v>
      </c>
      <c r="C8585" t="s">
        <v>15</v>
      </c>
      <c r="D8585" s="2" t="s">
        <f>=HYPERLINK("https://main.knesset.gov.il/APPS/legislation/main/bills/2165125", "חוק לתיקון פקודת מס הכנסה (מס' 259), התשפ""ב-2022")</f>
        <v>16735</v>
      </c>
      <c r="E8585" t="s">
        <v>16735</v>
      </c>
      <c r="F8585" t="s">
        <v>14</v>
      </c>
      <c r="G8585" t="s">
        <v>16736</v>
      </c>
      <c r="H8585" t="n">
        <v>2959</v>
      </c>
      <c r="I8585" t="s">
        <v>14</v>
      </c>
      <c r="J8585" t="s">
        <v>91</v>
      </c>
      <c r="K8585" t="s">
        <v>85</v>
      </c>
      <c r="L8585" t="s">
        <v>20</v>
      </c>
      <c r="M8585" t="s">
        <v>16723</v>
      </c>
      <c r="N8585" t="s">
        <v>16737</v>
      </c>
    </row>
    <row r="8586" x14ac:dyDescent="0.25">
      <c r="A8586" t="n">
        <v>24</v>
      </c>
      <c r="B8586" t="s">
        <v>14</v>
      </c>
      <c r="C8586" t="s">
        <v>15</v>
      </c>
      <c r="D8586" s="2" t="s">
        <f>=HYPERLINK("https://main.knesset.gov.il/APPS/legislation/main/bills/2168169", "חוק סיוע לשדרות וליישובי הנגב המערבי (הוראת שעה) (תיקון מס' 7), התשפ""ב-2022")</f>
        <v>16738</v>
      </c>
      <c r="E8586" t="s">
        <v>16738</v>
      </c>
      <c r="F8586" t="s">
        <v>14</v>
      </c>
      <c r="G8586" t="s">
        <v>16739</v>
      </c>
      <c r="H8586" t="n">
        <v>2958</v>
      </c>
      <c r="I8586" t="s">
        <v>14</v>
      </c>
      <c r="J8586" t="s">
        <v>91</v>
      </c>
      <c r="K8586" t="s">
        <v>85</v>
      </c>
      <c r="L8586" t="s">
        <v>20</v>
      </c>
      <c r="M8586" t="s">
        <v>16723</v>
      </c>
      <c r="N8586" t="s">
        <v>16740</v>
      </c>
    </row>
    <row r="8587" x14ac:dyDescent="0.25">
      <c r="A8587" t="n">
        <v>24</v>
      </c>
      <c r="B8587" t="s">
        <v>14</v>
      </c>
      <c r="C8587" t="s">
        <v>22</v>
      </c>
      <c r="D8587" s="2" t="s">
        <f>=HYPERLINK("https://main.knesset.gov.il/APPS/legislation/main/bills/2169285", "הצעת חוק צער בעלי חיים (הגנה על בעלי חיים) (תיקון - איסור ייצוא בעלי חיים לשחיטה לשם שימוש בעורותיהם לתעשיית הקוסמטיקה), התשפ""ב-2022")</f>
        <v>15503</v>
      </c>
      <c r="E8587" t="s">
        <v>15503</v>
      </c>
      <c r="F8587" t="s">
        <v>16741</v>
      </c>
      <c r="G8587" t="s">
        <v>14</v>
      </c>
      <c r="H8587">
             </c>
      <c r="I8587" t="s">
        <v>14</v>
      </c>
      <c r="J8587" t="s">
        <v>141</v>
      </c>
      <c r="K8587" t="s">
        <v>14</v>
      </c>
      <c r="L8587" t="s">
        <v>20</v>
      </c>
      <c r="M8587" t="s">
        <v>16723</v>
      </c>
      <c r="N8587" t="s">
        <v>14</v>
      </c>
    </row>
    <row r="8588" x14ac:dyDescent="0.25">
      <c r="A8588" t="n">
        <v>24</v>
      </c>
      <c r="B8588" t="s">
        <v>14</v>
      </c>
      <c r="C8588" t="s">
        <v>22</v>
      </c>
      <c r="D8588" s="2" t="s">
        <f>=HYPERLINK("https://main.knesset.gov.il/APPS/legislation/main/bills/2168850", "הצעת חוק הכנסת (תיקון - בחירת יושב ראש הכנסת לאחר כינון ממשלה בהצבעת אי-אמון), התשפ""ב-2022")</f>
        <v>16742</v>
      </c>
      <c r="E8588" t="s">
        <v>16742</v>
      </c>
      <c r="F8588" t="s">
        <v>16743</v>
      </c>
      <c r="G8588" t="s">
        <v>14</v>
      </c>
      <c r="H8588">
             </c>
      <c r="I8588" t="s">
        <v>14</v>
      </c>
      <c r="J8588" t="s">
        <v>141</v>
      </c>
      <c r="K8588" t="s">
        <v>14</v>
      </c>
      <c r="L8588" t="s">
        <v>20</v>
      </c>
      <c r="M8588" t="s">
        <v>16723</v>
      </c>
      <c r="N8588" t="s">
        <v>14</v>
      </c>
    </row>
    <row r="8589" x14ac:dyDescent="0.25">
      <c r="A8589" t="n">
        <v>24</v>
      </c>
      <c r="B8589" t="s">
        <v>14</v>
      </c>
      <c r="C8589" t="s">
        <v>22</v>
      </c>
      <c r="D8589" s="2" t="s">
        <f>=HYPERLINK("https://main.knesset.gov.il/APPS/legislation/main/bills/2169696", "הצעת חוק המאבק בשחיתות הציבורית - הרשעה בעבירה שיש עמה קלון (תיקוני חקיקה), התשפ""ב-2022")</f>
        <v>16744</v>
      </c>
      <c r="E8589" t="s">
        <v>16744</v>
      </c>
      <c r="F8589" t="s">
        <v>16745</v>
      </c>
      <c r="G8589" t="s">
        <v>14</v>
      </c>
      <c r="H8589">
             </c>
      <c r="I8589" t="s">
        <v>14</v>
      </c>
      <c r="J8589" t="s">
        <v>141</v>
      </c>
      <c r="K8589" t="s">
        <v>14</v>
      </c>
      <c r="L8589" t="s">
        <v>20</v>
      </c>
      <c r="M8589" t="s">
        <v>16723</v>
      </c>
      <c r="N8589" t="s">
        <v>14</v>
      </c>
    </row>
    <row r="8590" x14ac:dyDescent="0.25">
      <c r="A8590" t="n">
        <v>24</v>
      </c>
      <c r="B8590" t="s">
        <v>14</v>
      </c>
      <c r="C8590" t="s">
        <v>22</v>
      </c>
      <c r="D8590" s="2" t="s">
        <f>=HYPERLINK("https://main.knesset.gov.il/APPS/legislation/main/bills/2167495", "הצעת חוק המים (תיקון - מניעת זיהום מקור מים), התשפ""ב-2022")</f>
        <v>16746</v>
      </c>
      <c r="E8590" t="s">
        <v>16746</v>
      </c>
      <c r="F8590" t="s">
        <v>16747</v>
      </c>
      <c r="G8590" t="s">
        <v>14</v>
      </c>
      <c r="H8590">
             </c>
      <c r="I8590" t="s">
        <v>14</v>
      </c>
      <c r="J8590" t="s">
        <v>141</v>
      </c>
      <c r="K8590" t="s">
        <v>14</v>
      </c>
      <c r="L8590" t="s">
        <v>20</v>
      </c>
      <c r="M8590" t="s">
        <v>16723</v>
      </c>
      <c r="N8590" t="s">
        <v>14</v>
      </c>
    </row>
    <row r="8591" x14ac:dyDescent="0.25">
      <c r="A8591" t="n">
        <v>24</v>
      </c>
      <c r="B8591" t="s">
        <v>14</v>
      </c>
      <c r="C8591" t="s">
        <v>22</v>
      </c>
      <c r="D8591" s="2" t="s">
        <f>=HYPERLINK("https://main.knesset.gov.il/APPS/legislation/main/bills/2169115", "הצעת חוק רשות מקרקעי ישראל (תיקון - שימוש בקרקע חקלאית לייצור אנרגיה מתחדשת ביישובי עדיפות לאומית), התשפ""ב-2022")</f>
        <v>16748</v>
      </c>
      <c r="E8591" t="s">
        <v>16748</v>
      </c>
      <c r="F8591" t="s">
        <v>16749</v>
      </c>
      <c r="G8591" t="s">
        <v>14</v>
      </c>
      <c r="H8591">
             </c>
      <c r="I8591" t="s">
        <v>14</v>
      </c>
      <c r="J8591" t="s">
        <v>141</v>
      </c>
      <c r="K8591" t="s">
        <v>14</v>
      </c>
      <c r="L8591" t="s">
        <v>20</v>
      </c>
      <c r="M8591" t="s">
        <v>16723</v>
      </c>
      <c r="N8591" t="s">
        <v>14</v>
      </c>
    </row>
    <row r="8592" x14ac:dyDescent="0.25">
      <c r="A8592" t="n">
        <v>24</v>
      </c>
      <c r="B8592" t="s">
        <v>14</v>
      </c>
      <c r="C8592" t="s">
        <v>22</v>
      </c>
      <c r="D8592" s="2" t="s">
        <f>=HYPERLINK("https://main.knesset.gov.il/APPS/legislation/main/bills/2167058", "הצעת חוק לתיקון סדרי המינהל (החלטות והנמקות) (תיקון - השהיית תוקפן וביטולן של פעולה או החלטה מנהלית שהתקבלו בניגוד להוראות החוק), התשפ""ב-2022")</f>
        <v>16750</v>
      </c>
      <c r="E8592" t="s">
        <v>16750</v>
      </c>
      <c r="F8592" t="s">
        <v>16751</v>
      </c>
      <c r="G8592" t="s">
        <v>14</v>
      </c>
      <c r="H8592">
             </c>
      <c r="I8592" t="s">
        <v>14</v>
      </c>
      <c r="J8592" t="s">
        <v>141</v>
      </c>
      <c r="K8592" t="s">
        <v>14</v>
      </c>
      <c r="L8592" t="s">
        <v>20</v>
      </c>
      <c r="M8592" t="s">
        <v>16723</v>
      </c>
      <c r="N8592" t="s">
        <v>14</v>
      </c>
    </row>
    <row r="8593" x14ac:dyDescent="0.25">
      <c r="A8593" t="n">
        <v>24</v>
      </c>
      <c r="B8593" t="s">
        <v>14</v>
      </c>
      <c r="C8593" t="s">
        <v>22</v>
      </c>
      <c r="D8593" s="2" t="s">
        <f>=HYPERLINK("https://main.knesset.gov.il/APPS/legislation/main/bills/2167971", "הצעת חוק קרן סיוע לקורבנות טרור במימוש פסקי דין, התשפ""ב-2022")</f>
        <v>16752</v>
      </c>
      <c r="E8593" t="s">
        <v>16752</v>
      </c>
      <c r="F8593" t="s">
        <v>16753</v>
      </c>
      <c r="G8593" t="s">
        <v>14</v>
      </c>
      <c r="H8593">
             </c>
      <c r="I8593" t="s">
        <v>14</v>
      </c>
      <c r="J8593" t="s">
        <v>141</v>
      </c>
      <c r="K8593" t="s">
        <v>14</v>
      </c>
      <c r="L8593" t="s">
        <v>20</v>
      </c>
      <c r="M8593" t="s">
        <v>16723</v>
      </c>
      <c r="N8593" t="s">
        <v>14</v>
      </c>
    </row>
    <row r="8594" x14ac:dyDescent="0.25">
      <c r="A8594" t="n">
        <v>24</v>
      </c>
      <c r="B8594" t="s">
        <v>14</v>
      </c>
      <c r="C8594" t="s">
        <v>22</v>
      </c>
      <c r="D8594" s="2" t="s">
        <f>=HYPERLINK("https://main.knesset.gov.il/APPS/legislation/main/bills/2167057", "הצעת חוק לתיקון סדרי המינהל (החלטות והנמקות) (תיקון - תוצאות אי-מילוי הוראות החוק), התשפ""ב-2022")</f>
        <v>16754</v>
      </c>
      <c r="E8594" t="s">
        <v>16754</v>
      </c>
      <c r="F8594" t="s">
        <v>16755</v>
      </c>
      <c r="G8594" t="s">
        <v>14</v>
      </c>
      <c r="H8594">
             </c>
      <c r="I8594" t="s">
        <v>14</v>
      </c>
      <c r="J8594" t="s">
        <v>141</v>
      </c>
      <c r="K8594" t="s">
        <v>14</v>
      </c>
      <c r="L8594" t="s">
        <v>20</v>
      </c>
      <c r="M8594" t="s">
        <v>16723</v>
      </c>
      <c r="N8594" t="s">
        <v>14</v>
      </c>
    </row>
    <row r="8595" x14ac:dyDescent="0.25">
      <c r="A8595" t="n">
        <v>24</v>
      </c>
      <c r="B8595" t="s">
        <v>14</v>
      </c>
      <c r="C8595" t="s">
        <v>22</v>
      </c>
      <c r="D8595" s="2" t="s">
        <f>=HYPERLINK("https://main.knesset.gov.il/APPS/legislation/main/bills/2168039", "הצעת חוק הביטוח הלאומי (תיקון - דמי אבטלה בעד חופשה נצרכת ללא תשלום), התשפ""ב-2022")</f>
        <v>16756</v>
      </c>
      <c r="E8595" t="s">
        <v>16756</v>
      </c>
      <c r="F8595" t="s">
        <v>16757</v>
      </c>
      <c r="G8595" t="s">
        <v>14</v>
      </c>
      <c r="H8595">
             </c>
      <c r="I8595" t="s">
        <v>14</v>
      </c>
      <c r="J8595" t="s">
        <v>141</v>
      </c>
      <c r="K8595" t="s">
        <v>14</v>
      </c>
      <c r="L8595" t="s">
        <v>20</v>
      </c>
      <c r="M8595" t="s">
        <v>16723</v>
      </c>
      <c r="N8595" t="s">
        <v>14</v>
      </c>
    </row>
    <row r="8596" x14ac:dyDescent="0.25">
      <c r="A8596" t="n">
        <v>24</v>
      </c>
      <c r="B8596" t="s">
        <v>14</v>
      </c>
      <c r="C8596" t="s">
        <v>22</v>
      </c>
      <c r="D8596" s="2" t="s">
        <f>=HYPERLINK("https://main.knesset.gov.il/APPS/legislation/main/bills/2165876", "הצעת חוק לעיגון מעמדה של העדה הדרוזית, התשפ""ב-2022")</f>
        <v>16758</v>
      </c>
      <c r="E8596" t="s">
        <v>16758</v>
      </c>
      <c r="F8596" t="s">
        <v>16759</v>
      </c>
      <c r="G8596" t="s">
        <v>14</v>
      </c>
      <c r="H8596">
             </c>
      <c r="I8596" t="s">
        <v>14</v>
      </c>
      <c r="J8596" t="s">
        <v>141</v>
      </c>
      <c r="K8596" t="s">
        <v>14</v>
      </c>
      <c r="L8596" t="s">
        <v>20</v>
      </c>
      <c r="M8596" t="s">
        <v>16723</v>
      </c>
      <c r="N8596" t="s">
        <v>14</v>
      </c>
    </row>
    <row r="8597" x14ac:dyDescent="0.25">
      <c r="A8597" t="n">
        <v>24</v>
      </c>
      <c r="B8597" t="s">
        <v>14</v>
      </c>
      <c r="C8597" t="s">
        <v>22</v>
      </c>
      <c r="D8597" s="2" t="s">
        <f>=HYPERLINK("https://main.knesset.gov.il/APPS/legislation/main/bills/2168936", "הצעת חוק לתיקון פקודת התעבורה (ריבית פיגורים בשל אי תשלום קנס על עבירת חניה), התשפ""ב-2022")</f>
        <v>16760</v>
      </c>
      <c r="E8597" t="s">
        <v>16760</v>
      </c>
      <c r="F8597" t="s">
        <v>16761</v>
      </c>
      <c r="G8597" t="s">
        <v>14</v>
      </c>
      <c r="H8597">
             </c>
      <c r="I8597" t="s">
        <v>14</v>
      </c>
      <c r="J8597" t="s">
        <v>141</v>
      </c>
      <c r="K8597" t="s">
        <v>14</v>
      </c>
      <c r="L8597" t="s">
        <v>20</v>
      </c>
      <c r="M8597" t="s">
        <v>16723</v>
      </c>
      <c r="N8597" t="s">
        <v>14</v>
      </c>
    </row>
    <row r="8598" x14ac:dyDescent="0.25">
      <c r="A8598" t="n">
        <v>24</v>
      </c>
      <c r="B8598" t="s">
        <v>14</v>
      </c>
      <c r="C8598" t="s">
        <v>22</v>
      </c>
      <c r="D8598" s="2" t="s">
        <f>=HYPERLINK("https://main.knesset.gov.il/APPS/legislation/main/bills/2169111", "הצעת חוק המים (תיקון - הנחות לבתי תפילה), התשפ""ב-2022")</f>
        <v>16762</v>
      </c>
      <c r="E8598" t="s">
        <v>16762</v>
      </c>
      <c r="F8598" t="s">
        <v>16763</v>
      </c>
      <c r="G8598" t="s">
        <v>14</v>
      </c>
      <c r="H8598">
             </c>
      <c r="I8598" t="s">
        <v>14</v>
      </c>
      <c r="J8598" t="s">
        <v>141</v>
      </c>
      <c r="K8598" t="s">
        <v>14</v>
      </c>
      <c r="L8598" t="s">
        <v>20</v>
      </c>
      <c r="M8598" t="s">
        <v>16723</v>
      </c>
      <c r="N8598" t="s">
        <v>14</v>
      </c>
    </row>
    <row r="8599" x14ac:dyDescent="0.25">
      <c r="A8599" t="n">
        <v>24</v>
      </c>
      <c r="B8599" t="s">
        <v>14</v>
      </c>
      <c r="C8599" t="s">
        <v>22</v>
      </c>
      <c r="D8599" s="2" t="s">
        <f>=HYPERLINK("https://main.knesset.gov.il/APPS/legislation/main/bills/2168466", "הצעת חוק משק החשמל (תיקון - איסור ניתוק חשמל לצרכן ביתי), התשפ""ב-2022")</f>
        <v>16764</v>
      </c>
      <c r="E8599" t="s">
        <v>16764</v>
      </c>
      <c r="F8599" t="s">
        <v>16765</v>
      </c>
      <c r="G8599" t="s">
        <v>14</v>
      </c>
      <c r="H8599">
             </c>
      <c r="I8599" t="s">
        <v>14</v>
      </c>
      <c r="J8599" t="s">
        <v>141</v>
      </c>
      <c r="K8599" t="s">
        <v>14</v>
      </c>
      <c r="L8599" t="s">
        <v>20</v>
      </c>
      <c r="M8599" t="s">
        <v>16723</v>
      </c>
      <c r="N8599" t="s">
        <v>14</v>
      </c>
    </row>
    <row r="8600" x14ac:dyDescent="0.25">
      <c r="A8600" t="n">
        <v>24</v>
      </c>
      <c r="B8600" t="s">
        <v>14</v>
      </c>
      <c r="C8600" t="s">
        <v>22</v>
      </c>
      <c r="D8600" s="2" t="s">
        <f>=HYPERLINK("https://main.knesset.gov.il/APPS/legislation/main/bills/2168619", "הצעת חוק העונשין (תיקון - עבירות מין בנסיבות של יחסי מטופלת ורופא נשים), התשפ""ב-2022")</f>
        <v>16766</v>
      </c>
      <c r="E8600" t="s">
        <v>16766</v>
      </c>
      <c r="F8600" t="s">
        <v>16767</v>
      </c>
      <c r="G8600" t="s">
        <v>14</v>
      </c>
      <c r="H8600">
             </c>
      <c r="I8600" t="s">
        <v>14</v>
      </c>
      <c r="J8600" t="s">
        <v>141</v>
      </c>
      <c r="K8600" t="s">
        <v>14</v>
      </c>
      <c r="L8600" t="s">
        <v>20</v>
      </c>
      <c r="M8600" t="s">
        <v>16723</v>
      </c>
      <c r="N8600" t="s">
        <v>14</v>
      </c>
    </row>
    <row r="8601" x14ac:dyDescent="0.25">
      <c r="A8601" t="n">
        <v>24</v>
      </c>
      <c r="B8601" t="s">
        <v>14</v>
      </c>
      <c r="C8601" t="s">
        <v>22</v>
      </c>
      <c r="D8601" s="2" t="s">
        <f>=HYPERLINK("https://main.knesset.gov.il/APPS/legislation/main/bills/2168171", "הצעת חוק לתיקון פקודת המשטרה (השעיית שוטר בגין תלונה על אלימות), התשפ""ב-2022")</f>
        <v>16768</v>
      </c>
      <c r="E8601" t="s">
        <v>16768</v>
      </c>
      <c r="F8601" t="s">
        <v>16769</v>
      </c>
      <c r="G8601" t="s">
        <v>14</v>
      </c>
      <c r="H8601">
             </c>
      <c r="I8601" t="s">
        <v>14</v>
      </c>
      <c r="J8601" t="s">
        <v>141</v>
      </c>
      <c r="K8601" t="s">
        <v>14</v>
      </c>
      <c r="L8601" t="s">
        <v>20</v>
      </c>
      <c r="M8601" t="s">
        <v>16723</v>
      </c>
      <c r="N8601" t="s">
        <v>14</v>
      </c>
    </row>
    <row r="8602" x14ac:dyDescent="0.25">
      <c r="A8602" t="n">
        <v>24</v>
      </c>
      <c r="B8602" t="s">
        <v>14</v>
      </c>
      <c r="C8602" t="s">
        <v>22</v>
      </c>
      <c r="D8602" s="2" t="s">
        <f>=HYPERLINK("https://main.knesset.gov.il/APPS/legislation/main/bills/2169599", "הצעת חוק-יסוד: קביעת פסילה לצמיתות לנבחרי ציבור בשל עבירות שיש עמן קלון (תיקוני חקיקה)")</f>
        <v>16770</v>
      </c>
      <c r="E8602" t="s">
        <v>16770</v>
      </c>
      <c r="F8602" t="s">
        <v>16771</v>
      </c>
      <c r="G8602" t="s">
        <v>14</v>
      </c>
      <c r="H8602">
             </c>
      <c r="I8602" t="s">
        <v>14</v>
      </c>
      <c r="J8602" t="s">
        <v>141</v>
      </c>
      <c r="K8602" t="s">
        <v>14</v>
      </c>
      <c r="L8602" t="s">
        <v>20</v>
      </c>
      <c r="M8602" t="s">
        <v>16723</v>
      </c>
      <c r="N8602" t="s">
        <v>14</v>
      </c>
    </row>
    <row r="8603" x14ac:dyDescent="0.25">
      <c r="A8603" t="n">
        <v>24</v>
      </c>
      <c r="B8603" t="s">
        <v>14</v>
      </c>
      <c r="C8603" t="s">
        <v>22</v>
      </c>
      <c r="D8603" s="2" t="s">
        <f>=HYPERLINK("https://main.knesset.gov.il/APPS/legislation/main/bills/2169128", "הצעת חוק שירות המדינה (מינויים) (תיקון - העדפת מועמדים תושבי פריפריה), התשפ""ב-2022")</f>
        <v>16772</v>
      </c>
      <c r="E8603" t="s">
        <v>16772</v>
      </c>
      <c r="F8603" t="s">
        <v>16773</v>
      </c>
      <c r="G8603" t="s">
        <v>14</v>
      </c>
      <c r="H8603">
             </c>
      <c r="I8603" t="s">
        <v>14</v>
      </c>
      <c r="J8603" t="s">
        <v>141</v>
      </c>
      <c r="K8603" t="s">
        <v>14</v>
      </c>
      <c r="L8603" t="s">
        <v>20</v>
      </c>
      <c r="M8603" t="s">
        <v>16723</v>
      </c>
      <c r="N8603" t="s">
        <v>14</v>
      </c>
    </row>
    <row r="8604" x14ac:dyDescent="0.25">
      <c r="A8604" t="n">
        <v>24</v>
      </c>
      <c r="B8604" t="s">
        <v>14</v>
      </c>
      <c r="C8604" t="s">
        <v>22</v>
      </c>
      <c r="D8604" s="2" t="s">
        <f>=HYPERLINK("https://main.knesset.gov.il/APPS/legislation/main/bills/2168938", "הצעת חוק הגנת הצרכן (תיקון - החלת חובת ההודעה על סיום עסקה מתמשכת על תאגידים בנקאיים ופיננסיים), התשפ""ב-2022")</f>
        <v>16774</v>
      </c>
      <c r="E8604" t="s">
        <v>16774</v>
      </c>
      <c r="F8604" t="s">
        <v>16775</v>
      </c>
      <c r="G8604" t="s">
        <v>14</v>
      </c>
      <c r="H8604">
             </c>
      <c r="I8604" t="s">
        <v>14</v>
      </c>
      <c r="J8604" t="s">
        <v>141</v>
      </c>
      <c r="K8604" t="s">
        <v>14</v>
      </c>
      <c r="L8604" t="s">
        <v>20</v>
      </c>
      <c r="M8604" t="s">
        <v>16723</v>
      </c>
      <c r="N8604" t="s">
        <v>14</v>
      </c>
    </row>
    <row r="8605" x14ac:dyDescent="0.25">
      <c r="A8605" t="n">
        <v>24</v>
      </c>
      <c r="B8605" t="s">
        <v>14</v>
      </c>
      <c r="C8605" t="s">
        <v>22</v>
      </c>
      <c r="D8605" s="2" t="s">
        <f>=HYPERLINK("https://main.knesset.gov.il/APPS/legislation/main/bills/2168947", "הצעת חוק משק החשמל (תיקון - איסור ניתוק חשמל), התשפ""ב-2022")</f>
        <v>15439</v>
      </c>
      <c r="E8605" t="s">
        <v>15439</v>
      </c>
      <c r="F8605" t="s">
        <v>16776</v>
      </c>
      <c r="G8605" t="s">
        <v>14</v>
      </c>
      <c r="H8605">
             </c>
      <c r="I8605" t="s">
        <v>14</v>
      </c>
      <c r="J8605" t="s">
        <v>141</v>
      </c>
      <c r="K8605" t="s">
        <v>14</v>
      </c>
      <c r="L8605" t="s">
        <v>20</v>
      </c>
      <c r="M8605" t="s">
        <v>16723</v>
      </c>
      <c r="N8605" t="s">
        <v>14</v>
      </c>
    </row>
    <row r="8606" x14ac:dyDescent="0.25">
      <c r="A8606" t="n">
        <v>24</v>
      </c>
      <c r="B8606" t="s">
        <v>14</v>
      </c>
      <c r="C8606" t="s">
        <v>22</v>
      </c>
      <c r="D8606" s="2" t="s">
        <f>=HYPERLINK("https://main.knesset.gov.il/APPS/legislation/main/bills/2167662", "הצעת חוק קיום בדיקת פוליגרף תקופתית לעובדי מערכת אכיפת החוק, התשפ""ב-2022")</f>
        <v>16777</v>
      </c>
      <c r="E8606" t="s">
        <v>16777</v>
      </c>
      <c r="F8606" t="s">
        <v>16778</v>
      </c>
      <c r="G8606" t="s">
        <v>14</v>
      </c>
      <c r="H8606">
             </c>
      <c r="I8606" t="s">
        <v>14</v>
      </c>
      <c r="J8606" t="s">
        <v>141</v>
      </c>
      <c r="K8606" t="s">
        <v>14</v>
      </c>
      <c r="L8606" t="s">
        <v>20</v>
      </c>
      <c r="M8606" t="s">
        <v>16723</v>
      </c>
      <c r="N8606" t="s">
        <v>14</v>
      </c>
    </row>
    <row r="8607" x14ac:dyDescent="0.25">
      <c r="A8607" t="n">
        <v>24</v>
      </c>
      <c r="B8607" t="s">
        <v>14</v>
      </c>
      <c r="C8607" t="s">
        <v>22</v>
      </c>
      <c r="D8607" s="2" t="s">
        <f>=HYPERLINK("https://main.knesset.gov.il/APPS/legislation/main/bills/2167578", "הצעת חוק בתי המשפט (תיקון - קציבת זמן למתן פסק דין בבית המשפט העליון), התשפ""ב-2022")</f>
        <v>16779</v>
      </c>
      <c r="E8607" t="s">
        <v>16779</v>
      </c>
      <c r="F8607" t="s">
        <v>16780</v>
      </c>
      <c r="G8607" t="s">
        <v>14</v>
      </c>
      <c r="H8607">
             </c>
      <c r="I8607" t="s">
        <v>14</v>
      </c>
      <c r="J8607" t="s">
        <v>141</v>
      </c>
      <c r="K8607" t="s">
        <v>14</v>
      </c>
      <c r="L8607" t="s">
        <v>20</v>
      </c>
      <c r="M8607" t="s">
        <v>16723</v>
      </c>
      <c r="N8607" t="s">
        <v>14</v>
      </c>
    </row>
    <row r="8608" x14ac:dyDescent="0.25">
      <c r="A8608" t="n">
        <v>24</v>
      </c>
      <c r="B8608" t="s">
        <v>14</v>
      </c>
      <c r="C8608" t="s">
        <v>22</v>
      </c>
      <c r="D8608" s="2" t="s">
        <f>=HYPERLINK("https://main.knesset.gov.il/APPS/legislation/main/bills/2169451", "הצעת חוק שוויון ההזדמנויות בעבודה (תיקון - פרסום שכר במודעה בדבר הצעת עבודה), התשפ""ב-2022")</f>
        <v>16781</v>
      </c>
      <c r="E8608" t="s">
        <v>16781</v>
      </c>
      <c r="F8608" t="s">
        <v>16782</v>
      </c>
      <c r="G8608" t="s">
        <v>14</v>
      </c>
      <c r="H8608">
             </c>
      <c r="I8608" t="s">
        <v>14</v>
      </c>
      <c r="J8608" t="s">
        <v>141</v>
      </c>
      <c r="K8608" t="s">
        <v>14</v>
      </c>
      <c r="L8608" t="s">
        <v>20</v>
      </c>
      <c r="M8608" t="s">
        <v>16723</v>
      </c>
      <c r="N8608" t="s">
        <v>14</v>
      </c>
    </row>
    <row r="8609" x14ac:dyDescent="0.25">
      <c r="A8609" t="n">
        <v>24</v>
      </c>
      <c r="B8609" t="s">
        <v>14</v>
      </c>
      <c r="C8609" t="s">
        <v>22</v>
      </c>
      <c r="D8609" s="2" t="s">
        <f>=HYPERLINK("https://main.knesset.gov.il/APPS/legislation/main/bills/2169179", "הצעת חוק סיוע למשפחות שבראשן הורה עצמאי (תיקון - הגנה מפני עיקול של כספי סיוע), התשפ""ב-2022")</f>
        <v>16783</v>
      </c>
      <c r="E8609" t="s">
        <v>16783</v>
      </c>
      <c r="F8609" t="s">
        <v>16784</v>
      </c>
      <c r="G8609" t="s">
        <v>14</v>
      </c>
      <c r="H8609">
             </c>
      <c r="I8609" t="s">
        <v>14</v>
      </c>
      <c r="J8609" t="s">
        <v>141</v>
      </c>
      <c r="K8609" t="s">
        <v>14</v>
      </c>
      <c r="L8609" t="s">
        <v>20</v>
      </c>
      <c r="M8609" t="s">
        <v>16723</v>
      </c>
      <c r="N8609" t="s">
        <v>14</v>
      </c>
    </row>
    <row r="8610" x14ac:dyDescent="0.25">
      <c r="A8610" t="n">
        <v>24</v>
      </c>
      <c r="B8610" t="s">
        <v>14</v>
      </c>
      <c r="C8610" t="s">
        <v>22</v>
      </c>
      <c r="D8610" s="2" t="s">
        <f>=HYPERLINK("https://main.knesset.gov.il/APPS/legislation/main/bills/2169110", "הצעת חוק סיוע לצעירים חסרי עורף משפחתי, התשפ""ב-2022")</f>
        <v>15151</v>
      </c>
      <c r="E8610" t="s">
        <v>15151</v>
      </c>
      <c r="F8610" t="s">
        <v>16785</v>
      </c>
      <c r="G8610" t="s">
        <v>14</v>
      </c>
      <c r="H8610">
             </c>
      <c r="I8610" t="s">
        <v>14</v>
      </c>
      <c r="J8610" t="s">
        <v>141</v>
      </c>
      <c r="K8610" t="s">
        <v>14</v>
      </c>
      <c r="L8610" t="s">
        <v>20</v>
      </c>
      <c r="M8610" t="s">
        <v>16723</v>
      </c>
      <c r="N8610" t="s">
        <v>14</v>
      </c>
    </row>
    <row r="8611" x14ac:dyDescent="0.25">
      <c r="A8611" t="n">
        <v>24</v>
      </c>
      <c r="B8611" t="s">
        <v>14</v>
      </c>
      <c r="C8611" t="s">
        <v>22</v>
      </c>
      <c r="D8611" s="2" t="s">
        <f>=HYPERLINK("https://main.knesset.gov.il/APPS/legislation/main/bills/2169220", "הצעת חוק משק החשמל (תיקון - תשלומי חשמל מופחתים בשל ילד עם מוגבלות), התשפ""ב-2022")</f>
        <v>16786</v>
      </c>
      <c r="E8611" t="s">
        <v>16786</v>
      </c>
      <c r="F8611" t="s">
        <v>16787</v>
      </c>
      <c r="G8611" t="s">
        <v>14</v>
      </c>
      <c r="H8611">
             </c>
      <c r="I8611" t="s">
        <v>14</v>
      </c>
      <c r="J8611" t="s">
        <v>141</v>
      </c>
      <c r="K8611" t="s">
        <v>14</v>
      </c>
      <c r="L8611" t="s">
        <v>20</v>
      </c>
      <c r="M8611" t="s">
        <v>16723</v>
      </c>
      <c r="N8611" t="s">
        <v>14</v>
      </c>
    </row>
    <row r="8612" x14ac:dyDescent="0.25">
      <c r="A8612" t="n">
        <v>24</v>
      </c>
      <c r="B8612" t="s">
        <v>14</v>
      </c>
      <c r="C8612" t="s">
        <v>22</v>
      </c>
      <c r="D8612" s="2" t="s">
        <f>=HYPERLINK("https://main.knesset.gov.il/APPS/legislation/main/bills/2169226", "הצעת חוק הבטחת מסגרת השמה חוץ-ביתית לקטינים נזקקים, התשפ""ב-2022")</f>
        <v>16788</v>
      </c>
      <c r="E8612" t="s">
        <v>16788</v>
      </c>
      <c r="F8612" t="s">
        <v>16789</v>
      </c>
      <c r="G8612" t="s">
        <v>14</v>
      </c>
      <c r="H8612">
             </c>
      <c r="I8612" t="s">
        <v>14</v>
      </c>
      <c r="J8612" t="s">
        <v>141</v>
      </c>
      <c r="K8612" t="s">
        <v>14</v>
      </c>
      <c r="L8612" t="s">
        <v>20</v>
      </c>
      <c r="M8612" t="s">
        <v>16723</v>
      </c>
      <c r="N8612" t="s">
        <v>14</v>
      </c>
    </row>
    <row r="8613" x14ac:dyDescent="0.25">
      <c r="A8613" t="n">
        <v>24</v>
      </c>
      <c r="B8613" t="s">
        <v>14</v>
      </c>
      <c r="C8613" t="s">
        <v>22</v>
      </c>
      <c r="D8613" s="2" t="s">
        <f>=HYPERLINK("https://main.knesset.gov.il/APPS/legislation/main/bills/2169231", "הצעת חוק שפות רשמיות, התשפ""ב-2022")</f>
        <v>16790</v>
      </c>
      <c r="E8613" t="s">
        <v>16790</v>
      </c>
      <c r="F8613" t="s">
        <v>16791</v>
      </c>
      <c r="G8613" t="s">
        <v>14</v>
      </c>
      <c r="H8613">
             </c>
      <c r="I8613" t="s">
        <v>14</v>
      </c>
      <c r="J8613" t="s">
        <v>141</v>
      </c>
      <c r="K8613" t="s">
        <v>14</v>
      </c>
      <c r="L8613" t="s">
        <v>20</v>
      </c>
      <c r="M8613" t="s">
        <v>16723</v>
      </c>
      <c r="N8613" t="s">
        <v>14</v>
      </c>
    </row>
    <row r="8614" x14ac:dyDescent="0.25">
      <c r="A8614" t="n">
        <v>24</v>
      </c>
      <c r="B8614" t="s">
        <v>14</v>
      </c>
      <c r="C8614" t="s">
        <v>22</v>
      </c>
      <c r="D8614" s="2" t="s">
        <f>=HYPERLINK("https://main.knesset.gov.il/APPS/legislation/main/bills/2169278", "הצעת חוק החברות הממשלתיות (תיקון - ייצוג הולם בתאגידים ממשלתיים וגופים סטטוטוריים), התשפ""ב-2022")</f>
        <v>16792</v>
      </c>
      <c r="E8614" t="s">
        <v>16792</v>
      </c>
      <c r="F8614" t="s">
        <v>16793</v>
      </c>
      <c r="G8614" t="s">
        <v>14</v>
      </c>
      <c r="H8614">
             </c>
      <c r="I8614" t="s">
        <v>14</v>
      </c>
      <c r="J8614" t="s">
        <v>141</v>
      </c>
      <c r="K8614" t="s">
        <v>14</v>
      </c>
      <c r="L8614" t="s">
        <v>20</v>
      </c>
      <c r="M8614" t="s">
        <v>16723</v>
      </c>
      <c r="N8614" t="s">
        <v>14</v>
      </c>
    </row>
    <row r="8615" x14ac:dyDescent="0.25">
      <c r="A8615" t="n">
        <v>24</v>
      </c>
      <c r="B8615" t="s">
        <v>14</v>
      </c>
      <c r="C8615" t="s">
        <v>22</v>
      </c>
      <c r="D8615" s="2" t="s">
        <f>=HYPERLINK("https://main.knesset.gov.il/APPS/legislation/main/bills/2169125", "הצעת חוק העונשין (תיקון - ביטול עבירת מרמה והפרת אמונים), התשפ""ב-2022")</f>
        <v>16794</v>
      </c>
      <c r="E8615" t="s">
        <v>16794</v>
      </c>
      <c r="F8615" t="s">
        <v>16795</v>
      </c>
      <c r="G8615" t="s">
        <v>14</v>
      </c>
      <c r="H8615">
             </c>
      <c r="I8615" t="s">
        <v>14</v>
      </c>
      <c r="J8615" t="s">
        <v>141</v>
      </c>
      <c r="K8615" t="s">
        <v>14</v>
      </c>
      <c r="L8615" t="s">
        <v>20</v>
      </c>
      <c r="M8615" t="s">
        <v>16723</v>
      </c>
      <c r="N8615" t="s">
        <v>14</v>
      </c>
    </row>
    <row r="8616" x14ac:dyDescent="0.25">
      <c r="A8616" t="n">
        <v>24</v>
      </c>
      <c r="B8616" t="s">
        <v>14</v>
      </c>
      <c r="C8616" t="s">
        <v>22</v>
      </c>
      <c r="D8616" s="2" t="s">
        <f>=HYPERLINK("https://main.knesset.gov.il/APPS/legislation/main/bills/2169371", "הצעת חוק המועצה להשכלה גבוהה (תיקון - הקמת מוסדות להשכלה גבוהה), התשפ""ב-2022")</f>
        <v>16796</v>
      </c>
      <c r="E8616" t="s">
        <v>16796</v>
      </c>
      <c r="F8616" t="s">
        <v>16797</v>
      </c>
      <c r="G8616" t="s">
        <v>14</v>
      </c>
      <c r="H8616">
             </c>
      <c r="I8616" t="s">
        <v>14</v>
      </c>
      <c r="J8616" t="s">
        <v>141</v>
      </c>
      <c r="K8616" t="s">
        <v>14</v>
      </c>
      <c r="L8616" t="s">
        <v>20</v>
      </c>
      <c r="M8616" t="s">
        <v>16723</v>
      </c>
      <c r="N8616" t="s">
        <v>14</v>
      </c>
    </row>
    <row r="8617" x14ac:dyDescent="0.25">
      <c r="A8617" t="n">
        <v>24</v>
      </c>
      <c r="B8617" t="s">
        <v>14</v>
      </c>
      <c r="C8617" t="s">
        <v>22</v>
      </c>
      <c r="D8617" s="2" t="s">
        <f>=HYPERLINK("https://main.knesset.gov.il/APPS/legislation/main/bills/2169565", "הצעת חוק למניעת התעמרות בעבודה, התשפ""ב-2022")</f>
        <v>16798</v>
      </c>
      <c r="E8617" t="s">
        <v>16798</v>
      </c>
      <c r="F8617" t="s">
        <v>16799</v>
      </c>
      <c r="G8617" t="s">
        <v>14</v>
      </c>
      <c r="H8617">
             </c>
      <c r="I8617" t="s">
        <v>14</v>
      </c>
      <c r="J8617" t="s">
        <v>141</v>
      </c>
      <c r="K8617" t="s">
        <v>14</v>
      </c>
      <c r="L8617" t="s">
        <v>20</v>
      </c>
      <c r="M8617" t="s">
        <v>16723</v>
      </c>
      <c r="N8617" t="s">
        <v>14</v>
      </c>
    </row>
    <row r="8618" x14ac:dyDescent="0.25">
      <c r="A8618" t="n">
        <v>24</v>
      </c>
      <c r="B8618" t="s">
        <v>14</v>
      </c>
      <c r="C8618" t="s">
        <v>22</v>
      </c>
      <c r="D8618" s="2" t="s">
        <f>=HYPERLINK("https://main.knesset.gov.il/APPS/legislation/main/bills/2169370", "הצעת חוק להקמת אוניברסיטה ערבית ביישוב ערבי, התשפ""ב-2022")</f>
        <v>16800</v>
      </c>
      <c r="E8618" t="s">
        <v>16800</v>
      </c>
      <c r="F8618" t="s">
        <v>16801</v>
      </c>
      <c r="G8618" t="s">
        <v>14</v>
      </c>
      <c r="H8618">
             </c>
      <c r="I8618" t="s">
        <v>14</v>
      </c>
      <c r="J8618" t="s">
        <v>141</v>
      </c>
      <c r="K8618" t="s">
        <v>14</v>
      </c>
      <c r="L8618" t="s">
        <v>20</v>
      </c>
      <c r="M8618" t="s">
        <v>16723</v>
      </c>
      <c r="N8618" t="s">
        <v>14</v>
      </c>
    </row>
    <row r="8619" x14ac:dyDescent="0.25">
      <c r="A8619" t="n">
        <v>24</v>
      </c>
      <c r="B8619" t="s">
        <v>14</v>
      </c>
      <c r="C8619" t="s">
        <v>22</v>
      </c>
      <c r="D8619" s="2" t="s">
        <f>=HYPERLINK("https://main.knesset.gov.il/APPS/legislation/main/bills/2167252", "הצעת חוק הדיינים (תיקון - ביטול כהונת נשיא מועצת הרבנות הראשית כדיין בבית הדין הרבני הגדול), התשפ""ב-2022")</f>
        <v>16802</v>
      </c>
      <c r="E8619" t="s">
        <v>16802</v>
      </c>
      <c r="F8619" t="s">
        <v>16803</v>
      </c>
      <c r="G8619" t="s">
        <v>14</v>
      </c>
      <c r="H8619">
             </c>
      <c r="I8619" t="s">
        <v>14</v>
      </c>
      <c r="J8619" t="s">
        <v>141</v>
      </c>
      <c r="K8619" t="s">
        <v>14</v>
      </c>
      <c r="L8619" t="s">
        <v>20</v>
      </c>
      <c r="M8619" t="s">
        <v>16723</v>
      </c>
      <c r="N8619" t="s">
        <v>14</v>
      </c>
    </row>
    <row r="8620" x14ac:dyDescent="0.25">
      <c r="A8620" t="n">
        <v>24</v>
      </c>
      <c r="B8620" t="s">
        <v>14</v>
      </c>
      <c r="C8620" t="s">
        <v>22</v>
      </c>
      <c r="D8620" s="2" t="s">
        <f>=HYPERLINK("https://main.knesset.gov.il/APPS/legislation/main/bills/2167487", "הצעת חוק איסור לשון הרע (תיקון - הגברת ההגנה על שיח מכבד), התשפ""ב-2022")</f>
        <v>16804</v>
      </c>
      <c r="E8620" t="s">
        <v>16804</v>
      </c>
      <c r="F8620" t="s">
        <v>16805</v>
      </c>
      <c r="G8620" t="s">
        <v>14</v>
      </c>
      <c r="H8620">
             </c>
      <c r="I8620" t="s">
        <v>14</v>
      </c>
      <c r="J8620" t="s">
        <v>141</v>
      </c>
      <c r="K8620" t="s">
        <v>14</v>
      </c>
      <c r="L8620" t="s">
        <v>20</v>
      </c>
      <c r="M8620" t="s">
        <v>16723</v>
      </c>
      <c r="N8620" t="s">
        <v>14</v>
      </c>
    </row>
    <row r="8621" x14ac:dyDescent="0.25">
      <c r="A8621" t="n">
        <v>24</v>
      </c>
      <c r="B8621" t="s">
        <v>14</v>
      </c>
      <c r="C8621" t="s">
        <v>22</v>
      </c>
      <c r="D8621" s="2" t="s">
        <f>=HYPERLINK("https://main.knesset.gov.il/APPS/legislation/main/bills/2168006", "הצעת חוק חינוך ממלכתי (תיקון - תוכנית ללימוד ערבית בערים מעורבות) (הוראת שעה), התשפ""ב-2022")</f>
        <v>16806</v>
      </c>
      <c r="E8621" t="s">
        <v>16806</v>
      </c>
      <c r="F8621" t="s">
        <v>16807</v>
      </c>
      <c r="G8621" t="s">
        <v>14</v>
      </c>
      <c r="H8621">
             </c>
      <c r="I8621" t="s">
        <v>14</v>
      </c>
      <c r="J8621" t="s">
        <v>141</v>
      </c>
      <c r="K8621" t="s">
        <v>14</v>
      </c>
      <c r="L8621" t="s">
        <v>20</v>
      </c>
      <c r="M8621" t="s">
        <v>16723</v>
      </c>
      <c r="N8621" t="s">
        <v>14</v>
      </c>
    </row>
    <row r="8622" x14ac:dyDescent="0.25">
      <c r="A8622" t="n">
        <v>24</v>
      </c>
      <c r="B8622" t="s">
        <v>14</v>
      </c>
      <c r="C8622" t="s">
        <v>22</v>
      </c>
      <c r="D8622" s="2" t="s">
        <f>=HYPERLINK("https://main.knesset.gov.il/APPS/legislation/main/bills/2169055", "הצעת חוק הגנת הצרכן (תיקון - החלת חובת הודעה על סיום עסקה מתמשכת על תאגידים בנקאיים ופיננסיים), התשפ""ב-2022")</f>
        <v>16808</v>
      </c>
      <c r="E8622" t="s">
        <v>16808</v>
      </c>
      <c r="F8622" t="s">
        <v>16809</v>
      </c>
      <c r="G8622" t="s">
        <v>14</v>
      </c>
      <c r="H8622">
             </c>
      <c r="I8622" t="s">
        <v>14</v>
      </c>
      <c r="J8622" t="s">
        <v>141</v>
      </c>
      <c r="K8622" t="s">
        <v>14</v>
      </c>
      <c r="L8622" t="s">
        <v>20</v>
      </c>
      <c r="M8622" t="s">
        <v>16723</v>
      </c>
      <c r="N8622" t="s">
        <v>14</v>
      </c>
    </row>
    <row r="8623" x14ac:dyDescent="0.25">
      <c r="A8623" t="n">
        <v>24</v>
      </c>
      <c r="B8623" t="s">
        <v>14</v>
      </c>
      <c r="C8623" t="s">
        <v>22</v>
      </c>
      <c r="D8623" s="2" t="s">
        <f>=HYPERLINK("https://main.knesset.gov.il/APPS/legislation/main/bills/2167111", "הצעת חוק הגבלת כהונה בשירות הציבורי לבעלי תפקידים בכירים, התשפ""ב-2022")</f>
        <v>16810</v>
      </c>
      <c r="E8623" t="s">
        <v>16810</v>
      </c>
      <c r="F8623" t="s">
        <v>16811</v>
      </c>
      <c r="G8623" t="s">
        <v>14</v>
      </c>
      <c r="H8623">
             </c>
      <c r="I8623" t="s">
        <v>14</v>
      </c>
      <c r="J8623" t="s">
        <v>141</v>
      </c>
      <c r="K8623" t="s">
        <v>14</v>
      </c>
      <c r="L8623" t="s">
        <v>20</v>
      </c>
      <c r="M8623" t="s">
        <v>16723</v>
      </c>
      <c r="N8623" t="s">
        <v>14</v>
      </c>
    </row>
    <row r="8624" x14ac:dyDescent="0.25">
      <c r="A8624" t="n">
        <v>24</v>
      </c>
      <c r="B8624" t="s">
        <v>14</v>
      </c>
      <c r="C8624" t="s">
        <v>22</v>
      </c>
      <c r="D8624" s="2" t="s">
        <f>=HYPERLINK("https://main.knesset.gov.il/APPS/legislation/main/bills/2168405", "הצעת חוק לתיקון פקודת בתי הסוהר (תוכניות שיקום בערבית ומידע בשפה הערבית), התשפ""ב-2022")</f>
        <v>16812</v>
      </c>
      <c r="E8624" t="s">
        <v>16812</v>
      </c>
      <c r="F8624" t="s">
        <v>16813</v>
      </c>
      <c r="G8624" t="s">
        <v>14</v>
      </c>
      <c r="H8624">
             </c>
      <c r="I8624" t="s">
        <v>14</v>
      </c>
      <c r="J8624" t="s">
        <v>141</v>
      </c>
      <c r="K8624" t="s">
        <v>14</v>
      </c>
      <c r="L8624" t="s">
        <v>20</v>
      </c>
      <c r="M8624" t="s">
        <v>16723</v>
      </c>
      <c r="N8624" t="s">
        <v>14</v>
      </c>
    </row>
    <row r="8625" x14ac:dyDescent="0.25">
      <c r="A8625" t="n">
        <v>24</v>
      </c>
      <c r="B8625" t="s">
        <v>14</v>
      </c>
      <c r="C8625" t="s">
        <v>22</v>
      </c>
      <c r="D8625" s="2" t="s">
        <f>=HYPERLINK("https://main.knesset.gov.il/APPS/legislation/main/bills/2169301", "הצעת חוק משק החשמל (תיקון - איסור ניתוק חשמל), התשפ""ב-2022")</f>
        <v>15439</v>
      </c>
      <c r="E8625" t="s">
        <v>15439</v>
      </c>
      <c r="F8625" t="s">
        <v>16814</v>
      </c>
      <c r="G8625" t="s">
        <v>14</v>
      </c>
      <c r="H8625">
             </c>
      <c r="I8625" t="s">
        <v>14</v>
      </c>
      <c r="J8625" t="s">
        <v>141</v>
      </c>
      <c r="K8625" t="s">
        <v>14</v>
      </c>
      <c r="L8625" t="s">
        <v>20</v>
      </c>
      <c r="M8625" t="s">
        <v>16723</v>
      </c>
      <c r="N8625" t="s">
        <v>14</v>
      </c>
    </row>
    <row r="8626" x14ac:dyDescent="0.25">
      <c r="A8626" t="n">
        <v>24</v>
      </c>
      <c r="B8626" t="s">
        <v>14</v>
      </c>
      <c r="C8626" t="s">
        <v>22</v>
      </c>
      <c r="D8626" s="2" t="s">
        <f>=HYPERLINK("https://main.knesset.gov.il/APPS/legislation/main/bills/2168436", "הצעת חוק הסניגוריה הציבורית (תיקון - ליווי משפטי בשפת חשוד שהוא קטין), התשפ""ב-2022")</f>
        <v>16815</v>
      </c>
      <c r="E8626" t="s">
        <v>16815</v>
      </c>
      <c r="F8626" t="s">
        <v>16816</v>
      </c>
      <c r="G8626" t="s">
        <v>14</v>
      </c>
      <c r="H8626">
             </c>
      <c r="I8626" t="s">
        <v>14</v>
      </c>
      <c r="J8626" t="s">
        <v>141</v>
      </c>
      <c r="K8626" t="s">
        <v>14</v>
      </c>
      <c r="L8626" t="s">
        <v>20</v>
      </c>
      <c r="M8626" t="s">
        <v>16723</v>
      </c>
      <c r="N8626" t="s">
        <v>14</v>
      </c>
    </row>
    <row r="8627" x14ac:dyDescent="0.25">
      <c r="A8627" t="n">
        <v>24</v>
      </c>
      <c r="B8627" t="s">
        <v>14</v>
      </c>
      <c r="C8627" t="s">
        <v>22</v>
      </c>
      <c r="D8627" s="2" t="s">
        <f>=HYPERLINK("https://main.knesset.gov.il/APPS/legislation/main/bills/2169520", "הצעת חוק-יסוד: העדה הדרוזית")</f>
        <v>16817</v>
      </c>
      <c r="E8627" t="s">
        <v>16817</v>
      </c>
      <c r="F8627" t="s">
        <v>16818</v>
      </c>
      <c r="G8627" t="s">
        <v>14</v>
      </c>
      <c r="H8627">
             </c>
      <c r="I8627" t="s">
        <v>14</v>
      </c>
      <c r="J8627" t="s">
        <v>141</v>
      </c>
      <c r="K8627" t="s">
        <v>14</v>
      </c>
      <c r="L8627" t="s">
        <v>20</v>
      </c>
      <c r="M8627" t="s">
        <v>16723</v>
      </c>
      <c r="N8627" t="s">
        <v>14</v>
      </c>
    </row>
    <row r="8628" x14ac:dyDescent="0.25">
      <c r="A8628" t="n">
        <v>24</v>
      </c>
      <c r="B8628" t="s">
        <v>14</v>
      </c>
      <c r="C8628" t="s">
        <v>22</v>
      </c>
      <c r="D8628" s="2" t="s">
        <f>=HYPERLINK("https://main.knesset.gov.il/APPS/legislation/main/bills/2165250", "הצעת חוק-יסוד: ההתגברות (תיקוני חקיקה)")</f>
        <v>13726</v>
      </c>
      <c r="E8628" t="s">
        <v>13726</v>
      </c>
      <c r="F8628" t="s">
        <v>16819</v>
      </c>
      <c r="G8628" t="s">
        <v>14</v>
      </c>
      <c r="H8628">
             </c>
      <c r="I8628" t="s">
        <v>14</v>
      </c>
      <c r="J8628" t="s">
        <v>141</v>
      </c>
      <c r="K8628" t="s">
        <v>14</v>
      </c>
      <c r="L8628" t="s">
        <v>20</v>
      </c>
      <c r="M8628" t="s">
        <v>16723</v>
      </c>
      <c r="N8628" t="s">
        <v>14</v>
      </c>
    </row>
    <row r="8629" x14ac:dyDescent="0.25">
      <c r="A8629" t="n">
        <v>24</v>
      </c>
      <c r="B8629" t="s">
        <v>14</v>
      </c>
      <c r="C8629" t="s">
        <v>22</v>
      </c>
      <c r="D8629" s="2" t="s">
        <f>=HYPERLINK("https://main.knesset.gov.il/APPS/legislation/main/bills/2166812", "הצעת חוק התכנון והבנייה (תיקון - מכירה ישירה של תוצרת חקלאית), התשפ""ב-2022")</f>
        <v>15939</v>
      </c>
      <c r="E8629" t="s">
        <v>15939</v>
      </c>
      <c r="F8629" t="s">
        <v>16820</v>
      </c>
      <c r="G8629" t="s">
        <v>14</v>
      </c>
      <c r="H8629">
             </c>
      <c r="I8629" t="s">
        <v>14</v>
      </c>
      <c r="J8629" t="s">
        <v>141</v>
      </c>
      <c r="K8629" t="s">
        <v>14</v>
      </c>
      <c r="L8629" t="s">
        <v>20</v>
      </c>
      <c r="M8629" t="s">
        <v>16723</v>
      </c>
      <c r="N8629" t="s">
        <v>14</v>
      </c>
    </row>
    <row r="8630" x14ac:dyDescent="0.25">
      <c r="A8630" t="n">
        <v>24</v>
      </c>
      <c r="B8630" t="s">
        <v>14</v>
      </c>
      <c r="C8630" t="s">
        <v>22</v>
      </c>
      <c r="D8630" s="2" t="s">
        <f>=HYPERLINK("https://main.knesset.gov.il/APPS/legislation/main/bills/2165970", "הצעת חוק הפעלת תחבורה ציבורית ביום המנוחה השבועי, התשפ""ב-2022")</f>
        <v>16821</v>
      </c>
      <c r="E8630" t="s">
        <v>16821</v>
      </c>
      <c r="F8630" t="s">
        <v>16822</v>
      </c>
      <c r="G8630" t="s">
        <v>14</v>
      </c>
      <c r="H8630">
             </c>
      <c r="I8630" t="s">
        <v>14</v>
      </c>
      <c r="J8630" t="s">
        <v>141</v>
      </c>
      <c r="K8630" t="s">
        <v>14</v>
      </c>
      <c r="L8630" t="s">
        <v>20</v>
      </c>
      <c r="M8630" t="s">
        <v>16723</v>
      </c>
      <c r="N8630" t="s">
        <v>14</v>
      </c>
    </row>
    <row r="8631" x14ac:dyDescent="0.25">
      <c r="A8631" t="n">
        <v>24</v>
      </c>
      <c r="B8631" t="s">
        <v>14</v>
      </c>
      <c r="C8631" t="s">
        <v>22</v>
      </c>
      <c r="D8631" s="2" t="s">
        <f>=HYPERLINK("https://main.knesset.gov.il/APPS/legislation/main/bills/2168979", "הצעת חוק לביטול אזרחותו או תושבותו של פעיל טרור שמקבל תגמול עבור ביצוע מעשה הטרור (תיקוני חקיקה), התשפ""ב-2022")</f>
        <v>16646</v>
      </c>
      <c r="E8631" t="s">
        <v>16646</v>
      </c>
      <c r="F8631" t="s">
        <v>16823</v>
      </c>
      <c r="G8631" t="s">
        <v>14</v>
      </c>
      <c r="H8631">
             </c>
      <c r="I8631" t="s">
        <v>14</v>
      </c>
      <c r="J8631" t="s">
        <v>141</v>
      </c>
      <c r="K8631" t="s">
        <v>14</v>
      </c>
      <c r="L8631" t="s">
        <v>20</v>
      </c>
      <c r="M8631" t="s">
        <v>16723</v>
      </c>
      <c r="N8631" t="s">
        <v>14</v>
      </c>
    </row>
    <row r="8632" x14ac:dyDescent="0.25">
      <c r="A8632" t="n">
        <v>24</v>
      </c>
      <c r="B8632" t="s">
        <v>14</v>
      </c>
      <c r="C8632" t="s">
        <v>22</v>
      </c>
      <c r="D8632" s="2" t="s">
        <f>=HYPERLINK("https://main.knesset.gov.il/APPS/legislation/main/bills/2161403", "הצעת חוק להגנת חיית הבר (תיקון - הרעלות), התשפ""ב-2021")</f>
        <v>16824</v>
      </c>
      <c r="E8632" t="s">
        <v>16824</v>
      </c>
      <c r="F8632" t="s">
        <v>16825</v>
      </c>
      <c r="G8632" t="s">
        <v>14</v>
      </c>
      <c r="H8632">
             </c>
      <c r="I8632" t="s">
        <v>14</v>
      </c>
      <c r="J8632" t="s">
        <v>31</v>
      </c>
      <c r="K8632" t="s">
        <v>46</v>
      </c>
      <c r="L8632" t="s">
        <v>20</v>
      </c>
      <c r="M8632" t="s">
        <v>16826</v>
      </c>
      <c r="N8632" t="s">
        <v>14</v>
      </c>
    </row>
    <row r="8633" x14ac:dyDescent="0.25">
      <c r="A8633" t="n">
        <v>24</v>
      </c>
      <c r="B8633" t="s">
        <v>14</v>
      </c>
      <c r="C8633" t="s">
        <v>22</v>
      </c>
      <c r="D8633" s="2" t="s">
        <f>=HYPERLINK("https://main.knesset.gov.il/APPS/legislation/main/bills/2165287", "הצעת חוק הרשויות המקומיות (בחירת ראש הרשות וסגניו וכהונתם) (תיקון - סגן ראש רשות ברשות מעורבת), התשפ""ב-2021")</f>
        <v>16827</v>
      </c>
      <c r="E8633" t="s">
        <v>16827</v>
      </c>
      <c r="F8633" t="s">
        <v>16828</v>
      </c>
      <c r="G8633" t="s">
        <v>14</v>
      </c>
      <c r="H8633">
             </c>
      <c r="I8633" t="s">
        <v>14</v>
      </c>
      <c r="J8633" t="s">
        <v>343</v>
      </c>
      <c r="K8633" t="s">
        <v>14</v>
      </c>
      <c r="L8633" t="s">
        <v>20</v>
      </c>
      <c r="M8633" t="s">
        <v>16826</v>
      </c>
      <c r="N8633" t="s">
        <v>14</v>
      </c>
    </row>
    <row r="8634" x14ac:dyDescent="0.25">
      <c r="A8634" t="n">
        <v>24</v>
      </c>
      <c r="B8634" t="s">
        <v>14</v>
      </c>
      <c r="C8634" t="s">
        <v>22</v>
      </c>
      <c r="D8634" s="2" t="s">
        <f>=HYPERLINK("https://main.knesset.gov.il/APPS/legislation/main/bills/2165107", "הצעת חוק הגנת הצרכן (תיקון - סימון תאריך ייצור ומועד תפוגה עברי), התשפ""ב-2021")</f>
        <v>16829</v>
      </c>
      <c r="E8634" t="s">
        <v>16829</v>
      </c>
      <c r="F8634" t="s">
        <v>16830</v>
      </c>
      <c r="G8634" t="s">
        <v>14</v>
      </c>
      <c r="H8634">
             </c>
      <c r="I8634" t="s">
        <v>14</v>
      </c>
      <c r="J8634" t="s">
        <v>55</v>
      </c>
      <c r="K8634" t="s">
        <v>14</v>
      </c>
      <c r="L8634" t="s">
        <v>20</v>
      </c>
      <c r="M8634" t="s">
        <v>16826</v>
      </c>
      <c r="N8634" t="s">
        <v>14</v>
      </c>
    </row>
    <row r="8635" x14ac:dyDescent="0.25">
      <c r="A8635" t="n">
        <v>24</v>
      </c>
      <c r="B8635" t="s">
        <v>14</v>
      </c>
      <c r="C8635" t="s">
        <v>22</v>
      </c>
      <c r="D8635" s="2" t="s">
        <f>=HYPERLINK("https://main.knesset.gov.il/APPS/legislation/main/bills/2164613", "הצעת חוק להנצחת זכרם של קורבנות הטבח בחברון, התשפ""ב-2021")</f>
        <v>16831</v>
      </c>
      <c r="E8635" t="s">
        <v>16831</v>
      </c>
      <c r="F8635" t="s">
        <v>16832</v>
      </c>
      <c r="G8635" t="s">
        <v>14</v>
      </c>
      <c r="H8635">
             </c>
      <c r="I8635" t="s">
        <v>14</v>
      </c>
      <c r="J8635" t="s">
        <v>343</v>
      </c>
      <c r="K8635" t="s">
        <v>14</v>
      </c>
      <c r="L8635" t="s">
        <v>20</v>
      </c>
      <c r="M8635" t="s">
        <v>16826</v>
      </c>
      <c r="N8635" t="s">
        <v>14</v>
      </c>
    </row>
    <row r="8636" x14ac:dyDescent="0.25">
      <c r="A8636" t="n">
        <v>24</v>
      </c>
      <c r="B8636" t="s">
        <v>14</v>
      </c>
      <c r="C8636" t="s">
        <v>22</v>
      </c>
      <c r="D8636" s="2" t="s">
        <f>=HYPERLINK("https://main.knesset.gov.il/APPS/legislation/main/bills/2164153", "הצעת חוק שירות ביטחון (תיקון - חובת פוקד לקרוא להתייצבות לשירות ביטחון), התשפ""ב-2021")</f>
        <v>16833</v>
      </c>
      <c r="E8636" t="s">
        <v>16833</v>
      </c>
      <c r="F8636" t="s">
        <v>16834</v>
      </c>
      <c r="G8636" t="s">
        <v>14</v>
      </c>
      <c r="H8636">
             </c>
      <c r="I8636" t="s">
        <v>14</v>
      </c>
      <c r="J8636" t="s">
        <v>55</v>
      </c>
      <c r="K8636" t="s">
        <v>14</v>
      </c>
      <c r="L8636" t="s">
        <v>20</v>
      </c>
      <c r="M8636" t="s">
        <v>16826</v>
      </c>
      <c r="N8636" t="s">
        <v>14</v>
      </c>
    </row>
    <row r="8637" x14ac:dyDescent="0.25">
      <c r="A8637" t="n">
        <v>24</v>
      </c>
      <c r="B8637" t="s">
        <v>14</v>
      </c>
      <c r="C8637" t="s">
        <v>22</v>
      </c>
      <c r="D8637" s="2" t="s">
        <f>=HYPERLINK("https://main.knesset.gov.il/APPS/legislation/main/bills/2161202", "הצעת חוק לתיקון פקודת מס הכנסה (מיסוי תרומה מישות מדינית זרה), התשפ""א-2021")</f>
        <v>16835</v>
      </c>
      <c r="E8637" t="s">
        <v>16835</v>
      </c>
      <c r="F8637" t="s">
        <v>16836</v>
      </c>
      <c r="G8637" t="s">
        <v>14</v>
      </c>
      <c r="H8637">
             </c>
      <c r="I8637" t="s">
        <v>14</v>
      </c>
      <c r="J8637" t="s">
        <v>55</v>
      </c>
      <c r="K8637" t="s">
        <v>14</v>
      </c>
      <c r="L8637" t="s">
        <v>20</v>
      </c>
      <c r="M8637" t="s">
        <v>16826</v>
      </c>
      <c r="N8637" t="s">
        <v>14</v>
      </c>
    </row>
    <row r="8638" x14ac:dyDescent="0.25">
      <c r="A8638" t="n">
        <v>24</v>
      </c>
      <c r="B8638" t="s">
        <v>14</v>
      </c>
      <c r="C8638" t="s">
        <v>22</v>
      </c>
      <c r="D8638" s="2" t="s">
        <f>=HYPERLINK("https://main.knesset.gov.il/APPS/legislation/main/bills/2161145", "הצעת חוק איסוף ופינוי פסולת למיחזור (תיקון - חובת מיחזור בבית עסק גדול), התשפ""א-2021")</f>
        <v>16837</v>
      </c>
      <c r="E8638" t="s">
        <v>16837</v>
      </c>
      <c r="F8638" t="s">
        <v>16838</v>
      </c>
      <c r="G8638" t="s">
        <v>14</v>
      </c>
      <c r="H8638">
             </c>
      <c r="I8638" t="s">
        <v>14</v>
      </c>
      <c r="J8638" t="s">
        <v>55</v>
      </c>
      <c r="K8638" t="s">
        <v>14</v>
      </c>
      <c r="L8638" t="s">
        <v>20</v>
      </c>
      <c r="M8638" t="s">
        <v>16826</v>
      </c>
      <c r="N8638" t="s">
        <v>14</v>
      </c>
    </row>
    <row r="8639" x14ac:dyDescent="0.25">
      <c r="A8639" t="n">
        <v>24</v>
      </c>
      <c r="B8639" t="s">
        <v>14</v>
      </c>
      <c r="C8639" t="s">
        <v>22</v>
      </c>
      <c r="D8639" s="2" t="s">
        <f>=HYPERLINK("https://main.knesset.gov.il/APPS/legislation/main/bills/2161110", "הצעת חוק ביטוח בריאות ממלכתי (תיקון - צמצום פערים בין הפריפריה למרכז), התשפ""א-2021")</f>
        <v>16839</v>
      </c>
      <c r="E8639" t="s">
        <v>16839</v>
      </c>
      <c r="F8639" t="s">
        <v>16840</v>
      </c>
      <c r="G8639" t="s">
        <v>14</v>
      </c>
      <c r="H8639">
             </c>
      <c r="I8639" t="s">
        <v>14</v>
      </c>
      <c r="J8639" t="s">
        <v>55</v>
      </c>
      <c r="K8639" t="s">
        <v>14</v>
      </c>
      <c r="L8639" t="s">
        <v>20</v>
      </c>
      <c r="M8639" t="s">
        <v>16826</v>
      </c>
      <c r="N8639" t="s">
        <v>14</v>
      </c>
    </row>
    <row r="8640" x14ac:dyDescent="0.25">
      <c r="A8640" t="n">
        <v>24</v>
      </c>
      <c r="B8640" t="s">
        <v>14</v>
      </c>
      <c r="C8640" t="s">
        <v>22</v>
      </c>
      <c r="D8640" s="2" t="s">
        <f>=HYPERLINK("https://main.knesset.gov.il/APPS/legislation/main/bills/2157294", "הצעת חוק ביטוח בריאות ממלכתי (תיקון - צמצום פערים בין הפריפריה למרכז), התשפ""א-2021")</f>
        <v>16839</v>
      </c>
      <c r="E8640" t="s">
        <v>16839</v>
      </c>
      <c r="F8640" t="s">
        <v>16841</v>
      </c>
      <c r="G8640" t="s">
        <v>14</v>
      </c>
      <c r="H8640">
             </c>
      <c r="I8640" t="s">
        <v>14</v>
      </c>
      <c r="J8640" t="s">
        <v>55</v>
      </c>
      <c r="K8640" t="s">
        <v>14</v>
      </c>
      <c r="L8640" t="s">
        <v>20</v>
      </c>
      <c r="M8640" t="s">
        <v>16826</v>
      </c>
      <c r="N8640" t="s">
        <v>14</v>
      </c>
    </row>
    <row r="8641" x14ac:dyDescent="0.25">
      <c r="A8641" t="n">
        <v>24</v>
      </c>
      <c r="B8641" t="s">
        <v>14</v>
      </c>
      <c r="C8641" t="s">
        <v>22</v>
      </c>
      <c r="D8641" s="2" t="s">
        <f>=HYPERLINK("https://main.knesset.gov.il/APPS/legislation/main/bills/2156538", "הצעת חוק חניה לנכים (תיקון - החלטה בבקשה לתג נכה), התשפ""א-2021")</f>
        <v>16842</v>
      </c>
      <c r="E8641" t="s">
        <v>16842</v>
      </c>
      <c r="F8641" t="s">
        <v>16843</v>
      </c>
      <c r="G8641" t="s">
        <v>14</v>
      </c>
      <c r="H8641">
             </c>
      <c r="I8641" t="s">
        <v>14</v>
      </c>
      <c r="J8641" t="s">
        <v>55</v>
      </c>
      <c r="K8641" t="s">
        <v>14</v>
      </c>
      <c r="L8641" t="s">
        <v>20</v>
      </c>
      <c r="M8641" t="s">
        <v>16826</v>
      </c>
      <c r="N8641" t="s">
        <v>14</v>
      </c>
    </row>
    <row r="8642" x14ac:dyDescent="0.25">
      <c r="A8642" t="n">
        <v>24</v>
      </c>
      <c r="B8642" t="s">
        <v>14</v>
      </c>
      <c r="C8642" t="s">
        <v>22</v>
      </c>
      <c r="D8642" s="2" t="s">
        <f>=HYPERLINK("https://main.knesset.gov.il/APPS/legislation/main/bills/2156821", "הצעת חוק הדגל, הסמל והמנון המדינה (תיקון - שלילת תמיכה), התשפ""א-2021")</f>
        <v>16844</v>
      </c>
      <c r="E8642" t="s">
        <v>16844</v>
      </c>
      <c r="F8642" t="s">
        <v>16845</v>
      </c>
      <c r="G8642" t="s">
        <v>14</v>
      </c>
      <c r="H8642">
             </c>
      <c r="I8642" t="s">
        <v>14</v>
      </c>
      <c r="J8642" t="s">
        <v>55</v>
      </c>
      <c r="K8642" t="s">
        <v>14</v>
      </c>
      <c r="L8642" t="s">
        <v>20</v>
      </c>
      <c r="M8642" t="s">
        <v>16826</v>
      </c>
      <c r="N8642" t="s">
        <v>14</v>
      </c>
    </row>
    <row r="8643" x14ac:dyDescent="0.25">
      <c r="A8643" t="n">
        <v>24</v>
      </c>
      <c r="B8643" t="s">
        <v>14</v>
      </c>
      <c r="C8643" t="s">
        <v>22</v>
      </c>
      <c r="D8643" s="2" t="s">
        <f>=HYPERLINK("https://main.knesset.gov.il/APPS/legislation/main/bills/2156702", "הצעת חוק חובת יידוע והפסקת חיוב של מנוי לא פעיל (תיקוני חקיקה), התשפ""א-2021")</f>
        <v>16846</v>
      </c>
      <c r="E8643" t="s">
        <v>16846</v>
      </c>
      <c r="F8643" t="s">
        <v>16847</v>
      </c>
      <c r="G8643" t="s">
        <v>14</v>
      </c>
      <c r="H8643">
             </c>
      <c r="I8643" t="s">
        <v>14</v>
      </c>
      <c r="J8643" t="s">
        <v>343</v>
      </c>
      <c r="K8643" t="s">
        <v>14</v>
      </c>
      <c r="L8643" t="s">
        <v>20</v>
      </c>
      <c r="M8643" t="s">
        <v>16826</v>
      </c>
      <c r="N8643" t="s">
        <v>14</v>
      </c>
    </row>
    <row r="8644" x14ac:dyDescent="0.25">
      <c r="A8644" t="n">
        <v>24</v>
      </c>
      <c r="B8644" t="s">
        <v>14</v>
      </c>
      <c r="C8644" t="s">
        <v>22</v>
      </c>
      <c r="D8644" s="2" t="s">
        <f>=HYPERLINK("https://main.knesset.gov.il/APPS/legislation/main/bills/2161900", "הצעת חוק לתיקון פקודת העיריות (קיצור תקופת הפטור מתשלום ארנונה לבניין שנהרס או ניזוק), התשפ""ב-2021")</f>
        <v>16848</v>
      </c>
      <c r="E8644" t="s">
        <v>16848</v>
      </c>
      <c r="F8644" t="s">
        <v>16849</v>
      </c>
      <c r="G8644" t="s">
        <v>14</v>
      </c>
      <c r="H8644">
             </c>
      <c r="I8644" t="s">
        <v>14</v>
      </c>
      <c r="J8644" t="s">
        <v>31</v>
      </c>
      <c r="K8644" t="s">
        <v>85</v>
      </c>
      <c r="L8644" t="s">
        <v>20</v>
      </c>
      <c r="M8644" t="s">
        <v>16850</v>
      </c>
      <c r="N8644" t="s">
        <v>14</v>
      </c>
    </row>
    <row r="8645" x14ac:dyDescent="0.25">
      <c r="A8645" t="n">
        <v>24</v>
      </c>
      <c r="B8645" t="s">
        <v>14</v>
      </c>
      <c r="C8645" t="s">
        <v>22</v>
      </c>
      <c r="D8645" s="2" t="s">
        <f>=HYPERLINK("https://main.knesset.gov.il/APPS/legislation/main/bills/2164192", "הצעת חוק להסדרת הפיקוח על כלבים (תיקון - כלבי הפקר), התשפ""ב-2021")</f>
        <v>16851</v>
      </c>
      <c r="E8645" t="s">
        <v>16851</v>
      </c>
      <c r="F8645" t="s">
        <v>16852</v>
      </c>
      <c r="G8645" t="s">
        <v>14</v>
      </c>
      <c r="H8645">
             </c>
      <c r="I8645" t="s">
        <v>14</v>
      </c>
      <c r="J8645" t="s">
        <v>99</v>
      </c>
      <c r="K8645" t="s">
        <v>34</v>
      </c>
      <c r="L8645" t="s">
        <v>20</v>
      </c>
      <c r="M8645" t="s">
        <v>16853</v>
      </c>
      <c r="N8645" t="s">
        <v>14</v>
      </c>
    </row>
    <row r="8646" x14ac:dyDescent="0.25">
      <c r="A8646" t="n">
        <v>24</v>
      </c>
      <c r="B8646" t="s">
        <v>14</v>
      </c>
      <c r="C8646" t="s">
        <v>22</v>
      </c>
      <c r="D8646" s="2" t="s">
        <f>=HYPERLINK("https://main.knesset.gov.il/APPS/legislation/main/bills/2162690", "הצעת חוק דוד בן-גוריון (תיקון מס' 2) (מינוי נציגי יד בן-גוריון למכון), התשפ""ב–2022")</f>
        <v>16854</v>
      </c>
      <c r="E8646" t="s">
        <v>16854</v>
      </c>
      <c r="F8646" t="s">
        <v>16855</v>
      </c>
      <c r="G8646" t="s">
        <v>16856</v>
      </c>
      <c r="H8646">
             </c>
      <c r="I8646" t="s">
        <v>14</v>
      </c>
      <c r="J8646" t="s">
        <v>1141</v>
      </c>
      <c r="K8646" t="s">
        <v>27</v>
      </c>
      <c r="L8646" t="s">
        <v>20</v>
      </c>
      <c r="M8646" t="s">
        <v>16853</v>
      </c>
      <c r="N8646" t="s">
        <v>14</v>
      </c>
    </row>
    <row r="8647" x14ac:dyDescent="0.25">
      <c r="A8647" t="n">
        <v>24</v>
      </c>
      <c r="B8647" t="s">
        <v>14</v>
      </c>
      <c r="C8647" t="s">
        <v>15</v>
      </c>
      <c r="D8647" s="2" t="s">
        <f>=HYPERLINK("https://main.knesset.gov.il/APPS/legislation/main/bills/2167761", "חוק התכנית הכלכלית (תיקוני חקיקה ליישום המדיניות הכלכלית לשנות התקציב 2017 ו-2018) (תיקון מס' 6), התשפ""ב-2022 ")</f>
        <v>16857</v>
      </c>
      <c r="E8647" t="s">
        <v>16857</v>
      </c>
      <c r="F8647" t="s">
        <v>14</v>
      </c>
      <c r="G8647" t="s">
        <v>16858</v>
      </c>
      <c r="H8647" t="n">
        <v>2957</v>
      </c>
      <c r="I8647" t="s">
        <v>14</v>
      </c>
      <c r="J8647" t="s">
        <v>91</v>
      </c>
      <c r="K8647" t="s">
        <v>19</v>
      </c>
      <c r="L8647" t="s">
        <v>20</v>
      </c>
      <c r="M8647" t="s">
        <v>16853</v>
      </c>
      <c r="N8647" t="s">
        <v>16859</v>
      </c>
    </row>
    <row r="8648" x14ac:dyDescent="0.25">
      <c r="A8648" t="n">
        <v>24</v>
      </c>
      <c r="B8648" t="s">
        <v>14</v>
      </c>
      <c r="C8648" t="s">
        <v>15</v>
      </c>
      <c r="D8648" s="2" t="s">
        <f>=HYPERLINK("https://main.knesset.gov.il/APPS/legislation/main/bills/2168170", "חוק התוכנית להבראת כלכלת ישראל (תיקוני חקיקה להשגת יעדי התקציב והמדיניות הכלכלית לשנות הכספים 2003 ו-2004) (תיקון מס' 20), התשפ""ב-2022")</f>
        <v>16860</v>
      </c>
      <c r="E8648" t="s">
        <v>16860</v>
      </c>
      <c r="F8648" t="s">
        <v>14</v>
      </c>
      <c r="G8648" t="s">
        <v>16861</v>
      </c>
      <c r="H8648" t="n">
        <v>2956</v>
      </c>
      <c r="I8648" t="s">
        <v>14</v>
      </c>
      <c r="J8648" t="s">
        <v>91</v>
      </c>
      <c r="K8648" t="s">
        <v>85</v>
      </c>
      <c r="L8648" t="s">
        <v>20</v>
      </c>
      <c r="M8648" t="s">
        <v>16853</v>
      </c>
      <c r="N8648" t="s">
        <v>16862</v>
      </c>
    </row>
    <row r="8649" x14ac:dyDescent="0.25">
      <c r="A8649" t="n">
        <v>24</v>
      </c>
      <c r="B8649" t="s">
        <v>14</v>
      </c>
      <c r="C8649" t="s">
        <v>22</v>
      </c>
      <c r="D8649" s="2" t="s">
        <f>=HYPERLINK("https://main.knesset.gov.il/APPS/legislation/main/bills/2169054", "הצעת חוק הכנסת (תיקון - שפת הדיבור בכנסת), התשפ""ב-2022")</f>
        <v>16863</v>
      </c>
      <c r="E8649" t="s">
        <v>16863</v>
      </c>
      <c r="F8649" t="s">
        <v>16864</v>
      </c>
      <c r="G8649" t="s">
        <v>14</v>
      </c>
      <c r="H8649">
             </c>
      <c r="I8649" t="s">
        <v>14</v>
      </c>
      <c r="J8649" t="s">
        <v>141</v>
      </c>
      <c r="K8649" t="s">
        <v>14</v>
      </c>
      <c r="L8649" t="s">
        <v>20</v>
      </c>
      <c r="M8649" t="s">
        <v>16853</v>
      </c>
      <c r="N8649" t="s">
        <v>14</v>
      </c>
    </row>
    <row r="8650" x14ac:dyDescent="0.25">
      <c r="A8650" t="n">
        <v>24</v>
      </c>
      <c r="B8650" t="s">
        <v>14</v>
      </c>
      <c r="C8650" t="s">
        <v>22</v>
      </c>
      <c r="D8650" s="2" t="s">
        <f>=HYPERLINK("https://main.knesset.gov.il/APPS/legislation/main/bills/2168059", "הצעת חוק הגנת הפרטיות (תיקון - חיזוק הזכות לפרטיות וההגנה עליה), התשפ""ב-2022")</f>
        <v>16865</v>
      </c>
      <c r="E8650" t="s">
        <v>16865</v>
      </c>
      <c r="F8650" t="s">
        <v>16866</v>
      </c>
      <c r="G8650" t="s">
        <v>14</v>
      </c>
      <c r="H8650">
             </c>
      <c r="I8650" t="s">
        <v>14</v>
      </c>
      <c r="J8650" t="s">
        <v>141</v>
      </c>
      <c r="K8650" t="s">
        <v>14</v>
      </c>
      <c r="L8650" t="s">
        <v>20</v>
      </c>
      <c r="M8650" t="s">
        <v>16853</v>
      </c>
      <c r="N8650" t="s">
        <v>14</v>
      </c>
    </row>
    <row r="8651" x14ac:dyDescent="0.25">
      <c r="A8651" t="n">
        <v>24</v>
      </c>
      <c r="B8651" t="s">
        <v>14</v>
      </c>
      <c r="C8651" t="s">
        <v>22</v>
      </c>
      <c r="D8651" s="2" t="s">
        <f>=HYPERLINK("https://main.knesset.gov.il/APPS/legislation/main/bills/2167413", "הצעת חוק חובת המכרזים (תיקון - מתן העדפה לתושבים במכרזי רשות מקומית המצויה באזור עדיפות לאומית), התשפ""ב-2022")</f>
        <v>16867</v>
      </c>
      <c r="E8651" t="s">
        <v>16867</v>
      </c>
      <c r="F8651" t="s">
        <v>16868</v>
      </c>
      <c r="G8651" t="s">
        <v>14</v>
      </c>
      <c r="H8651">
             </c>
      <c r="I8651" t="s">
        <v>14</v>
      </c>
      <c r="J8651" t="s">
        <v>141</v>
      </c>
      <c r="K8651" t="s">
        <v>14</v>
      </c>
      <c r="L8651" t="s">
        <v>20</v>
      </c>
      <c r="M8651" t="s">
        <v>16853</v>
      </c>
      <c r="N8651" t="s">
        <v>14</v>
      </c>
    </row>
    <row r="8652" x14ac:dyDescent="0.25">
      <c r="A8652" t="n">
        <v>24</v>
      </c>
      <c r="B8652" t="s">
        <v>14</v>
      </c>
      <c r="C8652" t="s">
        <v>22</v>
      </c>
      <c r="D8652" s="2" t="s">
        <f>=HYPERLINK("https://main.knesset.gov.il/APPS/legislation/main/bills/2165460", "הצעת חוק הקמת מיתקן פוטו-וולטאי ומיתקן אגירה בבית משותף המוקם במתחם פינוי ובינוי, התשפ""ב-2022")</f>
        <v>16339</v>
      </c>
      <c r="E8652" t="s">
        <v>16339</v>
      </c>
      <c r="F8652" t="s">
        <v>16869</v>
      </c>
      <c r="G8652" t="s">
        <v>14</v>
      </c>
      <c r="H8652">
             </c>
      <c r="I8652" t="s">
        <v>14</v>
      </c>
      <c r="J8652" t="s">
        <v>141</v>
      </c>
      <c r="K8652" t="s">
        <v>14</v>
      </c>
      <c r="L8652" t="s">
        <v>20</v>
      </c>
      <c r="M8652" t="s">
        <v>16853</v>
      </c>
      <c r="N8652" t="s">
        <v>14</v>
      </c>
    </row>
    <row r="8653" x14ac:dyDescent="0.25">
      <c r="A8653" t="n">
        <v>24</v>
      </c>
      <c r="B8653" t="s">
        <v>14</v>
      </c>
      <c r="C8653" t="s">
        <v>22</v>
      </c>
      <c r="D8653" s="2" t="s">
        <f>=HYPERLINK("https://main.knesset.gov.il/APPS/legislation/main/bills/2168407", "הצעת חוק שעות עבודה ומנוחה (תיקון - קיצור שבוע העבודה), התשפ""ב-2022")</f>
        <v>14621</v>
      </c>
      <c r="E8653" t="s">
        <v>14621</v>
      </c>
      <c r="F8653" t="s">
        <v>16870</v>
      </c>
      <c r="G8653" t="s">
        <v>14</v>
      </c>
      <c r="H8653">
             </c>
      <c r="I8653" t="s">
        <v>14</v>
      </c>
      <c r="J8653" t="s">
        <v>141</v>
      </c>
      <c r="K8653" t="s">
        <v>14</v>
      </c>
      <c r="L8653" t="s">
        <v>20</v>
      </c>
      <c r="M8653" t="s">
        <v>16853</v>
      </c>
      <c r="N8653" t="s">
        <v>14</v>
      </c>
    </row>
    <row r="8654" x14ac:dyDescent="0.25">
      <c r="A8654" t="n">
        <v>24</v>
      </c>
      <c r="B8654" t="s">
        <v>14</v>
      </c>
      <c r="C8654" t="s">
        <v>22</v>
      </c>
      <c r="D8654" s="2" t="s">
        <f>=HYPERLINK("https://main.knesset.gov.il/APPS/legislation/main/bills/2167515", "הצעת חוק לתיקון פקודת הנישואין והגירושין (רישום) (הסכם קדם נישואין), התשפ""ב-2022")</f>
        <v>16871</v>
      </c>
      <c r="E8654" t="s">
        <v>16871</v>
      </c>
      <c r="F8654" t="s">
        <v>16872</v>
      </c>
      <c r="G8654" t="s">
        <v>14</v>
      </c>
      <c r="H8654">
             </c>
      <c r="I8654" t="s">
        <v>14</v>
      </c>
      <c r="J8654" t="s">
        <v>141</v>
      </c>
      <c r="K8654" t="s">
        <v>14</v>
      </c>
      <c r="L8654" t="s">
        <v>20</v>
      </c>
      <c r="M8654" t="s">
        <v>16853</v>
      </c>
      <c r="N8654" t="s">
        <v>14</v>
      </c>
    </row>
    <row r="8655" x14ac:dyDescent="0.25">
      <c r="A8655" t="n">
        <v>24</v>
      </c>
      <c r="B8655" t="s">
        <v>14</v>
      </c>
      <c r="C8655" t="s">
        <v>22</v>
      </c>
      <c r="D8655" s="2" t="s">
        <f>=HYPERLINK("https://main.knesset.gov.il/APPS/legislation/main/bills/2167896", "הצעת חוק העונשין (תיקון - פטור מריביות), התשפ""ב-2022")</f>
        <v>16873</v>
      </c>
      <c r="E8655" t="s">
        <v>16873</v>
      </c>
      <c r="F8655" t="s">
        <v>16874</v>
      </c>
      <c r="G8655" t="s">
        <v>14</v>
      </c>
      <c r="H8655">
             </c>
      <c r="I8655" t="s">
        <v>14</v>
      </c>
      <c r="J8655" t="s">
        <v>141</v>
      </c>
      <c r="K8655" t="s">
        <v>14</v>
      </c>
      <c r="L8655" t="s">
        <v>20</v>
      </c>
      <c r="M8655" t="s">
        <v>16853</v>
      </c>
      <c r="N8655" t="s">
        <v>14</v>
      </c>
    </row>
    <row r="8656" x14ac:dyDescent="0.25">
      <c r="A8656" t="n">
        <v>24</v>
      </c>
      <c r="B8656" t="s">
        <v>14</v>
      </c>
      <c r="C8656" t="s">
        <v>22</v>
      </c>
      <c r="D8656" s="2" t="s">
        <f>=HYPERLINK("https://main.knesset.gov.il/APPS/legislation/main/bills/2167352", "הצעת חוק חובת המכרזים (תיקון - הגברת עידוד נשים בעסקים), התשפ""ב-2022")</f>
        <v>16875</v>
      </c>
      <c r="E8656" t="s">
        <v>16875</v>
      </c>
      <c r="F8656" t="s">
        <v>16876</v>
      </c>
      <c r="G8656" t="s">
        <v>14</v>
      </c>
      <c r="H8656">
             </c>
      <c r="I8656" t="s">
        <v>14</v>
      </c>
      <c r="J8656" t="s">
        <v>141</v>
      </c>
      <c r="K8656" t="s">
        <v>14</v>
      </c>
      <c r="L8656" t="s">
        <v>20</v>
      </c>
      <c r="M8656" t="s">
        <v>16853</v>
      </c>
      <c r="N8656" t="s">
        <v>14</v>
      </c>
    </row>
    <row r="8657" x14ac:dyDescent="0.25">
      <c r="A8657" t="n">
        <v>24</v>
      </c>
      <c r="B8657" t="s">
        <v>14</v>
      </c>
      <c r="C8657" t="s">
        <v>22</v>
      </c>
      <c r="D8657" s="2" t="s">
        <f>=HYPERLINK("https://main.knesset.gov.il/APPS/legislation/main/bills/2168355", "הצעת חוק פיקוח על מחירי מצרכים ושירותים (תיקון - פיקוח על מחירי בדיקת אנטיגן), התשפ""ב-2022")</f>
        <v>16877</v>
      </c>
      <c r="E8657" t="s">
        <v>16877</v>
      </c>
      <c r="F8657" t="s">
        <v>16878</v>
      </c>
      <c r="G8657" t="s">
        <v>14</v>
      </c>
      <c r="H8657">
             </c>
      <c r="I8657" t="s">
        <v>14</v>
      </c>
      <c r="J8657" t="s">
        <v>141</v>
      </c>
      <c r="K8657" t="s">
        <v>14</v>
      </c>
      <c r="L8657" t="s">
        <v>20</v>
      </c>
      <c r="M8657" t="s">
        <v>16853</v>
      </c>
      <c r="N8657" t="s">
        <v>14</v>
      </c>
    </row>
    <row r="8658" x14ac:dyDescent="0.25">
      <c r="A8658" t="n">
        <v>24</v>
      </c>
      <c r="B8658" t="s">
        <v>14</v>
      </c>
      <c r="C8658" t="s">
        <v>22</v>
      </c>
      <c r="D8658" s="2" t="s">
        <f>=HYPERLINK("https://main.knesset.gov.il/APPS/legislation/main/bills/2167947", "הצעת חוק הגנת הצרכן (תיקון - צמצום בזבוז מזון שתוקפו עומד לפוג ברשתות הקמעונאות הגדולות), התשפ""ב-2022")</f>
        <v>16879</v>
      </c>
      <c r="E8658" t="s">
        <v>16879</v>
      </c>
      <c r="F8658" t="s">
        <v>16880</v>
      </c>
      <c r="G8658" t="s">
        <v>14</v>
      </c>
      <c r="H8658">
             </c>
      <c r="I8658" t="s">
        <v>14</v>
      </c>
      <c r="J8658" t="s">
        <v>141</v>
      </c>
      <c r="K8658" t="s">
        <v>14</v>
      </c>
      <c r="L8658" t="s">
        <v>20</v>
      </c>
      <c r="M8658" t="s">
        <v>16853</v>
      </c>
      <c r="N8658" t="s">
        <v>14</v>
      </c>
    </row>
    <row r="8659" x14ac:dyDescent="0.25">
      <c r="A8659" t="n">
        <v>24</v>
      </c>
      <c r="B8659" t="s">
        <v>14</v>
      </c>
      <c r="C8659" t="s">
        <v>22</v>
      </c>
      <c r="D8659" s="2" t="s">
        <f>=HYPERLINK("https://main.knesset.gov.il/APPS/legislation/main/bills/2168414", "הצעת חוק חובת הכללת אזהרה בפרסום טיפולי המרה לשינוי נטייה מינית, התשפ""ב-2022")</f>
        <v>16881</v>
      </c>
      <c r="E8659" t="s">
        <v>16881</v>
      </c>
      <c r="F8659" t="s">
        <v>16882</v>
      </c>
      <c r="G8659" t="s">
        <v>14</v>
      </c>
      <c r="H8659">
             </c>
      <c r="I8659" t="s">
        <v>14</v>
      </c>
      <c r="J8659" t="s">
        <v>141</v>
      </c>
      <c r="K8659" t="s">
        <v>14</v>
      </c>
      <c r="L8659" t="s">
        <v>20</v>
      </c>
      <c r="M8659" t="s">
        <v>16853</v>
      </c>
      <c r="N8659" t="s">
        <v>14</v>
      </c>
    </row>
    <row r="8660" x14ac:dyDescent="0.25">
      <c r="A8660" t="n">
        <v>24</v>
      </c>
      <c r="B8660" t="s">
        <v>14</v>
      </c>
      <c r="C8660" t="s">
        <v>22</v>
      </c>
      <c r="D8660" s="2" t="s">
        <f>=HYPERLINK("https://main.knesset.gov.il/APPS/legislation/main/bills/2164920", "הצעת חוק-יסוד: העדה הדרוזית ")</f>
        <v>831</v>
      </c>
      <c r="E8660" t="s">
        <v>831</v>
      </c>
      <c r="F8660" t="s">
        <v>16883</v>
      </c>
      <c r="G8660" t="s">
        <v>14</v>
      </c>
      <c r="H8660">
             </c>
      <c r="I8660" t="s">
        <v>14</v>
      </c>
      <c r="J8660" t="s">
        <v>141</v>
      </c>
      <c r="K8660" t="s">
        <v>14</v>
      </c>
      <c r="L8660" t="s">
        <v>20</v>
      </c>
      <c r="M8660" t="s">
        <v>16853</v>
      </c>
      <c r="N8660" t="s">
        <v>14</v>
      </c>
    </row>
    <row r="8661" x14ac:dyDescent="0.25">
      <c r="A8661" t="n">
        <v>24</v>
      </c>
      <c r="B8661" t="s">
        <v>14</v>
      </c>
      <c r="C8661" t="s">
        <v>22</v>
      </c>
      <c r="D8661" s="2" t="s">
        <f>=HYPERLINK("https://main.knesset.gov.il/APPS/legislation/main/bills/2169113", "הצעת חוק המאבק בשחיתות הציבורית - הרשעה בעבירה שיש עמה קלון (תיקוני חקיקה), התשפ""ב-2022")</f>
        <v>16744</v>
      </c>
      <c r="E8661" t="s">
        <v>16744</v>
      </c>
      <c r="F8661" t="s">
        <v>16884</v>
      </c>
      <c r="G8661" t="s">
        <v>14</v>
      </c>
      <c r="H8661">
             </c>
      <c r="I8661" t="s">
        <v>14</v>
      </c>
      <c r="J8661" t="s">
        <v>141</v>
      </c>
      <c r="K8661" t="s">
        <v>14</v>
      </c>
      <c r="L8661" t="s">
        <v>20</v>
      </c>
      <c r="M8661" t="s">
        <v>16853</v>
      </c>
      <c r="N8661" t="s">
        <v>14</v>
      </c>
    </row>
    <row r="8662" x14ac:dyDescent="0.25">
      <c r="A8662" t="n">
        <v>24</v>
      </c>
      <c r="B8662" t="s">
        <v>14</v>
      </c>
      <c r="C8662" t="s">
        <v>22</v>
      </c>
      <c r="D8662" s="2" t="s">
        <f>=HYPERLINK("https://main.knesset.gov.il/APPS/legislation/main/bills/2167465", "הצעת חוק חובת פרסום מידע על תלונות הציבור ודוח ביקורת פנימית (תיקוני חקיקה), התשפ""ב-2022 ")</f>
        <v>16885</v>
      </c>
      <c r="E8662" t="s">
        <v>16885</v>
      </c>
      <c r="F8662" t="s">
        <v>16886</v>
      </c>
      <c r="G8662" t="s">
        <v>14</v>
      </c>
      <c r="H8662">
             </c>
      <c r="I8662" t="s">
        <v>14</v>
      </c>
      <c r="J8662" t="s">
        <v>141</v>
      </c>
      <c r="K8662" t="s">
        <v>14</v>
      </c>
      <c r="L8662" t="s">
        <v>20</v>
      </c>
      <c r="M8662" t="s">
        <v>16853</v>
      </c>
      <c r="N8662" t="s">
        <v>14</v>
      </c>
    </row>
    <row r="8663" x14ac:dyDescent="0.25">
      <c r="A8663" t="n">
        <v>24</v>
      </c>
      <c r="B8663" t="s">
        <v>14</v>
      </c>
      <c r="C8663" t="s">
        <v>22</v>
      </c>
      <c r="D8663" s="2" t="s">
        <f>=HYPERLINK("https://main.knesset.gov.il/APPS/legislation/main/bills/2169288", "הצעת חוק הגנת הצרכן (תיקון - איסור גביית עמלה בעסקה שבוצעה באמצעות האינטרנט), התשפ""ב-2022")</f>
        <v>16887</v>
      </c>
      <c r="E8663" t="s">
        <v>16887</v>
      </c>
      <c r="F8663" t="s">
        <v>16888</v>
      </c>
      <c r="G8663" t="s">
        <v>14</v>
      </c>
      <c r="H8663">
             </c>
      <c r="I8663" t="s">
        <v>14</v>
      </c>
      <c r="J8663" t="s">
        <v>141</v>
      </c>
      <c r="K8663" t="s">
        <v>14</v>
      </c>
      <c r="L8663" t="s">
        <v>20</v>
      </c>
      <c r="M8663" t="s">
        <v>16853</v>
      </c>
      <c r="N8663" t="s">
        <v>14</v>
      </c>
    </row>
    <row r="8664" x14ac:dyDescent="0.25">
      <c r="A8664" t="n">
        <v>24</v>
      </c>
      <c r="B8664" t="s">
        <v>14</v>
      </c>
      <c r="C8664" t="s">
        <v>22</v>
      </c>
      <c r="D8664" s="2" t="s">
        <f>=HYPERLINK("https://main.knesset.gov.il/APPS/legislation/main/bills/2167513", "הצעת חוק הבחירות לכנסת (תיקון - החמרת ענישה עקב פגיעה בטוהר הבחירות), התשפ""ב-2022")</f>
        <v>16889</v>
      </c>
      <c r="E8664" t="s">
        <v>16889</v>
      </c>
      <c r="F8664" t="s">
        <v>16890</v>
      </c>
      <c r="G8664" t="s">
        <v>14</v>
      </c>
      <c r="H8664">
             </c>
      <c r="I8664" t="s">
        <v>14</v>
      </c>
      <c r="J8664" t="s">
        <v>141</v>
      </c>
      <c r="K8664" t="s">
        <v>14</v>
      </c>
      <c r="L8664" t="s">
        <v>20</v>
      </c>
      <c r="M8664" t="s">
        <v>16853</v>
      </c>
      <c r="N8664" t="s">
        <v>14</v>
      </c>
    </row>
    <row r="8665" x14ac:dyDescent="0.25">
      <c r="A8665" t="n">
        <v>24</v>
      </c>
      <c r="B8665" t="s">
        <v>14</v>
      </c>
      <c r="C8665" t="s">
        <v>22</v>
      </c>
      <c r="D8665" s="2" t="s">
        <f>=HYPERLINK("https://main.knesset.gov.il/APPS/legislation/main/bills/2168974", "הצעת חוק יום לציון תשעה באב, התשפ""ב-2022")</f>
        <v>16891</v>
      </c>
      <c r="E8665" t="s">
        <v>16891</v>
      </c>
      <c r="F8665" t="s">
        <v>16892</v>
      </c>
      <c r="G8665" t="s">
        <v>14</v>
      </c>
      <c r="H8665">
             </c>
      <c r="I8665" t="s">
        <v>14</v>
      </c>
      <c r="J8665" t="s">
        <v>141</v>
      </c>
      <c r="K8665" t="s">
        <v>14</v>
      </c>
      <c r="L8665" t="s">
        <v>20</v>
      </c>
      <c r="M8665" t="s">
        <v>16853</v>
      </c>
      <c r="N8665" t="s">
        <v>14</v>
      </c>
    </row>
    <row r="8666" x14ac:dyDescent="0.25">
      <c r="A8666" t="n">
        <v>24</v>
      </c>
      <c r="B8666" t="s">
        <v>14</v>
      </c>
      <c r="C8666" t="s">
        <v>22</v>
      </c>
      <c r="D8666" s="2" t="s">
        <f>=HYPERLINK("https://main.knesset.gov.il/APPS/legislation/main/bills/2167422", "הצעת חוק שיפוט בתי דין רבניים (נישואין וגירושין) (תיקון - הגבלת משך זמן ההליך), התשפ""ב-2022")</f>
        <v>16893</v>
      </c>
      <c r="E8666" t="s">
        <v>16893</v>
      </c>
      <c r="F8666" t="s">
        <v>16894</v>
      </c>
      <c r="G8666" t="s">
        <v>14</v>
      </c>
      <c r="H8666">
             </c>
      <c r="I8666" t="s">
        <v>14</v>
      </c>
      <c r="J8666" t="s">
        <v>141</v>
      </c>
      <c r="K8666" t="s">
        <v>14</v>
      </c>
      <c r="L8666" t="s">
        <v>20</v>
      </c>
      <c r="M8666" t="s">
        <v>16853</v>
      </c>
      <c r="N8666" t="s">
        <v>14</v>
      </c>
    </row>
    <row r="8667" x14ac:dyDescent="0.25">
      <c r="A8667" t="n">
        <v>24</v>
      </c>
      <c r="B8667" t="s">
        <v>14</v>
      </c>
      <c r="C8667" t="s">
        <v>22</v>
      </c>
      <c r="D8667" s="2" t="s">
        <f>=HYPERLINK("https://main.knesset.gov.il/APPS/legislation/main/bills/2168203", "הצעת חוק עבודת נשים (תיקון - הארכת תקופת לידה והורות בתשלום), התשפ""ב-2022")</f>
        <v>16895</v>
      </c>
      <c r="E8667" t="s">
        <v>16895</v>
      </c>
      <c r="F8667" t="s">
        <v>16896</v>
      </c>
      <c r="G8667" t="s">
        <v>14</v>
      </c>
      <c r="H8667">
             </c>
      <c r="I8667" t="s">
        <v>14</v>
      </c>
      <c r="J8667" t="s">
        <v>141</v>
      </c>
      <c r="K8667" t="s">
        <v>14</v>
      </c>
      <c r="L8667" t="s">
        <v>20</v>
      </c>
      <c r="M8667" t="s">
        <v>16853</v>
      </c>
      <c r="N8667" t="s">
        <v>14</v>
      </c>
    </row>
    <row r="8668" x14ac:dyDescent="0.25">
      <c r="A8668" t="n">
        <v>24</v>
      </c>
      <c r="B8668" t="s">
        <v>14</v>
      </c>
      <c r="C8668" t="s">
        <v>22</v>
      </c>
      <c r="D8668" s="2" t="s">
        <f>=HYPERLINK("https://main.knesset.gov.il/APPS/legislation/main/bills/2168437", "הצעת חוק איסור הפליה במוצרים, בשירותים ובכניסה למקומות בידור ולמקומות ציבוריים (תיקון - איסור הפליה בשל הובלת עגלת ילדים), התשפ""ב-2022")</f>
        <v>16897</v>
      </c>
      <c r="E8668" t="s">
        <v>16897</v>
      </c>
      <c r="F8668" t="s">
        <v>16898</v>
      </c>
      <c r="G8668" t="s">
        <v>14</v>
      </c>
      <c r="H8668">
             </c>
      <c r="I8668" t="s">
        <v>14</v>
      </c>
      <c r="J8668" t="s">
        <v>141</v>
      </c>
      <c r="K8668" t="s">
        <v>14</v>
      </c>
      <c r="L8668" t="s">
        <v>20</v>
      </c>
      <c r="M8668" t="s">
        <v>16853</v>
      </c>
      <c r="N8668" t="s">
        <v>14</v>
      </c>
    </row>
    <row r="8669" x14ac:dyDescent="0.25">
      <c r="A8669" t="n">
        <v>24</v>
      </c>
      <c r="B8669" t="s">
        <v>14</v>
      </c>
      <c r="C8669" t="s">
        <v>22</v>
      </c>
      <c r="D8669" s="2" t="s">
        <f>=HYPERLINK("https://main.knesset.gov.il/APPS/legislation/main/bills/2168823", "הצעת חוק לתיקון פקודת הראיות (פסילת ראיה שהושגה שלא כדין), התשפ""ב-2022")</f>
        <v>16899</v>
      </c>
      <c r="E8669" t="s">
        <v>16899</v>
      </c>
      <c r="F8669" t="s">
        <v>16900</v>
      </c>
      <c r="G8669" t="s">
        <v>14</v>
      </c>
      <c r="H8669">
             </c>
      <c r="I8669" t="s">
        <v>14</v>
      </c>
      <c r="J8669" t="s">
        <v>141</v>
      </c>
      <c r="K8669" t="s">
        <v>14</v>
      </c>
      <c r="L8669" t="s">
        <v>20</v>
      </c>
      <c r="M8669" t="s">
        <v>16853</v>
      </c>
      <c r="N8669" t="s">
        <v>14</v>
      </c>
    </row>
    <row r="8670" x14ac:dyDescent="0.25">
      <c r="A8670" t="n">
        <v>24</v>
      </c>
      <c r="B8670" t="s">
        <v>14</v>
      </c>
      <c r="C8670" t="s">
        <v>22</v>
      </c>
      <c r="D8670" s="2" t="s">
        <f>=HYPERLINK("https://main.knesset.gov.il/APPS/legislation/main/bills/2168440", "הצעת חוק העונשין (תיקון - סחר בבני אדם למטרות נישואין), התשפ""ב-2022")</f>
        <v>16901</v>
      </c>
      <c r="E8670" t="s">
        <v>16901</v>
      </c>
      <c r="F8670" t="s">
        <v>16902</v>
      </c>
      <c r="G8670" t="s">
        <v>14</v>
      </c>
      <c r="H8670">
             </c>
      <c r="I8670" t="s">
        <v>14</v>
      </c>
      <c r="J8670" t="s">
        <v>141</v>
      </c>
      <c r="K8670" t="s">
        <v>14</v>
      </c>
      <c r="L8670" t="s">
        <v>20</v>
      </c>
      <c r="M8670" t="s">
        <v>16853</v>
      </c>
      <c r="N8670" t="s">
        <v>14</v>
      </c>
    </row>
    <row r="8671" x14ac:dyDescent="0.25">
      <c r="A8671" t="n">
        <v>24</v>
      </c>
      <c r="B8671" t="s">
        <v>14</v>
      </c>
      <c r="C8671" t="s">
        <v>22</v>
      </c>
      <c r="D8671" s="2" t="s">
        <f>=HYPERLINK("https://main.knesset.gov.il/APPS/legislation/main/bills/2165270", "הצעת חוק-יסוד: השפיטה (תיקון - הגבלת ערעורים של המדינה על פסקי דין פליליים) ")</f>
        <v>16903</v>
      </c>
      <c r="E8671" t="s">
        <v>16903</v>
      </c>
      <c r="F8671" t="s">
        <v>16904</v>
      </c>
      <c r="G8671" t="s">
        <v>14</v>
      </c>
      <c r="H8671">
             </c>
      <c r="I8671" t="s">
        <v>14</v>
      </c>
      <c r="J8671" t="s">
        <v>141</v>
      </c>
      <c r="K8671" t="s">
        <v>14</v>
      </c>
      <c r="L8671" t="s">
        <v>20</v>
      </c>
      <c r="M8671" t="s">
        <v>16853</v>
      </c>
      <c r="N8671" t="s">
        <v>14</v>
      </c>
    </row>
    <row r="8672" x14ac:dyDescent="0.25">
      <c r="A8672" t="n">
        <v>24</v>
      </c>
      <c r="B8672" t="s">
        <v>14</v>
      </c>
      <c r="C8672" t="s">
        <v>22</v>
      </c>
      <c r="D8672" s="2" t="s">
        <f>=HYPERLINK("https://main.knesset.gov.il/APPS/legislation/main/bills/2168517", "הצעת חוק העונשין (תיקון - הגדרת בן דוד כאחראי על קטין או על חסר ישע), התשפ""ב-2022")</f>
        <v>16905</v>
      </c>
      <c r="E8672" t="s">
        <v>16905</v>
      </c>
      <c r="F8672" t="s">
        <v>16906</v>
      </c>
      <c r="G8672" t="s">
        <v>14</v>
      </c>
      <c r="H8672">
             </c>
      <c r="I8672" t="s">
        <v>14</v>
      </c>
      <c r="J8672" t="s">
        <v>141</v>
      </c>
      <c r="K8672" t="s">
        <v>14</v>
      </c>
      <c r="L8672" t="s">
        <v>20</v>
      </c>
      <c r="M8672" t="s">
        <v>16853</v>
      </c>
      <c r="N8672" t="s">
        <v>14</v>
      </c>
    </row>
    <row r="8673" x14ac:dyDescent="0.25">
      <c r="A8673" t="n">
        <v>24</v>
      </c>
      <c r="B8673" t="s">
        <v>14</v>
      </c>
      <c r="C8673" t="s">
        <v>22</v>
      </c>
      <c r="D8673" s="2" t="s">
        <f>=HYPERLINK("https://main.knesset.gov.il/APPS/legislation/main/bills/2167118", "הצעת חוק החברות הממשלתיות (תיקון - מינוי הוועדה לבדיקת מינויים וסמכויותיה), התשפ""ב-2022")</f>
        <v>16907</v>
      </c>
      <c r="E8673" t="s">
        <v>16907</v>
      </c>
      <c r="F8673" t="s">
        <v>16908</v>
      </c>
      <c r="G8673" t="s">
        <v>14</v>
      </c>
      <c r="H8673">
             </c>
      <c r="I8673" t="s">
        <v>14</v>
      </c>
      <c r="J8673" t="s">
        <v>141</v>
      </c>
      <c r="K8673" t="s">
        <v>14</v>
      </c>
      <c r="L8673" t="s">
        <v>20</v>
      </c>
      <c r="M8673" t="s">
        <v>16853</v>
      </c>
      <c r="N8673" t="s">
        <v>14</v>
      </c>
    </row>
    <row r="8674" x14ac:dyDescent="0.25">
      <c r="A8674" t="n">
        <v>24</v>
      </c>
      <c r="B8674" t="s">
        <v>14</v>
      </c>
      <c r="C8674" t="s">
        <v>22</v>
      </c>
      <c r="D8674" s="2" t="s">
        <f>=HYPERLINK("https://main.knesset.gov.il/APPS/legislation/main/bills/2165315", "הצעת חוק הבחירות (דרכי תעמולה) (תיקון - שקיפות מודעות בחירות בעולם הדיגיטלי), התשפ""ב-2021")</f>
        <v>16909</v>
      </c>
      <c r="E8674" t="s">
        <v>16909</v>
      </c>
      <c r="F8674" t="s">
        <v>16910</v>
      </c>
      <c r="G8674" t="s">
        <v>14</v>
      </c>
      <c r="H8674">
             </c>
      <c r="I8674" t="s">
        <v>14</v>
      </c>
      <c r="J8674" t="s">
        <v>141</v>
      </c>
      <c r="K8674" t="s">
        <v>14</v>
      </c>
      <c r="L8674" t="s">
        <v>20</v>
      </c>
      <c r="M8674" t="s">
        <v>16853</v>
      </c>
      <c r="N8674" t="s">
        <v>14</v>
      </c>
    </row>
    <row r="8675" x14ac:dyDescent="0.25">
      <c r="A8675" t="n">
        <v>24</v>
      </c>
      <c r="B8675" t="s">
        <v>14</v>
      </c>
      <c r="C8675" t="s">
        <v>22</v>
      </c>
      <c r="D8675" s="2" t="s">
        <f>=HYPERLINK("https://main.knesset.gov.il/APPS/legislation/main/bills/2168197", "הצעת חוק העונשין (תיקון - פיקוח הכנסת על הגרלות הפיס), התשפ""ב-2022")</f>
        <v>16911</v>
      </c>
      <c r="E8675" t="s">
        <v>16911</v>
      </c>
      <c r="F8675" t="s">
        <v>16912</v>
      </c>
      <c r="G8675" t="s">
        <v>14</v>
      </c>
      <c r="H8675">
             </c>
      <c r="I8675" t="s">
        <v>14</v>
      </c>
      <c r="J8675" t="s">
        <v>141</v>
      </c>
      <c r="K8675" t="s">
        <v>14</v>
      </c>
      <c r="L8675" t="s">
        <v>20</v>
      </c>
      <c r="M8675" t="s">
        <v>16853</v>
      </c>
      <c r="N8675" t="s">
        <v>14</v>
      </c>
    </row>
    <row r="8676" x14ac:dyDescent="0.25">
      <c r="A8676" t="n">
        <v>24</v>
      </c>
      <c r="B8676" t="s">
        <v>14</v>
      </c>
      <c r="C8676" t="s">
        <v>22</v>
      </c>
      <c r="D8676" s="2" t="s">
        <f>=HYPERLINK("https://main.knesset.gov.il/APPS/legislation/main/bills/2168443", "הצעת חוק פיקוח על מחירי מצרכים ושירותים (תיקון - פיקוח על מחירי מוצרים בסיסיים במתחמי שירות חיוניים), התשפ""ב-2022")</f>
        <v>16913</v>
      </c>
      <c r="E8676" t="s">
        <v>16913</v>
      </c>
      <c r="F8676" t="s">
        <v>16914</v>
      </c>
      <c r="G8676" t="s">
        <v>14</v>
      </c>
      <c r="H8676">
             </c>
      <c r="I8676" t="s">
        <v>14</v>
      </c>
      <c r="J8676" t="s">
        <v>141</v>
      </c>
      <c r="K8676" t="s">
        <v>14</v>
      </c>
      <c r="L8676" t="s">
        <v>20</v>
      </c>
      <c r="M8676" t="s">
        <v>16853</v>
      </c>
      <c r="N8676" t="s">
        <v>14</v>
      </c>
    </row>
    <row r="8677" x14ac:dyDescent="0.25">
      <c r="A8677" t="n">
        <v>24</v>
      </c>
      <c r="B8677" t="s">
        <v>14</v>
      </c>
      <c r="C8677" t="s">
        <v>22</v>
      </c>
      <c r="D8677" s="2" t="s">
        <f>=HYPERLINK("https://main.knesset.gov.il/APPS/legislation/main/bills/2168825", "הצעת חוק הירושה (תיקון - צוואה בהקלטה חזותית), התשפ""ב-2022")</f>
        <v>16915</v>
      </c>
      <c r="E8677" t="s">
        <v>16915</v>
      </c>
      <c r="F8677" t="s">
        <v>16916</v>
      </c>
      <c r="G8677" t="s">
        <v>14</v>
      </c>
      <c r="H8677">
             </c>
      <c r="I8677" t="s">
        <v>14</v>
      </c>
      <c r="J8677" t="s">
        <v>141</v>
      </c>
      <c r="K8677" t="s">
        <v>14</v>
      </c>
      <c r="L8677" t="s">
        <v>20</v>
      </c>
      <c r="M8677" t="s">
        <v>16853</v>
      </c>
      <c r="N8677" t="s">
        <v>14</v>
      </c>
    </row>
    <row r="8678" x14ac:dyDescent="0.25">
      <c r="A8678" t="n">
        <v>24</v>
      </c>
      <c r="B8678" t="s">
        <v>14</v>
      </c>
      <c r="C8678" t="s">
        <v>22</v>
      </c>
      <c r="D8678" s="2" t="s">
        <f>=HYPERLINK("https://main.knesset.gov.il/APPS/legislation/main/bills/2168439", "הצעת חוק שוויון ההזדמנויות בעבודה (תיקון - עצמאות נציבות שוויון הזדמנויות בעבודה), התשפ""ב-2022")</f>
        <v>16917</v>
      </c>
      <c r="E8678" t="s">
        <v>16917</v>
      </c>
      <c r="F8678" t="s">
        <v>16918</v>
      </c>
      <c r="G8678" t="s">
        <v>14</v>
      </c>
      <c r="H8678">
             </c>
      <c r="I8678" t="s">
        <v>14</v>
      </c>
      <c r="J8678" t="s">
        <v>141</v>
      </c>
      <c r="K8678" t="s">
        <v>14</v>
      </c>
      <c r="L8678" t="s">
        <v>20</v>
      </c>
      <c r="M8678" t="s">
        <v>16853</v>
      </c>
      <c r="N8678" t="s">
        <v>14</v>
      </c>
    </row>
    <row r="8679" x14ac:dyDescent="0.25">
      <c r="A8679" t="n">
        <v>24</v>
      </c>
      <c r="B8679" t="s">
        <v>14</v>
      </c>
      <c r="C8679" t="s">
        <v>22</v>
      </c>
      <c r="D8679" s="2" t="s">
        <f>=HYPERLINK("https://main.knesset.gov.il/APPS/legislation/main/bills/2169218", "הצעת חוק משק החשמל (תיקון - תשלומי חשמל מופחתים לקשישים נכים), התשפ""ב-2022")</f>
        <v>16204</v>
      </c>
      <c r="E8679" t="s">
        <v>16204</v>
      </c>
      <c r="F8679" t="s">
        <v>16919</v>
      </c>
      <c r="G8679" t="s">
        <v>14</v>
      </c>
      <c r="H8679">
             </c>
      <c r="I8679" t="s">
        <v>14</v>
      </c>
      <c r="J8679" t="s">
        <v>141</v>
      </c>
      <c r="K8679" t="s">
        <v>14</v>
      </c>
      <c r="L8679" t="s">
        <v>20</v>
      </c>
      <c r="M8679" t="s">
        <v>16853</v>
      </c>
      <c r="N8679" t="s">
        <v>14</v>
      </c>
    </row>
    <row r="8680" x14ac:dyDescent="0.25">
      <c r="A8680" t="n">
        <v>24</v>
      </c>
      <c r="B8680" t="s">
        <v>14</v>
      </c>
      <c r="C8680" t="s">
        <v>22</v>
      </c>
      <c r="D8680" s="2" t="s">
        <f>=HYPERLINK("https://main.knesset.gov.il/APPS/legislation/main/bills/2168409", "הצעת חוק הכשרות לאנשי מקצוע בתחום הבריאות בנושא מגדר ונטייה מינית, התשפ""ב-2022")</f>
        <v>16920</v>
      </c>
      <c r="E8680" t="s">
        <v>16920</v>
      </c>
      <c r="F8680" t="s">
        <v>16921</v>
      </c>
      <c r="G8680" t="s">
        <v>14</v>
      </c>
      <c r="H8680">
             </c>
      <c r="I8680" t="s">
        <v>14</v>
      </c>
      <c r="J8680" t="s">
        <v>141</v>
      </c>
      <c r="K8680" t="s">
        <v>14</v>
      </c>
      <c r="L8680" t="s">
        <v>20</v>
      </c>
      <c r="M8680" t="s">
        <v>16853</v>
      </c>
      <c r="N8680" t="s">
        <v>14</v>
      </c>
    </row>
    <row r="8681" x14ac:dyDescent="0.25">
      <c r="A8681" t="n">
        <v>24</v>
      </c>
      <c r="B8681" t="s">
        <v>14</v>
      </c>
      <c r="C8681" t="s">
        <v>22</v>
      </c>
      <c r="D8681" s="2" t="s">
        <f>=HYPERLINK("https://main.knesset.gov.il/APPS/legislation/main/bills/2169052", "הצעת חוק התכנון והבנייה (תיקון - ביטול התניית חיבור לחשמל, מים וטלפון באישור תאגיד המים), התשפ""ב-2022")</f>
        <v>16922</v>
      </c>
      <c r="E8681" t="s">
        <v>16922</v>
      </c>
      <c r="F8681" t="s">
        <v>16923</v>
      </c>
      <c r="G8681" t="s">
        <v>14</v>
      </c>
      <c r="H8681">
             </c>
      <c r="I8681" t="s">
        <v>14</v>
      </c>
      <c r="J8681" t="s">
        <v>141</v>
      </c>
      <c r="K8681" t="s">
        <v>14</v>
      </c>
      <c r="L8681" t="s">
        <v>20</v>
      </c>
      <c r="M8681" t="s">
        <v>16853</v>
      </c>
      <c r="N8681" t="s">
        <v>14</v>
      </c>
    </row>
    <row r="8682" x14ac:dyDescent="0.25">
      <c r="A8682" t="n">
        <v>24</v>
      </c>
      <c r="B8682" t="s">
        <v>14</v>
      </c>
      <c r="C8682" t="s">
        <v>22</v>
      </c>
      <c r="D8682" s="2" t="s">
        <f>=HYPERLINK("https://main.knesset.gov.il/APPS/legislation/main/bills/2168441", "הצעת חוק הכניסה לישראל (תיקון - הארכת היתר ישיבה ומתן רישיון לישיבת קבע לקורבנות סחר בבני אדם), התשפ""ב-2022")</f>
        <v>16924</v>
      </c>
      <c r="E8682" t="s">
        <v>16924</v>
      </c>
      <c r="F8682" t="s">
        <v>16925</v>
      </c>
      <c r="G8682" t="s">
        <v>14</v>
      </c>
      <c r="H8682">
             </c>
      <c r="I8682" t="s">
        <v>14</v>
      </c>
      <c r="J8682" t="s">
        <v>141</v>
      </c>
      <c r="K8682" t="s">
        <v>14</v>
      </c>
      <c r="L8682" t="s">
        <v>20</v>
      </c>
      <c r="M8682" t="s">
        <v>16853</v>
      </c>
      <c r="N8682" t="s">
        <v>14</v>
      </c>
    </row>
    <row r="8683" x14ac:dyDescent="0.25">
      <c r="A8683" t="n">
        <v>24</v>
      </c>
      <c r="B8683" t="s">
        <v>14</v>
      </c>
      <c r="C8683" t="s">
        <v>22</v>
      </c>
      <c r="D8683" s="2" t="s">
        <f>=HYPERLINK("https://main.knesset.gov.il/APPS/legislation/main/bills/2168406", "הצעת חוק דמי מחלה (היעדרות בשל מחלת ילד) (תיקון - היעדרות בעקבות פגיעה בעבירת מין או אלימות חמורה), התשפ""ב-2022")</f>
        <v>15116</v>
      </c>
      <c r="E8683" t="s">
        <v>15116</v>
      </c>
      <c r="F8683" t="s">
        <v>16926</v>
      </c>
      <c r="G8683" t="s">
        <v>14</v>
      </c>
      <c r="H8683">
             </c>
      <c r="I8683" t="s">
        <v>14</v>
      </c>
      <c r="J8683" t="s">
        <v>141</v>
      </c>
      <c r="K8683" t="s">
        <v>14</v>
      </c>
      <c r="L8683" t="s">
        <v>20</v>
      </c>
      <c r="M8683" t="s">
        <v>16853</v>
      </c>
      <c r="N8683" t="s">
        <v>14</v>
      </c>
    </row>
    <row r="8684" x14ac:dyDescent="0.25">
      <c r="A8684" t="n">
        <v>24</v>
      </c>
      <c r="B8684" t="s">
        <v>14</v>
      </c>
      <c r="C8684" t="s">
        <v>22</v>
      </c>
      <c r="D8684" s="2" t="s">
        <f>=HYPERLINK("https://main.knesset.gov.il/APPS/legislation/main/bills/2168797", "הצעת חוק הביטוח הלאומי (תיקון - גמלה בשל דיכאון לאחר לידה), התשפ""ב-2022")</f>
        <v>16927</v>
      </c>
      <c r="E8684" t="s">
        <v>16927</v>
      </c>
      <c r="F8684" t="s">
        <v>16928</v>
      </c>
      <c r="G8684" t="s">
        <v>14</v>
      </c>
      <c r="H8684">
             </c>
      <c r="I8684" t="s">
        <v>14</v>
      </c>
      <c r="J8684" t="s">
        <v>141</v>
      </c>
      <c r="K8684" t="s">
        <v>14</v>
      </c>
      <c r="L8684" t="s">
        <v>20</v>
      </c>
      <c r="M8684" t="s">
        <v>16853</v>
      </c>
      <c r="N8684" t="s">
        <v>14</v>
      </c>
    </row>
    <row r="8685" x14ac:dyDescent="0.25">
      <c r="A8685" t="n">
        <v>24</v>
      </c>
      <c r="B8685" t="s">
        <v>14</v>
      </c>
      <c r="C8685" t="s">
        <v>22</v>
      </c>
      <c r="D8685" s="2" t="s">
        <f>=HYPERLINK("https://main.knesset.gov.il/APPS/legislation/main/bills/2162851", "הצעת חוק להנצחת מורשת המחתרות, התשפ""ב-2021")</f>
        <v>16929</v>
      </c>
      <c r="E8685" t="s">
        <v>16929</v>
      </c>
      <c r="F8685" t="s">
        <v>16930</v>
      </c>
      <c r="G8685" t="s">
        <v>14</v>
      </c>
      <c r="H8685">
             </c>
      <c r="I8685" t="s">
        <v>14</v>
      </c>
      <c r="J8685" t="s">
        <v>141</v>
      </c>
      <c r="K8685" t="s">
        <v>14</v>
      </c>
      <c r="L8685" t="s">
        <v>20</v>
      </c>
      <c r="M8685" t="s">
        <v>16853</v>
      </c>
      <c r="N8685" t="s">
        <v>14</v>
      </c>
    </row>
    <row r="8686" x14ac:dyDescent="0.25">
      <c r="A8686" t="n">
        <v>24</v>
      </c>
      <c r="B8686" t="s">
        <v>14</v>
      </c>
      <c r="C8686" t="s">
        <v>22</v>
      </c>
      <c r="D8686" s="2" t="s">
        <f>=HYPERLINK("https://main.knesset.gov.il/APPS/legislation/main/bills/2169077", "הצעת חוק טיפול בחולי נפש (תיקון - תנאי אשפוז הולמים), התשפ""ב-2022")</f>
        <v>14818</v>
      </c>
      <c r="E8686" t="s">
        <v>14818</v>
      </c>
      <c r="F8686" t="s">
        <v>16931</v>
      </c>
      <c r="G8686" t="s">
        <v>14</v>
      </c>
      <c r="H8686">
             </c>
      <c r="I8686" t="s">
        <v>14</v>
      </c>
      <c r="J8686" t="s">
        <v>141</v>
      </c>
      <c r="K8686" t="s">
        <v>14</v>
      </c>
      <c r="L8686" t="s">
        <v>20</v>
      </c>
      <c r="M8686" t="s">
        <v>16853</v>
      </c>
      <c r="N8686" t="s">
        <v>14</v>
      </c>
    </row>
    <row r="8687" x14ac:dyDescent="0.25">
      <c r="A8687" t="n">
        <v>24</v>
      </c>
      <c r="B8687" t="s">
        <v>14</v>
      </c>
      <c r="C8687" t="s">
        <v>22</v>
      </c>
      <c r="D8687" s="2" t="s">
        <f>=HYPERLINK("https://main.knesset.gov.il/APPS/legislation/main/bills/2168455", "הצעת חוק המקרקעין (תיקון - עישון בבית משותף הפוגע בשכנים), התשפ''ב-2022")</f>
        <v>16932</v>
      </c>
      <c r="E8687" t="s">
        <v>16932</v>
      </c>
      <c r="F8687" t="s">
        <v>16933</v>
      </c>
      <c r="G8687" t="s">
        <v>14</v>
      </c>
      <c r="H8687">
             </c>
      <c r="I8687" t="s">
        <v>14</v>
      </c>
      <c r="J8687" t="s">
        <v>141</v>
      </c>
      <c r="K8687" t="s">
        <v>14</v>
      </c>
      <c r="L8687" t="s">
        <v>20</v>
      </c>
      <c r="M8687" t="s">
        <v>16853</v>
      </c>
      <c r="N8687" t="s">
        <v>14</v>
      </c>
    </row>
    <row r="8688" x14ac:dyDescent="0.25">
      <c r="A8688" t="n">
        <v>24</v>
      </c>
      <c r="B8688" t="s">
        <v>14</v>
      </c>
      <c r="C8688" t="s">
        <v>22</v>
      </c>
      <c r="D8688" s="2" t="s">
        <f>=HYPERLINK("https://main.knesset.gov.il/APPS/legislation/main/bills/2168780", "הצעת חוק בתי המשפט (תיקון - שקיפות הליכים משפטיים), התשפ""ב-2022")</f>
        <v>16934</v>
      </c>
      <c r="E8688" t="s">
        <v>16934</v>
      </c>
      <c r="F8688" t="s">
        <v>16935</v>
      </c>
      <c r="G8688" t="s">
        <v>14</v>
      </c>
      <c r="H8688">
             </c>
      <c r="I8688" t="s">
        <v>14</v>
      </c>
      <c r="J8688" t="s">
        <v>141</v>
      </c>
      <c r="K8688" t="s">
        <v>14</v>
      </c>
      <c r="L8688" t="s">
        <v>20</v>
      </c>
      <c r="M8688" t="s">
        <v>16853</v>
      </c>
      <c r="N8688" t="s">
        <v>14</v>
      </c>
    </row>
    <row r="8689" x14ac:dyDescent="0.25">
      <c r="A8689" t="n">
        <v>24</v>
      </c>
      <c r="B8689" t="s">
        <v>14</v>
      </c>
      <c r="C8689" t="s">
        <v>22</v>
      </c>
      <c r="D8689" s="2" t="s">
        <f>=HYPERLINK("https://main.knesset.gov.il/APPS/legislation/main/bills/2168781", "הצעת חוק הביטוח הלאומי (תיקון - הודעה לפני גביית חוב), התשפ""ב-2022")</f>
        <v>16936</v>
      </c>
      <c r="E8689" t="s">
        <v>16936</v>
      </c>
      <c r="F8689" t="s">
        <v>16937</v>
      </c>
      <c r="G8689" t="s">
        <v>14</v>
      </c>
      <c r="H8689">
             </c>
      <c r="I8689" t="s">
        <v>14</v>
      </c>
      <c r="J8689" t="s">
        <v>141</v>
      </c>
      <c r="K8689" t="s">
        <v>14</v>
      </c>
      <c r="L8689" t="s">
        <v>20</v>
      </c>
      <c r="M8689" t="s">
        <v>16853</v>
      </c>
      <c r="N8689" t="s">
        <v>14</v>
      </c>
    </row>
    <row r="8690" x14ac:dyDescent="0.25">
      <c r="A8690" t="n">
        <v>24</v>
      </c>
      <c r="B8690" t="s">
        <v>14</v>
      </c>
      <c r="C8690" t="s">
        <v>22</v>
      </c>
      <c r="D8690" s="2" t="s">
        <f>=HYPERLINK("https://main.knesset.gov.il/APPS/legislation/main/bills/2167997", "הצעת חוק נאמני שואה במשרדי ממשלה, התשפ""ב-2022 ")</f>
        <v>16938</v>
      </c>
      <c r="E8690" t="s">
        <v>16938</v>
      </c>
      <c r="F8690" t="s">
        <v>16939</v>
      </c>
      <c r="G8690" t="s">
        <v>14</v>
      </c>
      <c r="H8690">
             </c>
      <c r="I8690" t="s">
        <v>14</v>
      </c>
      <c r="J8690" t="s">
        <v>141</v>
      </c>
      <c r="K8690" t="s">
        <v>14</v>
      </c>
      <c r="L8690" t="s">
        <v>20</v>
      </c>
      <c r="M8690" t="s">
        <v>16853</v>
      </c>
      <c r="N8690" t="s">
        <v>14</v>
      </c>
    </row>
    <row r="8691" x14ac:dyDescent="0.25">
      <c r="A8691" t="n">
        <v>24</v>
      </c>
      <c r="B8691" t="s">
        <v>14</v>
      </c>
      <c r="C8691" t="s">
        <v>22</v>
      </c>
      <c r="D8691" s="2" t="s">
        <f>=HYPERLINK("https://main.knesset.gov.il/APPS/legislation/main/bills/2168434", "הצעת חוק הבחירות לכנסת (תיקון - הצבעת סטודנטים), התשפ""ב-2022")</f>
        <v>14623</v>
      </c>
      <c r="E8691" t="s">
        <v>14623</v>
      </c>
      <c r="F8691" t="s">
        <v>16940</v>
      </c>
      <c r="G8691" t="s">
        <v>14</v>
      </c>
      <c r="H8691">
             </c>
      <c r="I8691" t="s">
        <v>14</v>
      </c>
      <c r="J8691" t="s">
        <v>141</v>
      </c>
      <c r="K8691" t="s">
        <v>14</v>
      </c>
      <c r="L8691" t="s">
        <v>20</v>
      </c>
      <c r="M8691" t="s">
        <v>16853</v>
      </c>
      <c r="N8691" t="s">
        <v>14</v>
      </c>
    </row>
    <row r="8692" x14ac:dyDescent="0.25">
      <c r="A8692" t="n">
        <v>24</v>
      </c>
      <c r="B8692" t="s">
        <v>14</v>
      </c>
      <c r="C8692" t="s">
        <v>22</v>
      </c>
      <c r="D8692" s="2" t="s">
        <f>=HYPERLINK("https://main.knesset.gov.il/APPS/legislation/main/bills/2168813", "הצעת חוק התכנון והבנייה (תיקון - שילוב נציגי משרד הבריאות וחובת תסקיר השפעה על הבריאות), התשפ""ב-2022")</f>
        <v>16941</v>
      </c>
      <c r="E8692" t="s">
        <v>16941</v>
      </c>
      <c r="F8692" t="s">
        <v>16942</v>
      </c>
      <c r="G8692" t="s">
        <v>14</v>
      </c>
      <c r="H8692">
             </c>
      <c r="I8692" t="s">
        <v>14</v>
      </c>
      <c r="J8692" t="s">
        <v>141</v>
      </c>
      <c r="K8692" t="s">
        <v>14</v>
      </c>
      <c r="L8692" t="s">
        <v>20</v>
      </c>
      <c r="M8692" t="s">
        <v>16853</v>
      </c>
      <c r="N8692" t="s">
        <v>14</v>
      </c>
    </row>
    <row r="8693" x14ac:dyDescent="0.25">
      <c r="A8693" t="n">
        <v>24</v>
      </c>
      <c r="B8693" t="s">
        <v>14</v>
      </c>
      <c r="C8693" t="s">
        <v>22</v>
      </c>
      <c r="D8693" s="2" t="s">
        <f>=HYPERLINK("https://main.knesset.gov.il/APPS/legislation/main/bills/2168216", "הצעת חוק הביטוח הלאומי (תיקון - מענק לימודים עבור כל ילד), התשפ""ב-2022")</f>
        <v>16943</v>
      </c>
      <c r="E8693" t="s">
        <v>16943</v>
      </c>
      <c r="F8693" t="s">
        <v>16944</v>
      </c>
      <c r="G8693" t="s">
        <v>14</v>
      </c>
      <c r="H8693">
             </c>
      <c r="I8693" t="s">
        <v>14</v>
      </c>
      <c r="J8693" t="s">
        <v>141</v>
      </c>
      <c r="K8693" t="s">
        <v>14</v>
      </c>
      <c r="L8693" t="s">
        <v>20</v>
      </c>
      <c r="M8693" t="s">
        <v>16853</v>
      </c>
      <c r="N8693" t="s">
        <v>14</v>
      </c>
    </row>
    <row r="8694" x14ac:dyDescent="0.25">
      <c r="A8694" t="n">
        <v>24</v>
      </c>
      <c r="B8694" t="s">
        <v>14</v>
      </c>
      <c r="C8694" t="s">
        <v>22</v>
      </c>
      <c r="D8694" s="2" t="s">
        <f>=HYPERLINK("https://main.knesset.gov.il/APPS/legislation/main/bills/2168219", "הצעת חוק הגנת השכר (תיקון - איסור ניכוי חוב או קנס), התשפ""ב-2022")</f>
        <v>15618</v>
      </c>
      <c r="E8694" t="s">
        <v>15618</v>
      </c>
      <c r="F8694" t="s">
        <v>16945</v>
      </c>
      <c r="G8694" t="s">
        <v>14</v>
      </c>
      <c r="H8694">
             </c>
      <c r="I8694" t="s">
        <v>14</v>
      </c>
      <c r="J8694" t="s">
        <v>141</v>
      </c>
      <c r="K8694" t="s">
        <v>14</v>
      </c>
      <c r="L8694" t="s">
        <v>20</v>
      </c>
      <c r="M8694" t="s">
        <v>16853</v>
      </c>
      <c r="N8694" t="s">
        <v>14</v>
      </c>
    </row>
    <row r="8695" x14ac:dyDescent="0.25">
      <c r="A8695" t="n">
        <v>24</v>
      </c>
      <c r="B8695" t="s">
        <v>14</v>
      </c>
      <c r="C8695" t="s">
        <v>22</v>
      </c>
      <c r="D8695" s="2" t="s">
        <f>=HYPERLINK("https://main.knesset.gov.il/APPS/legislation/main/bills/2168029", "הצעת חוק זיכרון השואה והגבורה - יד ושם (תיקון - הנצחת גבורתם ופעילותם של יהודים שחרפו נפשם על מנת להציל את בני עמם בשטחים הכבושים על ידי הנאצים), התשפ""ב-2022")</f>
        <v>16946</v>
      </c>
      <c r="E8695" t="s">
        <v>16946</v>
      </c>
      <c r="F8695" t="s">
        <v>16947</v>
      </c>
      <c r="G8695" t="s">
        <v>14</v>
      </c>
      <c r="H8695">
             </c>
      <c r="I8695" t="s">
        <v>14</v>
      </c>
      <c r="J8695" t="s">
        <v>141</v>
      </c>
      <c r="K8695" t="s">
        <v>14</v>
      </c>
      <c r="L8695" t="s">
        <v>20</v>
      </c>
      <c r="M8695" t="s">
        <v>16853</v>
      </c>
      <c r="N8695" t="s">
        <v>14</v>
      </c>
    </row>
    <row r="8696" x14ac:dyDescent="0.25">
      <c r="A8696" t="n">
        <v>24</v>
      </c>
      <c r="B8696" t="s">
        <v>14</v>
      </c>
      <c r="C8696" t="s">
        <v>22</v>
      </c>
      <c r="D8696" s="2" t="s">
        <f>=HYPERLINK("https://main.knesset.gov.il/APPS/legislation/main/bills/2167389", "הצעת חוק אחזקת כבישים ראשיים ברשויות מקומיות, התשפ""ב-2022")</f>
        <v>16948</v>
      </c>
      <c r="E8696" t="s">
        <v>16948</v>
      </c>
      <c r="F8696" t="s">
        <v>16949</v>
      </c>
      <c r="G8696" t="s">
        <v>14</v>
      </c>
      <c r="H8696">
             </c>
      <c r="I8696" t="s">
        <v>14</v>
      </c>
      <c r="J8696" t="s">
        <v>141</v>
      </c>
      <c r="K8696" t="s">
        <v>14</v>
      </c>
      <c r="L8696" t="s">
        <v>20</v>
      </c>
      <c r="M8696" t="s">
        <v>16853</v>
      </c>
      <c r="N8696" t="s">
        <v>14</v>
      </c>
    </row>
    <row r="8697" x14ac:dyDescent="0.25">
      <c r="A8697" t="n">
        <v>24</v>
      </c>
      <c r="B8697" t="s">
        <v>14</v>
      </c>
      <c r="C8697" t="s">
        <v>22</v>
      </c>
      <c r="D8697" s="2" t="s">
        <f>=HYPERLINK("https://main.knesset.gov.il/APPS/legislation/main/bills/2167869", "הצעת חוק קרן לאזרחי ישראל (תיקון - ייצוג נשים במועצה), התשפ""ב-2022")</f>
        <v>16950</v>
      </c>
      <c r="E8697" t="s">
        <v>16950</v>
      </c>
      <c r="F8697" t="s">
        <v>16951</v>
      </c>
      <c r="G8697" t="s">
        <v>14</v>
      </c>
      <c r="H8697">
             </c>
      <c r="I8697" t="s">
        <v>14</v>
      </c>
      <c r="J8697" t="s">
        <v>141</v>
      </c>
      <c r="K8697" t="s">
        <v>14</v>
      </c>
      <c r="L8697" t="s">
        <v>20</v>
      </c>
      <c r="M8697" t="s">
        <v>16853</v>
      </c>
      <c r="N8697" t="s">
        <v>14</v>
      </c>
    </row>
    <row r="8698" x14ac:dyDescent="0.25">
      <c r="A8698" t="n">
        <v>24</v>
      </c>
      <c r="B8698" t="s">
        <v>14</v>
      </c>
      <c r="C8698" t="s">
        <v>22</v>
      </c>
      <c r="D8698" s="2" t="s">
        <f>=HYPERLINK("https://main.knesset.gov.il/APPS/legislation/main/bills/2167340", "הצעת חוק תומכות חינוך במוסדות חינוך, התשפ""ב-2022")</f>
        <v>16952</v>
      </c>
      <c r="E8698" t="s">
        <v>16952</v>
      </c>
      <c r="F8698" t="s">
        <v>16953</v>
      </c>
      <c r="G8698" t="s">
        <v>14</v>
      </c>
      <c r="H8698">
             </c>
      <c r="I8698" t="s">
        <v>14</v>
      </c>
      <c r="J8698" t="s">
        <v>141</v>
      </c>
      <c r="K8698" t="s">
        <v>14</v>
      </c>
      <c r="L8698" t="s">
        <v>20</v>
      </c>
      <c r="M8698" t="s">
        <v>16853</v>
      </c>
      <c r="N8698" t="s">
        <v>14</v>
      </c>
    </row>
    <row r="8699" x14ac:dyDescent="0.25">
      <c r="A8699" t="n">
        <v>24</v>
      </c>
      <c r="B8699" t="s">
        <v>14</v>
      </c>
      <c r="C8699" t="s">
        <v>22</v>
      </c>
      <c r="D8699" s="2" t="s">
        <f>=HYPERLINK("https://main.knesset.gov.il/APPS/legislation/main/bills/2167574", "הצעת חוק לעידוד הנקה ושמירה על אופן הזנת תינוקות, התשפ""ב-2022")</f>
        <v>16954</v>
      </c>
      <c r="E8699" t="s">
        <v>16954</v>
      </c>
      <c r="F8699" t="s">
        <v>16955</v>
      </c>
      <c r="G8699" t="s">
        <v>14</v>
      </c>
      <c r="H8699">
             </c>
      <c r="I8699" t="s">
        <v>14</v>
      </c>
      <c r="J8699" t="s">
        <v>141</v>
      </c>
      <c r="K8699" t="s">
        <v>14</v>
      </c>
      <c r="L8699" t="s">
        <v>20</v>
      </c>
      <c r="M8699" t="s">
        <v>16853</v>
      </c>
      <c r="N8699" t="s">
        <v>14</v>
      </c>
    </row>
    <row r="8700" x14ac:dyDescent="0.25">
      <c r="A8700" t="n">
        <v>24</v>
      </c>
      <c r="B8700" t="s">
        <v>14</v>
      </c>
      <c r="C8700" t="s">
        <v>22</v>
      </c>
      <c r="D8700" s="2" t="s">
        <f>=HYPERLINK("https://main.knesset.gov.il/APPS/legislation/main/bills/2167324", "הצעת חוק להטבת נזקים והשבת עלויות טיפול רפואי בשל שימוש בטבק, התשפ""ב-2022")</f>
        <v>16956</v>
      </c>
      <c r="E8700" t="s">
        <v>16956</v>
      </c>
      <c r="F8700" t="s">
        <v>16957</v>
      </c>
      <c r="G8700" t="s">
        <v>14</v>
      </c>
      <c r="H8700">
             </c>
      <c r="I8700" t="s">
        <v>14</v>
      </c>
      <c r="J8700" t="s">
        <v>141</v>
      </c>
      <c r="K8700" t="s">
        <v>14</v>
      </c>
      <c r="L8700" t="s">
        <v>20</v>
      </c>
      <c r="M8700" t="s">
        <v>16853</v>
      </c>
      <c r="N8700" t="s">
        <v>14</v>
      </c>
    </row>
    <row r="8701" x14ac:dyDescent="0.25">
      <c r="A8701" t="n">
        <v>24</v>
      </c>
      <c r="B8701" t="s">
        <v>14</v>
      </c>
      <c r="C8701" t="s">
        <v>22</v>
      </c>
      <c r="D8701" s="2" t="s">
        <f>=HYPERLINK("https://main.knesset.gov.il/APPS/legislation/main/bills/2165923", "הצעת חוק הסדרת העיסוק במקצועות הבריאות (תיקון - פעולות ייחודיות למחזיקי תעודת תזונאי), התשפ""ב-2022")</f>
        <v>16958</v>
      </c>
      <c r="E8701" t="s">
        <v>16958</v>
      </c>
      <c r="F8701" t="s">
        <v>16959</v>
      </c>
      <c r="G8701" t="s">
        <v>14</v>
      </c>
      <c r="H8701">
             </c>
      <c r="I8701" t="s">
        <v>14</v>
      </c>
      <c r="J8701" t="s">
        <v>141</v>
      </c>
      <c r="K8701" t="s">
        <v>14</v>
      </c>
      <c r="L8701" t="s">
        <v>20</v>
      </c>
      <c r="M8701" t="s">
        <v>16853</v>
      </c>
      <c r="N8701" t="s">
        <v>14</v>
      </c>
    </row>
    <row r="8702" x14ac:dyDescent="0.25">
      <c r="A8702" t="n">
        <v>24</v>
      </c>
      <c r="B8702" t="s">
        <v>14</v>
      </c>
      <c r="C8702" t="s">
        <v>22</v>
      </c>
      <c r="D8702" s="2" t="s">
        <f>=HYPERLINK("https://main.knesset.gov.il/APPS/legislation/main/bills/2165449", "הצעת חוק שוויון זכויות לאנשים עם מוגבלות (תיקון - חובת נגישות באוטובוסים בין-עירוניים), התשפ""ב-2022")</f>
        <v>16960</v>
      </c>
      <c r="E8702" t="s">
        <v>16960</v>
      </c>
      <c r="F8702" t="s">
        <v>16961</v>
      </c>
      <c r="G8702" t="s">
        <v>14</v>
      </c>
      <c r="H8702">
             </c>
      <c r="I8702" t="s">
        <v>14</v>
      </c>
      <c r="J8702" t="s">
        <v>141</v>
      </c>
      <c r="K8702" t="s">
        <v>14</v>
      </c>
      <c r="L8702" t="s">
        <v>20</v>
      </c>
      <c r="M8702" t="s">
        <v>16853</v>
      </c>
      <c r="N8702" t="s">
        <v>14</v>
      </c>
    </row>
    <row r="8703" x14ac:dyDescent="0.25">
      <c r="A8703" t="n">
        <v>24</v>
      </c>
      <c r="B8703" t="s">
        <v>14</v>
      </c>
      <c r="C8703" t="s">
        <v>22</v>
      </c>
      <c r="D8703" s="2" t="s">
        <f>=HYPERLINK("https://main.knesset.gov.il/APPS/legislation/main/bills/2168388", "הצעת חוק שירותי הדת היהודיים (תיקון - ייצוג הולם לנשים במועצות הדתיות), התשפ""ב-2022")</f>
        <v>16962</v>
      </c>
      <c r="E8703" t="s">
        <v>16962</v>
      </c>
      <c r="F8703" t="s">
        <v>16963</v>
      </c>
      <c r="G8703" t="s">
        <v>14</v>
      </c>
      <c r="H8703">
             </c>
      <c r="I8703" t="s">
        <v>14</v>
      </c>
      <c r="J8703" t="s">
        <v>141</v>
      </c>
      <c r="K8703" t="s">
        <v>14</v>
      </c>
      <c r="L8703" t="s">
        <v>20</v>
      </c>
      <c r="M8703" t="s">
        <v>16853</v>
      </c>
      <c r="N8703" t="s">
        <v>14</v>
      </c>
    </row>
    <row r="8704" x14ac:dyDescent="0.25">
      <c r="A8704" t="n">
        <v>24</v>
      </c>
      <c r="B8704" t="s">
        <v>14</v>
      </c>
      <c r="C8704" t="s">
        <v>22</v>
      </c>
      <c r="D8704" s="2" t="s">
        <f>=HYPERLINK("https://main.knesset.gov.il/APPS/legislation/main/bills/2168049", "הצעת חוק איסור אלימות בספורט (תיקון - איסור ענישה קולקטיבית), התשפ""ב-2022")</f>
        <v>16964</v>
      </c>
      <c r="E8704" t="s">
        <v>16964</v>
      </c>
      <c r="F8704" t="s">
        <v>16965</v>
      </c>
      <c r="G8704" t="s">
        <v>14</v>
      </c>
      <c r="H8704">
             </c>
      <c r="I8704" t="s">
        <v>14</v>
      </c>
      <c r="J8704" t="s">
        <v>343</v>
      </c>
      <c r="K8704" t="s">
        <v>14</v>
      </c>
      <c r="L8704" t="s">
        <v>20</v>
      </c>
      <c r="M8704" t="s">
        <v>16853</v>
      </c>
      <c r="N8704" t="s">
        <v>14</v>
      </c>
    </row>
    <row r="8705" x14ac:dyDescent="0.25">
      <c r="A8705" t="n">
        <v>24</v>
      </c>
      <c r="B8705" t="s">
        <v>14</v>
      </c>
      <c r="C8705" t="s">
        <v>22</v>
      </c>
      <c r="D8705" s="2" t="s">
        <f>=HYPERLINK("https://main.knesset.gov.il/APPS/legislation/main/bills/2167560", "הצעת חוק לתיקון פקודת המשטרה (הוראות בדבר פיזור אסיפה או תהלוכה), התשפ""ב-2022")</f>
        <v>16966</v>
      </c>
      <c r="E8705" t="s">
        <v>16966</v>
      </c>
      <c r="F8705" t="s">
        <v>16967</v>
      </c>
      <c r="G8705" t="s">
        <v>14</v>
      </c>
      <c r="H8705">
             </c>
      <c r="I8705" t="s">
        <v>14</v>
      </c>
      <c r="J8705" t="s">
        <v>141</v>
      </c>
      <c r="K8705" t="s">
        <v>14</v>
      </c>
      <c r="L8705" t="s">
        <v>20</v>
      </c>
      <c r="M8705" t="s">
        <v>16853</v>
      </c>
      <c r="N8705" t="s">
        <v>14</v>
      </c>
    </row>
    <row r="8706" x14ac:dyDescent="0.25">
      <c r="A8706" t="n">
        <v>24</v>
      </c>
      <c r="B8706" t="s">
        <v>14</v>
      </c>
      <c r="C8706" t="s">
        <v>15</v>
      </c>
      <c r="D8706" s="2" t="s">
        <f>=HYPERLINK("https://main.knesset.gov.il/APPS/legislation/main/bills/2169436", "הצעת חוק שירות אזרחי (תיקון מס' 4), התשפ""ב-2022")</f>
        <v>16968</v>
      </c>
      <c r="E8706" t="s">
        <v>16968</v>
      </c>
      <c r="F8706" t="s">
        <v>14</v>
      </c>
      <c r="G8706" t="s">
        <v>16969</v>
      </c>
      <c r="H8706">
             </c>
      <c r="I8706" t="s">
        <v>14</v>
      </c>
      <c r="J8706" t="s">
        <v>1141</v>
      </c>
      <c r="K8706" t="s">
        <v>14</v>
      </c>
      <c r="L8706" t="s">
        <v>20</v>
      </c>
      <c r="M8706" t="s">
        <v>16853</v>
      </c>
      <c r="N8706" t="s">
        <v>14</v>
      </c>
    </row>
    <row r="8707" x14ac:dyDescent="0.25">
      <c r="A8707" t="n">
        <v>24</v>
      </c>
      <c r="B8707" t="s">
        <v>14</v>
      </c>
      <c r="C8707" t="s">
        <v>15</v>
      </c>
      <c r="D8707" s="2" t="s">
        <f>=HYPERLINK("https://main.knesset.gov.il/APPS/legislation/main/bills/2169438", "הצעת חוק המקרקעין (תיקון מס' 35) (התקנת מעלית מטעמים מיוחדים), התשפ""ב-2022")</f>
        <v>16970</v>
      </c>
      <c r="E8707" t="s">
        <v>16970</v>
      </c>
      <c r="F8707" t="s">
        <v>14</v>
      </c>
      <c r="G8707" t="s">
        <v>16971</v>
      </c>
      <c r="H8707">
             </c>
      <c r="I8707" t="s">
        <v>14</v>
      </c>
      <c r="J8707" t="s">
        <v>1141</v>
      </c>
      <c r="K8707" t="s">
        <v>14</v>
      </c>
      <c r="L8707" t="s">
        <v>20</v>
      </c>
      <c r="M8707" t="s">
        <v>16853</v>
      </c>
      <c r="N8707" t="s">
        <v>14</v>
      </c>
    </row>
    <row r="8708" x14ac:dyDescent="0.25">
      <c r="A8708" t="n">
        <v>24</v>
      </c>
      <c r="B8708" t="s">
        <v>14</v>
      </c>
      <c r="C8708" t="s">
        <v>15</v>
      </c>
      <c r="D8708" s="2" t="s">
        <f>=HYPERLINK("https://main.knesset.gov.il/APPS/legislation/main/bills/2165367", "חוק סמכויות מיוחדות להתמודדות עם נגיף הקורונה החדש (הוראת שעה) (תיקון מס' 11), התשפ""ב-2022")</f>
        <v>16972</v>
      </c>
      <c r="E8708" t="s">
        <v>16972</v>
      </c>
      <c r="F8708" t="s">
        <v>14</v>
      </c>
      <c r="G8708" t="s">
        <v>16973</v>
      </c>
      <c r="H8708" t="n">
        <v>2954</v>
      </c>
      <c r="I8708" t="s">
        <v>14</v>
      </c>
      <c r="J8708" t="s">
        <v>91</v>
      </c>
      <c r="K8708" t="s">
        <v>27</v>
      </c>
      <c r="L8708" t="s">
        <v>20</v>
      </c>
      <c r="M8708" t="s">
        <v>16974</v>
      </c>
      <c r="N8708" t="s">
        <v>16975</v>
      </c>
    </row>
    <row r="8709" x14ac:dyDescent="0.25">
      <c r="A8709" t="n">
        <v>24</v>
      </c>
      <c r="B8709" t="s">
        <v>14</v>
      </c>
      <c r="C8709" t="s">
        <v>15</v>
      </c>
      <c r="D8709" s="2" t="s">
        <f>=HYPERLINK("https://main.knesset.gov.il/APPS/legislation/main/bills/2168611", "חוק התוכנית לסיוע כלכלי (נגיף הקורונה החדש) (הוראת שעה) (תיקון מס' 7), התשפ""ב-2022")</f>
        <v>16976</v>
      </c>
      <c r="E8709" t="s">
        <v>16976</v>
      </c>
      <c r="F8709" t="s">
        <v>14</v>
      </c>
      <c r="G8709" t="s">
        <v>16977</v>
      </c>
      <c r="H8709" t="n">
        <v>2955</v>
      </c>
      <c r="I8709" t="s">
        <v>14</v>
      </c>
      <c r="J8709" t="s">
        <v>91</v>
      </c>
      <c r="K8709" t="s">
        <v>127</v>
      </c>
      <c r="L8709" t="s">
        <v>20</v>
      </c>
      <c r="M8709" t="s">
        <v>16974</v>
      </c>
      <c r="N8709" t="s">
        <v>16978</v>
      </c>
    </row>
    <row r="8710" x14ac:dyDescent="0.25">
      <c r="A8710" t="n">
        <v>24</v>
      </c>
      <c r="B8710" t="s">
        <v>14</v>
      </c>
      <c r="C8710" t="s">
        <v>22</v>
      </c>
      <c r="D8710" s="2" t="s">
        <f>=HYPERLINK("https://main.knesset.gov.il/APPS/legislation/main/bills/2165123", "הצעת חוק התכנית להבראת כלכלת ישראל (תיקוני חקיקה להשגת יעדי התקציב והמדיניות הכלכלית לשנות הכספים 2003 ו-2004) (תיקון - ביטול פרק י'), התשפ""ב-2021")</f>
        <v>16979</v>
      </c>
      <c r="E8710" t="s">
        <v>16979</v>
      </c>
      <c r="F8710" t="s">
        <v>16980</v>
      </c>
      <c r="G8710" t="s">
        <v>14</v>
      </c>
      <c r="H8710">
             </c>
      <c r="I8710" t="s">
        <v>14</v>
      </c>
      <c r="J8710" t="s">
        <v>99</v>
      </c>
      <c r="K8710" t="s">
        <v>85</v>
      </c>
      <c r="L8710" t="s">
        <v>20</v>
      </c>
      <c r="M8710" t="s">
        <v>16974</v>
      </c>
      <c r="N8710" t="s">
        <v>14</v>
      </c>
    </row>
    <row r="8711" x14ac:dyDescent="0.25">
      <c r="A8711" t="n">
        <v>24</v>
      </c>
      <c r="B8711" t="s">
        <v>14</v>
      </c>
      <c r="C8711" t="s">
        <v>22</v>
      </c>
      <c r="D8711" s="2" t="s">
        <f>=HYPERLINK("https://main.knesset.gov.il/APPS/legislation/main/bills/2163096", "הצעת חוק לתיקון פקודת היערות (הגברת ההגנה על עצים בוגרים), התשפ""ב-2021")</f>
        <v>16981</v>
      </c>
      <c r="E8711" t="s">
        <v>16981</v>
      </c>
      <c r="F8711" t="s">
        <v>16982</v>
      </c>
      <c r="G8711" t="s">
        <v>14</v>
      </c>
      <c r="H8711">
             </c>
      <c r="I8711" t="s">
        <v>14</v>
      </c>
      <c r="J8711" t="s">
        <v>31</v>
      </c>
      <c r="K8711" t="s">
        <v>46</v>
      </c>
      <c r="L8711" t="s">
        <v>20</v>
      </c>
      <c r="M8711" t="s">
        <v>16983</v>
      </c>
      <c r="N8711" t="s">
        <v>14</v>
      </c>
    </row>
    <row r="8712" x14ac:dyDescent="0.25">
      <c r="A8712" t="n">
        <v>24</v>
      </c>
      <c r="B8712" t="s">
        <v>14</v>
      </c>
      <c r="C8712" t="s">
        <v>22</v>
      </c>
      <c r="D8712" s="2" t="s">
        <f>=HYPERLINK("https://main.knesset.gov.il/APPS/legislation/main/bills/2156152", "הצעת חוק הרשויות המקומיות (בחירת ראש הרשות וסגניו וכהונתם) (תיקון - חסינות ממעצר לראשי רשויות ולראשי מועצות אזוריות), השתפ""ב-2022")</f>
        <v>16984</v>
      </c>
      <c r="E8712" t="s">
        <v>16984</v>
      </c>
      <c r="F8712" t="s">
        <v>16985</v>
      </c>
      <c r="G8712" t="s">
        <v>14</v>
      </c>
      <c r="H8712">
             </c>
      <c r="I8712" t="s">
        <v>14</v>
      </c>
      <c r="J8712" t="s">
        <v>141</v>
      </c>
      <c r="K8712" t="s">
        <v>14</v>
      </c>
      <c r="L8712" t="s">
        <v>20</v>
      </c>
      <c r="M8712" t="s">
        <v>16983</v>
      </c>
      <c r="N8712" t="s">
        <v>14</v>
      </c>
    </row>
    <row r="8713" x14ac:dyDescent="0.25">
      <c r="A8713" t="n">
        <v>24</v>
      </c>
      <c r="B8713" t="s">
        <v>14</v>
      </c>
      <c r="C8713" t="s">
        <v>22</v>
      </c>
      <c r="D8713" s="2" t="s">
        <f>=HYPERLINK("https://main.knesset.gov.il/APPS/legislation/main/bills/2168383", "הצעת חוק לתיקון פקודת סדר הדין הפלילי (מעצר וחיפוש) (פסילת ראיה שהושגה מחיפוש בטלפון נייד ובחומר מחשב ללא צו), התשפ''ב-2022")</f>
        <v>16986</v>
      </c>
      <c r="E8713" t="s">
        <v>16986</v>
      </c>
      <c r="F8713" t="s">
        <v>16987</v>
      </c>
      <c r="G8713" t="s">
        <v>14</v>
      </c>
      <c r="H8713">
             </c>
      <c r="I8713" t="s">
        <v>14</v>
      </c>
      <c r="J8713" t="s">
        <v>141</v>
      </c>
      <c r="K8713" t="s">
        <v>14</v>
      </c>
      <c r="L8713" t="s">
        <v>20</v>
      </c>
      <c r="M8713" t="s">
        <v>16983</v>
      </c>
      <c r="N8713" t="s">
        <v>14</v>
      </c>
    </row>
    <row r="8714" x14ac:dyDescent="0.25">
      <c r="A8714" t="n">
        <v>24</v>
      </c>
      <c r="B8714" t="s">
        <v>14</v>
      </c>
      <c r="C8714" t="s">
        <v>22</v>
      </c>
      <c r="D8714" s="2" t="s">
        <f>=HYPERLINK("https://main.knesset.gov.il/APPS/legislation/main/bills/2168920", "הצעת חוק משק החשמל (תיקון - איסור ניתוק חשמל), התשפ""ב-2022")</f>
        <v>15439</v>
      </c>
      <c r="E8714" t="s">
        <v>15439</v>
      </c>
      <c r="F8714" t="s">
        <v>16988</v>
      </c>
      <c r="G8714" t="s">
        <v>14</v>
      </c>
      <c r="H8714">
             </c>
      <c r="I8714" t="s">
        <v>14</v>
      </c>
      <c r="J8714" t="s">
        <v>141</v>
      </c>
      <c r="K8714" t="s">
        <v>14</v>
      </c>
      <c r="L8714" t="s">
        <v>20</v>
      </c>
      <c r="M8714" t="s">
        <v>16983</v>
      </c>
      <c r="N8714" t="s">
        <v>14</v>
      </c>
    </row>
    <row r="8715" x14ac:dyDescent="0.25">
      <c r="A8715" t="n">
        <v>24</v>
      </c>
      <c r="B8715" t="s">
        <v>14</v>
      </c>
      <c r="C8715" t="s">
        <v>22</v>
      </c>
      <c r="D8715" s="2" t="s">
        <f>=HYPERLINK("https://main.knesset.gov.il/APPS/legislation/main/bills/2165198", "הצעת חוק המפלגות (תיקון - העלאת תנאי הסף ומניעת חברות כפולה בעת רישום מפלגה), התשפ""ב-2022")</f>
        <v>16989</v>
      </c>
      <c r="E8715" t="s">
        <v>16989</v>
      </c>
      <c r="F8715" t="s">
        <v>16990</v>
      </c>
      <c r="G8715" t="s">
        <v>14</v>
      </c>
      <c r="H8715">
             </c>
      <c r="I8715" t="s">
        <v>14</v>
      </c>
      <c r="J8715" t="s">
        <v>141</v>
      </c>
      <c r="K8715" t="s">
        <v>14</v>
      </c>
      <c r="L8715" t="s">
        <v>20</v>
      </c>
      <c r="M8715" t="s">
        <v>16983</v>
      </c>
      <c r="N8715" t="s">
        <v>14</v>
      </c>
    </row>
    <row r="8716" x14ac:dyDescent="0.25">
      <c r="A8716" t="n">
        <v>24</v>
      </c>
      <c r="B8716" t="s">
        <v>14</v>
      </c>
      <c r="C8716" t="s">
        <v>22</v>
      </c>
      <c r="D8716" s="2" t="s">
        <f>=HYPERLINK("https://main.knesset.gov.il/APPS/legislation/main/bills/2168410", "הצעת חוק איסור לשון הרע (תיקון - חשיפת פרטי מידע של מנוי ברשת תקשורת אלקטרונית), התשפ""ב-2022")</f>
        <v>16991</v>
      </c>
      <c r="E8716" t="s">
        <v>16991</v>
      </c>
      <c r="F8716" t="s">
        <v>16992</v>
      </c>
      <c r="G8716" t="s">
        <v>14</v>
      </c>
      <c r="H8716">
             </c>
      <c r="I8716" t="s">
        <v>14</v>
      </c>
      <c r="J8716" t="s">
        <v>141</v>
      </c>
      <c r="K8716" t="s">
        <v>14</v>
      </c>
      <c r="L8716" t="s">
        <v>20</v>
      </c>
      <c r="M8716" t="s">
        <v>16983</v>
      </c>
      <c r="N8716" t="s">
        <v>14</v>
      </c>
    </row>
    <row r="8717" x14ac:dyDescent="0.25">
      <c r="A8717" t="n">
        <v>24</v>
      </c>
      <c r="B8717" t="s">
        <v>14</v>
      </c>
      <c r="C8717" t="s">
        <v>22</v>
      </c>
      <c r="D8717" s="2" t="s">
        <f>=HYPERLINK("https://main.knesset.gov.il/APPS/legislation/main/bills/2167623", "הצעת חוק המקרקעין (תיקון - קביעת מנגנון נוסף לתשלומי ועד), התשפ""ב-2022")</f>
        <v>16993</v>
      </c>
      <c r="E8717" t="s">
        <v>16993</v>
      </c>
      <c r="F8717" t="s">
        <v>16994</v>
      </c>
      <c r="G8717" t="s">
        <v>14</v>
      </c>
      <c r="H8717">
             </c>
      <c r="I8717" t="s">
        <v>14</v>
      </c>
      <c r="J8717" t="s">
        <v>141</v>
      </c>
      <c r="K8717" t="s">
        <v>14</v>
      </c>
      <c r="L8717" t="s">
        <v>20</v>
      </c>
      <c r="M8717" t="s">
        <v>16983</v>
      </c>
      <c r="N8717" t="s">
        <v>14</v>
      </c>
    </row>
    <row r="8718" x14ac:dyDescent="0.25">
      <c r="A8718" t="n">
        <v>24</v>
      </c>
      <c r="B8718" t="s">
        <v>14</v>
      </c>
      <c r="C8718" t="s">
        <v>22</v>
      </c>
      <c r="D8718" s="2" t="s">
        <f>=HYPERLINK("https://main.knesset.gov.il/APPS/legislation/main/bills/2168040", "הצעת חוק שיפוט בתי דין רבניים (נישואין וגירושין) (תיקון - מתן פסק דין במקרי אלימות קשים), התשפ""ב-2022")</f>
        <v>16995</v>
      </c>
      <c r="E8718" t="s">
        <v>16995</v>
      </c>
      <c r="F8718" t="s">
        <v>16996</v>
      </c>
      <c r="G8718" t="s">
        <v>14</v>
      </c>
      <c r="H8718">
             </c>
      <c r="I8718" t="s">
        <v>14</v>
      </c>
      <c r="J8718" t="s">
        <v>141</v>
      </c>
      <c r="K8718" t="s">
        <v>14</v>
      </c>
      <c r="L8718" t="s">
        <v>20</v>
      </c>
      <c r="M8718" t="s">
        <v>16983</v>
      </c>
      <c r="N8718" t="s">
        <v>14</v>
      </c>
    </row>
    <row r="8719" x14ac:dyDescent="0.25">
      <c r="A8719" t="n">
        <v>24</v>
      </c>
      <c r="B8719" t="s">
        <v>14</v>
      </c>
      <c r="C8719" t="s">
        <v>22</v>
      </c>
      <c r="D8719" s="2" t="s">
        <f>=HYPERLINK("https://main.knesset.gov.il/APPS/legislation/main/bills/2168415", "הצעת חוק-יסוד: הממשלה (תיקון - הגבלת מועמד שהורשע בשוחד, מרמה והפרת אמונים מהרכבת הממשלה)")</f>
        <v>14812</v>
      </c>
      <c r="E8719" t="s">
        <v>14812</v>
      </c>
      <c r="F8719" t="s">
        <v>16997</v>
      </c>
      <c r="G8719" t="s">
        <v>14</v>
      </c>
      <c r="H8719">
             </c>
      <c r="I8719" t="s">
        <v>14</v>
      </c>
      <c r="J8719" t="s">
        <v>141</v>
      </c>
      <c r="K8719" t="s">
        <v>14</v>
      </c>
      <c r="L8719" t="s">
        <v>20</v>
      </c>
      <c r="M8719" t="s">
        <v>16983</v>
      </c>
      <c r="N8719" t="s">
        <v>14</v>
      </c>
    </row>
    <row r="8720" x14ac:dyDescent="0.25">
      <c r="A8720" t="n">
        <v>24</v>
      </c>
      <c r="B8720" t="s">
        <v>14</v>
      </c>
      <c r="C8720" t="s">
        <v>22</v>
      </c>
      <c r="D8720" s="2" t="s">
        <f>=HYPERLINK("https://main.knesset.gov.il/APPS/legislation/main/bills/2167830", "הצעת חוק השוואת תשלומים לחיילים בודדים ילידי ישראל וחיילים בודדים שנולדו מחוץ לישראל, התשפ""ב-2022")</f>
        <v>16998</v>
      </c>
      <c r="E8720" t="s">
        <v>16998</v>
      </c>
      <c r="F8720" t="s">
        <v>16999</v>
      </c>
      <c r="G8720" t="s">
        <v>14</v>
      </c>
      <c r="H8720">
             </c>
      <c r="I8720" t="s">
        <v>14</v>
      </c>
      <c r="J8720" t="s">
        <v>141</v>
      </c>
      <c r="K8720" t="s">
        <v>14</v>
      </c>
      <c r="L8720" t="s">
        <v>20</v>
      </c>
      <c r="M8720" t="s">
        <v>16983</v>
      </c>
      <c r="N8720" t="s">
        <v>14</v>
      </c>
    </row>
    <row r="8721" x14ac:dyDescent="0.25">
      <c r="A8721" t="n">
        <v>24</v>
      </c>
      <c r="B8721" t="s">
        <v>14</v>
      </c>
      <c r="C8721" t="s">
        <v>22</v>
      </c>
      <c r="D8721" s="2" t="s">
        <f>=HYPERLINK("https://main.knesset.gov.il/APPS/legislation/main/bills/2167476", "הצעת חוק לתיקון פקודת בתי הסוהר (חופשה מיוחדת), התשפ""ב-2022")</f>
        <v>17000</v>
      </c>
      <c r="E8721" t="s">
        <v>17000</v>
      </c>
      <c r="F8721" t="s">
        <v>17001</v>
      </c>
      <c r="G8721" t="s">
        <v>14</v>
      </c>
      <c r="H8721">
             </c>
      <c r="I8721" t="s">
        <v>14</v>
      </c>
      <c r="J8721" t="s">
        <v>141</v>
      </c>
      <c r="K8721" t="s">
        <v>14</v>
      </c>
      <c r="L8721" t="s">
        <v>20</v>
      </c>
      <c r="M8721" t="s">
        <v>16983</v>
      </c>
      <c r="N8721" t="s">
        <v>14</v>
      </c>
    </row>
    <row r="8722" x14ac:dyDescent="0.25">
      <c r="A8722" t="n">
        <v>24</v>
      </c>
      <c r="B8722" t="s">
        <v>14</v>
      </c>
      <c r="C8722" t="s">
        <v>22</v>
      </c>
      <c r="D8722" s="2" t="s">
        <f>=HYPERLINK("https://main.knesset.gov.il/APPS/legislation/main/bills/2168043", "הצעת חוק הפיקוח על מעונות יום לפעוטות (תיקון - הרחבת הפיקוח על מעונות יום), התשפ""ב-2022 ")</f>
        <v>17002</v>
      </c>
      <c r="E8722" t="s">
        <v>17002</v>
      </c>
      <c r="F8722" t="s">
        <v>17003</v>
      </c>
      <c r="G8722" t="s">
        <v>14</v>
      </c>
      <c r="H8722">
             </c>
      <c r="I8722" t="s">
        <v>14</v>
      </c>
      <c r="J8722" t="s">
        <v>141</v>
      </c>
      <c r="K8722" t="s">
        <v>14</v>
      </c>
      <c r="L8722" t="s">
        <v>20</v>
      </c>
      <c r="M8722" t="s">
        <v>16983</v>
      </c>
      <c r="N8722" t="s">
        <v>14</v>
      </c>
    </row>
    <row r="8723" x14ac:dyDescent="0.25">
      <c r="A8723" t="n">
        <v>24</v>
      </c>
      <c r="B8723" t="s">
        <v>14</v>
      </c>
      <c r="C8723" t="s">
        <v>22</v>
      </c>
      <c r="D8723" s="2" t="s">
        <f>=HYPERLINK("https://main.knesset.gov.il/APPS/legislation/main/bills/2168000", "הצעת חוק הפיקוח על מעונות יום לפעוטות (תיקון - הרחבת הפיקוח על מעונות יום), התשפ""ב-2022")</f>
        <v>17004</v>
      </c>
      <c r="E8723" t="s">
        <v>17004</v>
      </c>
      <c r="F8723" t="s">
        <v>17005</v>
      </c>
      <c r="G8723" t="s">
        <v>14</v>
      </c>
      <c r="H8723">
             </c>
      <c r="I8723" t="s">
        <v>14</v>
      </c>
      <c r="J8723" t="s">
        <v>141</v>
      </c>
      <c r="K8723" t="s">
        <v>14</v>
      </c>
      <c r="L8723" t="s">
        <v>20</v>
      </c>
      <c r="M8723" t="s">
        <v>16983</v>
      </c>
      <c r="N8723" t="s">
        <v>14</v>
      </c>
    </row>
    <row r="8724" x14ac:dyDescent="0.25">
      <c r="A8724" t="n">
        <v>24</v>
      </c>
      <c r="B8724" t="s">
        <v>14</v>
      </c>
      <c r="C8724" t="s">
        <v>22</v>
      </c>
      <c r="D8724" s="2" t="s">
        <f>=HYPERLINK("https://main.knesset.gov.il/APPS/legislation/main/bills/2168615", "הצעת חוק הגנת הצרכן (תיקון - איסור גביית עמלה בעסקה שבוצעה באמצעות האינטרנט), התשפ""ב-2022")</f>
        <v>16887</v>
      </c>
      <c r="E8724" t="s">
        <v>16887</v>
      </c>
      <c r="F8724" t="s">
        <v>17006</v>
      </c>
      <c r="G8724" t="s">
        <v>14</v>
      </c>
      <c r="H8724">
             </c>
      <c r="I8724" t="s">
        <v>14</v>
      </c>
      <c r="J8724" t="s">
        <v>141</v>
      </c>
      <c r="K8724" t="s">
        <v>14</v>
      </c>
      <c r="L8724" t="s">
        <v>20</v>
      </c>
      <c r="M8724" t="s">
        <v>16983</v>
      </c>
      <c r="N8724" t="s">
        <v>14</v>
      </c>
    </row>
    <row r="8725" x14ac:dyDescent="0.25">
      <c r="A8725" t="n">
        <v>24</v>
      </c>
      <c r="B8725" t="s">
        <v>14</v>
      </c>
      <c r="C8725" t="s">
        <v>22</v>
      </c>
      <c r="D8725" s="2" t="s">
        <f>=HYPERLINK("https://main.knesset.gov.il/APPS/legislation/main/bills/2165115", "הצעת חוק הפיקוח על מעונות (תיקון - הסדרת מעמד המטפלות במשפחתונים), התשפ""ב-2022")</f>
        <v>17007</v>
      </c>
      <c r="E8725" t="s">
        <v>17007</v>
      </c>
      <c r="F8725" t="s">
        <v>17008</v>
      </c>
      <c r="G8725" t="s">
        <v>14</v>
      </c>
      <c r="H8725">
             </c>
      <c r="I8725" t="s">
        <v>14</v>
      </c>
      <c r="J8725" t="s">
        <v>141</v>
      </c>
      <c r="K8725" t="s">
        <v>14</v>
      </c>
      <c r="L8725" t="s">
        <v>20</v>
      </c>
      <c r="M8725" t="s">
        <v>16983</v>
      </c>
      <c r="N8725" t="s">
        <v>14</v>
      </c>
    </row>
    <row r="8726" x14ac:dyDescent="0.25">
      <c r="A8726" t="n">
        <v>24</v>
      </c>
      <c r="B8726" t="s">
        <v>14</v>
      </c>
      <c r="C8726" t="s">
        <v>22</v>
      </c>
      <c r="D8726" s="2" t="s">
        <f>=HYPERLINK("https://main.knesset.gov.il/APPS/legislation/main/bills/2167816", "הצעת חוק לתיקון פקודת התעבורה (תשלום קנס בתשלומים), התשפ""ב-2022")</f>
        <v>17009</v>
      </c>
      <c r="E8726" t="s">
        <v>17009</v>
      </c>
      <c r="F8726" t="s">
        <v>17010</v>
      </c>
      <c r="G8726" t="s">
        <v>14</v>
      </c>
      <c r="H8726">
             </c>
      <c r="I8726" t="s">
        <v>14</v>
      </c>
      <c r="J8726" t="s">
        <v>141</v>
      </c>
      <c r="K8726" t="s">
        <v>14</v>
      </c>
      <c r="L8726" t="s">
        <v>20</v>
      </c>
      <c r="M8726" t="s">
        <v>16983</v>
      </c>
      <c r="N8726" t="s">
        <v>14</v>
      </c>
    </row>
    <row r="8727" x14ac:dyDescent="0.25">
      <c r="A8727" t="n">
        <v>24</v>
      </c>
      <c r="B8727" t="s">
        <v>14</v>
      </c>
      <c r="C8727" t="s">
        <v>22</v>
      </c>
      <c r="D8727" s="2" t="s">
        <f>=HYPERLINK("https://main.knesset.gov.il/APPS/legislation/main/bills/2168229", "הצעת חוק המועצה להשכלה גבוהה (תיקון - איסור הגבלת גיל בהרשמה למוסד להשכלה גבוהה), התשפ""ב-2022")</f>
        <v>17011</v>
      </c>
      <c r="E8727" t="s">
        <v>17011</v>
      </c>
      <c r="F8727" t="s">
        <v>17012</v>
      </c>
      <c r="G8727" t="s">
        <v>14</v>
      </c>
      <c r="H8727">
             </c>
      <c r="I8727" t="s">
        <v>14</v>
      </c>
      <c r="J8727" t="s">
        <v>141</v>
      </c>
      <c r="K8727" t="s">
        <v>14</v>
      </c>
      <c r="L8727" t="s">
        <v>20</v>
      </c>
      <c r="M8727" t="s">
        <v>16983</v>
      </c>
      <c r="N8727" t="s">
        <v>14</v>
      </c>
    </row>
    <row r="8728" x14ac:dyDescent="0.25">
      <c r="A8728" t="n">
        <v>24</v>
      </c>
      <c r="B8728" t="s">
        <v>14</v>
      </c>
      <c r="C8728" t="s">
        <v>22</v>
      </c>
      <c r="D8728" s="2" t="s">
        <f>=HYPERLINK("https://main.knesset.gov.il/APPS/legislation/main/bills/2167923", "הצעת חוק העבירות המינהליות (תיקון - ביטול קנסות תכנון ובנייה), התשפ""ב-2022")</f>
        <v>16337</v>
      </c>
      <c r="E8728" t="s">
        <v>16337</v>
      </c>
      <c r="F8728" t="s">
        <v>17013</v>
      </c>
      <c r="G8728" t="s">
        <v>14</v>
      </c>
      <c r="H8728">
             </c>
      <c r="I8728" t="s">
        <v>14</v>
      </c>
      <c r="J8728" t="s">
        <v>141</v>
      </c>
      <c r="K8728" t="s">
        <v>14</v>
      </c>
      <c r="L8728" t="s">
        <v>20</v>
      </c>
      <c r="M8728" t="s">
        <v>16983</v>
      </c>
      <c r="N8728" t="s">
        <v>14</v>
      </c>
    </row>
    <row r="8729" x14ac:dyDescent="0.25">
      <c r="A8729" t="n">
        <v>24</v>
      </c>
      <c r="B8729" t="s">
        <v>14</v>
      </c>
      <c r="C8729" t="s">
        <v>22</v>
      </c>
      <c r="D8729" s="2" t="s">
        <f>=HYPERLINK("https://main.knesset.gov.il/APPS/legislation/main/bills/2168592", "הצעת חוק לתיקון סדרי המינהל (החלטות והנמקות) (תיקון - קיצור זמן המענה בפניות ציבור), התשפ""ב-2022")</f>
        <v>17014</v>
      </c>
      <c r="E8729" t="s">
        <v>17014</v>
      </c>
      <c r="F8729" t="s">
        <v>17015</v>
      </c>
      <c r="G8729" t="s">
        <v>14</v>
      </c>
      <c r="H8729">
             </c>
      <c r="I8729" t="s">
        <v>14</v>
      </c>
      <c r="J8729" t="s">
        <v>141</v>
      </c>
      <c r="K8729" t="s">
        <v>14</v>
      </c>
      <c r="L8729" t="s">
        <v>20</v>
      </c>
      <c r="M8729" t="s">
        <v>16983</v>
      </c>
      <c r="N8729" t="s">
        <v>14</v>
      </c>
    </row>
    <row r="8730" x14ac:dyDescent="0.25">
      <c r="A8730" t="n">
        <v>24</v>
      </c>
      <c r="B8730" t="s">
        <v>14</v>
      </c>
      <c r="C8730" t="s">
        <v>22</v>
      </c>
      <c r="D8730" s="2" t="s">
        <f>=HYPERLINK("https://main.knesset.gov.il/APPS/legislation/main/bills/2168416", "הצעת חוק זכויות הסטודנט (תיקון - התאמות לסטודנטית לאחר לידה), התשפ""ב-2022")</f>
        <v>17016</v>
      </c>
      <c r="E8730" t="s">
        <v>17016</v>
      </c>
      <c r="F8730" t="s">
        <v>17017</v>
      </c>
      <c r="G8730" t="s">
        <v>14</v>
      </c>
      <c r="H8730">
             </c>
      <c r="I8730" t="s">
        <v>14</v>
      </c>
      <c r="J8730" t="s">
        <v>141</v>
      </c>
      <c r="K8730" t="s">
        <v>14</v>
      </c>
      <c r="L8730" t="s">
        <v>20</v>
      </c>
      <c r="M8730" t="s">
        <v>16983</v>
      </c>
      <c r="N8730" t="s">
        <v>14</v>
      </c>
    </row>
    <row r="8731" x14ac:dyDescent="0.25">
      <c r="A8731" t="n">
        <v>24</v>
      </c>
      <c r="B8731" t="s">
        <v>14</v>
      </c>
      <c r="C8731" t="s">
        <v>22</v>
      </c>
      <c r="D8731" s="2" t="s">
        <f>=HYPERLINK("https://main.knesset.gov.il/APPS/legislation/main/bills/2167981", "הצעת חוק שוויון זכויות לאנשים עם מוגבלות (תיקון - עמידת מעסיקים פרטיים גדולים ביעד הייצוג ההולם), התשפ""ב-2022")</f>
        <v>15091</v>
      </c>
      <c r="E8731" t="s">
        <v>15091</v>
      </c>
      <c r="F8731" t="s">
        <v>17018</v>
      </c>
      <c r="G8731" t="s">
        <v>14</v>
      </c>
      <c r="H8731">
             </c>
      <c r="I8731" t="s">
        <v>14</v>
      </c>
      <c r="J8731" t="s">
        <v>141</v>
      </c>
      <c r="K8731" t="s">
        <v>14</v>
      </c>
      <c r="L8731" t="s">
        <v>20</v>
      </c>
      <c r="M8731" t="s">
        <v>16983</v>
      </c>
      <c r="N8731" t="s">
        <v>14</v>
      </c>
    </row>
    <row r="8732" x14ac:dyDescent="0.25">
      <c r="A8732" t="n">
        <v>24</v>
      </c>
      <c r="B8732" t="s">
        <v>14</v>
      </c>
      <c r="C8732" t="s">
        <v>22</v>
      </c>
      <c r="D8732" s="2" t="s">
        <f>=HYPERLINK("https://main.knesset.gov.il/APPS/legislation/main/bills/2168419", "הצעת חוק זכויות הסטודנט (תיקון - איסור הפליה מטעמים של נטייה מינית וזהות מגדרית), התשפ""ב-2022")</f>
        <v>17019</v>
      </c>
      <c r="E8732" t="s">
        <v>17019</v>
      </c>
      <c r="F8732" t="s">
        <v>17020</v>
      </c>
      <c r="G8732" t="s">
        <v>14</v>
      </c>
      <c r="H8732">
             </c>
      <c r="I8732" t="s">
        <v>14</v>
      </c>
      <c r="J8732" t="s">
        <v>141</v>
      </c>
      <c r="K8732" t="s">
        <v>14</v>
      </c>
      <c r="L8732" t="s">
        <v>20</v>
      </c>
      <c r="M8732" t="s">
        <v>16983</v>
      </c>
      <c r="N8732" t="s">
        <v>14</v>
      </c>
    </row>
    <row r="8733" x14ac:dyDescent="0.25">
      <c r="A8733" t="n">
        <v>24</v>
      </c>
      <c r="B8733" t="s">
        <v>14</v>
      </c>
      <c r="C8733" t="s">
        <v>22</v>
      </c>
      <c r="D8733" s="2" t="s">
        <f>=HYPERLINK("https://main.knesset.gov.il/APPS/legislation/main/bills/2168404", "הצעת חוק הסדרים במשק המדינה (תיקוני חקיקה להשגת יעדי התקציב) (תיקון - פטור מארנונה לנשים ששהו במקלט לנשים מוכות), התשפ""ב-2022")</f>
        <v>17021</v>
      </c>
      <c r="E8733" t="s">
        <v>17021</v>
      </c>
      <c r="F8733" t="s">
        <v>17022</v>
      </c>
      <c r="G8733" t="s">
        <v>14</v>
      </c>
      <c r="H8733">
             </c>
      <c r="I8733" t="s">
        <v>14</v>
      </c>
      <c r="J8733" t="s">
        <v>141</v>
      </c>
      <c r="K8733" t="s">
        <v>14</v>
      </c>
      <c r="L8733" t="s">
        <v>20</v>
      </c>
      <c r="M8733" t="s">
        <v>16983</v>
      </c>
      <c r="N8733" t="s">
        <v>14</v>
      </c>
    </row>
    <row r="8734" x14ac:dyDescent="0.25">
      <c r="A8734" t="n">
        <v>24</v>
      </c>
      <c r="B8734" t="s">
        <v>14</v>
      </c>
      <c r="C8734" t="s">
        <v>22</v>
      </c>
      <c r="D8734" s="2" t="s">
        <f>=HYPERLINK("https://main.knesset.gov.il/APPS/legislation/main/bills/2167864", "הצעת חוק הביטוח הלאומי (תיקון - זכאות פדיון סכום החיסכון הצבור הכולל לחייל בודד), התשפ""ב-2022")</f>
        <v>17023</v>
      </c>
      <c r="E8734" t="s">
        <v>17023</v>
      </c>
      <c r="F8734" t="s">
        <v>17024</v>
      </c>
      <c r="G8734" t="s">
        <v>14</v>
      </c>
      <c r="H8734">
             </c>
      <c r="I8734" t="s">
        <v>14</v>
      </c>
      <c r="J8734" t="s">
        <v>141</v>
      </c>
      <c r="K8734" t="s">
        <v>14</v>
      </c>
      <c r="L8734" t="s">
        <v>20</v>
      </c>
      <c r="M8734" t="s">
        <v>16983</v>
      </c>
      <c r="N8734" t="s">
        <v>14</v>
      </c>
    </row>
    <row r="8735" x14ac:dyDescent="0.25">
      <c r="A8735" t="n">
        <v>24</v>
      </c>
      <c r="B8735" t="s">
        <v>14</v>
      </c>
      <c r="C8735" t="s">
        <v>22</v>
      </c>
      <c r="D8735" s="2" t="s">
        <f>=HYPERLINK("https://main.knesset.gov.il/APPS/legislation/main/bills/2165027", "הצעת חוק חובת הקמת בית חולים בעיר דימונה, התשפ""ב-2022")</f>
        <v>17025</v>
      </c>
      <c r="E8735" t="s">
        <v>17025</v>
      </c>
      <c r="F8735" t="s">
        <v>17026</v>
      </c>
      <c r="G8735" t="s">
        <v>14</v>
      </c>
      <c r="H8735">
             </c>
      <c r="I8735" t="s">
        <v>14</v>
      </c>
      <c r="J8735" t="s">
        <v>141</v>
      </c>
      <c r="K8735" t="s">
        <v>14</v>
      </c>
      <c r="L8735" t="s">
        <v>20</v>
      </c>
      <c r="M8735" t="s">
        <v>16983</v>
      </c>
      <c r="N8735" t="s">
        <v>14</v>
      </c>
    </row>
    <row r="8736" x14ac:dyDescent="0.25">
      <c r="A8736" t="n">
        <v>24</v>
      </c>
      <c r="B8736" t="s">
        <v>14</v>
      </c>
      <c r="C8736" t="s">
        <v>22</v>
      </c>
      <c r="D8736" s="2" t="s">
        <f>=HYPERLINK("https://main.knesset.gov.il/APPS/legislation/main/bills/2168435", "הצעת חוק הנכים (תגמולים ושיקום) (תיקון - הגבלת שכר טרחת עורך דין), התשפ""ב-2022")</f>
        <v>17027</v>
      </c>
      <c r="E8736" t="s">
        <v>17027</v>
      </c>
      <c r="F8736" t="s">
        <v>17028</v>
      </c>
      <c r="G8736" t="s">
        <v>14</v>
      </c>
      <c r="H8736">
             </c>
      <c r="I8736" t="s">
        <v>14</v>
      </c>
      <c r="J8736" t="s">
        <v>141</v>
      </c>
      <c r="K8736" t="s">
        <v>14</v>
      </c>
      <c r="L8736" t="s">
        <v>20</v>
      </c>
      <c r="M8736" t="s">
        <v>16983</v>
      </c>
      <c r="N8736" t="s">
        <v>14</v>
      </c>
    </row>
    <row r="8737" x14ac:dyDescent="0.25">
      <c r="A8737" t="n">
        <v>24</v>
      </c>
      <c r="B8737" t="s">
        <v>14</v>
      </c>
      <c r="C8737" t="s">
        <v>22</v>
      </c>
      <c r="D8737" s="2" t="s">
        <f>=HYPERLINK("https://main.knesset.gov.il/APPS/legislation/main/bills/2168286", "הצעת חוק העונשין (תיקון - איסור צריכת חומר תועבה), התשפ""ב-2022")</f>
        <v>17029</v>
      </c>
      <c r="E8737" t="s">
        <v>17029</v>
      </c>
      <c r="F8737" t="s">
        <v>17030</v>
      </c>
      <c r="G8737" t="s">
        <v>14</v>
      </c>
      <c r="H8737">
             </c>
      <c r="I8737" t="s">
        <v>14</v>
      </c>
      <c r="J8737" t="s">
        <v>141</v>
      </c>
      <c r="K8737" t="s">
        <v>14</v>
      </c>
      <c r="L8737" t="s">
        <v>20</v>
      </c>
      <c r="M8737" t="s">
        <v>16983</v>
      </c>
      <c r="N8737" t="s">
        <v>14</v>
      </c>
    </row>
    <row r="8738" x14ac:dyDescent="0.25">
      <c r="A8738" t="n">
        <v>24</v>
      </c>
      <c r="B8738" t="s">
        <v>14</v>
      </c>
      <c r="C8738" t="s">
        <v>22</v>
      </c>
      <c r="D8738" s="2" t="s">
        <f>=HYPERLINK("https://main.knesset.gov.il/APPS/legislation/main/bills/2167968", "הצעת חוק קביעת הזמן (תיקון - ביטול שעון חורף), התשפ""ב-2022")</f>
        <v>17031</v>
      </c>
      <c r="E8738" t="s">
        <v>17031</v>
      </c>
      <c r="F8738" t="s">
        <v>17032</v>
      </c>
      <c r="G8738" t="s">
        <v>14</v>
      </c>
      <c r="H8738">
             </c>
      <c r="I8738" t="s">
        <v>14</v>
      </c>
      <c r="J8738" t="s">
        <v>141</v>
      </c>
      <c r="K8738" t="s">
        <v>14</v>
      </c>
      <c r="L8738" t="s">
        <v>20</v>
      </c>
      <c r="M8738" t="s">
        <v>16983</v>
      </c>
      <c r="N8738" t="s">
        <v>14</v>
      </c>
    </row>
    <row r="8739" x14ac:dyDescent="0.25">
      <c r="A8739" t="n">
        <v>24</v>
      </c>
      <c r="B8739" t="s">
        <v>14</v>
      </c>
      <c r="C8739" t="s">
        <v>22</v>
      </c>
      <c r="D8739" s="2" t="s">
        <f>=HYPERLINK("https://main.knesset.gov.il/APPS/legislation/main/bills/2167897", "הצעת חוק משק החשמל (תיקון - איסור ניתוק חשמל), התשפ""ב-2022")</f>
        <v>15439</v>
      </c>
      <c r="E8739" t="s">
        <v>15439</v>
      </c>
      <c r="F8739" t="s">
        <v>17033</v>
      </c>
      <c r="G8739" t="s">
        <v>14</v>
      </c>
      <c r="H8739">
             </c>
      <c r="I8739" t="s">
        <v>14</v>
      </c>
      <c r="J8739" t="s">
        <v>141</v>
      </c>
      <c r="K8739" t="s">
        <v>14</v>
      </c>
      <c r="L8739" t="s">
        <v>20</v>
      </c>
      <c r="M8739" t="s">
        <v>16983</v>
      </c>
      <c r="N8739" t="s">
        <v>14</v>
      </c>
    </row>
    <row r="8740" x14ac:dyDescent="0.25">
      <c r="A8740" t="n">
        <v>24</v>
      </c>
      <c r="B8740" t="s">
        <v>14</v>
      </c>
      <c r="C8740" t="s">
        <v>22</v>
      </c>
      <c r="D8740" s="2" t="s">
        <f>=HYPERLINK("https://main.knesset.gov.il/APPS/legislation/main/bills/2163900", "הצעת חוק הכניסה לישראל (תיקון - אי-מתן אשרה ורישיון ישיבה לאדם או לארגון ניאו-נאצי), התשפ""ב-2022")</f>
        <v>17034</v>
      </c>
      <c r="E8740" t="s">
        <v>17034</v>
      </c>
      <c r="F8740" t="s">
        <v>17035</v>
      </c>
      <c r="G8740" t="s">
        <v>14</v>
      </c>
      <c r="H8740">
             </c>
      <c r="I8740" t="s">
        <v>14</v>
      </c>
      <c r="J8740" t="s">
        <v>141</v>
      </c>
      <c r="K8740" t="s">
        <v>14</v>
      </c>
      <c r="L8740" t="s">
        <v>20</v>
      </c>
      <c r="M8740" t="s">
        <v>16983</v>
      </c>
      <c r="N8740" t="s">
        <v>14</v>
      </c>
    </row>
    <row r="8741" x14ac:dyDescent="0.25">
      <c r="A8741" t="n">
        <v>24</v>
      </c>
      <c r="B8741" t="s">
        <v>14</v>
      </c>
      <c r="C8741" t="s">
        <v>22</v>
      </c>
      <c r="D8741" s="2" t="s">
        <f>=HYPERLINK("https://main.knesset.gov.il/APPS/legislation/main/bills/2167817", "הצעת חוק חינוך ממלכתי (תיקון - חובת לימוד ערבית), התשפ""ב-2022")</f>
        <v>17036</v>
      </c>
      <c r="E8741" t="s">
        <v>17036</v>
      </c>
      <c r="F8741" t="s">
        <v>17037</v>
      </c>
      <c r="G8741" t="s">
        <v>14</v>
      </c>
      <c r="H8741">
             </c>
      <c r="I8741" t="s">
        <v>14</v>
      </c>
      <c r="J8741" t="s">
        <v>141</v>
      </c>
      <c r="K8741" t="s">
        <v>14</v>
      </c>
      <c r="L8741" t="s">
        <v>20</v>
      </c>
      <c r="M8741" t="s">
        <v>16983</v>
      </c>
      <c r="N8741" t="s">
        <v>14</v>
      </c>
    </row>
    <row r="8742" x14ac:dyDescent="0.25">
      <c r="A8742" t="n">
        <v>24</v>
      </c>
      <c r="B8742" t="s">
        <v>14</v>
      </c>
      <c r="C8742" t="s">
        <v>22</v>
      </c>
      <c r="D8742" s="2" t="s">
        <f>=HYPERLINK("https://main.knesset.gov.il/APPS/legislation/main/bills/2168719", "הצעת חוק זכרון השואה והגבורה - יד ושם (תיקון - השתתפות המדינה בתקציב יד ושם), התשפ""ב-2022")</f>
        <v>17038</v>
      </c>
      <c r="E8742" t="s">
        <v>17038</v>
      </c>
      <c r="F8742" t="s">
        <v>17039</v>
      </c>
      <c r="G8742" t="s">
        <v>14</v>
      </c>
      <c r="H8742">
             </c>
      <c r="I8742" t="s">
        <v>14</v>
      </c>
      <c r="J8742" t="s">
        <v>141</v>
      </c>
      <c r="K8742" t="s">
        <v>14</v>
      </c>
      <c r="L8742" t="s">
        <v>20</v>
      </c>
      <c r="M8742" t="s">
        <v>16983</v>
      </c>
      <c r="N8742" t="s">
        <v>14</v>
      </c>
    </row>
    <row r="8743" x14ac:dyDescent="0.25">
      <c r="A8743" t="n">
        <v>24</v>
      </c>
      <c r="B8743" t="s">
        <v>14</v>
      </c>
      <c r="C8743" t="s">
        <v>22</v>
      </c>
      <c r="D8743" s="2" t="s">
        <f>=HYPERLINK("https://main.knesset.gov.il/APPS/legislation/main/bills/2166588", "הצעת חוק עבודת נשים (תיקון - חישוב ימי מחלה בזמן היריון), התשפ""ב-2022")</f>
        <v>17040</v>
      </c>
      <c r="E8743" t="s">
        <v>17040</v>
      </c>
      <c r="F8743" t="s">
        <v>17041</v>
      </c>
      <c r="G8743" t="s">
        <v>14</v>
      </c>
      <c r="H8743">
             </c>
      <c r="I8743" t="s">
        <v>14</v>
      </c>
      <c r="J8743" t="s">
        <v>141</v>
      </c>
      <c r="K8743" t="s">
        <v>14</v>
      </c>
      <c r="L8743" t="s">
        <v>20</v>
      </c>
      <c r="M8743" t="s">
        <v>16983</v>
      </c>
      <c r="N8743" t="s">
        <v>14</v>
      </c>
    </row>
    <row r="8744" x14ac:dyDescent="0.25">
      <c r="A8744" t="n">
        <v>24</v>
      </c>
      <c r="B8744" t="s">
        <v>14</v>
      </c>
      <c r="C8744" t="s">
        <v>22</v>
      </c>
      <c r="D8744" s="2" t="s">
        <f>=HYPERLINK("https://main.knesset.gov.il/APPS/legislation/main/bills/2166168", "הצעת חוק התכנון והבנייה (תיקון - חובת התקנת תשתית טעינה לרכב חשמל), התשפ""ב-2022")</f>
        <v>17042</v>
      </c>
      <c r="E8744" t="s">
        <v>17042</v>
      </c>
      <c r="F8744" t="s">
        <v>17043</v>
      </c>
      <c r="G8744" t="s">
        <v>14</v>
      </c>
      <c r="H8744">
             </c>
      <c r="I8744" t="s">
        <v>14</v>
      </c>
      <c r="J8744" t="s">
        <v>141</v>
      </c>
      <c r="K8744" t="s">
        <v>14</v>
      </c>
      <c r="L8744" t="s">
        <v>20</v>
      </c>
      <c r="M8744" t="s">
        <v>16983</v>
      </c>
      <c r="N8744" t="s">
        <v>14</v>
      </c>
    </row>
    <row r="8745" x14ac:dyDescent="0.25">
      <c r="A8745" t="n">
        <v>24</v>
      </c>
      <c r="B8745" t="s">
        <v>14</v>
      </c>
      <c r="C8745" t="s">
        <v>22</v>
      </c>
      <c r="D8745" s="2" t="s">
        <f>=HYPERLINK("https://main.knesset.gov.il/APPS/legislation/main/bills/2167483", "הצעת חוק מתן סיוע ריאלי בשכר דירה לזכאים, התשפ""ב-2022")</f>
        <v>17044</v>
      </c>
      <c r="E8745" t="s">
        <v>17044</v>
      </c>
      <c r="F8745" t="s">
        <v>17045</v>
      </c>
      <c r="G8745" t="s">
        <v>14</v>
      </c>
      <c r="H8745">
             </c>
      <c r="I8745" t="s">
        <v>14</v>
      </c>
      <c r="J8745" t="s">
        <v>141</v>
      </c>
      <c r="K8745" t="s">
        <v>14</v>
      </c>
      <c r="L8745" t="s">
        <v>20</v>
      </c>
      <c r="M8745" t="s">
        <v>16983</v>
      </c>
      <c r="N8745" t="s">
        <v>14</v>
      </c>
    </row>
    <row r="8746" x14ac:dyDescent="0.25">
      <c r="A8746" t="n">
        <v>24</v>
      </c>
      <c r="B8746" t="s">
        <v>14</v>
      </c>
      <c r="C8746" t="s">
        <v>22</v>
      </c>
      <c r="D8746" s="2" t="s">
        <f>=HYPERLINK("https://main.knesset.gov.il/APPS/legislation/main/bills/2167490", "הצעת חוק זכויות הדייר בדיור הציבורי (תיקון - חובות חברה לדיור ציבורי), התשפ""ב-2022")</f>
        <v>17046</v>
      </c>
      <c r="E8746" t="s">
        <v>17046</v>
      </c>
      <c r="F8746" t="s">
        <v>17047</v>
      </c>
      <c r="G8746" t="s">
        <v>14</v>
      </c>
      <c r="H8746">
             </c>
      <c r="I8746" t="s">
        <v>14</v>
      </c>
      <c r="J8746" t="s">
        <v>141</v>
      </c>
      <c r="K8746" t="s">
        <v>14</v>
      </c>
      <c r="L8746" t="s">
        <v>20</v>
      </c>
      <c r="M8746" t="s">
        <v>16983</v>
      </c>
      <c r="N8746" t="s">
        <v>14</v>
      </c>
    </row>
    <row r="8747" x14ac:dyDescent="0.25">
      <c r="A8747" t="n">
        <v>24</v>
      </c>
      <c r="B8747" t="s">
        <v>14</v>
      </c>
      <c r="C8747" t="s">
        <v>22</v>
      </c>
      <c r="D8747" s="2" t="s">
        <f>=HYPERLINK("https://main.knesset.gov.il/APPS/legislation/main/bills/2166956", "הצעת חוק ביטוח בריאות ממלכתי (תיקון - החזר דמי נסיעות והסעות), התשפ""ב-2022")</f>
        <v>17048</v>
      </c>
      <c r="E8747" t="s">
        <v>17048</v>
      </c>
      <c r="F8747" t="s">
        <v>17049</v>
      </c>
      <c r="G8747" t="s">
        <v>14</v>
      </c>
      <c r="H8747">
             </c>
      <c r="I8747" t="s">
        <v>14</v>
      </c>
      <c r="J8747" t="s">
        <v>141</v>
      </c>
      <c r="K8747" t="s">
        <v>14</v>
      </c>
      <c r="L8747" t="s">
        <v>20</v>
      </c>
      <c r="M8747" t="s">
        <v>16983</v>
      </c>
      <c r="N8747" t="s">
        <v>14</v>
      </c>
    </row>
    <row r="8748" x14ac:dyDescent="0.25">
      <c r="A8748" t="n">
        <v>24</v>
      </c>
      <c r="B8748" t="s">
        <v>14</v>
      </c>
      <c r="C8748" t="s">
        <v>22</v>
      </c>
      <c r="D8748" s="2" t="s">
        <f>=HYPERLINK("https://main.knesset.gov.il/APPS/legislation/main/bills/2167736", "הצעת חוק שקיפות בהצהרת הון לנבחרי ציבור בכירים, התשפ""ב-2022")</f>
        <v>14596</v>
      </c>
      <c r="E8748" t="s">
        <v>14596</v>
      </c>
      <c r="F8748" t="s">
        <v>17050</v>
      </c>
      <c r="G8748" t="s">
        <v>14</v>
      </c>
      <c r="H8748">
             </c>
      <c r="I8748" t="s">
        <v>14</v>
      </c>
      <c r="J8748" t="s">
        <v>343</v>
      </c>
      <c r="K8748" t="s">
        <v>14</v>
      </c>
      <c r="L8748" t="s">
        <v>20</v>
      </c>
      <c r="M8748" t="s">
        <v>16983</v>
      </c>
      <c r="N8748" t="s">
        <v>14</v>
      </c>
    </row>
    <row r="8749" x14ac:dyDescent="0.25">
      <c r="A8749" t="n">
        <v>24</v>
      </c>
      <c r="B8749" t="s">
        <v>14</v>
      </c>
      <c r="C8749" t="s">
        <v>22</v>
      </c>
      <c r="D8749" s="2" t="s">
        <f>=HYPERLINK("https://main.knesset.gov.il/APPS/legislation/main/bills/2161954", "הצעת חוק למניעת מפגעים (תיקון - עידוד הפחתת שימוש בזיקוקי דינור), התשפ""ב-2022")</f>
        <v>17051</v>
      </c>
      <c r="E8749" t="s">
        <v>17051</v>
      </c>
      <c r="F8749" t="s">
        <v>17052</v>
      </c>
      <c r="G8749" t="s">
        <v>14</v>
      </c>
      <c r="H8749">
             </c>
      <c r="I8749" t="s">
        <v>14</v>
      </c>
      <c r="J8749" t="s">
        <v>141</v>
      </c>
      <c r="K8749" t="s">
        <v>14</v>
      </c>
      <c r="L8749" t="s">
        <v>20</v>
      </c>
      <c r="M8749" t="s">
        <v>16983</v>
      </c>
      <c r="N8749" t="s">
        <v>14</v>
      </c>
    </row>
    <row r="8750" x14ac:dyDescent="0.25">
      <c r="A8750" t="n">
        <v>24</v>
      </c>
      <c r="B8750" t="s">
        <v>14</v>
      </c>
      <c r="C8750" t="s">
        <v>22</v>
      </c>
      <c r="D8750" s="2" t="s">
        <f>=HYPERLINK("https://main.knesset.gov.il/APPS/legislation/main/bills/2166592", "הצעת חוק הביטוח הלאומי (תיקון - דמי אבטלה לעצמאים בתקופת הקורונה) (הוראת שעה), התשפ""ב-2022")</f>
        <v>17053</v>
      </c>
      <c r="E8750" t="s">
        <v>17053</v>
      </c>
      <c r="F8750" t="s">
        <v>17054</v>
      </c>
      <c r="G8750" t="s">
        <v>14</v>
      </c>
      <c r="H8750">
             </c>
      <c r="I8750" t="s">
        <v>14</v>
      </c>
      <c r="J8750" t="s">
        <v>141</v>
      </c>
      <c r="K8750" t="s">
        <v>14</v>
      </c>
      <c r="L8750" t="s">
        <v>20</v>
      </c>
      <c r="M8750" t="s">
        <v>16983</v>
      </c>
      <c r="N8750" t="s">
        <v>14</v>
      </c>
    </row>
    <row r="8751" x14ac:dyDescent="0.25">
      <c r="A8751" t="n">
        <v>24</v>
      </c>
      <c r="B8751" t="s">
        <v>14</v>
      </c>
      <c r="C8751" t="s">
        <v>22</v>
      </c>
      <c r="D8751" s="2" t="s">
        <f>=HYPERLINK("https://main.knesset.gov.il/APPS/legislation/main/bills/2166521", "הצעת חוק המוסד העליון ללשון העברית (תיקון - מעמד החלטות המוסד וועדת השמות הממשלתית), התשפ""ב-2022")</f>
        <v>17055</v>
      </c>
      <c r="E8751" t="s">
        <v>17055</v>
      </c>
      <c r="F8751" t="s">
        <v>17056</v>
      </c>
      <c r="G8751" t="s">
        <v>14</v>
      </c>
      <c r="H8751">
             </c>
      <c r="I8751" t="s">
        <v>14</v>
      </c>
      <c r="J8751" t="s">
        <v>141</v>
      </c>
      <c r="K8751" t="s">
        <v>14</v>
      </c>
      <c r="L8751" t="s">
        <v>20</v>
      </c>
      <c r="M8751" t="s">
        <v>16983</v>
      </c>
      <c r="N8751" t="s">
        <v>14</v>
      </c>
    </row>
    <row r="8752" x14ac:dyDescent="0.25">
      <c r="A8752" t="n">
        <v>24</v>
      </c>
      <c r="B8752" t="s">
        <v>14</v>
      </c>
      <c r="C8752" t="s">
        <v>22</v>
      </c>
      <c r="D8752" s="2" t="s">
        <f>=HYPERLINK("https://main.knesset.gov.il/APPS/legislation/main/bills/2167475", "הצעת חוק חינוך ממלכתי (תיקון - שלילת תקצוב בשל הפליה וקביעת אזורי רישום), התשפ""ב-2022")</f>
        <v>17057</v>
      </c>
      <c r="E8752" t="s">
        <v>17057</v>
      </c>
      <c r="F8752" t="s">
        <v>17058</v>
      </c>
      <c r="G8752" t="s">
        <v>14</v>
      </c>
      <c r="H8752">
             </c>
      <c r="I8752" t="s">
        <v>14</v>
      </c>
      <c r="J8752" t="s">
        <v>1123</v>
      </c>
      <c r="K8752" t="s">
        <v>14</v>
      </c>
      <c r="L8752" t="s">
        <v>20</v>
      </c>
      <c r="M8752" t="s">
        <v>16983</v>
      </c>
      <c r="N8752" t="s">
        <v>14</v>
      </c>
    </row>
    <row r="8753" x14ac:dyDescent="0.25">
      <c r="A8753" t="n">
        <v>24</v>
      </c>
      <c r="B8753" t="s">
        <v>14</v>
      </c>
      <c r="C8753" t="s">
        <v>22</v>
      </c>
      <c r="D8753" s="2" t="s">
        <f>=HYPERLINK("https://main.knesset.gov.il/APPS/legislation/main/bills/2167480", "הצעת חוק לתיקון פקודת המסים (גבייה) (תנאים למתן כתב הרשאה וצו עיקול), התשפ""ב-2022")</f>
        <v>17059</v>
      </c>
      <c r="E8753" t="s">
        <v>17059</v>
      </c>
      <c r="F8753" t="s">
        <v>17060</v>
      </c>
      <c r="G8753" t="s">
        <v>14</v>
      </c>
      <c r="H8753">
             </c>
      <c r="I8753" t="s">
        <v>14</v>
      </c>
      <c r="J8753" t="s">
        <v>141</v>
      </c>
      <c r="K8753" t="s">
        <v>14</v>
      </c>
      <c r="L8753" t="s">
        <v>20</v>
      </c>
      <c r="M8753" t="s">
        <v>16983</v>
      </c>
      <c r="N8753" t="s">
        <v>14</v>
      </c>
    </row>
    <row r="8754" x14ac:dyDescent="0.25">
      <c r="A8754" t="n">
        <v>24</v>
      </c>
      <c r="B8754" t="s">
        <v>14</v>
      </c>
      <c r="C8754" t="s">
        <v>15</v>
      </c>
      <c r="D8754" s="2" t="s">
        <f>=HYPERLINK("https://main.knesset.gov.il/APPS/legislation/main/bills/2169012", "הצעת חוק איסור הונאה בכשרות (תיקון מס' 4) (סמכויות אכיפה, אמצעי אכיפה מינהליים ועונשין), התשפ""ב-2022")</f>
        <v>17061</v>
      </c>
      <c r="E8754" t="s">
        <v>17061</v>
      </c>
      <c r="F8754" t="s">
        <v>14</v>
      </c>
      <c r="G8754" t="s">
        <v>17062</v>
      </c>
      <c r="H8754">
             </c>
      <c r="I8754" t="s">
        <v>14</v>
      </c>
      <c r="J8754" t="s">
        <v>1141</v>
      </c>
      <c r="K8754" t="s">
        <v>14</v>
      </c>
      <c r="L8754" t="s">
        <v>20</v>
      </c>
      <c r="M8754" t="s">
        <v>16983</v>
      </c>
      <c r="N8754" t="s">
        <v>14</v>
      </c>
    </row>
    <row r="8755" x14ac:dyDescent="0.25">
      <c r="A8755" t="n">
        <v>24</v>
      </c>
      <c r="B8755" t="s">
        <v>14</v>
      </c>
      <c r="C8755" t="s">
        <v>15</v>
      </c>
      <c r="D8755" s="2" t="s">
        <f>=HYPERLINK("https://main.knesset.gov.il/APPS/legislation/main/bills/2169013", "הצעת חוק איסור הלבנת הון (תיקון מס' 32) (העברת מידע מגופים ציבוריים מוסמכים), התשפ""ב-2022")</f>
        <v>17063</v>
      </c>
      <c r="E8755" t="s">
        <v>17063</v>
      </c>
      <c r="F8755" t="s">
        <v>14</v>
      </c>
      <c r="G8755" t="s">
        <v>17064</v>
      </c>
      <c r="H8755">
             </c>
      <c r="I8755" t="s">
        <v>14</v>
      </c>
      <c r="J8755" t="s">
        <v>69</v>
      </c>
      <c r="K8755" t="s">
        <v>14</v>
      </c>
      <c r="L8755" t="s">
        <v>20</v>
      </c>
      <c r="M8755" t="s">
        <v>16983</v>
      </c>
      <c r="N8755" t="s">
        <v>14</v>
      </c>
    </row>
    <row r="8756" x14ac:dyDescent="0.25">
      <c r="A8756" t="n">
        <v>24</v>
      </c>
      <c r="B8756" t="s">
        <v>14</v>
      </c>
      <c r="C8756" t="s">
        <v>22</v>
      </c>
      <c r="D8756" s="2" t="s">
        <f>=HYPERLINK("https://main.knesset.gov.il/APPS/legislation/main/bills/2165253", "הצעת חוק ההוצאה לפועל (תיקון - ביטול הגבלת רישיון נהיגה), התשפ""ב-2021")</f>
        <v>17065</v>
      </c>
      <c r="E8756" t="s">
        <v>17065</v>
      </c>
      <c r="F8756" t="s">
        <v>17066</v>
      </c>
      <c r="G8756" t="s">
        <v>14</v>
      </c>
      <c r="H8756">
             </c>
      <c r="I8756" t="s">
        <v>14</v>
      </c>
      <c r="J8756" t="s">
        <v>99</v>
      </c>
      <c r="K8756" t="s">
        <v>27</v>
      </c>
      <c r="L8756" t="s">
        <v>20</v>
      </c>
      <c r="M8756" t="s">
        <v>17067</v>
      </c>
      <c r="N8756" t="s">
        <v>14</v>
      </c>
    </row>
    <row r="8757" x14ac:dyDescent="0.25">
      <c r="A8757" t="n">
        <v>24</v>
      </c>
      <c r="B8757" t="s">
        <v>14</v>
      </c>
      <c r="C8757" t="s">
        <v>22</v>
      </c>
      <c r="D8757" s="2" t="s">
        <f>=HYPERLINK("https://main.knesset.gov.il/APPS/legislation/main/bills/2164064", "הצעת חוק ההוצאה לפועל (תיקון - ביטול הגבלת רישיון נהיגה), התשפ""ב-2021")</f>
        <v>17065</v>
      </c>
      <c r="E8757" t="s">
        <v>17065</v>
      </c>
      <c r="F8757" t="s">
        <v>17068</v>
      </c>
      <c r="G8757" t="s">
        <v>14</v>
      </c>
      <c r="H8757">
             </c>
      <c r="I8757" t="s">
        <v>14</v>
      </c>
      <c r="J8757" t="s">
        <v>99</v>
      </c>
      <c r="K8757" t="s">
        <v>27</v>
      </c>
      <c r="L8757" t="s">
        <v>20</v>
      </c>
      <c r="M8757" t="s">
        <v>17067</v>
      </c>
      <c r="N8757" t="s">
        <v>14</v>
      </c>
    </row>
    <row r="8758" x14ac:dyDescent="0.25">
      <c r="A8758" t="n">
        <v>24</v>
      </c>
      <c r="B8758" t="s">
        <v>14</v>
      </c>
      <c r="C8758" t="s">
        <v>22</v>
      </c>
      <c r="D8758" s="2" t="s">
        <f>=HYPERLINK("https://main.knesset.gov.il/APPS/legislation/main/bills/2159834", "הצעת חוק ההוצאה לפועל (תיקון - ביטול הגבלת רישיון נהיגה), התשפ""א-2021")</f>
        <v>17069</v>
      </c>
      <c r="E8758" t="s">
        <v>17069</v>
      </c>
      <c r="F8758" t="s">
        <v>17070</v>
      </c>
      <c r="G8758" t="s">
        <v>14</v>
      </c>
      <c r="H8758">
             </c>
      <c r="I8758" t="s">
        <v>14</v>
      </c>
      <c r="J8758" t="s">
        <v>99</v>
      </c>
      <c r="K8758" t="s">
        <v>27</v>
      </c>
      <c r="L8758" t="s">
        <v>20</v>
      </c>
      <c r="M8758" t="s">
        <v>17067</v>
      </c>
      <c r="N8758" t="s">
        <v>14</v>
      </c>
    </row>
    <row r="8759" x14ac:dyDescent="0.25">
      <c r="A8759" t="n">
        <v>24</v>
      </c>
      <c r="B8759" t="s">
        <v>14</v>
      </c>
      <c r="C8759" t="s">
        <v>22</v>
      </c>
      <c r="D8759" s="2" t="s">
        <f>=HYPERLINK("https://main.knesset.gov.il/APPS/legislation/main/bills/2156248", "הצעת חוק ההוצאה לפועל (תיקון - ביטול הגבלת רישיון נהיגה), התשפ""א-2021")</f>
        <v>17069</v>
      </c>
      <c r="E8759" t="s">
        <v>17069</v>
      </c>
      <c r="F8759" t="s">
        <v>17071</v>
      </c>
      <c r="G8759" t="s">
        <v>14</v>
      </c>
      <c r="H8759">
             </c>
      <c r="I8759" t="s">
        <v>14</v>
      </c>
      <c r="J8759" t="s">
        <v>99</v>
      </c>
      <c r="K8759" t="s">
        <v>27</v>
      </c>
      <c r="L8759" t="s">
        <v>20</v>
      </c>
      <c r="M8759" t="s">
        <v>17067</v>
      </c>
      <c r="N8759" t="s">
        <v>14</v>
      </c>
    </row>
    <row r="8760" x14ac:dyDescent="0.25">
      <c r="A8760" t="n">
        <v>24</v>
      </c>
      <c r="B8760" t="s">
        <v>14</v>
      </c>
      <c r="C8760" t="s">
        <v>22</v>
      </c>
      <c r="D8760" s="2" t="s">
        <f>=HYPERLINK("https://main.knesset.gov.il/APPS/legislation/main/bills/2167084", "הצעת חוק חילוט תקבולי עבירה בפשיעה חקלאית, התשפ""ב-2022")</f>
        <v>17072</v>
      </c>
      <c r="E8760" t="s">
        <v>17072</v>
      </c>
      <c r="F8760" t="s">
        <v>17073</v>
      </c>
      <c r="G8760" t="s">
        <v>14</v>
      </c>
      <c r="H8760">
             </c>
      <c r="I8760" t="s">
        <v>14</v>
      </c>
      <c r="J8760" t="s">
        <v>31</v>
      </c>
      <c r="K8760" t="s">
        <v>14336</v>
      </c>
      <c r="L8760" t="s">
        <v>20</v>
      </c>
      <c r="M8760" t="s">
        <v>17067</v>
      </c>
      <c r="N8760" t="s">
        <v>14</v>
      </c>
    </row>
    <row r="8761" x14ac:dyDescent="0.25">
      <c r="A8761" t="n">
        <v>24</v>
      </c>
      <c r="B8761" t="s">
        <v>14</v>
      </c>
      <c r="C8761" t="s">
        <v>22</v>
      </c>
      <c r="D8761" s="2" t="s">
        <f>=HYPERLINK("https://main.knesset.gov.il/APPS/legislation/main/bills/2164596", "הצעת חוק איסור הפליה במוצרים, בשירותים ובכניסה למקומות בידור ולמקומות ציבוריים (תיקון - איסור הפליה בשל נשיאת נשק), התשפ""ב-2021")</f>
        <v>17074</v>
      </c>
      <c r="E8761" t="s">
        <v>17074</v>
      </c>
      <c r="F8761" t="s">
        <v>17075</v>
      </c>
      <c r="G8761" t="s">
        <v>14</v>
      </c>
      <c r="H8761">
             </c>
      <c r="I8761" t="s">
        <v>14</v>
      </c>
      <c r="J8761" t="s">
        <v>55</v>
      </c>
      <c r="K8761" t="s">
        <v>14</v>
      </c>
      <c r="L8761" t="s">
        <v>20</v>
      </c>
      <c r="M8761" t="s">
        <v>17067</v>
      </c>
      <c r="N8761" t="s">
        <v>14</v>
      </c>
    </row>
    <row r="8762" x14ac:dyDescent="0.25">
      <c r="A8762" t="n">
        <v>24</v>
      </c>
      <c r="B8762" t="s">
        <v>14</v>
      </c>
      <c r="C8762" t="s">
        <v>22</v>
      </c>
      <c r="D8762" s="2" t="s">
        <f>=HYPERLINK("https://main.knesset.gov.il/APPS/legislation/main/bills/2164262", "הצעת חוק סדר הדין הפלילי (תיקון - הגבלת משך זמן החקירה המשטרתית וחקירת הפרקליטות), התשפ""ב-2021")</f>
        <v>17076</v>
      </c>
      <c r="E8762" t="s">
        <v>17076</v>
      </c>
      <c r="F8762" t="s">
        <v>17077</v>
      </c>
      <c r="G8762" t="s">
        <v>14</v>
      </c>
      <c r="H8762">
             </c>
      <c r="I8762" t="s">
        <v>14</v>
      </c>
      <c r="J8762" t="s">
        <v>31</v>
      </c>
      <c r="K8762" t="s">
        <v>27</v>
      </c>
      <c r="L8762" t="s">
        <v>20</v>
      </c>
      <c r="M8762" t="s">
        <v>17067</v>
      </c>
      <c r="N8762" t="s">
        <v>14</v>
      </c>
    </row>
    <row r="8763" x14ac:dyDescent="0.25">
      <c r="A8763" t="n">
        <v>24</v>
      </c>
      <c r="B8763" t="s">
        <v>14</v>
      </c>
      <c r="C8763" t="s">
        <v>22</v>
      </c>
      <c r="D8763" s="2" t="s">
        <f>=HYPERLINK("https://main.knesset.gov.il/APPS/legislation/main/bills/2164000", "הצעת חוק להסדרת המגורים בשטחי מרעה, התשפ""ב-2021")</f>
        <v>17078</v>
      </c>
      <c r="E8763" t="s">
        <v>17078</v>
      </c>
      <c r="F8763" t="s">
        <v>17079</v>
      </c>
      <c r="G8763" t="s">
        <v>14</v>
      </c>
      <c r="H8763">
             </c>
      <c r="I8763" t="s">
        <v>14</v>
      </c>
      <c r="J8763" t="s">
        <v>31</v>
      </c>
      <c r="K8763" t="s">
        <v>46</v>
      </c>
      <c r="L8763" t="s">
        <v>20</v>
      </c>
      <c r="M8763" t="s">
        <v>17067</v>
      </c>
      <c r="N8763" t="s">
        <v>14</v>
      </c>
    </row>
    <row r="8764" x14ac:dyDescent="0.25">
      <c r="A8764" t="n">
        <v>24</v>
      </c>
      <c r="B8764" t="s">
        <v>14</v>
      </c>
      <c r="C8764" t="s">
        <v>22</v>
      </c>
      <c r="D8764" s="2" t="s">
        <f>=HYPERLINK("https://main.knesset.gov.il/APPS/legislation/main/bills/2164224", "הצעת חוק ההוצאה לפועל (תיקון - מניעת עיקול כספי ערובה שהופקדו במזכירות בית המשפט למטרת שחרור ממעצר), התשפ""ב-2021")</f>
        <v>17080</v>
      </c>
      <c r="E8764" t="s">
        <v>17080</v>
      </c>
      <c r="F8764" t="s">
        <v>17081</v>
      </c>
      <c r="G8764" t="s">
        <v>14</v>
      </c>
      <c r="H8764">
             </c>
      <c r="I8764" t="s">
        <v>14</v>
      </c>
      <c r="J8764" t="s">
        <v>343</v>
      </c>
      <c r="K8764" t="s">
        <v>14</v>
      </c>
      <c r="L8764" t="s">
        <v>20</v>
      </c>
      <c r="M8764" t="s">
        <v>17067</v>
      </c>
      <c r="N8764" t="s">
        <v>14</v>
      </c>
    </row>
    <row r="8765" x14ac:dyDescent="0.25">
      <c r="A8765" t="n">
        <v>24</v>
      </c>
      <c r="B8765" t="s">
        <v>14</v>
      </c>
      <c r="C8765" t="s">
        <v>22</v>
      </c>
      <c r="D8765" s="2" t="s">
        <f>=HYPERLINK("https://main.knesset.gov.il/APPS/legislation/main/bills/2162965", "הצעת חוק לביטול אזרחותו או תושבותו של פעיל טרור שמקבל תגמול עבור ביצוע מעשה הטרור (תיקוני חקיקה), התשפ""ב-2021")</f>
        <v>17082</v>
      </c>
      <c r="E8765" t="s">
        <v>17082</v>
      </c>
      <c r="F8765" t="s">
        <v>17083</v>
      </c>
      <c r="G8765" t="s">
        <v>14</v>
      </c>
      <c r="H8765">
             </c>
      <c r="I8765" t="s">
        <v>14</v>
      </c>
      <c r="J8765" t="s">
        <v>55</v>
      </c>
      <c r="K8765" t="s">
        <v>14</v>
      </c>
      <c r="L8765" t="s">
        <v>20</v>
      </c>
      <c r="M8765" t="s">
        <v>17067</v>
      </c>
      <c r="N8765" t="s">
        <v>14</v>
      </c>
    </row>
    <row r="8766" x14ac:dyDescent="0.25">
      <c r="A8766" t="n">
        <v>24</v>
      </c>
      <c r="B8766" t="s">
        <v>14</v>
      </c>
      <c r="C8766" t="s">
        <v>22</v>
      </c>
      <c r="D8766" s="2" t="s">
        <f>=HYPERLINK("https://main.knesset.gov.il/APPS/legislation/main/bills/2163360", "הצעת חוק לביטול אזרחותו או תושבותו של פעיל טרור שמקבל תגמול עבור ביצוע מעשה הטרור (תיקוני חקיקה), התשפ""ב-2021")</f>
        <v>17082</v>
      </c>
      <c r="E8766" t="s">
        <v>17082</v>
      </c>
      <c r="F8766" t="s">
        <v>17084</v>
      </c>
      <c r="G8766" t="s">
        <v>14</v>
      </c>
      <c r="H8766">
             </c>
      <c r="I8766" t="s">
        <v>14</v>
      </c>
      <c r="J8766" t="s">
        <v>55</v>
      </c>
      <c r="K8766" t="s">
        <v>14</v>
      </c>
      <c r="L8766" t="s">
        <v>20</v>
      </c>
      <c r="M8766" t="s">
        <v>17067</v>
      </c>
      <c r="N8766" t="s">
        <v>14</v>
      </c>
    </row>
    <row r="8767" x14ac:dyDescent="0.25">
      <c r="A8767" t="n">
        <v>24</v>
      </c>
      <c r="B8767" t="s">
        <v>14</v>
      </c>
      <c r="C8767" t="s">
        <v>22</v>
      </c>
      <c r="D8767" s="2" t="s">
        <f>=HYPERLINK("https://main.knesset.gov.il/APPS/legislation/main/bills/2161856", "הצעת חוק יום לציון תשעה באב, התשפ""ב-2021")</f>
        <v>17085</v>
      </c>
      <c r="E8767" t="s">
        <v>17085</v>
      </c>
      <c r="F8767" t="s">
        <v>17086</v>
      </c>
      <c r="G8767" t="s">
        <v>14</v>
      </c>
      <c r="H8767">
             </c>
      <c r="I8767" t="s">
        <v>14</v>
      </c>
      <c r="J8767" t="s">
        <v>55</v>
      </c>
      <c r="K8767" t="s">
        <v>14</v>
      </c>
      <c r="L8767" t="s">
        <v>20</v>
      </c>
      <c r="M8767" t="s">
        <v>17067</v>
      </c>
      <c r="N8767" t="s">
        <v>14</v>
      </c>
    </row>
    <row r="8768" x14ac:dyDescent="0.25">
      <c r="A8768" t="n">
        <v>24</v>
      </c>
      <c r="B8768" t="s">
        <v>14</v>
      </c>
      <c r="C8768" t="s">
        <v>22</v>
      </c>
      <c r="D8768" s="2" t="s">
        <f>=HYPERLINK("https://main.knesset.gov.il/APPS/legislation/main/bills/2161432", "הצעת חוק הספורט (תיקון - ייצוג הולם לאוכלוסייה הערבית), התשפ""ב-2021")</f>
        <v>17087</v>
      </c>
      <c r="E8768" t="s">
        <v>17087</v>
      </c>
      <c r="F8768" t="s">
        <v>17088</v>
      </c>
      <c r="G8768" t="s">
        <v>14</v>
      </c>
      <c r="H8768">
             </c>
      <c r="I8768" t="s">
        <v>14</v>
      </c>
      <c r="J8768" t="s">
        <v>343</v>
      </c>
      <c r="K8768" t="s">
        <v>14</v>
      </c>
      <c r="L8768" t="s">
        <v>20</v>
      </c>
      <c r="M8768" t="s">
        <v>17067</v>
      </c>
      <c r="N8768" t="s">
        <v>14</v>
      </c>
    </row>
    <row r="8769" x14ac:dyDescent="0.25">
      <c r="A8769" t="n">
        <v>24</v>
      </c>
      <c r="B8769" t="s">
        <v>14</v>
      </c>
      <c r="C8769" t="s">
        <v>22</v>
      </c>
      <c r="D8769" s="2" t="s">
        <f>=HYPERLINK("https://main.knesset.gov.il/APPS/legislation/main/bills/2157296", "הצעת חוק השמירה על המקומות הקדושים (תיקון - ייעוץ הרבנות הראשית), התשפ""א-2021")</f>
        <v>17089</v>
      </c>
      <c r="E8769" t="s">
        <v>17089</v>
      </c>
      <c r="F8769" t="s">
        <v>17090</v>
      </c>
      <c r="G8769" t="s">
        <v>14</v>
      </c>
      <c r="H8769">
             </c>
      <c r="I8769" t="s">
        <v>14</v>
      </c>
      <c r="J8769" t="s">
        <v>55</v>
      </c>
      <c r="K8769" t="s">
        <v>14</v>
      </c>
      <c r="L8769" t="s">
        <v>20</v>
      </c>
      <c r="M8769" t="s">
        <v>17067</v>
      </c>
      <c r="N8769" t="s">
        <v>14</v>
      </c>
    </row>
    <row r="8770" x14ac:dyDescent="0.25">
      <c r="A8770" t="n">
        <v>24</v>
      </c>
      <c r="B8770" t="s">
        <v>14</v>
      </c>
      <c r="C8770" t="s">
        <v>22</v>
      </c>
      <c r="D8770" s="2" t="s">
        <f>=HYPERLINK("https://main.knesset.gov.il/APPS/legislation/main/bills/2159724", "הצעת חוק-יסוד: הממשלה (תיקון - אי מינוי ראש ממשלה ללא תעודה אקדמית או הכשרה צבאית כלוחם)")</f>
        <v>17091</v>
      </c>
      <c r="E8770" t="s">
        <v>17091</v>
      </c>
      <c r="F8770" t="s">
        <v>17092</v>
      </c>
      <c r="G8770" t="s">
        <v>14</v>
      </c>
      <c r="H8770">
             </c>
      <c r="I8770" t="s">
        <v>14</v>
      </c>
      <c r="J8770" t="s">
        <v>55</v>
      </c>
      <c r="K8770" t="s">
        <v>14</v>
      </c>
      <c r="L8770" t="s">
        <v>20</v>
      </c>
      <c r="M8770" t="s">
        <v>17067</v>
      </c>
      <c r="N8770" t="s">
        <v>14</v>
      </c>
    </row>
    <row r="8771" x14ac:dyDescent="0.25">
      <c r="A8771" t="n">
        <v>24</v>
      </c>
      <c r="B8771" t="s">
        <v>14</v>
      </c>
      <c r="C8771" t="s">
        <v>22</v>
      </c>
      <c r="D8771" s="2" t="s">
        <f>=HYPERLINK("https://main.knesset.gov.il/APPS/legislation/main/bills/2159500", "הצעת חוק העונשין (תיקון - חילוט רווחי סרסרות), התשפ""א-2021")</f>
        <v>16724</v>
      </c>
      <c r="E8771" t="s">
        <v>16724</v>
      </c>
      <c r="F8771" t="s">
        <v>17093</v>
      </c>
      <c r="G8771" t="s">
        <v>14</v>
      </c>
      <c r="H8771">
             </c>
      <c r="I8771" t="s">
        <v>14</v>
      </c>
      <c r="J8771" t="s">
        <v>31</v>
      </c>
      <c r="K8771" t="s">
        <v>27</v>
      </c>
      <c r="L8771" t="s">
        <v>20</v>
      </c>
      <c r="M8771" t="s">
        <v>17067</v>
      </c>
      <c r="N8771" t="s">
        <v>14</v>
      </c>
    </row>
    <row r="8772" x14ac:dyDescent="0.25">
      <c r="A8772" t="n">
        <v>24</v>
      </c>
      <c r="B8772" t="s">
        <v>14</v>
      </c>
      <c r="C8772" t="s">
        <v>22</v>
      </c>
      <c r="D8772" s="2" t="s">
        <f>=HYPERLINK("https://main.knesset.gov.il/APPS/legislation/main/bills/2157056", "הצעת חוק העונשין (תיקון - איסור הצבת מכונות משחק של מפעל הפיס), התשפ""א-2021")</f>
        <v>17094</v>
      </c>
      <c r="E8772" t="s">
        <v>17094</v>
      </c>
      <c r="F8772" t="s">
        <v>17095</v>
      </c>
      <c r="G8772" t="s">
        <v>14</v>
      </c>
      <c r="H8772">
             </c>
      <c r="I8772" t="s">
        <v>14</v>
      </c>
      <c r="J8772" t="s">
        <v>60</v>
      </c>
      <c r="K8772" t="s">
        <v>14</v>
      </c>
      <c r="L8772" t="s">
        <v>20</v>
      </c>
      <c r="M8772" t="s">
        <v>17067</v>
      </c>
      <c r="N8772" t="s">
        <v>14</v>
      </c>
    </row>
    <row r="8773" x14ac:dyDescent="0.25">
      <c r="A8773" t="n">
        <v>24</v>
      </c>
      <c r="B8773" t="s">
        <v>14</v>
      </c>
      <c r="C8773" t="s">
        <v>22</v>
      </c>
      <c r="D8773" s="2" t="s">
        <f>=HYPERLINK("https://main.knesset.gov.il/APPS/legislation/main/bills/2156075", "הצעת חוק הגנת הצרכן (תיקון - החלת חובת ההודעה על סיום עסקה מתמשכת על תאגידים בנקאיים ופיננסיים), התשפ""א-2021")</f>
        <v>17096</v>
      </c>
      <c r="E8773" t="s">
        <v>17096</v>
      </c>
      <c r="F8773" t="s">
        <v>17097</v>
      </c>
      <c r="G8773" t="s">
        <v>14</v>
      </c>
      <c r="H8773">
             </c>
      <c r="I8773" t="s">
        <v>14</v>
      </c>
      <c r="J8773" t="s">
        <v>55</v>
      </c>
      <c r="K8773" t="s">
        <v>14</v>
      </c>
      <c r="L8773" t="s">
        <v>20</v>
      </c>
      <c r="M8773" t="s">
        <v>17067</v>
      </c>
      <c r="N8773" t="s">
        <v>14</v>
      </c>
    </row>
    <row r="8774" x14ac:dyDescent="0.25">
      <c r="A8774" t="n">
        <v>24</v>
      </c>
      <c r="B8774" t="s">
        <v>14</v>
      </c>
      <c r="C8774" t="s">
        <v>22</v>
      </c>
      <c r="D8774" s="2" t="s">
        <f>=HYPERLINK("https://main.knesset.gov.il/APPS/legislation/main/bills/2156101", "הצעת חוק השבות (תיקון - זכויות בני משפחה), התשפ""א-2021")</f>
        <v>17098</v>
      </c>
      <c r="E8774" t="s">
        <v>17098</v>
      </c>
      <c r="F8774" t="s">
        <v>17099</v>
      </c>
      <c r="G8774" t="s">
        <v>14</v>
      </c>
      <c r="H8774">
             </c>
      <c r="I8774" t="s">
        <v>14</v>
      </c>
      <c r="J8774" t="s">
        <v>55</v>
      </c>
      <c r="K8774" t="s">
        <v>14</v>
      </c>
      <c r="L8774" t="s">
        <v>20</v>
      </c>
      <c r="M8774" t="s">
        <v>17067</v>
      </c>
      <c r="N8774" t="s">
        <v>14</v>
      </c>
    </row>
    <row r="8775" x14ac:dyDescent="0.25">
      <c r="A8775" t="n">
        <v>24</v>
      </c>
      <c r="B8775" t="s">
        <v>14</v>
      </c>
      <c r="C8775" t="s">
        <v>22</v>
      </c>
      <c r="D8775" s="2" t="s">
        <f>=HYPERLINK("https://main.knesset.gov.il/APPS/legislation/main/bills/2161590", "הצעת חוק לתיקון פקודת הרופאים (עבירות משמעת), התשפ""ב-2021")</f>
        <v>17100</v>
      </c>
      <c r="E8775" t="s">
        <v>17100</v>
      </c>
      <c r="F8775" t="s">
        <v>17101</v>
      </c>
      <c r="G8775" t="s">
        <v>14</v>
      </c>
      <c r="H8775">
             </c>
      <c r="I8775" t="s">
        <v>14</v>
      </c>
      <c r="J8775" t="s">
        <v>31</v>
      </c>
      <c r="K8775" t="s">
        <v>480</v>
      </c>
      <c r="L8775" t="s">
        <v>20</v>
      </c>
      <c r="M8775" t="s">
        <v>17102</v>
      </c>
      <c r="N8775" t="s">
        <v>14</v>
      </c>
    </row>
    <row r="8776" x14ac:dyDescent="0.25">
      <c r="A8776" t="n">
        <v>24</v>
      </c>
      <c r="B8776" t="s">
        <v>14</v>
      </c>
      <c r="C8776" t="s">
        <v>22</v>
      </c>
      <c r="D8776" s="2" t="s">
        <f>=HYPERLINK("https://main.knesset.gov.il/APPS/legislation/main/bills/2164130", "הצעת חוק לתיקון פקודת מס הכנסה (הטבות מס לעולים חדשים), התשפ""ב-2021")</f>
        <v>17103</v>
      </c>
      <c r="E8776" t="s">
        <v>17103</v>
      </c>
      <c r="F8776" t="s">
        <v>17104</v>
      </c>
      <c r="G8776" t="s">
        <v>14</v>
      </c>
      <c r="H8776">
             </c>
      <c r="I8776" t="s">
        <v>14</v>
      </c>
      <c r="J8776" t="s">
        <v>99</v>
      </c>
      <c r="K8776" t="s">
        <v>85</v>
      </c>
      <c r="L8776" t="s">
        <v>20</v>
      </c>
      <c r="M8776" t="s">
        <v>17102</v>
      </c>
      <c r="N8776" t="s">
        <v>14</v>
      </c>
    </row>
    <row r="8777" x14ac:dyDescent="0.25">
      <c r="A8777" t="n">
        <v>24</v>
      </c>
      <c r="B8777" t="s">
        <v>14</v>
      </c>
      <c r="C8777" t="s">
        <v>22</v>
      </c>
      <c r="D8777" s="2" t="s">
        <f>=HYPERLINK("https://main.knesset.gov.il/APPS/legislation/main/bills/2167094", "הצעת חוק הפיקוח על שירותים פיננסיים (ביטוח) (תיקון - היתר לשיווק ומכירה של ביטוח נסיעות לחו""ל), התשפ""ב-2022")</f>
        <v>17105</v>
      </c>
      <c r="E8777" t="s">
        <v>17105</v>
      </c>
      <c r="F8777" t="s">
        <v>17106</v>
      </c>
      <c r="G8777" t="s">
        <v>14</v>
      </c>
      <c r="H8777">
             </c>
      <c r="I8777" t="s">
        <v>14</v>
      </c>
      <c r="J8777" t="s">
        <v>141</v>
      </c>
      <c r="K8777" t="s">
        <v>14</v>
      </c>
      <c r="L8777" t="s">
        <v>20</v>
      </c>
      <c r="M8777" t="s">
        <v>17107</v>
      </c>
      <c r="N8777" t="s">
        <v>14</v>
      </c>
    </row>
    <row r="8778" x14ac:dyDescent="0.25">
      <c r="A8778" t="n">
        <v>24</v>
      </c>
      <c r="B8778" t="s">
        <v>14</v>
      </c>
      <c r="C8778" t="s">
        <v>22</v>
      </c>
      <c r="D8778" s="2" t="s">
        <f>=HYPERLINK("https://main.knesset.gov.il/APPS/legislation/main/bills/2168210", "הצעת חוק לתיקון פקודת מס הכנסה (הטבות במס במועצות אזוריות בעלות רוב מוטב), התשפ""ב-2022")</f>
        <v>17108</v>
      </c>
      <c r="E8778" t="s">
        <v>17108</v>
      </c>
      <c r="F8778" t="s">
        <v>17109</v>
      </c>
      <c r="G8778" t="s">
        <v>14</v>
      </c>
      <c r="H8778">
             </c>
      <c r="I8778" t="s">
        <v>14</v>
      </c>
      <c r="J8778" t="s">
        <v>141</v>
      </c>
      <c r="K8778" t="s">
        <v>14</v>
      </c>
      <c r="L8778" t="s">
        <v>20</v>
      </c>
      <c r="M8778" t="s">
        <v>17107</v>
      </c>
      <c r="N8778" t="s">
        <v>14</v>
      </c>
    </row>
    <row r="8779" x14ac:dyDescent="0.25">
      <c r="A8779" t="n">
        <v>24</v>
      </c>
      <c r="B8779" t="s">
        <v>14</v>
      </c>
      <c r="C8779" t="s">
        <v>22</v>
      </c>
      <c r="D8779" s="2" t="s">
        <f>=HYPERLINK("https://main.knesset.gov.il/APPS/legislation/main/bills/2166686", "הצעת חוק לתיקון פקודת מס הכנסה (הטבות במס במועצות אזוריות בעלות רוב מוטב), התשפ""ב-2022")</f>
        <v>17108</v>
      </c>
      <c r="E8779" t="s">
        <v>17108</v>
      </c>
      <c r="F8779" t="s">
        <v>17110</v>
      </c>
      <c r="G8779" t="s">
        <v>14</v>
      </c>
      <c r="H8779">
             </c>
      <c r="I8779" t="s">
        <v>14</v>
      </c>
      <c r="J8779" t="s">
        <v>141</v>
      </c>
      <c r="K8779" t="s">
        <v>14</v>
      </c>
      <c r="L8779" t="s">
        <v>20</v>
      </c>
      <c r="M8779" t="s">
        <v>17107</v>
      </c>
      <c r="N8779" t="s">
        <v>14</v>
      </c>
    </row>
    <row r="8780" x14ac:dyDescent="0.25">
      <c r="A8780" t="n">
        <v>24</v>
      </c>
      <c r="B8780" t="s">
        <v>14</v>
      </c>
      <c r="C8780" t="s">
        <v>22</v>
      </c>
      <c r="D8780" s="2" t="s">
        <f>=HYPERLINK("https://main.knesset.gov.il/APPS/legislation/main/bills/2162552", "הצעת חוק ליישוב תחת איום מיידי, התשפ""ב-2022")</f>
        <v>17111</v>
      </c>
      <c r="E8780" t="s">
        <v>17111</v>
      </c>
      <c r="F8780" t="s">
        <v>17112</v>
      </c>
      <c r="G8780" t="s">
        <v>14</v>
      </c>
      <c r="H8780">
             </c>
      <c r="I8780" t="s">
        <v>14</v>
      </c>
      <c r="J8780" t="s">
        <v>141</v>
      </c>
      <c r="K8780" t="s">
        <v>14</v>
      </c>
      <c r="L8780" t="s">
        <v>20</v>
      </c>
      <c r="M8780" t="s">
        <v>17107</v>
      </c>
      <c r="N8780" t="s">
        <v>14</v>
      </c>
    </row>
    <row r="8781" x14ac:dyDescent="0.25">
      <c r="A8781" t="n">
        <v>24</v>
      </c>
      <c r="B8781" t="s">
        <v>14</v>
      </c>
      <c r="C8781" t="s">
        <v>22</v>
      </c>
      <c r="D8781" s="2" t="s">
        <f>=HYPERLINK("https://main.knesset.gov.il/APPS/legislation/main/bills/2166573", "הצעת חוק לתיקון פקודת העיריות (תיקון - בניין שניזוק או נהרס), התשפ""ב-2022")</f>
        <v>17113</v>
      </c>
      <c r="E8781" t="s">
        <v>17113</v>
      </c>
      <c r="F8781" t="s">
        <v>17114</v>
      </c>
      <c r="G8781" t="s">
        <v>14</v>
      </c>
      <c r="H8781">
             </c>
      <c r="I8781" t="s">
        <v>14</v>
      </c>
      <c r="J8781" t="s">
        <v>141</v>
      </c>
      <c r="K8781" t="s">
        <v>14</v>
      </c>
      <c r="L8781" t="s">
        <v>20</v>
      </c>
      <c r="M8781" t="s">
        <v>17107</v>
      </c>
      <c r="N8781" t="s">
        <v>14</v>
      </c>
    </row>
    <row r="8782" x14ac:dyDescent="0.25">
      <c r="A8782" t="n">
        <v>24</v>
      </c>
      <c r="B8782" t="s">
        <v>14</v>
      </c>
      <c r="C8782" t="s">
        <v>22</v>
      </c>
      <c r="D8782" s="2" t="s">
        <f>=HYPERLINK("https://main.knesset.gov.il/APPS/legislation/main/bills/2168065", "הצעת חוק הביטוח הלאומי (תיקון - פטור מכפל תשלום דמי ביטוח לאומי), התשפ""ב-2022")</f>
        <v>16129</v>
      </c>
      <c r="E8782" t="s">
        <v>16129</v>
      </c>
      <c r="F8782" t="s">
        <v>17115</v>
      </c>
      <c r="G8782" t="s">
        <v>14</v>
      </c>
      <c r="H8782">
             </c>
      <c r="I8782" t="s">
        <v>14</v>
      </c>
      <c r="J8782" t="s">
        <v>141</v>
      </c>
      <c r="K8782" t="s">
        <v>14</v>
      </c>
      <c r="L8782" t="s">
        <v>20</v>
      </c>
      <c r="M8782" t="s">
        <v>17107</v>
      </c>
      <c r="N8782" t="s">
        <v>14</v>
      </c>
    </row>
    <row r="8783" x14ac:dyDescent="0.25">
      <c r="A8783" t="n">
        <v>24</v>
      </c>
      <c r="B8783" t="s">
        <v>14</v>
      </c>
      <c r="C8783" t="s">
        <v>22</v>
      </c>
      <c r="D8783" s="2" t="s">
        <f>=HYPERLINK("https://main.knesset.gov.il/APPS/legislation/main/bills/2165503", "הצעת חוק התכנון והבנייה (תיקון - חובת התקנת תשתית לעמדת טעינה לרכב חשמלי), התשפ""ב-2022")</f>
        <v>17116</v>
      </c>
      <c r="E8783" t="s">
        <v>17116</v>
      </c>
      <c r="F8783" t="s">
        <v>17117</v>
      </c>
      <c r="G8783" t="s">
        <v>14</v>
      </c>
      <c r="H8783">
             </c>
      <c r="I8783" t="s">
        <v>14</v>
      </c>
      <c r="J8783" t="s">
        <v>141</v>
      </c>
      <c r="K8783" t="s">
        <v>14</v>
      </c>
      <c r="L8783" t="s">
        <v>20</v>
      </c>
      <c r="M8783" t="s">
        <v>17107</v>
      </c>
      <c r="N8783" t="s">
        <v>14</v>
      </c>
    </row>
    <row r="8784" x14ac:dyDescent="0.25">
      <c r="A8784" t="n">
        <v>24</v>
      </c>
      <c r="B8784" t="s">
        <v>14</v>
      </c>
      <c r="C8784" t="s">
        <v>22</v>
      </c>
      <c r="D8784" s="2" t="s">
        <f>=HYPERLINK("https://main.knesset.gov.il/APPS/legislation/main/bills/2167828", "הצעת חוק עיקול ותפיסה מידתיים של נכסים המוחזקים בידי צד שלישי (תיקוני חקיקה), התשפ""ב-2022")</f>
        <v>17118</v>
      </c>
      <c r="E8784" t="s">
        <v>17118</v>
      </c>
      <c r="F8784" t="s">
        <v>17119</v>
      </c>
      <c r="G8784" t="s">
        <v>14</v>
      </c>
      <c r="H8784">
             </c>
      <c r="I8784" t="s">
        <v>14</v>
      </c>
      <c r="J8784" t="s">
        <v>141</v>
      </c>
      <c r="K8784" t="s">
        <v>14</v>
      </c>
      <c r="L8784" t="s">
        <v>20</v>
      </c>
      <c r="M8784" t="s">
        <v>17107</v>
      </c>
      <c r="N8784" t="s">
        <v>14</v>
      </c>
    </row>
    <row r="8785" x14ac:dyDescent="0.25">
      <c r="A8785" t="n">
        <v>24</v>
      </c>
      <c r="B8785" t="s">
        <v>14</v>
      </c>
      <c r="C8785" t="s">
        <v>22</v>
      </c>
      <c r="D8785" s="2" t="s">
        <f>=HYPERLINK("https://main.knesset.gov.il/APPS/legislation/main/bills/2163710", "הצעת חוק המתווכים במקרקעין (תיקון - גילוי נאות ונטל תשלום דמי תיווך), התשפ""ב-2022")</f>
        <v>17120</v>
      </c>
      <c r="E8785" t="s">
        <v>17120</v>
      </c>
      <c r="F8785" t="s">
        <v>17121</v>
      </c>
      <c r="G8785" t="s">
        <v>14</v>
      </c>
      <c r="H8785">
             </c>
      <c r="I8785" t="s">
        <v>14</v>
      </c>
      <c r="J8785" t="s">
        <v>141</v>
      </c>
      <c r="K8785" t="s">
        <v>14</v>
      </c>
      <c r="L8785" t="s">
        <v>20</v>
      </c>
      <c r="M8785" t="s">
        <v>17107</v>
      </c>
      <c r="N8785" t="s">
        <v>14</v>
      </c>
    </row>
    <row r="8786" x14ac:dyDescent="0.25">
      <c r="A8786" t="n">
        <v>24</v>
      </c>
      <c r="B8786" t="s">
        <v>14</v>
      </c>
      <c r="C8786" t="s">
        <v>22</v>
      </c>
      <c r="D8786" s="2" t="s">
        <f>=HYPERLINK("https://main.knesset.gov.il/APPS/legislation/main/bills/2160929", "הצעת חוק התכנון והבנייה (תיקון - פיצויים בשל הפקעה), התשפ""ב-2022")</f>
        <v>17122</v>
      </c>
      <c r="E8786" t="s">
        <v>17122</v>
      </c>
      <c r="F8786" t="s">
        <v>17123</v>
      </c>
      <c r="G8786" t="s">
        <v>14</v>
      </c>
      <c r="H8786">
             </c>
      <c r="I8786" t="s">
        <v>14</v>
      </c>
      <c r="J8786" t="s">
        <v>141</v>
      </c>
      <c r="K8786" t="s">
        <v>14</v>
      </c>
      <c r="L8786" t="s">
        <v>20</v>
      </c>
      <c r="M8786" t="s">
        <v>17107</v>
      </c>
      <c r="N8786" t="s">
        <v>14</v>
      </c>
    </row>
    <row r="8787" x14ac:dyDescent="0.25">
      <c r="A8787" t="n">
        <v>24</v>
      </c>
      <c r="B8787" t="s">
        <v>14</v>
      </c>
      <c r="C8787" t="s">
        <v>22</v>
      </c>
      <c r="D8787" s="2" t="s">
        <f>=HYPERLINK("https://main.knesset.gov.il/APPS/legislation/main/bills/2167128", "הצעת חוק התגמולים לנפגעי פעולות איבה (תיקון - פגיעה נפשית כתוצאה מפגיעות איבה רבות ותכופות), התשפ""ב-2022")</f>
        <v>17124</v>
      </c>
      <c r="E8787" t="s">
        <v>17124</v>
      </c>
      <c r="F8787" t="s">
        <v>17125</v>
      </c>
      <c r="G8787" t="s">
        <v>14</v>
      </c>
      <c r="H8787">
             </c>
      <c r="I8787" t="s">
        <v>14</v>
      </c>
      <c r="J8787" t="s">
        <v>141</v>
      </c>
      <c r="K8787" t="s">
        <v>14</v>
      </c>
      <c r="L8787" t="s">
        <v>20</v>
      </c>
      <c r="M8787" t="s">
        <v>17107</v>
      </c>
      <c r="N8787" t="s">
        <v>14</v>
      </c>
    </row>
    <row r="8788" x14ac:dyDescent="0.25">
      <c r="A8788" t="n">
        <v>24</v>
      </c>
      <c r="B8788" t="s">
        <v>14</v>
      </c>
      <c r="C8788" t="s">
        <v>22</v>
      </c>
      <c r="D8788" s="2" t="s">
        <f>=HYPERLINK("https://main.knesset.gov.il/APPS/legislation/main/bills/2161279", "הצעת חוק מרשם האוכלוסין (תיקון - הגדרת יהודי), התשפ""ב-2022")</f>
        <v>17126</v>
      </c>
      <c r="E8788" t="s">
        <v>17126</v>
      </c>
      <c r="F8788" t="s">
        <v>17127</v>
      </c>
      <c r="G8788" t="s">
        <v>14</v>
      </c>
      <c r="H8788">
             </c>
      <c r="I8788" t="s">
        <v>14</v>
      </c>
      <c r="J8788" t="s">
        <v>141</v>
      </c>
      <c r="K8788" t="s">
        <v>14</v>
      </c>
      <c r="L8788" t="s">
        <v>20</v>
      </c>
      <c r="M8788" t="s">
        <v>17107</v>
      </c>
      <c r="N8788" t="s">
        <v>14</v>
      </c>
    </row>
    <row r="8789" x14ac:dyDescent="0.25">
      <c r="A8789" t="n">
        <v>24</v>
      </c>
      <c r="B8789" t="s">
        <v>14</v>
      </c>
      <c r="C8789" t="s">
        <v>22</v>
      </c>
      <c r="D8789" s="2" t="s">
        <f>=HYPERLINK("https://main.knesset.gov.il/APPS/legislation/main/bills/2168403", "הצעת חוק לימוד חובה (תיקון - התאמת לוח החופשות לימי העבודה במשק), התשפ""ב-2022")</f>
        <v>17128</v>
      </c>
      <c r="E8789" t="s">
        <v>17128</v>
      </c>
      <c r="F8789" t="s">
        <v>17129</v>
      </c>
      <c r="G8789" t="s">
        <v>14</v>
      </c>
      <c r="H8789">
             </c>
      <c r="I8789" t="s">
        <v>14</v>
      </c>
      <c r="J8789" t="s">
        <v>141</v>
      </c>
      <c r="K8789" t="s">
        <v>14</v>
      </c>
      <c r="L8789" t="s">
        <v>20</v>
      </c>
      <c r="M8789" t="s">
        <v>17107</v>
      </c>
      <c r="N8789" t="s">
        <v>14</v>
      </c>
    </row>
    <row r="8790" x14ac:dyDescent="0.25">
      <c r="A8790" t="n">
        <v>24</v>
      </c>
      <c r="B8790" t="s">
        <v>14</v>
      </c>
      <c r="C8790" t="s">
        <v>22</v>
      </c>
      <c r="D8790" s="2" t="s">
        <f>=HYPERLINK("https://main.knesset.gov.il/APPS/legislation/main/bills/2168456", "הצעת חוק למניעת העישון במקומות ציבוריים והחשיפה לעישון (תיקון - ייעול האכיפה וביטול חדרי העישון), התשפ''ב-2022")</f>
        <v>17130</v>
      </c>
      <c r="E8790" t="s">
        <v>17130</v>
      </c>
      <c r="F8790" t="s">
        <v>17131</v>
      </c>
      <c r="G8790" t="s">
        <v>14</v>
      </c>
      <c r="H8790">
             </c>
      <c r="I8790" t="s">
        <v>14</v>
      </c>
      <c r="J8790" t="s">
        <v>141</v>
      </c>
      <c r="K8790" t="s">
        <v>14</v>
      </c>
      <c r="L8790" t="s">
        <v>20</v>
      </c>
      <c r="M8790" t="s">
        <v>17107</v>
      </c>
      <c r="N8790" t="s">
        <v>14</v>
      </c>
    </row>
    <row r="8791" x14ac:dyDescent="0.25">
      <c r="A8791" t="n">
        <v>24</v>
      </c>
      <c r="B8791" t="s">
        <v>14</v>
      </c>
      <c r="C8791" t="s">
        <v>22</v>
      </c>
      <c r="D8791" s="2" t="s">
        <f>=HYPERLINK("https://main.knesset.gov.il/APPS/legislation/main/bills/2167654", "הצעת חוק-יסוד: הכנסת (תיקון - הצבעה מרחוק לחבר הכנסת בשל היעדרות מוצדקת)")</f>
        <v>17132</v>
      </c>
      <c r="E8791" t="s">
        <v>17132</v>
      </c>
      <c r="F8791" t="s">
        <v>17133</v>
      </c>
      <c r="G8791" t="s">
        <v>14</v>
      </c>
      <c r="H8791">
             </c>
      <c r="I8791" t="s">
        <v>14</v>
      </c>
      <c r="J8791" t="s">
        <v>141</v>
      </c>
      <c r="K8791" t="s">
        <v>14</v>
      </c>
      <c r="L8791" t="s">
        <v>20</v>
      </c>
      <c r="M8791" t="s">
        <v>17107</v>
      </c>
      <c r="N8791" t="s">
        <v>14</v>
      </c>
    </row>
    <row r="8792" x14ac:dyDescent="0.25">
      <c r="A8792" t="n">
        <v>24</v>
      </c>
      <c r="B8792" t="s">
        <v>14</v>
      </c>
      <c r="C8792" t="s">
        <v>22</v>
      </c>
      <c r="D8792" s="2" t="s">
        <f>=HYPERLINK("https://main.knesset.gov.il/APPS/legislation/main/bills/2167758", "הצעת חוק היטלי סחר ואמצעי הגנה (תיקון - אי פתיחת חקירה בשל יבוא בהיצף בשוק מונופוליסטי או ריכוזי), התשפ""ב-2022")</f>
        <v>17134</v>
      </c>
      <c r="E8792" t="s">
        <v>17134</v>
      </c>
      <c r="F8792" t="s">
        <v>17135</v>
      </c>
      <c r="G8792" t="s">
        <v>14</v>
      </c>
      <c r="H8792">
             </c>
      <c r="I8792" t="s">
        <v>14</v>
      </c>
      <c r="J8792" t="s">
        <v>141</v>
      </c>
      <c r="K8792" t="s">
        <v>14</v>
      </c>
      <c r="L8792" t="s">
        <v>20</v>
      </c>
      <c r="M8792" t="s">
        <v>17107</v>
      </c>
      <c r="N8792" t="s">
        <v>14</v>
      </c>
    </row>
    <row r="8793" x14ac:dyDescent="0.25">
      <c r="A8793" t="n">
        <v>24</v>
      </c>
      <c r="B8793" t="s">
        <v>14</v>
      </c>
      <c r="C8793" t="s">
        <v>22</v>
      </c>
      <c r="D8793" s="2" t="s">
        <f>=HYPERLINK("https://main.knesset.gov.il/APPS/legislation/main/bills/2162967", "הצעת חוק הביטוח הלאומי (תיקון - צמצום הפער בין עובדים עצמאיים לעובדים שכירים), התשפ""ב-2022")</f>
        <v>17136</v>
      </c>
      <c r="E8793" t="s">
        <v>17136</v>
      </c>
      <c r="F8793" t="s">
        <v>17137</v>
      </c>
      <c r="G8793" t="s">
        <v>14</v>
      </c>
      <c r="H8793">
             </c>
      <c r="I8793" t="s">
        <v>14</v>
      </c>
      <c r="J8793" t="s">
        <v>141</v>
      </c>
      <c r="K8793" t="s">
        <v>14</v>
      </c>
      <c r="L8793" t="s">
        <v>20</v>
      </c>
      <c r="M8793" t="s">
        <v>17107</v>
      </c>
      <c r="N8793" t="s">
        <v>14</v>
      </c>
    </row>
    <row r="8794" x14ac:dyDescent="0.25">
      <c r="A8794" t="n">
        <v>24</v>
      </c>
      <c r="B8794" t="s">
        <v>14</v>
      </c>
      <c r="C8794" t="s">
        <v>22</v>
      </c>
      <c r="D8794" s="2" t="s">
        <f>=HYPERLINK("https://main.knesset.gov.il/APPS/legislation/main/bills/2167755", "הצעת חוק להגברת השקיפות בפעילותם של גופים פיננסיים (תיקוני חקיקה), התשפ""ב-2022")</f>
        <v>17138</v>
      </c>
      <c r="E8794" t="s">
        <v>17138</v>
      </c>
      <c r="F8794" t="s">
        <v>17139</v>
      </c>
      <c r="G8794" t="s">
        <v>14</v>
      </c>
      <c r="H8794">
             </c>
      <c r="I8794" t="s">
        <v>14</v>
      </c>
      <c r="J8794" t="s">
        <v>141</v>
      </c>
      <c r="K8794" t="s">
        <v>14</v>
      </c>
      <c r="L8794" t="s">
        <v>20</v>
      </c>
      <c r="M8794" t="s">
        <v>17107</v>
      </c>
      <c r="N8794" t="s">
        <v>14</v>
      </c>
    </row>
    <row r="8795" x14ac:dyDescent="0.25">
      <c r="A8795" t="n">
        <v>24</v>
      </c>
      <c r="B8795" t="s">
        <v>14</v>
      </c>
      <c r="C8795" t="s">
        <v>22</v>
      </c>
      <c r="D8795" s="2" t="s">
        <f>=HYPERLINK("https://main.knesset.gov.il/APPS/legislation/main/bills/2164816", "הצעת חוק המועצה לענף הלול (תיקון - ויסות הייצור והשיווק של תוצרת הלול), התשפ''ב-2022")</f>
        <v>17140</v>
      </c>
      <c r="E8795" t="s">
        <v>17140</v>
      </c>
      <c r="F8795" t="s">
        <v>17141</v>
      </c>
      <c r="G8795" t="s">
        <v>14</v>
      </c>
      <c r="H8795">
             </c>
      <c r="I8795" t="s">
        <v>14</v>
      </c>
      <c r="J8795" t="s">
        <v>141</v>
      </c>
      <c r="K8795" t="s">
        <v>14</v>
      </c>
      <c r="L8795" t="s">
        <v>20</v>
      </c>
      <c r="M8795" t="s">
        <v>17107</v>
      </c>
      <c r="N8795" t="s">
        <v>14</v>
      </c>
    </row>
    <row r="8796" x14ac:dyDescent="0.25">
      <c r="A8796" t="n">
        <v>24</v>
      </c>
      <c r="B8796" t="s">
        <v>14</v>
      </c>
      <c r="C8796" t="s">
        <v>22</v>
      </c>
      <c r="D8796" s="2" t="s">
        <f>=HYPERLINK("https://main.knesset.gov.il/APPS/legislation/main/bills/2166717", "הצעת חוק למניעת הסתננות (עבירות ושיפוט) (הוראות שעה - הארכת תוקף), התשפ""ב-2022")</f>
        <v>17142</v>
      </c>
      <c r="E8796" t="s">
        <v>17142</v>
      </c>
      <c r="F8796" t="s">
        <v>17143</v>
      </c>
      <c r="G8796" t="s">
        <v>14</v>
      </c>
      <c r="H8796">
             </c>
      <c r="I8796" t="s">
        <v>14</v>
      </c>
      <c r="J8796" t="s">
        <v>141</v>
      </c>
      <c r="K8796" t="s">
        <v>14</v>
      </c>
      <c r="L8796" t="s">
        <v>20</v>
      </c>
      <c r="M8796" t="s">
        <v>17107</v>
      </c>
      <c r="N8796" t="s">
        <v>14</v>
      </c>
    </row>
    <row r="8797" x14ac:dyDescent="0.25">
      <c r="A8797" t="n">
        <v>24</v>
      </c>
      <c r="B8797" t="s">
        <v>14</v>
      </c>
      <c r="C8797" t="s">
        <v>22</v>
      </c>
      <c r="D8797" s="2" t="s">
        <f>=HYPERLINK("https://main.knesset.gov.il/APPS/legislation/main/bills/2167607", "הצעת חוק למניעת אלימות במשפחה (תיקון - מניעת אלימות כלכלית), התשפ""ב-2022")</f>
        <v>17144</v>
      </c>
      <c r="E8797" t="s">
        <v>17144</v>
      </c>
      <c r="F8797" t="s">
        <v>17145</v>
      </c>
      <c r="G8797" t="s">
        <v>14</v>
      </c>
      <c r="H8797">
             </c>
      <c r="I8797" t="s">
        <v>14</v>
      </c>
      <c r="J8797" t="s">
        <v>141</v>
      </c>
      <c r="K8797" t="s">
        <v>14</v>
      </c>
      <c r="L8797" t="s">
        <v>20</v>
      </c>
      <c r="M8797" t="s">
        <v>17107</v>
      </c>
      <c r="N8797" t="s">
        <v>14</v>
      </c>
    </row>
    <row r="8798" x14ac:dyDescent="0.25">
      <c r="A8798" t="n">
        <v>24</v>
      </c>
      <c r="B8798" t="s">
        <v>14</v>
      </c>
      <c r="C8798" t="s">
        <v>22</v>
      </c>
      <c r="D8798" s="2" t="s">
        <f>=HYPERLINK("https://main.knesset.gov.il/APPS/legislation/main/bills/2167889", "הצעת חוק הפסקת היריון, התשפ""ב-2022")</f>
        <v>17146</v>
      </c>
      <c r="E8798" t="s">
        <v>17146</v>
      </c>
      <c r="F8798" t="s">
        <v>17147</v>
      </c>
      <c r="G8798" t="s">
        <v>14</v>
      </c>
      <c r="H8798">
             </c>
      <c r="I8798" t="s">
        <v>14</v>
      </c>
      <c r="J8798" t="s">
        <v>141</v>
      </c>
      <c r="K8798" t="s">
        <v>14</v>
      </c>
      <c r="L8798" t="s">
        <v>20</v>
      </c>
      <c r="M8798" t="s">
        <v>17107</v>
      </c>
      <c r="N8798" t="s">
        <v>14</v>
      </c>
    </row>
    <row r="8799" x14ac:dyDescent="0.25">
      <c r="A8799" t="n">
        <v>24</v>
      </c>
      <c r="B8799" t="s">
        <v>14</v>
      </c>
      <c r="C8799" t="s">
        <v>22</v>
      </c>
      <c r="D8799" s="2" t="s">
        <f>=HYPERLINK("https://main.knesset.gov.il/APPS/legislation/main/bills/2167808", "הצעת חוק הביטוח הלאומי (תיקון - גמלה בשל דיכאון לאחר לידה), התשפ""ב-2022")</f>
        <v>16927</v>
      </c>
      <c r="E8799" t="s">
        <v>16927</v>
      </c>
      <c r="F8799" t="s">
        <v>17148</v>
      </c>
      <c r="G8799" t="s">
        <v>14</v>
      </c>
      <c r="H8799">
             </c>
      <c r="I8799" t="s">
        <v>14</v>
      </c>
      <c r="J8799" t="s">
        <v>141</v>
      </c>
      <c r="K8799" t="s">
        <v>14</v>
      </c>
      <c r="L8799" t="s">
        <v>20</v>
      </c>
      <c r="M8799" t="s">
        <v>17107</v>
      </c>
      <c r="N8799" t="s">
        <v>14</v>
      </c>
    </row>
    <row r="8800" x14ac:dyDescent="0.25">
      <c r="A8800" t="n">
        <v>24</v>
      </c>
      <c r="B8800" t="s">
        <v>14</v>
      </c>
      <c r="C8800" t="s">
        <v>22</v>
      </c>
      <c r="D8800" s="2" t="s">
        <f>=HYPERLINK("https://main.knesset.gov.il/APPS/legislation/main/bills/2167916", "הצעת חוק הביטוח הלאומי (תיקון - קצבת ילדים כפולה בלידת תאומים או יותר), התשפ""ב-2022")</f>
        <v>17149</v>
      </c>
      <c r="E8800" t="s">
        <v>17149</v>
      </c>
      <c r="F8800" t="s">
        <v>17150</v>
      </c>
      <c r="G8800" t="s">
        <v>14</v>
      </c>
      <c r="H8800">
             </c>
      <c r="I8800" t="s">
        <v>14</v>
      </c>
      <c r="J8800" t="s">
        <v>141</v>
      </c>
      <c r="K8800" t="s">
        <v>14</v>
      </c>
      <c r="L8800" t="s">
        <v>20</v>
      </c>
      <c r="M8800" t="s">
        <v>17107</v>
      </c>
      <c r="N8800" t="s">
        <v>14</v>
      </c>
    </row>
    <row r="8801" x14ac:dyDescent="0.25">
      <c r="A8801" t="n">
        <v>24</v>
      </c>
      <c r="B8801" t="s">
        <v>14</v>
      </c>
      <c r="C8801" t="s">
        <v>22</v>
      </c>
      <c r="D8801" s="2" t="s">
        <f>=HYPERLINK("https://main.knesset.gov.il/APPS/legislation/main/bills/2167642", "הצעת חוק שיקים ללא כיסוי (תיקון - מצב חירום בשל מגיפה עולמית), התשפ""ב-2022")</f>
        <v>17151</v>
      </c>
      <c r="E8801" t="s">
        <v>17151</v>
      </c>
      <c r="F8801" t="s">
        <v>17152</v>
      </c>
      <c r="G8801" t="s">
        <v>14</v>
      </c>
      <c r="H8801">
             </c>
      <c r="I8801" t="s">
        <v>14</v>
      </c>
      <c r="J8801" t="s">
        <v>141</v>
      </c>
      <c r="K8801" t="s">
        <v>14</v>
      </c>
      <c r="L8801" t="s">
        <v>20</v>
      </c>
      <c r="M8801" t="s">
        <v>17107</v>
      </c>
      <c r="N8801" t="s">
        <v>14</v>
      </c>
    </row>
    <row r="8802" x14ac:dyDescent="0.25">
      <c r="A8802" t="n">
        <v>24</v>
      </c>
      <c r="B8802" t="s">
        <v>14</v>
      </c>
      <c r="C8802" t="s">
        <v>22</v>
      </c>
      <c r="D8802" s="2" t="s">
        <f>=HYPERLINK("https://main.knesset.gov.il/APPS/legislation/main/bills/2167819", "הצעת חוק האזרחים הוותיקים (תיקון - הנחה בארנונה לאזרח ותיק המתגורר בדירה שאינה בהחזקתו), התשפ""ב-2022")</f>
        <v>17153</v>
      </c>
      <c r="E8802" t="s">
        <v>17153</v>
      </c>
      <c r="F8802" t="s">
        <v>17154</v>
      </c>
      <c r="G8802" t="s">
        <v>14</v>
      </c>
      <c r="H8802">
             </c>
      <c r="I8802" t="s">
        <v>14</v>
      </c>
      <c r="J8802" t="s">
        <v>141</v>
      </c>
      <c r="K8802" t="s">
        <v>14</v>
      </c>
      <c r="L8802" t="s">
        <v>20</v>
      </c>
      <c r="M8802" t="s">
        <v>17107</v>
      </c>
      <c r="N8802" t="s">
        <v>14</v>
      </c>
    </row>
    <row r="8803" x14ac:dyDescent="0.25">
      <c r="A8803" t="n">
        <v>24</v>
      </c>
      <c r="B8803" t="s">
        <v>14</v>
      </c>
      <c r="C8803" t="s">
        <v>22</v>
      </c>
      <c r="D8803" s="2" t="s">
        <f>=HYPERLINK("https://main.knesset.gov.il/APPS/legislation/main/bills/2167620", "הצעת חוק פריסת תשלום חוב ללא תוספת ריבית או אגרה, התשפ""ב-2022")</f>
        <v>17155</v>
      </c>
      <c r="E8803" t="s">
        <v>17155</v>
      </c>
      <c r="F8803" t="s">
        <v>17156</v>
      </c>
      <c r="G8803" t="s">
        <v>14</v>
      </c>
      <c r="H8803">
             </c>
      <c r="I8803" t="s">
        <v>14</v>
      </c>
      <c r="J8803" t="s">
        <v>141</v>
      </c>
      <c r="K8803" t="s">
        <v>14</v>
      </c>
      <c r="L8803" t="s">
        <v>20</v>
      </c>
      <c r="M8803" t="s">
        <v>17107</v>
      </c>
      <c r="N8803" t="s">
        <v>14</v>
      </c>
    </row>
    <row r="8804" x14ac:dyDescent="0.25">
      <c r="A8804" t="n">
        <v>24</v>
      </c>
      <c r="B8804" t="s">
        <v>14</v>
      </c>
      <c r="C8804" t="s">
        <v>22</v>
      </c>
      <c r="D8804" s="2" t="s">
        <f>=HYPERLINK("https://main.knesset.gov.il/APPS/legislation/main/bills/2167103", "הצעת חוק שעות עבודה ומנוחה (תיקון - רישום שעות עבודה של עובדים באתרי בנייה), התשפ""ב-2022")</f>
        <v>17157</v>
      </c>
      <c r="E8804" t="s">
        <v>17157</v>
      </c>
      <c r="F8804" t="s">
        <v>17158</v>
      </c>
      <c r="G8804" t="s">
        <v>14</v>
      </c>
      <c r="H8804">
             </c>
      <c r="I8804" t="s">
        <v>14</v>
      </c>
      <c r="J8804" t="s">
        <v>141</v>
      </c>
      <c r="K8804" t="s">
        <v>14</v>
      </c>
      <c r="L8804" t="s">
        <v>20</v>
      </c>
      <c r="M8804" t="s">
        <v>17107</v>
      </c>
      <c r="N8804" t="s">
        <v>14</v>
      </c>
    </row>
    <row r="8805" x14ac:dyDescent="0.25">
      <c r="A8805" t="n">
        <v>24</v>
      </c>
      <c r="B8805" t="s">
        <v>14</v>
      </c>
      <c r="C8805" t="s">
        <v>22</v>
      </c>
      <c r="D8805" s="2" t="s">
        <f>=HYPERLINK("https://main.knesset.gov.il/APPS/legislation/main/bills/2168047", "הצעת חוק זכויות נפגעי עבירה (תיקון - זכות נפגע עבירת מין לבחור את מין החוקר לרבות את מין מבצע העימות), התשפ""ב-2022")</f>
        <v>17159</v>
      </c>
      <c r="E8805" t="s">
        <v>17159</v>
      </c>
      <c r="F8805" t="s">
        <v>17160</v>
      </c>
      <c r="G8805" t="s">
        <v>14</v>
      </c>
      <c r="H8805">
             </c>
      <c r="I8805" t="s">
        <v>14</v>
      </c>
      <c r="J8805" t="s">
        <v>141</v>
      </c>
      <c r="K8805" t="s">
        <v>14</v>
      </c>
      <c r="L8805" t="s">
        <v>20</v>
      </c>
      <c r="M8805" t="s">
        <v>17107</v>
      </c>
      <c r="N8805" t="s">
        <v>14</v>
      </c>
    </row>
    <row r="8806" x14ac:dyDescent="0.25">
      <c r="A8806" t="n">
        <v>24</v>
      </c>
      <c r="B8806" t="s">
        <v>14</v>
      </c>
      <c r="C8806" t="s">
        <v>22</v>
      </c>
      <c r="D8806" s="2" t="s">
        <f>=HYPERLINK("https://main.knesset.gov.il/APPS/legislation/main/bills/2166475", "הצעת חוק חינוך ממלכתי (תיקון - העסקת עובדי הוראה בחוזה אישי), התשפ""ב-2022")</f>
        <v>17161</v>
      </c>
      <c r="E8806" t="s">
        <v>17161</v>
      </c>
      <c r="F8806" t="s">
        <v>17162</v>
      </c>
      <c r="G8806" t="s">
        <v>14</v>
      </c>
      <c r="H8806">
             </c>
      <c r="I8806" t="s">
        <v>14</v>
      </c>
      <c r="J8806" t="s">
        <v>141</v>
      </c>
      <c r="K8806" t="s">
        <v>14</v>
      </c>
      <c r="L8806" t="s">
        <v>20</v>
      </c>
      <c r="M8806" t="s">
        <v>17107</v>
      </c>
      <c r="N8806" t="s">
        <v>14</v>
      </c>
    </row>
    <row r="8807" x14ac:dyDescent="0.25">
      <c r="A8807" t="n">
        <v>24</v>
      </c>
      <c r="B8807" t="s">
        <v>14</v>
      </c>
      <c r="C8807" t="s">
        <v>22</v>
      </c>
      <c r="D8807" s="2" t="s">
        <f>=HYPERLINK("https://main.knesset.gov.il/APPS/legislation/main/bills/2167818", "הצעת חוק זכויות החולה (תיקון - הזכות למינוי מתורגמן רפואי), התשפ""ב-2022")</f>
        <v>17163</v>
      </c>
      <c r="E8807" t="s">
        <v>17163</v>
      </c>
      <c r="F8807" t="s">
        <v>17164</v>
      </c>
      <c r="G8807" t="s">
        <v>14</v>
      </c>
      <c r="H8807">
             </c>
      <c r="I8807" t="s">
        <v>14</v>
      </c>
      <c r="J8807" t="s">
        <v>141</v>
      </c>
      <c r="K8807" t="s">
        <v>14</v>
      </c>
      <c r="L8807" t="s">
        <v>20</v>
      </c>
      <c r="M8807" t="s">
        <v>17107</v>
      </c>
      <c r="N8807" t="s">
        <v>14</v>
      </c>
    </row>
    <row r="8808" x14ac:dyDescent="0.25">
      <c r="A8808" t="n">
        <v>24</v>
      </c>
      <c r="B8808" t="s">
        <v>14</v>
      </c>
      <c r="C8808" t="s">
        <v>22</v>
      </c>
      <c r="D8808" s="2" t="s">
        <f>=HYPERLINK("https://main.knesset.gov.il/APPS/legislation/main/bills/2167141", "הצעת חוק מרשם שמות מתחם בישראל, התשפ""ב-2022")</f>
        <v>17165</v>
      </c>
      <c r="E8808" t="s">
        <v>17165</v>
      </c>
      <c r="F8808" t="s">
        <v>17166</v>
      </c>
      <c r="G8808" t="s">
        <v>14</v>
      </c>
      <c r="H8808">
             </c>
      <c r="I8808" t="s">
        <v>14</v>
      </c>
      <c r="J8808" t="s">
        <v>141</v>
      </c>
      <c r="K8808" t="s">
        <v>14</v>
      </c>
      <c r="L8808" t="s">
        <v>20</v>
      </c>
      <c r="M8808" t="s">
        <v>17107</v>
      </c>
      <c r="N8808" t="s">
        <v>14</v>
      </c>
    </row>
    <row r="8809" x14ac:dyDescent="0.25">
      <c r="A8809" t="n">
        <v>24</v>
      </c>
      <c r="B8809" t="s">
        <v>14</v>
      </c>
      <c r="C8809" t="s">
        <v>22</v>
      </c>
      <c r="D8809" s="2" t="s">
        <f>=HYPERLINK("https://main.knesset.gov.il/APPS/legislation/main/bills/2167074", "הצעת חוק הביטוח הלאומי (תיקון - אי הפליה בשל שירות צבאי או שירות לאומי), התשפ""ב-2022")</f>
        <v>17167</v>
      </c>
      <c r="E8809" t="s">
        <v>17167</v>
      </c>
      <c r="F8809" t="s">
        <v>17168</v>
      </c>
      <c r="G8809" t="s">
        <v>14</v>
      </c>
      <c r="H8809">
             </c>
      <c r="I8809" t="s">
        <v>14</v>
      </c>
      <c r="J8809" t="s">
        <v>141</v>
      </c>
      <c r="K8809" t="s">
        <v>14</v>
      </c>
      <c r="L8809" t="s">
        <v>20</v>
      </c>
      <c r="M8809" t="s">
        <v>17107</v>
      </c>
      <c r="N8809" t="s">
        <v>14</v>
      </c>
    </row>
    <row r="8810" x14ac:dyDescent="0.25">
      <c r="A8810" t="n">
        <v>24</v>
      </c>
      <c r="B8810" t="s">
        <v>14</v>
      </c>
      <c r="C8810" t="s">
        <v>22</v>
      </c>
      <c r="D8810" s="2" t="s">
        <f>=HYPERLINK("https://main.knesset.gov.il/APPS/legislation/main/bills/2167271", "הצעת חוק הממשלה (תיקון - חוות דעת של רשות ציבורית בענייני חקיקה), התשפ""ב-2022")</f>
        <v>17169</v>
      </c>
      <c r="E8810" t="s">
        <v>17169</v>
      </c>
      <c r="F8810" t="s">
        <v>17170</v>
      </c>
      <c r="G8810" t="s">
        <v>14</v>
      </c>
      <c r="H8810">
             </c>
      <c r="I8810" t="s">
        <v>14</v>
      </c>
      <c r="J8810" t="s">
        <v>141</v>
      </c>
      <c r="K8810" t="s">
        <v>14</v>
      </c>
      <c r="L8810" t="s">
        <v>20</v>
      </c>
      <c r="M8810" t="s">
        <v>17107</v>
      </c>
      <c r="N8810" t="s">
        <v>14</v>
      </c>
    </row>
    <row r="8811" x14ac:dyDescent="0.25">
      <c r="A8811" t="n">
        <v>24</v>
      </c>
      <c r="B8811" t="s">
        <v>14</v>
      </c>
      <c r="C8811" t="s">
        <v>22</v>
      </c>
      <c r="D8811" s="2" t="s">
        <f>=HYPERLINK("https://main.knesset.gov.il/APPS/legislation/main/bills/2167965", "הצעת חוק טיפול בחולי נפש (תיקון - בחירת מקום אשפוז), התשפ""ב-2022")</f>
        <v>17171</v>
      </c>
      <c r="E8811" t="s">
        <v>17171</v>
      </c>
      <c r="F8811" t="s">
        <v>17172</v>
      </c>
      <c r="G8811" t="s">
        <v>14</v>
      </c>
      <c r="H8811">
             </c>
      <c r="I8811" t="s">
        <v>14</v>
      </c>
      <c r="J8811" t="s">
        <v>141</v>
      </c>
      <c r="K8811" t="s">
        <v>14</v>
      </c>
      <c r="L8811" t="s">
        <v>20</v>
      </c>
      <c r="M8811" t="s">
        <v>17107</v>
      </c>
      <c r="N8811" t="s">
        <v>14</v>
      </c>
    </row>
    <row r="8812" x14ac:dyDescent="0.25">
      <c r="A8812" t="n">
        <v>24</v>
      </c>
      <c r="B8812" t="s">
        <v>14</v>
      </c>
      <c r="C8812" t="s">
        <v>22</v>
      </c>
      <c r="D8812" s="2" t="s">
        <f>=HYPERLINK("https://main.knesset.gov.il/APPS/legislation/main/bills/2167385", "הצעת חוק הסיוע המשפטי (תיקון - סיוע משפטי לנפגעי אלימות במשפחה), התשפ""ב-2022")</f>
        <v>16358</v>
      </c>
      <c r="E8812" t="s">
        <v>16358</v>
      </c>
      <c r="F8812" t="s">
        <v>17173</v>
      </c>
      <c r="G8812" t="s">
        <v>14</v>
      </c>
      <c r="H8812">
             </c>
      <c r="I8812" t="s">
        <v>14</v>
      </c>
      <c r="J8812" t="s">
        <v>141</v>
      </c>
      <c r="K8812" t="s">
        <v>14</v>
      </c>
      <c r="L8812" t="s">
        <v>20</v>
      </c>
      <c r="M8812" t="s">
        <v>17107</v>
      </c>
      <c r="N8812" t="s">
        <v>14</v>
      </c>
    </row>
    <row r="8813" x14ac:dyDescent="0.25">
      <c r="A8813" t="n">
        <v>24</v>
      </c>
      <c r="B8813" t="s">
        <v>14</v>
      </c>
      <c r="C8813" t="s">
        <v>22</v>
      </c>
      <c r="D8813" s="2" t="s">
        <f>=HYPERLINK("https://main.knesset.gov.il/APPS/legislation/main/bills/2167072", "הצעת חוק בית המשפט לענייני משפחה (תיקון - בני זוג מאותו מין), התשפ""ב-2022")</f>
        <v>17174</v>
      </c>
      <c r="E8813" t="s">
        <v>17174</v>
      </c>
      <c r="F8813" t="s">
        <v>17175</v>
      </c>
      <c r="G8813" t="s">
        <v>14</v>
      </c>
      <c r="H8813">
             </c>
      <c r="I8813" t="s">
        <v>14</v>
      </c>
      <c r="J8813" t="s">
        <v>141</v>
      </c>
      <c r="K8813" t="s">
        <v>14</v>
      </c>
      <c r="L8813" t="s">
        <v>20</v>
      </c>
      <c r="M8813" t="s">
        <v>17107</v>
      </c>
      <c r="N8813" t="s">
        <v>14</v>
      </c>
    </row>
    <row r="8814" x14ac:dyDescent="0.25">
      <c r="A8814" t="n">
        <v>24</v>
      </c>
      <c r="B8814" t="s">
        <v>14</v>
      </c>
      <c r="C8814" t="s">
        <v>22</v>
      </c>
      <c r="D8814" s="2" t="s">
        <f>=HYPERLINK("https://main.knesset.gov.il/APPS/legislation/main/bills/2167403", "הצעת חוק כבילת עצורים ואסירים שלא כדין - עוולה אזרחית (תיקוני חקיקה), התשפ""ב-2022")</f>
        <v>17176</v>
      </c>
      <c r="E8814" t="s">
        <v>17176</v>
      </c>
      <c r="F8814" t="s">
        <v>17177</v>
      </c>
      <c r="G8814" t="s">
        <v>14</v>
      </c>
      <c r="H8814">
             </c>
      <c r="I8814" t="s">
        <v>14</v>
      </c>
      <c r="J8814" t="s">
        <v>141</v>
      </c>
      <c r="K8814" t="s">
        <v>14</v>
      </c>
      <c r="L8814" t="s">
        <v>20</v>
      </c>
      <c r="M8814" t="s">
        <v>17107</v>
      </c>
      <c r="N8814" t="s">
        <v>14</v>
      </c>
    </row>
    <row r="8815" x14ac:dyDescent="0.25">
      <c r="A8815" t="n">
        <v>24</v>
      </c>
      <c r="B8815" t="s">
        <v>14</v>
      </c>
      <c r="C8815" t="s">
        <v>22</v>
      </c>
      <c r="D8815" s="2" t="s">
        <f>=HYPERLINK("https://main.knesset.gov.il/APPS/legislation/main/bills/2167471", "הצעת חוק זכויות חברתיות ושירותי רווחה לאנשים עם אוטיזם, התשפ""ב-2022")</f>
        <v>17178</v>
      </c>
      <c r="E8815" t="s">
        <v>17178</v>
      </c>
      <c r="F8815" t="s">
        <v>17179</v>
      </c>
      <c r="G8815" t="s">
        <v>14</v>
      </c>
      <c r="H8815">
             </c>
      <c r="I8815" t="s">
        <v>14</v>
      </c>
      <c r="J8815" t="s">
        <v>141</v>
      </c>
      <c r="K8815" t="s">
        <v>14</v>
      </c>
      <c r="L8815" t="s">
        <v>20</v>
      </c>
      <c r="M8815" t="s">
        <v>17107</v>
      </c>
      <c r="N8815" t="s">
        <v>14</v>
      </c>
    </row>
    <row r="8816" x14ac:dyDescent="0.25">
      <c r="A8816" t="n">
        <v>24</v>
      </c>
      <c r="B8816" t="s">
        <v>14</v>
      </c>
      <c r="C8816" t="s">
        <v>22</v>
      </c>
      <c r="D8816" s="2" t="s">
        <f>=HYPERLINK("https://main.knesset.gov.il/APPS/legislation/main/bills/2167479", "הצעת חוק לתיקון פקודת העיריות (פרישה מסיעה והגבלת הזכות לכהן כיושב ראש ועדה או כסגן), התשפ""ב-2022")</f>
        <v>17180</v>
      </c>
      <c r="E8816" t="s">
        <v>17180</v>
      </c>
      <c r="F8816" t="s">
        <v>17181</v>
      </c>
      <c r="G8816" t="s">
        <v>14</v>
      </c>
      <c r="H8816">
             </c>
      <c r="I8816" t="s">
        <v>14</v>
      </c>
      <c r="J8816" t="s">
        <v>141</v>
      </c>
      <c r="K8816" t="s">
        <v>14</v>
      </c>
      <c r="L8816" t="s">
        <v>20</v>
      </c>
      <c r="M8816" t="s">
        <v>17107</v>
      </c>
      <c r="N8816" t="s">
        <v>14</v>
      </c>
    </row>
    <row r="8817" x14ac:dyDescent="0.25">
      <c r="A8817" t="n">
        <v>24</v>
      </c>
      <c r="B8817" t="s">
        <v>14</v>
      </c>
      <c r="C8817" t="s">
        <v>22</v>
      </c>
      <c r="D8817" s="2" t="s">
        <f>=HYPERLINK("https://main.knesset.gov.il/APPS/legislation/main/bills/2167633", "הצעת חוק העונשין (תיקון - חובת דיווח של איש דת או טוען רבני), התשפ""ב-2022")</f>
        <v>17182</v>
      </c>
      <c r="E8817" t="s">
        <v>17182</v>
      </c>
      <c r="F8817" t="s">
        <v>17183</v>
      </c>
      <c r="G8817" t="s">
        <v>14</v>
      </c>
      <c r="H8817">
             </c>
      <c r="I8817" t="s">
        <v>14</v>
      </c>
      <c r="J8817" t="s">
        <v>141</v>
      </c>
      <c r="K8817" t="s">
        <v>14</v>
      </c>
      <c r="L8817" t="s">
        <v>20</v>
      </c>
      <c r="M8817" t="s">
        <v>17107</v>
      </c>
      <c r="N8817" t="s">
        <v>14</v>
      </c>
    </row>
    <row r="8818" x14ac:dyDescent="0.25">
      <c r="A8818" t="n">
        <v>24</v>
      </c>
      <c r="B8818" t="s">
        <v>14</v>
      </c>
      <c r="C8818" t="s">
        <v>22</v>
      </c>
      <c r="D8818" s="2" t="s">
        <f>=HYPERLINK("https://main.knesset.gov.il/APPS/legislation/main/bills/2167973", "הצעת חוק לתיקון פקודת מס הכנסה (נקודות זיכוי לאפוטרופוס), התשפ""ב-2022")</f>
        <v>16311</v>
      </c>
      <c r="E8818" t="s">
        <v>16311</v>
      </c>
      <c r="F8818" t="s">
        <v>17184</v>
      </c>
      <c r="G8818" t="s">
        <v>14</v>
      </c>
      <c r="H8818">
             </c>
      <c r="I8818" t="s">
        <v>14</v>
      </c>
      <c r="J8818" t="s">
        <v>141</v>
      </c>
      <c r="K8818" t="s">
        <v>14</v>
      </c>
      <c r="L8818" t="s">
        <v>20</v>
      </c>
      <c r="M8818" t="s">
        <v>17107</v>
      </c>
      <c r="N8818" t="s">
        <v>14</v>
      </c>
    </row>
    <row r="8819" x14ac:dyDescent="0.25">
      <c r="A8819" t="n">
        <v>24</v>
      </c>
      <c r="B8819" t="s">
        <v>14</v>
      </c>
      <c r="C8819" t="s">
        <v>22</v>
      </c>
      <c r="D8819" s="2" t="s">
        <f>=HYPERLINK("https://main.knesset.gov.il/APPS/legislation/main/bills/2168054", "הצעת חוק הקלות במס על רכישת מכשיר ניידות מסוג קלנועית (תיקוני חקיקה), התשפ""ב-2022")</f>
        <v>17185</v>
      </c>
      <c r="E8819" t="s">
        <v>17185</v>
      </c>
      <c r="F8819" t="s">
        <v>17186</v>
      </c>
      <c r="G8819" t="s">
        <v>14</v>
      </c>
      <c r="H8819">
             </c>
      <c r="I8819" t="s">
        <v>14</v>
      </c>
      <c r="J8819" t="s">
        <v>141</v>
      </c>
      <c r="K8819" t="s">
        <v>14</v>
      </c>
      <c r="L8819" t="s">
        <v>20</v>
      </c>
      <c r="M8819" t="s">
        <v>17107</v>
      </c>
      <c r="N8819" t="s">
        <v>14</v>
      </c>
    </row>
    <row r="8820" x14ac:dyDescent="0.25">
      <c r="A8820" t="n">
        <v>24</v>
      </c>
      <c r="B8820" t="s">
        <v>14</v>
      </c>
      <c r="C8820" t="s">
        <v>22</v>
      </c>
      <c r="D8820" s="2" t="s">
        <f>=HYPERLINK("https://main.knesset.gov.il/APPS/legislation/main/bills/2168062", "הצעת חוק המועצה להשכלה גבוהה (תיקון - איסור הגבלת גיל בהרשמה למוסד להשכלה גבוהה), התשפ""ב-2022")</f>
        <v>17011</v>
      </c>
      <c r="E8820" t="s">
        <v>17011</v>
      </c>
      <c r="F8820" t="s">
        <v>17187</v>
      </c>
      <c r="G8820" t="s">
        <v>14</v>
      </c>
      <c r="H8820">
             </c>
      <c r="I8820" t="s">
        <v>14</v>
      </c>
      <c r="J8820" t="s">
        <v>141</v>
      </c>
      <c r="K8820" t="s">
        <v>14</v>
      </c>
      <c r="L8820" t="s">
        <v>20</v>
      </c>
      <c r="M8820" t="s">
        <v>17107</v>
      </c>
      <c r="N8820" t="s">
        <v>14</v>
      </c>
    </row>
    <row r="8821" x14ac:dyDescent="0.25">
      <c r="A8821" t="n">
        <v>24</v>
      </c>
      <c r="B8821" t="s">
        <v>14</v>
      </c>
      <c r="C8821" t="s">
        <v>22</v>
      </c>
      <c r="D8821" s="2" t="s">
        <f>=HYPERLINK("https://main.knesset.gov.il/APPS/legislation/main/bills/2167946", "הצעת חוק התכנון והבנייה (הוראות מיוחדות לעניין יישובי מיעוטים) (הוראת שעה), התשפ""ב-2022")</f>
        <v>17188</v>
      </c>
      <c r="E8821" t="s">
        <v>17188</v>
      </c>
      <c r="F8821" t="s">
        <v>17189</v>
      </c>
      <c r="G8821" t="s">
        <v>14</v>
      </c>
      <c r="H8821">
             </c>
      <c r="I8821" t="s">
        <v>14</v>
      </c>
      <c r="J8821" t="s">
        <v>141</v>
      </c>
      <c r="K8821" t="s">
        <v>14</v>
      </c>
      <c r="L8821" t="s">
        <v>20</v>
      </c>
      <c r="M8821" t="s">
        <v>17107</v>
      </c>
      <c r="N8821" t="s">
        <v>14</v>
      </c>
    </row>
    <row r="8822" x14ac:dyDescent="0.25">
      <c r="A8822" t="n">
        <v>24</v>
      </c>
      <c r="B8822" t="s">
        <v>14</v>
      </c>
      <c r="C8822" t="s">
        <v>22</v>
      </c>
      <c r="D8822" s="2" t="s">
        <f>=HYPERLINK("https://main.knesset.gov.il/APPS/legislation/main/bills/2168063", "הצעת חוק המרכז למורשת יהדות תוניסיה וג'רבה, התשפ""ב-2022")</f>
        <v>17190</v>
      </c>
      <c r="E8822" t="s">
        <v>17190</v>
      </c>
      <c r="F8822" t="s">
        <v>17191</v>
      </c>
      <c r="G8822" t="s">
        <v>14</v>
      </c>
      <c r="H8822">
             </c>
      <c r="I8822" t="s">
        <v>14</v>
      </c>
      <c r="J8822" t="s">
        <v>141</v>
      </c>
      <c r="K8822" t="s">
        <v>14</v>
      </c>
      <c r="L8822" t="s">
        <v>20</v>
      </c>
      <c r="M8822" t="s">
        <v>17107</v>
      </c>
      <c r="N8822" t="s">
        <v>14</v>
      </c>
    </row>
    <row r="8823" x14ac:dyDescent="0.25">
      <c r="A8823" t="n">
        <v>24</v>
      </c>
      <c r="B8823" t="s">
        <v>14</v>
      </c>
      <c r="C8823" t="s">
        <v>22</v>
      </c>
      <c r="D8823" s="2" t="s">
        <f>=HYPERLINK("https://main.knesset.gov.il/APPS/legislation/main/bills/2166401", "הצעת חוק התכנון והבנייה (תיקון - פטור מהיטל השבחה בגין זכאות לסיוע ממשלתי בדיור), התשפ""ב-2022")</f>
        <v>17192</v>
      </c>
      <c r="E8823" t="s">
        <v>17192</v>
      </c>
      <c r="F8823" t="s">
        <v>17193</v>
      </c>
      <c r="G8823" t="s">
        <v>14</v>
      </c>
      <c r="H8823">
             </c>
      <c r="I8823" t="s">
        <v>14</v>
      </c>
      <c r="J8823" t="s">
        <v>141</v>
      </c>
      <c r="K8823" t="s">
        <v>14</v>
      </c>
      <c r="L8823" t="s">
        <v>20</v>
      </c>
      <c r="M8823" t="s">
        <v>17107</v>
      </c>
      <c r="N8823" t="s">
        <v>14</v>
      </c>
    </row>
    <row r="8824" x14ac:dyDescent="0.25">
      <c r="A8824" t="n">
        <v>24</v>
      </c>
      <c r="B8824" t="s">
        <v>14</v>
      </c>
      <c r="C8824" t="s">
        <v>22</v>
      </c>
      <c r="D8824" s="2" t="s">
        <f>=HYPERLINK("https://main.knesset.gov.il/APPS/legislation/main/bills/2166329", "הצעת חוק הביטוח הלאומי (תיקון - קצבת תלויים לאלמן), התשפ""ב-2022")</f>
        <v>17194</v>
      </c>
      <c r="E8824" t="s">
        <v>17194</v>
      </c>
      <c r="F8824" t="s">
        <v>17195</v>
      </c>
      <c r="G8824" t="s">
        <v>14</v>
      </c>
      <c r="H8824">
             </c>
      <c r="I8824" t="s">
        <v>14</v>
      </c>
      <c r="J8824" t="s">
        <v>141</v>
      </c>
      <c r="K8824" t="s">
        <v>14</v>
      </c>
      <c r="L8824" t="s">
        <v>20</v>
      </c>
      <c r="M8824" t="s">
        <v>17107</v>
      </c>
      <c r="N8824" t="s">
        <v>14</v>
      </c>
    </row>
    <row r="8825" x14ac:dyDescent="0.25">
      <c r="A8825" t="n">
        <v>24</v>
      </c>
      <c r="B8825" t="s">
        <v>14</v>
      </c>
      <c r="C8825" t="s">
        <v>22</v>
      </c>
      <c r="D8825" s="2" t="s">
        <f>=HYPERLINK("https://main.knesset.gov.il/APPS/legislation/main/bills/2165244", "הצעת חוק-יסוד: השפיטה (תיקון - הגבלת זכות העמידה)")</f>
        <v>4330</v>
      </c>
      <c r="E8825" t="s">
        <v>4330</v>
      </c>
      <c r="F8825" t="s">
        <v>17196</v>
      </c>
      <c r="G8825" t="s">
        <v>14</v>
      </c>
      <c r="H8825">
             </c>
      <c r="I8825" t="s">
        <v>14</v>
      </c>
      <c r="J8825" t="s">
        <v>141</v>
      </c>
      <c r="K8825" t="s">
        <v>14</v>
      </c>
      <c r="L8825" t="s">
        <v>20</v>
      </c>
      <c r="M8825" t="s">
        <v>17107</v>
      </c>
      <c r="N8825" t="s">
        <v>14</v>
      </c>
    </row>
    <row r="8826" x14ac:dyDescent="0.25">
      <c r="A8826" t="n">
        <v>24</v>
      </c>
      <c r="B8826" t="s">
        <v>14</v>
      </c>
      <c r="C8826" t="s">
        <v>22</v>
      </c>
      <c r="D8826" s="2" t="s">
        <f>=HYPERLINK("https://main.knesset.gov.il/APPS/legislation/main/bills/2163965", "הצעת חוק שכר מינימום (תיקון - שכר אחיד לעובד צעיר), התשפ""ב-2022")</f>
        <v>17197</v>
      </c>
      <c r="E8826" t="s">
        <v>17197</v>
      </c>
      <c r="F8826" t="s">
        <v>17198</v>
      </c>
      <c r="G8826" t="s">
        <v>14</v>
      </c>
      <c r="H8826">
             </c>
      <c r="I8826" t="s">
        <v>14</v>
      </c>
      <c r="J8826" t="s">
        <v>141</v>
      </c>
      <c r="K8826" t="s">
        <v>14</v>
      </c>
      <c r="L8826" t="s">
        <v>20</v>
      </c>
      <c r="M8826" t="s">
        <v>17107</v>
      </c>
      <c r="N8826" t="s">
        <v>14</v>
      </c>
    </row>
    <row r="8827" x14ac:dyDescent="0.25">
      <c r="A8827" t="n">
        <v>24</v>
      </c>
      <c r="B8827" t="s">
        <v>14</v>
      </c>
      <c r="C8827" t="s">
        <v>22</v>
      </c>
      <c r="D8827" s="2" t="s">
        <f>=HYPERLINK("https://main.knesset.gov.il/APPS/legislation/main/bills/2168044", "הצעת חוק טיפול בחולי נפש (תיקון - בחירת מקום אשפוז), התשפ""ב-2022 ")</f>
        <v>17199</v>
      </c>
      <c r="E8827" t="s">
        <v>17199</v>
      </c>
      <c r="F8827" t="s">
        <v>17200</v>
      </c>
      <c r="G8827" t="s">
        <v>14</v>
      </c>
      <c r="H8827">
             </c>
      <c r="I8827" t="s">
        <v>14</v>
      </c>
      <c r="J8827" t="s">
        <v>141</v>
      </c>
      <c r="K8827" t="s">
        <v>14</v>
      </c>
      <c r="L8827" t="s">
        <v>20</v>
      </c>
      <c r="M8827" t="s">
        <v>17107</v>
      </c>
      <c r="N8827" t="s">
        <v>14</v>
      </c>
    </row>
    <row r="8828" x14ac:dyDescent="0.25">
      <c r="A8828" t="n">
        <v>24</v>
      </c>
      <c r="B8828" t="s">
        <v>14</v>
      </c>
      <c r="C8828" t="s">
        <v>15</v>
      </c>
      <c r="D8828" s="2" t="s">
        <f>=HYPERLINK("https://main.knesset.gov.il/APPS/legislation/main/bills/2163422", "הצעת חוק שירות ביטחון (תיקון מס' 25) (שילוב תלמידי ישיבות), התשפ""ב-2021 ")</f>
        <v>17201</v>
      </c>
      <c r="E8828" t="s">
        <v>17201</v>
      </c>
      <c r="F8828" t="s">
        <v>14</v>
      </c>
      <c r="G8828" t="s">
        <v>17202</v>
      </c>
      <c r="H8828">
             </c>
      <c r="I8828" t="s">
        <v>14</v>
      </c>
      <c r="J8828" t="s">
        <v>5516</v>
      </c>
      <c r="K8828" t="s">
        <v>14</v>
      </c>
      <c r="L8828" t="s">
        <v>20</v>
      </c>
      <c r="M8828" t="s">
        <v>17107</v>
      </c>
      <c r="N8828" t="s">
        <v>14</v>
      </c>
    </row>
    <row r="8829" x14ac:dyDescent="0.25">
      <c r="A8829" t="n">
        <v>24</v>
      </c>
      <c r="B8829" t="s">
        <v>14</v>
      </c>
      <c r="C8829" t="s">
        <v>22</v>
      </c>
      <c r="D8829" s="2" t="s">
        <f>=HYPERLINK("https://main.knesset.gov.il/APPS/legislation/main/bills/2164635", "הצעת חוק לתיקון פקודת העדה הדתית (המרה) (גיור על ידי רב עיר), התשפ""ב-2021")</f>
        <v>17203</v>
      </c>
      <c r="E8829" t="s">
        <v>17203</v>
      </c>
      <c r="F8829" t="s">
        <v>17204</v>
      </c>
      <c r="G8829" t="s">
        <v>14</v>
      </c>
      <c r="H8829">
             </c>
      <c r="I8829" t="s">
        <v>14</v>
      </c>
      <c r="J8829" t="s">
        <v>343</v>
      </c>
      <c r="K8829" t="s">
        <v>14</v>
      </c>
      <c r="L8829" t="s">
        <v>20</v>
      </c>
      <c r="M8829" t="s">
        <v>17205</v>
      </c>
      <c r="N8829" t="s">
        <v>14</v>
      </c>
    </row>
    <row r="8830" x14ac:dyDescent="0.25">
      <c r="A8830" t="n">
        <v>24</v>
      </c>
      <c r="B8830" t="s">
        <v>14</v>
      </c>
      <c r="C8830" t="s">
        <v>22</v>
      </c>
      <c r="D8830" s="2" t="s">
        <f>=HYPERLINK("https://main.knesset.gov.il/APPS/legislation/main/bills/2157310", "הצעת חוק הביטוח הלאומי (תיקון - הצמדת קצבת אזרח ותיק לשכר הממוצע במשק), התשפ""ב-2021")</f>
        <v>17206</v>
      </c>
      <c r="E8830" t="s">
        <v>17206</v>
      </c>
      <c r="F8830" t="s">
        <v>17207</v>
      </c>
      <c r="G8830" t="s">
        <v>14</v>
      </c>
      <c r="H8830">
             </c>
      <c r="I8830" t="s">
        <v>14</v>
      </c>
      <c r="J8830" t="s">
        <v>60</v>
      </c>
      <c r="K8830" t="s">
        <v>14</v>
      </c>
      <c r="L8830" t="s">
        <v>20</v>
      </c>
      <c r="M8830" t="s">
        <v>17205</v>
      </c>
      <c r="N8830" t="s">
        <v>14</v>
      </c>
    </row>
    <row r="8831" x14ac:dyDescent="0.25">
      <c r="A8831" t="n">
        <v>24</v>
      </c>
      <c r="B8831" t="s">
        <v>14</v>
      </c>
      <c r="C8831" t="s">
        <v>22</v>
      </c>
      <c r="D8831" s="2" t="s">
        <f>=HYPERLINK("https://main.knesset.gov.il/APPS/legislation/main/bills/2163489", "הצעת חוק רשות מקרקעי ישראל (תיקון - הקצאת קרקעות בנגב ובגליל לחיילים משוחררים), התשפ""ב-2021")</f>
        <v>17208</v>
      </c>
      <c r="E8831" t="s">
        <v>17208</v>
      </c>
      <c r="F8831" t="s">
        <v>17209</v>
      </c>
      <c r="G8831" t="s">
        <v>14</v>
      </c>
      <c r="H8831">
             </c>
      <c r="I8831" t="s">
        <v>14</v>
      </c>
      <c r="J8831" t="s">
        <v>55</v>
      </c>
      <c r="K8831" t="s">
        <v>14</v>
      </c>
      <c r="L8831" t="s">
        <v>20</v>
      </c>
      <c r="M8831" t="s">
        <v>17205</v>
      </c>
      <c r="N8831" t="s">
        <v>14</v>
      </c>
    </row>
    <row r="8832" x14ac:dyDescent="0.25">
      <c r="A8832" t="n">
        <v>24</v>
      </c>
      <c r="B8832" t="s">
        <v>14</v>
      </c>
      <c r="C8832" t="s">
        <v>22</v>
      </c>
      <c r="D8832" s="2" t="s">
        <f>=HYPERLINK("https://main.knesset.gov.il/APPS/legislation/main/bills/2162000", "הצעת חוק עוסק זעיר, התשפ""ב-2021 ")</f>
        <v>17210</v>
      </c>
      <c r="E8832" t="s">
        <v>17210</v>
      </c>
      <c r="F8832" t="s">
        <v>17211</v>
      </c>
      <c r="G8832" t="s">
        <v>14</v>
      </c>
      <c r="H8832">
             </c>
      <c r="I8832" t="s">
        <v>14</v>
      </c>
      <c r="J8832" t="s">
        <v>60</v>
      </c>
      <c r="K8832" t="s">
        <v>14</v>
      </c>
      <c r="L8832" t="s">
        <v>20</v>
      </c>
      <c r="M8832" t="s">
        <v>17205</v>
      </c>
      <c r="N8832" t="s">
        <v>14</v>
      </c>
    </row>
    <row r="8833" x14ac:dyDescent="0.25">
      <c r="A8833" t="n">
        <v>24</v>
      </c>
      <c r="B8833" t="s">
        <v>14</v>
      </c>
      <c r="C8833" t="s">
        <v>22</v>
      </c>
      <c r="D8833" s="2" t="s">
        <f>=HYPERLINK("https://main.knesset.gov.il/APPS/legislation/main/bills/2160157", "הצעת חוק מס ערך מוסף (תיקון - פטור בעת קניית דירה ראשונה לזוגות צעירים בכל הארץ), התשפ""א-2021")</f>
        <v>17212</v>
      </c>
      <c r="E8833" t="s">
        <v>17212</v>
      </c>
      <c r="F8833" t="s">
        <v>17213</v>
      </c>
      <c r="G8833" t="s">
        <v>14</v>
      </c>
      <c r="H8833">
             </c>
      <c r="I8833" t="s">
        <v>14</v>
      </c>
      <c r="J8833" t="s">
        <v>60</v>
      </c>
      <c r="K8833" t="s">
        <v>14</v>
      </c>
      <c r="L8833" t="s">
        <v>20</v>
      </c>
      <c r="M8833" t="s">
        <v>17205</v>
      </c>
      <c r="N8833" t="s">
        <v>14</v>
      </c>
    </row>
    <row r="8834" x14ac:dyDescent="0.25">
      <c r="A8834" t="n">
        <v>24</v>
      </c>
      <c r="B8834" t="s">
        <v>14</v>
      </c>
      <c r="C8834" t="s">
        <v>22</v>
      </c>
      <c r="D8834" s="2" t="s">
        <f>=HYPERLINK("https://main.knesset.gov.il/APPS/legislation/main/bills/2158896", "הצעת חוק הביטוח הלאומי (תיקון - הצמדת קצבת אזרח ותיק לשכר הממוצע במשק), התשפ""א-2021")</f>
        <v>17214</v>
      </c>
      <c r="E8834" t="s">
        <v>17214</v>
      </c>
      <c r="F8834" t="s">
        <v>17215</v>
      </c>
      <c r="G8834" t="s">
        <v>14</v>
      </c>
      <c r="H8834">
             </c>
      <c r="I8834" t="s">
        <v>14</v>
      </c>
      <c r="J8834" t="s">
        <v>60</v>
      </c>
      <c r="K8834" t="s">
        <v>14</v>
      </c>
      <c r="L8834" t="s">
        <v>20</v>
      </c>
      <c r="M8834" t="s">
        <v>17205</v>
      </c>
      <c r="N8834" t="s">
        <v>14</v>
      </c>
    </row>
    <row r="8835" x14ac:dyDescent="0.25">
      <c r="A8835" t="n">
        <v>24</v>
      </c>
      <c r="B8835" t="s">
        <v>14</v>
      </c>
      <c r="C8835" t="s">
        <v>22</v>
      </c>
      <c r="D8835" s="2" t="s">
        <f>=HYPERLINK("https://main.knesset.gov.il/APPS/legislation/main/bills/2159156", "הצעת חוק מס הכנסה (פטור ממס על הכנסה מהשכרת דירת מגורים) (תיקון - אי תחולת הפטור ממס על מי שהשכיר דירת מגורים לשוהים שלא כדין), התשפ""א-2021")</f>
        <v>17216</v>
      </c>
      <c r="E8835" t="s">
        <v>17216</v>
      </c>
      <c r="F8835" t="s">
        <v>17217</v>
      </c>
      <c r="G8835" t="s">
        <v>14</v>
      </c>
      <c r="H8835">
             </c>
      <c r="I8835" t="s">
        <v>14</v>
      </c>
      <c r="J8835" t="s">
        <v>55</v>
      </c>
      <c r="K8835" t="s">
        <v>14</v>
      </c>
      <c r="L8835" t="s">
        <v>20</v>
      </c>
      <c r="M8835" t="s">
        <v>17205</v>
      </c>
      <c r="N8835" t="s">
        <v>14</v>
      </c>
    </row>
    <row r="8836" x14ac:dyDescent="0.25">
      <c r="A8836" t="n">
        <v>24</v>
      </c>
      <c r="B8836" t="s">
        <v>14</v>
      </c>
      <c r="C8836" t="s">
        <v>22</v>
      </c>
      <c r="D8836" s="2" t="s">
        <f>=HYPERLINK("https://main.knesset.gov.il/APPS/legislation/main/bills/2159361", "הצעת חוק עוסק זעיר, התשפ""א-2021")</f>
        <v>17218</v>
      </c>
      <c r="E8836" t="s">
        <v>17218</v>
      </c>
      <c r="F8836" t="s">
        <v>17219</v>
      </c>
      <c r="G8836" t="s">
        <v>14</v>
      </c>
      <c r="H8836">
             </c>
      <c r="I8836" t="s">
        <v>14</v>
      </c>
      <c r="J8836" t="s">
        <v>60</v>
      </c>
      <c r="K8836" t="s">
        <v>14</v>
      </c>
      <c r="L8836" t="s">
        <v>20</v>
      </c>
      <c r="M8836" t="s">
        <v>17205</v>
      </c>
      <c r="N8836" t="s">
        <v>14</v>
      </c>
    </row>
    <row r="8837" x14ac:dyDescent="0.25">
      <c r="A8837" t="n">
        <v>24</v>
      </c>
      <c r="B8837" t="s">
        <v>14</v>
      </c>
      <c r="C8837" t="s">
        <v>22</v>
      </c>
      <c r="D8837" s="2" t="s">
        <f>=HYPERLINK("https://main.knesset.gov.il/APPS/legislation/main/bills/2159164", "הצעת חוק הביטוח הלאומי (תיקון - העלאת קצבת אזרח ותיק), התשפ""א-2021")</f>
        <v>17220</v>
      </c>
      <c r="E8837" t="s">
        <v>17220</v>
      </c>
      <c r="F8837" t="s">
        <v>17221</v>
      </c>
      <c r="G8837" t="s">
        <v>14</v>
      </c>
      <c r="H8837">
             </c>
      <c r="I8837" t="s">
        <v>14</v>
      </c>
      <c r="J8837" t="s">
        <v>60</v>
      </c>
      <c r="K8837" t="s">
        <v>14</v>
      </c>
      <c r="L8837" t="s">
        <v>20</v>
      </c>
      <c r="M8837" t="s">
        <v>17205</v>
      </c>
      <c r="N8837" t="s">
        <v>14</v>
      </c>
    </row>
    <row r="8838" x14ac:dyDescent="0.25">
      <c r="A8838" t="n">
        <v>24</v>
      </c>
      <c r="B8838" t="s">
        <v>14</v>
      </c>
      <c r="C8838" t="s">
        <v>22</v>
      </c>
      <c r="D8838" s="2" t="s">
        <f>=HYPERLINK("https://main.knesset.gov.il/APPS/legislation/main/bills/2157929", "הצעת חוק תובענות ייצוגיות (תיקון - תובענה ייצוגית בשל פגיעה בפרטיות), התשפ""א-2021")</f>
        <v>17222</v>
      </c>
      <c r="E8838" t="s">
        <v>17222</v>
      </c>
      <c r="F8838" t="s">
        <v>17223</v>
      </c>
      <c r="G8838" t="s">
        <v>14</v>
      </c>
      <c r="H8838">
             </c>
      <c r="I8838" t="s">
        <v>14</v>
      </c>
      <c r="J8838" t="s">
        <v>31</v>
      </c>
      <c r="K8838" t="s">
        <v>27</v>
      </c>
      <c r="L8838" t="s">
        <v>20</v>
      </c>
      <c r="M8838" t="s">
        <v>17205</v>
      </c>
      <c r="N8838" t="s">
        <v>14</v>
      </c>
    </row>
    <row r="8839" x14ac:dyDescent="0.25">
      <c r="A8839" t="n">
        <v>24</v>
      </c>
      <c r="B8839" t="s">
        <v>14</v>
      </c>
      <c r="C8839" t="s">
        <v>22</v>
      </c>
      <c r="D8839" s="2" t="s">
        <f>=HYPERLINK("https://main.knesset.gov.il/APPS/legislation/main/bills/2156817", "הצעת חוק לתיקון פקודת המשטרה (חובת שימוש במצלמות גוף בעת הפגנה), התשפ""א-2021")</f>
        <v>17224</v>
      </c>
      <c r="E8839" t="s">
        <v>17224</v>
      </c>
      <c r="F8839" t="s">
        <v>17225</v>
      </c>
      <c r="G8839" t="s">
        <v>14</v>
      </c>
      <c r="H8839">
             </c>
      <c r="I8839" t="s">
        <v>14</v>
      </c>
      <c r="J8839" t="s">
        <v>60</v>
      </c>
      <c r="K8839" t="s">
        <v>14</v>
      </c>
      <c r="L8839" t="s">
        <v>20</v>
      </c>
      <c r="M8839" t="s">
        <v>17205</v>
      </c>
      <c r="N8839" t="s">
        <v>14</v>
      </c>
    </row>
    <row r="8840" x14ac:dyDescent="0.25">
      <c r="A8840" t="n">
        <v>24</v>
      </c>
      <c r="B8840" t="s">
        <v>14</v>
      </c>
      <c r="C8840" t="s">
        <v>15</v>
      </c>
      <c r="D8840" s="2" t="s">
        <f>=HYPERLINK("https://main.knesset.gov.il/APPS/legislation/main/bills/2146170", "הצעת חוק הכניסה לישראל (תיקון מס' 33), התשפ""ב-2022")</f>
        <v>17226</v>
      </c>
      <c r="E8840" t="s">
        <v>17226</v>
      </c>
      <c r="F8840" t="s">
        <v>14</v>
      </c>
      <c r="G8840" t="s">
        <v>17227</v>
      </c>
      <c r="H8840">
             </c>
      <c r="I8840" t="s">
        <v>379</v>
      </c>
      <c r="J8840" t="s">
        <v>73</v>
      </c>
      <c r="K8840" t="s">
        <v>46</v>
      </c>
      <c r="L8840" t="s">
        <v>20</v>
      </c>
      <c r="M8840" t="s">
        <v>17205</v>
      </c>
      <c r="N8840" t="s">
        <v>14</v>
      </c>
    </row>
    <row r="8841" x14ac:dyDescent="0.25">
      <c r="A8841" t="n">
        <v>24</v>
      </c>
      <c r="B8841" t="s">
        <v>14</v>
      </c>
      <c r="C8841" t="s">
        <v>15</v>
      </c>
      <c r="D8841" s="2" t="s">
        <f>=HYPERLINK("https://main.knesset.gov.il/APPS/legislation/main/bills/2166064", "חוק הנכים (תגמולים ושיקום) (תיקון מס' 30 והוראת שעה), התשפ""ב-2022 ")</f>
        <v>17228</v>
      </c>
      <c r="E8841" t="s">
        <v>17228</v>
      </c>
      <c r="F8841" t="s">
        <v>14</v>
      </c>
      <c r="G8841" t="s">
        <v>17229</v>
      </c>
      <c r="H8841" t="n">
        <v>2952</v>
      </c>
      <c r="I8841" t="s">
        <v>14</v>
      </c>
      <c r="J8841" t="s">
        <v>91</v>
      </c>
      <c r="K8841" t="s">
        <v>127</v>
      </c>
      <c r="L8841" t="s">
        <v>20</v>
      </c>
      <c r="M8841" t="s">
        <v>17230</v>
      </c>
      <c r="N8841" t="s">
        <v>14</v>
      </c>
    </row>
    <row r="8842" x14ac:dyDescent="0.25">
      <c r="A8842" t="n">
        <v>24</v>
      </c>
      <c r="B8842" t="s">
        <v>14</v>
      </c>
      <c r="C8842" t="s">
        <v>22</v>
      </c>
      <c r="D8842" s="2" t="s">
        <f>=HYPERLINK("https://main.knesset.gov.il/APPS/legislation/main/bills/2166987", "הצעת חוק דמי מחלה (היעדרות בשל מחלת ילד) (תיקון - היעדרות בשל חיסון ילד לנגיף הקורונה) (הוראת שעה), התשפ""ב-2021")</f>
        <v>17231</v>
      </c>
      <c r="E8842" t="s">
        <v>17231</v>
      </c>
      <c r="F8842" t="s">
        <v>17232</v>
      </c>
      <c r="G8842" t="s">
        <v>14</v>
      </c>
      <c r="H8842">
             </c>
      <c r="I8842" t="s">
        <v>14</v>
      </c>
      <c r="J8842" t="s">
        <v>31</v>
      </c>
      <c r="K8842" t="s">
        <v>127</v>
      </c>
      <c r="L8842" t="s">
        <v>20</v>
      </c>
      <c r="M8842" t="s">
        <v>17230</v>
      </c>
      <c r="N8842" t="s">
        <v>14</v>
      </c>
    </row>
    <row r="8843" x14ac:dyDescent="0.25">
      <c r="A8843" t="n">
        <v>24</v>
      </c>
      <c r="B8843" t="s">
        <v>14</v>
      </c>
      <c r="C8843" t="s">
        <v>22</v>
      </c>
      <c r="D8843" s="2" t="s">
        <f>=HYPERLINK("https://main.knesset.gov.il/APPS/legislation/main/bills/2162068", "הצעת חוק ההוצאה לפועל (תיקון - פתיחת תביעה על סכום קצוב), התשפ""ב-2021")</f>
        <v>17233</v>
      </c>
      <c r="E8843" t="s">
        <v>17233</v>
      </c>
      <c r="F8843" t="s">
        <v>17234</v>
      </c>
      <c r="G8843" t="s">
        <v>14</v>
      </c>
      <c r="H8843">
             </c>
      <c r="I8843" t="s">
        <v>14</v>
      </c>
      <c r="J8843" t="s">
        <v>31</v>
      </c>
      <c r="K8843" t="s">
        <v>27</v>
      </c>
      <c r="L8843" t="s">
        <v>20</v>
      </c>
      <c r="M8843" t="s">
        <v>17230</v>
      </c>
      <c r="N8843" t="s">
        <v>14</v>
      </c>
    </row>
    <row r="8844" x14ac:dyDescent="0.25">
      <c r="A8844" t="n">
        <v>24</v>
      </c>
      <c r="B8844" t="s">
        <v>14</v>
      </c>
      <c r="C8844" t="s">
        <v>15</v>
      </c>
      <c r="D8844" s="2" t="s">
        <f>=HYPERLINK("https://main.knesset.gov.il/APPS/legislation/main/bills/2162451", "חוק בתי המשפט (תיקון מס' 100), התשפ""ב-2022")</f>
        <v>17235</v>
      </c>
      <c r="E8844" t="s">
        <v>17235</v>
      </c>
      <c r="F8844" t="s">
        <v>14</v>
      </c>
      <c r="G8844" t="s">
        <v>17236</v>
      </c>
      <c r="H8844" t="n">
        <v>2953</v>
      </c>
      <c r="I8844" t="s">
        <v>14</v>
      </c>
      <c r="J8844" t="s">
        <v>91</v>
      </c>
      <c r="K8844" t="s">
        <v>27</v>
      </c>
      <c r="L8844" t="s">
        <v>20</v>
      </c>
      <c r="M8844" t="s">
        <v>17230</v>
      </c>
      <c r="N8844" t="s">
        <v>17237</v>
      </c>
    </row>
    <row r="8845" x14ac:dyDescent="0.25">
      <c r="A8845" t="n">
        <v>24</v>
      </c>
      <c r="B8845" t="s">
        <v>14</v>
      </c>
      <c r="C8845" t="s">
        <v>22</v>
      </c>
      <c r="D8845" s="2" t="s">
        <f>=HYPERLINK("https://main.knesset.gov.il/APPS/legislation/main/bills/2165378", "הצעת חוק תמיכה במימון פעילות ארגון נכי צה""ל ובתי הלוחם ובארגון נפגעי פעולות האיבה, התשפ""ב-2022")</f>
        <v>16135</v>
      </c>
      <c r="E8845" t="s">
        <v>16135</v>
      </c>
      <c r="F8845" t="s">
        <v>17238</v>
      </c>
      <c r="G8845" t="s">
        <v>14</v>
      </c>
      <c r="H8845">
             </c>
      <c r="I8845" t="s">
        <v>14</v>
      </c>
      <c r="J8845" t="s">
        <v>141</v>
      </c>
      <c r="K8845" t="s">
        <v>14</v>
      </c>
      <c r="L8845" t="s">
        <v>20</v>
      </c>
      <c r="M8845" t="s">
        <v>17230</v>
      </c>
      <c r="N8845" t="s">
        <v>14</v>
      </c>
    </row>
    <row r="8846" x14ac:dyDescent="0.25">
      <c r="A8846" t="n">
        <v>24</v>
      </c>
      <c r="B8846" t="s">
        <v>14</v>
      </c>
      <c r="C8846" t="s">
        <v>22</v>
      </c>
      <c r="D8846" s="2" t="s">
        <f>=HYPERLINK("https://main.knesset.gov.il/APPS/legislation/main/bills/2167178", "הצעת חוק מסי מכס ובלו (שינוי התעריף) (תיקון - שינוי התעריף לתוצרת חקלאית), התשפ""ב-2022")</f>
        <v>17239</v>
      </c>
      <c r="E8846" t="s">
        <v>17239</v>
      </c>
      <c r="F8846" t="s">
        <v>17240</v>
      </c>
      <c r="G8846" t="s">
        <v>14</v>
      </c>
      <c r="H8846">
             </c>
      <c r="I8846" t="s">
        <v>14</v>
      </c>
      <c r="J8846" t="s">
        <v>141</v>
      </c>
      <c r="K8846" t="s">
        <v>14</v>
      </c>
      <c r="L8846" t="s">
        <v>20</v>
      </c>
      <c r="M8846" t="s">
        <v>17230</v>
      </c>
      <c r="N8846" t="s">
        <v>14</v>
      </c>
    </row>
    <row r="8847" x14ac:dyDescent="0.25">
      <c r="A8847" t="n">
        <v>24</v>
      </c>
      <c r="B8847" t="s">
        <v>14</v>
      </c>
      <c r="C8847" t="s">
        <v>22</v>
      </c>
      <c r="D8847" s="2" t="s">
        <f>=HYPERLINK("https://main.knesset.gov.il/APPS/legislation/main/bills/2164952", "הצעת חוק מתן שירותי תרגום לשפות זרות במוסדות ציבוריים, התשפ""ב-2022")</f>
        <v>17241</v>
      </c>
      <c r="E8847" t="s">
        <v>17241</v>
      </c>
      <c r="F8847" t="s">
        <v>17242</v>
      </c>
      <c r="G8847" t="s">
        <v>14</v>
      </c>
      <c r="H8847">
             </c>
      <c r="I8847" t="s">
        <v>14</v>
      </c>
      <c r="J8847" t="s">
        <v>141</v>
      </c>
      <c r="K8847" t="s">
        <v>14</v>
      </c>
      <c r="L8847" t="s">
        <v>20</v>
      </c>
      <c r="M8847" t="s">
        <v>17230</v>
      </c>
      <c r="N8847" t="s">
        <v>14</v>
      </c>
    </row>
    <row r="8848" x14ac:dyDescent="0.25">
      <c r="A8848" t="n">
        <v>24</v>
      </c>
      <c r="B8848" t="s">
        <v>14</v>
      </c>
      <c r="C8848" t="s">
        <v>22</v>
      </c>
      <c r="D8848" s="2" t="s">
        <f>=HYPERLINK("https://main.knesset.gov.il/APPS/legislation/main/bills/2164936", "הצעת חוק התחרות הכלכלית (תיקון - הכרזה על בעל מונופולין), התשפ""ב-2022")</f>
        <v>17243</v>
      </c>
      <c r="E8848" t="s">
        <v>17243</v>
      </c>
      <c r="F8848" t="s">
        <v>17244</v>
      </c>
      <c r="G8848" t="s">
        <v>14</v>
      </c>
      <c r="H8848">
             </c>
      <c r="I8848" t="s">
        <v>14</v>
      </c>
      <c r="J8848" t="s">
        <v>141</v>
      </c>
      <c r="K8848" t="s">
        <v>14</v>
      </c>
      <c r="L8848" t="s">
        <v>20</v>
      </c>
      <c r="M8848" t="s">
        <v>17230</v>
      </c>
      <c r="N8848" t="s">
        <v>14</v>
      </c>
    </row>
    <row r="8849" x14ac:dyDescent="0.25">
      <c r="A8849" t="n">
        <v>24</v>
      </c>
      <c r="B8849" t="s">
        <v>14</v>
      </c>
      <c r="C8849" t="s">
        <v>22</v>
      </c>
      <c r="D8849" s="2" t="s">
        <f>=HYPERLINK("https://main.knesset.gov.il/APPS/legislation/main/bills/2165618", "הצעת חוק שירותי הדת היהודיים (תיקון - דין משמעתי לרבני ערים), התשפ""ב-2022")</f>
        <v>17245</v>
      </c>
      <c r="E8849" t="s">
        <v>17245</v>
      </c>
      <c r="F8849" t="s">
        <v>17246</v>
      </c>
      <c r="G8849" t="s">
        <v>14</v>
      </c>
      <c r="H8849">
             </c>
      <c r="I8849" t="s">
        <v>14</v>
      </c>
      <c r="J8849" t="s">
        <v>141</v>
      </c>
      <c r="K8849" t="s">
        <v>14</v>
      </c>
      <c r="L8849" t="s">
        <v>20</v>
      </c>
      <c r="M8849" t="s">
        <v>17230</v>
      </c>
      <c r="N8849" t="s">
        <v>14</v>
      </c>
    </row>
    <row r="8850" x14ac:dyDescent="0.25">
      <c r="A8850" t="n">
        <v>24</v>
      </c>
      <c r="B8850" t="s">
        <v>14</v>
      </c>
      <c r="C8850" t="s">
        <v>22</v>
      </c>
      <c r="D8850" s="2" t="s">
        <f>=HYPERLINK("https://main.knesset.gov.il/APPS/legislation/main/bills/2166414", "הצעת חוק בחירות לגופים ציבוריים (תיקון - הגבלת כהונת יושב ראש ועד עובדים), התשפ""ב-2022")</f>
        <v>17247</v>
      </c>
      <c r="E8850" t="s">
        <v>17247</v>
      </c>
      <c r="F8850" t="s">
        <v>17248</v>
      </c>
      <c r="G8850" t="s">
        <v>14</v>
      </c>
      <c r="H8850">
             </c>
      <c r="I8850" t="s">
        <v>14</v>
      </c>
      <c r="J8850" t="s">
        <v>141</v>
      </c>
      <c r="K8850" t="s">
        <v>14</v>
      </c>
      <c r="L8850" t="s">
        <v>20</v>
      </c>
      <c r="M8850" t="s">
        <v>17230</v>
      </c>
      <c r="N8850" t="s">
        <v>14</v>
      </c>
    </row>
    <row r="8851" x14ac:dyDescent="0.25">
      <c r="A8851" t="n">
        <v>24</v>
      </c>
      <c r="B8851" t="s">
        <v>14</v>
      </c>
      <c r="C8851" t="s">
        <v>22</v>
      </c>
      <c r="D8851" s="2" t="s">
        <f>=HYPERLINK("https://main.knesset.gov.il/APPS/legislation/main/bills/2167420", "הצעת חוק הפחתת הגירעון והגבלת ההוצאה התקציבית (תיקון - ביטול הגבלת ההוצאה התקציבית), התשפ""ב-2022")</f>
        <v>17249</v>
      </c>
      <c r="E8851" t="s">
        <v>17249</v>
      </c>
      <c r="F8851" t="s">
        <v>17250</v>
      </c>
      <c r="G8851" t="s">
        <v>14</v>
      </c>
      <c r="H8851">
             </c>
      <c r="I8851" t="s">
        <v>14</v>
      </c>
      <c r="J8851" t="s">
        <v>141</v>
      </c>
      <c r="K8851" t="s">
        <v>14</v>
      </c>
      <c r="L8851" t="s">
        <v>20</v>
      </c>
      <c r="M8851" t="s">
        <v>17230</v>
      </c>
      <c r="N8851" t="s">
        <v>14</v>
      </c>
    </row>
    <row r="8852" x14ac:dyDescent="0.25">
      <c r="A8852" t="n">
        <v>24</v>
      </c>
      <c r="B8852" t="s">
        <v>14</v>
      </c>
      <c r="C8852" t="s">
        <v>22</v>
      </c>
      <c r="D8852" s="2" t="s">
        <f>=HYPERLINK("https://main.knesset.gov.il/APPS/legislation/main/bills/2166448", "הצעת חוק התכנון והבנייה (תיקון - תסקיר תחבורה ציבורית), התשפ""ב-2022")</f>
        <v>17251</v>
      </c>
      <c r="E8852" t="s">
        <v>17251</v>
      </c>
      <c r="F8852" t="s">
        <v>17252</v>
      </c>
      <c r="G8852" t="s">
        <v>14</v>
      </c>
      <c r="H8852">
             </c>
      <c r="I8852" t="s">
        <v>14</v>
      </c>
      <c r="J8852" t="s">
        <v>141</v>
      </c>
      <c r="K8852" t="s">
        <v>14</v>
      </c>
      <c r="L8852" t="s">
        <v>20</v>
      </c>
      <c r="M8852" t="s">
        <v>17230</v>
      </c>
      <c r="N8852" t="s">
        <v>14</v>
      </c>
    </row>
    <row r="8853" x14ac:dyDescent="0.25">
      <c r="A8853" t="n">
        <v>24</v>
      </c>
      <c r="B8853" t="s">
        <v>14</v>
      </c>
      <c r="C8853" t="s">
        <v>22</v>
      </c>
      <c r="D8853" s="2" t="s">
        <f>=HYPERLINK("https://main.knesset.gov.il/APPS/legislation/main/bills/2167486", "הצעת חוק למניעת התעמרות בעבודה, התשפ""ב-2022")</f>
        <v>16798</v>
      </c>
      <c r="E8853" t="s">
        <v>16798</v>
      </c>
      <c r="F8853" t="s">
        <v>17253</v>
      </c>
      <c r="G8853" t="s">
        <v>14</v>
      </c>
      <c r="H8853">
             </c>
      <c r="I8853" t="s">
        <v>14</v>
      </c>
      <c r="J8853" t="s">
        <v>141</v>
      </c>
      <c r="K8853" t="s">
        <v>14</v>
      </c>
      <c r="L8853" t="s">
        <v>20</v>
      </c>
      <c r="M8853" t="s">
        <v>17230</v>
      </c>
      <c r="N8853" t="s">
        <v>14</v>
      </c>
    </row>
    <row r="8854" x14ac:dyDescent="0.25">
      <c r="A8854" t="n">
        <v>24</v>
      </c>
      <c r="B8854" t="s">
        <v>14</v>
      </c>
      <c r="C8854" t="s">
        <v>22</v>
      </c>
      <c r="D8854" s="2" t="s">
        <f>=HYPERLINK("https://main.knesset.gov.il/APPS/legislation/main/bills/2167626", "הצעת חוק הבחירות לכנסת (תיקון - הצבעת סטודנטים), התשפ""ב-2022")</f>
        <v>14623</v>
      </c>
      <c r="E8854" t="s">
        <v>14623</v>
      </c>
      <c r="F8854" t="s">
        <v>17254</v>
      </c>
      <c r="G8854" t="s">
        <v>14</v>
      </c>
      <c r="H8854">
             </c>
      <c r="I8854" t="s">
        <v>14</v>
      </c>
      <c r="J8854" t="s">
        <v>141</v>
      </c>
      <c r="K8854" t="s">
        <v>14</v>
      </c>
      <c r="L8854" t="s">
        <v>20</v>
      </c>
      <c r="M8854" t="s">
        <v>17230</v>
      </c>
      <c r="N8854" t="s">
        <v>14</v>
      </c>
    </row>
    <row r="8855" x14ac:dyDescent="0.25">
      <c r="A8855" t="n">
        <v>24</v>
      </c>
      <c r="B8855" t="s">
        <v>14</v>
      </c>
      <c r="C8855" t="s">
        <v>22</v>
      </c>
      <c r="D8855" s="2" t="s">
        <f>=HYPERLINK("https://main.knesset.gov.il/APPS/legislation/main/bills/2166926", "הצעת חוק מעונות יום שיקומיים (תיקון - מספר ילדים בשלוחה), התשפ""ב-2022")</f>
        <v>17255</v>
      </c>
      <c r="E8855" t="s">
        <v>17255</v>
      </c>
      <c r="F8855" t="s">
        <v>17256</v>
      </c>
      <c r="G8855" t="s">
        <v>14</v>
      </c>
      <c r="H8855">
             </c>
      <c r="I8855" t="s">
        <v>14</v>
      </c>
      <c r="J8855" t="s">
        <v>141</v>
      </c>
      <c r="K8855" t="s">
        <v>14</v>
      </c>
      <c r="L8855" t="s">
        <v>20</v>
      </c>
      <c r="M8855" t="s">
        <v>17230</v>
      </c>
      <c r="N8855" t="s">
        <v>14</v>
      </c>
    </row>
    <row r="8856" x14ac:dyDescent="0.25">
      <c r="A8856" t="n">
        <v>24</v>
      </c>
      <c r="B8856" t="s">
        <v>14</v>
      </c>
      <c r="C8856" t="s">
        <v>22</v>
      </c>
      <c r="D8856" s="2" t="s">
        <f>=HYPERLINK("https://main.knesset.gov.il/APPS/legislation/main/bills/2164335", "הצעת חוק העונשין (תיקון - קביעת עונש מינימום בגין נטילת דמי חסות), התשפ""ב-2022")</f>
        <v>17257</v>
      </c>
      <c r="E8856" t="s">
        <v>17257</v>
      </c>
      <c r="F8856" t="s">
        <v>17258</v>
      </c>
      <c r="G8856" t="s">
        <v>14</v>
      </c>
      <c r="H8856">
             </c>
      <c r="I8856" t="s">
        <v>14</v>
      </c>
      <c r="J8856" t="s">
        <v>141</v>
      </c>
      <c r="K8856" t="s">
        <v>14</v>
      </c>
      <c r="L8856" t="s">
        <v>20</v>
      </c>
      <c r="M8856" t="s">
        <v>17230</v>
      </c>
      <c r="N8856" t="s">
        <v>14</v>
      </c>
    </row>
    <row r="8857" x14ac:dyDescent="0.25">
      <c r="A8857" t="n">
        <v>24</v>
      </c>
      <c r="B8857" t="s">
        <v>14</v>
      </c>
      <c r="C8857" t="s">
        <v>22</v>
      </c>
      <c r="D8857" s="2" t="s">
        <f>=HYPERLINK("https://main.knesset.gov.il/APPS/legislation/main/bills/2161393", "הצעת חוק העבירות המינהליות (תיקון - ביטול קנסות תכנון ובנייה), התשפ""ב-2022")</f>
        <v>16337</v>
      </c>
      <c r="E8857" t="s">
        <v>16337</v>
      </c>
      <c r="F8857" t="s">
        <v>17259</v>
      </c>
      <c r="G8857" t="s">
        <v>14</v>
      </c>
      <c r="H8857">
             </c>
      <c r="I8857" t="s">
        <v>14</v>
      </c>
      <c r="J8857" t="s">
        <v>141</v>
      </c>
      <c r="K8857" t="s">
        <v>14</v>
      </c>
      <c r="L8857" t="s">
        <v>20</v>
      </c>
      <c r="M8857" t="s">
        <v>17230</v>
      </c>
      <c r="N8857" t="s">
        <v>14</v>
      </c>
    </row>
    <row r="8858" x14ac:dyDescent="0.25">
      <c r="A8858" t="n">
        <v>24</v>
      </c>
      <c r="B8858" t="s">
        <v>14</v>
      </c>
      <c r="C8858" t="s">
        <v>22</v>
      </c>
      <c r="D8858" s="2" t="s">
        <f>=HYPERLINK("https://main.knesset.gov.il/APPS/legislation/main/bills/2166551", "הצעת חוק-יסוד: הכנסת (תיקון - תקופת לידה והורות לחברי הכנסת)")</f>
        <v>12575</v>
      </c>
      <c r="E8858" t="s">
        <v>12575</v>
      </c>
      <c r="F8858" t="s">
        <v>17260</v>
      </c>
      <c r="G8858" t="s">
        <v>14</v>
      </c>
      <c r="H8858">
             </c>
      <c r="I8858" t="s">
        <v>14</v>
      </c>
      <c r="J8858" t="s">
        <v>141</v>
      </c>
      <c r="K8858" t="s">
        <v>14</v>
      </c>
      <c r="L8858" t="s">
        <v>20</v>
      </c>
      <c r="M8858" t="s">
        <v>17230</v>
      </c>
      <c r="N8858" t="s">
        <v>14</v>
      </c>
    </row>
    <row r="8859" x14ac:dyDescent="0.25">
      <c r="A8859" t="n">
        <v>24</v>
      </c>
      <c r="B8859" t="s">
        <v>14</v>
      </c>
      <c r="C8859" t="s">
        <v>22</v>
      </c>
      <c r="D8859" s="2" t="s">
        <f>=HYPERLINK("https://main.knesset.gov.il/APPS/legislation/main/bills/2167477", "הצעת חוק האזרחים הוותיקים (תיקון - הקמת מרכזי מיצוי זכויות לאזרחים ותיקים), התשפ""ב-2022")</f>
        <v>17261</v>
      </c>
      <c r="E8859" t="s">
        <v>17261</v>
      </c>
      <c r="F8859" t="s">
        <v>17262</v>
      </c>
      <c r="G8859" t="s">
        <v>14</v>
      </c>
      <c r="H8859">
             </c>
      <c r="I8859" t="s">
        <v>14</v>
      </c>
      <c r="J8859" t="s">
        <v>141</v>
      </c>
      <c r="K8859" t="s">
        <v>14</v>
      </c>
      <c r="L8859" t="s">
        <v>20</v>
      </c>
      <c r="M8859" t="s">
        <v>17230</v>
      </c>
      <c r="N8859" t="s">
        <v>14</v>
      </c>
    </row>
    <row r="8860" x14ac:dyDescent="0.25">
      <c r="A8860" t="n">
        <v>24</v>
      </c>
      <c r="B8860" t="s">
        <v>14</v>
      </c>
      <c r="C8860" t="s">
        <v>22</v>
      </c>
      <c r="D8860" s="2" t="s">
        <f>=HYPERLINK("https://main.knesset.gov.il/APPS/legislation/main/bills/2166954", "הצעת חוק הביטוח הלאומי (תיקון - קצבת תלויים וקצבת זקנה), התשפ""ב-2022")</f>
        <v>17263</v>
      </c>
      <c r="E8860" t="s">
        <v>17263</v>
      </c>
      <c r="F8860" t="s">
        <v>17264</v>
      </c>
      <c r="G8860" t="s">
        <v>14</v>
      </c>
      <c r="H8860">
             </c>
      <c r="I8860" t="s">
        <v>14</v>
      </c>
      <c r="J8860" t="s">
        <v>141</v>
      </c>
      <c r="K8860" t="s">
        <v>14</v>
      </c>
      <c r="L8860" t="s">
        <v>20</v>
      </c>
      <c r="M8860" t="s">
        <v>17230</v>
      </c>
      <c r="N8860" t="s">
        <v>14</v>
      </c>
    </row>
    <row r="8861" x14ac:dyDescent="0.25">
      <c r="A8861" t="n">
        <v>24</v>
      </c>
      <c r="B8861" t="s">
        <v>14</v>
      </c>
      <c r="C8861" t="s">
        <v>22</v>
      </c>
      <c r="D8861" s="2" t="s">
        <f>=HYPERLINK("https://main.knesset.gov.il/APPS/legislation/main/bills/2166990", "הצעת חוק הביטוח הלאומי (תיקון - גמלה לשמירת הריון לאם שילדה פג), התשפ""ב-2022")</f>
        <v>17265</v>
      </c>
      <c r="E8861" t="s">
        <v>17265</v>
      </c>
      <c r="F8861" t="s">
        <v>17266</v>
      </c>
      <c r="G8861" t="s">
        <v>14</v>
      </c>
      <c r="H8861">
             </c>
      <c r="I8861" t="s">
        <v>14</v>
      </c>
      <c r="J8861" t="s">
        <v>141</v>
      </c>
      <c r="K8861" t="s">
        <v>14</v>
      </c>
      <c r="L8861" t="s">
        <v>20</v>
      </c>
      <c r="M8861" t="s">
        <v>17230</v>
      </c>
      <c r="N8861" t="s">
        <v>14</v>
      </c>
    </row>
    <row r="8862" x14ac:dyDescent="0.25">
      <c r="A8862" t="n">
        <v>24</v>
      </c>
      <c r="B8862" t="s">
        <v>14</v>
      </c>
      <c r="C8862" t="s">
        <v>22</v>
      </c>
      <c r="D8862" s="2" t="s">
        <f>=HYPERLINK("https://main.knesset.gov.il/APPS/legislation/main/bills/2167092", "הצעת חוק החברות (תיקון - עניין אישי של דירקטור שהוא נציג נבחר מקרב עובדי החברה), התשפ""ב-2022")</f>
        <v>17267</v>
      </c>
      <c r="E8862" t="s">
        <v>17267</v>
      </c>
      <c r="F8862" t="s">
        <v>17268</v>
      </c>
      <c r="G8862" t="s">
        <v>14</v>
      </c>
      <c r="H8862">
             </c>
      <c r="I8862" t="s">
        <v>14</v>
      </c>
      <c r="J8862" t="s">
        <v>141</v>
      </c>
      <c r="K8862" t="s">
        <v>14</v>
      </c>
      <c r="L8862" t="s">
        <v>20</v>
      </c>
      <c r="M8862" t="s">
        <v>17230</v>
      </c>
      <c r="N8862" t="s">
        <v>14</v>
      </c>
    </row>
    <row r="8863" x14ac:dyDescent="0.25">
      <c r="A8863" t="n">
        <v>24</v>
      </c>
      <c r="B8863" t="s">
        <v>14</v>
      </c>
      <c r="C8863" t="s">
        <v>22</v>
      </c>
      <c r="D8863" s="2" t="s">
        <f>=HYPERLINK("https://main.knesset.gov.il/APPS/legislation/main/bills/2167125", "הצעת חוק לתיקון פקודת בתי הסוהר (מתן הודעה בכתב לאסיר ולנפגעי עבירה בדבר מועד שחרור מנהלי והכנת תכנית שיקום), התשפ""ב-2022")</f>
        <v>17269</v>
      </c>
      <c r="E8863" t="s">
        <v>17269</v>
      </c>
      <c r="F8863" t="s">
        <v>17270</v>
      </c>
      <c r="G8863" t="s">
        <v>14</v>
      </c>
      <c r="H8863">
             </c>
      <c r="I8863" t="s">
        <v>14</v>
      </c>
      <c r="J8863" t="s">
        <v>141</v>
      </c>
      <c r="K8863" t="s">
        <v>14</v>
      </c>
      <c r="L8863" t="s">
        <v>20</v>
      </c>
      <c r="M8863" t="s">
        <v>17230</v>
      </c>
      <c r="N8863" t="s">
        <v>14</v>
      </c>
    </row>
    <row r="8864" x14ac:dyDescent="0.25">
      <c r="A8864" t="n">
        <v>24</v>
      </c>
      <c r="B8864" t="s">
        <v>14</v>
      </c>
      <c r="C8864" t="s">
        <v>22</v>
      </c>
      <c r="D8864" s="2" t="s">
        <f>=HYPERLINK("https://main.knesset.gov.il/APPS/legislation/main/bills/2167462", "הצעת חוק התכנון והבנייה (תיקון - שומה מתוקנת מוסכמת), התשפ""ב-2022")</f>
        <v>17271</v>
      </c>
      <c r="E8864" t="s">
        <v>17271</v>
      </c>
      <c r="F8864" t="s">
        <v>17272</v>
      </c>
      <c r="G8864" t="s">
        <v>14</v>
      </c>
      <c r="H8864">
             </c>
      <c r="I8864" t="s">
        <v>14</v>
      </c>
      <c r="J8864" t="s">
        <v>141</v>
      </c>
      <c r="K8864" t="s">
        <v>14</v>
      </c>
      <c r="L8864" t="s">
        <v>20</v>
      </c>
      <c r="M8864" t="s">
        <v>17230</v>
      </c>
      <c r="N8864" t="s">
        <v>14</v>
      </c>
    </row>
    <row r="8865" x14ac:dyDescent="0.25">
      <c r="A8865" t="n">
        <v>24</v>
      </c>
      <c r="B8865" t="s">
        <v>14</v>
      </c>
      <c r="C8865" t="s">
        <v>22</v>
      </c>
      <c r="D8865" s="2" t="s">
        <f>=HYPERLINK("https://main.knesset.gov.il/APPS/legislation/main/bills/2167468", "הצעת חוק הקמת מאגר מידע פיננסי בענף הביטוח ושוק ההון, התשפ""ב-2022 ")</f>
        <v>17273</v>
      </c>
      <c r="E8865" t="s">
        <v>17273</v>
      </c>
      <c r="F8865" t="s">
        <v>17274</v>
      </c>
      <c r="G8865" t="s">
        <v>14</v>
      </c>
      <c r="H8865">
             </c>
      <c r="I8865" t="s">
        <v>14</v>
      </c>
      <c r="J8865" t="s">
        <v>141</v>
      </c>
      <c r="K8865" t="s">
        <v>14</v>
      </c>
      <c r="L8865" t="s">
        <v>20</v>
      </c>
      <c r="M8865" t="s">
        <v>17230</v>
      </c>
      <c r="N8865" t="s">
        <v>14</v>
      </c>
    </row>
    <row r="8866" x14ac:dyDescent="0.25">
      <c r="A8866" t="n">
        <v>24</v>
      </c>
      <c r="B8866" t="s">
        <v>14</v>
      </c>
      <c r="C8866" t="s">
        <v>22</v>
      </c>
      <c r="D8866" s="2" t="s">
        <f>=HYPERLINK("https://main.knesset.gov.il/APPS/legislation/main/bills/2167584", "הצעת חוק-יסוד: השפיטה (תיקון - זכות עמידה בבית הדין הגבוה לצדק)")</f>
        <v>17275</v>
      </c>
      <c r="E8866" t="s">
        <v>17275</v>
      </c>
      <c r="F8866" t="s">
        <v>17276</v>
      </c>
      <c r="G8866" t="s">
        <v>14</v>
      </c>
      <c r="H8866">
             </c>
      <c r="I8866" t="s">
        <v>14</v>
      </c>
      <c r="J8866" t="s">
        <v>141</v>
      </c>
      <c r="K8866" t="s">
        <v>14</v>
      </c>
      <c r="L8866" t="s">
        <v>20</v>
      </c>
      <c r="M8866" t="s">
        <v>17230</v>
      </c>
      <c r="N8866" t="s">
        <v>14</v>
      </c>
    </row>
    <row r="8867" x14ac:dyDescent="0.25">
      <c r="A8867" t="n">
        <v>24</v>
      </c>
      <c r="B8867" t="s">
        <v>14</v>
      </c>
      <c r="C8867" t="s">
        <v>22</v>
      </c>
      <c r="D8867" s="2" t="s">
        <f>=HYPERLINK("https://main.knesset.gov.il/APPS/legislation/main/bills/2167616", "הצעת חוק הפיקוח על שירותים פיננסיים (קופות גמל) (תיקון - הגדלת הסכום המרבי להפקדה בקופות גמל להשקעה), התשפ""ב-2022 ")</f>
        <v>17277</v>
      </c>
      <c r="E8867" t="s">
        <v>17277</v>
      </c>
      <c r="F8867" t="s">
        <v>17278</v>
      </c>
      <c r="G8867" t="s">
        <v>14</v>
      </c>
      <c r="H8867">
             </c>
      <c r="I8867" t="s">
        <v>14</v>
      </c>
      <c r="J8867" t="s">
        <v>141</v>
      </c>
      <c r="K8867" t="s">
        <v>14</v>
      </c>
      <c r="L8867" t="s">
        <v>20</v>
      </c>
      <c r="M8867" t="s">
        <v>17230</v>
      </c>
      <c r="N8867" t="s">
        <v>14</v>
      </c>
    </row>
    <row r="8868" x14ac:dyDescent="0.25">
      <c r="A8868" t="n">
        <v>24</v>
      </c>
      <c r="B8868" t="s">
        <v>14</v>
      </c>
      <c r="C8868" t="s">
        <v>22</v>
      </c>
      <c r="D8868" s="2" t="s">
        <f>=HYPERLINK("https://main.knesset.gov.il/APPS/legislation/main/bills/2162956", "הצעת חוק לתיקון פקודת ביטוח רכב מנועי (חיוב שיווק פוליסה), התשפ""ב-2022")</f>
        <v>15692</v>
      </c>
      <c r="E8868" t="s">
        <v>15692</v>
      </c>
      <c r="F8868" t="s">
        <v>17279</v>
      </c>
      <c r="G8868" t="s">
        <v>14</v>
      </c>
      <c r="H8868">
             </c>
      <c r="I8868" t="s">
        <v>14</v>
      </c>
      <c r="J8868" t="s">
        <v>141</v>
      </c>
      <c r="K8868" t="s">
        <v>14</v>
      </c>
      <c r="L8868" t="s">
        <v>20</v>
      </c>
      <c r="M8868" t="s">
        <v>17230</v>
      </c>
      <c r="N8868" t="s">
        <v>14</v>
      </c>
    </row>
    <row r="8869" x14ac:dyDescent="0.25">
      <c r="A8869" t="n">
        <v>24</v>
      </c>
      <c r="B8869" t="s">
        <v>14</v>
      </c>
      <c r="C8869" t="s">
        <v>22</v>
      </c>
      <c r="D8869" s="2" t="s">
        <f>=HYPERLINK("https://main.knesset.gov.il/APPS/legislation/main/bills/2167899", "הצעת חוק שירות המדינה (מינויים) (תיקון - ייצוג הולם ללוחמים), התשפ""ב-2022")</f>
        <v>17280</v>
      </c>
      <c r="E8869" t="s">
        <v>17280</v>
      </c>
      <c r="F8869" t="s">
        <v>17281</v>
      </c>
      <c r="G8869" t="s">
        <v>14</v>
      </c>
      <c r="H8869">
             </c>
      <c r="I8869" t="s">
        <v>14</v>
      </c>
      <c r="J8869" t="s">
        <v>141</v>
      </c>
      <c r="K8869" t="s">
        <v>14</v>
      </c>
      <c r="L8869" t="s">
        <v>20</v>
      </c>
      <c r="M8869" t="s">
        <v>17230</v>
      </c>
      <c r="N8869" t="s">
        <v>14</v>
      </c>
    </row>
    <row r="8870" x14ac:dyDescent="0.25">
      <c r="A8870" t="n">
        <v>24</v>
      </c>
      <c r="B8870" t="s">
        <v>14</v>
      </c>
      <c r="C8870" t="s">
        <v>22</v>
      </c>
      <c r="D8870" s="2" t="s">
        <f>=HYPERLINK("https://main.knesset.gov.il/APPS/legislation/main/bills/2167774", "הצעת חוק המקרקעין (חיזוק בתים משותפים מפני רעידות אדמה) (תיקון - פינוי קשישים), התשפ""ב-2022")</f>
        <v>17282</v>
      </c>
      <c r="E8870" t="s">
        <v>17282</v>
      </c>
      <c r="F8870" t="s">
        <v>17283</v>
      </c>
      <c r="G8870" t="s">
        <v>14</v>
      </c>
      <c r="H8870">
             </c>
      <c r="I8870" t="s">
        <v>14</v>
      </c>
      <c r="J8870" t="s">
        <v>141</v>
      </c>
      <c r="K8870" t="s">
        <v>14</v>
      </c>
      <c r="L8870" t="s">
        <v>20</v>
      </c>
      <c r="M8870" t="s">
        <v>17230</v>
      </c>
      <c r="N8870" t="s">
        <v>14</v>
      </c>
    </row>
    <row r="8871" x14ac:dyDescent="0.25">
      <c r="A8871" t="n">
        <v>24</v>
      </c>
      <c r="B8871" t="s">
        <v>14</v>
      </c>
      <c r="C8871" t="s">
        <v>22</v>
      </c>
      <c r="D8871" s="2" t="s">
        <f>=HYPERLINK("https://main.knesset.gov.il/APPS/legislation/main/bills/2167388", "הצעת חוק סדר הדין הפלילי (תיקון - הגבלת משך זמן להגשת כתב אישום), התשפ""ב-2022")</f>
        <v>17284</v>
      </c>
      <c r="E8871" t="s">
        <v>17284</v>
      </c>
      <c r="F8871" t="s">
        <v>17285</v>
      </c>
      <c r="G8871" t="s">
        <v>14</v>
      </c>
      <c r="H8871">
             </c>
      <c r="I8871" t="s">
        <v>14</v>
      </c>
      <c r="J8871" t="s">
        <v>141</v>
      </c>
      <c r="K8871" t="s">
        <v>14</v>
      </c>
      <c r="L8871" t="s">
        <v>20</v>
      </c>
      <c r="M8871" t="s">
        <v>17230</v>
      </c>
      <c r="N8871" t="s">
        <v>14</v>
      </c>
    </row>
    <row r="8872" x14ac:dyDescent="0.25">
      <c r="A8872" t="n">
        <v>24</v>
      </c>
      <c r="B8872" t="s">
        <v>14</v>
      </c>
      <c r="C8872" t="s">
        <v>22</v>
      </c>
      <c r="D8872" s="2" t="s">
        <f>=HYPERLINK("https://main.knesset.gov.il/APPS/legislation/main/bills/2163868", "הצעת חוק להגנה על חיילי צה""ל וגורמים ישראלים אחרים מתלונות שווא של הרשות הפלסטינית, התשפ""ב-2022")</f>
        <v>17286</v>
      </c>
      <c r="E8872" t="s">
        <v>17286</v>
      </c>
      <c r="F8872" t="s">
        <v>17287</v>
      </c>
      <c r="G8872" t="s">
        <v>14</v>
      </c>
      <c r="H8872">
             </c>
      <c r="I8872" t="s">
        <v>14</v>
      </c>
      <c r="J8872" t="s">
        <v>141</v>
      </c>
      <c r="K8872" t="s">
        <v>14</v>
      </c>
      <c r="L8872" t="s">
        <v>20</v>
      </c>
      <c r="M8872" t="s">
        <v>17230</v>
      </c>
      <c r="N8872" t="s">
        <v>14</v>
      </c>
    </row>
    <row r="8873" x14ac:dyDescent="0.25">
      <c r="A8873" t="n">
        <v>24</v>
      </c>
      <c r="B8873" t="s">
        <v>14</v>
      </c>
      <c r="C8873" t="s">
        <v>22</v>
      </c>
      <c r="D8873" s="2" t="s">
        <f>=HYPERLINK("https://main.knesset.gov.il/APPS/legislation/main/bills/2167498", "הצעת חוק לתיקון פקודת בתי הסוהר (שיקום אסירי אלימות במשפחה), התשפ""ב-2022")</f>
        <v>17288</v>
      </c>
      <c r="E8873" t="s">
        <v>17288</v>
      </c>
      <c r="F8873" t="s">
        <v>17289</v>
      </c>
      <c r="G8873" t="s">
        <v>14</v>
      </c>
      <c r="H8873">
             </c>
      <c r="I8873" t="s">
        <v>14</v>
      </c>
      <c r="J8873" t="s">
        <v>141</v>
      </c>
      <c r="K8873" t="s">
        <v>14</v>
      </c>
      <c r="L8873" t="s">
        <v>20</v>
      </c>
      <c r="M8873" t="s">
        <v>17230</v>
      </c>
      <c r="N8873" t="s">
        <v>14</v>
      </c>
    </row>
    <row r="8874" x14ac:dyDescent="0.25">
      <c r="A8874" t="n">
        <v>24</v>
      </c>
      <c r="B8874" t="s">
        <v>14</v>
      </c>
      <c r="C8874" t="s">
        <v>22</v>
      </c>
      <c r="D8874" s="2" t="s">
        <f>=HYPERLINK("https://main.knesset.gov.il/APPS/legislation/main/bills/2167812", "הצעת חוק החברות (תיקון - ייצוג הולם לבני שני המינים בדירקטוריונים של חברות ציבוריות), התשפ""ב-2022")</f>
        <v>17290</v>
      </c>
      <c r="E8874" t="s">
        <v>17290</v>
      </c>
      <c r="F8874" t="s">
        <v>17291</v>
      </c>
      <c r="G8874" t="s">
        <v>14</v>
      </c>
      <c r="H8874">
             </c>
      <c r="I8874" t="s">
        <v>14</v>
      </c>
      <c r="J8874" t="s">
        <v>141</v>
      </c>
      <c r="K8874" t="s">
        <v>14</v>
      </c>
      <c r="L8874" t="s">
        <v>20</v>
      </c>
      <c r="M8874" t="s">
        <v>17230</v>
      </c>
      <c r="N8874" t="s">
        <v>14</v>
      </c>
    </row>
    <row r="8875" x14ac:dyDescent="0.25">
      <c r="A8875" t="n">
        <v>24</v>
      </c>
      <c r="B8875" t="s">
        <v>14</v>
      </c>
      <c r="C8875" t="s">
        <v>22</v>
      </c>
      <c r="D8875" s="2" t="s">
        <f>=HYPERLINK("https://main.knesset.gov.il/APPS/legislation/main/bills/2167944", "הצעת חוק העונשין (תיקון - אחראי על קטין או חסר ישע לעניין חובת הדיווח), התשפ""ב-2022")</f>
        <v>17292</v>
      </c>
      <c r="E8875" t="s">
        <v>17292</v>
      </c>
      <c r="F8875" t="s">
        <v>17293</v>
      </c>
      <c r="G8875" t="s">
        <v>14</v>
      </c>
      <c r="H8875">
             </c>
      <c r="I8875" t="s">
        <v>14</v>
      </c>
      <c r="J8875" t="s">
        <v>141</v>
      </c>
      <c r="K8875" t="s">
        <v>14</v>
      </c>
      <c r="L8875" t="s">
        <v>20</v>
      </c>
      <c r="M8875" t="s">
        <v>17230</v>
      </c>
      <c r="N8875" t="s">
        <v>14</v>
      </c>
    </row>
    <row r="8876" x14ac:dyDescent="0.25">
      <c r="A8876" t="n">
        <v>24</v>
      </c>
      <c r="B8876" t="s">
        <v>14</v>
      </c>
      <c r="C8876" t="s">
        <v>22</v>
      </c>
      <c r="D8876" s="2" t="s">
        <f>=HYPERLINK("https://main.knesset.gov.il/APPS/legislation/main/bills/2167751", "הצעת חוק הבנקאות (רישוי) (תיקון - הפרדה בין בנקים), התשפ""ב-2022")</f>
        <v>17294</v>
      </c>
      <c r="E8876" t="s">
        <v>17294</v>
      </c>
      <c r="F8876" t="s">
        <v>17295</v>
      </c>
      <c r="G8876" t="s">
        <v>14</v>
      </c>
      <c r="H8876">
             </c>
      <c r="I8876" t="s">
        <v>14</v>
      </c>
      <c r="J8876" t="s">
        <v>141</v>
      </c>
      <c r="K8876" t="s">
        <v>14</v>
      </c>
      <c r="L8876" t="s">
        <v>20</v>
      </c>
      <c r="M8876" t="s">
        <v>17230</v>
      </c>
      <c r="N8876" t="s">
        <v>14</v>
      </c>
    </row>
    <row r="8877" x14ac:dyDescent="0.25">
      <c r="A8877" t="n">
        <v>24</v>
      </c>
      <c r="B8877" t="s">
        <v>14</v>
      </c>
      <c r="C8877" t="s">
        <v>22</v>
      </c>
      <c r="D8877" s="2" t="s">
        <f>=HYPERLINK("https://main.knesset.gov.il/APPS/legislation/main/bills/2166752", "הצעת חוק הענקת 'אות סן רמו', התשפ""ב-2022")</f>
        <v>17296</v>
      </c>
      <c r="E8877" t="s">
        <v>17296</v>
      </c>
      <c r="F8877" t="s">
        <v>17297</v>
      </c>
      <c r="G8877" t="s">
        <v>14</v>
      </c>
      <c r="H8877">
             </c>
      <c r="I8877" t="s">
        <v>14</v>
      </c>
      <c r="J8877" t="s">
        <v>141</v>
      </c>
      <c r="K8877" t="s">
        <v>14</v>
      </c>
      <c r="L8877" t="s">
        <v>20</v>
      </c>
      <c r="M8877" t="s">
        <v>17230</v>
      </c>
      <c r="N8877" t="s">
        <v>14</v>
      </c>
    </row>
    <row r="8878" x14ac:dyDescent="0.25">
      <c r="A8878" t="n">
        <v>24</v>
      </c>
      <c r="B8878" t="s">
        <v>14</v>
      </c>
      <c r="C8878" t="s">
        <v>22</v>
      </c>
      <c r="D8878" s="2" t="s">
        <f>=HYPERLINK("https://main.knesset.gov.il/APPS/legislation/main/bills/2162587", "הצעת חוק חסינות חיילי צה""ל באירועים מבצעיים, התשפ""ב-2022")</f>
        <v>17298</v>
      </c>
      <c r="E8878" t="s">
        <v>17298</v>
      </c>
      <c r="F8878" t="s">
        <v>17299</v>
      </c>
      <c r="G8878" t="s">
        <v>14</v>
      </c>
      <c r="H8878">
             </c>
      <c r="I8878" t="s">
        <v>14</v>
      </c>
      <c r="J8878" t="s">
        <v>141</v>
      </c>
      <c r="K8878" t="s">
        <v>14</v>
      </c>
      <c r="L8878" t="s">
        <v>20</v>
      </c>
      <c r="M8878" t="s">
        <v>17230</v>
      </c>
      <c r="N8878" t="s">
        <v>14</v>
      </c>
    </row>
    <row r="8879" x14ac:dyDescent="0.25">
      <c r="A8879" t="n">
        <v>24</v>
      </c>
      <c r="B8879" t="s">
        <v>14</v>
      </c>
      <c r="C8879" t="s">
        <v>22</v>
      </c>
      <c r="D8879" s="2" t="s">
        <f>=HYPERLINK("https://main.knesset.gov.il/APPS/legislation/main/bills/2166690", "הצעת חוק לתיקון פקודת הנמלים (איסור על השטת כלי שיט ועל הפלגה באופנוע ים בשכרות), התשפ""ב-2022")</f>
        <v>17300</v>
      </c>
      <c r="E8879" t="s">
        <v>17300</v>
      </c>
      <c r="F8879" t="s">
        <v>17301</v>
      </c>
      <c r="G8879" t="s">
        <v>14</v>
      </c>
      <c r="H8879">
             </c>
      <c r="I8879" t="s">
        <v>14</v>
      </c>
      <c r="J8879" t="s">
        <v>141</v>
      </c>
      <c r="K8879" t="s">
        <v>14</v>
      </c>
      <c r="L8879" t="s">
        <v>20</v>
      </c>
      <c r="M8879" t="s">
        <v>17230</v>
      </c>
      <c r="N8879" t="s">
        <v>14</v>
      </c>
    </row>
    <row r="8880" x14ac:dyDescent="0.25">
      <c r="A8880" t="n">
        <v>24</v>
      </c>
      <c r="B8880" t="s">
        <v>14</v>
      </c>
      <c r="C8880" t="s">
        <v>22</v>
      </c>
      <c r="D8880" s="2" t="s">
        <f>=HYPERLINK("https://main.knesset.gov.il/APPS/legislation/main/bills/2165440", "הצעת חוק צער בעלי חיים (הגנה על בעלי חיים) (תיקון - המעמד המשפטי של בעלי חיים), התשפ""ב-2022")</f>
        <v>17302</v>
      </c>
      <c r="E8880" t="s">
        <v>17302</v>
      </c>
      <c r="F8880" t="s">
        <v>17303</v>
      </c>
      <c r="G8880" t="s">
        <v>14</v>
      </c>
      <c r="H8880">
             </c>
      <c r="I8880" t="s">
        <v>14</v>
      </c>
      <c r="J8880" t="s">
        <v>141</v>
      </c>
      <c r="K8880" t="s">
        <v>14</v>
      </c>
      <c r="L8880" t="s">
        <v>20</v>
      </c>
      <c r="M8880" t="s">
        <v>17230</v>
      </c>
      <c r="N8880" t="s">
        <v>14</v>
      </c>
    </row>
    <row r="8881" x14ac:dyDescent="0.25">
      <c r="A8881" t="n">
        <v>24</v>
      </c>
      <c r="B8881" t="s">
        <v>14</v>
      </c>
      <c r="C8881" t="s">
        <v>22</v>
      </c>
      <c r="D8881" s="2" t="s">
        <f>=HYPERLINK("https://main.knesset.gov.il/APPS/legislation/main/bills/2166721", "הצעת חוק הביטוח הלאומי (תיקון - עבודה מועדפת באילת), התשפ""ב-2022")</f>
        <v>17304</v>
      </c>
      <c r="E8881" t="s">
        <v>17304</v>
      </c>
      <c r="F8881" t="s">
        <v>17305</v>
      </c>
      <c r="G8881" t="s">
        <v>14</v>
      </c>
      <c r="H8881">
             </c>
      <c r="I8881" t="s">
        <v>14</v>
      </c>
      <c r="J8881" t="s">
        <v>141</v>
      </c>
      <c r="K8881" t="s">
        <v>14</v>
      </c>
      <c r="L8881" t="s">
        <v>20</v>
      </c>
      <c r="M8881" t="s">
        <v>17230</v>
      </c>
      <c r="N8881" t="s">
        <v>14</v>
      </c>
    </row>
    <row r="8882" x14ac:dyDescent="0.25">
      <c r="A8882" t="n">
        <v>24</v>
      </c>
      <c r="B8882" t="s">
        <v>14</v>
      </c>
      <c r="C8882" t="s">
        <v>22</v>
      </c>
      <c r="D8882" s="2" t="s">
        <f>=HYPERLINK("https://main.knesset.gov.il/APPS/legislation/main/bills/2167016", "הצעת חוק מגן דוד אדום (תיקון - הענקת שירותי רפואה מרחוק), התשפ""ב-2022")</f>
        <v>17306</v>
      </c>
      <c r="E8882" t="s">
        <v>17306</v>
      </c>
      <c r="F8882" t="s">
        <v>17307</v>
      </c>
      <c r="G8882" t="s">
        <v>14</v>
      </c>
      <c r="H8882">
             </c>
      <c r="I8882" t="s">
        <v>14</v>
      </c>
      <c r="J8882" t="s">
        <v>141</v>
      </c>
      <c r="K8882" t="s">
        <v>14</v>
      </c>
      <c r="L8882" t="s">
        <v>20</v>
      </c>
      <c r="M8882" t="s">
        <v>17230</v>
      </c>
      <c r="N8882" t="s">
        <v>14</v>
      </c>
    </row>
    <row r="8883" x14ac:dyDescent="0.25">
      <c r="A8883" t="n">
        <v>24</v>
      </c>
      <c r="B8883" t="s">
        <v>14</v>
      </c>
      <c r="C8883" t="s">
        <v>22</v>
      </c>
      <c r="D8883" s="2" t="s">
        <f>=HYPERLINK("https://main.knesset.gov.il/APPS/legislation/main/bills/2167636", "הצעת חוק יום בריאות הנפש, התשפ""ב-2022")</f>
        <v>17308</v>
      </c>
      <c r="E8883" t="s">
        <v>17308</v>
      </c>
      <c r="F8883" t="s">
        <v>17309</v>
      </c>
      <c r="G8883" t="s">
        <v>14</v>
      </c>
      <c r="H8883">
             </c>
      <c r="I8883" t="s">
        <v>14</v>
      </c>
      <c r="J8883" t="s">
        <v>141</v>
      </c>
      <c r="K8883" t="s">
        <v>14</v>
      </c>
      <c r="L8883" t="s">
        <v>20</v>
      </c>
      <c r="M8883" t="s">
        <v>17230</v>
      </c>
      <c r="N8883" t="s">
        <v>14</v>
      </c>
    </row>
    <row r="8884" x14ac:dyDescent="0.25">
      <c r="A8884" t="n">
        <v>24</v>
      </c>
      <c r="B8884" t="s">
        <v>14</v>
      </c>
      <c r="C8884" t="s">
        <v>22</v>
      </c>
      <c r="D8884" s="2" t="s">
        <f>=HYPERLINK("https://main.knesset.gov.il/APPS/legislation/main/bills/2167862", "הצעת חוק הגנת הצרכן (תיקון - שינוי פרטים בכרטיס טיסה או בכרטיס לשיט), התשפ""ב-2022")</f>
        <v>17310</v>
      </c>
      <c r="E8884" t="s">
        <v>17310</v>
      </c>
      <c r="F8884" t="s">
        <v>17311</v>
      </c>
      <c r="G8884" t="s">
        <v>14</v>
      </c>
      <c r="H8884">
             </c>
      <c r="I8884" t="s">
        <v>14</v>
      </c>
      <c r="J8884" t="s">
        <v>141</v>
      </c>
      <c r="K8884" t="s">
        <v>14</v>
      </c>
      <c r="L8884" t="s">
        <v>20</v>
      </c>
      <c r="M8884" t="s">
        <v>17230</v>
      </c>
      <c r="N8884" t="s">
        <v>14</v>
      </c>
    </row>
    <row r="8885" x14ac:dyDescent="0.25">
      <c r="A8885" t="n">
        <v>24</v>
      </c>
      <c r="B8885" t="s">
        <v>14</v>
      </c>
      <c r="C8885" t="s">
        <v>22</v>
      </c>
      <c r="D8885" s="2" t="s">
        <f>=HYPERLINK("https://main.knesset.gov.il/APPS/legislation/main/bills/2167894", "הצעת חוק זכויות הדייר בדיור הציבורי (תיקון - זכאות לאם יחידנית המקבלת תשלומי מזונות מהמוסד לביטוח לאומי), התשפ""ב-2022")</f>
        <v>17312</v>
      </c>
      <c r="E8885" t="s">
        <v>17312</v>
      </c>
      <c r="F8885" t="s">
        <v>17313</v>
      </c>
      <c r="G8885" t="s">
        <v>14</v>
      </c>
      <c r="H8885">
             </c>
      <c r="I8885" t="s">
        <v>14</v>
      </c>
      <c r="J8885" t="s">
        <v>141</v>
      </c>
      <c r="K8885" t="s">
        <v>14</v>
      </c>
      <c r="L8885" t="s">
        <v>20</v>
      </c>
      <c r="M8885" t="s">
        <v>17230</v>
      </c>
      <c r="N8885" t="s">
        <v>14</v>
      </c>
    </row>
    <row r="8886" x14ac:dyDescent="0.25">
      <c r="A8886" t="n">
        <v>24</v>
      </c>
      <c r="B8886" t="s">
        <v>14</v>
      </c>
      <c r="C8886" t="s">
        <v>22</v>
      </c>
      <c r="D8886" s="2" t="s">
        <f>=HYPERLINK("https://main.knesset.gov.il/APPS/legislation/main/bills/2158928", "הצעת חוק הרשתות החברתיות, התשפ""ב-2022")</f>
        <v>17314</v>
      </c>
      <c r="E8886" t="s">
        <v>17314</v>
      </c>
      <c r="F8886" t="s">
        <v>17315</v>
      </c>
      <c r="G8886" t="s">
        <v>14</v>
      </c>
      <c r="H8886">
             </c>
      <c r="I8886" t="s">
        <v>14</v>
      </c>
      <c r="J8886" t="s">
        <v>141</v>
      </c>
      <c r="K8886" t="s">
        <v>14</v>
      </c>
      <c r="L8886" t="s">
        <v>20</v>
      </c>
      <c r="M8886" t="s">
        <v>17230</v>
      </c>
      <c r="N8886" t="s">
        <v>14</v>
      </c>
    </row>
    <row r="8887" x14ac:dyDescent="0.25">
      <c r="A8887" t="n">
        <v>24</v>
      </c>
      <c r="B8887" t="s">
        <v>14</v>
      </c>
      <c r="C8887" t="s">
        <v>22</v>
      </c>
      <c r="D8887" s="2" t="s">
        <f>=HYPERLINK("https://main.knesset.gov.il/APPS/legislation/main/bills/2167237", "הצעת חוק המפלגות (תיקון - הגבלת מימון עצמי של נבחרי ציבור), התשפ""ב-2022")</f>
        <v>17316</v>
      </c>
      <c r="E8887" t="s">
        <v>17316</v>
      </c>
      <c r="F8887" t="s">
        <v>17317</v>
      </c>
      <c r="G8887" t="s">
        <v>14</v>
      </c>
      <c r="H8887">
             </c>
      <c r="I8887" t="s">
        <v>14</v>
      </c>
      <c r="J8887" t="s">
        <v>141</v>
      </c>
      <c r="K8887" t="s">
        <v>14</v>
      </c>
      <c r="L8887" t="s">
        <v>20</v>
      </c>
      <c r="M8887" t="s">
        <v>17230</v>
      </c>
      <c r="N8887" t="s">
        <v>14</v>
      </c>
    </row>
    <row r="8888" x14ac:dyDescent="0.25">
      <c r="A8888" t="n">
        <v>24</v>
      </c>
      <c r="B8888" t="s">
        <v>14</v>
      </c>
      <c r="C8888" t="s">
        <v>22</v>
      </c>
      <c r="D8888" s="2" t="s">
        <f>=HYPERLINK("https://main.knesset.gov.il/APPS/legislation/main/bills/2166714", "הצעת חוק לפיצוי עסקים בשל סגירת עסקיהם במצב חירום, התשפ""ב-2022")</f>
        <v>17318</v>
      </c>
      <c r="E8888" t="s">
        <v>17318</v>
      </c>
      <c r="F8888" t="s">
        <v>17319</v>
      </c>
      <c r="G8888" t="s">
        <v>14</v>
      </c>
      <c r="H8888">
             </c>
      <c r="I8888" t="s">
        <v>14</v>
      </c>
      <c r="J8888" t="s">
        <v>141</v>
      </c>
      <c r="K8888" t="s">
        <v>14</v>
      </c>
      <c r="L8888" t="s">
        <v>20</v>
      </c>
      <c r="M8888" t="s">
        <v>17230</v>
      </c>
      <c r="N8888" t="s">
        <v>14</v>
      </c>
    </row>
    <row r="8889" x14ac:dyDescent="0.25">
      <c r="A8889" t="n">
        <v>24</v>
      </c>
      <c r="B8889" t="s">
        <v>14</v>
      </c>
      <c r="C8889" t="s">
        <v>22</v>
      </c>
      <c r="D8889" s="2" t="s">
        <f>=HYPERLINK("https://main.knesset.gov.il/APPS/legislation/main/bills/2167459", "הצעת חוק איסור לשון הרע (תיקון - ביזוי אדם מחמת משקל), התשפ""ב-2022")</f>
        <v>17320</v>
      </c>
      <c r="E8889" t="s">
        <v>17320</v>
      </c>
      <c r="F8889" t="s">
        <v>17321</v>
      </c>
      <c r="G8889" t="s">
        <v>14</v>
      </c>
      <c r="H8889">
             </c>
      <c r="I8889" t="s">
        <v>14</v>
      </c>
      <c r="J8889" t="s">
        <v>141</v>
      </c>
      <c r="K8889" t="s">
        <v>14</v>
      </c>
      <c r="L8889" t="s">
        <v>20</v>
      </c>
      <c r="M8889" t="s">
        <v>17230</v>
      </c>
      <c r="N8889" t="s">
        <v>14</v>
      </c>
    </row>
    <row r="8890" x14ac:dyDescent="0.25">
      <c r="A8890" t="n">
        <v>24</v>
      </c>
      <c r="B8890" t="s">
        <v>14</v>
      </c>
      <c r="C8890" t="s">
        <v>22</v>
      </c>
      <c r="D8890" s="2" t="s">
        <f>=HYPERLINK("https://main.knesset.gov.il/APPS/legislation/main/bills/2167567", "הצעת חוק לעידוד מחקר, פיתוח וחדשנות טכנולוגית בתעשייה (תיקון - תקציב הרשות הלאומית לחדשנות טכנולוגית), התשפ""ב-2022")</f>
        <v>17322</v>
      </c>
      <c r="E8890" t="s">
        <v>17322</v>
      </c>
      <c r="F8890" t="s">
        <v>17323</v>
      </c>
      <c r="G8890" t="s">
        <v>14</v>
      </c>
      <c r="H8890">
             </c>
      <c r="I8890" t="s">
        <v>14</v>
      </c>
      <c r="J8890" t="s">
        <v>141</v>
      </c>
      <c r="K8890" t="s">
        <v>14</v>
      </c>
      <c r="L8890" t="s">
        <v>20</v>
      </c>
      <c r="M8890" t="s">
        <v>17230</v>
      </c>
      <c r="N8890" t="s">
        <v>14</v>
      </c>
    </row>
    <row r="8891" x14ac:dyDescent="0.25">
      <c r="A8891" t="n">
        <v>24</v>
      </c>
      <c r="B8891" t="s">
        <v>14</v>
      </c>
      <c r="C8891" t="s">
        <v>22</v>
      </c>
      <c r="D8891" s="2" t="s">
        <f>=HYPERLINK("https://main.knesset.gov.il/APPS/legislation/main/bills/2167575", "הצעת חוק לתיקון פקודת מס הכנסה (זיכוי במס לגרושים ידועים בציבור), התשפ""ב-2022")</f>
        <v>17324</v>
      </c>
      <c r="E8891" t="s">
        <v>17324</v>
      </c>
      <c r="F8891" t="s">
        <v>17325</v>
      </c>
      <c r="G8891" t="s">
        <v>14</v>
      </c>
      <c r="H8891">
             </c>
      <c r="I8891" t="s">
        <v>14</v>
      </c>
      <c r="J8891" t="s">
        <v>141</v>
      </c>
      <c r="K8891" t="s">
        <v>14</v>
      </c>
      <c r="L8891" t="s">
        <v>20</v>
      </c>
      <c r="M8891" t="s">
        <v>17230</v>
      </c>
      <c r="N8891" t="s">
        <v>14</v>
      </c>
    </row>
    <row r="8892" x14ac:dyDescent="0.25">
      <c r="A8892" t="n">
        <v>24</v>
      </c>
      <c r="B8892" t="s">
        <v>14</v>
      </c>
      <c r="C8892" t="s">
        <v>22</v>
      </c>
      <c r="D8892" s="2" t="s">
        <f>=HYPERLINK("https://main.knesset.gov.il/APPS/legislation/main/bills/2167579", "הצעת חוק לימוד חובה (תיקון - חינוך חינם לגיל הרך), התשפ""ב-2022")</f>
        <v>17326</v>
      </c>
      <c r="E8892" t="s">
        <v>17326</v>
      </c>
      <c r="F8892" t="s">
        <v>17327</v>
      </c>
      <c r="G8892" t="s">
        <v>14</v>
      </c>
      <c r="H8892">
             </c>
      <c r="I8892" t="s">
        <v>14</v>
      </c>
      <c r="J8892" t="s">
        <v>141</v>
      </c>
      <c r="K8892" t="s">
        <v>14</v>
      </c>
      <c r="L8892" t="s">
        <v>20</v>
      </c>
      <c r="M8892" t="s">
        <v>17230</v>
      </c>
      <c r="N8892" t="s">
        <v>14</v>
      </c>
    </row>
    <row r="8893" x14ac:dyDescent="0.25">
      <c r="A8893" t="n">
        <v>24</v>
      </c>
      <c r="B8893" t="s">
        <v>14</v>
      </c>
      <c r="C8893" t="s">
        <v>22</v>
      </c>
      <c r="D8893" s="2" t="s">
        <f>=HYPERLINK("https://main.knesset.gov.il/APPS/legislation/main/bills/2167466", "הצעת חוק-יסוד: הארכת תקופת הפסילה בשל עבירות שיש עמן קלון לנבחרי ציבור (תיקוני חקיקה)")</f>
        <v>17328</v>
      </c>
      <c r="E8893" t="s">
        <v>17328</v>
      </c>
      <c r="F8893" t="s">
        <v>17329</v>
      </c>
      <c r="G8893" t="s">
        <v>14</v>
      </c>
      <c r="H8893">
             </c>
      <c r="I8893" t="s">
        <v>14</v>
      </c>
      <c r="J8893" t="s">
        <v>141</v>
      </c>
      <c r="K8893" t="s">
        <v>14</v>
      </c>
      <c r="L8893" t="s">
        <v>20</v>
      </c>
      <c r="M8893" t="s">
        <v>17230</v>
      </c>
      <c r="N8893" t="s">
        <v>14</v>
      </c>
    </row>
    <row r="8894" x14ac:dyDescent="0.25">
      <c r="A8894" t="n">
        <v>24</v>
      </c>
      <c r="B8894" t="s">
        <v>14</v>
      </c>
      <c r="C8894" t="s">
        <v>22</v>
      </c>
      <c r="D8894" s="2" t="s">
        <f>=HYPERLINK("https://main.knesset.gov.il/APPS/legislation/main/bills/2167640", "הצעת חוק איסור הפליה במוצרים, בשירותים ובכניסה למקומות בידור ולמקומות ציבוריים (תיקון - קיום אירועי תרבות בהפרדה מגדרית בשל טעמי דת), התשפ""ב-2022")</f>
        <v>17330</v>
      </c>
      <c r="E8894" t="s">
        <v>17330</v>
      </c>
      <c r="F8894" t="s">
        <v>17331</v>
      </c>
      <c r="G8894" t="s">
        <v>14</v>
      </c>
      <c r="H8894">
             </c>
      <c r="I8894" t="s">
        <v>14</v>
      </c>
      <c r="J8894" t="s">
        <v>141</v>
      </c>
      <c r="K8894" t="s">
        <v>14</v>
      </c>
      <c r="L8894" t="s">
        <v>20</v>
      </c>
      <c r="M8894" t="s">
        <v>17230</v>
      </c>
      <c r="N8894" t="s">
        <v>14</v>
      </c>
    </row>
    <row r="8895" x14ac:dyDescent="0.25">
      <c r="A8895" t="n">
        <v>24</v>
      </c>
      <c r="B8895" t="s">
        <v>14</v>
      </c>
      <c r="C8895" t="s">
        <v>22</v>
      </c>
      <c r="D8895" s="2" t="s">
        <f>=HYPERLINK("https://main.knesset.gov.il/APPS/legislation/main/bills/2167386", "הצעת חוק להקמת אוניברסיטה ערבית ביישוב ערבי, התשפ""ב-2022")</f>
        <v>16800</v>
      </c>
      <c r="E8895" t="s">
        <v>16800</v>
      </c>
      <c r="F8895" t="s">
        <v>17332</v>
      </c>
      <c r="G8895" t="s">
        <v>14</v>
      </c>
      <c r="H8895">
             </c>
      <c r="I8895" t="s">
        <v>14</v>
      </c>
      <c r="J8895" t="s">
        <v>141</v>
      </c>
      <c r="K8895" t="s">
        <v>14</v>
      </c>
      <c r="L8895" t="s">
        <v>20</v>
      </c>
      <c r="M8895" t="s">
        <v>17230</v>
      </c>
      <c r="N8895" t="s">
        <v>14</v>
      </c>
    </row>
    <row r="8896" x14ac:dyDescent="0.25">
      <c r="A8896" t="n">
        <v>24</v>
      </c>
      <c r="B8896" t="s">
        <v>14</v>
      </c>
      <c r="C8896" t="s">
        <v>22</v>
      </c>
      <c r="D8896" s="2" t="s">
        <f>=HYPERLINK("https://main.knesset.gov.il/APPS/legislation/main/bills/2166863", "הצעת חוק החברות הממשלתיות (תיקון - כשירות מיוחדת), התשפ""ב-2022")</f>
        <v>17333</v>
      </c>
      <c r="E8896" t="s">
        <v>17333</v>
      </c>
      <c r="F8896" t="s">
        <v>17334</v>
      </c>
      <c r="G8896" t="s">
        <v>14</v>
      </c>
      <c r="H8896">
             </c>
      <c r="I8896" t="s">
        <v>14</v>
      </c>
      <c r="J8896" t="s">
        <v>141</v>
      </c>
      <c r="K8896" t="s">
        <v>14</v>
      </c>
      <c r="L8896" t="s">
        <v>20</v>
      </c>
      <c r="M8896" t="s">
        <v>17230</v>
      </c>
      <c r="N8896" t="s">
        <v>14</v>
      </c>
    </row>
    <row r="8897" x14ac:dyDescent="0.25">
      <c r="A8897" t="n">
        <v>24</v>
      </c>
      <c r="B8897" t="s">
        <v>14</v>
      </c>
      <c r="C8897" t="s">
        <v>22</v>
      </c>
      <c r="D8897" s="2" t="s">
        <f>=HYPERLINK("https://main.knesset.gov.il/APPS/legislation/main/bills/2167573", "הצעת חוק הבנקאות (שירות ללקוח) (תיקון - ריבית על יתרת זכות), התשפ""ב-2022")</f>
        <v>17335</v>
      </c>
      <c r="E8897" t="s">
        <v>17335</v>
      </c>
      <c r="F8897" t="s">
        <v>17336</v>
      </c>
      <c r="G8897" t="s">
        <v>14</v>
      </c>
      <c r="H8897">
             </c>
      <c r="I8897" t="s">
        <v>14</v>
      </c>
      <c r="J8897" t="s">
        <v>141</v>
      </c>
      <c r="K8897" t="s">
        <v>14</v>
      </c>
      <c r="L8897" t="s">
        <v>20</v>
      </c>
      <c r="M8897" t="s">
        <v>17230</v>
      </c>
      <c r="N8897" t="s">
        <v>14</v>
      </c>
    </row>
    <row r="8898" x14ac:dyDescent="0.25">
      <c r="A8898" t="n">
        <v>24</v>
      </c>
      <c r="B8898" t="s">
        <v>14</v>
      </c>
      <c r="C8898" t="s">
        <v>22</v>
      </c>
      <c r="D8898" s="2" t="s">
        <f>=HYPERLINK("https://main.knesset.gov.il/APPS/legislation/main/bills/2167494", "הצעת חוק זכויות הדייר בדיור הציבורי (תיקון - הארכת תוקף זכאות לדירה ציבורית), התשפ""ב-2022")</f>
        <v>17337</v>
      </c>
      <c r="E8898" t="s">
        <v>17337</v>
      </c>
      <c r="F8898" t="s">
        <v>17338</v>
      </c>
      <c r="G8898" t="s">
        <v>14</v>
      </c>
      <c r="H8898">
             </c>
      <c r="I8898" t="s">
        <v>14</v>
      </c>
      <c r="J8898" t="s">
        <v>141</v>
      </c>
      <c r="K8898" t="s">
        <v>14</v>
      </c>
      <c r="L8898" t="s">
        <v>20</v>
      </c>
      <c r="M8898" t="s">
        <v>17230</v>
      </c>
      <c r="N8898" t="s">
        <v>14</v>
      </c>
    </row>
    <row r="8899" x14ac:dyDescent="0.25">
      <c r="A8899" t="n">
        <v>24</v>
      </c>
      <c r="B8899" t="s">
        <v>14</v>
      </c>
      <c r="C8899" t="s">
        <v>22</v>
      </c>
      <c r="D8899" s="2" t="s">
        <f>=HYPERLINK("https://main.knesset.gov.il/APPS/legislation/main/bills/2167015", "הצעת חוק הגנה על הציבור מפני ביצוע עבירות מין (תיקון - מתן טיפול שיקום מונע ללא הרשעה), התשפ""ב-2022")</f>
        <v>17339</v>
      </c>
      <c r="E8899" t="s">
        <v>17339</v>
      </c>
      <c r="F8899" t="s">
        <v>17340</v>
      </c>
      <c r="G8899" t="s">
        <v>14</v>
      </c>
      <c r="H8899">
             </c>
      <c r="I8899" t="s">
        <v>14</v>
      </c>
      <c r="J8899" t="s">
        <v>141</v>
      </c>
      <c r="K8899" t="s">
        <v>14</v>
      </c>
      <c r="L8899" t="s">
        <v>20</v>
      </c>
      <c r="M8899" t="s">
        <v>17230</v>
      </c>
      <c r="N8899" t="s">
        <v>14</v>
      </c>
    </row>
    <row r="8900" x14ac:dyDescent="0.25">
      <c r="A8900" t="n">
        <v>24</v>
      </c>
      <c r="B8900" t="s">
        <v>14</v>
      </c>
      <c r="C8900" t="s">
        <v>22</v>
      </c>
      <c r="D8900" s="2" t="s">
        <f>=HYPERLINK("https://main.knesset.gov.il/APPS/legislation/main/bills/2166427", "הצעת חוק הביטוח הלאומי (תיקון - הוראות לעניין עקרת בית), התשפ""ב-2022")</f>
        <v>17341</v>
      </c>
      <c r="E8900" t="s">
        <v>17341</v>
      </c>
      <c r="F8900" t="s">
        <v>17342</v>
      </c>
      <c r="G8900" t="s">
        <v>14</v>
      </c>
      <c r="H8900">
             </c>
      <c r="I8900" t="s">
        <v>14</v>
      </c>
      <c r="J8900" t="s">
        <v>141</v>
      </c>
      <c r="K8900" t="s">
        <v>14</v>
      </c>
      <c r="L8900" t="s">
        <v>20</v>
      </c>
      <c r="M8900" t="s">
        <v>17230</v>
      </c>
      <c r="N8900" t="s">
        <v>14</v>
      </c>
    </row>
    <row r="8901" x14ac:dyDescent="0.25">
      <c r="A8901" t="n">
        <v>24</v>
      </c>
      <c r="B8901" t="s">
        <v>14</v>
      </c>
      <c r="C8901" t="s">
        <v>15</v>
      </c>
      <c r="D8901" s="2" t="s">
        <f>=HYPERLINK("https://main.knesset.gov.il/APPS/legislation/main/bills/2168086", "הצעת חוק להגנה על הציבור מפני פרסומים מסוכנים ברשת האינטרנט, התשפ""ב-2022")</f>
        <v>17343</v>
      </c>
      <c r="E8901" t="s">
        <v>17343</v>
      </c>
      <c r="F8901" t="s">
        <v>14</v>
      </c>
      <c r="G8901" t="s">
        <v>17344</v>
      </c>
      <c r="H8901">
             </c>
      <c r="I8901" t="s">
        <v>14</v>
      </c>
      <c r="J8901" t="s">
        <v>69</v>
      </c>
      <c r="K8901" t="s">
        <v>14</v>
      </c>
      <c r="L8901" t="s">
        <v>20</v>
      </c>
      <c r="M8901" t="s">
        <v>17230</v>
      </c>
      <c r="N8901" t="s">
        <v>14</v>
      </c>
    </row>
    <row r="8902" x14ac:dyDescent="0.25">
      <c r="A8902" t="n">
        <v>24</v>
      </c>
      <c r="B8902" t="s">
        <v>14</v>
      </c>
      <c r="C8902" t="s">
        <v>15</v>
      </c>
      <c r="D8902" s="2" t="s">
        <f>=HYPERLINK("https://main.knesset.gov.il/APPS/legislation/main/bills/2164086", "חוק התכנון והבנייה (תיקון מס' 137 והוראת שעה), התשפ""ב-2022")</f>
        <v>17345</v>
      </c>
      <c r="E8902" t="s">
        <v>17345</v>
      </c>
      <c r="F8902" t="s">
        <v>14</v>
      </c>
      <c r="G8902" t="s">
        <v>17346</v>
      </c>
      <c r="H8902" t="n">
        <v>2951</v>
      </c>
      <c r="I8902" t="s">
        <v>14</v>
      </c>
      <c r="J8902" t="s">
        <v>91</v>
      </c>
      <c r="K8902" t="s">
        <v>46</v>
      </c>
      <c r="L8902" t="s">
        <v>20</v>
      </c>
      <c r="M8902" t="s">
        <v>17347</v>
      </c>
      <c r="N8902" t="s">
        <v>17348</v>
      </c>
    </row>
    <row r="8903" x14ac:dyDescent="0.25">
      <c r="A8903" t="n">
        <v>24</v>
      </c>
      <c r="B8903" t="s">
        <v>14</v>
      </c>
      <c r="C8903" t="s">
        <v>15</v>
      </c>
      <c r="D8903" s="2" t="s">
        <f>=HYPERLINK("https://main.knesset.gov.il/APPS/legislation/main/bills/2165551", "חוק חומרי נפץ (תיקון מס' 5), התשפ""ב-2022")</f>
        <v>17349</v>
      </c>
      <c r="E8903" t="s">
        <v>17349</v>
      </c>
      <c r="F8903" t="s">
        <v>14</v>
      </c>
      <c r="G8903" t="s">
        <v>17350</v>
      </c>
      <c r="H8903" t="n">
        <v>2950</v>
      </c>
      <c r="I8903" t="s">
        <v>14</v>
      </c>
      <c r="J8903" t="s">
        <v>91</v>
      </c>
      <c r="K8903" t="s">
        <v>114</v>
      </c>
      <c r="L8903" t="s">
        <v>20</v>
      </c>
      <c r="M8903" t="s">
        <v>17347</v>
      </c>
      <c r="N8903" t="s">
        <v>17351</v>
      </c>
    </row>
    <row r="8904" x14ac:dyDescent="0.25">
      <c r="A8904" t="n">
        <v>24</v>
      </c>
      <c r="B8904" t="s">
        <v>14</v>
      </c>
      <c r="C8904" t="s">
        <v>20</v>
      </c>
      <c r="D8904" s="2" t="s">
        <f>=HYPERLINK("https://main.knesset.gov.il/APPS/legislation/main/bills/2165998", "חוק הבחירות (דרכי תעמולה) (תיקון מס' 38), התשפ""ב-2022")</f>
        <v>17352</v>
      </c>
      <c r="E8904" t="s">
        <v>17352</v>
      </c>
      <c r="F8904" t="s">
        <v>14</v>
      </c>
      <c r="G8904" t="s">
        <v>17353</v>
      </c>
      <c r="H8904" t="n">
        <v>2949</v>
      </c>
      <c r="I8904" t="s">
        <v>14</v>
      </c>
      <c r="J8904" t="s">
        <v>91</v>
      </c>
      <c r="K8904" t="s">
        <v>27</v>
      </c>
      <c r="L8904" t="s">
        <v>20</v>
      </c>
      <c r="M8904" t="s">
        <v>17347</v>
      </c>
      <c r="N8904" t="s">
        <v>17354</v>
      </c>
    </row>
    <row r="8905" x14ac:dyDescent="0.25">
      <c r="A8905" t="n">
        <v>24</v>
      </c>
      <c r="B8905" t="s">
        <v>14</v>
      </c>
      <c r="C8905" t="s">
        <v>22</v>
      </c>
      <c r="D8905" s="2" t="s">
        <f>=HYPERLINK("https://main.knesset.gov.il/APPS/legislation/main/bills/2164221", "הצעת חוק מימון מדיח כלים למשפחות ברוכות ילדים, התשפ""ב-2021")</f>
        <v>17355</v>
      </c>
      <c r="E8905" t="s">
        <v>17355</v>
      </c>
      <c r="F8905" t="s">
        <v>17356</v>
      </c>
      <c r="G8905" t="s">
        <v>14</v>
      </c>
      <c r="H8905">
             </c>
      <c r="I8905" t="s">
        <v>14</v>
      </c>
      <c r="J8905" t="s">
        <v>55</v>
      </c>
      <c r="K8905" t="s">
        <v>14</v>
      </c>
      <c r="L8905" t="s">
        <v>20</v>
      </c>
      <c r="M8905" t="s">
        <v>17347</v>
      </c>
      <c r="N8905" t="s">
        <v>14</v>
      </c>
    </row>
    <row r="8906" x14ac:dyDescent="0.25">
      <c r="A8906" t="n">
        <v>24</v>
      </c>
      <c r="B8906" t="s">
        <v>14</v>
      </c>
      <c r="C8906" t="s">
        <v>22</v>
      </c>
      <c r="D8906" s="2" t="s">
        <f>=HYPERLINK("https://main.knesset.gov.il/APPS/legislation/main/bills/2161876", "הצעת חוק המועצה להשכלה גבוהה (תיקון - איסור הגבלת גיל בהרשמה למוסד להשכלה גבוהה), התשפ""ב-2021")</f>
        <v>17357</v>
      </c>
      <c r="E8906" t="s">
        <v>17357</v>
      </c>
      <c r="F8906" t="s">
        <v>17358</v>
      </c>
      <c r="G8906" t="s">
        <v>14</v>
      </c>
      <c r="H8906">
             </c>
      <c r="I8906" t="s">
        <v>14</v>
      </c>
      <c r="J8906" t="s">
        <v>55</v>
      </c>
      <c r="K8906" t="s">
        <v>14</v>
      </c>
      <c r="L8906" t="s">
        <v>20</v>
      </c>
      <c r="M8906" t="s">
        <v>17347</v>
      </c>
      <c r="N8906" t="s">
        <v>14</v>
      </c>
    </row>
    <row r="8907" x14ac:dyDescent="0.25">
      <c r="A8907" t="n">
        <v>24</v>
      </c>
      <c r="B8907" t="s">
        <v>14</v>
      </c>
      <c r="C8907" t="s">
        <v>22</v>
      </c>
      <c r="D8907" s="2" t="s">
        <f>=HYPERLINK("https://main.knesset.gov.il/APPS/legislation/main/bills/2158422", "הצעת חוק המקרקעין (חיזוק בתים משותפים מפני רעידות אדמה) (תיקון - פינוי קשישים), התשפ""א-2021")</f>
        <v>17359</v>
      </c>
      <c r="E8907" t="s">
        <v>17359</v>
      </c>
      <c r="F8907" t="s">
        <v>17360</v>
      </c>
      <c r="G8907" t="s">
        <v>14</v>
      </c>
      <c r="H8907">
             </c>
      <c r="I8907" t="s">
        <v>14</v>
      </c>
      <c r="J8907" t="s">
        <v>55</v>
      </c>
      <c r="K8907" t="s">
        <v>14</v>
      </c>
      <c r="L8907" t="s">
        <v>20</v>
      </c>
      <c r="M8907" t="s">
        <v>17347</v>
      </c>
      <c r="N8907" t="s">
        <v>14</v>
      </c>
    </row>
    <row r="8908" x14ac:dyDescent="0.25">
      <c r="A8908" t="n">
        <v>24</v>
      </c>
      <c r="B8908" t="s">
        <v>14</v>
      </c>
      <c r="C8908" t="s">
        <v>22</v>
      </c>
      <c r="D8908" s="2" t="s">
        <f>=HYPERLINK("https://main.knesset.gov.il/APPS/legislation/main/bills/2159638", "הצעת חוק-יסוד: הכנסת (תיקון - פסילת רשימת מועמדים או אדם המועמד לבחירות לכנסת בשל תמיכה או העלאה על נס של רוצחי יהודים)")</f>
        <v>13186</v>
      </c>
      <c r="E8908" t="s">
        <v>13186</v>
      </c>
      <c r="F8908" t="s">
        <v>17361</v>
      </c>
      <c r="G8908" t="s">
        <v>14</v>
      </c>
      <c r="H8908">
             </c>
      <c r="I8908" t="s">
        <v>14</v>
      </c>
      <c r="J8908" t="s">
        <v>55</v>
      </c>
      <c r="K8908" t="s">
        <v>14</v>
      </c>
      <c r="L8908" t="s">
        <v>20</v>
      </c>
      <c r="M8908" t="s">
        <v>17347</v>
      </c>
      <c r="N8908" t="s">
        <v>14</v>
      </c>
    </row>
    <row r="8909" x14ac:dyDescent="0.25">
      <c r="A8909" t="n">
        <v>24</v>
      </c>
      <c r="B8909" t="s">
        <v>14</v>
      </c>
      <c r="C8909" t="s">
        <v>22</v>
      </c>
      <c r="D8909" s="2" t="s">
        <f>=HYPERLINK("https://main.knesset.gov.il/APPS/legislation/main/bills/2160646", "הצעת חוק המועצה להשכלה גבוהה (תיקון - איסור הגבלת גיל בהרשמה למוסד להשכלה גבוהה), התשפ""א-2021")</f>
        <v>17362</v>
      </c>
      <c r="E8909" t="s">
        <v>17362</v>
      </c>
      <c r="F8909" t="s">
        <v>17363</v>
      </c>
      <c r="G8909" t="s">
        <v>14</v>
      </c>
      <c r="H8909">
             </c>
      <c r="I8909" t="s">
        <v>14</v>
      </c>
      <c r="J8909" t="s">
        <v>55</v>
      </c>
      <c r="K8909" t="s">
        <v>14</v>
      </c>
      <c r="L8909" t="s">
        <v>20</v>
      </c>
      <c r="M8909" t="s">
        <v>17347</v>
      </c>
      <c r="N8909" t="s">
        <v>14</v>
      </c>
    </row>
    <row r="8910" x14ac:dyDescent="0.25">
      <c r="A8910" t="n">
        <v>24</v>
      </c>
      <c r="B8910" t="s">
        <v>14</v>
      </c>
      <c r="C8910" t="s">
        <v>22</v>
      </c>
      <c r="D8910" s="2" t="s">
        <f>=HYPERLINK("https://main.knesset.gov.il/APPS/legislation/main/bills/2158344", "הצעת חוק השמירה על המקומות הקדושים (תיקון - שמירה על הכותל המערבי, הר הבית ומערת המכפלה), התשפ""א-2021")</f>
        <v>17364</v>
      </c>
      <c r="E8910" t="s">
        <v>17364</v>
      </c>
      <c r="F8910" t="s">
        <v>17365</v>
      </c>
      <c r="G8910" t="s">
        <v>14</v>
      </c>
      <c r="H8910">
             </c>
      <c r="I8910" t="s">
        <v>14</v>
      </c>
      <c r="J8910" t="s">
        <v>55</v>
      </c>
      <c r="K8910" t="s">
        <v>14</v>
      </c>
      <c r="L8910" t="s">
        <v>20</v>
      </c>
      <c r="M8910" t="s">
        <v>17347</v>
      </c>
      <c r="N8910" t="s">
        <v>14</v>
      </c>
    </row>
    <row r="8911" x14ac:dyDescent="0.25">
      <c r="A8911" t="n">
        <v>24</v>
      </c>
      <c r="B8911" t="s">
        <v>14</v>
      </c>
      <c r="C8911" t="s">
        <v>22</v>
      </c>
      <c r="D8911" s="2" t="s">
        <f>=HYPERLINK("https://main.knesset.gov.il/APPS/legislation/main/bills/2157692", "הצעת חוק חינוך לשוויון מגדרי, התשפ""א-2021 ")</f>
        <v>17366</v>
      </c>
      <c r="E8911" t="s">
        <v>17366</v>
      </c>
      <c r="F8911" t="s">
        <v>17367</v>
      </c>
      <c r="G8911" t="s">
        <v>14</v>
      </c>
      <c r="H8911">
             </c>
      <c r="I8911" t="s">
        <v>14</v>
      </c>
      <c r="J8911" t="s">
        <v>343</v>
      </c>
      <c r="K8911" t="s">
        <v>14</v>
      </c>
      <c r="L8911" t="s">
        <v>20</v>
      </c>
      <c r="M8911" t="s">
        <v>17347</v>
      </c>
      <c r="N8911" t="s">
        <v>14</v>
      </c>
    </row>
    <row r="8912" x14ac:dyDescent="0.25">
      <c r="A8912" t="n">
        <v>24</v>
      </c>
      <c r="B8912" t="s">
        <v>14</v>
      </c>
      <c r="C8912" t="s">
        <v>22</v>
      </c>
      <c r="D8912" s="2" t="s">
        <f>=HYPERLINK("https://main.knesset.gov.il/APPS/legislation/main/bills/2156677", "הצעת חוק חינוך ממלכתי (תיקון - חינוך לשוויון מגדרי חובה), התשפ""א-2021")</f>
        <v>17368</v>
      </c>
      <c r="E8912" t="s">
        <v>17368</v>
      </c>
      <c r="F8912" t="s">
        <v>17369</v>
      </c>
      <c r="G8912" t="s">
        <v>14</v>
      </c>
      <c r="H8912">
             </c>
      <c r="I8912" t="s">
        <v>14</v>
      </c>
      <c r="J8912" t="s">
        <v>343</v>
      </c>
      <c r="K8912" t="s">
        <v>14</v>
      </c>
      <c r="L8912" t="s">
        <v>20</v>
      </c>
      <c r="M8912" t="s">
        <v>17347</v>
      </c>
      <c r="N8912" t="s">
        <v>14</v>
      </c>
    </row>
    <row r="8913" x14ac:dyDescent="0.25">
      <c r="A8913" t="n">
        <v>24</v>
      </c>
      <c r="B8913" t="s">
        <v>14</v>
      </c>
      <c r="C8913" t="s">
        <v>22</v>
      </c>
      <c r="D8913" s="2" t="s">
        <f>=HYPERLINK("https://main.knesset.gov.il/APPS/legislation/main/bills/2160025", "הצעת חוק דיווח שנתי על מצב הטבע והמגוון הביולוגי בישראל, התשפ""א-2021")</f>
        <v>17370</v>
      </c>
      <c r="E8913" t="s">
        <v>17370</v>
      </c>
      <c r="F8913" t="s">
        <v>17371</v>
      </c>
      <c r="G8913" t="s">
        <v>14</v>
      </c>
      <c r="H8913">
             </c>
      <c r="I8913" t="s">
        <v>14</v>
      </c>
      <c r="J8913" t="s">
        <v>99</v>
      </c>
      <c r="K8913" t="s">
        <v>46</v>
      </c>
      <c r="L8913" t="s">
        <v>20</v>
      </c>
      <c r="M8913" t="s">
        <v>17372</v>
      </c>
      <c r="N8913" t="s">
        <v>14</v>
      </c>
    </row>
    <row r="8914" x14ac:dyDescent="0.25">
      <c r="A8914" t="n">
        <v>24</v>
      </c>
      <c r="B8914" t="s">
        <v>14</v>
      </c>
      <c r="C8914" t="s">
        <v>22</v>
      </c>
      <c r="D8914" s="2" t="s">
        <f>=HYPERLINK("https://main.knesset.gov.il/APPS/legislation/main/bills/2163108", "חוק התכנון והבנייה (תיקון מס' 136), התשפ""ב-2021")</f>
        <v>17373</v>
      </c>
      <c r="E8914" t="s">
        <v>17373</v>
      </c>
      <c r="F8914" t="s">
        <v>17374</v>
      </c>
      <c r="G8914" t="s">
        <v>17375</v>
      </c>
      <c r="H8914" t="n">
        <v>2948</v>
      </c>
      <c r="I8914" t="s">
        <v>14</v>
      </c>
      <c r="J8914" t="s">
        <v>91</v>
      </c>
      <c r="K8914" t="s">
        <v>46</v>
      </c>
      <c r="L8914" t="s">
        <v>20</v>
      </c>
      <c r="M8914" t="s">
        <v>17372</v>
      </c>
      <c r="N8914" t="s">
        <v>17376</v>
      </c>
    </row>
    <row r="8915" x14ac:dyDescent="0.25">
      <c r="A8915" t="n">
        <v>24</v>
      </c>
      <c r="B8915" t="s">
        <v>14</v>
      </c>
      <c r="C8915" t="s">
        <v>15</v>
      </c>
      <c r="D8915" s="2" t="s">
        <f>=HYPERLINK("https://main.knesset.gov.il/APPS/legislation/main/bills/2167882", "הצעת חוק ארגון הפיקוח על העבודה (תיקון מס' 12), התשפ""ב-2022")</f>
        <v>17377</v>
      </c>
      <c r="E8915" t="s">
        <v>17377</v>
      </c>
      <c r="F8915" t="s">
        <v>14</v>
      </c>
      <c r="G8915" t="s">
        <v>17378</v>
      </c>
      <c r="H8915">
             </c>
      <c r="I8915" t="s">
        <v>14</v>
      </c>
      <c r="J8915" t="s">
        <v>69</v>
      </c>
      <c r="K8915" t="s">
        <v>14</v>
      </c>
      <c r="L8915" t="s">
        <v>20</v>
      </c>
      <c r="M8915" t="s">
        <v>17372</v>
      </c>
      <c r="N8915" t="s">
        <v>14</v>
      </c>
    </row>
    <row r="8916" x14ac:dyDescent="0.25">
      <c r="A8916" t="n">
        <v>24</v>
      </c>
      <c r="B8916" t="s">
        <v>14</v>
      </c>
      <c r="C8916" t="s">
        <v>15</v>
      </c>
      <c r="D8916" s="2" t="s">
        <f>=HYPERLINK("https://main.knesset.gov.il/APPS/legislation/main/bills/2167883", "הצעת חוק לתיקון פקודת השותפויות (מס' 6), התשפ""ב-2022 ")</f>
        <v>17379</v>
      </c>
      <c r="E8916" t="s">
        <v>17379</v>
      </c>
      <c r="F8916" t="s">
        <v>14</v>
      </c>
      <c r="G8916" t="s">
        <v>17380</v>
      </c>
      <c r="H8916">
             </c>
      <c r="I8916" t="s">
        <v>14</v>
      </c>
      <c r="J8916" t="s">
        <v>69</v>
      </c>
      <c r="K8916" t="s">
        <v>14</v>
      </c>
      <c r="L8916" t="s">
        <v>20</v>
      </c>
      <c r="M8916" t="s">
        <v>17372</v>
      </c>
      <c r="N8916" t="s">
        <v>14</v>
      </c>
    </row>
    <row r="8917" x14ac:dyDescent="0.25">
      <c r="A8917" t="n">
        <v>24</v>
      </c>
      <c r="B8917" t="s">
        <v>14</v>
      </c>
      <c r="C8917" t="s">
        <v>22</v>
      </c>
      <c r="D8917" s="2" t="s">
        <f>=HYPERLINK("https://main.knesset.gov.il/APPS/legislation/main/bills/2160324", "הצעת חוק איסור שימוש בחקירה של מי שנפגע מינית, בממצאי טיפול נפשי וביומנים אישיים (תיקוני חקיקה), התשפ""א-2021")</f>
        <v>17381</v>
      </c>
      <c r="E8917" t="s">
        <v>17381</v>
      </c>
      <c r="F8917" t="s">
        <v>17382</v>
      </c>
      <c r="G8917" t="s">
        <v>14</v>
      </c>
      <c r="H8917">
             </c>
      <c r="I8917" t="s">
        <v>14</v>
      </c>
      <c r="J8917" t="s">
        <v>31</v>
      </c>
      <c r="K8917" t="s">
        <v>27</v>
      </c>
      <c r="L8917" t="s">
        <v>20</v>
      </c>
      <c r="M8917" t="s">
        <v>17383</v>
      </c>
      <c r="N8917" t="s">
        <v>14</v>
      </c>
    </row>
    <row r="8918" x14ac:dyDescent="0.25">
      <c r="A8918" t="n">
        <v>24</v>
      </c>
      <c r="B8918" t="s">
        <v>14</v>
      </c>
      <c r="C8918" t="s">
        <v>22</v>
      </c>
      <c r="D8918" s="2" t="s">
        <f>=HYPERLINK("https://main.knesset.gov.il/APPS/legislation/main/bills/2157236", "הצעת חוק איסור שימוש בחקירה של מי שנפגע מינית, בממצאי טיפול נפשי וביומנים אישיים (תיקוני חקיקה), התשפ""א-2021")</f>
        <v>17381</v>
      </c>
      <c r="E8918" t="s">
        <v>17381</v>
      </c>
      <c r="F8918" t="s">
        <v>17384</v>
      </c>
      <c r="G8918" t="s">
        <v>14</v>
      </c>
      <c r="H8918">
             </c>
      <c r="I8918" t="s">
        <v>14</v>
      </c>
      <c r="J8918" t="s">
        <v>99</v>
      </c>
      <c r="K8918" t="s">
        <v>27</v>
      </c>
      <c r="L8918" t="s">
        <v>20</v>
      </c>
      <c r="M8918" t="s">
        <v>17383</v>
      </c>
      <c r="N8918" t="s">
        <v>14</v>
      </c>
    </row>
    <row r="8919" x14ac:dyDescent="0.25">
      <c r="A8919" t="n">
        <v>24</v>
      </c>
      <c r="B8919" t="s">
        <v>14</v>
      </c>
      <c r="C8919" t="s">
        <v>22</v>
      </c>
      <c r="D8919" s="2" t="s">
        <f>=HYPERLINK("https://main.knesset.gov.il/APPS/legislation/main/bills/2157818", "הצעת חוק לתיקון פקודת הראיות (הסרת חיסיון), התשפ""א-2021")</f>
        <v>17385</v>
      </c>
      <c r="E8919" t="s">
        <v>17385</v>
      </c>
      <c r="F8919" t="s">
        <v>17386</v>
      </c>
      <c r="G8919" t="s">
        <v>14</v>
      </c>
      <c r="H8919">
             </c>
      <c r="I8919" t="s">
        <v>14</v>
      </c>
      <c r="J8919" t="s">
        <v>99</v>
      </c>
      <c r="K8919" t="s">
        <v>27</v>
      </c>
      <c r="L8919" t="s">
        <v>20</v>
      </c>
      <c r="M8919" t="s">
        <v>17383</v>
      </c>
      <c r="N8919" t="s">
        <v>14</v>
      </c>
    </row>
    <row r="8920" x14ac:dyDescent="0.25">
      <c r="A8920" t="n">
        <v>24</v>
      </c>
      <c r="B8920" t="s">
        <v>14</v>
      </c>
      <c r="C8920" t="s">
        <v>15</v>
      </c>
      <c r="D8920" s="2" t="s">
        <f>=HYPERLINK("https://main.knesset.gov.il/APPS/legislation/main/bills/2166550", "חוק לפינוי שדות מוקשים (תיקון – הוראת שעה) (תיקון), התשפ""ב-2022")</f>
        <v>17387</v>
      </c>
      <c r="E8920" t="s">
        <v>17387</v>
      </c>
      <c r="F8920" t="s">
        <v>14</v>
      </c>
      <c r="G8920" t="s">
        <v>17388</v>
      </c>
      <c r="H8920" t="n">
        <v>2947</v>
      </c>
      <c r="I8920" t="s">
        <v>14</v>
      </c>
      <c r="J8920" t="s">
        <v>91</v>
      </c>
      <c r="K8920" t="s">
        <v>114</v>
      </c>
      <c r="L8920" t="s">
        <v>20</v>
      </c>
      <c r="M8920" t="s">
        <v>17383</v>
      </c>
      <c r="N8920" t="s">
        <v>17389</v>
      </c>
    </row>
    <row r="8921" x14ac:dyDescent="0.25">
      <c r="A8921" t="n">
        <v>24</v>
      </c>
      <c r="B8921" t="s">
        <v>14</v>
      </c>
      <c r="C8921" t="s">
        <v>22</v>
      </c>
      <c r="D8921" s="2" t="s">
        <f>=HYPERLINK("https://main.knesset.gov.il/APPS/legislation/main/bills/2165853", "הצעת חוק הנוער (טיפול והשגחה) (תיקון - ביטול הגנת קטין מפני פרסומים מזיקים במקרה של טיפול ואשפוז פסיכיאטריים), התשפ""ב-2022")</f>
        <v>17390</v>
      </c>
      <c r="E8921" t="s">
        <v>17390</v>
      </c>
      <c r="F8921" t="s">
        <v>17391</v>
      </c>
      <c r="G8921" t="s">
        <v>14</v>
      </c>
      <c r="H8921">
             </c>
      <c r="I8921" t="s">
        <v>14</v>
      </c>
      <c r="J8921" t="s">
        <v>141</v>
      </c>
      <c r="K8921" t="s">
        <v>14</v>
      </c>
      <c r="L8921" t="s">
        <v>20</v>
      </c>
      <c r="M8921" t="s">
        <v>17383</v>
      </c>
      <c r="N8921" t="s">
        <v>14</v>
      </c>
    </row>
    <row r="8922" x14ac:dyDescent="0.25">
      <c r="A8922" t="n">
        <v>24</v>
      </c>
      <c r="B8922" t="s">
        <v>14</v>
      </c>
      <c r="C8922" t="s">
        <v>22</v>
      </c>
      <c r="D8922" s="2" t="s">
        <f>=HYPERLINK("https://main.knesset.gov.il/APPS/legislation/main/bills/2166370", "הצעת חוק מרכזי חירום ושליטה ביישובים סמוכי גבול, התשפ""ב-2022")</f>
        <v>17392</v>
      </c>
      <c r="E8922" t="s">
        <v>17392</v>
      </c>
      <c r="F8922" t="s">
        <v>17393</v>
      </c>
      <c r="G8922" t="s">
        <v>14</v>
      </c>
      <c r="H8922">
             </c>
      <c r="I8922" t="s">
        <v>14</v>
      </c>
      <c r="J8922" t="s">
        <v>141</v>
      </c>
      <c r="K8922" t="s">
        <v>14</v>
      </c>
      <c r="L8922" t="s">
        <v>20</v>
      </c>
      <c r="M8922" t="s">
        <v>17383</v>
      </c>
      <c r="N8922" t="s">
        <v>14</v>
      </c>
    </row>
    <row r="8923" x14ac:dyDescent="0.25">
      <c r="A8923" t="n">
        <v>24</v>
      </c>
      <c r="B8923" t="s">
        <v>14</v>
      </c>
      <c r="C8923" t="s">
        <v>22</v>
      </c>
      <c r="D8923" s="2" t="s">
        <f>=HYPERLINK("https://main.knesset.gov.il/APPS/legislation/main/bills/2162360", "הצעת חוק מאבק בנטילת דמי חסות (אכיפה וענישה) (תיקוני חקיקה והוראת שעה), התשפ""ב-2022")</f>
        <v>14856</v>
      </c>
      <c r="E8923" t="s">
        <v>14856</v>
      </c>
      <c r="F8923" t="s">
        <v>17394</v>
      </c>
      <c r="G8923" t="s">
        <v>14</v>
      </c>
      <c r="H8923">
             </c>
      <c r="I8923" t="s">
        <v>14</v>
      </c>
      <c r="J8923" t="s">
        <v>141</v>
      </c>
      <c r="K8923" t="s">
        <v>14</v>
      </c>
      <c r="L8923" t="s">
        <v>20</v>
      </c>
      <c r="M8923" t="s">
        <v>17383</v>
      </c>
      <c r="N8923" t="s">
        <v>14</v>
      </c>
    </row>
    <row r="8924" x14ac:dyDescent="0.25">
      <c r="A8924" t="n">
        <v>24</v>
      </c>
      <c r="B8924" t="s">
        <v>14</v>
      </c>
      <c r="C8924" t="s">
        <v>22</v>
      </c>
      <c r="D8924" s="2" t="s">
        <f>=HYPERLINK("https://main.knesset.gov.il/APPS/legislation/main/bills/2166058", "הצעת חוק איסור הפליה במוצרים, בשירותים ובכניסה למקומות בידור ולמקומות ציבוריים (תיקון - איסור הפליה בדיור), התשפ""ב-2022")</f>
        <v>17395</v>
      </c>
      <c r="E8924" t="s">
        <v>17395</v>
      </c>
      <c r="F8924" t="s">
        <v>17396</v>
      </c>
      <c r="G8924" t="s">
        <v>14</v>
      </c>
      <c r="H8924">
             </c>
      <c r="I8924" t="s">
        <v>14</v>
      </c>
      <c r="J8924" t="s">
        <v>141</v>
      </c>
      <c r="K8924" t="s">
        <v>14</v>
      </c>
      <c r="L8924" t="s">
        <v>20</v>
      </c>
      <c r="M8924" t="s">
        <v>17383</v>
      </c>
      <c r="N8924" t="s">
        <v>14</v>
      </c>
    </row>
    <row r="8925" x14ac:dyDescent="0.25">
      <c r="A8925" t="n">
        <v>24</v>
      </c>
      <c r="B8925" t="s">
        <v>14</v>
      </c>
      <c r="C8925" t="s">
        <v>22</v>
      </c>
      <c r="D8925" s="2" t="s">
        <f>=HYPERLINK("https://main.knesset.gov.il/APPS/legislation/main/bills/2157286", "הצעת חוק הרשויות המקומיות (פטור חיילים, נפגעי מלחמה ושוטרים מארנונה) (תיקון - הארכת תקופת פטור מארנונה לחיילים בודדים), התשפ""ב-2022")</f>
        <v>17397</v>
      </c>
      <c r="E8925" t="s">
        <v>17397</v>
      </c>
      <c r="F8925" t="s">
        <v>17398</v>
      </c>
      <c r="G8925" t="s">
        <v>14</v>
      </c>
      <c r="H8925">
             </c>
      <c r="I8925" t="s">
        <v>14</v>
      </c>
      <c r="J8925" t="s">
        <v>141</v>
      </c>
      <c r="K8925" t="s">
        <v>14</v>
      </c>
      <c r="L8925" t="s">
        <v>20</v>
      </c>
      <c r="M8925" t="s">
        <v>17383</v>
      </c>
      <c r="N8925" t="s">
        <v>14</v>
      </c>
    </row>
    <row r="8926" x14ac:dyDescent="0.25">
      <c r="A8926" t="n">
        <v>24</v>
      </c>
      <c r="B8926" t="s">
        <v>14</v>
      </c>
      <c r="C8926" t="s">
        <v>22</v>
      </c>
      <c r="D8926" s="2" t="s">
        <f>=HYPERLINK("https://main.knesset.gov.il/APPS/legislation/main/bills/2166403", "הצעת חוק גיל פרישה (תיקון - שינוי גיל הפרישה לעובדים בענף הבניין), התשפ""ב-2022")</f>
        <v>17399</v>
      </c>
      <c r="E8926" t="s">
        <v>17399</v>
      </c>
      <c r="F8926" t="s">
        <v>17400</v>
      </c>
      <c r="G8926" t="s">
        <v>14</v>
      </c>
      <c r="H8926">
             </c>
      <c r="I8926" t="s">
        <v>14</v>
      </c>
      <c r="J8926" t="s">
        <v>141</v>
      </c>
      <c r="K8926" t="s">
        <v>14</v>
      </c>
      <c r="L8926" t="s">
        <v>20</v>
      </c>
      <c r="M8926" t="s">
        <v>17383</v>
      </c>
      <c r="N8926" t="s">
        <v>14</v>
      </c>
    </row>
    <row r="8927" x14ac:dyDescent="0.25">
      <c r="A8927" t="n">
        <v>24</v>
      </c>
      <c r="B8927" t="s">
        <v>14</v>
      </c>
      <c r="C8927" t="s">
        <v>22</v>
      </c>
      <c r="D8927" s="2" t="s">
        <f>=HYPERLINK("https://main.knesset.gov.il/APPS/legislation/main/bills/2167028", "הצעת חוק משפחות חיילים שנספו במערכה (תגמולים ושיקום) (תיקון - המונח יתום), התשפ""ב-2022")</f>
        <v>17401</v>
      </c>
      <c r="E8927" t="s">
        <v>17401</v>
      </c>
      <c r="F8927" t="s">
        <v>17402</v>
      </c>
      <c r="G8927" t="s">
        <v>14</v>
      </c>
      <c r="H8927">
             </c>
      <c r="I8927" t="s">
        <v>14</v>
      </c>
      <c r="J8927" t="s">
        <v>141</v>
      </c>
      <c r="K8927" t="s">
        <v>14</v>
      </c>
      <c r="L8927" t="s">
        <v>20</v>
      </c>
      <c r="M8927" t="s">
        <v>17383</v>
      </c>
      <c r="N8927" t="s">
        <v>14</v>
      </c>
    </row>
    <row r="8928" x14ac:dyDescent="0.25">
      <c r="A8928" t="n">
        <v>24</v>
      </c>
      <c r="B8928" t="s">
        <v>14</v>
      </c>
      <c r="C8928" t="s">
        <v>22</v>
      </c>
      <c r="D8928" s="2" t="s">
        <f>=HYPERLINK("https://main.knesset.gov.il/APPS/legislation/main/bills/2166597", "הצעת חוק הביטוח הלאומי (תיקון - העלאת קצבת הילדים), התשפ""ב-2022")</f>
        <v>15437</v>
      </c>
      <c r="E8928" t="s">
        <v>15437</v>
      </c>
      <c r="F8928" t="s">
        <v>17403</v>
      </c>
      <c r="G8928" t="s">
        <v>14</v>
      </c>
      <c r="H8928">
             </c>
      <c r="I8928" t="s">
        <v>14</v>
      </c>
      <c r="J8928" t="s">
        <v>141</v>
      </c>
      <c r="K8928" t="s">
        <v>14</v>
      </c>
      <c r="L8928" t="s">
        <v>20</v>
      </c>
      <c r="M8928" t="s">
        <v>17383</v>
      </c>
      <c r="N8928" t="s">
        <v>14</v>
      </c>
    </row>
    <row r="8929" x14ac:dyDescent="0.25">
      <c r="A8929" t="n">
        <v>24</v>
      </c>
      <c r="B8929" t="s">
        <v>14</v>
      </c>
      <c r="C8929" t="s">
        <v>22</v>
      </c>
      <c r="D8929" s="2" t="s">
        <f>=HYPERLINK("https://main.knesset.gov.il/APPS/legislation/main/bills/2166183", "הצעת חוק שקיפות בתשתיות להולכה ולאחסון של נפט, התשפ""ב-2022")</f>
        <v>17404</v>
      </c>
      <c r="E8929" t="s">
        <v>17404</v>
      </c>
      <c r="F8929" t="s">
        <v>17405</v>
      </c>
      <c r="G8929" t="s">
        <v>14</v>
      </c>
      <c r="H8929">
             </c>
      <c r="I8929" t="s">
        <v>14</v>
      </c>
      <c r="J8929" t="s">
        <v>141</v>
      </c>
      <c r="K8929" t="s">
        <v>14</v>
      </c>
      <c r="L8929" t="s">
        <v>20</v>
      </c>
      <c r="M8929" t="s">
        <v>17383</v>
      </c>
      <c r="N8929" t="s">
        <v>14</v>
      </c>
    </row>
    <row r="8930" x14ac:dyDescent="0.25">
      <c r="A8930" t="n">
        <v>24</v>
      </c>
      <c r="B8930" t="s">
        <v>14</v>
      </c>
      <c r="C8930" t="s">
        <v>22</v>
      </c>
      <c r="D8930" s="2" t="s">
        <f>=HYPERLINK("https://main.knesset.gov.il/APPS/legislation/main/bills/2161600", "הצעת חוק-יסוד: הכנסת (תיקון - ביטול סעיפים 7א ו-42א(ג))")</f>
        <v>12440</v>
      </c>
      <c r="E8930" t="s">
        <v>12440</v>
      </c>
      <c r="F8930" t="s">
        <v>17406</v>
      </c>
      <c r="G8930" t="s">
        <v>14</v>
      </c>
      <c r="H8930">
             </c>
      <c r="I8930" t="s">
        <v>14</v>
      </c>
      <c r="J8930" t="s">
        <v>141</v>
      </c>
      <c r="K8930" t="s">
        <v>14</v>
      </c>
      <c r="L8930" t="s">
        <v>20</v>
      </c>
      <c r="M8930" t="s">
        <v>17383</v>
      </c>
      <c r="N8930" t="s">
        <v>14</v>
      </c>
    </row>
    <row r="8931" x14ac:dyDescent="0.25">
      <c r="A8931" t="n">
        <v>24</v>
      </c>
      <c r="B8931" t="s">
        <v>14</v>
      </c>
      <c r="C8931" t="s">
        <v>22</v>
      </c>
      <c r="D8931" s="2" t="s">
        <f>=HYPERLINK("https://main.knesset.gov.il/APPS/legislation/main/bills/2165457", "הצעת חוק לתיקון פקודת מס הכנסה (חשבון השקעה), התשפ""ב-2022")</f>
        <v>17407</v>
      </c>
      <c r="E8931" t="s">
        <v>17407</v>
      </c>
      <c r="F8931" t="s">
        <v>17408</v>
      </c>
      <c r="G8931" t="s">
        <v>14</v>
      </c>
      <c r="H8931">
             </c>
      <c r="I8931" t="s">
        <v>14</v>
      </c>
      <c r="J8931" t="s">
        <v>141</v>
      </c>
      <c r="K8931" t="s">
        <v>14</v>
      </c>
      <c r="L8931" t="s">
        <v>20</v>
      </c>
      <c r="M8931" t="s">
        <v>17383</v>
      </c>
      <c r="N8931" t="s">
        <v>14</v>
      </c>
    </row>
    <row r="8932" x14ac:dyDescent="0.25">
      <c r="A8932" t="n">
        <v>24</v>
      </c>
      <c r="B8932" t="s">
        <v>14</v>
      </c>
      <c r="C8932" t="s">
        <v>22</v>
      </c>
      <c r="D8932" s="2" t="s">
        <f>=HYPERLINK("https://main.knesset.gov.il/APPS/legislation/main/bills/2166931", "הצעת חוק החברות (תיקון - צמצום פערי השכר במשק), התשפ""ב-2022")</f>
        <v>17409</v>
      </c>
      <c r="E8932" t="s">
        <v>17409</v>
      </c>
      <c r="F8932" t="s">
        <v>17410</v>
      </c>
      <c r="G8932" t="s">
        <v>14</v>
      </c>
      <c r="H8932">
             </c>
      <c r="I8932" t="s">
        <v>14</v>
      </c>
      <c r="J8932" t="s">
        <v>141</v>
      </c>
      <c r="K8932" t="s">
        <v>14</v>
      </c>
      <c r="L8932" t="s">
        <v>20</v>
      </c>
      <c r="M8932" t="s">
        <v>17383</v>
      </c>
      <c r="N8932" t="s">
        <v>14</v>
      </c>
    </row>
    <row r="8933" x14ac:dyDescent="0.25">
      <c r="A8933" t="n">
        <v>24</v>
      </c>
      <c r="B8933" t="s">
        <v>14</v>
      </c>
      <c r="C8933" t="s">
        <v>22</v>
      </c>
      <c r="D8933" s="2" t="s">
        <f>=HYPERLINK("https://main.knesset.gov.il/APPS/legislation/main/bills/2166453", "הצעת חוק זכויות סוציאליות לנשים נפגעות אלימות (תיקוני חקיקה), התשפ""ב-2022")</f>
        <v>17411</v>
      </c>
      <c r="E8933" t="s">
        <v>17411</v>
      </c>
      <c r="F8933" t="s">
        <v>17412</v>
      </c>
      <c r="G8933" t="s">
        <v>14</v>
      </c>
      <c r="H8933">
             </c>
      <c r="I8933" t="s">
        <v>14</v>
      </c>
      <c r="J8933" t="s">
        <v>141</v>
      </c>
      <c r="K8933" t="s">
        <v>14</v>
      </c>
      <c r="L8933" t="s">
        <v>20</v>
      </c>
      <c r="M8933" t="s">
        <v>17383</v>
      </c>
      <c r="N8933" t="s">
        <v>14</v>
      </c>
    </row>
    <row r="8934" x14ac:dyDescent="0.25">
      <c r="A8934" t="n">
        <v>24</v>
      </c>
      <c r="B8934" t="s">
        <v>14</v>
      </c>
      <c r="C8934" t="s">
        <v>22</v>
      </c>
      <c r="D8934" s="2" t="s">
        <f>=HYPERLINK("https://main.knesset.gov.il/APPS/legislation/main/bills/2166703", "הצעת חוק המקרקעין (תיקון - רישום משכנתה), התשפ""ב-2022")</f>
        <v>17413</v>
      </c>
      <c r="E8934" t="s">
        <v>17413</v>
      </c>
      <c r="F8934" t="s">
        <v>17414</v>
      </c>
      <c r="G8934" t="s">
        <v>14</v>
      </c>
      <c r="H8934">
             </c>
      <c r="I8934" t="s">
        <v>14</v>
      </c>
      <c r="J8934" t="s">
        <v>141</v>
      </c>
      <c r="K8934" t="s">
        <v>14</v>
      </c>
      <c r="L8934" t="s">
        <v>20</v>
      </c>
      <c r="M8934" t="s">
        <v>17383</v>
      </c>
      <c r="N8934" t="s">
        <v>14</v>
      </c>
    </row>
    <row r="8935" x14ac:dyDescent="0.25">
      <c r="A8935" t="n">
        <v>24</v>
      </c>
      <c r="B8935" t="s">
        <v>14</v>
      </c>
      <c r="C8935" t="s">
        <v>22</v>
      </c>
      <c r="D8935" s="2" t="s">
        <f>=HYPERLINK("https://main.knesset.gov.il/APPS/legislation/main/bills/2167348", "הצעת חוק זכויות נפגעי עבירה (תיקון - הרחבת זכות היידוע), התשפ""ב-2022")</f>
        <v>17415</v>
      </c>
      <c r="E8935" t="s">
        <v>17415</v>
      </c>
      <c r="F8935" t="s">
        <v>17416</v>
      </c>
      <c r="G8935" t="s">
        <v>14</v>
      </c>
      <c r="H8935">
             </c>
      <c r="I8935" t="s">
        <v>14</v>
      </c>
      <c r="J8935" t="s">
        <v>141</v>
      </c>
      <c r="K8935" t="s">
        <v>14</v>
      </c>
      <c r="L8935" t="s">
        <v>20</v>
      </c>
      <c r="M8935" t="s">
        <v>17383</v>
      </c>
      <c r="N8935" t="s">
        <v>14</v>
      </c>
    </row>
    <row r="8936" x14ac:dyDescent="0.25">
      <c r="A8936" t="n">
        <v>24</v>
      </c>
      <c r="B8936" t="s">
        <v>14</v>
      </c>
      <c r="C8936" t="s">
        <v>22</v>
      </c>
      <c r="D8936" s="2" t="s">
        <f>=HYPERLINK("https://main.knesset.gov.il/APPS/legislation/main/bills/2164143", "הצעת חוק שירות המדינה (משמעת) (תיקון - בית הדין), התשפ""ב-2022")</f>
        <v>17417</v>
      </c>
      <c r="E8936" t="s">
        <v>17417</v>
      </c>
      <c r="F8936" t="s">
        <v>17418</v>
      </c>
      <c r="G8936" t="s">
        <v>14</v>
      </c>
      <c r="H8936">
             </c>
      <c r="I8936" t="s">
        <v>14</v>
      </c>
      <c r="J8936" t="s">
        <v>141</v>
      </c>
      <c r="K8936" t="s">
        <v>14</v>
      </c>
      <c r="L8936" t="s">
        <v>20</v>
      </c>
      <c r="M8936" t="s">
        <v>17383</v>
      </c>
      <c r="N8936" t="s">
        <v>14</v>
      </c>
    </row>
    <row r="8937" x14ac:dyDescent="0.25">
      <c r="A8937" t="n">
        <v>24</v>
      </c>
      <c r="B8937" t="s">
        <v>14</v>
      </c>
      <c r="C8937" t="s">
        <v>22</v>
      </c>
      <c r="D8937" s="2" t="s">
        <f>=HYPERLINK("https://main.knesset.gov.il/APPS/legislation/main/bills/2166413", "הצעת חוק לטיפול בכתות פוגעניות, התשפ""ב-2022")</f>
        <v>17419</v>
      </c>
      <c r="E8937" t="s">
        <v>17419</v>
      </c>
      <c r="F8937" t="s">
        <v>17420</v>
      </c>
      <c r="G8937" t="s">
        <v>14</v>
      </c>
      <c r="H8937">
             </c>
      <c r="I8937" t="s">
        <v>14</v>
      </c>
      <c r="J8937" t="s">
        <v>141</v>
      </c>
      <c r="K8937" t="s">
        <v>14</v>
      </c>
      <c r="L8937" t="s">
        <v>20</v>
      </c>
      <c r="M8937" t="s">
        <v>17383</v>
      </c>
      <c r="N8937" t="s">
        <v>14</v>
      </c>
    </row>
    <row r="8938" x14ac:dyDescent="0.25">
      <c r="A8938" t="n">
        <v>24</v>
      </c>
      <c r="B8938" t="s">
        <v>14</v>
      </c>
      <c r="C8938" t="s">
        <v>22</v>
      </c>
      <c r="D8938" s="2" t="s">
        <f>=HYPERLINK("https://main.knesset.gov.il/APPS/legislation/main/bills/2162142", "הצעת חוק המאבק בטרור (תיקון - קנס חובה בעקבות הרשעה בגין עבירות טרור), התשפ""ב-2022")</f>
        <v>17421</v>
      </c>
      <c r="E8938" t="s">
        <v>17421</v>
      </c>
      <c r="F8938" t="s">
        <v>17422</v>
      </c>
      <c r="G8938" t="s">
        <v>14</v>
      </c>
      <c r="H8938">
             </c>
      <c r="I8938" t="s">
        <v>14</v>
      </c>
      <c r="J8938" t="s">
        <v>141</v>
      </c>
      <c r="K8938" t="s">
        <v>14</v>
      </c>
      <c r="L8938" t="s">
        <v>20</v>
      </c>
      <c r="M8938" t="s">
        <v>17383</v>
      </c>
      <c r="N8938" t="s">
        <v>14</v>
      </c>
    </row>
    <row r="8939" x14ac:dyDescent="0.25">
      <c r="A8939" t="n">
        <v>24</v>
      </c>
      <c r="B8939" t="s">
        <v>14</v>
      </c>
      <c r="C8939" t="s">
        <v>22</v>
      </c>
      <c r="D8939" s="2" t="s">
        <f>=HYPERLINK("https://main.knesset.gov.il/APPS/legislation/main/bills/2167124", "הצעת חוק עוסק זעיר, התשפ""ב-2022")</f>
        <v>17423</v>
      </c>
      <c r="E8939" t="s">
        <v>17423</v>
      </c>
      <c r="F8939" t="s">
        <v>17424</v>
      </c>
      <c r="G8939" t="s">
        <v>14</v>
      </c>
      <c r="H8939">
             </c>
      <c r="I8939" t="s">
        <v>14</v>
      </c>
      <c r="J8939" t="s">
        <v>141</v>
      </c>
      <c r="K8939" t="s">
        <v>14</v>
      </c>
      <c r="L8939" t="s">
        <v>20</v>
      </c>
      <c r="M8939" t="s">
        <v>17383</v>
      </c>
      <c r="N8939" t="s">
        <v>14</v>
      </c>
    </row>
    <row r="8940" x14ac:dyDescent="0.25">
      <c r="A8940" t="n">
        <v>24</v>
      </c>
      <c r="B8940" t="s">
        <v>14</v>
      </c>
      <c r="C8940" t="s">
        <v>22</v>
      </c>
      <c r="D8940" s="2" t="s">
        <f>=HYPERLINK("https://main.knesset.gov.il/APPS/legislation/main/bills/2164290", "הצעת חוק הפסקת חברות של חבר כנסת והעברת שר וראש ממשלה מכהונתם מחמת הפרת הבטחת בחירות (תיקוני חקיקה), התשפ""ב-2022")</f>
        <v>17425</v>
      </c>
      <c r="E8940" t="s">
        <v>17425</v>
      </c>
      <c r="F8940" t="s">
        <v>17426</v>
      </c>
      <c r="G8940" t="s">
        <v>14</v>
      </c>
      <c r="H8940">
             </c>
      <c r="I8940" t="s">
        <v>14</v>
      </c>
      <c r="J8940" t="s">
        <v>141</v>
      </c>
      <c r="K8940" t="s">
        <v>14</v>
      </c>
      <c r="L8940" t="s">
        <v>20</v>
      </c>
      <c r="M8940" t="s">
        <v>17383</v>
      </c>
      <c r="N8940" t="s">
        <v>14</v>
      </c>
    </row>
    <row r="8941" x14ac:dyDescent="0.25">
      <c r="A8941" t="n">
        <v>24</v>
      </c>
      <c r="B8941" t="s">
        <v>14</v>
      </c>
      <c r="C8941" t="s">
        <v>22</v>
      </c>
      <c r="D8941" s="2" t="s">
        <f>=HYPERLINK("https://main.knesset.gov.il/APPS/legislation/main/bills/2166421", "הצעת חוק הבחירות (דרכי תעמולה) (תיקון - יישום המלצות ועדת ביניש), התשפ""ב-2022")</f>
        <v>17427</v>
      </c>
      <c r="E8941" t="s">
        <v>17427</v>
      </c>
      <c r="F8941" t="s">
        <v>17428</v>
      </c>
      <c r="G8941" t="s">
        <v>14</v>
      </c>
      <c r="H8941">
             </c>
      <c r="I8941" t="s">
        <v>14</v>
      </c>
      <c r="J8941" t="s">
        <v>141</v>
      </c>
      <c r="K8941" t="s">
        <v>14</v>
      </c>
      <c r="L8941" t="s">
        <v>20</v>
      </c>
      <c r="M8941" t="s">
        <v>17383</v>
      </c>
      <c r="N8941" t="s">
        <v>14</v>
      </c>
    </row>
    <row r="8942" x14ac:dyDescent="0.25">
      <c r="A8942" t="n">
        <v>24</v>
      </c>
      <c r="B8942" t="s">
        <v>14</v>
      </c>
      <c r="C8942" t="s">
        <v>22</v>
      </c>
      <c r="D8942" s="2" t="s">
        <f>=HYPERLINK("https://main.knesset.gov.il/APPS/legislation/main/bills/2166471", "הצעת חוק ההוצאה לפועל (תיקון - ביטול האפשרות לצוות על עיכוב יציאה מהארץ בגין חוב כספי נמוך), התשפ""ב-2022")</f>
        <v>16141</v>
      </c>
      <c r="E8942" t="s">
        <v>16141</v>
      </c>
      <c r="F8942" t="s">
        <v>17429</v>
      </c>
      <c r="G8942" t="s">
        <v>14</v>
      </c>
      <c r="H8942">
             </c>
      <c r="I8942" t="s">
        <v>14</v>
      </c>
      <c r="J8942" t="s">
        <v>141</v>
      </c>
      <c r="K8942" t="s">
        <v>14</v>
      </c>
      <c r="L8942" t="s">
        <v>20</v>
      </c>
      <c r="M8942" t="s">
        <v>17383</v>
      </c>
      <c r="N8942" t="s">
        <v>14</v>
      </c>
    </row>
    <row r="8943" x14ac:dyDescent="0.25">
      <c r="A8943" t="n">
        <v>24</v>
      </c>
      <c r="B8943" t="s">
        <v>14</v>
      </c>
      <c r="C8943" t="s">
        <v>22</v>
      </c>
      <c r="D8943" s="2" t="s">
        <f>=HYPERLINK("https://main.knesset.gov.il/APPS/legislation/main/bills/2166687", "הצעת חוק בתי המשפט (תיקון - צווי איסור פירסום), התשפ""ב-2022")</f>
        <v>17430</v>
      </c>
      <c r="E8943" t="s">
        <v>17430</v>
      </c>
      <c r="F8943" t="s">
        <v>17431</v>
      </c>
      <c r="G8943" t="s">
        <v>14</v>
      </c>
      <c r="H8943">
             </c>
      <c r="I8943" t="s">
        <v>14</v>
      </c>
      <c r="J8943" t="s">
        <v>141</v>
      </c>
      <c r="K8943" t="s">
        <v>14</v>
      </c>
      <c r="L8943" t="s">
        <v>20</v>
      </c>
      <c r="M8943" t="s">
        <v>17383</v>
      </c>
      <c r="N8943" t="s">
        <v>14</v>
      </c>
    </row>
    <row r="8944" x14ac:dyDescent="0.25">
      <c r="A8944" t="n">
        <v>24</v>
      </c>
      <c r="B8944" t="s">
        <v>14</v>
      </c>
      <c r="C8944" t="s">
        <v>22</v>
      </c>
      <c r="D8944" s="2" t="s">
        <f>=HYPERLINK("https://main.knesset.gov.il/APPS/legislation/main/bills/2166691", "הצעת חוק שירות המדינה (מינויים) (תיקון - מינוי יועצים משפטיים של משרדים, היועץ המשפטי לממשלה ופרקליט המדינה), התשפ""ב-2022")</f>
        <v>17432</v>
      </c>
      <c r="E8944" t="s">
        <v>17432</v>
      </c>
      <c r="F8944" t="s">
        <v>17433</v>
      </c>
      <c r="G8944" t="s">
        <v>14</v>
      </c>
      <c r="H8944">
             </c>
      <c r="I8944" t="s">
        <v>14</v>
      </c>
      <c r="J8944" t="s">
        <v>141</v>
      </c>
      <c r="K8944" t="s">
        <v>14</v>
      </c>
      <c r="L8944" t="s">
        <v>20</v>
      </c>
      <c r="M8944" t="s">
        <v>17383</v>
      </c>
      <c r="N8944" t="s">
        <v>14</v>
      </c>
    </row>
    <row r="8945" x14ac:dyDescent="0.25">
      <c r="A8945" t="n">
        <v>24</v>
      </c>
      <c r="B8945" t="s">
        <v>14</v>
      </c>
      <c r="C8945" t="s">
        <v>22</v>
      </c>
      <c r="D8945" s="2" t="s">
        <f>=HYPERLINK("https://main.knesset.gov.il/APPS/legislation/main/bills/2166731", "הצעת חוק הגנת השכר (תיקון - איסור ניכוי חוב או קנס), התשפ""ב-2022")</f>
        <v>15618</v>
      </c>
      <c r="E8945" t="s">
        <v>15618</v>
      </c>
      <c r="F8945" t="s">
        <v>17434</v>
      </c>
      <c r="G8945" t="s">
        <v>14</v>
      </c>
      <c r="H8945">
             </c>
      <c r="I8945" t="s">
        <v>14</v>
      </c>
      <c r="J8945" t="s">
        <v>141</v>
      </c>
      <c r="K8945" t="s">
        <v>14</v>
      </c>
      <c r="L8945" t="s">
        <v>20</v>
      </c>
      <c r="M8945" t="s">
        <v>17383</v>
      </c>
      <c r="N8945" t="s">
        <v>14</v>
      </c>
    </row>
    <row r="8946" x14ac:dyDescent="0.25">
      <c r="A8946" t="n">
        <v>24</v>
      </c>
      <c r="B8946" t="s">
        <v>14</v>
      </c>
      <c r="C8946" t="s">
        <v>22</v>
      </c>
      <c r="D8946" s="2" t="s">
        <f>=HYPERLINK("https://main.knesset.gov.il/APPS/legislation/main/bills/2166934", "הצעת חוק התכנון והבנייה (תיקון - שינוי חלק המקרקעין המותר להפקעה ללא פיצויים), התשפ""ב-2022")</f>
        <v>17435</v>
      </c>
      <c r="E8946" t="s">
        <v>17435</v>
      </c>
      <c r="F8946" t="s">
        <v>17436</v>
      </c>
      <c r="G8946" t="s">
        <v>14</v>
      </c>
      <c r="H8946">
             </c>
      <c r="I8946" t="s">
        <v>14</v>
      </c>
      <c r="J8946" t="s">
        <v>141</v>
      </c>
      <c r="K8946" t="s">
        <v>14</v>
      </c>
      <c r="L8946" t="s">
        <v>20</v>
      </c>
      <c r="M8946" t="s">
        <v>17383</v>
      </c>
      <c r="N8946" t="s">
        <v>14</v>
      </c>
    </row>
    <row r="8947" x14ac:dyDescent="0.25">
      <c r="A8947" t="n">
        <v>24</v>
      </c>
      <c r="B8947" t="s">
        <v>14</v>
      </c>
      <c r="C8947" t="s">
        <v>22</v>
      </c>
      <c r="D8947" s="2" t="s">
        <f>=HYPERLINK("https://main.knesset.gov.il/APPS/legislation/main/bills/2167091", "הצעת חוק פיצויי פיטורים (תיקון - התפטרות בשל השתתפות במכינה קדם צבאית), התשפ""ב-2022")</f>
        <v>17437</v>
      </c>
      <c r="E8947" t="s">
        <v>17437</v>
      </c>
      <c r="F8947" t="s">
        <v>17438</v>
      </c>
      <c r="G8947" t="s">
        <v>14</v>
      </c>
      <c r="H8947">
             </c>
      <c r="I8947" t="s">
        <v>14</v>
      </c>
      <c r="J8947" t="s">
        <v>141</v>
      </c>
      <c r="K8947" t="s">
        <v>14</v>
      </c>
      <c r="L8947" t="s">
        <v>20</v>
      </c>
      <c r="M8947" t="s">
        <v>17383</v>
      </c>
      <c r="N8947" t="s">
        <v>14</v>
      </c>
    </row>
    <row r="8948" x14ac:dyDescent="0.25">
      <c r="A8948" t="n">
        <v>24</v>
      </c>
      <c r="B8948" t="s">
        <v>14</v>
      </c>
      <c r="C8948" t="s">
        <v>22</v>
      </c>
      <c r="D8948" s="2" t="s">
        <f>=HYPERLINK("https://main.knesset.gov.il/APPS/legislation/main/bills/2161298", "הצעת חוק העבירות המינהליות (תיקון - ביטול קנסות תכנון ובנייה), התשפ""ב-2022")</f>
        <v>16337</v>
      </c>
      <c r="E8948" t="s">
        <v>16337</v>
      </c>
      <c r="F8948" t="s">
        <v>17439</v>
      </c>
      <c r="G8948" t="s">
        <v>14</v>
      </c>
      <c r="H8948">
             </c>
      <c r="I8948" t="s">
        <v>14</v>
      </c>
      <c r="J8948" t="s">
        <v>141</v>
      </c>
      <c r="K8948" t="s">
        <v>14</v>
      </c>
      <c r="L8948" t="s">
        <v>20</v>
      </c>
      <c r="M8948" t="s">
        <v>17383</v>
      </c>
      <c r="N8948" t="s">
        <v>14</v>
      </c>
    </row>
    <row r="8949" x14ac:dyDescent="0.25">
      <c r="A8949" t="n">
        <v>24</v>
      </c>
      <c r="B8949" t="s">
        <v>14</v>
      </c>
      <c r="C8949" t="s">
        <v>22</v>
      </c>
      <c r="D8949" s="2" t="s">
        <f>=HYPERLINK("https://main.knesset.gov.il/APPS/legislation/main/bills/2167404", "הצעת חוק העונשין (תיקון - אלימות במשפחה בנוכחות קטין או חסר ישע), התשפ""ב-2022")</f>
        <v>15384</v>
      </c>
      <c r="E8949" t="s">
        <v>15384</v>
      </c>
      <c r="F8949" t="s">
        <v>17440</v>
      </c>
      <c r="G8949" t="s">
        <v>14</v>
      </c>
      <c r="H8949">
             </c>
      <c r="I8949" t="s">
        <v>14</v>
      </c>
      <c r="J8949" t="s">
        <v>141</v>
      </c>
      <c r="K8949" t="s">
        <v>14</v>
      </c>
      <c r="L8949" t="s">
        <v>20</v>
      </c>
      <c r="M8949" t="s">
        <v>17383</v>
      </c>
      <c r="N8949" t="s">
        <v>14</v>
      </c>
    </row>
    <row r="8950" x14ac:dyDescent="0.25">
      <c r="A8950" t="n">
        <v>24</v>
      </c>
      <c r="B8950" t="s">
        <v>14</v>
      </c>
      <c r="C8950" t="s">
        <v>22</v>
      </c>
      <c r="D8950" s="2" t="s">
        <f>=HYPERLINK("https://main.knesset.gov.il/APPS/legislation/main/bills/2166727", "הצעת חוק הבנקאות (שירות ללקוח) (תיקון - העברת משכנתה בין בנקים), התשפ""ב-2022")</f>
        <v>15200</v>
      </c>
      <c r="E8950" t="s">
        <v>15200</v>
      </c>
      <c r="F8950" t="s">
        <v>17441</v>
      </c>
      <c r="G8950" t="s">
        <v>14</v>
      </c>
      <c r="H8950">
             </c>
      <c r="I8950" t="s">
        <v>14</v>
      </c>
      <c r="J8950" t="s">
        <v>141</v>
      </c>
      <c r="K8950" t="s">
        <v>14</v>
      </c>
      <c r="L8950" t="s">
        <v>20</v>
      </c>
      <c r="M8950" t="s">
        <v>17383</v>
      </c>
      <c r="N8950" t="s">
        <v>14</v>
      </c>
    </row>
    <row r="8951" x14ac:dyDescent="0.25">
      <c r="A8951" t="n">
        <v>24</v>
      </c>
      <c r="B8951" t="s">
        <v>14</v>
      </c>
      <c r="C8951" t="s">
        <v>22</v>
      </c>
      <c r="D8951" s="2" t="s">
        <f>=HYPERLINK("https://main.knesset.gov.il/APPS/legislation/main/bills/2165976", "הצעת חוק הביטוח הלאומי (תיקון - אי הפליה בשל שירות צבאי או שירות לאומי), התשפ""ב-2022")</f>
        <v>17167</v>
      </c>
      <c r="E8951" t="s">
        <v>17167</v>
      </c>
      <c r="F8951" t="s">
        <v>17442</v>
      </c>
      <c r="G8951" t="s">
        <v>14</v>
      </c>
      <c r="H8951">
             </c>
      <c r="I8951" t="s">
        <v>14</v>
      </c>
      <c r="J8951" t="s">
        <v>141</v>
      </c>
      <c r="K8951" t="s">
        <v>14</v>
      </c>
      <c r="L8951" t="s">
        <v>20</v>
      </c>
      <c r="M8951" t="s">
        <v>17383</v>
      </c>
      <c r="N8951" t="s">
        <v>14</v>
      </c>
    </row>
    <row r="8952" x14ac:dyDescent="0.25">
      <c r="A8952" t="n">
        <v>24</v>
      </c>
      <c r="B8952" t="s">
        <v>14</v>
      </c>
      <c r="C8952" t="s">
        <v>22</v>
      </c>
      <c r="D8952" s="2" t="s">
        <f>=HYPERLINK("https://main.knesset.gov.il/APPS/legislation/main/bills/2165932", "הצעת חוק איסור מכירת צעצועים המדמים כלי נשק, התשפ""ב-2022")</f>
        <v>16329</v>
      </c>
      <c r="E8952" t="s">
        <v>16329</v>
      </c>
      <c r="F8952" t="s">
        <v>17443</v>
      </c>
      <c r="G8952" t="s">
        <v>14</v>
      </c>
      <c r="H8952">
             </c>
      <c r="I8952" t="s">
        <v>14</v>
      </c>
      <c r="J8952" t="s">
        <v>343</v>
      </c>
      <c r="K8952" t="s">
        <v>14</v>
      </c>
      <c r="L8952" t="s">
        <v>20</v>
      </c>
      <c r="M8952" t="s">
        <v>17383</v>
      </c>
      <c r="N8952" t="s">
        <v>14</v>
      </c>
    </row>
    <row r="8953" x14ac:dyDescent="0.25">
      <c r="A8953" t="n">
        <v>24</v>
      </c>
      <c r="B8953" t="s">
        <v>14</v>
      </c>
      <c r="C8953" t="s">
        <v>22</v>
      </c>
      <c r="D8953" s="2" t="s">
        <f>=HYPERLINK("https://main.knesset.gov.il/APPS/legislation/main/bills/2165486", "הצעת חוק התקשורת (בזק ושידורים) (תיקון - פנייה טלפונית של עוסק), התשפ""ב-2022")</f>
        <v>17444</v>
      </c>
      <c r="E8953" t="s">
        <v>17444</v>
      </c>
      <c r="F8953" t="s">
        <v>17445</v>
      </c>
      <c r="G8953" t="s">
        <v>14</v>
      </c>
      <c r="H8953">
             </c>
      <c r="I8953" t="s">
        <v>14</v>
      </c>
      <c r="J8953" t="s">
        <v>141</v>
      </c>
      <c r="K8953" t="s">
        <v>14</v>
      </c>
      <c r="L8953" t="s">
        <v>20</v>
      </c>
      <c r="M8953" t="s">
        <v>17383</v>
      </c>
      <c r="N8953" t="s">
        <v>14</v>
      </c>
    </row>
    <row r="8954" x14ac:dyDescent="0.25">
      <c r="A8954" t="n">
        <v>24</v>
      </c>
      <c r="B8954" t="s">
        <v>14</v>
      </c>
      <c r="C8954" t="s">
        <v>22</v>
      </c>
      <c r="D8954" s="2" t="s">
        <f>=HYPERLINK("https://main.knesset.gov.il/APPS/legislation/main/bills/2163715", "הצעת חוק הסדרת תפקיד מועצת החלב והמועצה לענף הלול (תיקוני חקיקה), התשפ""ב-2022")</f>
        <v>17446</v>
      </c>
      <c r="E8954" t="s">
        <v>17446</v>
      </c>
      <c r="F8954" t="s">
        <v>17447</v>
      </c>
      <c r="G8954" t="s">
        <v>14</v>
      </c>
      <c r="H8954">
             </c>
      <c r="I8954" t="s">
        <v>14</v>
      </c>
      <c r="J8954" t="s">
        <v>141</v>
      </c>
      <c r="K8954" t="s">
        <v>14</v>
      </c>
      <c r="L8954" t="s">
        <v>20</v>
      </c>
      <c r="M8954" t="s">
        <v>17383</v>
      </c>
      <c r="N8954" t="s">
        <v>14</v>
      </c>
    </row>
    <row r="8955" x14ac:dyDescent="0.25">
      <c r="A8955" t="n">
        <v>24</v>
      </c>
      <c r="B8955" t="s">
        <v>14</v>
      </c>
      <c r="C8955" t="s">
        <v>22</v>
      </c>
      <c r="D8955" s="2" t="s">
        <f>=HYPERLINK("https://main.knesset.gov.il/APPS/legislation/main/bills/2165171", "הצעת חוק פיצוי למי שפונה ממבנה בשל סכנה לקריסתו או בשל קריסתו, התשפ""ב-2022")</f>
        <v>17448</v>
      </c>
      <c r="E8955" t="s">
        <v>17448</v>
      </c>
      <c r="F8955" t="s">
        <v>17449</v>
      </c>
      <c r="G8955" t="s">
        <v>14</v>
      </c>
      <c r="H8955">
             </c>
      <c r="I8955" t="s">
        <v>14</v>
      </c>
      <c r="J8955" t="s">
        <v>141</v>
      </c>
      <c r="K8955" t="s">
        <v>14</v>
      </c>
      <c r="L8955" t="s">
        <v>20</v>
      </c>
      <c r="M8955" t="s">
        <v>17383</v>
      </c>
      <c r="N8955" t="s">
        <v>14</v>
      </c>
    </row>
    <row r="8956" x14ac:dyDescent="0.25">
      <c r="A8956" t="n">
        <v>24</v>
      </c>
      <c r="B8956" t="s">
        <v>14</v>
      </c>
      <c r="C8956" t="s">
        <v>22</v>
      </c>
      <c r="D8956" s="2" t="s">
        <f>=HYPERLINK("https://main.knesset.gov.il/APPS/legislation/main/bills/2166928", "הצעת חוק חינוך מיוחד (תיקון - קביעת זמן נסיעה), התשפ""ב-2022")</f>
        <v>17450</v>
      </c>
      <c r="E8956" t="s">
        <v>17450</v>
      </c>
      <c r="F8956" t="s">
        <v>17451</v>
      </c>
      <c r="G8956" t="s">
        <v>14</v>
      </c>
      <c r="H8956">
             </c>
      <c r="I8956" t="s">
        <v>14</v>
      </c>
      <c r="J8956" t="s">
        <v>141</v>
      </c>
      <c r="K8956" t="s">
        <v>14</v>
      </c>
      <c r="L8956" t="s">
        <v>20</v>
      </c>
      <c r="M8956" t="s">
        <v>17383</v>
      </c>
      <c r="N8956" t="s">
        <v>14</v>
      </c>
    </row>
    <row r="8957" x14ac:dyDescent="0.25">
      <c r="A8957" t="n">
        <v>24</v>
      </c>
      <c r="B8957" t="s">
        <v>14</v>
      </c>
      <c r="C8957" t="s">
        <v>22</v>
      </c>
      <c r="D8957" s="2" t="s">
        <f>=HYPERLINK("https://main.knesset.gov.il/APPS/legislation/main/bills/2159457", "הצעת חוק משק החשמל (תיקון - תעריף מופחת לבתי חולים בפריפריה), התשפ""ב-2022")</f>
        <v>17452</v>
      </c>
      <c r="E8957" t="s">
        <v>17452</v>
      </c>
      <c r="F8957" t="s">
        <v>17453</v>
      </c>
      <c r="G8957" t="s">
        <v>14</v>
      </c>
      <c r="H8957">
             </c>
      <c r="I8957" t="s">
        <v>14</v>
      </c>
      <c r="J8957" t="s">
        <v>141</v>
      </c>
      <c r="K8957" t="s">
        <v>14</v>
      </c>
      <c r="L8957" t="s">
        <v>20</v>
      </c>
      <c r="M8957" t="s">
        <v>17383</v>
      </c>
      <c r="N8957" t="s">
        <v>14</v>
      </c>
    </row>
    <row r="8958" x14ac:dyDescent="0.25">
      <c r="A8958" t="n">
        <v>24</v>
      </c>
      <c r="B8958" t="s">
        <v>14</v>
      </c>
      <c r="C8958" t="s">
        <v>22</v>
      </c>
      <c r="D8958" s="2" t="s">
        <f>=HYPERLINK("https://main.knesset.gov.il/APPS/legislation/main/bills/2167122", "הצעת חוק צער בעלי חיים (הגנה על בעלי חיים) (תיקון - תפיסה במקום מגורים ללא צו), התשפ""ב-2022")</f>
        <v>17454</v>
      </c>
      <c r="E8958" t="s">
        <v>17454</v>
      </c>
      <c r="F8958" t="s">
        <v>17455</v>
      </c>
      <c r="G8958" t="s">
        <v>14</v>
      </c>
      <c r="H8958">
             </c>
      <c r="I8958" t="s">
        <v>14</v>
      </c>
      <c r="J8958" t="s">
        <v>141</v>
      </c>
      <c r="K8958" t="s">
        <v>14</v>
      </c>
      <c r="L8958" t="s">
        <v>20</v>
      </c>
      <c r="M8958" t="s">
        <v>17383</v>
      </c>
      <c r="N8958" t="s">
        <v>14</v>
      </c>
    </row>
    <row r="8959" x14ac:dyDescent="0.25">
      <c r="A8959" t="n">
        <v>24</v>
      </c>
      <c r="B8959" t="s">
        <v>14</v>
      </c>
      <c r="C8959" t="s">
        <v>22</v>
      </c>
      <c r="D8959" s="2" t="s">
        <f>=HYPERLINK("https://main.knesset.gov.il/APPS/legislation/main/bills/2166404", "הצעת חוק ביטוח בריאות ממלכתי (תיקון - שירותי רפואת שיניים לילדים ממשפחות מעוטות יכולת), התשפ""ב-2022")</f>
        <v>17456</v>
      </c>
      <c r="E8959" t="s">
        <v>17456</v>
      </c>
      <c r="F8959" t="s">
        <v>17457</v>
      </c>
      <c r="G8959" t="s">
        <v>14</v>
      </c>
      <c r="H8959">
             </c>
      <c r="I8959" t="s">
        <v>14</v>
      </c>
      <c r="J8959" t="s">
        <v>141</v>
      </c>
      <c r="K8959" t="s">
        <v>14</v>
      </c>
      <c r="L8959" t="s">
        <v>20</v>
      </c>
      <c r="M8959" t="s">
        <v>17383</v>
      </c>
      <c r="N8959" t="s">
        <v>14</v>
      </c>
    </row>
    <row r="8960" x14ac:dyDescent="0.25">
      <c r="A8960" t="n">
        <v>24</v>
      </c>
      <c r="B8960" t="s">
        <v>14</v>
      </c>
      <c r="C8960" t="s">
        <v>22</v>
      </c>
      <c r="D8960" s="2" t="s">
        <f>=HYPERLINK("https://main.knesset.gov.il/APPS/legislation/main/bills/2166880", "הצעת חוק דמי מחלה עבור מלווה בן משפחה לבדיקה רפואית (תיקוני חקיקה), התשפ""ב-2022")</f>
        <v>17458</v>
      </c>
      <c r="E8960" t="s">
        <v>17458</v>
      </c>
      <c r="F8960" t="s">
        <v>17459</v>
      </c>
      <c r="G8960" t="s">
        <v>14</v>
      </c>
      <c r="H8960">
             </c>
      <c r="I8960" t="s">
        <v>14</v>
      </c>
      <c r="J8960" t="s">
        <v>141</v>
      </c>
      <c r="K8960" t="s">
        <v>14</v>
      </c>
      <c r="L8960" t="s">
        <v>20</v>
      </c>
      <c r="M8960" t="s">
        <v>17383</v>
      </c>
      <c r="N8960" t="s">
        <v>14</v>
      </c>
    </row>
    <row r="8961" x14ac:dyDescent="0.25">
      <c r="A8961" t="n">
        <v>24</v>
      </c>
      <c r="B8961" t="s">
        <v>14</v>
      </c>
      <c r="C8961" t="s">
        <v>22</v>
      </c>
      <c r="D8961" s="2" t="s">
        <f>=HYPERLINK("https://main.knesset.gov.il/APPS/legislation/main/bills/2167407", "הצעת חוק זכויות נפגעי עבירה (תיקון - חובת יידוע נפגעי עבירה בדבר זכויותיהם), התשפ""ב-2022")</f>
        <v>17460</v>
      </c>
      <c r="E8961" t="s">
        <v>17460</v>
      </c>
      <c r="F8961" t="s">
        <v>17461</v>
      </c>
      <c r="G8961" t="s">
        <v>14</v>
      </c>
      <c r="H8961">
             </c>
      <c r="I8961" t="s">
        <v>14</v>
      </c>
      <c r="J8961" t="s">
        <v>343</v>
      </c>
      <c r="K8961" t="s">
        <v>14</v>
      </c>
      <c r="L8961" t="s">
        <v>20</v>
      </c>
      <c r="M8961" t="s">
        <v>17383</v>
      </c>
      <c r="N8961" t="s">
        <v>14</v>
      </c>
    </row>
    <row r="8962" x14ac:dyDescent="0.25">
      <c r="A8962" t="n">
        <v>24</v>
      </c>
      <c r="B8962" t="s">
        <v>14</v>
      </c>
      <c r="C8962" t="s">
        <v>22</v>
      </c>
      <c r="D8962" s="2" t="s">
        <f>=HYPERLINK("https://main.knesset.gov.il/APPS/legislation/main/bills/2167409", "הצעת חוק איסור לשון הרע (תיקון - ביזוי אדם מחמת משקל), התשפ""ב-2022")</f>
        <v>17320</v>
      </c>
      <c r="E8962" t="s">
        <v>17320</v>
      </c>
      <c r="F8962" t="s">
        <v>17462</v>
      </c>
      <c r="G8962" t="s">
        <v>14</v>
      </c>
      <c r="H8962">
             </c>
      <c r="I8962" t="s">
        <v>14</v>
      </c>
      <c r="J8962" t="s">
        <v>141</v>
      </c>
      <c r="K8962" t="s">
        <v>14</v>
      </c>
      <c r="L8962" t="s">
        <v>20</v>
      </c>
      <c r="M8962" t="s">
        <v>17383</v>
      </c>
      <c r="N8962" t="s">
        <v>14</v>
      </c>
    </row>
    <row r="8963" x14ac:dyDescent="0.25">
      <c r="A8963" t="n">
        <v>24</v>
      </c>
      <c r="B8963" t="s">
        <v>14</v>
      </c>
      <c r="C8963" t="s">
        <v>22</v>
      </c>
      <c r="D8963" s="2" t="s">
        <f>=HYPERLINK("https://main.knesset.gov.il/APPS/legislation/main/bills/2165640", "הצעת חוק חינוך ממלכתי (תיקון - איסור תמיכה בטרור), התשפ""ב-2022")</f>
        <v>17463</v>
      </c>
      <c r="E8963" t="s">
        <v>17463</v>
      </c>
      <c r="F8963" t="s">
        <v>17464</v>
      </c>
      <c r="G8963" t="s">
        <v>14</v>
      </c>
      <c r="H8963">
             </c>
      <c r="I8963" t="s">
        <v>14</v>
      </c>
      <c r="J8963" t="s">
        <v>141</v>
      </c>
      <c r="K8963" t="s">
        <v>14</v>
      </c>
      <c r="L8963" t="s">
        <v>20</v>
      </c>
      <c r="M8963" t="s">
        <v>17383</v>
      </c>
      <c r="N8963" t="s">
        <v>14</v>
      </c>
    </row>
    <row r="8964" x14ac:dyDescent="0.25">
      <c r="A8964" t="n">
        <v>24</v>
      </c>
      <c r="B8964" t="s">
        <v>14</v>
      </c>
      <c r="C8964" t="s">
        <v>22</v>
      </c>
      <c r="D8964" s="2" t="s">
        <f>=HYPERLINK("https://main.knesset.gov.il/APPS/legislation/main/bills/2165966", "הצעת חוק סיוע לקטינים נפגעי עבירות מין או אלימות (תיקון - טיפול נפשי לילדים נפגעי עבירות מין או אלימות במשפחה), התשפ""ב-2022")</f>
        <v>17465</v>
      </c>
      <c r="E8964" t="s">
        <v>17465</v>
      </c>
      <c r="F8964" t="s">
        <v>17466</v>
      </c>
      <c r="G8964" t="s">
        <v>14</v>
      </c>
      <c r="H8964">
             </c>
      <c r="I8964" t="s">
        <v>14</v>
      </c>
      <c r="J8964" t="s">
        <v>141</v>
      </c>
      <c r="K8964" t="s">
        <v>14</v>
      </c>
      <c r="L8964" t="s">
        <v>20</v>
      </c>
      <c r="M8964" t="s">
        <v>17383</v>
      </c>
      <c r="N8964" t="s">
        <v>14</v>
      </c>
    </row>
    <row r="8965" x14ac:dyDescent="0.25">
      <c r="A8965" t="n">
        <v>24</v>
      </c>
      <c r="B8965" t="s">
        <v>14</v>
      </c>
      <c r="C8965" t="s">
        <v>22</v>
      </c>
      <c r="D8965" s="2" t="s">
        <f>=HYPERLINK("https://main.knesset.gov.il/APPS/legislation/main/bills/2166388", "הצעת חוק עבודת נשים (תיקון - הארכת תקופת הזכות לשעת הורות), התשפ""ב-2022")</f>
        <v>17467</v>
      </c>
      <c r="E8965" t="s">
        <v>17467</v>
      </c>
      <c r="F8965" t="s">
        <v>17468</v>
      </c>
      <c r="G8965" t="s">
        <v>14</v>
      </c>
      <c r="H8965">
             </c>
      <c r="I8965" t="s">
        <v>14</v>
      </c>
      <c r="J8965" t="s">
        <v>141</v>
      </c>
      <c r="K8965" t="s">
        <v>14</v>
      </c>
      <c r="L8965" t="s">
        <v>20</v>
      </c>
      <c r="M8965" t="s">
        <v>17383</v>
      </c>
      <c r="N8965" t="s">
        <v>14</v>
      </c>
    </row>
    <row r="8966" x14ac:dyDescent="0.25">
      <c r="A8966" t="n">
        <v>24</v>
      </c>
      <c r="B8966" t="s">
        <v>14</v>
      </c>
      <c r="C8966" t="s">
        <v>22</v>
      </c>
      <c r="D8966" s="2" t="s">
        <f>=HYPERLINK("https://main.knesset.gov.il/APPS/legislation/main/bills/2166423", "הצעת חוק הביטוח הלאומי (תיקון - זכאות להטבות לקטועי ידיים על פי הסכם הניידות), התשפ""ב-2022")</f>
        <v>17469</v>
      </c>
      <c r="E8966" t="s">
        <v>17469</v>
      </c>
      <c r="F8966" t="s">
        <v>17470</v>
      </c>
      <c r="G8966" t="s">
        <v>14</v>
      </c>
      <c r="H8966">
             </c>
      <c r="I8966" t="s">
        <v>14</v>
      </c>
      <c r="J8966" t="s">
        <v>141</v>
      </c>
      <c r="K8966" t="s">
        <v>14</v>
      </c>
      <c r="L8966" t="s">
        <v>20</v>
      </c>
      <c r="M8966" t="s">
        <v>17383</v>
      </c>
      <c r="N8966" t="s">
        <v>14</v>
      </c>
    </row>
    <row r="8967" x14ac:dyDescent="0.25">
      <c r="A8967" t="n">
        <v>24</v>
      </c>
      <c r="B8967" t="s">
        <v>14</v>
      </c>
      <c r="C8967" t="s">
        <v>22</v>
      </c>
      <c r="D8967" s="2" t="s">
        <f>=HYPERLINK("https://main.knesset.gov.il/APPS/legislation/main/bills/2166425", "הצעת חוק הביטוח הלאומי (תיקון - העלאת דמי לידה), התשפ""ב-2022")</f>
        <v>17471</v>
      </c>
      <c r="E8967" t="s">
        <v>17471</v>
      </c>
      <c r="F8967" t="s">
        <v>17472</v>
      </c>
      <c r="G8967" t="s">
        <v>14</v>
      </c>
      <c r="H8967">
             </c>
      <c r="I8967" t="s">
        <v>14</v>
      </c>
      <c r="J8967" t="s">
        <v>141</v>
      </c>
      <c r="K8967" t="s">
        <v>14</v>
      </c>
      <c r="L8967" t="s">
        <v>20</v>
      </c>
      <c r="M8967" t="s">
        <v>17383</v>
      </c>
      <c r="N8967" t="s">
        <v>14</v>
      </c>
    </row>
    <row r="8968" x14ac:dyDescent="0.25">
      <c r="A8968" t="n">
        <v>24</v>
      </c>
      <c r="B8968" t="s">
        <v>14</v>
      </c>
      <c r="C8968" t="s">
        <v>22</v>
      </c>
      <c r="D8968" s="2" t="s">
        <f>=HYPERLINK("https://main.knesset.gov.il/APPS/legislation/main/bills/2166877", "הצעת חוק דמי מחלה (היעדרות בשל מחלת ילד) (תיקון - היעדרות בשל אשפוז פג), התשפ""ב-2022")</f>
        <v>17473</v>
      </c>
      <c r="E8968" t="s">
        <v>17473</v>
      </c>
      <c r="F8968" t="s">
        <v>17474</v>
      </c>
      <c r="G8968" t="s">
        <v>14</v>
      </c>
      <c r="H8968">
             </c>
      <c r="I8968" t="s">
        <v>14</v>
      </c>
      <c r="J8968" t="s">
        <v>141</v>
      </c>
      <c r="K8968" t="s">
        <v>14</v>
      </c>
      <c r="L8968" t="s">
        <v>20</v>
      </c>
      <c r="M8968" t="s">
        <v>17383</v>
      </c>
      <c r="N8968" t="s">
        <v>14</v>
      </c>
    </row>
    <row r="8969" x14ac:dyDescent="0.25">
      <c r="A8969" t="n">
        <v>24</v>
      </c>
      <c r="B8969" t="s">
        <v>14</v>
      </c>
      <c r="C8969" t="s">
        <v>22</v>
      </c>
      <c r="D8969" s="2" t="s">
        <f>=HYPERLINK("https://main.knesset.gov.il/APPS/legislation/main/bills/2167082", "הצעת חוק העונשין (תיקון - החמרת ענישה בפשיעה חקלאית) (הוראת שעה), התשפ""ב-2022")</f>
        <v>17475</v>
      </c>
      <c r="E8969" t="s">
        <v>17475</v>
      </c>
      <c r="F8969" t="s">
        <v>17476</v>
      </c>
      <c r="G8969" t="s">
        <v>14</v>
      </c>
      <c r="H8969">
             </c>
      <c r="I8969" t="s">
        <v>14</v>
      </c>
      <c r="J8969" t="s">
        <v>141</v>
      </c>
      <c r="K8969" t="s">
        <v>14</v>
      </c>
      <c r="L8969" t="s">
        <v>20</v>
      </c>
      <c r="M8969" t="s">
        <v>17383</v>
      </c>
      <c r="N8969" t="s">
        <v>14</v>
      </c>
    </row>
    <row r="8970" x14ac:dyDescent="0.25">
      <c r="A8970" t="n">
        <v>24</v>
      </c>
      <c r="B8970" t="s">
        <v>14</v>
      </c>
      <c r="C8970" t="s">
        <v>22</v>
      </c>
      <c r="D8970" s="2" t="s">
        <f>=HYPERLINK("https://main.knesset.gov.il/APPS/legislation/main/bills/2166994", "הצעת חוק חובת המכרזים (תיקון - עידוד עסקים קטנים ובינוניים באזור פריפריה במכרז), התשפ""ב-2022")</f>
        <v>17477</v>
      </c>
      <c r="E8970" t="s">
        <v>17477</v>
      </c>
      <c r="F8970" t="s">
        <v>17478</v>
      </c>
      <c r="G8970" t="s">
        <v>14</v>
      </c>
      <c r="H8970">
             </c>
      <c r="I8970" t="s">
        <v>14</v>
      </c>
      <c r="J8970" t="s">
        <v>141</v>
      </c>
      <c r="K8970" t="s">
        <v>14</v>
      </c>
      <c r="L8970" t="s">
        <v>20</v>
      </c>
      <c r="M8970" t="s">
        <v>17383</v>
      </c>
      <c r="N8970" t="s">
        <v>14</v>
      </c>
    </row>
    <row r="8971" x14ac:dyDescent="0.25">
      <c r="A8971" t="n">
        <v>24</v>
      </c>
      <c r="B8971" t="s">
        <v>14</v>
      </c>
      <c r="C8971" t="s">
        <v>22</v>
      </c>
      <c r="D8971" s="2" t="s">
        <f>=HYPERLINK("https://main.knesset.gov.il/APPS/legislation/main/bills/2167078", "הצעת חוק התכנון והבנייה (הוראות מיוחדות לעניין יישובי מיעוטים) (הוראת שעה), התשפ""ב-2022")</f>
        <v>17188</v>
      </c>
      <c r="E8971" t="s">
        <v>17188</v>
      </c>
      <c r="F8971" t="s">
        <v>17479</v>
      </c>
      <c r="G8971" t="s">
        <v>14</v>
      </c>
      <c r="H8971">
             </c>
      <c r="I8971" t="s">
        <v>14</v>
      </c>
      <c r="J8971" t="s">
        <v>141</v>
      </c>
      <c r="K8971" t="s">
        <v>14</v>
      </c>
      <c r="L8971" t="s">
        <v>20</v>
      </c>
      <c r="M8971" t="s">
        <v>17383</v>
      </c>
      <c r="N8971" t="s">
        <v>14</v>
      </c>
    </row>
    <row r="8972" x14ac:dyDescent="0.25">
      <c r="A8972" t="n">
        <v>24</v>
      </c>
      <c r="B8972" t="s">
        <v>14</v>
      </c>
      <c r="C8972" t="s">
        <v>22</v>
      </c>
      <c r="D8972" s="2" t="s">
        <f>=HYPERLINK("https://main.knesset.gov.il/APPS/legislation/main/bills/2164099", "הצעת חוק למניעת אלימות במשפחה (תיקון - הארכת תוקף צו הגנה), התשפ""ב-2022")</f>
        <v>17480</v>
      </c>
      <c r="E8972" t="s">
        <v>17480</v>
      </c>
      <c r="F8972" t="s">
        <v>17481</v>
      </c>
      <c r="G8972" t="s">
        <v>14</v>
      </c>
      <c r="H8972">
             </c>
      <c r="I8972" t="s">
        <v>14</v>
      </c>
      <c r="J8972" t="s">
        <v>141</v>
      </c>
      <c r="K8972" t="s">
        <v>14</v>
      </c>
      <c r="L8972" t="s">
        <v>20</v>
      </c>
      <c r="M8972" t="s">
        <v>17383</v>
      </c>
      <c r="N8972" t="s">
        <v>14</v>
      </c>
    </row>
    <row r="8973" x14ac:dyDescent="0.25">
      <c r="A8973" t="n">
        <v>24</v>
      </c>
      <c r="B8973" t="s">
        <v>14</v>
      </c>
      <c r="C8973" t="s">
        <v>22</v>
      </c>
      <c r="D8973" s="2" t="s">
        <f>=HYPERLINK("https://main.knesset.gov.il/APPS/legislation/main/bills/2163795", "הצעת חוק זכויות נפגעי עבירה (תיקון - חובת יידוע נפגעי עבירה בדבר זכויותיהם), התשפ""ב-2022")</f>
        <v>17460</v>
      </c>
      <c r="E8973" t="s">
        <v>17460</v>
      </c>
      <c r="F8973" t="s">
        <v>17482</v>
      </c>
      <c r="G8973" t="s">
        <v>14</v>
      </c>
      <c r="H8973">
             </c>
      <c r="I8973" t="s">
        <v>14</v>
      </c>
      <c r="J8973" t="s">
        <v>141</v>
      </c>
      <c r="K8973" t="s">
        <v>14</v>
      </c>
      <c r="L8973" t="s">
        <v>20</v>
      </c>
      <c r="M8973" t="s">
        <v>17383</v>
      </c>
      <c r="N8973" t="s">
        <v>14</v>
      </c>
    </row>
    <row r="8974" x14ac:dyDescent="0.25">
      <c r="A8974" t="n">
        <v>24</v>
      </c>
      <c r="B8974" t="s">
        <v>14</v>
      </c>
      <c r="C8974" t="s">
        <v>22</v>
      </c>
      <c r="D8974" s="2" t="s">
        <f>=HYPERLINK("https://main.knesset.gov.il/APPS/legislation/main/bills/2166977", "הצעת חוק חדלות פירעון ושיקום כלכלי (תיקון - מתן דין קדימה לבעלי עסקים קטנים כנושים), התשפ""ב-2022")</f>
        <v>17483</v>
      </c>
      <c r="E8974" t="s">
        <v>17483</v>
      </c>
      <c r="F8974" t="s">
        <v>17484</v>
      </c>
      <c r="G8974" t="s">
        <v>14</v>
      </c>
      <c r="H8974">
             </c>
      <c r="I8974" t="s">
        <v>14</v>
      </c>
      <c r="J8974" t="s">
        <v>141</v>
      </c>
      <c r="K8974" t="s">
        <v>14</v>
      </c>
      <c r="L8974" t="s">
        <v>20</v>
      </c>
      <c r="M8974" t="s">
        <v>17383</v>
      </c>
      <c r="N8974" t="s">
        <v>14</v>
      </c>
    </row>
    <row r="8975" x14ac:dyDescent="0.25">
      <c r="A8975" t="n">
        <v>24</v>
      </c>
      <c r="B8975" t="s">
        <v>14</v>
      </c>
      <c r="C8975" t="s">
        <v>22</v>
      </c>
      <c r="D8975" s="2" t="s">
        <f>=HYPERLINK("https://main.knesset.gov.il/APPS/legislation/main/bills/2167129", "הצעת חוק הכנסת (תיקון - הרחבת תקופת הצינון במעבר לשדלנות בכנסת), התשפ""ב-2022")</f>
        <v>17485</v>
      </c>
      <c r="E8975" t="s">
        <v>17485</v>
      </c>
      <c r="F8975" t="s">
        <v>17486</v>
      </c>
      <c r="G8975" t="s">
        <v>14</v>
      </c>
      <c r="H8975">
             </c>
      <c r="I8975" t="s">
        <v>14</v>
      </c>
      <c r="J8975" t="s">
        <v>141</v>
      </c>
      <c r="K8975" t="s">
        <v>14</v>
      </c>
      <c r="L8975" t="s">
        <v>20</v>
      </c>
      <c r="M8975" t="s">
        <v>17383</v>
      </c>
      <c r="N8975" t="s">
        <v>14</v>
      </c>
    </row>
    <row r="8976" x14ac:dyDescent="0.25">
      <c r="A8976" t="n">
        <v>24</v>
      </c>
      <c r="B8976" t="s">
        <v>14</v>
      </c>
      <c r="C8976" t="s">
        <v>22</v>
      </c>
      <c r="D8976" s="2" t="s">
        <f>=HYPERLINK("https://main.knesset.gov.il/APPS/legislation/main/bills/2166088", "הצעת חוק הפיקוח על מעונות יום לפעוטות (תיקון - חובת החזקת ערכת עזרה ראשונה), התשפ""ב-2022")</f>
        <v>17487</v>
      </c>
      <c r="E8976" t="s">
        <v>17487</v>
      </c>
      <c r="F8976" t="s">
        <v>17488</v>
      </c>
      <c r="G8976" t="s">
        <v>14</v>
      </c>
      <c r="H8976">
             </c>
      <c r="I8976" t="s">
        <v>14</v>
      </c>
      <c r="J8976" t="s">
        <v>141</v>
      </c>
      <c r="K8976" t="s">
        <v>14</v>
      </c>
      <c r="L8976" t="s">
        <v>20</v>
      </c>
      <c r="M8976" t="s">
        <v>17383</v>
      </c>
      <c r="N8976" t="s">
        <v>14</v>
      </c>
    </row>
    <row r="8977" x14ac:dyDescent="0.25">
      <c r="A8977" t="n">
        <v>24</v>
      </c>
      <c r="B8977" t="s">
        <v>14</v>
      </c>
      <c r="C8977" t="s">
        <v>15</v>
      </c>
      <c r="D8977" s="2" t="s">
        <f>=HYPERLINK("https://main.knesset.gov.il/APPS/legislation/main/bills/2167777", "הצעת חוק איסור הפליה במוצרים, בשירותים ובכניסה למקומות בידור ולמקומות ציבוריים (תיקון מס' 6) (פיצוי בלא הוכחת נזק), התשפ""ב-2022")</f>
        <v>17489</v>
      </c>
      <c r="E8977" t="s">
        <v>17489</v>
      </c>
      <c r="F8977" t="s">
        <v>14</v>
      </c>
      <c r="G8977" t="s">
        <v>17490</v>
      </c>
      <c r="H8977">
             </c>
      <c r="I8977" t="s">
        <v>14</v>
      </c>
      <c r="J8977" t="s">
        <v>1141</v>
      </c>
      <c r="K8977" t="s">
        <v>14</v>
      </c>
      <c r="L8977" t="s">
        <v>20</v>
      </c>
      <c r="M8977" t="s">
        <v>17383</v>
      </c>
      <c r="N8977" t="s">
        <v>14</v>
      </c>
    </row>
    <row r="8978" x14ac:dyDescent="0.25">
      <c r="A8978" t="n">
        <v>24</v>
      </c>
      <c r="B8978" t="s">
        <v>14</v>
      </c>
      <c r="C8978" t="s">
        <v>15</v>
      </c>
      <c r="D8978" s="2" t="s">
        <f>=HYPERLINK("https://main.knesset.gov.il/APPS/legislation/main/bills/2167778", "הצעת חוק לתיקון פקודת התעבורה (מס' 120) (תיקון מס' 3), התשפ""ב-2022")</f>
        <v>17491</v>
      </c>
      <c r="E8978" t="s">
        <v>17491</v>
      </c>
      <c r="F8978" t="s">
        <v>14</v>
      </c>
      <c r="G8978" t="s">
        <v>17492</v>
      </c>
      <c r="H8978">
             </c>
      <c r="I8978" t="s">
        <v>14</v>
      </c>
      <c r="J8978" t="s">
        <v>1141</v>
      </c>
      <c r="K8978" t="s">
        <v>14</v>
      </c>
      <c r="L8978" t="s">
        <v>20</v>
      </c>
      <c r="M8978" t="s">
        <v>17383</v>
      </c>
      <c r="N8978" t="s">
        <v>14</v>
      </c>
    </row>
    <row r="8979" x14ac:dyDescent="0.25">
      <c r="A8979" t="n">
        <v>24</v>
      </c>
      <c r="B8979" t="s">
        <v>14</v>
      </c>
      <c r="C8979" t="s">
        <v>22</v>
      </c>
      <c r="D8979" s="2" t="s">
        <f>=HYPERLINK("https://main.knesset.gov.il/APPS/legislation/main/bills/2164036", "הצעת חוק הביטוח הלאומי (תיקון - דמי ביטוח מופחתים לסטודנטים), התשפ""ב-2021")</f>
        <v>17493</v>
      </c>
      <c r="E8979" t="s">
        <v>17493</v>
      </c>
      <c r="F8979" t="s">
        <v>17494</v>
      </c>
      <c r="G8979" t="s">
        <v>14</v>
      </c>
      <c r="H8979">
             </c>
      <c r="I8979" t="s">
        <v>14</v>
      </c>
      <c r="J8979" t="s">
        <v>99</v>
      </c>
      <c r="K8979" t="s">
        <v>127</v>
      </c>
      <c r="L8979" t="s">
        <v>20</v>
      </c>
      <c r="M8979" t="s">
        <v>17495</v>
      </c>
      <c r="N8979" t="s">
        <v>14</v>
      </c>
    </row>
    <row r="8980" x14ac:dyDescent="0.25">
      <c r="A8980" t="n">
        <v>24</v>
      </c>
      <c r="B8980" t="s">
        <v>14</v>
      </c>
      <c r="C8980" t="s">
        <v>22</v>
      </c>
      <c r="D8980" s="2" t="s">
        <f>=HYPERLINK("https://main.knesset.gov.il/APPS/legislation/main/bills/2162551", "הצעת חוק הביטוח הלאומי (תיקון - דמי ביטוח מופחתים לסטודנטים), התשפ""ב-2021")</f>
        <v>17493</v>
      </c>
      <c r="E8980" t="s">
        <v>17493</v>
      </c>
      <c r="F8980" t="s">
        <v>17496</v>
      </c>
      <c r="G8980" t="s">
        <v>14</v>
      </c>
      <c r="H8980">
             </c>
      <c r="I8980" t="s">
        <v>14</v>
      </c>
      <c r="J8980" t="s">
        <v>99</v>
      </c>
      <c r="K8980" t="s">
        <v>127</v>
      </c>
      <c r="L8980" t="s">
        <v>20</v>
      </c>
      <c r="M8980" t="s">
        <v>17495</v>
      </c>
      <c r="N8980" t="s">
        <v>14</v>
      </c>
    </row>
    <row r="8981" x14ac:dyDescent="0.25">
      <c r="A8981" t="n">
        <v>24</v>
      </c>
      <c r="B8981" t="s">
        <v>14</v>
      </c>
      <c r="C8981" t="s">
        <v>22</v>
      </c>
      <c r="D8981" s="2" t="s">
        <f>=HYPERLINK("https://main.knesset.gov.il/APPS/legislation/main/bills/2158626", "הצעת חוק הביטוח הלאומי (תיקון - דמי ביטוח מופחתים לסטודנטים), התשפ""א-2021")</f>
        <v>17497</v>
      </c>
      <c r="E8981" t="s">
        <v>17497</v>
      </c>
      <c r="F8981" t="s">
        <v>17498</v>
      </c>
      <c r="G8981" t="s">
        <v>14</v>
      </c>
      <c r="H8981">
             </c>
      <c r="I8981" t="s">
        <v>14</v>
      </c>
      <c r="J8981" t="s">
        <v>99</v>
      </c>
      <c r="K8981" t="s">
        <v>127</v>
      </c>
      <c r="L8981" t="s">
        <v>20</v>
      </c>
      <c r="M8981" t="s">
        <v>17495</v>
      </c>
      <c r="N8981" t="s">
        <v>14</v>
      </c>
    </row>
    <row r="8982" x14ac:dyDescent="0.25">
      <c r="A8982" t="n">
        <v>24</v>
      </c>
      <c r="B8982" t="s">
        <v>14</v>
      </c>
      <c r="C8982" t="s">
        <v>22</v>
      </c>
      <c r="D8982" s="2" t="s">
        <f>=HYPERLINK("https://main.knesset.gov.il/APPS/legislation/main/bills/2165458", "הצעת חוק מיסוי מקרקעין (שבח ורכישה) (תיקון - מדרגות המס על דירה יחידה ועל בניין להשכרה ובניין לשכירות מוסדית), התשפ''ב-2021")</f>
        <v>17499</v>
      </c>
      <c r="E8982" t="s">
        <v>17499</v>
      </c>
      <c r="F8982" t="s">
        <v>17500</v>
      </c>
      <c r="G8982" t="s">
        <v>14</v>
      </c>
      <c r="H8982">
             </c>
      <c r="I8982" t="s">
        <v>14</v>
      </c>
      <c r="J8982" t="s">
        <v>31</v>
      </c>
      <c r="K8982" t="s">
        <v>85</v>
      </c>
      <c r="L8982" t="s">
        <v>20</v>
      </c>
      <c r="M8982" t="s">
        <v>17495</v>
      </c>
      <c r="N8982" t="s">
        <v>14</v>
      </c>
    </row>
    <row r="8983" x14ac:dyDescent="0.25">
      <c r="A8983" t="n">
        <v>24</v>
      </c>
      <c r="B8983" t="s">
        <v>14</v>
      </c>
      <c r="C8983" t="s">
        <v>22</v>
      </c>
      <c r="D8983" s="2" t="s">
        <f>=HYPERLINK("https://main.knesset.gov.il/APPS/legislation/main/bills/2165373", "הצעת חוק המפלגות (תיקון - הגבלת מימון עצמי של נבחרי ציבור), התשפ""ב-2021")</f>
        <v>17501</v>
      </c>
      <c r="E8983" t="s">
        <v>17501</v>
      </c>
      <c r="F8983" t="s">
        <v>17502</v>
      </c>
      <c r="G8983" t="s">
        <v>14</v>
      </c>
      <c r="H8983">
             </c>
      <c r="I8983" t="s">
        <v>14</v>
      </c>
      <c r="J8983" t="s">
        <v>60</v>
      </c>
      <c r="K8983" t="s">
        <v>14</v>
      </c>
      <c r="L8983" t="s">
        <v>20</v>
      </c>
      <c r="M8983" t="s">
        <v>17495</v>
      </c>
      <c r="N8983" t="s">
        <v>14</v>
      </c>
    </row>
    <row r="8984" x14ac:dyDescent="0.25">
      <c r="A8984" t="n">
        <v>24</v>
      </c>
      <c r="B8984" t="s">
        <v>14</v>
      </c>
      <c r="C8984" t="s">
        <v>22</v>
      </c>
      <c r="D8984" s="2" t="s">
        <f>=HYPERLINK("https://main.knesset.gov.il/APPS/legislation/main/bills/2161444", "הצעת חוק המפלגות (תיקון - הגבלת מימון עצמי של נבחרי ציבור), התשפ""ב-2021")</f>
        <v>17501</v>
      </c>
      <c r="E8984" t="s">
        <v>17501</v>
      </c>
      <c r="F8984" t="s">
        <v>17503</v>
      </c>
      <c r="G8984" t="s">
        <v>14</v>
      </c>
      <c r="H8984">
             </c>
      <c r="I8984" t="s">
        <v>14</v>
      </c>
      <c r="J8984" t="s">
        <v>55</v>
      </c>
      <c r="K8984" t="s">
        <v>14</v>
      </c>
      <c r="L8984" t="s">
        <v>20</v>
      </c>
      <c r="M8984" t="s">
        <v>17495</v>
      </c>
      <c r="N8984" t="s">
        <v>14</v>
      </c>
    </row>
    <row r="8985" x14ac:dyDescent="0.25">
      <c r="A8985" t="n">
        <v>24</v>
      </c>
      <c r="B8985" t="s">
        <v>14</v>
      </c>
      <c r="C8985" t="s">
        <v>22</v>
      </c>
      <c r="D8985" s="2" t="s">
        <f>=HYPERLINK("https://main.knesset.gov.il/APPS/legislation/main/bills/2161223", "הצעת חוק ביטוח בריאות ממלכתי (תיקון - שירותים ותרופות בסבסוד מלא לאזרחים ותיקים), התשפ""א-2021")</f>
        <v>17504</v>
      </c>
      <c r="E8985" t="s">
        <v>17504</v>
      </c>
      <c r="F8985" t="s">
        <v>17505</v>
      </c>
      <c r="G8985" t="s">
        <v>14</v>
      </c>
      <c r="H8985">
             </c>
      <c r="I8985" t="s">
        <v>14</v>
      </c>
      <c r="J8985" t="s">
        <v>55</v>
      </c>
      <c r="K8985" t="s">
        <v>14</v>
      </c>
      <c r="L8985" t="s">
        <v>20</v>
      </c>
      <c r="M8985" t="s">
        <v>17495</v>
      </c>
      <c r="N8985" t="s">
        <v>14</v>
      </c>
    </row>
    <row r="8986" x14ac:dyDescent="0.25">
      <c r="A8986" t="n">
        <v>24</v>
      </c>
      <c r="B8986" t="s">
        <v>14</v>
      </c>
      <c r="C8986" t="s">
        <v>22</v>
      </c>
      <c r="D8986" s="2" t="s">
        <f>=HYPERLINK("https://main.knesset.gov.il/APPS/legislation/main/bills/2160997", "הצעת חוק דמי מחלה (היעדרות בשל מחלת ילד) (תיקון - בן זוג לומד), התשפ""א-2021")</f>
        <v>17506</v>
      </c>
      <c r="E8986" t="s">
        <v>17506</v>
      </c>
      <c r="F8986" t="s">
        <v>17507</v>
      </c>
      <c r="G8986" t="s">
        <v>14</v>
      </c>
      <c r="H8986">
             </c>
      <c r="I8986" t="s">
        <v>14</v>
      </c>
      <c r="J8986" t="s">
        <v>55</v>
      </c>
      <c r="K8986" t="s">
        <v>14</v>
      </c>
      <c r="L8986" t="s">
        <v>20</v>
      </c>
      <c r="M8986" t="s">
        <v>17495</v>
      </c>
      <c r="N8986" t="s">
        <v>14</v>
      </c>
    </row>
    <row r="8987" x14ac:dyDescent="0.25">
      <c r="A8987" t="n">
        <v>24</v>
      </c>
      <c r="B8987" t="s">
        <v>14</v>
      </c>
      <c r="C8987" t="s">
        <v>22</v>
      </c>
      <c r="D8987" s="2" t="s">
        <f>=HYPERLINK("https://main.knesset.gov.il/APPS/legislation/main/bills/2160218", "הצעת חוק לתיקון פקודת העדה הדתית (המרה) (גיור על ידי רב מקומי וראש ישיבה), התשפ""א-2021")</f>
        <v>17508</v>
      </c>
      <c r="E8987" t="s">
        <v>17508</v>
      </c>
      <c r="F8987" t="s">
        <v>17509</v>
      </c>
      <c r="G8987" t="s">
        <v>14</v>
      </c>
      <c r="H8987">
             </c>
      <c r="I8987" t="s">
        <v>14</v>
      </c>
      <c r="J8987" t="s">
        <v>343</v>
      </c>
      <c r="K8987" t="s">
        <v>14</v>
      </c>
      <c r="L8987" t="s">
        <v>20</v>
      </c>
      <c r="M8987" t="s">
        <v>17495</v>
      </c>
      <c r="N8987" t="s">
        <v>14</v>
      </c>
    </row>
    <row r="8988" x14ac:dyDescent="0.25">
      <c r="A8988" t="n">
        <v>24</v>
      </c>
      <c r="B8988" t="s">
        <v>14</v>
      </c>
      <c r="C8988" t="s">
        <v>22</v>
      </c>
      <c r="D8988" s="2" t="s">
        <f>=HYPERLINK("https://main.knesset.gov.il/APPS/legislation/main/bills/2158881", "הצעת חוק פיקוח על מחירי מצרכים ושירותים (תיקון - הגבלת מרווחי שיווק על ירקות), התשפ""א-2021")</f>
        <v>17510</v>
      </c>
      <c r="E8988" t="s">
        <v>17510</v>
      </c>
      <c r="F8988" t="s">
        <v>17511</v>
      </c>
      <c r="G8988" t="s">
        <v>14</v>
      </c>
      <c r="H8988">
             </c>
      <c r="I8988" t="s">
        <v>14</v>
      </c>
      <c r="J8988" t="s">
        <v>55</v>
      </c>
      <c r="K8988" t="s">
        <v>14</v>
      </c>
      <c r="L8988" t="s">
        <v>20</v>
      </c>
      <c r="M8988" t="s">
        <v>17495</v>
      </c>
      <c r="N8988" t="s">
        <v>14</v>
      </c>
    </row>
    <row r="8989" x14ac:dyDescent="0.25">
      <c r="A8989" t="n">
        <v>24</v>
      </c>
      <c r="B8989" t="s">
        <v>14</v>
      </c>
      <c r="C8989" t="s">
        <v>22</v>
      </c>
      <c r="D8989" s="2" t="s">
        <f>=HYPERLINK("https://main.knesset.gov.il/APPS/legislation/main/bills/2157701", "הצעת חוק חסינות חברי הכנסת, זכויותיהם וחובותיהם (תיקון - חסינות בפני דין פלילי של חברי הכנסת המכהנים כחברי הממשלה), התשפ""א-2021")</f>
        <v>17512</v>
      </c>
      <c r="E8989" t="s">
        <v>17512</v>
      </c>
      <c r="F8989" t="s">
        <v>17513</v>
      </c>
      <c r="G8989" t="s">
        <v>14</v>
      </c>
      <c r="H8989">
             </c>
      <c r="I8989" t="s">
        <v>14</v>
      </c>
      <c r="J8989" t="s">
        <v>55</v>
      </c>
      <c r="K8989" t="s">
        <v>14</v>
      </c>
      <c r="L8989" t="s">
        <v>20</v>
      </c>
      <c r="M8989" t="s">
        <v>17495</v>
      </c>
      <c r="N8989" t="s">
        <v>14</v>
      </c>
    </row>
    <row r="8990" x14ac:dyDescent="0.25">
      <c r="A8990" t="n">
        <v>24</v>
      </c>
      <c r="B8990" t="s">
        <v>14</v>
      </c>
      <c r="C8990" t="s">
        <v>22</v>
      </c>
      <c r="D8990" s="2" t="s">
        <f>=HYPERLINK("https://main.knesset.gov.il/APPS/legislation/main/bills/2156654", "הצעת חוק המרכז לגביית קנסות, אגרות והוצאות (תיקון - גביית תשלום בעד חוב שטרם חלף המועד לתשלומו), התשפ""א-2021")</f>
        <v>17514</v>
      </c>
      <c r="E8990" t="s">
        <v>17514</v>
      </c>
      <c r="F8990" t="s">
        <v>17515</v>
      </c>
      <c r="G8990" t="s">
        <v>14</v>
      </c>
      <c r="H8990">
             </c>
      <c r="I8990" t="s">
        <v>14</v>
      </c>
      <c r="J8990" t="s">
        <v>55</v>
      </c>
      <c r="K8990" t="s">
        <v>14</v>
      </c>
      <c r="L8990" t="s">
        <v>20</v>
      </c>
      <c r="M8990" t="s">
        <v>17495</v>
      </c>
      <c r="N8990" t="s">
        <v>14</v>
      </c>
    </row>
    <row r="8991" x14ac:dyDescent="0.25">
      <c r="A8991" t="n">
        <v>24</v>
      </c>
      <c r="B8991" t="s">
        <v>14</v>
      </c>
      <c r="C8991" t="s">
        <v>15</v>
      </c>
      <c r="D8991" s="2" t="s">
        <f>=HYPERLINK("https://main.knesset.gov.il/APPS/legislation/main/bills/2165313", "הצעת חוק התכנית הכלכלית (תיקוני חקיקה ליישום המדיניות הכלכלית לשנות התקציב 2017 ו-2018) (תיקון מס' 6), התשפ""ב-2021 ")</f>
        <v>17516</v>
      </c>
      <c r="E8991" t="s">
        <v>17516</v>
      </c>
      <c r="F8991" t="s">
        <v>14</v>
      </c>
      <c r="G8991" t="s">
        <v>17517</v>
      </c>
      <c r="H8991">
             </c>
      <c r="I8991" t="s">
        <v>14</v>
      </c>
      <c r="J8991" t="s">
        <v>17518</v>
      </c>
      <c r="K8991" t="s">
        <v>19</v>
      </c>
      <c r="L8991" t="s">
        <v>20</v>
      </c>
      <c r="M8991" t="s">
        <v>17495</v>
      </c>
      <c r="N8991" t="s">
        <v>14</v>
      </c>
    </row>
    <row r="8992" x14ac:dyDescent="0.25">
      <c r="A8992" t="n">
        <v>24</v>
      </c>
      <c r="B8992" t="s">
        <v>14</v>
      </c>
      <c r="C8992" t="s">
        <v>22</v>
      </c>
      <c r="D8992" s="2" t="s">
        <f>=HYPERLINK("https://main.knesset.gov.il/APPS/legislation/main/bills/2161378", "הצעת חוק ביטוח בריאות ממלכתי (תיקון - העברת שירותי הגמילה לאחריות קופות החולים), התשפ""א-2021")</f>
        <v>17519</v>
      </c>
      <c r="E8992" t="s">
        <v>17519</v>
      </c>
      <c r="F8992" t="s">
        <v>17520</v>
      </c>
      <c r="G8992" t="s">
        <v>14</v>
      </c>
      <c r="H8992">
             </c>
      <c r="I8992" t="s">
        <v>14</v>
      </c>
      <c r="J8992" t="s">
        <v>31</v>
      </c>
      <c r="K8992" t="s">
        <v>14</v>
      </c>
      <c r="L8992" t="s">
        <v>20</v>
      </c>
      <c r="M8992" t="s">
        <v>17521</v>
      </c>
      <c r="N8992" t="s">
        <v>14</v>
      </c>
    </row>
    <row r="8993" x14ac:dyDescent="0.25">
      <c r="A8993" t="n">
        <v>24</v>
      </c>
      <c r="B8993" t="s">
        <v>14</v>
      </c>
      <c r="C8993" t="s">
        <v>22</v>
      </c>
      <c r="D8993" s="2" t="s">
        <f>=HYPERLINK("https://main.knesset.gov.il/APPS/legislation/main/bills/2160527", "הצעת חוק ביטוח בריאות ממלכתי (תיקון - העברת שירותי הגמילה לאחריות קופות החולים וטיפול בהתמכרויות), התשפ""א-2021")</f>
        <v>17522</v>
      </c>
      <c r="E8993" t="s">
        <v>17522</v>
      </c>
      <c r="F8993" t="s">
        <v>17523</v>
      </c>
      <c r="G8993" t="s">
        <v>14</v>
      </c>
      <c r="H8993">
             </c>
      <c r="I8993" t="s">
        <v>14</v>
      </c>
      <c r="J8993" t="s">
        <v>31</v>
      </c>
      <c r="K8993" t="s">
        <v>14</v>
      </c>
      <c r="L8993" t="s">
        <v>20</v>
      </c>
      <c r="M8993" t="s">
        <v>17521</v>
      </c>
      <c r="N8993" t="s">
        <v>14</v>
      </c>
    </row>
    <row r="8994" x14ac:dyDescent="0.25">
      <c r="A8994" t="n">
        <v>24</v>
      </c>
      <c r="B8994" t="s">
        <v>14</v>
      </c>
      <c r="C8994" t="s">
        <v>22</v>
      </c>
      <c r="D8994" s="2" t="s">
        <f>=HYPERLINK("https://main.knesset.gov.il/APPS/legislation/main/bills/2159639", "הצעת חוק ביטוח בריאות ממלכתי (תיקון - העברת שירותי הגמילה לתוספת השנייה), התשפ""א-2021")</f>
        <v>17524</v>
      </c>
      <c r="E8994" t="s">
        <v>17524</v>
      </c>
      <c r="F8994" t="s">
        <v>17525</v>
      </c>
      <c r="G8994" t="s">
        <v>14</v>
      </c>
      <c r="H8994">
             </c>
      <c r="I8994" t="s">
        <v>14</v>
      </c>
      <c r="J8994" t="s">
        <v>31</v>
      </c>
      <c r="K8994" t="s">
        <v>14</v>
      </c>
      <c r="L8994" t="s">
        <v>20</v>
      </c>
      <c r="M8994" t="s">
        <v>17521</v>
      </c>
      <c r="N8994" t="s">
        <v>14</v>
      </c>
    </row>
    <row r="8995" x14ac:dyDescent="0.25">
      <c r="A8995" t="n">
        <v>24</v>
      </c>
      <c r="B8995" t="s">
        <v>14</v>
      </c>
      <c r="C8995" t="s">
        <v>22</v>
      </c>
      <c r="D8995" s="2" t="s">
        <f>=HYPERLINK("https://main.knesset.gov.il/APPS/legislation/main/bills/2165891", "הצעת חוק הביטוח הלאומי (תיקון - דמי אבטלה למי שנמצא בהכשרה מקצועית) (הוראת שעה), התשפ""ב-2021")</f>
        <v>17526</v>
      </c>
      <c r="E8995" t="s">
        <v>17526</v>
      </c>
      <c r="F8995" t="s">
        <v>17527</v>
      </c>
      <c r="G8995" t="s">
        <v>14</v>
      </c>
      <c r="H8995">
             </c>
      <c r="I8995" t="s">
        <v>14</v>
      </c>
      <c r="J8995" t="s">
        <v>99</v>
      </c>
      <c r="K8995" t="s">
        <v>127</v>
      </c>
      <c r="L8995" t="s">
        <v>20</v>
      </c>
      <c r="M8995" t="s">
        <v>17528</v>
      </c>
      <c r="N8995" t="s">
        <v>14</v>
      </c>
    </row>
    <row r="8996" x14ac:dyDescent="0.25">
      <c r="A8996" t="n">
        <v>24</v>
      </c>
      <c r="B8996" t="s">
        <v>14</v>
      </c>
      <c r="C8996" t="s">
        <v>22</v>
      </c>
      <c r="D8996" s="2" t="s">
        <f>=HYPERLINK("https://main.knesset.gov.il/APPS/legislation/main/bills/2156584", "הצעת חוק הביטוח הלאומי (תיקון - דמי אבטלה למי שנמצא בהכשרה מקצועית), התשפ""א-2021")</f>
        <v>17529</v>
      </c>
      <c r="E8996" t="s">
        <v>17529</v>
      </c>
      <c r="F8996" t="s">
        <v>17530</v>
      </c>
      <c r="G8996" t="s">
        <v>14</v>
      </c>
      <c r="H8996">
             </c>
      <c r="I8996" t="s">
        <v>14</v>
      </c>
      <c r="J8996" t="s">
        <v>99</v>
      </c>
      <c r="K8996" t="s">
        <v>127</v>
      </c>
      <c r="L8996" t="s">
        <v>20</v>
      </c>
      <c r="M8996" t="s">
        <v>17528</v>
      </c>
      <c r="N8996" t="s">
        <v>14</v>
      </c>
    </row>
    <row r="8997" x14ac:dyDescent="0.25">
      <c r="A8997" t="n">
        <v>24</v>
      </c>
      <c r="B8997" t="s">
        <v>14</v>
      </c>
      <c r="C8997" t="s">
        <v>22</v>
      </c>
      <c r="D8997" s="2" t="s">
        <f>=HYPERLINK("https://main.knesset.gov.il/APPS/legislation/main/bills/2156190", "הצעת חוק הנכים (תגמולים ושיקום) (תיקון - ביטול מבחן הכנסה), התשפ""א-2021")</f>
        <v>17531</v>
      </c>
      <c r="E8997" t="s">
        <v>17531</v>
      </c>
      <c r="F8997" t="s">
        <v>17532</v>
      </c>
      <c r="G8997" t="s">
        <v>14</v>
      </c>
      <c r="H8997">
             </c>
      <c r="I8997" t="s">
        <v>14</v>
      </c>
      <c r="J8997" t="s">
        <v>99</v>
      </c>
      <c r="K8997" t="s">
        <v>127</v>
      </c>
      <c r="L8997" t="s">
        <v>20</v>
      </c>
      <c r="M8997" t="s">
        <v>17528</v>
      </c>
      <c r="N8997" t="s">
        <v>14</v>
      </c>
    </row>
    <row r="8998" x14ac:dyDescent="0.25">
      <c r="A8998" t="n">
        <v>24</v>
      </c>
      <c r="B8998" t="s">
        <v>14</v>
      </c>
      <c r="C8998" t="s">
        <v>15</v>
      </c>
      <c r="D8998" s="2" t="s">
        <f>=HYPERLINK("https://main.knesset.gov.il/APPS/legislation/main/bills/2166878", "הצעת חוק סמכויות מיוחדות להתמודדות עם נגיף הקורונה החדש (הוראת שעה) (תיקון מס' 11), התשפ""ב-2021 ")</f>
        <v>17533</v>
      </c>
      <c r="E8998" t="s">
        <v>17533</v>
      </c>
      <c r="F8998" t="s">
        <v>14</v>
      </c>
      <c r="G8998" t="s">
        <v>17534</v>
      </c>
      <c r="H8998">
             </c>
      <c r="I8998" t="s">
        <v>14</v>
      </c>
      <c r="J8998" t="s">
        <v>18</v>
      </c>
      <c r="K8998" t="s">
        <v>27</v>
      </c>
      <c r="L8998" t="s">
        <v>20</v>
      </c>
      <c r="M8998" t="s">
        <v>17528</v>
      </c>
      <c r="N8998" t="s">
        <v>14</v>
      </c>
    </row>
    <row r="8999" x14ac:dyDescent="0.25">
      <c r="A8999" t="n">
        <v>24</v>
      </c>
      <c r="B8999" t="s">
        <v>14</v>
      </c>
      <c r="C8999" t="s">
        <v>15</v>
      </c>
      <c r="D8999" s="2" t="s">
        <f>=HYPERLINK("https://main.knesset.gov.il/APPS/legislation/main/bills/2164589", "חוק לתיקון פקודת העיריות (מס' 150), התשפ""ב-2021")</f>
        <v>17535</v>
      </c>
      <c r="E8999" t="s">
        <v>17535</v>
      </c>
      <c r="F8999" t="s">
        <v>14</v>
      </c>
      <c r="G8999" t="s">
        <v>17536</v>
      </c>
      <c r="H8999" t="n">
        <v>2946</v>
      </c>
      <c r="I8999" t="s">
        <v>14</v>
      </c>
      <c r="J8999" t="s">
        <v>91</v>
      </c>
      <c r="K8999" t="s">
        <v>46</v>
      </c>
      <c r="L8999" t="s">
        <v>20</v>
      </c>
      <c r="M8999" t="s">
        <v>17528</v>
      </c>
      <c r="N8999" t="s">
        <v>17537</v>
      </c>
    </row>
    <row r="9000" x14ac:dyDescent="0.25">
      <c r="A9000" t="n">
        <v>24</v>
      </c>
      <c r="B9000" t="s">
        <v>14</v>
      </c>
      <c r="C9000" t="s">
        <v>15</v>
      </c>
      <c r="D9000" s="2" t="s">
        <f>=HYPERLINK("https://main.knesset.gov.il/APPS/legislation/main/bills/2166332", "חוק שירות ביטחון (הצבת יוצאי צבא במשטרת ישראל ובשירות בתי הסוהר) (תיקוני חקיקה) (הוראות שעה), התשפ""ב–2021")</f>
        <v>17538</v>
      </c>
      <c r="E9000" t="s">
        <v>17538</v>
      </c>
      <c r="F9000" t="s">
        <v>14</v>
      </c>
      <c r="G9000" t="s">
        <v>17539</v>
      </c>
      <c r="H9000" t="n">
        <v>2945</v>
      </c>
      <c r="I9000" t="s">
        <v>14</v>
      </c>
      <c r="J9000" t="s">
        <v>91</v>
      </c>
      <c r="K9000" t="s">
        <v>114</v>
      </c>
      <c r="L9000" t="s">
        <v>20</v>
      </c>
      <c r="M9000" t="s">
        <v>17528</v>
      </c>
      <c r="N9000" t="s">
        <v>17540</v>
      </c>
    </row>
    <row r="9001" x14ac:dyDescent="0.25">
      <c r="A9001" t="n">
        <v>24</v>
      </c>
      <c r="B9001" t="s">
        <v>14</v>
      </c>
      <c r="C9001" t="s">
        <v>22</v>
      </c>
      <c r="D9001" s="2" t="s">
        <f>=HYPERLINK("https://main.knesset.gov.il/APPS/legislation/main/bills/2166578", "הצעת חוק ארוחה חמה לתלמיד בחופשה, התשפ""ב-2021")</f>
        <v>17541</v>
      </c>
      <c r="E9001" t="s">
        <v>17541</v>
      </c>
      <c r="F9001" t="s">
        <v>17542</v>
      </c>
      <c r="G9001" t="s">
        <v>14</v>
      </c>
      <c r="H9001">
             </c>
      <c r="I9001" t="s">
        <v>14</v>
      </c>
      <c r="J9001" t="s">
        <v>141</v>
      </c>
      <c r="K9001" t="s">
        <v>14</v>
      </c>
      <c r="L9001" t="s">
        <v>20</v>
      </c>
      <c r="M9001" t="s">
        <v>17528</v>
      </c>
      <c r="N9001" t="s">
        <v>14</v>
      </c>
    </row>
    <row r="9002" x14ac:dyDescent="0.25">
      <c r="A9002" t="n">
        <v>24</v>
      </c>
      <c r="B9002" t="s">
        <v>14</v>
      </c>
      <c r="C9002" t="s">
        <v>22</v>
      </c>
      <c r="D9002" s="2" t="s">
        <f>=HYPERLINK("https://main.knesset.gov.il/APPS/legislation/main/bills/2166595", "הצעת חוק הביטוח הלאומי (תיקון - השוואת קצבת נכות לשכר המינימום), התשפ""ב-2021")</f>
        <v>17543</v>
      </c>
      <c r="E9002" t="s">
        <v>17543</v>
      </c>
      <c r="F9002" t="s">
        <v>17544</v>
      </c>
      <c r="G9002" t="s">
        <v>14</v>
      </c>
      <c r="H9002">
             </c>
      <c r="I9002" t="s">
        <v>14</v>
      </c>
      <c r="J9002" t="s">
        <v>141</v>
      </c>
      <c r="K9002" t="s">
        <v>14</v>
      </c>
      <c r="L9002" t="s">
        <v>20</v>
      </c>
      <c r="M9002" t="s">
        <v>17528</v>
      </c>
      <c r="N9002" t="s">
        <v>14</v>
      </c>
    </row>
    <row r="9003" x14ac:dyDescent="0.25">
      <c r="A9003" t="n">
        <v>24</v>
      </c>
      <c r="B9003" t="s">
        <v>14</v>
      </c>
      <c r="C9003" t="s">
        <v>22</v>
      </c>
      <c r="D9003" s="2" t="s">
        <f>=HYPERLINK("https://main.knesset.gov.il/APPS/legislation/main/bills/2167171", "הצעת חוק הביטוח הלאומי (תיקון - הוראות מיוחדות לעניין דמי אבטלה וכפל קצבאות) (הוראת שעה), התשפ""ב-2021")</f>
        <v>17545</v>
      </c>
      <c r="E9003" t="s">
        <v>17545</v>
      </c>
      <c r="F9003" t="s">
        <v>17546</v>
      </c>
      <c r="G9003" t="s">
        <v>14</v>
      </c>
      <c r="H9003">
             </c>
      <c r="I9003" t="s">
        <v>14</v>
      </c>
      <c r="J9003" t="s">
        <v>141</v>
      </c>
      <c r="K9003" t="s">
        <v>14</v>
      </c>
      <c r="L9003" t="s">
        <v>20</v>
      </c>
      <c r="M9003" t="s">
        <v>17528</v>
      </c>
      <c r="N9003" t="s">
        <v>14</v>
      </c>
    </row>
    <row r="9004" x14ac:dyDescent="0.25">
      <c r="A9004" t="n">
        <v>24</v>
      </c>
      <c r="B9004" t="s">
        <v>14</v>
      </c>
      <c r="C9004" t="s">
        <v>22</v>
      </c>
      <c r="D9004" s="2" t="s">
        <f>=HYPERLINK("https://main.knesset.gov.il/APPS/legislation/main/bills/2166033", "הצעת חוק הביטוח הלאומי (תיקון - הוראות מיוחדות לעניין דמי אבטלה וכפל קצבאות) (הוראת שעה), התשפ""ב-2021 ")</f>
        <v>17547</v>
      </c>
      <c r="E9004" t="s">
        <v>17547</v>
      </c>
      <c r="F9004" t="s">
        <v>17548</v>
      </c>
      <c r="G9004" t="s">
        <v>14</v>
      </c>
      <c r="H9004">
             </c>
      <c r="I9004" t="s">
        <v>14</v>
      </c>
      <c r="J9004" t="s">
        <v>141</v>
      </c>
      <c r="K9004" t="s">
        <v>14</v>
      </c>
      <c r="L9004" t="s">
        <v>20</v>
      </c>
      <c r="M9004" t="s">
        <v>17528</v>
      </c>
      <c r="N9004" t="s">
        <v>14</v>
      </c>
    </row>
    <row r="9005" x14ac:dyDescent="0.25">
      <c r="A9005" t="n">
        <v>24</v>
      </c>
      <c r="B9005" t="s">
        <v>14</v>
      </c>
      <c r="C9005" t="s">
        <v>22</v>
      </c>
      <c r="D9005" s="2" t="s">
        <f>=HYPERLINK("https://main.knesset.gov.il/APPS/legislation/main/bills/2161460", "הצעת חוק הביטוח הלאומי (תיקון - סיווג מאמנים כמבוטחים), התשפ""ב-2021")</f>
        <v>17549</v>
      </c>
      <c r="E9005" t="s">
        <v>17549</v>
      </c>
      <c r="F9005" t="s">
        <v>17550</v>
      </c>
      <c r="G9005" t="s">
        <v>14</v>
      </c>
      <c r="H9005">
             </c>
      <c r="I9005" t="s">
        <v>14</v>
      </c>
      <c r="J9005" t="s">
        <v>141</v>
      </c>
      <c r="K9005" t="s">
        <v>14</v>
      </c>
      <c r="L9005" t="s">
        <v>20</v>
      </c>
      <c r="M9005" t="s">
        <v>17528</v>
      </c>
      <c r="N9005" t="s">
        <v>14</v>
      </c>
    </row>
    <row r="9006" x14ac:dyDescent="0.25">
      <c r="A9006" t="n">
        <v>24</v>
      </c>
      <c r="B9006" t="s">
        <v>14</v>
      </c>
      <c r="C9006" t="s">
        <v>22</v>
      </c>
      <c r="D9006" s="2" t="s">
        <f>=HYPERLINK("https://main.knesset.gov.il/APPS/legislation/main/bills/2165796", "הצעת חוק הגנת הצרכן (תיקון - מענה אנושי בשירותים מקוונים), התשפ""ב-2021")</f>
        <v>17551</v>
      </c>
      <c r="E9006" t="s">
        <v>17551</v>
      </c>
      <c r="F9006" t="s">
        <v>17552</v>
      </c>
      <c r="G9006" t="s">
        <v>14</v>
      </c>
      <c r="H9006">
             </c>
      <c r="I9006" t="s">
        <v>14</v>
      </c>
      <c r="J9006" t="s">
        <v>141</v>
      </c>
      <c r="K9006" t="s">
        <v>14</v>
      </c>
      <c r="L9006" t="s">
        <v>20</v>
      </c>
      <c r="M9006" t="s">
        <v>17528</v>
      </c>
      <c r="N9006" t="s">
        <v>14</v>
      </c>
    </row>
    <row r="9007" x14ac:dyDescent="0.25">
      <c r="A9007" t="n">
        <v>24</v>
      </c>
      <c r="B9007" t="s">
        <v>14</v>
      </c>
      <c r="C9007" t="s">
        <v>22</v>
      </c>
      <c r="D9007" s="2" t="s">
        <f>=HYPERLINK("https://main.knesset.gov.il/APPS/legislation/main/bills/2165785", "הצעת חוק רכזי ביטחון שוטפים צבאיים, התשפ""ב-2021")</f>
        <v>17553</v>
      </c>
      <c r="E9007" t="s">
        <v>17553</v>
      </c>
      <c r="F9007" t="s">
        <v>17554</v>
      </c>
      <c r="G9007" t="s">
        <v>14</v>
      </c>
      <c r="H9007">
             </c>
      <c r="I9007" t="s">
        <v>14</v>
      </c>
      <c r="J9007" t="s">
        <v>141</v>
      </c>
      <c r="K9007" t="s">
        <v>14</v>
      </c>
      <c r="L9007" t="s">
        <v>20</v>
      </c>
      <c r="M9007" t="s">
        <v>17528</v>
      </c>
      <c r="N9007" t="s">
        <v>14</v>
      </c>
    </row>
    <row r="9008" x14ac:dyDescent="0.25">
      <c r="A9008" t="n">
        <v>24</v>
      </c>
      <c r="B9008" t="s">
        <v>14</v>
      </c>
      <c r="C9008" t="s">
        <v>22</v>
      </c>
      <c r="D9008" s="2" t="s">
        <f>=HYPERLINK("https://main.knesset.gov.il/APPS/legislation/main/bills/2162157", "הצעת חוק לתיקון פקודת התעבורה (פיכחון בכבישים), התשפ""ב-2021")</f>
        <v>17555</v>
      </c>
      <c r="E9008" t="s">
        <v>17555</v>
      </c>
      <c r="F9008" t="s">
        <v>17556</v>
      </c>
      <c r="G9008" t="s">
        <v>14</v>
      </c>
      <c r="H9008">
             </c>
      <c r="I9008" t="s">
        <v>14</v>
      </c>
      <c r="J9008" t="s">
        <v>141</v>
      </c>
      <c r="K9008" t="s">
        <v>14</v>
      </c>
      <c r="L9008" t="s">
        <v>20</v>
      </c>
      <c r="M9008" t="s">
        <v>17528</v>
      </c>
      <c r="N9008" t="s">
        <v>14</v>
      </c>
    </row>
    <row r="9009" x14ac:dyDescent="0.25">
      <c r="A9009" t="n">
        <v>24</v>
      </c>
      <c r="B9009" t="s">
        <v>14</v>
      </c>
      <c r="C9009" t="s">
        <v>22</v>
      </c>
      <c r="D9009" s="2" t="s">
        <f>=HYPERLINK("https://main.knesset.gov.il/APPS/legislation/main/bills/2165666", "הצעת חוק הגנת הצרכן (תיקון - בטלות עסקה לרכישת מוצרי מזון לאחר חג הפסח), התשפ""ב-2021")</f>
        <v>17557</v>
      </c>
      <c r="E9009" t="s">
        <v>17557</v>
      </c>
      <c r="F9009" t="s">
        <v>17558</v>
      </c>
      <c r="G9009" t="s">
        <v>14</v>
      </c>
      <c r="H9009">
             </c>
      <c r="I9009" t="s">
        <v>14</v>
      </c>
      <c r="J9009" t="s">
        <v>141</v>
      </c>
      <c r="K9009" t="s">
        <v>14</v>
      </c>
      <c r="L9009" t="s">
        <v>20</v>
      </c>
      <c r="M9009" t="s">
        <v>17528</v>
      </c>
      <c r="N9009" t="s">
        <v>14</v>
      </c>
    </row>
    <row r="9010" x14ac:dyDescent="0.25">
      <c r="A9010" t="n">
        <v>24</v>
      </c>
      <c r="B9010" t="s">
        <v>14</v>
      </c>
      <c r="C9010" t="s">
        <v>22</v>
      </c>
      <c r="D9010" s="2" t="s">
        <f>=HYPERLINK("https://main.knesset.gov.il/APPS/legislation/main/bills/2166469", "הצעת חוק הביטוח הלאומי (תיקון - חישוב דמי לידה לפי ממוצע שנת עבודה), התשפ""ב-2021")</f>
        <v>17559</v>
      </c>
      <c r="E9010" t="s">
        <v>17559</v>
      </c>
      <c r="F9010" t="s">
        <v>17560</v>
      </c>
      <c r="G9010" t="s">
        <v>14</v>
      </c>
      <c r="H9010">
             </c>
      <c r="I9010" t="s">
        <v>14</v>
      </c>
      <c r="J9010" t="s">
        <v>141</v>
      </c>
      <c r="K9010" t="s">
        <v>14</v>
      </c>
      <c r="L9010" t="s">
        <v>20</v>
      </c>
      <c r="M9010" t="s">
        <v>17528</v>
      </c>
      <c r="N9010" t="s">
        <v>14</v>
      </c>
    </row>
    <row r="9011" x14ac:dyDescent="0.25">
      <c r="A9011" t="n">
        <v>24</v>
      </c>
      <c r="B9011" t="s">
        <v>14</v>
      </c>
      <c r="C9011" t="s">
        <v>22</v>
      </c>
      <c r="D9011" s="2" t="s">
        <f>=HYPERLINK("https://main.knesset.gov.il/APPS/legislation/main/bills/2165773", "הצעת חוק הירושה (תיקון – פסלות לרשת ועסקאות בזכות יורש שהמית את המוריש), השתפ""ג–2023")</f>
        <v>17561</v>
      </c>
      <c r="E9011" t="s">
        <v>17561</v>
      </c>
      <c r="F9011" t="s">
        <v>17562</v>
      </c>
      <c r="G9011" t="s">
        <v>14</v>
      </c>
      <c r="H9011">
             </c>
      <c r="I9011" t="s">
        <v>14</v>
      </c>
      <c r="J9011" t="s">
        <v>141</v>
      </c>
      <c r="K9011" t="s">
        <v>14</v>
      </c>
      <c r="L9011" t="s">
        <v>20</v>
      </c>
      <c r="M9011" t="s">
        <v>17528</v>
      </c>
      <c r="N9011" t="s">
        <v>14</v>
      </c>
    </row>
    <row r="9012" x14ac:dyDescent="0.25">
      <c r="A9012" t="n">
        <v>24</v>
      </c>
      <c r="B9012" t="s">
        <v>14</v>
      </c>
      <c r="C9012" t="s">
        <v>22</v>
      </c>
      <c r="D9012" s="2" t="s">
        <f>=HYPERLINK("https://main.knesset.gov.il/APPS/legislation/main/bills/2166440", "הצעת חוק בתי המשפט (תיקון - פרסום פסיקה בענייני משפחה), התשפ""ב-2021")</f>
        <v>17563</v>
      </c>
      <c r="E9012" t="s">
        <v>17563</v>
      </c>
      <c r="F9012" t="s">
        <v>17564</v>
      </c>
      <c r="G9012" t="s">
        <v>14</v>
      </c>
      <c r="H9012">
             </c>
      <c r="I9012" t="s">
        <v>14</v>
      </c>
      <c r="J9012" t="s">
        <v>141</v>
      </c>
      <c r="K9012" t="s">
        <v>14</v>
      </c>
      <c r="L9012" t="s">
        <v>20</v>
      </c>
      <c r="M9012" t="s">
        <v>17528</v>
      </c>
      <c r="N9012" t="s">
        <v>14</v>
      </c>
    </row>
    <row r="9013" x14ac:dyDescent="0.25">
      <c r="A9013" t="n">
        <v>24</v>
      </c>
      <c r="B9013" t="s">
        <v>14</v>
      </c>
      <c r="C9013" t="s">
        <v>22</v>
      </c>
      <c r="D9013" s="2" t="s">
        <f>=HYPERLINK("https://main.knesset.gov.il/APPS/legislation/main/bills/2166250", "הצעת חוק ההכרזה לכל באי עולם בדבר זכויות האדם, התשפ""ב-2021")</f>
        <v>17565</v>
      </c>
      <c r="E9013" t="s">
        <v>17565</v>
      </c>
      <c r="F9013" t="s">
        <v>17566</v>
      </c>
      <c r="G9013" t="s">
        <v>14</v>
      </c>
      <c r="H9013">
             </c>
      <c r="I9013" t="s">
        <v>14</v>
      </c>
      <c r="J9013" t="s">
        <v>141</v>
      </c>
      <c r="K9013" t="s">
        <v>14</v>
      </c>
      <c r="L9013" t="s">
        <v>20</v>
      </c>
      <c r="M9013" t="s">
        <v>17528</v>
      </c>
      <c r="N9013" t="s">
        <v>14</v>
      </c>
    </row>
    <row r="9014" x14ac:dyDescent="0.25">
      <c r="A9014" t="n">
        <v>24</v>
      </c>
      <c r="B9014" t="s">
        <v>14</v>
      </c>
      <c r="C9014" t="s">
        <v>22</v>
      </c>
      <c r="D9014" s="2" t="s">
        <f>=HYPERLINK("https://main.knesset.gov.il/APPS/legislation/main/bills/2166073", "הצעת חוק הסיוע המשפטי (תיקון - סיוע משפטי לנפגעי עבירות), התשפ""ב-2021")</f>
        <v>14525</v>
      </c>
      <c r="E9014" t="s">
        <v>14525</v>
      </c>
      <c r="F9014" t="s">
        <v>17567</v>
      </c>
      <c r="G9014" t="s">
        <v>14</v>
      </c>
      <c r="H9014">
             </c>
      <c r="I9014" t="s">
        <v>14</v>
      </c>
      <c r="J9014" t="s">
        <v>141</v>
      </c>
      <c r="K9014" t="s">
        <v>14</v>
      </c>
      <c r="L9014" t="s">
        <v>20</v>
      </c>
      <c r="M9014" t="s">
        <v>17528</v>
      </c>
      <c r="N9014" t="s">
        <v>14</v>
      </c>
    </row>
    <row r="9015" x14ac:dyDescent="0.25">
      <c r="A9015" t="n">
        <v>24</v>
      </c>
      <c r="B9015" t="s">
        <v>14</v>
      </c>
      <c r="C9015" t="s">
        <v>22</v>
      </c>
      <c r="D9015" s="2" t="s">
        <f>=HYPERLINK("https://main.knesset.gov.il/APPS/legislation/main/bills/2166424", "הצעת חוק-יסוד: השפיטה (תיקון - בחירת נשיא בית המשפט העליון בידי הכנסת)")</f>
        <v>4363</v>
      </c>
      <c r="E9015" t="s">
        <v>4363</v>
      </c>
      <c r="F9015" t="s">
        <v>17568</v>
      </c>
      <c r="G9015" t="s">
        <v>14</v>
      </c>
      <c r="H9015">
             </c>
      <c r="I9015" t="s">
        <v>14</v>
      </c>
      <c r="J9015" t="s">
        <v>141</v>
      </c>
      <c r="K9015" t="s">
        <v>14</v>
      </c>
      <c r="L9015" t="s">
        <v>20</v>
      </c>
      <c r="M9015" t="s">
        <v>17528</v>
      </c>
      <c r="N9015" t="s">
        <v>14</v>
      </c>
    </row>
    <row r="9016" x14ac:dyDescent="0.25">
      <c r="A9016" t="n">
        <v>24</v>
      </c>
      <c r="B9016" t="s">
        <v>14</v>
      </c>
      <c r="C9016" t="s">
        <v>22</v>
      </c>
      <c r="D9016" s="2" t="s">
        <f>=HYPERLINK("https://main.knesset.gov.il/APPS/legislation/main/bills/2167044", "הצעת חוק המקרקעין (תיקון - התקנת תשתית ועמדת טעינה לרכב חשמלי), התשפ""ב-2021")</f>
        <v>17569</v>
      </c>
      <c r="E9016" t="s">
        <v>17569</v>
      </c>
      <c r="F9016" t="s">
        <v>17570</v>
      </c>
      <c r="G9016" t="s">
        <v>14</v>
      </c>
      <c r="H9016">
             </c>
      <c r="I9016" t="s">
        <v>14</v>
      </c>
      <c r="J9016" t="s">
        <v>141</v>
      </c>
      <c r="K9016" t="s">
        <v>14</v>
      </c>
      <c r="L9016" t="s">
        <v>20</v>
      </c>
      <c r="M9016" t="s">
        <v>17528</v>
      </c>
      <c r="N9016" t="s">
        <v>14</v>
      </c>
    </row>
    <row r="9017" x14ac:dyDescent="0.25">
      <c r="A9017" t="n">
        <v>24</v>
      </c>
      <c r="B9017" t="s">
        <v>14</v>
      </c>
      <c r="C9017" t="s">
        <v>22</v>
      </c>
      <c r="D9017" s="2" t="s">
        <f>=HYPERLINK("https://main.knesset.gov.il/APPS/legislation/main/bills/2166596", "הצעת חוק לתיקון פקודת התעבורה (הגבלת דמי חניה בחניוני בתי חולים), התשפ""ב-2021")</f>
        <v>17571</v>
      </c>
      <c r="E9017" t="s">
        <v>17571</v>
      </c>
      <c r="F9017" t="s">
        <v>17572</v>
      </c>
      <c r="G9017" t="s">
        <v>14</v>
      </c>
      <c r="H9017">
             </c>
      <c r="I9017" t="s">
        <v>14</v>
      </c>
      <c r="J9017" t="s">
        <v>141</v>
      </c>
      <c r="K9017" t="s">
        <v>14</v>
      </c>
      <c r="L9017" t="s">
        <v>20</v>
      </c>
      <c r="M9017" t="s">
        <v>17528</v>
      </c>
      <c r="N9017" t="s">
        <v>14</v>
      </c>
    </row>
    <row r="9018" x14ac:dyDescent="0.25">
      <c r="A9018" t="n">
        <v>24</v>
      </c>
      <c r="B9018" t="s">
        <v>14</v>
      </c>
      <c r="C9018" t="s">
        <v>22</v>
      </c>
      <c r="D9018" s="2" t="s">
        <f>=HYPERLINK("https://main.knesset.gov.il/APPS/legislation/main/bills/2166730", "הצעת חוק חובת המכרזים (תיקון - העדפת תוצרת מקומית), התשפ""ב-2021")</f>
        <v>17573</v>
      </c>
      <c r="E9018" t="s">
        <v>17573</v>
      </c>
      <c r="F9018" t="s">
        <v>17574</v>
      </c>
      <c r="G9018" t="s">
        <v>14</v>
      </c>
      <c r="H9018">
             </c>
      <c r="I9018" t="s">
        <v>14</v>
      </c>
      <c r="J9018" t="s">
        <v>141</v>
      </c>
      <c r="K9018" t="s">
        <v>14</v>
      </c>
      <c r="L9018" t="s">
        <v>20</v>
      </c>
      <c r="M9018" t="s">
        <v>17528</v>
      </c>
      <c r="N9018" t="s">
        <v>14</v>
      </c>
    </row>
    <row r="9019" x14ac:dyDescent="0.25">
      <c r="A9019" t="n">
        <v>24</v>
      </c>
      <c r="B9019" t="s">
        <v>14</v>
      </c>
      <c r="C9019" t="s">
        <v>22</v>
      </c>
      <c r="D9019" s="2" t="s">
        <f>=HYPERLINK("https://main.knesset.gov.il/APPS/legislation/main/bills/2167019", "הצעת חוק עבודת נשים (תיקון - הארכת תקופת לידה והורות בתשלום), התשפ""ב-2021")</f>
        <v>17575</v>
      </c>
      <c r="E9019" t="s">
        <v>17575</v>
      </c>
      <c r="F9019" t="s">
        <v>17576</v>
      </c>
      <c r="G9019" t="s">
        <v>14</v>
      </c>
      <c r="H9019">
             </c>
      <c r="I9019" t="s">
        <v>14</v>
      </c>
      <c r="J9019" t="s">
        <v>141</v>
      </c>
      <c r="K9019" t="s">
        <v>14</v>
      </c>
      <c r="L9019" t="s">
        <v>20</v>
      </c>
      <c r="M9019" t="s">
        <v>17528</v>
      </c>
      <c r="N9019" t="s">
        <v>14</v>
      </c>
    </row>
    <row r="9020" x14ac:dyDescent="0.25">
      <c r="A9020" t="n">
        <v>24</v>
      </c>
      <c r="B9020" t="s">
        <v>14</v>
      </c>
      <c r="C9020" t="s">
        <v>22</v>
      </c>
      <c r="D9020" s="2" t="s">
        <f>=HYPERLINK("https://main.knesset.gov.il/APPS/legislation/main/bills/2165427", "הצעת חוק לתיקון פקודת הרופאים (שלילת רישיון לרופא שהורשע בעבירת מין), התשפ""ב-2021")</f>
        <v>17577</v>
      </c>
      <c r="E9020" t="s">
        <v>17577</v>
      </c>
      <c r="F9020" t="s">
        <v>17578</v>
      </c>
      <c r="G9020" t="s">
        <v>14</v>
      </c>
      <c r="H9020">
             </c>
      <c r="I9020" t="s">
        <v>14</v>
      </c>
      <c r="J9020" t="s">
        <v>141</v>
      </c>
      <c r="K9020" t="s">
        <v>14</v>
      </c>
      <c r="L9020" t="s">
        <v>20</v>
      </c>
      <c r="M9020" t="s">
        <v>17528</v>
      </c>
      <c r="N9020" t="s">
        <v>14</v>
      </c>
    </row>
    <row r="9021" x14ac:dyDescent="0.25">
      <c r="A9021" t="n">
        <v>24</v>
      </c>
      <c r="B9021" t="s">
        <v>14</v>
      </c>
      <c r="C9021" t="s">
        <v>22</v>
      </c>
      <c r="D9021" s="2" t="s">
        <f>=HYPERLINK("https://main.knesset.gov.il/APPS/legislation/main/bills/2166870", "הצעת חוק פיקוח על מחירי מצרכים ושירותים (תיקון - פיקוח על מוצרי מזון לתינוקות), התשפ""ב-2021")</f>
        <v>17579</v>
      </c>
      <c r="E9021" t="s">
        <v>17579</v>
      </c>
      <c r="F9021" t="s">
        <v>17580</v>
      </c>
      <c r="G9021" t="s">
        <v>14</v>
      </c>
      <c r="H9021">
             </c>
      <c r="I9021" t="s">
        <v>14</v>
      </c>
      <c r="J9021" t="s">
        <v>141</v>
      </c>
      <c r="K9021" t="s">
        <v>14</v>
      </c>
      <c r="L9021" t="s">
        <v>20</v>
      </c>
      <c r="M9021" t="s">
        <v>17528</v>
      </c>
      <c r="N9021" t="s">
        <v>14</v>
      </c>
    </row>
    <row r="9022" x14ac:dyDescent="0.25">
      <c r="A9022" t="n">
        <v>24</v>
      </c>
      <c r="B9022" t="s">
        <v>14</v>
      </c>
      <c r="C9022" t="s">
        <v>22</v>
      </c>
      <c r="D9022" s="2" t="s">
        <f>=HYPERLINK("https://main.knesset.gov.il/APPS/legislation/main/bills/2165391", "הצעת חוק המכר (דירות) (תיקון – הגבלת הסכום הנקוב במפרט בשל שינוי מיקומו של פריט בדירה חדשה), התשפ""ב–2021")</f>
        <v>17581</v>
      </c>
      <c r="E9022" t="s">
        <v>17581</v>
      </c>
      <c r="F9022" t="s">
        <v>17582</v>
      </c>
      <c r="G9022" t="s">
        <v>14</v>
      </c>
      <c r="H9022">
             </c>
      <c r="I9022" t="s">
        <v>14</v>
      </c>
      <c r="J9022" t="s">
        <v>141</v>
      </c>
      <c r="K9022" t="s">
        <v>14</v>
      </c>
      <c r="L9022" t="s">
        <v>20</v>
      </c>
      <c r="M9022" t="s">
        <v>17528</v>
      </c>
      <c r="N9022" t="s">
        <v>14</v>
      </c>
    </row>
    <row r="9023" x14ac:dyDescent="0.25">
      <c r="A9023" t="n">
        <v>24</v>
      </c>
      <c r="B9023" t="s">
        <v>14</v>
      </c>
      <c r="C9023" t="s">
        <v>22</v>
      </c>
      <c r="D9023" s="2" t="s">
        <f>=HYPERLINK("https://main.knesset.gov.il/APPS/legislation/main/bills/2164456", "הצעת חוק-יסוד: הארכת תקופת הפסילה בשל עבירות שיש עמן קלון לנבחרי ציבור (תיקוני חקיקה)")</f>
        <v>17328</v>
      </c>
      <c r="E9023" t="s">
        <v>17328</v>
      </c>
      <c r="F9023" t="s">
        <v>17583</v>
      </c>
      <c r="G9023" t="s">
        <v>14</v>
      </c>
      <c r="H9023">
             </c>
      <c r="I9023" t="s">
        <v>14</v>
      </c>
      <c r="J9023" t="s">
        <v>141</v>
      </c>
      <c r="K9023" t="s">
        <v>14</v>
      </c>
      <c r="L9023" t="s">
        <v>20</v>
      </c>
      <c r="M9023" t="s">
        <v>17528</v>
      </c>
      <c r="N9023" t="s">
        <v>14</v>
      </c>
    </row>
    <row r="9024" x14ac:dyDescent="0.25">
      <c r="A9024" t="n">
        <v>24</v>
      </c>
      <c r="B9024" t="s">
        <v>14</v>
      </c>
      <c r="C9024" t="s">
        <v>22</v>
      </c>
      <c r="D9024" s="2" t="s">
        <f>=HYPERLINK("https://main.knesset.gov.il/APPS/legislation/main/bills/2166059", "הצעת חוק הגנה על עובדים בשעת חירום (תיקון - אובדן ימי עבודה בשל מצב מיוחד בעורף), התשפ""ב-2021")</f>
        <v>17584</v>
      </c>
      <c r="E9024" t="s">
        <v>17584</v>
      </c>
      <c r="F9024" t="s">
        <v>17585</v>
      </c>
      <c r="G9024" t="s">
        <v>14</v>
      </c>
      <c r="H9024">
             </c>
      <c r="I9024" t="s">
        <v>14</v>
      </c>
      <c r="J9024" t="s">
        <v>141</v>
      </c>
      <c r="K9024" t="s">
        <v>14</v>
      </c>
      <c r="L9024" t="s">
        <v>20</v>
      </c>
      <c r="M9024" t="s">
        <v>17528</v>
      </c>
      <c r="N9024" t="s">
        <v>14</v>
      </c>
    </row>
    <row r="9025" x14ac:dyDescent="0.25">
      <c r="A9025" t="n">
        <v>24</v>
      </c>
      <c r="B9025" t="s">
        <v>14</v>
      </c>
      <c r="C9025" t="s">
        <v>22</v>
      </c>
      <c r="D9025" s="2" t="s">
        <f>=HYPERLINK("https://main.knesset.gov.il/APPS/legislation/main/bills/2166472", "הצעת חוק-יסוד: הממשלה (תיקון - חשיפת פרוטוקולים בעניין ניהול משבר הקורונה)")</f>
        <v>13402</v>
      </c>
      <c r="E9025" t="s">
        <v>13402</v>
      </c>
      <c r="F9025" t="s">
        <v>17586</v>
      </c>
      <c r="G9025" t="s">
        <v>14</v>
      </c>
      <c r="H9025">
             </c>
      <c r="I9025" t="s">
        <v>14</v>
      </c>
      <c r="J9025" t="s">
        <v>141</v>
      </c>
      <c r="K9025" t="s">
        <v>14</v>
      </c>
      <c r="L9025" t="s">
        <v>20</v>
      </c>
      <c r="M9025" t="s">
        <v>17528</v>
      </c>
      <c r="N9025" t="s">
        <v>14</v>
      </c>
    </row>
    <row r="9026" x14ac:dyDescent="0.25">
      <c r="A9026" t="n">
        <v>24</v>
      </c>
      <c r="B9026" t="s">
        <v>14</v>
      </c>
      <c r="C9026" t="s">
        <v>22</v>
      </c>
      <c r="D9026" s="2" t="s">
        <f>=HYPERLINK("https://main.knesset.gov.il/APPS/legislation/main/bills/2166603", "הצעת חוק שירות התעסוקה (תיקון - נגישות לתחבורה ציבורית), התשפ""ב-2021")</f>
        <v>17587</v>
      </c>
      <c r="E9026" t="s">
        <v>17587</v>
      </c>
      <c r="F9026" t="s">
        <v>17588</v>
      </c>
      <c r="G9026" t="s">
        <v>14</v>
      </c>
      <c r="H9026">
             </c>
      <c r="I9026" t="s">
        <v>14</v>
      </c>
      <c r="J9026" t="s">
        <v>141</v>
      </c>
      <c r="K9026" t="s">
        <v>14</v>
      </c>
      <c r="L9026" t="s">
        <v>20</v>
      </c>
      <c r="M9026" t="s">
        <v>17528</v>
      </c>
      <c r="N9026" t="s">
        <v>14</v>
      </c>
    </row>
    <row r="9027" x14ac:dyDescent="0.25">
      <c r="A9027" t="n">
        <v>24</v>
      </c>
      <c r="B9027" t="s">
        <v>14</v>
      </c>
      <c r="C9027" t="s">
        <v>22</v>
      </c>
      <c r="D9027" s="2" t="s">
        <f>=HYPERLINK("https://main.knesset.gov.il/APPS/legislation/main/bills/2166171", "הצעת חוק המקרקעין (תיקון - התקנת מעלית מטעמים מיוחדים), התשפ""ב-2021")</f>
        <v>17589</v>
      </c>
      <c r="E9027" t="s">
        <v>17589</v>
      </c>
      <c r="F9027" t="s">
        <v>17590</v>
      </c>
      <c r="G9027" t="s">
        <v>14</v>
      </c>
      <c r="H9027">
             </c>
      <c r="I9027" t="s">
        <v>14</v>
      </c>
      <c r="J9027" t="s">
        <v>343</v>
      </c>
      <c r="K9027" t="s">
        <v>14</v>
      </c>
      <c r="L9027" t="s">
        <v>20</v>
      </c>
      <c r="M9027" t="s">
        <v>17528</v>
      </c>
      <c r="N9027" t="s">
        <v>14</v>
      </c>
    </row>
    <row r="9028" x14ac:dyDescent="0.25">
      <c r="A9028" t="n">
        <v>24</v>
      </c>
      <c r="B9028" t="s">
        <v>14</v>
      </c>
      <c r="C9028" t="s">
        <v>22</v>
      </c>
      <c r="D9028" s="2" t="s">
        <f>=HYPERLINK("https://main.knesset.gov.il/APPS/legislation/main/bills/2165455", "הצעת חוק המקרקעין (תיקון - התקנת מעלית מטעמים מיוחדים), התשפ""ב-2021")</f>
        <v>17589</v>
      </c>
      <c r="E9028" t="s">
        <v>17589</v>
      </c>
      <c r="F9028" t="s">
        <v>17591</v>
      </c>
      <c r="G9028" t="s">
        <v>14</v>
      </c>
      <c r="H9028">
             </c>
      <c r="I9028" t="s">
        <v>14</v>
      </c>
      <c r="J9028" t="s">
        <v>141</v>
      </c>
      <c r="K9028" t="s">
        <v>14</v>
      </c>
      <c r="L9028" t="s">
        <v>20</v>
      </c>
      <c r="M9028" t="s">
        <v>17528</v>
      </c>
      <c r="N9028" t="s">
        <v>14</v>
      </c>
    </row>
    <row r="9029" x14ac:dyDescent="0.25">
      <c r="A9029" t="n">
        <v>24</v>
      </c>
      <c r="B9029" t="s">
        <v>14</v>
      </c>
      <c r="C9029" t="s">
        <v>22</v>
      </c>
      <c r="D9029" s="2" t="s">
        <f>=HYPERLINK("https://main.knesset.gov.il/APPS/legislation/main/bills/2166078", "הצעת חוק אימוץ ילדים (תיקון - ביטול תנאי דת זהה לאימוץ), התשפ""ב-2021")</f>
        <v>17592</v>
      </c>
      <c r="E9029" t="s">
        <v>17592</v>
      </c>
      <c r="F9029" t="s">
        <v>17593</v>
      </c>
      <c r="G9029" t="s">
        <v>14</v>
      </c>
      <c r="H9029">
             </c>
      <c r="I9029" t="s">
        <v>14</v>
      </c>
      <c r="J9029" t="s">
        <v>141</v>
      </c>
      <c r="K9029" t="s">
        <v>14</v>
      </c>
      <c r="L9029" t="s">
        <v>20</v>
      </c>
      <c r="M9029" t="s">
        <v>17528</v>
      </c>
      <c r="N9029" t="s">
        <v>14</v>
      </c>
    </row>
    <row r="9030" x14ac:dyDescent="0.25">
      <c r="A9030" t="n">
        <v>24</v>
      </c>
      <c r="B9030" t="s">
        <v>14</v>
      </c>
      <c r="C9030" t="s">
        <v>22</v>
      </c>
      <c r="D9030" s="2" t="s">
        <f>=HYPERLINK("https://main.knesset.gov.il/APPS/legislation/main/bills/2165635", "הצעת חוק זכויות החולה (תיקון - טיפולים וניתוחים אסתטיים בקטין), התשפ""ב-2021")</f>
        <v>17594</v>
      </c>
      <c r="E9030" t="s">
        <v>17594</v>
      </c>
      <c r="F9030" t="s">
        <v>17595</v>
      </c>
      <c r="G9030" t="s">
        <v>14</v>
      </c>
      <c r="H9030">
             </c>
      <c r="I9030" t="s">
        <v>14</v>
      </c>
      <c r="J9030" t="s">
        <v>141</v>
      </c>
      <c r="K9030" t="s">
        <v>14</v>
      </c>
      <c r="L9030" t="s">
        <v>20</v>
      </c>
      <c r="M9030" t="s">
        <v>17528</v>
      </c>
      <c r="N9030" t="s">
        <v>14</v>
      </c>
    </row>
    <row r="9031" x14ac:dyDescent="0.25">
      <c r="A9031" t="n">
        <v>24</v>
      </c>
      <c r="B9031" t="s">
        <v>14</v>
      </c>
      <c r="C9031" t="s">
        <v>22</v>
      </c>
      <c r="D9031" s="2" t="s">
        <f>=HYPERLINK("https://main.knesset.gov.il/APPS/legislation/main/bills/2164317", "הצעת חוק הקמת מאגר מידע פיננסי בענף הביטוח ושוק ההון, התשפ""ב-2021 ")</f>
        <v>17596</v>
      </c>
      <c r="E9031" t="s">
        <v>17596</v>
      </c>
      <c r="F9031" t="s">
        <v>17597</v>
      </c>
      <c r="G9031" t="s">
        <v>14</v>
      </c>
      <c r="H9031">
             </c>
      <c r="I9031" t="s">
        <v>14</v>
      </c>
      <c r="J9031" t="s">
        <v>141</v>
      </c>
      <c r="K9031" t="s">
        <v>14</v>
      </c>
      <c r="L9031" t="s">
        <v>20</v>
      </c>
      <c r="M9031" t="s">
        <v>17528</v>
      </c>
      <c r="N9031" t="s">
        <v>14</v>
      </c>
    </row>
    <row r="9032" x14ac:dyDescent="0.25">
      <c r="A9032" t="n">
        <v>24</v>
      </c>
      <c r="B9032" t="s">
        <v>14</v>
      </c>
      <c r="C9032" t="s">
        <v>22</v>
      </c>
      <c r="D9032" s="2" t="s">
        <f>=HYPERLINK("https://main.knesset.gov.il/APPS/legislation/main/bills/2165638", "הצעת חוק לתיקון פקודת הרוקחים (שפות העלון לצרכן), התשפ""ב-2021")</f>
        <v>17598</v>
      </c>
      <c r="E9032" t="s">
        <v>17598</v>
      </c>
      <c r="F9032" t="s">
        <v>17599</v>
      </c>
      <c r="G9032" t="s">
        <v>14</v>
      </c>
      <c r="H9032">
             </c>
      <c r="I9032" t="s">
        <v>14</v>
      </c>
      <c r="J9032" t="s">
        <v>141</v>
      </c>
      <c r="K9032" t="s">
        <v>14</v>
      </c>
      <c r="L9032" t="s">
        <v>20</v>
      </c>
      <c r="M9032" t="s">
        <v>17528</v>
      </c>
      <c r="N9032" t="s">
        <v>14</v>
      </c>
    </row>
    <row r="9033" x14ac:dyDescent="0.25">
      <c r="A9033" t="n">
        <v>24</v>
      </c>
      <c r="B9033" t="s">
        <v>14</v>
      </c>
      <c r="C9033" t="s">
        <v>22</v>
      </c>
      <c r="D9033" s="2" t="s">
        <f>=HYPERLINK("https://main.knesset.gov.il/APPS/legislation/main/bills/2165964", "הצעת חוק העונשין (תיקון - בעילה אסורה בהסכמה ומעשה סדום בנוכחות אחר), התשפ""ב-2021")</f>
        <v>17600</v>
      </c>
      <c r="E9033" t="s">
        <v>17600</v>
      </c>
      <c r="F9033" t="s">
        <v>17601</v>
      </c>
      <c r="G9033" t="s">
        <v>14</v>
      </c>
      <c r="H9033">
             </c>
      <c r="I9033" t="s">
        <v>14</v>
      </c>
      <c r="J9033" t="s">
        <v>141</v>
      </c>
      <c r="K9033" t="s">
        <v>14</v>
      </c>
      <c r="L9033" t="s">
        <v>20</v>
      </c>
      <c r="M9033" t="s">
        <v>17528</v>
      </c>
      <c r="N9033" t="s">
        <v>14</v>
      </c>
    </row>
    <row r="9034" x14ac:dyDescent="0.25">
      <c r="A9034" t="n">
        <v>24</v>
      </c>
      <c r="B9034" t="s">
        <v>14</v>
      </c>
      <c r="C9034" t="s">
        <v>22</v>
      </c>
      <c r="D9034" s="2" t="s">
        <f>=HYPERLINK("https://main.knesset.gov.il/APPS/legislation/main/bills/2166468", "הצעת חוק הביטוח הלאומי (תיקון - העלאת קצבת הילדים), התשפ""ב-2021")</f>
        <v>17602</v>
      </c>
      <c r="E9034" t="s">
        <v>17602</v>
      </c>
      <c r="F9034" t="s">
        <v>17603</v>
      </c>
      <c r="G9034" t="s">
        <v>14</v>
      </c>
      <c r="H9034">
             </c>
      <c r="I9034" t="s">
        <v>14</v>
      </c>
      <c r="J9034" t="s">
        <v>141</v>
      </c>
      <c r="K9034" t="s">
        <v>14</v>
      </c>
      <c r="L9034" t="s">
        <v>20</v>
      </c>
      <c r="M9034" t="s">
        <v>17528</v>
      </c>
      <c r="N9034" t="s">
        <v>14</v>
      </c>
    </row>
    <row r="9035" x14ac:dyDescent="0.25">
      <c r="A9035" t="n">
        <v>24</v>
      </c>
      <c r="B9035" t="s">
        <v>14</v>
      </c>
      <c r="C9035" t="s">
        <v>22</v>
      </c>
      <c r="D9035" s="2" t="s">
        <f>=HYPERLINK("https://main.knesset.gov.il/APPS/legislation/main/bills/2166109", "הצעת חוק השוואת זכויות פנסיה לאלמן ולאלמנה, התשפ""ב-2021")</f>
        <v>17604</v>
      </c>
      <c r="E9035" t="s">
        <v>17604</v>
      </c>
      <c r="F9035" t="s">
        <v>17605</v>
      </c>
      <c r="G9035" t="s">
        <v>14</v>
      </c>
      <c r="H9035">
             </c>
      <c r="I9035" t="s">
        <v>14</v>
      </c>
      <c r="J9035" t="s">
        <v>141</v>
      </c>
      <c r="K9035" t="s">
        <v>14</v>
      </c>
      <c r="L9035" t="s">
        <v>20</v>
      </c>
      <c r="M9035" t="s">
        <v>17528</v>
      </c>
      <c r="N9035" t="s">
        <v>14</v>
      </c>
    </row>
    <row r="9036" x14ac:dyDescent="0.25">
      <c r="A9036" t="n">
        <v>24</v>
      </c>
      <c r="B9036" t="s">
        <v>14</v>
      </c>
      <c r="C9036" t="s">
        <v>22</v>
      </c>
      <c r="D9036" s="2" t="s">
        <f>=HYPERLINK("https://main.knesset.gov.il/APPS/legislation/main/bills/2166065", "הצעת חוק הרשות לטיפול בנפגעי הלם קרב, התשפ""ב-2021")</f>
        <v>17606</v>
      </c>
      <c r="E9036" t="s">
        <v>17606</v>
      </c>
      <c r="F9036" t="s">
        <v>17607</v>
      </c>
      <c r="G9036" t="s">
        <v>14</v>
      </c>
      <c r="H9036">
             </c>
      <c r="I9036" t="s">
        <v>14</v>
      </c>
      <c r="J9036" t="s">
        <v>141</v>
      </c>
      <c r="K9036" t="s">
        <v>14</v>
      </c>
      <c r="L9036" t="s">
        <v>20</v>
      </c>
      <c r="M9036" t="s">
        <v>17528</v>
      </c>
      <c r="N9036" t="s">
        <v>14</v>
      </c>
    </row>
    <row r="9037" x14ac:dyDescent="0.25">
      <c r="A9037" t="n">
        <v>24</v>
      </c>
      <c r="B9037" t="s">
        <v>14</v>
      </c>
      <c r="C9037" t="s">
        <v>22</v>
      </c>
      <c r="D9037" s="2" t="s">
        <f>=HYPERLINK("https://main.knesset.gov.il/APPS/legislation/main/bills/2166449", "הצעת חוק שעות עבודה ומנוחה (תיקון - קיצור שבוע העבודה), התשפ""ב-2021")</f>
        <v>17608</v>
      </c>
      <c r="E9037" t="s">
        <v>17608</v>
      </c>
      <c r="F9037" t="s">
        <v>17609</v>
      </c>
      <c r="G9037" t="s">
        <v>14</v>
      </c>
      <c r="H9037">
             </c>
      <c r="I9037" t="s">
        <v>14</v>
      </c>
      <c r="J9037" t="s">
        <v>141</v>
      </c>
      <c r="K9037" t="s">
        <v>14</v>
      </c>
      <c r="L9037" t="s">
        <v>20</v>
      </c>
      <c r="M9037" t="s">
        <v>17528</v>
      </c>
      <c r="N9037" t="s">
        <v>14</v>
      </c>
    </row>
    <row r="9038" x14ac:dyDescent="0.25">
      <c r="A9038" t="n">
        <v>24</v>
      </c>
      <c r="B9038" t="s">
        <v>14</v>
      </c>
      <c r="C9038" t="s">
        <v>22</v>
      </c>
      <c r="D9038" s="2" t="s">
        <f>=HYPERLINK("https://main.knesset.gov.il/APPS/legislation/main/bills/2164264", "הצעת חוק לימוד חובה (תיקון - מנהל מוסד חינוך), התשפ""ב-2021")</f>
        <v>17610</v>
      </c>
      <c r="E9038" t="s">
        <v>17610</v>
      </c>
      <c r="F9038" t="s">
        <v>17611</v>
      </c>
      <c r="G9038" t="s">
        <v>14</v>
      </c>
      <c r="H9038">
             </c>
      <c r="I9038" t="s">
        <v>14</v>
      </c>
      <c r="J9038" t="s">
        <v>141</v>
      </c>
      <c r="K9038" t="s">
        <v>14</v>
      </c>
      <c r="L9038" t="s">
        <v>20</v>
      </c>
      <c r="M9038" t="s">
        <v>17528</v>
      </c>
      <c r="N9038" t="s">
        <v>14</v>
      </c>
    </row>
    <row r="9039" x14ac:dyDescent="0.25">
      <c r="A9039" t="n">
        <v>24</v>
      </c>
      <c r="B9039" t="s">
        <v>14</v>
      </c>
      <c r="C9039" t="s">
        <v>22</v>
      </c>
      <c r="D9039" s="2" t="s">
        <f>=HYPERLINK("https://main.knesset.gov.il/APPS/legislation/main/bills/2166420", "הצעת חוק לתיקון דיני הראיות (הגנת ילדים) (תיקון - ביצוע חקירה תוך 48 שעות), התשפ""ב-2021")</f>
        <v>17612</v>
      </c>
      <c r="E9039" t="s">
        <v>17612</v>
      </c>
      <c r="F9039" t="s">
        <v>17613</v>
      </c>
      <c r="G9039" t="s">
        <v>14</v>
      </c>
      <c r="H9039">
             </c>
      <c r="I9039" t="s">
        <v>14</v>
      </c>
      <c r="J9039" t="s">
        <v>141</v>
      </c>
      <c r="K9039" t="s">
        <v>14</v>
      </c>
      <c r="L9039" t="s">
        <v>20</v>
      </c>
      <c r="M9039" t="s">
        <v>17528</v>
      </c>
      <c r="N9039" t="s">
        <v>14</v>
      </c>
    </row>
    <row r="9040" x14ac:dyDescent="0.25">
      <c r="A9040" t="n">
        <v>24</v>
      </c>
      <c r="B9040" t="s">
        <v>14</v>
      </c>
      <c r="C9040" t="s">
        <v>22</v>
      </c>
      <c r="D9040" s="2" t="s">
        <f>=HYPERLINK("https://main.knesset.gov.il/APPS/legislation/main/bills/2165958", "הצעת חוק קביעת הזמן (תיקון - קיצור שעון חורף), התשפ""ב-2021")</f>
        <v>17614</v>
      </c>
      <c r="E9040" t="s">
        <v>17614</v>
      </c>
      <c r="F9040" t="s">
        <v>17615</v>
      </c>
      <c r="G9040" t="s">
        <v>14</v>
      </c>
      <c r="H9040">
             </c>
      <c r="I9040" t="s">
        <v>14</v>
      </c>
      <c r="J9040" t="s">
        <v>141</v>
      </c>
      <c r="K9040" t="s">
        <v>14</v>
      </c>
      <c r="L9040" t="s">
        <v>20</v>
      </c>
      <c r="M9040" t="s">
        <v>17528</v>
      </c>
      <c r="N9040" t="s">
        <v>14</v>
      </c>
    </row>
    <row r="9041" x14ac:dyDescent="0.25">
      <c r="A9041" t="n">
        <v>24</v>
      </c>
      <c r="B9041" t="s">
        <v>14</v>
      </c>
      <c r="C9041" t="s">
        <v>22</v>
      </c>
      <c r="D9041" s="2" t="s">
        <f>=HYPERLINK("https://main.knesset.gov.il/APPS/legislation/main/bills/2165968", "הצעת חוק הכניסה לישראל (תיקון - זכות הגישה לערכאות), התשפ""ב-2021")</f>
        <v>17616</v>
      </c>
      <c r="E9041" t="s">
        <v>17616</v>
      </c>
      <c r="F9041" t="s">
        <v>17617</v>
      </c>
      <c r="G9041" t="s">
        <v>14</v>
      </c>
      <c r="H9041">
             </c>
      <c r="I9041" t="s">
        <v>14</v>
      </c>
      <c r="J9041" t="s">
        <v>141</v>
      </c>
      <c r="K9041" t="s">
        <v>14</v>
      </c>
      <c r="L9041" t="s">
        <v>20</v>
      </c>
      <c r="M9041" t="s">
        <v>17528</v>
      </c>
      <c r="N9041" t="s">
        <v>14</v>
      </c>
    </row>
    <row r="9042" x14ac:dyDescent="0.25">
      <c r="A9042" t="n">
        <v>24</v>
      </c>
      <c r="B9042" t="s">
        <v>14</v>
      </c>
      <c r="C9042" t="s">
        <v>22</v>
      </c>
      <c r="D9042" s="2" t="s">
        <f>=HYPERLINK("https://main.knesset.gov.il/APPS/legislation/main/bills/2165971", "הצעת חוק לתיקון פקודת העיריות (חלוקת הכנסות ממתחם הגורם למפגעים סביבתיים בין רשויות מקומיות), התשפ""ב-2021 ")</f>
        <v>17618</v>
      </c>
      <c r="E9042" t="s">
        <v>17618</v>
      </c>
      <c r="F9042" t="s">
        <v>17619</v>
      </c>
      <c r="G9042" t="s">
        <v>14</v>
      </c>
      <c r="H9042">
             </c>
      <c r="I9042" t="s">
        <v>14</v>
      </c>
      <c r="J9042" t="s">
        <v>141</v>
      </c>
      <c r="K9042" t="s">
        <v>14</v>
      </c>
      <c r="L9042" t="s">
        <v>20</v>
      </c>
      <c r="M9042" t="s">
        <v>17528</v>
      </c>
      <c r="N9042" t="s">
        <v>14</v>
      </c>
    </row>
    <row r="9043" x14ac:dyDescent="0.25">
      <c r="A9043" t="n">
        <v>24</v>
      </c>
      <c r="B9043" t="s">
        <v>14</v>
      </c>
      <c r="C9043" t="s">
        <v>22</v>
      </c>
      <c r="D9043" s="2" t="s">
        <f>=HYPERLINK("https://main.knesset.gov.il/APPS/legislation/main/bills/2165975", "הצעת חוק התכנון והבנייה (תיקון - פטור מהיטל השבחה על בניית דירת מגורים חדשה), התשפ""ב-2021")</f>
        <v>17620</v>
      </c>
      <c r="E9043" t="s">
        <v>17620</v>
      </c>
      <c r="F9043" t="s">
        <v>17621</v>
      </c>
      <c r="G9043" t="s">
        <v>14</v>
      </c>
      <c r="H9043">
             </c>
      <c r="I9043" t="s">
        <v>14</v>
      </c>
      <c r="J9043" t="s">
        <v>141</v>
      </c>
      <c r="K9043" t="s">
        <v>14</v>
      </c>
      <c r="L9043" t="s">
        <v>20</v>
      </c>
      <c r="M9043" t="s">
        <v>17528</v>
      </c>
      <c r="N9043" t="s">
        <v>14</v>
      </c>
    </row>
    <row r="9044" x14ac:dyDescent="0.25">
      <c r="A9044" t="n">
        <v>24</v>
      </c>
      <c r="B9044" t="s">
        <v>14</v>
      </c>
      <c r="C9044" t="s">
        <v>22</v>
      </c>
      <c r="D9044" s="2" t="s">
        <f>=HYPERLINK("https://main.knesset.gov.il/APPS/legislation/main/bills/2164655", "הצעת חוק התכנון והבנייה (תיקון - חובת התקנת גלאי עשן), התשפ""ב-2021")</f>
        <v>17622</v>
      </c>
      <c r="E9044" t="s">
        <v>17622</v>
      </c>
      <c r="F9044" t="s">
        <v>17623</v>
      </c>
      <c r="G9044" t="s">
        <v>14</v>
      </c>
      <c r="H9044">
             </c>
      <c r="I9044" t="s">
        <v>14</v>
      </c>
      <c r="J9044" t="s">
        <v>141</v>
      </c>
      <c r="K9044" t="s">
        <v>14</v>
      </c>
      <c r="L9044" t="s">
        <v>20</v>
      </c>
      <c r="M9044" t="s">
        <v>17528</v>
      </c>
      <c r="N9044" t="s">
        <v>14</v>
      </c>
    </row>
    <row r="9045" x14ac:dyDescent="0.25">
      <c r="A9045" t="n">
        <v>24</v>
      </c>
      <c r="B9045" t="s">
        <v>14</v>
      </c>
      <c r="C9045" t="s">
        <v>22</v>
      </c>
      <c r="D9045" s="2" t="s">
        <f>=HYPERLINK("https://main.knesset.gov.il/APPS/legislation/main/bills/2166361", "הצעת חוק לתיקון פקודת העיריות (צדק חלוקתי בכל הרשויות המתוקצבות במדינת ישראל), התשפ""ב-2021")</f>
        <v>17624</v>
      </c>
      <c r="E9045" t="s">
        <v>17624</v>
      </c>
      <c r="F9045" t="s">
        <v>17625</v>
      </c>
      <c r="G9045" t="s">
        <v>14</v>
      </c>
      <c r="H9045">
             </c>
      <c r="I9045" t="s">
        <v>14</v>
      </c>
      <c r="J9045" t="s">
        <v>141</v>
      </c>
      <c r="K9045" t="s">
        <v>14</v>
      </c>
      <c r="L9045" t="s">
        <v>20</v>
      </c>
      <c r="M9045" t="s">
        <v>17528</v>
      </c>
      <c r="N9045" t="s">
        <v>14</v>
      </c>
    </row>
    <row r="9046" x14ac:dyDescent="0.25">
      <c r="A9046" t="n">
        <v>24</v>
      </c>
      <c r="B9046" t="s">
        <v>14</v>
      </c>
      <c r="C9046" t="s">
        <v>22</v>
      </c>
      <c r="D9046" s="2" t="s">
        <f>=HYPERLINK("https://main.knesset.gov.il/APPS/legislation/main/bills/2166450", "הצעת חוק לתיקון פקודת העיריות (קיצור תקופת הפטור מתשלום ארנונה לבניין שנהרס או ניזוק), התשפ""ב-2021")</f>
        <v>16848</v>
      </c>
      <c r="E9046" t="s">
        <v>16848</v>
      </c>
      <c r="F9046" t="s">
        <v>17626</v>
      </c>
      <c r="G9046" t="s">
        <v>14</v>
      </c>
      <c r="H9046">
             </c>
      <c r="I9046" t="s">
        <v>14</v>
      </c>
      <c r="J9046" t="s">
        <v>141</v>
      </c>
      <c r="K9046" t="s">
        <v>14</v>
      </c>
      <c r="L9046" t="s">
        <v>20</v>
      </c>
      <c r="M9046" t="s">
        <v>17528</v>
      </c>
      <c r="N9046" t="s">
        <v>14</v>
      </c>
    </row>
    <row r="9047" x14ac:dyDescent="0.25">
      <c r="A9047" t="n">
        <v>24</v>
      </c>
      <c r="B9047" t="s">
        <v>14</v>
      </c>
      <c r="C9047" t="s">
        <v>22</v>
      </c>
      <c r="D9047" s="2" t="s">
        <f>=HYPERLINK("https://main.knesset.gov.il/APPS/legislation/main/bills/2166590", "הצעת חוק לתיקון פקודת העיריות (ייצוג הולם לאוכלוסייה הערבית), התשפ""ב-2021")</f>
        <v>17627</v>
      </c>
      <c r="E9047" t="s">
        <v>17627</v>
      </c>
      <c r="F9047" t="s">
        <v>17628</v>
      </c>
      <c r="G9047" t="s">
        <v>14</v>
      </c>
      <c r="H9047">
             </c>
      <c r="I9047" t="s">
        <v>14</v>
      </c>
      <c r="J9047" t="s">
        <v>141</v>
      </c>
      <c r="K9047" t="s">
        <v>14</v>
      </c>
      <c r="L9047" t="s">
        <v>20</v>
      </c>
      <c r="M9047" t="s">
        <v>17528</v>
      </c>
      <c r="N9047" t="s">
        <v>14</v>
      </c>
    </row>
    <row r="9048" x14ac:dyDescent="0.25">
      <c r="A9048" t="n">
        <v>24</v>
      </c>
      <c r="B9048" t="s">
        <v>14</v>
      </c>
      <c r="C9048" t="s">
        <v>22</v>
      </c>
      <c r="D9048" s="2" t="s">
        <f>=HYPERLINK("https://main.knesset.gov.il/APPS/legislation/main/bills/2166826", "הצעת חוק העונשין (תיקון - הוספת עילות לעבירות הסתה ופשע שנאה), התשפ""ב-2021")</f>
        <v>17629</v>
      </c>
      <c r="E9048" t="s">
        <v>17629</v>
      </c>
      <c r="F9048" t="s">
        <v>17630</v>
      </c>
      <c r="G9048" t="s">
        <v>14</v>
      </c>
      <c r="H9048">
             </c>
      <c r="I9048" t="s">
        <v>14</v>
      </c>
      <c r="J9048" t="s">
        <v>141</v>
      </c>
      <c r="K9048" t="s">
        <v>14</v>
      </c>
      <c r="L9048" t="s">
        <v>20</v>
      </c>
      <c r="M9048" t="s">
        <v>17528</v>
      </c>
      <c r="N9048" t="s">
        <v>14</v>
      </c>
    </row>
    <row r="9049" x14ac:dyDescent="0.25">
      <c r="A9049" t="n">
        <v>24</v>
      </c>
      <c r="B9049" t="s">
        <v>14</v>
      </c>
      <c r="C9049" t="s">
        <v>22</v>
      </c>
      <c r="D9049" s="2" t="s">
        <f>=HYPERLINK("https://main.knesset.gov.il/APPS/legislation/main/bills/2166582", "הצעת חוק לתיקון פקודת הראיות (הסרת חיסיון), התשפ""ב-2021")</f>
        <v>17631</v>
      </c>
      <c r="E9049" t="s">
        <v>17631</v>
      </c>
      <c r="F9049" t="s">
        <v>17632</v>
      </c>
      <c r="G9049" t="s">
        <v>14</v>
      </c>
      <c r="H9049">
             </c>
      <c r="I9049" t="s">
        <v>14</v>
      </c>
      <c r="J9049" t="s">
        <v>141</v>
      </c>
      <c r="K9049" t="s">
        <v>14</v>
      </c>
      <c r="L9049" t="s">
        <v>20</v>
      </c>
      <c r="M9049" t="s">
        <v>17528</v>
      </c>
      <c r="N9049" t="s">
        <v>14</v>
      </c>
    </row>
    <row r="9050" x14ac:dyDescent="0.25">
      <c r="A9050" t="n">
        <v>24</v>
      </c>
      <c r="B9050" t="s">
        <v>14</v>
      </c>
      <c r="C9050" t="s">
        <v>22</v>
      </c>
      <c r="D9050" s="2" t="s">
        <f>=HYPERLINK("https://main.knesset.gov.il/APPS/legislation/main/bills/2165979", "הצעת חוק המועצה להשכלה גבוהה (תיקון - ביטול חובת דרישות מבחני כניסה וציון פסיכומטרי), התשפ""ב-2021")</f>
        <v>17633</v>
      </c>
      <c r="E9050" t="s">
        <v>17633</v>
      </c>
      <c r="F9050" t="s">
        <v>17634</v>
      </c>
      <c r="G9050" t="s">
        <v>14</v>
      </c>
      <c r="H9050">
             </c>
      <c r="I9050" t="s">
        <v>14</v>
      </c>
      <c r="J9050" t="s">
        <v>141</v>
      </c>
      <c r="K9050" t="s">
        <v>14</v>
      </c>
      <c r="L9050" t="s">
        <v>20</v>
      </c>
      <c r="M9050" t="s">
        <v>17528</v>
      </c>
      <c r="N9050" t="s">
        <v>14</v>
      </c>
    </row>
    <row r="9051" x14ac:dyDescent="0.25">
      <c r="A9051" t="n">
        <v>24</v>
      </c>
      <c r="B9051" t="s">
        <v>14</v>
      </c>
      <c r="C9051" t="s">
        <v>22</v>
      </c>
      <c r="D9051" s="2" t="s">
        <f>=HYPERLINK("https://main.knesset.gov.il/APPS/legislation/main/bills/2166249", "הצעת חוק-יסוד: הכנסת (תיקון - ייצוג הולם לנשים ברשימת מועמדים לכנסת)")</f>
        <v>1047</v>
      </c>
      <c r="E9051" t="s">
        <v>1047</v>
      </c>
      <c r="F9051" t="s">
        <v>17635</v>
      </c>
      <c r="G9051" t="s">
        <v>14</v>
      </c>
      <c r="H9051">
             </c>
      <c r="I9051" t="s">
        <v>14</v>
      </c>
      <c r="J9051" t="s">
        <v>141</v>
      </c>
      <c r="K9051" t="s">
        <v>14</v>
      </c>
      <c r="L9051" t="s">
        <v>20</v>
      </c>
      <c r="M9051" t="s">
        <v>17528</v>
      </c>
      <c r="N9051" t="s">
        <v>14</v>
      </c>
    </row>
    <row r="9052" x14ac:dyDescent="0.25">
      <c r="A9052" t="n">
        <v>24</v>
      </c>
      <c r="B9052" t="s">
        <v>14</v>
      </c>
      <c r="C9052" t="s">
        <v>22</v>
      </c>
      <c r="D9052" s="2" t="s">
        <f>=HYPERLINK("https://main.knesset.gov.il/APPS/legislation/main/bills/2166598", "הצעת חוק הבטחת הכנסה (תיקון - הגדלת שווי רכב המאפשר זכאות לגמלה), התשפ""ב-2021")</f>
        <v>17636</v>
      </c>
      <c r="E9052" t="s">
        <v>17636</v>
      </c>
      <c r="F9052" t="s">
        <v>17637</v>
      </c>
      <c r="G9052" t="s">
        <v>14</v>
      </c>
      <c r="H9052">
             </c>
      <c r="I9052" t="s">
        <v>14</v>
      </c>
      <c r="J9052" t="s">
        <v>141</v>
      </c>
      <c r="K9052" t="s">
        <v>14</v>
      </c>
      <c r="L9052" t="s">
        <v>20</v>
      </c>
      <c r="M9052" t="s">
        <v>17528</v>
      </c>
      <c r="N9052" t="s">
        <v>14</v>
      </c>
    </row>
    <row r="9053" x14ac:dyDescent="0.25">
      <c r="A9053" t="n">
        <v>24</v>
      </c>
      <c r="B9053" t="s">
        <v>14</v>
      </c>
      <c r="C9053" t="s">
        <v>22</v>
      </c>
      <c r="D9053" s="2" t="s">
        <f>=HYPERLINK("https://main.knesset.gov.il/APPS/legislation/main/bills/2166410", "הצעת חוק הפיקוח על שירותים פיננסיים (קופות גמל) (תיקון - ריבית על כספי קופות הגמל), התשפ""ב-2021")</f>
        <v>17638</v>
      </c>
      <c r="E9053" t="s">
        <v>17638</v>
      </c>
      <c r="F9053" t="s">
        <v>17639</v>
      </c>
      <c r="G9053" t="s">
        <v>14</v>
      </c>
      <c r="H9053">
             </c>
      <c r="I9053" t="s">
        <v>14</v>
      </c>
      <c r="J9053" t="s">
        <v>141</v>
      </c>
      <c r="K9053" t="s">
        <v>14</v>
      </c>
      <c r="L9053" t="s">
        <v>20</v>
      </c>
      <c r="M9053" t="s">
        <v>17528</v>
      </c>
      <c r="N9053" t="s">
        <v>14</v>
      </c>
    </row>
    <row r="9054" x14ac:dyDescent="0.25">
      <c r="A9054" t="n">
        <v>24</v>
      </c>
      <c r="B9054" t="s">
        <v>14</v>
      </c>
      <c r="C9054" t="s">
        <v>22</v>
      </c>
      <c r="D9054" s="2" t="s">
        <f>=HYPERLINK("https://main.knesset.gov.il/APPS/legislation/main/bills/2166431", "הצעת חוק זכויות הסטודנט (תיקון - התאמות לאוכלוסייה הערבית - חגים), התשפ""ב-2021")</f>
        <v>17640</v>
      </c>
      <c r="E9054" t="s">
        <v>17640</v>
      </c>
      <c r="F9054" t="s">
        <v>17641</v>
      </c>
      <c r="G9054" t="s">
        <v>14</v>
      </c>
      <c r="H9054">
             </c>
      <c r="I9054" t="s">
        <v>14</v>
      </c>
      <c r="J9054" t="s">
        <v>141</v>
      </c>
      <c r="K9054" t="s">
        <v>14</v>
      </c>
      <c r="L9054" t="s">
        <v>20</v>
      </c>
      <c r="M9054" t="s">
        <v>17528</v>
      </c>
      <c r="N9054" t="s">
        <v>14</v>
      </c>
    </row>
    <row r="9055" x14ac:dyDescent="0.25">
      <c r="A9055" t="n">
        <v>24</v>
      </c>
      <c r="B9055" t="s">
        <v>14</v>
      </c>
      <c r="C9055" t="s">
        <v>22</v>
      </c>
      <c r="D9055" s="2" t="s">
        <f>=HYPERLINK("https://main.knesset.gov.il/APPS/legislation/main/bills/2166593", "הצעת חוק לתיקון פקודת הראיות (פסילת ראיה), התשפ""ב-2021")</f>
        <v>17642</v>
      </c>
      <c r="E9055" t="s">
        <v>17642</v>
      </c>
      <c r="F9055" t="s">
        <v>17643</v>
      </c>
      <c r="G9055" t="s">
        <v>14</v>
      </c>
      <c r="H9055">
             </c>
      <c r="I9055" t="s">
        <v>14</v>
      </c>
      <c r="J9055" t="s">
        <v>141</v>
      </c>
      <c r="K9055" t="s">
        <v>14</v>
      </c>
      <c r="L9055" t="s">
        <v>20</v>
      </c>
      <c r="M9055" t="s">
        <v>17528</v>
      </c>
      <c r="N9055" t="s">
        <v>14</v>
      </c>
    </row>
    <row r="9056" x14ac:dyDescent="0.25">
      <c r="A9056" t="n">
        <v>24</v>
      </c>
      <c r="B9056" t="s">
        <v>14</v>
      </c>
      <c r="C9056" t="s">
        <v>22</v>
      </c>
      <c r="D9056" s="2" t="s">
        <f>=HYPERLINK("https://main.knesset.gov.il/APPS/legislation/main/bills/2166079", "הצעת חוק ביטוח בריאות ממלכתי (תיקון - הסדרים מיוחדים עבור זרים שאינם ברי הרחקה), התשפ""ב-2021")</f>
        <v>17644</v>
      </c>
      <c r="E9056" t="s">
        <v>17644</v>
      </c>
      <c r="F9056" t="s">
        <v>17645</v>
      </c>
      <c r="G9056" t="s">
        <v>14</v>
      </c>
      <c r="H9056">
             </c>
      <c r="I9056" t="s">
        <v>14</v>
      </c>
      <c r="J9056" t="s">
        <v>141</v>
      </c>
      <c r="K9056" t="s">
        <v>14</v>
      </c>
      <c r="L9056" t="s">
        <v>20</v>
      </c>
      <c r="M9056" t="s">
        <v>17528</v>
      </c>
      <c r="N9056" t="s">
        <v>14</v>
      </c>
    </row>
    <row r="9057" x14ac:dyDescent="0.25">
      <c r="A9057" t="n">
        <v>24</v>
      </c>
      <c r="B9057" t="s">
        <v>14</v>
      </c>
      <c r="C9057" t="s">
        <v>22</v>
      </c>
      <c r="D9057" s="2" t="s">
        <f>=HYPERLINK("https://main.knesset.gov.il/APPS/legislation/main/bills/2166586", "הצעת חוק איסור לשון הרע (תיקון - ביזוי אדם מחמת משקל), התשפ""ב-2021")</f>
        <v>17646</v>
      </c>
      <c r="E9057" t="s">
        <v>17646</v>
      </c>
      <c r="F9057" t="s">
        <v>17647</v>
      </c>
      <c r="G9057" t="s">
        <v>14</v>
      </c>
      <c r="H9057">
             </c>
      <c r="I9057" t="s">
        <v>14</v>
      </c>
      <c r="J9057" t="s">
        <v>141</v>
      </c>
      <c r="K9057" t="s">
        <v>14</v>
      </c>
      <c r="L9057" t="s">
        <v>20</v>
      </c>
      <c r="M9057" t="s">
        <v>17528</v>
      </c>
      <c r="N9057" t="s">
        <v>14</v>
      </c>
    </row>
    <row r="9058" x14ac:dyDescent="0.25">
      <c r="A9058" t="n">
        <v>24</v>
      </c>
      <c r="B9058" t="s">
        <v>14</v>
      </c>
      <c r="C9058" t="s">
        <v>22</v>
      </c>
      <c r="D9058" s="2" t="s">
        <f>=HYPERLINK("https://main.knesset.gov.il/APPS/legislation/main/bills/2166581", "הצעת חוק ארוחה יומית לתלמיד (תיקון - הרחבת תחולת החוק), התשפ""ב-2021")</f>
        <v>17648</v>
      </c>
      <c r="E9058" t="s">
        <v>17648</v>
      </c>
      <c r="F9058" t="s">
        <v>17649</v>
      </c>
      <c r="G9058" t="s">
        <v>14</v>
      </c>
      <c r="H9058">
             </c>
      <c r="I9058" t="s">
        <v>14</v>
      </c>
      <c r="J9058" t="s">
        <v>141</v>
      </c>
      <c r="K9058" t="s">
        <v>14</v>
      </c>
      <c r="L9058" t="s">
        <v>20</v>
      </c>
      <c r="M9058" t="s">
        <v>17528</v>
      </c>
      <c r="N9058" t="s">
        <v>14</v>
      </c>
    </row>
    <row r="9059" x14ac:dyDescent="0.25">
      <c r="A9059" t="n">
        <v>24</v>
      </c>
      <c r="B9059" t="s">
        <v>14</v>
      </c>
      <c r="C9059" t="s">
        <v>22</v>
      </c>
      <c r="D9059" s="2" t="s">
        <f>=HYPERLINK("https://main.knesset.gov.il/APPS/legislation/main/bills/2166594", "הצעת חוק-יסוד: הממשלה (תיקון - הגבלת תקופת כהונה של ראש הממשלה)")</f>
        <v>12182</v>
      </c>
      <c r="E9059" t="s">
        <v>12182</v>
      </c>
      <c r="F9059" t="s">
        <v>17650</v>
      </c>
      <c r="G9059" t="s">
        <v>14</v>
      </c>
      <c r="H9059">
             </c>
      <c r="I9059" t="s">
        <v>14</v>
      </c>
      <c r="J9059" t="s">
        <v>141</v>
      </c>
      <c r="K9059" t="s">
        <v>14</v>
      </c>
      <c r="L9059" t="s">
        <v>20</v>
      </c>
      <c r="M9059" t="s">
        <v>17528</v>
      </c>
      <c r="N9059" t="s">
        <v>14</v>
      </c>
    </row>
    <row r="9060" x14ac:dyDescent="0.25">
      <c r="A9060" t="n">
        <v>24</v>
      </c>
      <c r="B9060" t="s">
        <v>14</v>
      </c>
      <c r="C9060" t="s">
        <v>22</v>
      </c>
      <c r="D9060" s="2" t="s">
        <f>=HYPERLINK("https://main.knesset.gov.il/APPS/legislation/main/bills/2166591", "הצעת חוק שירות המדינה (מינויים) (תיקון - ייצוג הולם לבני החברה הערבית, לרבות הדרוזית והצ'רקסית), התשפ""ב-2021")</f>
        <v>17651</v>
      </c>
      <c r="E9060" t="s">
        <v>17651</v>
      </c>
      <c r="F9060" t="s">
        <v>17652</v>
      </c>
      <c r="G9060" t="s">
        <v>14</v>
      </c>
      <c r="H9060">
             </c>
      <c r="I9060" t="s">
        <v>14</v>
      </c>
      <c r="J9060" t="s">
        <v>141</v>
      </c>
      <c r="K9060" t="s">
        <v>14</v>
      </c>
      <c r="L9060" t="s">
        <v>20</v>
      </c>
      <c r="M9060" t="s">
        <v>17528</v>
      </c>
      <c r="N9060" t="s">
        <v>14</v>
      </c>
    </row>
    <row r="9061" x14ac:dyDescent="0.25">
      <c r="A9061" t="n">
        <v>24</v>
      </c>
      <c r="B9061" t="s">
        <v>14</v>
      </c>
      <c r="C9061" t="s">
        <v>22</v>
      </c>
      <c r="D9061" s="2" t="s">
        <f>=HYPERLINK("https://main.knesset.gov.il/APPS/legislation/main/bills/2166433", "הצעת חוק זכויות הסטודנט (תיקון - ייעוץ אקדמי בערבית), התשפ""ב-2021 ")</f>
        <v>17653</v>
      </c>
      <c r="E9061" t="s">
        <v>17653</v>
      </c>
      <c r="F9061" t="s">
        <v>17654</v>
      </c>
      <c r="G9061" t="s">
        <v>14</v>
      </c>
      <c r="H9061">
             </c>
      <c r="I9061" t="s">
        <v>14</v>
      </c>
      <c r="J9061" t="s">
        <v>141</v>
      </c>
      <c r="K9061" t="s">
        <v>14</v>
      </c>
      <c r="L9061" t="s">
        <v>20</v>
      </c>
      <c r="M9061" t="s">
        <v>17528</v>
      </c>
      <c r="N9061" t="s">
        <v>14</v>
      </c>
    </row>
    <row r="9062" x14ac:dyDescent="0.25">
      <c r="A9062" t="n">
        <v>24</v>
      </c>
      <c r="B9062" t="s">
        <v>14</v>
      </c>
      <c r="C9062" t="s">
        <v>22</v>
      </c>
      <c r="D9062" s="2" t="s">
        <f>=HYPERLINK("https://main.knesset.gov.il/APPS/legislation/main/bills/2165454", "הצעת חוק הספורט (תיקון - זכויות ספורטאי בוגר), התשפ""ב-2021")</f>
        <v>17655</v>
      </c>
      <c r="E9062" t="s">
        <v>17655</v>
      </c>
      <c r="F9062" t="s">
        <v>17656</v>
      </c>
      <c r="G9062" t="s">
        <v>14</v>
      </c>
      <c r="H9062">
             </c>
      <c r="I9062" t="s">
        <v>14</v>
      </c>
      <c r="J9062" t="s">
        <v>141</v>
      </c>
      <c r="K9062" t="s">
        <v>14</v>
      </c>
      <c r="L9062" t="s">
        <v>20</v>
      </c>
      <c r="M9062" t="s">
        <v>17528</v>
      </c>
      <c r="N9062" t="s">
        <v>14</v>
      </c>
    </row>
    <row r="9063" x14ac:dyDescent="0.25">
      <c r="A9063" t="n">
        <v>24</v>
      </c>
      <c r="B9063" t="s">
        <v>14</v>
      </c>
      <c r="C9063" t="s">
        <v>22</v>
      </c>
      <c r="D9063" s="2" t="s">
        <f>=HYPERLINK("https://main.knesset.gov.il/APPS/legislation/main/bills/2166762", "הצעת חוק כבילת עצורים ואסירים שלא כדין - עוולה אזרחית (תיקוני חקיקה), התשפ""ב-2021")</f>
        <v>17657</v>
      </c>
      <c r="E9063" t="s">
        <v>17657</v>
      </c>
      <c r="F9063" t="s">
        <v>17658</v>
      </c>
      <c r="G9063" t="s">
        <v>14</v>
      </c>
      <c r="H9063">
             </c>
      <c r="I9063" t="s">
        <v>14</v>
      </c>
      <c r="J9063" t="s">
        <v>141</v>
      </c>
      <c r="K9063" t="s">
        <v>14</v>
      </c>
      <c r="L9063" t="s">
        <v>20</v>
      </c>
      <c r="M9063" t="s">
        <v>17528</v>
      </c>
      <c r="N9063" t="s">
        <v>14</v>
      </c>
    </row>
    <row r="9064" x14ac:dyDescent="0.25">
      <c r="A9064" t="n">
        <v>24</v>
      </c>
      <c r="B9064" t="s">
        <v>14</v>
      </c>
      <c r="C9064" t="s">
        <v>22</v>
      </c>
      <c r="D9064" s="2" t="s">
        <f>=HYPERLINK("https://main.knesset.gov.il/APPS/legislation/main/bills/2166580", "הצעת חוק ארוחת בוקר במוסדות חינוך, התשפ""ב-2021")</f>
        <v>17659</v>
      </c>
      <c r="E9064" t="s">
        <v>17659</v>
      </c>
      <c r="F9064" t="s">
        <v>17660</v>
      </c>
      <c r="G9064" t="s">
        <v>14</v>
      </c>
      <c r="H9064">
             </c>
      <c r="I9064" t="s">
        <v>14</v>
      </c>
      <c r="J9064" t="s">
        <v>141</v>
      </c>
      <c r="K9064" t="s">
        <v>14</v>
      </c>
      <c r="L9064" t="s">
        <v>20</v>
      </c>
      <c r="M9064" t="s">
        <v>17528</v>
      </c>
      <c r="N9064" t="s">
        <v>14</v>
      </c>
    </row>
    <row r="9065" x14ac:dyDescent="0.25">
      <c r="A9065" t="n">
        <v>24</v>
      </c>
      <c r="B9065" t="s">
        <v>14</v>
      </c>
      <c r="C9065" t="s">
        <v>22</v>
      </c>
      <c r="D9065" s="2" t="s">
        <f>=HYPERLINK("https://main.knesset.gov.il/APPS/legislation/main/bills/2166443", "הצעת חוק העונשין (תיקון - תקיפת נהג אוטובוס ציבורי), התשפ""ב-2021")</f>
        <v>17661</v>
      </c>
      <c r="E9065" t="s">
        <v>17661</v>
      </c>
      <c r="F9065" t="s">
        <v>17662</v>
      </c>
      <c r="G9065" t="s">
        <v>14</v>
      </c>
      <c r="H9065">
             </c>
      <c r="I9065" t="s">
        <v>14</v>
      </c>
      <c r="J9065" t="s">
        <v>141</v>
      </c>
      <c r="K9065" t="s">
        <v>14</v>
      </c>
      <c r="L9065" t="s">
        <v>20</v>
      </c>
      <c r="M9065" t="s">
        <v>17528</v>
      </c>
      <c r="N9065" t="s">
        <v>14</v>
      </c>
    </row>
    <row r="9066" x14ac:dyDescent="0.25">
      <c r="A9066" t="n">
        <v>24</v>
      </c>
      <c r="B9066" t="s">
        <v>14</v>
      </c>
      <c r="C9066" t="s">
        <v>22</v>
      </c>
      <c r="D9066" s="2" t="s">
        <f>=HYPERLINK("https://main.knesset.gov.il/APPS/legislation/main/bills/2166574", "הצעת חוק צער בעלי חיים (הגנה על בעלי חיים) (תיקון - ביטול כלובים בתעשיית הביצים), התשפ""ב-2021")</f>
        <v>17663</v>
      </c>
      <c r="E9066" t="s">
        <v>17663</v>
      </c>
      <c r="F9066" t="s">
        <v>17664</v>
      </c>
      <c r="G9066" t="s">
        <v>14</v>
      </c>
      <c r="H9066">
             </c>
      <c r="I9066" t="s">
        <v>14</v>
      </c>
      <c r="J9066" t="s">
        <v>141</v>
      </c>
      <c r="K9066" t="s">
        <v>14</v>
      </c>
      <c r="L9066" t="s">
        <v>20</v>
      </c>
      <c r="M9066" t="s">
        <v>17528</v>
      </c>
      <c r="N9066" t="s">
        <v>14</v>
      </c>
    </row>
    <row r="9067" x14ac:dyDescent="0.25">
      <c r="A9067" t="n">
        <v>24</v>
      </c>
      <c r="B9067" t="s">
        <v>14</v>
      </c>
      <c r="C9067" t="s">
        <v>22</v>
      </c>
      <c r="D9067" s="2" t="s">
        <f>=HYPERLINK("https://main.knesset.gov.il/APPS/legislation/main/bills/2166587", "הצעת חוק העונשין (תיקון - אלימות במשפחה בנוכחות קטין או חסר ישע), התשפ""ב-2021")</f>
        <v>17665</v>
      </c>
      <c r="E9067" t="s">
        <v>17665</v>
      </c>
      <c r="F9067" t="s">
        <v>17666</v>
      </c>
      <c r="G9067" t="s">
        <v>14</v>
      </c>
      <c r="H9067">
             </c>
      <c r="I9067" t="s">
        <v>14</v>
      </c>
      <c r="J9067" t="s">
        <v>141</v>
      </c>
      <c r="K9067" t="s">
        <v>14</v>
      </c>
      <c r="L9067" t="s">
        <v>20</v>
      </c>
      <c r="M9067" t="s">
        <v>17528</v>
      </c>
      <c r="N9067" t="s">
        <v>14</v>
      </c>
    </row>
    <row r="9068" x14ac:dyDescent="0.25">
      <c r="A9068" t="n">
        <v>24</v>
      </c>
      <c r="B9068" t="s">
        <v>14</v>
      </c>
      <c r="C9068" t="s">
        <v>22</v>
      </c>
      <c r="D9068" s="2" t="s">
        <f>=HYPERLINK("https://main.knesset.gov.il/APPS/legislation/main/bills/2166217", "הצעת חוק הסדרים במשק המדינה (תיקוני חקיקה להשגת יעדי התקציב) (תיקון - פטור מארנונה לנשים ששהו במקלט לנשים מוכות), התשפ""ב-2021")</f>
        <v>17667</v>
      </c>
      <c r="E9068" t="s">
        <v>17667</v>
      </c>
      <c r="F9068" t="s">
        <v>17668</v>
      </c>
      <c r="G9068" t="s">
        <v>14</v>
      </c>
      <c r="H9068">
             </c>
      <c r="I9068" t="s">
        <v>14</v>
      </c>
      <c r="J9068" t="s">
        <v>141</v>
      </c>
      <c r="K9068" t="s">
        <v>14</v>
      </c>
      <c r="L9068" t="s">
        <v>20</v>
      </c>
      <c r="M9068" t="s">
        <v>17528</v>
      </c>
      <c r="N9068" t="s">
        <v>14</v>
      </c>
    </row>
    <row r="9069" x14ac:dyDescent="0.25">
      <c r="A9069" t="n">
        <v>24</v>
      </c>
      <c r="B9069" t="s">
        <v>14</v>
      </c>
      <c r="C9069" t="s">
        <v>22</v>
      </c>
      <c r="D9069" s="2" t="s">
        <f>=HYPERLINK("https://main.knesset.gov.il/APPS/legislation/main/bills/2166366", "הצעת חוק הגנת הצרכן (תיקון - הנגשת הודעת תשלום לצרכנים שאינם דוברי עברית), התשפ""ב-2021")</f>
        <v>17669</v>
      </c>
      <c r="E9069" t="s">
        <v>17669</v>
      </c>
      <c r="F9069" t="s">
        <v>17670</v>
      </c>
      <c r="G9069" t="s">
        <v>14</v>
      </c>
      <c r="H9069">
             </c>
      <c r="I9069" t="s">
        <v>14</v>
      </c>
      <c r="J9069" t="s">
        <v>141</v>
      </c>
      <c r="K9069" t="s">
        <v>14</v>
      </c>
      <c r="L9069" t="s">
        <v>20</v>
      </c>
      <c r="M9069" t="s">
        <v>17528</v>
      </c>
      <c r="N9069" t="s">
        <v>14</v>
      </c>
    </row>
    <row r="9070" x14ac:dyDescent="0.25">
      <c r="A9070" t="n">
        <v>24</v>
      </c>
      <c r="B9070" t="s">
        <v>14</v>
      </c>
      <c r="C9070" t="s">
        <v>22</v>
      </c>
      <c r="D9070" s="2" t="s">
        <f>=HYPERLINK("https://main.knesset.gov.il/APPS/legislation/main/bills/2166585", "הצעת חוק-יסוד: כבוד האדם וחירותו (תיקון - הזכות לשוויון)")</f>
        <v>2676</v>
      </c>
      <c r="E9070" t="s">
        <v>2676</v>
      </c>
      <c r="F9070" t="s">
        <v>17671</v>
      </c>
      <c r="G9070" t="s">
        <v>14</v>
      </c>
      <c r="H9070">
             </c>
      <c r="I9070" t="s">
        <v>14</v>
      </c>
      <c r="J9070" t="s">
        <v>141</v>
      </c>
      <c r="K9070" t="s">
        <v>14</v>
      </c>
      <c r="L9070" t="s">
        <v>20</v>
      </c>
      <c r="M9070" t="s">
        <v>17528</v>
      </c>
      <c r="N9070" t="s">
        <v>14</v>
      </c>
    </row>
    <row r="9071" x14ac:dyDescent="0.25">
      <c r="A9071" t="n">
        <v>24</v>
      </c>
      <c r="B9071" t="s">
        <v>14</v>
      </c>
      <c r="C9071" t="s">
        <v>22</v>
      </c>
      <c r="D9071" s="2" t="s">
        <f>=HYPERLINK("https://main.knesset.gov.il/APPS/legislation/main/bills/2166198", "הצעת חוק הבחירות לכנסת (תיקון - חובת הגשת מצע ופרסומו), התשפ""ב-2021")</f>
        <v>17672</v>
      </c>
      <c r="E9071" t="s">
        <v>17672</v>
      </c>
      <c r="F9071" t="s">
        <v>17673</v>
      </c>
      <c r="G9071" t="s">
        <v>14</v>
      </c>
      <c r="H9071">
             </c>
      <c r="I9071" t="s">
        <v>14</v>
      </c>
      <c r="J9071" t="s">
        <v>141</v>
      </c>
      <c r="K9071" t="s">
        <v>14</v>
      </c>
      <c r="L9071" t="s">
        <v>20</v>
      </c>
      <c r="M9071" t="s">
        <v>17528</v>
      </c>
      <c r="N9071" t="s">
        <v>14</v>
      </c>
    </row>
    <row r="9072" x14ac:dyDescent="0.25">
      <c r="A9072" t="n">
        <v>24</v>
      </c>
      <c r="B9072" t="s">
        <v>14</v>
      </c>
      <c r="C9072" t="s">
        <v>15</v>
      </c>
      <c r="D9072" s="2" t="s">
        <f>=HYPERLINK("https://main.knesset.gov.il/APPS/legislation/main/bills/2167228", "הצעת חוק לתיקון פקודת התעבורה (מס' 130), התשפ""ב-2021 ")</f>
        <v>17674</v>
      </c>
      <c r="E9072" t="s">
        <v>17674</v>
      </c>
      <c r="F9072" t="s">
        <v>14</v>
      </c>
      <c r="G9072" t="s">
        <v>17675</v>
      </c>
      <c r="H9072">
             </c>
      <c r="I9072" t="s">
        <v>14</v>
      </c>
      <c r="J9072" t="s">
        <v>69</v>
      </c>
      <c r="K9072" t="s">
        <v>14</v>
      </c>
      <c r="L9072" t="s">
        <v>20</v>
      </c>
      <c r="M9072" t="s">
        <v>17528</v>
      </c>
      <c r="N9072" t="s">
        <v>14</v>
      </c>
    </row>
    <row r="9073" x14ac:dyDescent="0.25">
      <c r="A9073" t="n">
        <v>24</v>
      </c>
      <c r="B9073" t="s">
        <v>14</v>
      </c>
      <c r="C9073" t="s">
        <v>22</v>
      </c>
      <c r="D9073" s="2" t="s">
        <f>=HYPERLINK("https://main.knesset.gov.il/APPS/legislation/main/bills/2157319", "הצעת חוק הפחתת תוספות פיגור שנוספו על קנסות הנגבים בידי המרכז לגביית קנסות, אגרות והוצאות (הוראת שעה), התשפ""ב-2021")</f>
        <v>17676</v>
      </c>
      <c r="E9073" t="s">
        <v>17676</v>
      </c>
      <c r="F9073" t="s">
        <v>17677</v>
      </c>
      <c r="G9073" t="s">
        <v>14</v>
      </c>
      <c r="H9073">
             </c>
      <c r="I9073" t="s">
        <v>14</v>
      </c>
      <c r="J9073" t="s">
        <v>343</v>
      </c>
      <c r="K9073" t="s">
        <v>14</v>
      </c>
      <c r="L9073" t="s">
        <v>20</v>
      </c>
      <c r="M9073" t="s">
        <v>17678</v>
      </c>
      <c r="N9073" t="s">
        <v>14</v>
      </c>
    </row>
    <row r="9074" x14ac:dyDescent="0.25">
      <c r="A9074" t="n">
        <v>24</v>
      </c>
      <c r="B9074" t="s">
        <v>14</v>
      </c>
      <c r="C9074" t="s">
        <v>22</v>
      </c>
      <c r="D9074" s="2" t="s">
        <f>=HYPERLINK("https://main.knesset.gov.il/APPS/legislation/main/bills/2159538", "הצעת חוק לתיקון פקודת בתי הסוהר (מתן הודעה בכתב לאסיר בדבר מועד שחרור מנהלי והכנת תכנית שיקום), התשפ""א-2021")</f>
        <v>17679</v>
      </c>
      <c r="E9074" t="s">
        <v>17679</v>
      </c>
      <c r="F9074" t="s">
        <v>17680</v>
      </c>
      <c r="G9074" t="s">
        <v>14</v>
      </c>
      <c r="H9074">
             </c>
      <c r="I9074" t="s">
        <v>14</v>
      </c>
      <c r="J9074" t="s">
        <v>55</v>
      </c>
      <c r="K9074" t="s">
        <v>14</v>
      </c>
      <c r="L9074" t="s">
        <v>20</v>
      </c>
      <c r="M9074" t="s">
        <v>17678</v>
      </c>
      <c r="N9074" t="s">
        <v>14</v>
      </c>
    </row>
    <row r="9075" x14ac:dyDescent="0.25">
      <c r="A9075" t="n">
        <v>24</v>
      </c>
      <c r="B9075" t="s">
        <v>14</v>
      </c>
      <c r="C9075" t="s">
        <v>22</v>
      </c>
      <c r="D9075" s="2" t="s">
        <f>=HYPERLINK("https://main.knesset.gov.il/APPS/legislation/main/bills/2159518", "הצעת חוק לתיקון פקודת המשטרה (הוראות בדבר פיזור אסיפה או תהלוכה), התשפ""א-2021")</f>
        <v>17681</v>
      </c>
      <c r="E9075" t="s">
        <v>17681</v>
      </c>
      <c r="F9075" t="s">
        <v>17682</v>
      </c>
      <c r="G9075" t="s">
        <v>14</v>
      </c>
      <c r="H9075">
             </c>
      <c r="I9075" t="s">
        <v>14</v>
      </c>
      <c r="J9075" t="s">
        <v>55</v>
      </c>
      <c r="K9075" t="s">
        <v>14</v>
      </c>
      <c r="L9075" t="s">
        <v>20</v>
      </c>
      <c r="M9075" t="s">
        <v>17678</v>
      </c>
      <c r="N9075" t="s">
        <v>14</v>
      </c>
    </row>
    <row r="9076" x14ac:dyDescent="0.25">
      <c r="A9076" t="n">
        <v>24</v>
      </c>
      <c r="B9076" t="s">
        <v>14</v>
      </c>
      <c r="C9076" t="s">
        <v>22</v>
      </c>
      <c r="D9076" s="2" t="s">
        <f>=HYPERLINK("https://main.knesset.gov.il/APPS/legislation/main/bills/2160060", "הצעת חוק הממשלה (תיקון - חוות דעת של רשות ציבורית בענייני חקיקה), התשפ""א-2021")</f>
        <v>17683</v>
      </c>
      <c r="E9076" t="s">
        <v>17683</v>
      </c>
      <c r="F9076" t="s">
        <v>17684</v>
      </c>
      <c r="G9076" t="s">
        <v>14</v>
      </c>
      <c r="H9076">
             </c>
      <c r="I9076" t="s">
        <v>14</v>
      </c>
      <c r="J9076" t="s">
        <v>55</v>
      </c>
      <c r="K9076" t="s">
        <v>14</v>
      </c>
      <c r="L9076" t="s">
        <v>20</v>
      </c>
      <c r="M9076" t="s">
        <v>17678</v>
      </c>
      <c r="N9076" t="s">
        <v>14</v>
      </c>
    </row>
    <row r="9077" x14ac:dyDescent="0.25">
      <c r="A9077" t="n">
        <v>24</v>
      </c>
      <c r="B9077" t="s">
        <v>14</v>
      </c>
      <c r="C9077" t="s">
        <v>22</v>
      </c>
      <c r="D9077" s="2" t="s">
        <f>=HYPERLINK("https://main.knesset.gov.il/APPS/legislation/main/bills/2159487", "הצעת חוק לתיקון פקודת מס הכנסה (אי-ניכוי הוצאות בגין עבודה בשבת), התשפ""א-2021")</f>
        <v>17685</v>
      </c>
      <c r="E9077" t="s">
        <v>17685</v>
      </c>
      <c r="F9077" t="s">
        <v>17686</v>
      </c>
      <c r="G9077" t="s">
        <v>14</v>
      </c>
      <c r="H9077">
             </c>
      <c r="I9077" t="s">
        <v>14</v>
      </c>
      <c r="J9077" t="s">
        <v>55</v>
      </c>
      <c r="K9077" t="s">
        <v>14</v>
      </c>
      <c r="L9077" t="s">
        <v>20</v>
      </c>
      <c r="M9077" t="s">
        <v>17678</v>
      </c>
      <c r="N9077" t="s">
        <v>14</v>
      </c>
    </row>
    <row r="9078" x14ac:dyDescent="0.25">
      <c r="A9078" t="n">
        <v>24</v>
      </c>
      <c r="B9078" t="s">
        <v>14</v>
      </c>
      <c r="C9078" t="s">
        <v>22</v>
      </c>
      <c r="D9078" s="2" t="s">
        <f>=HYPERLINK("https://main.knesset.gov.il/APPS/legislation/main/bills/2156464", "הצעת חוק שירות ביטחון (תיקון - ביטול גיוס חובה), התשפ""א-2021")</f>
        <v>17687</v>
      </c>
      <c r="E9078" t="s">
        <v>17687</v>
      </c>
      <c r="F9078" t="s">
        <v>17688</v>
      </c>
      <c r="G9078" t="s">
        <v>14</v>
      </c>
      <c r="H9078">
             </c>
      <c r="I9078" t="s">
        <v>14</v>
      </c>
      <c r="J9078" t="s">
        <v>55</v>
      </c>
      <c r="K9078" t="s">
        <v>14</v>
      </c>
      <c r="L9078" t="s">
        <v>20</v>
      </c>
      <c r="M9078" t="s">
        <v>17678</v>
      </c>
      <c r="N9078" t="s">
        <v>14</v>
      </c>
    </row>
    <row r="9079" x14ac:dyDescent="0.25">
      <c r="A9079" t="n">
        <v>24</v>
      </c>
      <c r="B9079" t="s">
        <v>14</v>
      </c>
      <c r="C9079" t="s">
        <v>22</v>
      </c>
      <c r="D9079" s="2" t="s">
        <f>=HYPERLINK("https://main.knesset.gov.il/APPS/legislation/main/bills/2156274", "הצעת חוק איסור הפליה במוצרים, בשירותים ובכניסה למקומות בידור ולמקומות ציבוריים (תיקון - קיום אירועי תרבות בהפרדה מגדרית בשל טעמי דת), התשפ""א-2021")</f>
        <v>17689</v>
      </c>
      <c r="E9079" t="s">
        <v>17689</v>
      </c>
      <c r="F9079" t="s">
        <v>17690</v>
      </c>
      <c r="G9079" t="s">
        <v>14</v>
      </c>
      <c r="H9079">
             </c>
      <c r="I9079" t="s">
        <v>14</v>
      </c>
      <c r="J9079" t="s">
        <v>343</v>
      </c>
      <c r="K9079" t="s">
        <v>14</v>
      </c>
      <c r="L9079" t="s">
        <v>20</v>
      </c>
      <c r="M9079" t="s">
        <v>17678</v>
      </c>
      <c r="N9079" t="s">
        <v>14</v>
      </c>
    </row>
    <row r="9080" x14ac:dyDescent="0.25">
      <c r="A9080" t="n">
        <v>24</v>
      </c>
      <c r="B9080" t="s">
        <v>14</v>
      </c>
      <c r="C9080" t="s">
        <v>15</v>
      </c>
      <c r="D9080" s="2" t="s">
        <f>=HYPERLINK("https://main.knesset.gov.il/APPS/legislation/main/bills/2166334", "חוק גיל פרישה (הורה שילדו נפטר) (הוראת שעה) (תיקון), התשפ""ב-2021")</f>
        <v>17691</v>
      </c>
      <c r="E9080" t="s">
        <v>17691</v>
      </c>
      <c r="F9080" t="s">
        <v>14</v>
      </c>
      <c r="G9080" t="s">
        <v>17692</v>
      </c>
      <c r="H9080" t="n">
        <v>2942</v>
      </c>
      <c r="I9080" t="s">
        <v>14</v>
      </c>
      <c r="J9080" t="s">
        <v>91</v>
      </c>
      <c r="K9080" t="s">
        <v>127</v>
      </c>
      <c r="L9080" t="s">
        <v>20</v>
      </c>
      <c r="M9080" t="s">
        <v>17693</v>
      </c>
      <c r="N9080" t="s">
        <v>17694</v>
      </c>
    </row>
    <row r="9081" x14ac:dyDescent="0.25">
      <c r="A9081" t="n">
        <v>24</v>
      </c>
      <c r="B9081" t="s">
        <v>14</v>
      </c>
      <c r="C9081" t="s">
        <v>22</v>
      </c>
      <c r="D9081" s="2" t="s">
        <f>=HYPERLINK("https://main.knesset.gov.il/APPS/legislation/main/bills/2161453", "הצעת חוק לתיקון פקודת מס הכנסה (פטור ממס למענק כספי בשל הישג בתחרות ספורט), התשפ""ב-2021")</f>
        <v>17695</v>
      </c>
      <c r="E9081" t="s">
        <v>17695</v>
      </c>
      <c r="F9081" t="s">
        <v>17696</v>
      </c>
      <c r="G9081" t="s">
        <v>14</v>
      </c>
      <c r="H9081">
             </c>
      <c r="I9081" t="s">
        <v>14</v>
      </c>
      <c r="J9081" t="s">
        <v>99</v>
      </c>
      <c r="K9081" t="s">
        <v>85</v>
      </c>
      <c r="L9081" t="s">
        <v>20</v>
      </c>
      <c r="M9081" t="s">
        <v>17697</v>
      </c>
      <c r="N9081" t="s">
        <v>14</v>
      </c>
    </row>
    <row r="9082" x14ac:dyDescent="0.25">
      <c r="A9082" t="n">
        <v>24</v>
      </c>
      <c r="B9082" t="s">
        <v>14</v>
      </c>
      <c r="C9082" t="s">
        <v>22</v>
      </c>
      <c r="D9082" s="2" t="s">
        <f>=HYPERLINK("https://main.knesset.gov.il/APPS/legislation/main/bills/2161267", "הצעת חוק לתיקון פקודת מס הכנסה (פטור ממס על מענק ששולם לספורטאי עקב זכייה במדליה במשחקים האולימפיים או באליפויות העולם בספורט), התשפ""א-2021")</f>
        <v>17698</v>
      </c>
      <c r="E9082" t="s">
        <v>17698</v>
      </c>
      <c r="F9082" t="s">
        <v>17699</v>
      </c>
      <c r="G9082" t="s">
        <v>14</v>
      </c>
      <c r="H9082">
             </c>
      <c r="I9082" t="s">
        <v>14</v>
      </c>
      <c r="J9082" t="s">
        <v>99</v>
      </c>
      <c r="K9082" t="s">
        <v>85</v>
      </c>
      <c r="L9082" t="s">
        <v>20</v>
      </c>
      <c r="M9082" t="s">
        <v>17697</v>
      </c>
      <c r="N9082" t="s">
        <v>14</v>
      </c>
    </row>
    <row r="9083" x14ac:dyDescent="0.25">
      <c r="A9083" t="n">
        <v>24</v>
      </c>
      <c r="B9083" t="s">
        <v>14</v>
      </c>
      <c r="C9083" t="s">
        <v>22</v>
      </c>
      <c r="D9083" s="2" t="s">
        <f>=HYPERLINK("https://main.knesset.gov.il/APPS/legislation/main/bills/2161258", "הצעת חוק לתיקון פקודת מס הכנסה (פטור ממס על מענק זכייה אולימפי), התשפ""א-2021")</f>
        <v>17700</v>
      </c>
      <c r="E9083" t="s">
        <v>17700</v>
      </c>
      <c r="F9083" t="s">
        <v>17701</v>
      </c>
      <c r="G9083" t="s">
        <v>14</v>
      </c>
      <c r="H9083">
             </c>
      <c r="I9083" t="s">
        <v>14</v>
      </c>
      <c r="J9083" t="s">
        <v>99</v>
      </c>
      <c r="K9083" t="s">
        <v>85</v>
      </c>
      <c r="L9083" t="s">
        <v>20</v>
      </c>
      <c r="M9083" t="s">
        <v>17697</v>
      </c>
      <c r="N9083" t="s">
        <v>14</v>
      </c>
    </row>
    <row r="9084" x14ac:dyDescent="0.25">
      <c r="A9084" t="n">
        <v>24</v>
      </c>
      <c r="B9084" t="s">
        <v>14</v>
      </c>
      <c r="C9084" t="s">
        <v>22</v>
      </c>
      <c r="D9084" s="2" t="s">
        <f>=HYPERLINK("https://main.knesset.gov.il/APPS/legislation/main/bills/2159117", "הצעת חוק לתיקון פקודת מס הכנסה (פטור ממס למענק כספי בשל הישג בתחרות ספורט), התשפ""א-2021")</f>
        <v>17702</v>
      </c>
      <c r="E9084" t="s">
        <v>17702</v>
      </c>
      <c r="F9084" t="s">
        <v>17703</v>
      </c>
      <c r="G9084" t="s">
        <v>14</v>
      </c>
      <c r="H9084">
             </c>
      <c r="I9084" t="s">
        <v>14</v>
      </c>
      <c r="J9084" t="s">
        <v>99</v>
      </c>
      <c r="K9084" t="s">
        <v>85</v>
      </c>
      <c r="L9084" t="s">
        <v>20</v>
      </c>
      <c r="M9084" t="s">
        <v>17697</v>
      </c>
      <c r="N9084" t="s">
        <v>14</v>
      </c>
    </row>
    <row r="9085" x14ac:dyDescent="0.25">
      <c r="A9085" t="n">
        <v>24</v>
      </c>
      <c r="B9085" t="s">
        <v>14</v>
      </c>
      <c r="C9085" t="s">
        <v>15</v>
      </c>
      <c r="D9085" s="2" t="s">
        <f>=HYPERLINK("https://main.knesset.gov.il/APPS/legislation/main/bills/2155597", "חוק לתיקון פקודת בתי הסוהר (מס' 57 והוראות שעה), התשפ""ב-2021")</f>
        <v>17704</v>
      </c>
      <c r="E9085" t="s">
        <v>17704</v>
      </c>
      <c r="F9085" t="s">
        <v>14</v>
      </c>
      <c r="G9085" t="s">
        <v>17705</v>
      </c>
      <c r="H9085" t="n">
        <v>2941</v>
      </c>
      <c r="I9085" t="s">
        <v>14</v>
      </c>
      <c r="J9085" t="s">
        <v>91</v>
      </c>
      <c r="K9085" t="s">
        <v>14336</v>
      </c>
      <c r="L9085" t="s">
        <v>20</v>
      </c>
      <c r="M9085" t="s">
        <v>17697</v>
      </c>
      <c r="N9085" t="s">
        <v>14</v>
      </c>
    </row>
    <row r="9086" x14ac:dyDescent="0.25">
      <c r="A9086" t="n">
        <v>24</v>
      </c>
      <c r="B9086" t="s">
        <v>14</v>
      </c>
      <c r="C9086" t="s">
        <v>22</v>
      </c>
      <c r="D9086" s="2" t="s">
        <f>=HYPERLINK("https://main.knesset.gov.il/APPS/legislation/main/bills/2166205", "הצעת חוק הגנה על כספי ציבור (איסור מימון ומתן שירותים למאחזים בלתי מורשים), התשפ""ב-2021")</f>
        <v>17706</v>
      </c>
      <c r="E9086" t="s">
        <v>17706</v>
      </c>
      <c r="F9086" t="s">
        <v>17707</v>
      </c>
      <c r="G9086" t="s">
        <v>14</v>
      </c>
      <c r="H9086">
             </c>
      <c r="I9086" t="s">
        <v>14</v>
      </c>
      <c r="J9086" t="s">
        <v>141</v>
      </c>
      <c r="K9086" t="s">
        <v>14</v>
      </c>
      <c r="L9086" t="s">
        <v>20</v>
      </c>
      <c r="M9086" t="s">
        <v>17697</v>
      </c>
      <c r="N9086" t="s">
        <v>14</v>
      </c>
    </row>
    <row r="9087" x14ac:dyDescent="0.25">
      <c r="A9087" t="n">
        <v>24</v>
      </c>
      <c r="B9087" t="s">
        <v>14</v>
      </c>
      <c r="C9087" t="s">
        <v>22</v>
      </c>
      <c r="D9087" s="2" t="s">
        <f>=HYPERLINK("https://main.knesset.gov.il/APPS/legislation/main/bills/2161289", "הצעת חוק-יסוד: החקיקה והגבלת ביקורת שיפוטית על חוקים")</f>
        <v>17708</v>
      </c>
      <c r="E9087" t="s">
        <v>17708</v>
      </c>
      <c r="F9087" t="s">
        <v>17709</v>
      </c>
      <c r="G9087" t="s">
        <v>14</v>
      </c>
      <c r="H9087">
             </c>
      <c r="I9087" t="s">
        <v>14</v>
      </c>
      <c r="J9087" t="s">
        <v>141</v>
      </c>
      <c r="K9087" t="s">
        <v>14</v>
      </c>
      <c r="L9087" t="s">
        <v>20</v>
      </c>
      <c r="M9087" t="s">
        <v>17697</v>
      </c>
      <c r="N9087" t="s">
        <v>14</v>
      </c>
    </row>
    <row r="9088" x14ac:dyDescent="0.25">
      <c r="A9088" t="n">
        <v>24</v>
      </c>
      <c r="B9088" t="s">
        <v>14</v>
      </c>
      <c r="C9088" t="s">
        <v>22</v>
      </c>
      <c r="D9088" s="2" t="s">
        <f>=HYPERLINK("https://main.knesset.gov.il/APPS/legislation/main/bills/2159458", "הצעת חוק החברות (תיקון - ייצוג הולם לתושבי הפריפריה בדירקטוריונים של חברות ציבוריות), התשפ""ב-2021")</f>
        <v>17710</v>
      </c>
      <c r="E9088" t="s">
        <v>17710</v>
      </c>
      <c r="F9088" t="s">
        <v>17711</v>
      </c>
      <c r="G9088" t="s">
        <v>14</v>
      </c>
      <c r="H9088">
             </c>
      <c r="I9088" t="s">
        <v>14</v>
      </c>
      <c r="J9088" t="s">
        <v>141</v>
      </c>
      <c r="K9088" t="s">
        <v>14</v>
      </c>
      <c r="L9088" t="s">
        <v>20</v>
      </c>
      <c r="M9088" t="s">
        <v>17697</v>
      </c>
      <c r="N9088" t="s">
        <v>14</v>
      </c>
    </row>
    <row r="9089" x14ac:dyDescent="0.25">
      <c r="A9089" t="n">
        <v>24</v>
      </c>
      <c r="B9089" t="s">
        <v>14</v>
      </c>
      <c r="C9089" t="s">
        <v>22</v>
      </c>
      <c r="D9089" s="2" t="s">
        <f>=HYPERLINK("https://main.knesset.gov.il/APPS/legislation/main/bills/2165018", "הצעת חוק לייעוד הכנסות מדינה ממס קנייה המוטל על כלים חד-פעמיים ומשקאות מתוקים, התשפ""ב-2021 ")</f>
        <v>17712</v>
      </c>
      <c r="E9089" t="s">
        <v>17712</v>
      </c>
      <c r="F9089" t="s">
        <v>17713</v>
      </c>
      <c r="G9089" t="s">
        <v>14</v>
      </c>
      <c r="H9089">
             </c>
      <c r="I9089" t="s">
        <v>14</v>
      </c>
      <c r="J9089" t="s">
        <v>141</v>
      </c>
      <c r="K9089" t="s">
        <v>14</v>
      </c>
      <c r="L9089" t="s">
        <v>20</v>
      </c>
      <c r="M9089" t="s">
        <v>17697</v>
      </c>
      <c r="N9089" t="s">
        <v>14</v>
      </c>
    </row>
    <row r="9090" x14ac:dyDescent="0.25">
      <c r="A9090" t="n">
        <v>24</v>
      </c>
      <c r="B9090" t="s">
        <v>14</v>
      </c>
      <c r="C9090" t="s">
        <v>22</v>
      </c>
      <c r="D9090" s="2" t="s">
        <f>=HYPERLINK("https://main.knesset.gov.il/APPS/legislation/main/bills/2164159", "הצעת חוק ביטוח בריאות ממלכתי (תיקון - פטור מתשלום לקשיש מעל גיל 80 שמשתלמת לו גמלה להבטחת הכנסה), התשפ""ב-2021")</f>
        <v>17714</v>
      </c>
      <c r="E9090" t="s">
        <v>17714</v>
      </c>
      <c r="F9090" t="s">
        <v>17715</v>
      </c>
      <c r="G9090" t="s">
        <v>14</v>
      </c>
      <c r="H9090">
             </c>
      <c r="I9090" t="s">
        <v>14</v>
      </c>
      <c r="J9090" t="s">
        <v>141</v>
      </c>
      <c r="K9090" t="s">
        <v>14</v>
      </c>
      <c r="L9090" t="s">
        <v>20</v>
      </c>
      <c r="M9090" t="s">
        <v>17697</v>
      </c>
      <c r="N9090" t="s">
        <v>14</v>
      </c>
    </row>
    <row r="9091" x14ac:dyDescent="0.25">
      <c r="A9091" t="n">
        <v>24</v>
      </c>
      <c r="B9091" t="s">
        <v>14</v>
      </c>
      <c r="C9091" t="s">
        <v>22</v>
      </c>
      <c r="D9091" s="2" t="s">
        <f>=HYPERLINK("https://main.knesset.gov.il/APPS/legislation/main/bills/2165960", "הצעת חוק הביטוח הלאומי (תיקון - אי-שלילת זכאות לקצבת שאירים בשל הכנסה מפנסיה), התשפ""ב-2021")</f>
        <v>17716</v>
      </c>
      <c r="E9091" t="s">
        <v>17716</v>
      </c>
      <c r="F9091" t="s">
        <v>17717</v>
      </c>
      <c r="G9091" t="s">
        <v>14</v>
      </c>
      <c r="H9091">
             </c>
      <c r="I9091" t="s">
        <v>14</v>
      </c>
      <c r="J9091" t="s">
        <v>343</v>
      </c>
      <c r="K9091" t="s">
        <v>14</v>
      </c>
      <c r="L9091" t="s">
        <v>20</v>
      </c>
      <c r="M9091" t="s">
        <v>17697</v>
      </c>
      <c r="N9091" t="s">
        <v>14</v>
      </c>
    </row>
    <row r="9092" x14ac:dyDescent="0.25">
      <c r="A9092" t="n">
        <v>24</v>
      </c>
      <c r="B9092" t="s">
        <v>14</v>
      </c>
      <c r="C9092" t="s">
        <v>22</v>
      </c>
      <c r="D9092" s="2" t="s">
        <f>=HYPERLINK("https://main.knesset.gov.il/APPS/legislation/main/bills/2166085", "הצעת חוק ההתגוננות האזרחית (תיקון - התקן בטיחותי על דלת מרחב מוגן דירתי), התשפ""ב-2021")</f>
        <v>17718</v>
      </c>
      <c r="E9092" t="s">
        <v>17718</v>
      </c>
      <c r="F9092" t="s">
        <v>17719</v>
      </c>
      <c r="G9092" t="s">
        <v>14</v>
      </c>
      <c r="H9092">
             </c>
      <c r="I9092" t="s">
        <v>14</v>
      </c>
      <c r="J9092" t="s">
        <v>141</v>
      </c>
      <c r="K9092" t="s">
        <v>14</v>
      </c>
      <c r="L9092" t="s">
        <v>20</v>
      </c>
      <c r="M9092" t="s">
        <v>17697</v>
      </c>
      <c r="N9092" t="s">
        <v>14</v>
      </c>
    </row>
    <row r="9093" x14ac:dyDescent="0.25">
      <c r="A9093" t="n">
        <v>24</v>
      </c>
      <c r="B9093" t="s">
        <v>14</v>
      </c>
      <c r="C9093" t="s">
        <v>22</v>
      </c>
      <c r="D9093" s="2" t="s">
        <f>=HYPERLINK("https://main.knesset.gov.il/APPS/legislation/main/bills/2165509", "הצעת חוק שירות לאומי-אזרחי (תיקוני חקיקה), התשפ""ב-2021")</f>
        <v>17720</v>
      </c>
      <c r="E9093" t="s">
        <v>17720</v>
      </c>
      <c r="F9093" t="s">
        <v>17721</v>
      </c>
      <c r="G9093" t="s">
        <v>14</v>
      </c>
      <c r="H9093">
             </c>
      <c r="I9093" t="s">
        <v>14</v>
      </c>
      <c r="J9093" t="s">
        <v>141</v>
      </c>
      <c r="K9093" t="s">
        <v>14</v>
      </c>
      <c r="L9093" t="s">
        <v>20</v>
      </c>
      <c r="M9093" t="s">
        <v>17697</v>
      </c>
      <c r="N9093" t="s">
        <v>14</v>
      </c>
    </row>
    <row r="9094" x14ac:dyDescent="0.25">
      <c r="A9094" t="n">
        <v>24</v>
      </c>
      <c r="B9094" t="s">
        <v>14</v>
      </c>
      <c r="C9094" t="s">
        <v>22</v>
      </c>
      <c r="D9094" s="2" t="s">
        <f>=HYPERLINK("https://main.knesset.gov.il/APPS/legislation/main/bills/2166201", "הצעת חוק הגבלת פעולות אנשי דת בלתי מורשים בצבא הגנה לישראל ובמשטרת ישראל, התשפ""ב-2021")</f>
        <v>17722</v>
      </c>
      <c r="E9094" t="s">
        <v>17722</v>
      </c>
      <c r="F9094" t="s">
        <v>17723</v>
      </c>
      <c r="G9094" t="s">
        <v>14</v>
      </c>
      <c r="H9094">
             </c>
      <c r="I9094" t="s">
        <v>14</v>
      </c>
      <c r="J9094" t="s">
        <v>141</v>
      </c>
      <c r="K9094" t="s">
        <v>14</v>
      </c>
      <c r="L9094" t="s">
        <v>20</v>
      </c>
      <c r="M9094" t="s">
        <v>17697</v>
      </c>
      <c r="N9094" t="s">
        <v>14</v>
      </c>
    </row>
    <row r="9095" x14ac:dyDescent="0.25">
      <c r="A9095" t="n">
        <v>24</v>
      </c>
      <c r="B9095" t="s">
        <v>14</v>
      </c>
      <c r="C9095" t="s">
        <v>22</v>
      </c>
      <c r="D9095" s="2" t="s">
        <f>=HYPERLINK("https://main.knesset.gov.il/APPS/legislation/main/bills/2164157", "הצעת חוק הביטוח הלאומי (תיקון - הצמדת קצבת אזרח ותיק לשכר מינימום), התשפ""ב-2021")</f>
        <v>17724</v>
      </c>
      <c r="E9095" t="s">
        <v>17724</v>
      </c>
      <c r="F9095" t="s">
        <v>17725</v>
      </c>
      <c r="G9095" t="s">
        <v>14</v>
      </c>
      <c r="H9095">
             </c>
      <c r="I9095" t="s">
        <v>14</v>
      </c>
      <c r="J9095" t="s">
        <v>141</v>
      </c>
      <c r="K9095" t="s">
        <v>14</v>
      </c>
      <c r="L9095" t="s">
        <v>20</v>
      </c>
      <c r="M9095" t="s">
        <v>17697</v>
      </c>
      <c r="N9095" t="s">
        <v>14</v>
      </c>
    </row>
    <row r="9096" x14ac:dyDescent="0.25">
      <c r="A9096" t="n">
        <v>24</v>
      </c>
      <c r="B9096" t="s">
        <v>14</v>
      </c>
      <c r="C9096" t="s">
        <v>22</v>
      </c>
      <c r="D9096" s="2" t="s">
        <f>=HYPERLINK("https://main.knesset.gov.il/APPS/legislation/main/bills/2166175", "הצעת חוק-יסוד: השפיטה (תיקון - הוועדה לבחירת שופטים)")</f>
        <v>17726</v>
      </c>
      <c r="E9096" t="s">
        <v>17726</v>
      </c>
      <c r="F9096" t="s">
        <v>17727</v>
      </c>
      <c r="G9096" t="s">
        <v>14</v>
      </c>
      <c r="H9096">
             </c>
      <c r="I9096" t="s">
        <v>14</v>
      </c>
      <c r="J9096" t="s">
        <v>141</v>
      </c>
      <c r="K9096" t="s">
        <v>14</v>
      </c>
      <c r="L9096" t="s">
        <v>20</v>
      </c>
      <c r="M9096" t="s">
        <v>17697</v>
      </c>
      <c r="N9096" t="s">
        <v>14</v>
      </c>
    </row>
    <row r="9097" x14ac:dyDescent="0.25">
      <c r="A9097" t="n">
        <v>24</v>
      </c>
      <c r="B9097" t="s">
        <v>14</v>
      </c>
      <c r="C9097" t="s">
        <v>22</v>
      </c>
      <c r="D9097" s="2" t="s">
        <f>=HYPERLINK("https://main.knesset.gov.il/APPS/legislation/main/bills/2166199", "הצעת חוק ביטוח בריאות ממלכתי (תיקון - פטור מתשלום דמי ביטוח לעקר בית), התשפ""ב-2021")</f>
        <v>17728</v>
      </c>
      <c r="E9097" t="s">
        <v>17728</v>
      </c>
      <c r="F9097" t="s">
        <v>17729</v>
      </c>
      <c r="G9097" t="s">
        <v>14</v>
      </c>
      <c r="H9097">
             </c>
      <c r="I9097" t="s">
        <v>14</v>
      </c>
      <c r="J9097" t="s">
        <v>141</v>
      </c>
      <c r="K9097" t="s">
        <v>14</v>
      </c>
      <c r="L9097" t="s">
        <v>20</v>
      </c>
      <c r="M9097" t="s">
        <v>17697</v>
      </c>
      <c r="N9097" t="s">
        <v>14</v>
      </c>
    </row>
    <row r="9098" x14ac:dyDescent="0.25">
      <c r="A9098" t="n">
        <v>24</v>
      </c>
      <c r="B9098" t="s">
        <v>14</v>
      </c>
      <c r="C9098" t="s">
        <v>22</v>
      </c>
      <c r="D9098" s="2" t="s">
        <f>=HYPERLINK("https://main.knesset.gov.il/APPS/legislation/main/bills/2166200", "הצעת חוק הביטוח הלאומי (תיקון - הוראות לעניין עקרת בית), התשפ""ב-2021")</f>
        <v>17730</v>
      </c>
      <c r="E9098" t="s">
        <v>17730</v>
      </c>
      <c r="F9098" t="s">
        <v>17731</v>
      </c>
      <c r="G9098" t="s">
        <v>14</v>
      </c>
      <c r="H9098">
             </c>
      <c r="I9098" t="s">
        <v>14</v>
      </c>
      <c r="J9098" t="s">
        <v>141</v>
      </c>
      <c r="K9098" t="s">
        <v>14</v>
      </c>
      <c r="L9098" t="s">
        <v>20</v>
      </c>
      <c r="M9098" t="s">
        <v>17697</v>
      </c>
      <c r="N9098" t="s">
        <v>14</v>
      </c>
    </row>
    <row r="9099" x14ac:dyDescent="0.25">
      <c r="A9099" t="n">
        <v>24</v>
      </c>
      <c r="B9099" t="s">
        <v>14</v>
      </c>
      <c r="C9099" t="s">
        <v>22</v>
      </c>
      <c r="D9099" s="2" t="s">
        <f>=HYPERLINK("https://main.knesset.gov.il/APPS/legislation/main/bills/2165830", "הצעת חוק שיפוט בתי דין רבניים (נישואין וגירושין) (תיקון - איסור ביטול גיור), התשפ""ב-2021")</f>
        <v>17732</v>
      </c>
      <c r="E9099" t="s">
        <v>17732</v>
      </c>
      <c r="F9099" t="s">
        <v>17733</v>
      </c>
      <c r="G9099" t="s">
        <v>14</v>
      </c>
      <c r="H9099">
             </c>
      <c r="I9099" t="s">
        <v>14</v>
      </c>
      <c r="J9099" t="s">
        <v>141</v>
      </c>
      <c r="K9099" t="s">
        <v>14</v>
      </c>
      <c r="L9099" t="s">
        <v>20</v>
      </c>
      <c r="M9099" t="s">
        <v>17697</v>
      </c>
      <c r="N9099" t="s">
        <v>14</v>
      </c>
    </row>
    <row r="9100" x14ac:dyDescent="0.25">
      <c r="A9100" t="n">
        <v>24</v>
      </c>
      <c r="B9100" t="s">
        <v>14</v>
      </c>
      <c r="C9100" t="s">
        <v>22</v>
      </c>
      <c r="D9100" s="2" t="s">
        <f>=HYPERLINK("https://main.knesset.gov.il/APPS/legislation/main/bills/2160923", "הצעת חוק חובת המכרזים (תיקון - ייצוג הולם לאוכלוסייה הערבית), התשפ""ב-2021")</f>
        <v>17734</v>
      </c>
      <c r="E9100" t="s">
        <v>17734</v>
      </c>
      <c r="F9100" t="s">
        <v>17735</v>
      </c>
      <c r="G9100" t="s">
        <v>14</v>
      </c>
      <c r="H9100">
             </c>
      <c r="I9100" t="s">
        <v>14</v>
      </c>
      <c r="J9100" t="s">
        <v>141</v>
      </c>
      <c r="K9100" t="s">
        <v>14</v>
      </c>
      <c r="L9100" t="s">
        <v>20</v>
      </c>
      <c r="M9100" t="s">
        <v>17697</v>
      </c>
      <c r="N9100" t="s">
        <v>14</v>
      </c>
    </row>
    <row r="9101" x14ac:dyDescent="0.25">
      <c r="A9101" t="n">
        <v>24</v>
      </c>
      <c r="B9101" t="s">
        <v>14</v>
      </c>
      <c r="C9101" t="s">
        <v>22</v>
      </c>
      <c r="D9101" s="2" t="s">
        <f>=HYPERLINK("https://main.knesset.gov.il/APPS/legislation/main/bills/2166035", "הצעת חוק מימון מפלגות (תיקון - ייצוג הולם לנשים בכנסת), התשפ""ב-2021")</f>
        <v>17736</v>
      </c>
      <c r="E9101" t="s">
        <v>17736</v>
      </c>
      <c r="F9101" t="s">
        <v>17737</v>
      </c>
      <c r="G9101" t="s">
        <v>14</v>
      </c>
      <c r="H9101">
             </c>
      <c r="I9101" t="s">
        <v>14</v>
      </c>
      <c r="J9101" t="s">
        <v>141</v>
      </c>
      <c r="K9101" t="s">
        <v>14</v>
      </c>
      <c r="L9101" t="s">
        <v>20</v>
      </c>
      <c r="M9101" t="s">
        <v>17697</v>
      </c>
      <c r="N9101" t="s">
        <v>14</v>
      </c>
    </row>
    <row r="9102" x14ac:dyDescent="0.25">
      <c r="A9102" t="n">
        <v>24</v>
      </c>
      <c r="B9102" t="s">
        <v>14</v>
      </c>
      <c r="C9102" t="s">
        <v>22</v>
      </c>
      <c r="D9102" s="2" t="s">
        <f>=HYPERLINK("https://main.knesset.gov.il/APPS/legislation/main/bills/2160946", "הצעת חוק המקרקעין (תיקון - התקנת תשתית ועמדת טעינה לרכב חשמלי), התשפ""ב-2021")</f>
        <v>17569</v>
      </c>
      <c r="E9102" t="s">
        <v>17569</v>
      </c>
      <c r="F9102" t="s">
        <v>17738</v>
      </c>
      <c r="G9102" t="s">
        <v>14</v>
      </c>
      <c r="H9102">
             </c>
      <c r="I9102" t="s">
        <v>14</v>
      </c>
      <c r="J9102" t="s">
        <v>141</v>
      </c>
      <c r="K9102" t="s">
        <v>14</v>
      </c>
      <c r="L9102" t="s">
        <v>20</v>
      </c>
      <c r="M9102" t="s">
        <v>17697</v>
      </c>
      <c r="N9102" t="s">
        <v>14</v>
      </c>
    </row>
    <row r="9103" x14ac:dyDescent="0.25">
      <c r="A9103" t="n">
        <v>24</v>
      </c>
      <c r="B9103" t="s">
        <v>14</v>
      </c>
      <c r="C9103" t="s">
        <v>22</v>
      </c>
      <c r="D9103" s="2" t="s">
        <f>=HYPERLINK("https://main.knesset.gov.il/APPS/legislation/main/bills/2161745", "הצעת חוק העונשין (תיקון - עונש מינימום למצית נכס ציבורי), התשפ""ב-2021")</f>
        <v>17739</v>
      </c>
      <c r="E9103" t="s">
        <v>17739</v>
      </c>
      <c r="F9103" t="s">
        <v>17740</v>
      </c>
      <c r="G9103" t="s">
        <v>14</v>
      </c>
      <c r="H9103">
             </c>
      <c r="I9103" t="s">
        <v>14</v>
      </c>
      <c r="J9103" t="s">
        <v>141</v>
      </c>
      <c r="K9103" t="s">
        <v>14</v>
      </c>
      <c r="L9103" t="s">
        <v>20</v>
      </c>
      <c r="M9103" t="s">
        <v>17697</v>
      </c>
      <c r="N9103" t="s">
        <v>14</v>
      </c>
    </row>
    <row r="9104" x14ac:dyDescent="0.25">
      <c r="A9104" t="n">
        <v>24</v>
      </c>
      <c r="B9104" t="s">
        <v>14</v>
      </c>
      <c r="C9104" t="s">
        <v>22</v>
      </c>
      <c r="D9104" s="2" t="s">
        <f>=HYPERLINK("https://main.knesset.gov.il/APPS/legislation/main/bills/2159135", "הצעת חוק חובת המכרזים (תיקון - העדפה מתקנת לנכי צה""ל), התשפ""ב-2021")</f>
        <v>17741</v>
      </c>
      <c r="E9104" t="s">
        <v>17741</v>
      </c>
      <c r="F9104" t="s">
        <v>17742</v>
      </c>
      <c r="G9104" t="s">
        <v>14</v>
      </c>
      <c r="H9104">
             </c>
      <c r="I9104" t="s">
        <v>14</v>
      </c>
      <c r="J9104" t="s">
        <v>141</v>
      </c>
      <c r="K9104" t="s">
        <v>14</v>
      </c>
      <c r="L9104" t="s">
        <v>20</v>
      </c>
      <c r="M9104" t="s">
        <v>17697</v>
      </c>
      <c r="N9104" t="s">
        <v>14</v>
      </c>
    </row>
    <row r="9105" x14ac:dyDescent="0.25">
      <c r="A9105" t="n">
        <v>24</v>
      </c>
      <c r="B9105" t="s">
        <v>14</v>
      </c>
      <c r="C9105" t="s">
        <v>22</v>
      </c>
      <c r="D9105" s="2" t="s">
        <f>=HYPERLINK("https://main.knesset.gov.il/APPS/legislation/main/bills/2159108", "הצעת חוק הממשלה (תיקון - אישור הכנסת להסכם מדיני), התשפ""ב-2021")</f>
        <v>17743</v>
      </c>
      <c r="E9105" t="s">
        <v>17743</v>
      </c>
      <c r="F9105" t="s">
        <v>17744</v>
      </c>
      <c r="G9105" t="s">
        <v>14</v>
      </c>
      <c r="H9105">
             </c>
      <c r="I9105" t="s">
        <v>14</v>
      </c>
      <c r="J9105" t="s">
        <v>141</v>
      </c>
      <c r="K9105" t="s">
        <v>14</v>
      </c>
      <c r="L9105" t="s">
        <v>20</v>
      </c>
      <c r="M9105" t="s">
        <v>17697</v>
      </c>
      <c r="N9105" t="s">
        <v>14</v>
      </c>
    </row>
    <row r="9106" x14ac:dyDescent="0.25">
      <c r="A9106" t="n">
        <v>24</v>
      </c>
      <c r="B9106" t="s">
        <v>14</v>
      </c>
      <c r="C9106" t="s">
        <v>22</v>
      </c>
      <c r="D9106" s="2" t="s">
        <f>=HYPERLINK("https://main.knesset.gov.il/APPS/legislation/main/bills/2156940", "הצעת חוק פתיחת קבר של קטין יוצא תימן, המזרח או הבלקן לשם זיהוי ועריכת בדיקה גנטית לקשר משפחה (הוראת שעה) (תיקון - הארכת תוקף הוראת השעה ואישור בקשה מטעמים מיוחדים), התשפ""ב-2021")</f>
        <v>17745</v>
      </c>
      <c r="E9106" t="s">
        <v>17745</v>
      </c>
      <c r="F9106" t="s">
        <v>17746</v>
      </c>
      <c r="G9106" t="s">
        <v>14</v>
      </c>
      <c r="H9106">
             </c>
      <c r="I9106" t="s">
        <v>14</v>
      </c>
      <c r="J9106" t="s">
        <v>141</v>
      </c>
      <c r="K9106" t="s">
        <v>14</v>
      </c>
      <c r="L9106" t="s">
        <v>20</v>
      </c>
      <c r="M9106" t="s">
        <v>17697</v>
      </c>
      <c r="N9106" t="s">
        <v>14</v>
      </c>
    </row>
    <row r="9107" x14ac:dyDescent="0.25">
      <c r="A9107" t="n">
        <v>24</v>
      </c>
      <c r="B9107" t="s">
        <v>14</v>
      </c>
      <c r="C9107" t="s">
        <v>22</v>
      </c>
      <c r="D9107" s="2" t="s">
        <f>=HYPERLINK("https://main.knesset.gov.il/APPS/legislation/main/bills/2163094", "הצעת חוק החלת תקצוב מגדרי על תקציבים ציבוריים בישראל, התשפ""ב-2021")</f>
        <v>17747</v>
      </c>
      <c r="E9107" t="s">
        <v>17747</v>
      </c>
      <c r="F9107" t="s">
        <v>17748</v>
      </c>
      <c r="G9107" t="s">
        <v>14</v>
      </c>
      <c r="H9107">
             </c>
      <c r="I9107" t="s">
        <v>14</v>
      </c>
      <c r="J9107" t="s">
        <v>141</v>
      </c>
      <c r="K9107" t="s">
        <v>14</v>
      </c>
      <c r="L9107" t="s">
        <v>20</v>
      </c>
      <c r="M9107" t="s">
        <v>17697</v>
      </c>
      <c r="N9107" t="s">
        <v>14</v>
      </c>
    </row>
    <row r="9108" x14ac:dyDescent="0.25">
      <c r="A9108" t="n">
        <v>24</v>
      </c>
      <c r="B9108" t="s">
        <v>14</v>
      </c>
      <c r="C9108" t="s">
        <v>22</v>
      </c>
      <c r="D9108" s="2" t="s">
        <f>=HYPERLINK("https://main.knesset.gov.il/APPS/legislation/main/bills/2159212", "הצעת חוק הביטוח הלאומי (תיקון - שלילת זכויות סוציאליות לאדם שהורשע ברצח או ניסיון לרצח על רקע לאומני), התשפ""ב-2021")</f>
        <v>17749</v>
      </c>
      <c r="E9108" t="s">
        <v>17749</v>
      </c>
      <c r="F9108" t="s">
        <v>17750</v>
      </c>
      <c r="G9108" t="s">
        <v>14</v>
      </c>
      <c r="H9108">
             </c>
      <c r="I9108" t="s">
        <v>14</v>
      </c>
      <c r="J9108" t="s">
        <v>141</v>
      </c>
      <c r="K9108" t="s">
        <v>14</v>
      </c>
      <c r="L9108" t="s">
        <v>20</v>
      </c>
      <c r="M9108" t="s">
        <v>17697</v>
      </c>
      <c r="N9108" t="s">
        <v>14</v>
      </c>
    </row>
    <row r="9109" x14ac:dyDescent="0.25">
      <c r="A9109" t="n">
        <v>24</v>
      </c>
      <c r="B9109" t="s">
        <v>14</v>
      </c>
      <c r="C9109" t="s">
        <v>22</v>
      </c>
      <c r="D9109" s="2" t="s">
        <f>=HYPERLINK("https://main.knesset.gov.il/APPS/legislation/main/bills/2159756", "הצעת חוק התחרות הכלכלית (תיקון - הכרזה על קיום מונופולין ואיסור על מחיר מופרז וטורפני), התשפ""ב-2021")</f>
        <v>17751</v>
      </c>
      <c r="E9109" t="s">
        <v>17751</v>
      </c>
      <c r="F9109" t="s">
        <v>17752</v>
      </c>
      <c r="G9109" t="s">
        <v>14</v>
      </c>
      <c r="H9109">
             </c>
      <c r="I9109" t="s">
        <v>14</v>
      </c>
      <c r="J9109" t="s">
        <v>1123</v>
      </c>
      <c r="K9109" t="s">
        <v>14</v>
      </c>
      <c r="L9109" t="s">
        <v>20</v>
      </c>
      <c r="M9109" t="s">
        <v>17697</v>
      </c>
      <c r="N9109" t="s">
        <v>14</v>
      </c>
    </row>
    <row r="9110" x14ac:dyDescent="0.25">
      <c r="A9110" t="n">
        <v>24</v>
      </c>
      <c r="B9110" t="s">
        <v>14</v>
      </c>
      <c r="C9110" t="s">
        <v>22</v>
      </c>
      <c r="D9110" s="2" t="s">
        <f>=HYPERLINK("https://main.knesset.gov.il/APPS/legislation/main/bills/2165350", "הצעת חוק ההוצאה לפועל (תיקון - הודעה לחייב בטרם הגשת בקשה לביצוע משכנתה), התשפ""ב-2021")</f>
        <v>17753</v>
      </c>
      <c r="E9110" t="s">
        <v>17753</v>
      </c>
      <c r="F9110" t="s">
        <v>17754</v>
      </c>
      <c r="G9110" t="s">
        <v>14</v>
      </c>
      <c r="H9110">
             </c>
      <c r="I9110" t="s">
        <v>14</v>
      </c>
      <c r="J9110" t="s">
        <v>141</v>
      </c>
      <c r="K9110" t="s">
        <v>14</v>
      </c>
      <c r="L9110" t="s">
        <v>20</v>
      </c>
      <c r="M9110" t="s">
        <v>17697</v>
      </c>
      <c r="N9110" t="s">
        <v>14</v>
      </c>
    </row>
    <row r="9111" x14ac:dyDescent="0.25">
      <c r="A9111" t="n">
        <v>24</v>
      </c>
      <c r="B9111" t="s">
        <v>14</v>
      </c>
      <c r="C9111" t="s">
        <v>22</v>
      </c>
      <c r="D9111" s="2" t="s">
        <f>=HYPERLINK("https://main.knesset.gov.il/APPS/legislation/main/bills/2164621", "הצעת חוק פיקוח על רווחי שיווק בתוצרת חקלאית, התשפ""ב-2021")</f>
        <v>17755</v>
      </c>
      <c r="E9111" t="s">
        <v>17755</v>
      </c>
      <c r="F9111" t="s">
        <v>17756</v>
      </c>
      <c r="G9111" t="s">
        <v>14</v>
      </c>
      <c r="H9111">
             </c>
      <c r="I9111" t="s">
        <v>14</v>
      </c>
      <c r="J9111" t="s">
        <v>141</v>
      </c>
      <c r="K9111" t="s">
        <v>14</v>
      </c>
      <c r="L9111" t="s">
        <v>20</v>
      </c>
      <c r="M9111" t="s">
        <v>17697</v>
      </c>
      <c r="N9111" t="s">
        <v>14</v>
      </c>
    </row>
    <row r="9112" x14ac:dyDescent="0.25">
      <c r="A9112" t="n">
        <v>24</v>
      </c>
      <c r="B9112" t="s">
        <v>14</v>
      </c>
      <c r="C9112" t="s">
        <v>22</v>
      </c>
      <c r="D9112" s="2" t="s">
        <f>=HYPERLINK("https://main.knesset.gov.il/APPS/legislation/main/bills/2165990", "הצעת חוק נישואין וגירושין, התשפ""ב-2021")</f>
        <v>17757</v>
      </c>
      <c r="E9112" t="s">
        <v>17757</v>
      </c>
      <c r="F9112" t="s">
        <v>17758</v>
      </c>
      <c r="G9112" t="s">
        <v>14</v>
      </c>
      <c r="H9112">
             </c>
      <c r="I9112" t="s">
        <v>14</v>
      </c>
      <c r="J9112" t="s">
        <v>141</v>
      </c>
      <c r="K9112" t="s">
        <v>14</v>
      </c>
      <c r="L9112" t="s">
        <v>20</v>
      </c>
      <c r="M9112" t="s">
        <v>17697</v>
      </c>
      <c r="N9112" t="s">
        <v>14</v>
      </c>
    </row>
    <row r="9113" x14ac:dyDescent="0.25">
      <c r="A9113" t="n">
        <v>24</v>
      </c>
      <c r="B9113" t="s">
        <v>14</v>
      </c>
      <c r="C9113" t="s">
        <v>22</v>
      </c>
      <c r="D9113" s="2" t="s">
        <f>=HYPERLINK("https://main.knesset.gov.il/APPS/legislation/main/bills/2164656", "הצעת חוק חובת המכרזים (תיקון - עידוד עסקים קטנים ובינוניים באזור פריפריה במכרז), התשפ""ב-2021")</f>
        <v>17759</v>
      </c>
      <c r="E9113" t="s">
        <v>17759</v>
      </c>
      <c r="F9113" t="s">
        <v>17760</v>
      </c>
      <c r="G9113" t="s">
        <v>14</v>
      </c>
      <c r="H9113">
             </c>
      <c r="I9113" t="s">
        <v>14</v>
      </c>
      <c r="J9113" t="s">
        <v>141</v>
      </c>
      <c r="K9113" t="s">
        <v>14</v>
      </c>
      <c r="L9113" t="s">
        <v>20</v>
      </c>
      <c r="M9113" t="s">
        <v>17697</v>
      </c>
      <c r="N9113" t="s">
        <v>14</v>
      </c>
    </row>
    <row r="9114" x14ac:dyDescent="0.25">
      <c r="A9114" t="n">
        <v>24</v>
      </c>
      <c r="B9114" t="s">
        <v>14</v>
      </c>
      <c r="C9114" t="s">
        <v>22</v>
      </c>
      <c r="D9114" s="2" t="s">
        <f>=HYPERLINK("https://main.knesset.gov.il/APPS/legislation/main/bills/2166038", "הצעת חוק קליטת חיילים משוחררים (תיקון - ביטוח פנסיוני לחייל משוחרר), התשפ""ב-2021")</f>
        <v>17761</v>
      </c>
      <c r="E9114" t="s">
        <v>17761</v>
      </c>
      <c r="F9114" t="s">
        <v>17762</v>
      </c>
      <c r="G9114" t="s">
        <v>14</v>
      </c>
      <c r="H9114">
             </c>
      <c r="I9114" t="s">
        <v>14</v>
      </c>
      <c r="J9114" t="s">
        <v>141</v>
      </c>
      <c r="K9114" t="s">
        <v>14</v>
      </c>
      <c r="L9114" t="s">
        <v>20</v>
      </c>
      <c r="M9114" t="s">
        <v>17697</v>
      </c>
      <c r="N9114" t="s">
        <v>14</v>
      </c>
    </row>
    <row r="9115" x14ac:dyDescent="0.25">
      <c r="A9115" t="n">
        <v>24</v>
      </c>
      <c r="B9115" t="s">
        <v>14</v>
      </c>
      <c r="C9115" t="s">
        <v>22</v>
      </c>
      <c r="D9115" s="2" t="s">
        <f>=HYPERLINK("https://main.knesset.gov.il/APPS/legislation/main/bills/2165405", "הצעת חוק החברות (תיקון - מינוי דירקטורים מטעם העובדים), התשפ""ב-2021")</f>
        <v>17763</v>
      </c>
      <c r="E9115" t="s">
        <v>17763</v>
      </c>
      <c r="F9115" t="s">
        <v>17764</v>
      </c>
      <c r="G9115" t="s">
        <v>14</v>
      </c>
      <c r="H9115">
             </c>
      <c r="I9115" t="s">
        <v>14</v>
      </c>
      <c r="J9115" t="s">
        <v>141</v>
      </c>
      <c r="K9115" t="s">
        <v>14</v>
      </c>
      <c r="L9115" t="s">
        <v>20</v>
      </c>
      <c r="M9115" t="s">
        <v>17697</v>
      </c>
      <c r="N9115" t="s">
        <v>14</v>
      </c>
    </row>
    <row r="9116" x14ac:dyDescent="0.25">
      <c r="A9116" t="n">
        <v>24</v>
      </c>
      <c r="B9116" t="s">
        <v>14</v>
      </c>
      <c r="C9116" t="s">
        <v>22</v>
      </c>
      <c r="D9116" s="2" t="s">
        <f>=HYPERLINK("https://main.knesset.gov.il/APPS/legislation/main/bills/2164333", "הצעת חוק קרקעות כנסייה, התשפ""ב-2021")</f>
        <v>17765</v>
      </c>
      <c r="E9116" t="s">
        <v>17765</v>
      </c>
      <c r="F9116" t="s">
        <v>17766</v>
      </c>
      <c r="G9116" t="s">
        <v>14</v>
      </c>
      <c r="H9116">
             </c>
      <c r="I9116" t="s">
        <v>14</v>
      </c>
      <c r="J9116" t="s">
        <v>141</v>
      </c>
      <c r="K9116" t="s">
        <v>14</v>
      </c>
      <c r="L9116" t="s">
        <v>20</v>
      </c>
      <c r="M9116" t="s">
        <v>17697</v>
      </c>
      <c r="N9116" t="s">
        <v>14</v>
      </c>
    </row>
    <row r="9117" x14ac:dyDescent="0.25">
      <c r="A9117" t="n">
        <v>24</v>
      </c>
      <c r="B9117" t="s">
        <v>14</v>
      </c>
      <c r="C9117" t="s">
        <v>22</v>
      </c>
      <c r="D9117" s="2" t="s">
        <f>=HYPERLINK("https://main.knesset.gov.il/APPS/legislation/main/bills/2165349", "הצעת חוק ההוצאה לפועל (תיקון - השהיית הליך ואי נקיטתו לשוהות במקלטים לנשים מוכות), התשפ""ב-2021")</f>
        <v>17767</v>
      </c>
      <c r="E9117" t="s">
        <v>17767</v>
      </c>
      <c r="F9117" t="s">
        <v>17768</v>
      </c>
      <c r="G9117" t="s">
        <v>14</v>
      </c>
      <c r="H9117">
             </c>
      <c r="I9117" t="s">
        <v>14</v>
      </c>
      <c r="J9117" t="s">
        <v>141</v>
      </c>
      <c r="K9117" t="s">
        <v>14</v>
      </c>
      <c r="L9117" t="s">
        <v>20</v>
      </c>
      <c r="M9117" t="s">
        <v>17697</v>
      </c>
      <c r="N9117" t="s">
        <v>14</v>
      </c>
    </row>
    <row r="9118" x14ac:dyDescent="0.25">
      <c r="A9118" t="n">
        <v>24</v>
      </c>
      <c r="B9118" t="s">
        <v>14</v>
      </c>
      <c r="C9118" t="s">
        <v>22</v>
      </c>
      <c r="D9118" s="2" t="s">
        <f>=HYPERLINK("https://main.knesset.gov.il/APPS/legislation/main/bills/2160196", "הצעת חוק הפיקדון על מכלי משקה (תיקון - אמצעי תשלום להחזר דמי פיקדון), התשפ""ב-2021")</f>
        <v>17769</v>
      </c>
      <c r="E9118" t="s">
        <v>17769</v>
      </c>
      <c r="F9118" t="s">
        <v>17770</v>
      </c>
      <c r="G9118" t="s">
        <v>14</v>
      </c>
      <c r="H9118">
             </c>
      <c r="I9118" t="s">
        <v>14</v>
      </c>
      <c r="J9118" t="s">
        <v>141</v>
      </c>
      <c r="K9118" t="s">
        <v>14</v>
      </c>
      <c r="L9118" t="s">
        <v>20</v>
      </c>
      <c r="M9118" t="s">
        <v>17697</v>
      </c>
      <c r="N9118" t="s">
        <v>14</v>
      </c>
    </row>
    <row r="9119" x14ac:dyDescent="0.25">
      <c r="A9119" t="n">
        <v>24</v>
      </c>
      <c r="B9119" t="s">
        <v>14</v>
      </c>
      <c r="C9119" t="s">
        <v>22</v>
      </c>
      <c r="D9119" s="2" t="s">
        <f>=HYPERLINK("https://main.knesset.gov.il/APPS/legislation/main/bills/2159122", "הצעת חוק הגנת הצרכן (תיקון - התרעה על עסקה לשירותי חנייה באמצעות רדיו טלפון נייד), התשפ""ב-2021")</f>
        <v>17771</v>
      </c>
      <c r="E9119" t="s">
        <v>17771</v>
      </c>
      <c r="F9119" t="s">
        <v>17772</v>
      </c>
      <c r="G9119" t="s">
        <v>14</v>
      </c>
      <c r="H9119">
             </c>
      <c r="I9119" t="s">
        <v>14</v>
      </c>
      <c r="J9119" t="s">
        <v>141</v>
      </c>
      <c r="K9119" t="s">
        <v>14</v>
      </c>
      <c r="L9119" t="s">
        <v>20</v>
      </c>
      <c r="M9119" t="s">
        <v>17697</v>
      </c>
      <c r="N9119" t="s">
        <v>14</v>
      </c>
    </row>
    <row r="9120" x14ac:dyDescent="0.25">
      <c r="A9120" t="n">
        <v>24</v>
      </c>
      <c r="B9120" t="s">
        <v>14</v>
      </c>
      <c r="C9120" t="s">
        <v>22</v>
      </c>
      <c r="D9120" s="2" t="s">
        <f>=HYPERLINK("https://main.knesset.gov.il/APPS/legislation/main/bills/2166185", "הצעת חוק שעות עבודה ומנוחה (תיקון - קיצור שבוע העבודה), התשפ""ב-2021")</f>
        <v>17608</v>
      </c>
      <c r="E9120" t="s">
        <v>17608</v>
      </c>
      <c r="F9120" t="s">
        <v>17773</v>
      </c>
      <c r="G9120" t="s">
        <v>14</v>
      </c>
      <c r="H9120">
             </c>
      <c r="I9120" t="s">
        <v>14</v>
      </c>
      <c r="J9120" t="s">
        <v>141</v>
      </c>
      <c r="K9120" t="s">
        <v>14</v>
      </c>
      <c r="L9120" t="s">
        <v>20</v>
      </c>
      <c r="M9120" t="s">
        <v>17697</v>
      </c>
      <c r="N9120" t="s">
        <v>14</v>
      </c>
    </row>
    <row r="9121" x14ac:dyDescent="0.25">
      <c r="A9121" t="n">
        <v>24</v>
      </c>
      <c r="B9121" t="s">
        <v>14</v>
      </c>
      <c r="C9121" t="s">
        <v>22</v>
      </c>
      <c r="D9121" s="2" t="s">
        <f>=HYPERLINK("https://main.knesset.gov.il/APPS/legislation/main/bills/2166142", "הצעת חוק-יסוד: השפיטה (תיקון - הגבלת ערעורים של המדינה על פסקי דין פליליים)")</f>
        <v>5442</v>
      </c>
      <c r="E9121" t="s">
        <v>5442</v>
      </c>
      <c r="F9121" t="s">
        <v>17774</v>
      </c>
      <c r="G9121" t="s">
        <v>14</v>
      </c>
      <c r="H9121">
             </c>
      <c r="I9121" t="s">
        <v>14</v>
      </c>
      <c r="J9121" t="s">
        <v>141</v>
      </c>
      <c r="K9121" t="s">
        <v>14</v>
      </c>
      <c r="L9121" t="s">
        <v>20</v>
      </c>
      <c r="M9121" t="s">
        <v>17697</v>
      </c>
      <c r="N9121" t="s">
        <v>14</v>
      </c>
    </row>
    <row r="9122" x14ac:dyDescent="0.25">
      <c r="A9122" t="n">
        <v>24</v>
      </c>
      <c r="B9122" t="s">
        <v>14</v>
      </c>
      <c r="C9122" t="s">
        <v>22</v>
      </c>
      <c r="D9122" s="2" t="s">
        <f>=HYPERLINK("https://main.knesset.gov.il/APPS/legislation/main/bills/2166089", "הצעת חוק התכנון והבנייה (תיקון - איסור התניית היתר בהתקנת מקומות חניה ובניצול חלק קיים משטח דירה), התשפ""ב-2021")</f>
        <v>17775</v>
      </c>
      <c r="E9122" t="s">
        <v>17775</v>
      </c>
      <c r="F9122" t="s">
        <v>17776</v>
      </c>
      <c r="G9122" t="s">
        <v>14</v>
      </c>
      <c r="H9122">
             </c>
      <c r="I9122" t="s">
        <v>14</v>
      </c>
      <c r="J9122" t="s">
        <v>141</v>
      </c>
      <c r="K9122" t="s">
        <v>14</v>
      </c>
      <c r="L9122" t="s">
        <v>20</v>
      </c>
      <c r="M9122" t="s">
        <v>17697</v>
      </c>
      <c r="N9122" t="s">
        <v>14</v>
      </c>
    </row>
    <row r="9123" x14ac:dyDescent="0.25">
      <c r="A9123" t="n">
        <v>24</v>
      </c>
      <c r="B9123" t="s">
        <v>14</v>
      </c>
      <c r="C9123" t="s">
        <v>22</v>
      </c>
      <c r="D9123" s="2" t="s">
        <f>=HYPERLINK("https://main.knesset.gov.il/APPS/legislation/main/bills/2166212", "הצעת חוק חובת הכללת אזהרה בפרסום טיפולי המרה לשינוי נטייה מינית, התשפ""ב-2021")</f>
        <v>17777</v>
      </c>
      <c r="E9123" t="s">
        <v>17777</v>
      </c>
      <c r="F9123" t="s">
        <v>17778</v>
      </c>
      <c r="G9123" t="s">
        <v>14</v>
      </c>
      <c r="H9123">
             </c>
      <c r="I9123" t="s">
        <v>14</v>
      </c>
      <c r="J9123" t="s">
        <v>141</v>
      </c>
      <c r="K9123" t="s">
        <v>14</v>
      </c>
      <c r="L9123" t="s">
        <v>20</v>
      </c>
      <c r="M9123" t="s">
        <v>17697</v>
      </c>
      <c r="N9123" t="s">
        <v>14</v>
      </c>
    </row>
    <row r="9124" x14ac:dyDescent="0.25">
      <c r="A9124" t="n">
        <v>24</v>
      </c>
      <c r="B9124" t="s">
        <v>14</v>
      </c>
      <c r="C9124" t="s">
        <v>22</v>
      </c>
      <c r="D9124" s="2" t="s">
        <f>=HYPERLINK("https://main.knesset.gov.il/APPS/legislation/main/bills/2166076", "הצעת חוק אימוץ ילדים (תיקון - אימוץ על ידי בני הזוג), התשפ""ב-2021")</f>
        <v>17779</v>
      </c>
      <c r="E9124" t="s">
        <v>17779</v>
      </c>
      <c r="F9124" t="s">
        <v>17780</v>
      </c>
      <c r="G9124" t="s">
        <v>14</v>
      </c>
      <c r="H9124">
             </c>
      <c r="I9124" t="s">
        <v>14</v>
      </c>
      <c r="J9124" t="s">
        <v>141</v>
      </c>
      <c r="K9124" t="s">
        <v>14</v>
      </c>
      <c r="L9124" t="s">
        <v>20</v>
      </c>
      <c r="M9124" t="s">
        <v>17697</v>
      </c>
      <c r="N9124" t="s">
        <v>14</v>
      </c>
    </row>
    <row r="9125" x14ac:dyDescent="0.25">
      <c r="A9125" t="n">
        <v>24</v>
      </c>
      <c r="B9125" t="s">
        <v>14</v>
      </c>
      <c r="C9125" t="s">
        <v>22</v>
      </c>
      <c r="D9125" s="2" t="s">
        <f>=HYPERLINK("https://main.knesset.gov.il/APPS/legislation/main/bills/2166134", "הצעת חוק העונשין (תיקון - גזר דין עונש מוות למורשע ברצח בנסיבות טרור), התשפ""ב-2021")</f>
        <v>17781</v>
      </c>
      <c r="E9125" t="s">
        <v>17781</v>
      </c>
      <c r="F9125" t="s">
        <v>17782</v>
      </c>
      <c r="G9125" t="s">
        <v>14</v>
      </c>
      <c r="H9125">
             </c>
      <c r="I9125" t="s">
        <v>14</v>
      </c>
      <c r="J9125" t="s">
        <v>141</v>
      </c>
      <c r="K9125" t="s">
        <v>14</v>
      </c>
      <c r="L9125" t="s">
        <v>20</v>
      </c>
      <c r="M9125" t="s">
        <v>17697</v>
      </c>
      <c r="N9125" t="s">
        <v>14</v>
      </c>
    </row>
    <row r="9126" x14ac:dyDescent="0.25">
      <c r="A9126" t="n">
        <v>24</v>
      </c>
      <c r="B9126" t="s">
        <v>14</v>
      </c>
      <c r="C9126" t="s">
        <v>22</v>
      </c>
      <c r="D9126" s="2" t="s">
        <f>=HYPERLINK("https://main.knesset.gov.il/APPS/legislation/main/bills/2166193", "הצעת חוק להקמת אוניברסיטה ערבית ביישוב ערבי, התשפ""ב-2021")</f>
        <v>17783</v>
      </c>
      <c r="E9126" t="s">
        <v>17783</v>
      </c>
      <c r="F9126" t="s">
        <v>17784</v>
      </c>
      <c r="G9126" t="s">
        <v>14</v>
      </c>
      <c r="H9126">
             </c>
      <c r="I9126" t="s">
        <v>14</v>
      </c>
      <c r="J9126" t="s">
        <v>141</v>
      </c>
      <c r="K9126" t="s">
        <v>14</v>
      </c>
      <c r="L9126" t="s">
        <v>20</v>
      </c>
      <c r="M9126" t="s">
        <v>17697</v>
      </c>
      <c r="N9126" t="s">
        <v>14</v>
      </c>
    </row>
    <row r="9127" x14ac:dyDescent="0.25">
      <c r="A9127" t="n">
        <v>24</v>
      </c>
      <c r="B9127" t="s">
        <v>14</v>
      </c>
      <c r="C9127" t="s">
        <v>22</v>
      </c>
      <c r="D9127" s="2" t="s">
        <f>=HYPERLINK("https://main.knesset.gov.il/APPS/legislation/main/bills/2165918", "הצעת חוק אזור סחר חופשי באילת (פטורים והנחות ממסים) (תיקון - פיתוח אילת), התשפ""ב-2021")</f>
        <v>17785</v>
      </c>
      <c r="E9127" t="s">
        <v>17785</v>
      </c>
      <c r="F9127" t="s">
        <v>17786</v>
      </c>
      <c r="G9127" t="s">
        <v>14</v>
      </c>
      <c r="H9127">
             </c>
      <c r="I9127" t="s">
        <v>14</v>
      </c>
      <c r="J9127" t="s">
        <v>141</v>
      </c>
      <c r="K9127" t="s">
        <v>14</v>
      </c>
      <c r="L9127" t="s">
        <v>20</v>
      </c>
      <c r="M9127" t="s">
        <v>17697</v>
      </c>
      <c r="N9127" t="s">
        <v>14</v>
      </c>
    </row>
    <row r="9128" x14ac:dyDescent="0.25">
      <c r="A9128" t="n">
        <v>24</v>
      </c>
      <c r="B9128" t="s">
        <v>14</v>
      </c>
      <c r="C9128" t="s">
        <v>22</v>
      </c>
      <c r="D9128" s="2" t="s">
        <f>=HYPERLINK("https://main.knesset.gov.il/APPS/legislation/main/bills/2166146", "הצעת חוק מס ערך מוסף (תיקון - פטור ממס במכירת תרופות אונקולוגיות שאינן כלולות בסל הבריאות), התשפ""ב-2021")</f>
        <v>17787</v>
      </c>
      <c r="E9128" t="s">
        <v>17787</v>
      </c>
      <c r="F9128" t="s">
        <v>17788</v>
      </c>
      <c r="G9128" t="s">
        <v>14</v>
      </c>
      <c r="H9128">
             </c>
      <c r="I9128" t="s">
        <v>14</v>
      </c>
      <c r="J9128" t="s">
        <v>141</v>
      </c>
      <c r="K9128" t="s">
        <v>14</v>
      </c>
      <c r="L9128" t="s">
        <v>20</v>
      </c>
      <c r="M9128" t="s">
        <v>17697</v>
      </c>
      <c r="N9128" t="s">
        <v>14</v>
      </c>
    </row>
    <row r="9129" x14ac:dyDescent="0.25">
      <c r="A9129" t="n">
        <v>24</v>
      </c>
      <c r="B9129" t="s">
        <v>14</v>
      </c>
      <c r="C9129" t="s">
        <v>22</v>
      </c>
      <c r="D9129" s="2" t="s">
        <f>=HYPERLINK("https://main.knesset.gov.il/APPS/legislation/main/bills/2163981", "הצעת חוק יום משפחות היתומים בישראל, התשפ""ב-2021")</f>
        <v>17789</v>
      </c>
      <c r="E9129" t="s">
        <v>17789</v>
      </c>
      <c r="F9129" t="s">
        <v>17790</v>
      </c>
      <c r="G9129" t="s">
        <v>14</v>
      </c>
      <c r="H9129">
             </c>
      <c r="I9129" t="s">
        <v>14</v>
      </c>
      <c r="J9129" t="s">
        <v>141</v>
      </c>
      <c r="K9129" t="s">
        <v>14</v>
      </c>
      <c r="L9129" t="s">
        <v>20</v>
      </c>
      <c r="M9129" t="s">
        <v>17697</v>
      </c>
      <c r="N9129" t="s">
        <v>14</v>
      </c>
    </row>
    <row r="9130" x14ac:dyDescent="0.25">
      <c r="A9130" t="n">
        <v>24</v>
      </c>
      <c r="B9130" t="s">
        <v>14</v>
      </c>
      <c r="C9130" t="s">
        <v>22</v>
      </c>
      <c r="D9130" s="2" t="s">
        <f>=HYPERLINK("https://main.knesset.gov.il/APPS/legislation/main/bills/2165895", "הצעת חוק דמי מחלה (היעדרות בשל מחלת ילד) (תיקון - מחלת תינוק), התשפ""ב-2021")</f>
        <v>17791</v>
      </c>
      <c r="E9130" t="s">
        <v>17791</v>
      </c>
      <c r="F9130" t="s">
        <v>17792</v>
      </c>
      <c r="G9130" t="s">
        <v>14</v>
      </c>
      <c r="H9130">
             </c>
      <c r="I9130" t="s">
        <v>14</v>
      </c>
      <c r="J9130" t="s">
        <v>141</v>
      </c>
      <c r="K9130" t="s">
        <v>14</v>
      </c>
      <c r="L9130" t="s">
        <v>20</v>
      </c>
      <c r="M9130" t="s">
        <v>17697</v>
      </c>
      <c r="N9130" t="s">
        <v>14</v>
      </c>
    </row>
    <row r="9131" x14ac:dyDescent="0.25">
      <c r="A9131" t="n">
        <v>24</v>
      </c>
      <c r="B9131" t="s">
        <v>14</v>
      </c>
      <c r="C9131" t="s">
        <v>22</v>
      </c>
      <c r="D9131" s="2" t="s">
        <f>=HYPERLINK("https://main.knesset.gov.il/APPS/legislation/main/bills/2166068", "הצעת חוק הרשויות המקומיות (בחירת ראש הרשות וסגניו וכהונתם) (תיקון - הגבלת כהונה שלישית לראש רשות), התשפ""ב-2021")</f>
        <v>17793</v>
      </c>
      <c r="E9131" t="s">
        <v>17793</v>
      </c>
      <c r="F9131" t="s">
        <v>17794</v>
      </c>
      <c r="G9131" t="s">
        <v>14</v>
      </c>
      <c r="H9131">
             </c>
      <c r="I9131" t="s">
        <v>14</v>
      </c>
      <c r="J9131" t="s">
        <v>141</v>
      </c>
      <c r="K9131" t="s">
        <v>14</v>
      </c>
      <c r="L9131" t="s">
        <v>20</v>
      </c>
      <c r="M9131" t="s">
        <v>17697</v>
      </c>
      <c r="N9131" t="s">
        <v>14</v>
      </c>
    </row>
    <row r="9132" x14ac:dyDescent="0.25">
      <c r="A9132" t="n">
        <v>24</v>
      </c>
      <c r="B9132" t="s">
        <v>14</v>
      </c>
      <c r="C9132" t="s">
        <v>22</v>
      </c>
      <c r="D9132" s="2" t="s">
        <f>=HYPERLINK("https://main.knesset.gov.il/APPS/legislation/main/bills/2165263", "הצעת חוק מס ערך מוסף (תיקון - פטור ממס בגין תרומות לבתי חולים בפריפריה), התשפ""ב-2021")</f>
        <v>17795</v>
      </c>
      <c r="E9132" t="s">
        <v>17795</v>
      </c>
      <c r="F9132" t="s">
        <v>17796</v>
      </c>
      <c r="G9132" t="s">
        <v>14</v>
      </c>
      <c r="H9132">
             </c>
      <c r="I9132" t="s">
        <v>14</v>
      </c>
      <c r="J9132" t="s">
        <v>141</v>
      </c>
      <c r="K9132" t="s">
        <v>14</v>
      </c>
      <c r="L9132" t="s">
        <v>20</v>
      </c>
      <c r="M9132" t="s">
        <v>17697</v>
      </c>
      <c r="N9132" t="s">
        <v>14</v>
      </c>
    </row>
    <row r="9133" x14ac:dyDescent="0.25">
      <c r="A9133" t="n">
        <v>24</v>
      </c>
      <c r="B9133" t="s">
        <v>14</v>
      </c>
      <c r="C9133" t="s">
        <v>22</v>
      </c>
      <c r="D9133" s="2" t="s">
        <f>=HYPERLINK("https://main.knesset.gov.il/APPS/legislation/main/bills/2164668", "הצעת חוק שוויון ההזדמנויות בעבודה (תיקון - הארכת תקופת ההתיישנות), התשפ""ב-2021")</f>
        <v>17797</v>
      </c>
      <c r="E9133" t="s">
        <v>17797</v>
      </c>
      <c r="F9133" t="s">
        <v>17798</v>
      </c>
      <c r="G9133" t="s">
        <v>14</v>
      </c>
      <c r="H9133">
             </c>
      <c r="I9133" t="s">
        <v>14</v>
      </c>
      <c r="J9133" t="s">
        <v>141</v>
      </c>
      <c r="K9133" t="s">
        <v>14</v>
      </c>
      <c r="L9133" t="s">
        <v>20</v>
      </c>
      <c r="M9133" t="s">
        <v>17697</v>
      </c>
      <c r="N9133" t="s">
        <v>14</v>
      </c>
    </row>
    <row r="9134" x14ac:dyDescent="0.25">
      <c r="A9134" t="n">
        <v>24</v>
      </c>
      <c r="B9134" t="s">
        <v>14</v>
      </c>
      <c r="C9134" t="s">
        <v>22</v>
      </c>
      <c r="D9134" s="2" t="s">
        <f>=HYPERLINK("https://main.knesset.gov.il/APPS/legislation/main/bills/2164232", "הצעת חוק דמי מחלה (היעדרות בשל מחלת ילד) (תיקון - ימי מחלה נוספים בשל מחלת ילד), התשפ""ב-2021")</f>
        <v>17799</v>
      </c>
      <c r="E9134" t="s">
        <v>17799</v>
      </c>
      <c r="F9134" t="s">
        <v>17800</v>
      </c>
      <c r="G9134" t="s">
        <v>14</v>
      </c>
      <c r="H9134">
             </c>
      <c r="I9134" t="s">
        <v>14</v>
      </c>
      <c r="J9134" t="s">
        <v>141</v>
      </c>
      <c r="K9134" t="s">
        <v>14</v>
      </c>
      <c r="L9134" t="s">
        <v>20</v>
      </c>
      <c r="M9134" t="s">
        <v>17697</v>
      </c>
      <c r="N9134" t="s">
        <v>14</v>
      </c>
    </row>
    <row r="9135" x14ac:dyDescent="0.25">
      <c r="A9135" t="n">
        <v>24</v>
      </c>
      <c r="B9135" t="s">
        <v>14</v>
      </c>
      <c r="C9135" t="s">
        <v>22</v>
      </c>
      <c r="D9135" s="2" t="s">
        <f>=HYPERLINK("https://main.knesset.gov.il/APPS/legislation/main/bills/2164172", "הצעת חוק זכויות התלמיד (תיקון - הנפקת תעודות בגרות), התשפ""ב-2021")</f>
        <v>17801</v>
      </c>
      <c r="E9135" t="s">
        <v>17801</v>
      </c>
      <c r="F9135" t="s">
        <v>17802</v>
      </c>
      <c r="G9135" t="s">
        <v>14</v>
      </c>
      <c r="H9135">
             </c>
      <c r="I9135" t="s">
        <v>14</v>
      </c>
      <c r="J9135" t="s">
        <v>141</v>
      </c>
      <c r="K9135" t="s">
        <v>14</v>
      </c>
      <c r="L9135" t="s">
        <v>20</v>
      </c>
      <c r="M9135" t="s">
        <v>17697</v>
      </c>
      <c r="N9135" t="s">
        <v>14</v>
      </c>
    </row>
    <row r="9136" x14ac:dyDescent="0.25">
      <c r="A9136" t="n">
        <v>24</v>
      </c>
      <c r="B9136" t="s">
        <v>14</v>
      </c>
      <c r="C9136" t="s">
        <v>22</v>
      </c>
      <c r="D9136" s="2" t="s">
        <f>=HYPERLINK("https://main.knesset.gov.il/APPS/legislation/main/bills/2166028", "הצעת חוק הרשויות המקומיות (ריבית והפרשי הצמדה על תשלומי חובה) (תיקון - הפחתת אחוז הריבית ברשויות המקומיות), התשפ""ב-2021")</f>
        <v>17803</v>
      </c>
      <c r="E9136" t="s">
        <v>17803</v>
      </c>
      <c r="F9136" t="s">
        <v>17804</v>
      </c>
      <c r="G9136" t="s">
        <v>14</v>
      </c>
      <c r="H9136">
             </c>
      <c r="I9136" t="s">
        <v>14</v>
      </c>
      <c r="J9136" t="s">
        <v>141</v>
      </c>
      <c r="K9136" t="s">
        <v>14</v>
      </c>
      <c r="L9136" t="s">
        <v>20</v>
      </c>
      <c r="M9136" t="s">
        <v>17697</v>
      </c>
      <c r="N9136" t="s">
        <v>14</v>
      </c>
    </row>
    <row r="9137" x14ac:dyDescent="0.25">
      <c r="A9137" t="n">
        <v>24</v>
      </c>
      <c r="B9137" t="s">
        <v>14</v>
      </c>
      <c r="C9137" t="s">
        <v>22</v>
      </c>
      <c r="D9137" s="2" t="s">
        <f>=HYPERLINK("https://main.knesset.gov.il/APPS/legislation/main/bills/2165641", "הצעת חוק התכנון והבנייה (תיקון - שומה מתוקנת מוסכמת), התשפ""ב-2021")</f>
        <v>17805</v>
      </c>
      <c r="E9137" t="s">
        <v>17805</v>
      </c>
      <c r="F9137" t="s">
        <v>17806</v>
      </c>
      <c r="G9137" t="s">
        <v>14</v>
      </c>
      <c r="H9137">
             </c>
      <c r="I9137" t="s">
        <v>14</v>
      </c>
      <c r="J9137" t="s">
        <v>141</v>
      </c>
      <c r="K9137" t="s">
        <v>14</v>
      </c>
      <c r="L9137" t="s">
        <v>20</v>
      </c>
      <c r="M9137" t="s">
        <v>17697</v>
      </c>
      <c r="N9137" t="s">
        <v>14</v>
      </c>
    </row>
    <row r="9138" x14ac:dyDescent="0.25">
      <c r="A9138" t="n">
        <v>24</v>
      </c>
      <c r="B9138" t="s">
        <v>14</v>
      </c>
      <c r="C9138" t="s">
        <v>22</v>
      </c>
      <c r="D9138" s="2" t="s">
        <f>=HYPERLINK("https://main.knesset.gov.il/APPS/legislation/main/bills/2165952", "הצעת חוק זכויות החולה (תיקון - הכנסת מזון למוסד רפואי בחג הפסח), התשפ""ב-2021")</f>
        <v>17807</v>
      </c>
      <c r="E9138" t="s">
        <v>17807</v>
      </c>
      <c r="F9138" t="s">
        <v>17808</v>
      </c>
      <c r="G9138" t="s">
        <v>14</v>
      </c>
      <c r="H9138">
             </c>
      <c r="I9138" t="s">
        <v>14</v>
      </c>
      <c r="J9138" t="s">
        <v>141</v>
      </c>
      <c r="K9138" t="s">
        <v>14</v>
      </c>
      <c r="L9138" t="s">
        <v>20</v>
      </c>
      <c r="M9138" t="s">
        <v>17697</v>
      </c>
      <c r="N9138" t="s">
        <v>14</v>
      </c>
    </row>
    <row r="9139" x14ac:dyDescent="0.25">
      <c r="A9139" t="n">
        <v>24</v>
      </c>
      <c r="B9139" t="s">
        <v>14</v>
      </c>
      <c r="C9139" t="s">
        <v>22</v>
      </c>
      <c r="D9139" s="2" t="s">
        <f>=HYPERLINK("https://main.knesset.gov.il/APPS/legislation/main/bills/2161464", "הצעת חוק התכנון והבנייה (תיקון - גידור ומתקני בטיחות בבריכה), התשפ""ב-2021")</f>
        <v>17809</v>
      </c>
      <c r="E9139" t="s">
        <v>17809</v>
      </c>
      <c r="F9139" t="s">
        <v>17810</v>
      </c>
      <c r="G9139" t="s">
        <v>14</v>
      </c>
      <c r="H9139">
             </c>
      <c r="I9139" t="s">
        <v>14</v>
      </c>
      <c r="J9139" t="s">
        <v>141</v>
      </c>
      <c r="K9139" t="s">
        <v>14</v>
      </c>
      <c r="L9139" t="s">
        <v>20</v>
      </c>
      <c r="M9139" t="s">
        <v>17697</v>
      </c>
      <c r="N9139" t="s">
        <v>14</v>
      </c>
    </row>
    <row r="9140" x14ac:dyDescent="0.25">
      <c r="A9140" t="n">
        <v>24</v>
      </c>
      <c r="B9140" t="s">
        <v>14</v>
      </c>
      <c r="C9140" t="s">
        <v>22</v>
      </c>
      <c r="D9140" s="2" t="s">
        <f>=HYPERLINK("https://main.knesset.gov.il/APPS/legislation/main/bills/2161158", "הצעת חוק שמירת הניקיון (תיקון - טיפול בפסולת בניין), התשפ""ב-2021")</f>
        <v>17811</v>
      </c>
      <c r="E9140" t="s">
        <v>17811</v>
      </c>
      <c r="F9140" t="s">
        <v>17812</v>
      </c>
      <c r="G9140" t="s">
        <v>14</v>
      </c>
      <c r="H9140">
             </c>
      <c r="I9140" t="s">
        <v>14</v>
      </c>
      <c r="J9140" t="s">
        <v>141</v>
      </c>
      <c r="K9140" t="s">
        <v>14</v>
      </c>
      <c r="L9140" t="s">
        <v>20</v>
      </c>
      <c r="M9140" t="s">
        <v>17697</v>
      </c>
      <c r="N9140" t="s">
        <v>14</v>
      </c>
    </row>
    <row r="9141" x14ac:dyDescent="0.25">
      <c r="A9141" t="n">
        <v>24</v>
      </c>
      <c r="B9141" t="s">
        <v>14</v>
      </c>
      <c r="C9141" t="s">
        <v>22</v>
      </c>
      <c r="D9141" s="2" t="s">
        <f>=HYPERLINK("https://main.knesset.gov.il/APPS/legislation/main/bills/2158392", "הצעת חוק לתיקון פקודת התעבורה (חניה במקום ציבורי למשתמשים בעגלת ילדים), התשפ""ב-2021")</f>
        <v>17813</v>
      </c>
      <c r="E9141" t="s">
        <v>17813</v>
      </c>
      <c r="F9141" t="s">
        <v>17814</v>
      </c>
      <c r="G9141" t="s">
        <v>14</v>
      </c>
      <c r="H9141">
             </c>
      <c r="I9141" t="s">
        <v>14</v>
      </c>
      <c r="J9141" t="s">
        <v>141</v>
      </c>
      <c r="K9141" t="s">
        <v>14</v>
      </c>
      <c r="L9141" t="s">
        <v>20</v>
      </c>
      <c r="M9141" t="s">
        <v>17697</v>
      </c>
      <c r="N9141" t="s">
        <v>14</v>
      </c>
    </row>
    <row r="9142" x14ac:dyDescent="0.25">
      <c r="A9142" t="n">
        <v>24</v>
      </c>
      <c r="B9142" t="s">
        <v>14</v>
      </c>
      <c r="C9142" t="s">
        <v>22</v>
      </c>
      <c r="D9142" s="2" t="s">
        <f>=HYPERLINK("https://main.knesset.gov.il/APPS/legislation/main/bills/2166091", "הצעת חוק התכנון והבנייה (תיקון - החלטה מקדמית לפי תכנית החיזוק), התשפ""ב-2021")</f>
        <v>17815</v>
      </c>
      <c r="E9142" t="s">
        <v>17815</v>
      </c>
      <c r="F9142" t="s">
        <v>17816</v>
      </c>
      <c r="G9142" t="s">
        <v>14</v>
      </c>
      <c r="H9142">
             </c>
      <c r="I9142" t="s">
        <v>14</v>
      </c>
      <c r="J9142" t="s">
        <v>141</v>
      </c>
      <c r="K9142" t="s">
        <v>14</v>
      </c>
      <c r="L9142" t="s">
        <v>20</v>
      </c>
      <c r="M9142" t="s">
        <v>17697</v>
      </c>
      <c r="N9142" t="s">
        <v>14</v>
      </c>
    </row>
    <row r="9143" x14ac:dyDescent="0.25">
      <c r="A9143" t="n">
        <v>24</v>
      </c>
      <c r="B9143" t="s">
        <v>14</v>
      </c>
      <c r="C9143" t="s">
        <v>22</v>
      </c>
      <c r="D9143" s="2" t="s">
        <f>=HYPERLINK("https://main.knesset.gov.il/APPS/legislation/main/bills/2165959", "הצעת חוק בתי המשפט (תיקון - מספר השופטים בבית המשפט העליון), התשפ""ב-2021")</f>
        <v>17817</v>
      </c>
      <c r="E9143" t="s">
        <v>17817</v>
      </c>
      <c r="F9143" t="s">
        <v>17818</v>
      </c>
      <c r="G9143" t="s">
        <v>14</v>
      </c>
      <c r="H9143">
             </c>
      <c r="I9143" t="s">
        <v>14</v>
      </c>
      <c r="J9143" t="s">
        <v>141</v>
      </c>
      <c r="K9143" t="s">
        <v>14</v>
      </c>
      <c r="L9143" t="s">
        <v>20</v>
      </c>
      <c r="M9143" t="s">
        <v>17697</v>
      </c>
      <c r="N9143" t="s">
        <v>14</v>
      </c>
    </row>
    <row r="9144" x14ac:dyDescent="0.25">
      <c r="A9144" t="n">
        <v>24</v>
      </c>
      <c r="B9144" t="s">
        <v>14</v>
      </c>
      <c r="C9144" t="s">
        <v>22</v>
      </c>
      <c r="D9144" s="2" t="s">
        <f>=HYPERLINK("https://main.knesset.gov.il/APPS/legislation/main/bills/2166090", "הצעת חוק התכנון והבנייה (תיקון - גני ילדים ומעונות יום), התשפ""ב-2021")</f>
        <v>17819</v>
      </c>
      <c r="E9144" t="s">
        <v>17819</v>
      </c>
      <c r="F9144" t="s">
        <v>17820</v>
      </c>
      <c r="G9144" t="s">
        <v>14</v>
      </c>
      <c r="H9144">
             </c>
      <c r="I9144" t="s">
        <v>14</v>
      </c>
      <c r="J9144" t="s">
        <v>141</v>
      </c>
      <c r="K9144" t="s">
        <v>14</v>
      </c>
      <c r="L9144" t="s">
        <v>20</v>
      </c>
      <c r="M9144" t="s">
        <v>17697</v>
      </c>
      <c r="N9144" t="s">
        <v>14</v>
      </c>
    </row>
    <row r="9145" x14ac:dyDescent="0.25">
      <c r="A9145" t="n">
        <v>24</v>
      </c>
      <c r="B9145" t="s">
        <v>14</v>
      </c>
      <c r="C9145" t="s">
        <v>22</v>
      </c>
      <c r="D9145" s="2" t="s">
        <f>=HYPERLINK("https://main.knesset.gov.il/APPS/legislation/main/bills/2165913", "הצעת חוק הביטוח הלאומי (תיקון - השוואת קצבת אזרח ותיק לשכר המינימום), התשפ""ב-2021")</f>
        <v>17821</v>
      </c>
      <c r="E9145" t="s">
        <v>17821</v>
      </c>
      <c r="F9145" t="s">
        <v>17822</v>
      </c>
      <c r="G9145" t="s">
        <v>14</v>
      </c>
      <c r="H9145">
             </c>
      <c r="I9145" t="s">
        <v>14</v>
      </c>
      <c r="J9145" t="s">
        <v>141</v>
      </c>
      <c r="K9145" t="s">
        <v>14</v>
      </c>
      <c r="L9145" t="s">
        <v>20</v>
      </c>
      <c r="M9145" t="s">
        <v>17697</v>
      </c>
      <c r="N9145" t="s">
        <v>14</v>
      </c>
    </row>
    <row r="9146" x14ac:dyDescent="0.25">
      <c r="A9146" t="n">
        <v>24</v>
      </c>
      <c r="B9146" t="s">
        <v>14</v>
      </c>
      <c r="C9146" t="s">
        <v>22</v>
      </c>
      <c r="D9146" s="2" t="s">
        <f>=HYPERLINK("https://main.knesset.gov.il/APPS/legislation/main/bills/2164944", "הצעת חוק להגברת האכיפה של דיני העבודה (תיקון - רכיבי שכר העבודה לעובדים זרים), התשפ""ב-2021")</f>
        <v>17823</v>
      </c>
      <c r="E9146" t="s">
        <v>17823</v>
      </c>
      <c r="F9146" t="s">
        <v>17824</v>
      </c>
      <c r="G9146" t="s">
        <v>14</v>
      </c>
      <c r="H9146">
             </c>
      <c r="I9146" t="s">
        <v>14</v>
      </c>
      <c r="J9146" t="s">
        <v>141</v>
      </c>
      <c r="K9146" t="s">
        <v>14</v>
      </c>
      <c r="L9146" t="s">
        <v>20</v>
      </c>
      <c r="M9146" t="s">
        <v>17697</v>
      </c>
      <c r="N9146" t="s">
        <v>14</v>
      </c>
    </row>
    <row r="9147" x14ac:dyDescent="0.25">
      <c r="A9147" t="n">
        <v>24</v>
      </c>
      <c r="B9147" t="s">
        <v>14</v>
      </c>
      <c r="C9147" t="s">
        <v>22</v>
      </c>
      <c r="D9147" s="2" t="s">
        <f>=HYPERLINK("https://main.knesset.gov.il/APPS/legislation/main/bills/2165648", "הצעת חוק הבטחת הכנסה (תיקון - מסגרת שיקומית מזנות), התשפ""ב-2021")</f>
        <v>17825</v>
      </c>
      <c r="E9147" t="s">
        <v>17825</v>
      </c>
      <c r="F9147" t="s">
        <v>17826</v>
      </c>
      <c r="G9147" t="s">
        <v>14</v>
      </c>
      <c r="H9147">
             </c>
      <c r="I9147" t="s">
        <v>14</v>
      </c>
      <c r="J9147" t="s">
        <v>141</v>
      </c>
      <c r="K9147" t="s">
        <v>14</v>
      </c>
      <c r="L9147" t="s">
        <v>20</v>
      </c>
      <c r="M9147" t="s">
        <v>17697</v>
      </c>
      <c r="N9147" t="s">
        <v>14</v>
      </c>
    </row>
    <row r="9148" x14ac:dyDescent="0.25">
      <c r="A9148" t="n">
        <v>24</v>
      </c>
      <c r="B9148" t="s">
        <v>14</v>
      </c>
      <c r="C9148" t="s">
        <v>22</v>
      </c>
      <c r="D9148" s="2" t="s">
        <f>=HYPERLINK("https://main.knesset.gov.il/APPS/legislation/main/bills/2164630", "הצעת חוק חינוך ממלכתי (תיקון - שיבוץ עובדי הוראה), התשפ""ב-2021")</f>
        <v>17827</v>
      </c>
      <c r="E9148" t="s">
        <v>17827</v>
      </c>
      <c r="F9148" t="s">
        <v>17828</v>
      </c>
      <c r="G9148" t="s">
        <v>14</v>
      </c>
      <c r="H9148">
             </c>
      <c r="I9148" t="s">
        <v>14</v>
      </c>
      <c r="J9148" t="s">
        <v>141</v>
      </c>
      <c r="K9148" t="s">
        <v>14</v>
      </c>
      <c r="L9148" t="s">
        <v>20</v>
      </c>
      <c r="M9148" t="s">
        <v>17697</v>
      </c>
      <c r="N9148" t="s">
        <v>14</v>
      </c>
    </row>
    <row r="9149" x14ac:dyDescent="0.25">
      <c r="A9149" t="n">
        <v>24</v>
      </c>
      <c r="B9149" t="s">
        <v>14</v>
      </c>
      <c r="C9149" t="s">
        <v>22</v>
      </c>
      <c r="D9149" s="2" t="s">
        <f>=HYPERLINK("https://main.knesset.gov.il/APPS/legislation/main/bills/2166114", "הצעת חוק לתיקון פקודת העיריות (פרסום מכרז באתר האינטרנט), התשפ""ב-2021")</f>
        <v>17829</v>
      </c>
      <c r="E9149" t="s">
        <v>17829</v>
      </c>
      <c r="F9149" t="s">
        <v>17830</v>
      </c>
      <c r="G9149" t="s">
        <v>14</v>
      </c>
      <c r="H9149">
             </c>
      <c r="I9149" t="s">
        <v>14</v>
      </c>
      <c r="J9149" t="s">
        <v>141</v>
      </c>
      <c r="K9149" t="s">
        <v>14</v>
      </c>
      <c r="L9149" t="s">
        <v>20</v>
      </c>
      <c r="M9149" t="s">
        <v>17697</v>
      </c>
      <c r="N9149" t="s">
        <v>14</v>
      </c>
    </row>
    <row r="9150" x14ac:dyDescent="0.25">
      <c r="A9150" t="n">
        <v>24</v>
      </c>
      <c r="B9150" t="s">
        <v>14</v>
      </c>
      <c r="C9150" t="s">
        <v>22</v>
      </c>
      <c r="D9150" s="2" t="s">
        <f>=HYPERLINK("https://main.knesset.gov.il/APPS/legislation/main/bills/2157702", "הצעת חוק רישום קבלנים לעבודות הנדסה בנאיות (תיקון - טיפול בליקויי בנייה), התשפ""ב-2021")</f>
        <v>17831</v>
      </c>
      <c r="E9150" t="s">
        <v>17831</v>
      </c>
      <c r="F9150" t="s">
        <v>17832</v>
      </c>
      <c r="G9150" t="s">
        <v>14</v>
      </c>
      <c r="H9150">
             </c>
      <c r="I9150" t="s">
        <v>14</v>
      </c>
      <c r="J9150" t="s">
        <v>141</v>
      </c>
      <c r="K9150" t="s">
        <v>14</v>
      </c>
      <c r="L9150" t="s">
        <v>20</v>
      </c>
      <c r="M9150" t="s">
        <v>17697</v>
      </c>
      <c r="N9150" t="s">
        <v>14</v>
      </c>
    </row>
    <row r="9151" x14ac:dyDescent="0.25">
      <c r="A9151" t="n">
        <v>24</v>
      </c>
      <c r="B9151" t="s">
        <v>14</v>
      </c>
      <c r="C9151" t="s">
        <v>22</v>
      </c>
      <c r="D9151" s="2" t="s">
        <f>=HYPERLINK("https://main.knesset.gov.il/APPS/legislation/main/bills/2166126", "הצעת חוק לביטול הרשות לפיתוח והתיישבות הבדואים בנגב, התשפ""ב-2021")</f>
        <v>17833</v>
      </c>
      <c r="E9151" t="s">
        <v>17833</v>
      </c>
      <c r="F9151" t="s">
        <v>17834</v>
      </c>
      <c r="G9151" t="s">
        <v>14</v>
      </c>
      <c r="H9151">
             </c>
      <c r="I9151" t="s">
        <v>14</v>
      </c>
      <c r="J9151" t="s">
        <v>141</v>
      </c>
      <c r="K9151" t="s">
        <v>14</v>
      </c>
      <c r="L9151" t="s">
        <v>20</v>
      </c>
      <c r="M9151" t="s">
        <v>17697</v>
      </c>
      <c r="N9151" t="s">
        <v>14</v>
      </c>
    </row>
    <row r="9152" x14ac:dyDescent="0.25">
      <c r="A9152" t="n">
        <v>24</v>
      </c>
      <c r="B9152" t="s">
        <v>14</v>
      </c>
      <c r="C9152" t="s">
        <v>22</v>
      </c>
      <c r="D9152" s="2" t="s">
        <f>=HYPERLINK("https://main.knesset.gov.il/APPS/legislation/main/bills/2166209", "הצעת חוק זכויות הסטודנט (תיקון - התאמות לסטודנטית לאחר לידה), התשפ""ב-2021")</f>
        <v>17835</v>
      </c>
      <c r="E9152" t="s">
        <v>17835</v>
      </c>
      <c r="F9152" t="s">
        <v>17836</v>
      </c>
      <c r="G9152" t="s">
        <v>14</v>
      </c>
      <c r="H9152">
             </c>
      <c r="I9152" t="s">
        <v>14</v>
      </c>
      <c r="J9152" t="s">
        <v>141</v>
      </c>
      <c r="K9152" t="s">
        <v>14</v>
      </c>
      <c r="L9152" t="s">
        <v>20</v>
      </c>
      <c r="M9152" t="s">
        <v>17697</v>
      </c>
      <c r="N9152" t="s">
        <v>14</v>
      </c>
    </row>
    <row r="9153" x14ac:dyDescent="0.25">
      <c r="A9153" t="n">
        <v>24</v>
      </c>
      <c r="B9153" t="s">
        <v>14</v>
      </c>
      <c r="C9153" t="s">
        <v>22</v>
      </c>
      <c r="D9153" s="2" t="s">
        <f>=HYPERLINK("https://main.knesset.gov.il/APPS/legislation/main/bills/2165649", "הצעת חוק לתיקון פקודת מס הכנסה (דיווח שנתי או חצי שנתי לסוגי נכסים), התשפ""ב-2021")</f>
        <v>17837</v>
      </c>
      <c r="E9153" t="s">
        <v>17837</v>
      </c>
      <c r="F9153" t="s">
        <v>17838</v>
      </c>
      <c r="G9153" t="s">
        <v>14</v>
      </c>
      <c r="H9153">
             </c>
      <c r="I9153" t="s">
        <v>14</v>
      </c>
      <c r="J9153" t="s">
        <v>141</v>
      </c>
      <c r="K9153" t="s">
        <v>14</v>
      </c>
      <c r="L9153" t="s">
        <v>20</v>
      </c>
      <c r="M9153" t="s">
        <v>17697</v>
      </c>
      <c r="N9153" t="s">
        <v>14</v>
      </c>
    </row>
    <row r="9154" x14ac:dyDescent="0.25">
      <c r="A9154" t="n">
        <v>24</v>
      </c>
      <c r="B9154" t="s">
        <v>14</v>
      </c>
      <c r="C9154" t="s">
        <v>22</v>
      </c>
      <c r="D9154" s="2" t="s">
        <f>=HYPERLINK("https://main.knesset.gov.il/APPS/legislation/main/bills/2166235", "הצעת חוק שיפוט בתי דין דתיים (בוררות), התשפ""ב-2021")</f>
        <v>17839</v>
      </c>
      <c r="E9154" t="s">
        <v>17839</v>
      </c>
      <c r="F9154" t="s">
        <v>17840</v>
      </c>
      <c r="G9154" t="s">
        <v>14</v>
      </c>
      <c r="H9154">
             </c>
      <c r="I9154" t="s">
        <v>14</v>
      </c>
      <c r="J9154" t="s">
        <v>141</v>
      </c>
      <c r="K9154" t="s">
        <v>14</v>
      </c>
      <c r="L9154" t="s">
        <v>20</v>
      </c>
      <c r="M9154" t="s">
        <v>17697</v>
      </c>
      <c r="N9154" t="s">
        <v>14</v>
      </c>
    </row>
    <row r="9155" x14ac:dyDescent="0.25">
      <c r="A9155" t="n">
        <v>24</v>
      </c>
      <c r="B9155" t="s">
        <v>14</v>
      </c>
      <c r="C9155" t="s">
        <v>22</v>
      </c>
      <c r="D9155" s="2" t="s">
        <f>=HYPERLINK("https://main.knesset.gov.il/APPS/legislation/main/bills/2166216", "הצעת חוק למניעת עיגון מנישואין, התשפ""ב-2021")</f>
        <v>17841</v>
      </c>
      <c r="E9155" t="s">
        <v>17841</v>
      </c>
      <c r="F9155" t="s">
        <v>17842</v>
      </c>
      <c r="G9155" t="s">
        <v>14</v>
      </c>
      <c r="H9155">
             </c>
      <c r="I9155" t="s">
        <v>14</v>
      </c>
      <c r="J9155" t="s">
        <v>141</v>
      </c>
      <c r="K9155" t="s">
        <v>14</v>
      </c>
      <c r="L9155" t="s">
        <v>20</v>
      </c>
      <c r="M9155" t="s">
        <v>17697</v>
      </c>
      <c r="N9155" t="s">
        <v>14</v>
      </c>
    </row>
    <row r="9156" x14ac:dyDescent="0.25">
      <c r="A9156" t="n">
        <v>24</v>
      </c>
      <c r="B9156" t="s">
        <v>14</v>
      </c>
      <c r="C9156" t="s">
        <v>22</v>
      </c>
      <c r="D9156" s="2" t="s">
        <f>=HYPERLINK("https://main.knesset.gov.il/APPS/legislation/main/bills/2166211", "הצעת חוק הסניגוריה הציבורית (תיקון - ליווי משפטי בשפת חשוד שהוא קטין), התשפ""ב-2021")</f>
        <v>17843</v>
      </c>
      <c r="E9156" t="s">
        <v>17843</v>
      </c>
      <c r="F9156" t="s">
        <v>17844</v>
      </c>
      <c r="G9156" t="s">
        <v>14</v>
      </c>
      <c r="H9156">
             </c>
      <c r="I9156" t="s">
        <v>14</v>
      </c>
      <c r="J9156" t="s">
        <v>141</v>
      </c>
      <c r="K9156" t="s">
        <v>14</v>
      </c>
      <c r="L9156" t="s">
        <v>20</v>
      </c>
      <c r="M9156" t="s">
        <v>17697</v>
      </c>
      <c r="N9156" t="s">
        <v>14</v>
      </c>
    </row>
    <row r="9157" x14ac:dyDescent="0.25">
      <c r="A9157" t="n">
        <v>24</v>
      </c>
      <c r="B9157" t="s">
        <v>14</v>
      </c>
      <c r="C9157" t="s">
        <v>22</v>
      </c>
      <c r="D9157" s="2" t="s">
        <f>=HYPERLINK("https://main.knesset.gov.il/APPS/legislation/main/bills/2166208", "הצעת חוק הרשויות המקומיות (בחירות) (תיקון - הגבלת הזכות להיבחר בשל כתב אישום), התשפ""ב-2021")</f>
        <v>17845</v>
      </c>
      <c r="E9157" t="s">
        <v>17845</v>
      </c>
      <c r="F9157" t="s">
        <v>17846</v>
      </c>
      <c r="G9157" t="s">
        <v>14</v>
      </c>
      <c r="H9157">
             </c>
      <c r="I9157" t="s">
        <v>14</v>
      </c>
      <c r="J9157" t="s">
        <v>141</v>
      </c>
      <c r="K9157" t="s">
        <v>14</v>
      </c>
      <c r="L9157" t="s">
        <v>20</v>
      </c>
      <c r="M9157" t="s">
        <v>17697</v>
      </c>
      <c r="N9157" t="s">
        <v>14</v>
      </c>
    </row>
    <row r="9158" x14ac:dyDescent="0.25">
      <c r="A9158" t="n">
        <v>24</v>
      </c>
      <c r="B9158" t="s">
        <v>14</v>
      </c>
      <c r="C9158" t="s">
        <v>22</v>
      </c>
      <c r="D9158" s="2" t="s">
        <f>=HYPERLINK("https://main.knesset.gov.il/APPS/legislation/main/bills/2166180", "הצעת חוק בית המשפט לענייני משפחה (תיקון - מימון ניהול ההליך המשפטי), התשפ""ב-2021")</f>
        <v>17847</v>
      </c>
      <c r="E9158" t="s">
        <v>17847</v>
      </c>
      <c r="F9158" t="s">
        <v>17848</v>
      </c>
      <c r="G9158" t="s">
        <v>14</v>
      </c>
      <c r="H9158">
             </c>
      <c r="I9158" t="s">
        <v>14</v>
      </c>
      <c r="J9158" t="s">
        <v>141</v>
      </c>
      <c r="K9158" t="s">
        <v>14</v>
      </c>
      <c r="L9158" t="s">
        <v>20</v>
      </c>
      <c r="M9158" t="s">
        <v>17697</v>
      </c>
      <c r="N9158" t="s">
        <v>14</v>
      </c>
    </row>
    <row r="9159" x14ac:dyDescent="0.25">
      <c r="A9159" t="n">
        <v>24</v>
      </c>
      <c r="B9159" t="s">
        <v>14</v>
      </c>
      <c r="C9159" t="s">
        <v>22</v>
      </c>
      <c r="D9159" s="2" t="s">
        <f>=HYPERLINK("https://main.knesset.gov.il/APPS/legislation/main/bills/2156068", "הצעת חוק לתיקון פקודת הראיות (פסילת ראיה), התשפ""א-2021")</f>
        <v>17849</v>
      </c>
      <c r="E9159" t="s">
        <v>17849</v>
      </c>
      <c r="F9159" t="s">
        <v>17850</v>
      </c>
      <c r="G9159" t="s">
        <v>14</v>
      </c>
      <c r="H9159">
             </c>
      <c r="I9159" t="s">
        <v>14</v>
      </c>
      <c r="J9159" t="s">
        <v>99</v>
      </c>
      <c r="K9159" t="s">
        <v>27</v>
      </c>
      <c r="L9159" t="s">
        <v>20</v>
      </c>
      <c r="M9159" t="s">
        <v>17851</v>
      </c>
      <c r="N9159" t="s">
        <v>14</v>
      </c>
    </row>
    <row r="9160" x14ac:dyDescent="0.25">
      <c r="A9160" t="n">
        <v>24</v>
      </c>
      <c r="B9160" t="s">
        <v>14</v>
      </c>
      <c r="C9160" t="s">
        <v>22</v>
      </c>
      <c r="D9160" s="2" t="s">
        <f>=HYPERLINK("https://main.knesset.gov.il/APPS/legislation/main/bills/2156326", "הצעת חוק לתיקון פקודת הראיות (פסילת ראיה), התשפ""א-2021")</f>
        <v>17849</v>
      </c>
      <c r="E9160" t="s">
        <v>17849</v>
      </c>
      <c r="F9160" t="s">
        <v>17852</v>
      </c>
      <c r="G9160" t="s">
        <v>14</v>
      </c>
      <c r="H9160">
             </c>
      <c r="I9160" t="s">
        <v>14</v>
      </c>
      <c r="J9160" t="s">
        <v>99</v>
      </c>
      <c r="K9160" t="s">
        <v>27</v>
      </c>
      <c r="L9160" t="s">
        <v>20</v>
      </c>
      <c r="M9160" t="s">
        <v>17851</v>
      </c>
      <c r="N9160" t="s">
        <v>14</v>
      </c>
    </row>
    <row r="9161" x14ac:dyDescent="0.25">
      <c r="A9161" t="n">
        <v>24</v>
      </c>
      <c r="B9161" t="s">
        <v>14</v>
      </c>
      <c r="C9161" t="s">
        <v>22</v>
      </c>
      <c r="D9161" s="2" t="s">
        <f>=HYPERLINK("https://main.knesset.gov.il/APPS/legislation/main/bills/2158782", "הצעת חוק הביטוח הלאומי (תיקון - דמי אבטלה לעצמאים), התשפ""ב-2021")</f>
        <v>17853</v>
      </c>
      <c r="E9161" t="s">
        <v>17853</v>
      </c>
      <c r="F9161" t="s">
        <v>17854</v>
      </c>
      <c r="G9161" t="s">
        <v>14</v>
      </c>
      <c r="H9161">
             </c>
      <c r="I9161" t="s">
        <v>14</v>
      </c>
      <c r="J9161" t="s">
        <v>31</v>
      </c>
      <c r="K9161" t="s">
        <v>127</v>
      </c>
      <c r="L9161" t="s">
        <v>20</v>
      </c>
      <c r="M9161" t="s">
        <v>17851</v>
      </c>
      <c r="N9161" t="s">
        <v>14</v>
      </c>
    </row>
    <row r="9162" x14ac:dyDescent="0.25">
      <c r="A9162" t="n">
        <v>24</v>
      </c>
      <c r="B9162" t="s">
        <v>14</v>
      </c>
      <c r="C9162" t="s">
        <v>22</v>
      </c>
      <c r="D9162" s="2" t="s">
        <f>=HYPERLINK("https://main.knesset.gov.il/APPS/legislation/main/bills/2164404", "הצעת חוק הביטוח הלאומי (תיקון - דמי אבטלה לעצמאים), התשפ""ב-2021")</f>
        <v>17853</v>
      </c>
      <c r="E9162" t="s">
        <v>17853</v>
      </c>
      <c r="F9162" t="s">
        <v>17855</v>
      </c>
      <c r="G9162" t="s">
        <v>14</v>
      </c>
      <c r="H9162">
             </c>
      <c r="I9162" t="s">
        <v>14</v>
      </c>
      <c r="J9162" t="s">
        <v>31</v>
      </c>
      <c r="K9162" t="s">
        <v>127</v>
      </c>
      <c r="L9162" t="s">
        <v>20</v>
      </c>
      <c r="M9162" t="s">
        <v>17851</v>
      </c>
      <c r="N9162" t="s">
        <v>14</v>
      </c>
    </row>
    <row r="9163" x14ac:dyDescent="0.25">
      <c r="A9163" t="n">
        <v>24</v>
      </c>
      <c r="B9163" t="s">
        <v>14</v>
      </c>
      <c r="C9163" t="s">
        <v>22</v>
      </c>
      <c r="D9163" s="2" t="s">
        <f>=HYPERLINK("https://main.knesset.gov.il/APPS/legislation/main/bills/2164134", "הצעת חוק הביטוח הלאומי (תיקון - דמי אבטלה לעצמאים), התשפ""ב-2021")</f>
        <v>17853</v>
      </c>
      <c r="E9163" t="s">
        <v>17853</v>
      </c>
      <c r="F9163" t="s">
        <v>17856</v>
      </c>
      <c r="G9163" t="s">
        <v>14</v>
      </c>
      <c r="H9163">
             </c>
      <c r="I9163" t="s">
        <v>14</v>
      </c>
      <c r="J9163" t="s">
        <v>31</v>
      </c>
      <c r="K9163" t="s">
        <v>127</v>
      </c>
      <c r="L9163" t="s">
        <v>20</v>
      </c>
      <c r="M9163" t="s">
        <v>17851</v>
      </c>
      <c r="N9163" t="s">
        <v>14</v>
      </c>
    </row>
    <row r="9164" x14ac:dyDescent="0.25">
      <c r="A9164" t="n">
        <v>24</v>
      </c>
      <c r="B9164" t="s">
        <v>14</v>
      </c>
      <c r="C9164" t="s">
        <v>22</v>
      </c>
      <c r="D9164" s="2" t="s">
        <f>=HYPERLINK("https://main.knesset.gov.il/APPS/legislation/main/bills/2161547", "הצעת חוק הסדרת מקומות רחצה (תיקון - קביעת מקומות לרחצה נפרדת), התשפ""ב-2021")</f>
        <v>17857</v>
      </c>
      <c r="E9164" t="s">
        <v>17857</v>
      </c>
      <c r="F9164" t="s">
        <v>17858</v>
      </c>
      <c r="G9164" t="s">
        <v>14</v>
      </c>
      <c r="H9164">
             </c>
      <c r="I9164" t="s">
        <v>14</v>
      </c>
      <c r="J9164" t="s">
        <v>55</v>
      </c>
      <c r="K9164" t="s">
        <v>14</v>
      </c>
      <c r="L9164" t="s">
        <v>20</v>
      </c>
      <c r="M9164" t="s">
        <v>17851</v>
      </c>
      <c r="N9164" t="s">
        <v>14</v>
      </c>
    </row>
    <row r="9165" x14ac:dyDescent="0.25">
      <c r="A9165" t="n">
        <v>24</v>
      </c>
      <c r="B9165" t="s">
        <v>14</v>
      </c>
      <c r="C9165" t="s">
        <v>22</v>
      </c>
      <c r="D9165" s="2" t="s">
        <f>=HYPERLINK("https://main.knesset.gov.il/APPS/legislation/main/bills/2156608", "הצעת חוק למניעת חרם חברתי בבתי ספר, התשפ""ב-2021")</f>
        <v>17859</v>
      </c>
      <c r="E9165" t="s">
        <v>17859</v>
      </c>
      <c r="F9165" t="s">
        <v>17860</v>
      </c>
      <c r="G9165" t="s">
        <v>14</v>
      </c>
      <c r="H9165">
             </c>
      <c r="I9165" t="s">
        <v>14</v>
      </c>
      <c r="J9165" t="s">
        <v>65</v>
      </c>
      <c r="K9165" t="s">
        <v>14</v>
      </c>
      <c r="L9165" t="s">
        <v>20</v>
      </c>
      <c r="M9165" t="s">
        <v>17851</v>
      </c>
      <c r="N9165" t="s">
        <v>14</v>
      </c>
    </row>
    <row r="9166" x14ac:dyDescent="0.25">
      <c r="A9166" t="n">
        <v>24</v>
      </c>
      <c r="B9166" t="s">
        <v>14</v>
      </c>
      <c r="C9166" t="s">
        <v>22</v>
      </c>
      <c r="D9166" s="2" t="s">
        <f>=HYPERLINK("https://main.knesset.gov.il/APPS/legislation/main/bills/2161726", "הצעת חוק הביטוח הלאומי (תיקון - תשלום דמי אבטלה לנשים שיצאו לחופשה ללא תשלום לאחר לידה מסיבות מוצדקות), התשפ""ב-2021")</f>
        <v>17861</v>
      </c>
      <c r="E9166" t="s">
        <v>17861</v>
      </c>
      <c r="F9166" t="s">
        <v>17862</v>
      </c>
      <c r="G9166" t="s">
        <v>14</v>
      </c>
      <c r="H9166">
             </c>
      <c r="I9166" t="s">
        <v>14</v>
      </c>
      <c r="J9166" t="s">
        <v>343</v>
      </c>
      <c r="K9166" t="s">
        <v>14</v>
      </c>
      <c r="L9166" t="s">
        <v>20</v>
      </c>
      <c r="M9166" t="s">
        <v>17851</v>
      </c>
      <c r="N9166" t="s">
        <v>14</v>
      </c>
    </row>
    <row r="9167" x14ac:dyDescent="0.25">
      <c r="A9167" t="n">
        <v>24</v>
      </c>
      <c r="B9167" t="s">
        <v>14</v>
      </c>
      <c r="C9167" t="s">
        <v>22</v>
      </c>
      <c r="D9167" s="2" t="s">
        <f>=HYPERLINK("https://main.knesset.gov.il/APPS/legislation/main/bills/2160490", "הצעת חוק בתי המשפט (תיקון - קציבת זמן למתן פסק דין בבית המשפט העליון), התשפ""א-2021")</f>
        <v>17863</v>
      </c>
      <c r="E9167" t="s">
        <v>17863</v>
      </c>
      <c r="F9167" t="s">
        <v>17864</v>
      </c>
      <c r="G9167" t="s">
        <v>14</v>
      </c>
      <c r="H9167">
             </c>
      <c r="I9167" t="s">
        <v>14</v>
      </c>
      <c r="J9167" t="s">
        <v>55</v>
      </c>
      <c r="K9167" t="s">
        <v>14</v>
      </c>
      <c r="L9167" t="s">
        <v>20</v>
      </c>
      <c r="M9167" t="s">
        <v>17851</v>
      </c>
      <c r="N9167" t="s">
        <v>14</v>
      </c>
    </row>
    <row r="9168" x14ac:dyDescent="0.25">
      <c r="A9168" t="n">
        <v>24</v>
      </c>
      <c r="B9168" t="s">
        <v>14</v>
      </c>
      <c r="C9168" t="s">
        <v>22</v>
      </c>
      <c r="D9168" s="2" t="s">
        <f>=HYPERLINK("https://main.knesset.gov.il/APPS/legislation/main/bills/2159085", "הצעת חוק הביטוח הלאומי (תיקון - דמי אבטלה לעובד עצמאי), התשפ""א-2021")</f>
        <v>17865</v>
      </c>
      <c r="E9168" t="s">
        <v>17865</v>
      </c>
      <c r="F9168" t="s">
        <v>17866</v>
      </c>
      <c r="G9168" t="s">
        <v>14</v>
      </c>
      <c r="H9168">
             </c>
      <c r="I9168" t="s">
        <v>14</v>
      </c>
      <c r="J9168" t="s">
        <v>31</v>
      </c>
      <c r="K9168" t="s">
        <v>127</v>
      </c>
      <c r="L9168" t="s">
        <v>20</v>
      </c>
      <c r="M9168" t="s">
        <v>17851</v>
      </c>
      <c r="N9168" t="s">
        <v>14</v>
      </c>
    </row>
    <row r="9169" x14ac:dyDescent="0.25">
      <c r="A9169" t="n">
        <v>24</v>
      </c>
      <c r="B9169" t="s">
        <v>14</v>
      </c>
      <c r="C9169" t="s">
        <v>22</v>
      </c>
      <c r="D9169" s="2" t="s">
        <f>=HYPERLINK("https://main.knesset.gov.il/APPS/legislation/main/bills/2156534", "הצעת חוק המקרקעין (תיקון - התקנת מעלית מטעמים מיוחדים), התשפ""א-2021")</f>
        <v>17867</v>
      </c>
      <c r="E9169" t="s">
        <v>17867</v>
      </c>
      <c r="F9169" t="s">
        <v>17868</v>
      </c>
      <c r="G9169" t="s">
        <v>14</v>
      </c>
      <c r="H9169">
             </c>
      <c r="I9169" t="s">
        <v>14</v>
      </c>
      <c r="J9169" t="s">
        <v>31</v>
      </c>
      <c r="K9169" t="s">
        <v>27</v>
      </c>
      <c r="L9169" t="s">
        <v>20</v>
      </c>
      <c r="M9169" t="s">
        <v>17851</v>
      </c>
      <c r="N9169" t="s">
        <v>14</v>
      </c>
    </row>
    <row r="9170" x14ac:dyDescent="0.25">
      <c r="A9170" t="n">
        <v>24</v>
      </c>
      <c r="B9170" t="s">
        <v>14</v>
      </c>
      <c r="C9170" t="s">
        <v>22</v>
      </c>
      <c r="D9170" s="2" t="s">
        <f>=HYPERLINK("https://main.knesset.gov.il/APPS/legislation/main/bills/2156129", "הצעת חוק העונשין (תיקון - תקיפת עובדי חירום), התשפ""א-2021")</f>
        <v>17869</v>
      </c>
      <c r="E9170" t="s">
        <v>17869</v>
      </c>
      <c r="F9170" t="s">
        <v>17870</v>
      </c>
      <c r="G9170" t="s">
        <v>14</v>
      </c>
      <c r="H9170">
             </c>
      <c r="I9170" t="s">
        <v>14</v>
      </c>
      <c r="J9170" t="s">
        <v>55</v>
      </c>
      <c r="K9170" t="s">
        <v>14</v>
      </c>
      <c r="L9170" t="s">
        <v>20</v>
      </c>
      <c r="M9170" t="s">
        <v>17851</v>
      </c>
      <c r="N9170" t="s">
        <v>14</v>
      </c>
    </row>
    <row r="9171" x14ac:dyDescent="0.25">
      <c r="A9171" t="n">
        <v>24</v>
      </c>
      <c r="B9171" t="s">
        <v>14</v>
      </c>
      <c r="C9171" t="s">
        <v>22</v>
      </c>
      <c r="D9171" s="2" t="s">
        <f>=HYPERLINK("https://main.knesset.gov.il/APPS/legislation/main/bills/2163118", "הצעת חוק החברות הממשלתיות (תיקון - ייצוג הולם לאוכלוסייה הערבית), התשפ""ב-2021")</f>
        <v>17871</v>
      </c>
      <c r="E9171" t="s">
        <v>17871</v>
      </c>
      <c r="F9171" t="s">
        <v>17872</v>
      </c>
      <c r="G9171" t="s">
        <v>14</v>
      </c>
      <c r="H9171">
             </c>
      <c r="I9171" t="s">
        <v>14</v>
      </c>
      <c r="J9171" t="s">
        <v>31</v>
      </c>
      <c r="K9171" t="s">
        <v>27</v>
      </c>
      <c r="L9171" t="s">
        <v>20</v>
      </c>
      <c r="M9171" t="s">
        <v>17873</v>
      </c>
      <c r="N9171" t="s">
        <v>14</v>
      </c>
    </row>
    <row r="9172" x14ac:dyDescent="0.25">
      <c r="A9172" t="n">
        <v>24</v>
      </c>
      <c r="B9172" t="s">
        <v>14</v>
      </c>
      <c r="C9172" t="s">
        <v>22</v>
      </c>
      <c r="D9172" s="2" t="s">
        <f>=HYPERLINK("https://main.knesset.gov.il/APPS/legislation/main/bills/2160774", "הצעת חוק החברות הממשלתיות (תיקון - ייצוג הולם בתאגידים ממשלתיים וגופים סטטוטוריים), התשפ""א-2021")</f>
        <v>17874</v>
      </c>
      <c r="E9172" t="s">
        <v>17874</v>
      </c>
      <c r="F9172" t="s">
        <v>17875</v>
      </c>
      <c r="G9172" t="s">
        <v>14</v>
      </c>
      <c r="H9172">
             </c>
      <c r="I9172" t="s">
        <v>14</v>
      </c>
      <c r="J9172" t="s">
        <v>31</v>
      </c>
      <c r="K9172" t="s">
        <v>27</v>
      </c>
      <c r="L9172" t="s">
        <v>20</v>
      </c>
      <c r="M9172" t="s">
        <v>17873</v>
      </c>
      <c r="N9172" t="s">
        <v>14</v>
      </c>
    </row>
    <row r="9173" x14ac:dyDescent="0.25">
      <c r="A9173" t="n">
        <v>24</v>
      </c>
      <c r="B9173" t="s">
        <v>14</v>
      </c>
      <c r="C9173" t="s">
        <v>22</v>
      </c>
      <c r="D9173" s="2" t="s">
        <f>=HYPERLINK("https://main.knesset.gov.il/APPS/legislation/main/bills/2158663", "הצעת חוק החברות הממשלתיות (תיקון - ייצוג הולם לאוכלוסייה הערבית), התשפ""א-2021")</f>
        <v>17876</v>
      </c>
      <c r="E9173" t="s">
        <v>17876</v>
      </c>
      <c r="F9173" t="s">
        <v>17877</v>
      </c>
      <c r="G9173" t="s">
        <v>14</v>
      </c>
      <c r="H9173">
             </c>
      <c r="I9173" t="s">
        <v>14</v>
      </c>
      <c r="J9173" t="s">
        <v>31</v>
      </c>
      <c r="K9173" t="s">
        <v>27</v>
      </c>
      <c r="L9173" t="s">
        <v>20</v>
      </c>
      <c r="M9173" t="s">
        <v>17873</v>
      </c>
      <c r="N9173" t="s">
        <v>14</v>
      </c>
    </row>
    <row r="9174" x14ac:dyDescent="0.25">
      <c r="A9174" t="n">
        <v>24</v>
      </c>
      <c r="B9174" t="s">
        <v>14</v>
      </c>
      <c r="C9174" t="s">
        <v>15</v>
      </c>
      <c r="D9174" s="2" t="s">
        <f>=HYPERLINK("https://main.knesset.gov.il/APPS/legislation/main/bills/2160528", "חוק משק הדלק (קידום התחרות) (תיקון) (תיקון מס' 3), התשפ""ב-2021")</f>
        <v>17878</v>
      </c>
      <c r="E9174" t="s">
        <v>17878</v>
      </c>
      <c r="F9174" t="s">
        <v>14</v>
      </c>
      <c r="G9174" t="s">
        <v>17879</v>
      </c>
      <c r="H9174" t="n">
        <v>2940</v>
      </c>
      <c r="I9174" t="s">
        <v>14</v>
      </c>
      <c r="J9174" t="s">
        <v>91</v>
      </c>
      <c r="K9174" t="s">
        <v>19</v>
      </c>
      <c r="L9174" t="s">
        <v>20</v>
      </c>
      <c r="M9174" t="s">
        <v>17873</v>
      </c>
      <c r="N9174" t="s">
        <v>17880</v>
      </c>
    </row>
    <row r="9175" x14ac:dyDescent="0.25">
      <c r="A9175" t="n">
        <v>24</v>
      </c>
      <c r="B9175" t="s">
        <v>14</v>
      </c>
      <c r="C9175" t="s">
        <v>22</v>
      </c>
      <c r="D9175" s="2" t="s">
        <f>=HYPERLINK("https://main.knesset.gov.il/APPS/legislation/main/bills/2159742", "הצעת חוק לתיקון פקודת הבנקאות (תקופת צינון למפקח על הבנקים), התשפ""ב-2021")</f>
        <v>17881</v>
      </c>
      <c r="E9175" t="s">
        <v>17881</v>
      </c>
      <c r="F9175" t="s">
        <v>17882</v>
      </c>
      <c r="G9175" t="s">
        <v>14</v>
      </c>
      <c r="H9175">
             </c>
      <c r="I9175" t="s">
        <v>14</v>
      </c>
      <c r="J9175" t="s">
        <v>141</v>
      </c>
      <c r="K9175" t="s">
        <v>14</v>
      </c>
      <c r="L9175" t="s">
        <v>20</v>
      </c>
      <c r="M9175" t="s">
        <v>17873</v>
      </c>
      <c r="N9175" t="s">
        <v>14</v>
      </c>
    </row>
    <row r="9176" x14ac:dyDescent="0.25">
      <c r="A9176" t="n">
        <v>24</v>
      </c>
      <c r="B9176" t="s">
        <v>14</v>
      </c>
      <c r="C9176" t="s">
        <v>22</v>
      </c>
      <c r="D9176" s="2" t="s">
        <f>=HYPERLINK("https://main.knesset.gov.il/APPS/legislation/main/bills/2163050", "הצעת חוק נתוני אשראי (תיקון - קיצור תקופת שמירת הנתונים במאגר נתוני אשראי), התשפ""ב-2021")</f>
        <v>17883</v>
      </c>
      <c r="E9176" t="s">
        <v>17883</v>
      </c>
      <c r="F9176" t="s">
        <v>17884</v>
      </c>
      <c r="G9176" t="s">
        <v>14</v>
      </c>
      <c r="H9176">
             </c>
      <c r="I9176" t="s">
        <v>14</v>
      </c>
      <c r="J9176" t="s">
        <v>141</v>
      </c>
      <c r="K9176" t="s">
        <v>14</v>
      </c>
      <c r="L9176" t="s">
        <v>20</v>
      </c>
      <c r="M9176" t="s">
        <v>17873</v>
      </c>
      <c r="N9176" t="s">
        <v>14</v>
      </c>
    </row>
    <row r="9177" x14ac:dyDescent="0.25">
      <c r="A9177" t="n">
        <v>24</v>
      </c>
      <c r="B9177" t="s">
        <v>14</v>
      </c>
      <c r="C9177" t="s">
        <v>22</v>
      </c>
      <c r="D9177" s="2" t="s">
        <f>=HYPERLINK("https://main.knesset.gov.il/APPS/legislation/main/bills/2163056", "הצעת חוק זכויות הדייר בדיור הציבורי (תיקון - הארכת תוקף זכאות לדירה ציבורית), התשפ""ב-2021")</f>
        <v>17885</v>
      </c>
      <c r="E9177" t="s">
        <v>17885</v>
      </c>
      <c r="F9177" t="s">
        <v>17886</v>
      </c>
      <c r="G9177" t="s">
        <v>14</v>
      </c>
      <c r="H9177">
             </c>
      <c r="I9177" t="s">
        <v>14</v>
      </c>
      <c r="J9177" t="s">
        <v>141</v>
      </c>
      <c r="K9177" t="s">
        <v>14</v>
      </c>
      <c r="L9177" t="s">
        <v>20</v>
      </c>
      <c r="M9177" t="s">
        <v>17873</v>
      </c>
      <c r="N9177" t="s">
        <v>14</v>
      </c>
    </row>
    <row r="9178" x14ac:dyDescent="0.25">
      <c r="A9178" t="n">
        <v>24</v>
      </c>
      <c r="B9178" t="s">
        <v>14</v>
      </c>
      <c r="C9178" t="s">
        <v>22</v>
      </c>
      <c r="D9178" s="2" t="s">
        <f>=HYPERLINK("https://main.knesset.gov.il/APPS/legislation/main/bills/2163187", "הצעת חוק הטבות לניצולי שואה (תיקון - הטבות לניצולים שעלו לאחר שנת 1953), התשפ""ב-2021")</f>
        <v>17887</v>
      </c>
      <c r="E9178" t="s">
        <v>17887</v>
      </c>
      <c r="F9178" t="s">
        <v>17888</v>
      </c>
      <c r="G9178" t="s">
        <v>14</v>
      </c>
      <c r="H9178">
             </c>
      <c r="I9178" t="s">
        <v>14</v>
      </c>
      <c r="J9178" t="s">
        <v>141</v>
      </c>
      <c r="K9178" t="s">
        <v>14</v>
      </c>
      <c r="L9178" t="s">
        <v>20</v>
      </c>
      <c r="M9178" t="s">
        <v>17873</v>
      </c>
      <c r="N9178" t="s">
        <v>14</v>
      </c>
    </row>
    <row r="9179" x14ac:dyDescent="0.25">
      <c r="A9179" t="n">
        <v>24</v>
      </c>
      <c r="B9179" t="s">
        <v>14</v>
      </c>
      <c r="C9179" t="s">
        <v>22</v>
      </c>
      <c r="D9179" s="2" t="s">
        <f>=HYPERLINK("https://main.knesset.gov.il/APPS/legislation/main/bills/2165303", "הצעת חוק טוס כחול לבן, התשפ""ב-2021")</f>
        <v>17889</v>
      </c>
      <c r="E9179" t="s">
        <v>17889</v>
      </c>
      <c r="F9179" t="s">
        <v>17890</v>
      </c>
      <c r="G9179" t="s">
        <v>14</v>
      </c>
      <c r="H9179">
             </c>
      <c r="I9179" t="s">
        <v>14</v>
      </c>
      <c r="J9179" t="s">
        <v>141</v>
      </c>
      <c r="K9179" t="s">
        <v>14</v>
      </c>
      <c r="L9179" t="s">
        <v>20</v>
      </c>
      <c r="M9179" t="s">
        <v>17873</v>
      </c>
      <c r="N9179" t="s">
        <v>14</v>
      </c>
    </row>
    <row r="9180" x14ac:dyDescent="0.25">
      <c r="A9180" t="n">
        <v>24</v>
      </c>
      <c r="B9180" t="s">
        <v>14</v>
      </c>
      <c r="C9180" t="s">
        <v>22</v>
      </c>
      <c r="D9180" s="2" t="s">
        <f>=HYPERLINK("https://main.knesset.gov.il/APPS/legislation/main/bills/2164465", "הצעת חוק חינוך ממלכתי (תיקון - חובת לימוד שפה ותרבות ערבית), התשפ""ב-2021")</f>
        <v>17891</v>
      </c>
      <c r="E9180" t="s">
        <v>17891</v>
      </c>
      <c r="F9180" t="s">
        <v>17892</v>
      </c>
      <c r="G9180" t="s">
        <v>14</v>
      </c>
      <c r="H9180">
             </c>
      <c r="I9180" t="s">
        <v>14</v>
      </c>
      <c r="J9180" t="s">
        <v>141</v>
      </c>
      <c r="K9180" t="s">
        <v>14</v>
      </c>
      <c r="L9180" t="s">
        <v>20</v>
      </c>
      <c r="M9180" t="s">
        <v>17873</v>
      </c>
      <c r="N9180" t="s">
        <v>14</v>
      </c>
    </row>
    <row r="9181" x14ac:dyDescent="0.25">
      <c r="A9181" t="n">
        <v>24</v>
      </c>
      <c r="B9181" t="s">
        <v>14</v>
      </c>
      <c r="C9181" t="s">
        <v>22</v>
      </c>
      <c r="D9181" s="2" t="s">
        <f>=HYPERLINK("https://main.knesset.gov.il/APPS/legislation/main/bills/2164345", "הצעת חוק מתן עדות של ילדים ואנשים עם מוגבלות נפשית או שכלית (תיקוני חקיקה), התשפ""ב-2021")</f>
        <v>17893</v>
      </c>
      <c r="E9181" t="s">
        <v>17893</v>
      </c>
      <c r="F9181" t="s">
        <v>17894</v>
      </c>
      <c r="G9181" t="s">
        <v>14</v>
      </c>
      <c r="H9181">
             </c>
      <c r="I9181" t="s">
        <v>14</v>
      </c>
      <c r="J9181" t="s">
        <v>141</v>
      </c>
      <c r="K9181" t="s">
        <v>14</v>
      </c>
      <c r="L9181" t="s">
        <v>20</v>
      </c>
      <c r="M9181" t="s">
        <v>17873</v>
      </c>
      <c r="N9181" t="s">
        <v>14</v>
      </c>
    </row>
    <row r="9182" x14ac:dyDescent="0.25">
      <c r="A9182" t="n">
        <v>24</v>
      </c>
      <c r="B9182" t="s">
        <v>14</v>
      </c>
      <c r="C9182" t="s">
        <v>22</v>
      </c>
      <c r="D9182" s="2" t="s">
        <f>=HYPERLINK("https://main.knesset.gov.il/APPS/legislation/main/bills/2163493", "הצעת חוק העונשין (תיקון - מעשה מגונה בהסכמה בקטין שמלאו לו ארבע עשרה שנים וטרם מלאו לו שש עשרה שנים), התשפ""ב-2021")</f>
        <v>17895</v>
      </c>
      <c r="E9182" t="s">
        <v>17895</v>
      </c>
      <c r="F9182" t="s">
        <v>17896</v>
      </c>
      <c r="G9182" t="s">
        <v>14</v>
      </c>
      <c r="H9182">
             </c>
      <c r="I9182" t="s">
        <v>14</v>
      </c>
      <c r="J9182" t="s">
        <v>141</v>
      </c>
      <c r="K9182" t="s">
        <v>14</v>
      </c>
      <c r="L9182" t="s">
        <v>20</v>
      </c>
      <c r="M9182" t="s">
        <v>17873</v>
      </c>
      <c r="N9182" t="s">
        <v>14</v>
      </c>
    </row>
    <row r="9183" x14ac:dyDescent="0.25">
      <c r="A9183" t="n">
        <v>24</v>
      </c>
      <c r="B9183" t="s">
        <v>14</v>
      </c>
      <c r="C9183" t="s">
        <v>22</v>
      </c>
      <c r="D9183" s="2" t="s">
        <f>=HYPERLINK("https://main.knesset.gov.il/APPS/legislation/main/bills/2164189", "הצעת חוק איסור שימוש ברכב ממשלתי לשר וסגן שר ביום המנוחה השבועי ובחג, התשפ""ב-2021")</f>
        <v>17897</v>
      </c>
      <c r="E9183" t="s">
        <v>17897</v>
      </c>
      <c r="F9183" t="s">
        <v>17898</v>
      </c>
      <c r="G9183" t="s">
        <v>14</v>
      </c>
      <c r="H9183">
             </c>
      <c r="I9183" t="s">
        <v>14</v>
      </c>
      <c r="J9183" t="s">
        <v>141</v>
      </c>
      <c r="K9183" t="s">
        <v>14</v>
      </c>
      <c r="L9183" t="s">
        <v>20</v>
      </c>
      <c r="M9183" t="s">
        <v>17873</v>
      </c>
      <c r="N9183" t="s">
        <v>14</v>
      </c>
    </row>
    <row r="9184" x14ac:dyDescent="0.25">
      <c r="A9184" t="n">
        <v>24</v>
      </c>
      <c r="B9184" t="s">
        <v>14</v>
      </c>
      <c r="C9184" t="s">
        <v>22</v>
      </c>
      <c r="D9184" s="2" t="s">
        <f>=HYPERLINK("https://main.knesset.gov.il/APPS/legislation/main/bills/2165024", "הצעת חוק לתיקון פקודת התעבורה (איסור נסיעת משאיות בשעות העומס), התשפ""ב-2021")</f>
        <v>17899</v>
      </c>
      <c r="E9184" t="s">
        <v>17899</v>
      </c>
      <c r="F9184" t="s">
        <v>17900</v>
      </c>
      <c r="G9184" t="s">
        <v>14</v>
      </c>
      <c r="H9184">
             </c>
      <c r="I9184" t="s">
        <v>14</v>
      </c>
      <c r="J9184" t="s">
        <v>141</v>
      </c>
      <c r="K9184" t="s">
        <v>14</v>
      </c>
      <c r="L9184" t="s">
        <v>20</v>
      </c>
      <c r="M9184" t="s">
        <v>17873</v>
      </c>
      <c r="N9184" t="s">
        <v>14</v>
      </c>
    </row>
    <row r="9185" x14ac:dyDescent="0.25">
      <c r="A9185" t="n">
        <v>24</v>
      </c>
      <c r="B9185" t="s">
        <v>14</v>
      </c>
      <c r="C9185" t="s">
        <v>22</v>
      </c>
      <c r="D9185" s="2" t="s">
        <f>=HYPERLINK("https://main.knesset.gov.il/APPS/legislation/main/bills/2164351", "הצעת חוק פיצוי מפונים בני רשות, התשפ""ב-2021")</f>
        <v>17901</v>
      </c>
      <c r="E9185" t="s">
        <v>17901</v>
      </c>
      <c r="F9185" t="s">
        <v>17902</v>
      </c>
      <c r="G9185" t="s">
        <v>14</v>
      </c>
      <c r="H9185">
             </c>
      <c r="I9185" t="s">
        <v>14</v>
      </c>
      <c r="J9185" t="s">
        <v>141</v>
      </c>
      <c r="K9185" t="s">
        <v>14</v>
      </c>
      <c r="L9185" t="s">
        <v>20</v>
      </c>
      <c r="M9185" t="s">
        <v>17873</v>
      </c>
      <c r="N9185" t="s">
        <v>14</v>
      </c>
    </row>
    <row r="9186" x14ac:dyDescent="0.25">
      <c r="A9186" t="n">
        <v>24</v>
      </c>
      <c r="B9186" t="s">
        <v>14</v>
      </c>
      <c r="C9186" t="s">
        <v>22</v>
      </c>
      <c r="D9186" s="2" t="s">
        <f>=HYPERLINK("https://main.knesset.gov.il/APPS/legislation/main/bills/2165626", "הצעת חוק-יסוד: הממשלה (תיקון - מקום מושבו של ראש הממשלה)")</f>
        <v>10183</v>
      </c>
      <c r="E9186" t="s">
        <v>10183</v>
      </c>
      <c r="F9186" t="s">
        <v>17903</v>
      </c>
      <c r="G9186" t="s">
        <v>14</v>
      </c>
      <c r="H9186">
             </c>
      <c r="I9186" t="s">
        <v>14</v>
      </c>
      <c r="J9186" t="s">
        <v>141</v>
      </c>
      <c r="K9186" t="s">
        <v>14</v>
      </c>
      <c r="L9186" t="s">
        <v>20</v>
      </c>
      <c r="M9186" t="s">
        <v>17873</v>
      </c>
      <c r="N9186" t="s">
        <v>14</v>
      </c>
    </row>
    <row r="9187" x14ac:dyDescent="0.25">
      <c r="A9187" t="n">
        <v>24</v>
      </c>
      <c r="B9187" t="s">
        <v>14</v>
      </c>
      <c r="C9187" t="s">
        <v>22</v>
      </c>
      <c r="D9187" s="2" t="s">
        <f>=HYPERLINK("https://main.knesset.gov.il/APPS/legislation/main/bills/2165200", "הצעת חוק העונשין (תיקון - החמרת ענישה על פגיעה במקומות קדושים ורגשי דת), התשפ""ב-2021")</f>
        <v>17904</v>
      </c>
      <c r="E9187" t="s">
        <v>17904</v>
      </c>
      <c r="F9187" t="s">
        <v>17905</v>
      </c>
      <c r="G9187" t="s">
        <v>14</v>
      </c>
      <c r="H9187">
             </c>
      <c r="I9187" t="s">
        <v>14</v>
      </c>
      <c r="J9187" t="s">
        <v>141</v>
      </c>
      <c r="K9187" t="s">
        <v>14</v>
      </c>
      <c r="L9187" t="s">
        <v>20</v>
      </c>
      <c r="M9187" t="s">
        <v>17873</v>
      </c>
      <c r="N9187" t="s">
        <v>14</v>
      </c>
    </row>
    <row r="9188" x14ac:dyDescent="0.25">
      <c r="A9188" t="n">
        <v>24</v>
      </c>
      <c r="B9188" t="s">
        <v>14</v>
      </c>
      <c r="C9188" t="s">
        <v>22</v>
      </c>
      <c r="D9188" s="2" t="s">
        <f>=HYPERLINK("https://main.knesset.gov.il/APPS/legislation/main/bills/2165606", "הצעת חוק לתיקון פקודת הראיות (עדות עובד במשרת אמון), התשפ""ב-2021")</f>
        <v>17906</v>
      </c>
      <c r="E9188" t="s">
        <v>17906</v>
      </c>
      <c r="F9188" t="s">
        <v>17907</v>
      </c>
      <c r="G9188" t="s">
        <v>14</v>
      </c>
      <c r="H9188">
             </c>
      <c r="I9188" t="s">
        <v>14</v>
      </c>
      <c r="J9188" t="s">
        <v>141</v>
      </c>
      <c r="K9188" t="s">
        <v>14</v>
      </c>
      <c r="L9188" t="s">
        <v>20</v>
      </c>
      <c r="M9188" t="s">
        <v>17873</v>
      </c>
      <c r="N9188" t="s">
        <v>14</v>
      </c>
    </row>
    <row r="9189" x14ac:dyDescent="0.25">
      <c r="A9189" t="n">
        <v>24</v>
      </c>
      <c r="B9189" t="s">
        <v>14</v>
      </c>
      <c r="C9189" t="s">
        <v>22</v>
      </c>
      <c r="D9189" s="2" t="s">
        <f>=HYPERLINK("https://main.knesset.gov.il/APPS/legislation/main/bills/2165647", "הצעת חוק הבחירות לכנסת (תיקון - הצבעת סטודנטים), התשפ""ב-2021")</f>
        <v>17908</v>
      </c>
      <c r="E9189" t="s">
        <v>17908</v>
      </c>
      <c r="F9189" t="s">
        <v>17909</v>
      </c>
      <c r="G9189" t="s">
        <v>14</v>
      </c>
      <c r="H9189">
             </c>
      <c r="I9189" t="s">
        <v>14</v>
      </c>
      <c r="J9189" t="s">
        <v>141</v>
      </c>
      <c r="K9189" t="s">
        <v>14</v>
      </c>
      <c r="L9189" t="s">
        <v>20</v>
      </c>
      <c r="M9189" t="s">
        <v>17873</v>
      </c>
      <c r="N9189" t="s">
        <v>14</v>
      </c>
    </row>
    <row r="9190" x14ac:dyDescent="0.25">
      <c r="A9190" t="n">
        <v>24</v>
      </c>
      <c r="B9190" t="s">
        <v>14</v>
      </c>
      <c r="C9190" t="s">
        <v>22</v>
      </c>
      <c r="D9190" s="2" t="s">
        <f>=HYPERLINK("https://main.knesset.gov.il/APPS/legislation/main/bills/2165607", "הצעת חוק הכרה ברישיונות מקצועיים על בסיס הנחיות האיחוד האירופי (תיקוני חקיקה), התשפ""ב-2021")</f>
        <v>17910</v>
      </c>
      <c r="E9190" t="s">
        <v>17910</v>
      </c>
      <c r="F9190" t="s">
        <v>17911</v>
      </c>
      <c r="G9190" t="s">
        <v>14</v>
      </c>
      <c r="H9190">
             </c>
      <c r="I9190" t="s">
        <v>14</v>
      </c>
      <c r="J9190" t="s">
        <v>141</v>
      </c>
      <c r="K9190" t="s">
        <v>14</v>
      </c>
      <c r="L9190" t="s">
        <v>20</v>
      </c>
      <c r="M9190" t="s">
        <v>17873</v>
      </c>
      <c r="N9190" t="s">
        <v>14</v>
      </c>
    </row>
    <row r="9191" x14ac:dyDescent="0.25">
      <c r="A9191" t="n">
        <v>24</v>
      </c>
      <c r="B9191" t="s">
        <v>14</v>
      </c>
      <c r="C9191" t="s">
        <v>22</v>
      </c>
      <c r="D9191" s="2" t="s">
        <f>=HYPERLINK("https://main.knesset.gov.il/APPS/legislation/main/bills/2164860", "הצעת חוק הביטוח הלאומי (תיקון - פטור מתשלום דמי ביטוח לסטודנטים בשל הכנסות הוריהם), התשפ""ב-2021")</f>
        <v>17912</v>
      </c>
      <c r="E9191" t="s">
        <v>17912</v>
      </c>
      <c r="F9191" t="s">
        <v>17913</v>
      </c>
      <c r="G9191" t="s">
        <v>14</v>
      </c>
      <c r="H9191">
             </c>
      <c r="I9191" t="s">
        <v>14</v>
      </c>
      <c r="J9191" t="s">
        <v>141</v>
      </c>
      <c r="K9191" t="s">
        <v>14</v>
      </c>
      <c r="L9191" t="s">
        <v>20</v>
      </c>
      <c r="M9191" t="s">
        <v>17873</v>
      </c>
      <c r="N9191" t="s">
        <v>14</v>
      </c>
    </row>
    <row r="9192" x14ac:dyDescent="0.25">
      <c r="A9192" t="n">
        <v>24</v>
      </c>
      <c r="B9192" t="s">
        <v>14</v>
      </c>
      <c r="C9192" t="s">
        <v>22</v>
      </c>
      <c r="D9192" s="2" t="s">
        <f>=HYPERLINK("https://main.knesset.gov.il/APPS/legislation/main/bills/2165630", "הצעת חוק הביטוח הלאומי (תיקון - העלאת קצבת הילדים), התשפ""ב-2021")</f>
        <v>17602</v>
      </c>
      <c r="E9192" t="s">
        <v>17602</v>
      </c>
      <c r="F9192" t="s">
        <v>17914</v>
      </c>
      <c r="G9192" t="s">
        <v>14</v>
      </c>
      <c r="H9192">
             </c>
      <c r="I9192" t="s">
        <v>14</v>
      </c>
      <c r="J9192" t="s">
        <v>141</v>
      </c>
      <c r="K9192" t="s">
        <v>14</v>
      </c>
      <c r="L9192" t="s">
        <v>20</v>
      </c>
      <c r="M9192" t="s">
        <v>17873</v>
      </c>
      <c r="N9192" t="s">
        <v>14</v>
      </c>
    </row>
    <row r="9193" x14ac:dyDescent="0.25">
      <c r="A9193" t="n">
        <v>24</v>
      </c>
      <c r="B9193" t="s">
        <v>14</v>
      </c>
      <c r="C9193" t="s">
        <v>22</v>
      </c>
      <c r="D9193" s="2" t="s">
        <f>=HYPERLINK("https://main.knesset.gov.il/APPS/legislation/main/bills/2165433", "הצעת חוק לתיקון פקודת מס הכנסה (נקודת זיכוי לסטודנטים ולהוריהם), התשפ""ב-2021")</f>
        <v>17915</v>
      </c>
      <c r="E9193" t="s">
        <v>17915</v>
      </c>
      <c r="F9193" t="s">
        <v>17916</v>
      </c>
      <c r="G9193" t="s">
        <v>14</v>
      </c>
      <c r="H9193">
             </c>
      <c r="I9193" t="s">
        <v>14</v>
      </c>
      <c r="J9193" t="s">
        <v>141</v>
      </c>
      <c r="K9193" t="s">
        <v>14</v>
      </c>
      <c r="L9193" t="s">
        <v>20</v>
      </c>
      <c r="M9193" t="s">
        <v>17873</v>
      </c>
      <c r="N9193" t="s">
        <v>14</v>
      </c>
    </row>
    <row r="9194" x14ac:dyDescent="0.25">
      <c r="A9194" t="n">
        <v>24</v>
      </c>
      <c r="B9194" t="s">
        <v>14</v>
      </c>
      <c r="C9194" t="s">
        <v>22</v>
      </c>
      <c r="D9194" s="2" t="s">
        <f>=HYPERLINK("https://main.knesset.gov.il/APPS/legislation/main/bills/2165015", "הצעת חוק התאמת אופן ההעסקה של מטפלות במשפחתונים המפוקחים על ידי האגף למעונות יום ומשפחתונים במשרד הכלכלה והתעשייה, התשפ""ב-2021")</f>
        <v>17917</v>
      </c>
      <c r="E9194" t="s">
        <v>17917</v>
      </c>
      <c r="F9194" t="s">
        <v>17918</v>
      </c>
      <c r="G9194" t="s">
        <v>14</v>
      </c>
      <c r="H9194">
             </c>
      <c r="I9194" t="s">
        <v>14</v>
      </c>
      <c r="J9194" t="s">
        <v>141</v>
      </c>
      <c r="K9194" t="s">
        <v>14</v>
      </c>
      <c r="L9194" t="s">
        <v>20</v>
      </c>
      <c r="M9194" t="s">
        <v>17873</v>
      </c>
      <c r="N9194" t="s">
        <v>14</v>
      </c>
    </row>
    <row r="9195" x14ac:dyDescent="0.25">
      <c r="A9195" t="n">
        <v>24</v>
      </c>
      <c r="B9195" t="s">
        <v>14</v>
      </c>
      <c r="C9195" t="s">
        <v>22</v>
      </c>
      <c r="D9195" s="2" t="s">
        <f>=HYPERLINK("https://main.knesset.gov.il/APPS/legislation/main/bills/2165347", "הצעת חוק לתיקון פקודת מס הכנסה (ידועים בציבור), התשפ""ב-2021")</f>
        <v>17919</v>
      </c>
      <c r="E9195" t="s">
        <v>17919</v>
      </c>
      <c r="F9195" t="s">
        <v>17920</v>
      </c>
      <c r="G9195" t="s">
        <v>14</v>
      </c>
      <c r="H9195">
             </c>
      <c r="I9195" t="s">
        <v>14</v>
      </c>
      <c r="J9195" t="s">
        <v>141</v>
      </c>
      <c r="K9195" t="s">
        <v>14</v>
      </c>
      <c r="L9195" t="s">
        <v>20</v>
      </c>
      <c r="M9195" t="s">
        <v>17873</v>
      </c>
      <c r="N9195" t="s">
        <v>14</v>
      </c>
    </row>
    <row r="9196" x14ac:dyDescent="0.25">
      <c r="A9196" t="n">
        <v>24</v>
      </c>
      <c r="B9196" t="s">
        <v>14</v>
      </c>
      <c r="C9196" t="s">
        <v>22</v>
      </c>
      <c r="D9196" s="2" t="s">
        <f>=HYPERLINK("https://main.knesset.gov.il/APPS/legislation/main/bills/2165304", "הצעת חוק הביטוח הלאומי (תיקון - טיפול בפעוטות במעונות יום כעבודה מועדפת), התשפ""ב-2021")</f>
        <v>17921</v>
      </c>
      <c r="E9196" t="s">
        <v>17921</v>
      </c>
      <c r="F9196" t="s">
        <v>17922</v>
      </c>
      <c r="G9196" t="s">
        <v>14</v>
      </c>
      <c r="H9196">
             </c>
      <c r="I9196" t="s">
        <v>14</v>
      </c>
      <c r="J9196" t="s">
        <v>141</v>
      </c>
      <c r="K9196" t="s">
        <v>14</v>
      </c>
      <c r="L9196" t="s">
        <v>20</v>
      </c>
      <c r="M9196" t="s">
        <v>17873</v>
      </c>
      <c r="N9196" t="s">
        <v>14</v>
      </c>
    </row>
    <row r="9197" x14ac:dyDescent="0.25">
      <c r="A9197" t="n">
        <v>24</v>
      </c>
      <c r="B9197" t="s">
        <v>14</v>
      </c>
      <c r="C9197" t="s">
        <v>22</v>
      </c>
      <c r="D9197" s="2" t="s">
        <f>=HYPERLINK("https://main.knesset.gov.il/APPS/legislation/main/bills/2165684", "הצעת חוק-יסוד: כבוד האדם וחירותו (תיקון - הוספת סעיף שוויון)")</f>
        <v>2086</v>
      </c>
      <c r="E9197" t="s">
        <v>2086</v>
      </c>
      <c r="F9197" t="s">
        <v>17923</v>
      </c>
      <c r="G9197" t="s">
        <v>14</v>
      </c>
      <c r="H9197">
             </c>
      <c r="I9197" t="s">
        <v>14</v>
      </c>
      <c r="J9197" t="s">
        <v>141</v>
      </c>
      <c r="K9197" t="s">
        <v>14</v>
      </c>
      <c r="L9197" t="s">
        <v>20</v>
      </c>
      <c r="M9197" t="s">
        <v>17873</v>
      </c>
      <c r="N9197" t="s">
        <v>14</v>
      </c>
    </row>
    <row r="9198" x14ac:dyDescent="0.25">
      <c r="A9198" t="n">
        <v>24</v>
      </c>
      <c r="B9198" t="s">
        <v>14</v>
      </c>
      <c r="C9198" t="s">
        <v>22</v>
      </c>
      <c r="D9198" s="2" t="s">
        <f>=HYPERLINK("https://main.knesset.gov.il/APPS/legislation/main/bills/2165902", "הצעת חוק מס ערך מוסף (תיקון - פטור ממס בגין תרומות לבתי חולים בפריפריה), התשפ""ב-2021")</f>
        <v>17795</v>
      </c>
      <c r="E9198" t="s">
        <v>17795</v>
      </c>
      <c r="F9198" t="s">
        <v>17924</v>
      </c>
      <c r="G9198" t="s">
        <v>14</v>
      </c>
      <c r="H9198">
             </c>
      <c r="I9198" t="s">
        <v>14</v>
      </c>
      <c r="J9198" t="s">
        <v>141</v>
      </c>
      <c r="K9198" t="s">
        <v>14</v>
      </c>
      <c r="L9198" t="s">
        <v>20</v>
      </c>
      <c r="M9198" t="s">
        <v>17873</v>
      </c>
      <c r="N9198" t="s">
        <v>14</v>
      </c>
    </row>
    <row r="9199" x14ac:dyDescent="0.25">
      <c r="A9199" t="n">
        <v>24</v>
      </c>
      <c r="B9199" t="s">
        <v>14</v>
      </c>
      <c r="C9199" t="s">
        <v>22</v>
      </c>
      <c r="D9199" s="2" t="s">
        <f>=HYPERLINK("https://main.knesset.gov.il/APPS/legislation/main/bills/2165961", "הצעת חוק חסינות חברי הכנסת, זכויותיהם וחובותיהם (תיקון - חסינות בפני דין פלילי), התשפ""ב-2021")</f>
        <v>17925</v>
      </c>
      <c r="E9199" t="s">
        <v>17925</v>
      </c>
      <c r="F9199" t="s">
        <v>17926</v>
      </c>
      <c r="G9199" t="s">
        <v>14</v>
      </c>
      <c r="H9199">
             </c>
      <c r="I9199" t="s">
        <v>14</v>
      </c>
      <c r="J9199" t="s">
        <v>141</v>
      </c>
      <c r="K9199" t="s">
        <v>14</v>
      </c>
      <c r="L9199" t="s">
        <v>20</v>
      </c>
      <c r="M9199" t="s">
        <v>17873</v>
      </c>
      <c r="N9199" t="s">
        <v>14</v>
      </c>
    </row>
    <row r="9200" x14ac:dyDescent="0.25">
      <c r="A9200" t="n">
        <v>24</v>
      </c>
      <c r="B9200" t="s">
        <v>14</v>
      </c>
      <c r="C9200" t="s">
        <v>22</v>
      </c>
      <c r="D9200" s="2" t="s">
        <f>=HYPERLINK("https://main.knesset.gov.il/APPS/legislation/main/bills/2164459", "הצעת חוק ההוצאה לפועל (תיקון - ביטול הגבלת רישיון נהיגה), התשפ""ב-2021")</f>
        <v>17065</v>
      </c>
      <c r="E9200" t="s">
        <v>17065</v>
      </c>
      <c r="F9200" t="s">
        <v>17927</v>
      </c>
      <c r="G9200" t="s">
        <v>14</v>
      </c>
      <c r="H9200">
             </c>
      <c r="I9200" t="s">
        <v>14</v>
      </c>
      <c r="J9200" t="s">
        <v>141</v>
      </c>
      <c r="K9200" t="s">
        <v>14</v>
      </c>
      <c r="L9200" t="s">
        <v>20</v>
      </c>
      <c r="M9200" t="s">
        <v>17873</v>
      </c>
      <c r="N9200" t="s">
        <v>14</v>
      </c>
    </row>
    <row r="9201" x14ac:dyDescent="0.25">
      <c r="A9201" t="n">
        <v>24</v>
      </c>
      <c r="B9201" t="s">
        <v>14</v>
      </c>
      <c r="C9201" t="s">
        <v>22</v>
      </c>
      <c r="D9201" s="2" t="s">
        <f>=HYPERLINK("https://main.knesset.gov.il/APPS/legislation/main/bills/2165712", "הצעת חוק ההוצאה לפועל (תיקון - מגבלת רישיון נהיגה), התשפ""ב-2021")</f>
        <v>17928</v>
      </c>
      <c r="E9201" t="s">
        <v>17928</v>
      </c>
      <c r="F9201" t="s">
        <v>17929</v>
      </c>
      <c r="G9201" t="s">
        <v>14</v>
      </c>
      <c r="H9201">
             </c>
      <c r="I9201" t="s">
        <v>14</v>
      </c>
      <c r="J9201" t="s">
        <v>141</v>
      </c>
      <c r="K9201" t="s">
        <v>14</v>
      </c>
      <c r="L9201" t="s">
        <v>20</v>
      </c>
      <c r="M9201" t="s">
        <v>17873</v>
      </c>
      <c r="N9201" t="s">
        <v>14</v>
      </c>
    </row>
    <row r="9202" x14ac:dyDescent="0.25">
      <c r="A9202" t="n">
        <v>24</v>
      </c>
      <c r="B9202" t="s">
        <v>14</v>
      </c>
      <c r="C9202" t="s">
        <v>22</v>
      </c>
      <c r="D9202" s="2" t="s">
        <f>=HYPERLINK("https://main.knesset.gov.il/APPS/legislation/main/bills/2165870", "הצעת חוק איסור ייצוג לקוחות בעלי אינטרסים מנוגדים על ידי שדלן (תיקוני חקיקה), התשפ""ב-2021")</f>
        <v>17930</v>
      </c>
      <c r="E9202" t="s">
        <v>17930</v>
      </c>
      <c r="F9202" t="s">
        <v>17931</v>
      </c>
      <c r="G9202" t="s">
        <v>14</v>
      </c>
      <c r="H9202">
             </c>
      <c r="I9202" t="s">
        <v>14</v>
      </c>
      <c r="J9202" t="s">
        <v>141</v>
      </c>
      <c r="K9202" t="s">
        <v>14</v>
      </c>
      <c r="L9202" t="s">
        <v>20</v>
      </c>
      <c r="M9202" t="s">
        <v>17873</v>
      </c>
      <c r="N9202" t="s">
        <v>14</v>
      </c>
    </row>
    <row r="9203" x14ac:dyDescent="0.25">
      <c r="A9203" t="n">
        <v>24</v>
      </c>
      <c r="B9203" t="s">
        <v>14</v>
      </c>
      <c r="C9203" t="s">
        <v>22</v>
      </c>
      <c r="D9203" s="2" t="s">
        <f>=HYPERLINK("https://main.knesset.gov.il/APPS/legislation/main/bills/2160256", "הצעת חוק הפיקוח על שירותים פיננסיים (קופות גמל) (תיקון - חישוב מקדם המרה לקצבה), התשפ""ב-2021")</f>
        <v>17932</v>
      </c>
      <c r="E9203" t="s">
        <v>17932</v>
      </c>
      <c r="F9203" t="s">
        <v>17933</v>
      </c>
      <c r="G9203" t="s">
        <v>14</v>
      </c>
      <c r="H9203">
             </c>
      <c r="I9203" t="s">
        <v>14</v>
      </c>
      <c r="J9203" t="s">
        <v>141</v>
      </c>
      <c r="K9203" t="s">
        <v>14</v>
      </c>
      <c r="L9203" t="s">
        <v>20</v>
      </c>
      <c r="M9203" t="s">
        <v>17873</v>
      </c>
      <c r="N9203" t="s">
        <v>14</v>
      </c>
    </row>
    <row r="9204" x14ac:dyDescent="0.25">
      <c r="A9204" t="n">
        <v>24</v>
      </c>
      <c r="B9204" t="s">
        <v>14</v>
      </c>
      <c r="C9204" t="s">
        <v>22</v>
      </c>
      <c r="D9204" s="2" t="s">
        <f>=HYPERLINK("https://main.knesset.gov.il/APPS/legislation/main/bills/2165967", "הצעת חוק לתיקון פקודת מס הכנסה (נקודות זיכוי לאפוטרופוס), התשפ""ב-2021")</f>
        <v>17934</v>
      </c>
      <c r="E9204" t="s">
        <v>17934</v>
      </c>
      <c r="F9204" t="s">
        <v>17935</v>
      </c>
      <c r="G9204" t="s">
        <v>14</v>
      </c>
      <c r="H9204">
             </c>
      <c r="I9204" t="s">
        <v>14</v>
      </c>
      <c r="J9204" t="s">
        <v>141</v>
      </c>
      <c r="K9204" t="s">
        <v>14</v>
      </c>
      <c r="L9204" t="s">
        <v>20</v>
      </c>
      <c r="M9204" t="s">
        <v>17873</v>
      </c>
      <c r="N9204" t="s">
        <v>14</v>
      </c>
    </row>
    <row r="9205" x14ac:dyDescent="0.25">
      <c r="A9205" t="n">
        <v>24</v>
      </c>
      <c r="B9205" t="s">
        <v>14</v>
      </c>
      <c r="C9205" t="s">
        <v>22</v>
      </c>
      <c r="D9205" s="2" t="s">
        <f>=HYPERLINK("https://main.knesset.gov.il/APPS/legislation/main/bills/2164661", "הצעת חוק מס ערך מוסף (תיקון - עידוד התיירות באזורי רמת הגולן והגליל) (הוראת שעה), התשפ""ב-2021 ")</f>
        <v>17936</v>
      </c>
      <c r="E9205" t="s">
        <v>17936</v>
      </c>
      <c r="F9205" t="s">
        <v>17937</v>
      </c>
      <c r="G9205" t="s">
        <v>14</v>
      </c>
      <c r="H9205">
             </c>
      <c r="I9205" t="s">
        <v>14</v>
      </c>
      <c r="J9205" t="s">
        <v>141</v>
      </c>
      <c r="K9205" t="s">
        <v>14</v>
      </c>
      <c r="L9205" t="s">
        <v>20</v>
      </c>
      <c r="M9205" t="s">
        <v>17873</v>
      </c>
      <c r="N9205" t="s">
        <v>14</v>
      </c>
    </row>
    <row r="9206" x14ac:dyDescent="0.25">
      <c r="A9206" t="n">
        <v>24</v>
      </c>
      <c r="B9206" t="s">
        <v>14</v>
      </c>
      <c r="C9206" t="s">
        <v>22</v>
      </c>
      <c r="D9206" s="2" t="s">
        <f>=HYPERLINK("https://main.knesset.gov.il/APPS/legislation/main/bills/2165969", "הצעת חוק צער בעלי חיים (הגנה על בעלי חיים) (תיקון - איסור משלוחים חיים לשחיטה), התשפ""ב-2021")</f>
        <v>17938</v>
      </c>
      <c r="E9206" t="s">
        <v>17938</v>
      </c>
      <c r="F9206" t="s">
        <v>17939</v>
      </c>
      <c r="G9206" t="s">
        <v>14</v>
      </c>
      <c r="H9206">
             </c>
      <c r="I9206" t="s">
        <v>14</v>
      </c>
      <c r="J9206" t="s">
        <v>141</v>
      </c>
      <c r="K9206" t="s">
        <v>14</v>
      </c>
      <c r="L9206" t="s">
        <v>20</v>
      </c>
      <c r="M9206" t="s">
        <v>17873</v>
      </c>
      <c r="N9206" t="s">
        <v>14</v>
      </c>
    </row>
    <row r="9207" x14ac:dyDescent="0.25">
      <c r="A9207" t="n">
        <v>24</v>
      </c>
      <c r="B9207" t="s">
        <v>14</v>
      </c>
      <c r="C9207" t="s">
        <v>22</v>
      </c>
      <c r="D9207" s="2" t="s">
        <f>=HYPERLINK("https://main.knesset.gov.il/APPS/legislation/main/bills/2165983", "הצעת חוק יום ציון ממלכתי לוועידת סן רמו, התשפ""ב-2021")</f>
        <v>17940</v>
      </c>
      <c r="E9207" t="s">
        <v>17940</v>
      </c>
      <c r="F9207" t="s">
        <v>17941</v>
      </c>
      <c r="G9207" t="s">
        <v>14</v>
      </c>
      <c r="H9207">
             </c>
      <c r="I9207" t="s">
        <v>14</v>
      </c>
      <c r="J9207" t="s">
        <v>141</v>
      </c>
      <c r="K9207" t="s">
        <v>14</v>
      </c>
      <c r="L9207" t="s">
        <v>20</v>
      </c>
      <c r="M9207" t="s">
        <v>17873</v>
      </c>
      <c r="N9207" t="s">
        <v>14</v>
      </c>
    </row>
    <row r="9208" x14ac:dyDescent="0.25">
      <c r="A9208" t="n">
        <v>24</v>
      </c>
      <c r="B9208" t="s">
        <v>14</v>
      </c>
      <c r="C9208" t="s">
        <v>22</v>
      </c>
      <c r="D9208" s="2" t="s">
        <f>=HYPERLINK("https://main.knesset.gov.il/APPS/legislation/main/bills/2164344", "הצעת חוק ביטוח סיעודי ממלכתי (תיקוני חקיקה), התשפ""ב-2021")</f>
        <v>17942</v>
      </c>
      <c r="E9208" t="s">
        <v>17942</v>
      </c>
      <c r="F9208" t="s">
        <v>17943</v>
      </c>
      <c r="G9208" t="s">
        <v>14</v>
      </c>
      <c r="H9208">
             </c>
      <c r="I9208" t="s">
        <v>14</v>
      </c>
      <c r="J9208" t="s">
        <v>141</v>
      </c>
      <c r="K9208" t="s">
        <v>14</v>
      </c>
      <c r="L9208" t="s">
        <v>20</v>
      </c>
      <c r="M9208" t="s">
        <v>17873</v>
      </c>
      <c r="N9208" t="s">
        <v>14</v>
      </c>
    </row>
    <row r="9209" x14ac:dyDescent="0.25">
      <c r="A9209" t="n">
        <v>24</v>
      </c>
      <c r="B9209" t="s">
        <v>14</v>
      </c>
      <c r="C9209" t="s">
        <v>22</v>
      </c>
      <c r="D9209" s="2" t="s">
        <f>=HYPERLINK("https://main.knesset.gov.il/APPS/legislation/main/bills/2162653", "הצעת חוק למניעת ביצוע עבירות באמצעות פרסום באינטרנט (הסרת תוכן), התשפ""ב-2021 ")</f>
        <v>17944</v>
      </c>
      <c r="E9209" t="s">
        <v>17944</v>
      </c>
      <c r="F9209" t="s">
        <v>17945</v>
      </c>
      <c r="G9209" t="s">
        <v>14</v>
      </c>
      <c r="H9209">
             </c>
      <c r="I9209" t="s">
        <v>14</v>
      </c>
      <c r="J9209" t="s">
        <v>31</v>
      </c>
      <c r="K9209" t="s">
        <v>27</v>
      </c>
      <c r="L9209" t="s">
        <v>20</v>
      </c>
      <c r="M9209" t="s">
        <v>17946</v>
      </c>
      <c r="N9209" t="s">
        <v>14</v>
      </c>
    </row>
    <row r="9210" x14ac:dyDescent="0.25">
      <c r="A9210" t="n">
        <v>24</v>
      </c>
      <c r="B9210" t="s">
        <v>14</v>
      </c>
      <c r="C9210" t="s">
        <v>22</v>
      </c>
      <c r="D9210" s="2" t="s">
        <f>=HYPERLINK("https://main.knesset.gov.il/APPS/legislation/main/bills/2160999", "הצעת חוק המכר (דירות) (תיקון - חובת מסירת תכניות הדירה לקונה), התשפ""א-2021")</f>
        <v>17947</v>
      </c>
      <c r="E9210" t="s">
        <v>17947</v>
      </c>
      <c r="F9210" t="s">
        <v>17948</v>
      </c>
      <c r="G9210" t="s">
        <v>14</v>
      </c>
      <c r="H9210">
             </c>
      <c r="I9210" t="s">
        <v>14</v>
      </c>
      <c r="J9210" t="s">
        <v>31</v>
      </c>
      <c r="K9210" t="s">
        <v>19</v>
      </c>
      <c r="L9210" t="s">
        <v>20</v>
      </c>
      <c r="M9210" t="s">
        <v>17946</v>
      </c>
      <c r="N9210" t="s">
        <v>14</v>
      </c>
    </row>
    <row r="9211" x14ac:dyDescent="0.25">
      <c r="A9211" t="n">
        <v>24</v>
      </c>
      <c r="B9211" t="s">
        <v>14</v>
      </c>
      <c r="C9211" t="s">
        <v>22</v>
      </c>
      <c r="D9211" s="2" t="s">
        <f>=HYPERLINK("https://main.knesset.gov.il/APPS/legislation/main/bills/2161134", "הצעת חוק איסור לשון הרע (תיקון - ביזוי אדם מחמת משקל), התשפ""א-2021")</f>
        <v>17949</v>
      </c>
      <c r="E9211" t="s">
        <v>17949</v>
      </c>
      <c r="F9211" t="s">
        <v>17950</v>
      </c>
      <c r="G9211" t="s">
        <v>14</v>
      </c>
      <c r="H9211">
             </c>
      <c r="I9211" t="s">
        <v>14</v>
      </c>
      <c r="J9211" t="s">
        <v>343</v>
      </c>
      <c r="K9211" t="s">
        <v>14</v>
      </c>
      <c r="L9211" t="s">
        <v>20</v>
      </c>
      <c r="M9211" t="s">
        <v>17946</v>
      </c>
      <c r="N9211" t="s">
        <v>14</v>
      </c>
    </row>
    <row r="9212" x14ac:dyDescent="0.25">
      <c r="A9212" t="n">
        <v>24</v>
      </c>
      <c r="B9212" t="s">
        <v>14</v>
      </c>
      <c r="C9212" t="s">
        <v>22</v>
      </c>
      <c r="D9212" s="2" t="s">
        <f>=HYPERLINK("https://main.knesset.gov.il/APPS/legislation/main/bills/2159755", "הצעת חוק גירוש משפחות מחבלים, התשפ""א-2021")</f>
        <v>17951</v>
      </c>
      <c r="E9212" t="s">
        <v>17951</v>
      </c>
      <c r="F9212" t="s">
        <v>17952</v>
      </c>
      <c r="G9212" t="s">
        <v>14</v>
      </c>
      <c r="H9212">
             </c>
      <c r="I9212" t="s">
        <v>14</v>
      </c>
      <c r="J9212" t="s">
        <v>55</v>
      </c>
      <c r="K9212" t="s">
        <v>14</v>
      </c>
      <c r="L9212" t="s">
        <v>20</v>
      </c>
      <c r="M9212" t="s">
        <v>17946</v>
      </c>
      <c r="N9212" t="s">
        <v>14</v>
      </c>
    </row>
    <row r="9213" x14ac:dyDescent="0.25">
      <c r="A9213" t="n">
        <v>24</v>
      </c>
      <c r="B9213" t="s">
        <v>14</v>
      </c>
      <c r="C9213" t="s">
        <v>22</v>
      </c>
      <c r="D9213" s="2" t="s">
        <f>=HYPERLINK("https://main.knesset.gov.il/APPS/legislation/main/bills/2159916", "הצעת חוק למניעת פגיעה במדינת ישראל באמצעות חרם (תיקון - מניעת זכאות לפרס), התשפ""א-2021")</f>
        <v>17953</v>
      </c>
      <c r="E9213" t="s">
        <v>17953</v>
      </c>
      <c r="F9213" t="s">
        <v>17954</v>
      </c>
      <c r="G9213" t="s">
        <v>14</v>
      </c>
      <c r="H9213">
             </c>
      <c r="I9213" t="s">
        <v>14</v>
      </c>
      <c r="J9213" t="s">
        <v>343</v>
      </c>
      <c r="K9213" t="s">
        <v>14</v>
      </c>
      <c r="L9213" t="s">
        <v>20</v>
      </c>
      <c r="M9213" t="s">
        <v>17946</v>
      </c>
      <c r="N9213" t="s">
        <v>14</v>
      </c>
    </row>
    <row r="9214" x14ac:dyDescent="0.25">
      <c r="A9214" t="n">
        <v>24</v>
      </c>
      <c r="B9214" t="s">
        <v>14</v>
      </c>
      <c r="C9214" t="s">
        <v>22</v>
      </c>
      <c r="D9214" s="2" t="s">
        <f>=HYPERLINK("https://main.knesset.gov.il/APPS/legislation/main/bills/2158252", "הצעת חוק שיפוט בתי דין רבניים (סמכות שיפוט בהסכמה), התשפ""א-2021")</f>
        <v>17955</v>
      </c>
      <c r="E9214" t="s">
        <v>17955</v>
      </c>
      <c r="F9214" t="s">
        <v>17956</v>
      </c>
      <c r="G9214" t="s">
        <v>14</v>
      </c>
      <c r="H9214">
             </c>
      <c r="I9214" t="s">
        <v>14</v>
      </c>
      <c r="J9214" t="s">
        <v>55</v>
      </c>
      <c r="K9214" t="s">
        <v>14</v>
      </c>
      <c r="L9214" t="s">
        <v>20</v>
      </c>
      <c r="M9214" t="s">
        <v>17946</v>
      </c>
      <c r="N9214" t="s">
        <v>14</v>
      </c>
    </row>
    <row r="9215" x14ac:dyDescent="0.25">
      <c r="A9215" t="n">
        <v>24</v>
      </c>
      <c r="B9215" t="s">
        <v>14</v>
      </c>
      <c r="C9215" t="s">
        <v>22</v>
      </c>
      <c r="D9215" s="2" t="s">
        <f>=HYPERLINK("https://main.knesset.gov.il/APPS/legislation/main/bills/2156752", "הצעת חוק יום ציון ממלכתי לוועידת סן רמו, התשפ""א-2021")</f>
        <v>17957</v>
      </c>
      <c r="E9215" t="s">
        <v>17957</v>
      </c>
      <c r="F9215" t="s">
        <v>17958</v>
      </c>
      <c r="G9215" t="s">
        <v>14</v>
      </c>
      <c r="H9215">
             </c>
      <c r="I9215" t="s">
        <v>14</v>
      </c>
      <c r="J9215" t="s">
        <v>343</v>
      </c>
      <c r="K9215" t="s">
        <v>14</v>
      </c>
      <c r="L9215" t="s">
        <v>20</v>
      </c>
      <c r="M9215" t="s">
        <v>17946</v>
      </c>
      <c r="N9215" t="s">
        <v>14</v>
      </c>
    </row>
    <row r="9216" x14ac:dyDescent="0.25">
      <c r="A9216" t="n">
        <v>24</v>
      </c>
      <c r="B9216" t="s">
        <v>14</v>
      </c>
      <c r="C9216" t="s">
        <v>22</v>
      </c>
      <c r="D9216" s="2" t="s">
        <f>=HYPERLINK("https://main.knesset.gov.il/APPS/legislation/main/bills/2156848", "הצעת חוק שיפוט בתי דין דתיים (בוררות), התשפ""א-2021")</f>
        <v>17959</v>
      </c>
      <c r="E9216" t="s">
        <v>17959</v>
      </c>
      <c r="F9216" t="s">
        <v>17960</v>
      </c>
      <c r="G9216" t="s">
        <v>14</v>
      </c>
      <c r="H9216">
             </c>
      <c r="I9216" t="s">
        <v>14</v>
      </c>
      <c r="J9216" t="s">
        <v>55</v>
      </c>
      <c r="K9216" t="s">
        <v>14</v>
      </c>
      <c r="L9216" t="s">
        <v>20</v>
      </c>
      <c r="M9216" t="s">
        <v>17946</v>
      </c>
      <c r="N9216" t="s">
        <v>14</v>
      </c>
    </row>
    <row r="9217" x14ac:dyDescent="0.25">
      <c r="A9217" t="n">
        <v>24</v>
      </c>
      <c r="B9217" t="s">
        <v>14</v>
      </c>
      <c r="C9217" t="s">
        <v>22</v>
      </c>
      <c r="D9217" s="2" t="s">
        <f>=HYPERLINK("https://main.knesset.gov.il/APPS/legislation/main/bills/2157444", "הצעת חוק איסור לשון הרע (תיקון - ביזוי אדם מחמת משקל), התשפ""א-2021")</f>
        <v>17949</v>
      </c>
      <c r="E9217" t="s">
        <v>17949</v>
      </c>
      <c r="F9217" t="s">
        <v>17961</v>
      </c>
      <c r="G9217" t="s">
        <v>14</v>
      </c>
      <c r="H9217">
             </c>
      <c r="I9217" t="s">
        <v>14</v>
      </c>
      <c r="J9217" t="s">
        <v>343</v>
      </c>
      <c r="K9217" t="s">
        <v>14</v>
      </c>
      <c r="L9217" t="s">
        <v>20</v>
      </c>
      <c r="M9217" t="s">
        <v>17946</v>
      </c>
      <c r="N9217" t="s">
        <v>14</v>
      </c>
    </row>
    <row r="9218" x14ac:dyDescent="0.25">
      <c r="A9218" t="n">
        <v>24</v>
      </c>
      <c r="B9218" t="s">
        <v>14</v>
      </c>
      <c r="C9218" t="s">
        <v>22</v>
      </c>
      <c r="D9218" s="2" t="s">
        <f>=HYPERLINK("https://main.knesset.gov.il/APPS/legislation/main/bills/2158413", "הצעת חוק שלילת זכויות למעורב בטרור (תיקוני חקיקה), התשפ""א-2021")</f>
        <v>17962</v>
      </c>
      <c r="E9218" t="s">
        <v>17962</v>
      </c>
      <c r="F9218" t="s">
        <v>17963</v>
      </c>
      <c r="G9218" t="s">
        <v>14</v>
      </c>
      <c r="H9218">
             </c>
      <c r="I9218" t="s">
        <v>14</v>
      </c>
      <c r="J9218" t="s">
        <v>55</v>
      </c>
      <c r="K9218" t="s">
        <v>14</v>
      </c>
      <c r="L9218" t="s">
        <v>20</v>
      </c>
      <c r="M9218" t="s">
        <v>17946</v>
      </c>
      <c r="N9218" t="s">
        <v>14</v>
      </c>
    </row>
    <row r="9219" x14ac:dyDescent="0.25">
      <c r="A9219" t="n">
        <v>24</v>
      </c>
      <c r="B9219" t="s">
        <v>14</v>
      </c>
      <c r="C9219" t="s">
        <v>22</v>
      </c>
      <c r="D9219" s="2" t="s">
        <f>=HYPERLINK("https://main.knesset.gov.il/APPS/legislation/main/bills/2156148", "הצעת חוק הגנת הצרכן (תיקון - הנגשת הודעת תשלום לצרכנים שאינם דוברי עברית), התשפ""א-2021")</f>
        <v>17964</v>
      </c>
      <c r="E9219" t="s">
        <v>17964</v>
      </c>
      <c r="F9219" t="s">
        <v>17965</v>
      </c>
      <c r="G9219" t="s">
        <v>14</v>
      </c>
      <c r="H9219">
             </c>
      <c r="I9219" t="s">
        <v>14</v>
      </c>
      <c r="J9219" t="s">
        <v>55</v>
      </c>
      <c r="K9219" t="s">
        <v>14</v>
      </c>
      <c r="L9219" t="s">
        <v>20</v>
      </c>
      <c r="M9219" t="s">
        <v>17946</v>
      </c>
      <c r="N9219" t="s">
        <v>14</v>
      </c>
    </row>
    <row r="9220" x14ac:dyDescent="0.25">
      <c r="A9220" t="n">
        <v>24</v>
      </c>
      <c r="B9220" t="s">
        <v>14</v>
      </c>
      <c r="C9220" t="s">
        <v>22</v>
      </c>
      <c r="D9220" s="2" t="s">
        <f>=HYPERLINK("https://main.knesset.gov.il/APPS/legislation/main/bills/2156400", "הצעת חוק-יסוד: בית המשפט לחוקה")</f>
        <v>17966</v>
      </c>
      <c r="E9220" t="s">
        <v>17966</v>
      </c>
      <c r="F9220" t="s">
        <v>17967</v>
      </c>
      <c r="G9220" t="s">
        <v>14</v>
      </c>
      <c r="H9220">
             </c>
      <c r="I9220" t="s">
        <v>14</v>
      </c>
      <c r="J9220" t="s">
        <v>55</v>
      </c>
      <c r="K9220" t="s">
        <v>14</v>
      </c>
      <c r="L9220" t="s">
        <v>20</v>
      </c>
      <c r="M9220" t="s">
        <v>17946</v>
      </c>
      <c r="N9220" t="s">
        <v>14</v>
      </c>
    </row>
    <row r="9221" x14ac:dyDescent="0.25">
      <c r="A9221" t="n">
        <v>24</v>
      </c>
      <c r="B9221" t="s">
        <v>14</v>
      </c>
      <c r="C9221" t="s">
        <v>22</v>
      </c>
      <c r="D9221" s="2" t="s">
        <f>=HYPERLINK("https://main.knesset.gov.il/APPS/legislation/main/bills/2156595", "חוק העונשין (תיקון מס' 140 – הוראת שעה), התשפ""ב-2021")</f>
        <v>17968</v>
      </c>
      <c r="E9221" t="s">
        <v>17968</v>
      </c>
      <c r="F9221" t="s">
        <v>17969</v>
      </c>
      <c r="G9221" t="s">
        <v>17970</v>
      </c>
      <c r="H9221" t="n">
        <v>2938</v>
      </c>
      <c r="I9221" t="s">
        <v>14</v>
      </c>
      <c r="J9221" t="s">
        <v>91</v>
      </c>
      <c r="K9221" t="s">
        <v>27</v>
      </c>
      <c r="L9221" t="s">
        <v>20</v>
      </c>
      <c r="M9221" t="s">
        <v>17971</v>
      </c>
      <c r="N9221" t="s">
        <v>17972</v>
      </c>
    </row>
    <row r="9222" x14ac:dyDescent="0.25">
      <c r="A9222" t="n">
        <v>24</v>
      </c>
      <c r="B9222" t="s">
        <v>14</v>
      </c>
      <c r="C9222" t="s">
        <v>22</v>
      </c>
      <c r="D9222" s="2" t="s">
        <f>=HYPERLINK("https://main.knesset.gov.il/APPS/legislation/main/bills/2165193", "הצעת חוק העונשין (תיקון - מאסר עולם לאונס קטינים), התשפ""ב-2021")</f>
        <v>17973</v>
      </c>
      <c r="E9222" t="s">
        <v>17973</v>
      </c>
      <c r="F9222" t="s">
        <v>17974</v>
      </c>
      <c r="G9222" t="s">
        <v>14</v>
      </c>
      <c r="H9222">
             </c>
      <c r="I9222" t="s">
        <v>14</v>
      </c>
      <c r="J9222" t="s">
        <v>141</v>
      </c>
      <c r="K9222" t="s">
        <v>14</v>
      </c>
      <c r="L9222" t="s">
        <v>20</v>
      </c>
      <c r="M9222" t="s">
        <v>17971</v>
      </c>
      <c r="N9222" t="s">
        <v>14</v>
      </c>
    </row>
    <row r="9223" x14ac:dyDescent="0.25">
      <c r="A9223" t="n">
        <v>24</v>
      </c>
      <c r="B9223" t="s">
        <v>14</v>
      </c>
      <c r="C9223" t="s">
        <v>22</v>
      </c>
      <c r="D9223" s="2" t="s">
        <f>=HYPERLINK("https://main.knesset.gov.il/APPS/legislation/main/bills/2165335", "הצעת חוק ההוצאה לפועל (תיקון - קבלת קהל בשעות אחר הצהריים), התשפ""ב-2021")</f>
        <v>17975</v>
      </c>
      <c r="E9223" t="s">
        <v>17975</v>
      </c>
      <c r="F9223" t="s">
        <v>17976</v>
      </c>
      <c r="G9223" t="s">
        <v>14</v>
      </c>
      <c r="H9223">
             </c>
      <c r="I9223" t="s">
        <v>14</v>
      </c>
      <c r="J9223" t="s">
        <v>141</v>
      </c>
      <c r="K9223" t="s">
        <v>14</v>
      </c>
      <c r="L9223" t="s">
        <v>20</v>
      </c>
      <c r="M9223" t="s">
        <v>17971</v>
      </c>
      <c r="N9223" t="s">
        <v>14</v>
      </c>
    </row>
    <row r="9224" x14ac:dyDescent="0.25">
      <c r="A9224" t="n">
        <v>24</v>
      </c>
      <c r="B9224" t="s">
        <v>14</v>
      </c>
      <c r="C9224" t="s">
        <v>22</v>
      </c>
      <c r="D9224" s="2" t="s">
        <f>=HYPERLINK("https://main.knesset.gov.il/APPS/legislation/main/bills/2159797", "הצעת חוק נציבות הדורות הבאים, התשפ""ב-2021")</f>
        <v>17977</v>
      </c>
      <c r="E9224" t="s">
        <v>17977</v>
      </c>
      <c r="F9224" t="s">
        <v>17978</v>
      </c>
      <c r="G9224" t="s">
        <v>14</v>
      </c>
      <c r="H9224">
             </c>
      <c r="I9224" t="s">
        <v>14</v>
      </c>
      <c r="J9224" t="s">
        <v>141</v>
      </c>
      <c r="K9224" t="s">
        <v>14</v>
      </c>
      <c r="L9224" t="s">
        <v>20</v>
      </c>
      <c r="M9224" t="s">
        <v>17971</v>
      </c>
      <c r="N9224" t="s">
        <v>14</v>
      </c>
    </row>
    <row r="9225" x14ac:dyDescent="0.25">
      <c r="A9225" t="n">
        <v>24</v>
      </c>
      <c r="B9225" t="s">
        <v>14</v>
      </c>
      <c r="C9225" t="s">
        <v>22</v>
      </c>
      <c r="D9225" s="2" t="s">
        <f>=HYPERLINK("https://main.knesset.gov.il/APPS/legislation/main/bills/2164350", "הצעת חוק התקשורת (בזק ושידורים) (תיקון - קליטה בטלפון נייד בכל חלקי הארץ), התשפ""ב-2021")</f>
        <v>17979</v>
      </c>
      <c r="E9225" t="s">
        <v>17979</v>
      </c>
      <c r="F9225" t="s">
        <v>17980</v>
      </c>
      <c r="G9225" t="s">
        <v>14</v>
      </c>
      <c r="H9225">
             </c>
      <c r="I9225" t="s">
        <v>14</v>
      </c>
      <c r="J9225" t="s">
        <v>141</v>
      </c>
      <c r="K9225" t="s">
        <v>14</v>
      </c>
      <c r="L9225" t="s">
        <v>20</v>
      </c>
      <c r="M9225" t="s">
        <v>17971</v>
      </c>
      <c r="N9225" t="s">
        <v>14</v>
      </c>
    </row>
    <row r="9226" x14ac:dyDescent="0.25">
      <c r="A9226" t="n">
        <v>24</v>
      </c>
      <c r="B9226" t="s">
        <v>14</v>
      </c>
      <c r="C9226" t="s">
        <v>22</v>
      </c>
      <c r="D9226" s="2" t="s">
        <f>=HYPERLINK("https://main.knesset.gov.il/APPS/legislation/main/bills/2165646", "הצעת חוק איסור הפליה במוצרים, בשירותים ובכניסה למקומות בידור ולמקומות ציבוריים (תיקון - איסור הפליה בשל הובלת עגלת ילדים), התשפ""ב-2021")</f>
        <v>17981</v>
      </c>
      <c r="E9226" t="s">
        <v>17981</v>
      </c>
      <c r="F9226" t="s">
        <v>17982</v>
      </c>
      <c r="G9226" t="s">
        <v>14</v>
      </c>
      <c r="H9226">
             </c>
      <c r="I9226" t="s">
        <v>14</v>
      </c>
      <c r="J9226" t="s">
        <v>141</v>
      </c>
      <c r="K9226" t="s">
        <v>14</v>
      </c>
      <c r="L9226" t="s">
        <v>20</v>
      </c>
      <c r="M9226" t="s">
        <v>17971</v>
      </c>
      <c r="N9226" t="s">
        <v>14</v>
      </c>
    </row>
    <row r="9227" x14ac:dyDescent="0.25">
      <c r="A9227" t="n">
        <v>24</v>
      </c>
      <c r="B9227" t="s">
        <v>14</v>
      </c>
      <c r="C9227" t="s">
        <v>22</v>
      </c>
      <c r="D9227" s="2" t="s">
        <f>=HYPERLINK("https://main.knesset.gov.il/APPS/legislation/main/bills/2165634", "הצעת חוק לתיקון פקודת התעבורה (הגבלת דמי חניה בחניוני בתי חולים), התשפ""ב-2021")</f>
        <v>17571</v>
      </c>
      <c r="E9227" t="s">
        <v>17571</v>
      </c>
      <c r="F9227" t="s">
        <v>17983</v>
      </c>
      <c r="G9227" t="s">
        <v>14</v>
      </c>
      <c r="H9227">
             </c>
      <c r="I9227" t="s">
        <v>14</v>
      </c>
      <c r="J9227" t="s">
        <v>141</v>
      </c>
      <c r="K9227" t="s">
        <v>14</v>
      </c>
      <c r="L9227" t="s">
        <v>20</v>
      </c>
      <c r="M9227" t="s">
        <v>17971</v>
      </c>
      <c r="N9227" t="s">
        <v>14</v>
      </c>
    </row>
    <row r="9228" x14ac:dyDescent="0.25">
      <c r="A9228" t="n">
        <v>24</v>
      </c>
      <c r="B9228" t="s">
        <v>14</v>
      </c>
      <c r="C9228" t="s">
        <v>22</v>
      </c>
      <c r="D9228" s="2" t="s">
        <f>=HYPERLINK("https://main.knesset.gov.il/APPS/legislation/main/bills/2164098", "הצעת חוק איסור לשון הרע (תיקון - חשיפת פרטי מידע של מנוי ברשת תקשורת אלקטרונית), התשפ""ב-2021")</f>
        <v>17984</v>
      </c>
      <c r="E9228" t="s">
        <v>17984</v>
      </c>
      <c r="F9228" t="s">
        <v>17985</v>
      </c>
      <c r="G9228" t="s">
        <v>14</v>
      </c>
      <c r="H9228">
             </c>
      <c r="I9228" t="s">
        <v>14</v>
      </c>
      <c r="J9228" t="s">
        <v>141</v>
      </c>
      <c r="K9228" t="s">
        <v>14</v>
      </c>
      <c r="L9228" t="s">
        <v>20</v>
      </c>
      <c r="M9228" t="s">
        <v>17971</v>
      </c>
      <c r="N9228" t="s">
        <v>14</v>
      </c>
    </row>
    <row r="9229" x14ac:dyDescent="0.25">
      <c r="A9229" t="n">
        <v>24</v>
      </c>
      <c r="B9229" t="s">
        <v>14</v>
      </c>
      <c r="C9229" t="s">
        <v>22</v>
      </c>
      <c r="D9229" s="2" t="s">
        <f>=HYPERLINK("https://main.knesset.gov.il/APPS/legislation/main/bills/2164298", "הצעת חוק העונשין (תיקון - איומים כלפי עובד ציבור), התשפ""ב-2021 ")</f>
        <v>17986</v>
      </c>
      <c r="E9229" t="s">
        <v>17986</v>
      </c>
      <c r="F9229" t="s">
        <v>17987</v>
      </c>
      <c r="G9229" t="s">
        <v>14</v>
      </c>
      <c r="H9229">
             </c>
      <c r="I9229" t="s">
        <v>14</v>
      </c>
      <c r="J9229" t="s">
        <v>141</v>
      </c>
      <c r="K9229" t="s">
        <v>14</v>
      </c>
      <c r="L9229" t="s">
        <v>20</v>
      </c>
      <c r="M9229" t="s">
        <v>17971</v>
      </c>
      <c r="N9229" t="s">
        <v>14</v>
      </c>
    </row>
    <row r="9230" x14ac:dyDescent="0.25">
      <c r="A9230" t="n">
        <v>24</v>
      </c>
      <c r="B9230" t="s">
        <v>14</v>
      </c>
      <c r="C9230" t="s">
        <v>22</v>
      </c>
      <c r="D9230" s="2" t="s">
        <f>=HYPERLINK("https://main.knesset.gov.il/APPS/legislation/main/bills/2165572", "הצעת חוק עובדים זרים (תיקון - שימוש בכספים שלא הוצאו על ידי עובדים זרים ומסתננים), התשפ''ב-2021")</f>
        <v>17988</v>
      </c>
      <c r="E9230" t="s">
        <v>17988</v>
      </c>
      <c r="F9230" t="s">
        <v>17989</v>
      </c>
      <c r="G9230" t="s">
        <v>14</v>
      </c>
      <c r="H9230">
             </c>
      <c r="I9230" t="s">
        <v>14</v>
      </c>
      <c r="J9230" t="s">
        <v>141</v>
      </c>
      <c r="K9230" t="s">
        <v>14</v>
      </c>
      <c r="L9230" t="s">
        <v>20</v>
      </c>
      <c r="M9230" t="s">
        <v>17971</v>
      </c>
      <c r="N9230" t="s">
        <v>14</v>
      </c>
    </row>
    <row r="9231" x14ac:dyDescent="0.25">
      <c r="A9231" t="n">
        <v>24</v>
      </c>
      <c r="B9231" t="s">
        <v>14</v>
      </c>
      <c r="C9231" t="s">
        <v>22</v>
      </c>
      <c r="D9231" s="2" t="s">
        <f>=HYPERLINK("https://main.knesset.gov.il/APPS/legislation/main/bills/2163810", "הצעת חוק לתיקון פקודת התעבורה (רישום והגברת האכיפה באופניים חשמליים או קורקינט חשמלי), התשפ""ב-2021")</f>
        <v>17990</v>
      </c>
      <c r="E9231" t="s">
        <v>17990</v>
      </c>
      <c r="F9231" t="s">
        <v>17991</v>
      </c>
      <c r="G9231" t="s">
        <v>14</v>
      </c>
      <c r="H9231">
             </c>
      <c r="I9231" t="s">
        <v>14</v>
      </c>
      <c r="J9231" t="s">
        <v>141</v>
      </c>
      <c r="K9231" t="s">
        <v>14</v>
      </c>
      <c r="L9231" t="s">
        <v>20</v>
      </c>
      <c r="M9231" t="s">
        <v>17971</v>
      </c>
      <c r="N9231" t="s">
        <v>14</v>
      </c>
    </row>
    <row r="9232" x14ac:dyDescent="0.25">
      <c r="A9232" t="n">
        <v>24</v>
      </c>
      <c r="B9232" t="s">
        <v>14</v>
      </c>
      <c r="C9232" t="s">
        <v>22</v>
      </c>
      <c r="D9232" s="2" t="s">
        <f>=HYPERLINK("https://main.knesset.gov.il/APPS/legislation/main/bills/2165518", "הצעת חוק שירות ביטחון (תיקון - הסדרת תנאי שירות של המשרתים ביחידות מחוץ לצה""ל), התשפ""ב-2021")</f>
        <v>17992</v>
      </c>
      <c r="E9232" t="s">
        <v>17992</v>
      </c>
      <c r="F9232" t="s">
        <v>17993</v>
      </c>
      <c r="G9232" t="s">
        <v>14</v>
      </c>
      <c r="H9232">
             </c>
      <c r="I9232" t="s">
        <v>14</v>
      </c>
      <c r="J9232" t="s">
        <v>141</v>
      </c>
      <c r="K9232" t="s">
        <v>14</v>
      </c>
      <c r="L9232" t="s">
        <v>20</v>
      </c>
      <c r="M9232" t="s">
        <v>17971</v>
      </c>
      <c r="N9232" t="s">
        <v>14</v>
      </c>
    </row>
    <row r="9233" x14ac:dyDescent="0.25">
      <c r="A9233" t="n">
        <v>24</v>
      </c>
      <c r="B9233" t="s">
        <v>14</v>
      </c>
      <c r="C9233" t="s">
        <v>22</v>
      </c>
      <c r="D9233" s="2" t="s">
        <f>=HYPERLINK("https://main.knesset.gov.il/APPS/legislation/main/bills/2156433", "הצעת חוק החקלאות, התשפ""ב-2021 ")</f>
        <v>17994</v>
      </c>
      <c r="E9233" t="s">
        <v>17994</v>
      </c>
      <c r="F9233" t="s">
        <v>17995</v>
      </c>
      <c r="G9233" t="s">
        <v>14</v>
      </c>
      <c r="H9233">
             </c>
      <c r="I9233" t="s">
        <v>14</v>
      </c>
      <c r="J9233" t="s">
        <v>141</v>
      </c>
      <c r="K9233" t="s">
        <v>14</v>
      </c>
      <c r="L9233" t="s">
        <v>20</v>
      </c>
      <c r="M9233" t="s">
        <v>17971</v>
      </c>
      <c r="N9233" t="s">
        <v>14</v>
      </c>
    </row>
    <row r="9234" x14ac:dyDescent="0.25">
      <c r="A9234" t="n">
        <v>24</v>
      </c>
      <c r="B9234" t="s">
        <v>14</v>
      </c>
      <c r="C9234" t="s">
        <v>22</v>
      </c>
      <c r="D9234" s="2" t="s">
        <f>=HYPERLINK("https://main.knesset.gov.il/APPS/legislation/main/bills/2164210", "הצעת חוק חינוך ממלכתי (תיקון - תכנית להוראת שפת הסימנים), התשפ""ב-2021")</f>
        <v>17996</v>
      </c>
      <c r="E9234" t="s">
        <v>17996</v>
      </c>
      <c r="F9234" t="s">
        <v>17997</v>
      </c>
      <c r="G9234" t="s">
        <v>14</v>
      </c>
      <c r="H9234">
             </c>
      <c r="I9234" t="s">
        <v>14</v>
      </c>
      <c r="J9234" t="s">
        <v>141</v>
      </c>
      <c r="K9234" t="s">
        <v>14</v>
      </c>
      <c r="L9234" t="s">
        <v>20</v>
      </c>
      <c r="M9234" t="s">
        <v>17971</v>
      </c>
      <c r="N9234" t="s">
        <v>14</v>
      </c>
    </row>
    <row r="9235" x14ac:dyDescent="0.25">
      <c r="A9235" t="n">
        <v>24</v>
      </c>
      <c r="B9235" t="s">
        <v>14</v>
      </c>
      <c r="C9235" t="s">
        <v>22</v>
      </c>
      <c r="D9235" s="2" t="s">
        <f>=HYPERLINK("https://main.knesset.gov.il/APPS/legislation/main/bills/2165629", "הצעת חוק שירות ביטחון (תיקון - ביטול הצבת חיילים בשירות חובה ביחידות אחרות של משטרת ישראל ובשירות בתי הסוהר), התשפ""ב-2021")</f>
        <v>17998</v>
      </c>
      <c r="E9235" t="s">
        <v>17998</v>
      </c>
      <c r="F9235" t="s">
        <v>17999</v>
      </c>
      <c r="G9235" t="s">
        <v>14</v>
      </c>
      <c r="H9235">
             </c>
      <c r="I9235" t="s">
        <v>14</v>
      </c>
      <c r="J9235" t="s">
        <v>141</v>
      </c>
      <c r="K9235" t="s">
        <v>14</v>
      </c>
      <c r="L9235" t="s">
        <v>20</v>
      </c>
      <c r="M9235" t="s">
        <v>17971</v>
      </c>
      <c r="N9235" t="s">
        <v>14</v>
      </c>
    </row>
    <row r="9236" x14ac:dyDescent="0.25">
      <c r="A9236" t="n">
        <v>24</v>
      </c>
      <c r="B9236" t="s">
        <v>14</v>
      </c>
      <c r="C9236" t="s">
        <v>22</v>
      </c>
      <c r="D9236" s="2" t="s">
        <f>=HYPERLINK("https://main.knesset.gov.il/APPS/legislation/main/bills/2165059", "הצעת חוק קביעת אופן ההעסקה של מטפלות במשפחתונים המפוקחים על ידי משרד הכלכלה והתעשייה, התשפ""ב-2021")</f>
        <v>18000</v>
      </c>
      <c r="E9236" t="s">
        <v>18000</v>
      </c>
      <c r="F9236" t="s">
        <v>18001</v>
      </c>
      <c r="G9236" t="s">
        <v>14</v>
      </c>
      <c r="H9236">
             </c>
      <c r="I9236" t="s">
        <v>14</v>
      </c>
      <c r="J9236" t="s">
        <v>141</v>
      </c>
      <c r="K9236" t="s">
        <v>14</v>
      </c>
      <c r="L9236" t="s">
        <v>20</v>
      </c>
      <c r="M9236" t="s">
        <v>17971</v>
      </c>
      <c r="N9236" t="s">
        <v>14</v>
      </c>
    </row>
    <row r="9237" x14ac:dyDescent="0.25">
      <c r="A9237" t="n">
        <v>24</v>
      </c>
      <c r="B9237" t="s">
        <v>14</v>
      </c>
      <c r="C9237" t="s">
        <v>22</v>
      </c>
      <c r="D9237" s="2" t="s">
        <f>=HYPERLINK("https://main.knesset.gov.il/APPS/legislation/main/bills/2164341", "הצעת חוק למניעת אלימות במשפחה (תיקון - מכשיר מצוקה), התשפ""ב-2021")</f>
        <v>18002</v>
      </c>
      <c r="E9237" t="s">
        <v>18002</v>
      </c>
      <c r="F9237" t="s">
        <v>18003</v>
      </c>
      <c r="G9237" t="s">
        <v>14</v>
      </c>
      <c r="H9237">
             </c>
      <c r="I9237" t="s">
        <v>14</v>
      </c>
      <c r="J9237" t="s">
        <v>141</v>
      </c>
      <c r="K9237" t="s">
        <v>14</v>
      </c>
      <c r="L9237" t="s">
        <v>20</v>
      </c>
      <c r="M9237" t="s">
        <v>17971</v>
      </c>
      <c r="N9237" t="s">
        <v>14</v>
      </c>
    </row>
    <row r="9238" x14ac:dyDescent="0.25">
      <c r="A9238" t="n">
        <v>24</v>
      </c>
      <c r="B9238" t="s">
        <v>14</v>
      </c>
      <c r="C9238" t="s">
        <v>22</v>
      </c>
      <c r="D9238" s="2" t="s">
        <f>=HYPERLINK("https://main.knesset.gov.il/APPS/legislation/main/bills/2165268", "הצעת חוק תרומת זרע, התשפ""ב-2021")</f>
        <v>18004</v>
      </c>
      <c r="E9238" t="s">
        <v>18004</v>
      </c>
      <c r="F9238" t="s">
        <v>18005</v>
      </c>
      <c r="G9238" t="s">
        <v>14</v>
      </c>
      <c r="H9238">
             </c>
      <c r="I9238" t="s">
        <v>14</v>
      </c>
      <c r="J9238" t="s">
        <v>141</v>
      </c>
      <c r="K9238" t="s">
        <v>14</v>
      </c>
      <c r="L9238" t="s">
        <v>20</v>
      </c>
      <c r="M9238" t="s">
        <v>17971</v>
      </c>
      <c r="N9238" t="s">
        <v>14</v>
      </c>
    </row>
    <row r="9239" x14ac:dyDescent="0.25">
      <c r="A9239" t="n">
        <v>24</v>
      </c>
      <c r="B9239" t="s">
        <v>14</v>
      </c>
      <c r="C9239" t="s">
        <v>22</v>
      </c>
      <c r="D9239" s="2" t="s">
        <f>=HYPERLINK("https://main.knesset.gov.il/APPS/legislation/main/bills/2161104", "הצעת חוק זכויות הדייר בדיור הציבורי (תיקון - זכאות לדיור ציבורי להורה עצמאי המקבל מהמוסד לביטוח לאומי תשלום מזונות ואינו זכאי להבטחת הכנסה), התשפ""ב-2021")</f>
        <v>18006</v>
      </c>
      <c r="E9239" t="s">
        <v>18006</v>
      </c>
      <c r="F9239" t="s">
        <v>18007</v>
      </c>
      <c r="G9239" t="s">
        <v>14</v>
      </c>
      <c r="H9239">
             </c>
      <c r="I9239" t="s">
        <v>14</v>
      </c>
      <c r="J9239" t="s">
        <v>141</v>
      </c>
      <c r="K9239" t="s">
        <v>14</v>
      </c>
      <c r="L9239" t="s">
        <v>20</v>
      </c>
      <c r="M9239" t="s">
        <v>17971</v>
      </c>
      <c r="N9239" t="s">
        <v>14</v>
      </c>
    </row>
    <row r="9240" x14ac:dyDescent="0.25">
      <c r="A9240" t="n">
        <v>24</v>
      </c>
      <c r="B9240" t="s">
        <v>14</v>
      </c>
      <c r="C9240" t="s">
        <v>22</v>
      </c>
      <c r="D9240" s="2" t="s">
        <f>=HYPERLINK("https://main.knesset.gov.il/APPS/legislation/main/bills/2165429", "הצעת חוק הביטוח הלאומי (תיקון - דמי ביטוח מופחתים לסטודנטים), התשפ""ב-2021")</f>
        <v>17493</v>
      </c>
      <c r="E9240" t="s">
        <v>17493</v>
      </c>
      <c r="F9240" t="s">
        <v>18008</v>
      </c>
      <c r="G9240" t="s">
        <v>14</v>
      </c>
      <c r="H9240">
             </c>
      <c r="I9240" t="s">
        <v>14</v>
      </c>
      <c r="J9240" t="s">
        <v>141</v>
      </c>
      <c r="K9240" t="s">
        <v>14</v>
      </c>
      <c r="L9240" t="s">
        <v>20</v>
      </c>
      <c r="M9240" t="s">
        <v>17971</v>
      </c>
      <c r="N9240" t="s">
        <v>14</v>
      </c>
    </row>
    <row r="9241" x14ac:dyDescent="0.25">
      <c r="A9241" t="n">
        <v>24</v>
      </c>
      <c r="B9241" t="s">
        <v>14</v>
      </c>
      <c r="C9241" t="s">
        <v>22</v>
      </c>
      <c r="D9241" s="2" t="s">
        <f>=HYPERLINK("https://main.knesset.gov.il/APPS/legislation/main/bills/2165425", "הצעת חוק המרכז למורשת יהדות תוניסיה וג'רבה, התשפ""ב-2021")</f>
        <v>18009</v>
      </c>
      <c r="E9241" t="s">
        <v>18009</v>
      </c>
      <c r="F9241" t="s">
        <v>18010</v>
      </c>
      <c r="G9241" t="s">
        <v>14</v>
      </c>
      <c r="H9241">
             </c>
      <c r="I9241" t="s">
        <v>14</v>
      </c>
      <c r="J9241" t="s">
        <v>141</v>
      </c>
      <c r="K9241" t="s">
        <v>14</v>
      </c>
      <c r="L9241" t="s">
        <v>20</v>
      </c>
      <c r="M9241" t="s">
        <v>17971</v>
      </c>
      <c r="N9241" t="s">
        <v>14</v>
      </c>
    </row>
    <row r="9242" x14ac:dyDescent="0.25">
      <c r="A9242" t="n">
        <v>24</v>
      </c>
      <c r="B9242" t="s">
        <v>14</v>
      </c>
      <c r="C9242" t="s">
        <v>22</v>
      </c>
      <c r="D9242" s="2" t="s">
        <f>=HYPERLINK("https://main.knesset.gov.il/APPS/legislation/main/bills/2165456", "הצעת חוק חינוך ממלכתי (תיקון - חינוך אקלימי), התשפ""ב-2021")</f>
        <v>18011</v>
      </c>
      <c r="E9242" t="s">
        <v>18011</v>
      </c>
      <c r="F9242" t="s">
        <v>18012</v>
      </c>
      <c r="G9242" t="s">
        <v>14</v>
      </c>
      <c r="H9242">
             </c>
      <c r="I9242" t="s">
        <v>14</v>
      </c>
      <c r="J9242" t="s">
        <v>141</v>
      </c>
      <c r="K9242" t="s">
        <v>14</v>
      </c>
      <c r="L9242" t="s">
        <v>20</v>
      </c>
      <c r="M9242" t="s">
        <v>17971</v>
      </c>
      <c r="N9242" t="s">
        <v>14</v>
      </c>
    </row>
    <row r="9243" x14ac:dyDescent="0.25">
      <c r="A9243" t="n">
        <v>24</v>
      </c>
      <c r="B9243" t="s">
        <v>14</v>
      </c>
      <c r="C9243" t="s">
        <v>22</v>
      </c>
      <c r="D9243" s="2" t="s">
        <f>=HYPERLINK("https://main.knesset.gov.il/APPS/legislation/main/bills/2165260", "הצעת חוק הסדרת העיסוק במקצועות הבריאות (תיקון - הסדרת העיסוק בפודולוגיה), התשפ""ב-2021")</f>
        <v>18013</v>
      </c>
      <c r="E9243" t="s">
        <v>18013</v>
      </c>
      <c r="F9243" t="s">
        <v>18014</v>
      </c>
      <c r="G9243" t="s">
        <v>14</v>
      </c>
      <c r="H9243">
             </c>
      <c r="I9243" t="s">
        <v>14</v>
      </c>
      <c r="J9243" t="s">
        <v>141</v>
      </c>
      <c r="K9243" t="s">
        <v>14</v>
      </c>
      <c r="L9243" t="s">
        <v>20</v>
      </c>
      <c r="M9243" t="s">
        <v>17971</v>
      </c>
      <c r="N9243" t="s">
        <v>14</v>
      </c>
    </row>
    <row r="9244" x14ac:dyDescent="0.25">
      <c r="A9244" t="n">
        <v>24</v>
      </c>
      <c r="B9244" t="s">
        <v>14</v>
      </c>
      <c r="C9244" t="s">
        <v>22</v>
      </c>
      <c r="D9244" s="2" t="s">
        <f>=HYPERLINK("https://main.knesset.gov.il/APPS/legislation/main/bills/2165587", "הצעת חוק קביעת הזמן (תיקון - ביטול שעון חורף), התשפ""ב-2021")</f>
        <v>18015</v>
      </c>
      <c r="E9244" t="s">
        <v>18015</v>
      </c>
      <c r="F9244" t="s">
        <v>18016</v>
      </c>
      <c r="G9244" t="s">
        <v>14</v>
      </c>
      <c r="H9244">
             </c>
      <c r="I9244" t="s">
        <v>14</v>
      </c>
      <c r="J9244" t="s">
        <v>141</v>
      </c>
      <c r="K9244" t="s">
        <v>14</v>
      </c>
      <c r="L9244" t="s">
        <v>20</v>
      </c>
      <c r="M9244" t="s">
        <v>17971</v>
      </c>
      <c r="N9244" t="s">
        <v>14</v>
      </c>
    </row>
    <row r="9245" x14ac:dyDescent="0.25">
      <c r="A9245" t="n">
        <v>24</v>
      </c>
      <c r="B9245" t="s">
        <v>14</v>
      </c>
      <c r="C9245" t="s">
        <v>22</v>
      </c>
      <c r="D9245" s="2" t="s">
        <f>=HYPERLINK("https://main.knesset.gov.il/APPS/legislation/main/bills/2165546", "הצעת חוק יום העצמאיות והעצמאים, התשפ""ב-2021")</f>
        <v>18017</v>
      </c>
      <c r="E9245" t="s">
        <v>18017</v>
      </c>
      <c r="F9245" t="s">
        <v>18018</v>
      </c>
      <c r="G9245" t="s">
        <v>14</v>
      </c>
      <c r="H9245">
             </c>
      <c r="I9245" t="s">
        <v>14</v>
      </c>
      <c r="J9245" t="s">
        <v>343</v>
      </c>
      <c r="K9245" t="s">
        <v>14</v>
      </c>
      <c r="L9245" t="s">
        <v>20</v>
      </c>
      <c r="M9245" t="s">
        <v>17971</v>
      </c>
      <c r="N9245" t="s">
        <v>14</v>
      </c>
    </row>
    <row r="9246" x14ac:dyDescent="0.25">
      <c r="A9246" t="n">
        <v>24</v>
      </c>
      <c r="B9246" t="s">
        <v>14</v>
      </c>
      <c r="C9246" t="s">
        <v>22</v>
      </c>
      <c r="D9246" s="2" t="s">
        <f>=HYPERLINK("https://main.knesset.gov.il/APPS/legislation/main/bills/2164499", "הצעת חוק לתיקון פקודת מס הכנסה (דחיית הגשת דיווח שנתי לעסק שהוקם ברבעון האחרון של השנה), התשפ""ב-2021")</f>
        <v>18019</v>
      </c>
      <c r="E9246" t="s">
        <v>18019</v>
      </c>
      <c r="F9246" t="s">
        <v>18020</v>
      </c>
      <c r="G9246" t="s">
        <v>14</v>
      </c>
      <c r="H9246">
             </c>
      <c r="I9246" t="s">
        <v>14</v>
      </c>
      <c r="J9246" t="s">
        <v>141</v>
      </c>
      <c r="K9246" t="s">
        <v>14</v>
      </c>
      <c r="L9246" t="s">
        <v>20</v>
      </c>
      <c r="M9246" t="s">
        <v>17971</v>
      </c>
      <c r="N9246" t="s">
        <v>14</v>
      </c>
    </row>
    <row r="9247" x14ac:dyDescent="0.25">
      <c r="A9247" t="n">
        <v>24</v>
      </c>
      <c r="B9247" t="s">
        <v>14</v>
      </c>
      <c r="C9247" t="s">
        <v>22</v>
      </c>
      <c r="D9247" s="2" t="s">
        <f>=HYPERLINK("https://main.knesset.gov.il/APPS/legislation/main/bills/2163310", "הצעת חוק הכשרות המשפטית והאפוטרופסות (תיקון - מניעת פגיעה בקטין על ידי חשיפתו להורה אלים), התשפ""ב-2021")</f>
        <v>18021</v>
      </c>
      <c r="E9247" t="s">
        <v>18021</v>
      </c>
      <c r="F9247" t="s">
        <v>18022</v>
      </c>
      <c r="G9247" t="s">
        <v>14</v>
      </c>
      <c r="H9247">
             </c>
      <c r="I9247" t="s">
        <v>14</v>
      </c>
      <c r="J9247" t="s">
        <v>141</v>
      </c>
      <c r="K9247" t="s">
        <v>14</v>
      </c>
      <c r="L9247" t="s">
        <v>20</v>
      </c>
      <c r="M9247" t="s">
        <v>17971</v>
      </c>
      <c r="N9247" t="s">
        <v>14</v>
      </c>
    </row>
    <row r="9248" x14ac:dyDescent="0.25">
      <c r="A9248" t="n">
        <v>24</v>
      </c>
      <c r="B9248" t="s">
        <v>14</v>
      </c>
      <c r="C9248" t="s">
        <v>22</v>
      </c>
      <c r="D9248" s="2" t="s">
        <f>=HYPERLINK("https://main.knesset.gov.il/APPS/legislation/main/bills/2162656", "הצעת חוק הגנת הצרכן (תיקון - הנגשת הסכמים לצרכנים שאינם דוברי עברית), התשפ""ב-2021")</f>
        <v>18023</v>
      </c>
      <c r="E9248" t="s">
        <v>18023</v>
      </c>
      <c r="F9248" t="s">
        <v>18024</v>
      </c>
      <c r="G9248" t="s">
        <v>14</v>
      </c>
      <c r="H9248">
             </c>
      <c r="I9248" t="s">
        <v>14</v>
      </c>
      <c r="J9248" t="s">
        <v>141</v>
      </c>
      <c r="K9248" t="s">
        <v>14</v>
      </c>
      <c r="L9248" t="s">
        <v>20</v>
      </c>
      <c r="M9248" t="s">
        <v>17971</v>
      </c>
      <c r="N9248" t="s">
        <v>14</v>
      </c>
    </row>
    <row r="9249" x14ac:dyDescent="0.25">
      <c r="A9249" t="n">
        <v>24</v>
      </c>
      <c r="B9249" t="s">
        <v>14</v>
      </c>
      <c r="C9249" t="s">
        <v>22</v>
      </c>
      <c r="D9249" s="2" t="s">
        <f>=HYPERLINK("https://main.knesset.gov.il/APPS/legislation/main/bills/2164181", "הצעת חוק לתיקון פקודת מס הכנסה (שתי נקודות זיכוי לסטודנטים ולתומכיהם), התשפ""ב-2021")</f>
        <v>18025</v>
      </c>
      <c r="E9249" t="s">
        <v>18025</v>
      </c>
      <c r="F9249" t="s">
        <v>18026</v>
      </c>
      <c r="G9249" t="s">
        <v>14</v>
      </c>
      <c r="H9249">
             </c>
      <c r="I9249" t="s">
        <v>14</v>
      </c>
      <c r="J9249" t="s">
        <v>141</v>
      </c>
      <c r="K9249" t="s">
        <v>14</v>
      </c>
      <c r="L9249" t="s">
        <v>20</v>
      </c>
      <c r="M9249" t="s">
        <v>17971</v>
      </c>
      <c r="N9249" t="s">
        <v>14</v>
      </c>
    </row>
    <row r="9250" x14ac:dyDescent="0.25">
      <c r="A9250" t="n">
        <v>24</v>
      </c>
      <c r="B9250" t="s">
        <v>14</v>
      </c>
      <c r="C9250" t="s">
        <v>22</v>
      </c>
      <c r="D9250" s="2" t="s">
        <f>=HYPERLINK("https://main.knesset.gov.il/APPS/legislation/main/bills/2165403", "הצעת חוק חובת מכרזים (תיקון - עידוד עסקים להעסקת בני החברה הערבית והחרדית), התשפ""ב-2021")</f>
        <v>18027</v>
      </c>
      <c r="E9250" t="s">
        <v>18027</v>
      </c>
      <c r="F9250" t="s">
        <v>18028</v>
      </c>
      <c r="G9250" t="s">
        <v>14</v>
      </c>
      <c r="H9250">
             </c>
      <c r="I9250" t="s">
        <v>14</v>
      </c>
      <c r="J9250" t="s">
        <v>141</v>
      </c>
      <c r="K9250" t="s">
        <v>14</v>
      </c>
      <c r="L9250" t="s">
        <v>20</v>
      </c>
      <c r="M9250" t="s">
        <v>17971</v>
      </c>
      <c r="N9250" t="s">
        <v>14</v>
      </c>
    </row>
    <row r="9251" x14ac:dyDescent="0.25">
      <c r="A9251" t="n">
        <v>24</v>
      </c>
      <c r="B9251" t="s">
        <v>14</v>
      </c>
      <c r="C9251" t="s">
        <v>22</v>
      </c>
      <c r="D9251" s="2" t="s">
        <f>=HYPERLINK("https://main.knesset.gov.il/APPS/legislation/main/bills/2163572", "הצעת חוק להרחבת הייצוג ההולם של בני האוכלוסייה החרדית ברשויות ובתאגידים ציבוריים (תיקוני חקיקה), התשפ""ב-2021")</f>
        <v>18029</v>
      </c>
      <c r="E9251" t="s">
        <v>18029</v>
      </c>
      <c r="F9251" t="s">
        <v>18030</v>
      </c>
      <c r="G9251" t="s">
        <v>14</v>
      </c>
      <c r="H9251">
             </c>
      <c r="I9251" t="s">
        <v>14</v>
      </c>
      <c r="J9251" t="s">
        <v>141</v>
      </c>
      <c r="K9251" t="s">
        <v>14</v>
      </c>
      <c r="L9251" t="s">
        <v>20</v>
      </c>
      <c r="M9251" t="s">
        <v>17971</v>
      </c>
      <c r="N9251" t="s">
        <v>14</v>
      </c>
    </row>
    <row r="9252" x14ac:dyDescent="0.25">
      <c r="A9252" t="n">
        <v>24</v>
      </c>
      <c r="B9252" t="s">
        <v>14</v>
      </c>
      <c r="C9252" t="s">
        <v>22</v>
      </c>
      <c r="D9252" s="2" t="s">
        <f>=HYPERLINK("https://main.knesset.gov.il/APPS/legislation/main/bills/2165408", "הצעת חוק החלת ריבונות על בקעת הירדן, גוש עציון, גבעת זאב, מעלה אדומים, ביתר עילית ועפרה, התשפ""ב-2021")</f>
        <v>18031</v>
      </c>
      <c r="E9252" t="s">
        <v>18031</v>
      </c>
      <c r="F9252" t="s">
        <v>18032</v>
      </c>
      <c r="G9252" t="s">
        <v>14</v>
      </c>
      <c r="H9252">
             </c>
      <c r="I9252" t="s">
        <v>14</v>
      </c>
      <c r="J9252" t="s">
        <v>141</v>
      </c>
      <c r="K9252" t="s">
        <v>14</v>
      </c>
      <c r="L9252" t="s">
        <v>20</v>
      </c>
      <c r="M9252" t="s">
        <v>17971</v>
      </c>
      <c r="N9252" t="s">
        <v>14</v>
      </c>
    </row>
    <row r="9253" x14ac:dyDescent="0.25">
      <c r="A9253" t="n">
        <v>24</v>
      </c>
      <c r="B9253" t="s">
        <v>14</v>
      </c>
      <c r="C9253" t="s">
        <v>22</v>
      </c>
      <c r="D9253" s="2" t="s">
        <f>=HYPERLINK("https://main.knesset.gov.il/APPS/legislation/main/bills/2165410", "הצעת חוק לתיקון פקודת מס הכנסה (דחיית הגשת דיווח שנתי לעסק שהוקם ברבעון האחרון של השנה), התשפ""ב-2021")</f>
        <v>18019</v>
      </c>
      <c r="E9253" t="s">
        <v>18019</v>
      </c>
      <c r="F9253" t="s">
        <v>18033</v>
      </c>
      <c r="G9253" t="s">
        <v>14</v>
      </c>
      <c r="H9253">
             </c>
      <c r="I9253" t="s">
        <v>14</v>
      </c>
      <c r="J9253" t="s">
        <v>141</v>
      </c>
      <c r="K9253" t="s">
        <v>14</v>
      </c>
      <c r="L9253" t="s">
        <v>20</v>
      </c>
      <c r="M9253" t="s">
        <v>17971</v>
      </c>
      <c r="N9253" t="s">
        <v>14</v>
      </c>
    </row>
    <row r="9254" x14ac:dyDescent="0.25">
      <c r="A9254" t="n">
        <v>24</v>
      </c>
      <c r="B9254" t="s">
        <v>14</v>
      </c>
      <c r="C9254" t="s">
        <v>22</v>
      </c>
      <c r="D9254" s="2" t="s">
        <f>=HYPERLINK("https://main.knesset.gov.il/APPS/legislation/main/bills/2165412", "הצעת חוק בתי המשפט (תיקון - שקיפות הליכים משפטיים), התשפ""ב-2021")</f>
        <v>18034</v>
      </c>
      <c r="E9254" t="s">
        <v>18034</v>
      </c>
      <c r="F9254" t="s">
        <v>18035</v>
      </c>
      <c r="G9254" t="s">
        <v>14</v>
      </c>
      <c r="H9254">
             </c>
      <c r="I9254" t="s">
        <v>14</v>
      </c>
      <c r="J9254" t="s">
        <v>141</v>
      </c>
      <c r="K9254" t="s">
        <v>14</v>
      </c>
      <c r="L9254" t="s">
        <v>20</v>
      </c>
      <c r="M9254" t="s">
        <v>17971</v>
      </c>
      <c r="N9254" t="s">
        <v>14</v>
      </c>
    </row>
    <row r="9255" x14ac:dyDescent="0.25">
      <c r="A9255" t="n">
        <v>24</v>
      </c>
      <c r="B9255" t="s">
        <v>14</v>
      </c>
      <c r="C9255" t="s">
        <v>22</v>
      </c>
      <c r="D9255" s="2" t="s">
        <f>=HYPERLINK("https://main.knesset.gov.il/APPS/legislation/main/bills/2163101", "הצעת חוק לתיקון פקודת הנמלים (איסור על השטת כלי שיט ועל הפלגה באופנוע ים בשכרות), התשפ""ב-2021")</f>
        <v>18036</v>
      </c>
      <c r="E9255" t="s">
        <v>18036</v>
      </c>
      <c r="F9255" t="s">
        <v>18037</v>
      </c>
      <c r="G9255" t="s">
        <v>14</v>
      </c>
      <c r="H9255">
             </c>
      <c r="I9255" t="s">
        <v>14</v>
      </c>
      <c r="J9255" t="s">
        <v>31</v>
      </c>
      <c r="K9255" t="s">
        <v>19</v>
      </c>
      <c r="L9255" t="s">
        <v>20</v>
      </c>
      <c r="M9255" t="s">
        <v>18038</v>
      </c>
      <c r="N9255" t="s">
        <v>14</v>
      </c>
    </row>
    <row r="9256" x14ac:dyDescent="0.25">
      <c r="A9256" t="n">
        <v>24</v>
      </c>
      <c r="B9256" t="s">
        <v>14</v>
      </c>
      <c r="C9256" t="s">
        <v>22</v>
      </c>
      <c r="D9256" s="2" t="s">
        <f>=HYPERLINK("https://main.knesset.gov.il/APPS/legislation/main/bills/2156431", "הצעת חוק לתיקון פקודת התעבורה (חובת נשיאת לוחית זיהוי באופניים ממונעים ובקורקינט ממונע), התשפ""א-2021")</f>
        <v>18039</v>
      </c>
      <c r="E9256" t="s">
        <v>18039</v>
      </c>
      <c r="F9256" t="s">
        <v>18040</v>
      </c>
      <c r="G9256" t="s">
        <v>14</v>
      </c>
      <c r="H9256">
             </c>
      <c r="I9256" t="s">
        <v>14</v>
      </c>
      <c r="J9256" t="s">
        <v>31</v>
      </c>
      <c r="K9256" t="s">
        <v>19</v>
      </c>
      <c r="L9256" t="s">
        <v>20</v>
      </c>
      <c r="M9256" t="s">
        <v>18038</v>
      </c>
      <c r="N9256" t="s">
        <v>14</v>
      </c>
    </row>
    <row r="9257" x14ac:dyDescent="0.25">
      <c r="A9257" t="n">
        <v>24</v>
      </c>
      <c r="B9257" t="s">
        <v>14</v>
      </c>
      <c r="C9257" t="s">
        <v>22</v>
      </c>
      <c r="D9257" s="2" t="s">
        <f>=HYPERLINK("https://main.knesset.gov.il/APPS/legislation/main/bills/2156071", "הצעת חוק דמי מחלה (היעדרות בשל מחלת ילד) (תיקון - מחלת תינוק), התשפ""א-2021")</f>
        <v>18041</v>
      </c>
      <c r="E9257" t="s">
        <v>18041</v>
      </c>
      <c r="F9257" t="s">
        <v>18042</v>
      </c>
      <c r="G9257" t="s">
        <v>14</v>
      </c>
      <c r="H9257">
             </c>
      <c r="I9257" t="s">
        <v>14</v>
      </c>
      <c r="J9257" t="s">
        <v>55</v>
      </c>
      <c r="K9257" t="s">
        <v>14</v>
      </c>
      <c r="L9257" t="s">
        <v>20</v>
      </c>
      <c r="M9257" t="s">
        <v>18038</v>
      </c>
      <c r="N9257" t="s">
        <v>14</v>
      </c>
    </row>
    <row r="9258" x14ac:dyDescent="0.25">
      <c r="A9258" t="n">
        <v>24</v>
      </c>
      <c r="B9258" t="s">
        <v>14</v>
      </c>
      <c r="C9258" t="s">
        <v>22</v>
      </c>
      <c r="D9258" s="2" t="s">
        <f>=HYPERLINK("https://main.knesset.gov.il/APPS/legislation/main/bills/2156485", "הצעת חוק הביטוח הלאומי (תיקון - השוואת קצבת נכות לשכר המינימום), התשפ""א-2021")</f>
        <v>18043</v>
      </c>
      <c r="E9258" t="s">
        <v>18043</v>
      </c>
      <c r="F9258" t="s">
        <v>18044</v>
      </c>
      <c r="G9258" t="s">
        <v>14</v>
      </c>
      <c r="H9258">
             </c>
      <c r="I9258" t="s">
        <v>14</v>
      </c>
      <c r="J9258" t="s">
        <v>55</v>
      </c>
      <c r="K9258" t="s">
        <v>14</v>
      </c>
      <c r="L9258" t="s">
        <v>20</v>
      </c>
      <c r="M9258" t="s">
        <v>18038</v>
      </c>
      <c r="N9258" t="s">
        <v>14</v>
      </c>
    </row>
    <row r="9259" x14ac:dyDescent="0.25">
      <c r="A9259" t="n">
        <v>24</v>
      </c>
      <c r="B9259" t="s">
        <v>14</v>
      </c>
      <c r="C9259" t="s">
        <v>22</v>
      </c>
      <c r="D9259" s="2" t="s">
        <f>=HYPERLINK("https://main.knesset.gov.il/APPS/legislation/main/bills/2156060", "הצעת חוק גיור ממלכתי בישראל, התשפ""א-2021")</f>
        <v>18045</v>
      </c>
      <c r="E9259" t="s">
        <v>18045</v>
      </c>
      <c r="F9259" t="s">
        <v>18046</v>
      </c>
      <c r="G9259" t="s">
        <v>14</v>
      </c>
      <c r="H9259">
             </c>
      <c r="I9259" t="s">
        <v>14</v>
      </c>
      <c r="J9259" t="s">
        <v>343</v>
      </c>
      <c r="K9259" t="s">
        <v>14</v>
      </c>
      <c r="L9259" t="s">
        <v>20</v>
      </c>
      <c r="M9259" t="s">
        <v>18038</v>
      </c>
      <c r="N9259" t="s">
        <v>14</v>
      </c>
    </row>
    <row r="9260" x14ac:dyDescent="0.25">
      <c r="A9260" t="n">
        <v>24</v>
      </c>
      <c r="B9260" t="s">
        <v>14</v>
      </c>
      <c r="C9260" t="s">
        <v>15</v>
      </c>
      <c r="D9260" s="2" t="s">
        <f>=HYPERLINK("https://main.knesset.gov.il/APPS/legislation/main/bills/2165687", "הצעת חוק הסמכת שירות הביטחון הכללי לסייע במאמץ הלאומי לצמצום התפשטות זן אומיקרון omicron של נגיף הקורונה החדש (הוראה שעה), התשפ""ב-2021")</f>
        <v>18047</v>
      </c>
      <c r="E9260" t="s">
        <v>18047</v>
      </c>
      <c r="F9260" t="s">
        <v>14</v>
      </c>
      <c r="G9260" t="s">
        <v>18048</v>
      </c>
      <c r="H9260">
             </c>
      <c r="I9260" t="s">
        <v>14</v>
      </c>
      <c r="J9260" t="s">
        <v>69</v>
      </c>
      <c r="K9260" t="s">
        <v>14</v>
      </c>
      <c r="L9260" t="s">
        <v>20</v>
      </c>
      <c r="M9260" t="s">
        <v>18038</v>
      </c>
      <c r="N9260" t="s">
        <v>14</v>
      </c>
    </row>
    <row r="9261" x14ac:dyDescent="0.25">
      <c r="A9261" t="n">
        <v>24</v>
      </c>
      <c r="B9261" t="s">
        <v>14</v>
      </c>
      <c r="C9261" t="s">
        <v>15</v>
      </c>
      <c r="D9261" s="2" t="s">
        <f>=HYPERLINK("https://main.knesset.gov.il/APPS/legislation/main/bills/2165689", "הצעת חוק תובענות ייצוגיות (תיקון מס' 14), התשפ""ב-2021")</f>
        <v>18049</v>
      </c>
      <c r="E9261" t="s">
        <v>18049</v>
      </c>
      <c r="F9261" t="s">
        <v>14</v>
      </c>
      <c r="G9261" t="s">
        <v>18050</v>
      </c>
      <c r="H9261">
             </c>
      <c r="I9261" t="s">
        <v>14</v>
      </c>
      <c r="J9261" t="s">
        <v>1141</v>
      </c>
      <c r="K9261" t="s">
        <v>14</v>
      </c>
      <c r="L9261" t="s">
        <v>20</v>
      </c>
      <c r="M9261" t="s">
        <v>18038</v>
      </c>
      <c r="N9261" t="s">
        <v>14</v>
      </c>
    </row>
    <row r="9262" x14ac:dyDescent="0.25">
      <c r="A9262" t="n">
        <v>24</v>
      </c>
      <c r="B9262" t="s">
        <v>14</v>
      </c>
      <c r="C9262" t="s">
        <v>15</v>
      </c>
      <c r="D9262" s="2" t="s">
        <f>=HYPERLINK("https://main.knesset.gov.il/APPS/legislation/main/bills/2159954", "חוק שיפוט בתי דין רבניים (נישואין וגירושין) (תיקון מס' 5 והוראת שעה), התשפ""ב-2021 ")</f>
        <v>18051</v>
      </c>
      <c r="E9262" t="s">
        <v>18051</v>
      </c>
      <c r="F9262" t="s">
        <v>14</v>
      </c>
      <c r="G9262" t="s">
        <v>18052</v>
      </c>
      <c r="H9262" t="n">
        <v>2937</v>
      </c>
      <c r="I9262" t="s">
        <v>14</v>
      </c>
      <c r="J9262" t="s">
        <v>91</v>
      </c>
      <c r="K9262" t="s">
        <v>27</v>
      </c>
      <c r="L9262" t="s">
        <v>20</v>
      </c>
      <c r="M9262" t="s">
        <v>18053</v>
      </c>
      <c r="N9262" t="s">
        <v>18054</v>
      </c>
    </row>
    <row r="9263" x14ac:dyDescent="0.25">
      <c r="A9263" t="n">
        <v>24</v>
      </c>
      <c r="B9263" t="s">
        <v>14</v>
      </c>
      <c r="C9263" t="s">
        <v>15</v>
      </c>
      <c r="D9263" s="2" t="s">
        <f>=HYPERLINK("https://main.knesset.gov.il/APPS/legislation/main/bills/2164424", "חוק סמכויות מיוחדות להתמודדות עם נגיף הקורונה החדש (הוראת שעה) (תיקון מס' 10), התשפ""ב-2021")</f>
        <v>18055</v>
      </c>
      <c r="E9263" t="s">
        <v>18055</v>
      </c>
      <c r="F9263" t="s">
        <v>14</v>
      </c>
      <c r="G9263" t="s">
        <v>16973</v>
      </c>
      <c r="H9263" t="n">
        <v>2936</v>
      </c>
      <c r="I9263" t="s">
        <v>14</v>
      </c>
      <c r="J9263" t="s">
        <v>91</v>
      </c>
      <c r="K9263" t="s">
        <v>27</v>
      </c>
      <c r="L9263" t="s">
        <v>20</v>
      </c>
      <c r="M9263" t="s">
        <v>18056</v>
      </c>
      <c r="N9263" t="s">
        <v>18057</v>
      </c>
    </row>
    <row r="9264" x14ac:dyDescent="0.25">
      <c r="A9264" t="n">
        <v>24</v>
      </c>
      <c r="B9264" t="s">
        <v>14</v>
      </c>
      <c r="C9264" t="s">
        <v>22</v>
      </c>
      <c r="D9264" s="2" t="s">
        <f>=HYPERLINK("https://main.knesset.gov.il/APPS/legislation/main/bills/2165308", "הצעת חוק שוויון ההזדמנויות בעבודה (תיקון - חשיפת תנאי העבודה בין עובדים), התשפ""ב-2021")</f>
        <v>18058</v>
      </c>
      <c r="E9264" t="s">
        <v>18058</v>
      </c>
      <c r="F9264" t="s">
        <v>18059</v>
      </c>
      <c r="G9264" t="s">
        <v>14</v>
      </c>
      <c r="H9264">
             </c>
      <c r="I9264" t="s">
        <v>14</v>
      </c>
      <c r="J9264" t="s">
        <v>141</v>
      </c>
      <c r="K9264" t="s">
        <v>14</v>
      </c>
      <c r="L9264" t="s">
        <v>20</v>
      </c>
      <c r="M9264" t="s">
        <v>18056</v>
      </c>
      <c r="N9264" t="s">
        <v>14</v>
      </c>
    </row>
    <row r="9265" x14ac:dyDescent="0.25">
      <c r="A9265" t="n">
        <v>24</v>
      </c>
      <c r="B9265" t="s">
        <v>14</v>
      </c>
      <c r="C9265" t="s">
        <v>22</v>
      </c>
      <c r="D9265" s="2" t="s">
        <f>=HYPERLINK("https://main.knesset.gov.il/APPS/legislation/main/bills/2165344", "הצעת חוק הביטוח הלאומי (תיקון - אבטחה במוסד רפואי כעבודה מועדפת), התשפ''ב-2021")</f>
        <v>18060</v>
      </c>
      <c r="E9265" t="s">
        <v>18060</v>
      </c>
      <c r="F9265" t="s">
        <v>18061</v>
      </c>
      <c r="G9265" t="s">
        <v>14</v>
      </c>
      <c r="H9265">
             </c>
      <c r="I9265" t="s">
        <v>14</v>
      </c>
      <c r="J9265" t="s">
        <v>141</v>
      </c>
      <c r="K9265" t="s">
        <v>14</v>
      </c>
      <c r="L9265" t="s">
        <v>20</v>
      </c>
      <c r="M9265" t="s">
        <v>18056</v>
      </c>
      <c r="N9265" t="s">
        <v>14</v>
      </c>
    </row>
    <row r="9266" x14ac:dyDescent="0.25">
      <c r="A9266" t="n">
        <v>24</v>
      </c>
      <c r="B9266" t="s">
        <v>14</v>
      </c>
      <c r="C9266" t="s">
        <v>22</v>
      </c>
      <c r="D9266" s="2" t="s">
        <f>=HYPERLINK("https://main.knesset.gov.il/APPS/legislation/main/bills/2159250", "הצעת חוק הפיקוח על שירותים פיננסיים (קופות גמל) (תיקון - היוון קצבה), התשפ""ב-2021")</f>
        <v>18062</v>
      </c>
      <c r="E9266" t="s">
        <v>18062</v>
      </c>
      <c r="F9266" t="s">
        <v>18063</v>
      </c>
      <c r="G9266" t="s">
        <v>14</v>
      </c>
      <c r="H9266">
             </c>
      <c r="I9266" t="s">
        <v>14</v>
      </c>
      <c r="J9266" t="s">
        <v>141</v>
      </c>
      <c r="K9266" t="s">
        <v>14</v>
      </c>
      <c r="L9266" t="s">
        <v>20</v>
      </c>
      <c r="M9266" t="s">
        <v>18056</v>
      </c>
      <c r="N9266" t="s">
        <v>14</v>
      </c>
    </row>
    <row r="9267" x14ac:dyDescent="0.25">
      <c r="A9267" t="n">
        <v>24</v>
      </c>
      <c r="B9267" t="s">
        <v>14</v>
      </c>
      <c r="C9267" t="s">
        <v>22</v>
      </c>
      <c r="D9267" s="2" t="s">
        <f>=HYPERLINK("https://main.knesset.gov.il/APPS/legislation/main/bills/2164872", "הצעת חוק להנצחה, מחקר ותיעוד של פרשת ילדי תימן, המזרח והבלקן, התשפ""ב-2021")</f>
        <v>18064</v>
      </c>
      <c r="E9267" t="s">
        <v>18064</v>
      </c>
      <c r="F9267" t="s">
        <v>18065</v>
      </c>
      <c r="G9267" t="s">
        <v>14</v>
      </c>
      <c r="H9267">
             </c>
      <c r="I9267" t="s">
        <v>14</v>
      </c>
      <c r="J9267" t="s">
        <v>141</v>
      </c>
      <c r="K9267" t="s">
        <v>14</v>
      </c>
      <c r="L9267" t="s">
        <v>20</v>
      </c>
      <c r="M9267" t="s">
        <v>18056</v>
      </c>
      <c r="N9267" t="s">
        <v>14</v>
      </c>
    </row>
    <row r="9268" x14ac:dyDescent="0.25">
      <c r="A9268" t="n">
        <v>24</v>
      </c>
      <c r="B9268" t="s">
        <v>14</v>
      </c>
      <c r="C9268" t="s">
        <v>22</v>
      </c>
      <c r="D9268" s="2" t="s">
        <f>=HYPERLINK("https://main.knesset.gov.il/APPS/legislation/main/bills/2162064", "הצעת חוק להנצחה, מחקר ותיעוד של פרשת ילדי תימן, המזרח והבלקן, התשפ""ב-2021")</f>
        <v>18064</v>
      </c>
      <c r="E9268" t="s">
        <v>18064</v>
      </c>
      <c r="F9268" t="s">
        <v>18066</v>
      </c>
      <c r="G9268" t="s">
        <v>14</v>
      </c>
      <c r="H9268">
             </c>
      <c r="I9268" t="s">
        <v>14</v>
      </c>
      <c r="J9268" t="s">
        <v>141</v>
      </c>
      <c r="K9268" t="s">
        <v>14</v>
      </c>
      <c r="L9268" t="s">
        <v>20</v>
      </c>
      <c r="M9268" t="s">
        <v>18056</v>
      </c>
      <c r="N9268" t="s">
        <v>14</v>
      </c>
    </row>
    <row r="9269" x14ac:dyDescent="0.25">
      <c r="A9269" t="n">
        <v>24</v>
      </c>
      <c r="B9269" t="s">
        <v>14</v>
      </c>
      <c r="C9269" t="s">
        <v>22</v>
      </c>
      <c r="D9269" s="2" t="s">
        <f>=HYPERLINK("https://main.knesset.gov.il/APPS/legislation/main/bills/2165281", "הצעת חוק שיפוט בתי דין רבניים (נישואין וגירושין) (תיקון - נישואין אזרחיים בשטח שגרירות בישראל), התשפ""ב-2021")</f>
        <v>18067</v>
      </c>
      <c r="E9269" t="s">
        <v>18067</v>
      </c>
      <c r="F9269" t="s">
        <v>18068</v>
      </c>
      <c r="G9269" t="s">
        <v>14</v>
      </c>
      <c r="H9269">
             </c>
      <c r="I9269" t="s">
        <v>14</v>
      </c>
      <c r="J9269" t="s">
        <v>141</v>
      </c>
      <c r="K9269" t="s">
        <v>14</v>
      </c>
      <c r="L9269" t="s">
        <v>20</v>
      </c>
      <c r="M9269" t="s">
        <v>18056</v>
      </c>
      <c r="N9269" t="s">
        <v>14</v>
      </c>
    </row>
    <row r="9270" x14ac:dyDescent="0.25">
      <c r="A9270" t="n">
        <v>24</v>
      </c>
      <c r="B9270" t="s">
        <v>14</v>
      </c>
      <c r="C9270" t="s">
        <v>22</v>
      </c>
      <c r="D9270" s="2" t="s">
        <f>=HYPERLINK("https://main.knesset.gov.il/APPS/legislation/main/bills/2165325", "הצעת חוק מועצת הצמחים (ייצור ושיווק) (תיקון - ביטול מועצת הצמחים), התשפ""ב-2021")</f>
        <v>18069</v>
      </c>
      <c r="E9270" t="s">
        <v>18069</v>
      </c>
      <c r="F9270" t="s">
        <v>18070</v>
      </c>
      <c r="G9270" t="s">
        <v>14</v>
      </c>
      <c r="H9270">
             </c>
      <c r="I9270" t="s">
        <v>14</v>
      </c>
      <c r="J9270" t="s">
        <v>141</v>
      </c>
      <c r="K9270" t="s">
        <v>14</v>
      </c>
      <c r="L9270" t="s">
        <v>20</v>
      </c>
      <c r="M9270" t="s">
        <v>18056</v>
      </c>
      <c r="N9270" t="s">
        <v>14</v>
      </c>
    </row>
    <row r="9271" x14ac:dyDescent="0.25">
      <c r="A9271" t="n">
        <v>24</v>
      </c>
      <c r="B9271" t="s">
        <v>14</v>
      </c>
      <c r="C9271" t="s">
        <v>22</v>
      </c>
      <c r="D9271" s="2" t="s">
        <f>=HYPERLINK("https://main.knesset.gov.il/APPS/legislation/main/bills/2164863", "הצעת חוק קליטת חיילים משוחררים (תיקון - לימודים אקדמיים לחיילים קרביים משוחררים במימון המדינה), התשפ""ב-2021")</f>
        <v>18071</v>
      </c>
      <c r="E9271" t="s">
        <v>18071</v>
      </c>
      <c r="F9271" t="s">
        <v>18072</v>
      </c>
      <c r="G9271" t="s">
        <v>14</v>
      </c>
      <c r="H9271">
             </c>
      <c r="I9271" t="s">
        <v>14</v>
      </c>
      <c r="J9271" t="s">
        <v>141</v>
      </c>
      <c r="K9271" t="s">
        <v>14</v>
      </c>
      <c r="L9271" t="s">
        <v>20</v>
      </c>
      <c r="M9271" t="s">
        <v>18056</v>
      </c>
      <c r="N9271" t="s">
        <v>14</v>
      </c>
    </row>
    <row r="9272" x14ac:dyDescent="0.25">
      <c r="A9272" t="n">
        <v>24</v>
      </c>
      <c r="B9272" t="s">
        <v>14</v>
      </c>
      <c r="C9272" t="s">
        <v>22</v>
      </c>
      <c r="D9272" s="2" t="s">
        <f>=HYPERLINK("https://main.knesset.gov.il/APPS/legislation/main/bills/2164156", "הצעת חוק רישוי עסקים (תיקון - התקנת מכשיר לבדיקת רמת אלכוהול), התשפ""ב-2021")</f>
        <v>18073</v>
      </c>
      <c r="E9272" t="s">
        <v>18073</v>
      </c>
      <c r="F9272" t="s">
        <v>18074</v>
      </c>
      <c r="G9272" t="s">
        <v>14</v>
      </c>
      <c r="H9272">
             </c>
      <c r="I9272" t="s">
        <v>14</v>
      </c>
      <c r="J9272" t="s">
        <v>141</v>
      </c>
      <c r="K9272" t="s">
        <v>14</v>
      </c>
      <c r="L9272" t="s">
        <v>20</v>
      </c>
      <c r="M9272" t="s">
        <v>18056</v>
      </c>
      <c r="N9272" t="s">
        <v>14</v>
      </c>
    </row>
    <row r="9273" x14ac:dyDescent="0.25">
      <c r="A9273" t="n">
        <v>24</v>
      </c>
      <c r="B9273" t="s">
        <v>14</v>
      </c>
      <c r="C9273" t="s">
        <v>22</v>
      </c>
      <c r="D9273" s="2" t="s">
        <f>=HYPERLINK("https://main.knesset.gov.il/APPS/legislation/main/bills/2160927", "הצעת חוק התכנון והבנייה (תיקון - חיבור חשמל מטעמים הומניטריים), התשפ""ב-2021")</f>
        <v>18075</v>
      </c>
      <c r="E9273" t="s">
        <v>18075</v>
      </c>
      <c r="F9273" t="s">
        <v>18076</v>
      </c>
      <c r="G9273" t="s">
        <v>14</v>
      </c>
      <c r="H9273">
             </c>
      <c r="I9273" t="s">
        <v>14</v>
      </c>
      <c r="J9273" t="s">
        <v>141</v>
      </c>
      <c r="K9273" t="s">
        <v>14</v>
      </c>
      <c r="L9273" t="s">
        <v>20</v>
      </c>
      <c r="M9273" t="s">
        <v>18056</v>
      </c>
      <c r="N9273" t="s">
        <v>14</v>
      </c>
    </row>
    <row r="9274" x14ac:dyDescent="0.25">
      <c r="A9274" t="n">
        <v>24</v>
      </c>
      <c r="B9274" t="s">
        <v>14</v>
      </c>
      <c r="C9274" t="s">
        <v>22</v>
      </c>
      <c r="D9274" s="2" t="s">
        <f>=HYPERLINK("https://main.knesset.gov.il/APPS/legislation/main/bills/2164287", "הצעת חוק מס הכנסה (פטור ממס על הכנסה מהשכרת דירת מגורים) (תיקון - ניכוי דמי שכירות ששולמו בעד דירת מגורים), התשפ""ב-2021")</f>
        <v>18077</v>
      </c>
      <c r="E9274" t="s">
        <v>18077</v>
      </c>
      <c r="F9274" t="s">
        <v>18078</v>
      </c>
      <c r="G9274" t="s">
        <v>14</v>
      </c>
      <c r="H9274">
             </c>
      <c r="I9274" t="s">
        <v>14</v>
      </c>
      <c r="J9274" t="s">
        <v>141</v>
      </c>
      <c r="K9274" t="s">
        <v>14</v>
      </c>
      <c r="L9274" t="s">
        <v>20</v>
      </c>
      <c r="M9274" t="s">
        <v>18056</v>
      </c>
      <c r="N9274" t="s">
        <v>14</v>
      </c>
    </row>
    <row r="9275" x14ac:dyDescent="0.25">
      <c r="A9275" t="n">
        <v>24</v>
      </c>
      <c r="B9275" t="s">
        <v>14</v>
      </c>
      <c r="C9275" t="s">
        <v>22</v>
      </c>
      <c r="D9275" s="2" t="s">
        <f>=HYPERLINK("https://main.knesset.gov.il/APPS/legislation/main/bills/2163992", "הצעת חוק צער בעלי חיים (הגנה על בעלי חיים) (תיקון - ביטול כלובים בתעשיית הביצים), התשפ""ב-2021")</f>
        <v>17663</v>
      </c>
      <c r="E9275" t="s">
        <v>17663</v>
      </c>
      <c r="F9275" t="s">
        <v>18079</v>
      </c>
      <c r="G9275" t="s">
        <v>14</v>
      </c>
      <c r="H9275">
             </c>
      <c r="I9275" t="s">
        <v>14</v>
      </c>
      <c r="J9275" t="s">
        <v>141</v>
      </c>
      <c r="K9275" t="s">
        <v>14</v>
      </c>
      <c r="L9275" t="s">
        <v>20</v>
      </c>
      <c r="M9275" t="s">
        <v>18056</v>
      </c>
      <c r="N9275" t="s">
        <v>14</v>
      </c>
    </row>
    <row r="9276" x14ac:dyDescent="0.25">
      <c r="A9276" t="n">
        <v>24</v>
      </c>
      <c r="B9276" t="s">
        <v>14</v>
      </c>
      <c r="C9276" t="s">
        <v>22</v>
      </c>
      <c r="D9276" s="2" t="s">
        <f>=HYPERLINK("https://main.knesset.gov.il/APPS/legislation/main/bills/2159109", "הצעת חוק הכניסה לישראל (תיקון - אי מתן אשרה ורישיון ישיבה בישראל), התשפ""ב-2021")</f>
        <v>18080</v>
      </c>
      <c r="E9276" t="s">
        <v>18080</v>
      </c>
      <c r="F9276" t="s">
        <v>18081</v>
      </c>
      <c r="G9276" t="s">
        <v>14</v>
      </c>
      <c r="H9276">
             </c>
      <c r="I9276" t="s">
        <v>14</v>
      </c>
      <c r="J9276" t="s">
        <v>141</v>
      </c>
      <c r="K9276" t="s">
        <v>14</v>
      </c>
      <c r="L9276" t="s">
        <v>20</v>
      </c>
      <c r="M9276" t="s">
        <v>18056</v>
      </c>
      <c r="N9276" t="s">
        <v>14</v>
      </c>
    </row>
    <row r="9277" x14ac:dyDescent="0.25">
      <c r="A9277" t="n">
        <v>24</v>
      </c>
      <c r="B9277" t="s">
        <v>14</v>
      </c>
      <c r="C9277" t="s">
        <v>22</v>
      </c>
      <c r="D9277" s="2" t="s">
        <f>=HYPERLINK("https://main.knesset.gov.il/APPS/legislation/main/bills/2165112", "הצעת חוק ההוצאה לפועל (תיקון - ביטול הגבלת רישיון נהיגה), התשפ""ב-2021")</f>
        <v>17065</v>
      </c>
      <c r="E9277" t="s">
        <v>17065</v>
      </c>
      <c r="F9277" t="s">
        <v>18082</v>
      </c>
      <c r="G9277" t="s">
        <v>14</v>
      </c>
      <c r="H9277">
             </c>
      <c r="I9277" t="s">
        <v>14</v>
      </c>
      <c r="J9277" t="s">
        <v>141</v>
      </c>
      <c r="K9277" t="s">
        <v>14</v>
      </c>
      <c r="L9277" t="s">
        <v>20</v>
      </c>
      <c r="M9277" t="s">
        <v>18056</v>
      </c>
      <c r="N9277" t="s">
        <v>14</v>
      </c>
    </row>
    <row r="9278" x14ac:dyDescent="0.25">
      <c r="A9278" t="n">
        <v>24</v>
      </c>
      <c r="B9278" t="s">
        <v>14</v>
      </c>
      <c r="C9278" t="s">
        <v>15</v>
      </c>
      <c r="D9278" s="2" t="s">
        <f>=HYPERLINK("https://main.knesset.gov.il/APPS/legislation/main/bills/2165614", "הצעת חוק למניעת הסתננות (עבירות ושיפוט) (הוראת שעה – הארכת תוקף), התשפ""ב-2021 ")</f>
        <v>18083</v>
      </c>
      <c r="E9278" t="s">
        <v>18083</v>
      </c>
      <c r="F9278" t="s">
        <v>14</v>
      </c>
      <c r="G9278" t="s">
        <v>18084</v>
      </c>
      <c r="H9278">
             </c>
      <c r="I9278" t="s">
        <v>14</v>
      </c>
      <c r="J9278" t="s">
        <v>1141</v>
      </c>
      <c r="K9278" t="s">
        <v>14</v>
      </c>
      <c r="L9278" t="s">
        <v>20</v>
      </c>
      <c r="M9278" t="s">
        <v>18056</v>
      </c>
      <c r="N9278" t="s">
        <v>14</v>
      </c>
    </row>
    <row r="9279" x14ac:dyDescent="0.25">
      <c r="A9279" t="n">
        <v>24</v>
      </c>
      <c r="B9279" t="s">
        <v>14</v>
      </c>
      <c r="C9279" t="s">
        <v>22</v>
      </c>
      <c r="D9279" s="2" t="s">
        <f>=HYPERLINK("https://main.knesset.gov.il/APPS/legislation/main/bills/2161700", "הצעת חוק להפסקת פעילות סוכנות הסעד והתעסוקה של האו""ם לפליטי פלסטין במזרח הקרוב (אונר""א), התשפ""ב-2021")</f>
        <v>18085</v>
      </c>
      <c r="E9279" t="s">
        <v>18085</v>
      </c>
      <c r="F9279" t="s">
        <v>18086</v>
      </c>
      <c r="G9279" t="s">
        <v>14</v>
      </c>
      <c r="H9279">
             </c>
      <c r="I9279" t="s">
        <v>14</v>
      </c>
      <c r="J9279" t="s">
        <v>55</v>
      </c>
      <c r="K9279" t="s">
        <v>14</v>
      </c>
      <c r="L9279" t="s">
        <v>20</v>
      </c>
      <c r="M9279" t="s">
        <v>18087</v>
      </c>
      <c r="N9279" t="s">
        <v>14</v>
      </c>
    </row>
    <row r="9280" x14ac:dyDescent="0.25">
      <c r="A9280" t="n">
        <v>24</v>
      </c>
      <c r="B9280" t="s">
        <v>14</v>
      </c>
      <c r="C9280" t="s">
        <v>22</v>
      </c>
      <c r="D9280" s="2" t="s">
        <f>=HYPERLINK("https://main.knesset.gov.il/APPS/legislation/main/bills/2161143", "הצעת חוק למדיניות לאומית לשמירה על שטחים פתוחים, התשפ""א-2021")</f>
        <v>18088</v>
      </c>
      <c r="E9280" t="s">
        <v>18088</v>
      </c>
      <c r="F9280" t="s">
        <v>18089</v>
      </c>
      <c r="G9280" t="s">
        <v>14</v>
      </c>
      <c r="H9280">
             </c>
      <c r="I9280" t="s">
        <v>14</v>
      </c>
      <c r="J9280" t="s">
        <v>65</v>
      </c>
      <c r="K9280" t="s">
        <v>14</v>
      </c>
      <c r="L9280" t="s">
        <v>20</v>
      </c>
      <c r="M9280" t="s">
        <v>18087</v>
      </c>
      <c r="N9280" t="s">
        <v>14</v>
      </c>
    </row>
    <row r="9281" x14ac:dyDescent="0.25">
      <c r="A9281" t="n">
        <v>24</v>
      </c>
      <c r="B9281" t="s">
        <v>14</v>
      </c>
      <c r="C9281" t="s">
        <v>22</v>
      </c>
      <c r="D9281" s="2" t="s">
        <f>=HYPERLINK("https://main.knesset.gov.il/APPS/legislation/main/bills/2159760", "הצעת חוק לימודי הכנה למבחנים פסיכומטריים לתלמידים, התשפ""א-2021")</f>
        <v>18090</v>
      </c>
      <c r="E9281" t="s">
        <v>18090</v>
      </c>
      <c r="F9281" t="s">
        <v>18091</v>
      </c>
      <c r="G9281" t="s">
        <v>14</v>
      </c>
      <c r="H9281">
             </c>
      <c r="I9281" t="s">
        <v>14</v>
      </c>
      <c r="J9281" t="s">
        <v>55</v>
      </c>
      <c r="K9281" t="s">
        <v>14</v>
      </c>
      <c r="L9281" t="s">
        <v>20</v>
      </c>
      <c r="M9281" t="s">
        <v>18087</v>
      </c>
      <c r="N9281" t="s">
        <v>14</v>
      </c>
    </row>
    <row r="9282" x14ac:dyDescent="0.25">
      <c r="A9282" t="n">
        <v>24</v>
      </c>
      <c r="B9282" t="s">
        <v>14</v>
      </c>
      <c r="C9282" t="s">
        <v>22</v>
      </c>
      <c r="D9282" s="2" t="s">
        <f>=HYPERLINK("https://main.knesset.gov.il/APPS/legislation/main/bills/2159997", "הצעת חוק ההוצאה לפועל (תיקון - מסלול מקוצר חובה), התשפ""א-2021")</f>
        <v>18092</v>
      </c>
      <c r="E9282" t="s">
        <v>18092</v>
      </c>
      <c r="F9282" t="s">
        <v>18093</v>
      </c>
      <c r="G9282" t="s">
        <v>14</v>
      </c>
      <c r="H9282">
             </c>
      <c r="I9282" t="s">
        <v>14</v>
      </c>
      <c r="J9282" t="s">
        <v>31</v>
      </c>
      <c r="K9282" t="s">
        <v>27</v>
      </c>
      <c r="L9282" t="s">
        <v>20</v>
      </c>
      <c r="M9282" t="s">
        <v>18087</v>
      </c>
      <c r="N9282" t="s">
        <v>14</v>
      </c>
    </row>
    <row r="9283" x14ac:dyDescent="0.25">
      <c r="A9283" t="n">
        <v>24</v>
      </c>
      <c r="B9283" t="s">
        <v>14</v>
      </c>
      <c r="C9283" t="s">
        <v>22</v>
      </c>
      <c r="D9283" s="2" t="s">
        <f>=HYPERLINK("https://main.knesset.gov.il/APPS/legislation/main/bills/2159727", "הצעת חוק הביטוח הלאומי (תיקון - העלאת קצבת הילדים), התשפ""א-2021")</f>
        <v>18094</v>
      </c>
      <c r="E9283" t="s">
        <v>18094</v>
      </c>
      <c r="F9283" t="s">
        <v>18095</v>
      </c>
      <c r="G9283" t="s">
        <v>14</v>
      </c>
      <c r="H9283">
             </c>
      <c r="I9283" t="s">
        <v>14</v>
      </c>
      <c r="J9283" t="s">
        <v>55</v>
      </c>
      <c r="K9283" t="s">
        <v>14</v>
      </c>
      <c r="L9283" t="s">
        <v>20</v>
      </c>
      <c r="M9283" t="s">
        <v>18087</v>
      </c>
      <c r="N9283" t="s">
        <v>14</v>
      </c>
    </row>
    <row r="9284" x14ac:dyDescent="0.25">
      <c r="A9284" t="n">
        <v>24</v>
      </c>
      <c r="B9284" t="s">
        <v>14</v>
      </c>
      <c r="C9284" t="s">
        <v>22</v>
      </c>
      <c r="D9284" s="2" t="s">
        <f>=HYPERLINK("https://main.knesset.gov.il/APPS/legislation/main/bills/2159127", "הצעת חוק להנצחת זכרו של מנחם בגין (תיקון - יום זיכרון ממלכתי), התשפ""א-2021")</f>
        <v>18096</v>
      </c>
      <c r="E9284" t="s">
        <v>18096</v>
      </c>
      <c r="F9284" t="s">
        <v>18097</v>
      </c>
      <c r="G9284" t="s">
        <v>14</v>
      </c>
      <c r="H9284">
             </c>
      <c r="I9284" t="s">
        <v>14</v>
      </c>
      <c r="J9284" t="s">
        <v>31</v>
      </c>
      <c r="K9284" t="s">
        <v>34</v>
      </c>
      <c r="L9284" t="s">
        <v>20</v>
      </c>
      <c r="M9284" t="s">
        <v>18087</v>
      </c>
      <c r="N9284" t="s">
        <v>14</v>
      </c>
    </row>
    <row r="9285" x14ac:dyDescent="0.25">
      <c r="A9285" t="n">
        <v>24</v>
      </c>
      <c r="B9285" t="s">
        <v>14</v>
      </c>
      <c r="C9285" t="s">
        <v>22</v>
      </c>
      <c r="D9285" s="2" t="s">
        <f>=HYPERLINK("https://main.knesset.gov.il/APPS/legislation/main/bills/2159492", "הצעת חוק-יסוד: השפיטה (תיקון - הגבלת ערעורים של המדינה על פסקי דין פליליים) ")</f>
        <v>16903</v>
      </c>
      <c r="E9285" t="s">
        <v>16903</v>
      </c>
      <c r="F9285" t="s">
        <v>18098</v>
      </c>
      <c r="G9285" t="s">
        <v>14</v>
      </c>
      <c r="H9285">
             </c>
      <c r="I9285" t="s">
        <v>14</v>
      </c>
      <c r="J9285" t="s">
        <v>55</v>
      </c>
      <c r="K9285" t="s">
        <v>14</v>
      </c>
      <c r="L9285" t="s">
        <v>20</v>
      </c>
      <c r="M9285" t="s">
        <v>18087</v>
      </c>
      <c r="N9285" t="s">
        <v>14</v>
      </c>
    </row>
    <row r="9286" x14ac:dyDescent="0.25">
      <c r="A9286" t="n">
        <v>24</v>
      </c>
      <c r="B9286" t="s">
        <v>14</v>
      </c>
      <c r="C9286" t="s">
        <v>22</v>
      </c>
      <c r="D9286" s="2" t="s">
        <f>=HYPERLINK("https://main.knesset.gov.il/APPS/legislation/main/bills/2159014", "הצעת חוק הדיור הציבורי (הגדלת המלאי), התשפ""א-2021")</f>
        <v>18099</v>
      </c>
      <c r="E9286" t="s">
        <v>18099</v>
      </c>
      <c r="F9286" t="s">
        <v>18100</v>
      </c>
      <c r="G9286" t="s">
        <v>14</v>
      </c>
      <c r="H9286">
             </c>
      <c r="I9286" t="s">
        <v>14</v>
      </c>
      <c r="J9286" t="s">
        <v>55</v>
      </c>
      <c r="K9286" t="s">
        <v>14</v>
      </c>
      <c r="L9286" t="s">
        <v>20</v>
      </c>
      <c r="M9286" t="s">
        <v>18087</v>
      </c>
      <c r="N9286" t="s">
        <v>14</v>
      </c>
    </row>
    <row r="9287" x14ac:dyDescent="0.25">
      <c r="A9287" t="n">
        <v>24</v>
      </c>
      <c r="B9287" t="s">
        <v>14</v>
      </c>
      <c r="C9287" t="s">
        <v>22</v>
      </c>
      <c r="D9287" s="2" t="s">
        <f>=HYPERLINK("https://main.knesset.gov.il/APPS/legislation/main/bills/2159033", "הצעת חוק-יסוד: השפיטה (תיקון - רשות ערעור למדינה על זיכוי אדם בפלילים)")</f>
        <v>1398</v>
      </c>
      <c r="E9287" t="s">
        <v>1398</v>
      </c>
      <c r="F9287" t="s">
        <v>18101</v>
      </c>
      <c r="G9287" t="s">
        <v>14</v>
      </c>
      <c r="H9287">
             </c>
      <c r="I9287" t="s">
        <v>14</v>
      </c>
      <c r="J9287" t="s">
        <v>55</v>
      </c>
      <c r="K9287" t="s">
        <v>14</v>
      </c>
      <c r="L9287" t="s">
        <v>20</v>
      </c>
      <c r="M9287" t="s">
        <v>18087</v>
      </c>
      <c r="N9287" t="s">
        <v>14</v>
      </c>
    </row>
    <row r="9288" x14ac:dyDescent="0.25">
      <c r="A9288" t="n">
        <v>24</v>
      </c>
      <c r="B9288" t="s">
        <v>14</v>
      </c>
      <c r="C9288" t="s">
        <v>22</v>
      </c>
      <c r="D9288" s="2" t="s">
        <f>=HYPERLINK("https://main.knesset.gov.il/APPS/legislation/main/bills/2157493", "הצעת חוק הבטחת פיצויים לתושבי מתחם פארק חורשות (אבו-כביר), התשפ""א-2021")</f>
        <v>18102</v>
      </c>
      <c r="E9288" t="s">
        <v>18102</v>
      </c>
      <c r="F9288" t="s">
        <v>18103</v>
      </c>
      <c r="G9288" t="s">
        <v>14</v>
      </c>
      <c r="H9288">
             </c>
      <c r="I9288" t="s">
        <v>14</v>
      </c>
      <c r="J9288" t="s">
        <v>343</v>
      </c>
      <c r="K9288" t="s">
        <v>14</v>
      </c>
      <c r="L9288" t="s">
        <v>20</v>
      </c>
      <c r="M9288" t="s">
        <v>18087</v>
      </c>
      <c r="N9288" t="s">
        <v>14</v>
      </c>
    </row>
    <row r="9289" x14ac:dyDescent="0.25">
      <c r="A9289" t="n">
        <v>24</v>
      </c>
      <c r="B9289" t="s">
        <v>14</v>
      </c>
      <c r="C9289" t="s">
        <v>22</v>
      </c>
      <c r="D9289" s="2" t="s">
        <f>=HYPERLINK("https://main.knesset.gov.il/APPS/legislation/main/bills/2157245", "הצעת חוק הכללת חוב עונשי בהפטר (תיקוני חקיקה) התשפ""א-2021")</f>
        <v>18104</v>
      </c>
      <c r="E9289" t="s">
        <v>18104</v>
      </c>
      <c r="F9289" t="s">
        <v>18105</v>
      </c>
      <c r="G9289" t="s">
        <v>14</v>
      </c>
      <c r="H9289">
             </c>
      <c r="I9289" t="s">
        <v>14</v>
      </c>
      <c r="J9289" t="s">
        <v>55</v>
      </c>
      <c r="K9289" t="s">
        <v>14</v>
      </c>
      <c r="L9289" t="s">
        <v>20</v>
      </c>
      <c r="M9289" t="s">
        <v>18087</v>
      </c>
      <c r="N9289" t="s">
        <v>14</v>
      </c>
    </row>
    <row r="9290" x14ac:dyDescent="0.25">
      <c r="A9290" t="n">
        <v>24</v>
      </c>
      <c r="B9290" t="s">
        <v>14</v>
      </c>
      <c r="C9290" t="s">
        <v>22</v>
      </c>
      <c r="D9290" s="2" t="s">
        <f>=HYPERLINK("https://main.knesset.gov.il/APPS/legislation/main/bills/2156676", "הצעת חוק לתיקון פקודת בתי הסוהר (קביעת משך הביקור), התשפ""א-2021")</f>
        <v>18106</v>
      </c>
      <c r="E9290" t="s">
        <v>18106</v>
      </c>
      <c r="F9290" t="s">
        <v>18107</v>
      </c>
      <c r="G9290" t="s">
        <v>14</v>
      </c>
      <c r="H9290">
             </c>
      <c r="I9290" t="s">
        <v>14</v>
      </c>
      <c r="J9290" t="s">
        <v>343</v>
      </c>
      <c r="K9290" t="s">
        <v>14</v>
      </c>
      <c r="L9290" t="s">
        <v>20</v>
      </c>
      <c r="M9290" t="s">
        <v>18087</v>
      </c>
      <c r="N9290" t="s">
        <v>14</v>
      </c>
    </row>
    <row r="9291" x14ac:dyDescent="0.25">
      <c r="A9291" t="n">
        <v>24</v>
      </c>
      <c r="B9291" t="s">
        <v>14</v>
      </c>
      <c r="C9291" t="s">
        <v>22</v>
      </c>
      <c r="D9291" s="2" t="s">
        <f>=HYPERLINK("https://main.knesset.gov.il/APPS/legislation/main/bills/2156415", "הצעת חוק צער בעלי חיים (הגנה על בעלי חיים) (תיקון - ענישה מזערית), התשפ""א-2021")</f>
        <v>18108</v>
      </c>
      <c r="E9291" t="s">
        <v>18108</v>
      </c>
      <c r="F9291" t="s">
        <v>18109</v>
      </c>
      <c r="G9291" t="s">
        <v>14</v>
      </c>
      <c r="H9291">
             </c>
      <c r="I9291" t="s">
        <v>14</v>
      </c>
      <c r="J9291" t="s">
        <v>55</v>
      </c>
      <c r="K9291" t="s">
        <v>14</v>
      </c>
      <c r="L9291" t="s">
        <v>20</v>
      </c>
      <c r="M9291" t="s">
        <v>18087</v>
      </c>
      <c r="N9291" t="s">
        <v>14</v>
      </c>
    </row>
    <row r="9292" x14ac:dyDescent="0.25">
      <c r="A9292" t="n">
        <v>24</v>
      </c>
      <c r="B9292" t="s">
        <v>14</v>
      </c>
      <c r="C9292" t="s">
        <v>22</v>
      </c>
      <c r="D9292" s="2" t="s">
        <f>=HYPERLINK("https://main.knesset.gov.il/APPS/legislation/main/bills/2156969", "הצעת חוק ביטול המינהל האזרחי, התשפ""א-2021")</f>
        <v>18110</v>
      </c>
      <c r="E9292" t="s">
        <v>18110</v>
      </c>
      <c r="F9292" t="s">
        <v>18111</v>
      </c>
      <c r="G9292" t="s">
        <v>14</v>
      </c>
      <c r="H9292">
             </c>
      <c r="I9292" t="s">
        <v>14</v>
      </c>
      <c r="J9292" t="s">
        <v>55</v>
      </c>
      <c r="K9292" t="s">
        <v>14</v>
      </c>
      <c r="L9292" t="s">
        <v>20</v>
      </c>
      <c r="M9292" t="s">
        <v>18087</v>
      </c>
      <c r="N9292" t="s">
        <v>14</v>
      </c>
    </row>
    <row r="9293" x14ac:dyDescent="0.25">
      <c r="A9293" t="n">
        <v>24</v>
      </c>
      <c r="B9293" t="s">
        <v>14</v>
      </c>
      <c r="C9293" t="s">
        <v>22</v>
      </c>
      <c r="D9293" s="2" t="s">
        <f>=HYPERLINK("https://main.knesset.gov.il/APPS/legislation/main/bills/2156632", "הצעת חוק-יסוד: השפיטה (תיקון - רשות ערעור למדינה על זיכוי אדם בפלילים)")</f>
        <v>1398</v>
      </c>
      <c r="E9293" t="s">
        <v>1398</v>
      </c>
      <c r="F9293" t="s">
        <v>18112</v>
      </c>
      <c r="G9293" t="s">
        <v>14</v>
      </c>
      <c r="H9293">
             </c>
      <c r="I9293" t="s">
        <v>14</v>
      </c>
      <c r="J9293" t="s">
        <v>55</v>
      </c>
      <c r="K9293" t="s">
        <v>14</v>
      </c>
      <c r="L9293" t="s">
        <v>20</v>
      </c>
      <c r="M9293" t="s">
        <v>18087</v>
      </c>
      <c r="N9293" t="s">
        <v>14</v>
      </c>
    </row>
    <row r="9294" x14ac:dyDescent="0.25">
      <c r="A9294" t="n">
        <v>24</v>
      </c>
      <c r="B9294" t="s">
        <v>14</v>
      </c>
      <c r="C9294" t="s">
        <v>22</v>
      </c>
      <c r="D9294" s="2" t="s">
        <f>=HYPERLINK("https://main.knesset.gov.il/APPS/legislation/main/bills/2156642", "הצעת חוק לתיקון פקודת התעבורה (תשלום קנס בתשלומים), התשפ""א-2021")</f>
        <v>18113</v>
      </c>
      <c r="E9294" t="s">
        <v>18113</v>
      </c>
      <c r="F9294" t="s">
        <v>18114</v>
      </c>
      <c r="G9294" t="s">
        <v>14</v>
      </c>
      <c r="H9294">
             </c>
      <c r="I9294" t="s">
        <v>14</v>
      </c>
      <c r="J9294" t="s">
        <v>31</v>
      </c>
      <c r="K9294" t="s">
        <v>19</v>
      </c>
      <c r="L9294" t="s">
        <v>20</v>
      </c>
      <c r="M9294" t="s">
        <v>18087</v>
      </c>
      <c r="N9294" t="s">
        <v>14</v>
      </c>
    </row>
    <row r="9295" x14ac:dyDescent="0.25">
      <c r="A9295" t="n">
        <v>24</v>
      </c>
      <c r="B9295" t="s">
        <v>14</v>
      </c>
      <c r="C9295" t="s">
        <v>15</v>
      </c>
      <c r="D9295" s="2" t="s">
        <f>=HYPERLINK("https://main.knesset.gov.il/APPS/legislation/main/bills/2164423", "חוק מיסוי מקרקעין (שבח ורכישה) (תיקון מס' 98), התשפ""ב-2021")</f>
        <v>18115</v>
      </c>
      <c r="E9295" t="s">
        <v>18115</v>
      </c>
      <c r="F9295" t="s">
        <v>14</v>
      </c>
      <c r="G9295" t="s">
        <v>18116</v>
      </c>
      <c r="H9295" t="n">
        <v>2935</v>
      </c>
      <c r="I9295" t="s">
        <v>14</v>
      </c>
      <c r="J9295" t="s">
        <v>91</v>
      </c>
      <c r="K9295" t="s">
        <v>85</v>
      </c>
      <c r="L9295" t="s">
        <v>20</v>
      </c>
      <c r="M9295" t="s">
        <v>18117</v>
      </c>
      <c r="N9295" t="s">
        <v>18118</v>
      </c>
    </row>
    <row r="9296" x14ac:dyDescent="0.25">
      <c r="A9296" t="n">
        <v>24</v>
      </c>
      <c r="B9296" t="s">
        <v>14</v>
      </c>
      <c r="C9296" t="s">
        <v>22</v>
      </c>
      <c r="D9296" s="2" t="s">
        <f>=HYPERLINK("https://main.knesset.gov.il/APPS/legislation/main/bills/2157944", "הצעת חוק העונשין (תיקון - תקיפת נהגי אוטובוס בקווי תחבורה ציבורית), התשפ""ב-2021")</f>
        <v>18119</v>
      </c>
      <c r="E9296" t="s">
        <v>18119</v>
      </c>
      <c r="F9296" t="s">
        <v>18120</v>
      </c>
      <c r="G9296" t="s">
        <v>14</v>
      </c>
      <c r="H9296">
             </c>
      <c r="I9296" t="s">
        <v>14</v>
      </c>
      <c r="J9296" t="s">
        <v>141</v>
      </c>
      <c r="K9296" t="s">
        <v>14</v>
      </c>
      <c r="L9296" t="s">
        <v>20</v>
      </c>
      <c r="M9296" t="s">
        <v>18117</v>
      </c>
      <c r="N9296" t="s">
        <v>14</v>
      </c>
    </row>
    <row r="9297" x14ac:dyDescent="0.25">
      <c r="A9297" t="n">
        <v>24</v>
      </c>
      <c r="B9297" t="s">
        <v>14</v>
      </c>
      <c r="C9297" t="s">
        <v>22</v>
      </c>
      <c r="D9297" s="2" t="s">
        <f>=HYPERLINK("https://main.knesset.gov.il/APPS/legislation/main/bills/2163447", "הצעת חוק המדיניות הכלכלית לשנים 2011 ו-2012 (תיקוני חקיקה) (תיקון - תנאים להתרת השקעה במניות כהוצאה), התשפ""ב-2021")</f>
        <v>18121</v>
      </c>
      <c r="E9297" t="s">
        <v>18121</v>
      </c>
      <c r="F9297" t="s">
        <v>18122</v>
      </c>
      <c r="G9297" t="s">
        <v>14</v>
      </c>
      <c r="H9297">
             </c>
      <c r="I9297" t="s">
        <v>14</v>
      </c>
      <c r="J9297" t="s">
        <v>141</v>
      </c>
      <c r="K9297" t="s">
        <v>14</v>
      </c>
      <c r="L9297" t="s">
        <v>20</v>
      </c>
      <c r="M9297" t="s">
        <v>18117</v>
      </c>
      <c r="N9297" t="s">
        <v>14</v>
      </c>
    </row>
    <row r="9298" x14ac:dyDescent="0.25">
      <c r="A9298" t="n">
        <v>24</v>
      </c>
      <c r="B9298" t="s">
        <v>14</v>
      </c>
      <c r="C9298" t="s">
        <v>22</v>
      </c>
      <c r="D9298" s="2" t="s">
        <f>=HYPERLINK("https://main.knesset.gov.il/APPS/legislation/main/bills/2162650", "הצעת חוק צער בעלי חיים (הגנה על בעלי חיים) (תיקון - ביטול כלובים בתעשיית הביצים), התשפ""ב-2021")</f>
        <v>17663</v>
      </c>
      <c r="E9298" t="s">
        <v>17663</v>
      </c>
      <c r="F9298" t="s">
        <v>18123</v>
      </c>
      <c r="G9298" t="s">
        <v>14</v>
      </c>
      <c r="H9298">
             </c>
      <c r="I9298" t="s">
        <v>14</v>
      </c>
      <c r="J9298" t="s">
        <v>141</v>
      </c>
      <c r="K9298" t="s">
        <v>14</v>
      </c>
      <c r="L9298" t="s">
        <v>20</v>
      </c>
      <c r="M9298" t="s">
        <v>18117</v>
      </c>
      <c r="N9298" t="s">
        <v>14</v>
      </c>
    </row>
    <row r="9299" x14ac:dyDescent="0.25">
      <c r="A9299" t="n">
        <v>24</v>
      </c>
      <c r="B9299" t="s">
        <v>14</v>
      </c>
      <c r="C9299" t="s">
        <v>22</v>
      </c>
      <c r="D9299" s="2" t="s">
        <f>=HYPERLINK("https://main.knesset.gov.il/APPS/legislation/main/bills/2163239", "הצעת חוק הביטוח הלאומי (תיקון - תנאי זכאות לדמי לידה), התשפ""ב-2021")</f>
        <v>15185</v>
      </c>
      <c r="E9299" t="s">
        <v>15185</v>
      </c>
      <c r="F9299" t="s">
        <v>18124</v>
      </c>
      <c r="G9299" t="s">
        <v>14</v>
      </c>
      <c r="H9299">
             </c>
      <c r="I9299" t="s">
        <v>14</v>
      </c>
      <c r="J9299" t="s">
        <v>141</v>
      </c>
      <c r="K9299" t="s">
        <v>14</v>
      </c>
      <c r="L9299" t="s">
        <v>20</v>
      </c>
      <c r="M9299" t="s">
        <v>18117</v>
      </c>
      <c r="N9299" t="s">
        <v>14</v>
      </c>
    </row>
    <row r="9300" x14ac:dyDescent="0.25">
      <c r="A9300" t="n">
        <v>24</v>
      </c>
      <c r="B9300" t="s">
        <v>14</v>
      </c>
      <c r="C9300" t="s">
        <v>22</v>
      </c>
      <c r="D9300" s="2" t="s">
        <f>=HYPERLINK("https://main.knesset.gov.il/APPS/legislation/main/bills/2164865", "הצעת חוק שירות המדינה (מינויים) (תיקון - ייצוג הולם ללוחמים), התשפ""ב-2021")</f>
        <v>18125</v>
      </c>
      <c r="E9300" t="s">
        <v>18125</v>
      </c>
      <c r="F9300" t="s">
        <v>18126</v>
      </c>
      <c r="G9300" t="s">
        <v>14</v>
      </c>
      <c r="H9300">
             </c>
      <c r="I9300" t="s">
        <v>14</v>
      </c>
      <c r="J9300" t="s">
        <v>141</v>
      </c>
      <c r="K9300" t="s">
        <v>14</v>
      </c>
      <c r="L9300" t="s">
        <v>20</v>
      </c>
      <c r="M9300" t="s">
        <v>18117</v>
      </c>
      <c r="N9300" t="s">
        <v>14</v>
      </c>
    </row>
    <row r="9301" x14ac:dyDescent="0.25">
      <c r="A9301" t="n">
        <v>24</v>
      </c>
      <c r="B9301" t="s">
        <v>14</v>
      </c>
      <c r="C9301" t="s">
        <v>22</v>
      </c>
      <c r="D9301" s="2" t="s">
        <f>=HYPERLINK("https://main.knesset.gov.il/APPS/legislation/main/bills/2164937", "הצעת חוק לתיקון פקודת הראיות (פסילת ראיה), התשפ""ב-2021")</f>
        <v>17642</v>
      </c>
      <c r="E9301" t="s">
        <v>17642</v>
      </c>
      <c r="F9301" t="s">
        <v>18127</v>
      </c>
      <c r="G9301" t="s">
        <v>14</v>
      </c>
      <c r="H9301">
             </c>
      <c r="I9301" t="s">
        <v>14</v>
      </c>
      <c r="J9301" t="s">
        <v>141</v>
      </c>
      <c r="K9301" t="s">
        <v>14</v>
      </c>
      <c r="L9301" t="s">
        <v>20</v>
      </c>
      <c r="M9301" t="s">
        <v>18117</v>
      </c>
      <c r="N9301" t="s">
        <v>14</v>
      </c>
    </row>
    <row r="9302" x14ac:dyDescent="0.25">
      <c r="A9302" t="n">
        <v>24</v>
      </c>
      <c r="B9302" t="s">
        <v>14</v>
      </c>
      <c r="C9302" t="s">
        <v>22</v>
      </c>
      <c r="D9302" s="2" t="s">
        <f>=HYPERLINK("https://main.knesset.gov.il/APPS/legislation/main/bills/2163621", "הצעת חוק הכשרות המשפטית והאפוטרופסות (תיקון - מניעת פגיעה בקטין על ידי חשיפתו להורה אלים), התשפ""ב-2021")</f>
        <v>18021</v>
      </c>
      <c r="E9302" t="s">
        <v>18021</v>
      </c>
      <c r="F9302" t="s">
        <v>18128</v>
      </c>
      <c r="G9302" t="s">
        <v>14</v>
      </c>
      <c r="H9302">
             </c>
      <c r="I9302" t="s">
        <v>14</v>
      </c>
      <c r="J9302" t="s">
        <v>141</v>
      </c>
      <c r="K9302" t="s">
        <v>14</v>
      </c>
      <c r="L9302" t="s">
        <v>20</v>
      </c>
      <c r="M9302" t="s">
        <v>18117</v>
      </c>
      <c r="N9302" t="s">
        <v>14</v>
      </c>
    </row>
    <row r="9303" x14ac:dyDescent="0.25">
      <c r="A9303" t="n">
        <v>24</v>
      </c>
      <c r="B9303" t="s">
        <v>14</v>
      </c>
      <c r="C9303" t="s">
        <v>22</v>
      </c>
      <c r="D9303" s="2" t="s">
        <f>=HYPERLINK("https://main.knesset.gov.il/APPS/legislation/main/bills/2163703", "הצעת חוק הנוער (שפיטה, ענישה ודרכי טיפול) (תיקון - טעמים מיוחדים להעמדה לדין של מי שביצע עבירה בהיותו קטין), התשפ""ב-2021")</f>
        <v>18129</v>
      </c>
      <c r="E9303" t="s">
        <v>18129</v>
      </c>
      <c r="F9303" t="s">
        <v>18130</v>
      </c>
      <c r="G9303" t="s">
        <v>14</v>
      </c>
      <c r="H9303">
             </c>
      <c r="I9303" t="s">
        <v>14</v>
      </c>
      <c r="J9303" t="s">
        <v>141</v>
      </c>
      <c r="K9303" t="s">
        <v>14</v>
      </c>
      <c r="L9303" t="s">
        <v>20</v>
      </c>
      <c r="M9303" t="s">
        <v>18117</v>
      </c>
      <c r="N9303" t="s">
        <v>14</v>
      </c>
    </row>
    <row r="9304" x14ac:dyDescent="0.25">
      <c r="A9304" t="n">
        <v>24</v>
      </c>
      <c r="B9304" t="s">
        <v>14</v>
      </c>
      <c r="C9304" t="s">
        <v>22</v>
      </c>
      <c r="D9304" s="2" t="s">
        <f>=HYPERLINK("https://main.knesset.gov.il/APPS/legislation/main/bills/2164500", "הצעת חוק הביטוח הלאומי (תיקון - קבלת מענק במקרה פטירה), התשפ""ב-2021")</f>
        <v>18131</v>
      </c>
      <c r="E9304" t="s">
        <v>18131</v>
      </c>
      <c r="F9304" t="s">
        <v>18132</v>
      </c>
      <c r="G9304" t="s">
        <v>14</v>
      </c>
      <c r="H9304">
             </c>
      <c r="I9304" t="s">
        <v>14</v>
      </c>
      <c r="J9304" t="s">
        <v>141</v>
      </c>
      <c r="K9304" t="s">
        <v>14</v>
      </c>
      <c r="L9304" t="s">
        <v>20</v>
      </c>
      <c r="M9304" t="s">
        <v>18117</v>
      </c>
      <c r="N9304" t="s">
        <v>14</v>
      </c>
    </row>
    <row r="9305" x14ac:dyDescent="0.25">
      <c r="A9305" t="n">
        <v>24</v>
      </c>
      <c r="B9305" t="s">
        <v>14</v>
      </c>
      <c r="C9305" t="s">
        <v>22</v>
      </c>
      <c r="D9305" s="2" t="s">
        <f>=HYPERLINK("https://main.knesset.gov.il/APPS/legislation/main/bills/2164629", "הצעת חוק רשם מקרי אובדנות, התשפ""ב-2021")</f>
        <v>18133</v>
      </c>
      <c r="E9305" t="s">
        <v>18133</v>
      </c>
      <c r="F9305" t="s">
        <v>18134</v>
      </c>
      <c r="G9305" t="s">
        <v>14</v>
      </c>
      <c r="H9305">
             </c>
      <c r="I9305" t="s">
        <v>14</v>
      </c>
      <c r="J9305" t="s">
        <v>141</v>
      </c>
      <c r="K9305" t="s">
        <v>14</v>
      </c>
      <c r="L9305" t="s">
        <v>20</v>
      </c>
      <c r="M9305" t="s">
        <v>18117</v>
      </c>
      <c r="N9305" t="s">
        <v>14</v>
      </c>
    </row>
    <row r="9306" x14ac:dyDescent="0.25">
      <c r="A9306" t="n">
        <v>24</v>
      </c>
      <c r="B9306" t="s">
        <v>14</v>
      </c>
      <c r="C9306" t="s">
        <v>22</v>
      </c>
      <c r="D9306" s="2" t="s">
        <f>=HYPERLINK("https://main.knesset.gov.il/APPS/legislation/main/bills/2156915", "הצעת חוק הביטוח הלאומי (תיקון - ביטוח זכויות עצמאי שעיקר הכנסתו מעסק בהליכי חדלות פירעון), התשפ""ב-2021")</f>
        <v>18135</v>
      </c>
      <c r="E9306" t="s">
        <v>18135</v>
      </c>
      <c r="F9306" t="s">
        <v>18136</v>
      </c>
      <c r="G9306" t="s">
        <v>14</v>
      </c>
      <c r="H9306">
             </c>
      <c r="I9306" t="s">
        <v>14</v>
      </c>
      <c r="J9306" t="s">
        <v>141</v>
      </c>
      <c r="K9306" t="s">
        <v>14</v>
      </c>
      <c r="L9306" t="s">
        <v>20</v>
      </c>
      <c r="M9306" t="s">
        <v>18117</v>
      </c>
      <c r="N9306" t="s">
        <v>14</v>
      </c>
    </row>
    <row r="9307" x14ac:dyDescent="0.25">
      <c r="A9307" t="n">
        <v>24</v>
      </c>
      <c r="B9307" t="s">
        <v>14</v>
      </c>
      <c r="C9307" t="s">
        <v>22</v>
      </c>
      <c r="D9307" s="2" t="s">
        <f>=HYPERLINK("https://main.knesset.gov.il/APPS/legislation/main/bills/2160526", "הצעת חוק התחרות הכלכלית (תיקון - ביטול הפטור לענף החקלאות), התשפ""ב-2021")</f>
        <v>18137</v>
      </c>
      <c r="E9307" t="s">
        <v>18137</v>
      </c>
      <c r="F9307" t="s">
        <v>18138</v>
      </c>
      <c r="G9307" t="s">
        <v>14</v>
      </c>
      <c r="H9307">
             </c>
      <c r="I9307" t="s">
        <v>14</v>
      </c>
      <c r="J9307" t="s">
        <v>141</v>
      </c>
      <c r="K9307" t="s">
        <v>14</v>
      </c>
      <c r="L9307" t="s">
        <v>20</v>
      </c>
      <c r="M9307" t="s">
        <v>18117</v>
      </c>
      <c r="N9307" t="s">
        <v>14</v>
      </c>
    </row>
    <row r="9308" x14ac:dyDescent="0.25">
      <c r="A9308" t="n">
        <v>24</v>
      </c>
      <c r="B9308" t="s">
        <v>14</v>
      </c>
      <c r="C9308" t="s">
        <v>22</v>
      </c>
      <c r="D9308" s="2" t="s">
        <f>=HYPERLINK("https://main.knesset.gov.il/APPS/legislation/main/bills/2164906", "הצעת חוק יום העצמאיות והעצמאים, התשפ""ב-2021")</f>
        <v>18017</v>
      </c>
      <c r="E9308" t="s">
        <v>18017</v>
      </c>
      <c r="F9308" t="s">
        <v>18139</v>
      </c>
      <c r="G9308" t="s">
        <v>14</v>
      </c>
      <c r="H9308">
             </c>
      <c r="I9308" t="s">
        <v>14</v>
      </c>
      <c r="J9308" t="s">
        <v>141</v>
      </c>
      <c r="K9308" t="s">
        <v>14</v>
      </c>
      <c r="L9308" t="s">
        <v>20</v>
      </c>
      <c r="M9308" t="s">
        <v>18117</v>
      </c>
      <c r="N9308" t="s">
        <v>14</v>
      </c>
    </row>
    <row r="9309" x14ac:dyDescent="0.25">
      <c r="A9309" t="n">
        <v>24</v>
      </c>
      <c r="B9309" t="s">
        <v>14</v>
      </c>
      <c r="C9309" t="s">
        <v>22</v>
      </c>
      <c r="D9309" s="2" t="s">
        <f>=HYPERLINK("https://main.knesset.gov.il/APPS/legislation/main/bills/2164135", "הצעת חוק לתיקון פקודת התעבורה (הסמכת רשות מקומית לביצוע תפקידי רישוי), התשפ""ב-2021")</f>
        <v>18140</v>
      </c>
      <c r="E9309" t="s">
        <v>18140</v>
      </c>
      <c r="F9309" t="s">
        <v>18141</v>
      </c>
      <c r="G9309" t="s">
        <v>14</v>
      </c>
      <c r="H9309">
             </c>
      <c r="I9309" t="s">
        <v>14</v>
      </c>
      <c r="J9309" t="s">
        <v>141</v>
      </c>
      <c r="K9309" t="s">
        <v>14</v>
      </c>
      <c r="L9309" t="s">
        <v>20</v>
      </c>
      <c r="M9309" t="s">
        <v>18117</v>
      </c>
      <c r="N9309" t="s">
        <v>14</v>
      </c>
    </row>
    <row r="9310" x14ac:dyDescent="0.25">
      <c r="A9310" t="n">
        <v>24</v>
      </c>
      <c r="B9310" t="s">
        <v>14</v>
      </c>
      <c r="C9310" t="s">
        <v>22</v>
      </c>
      <c r="D9310" s="2" t="s">
        <f>=HYPERLINK("https://main.knesset.gov.il/APPS/legislation/main/bills/2163939", "הצעת חוק לתיקון פקודת התעבורה (הגבלת תנועת כלי רכב ביום הכיפורים), התשפ""ב-2021")</f>
        <v>18142</v>
      </c>
      <c r="E9310" t="s">
        <v>18142</v>
      </c>
      <c r="F9310" t="s">
        <v>18143</v>
      </c>
      <c r="G9310" t="s">
        <v>14</v>
      </c>
      <c r="H9310">
             </c>
      <c r="I9310" t="s">
        <v>14</v>
      </c>
      <c r="J9310" t="s">
        <v>141</v>
      </c>
      <c r="K9310" t="s">
        <v>14</v>
      </c>
      <c r="L9310" t="s">
        <v>20</v>
      </c>
      <c r="M9310" t="s">
        <v>18117</v>
      </c>
      <c r="N9310" t="s">
        <v>14</v>
      </c>
    </row>
    <row r="9311" x14ac:dyDescent="0.25">
      <c r="A9311" t="n">
        <v>24</v>
      </c>
      <c r="B9311" t="s">
        <v>14</v>
      </c>
      <c r="C9311" t="s">
        <v>22</v>
      </c>
      <c r="D9311" s="2" t="s">
        <f>=HYPERLINK("https://main.knesset.gov.il/APPS/legislation/main/bills/2164859", "הצעת חוק סיוע לנפגעי האסון הלאומי בהר מירון, התשפ""ב-2021")</f>
        <v>18144</v>
      </c>
      <c r="E9311" t="s">
        <v>18144</v>
      </c>
      <c r="F9311" t="s">
        <v>18145</v>
      </c>
      <c r="G9311" t="s">
        <v>14</v>
      </c>
      <c r="H9311">
             </c>
      <c r="I9311" t="s">
        <v>14</v>
      </c>
      <c r="J9311" t="s">
        <v>141</v>
      </c>
      <c r="K9311" t="s">
        <v>14</v>
      </c>
      <c r="L9311" t="s">
        <v>20</v>
      </c>
      <c r="M9311" t="s">
        <v>18117</v>
      </c>
      <c r="N9311" t="s">
        <v>14</v>
      </c>
    </row>
    <row r="9312" x14ac:dyDescent="0.25">
      <c r="A9312" t="n">
        <v>24</v>
      </c>
      <c r="B9312" t="s">
        <v>14</v>
      </c>
      <c r="C9312" t="s">
        <v>22</v>
      </c>
      <c r="D9312" s="2" t="s">
        <f>=HYPERLINK("https://main.knesset.gov.il/APPS/legislation/main/bills/2163209", "הצעת חוק חינוך ממלכתי (תיקון - לימוד מורשת יהודי ברית המועצות לשעבר), התשפ""ב-2021")</f>
        <v>18146</v>
      </c>
      <c r="E9312" t="s">
        <v>18146</v>
      </c>
      <c r="F9312" t="s">
        <v>18147</v>
      </c>
      <c r="G9312" t="s">
        <v>14</v>
      </c>
      <c r="H9312">
             </c>
      <c r="I9312" t="s">
        <v>14</v>
      </c>
      <c r="J9312" t="s">
        <v>141</v>
      </c>
      <c r="K9312" t="s">
        <v>14</v>
      </c>
      <c r="L9312" t="s">
        <v>20</v>
      </c>
      <c r="M9312" t="s">
        <v>18117</v>
      </c>
      <c r="N9312" t="s">
        <v>14</v>
      </c>
    </row>
    <row r="9313" x14ac:dyDescent="0.25">
      <c r="A9313" t="n">
        <v>24</v>
      </c>
      <c r="B9313" t="s">
        <v>14</v>
      </c>
      <c r="C9313" t="s">
        <v>22</v>
      </c>
      <c r="D9313" s="2" t="s">
        <f>=HYPERLINK("https://main.knesset.gov.il/APPS/legislation/main/bills/2164494", "הצעת חוק החלת ריבונות על בקעת הירדן, גוש עציון, גבעת זאב, מעלה אדומים, ביתר עילית ועפרה, התשפ""ב-2021")</f>
        <v>18031</v>
      </c>
      <c r="E9313" t="s">
        <v>18031</v>
      </c>
      <c r="F9313" t="s">
        <v>18148</v>
      </c>
      <c r="G9313" t="s">
        <v>14</v>
      </c>
      <c r="H9313">
             </c>
      <c r="I9313" t="s">
        <v>14</v>
      </c>
      <c r="J9313" t="s">
        <v>141</v>
      </c>
      <c r="K9313" t="s">
        <v>14</v>
      </c>
      <c r="L9313" t="s">
        <v>20</v>
      </c>
      <c r="M9313" t="s">
        <v>18117</v>
      </c>
      <c r="N9313" t="s">
        <v>14</v>
      </c>
    </row>
    <row r="9314" x14ac:dyDescent="0.25">
      <c r="A9314" t="n">
        <v>24</v>
      </c>
      <c r="B9314" t="s">
        <v>14</v>
      </c>
      <c r="C9314" t="s">
        <v>22</v>
      </c>
      <c r="D9314" s="2" t="s">
        <f>=HYPERLINK("https://main.knesset.gov.il/APPS/legislation/main/bills/2164496", "הצעת חוק החלת הריבונות של מדינת ישראל בחבלי יהודה והשומרון, התשפ""ב-2021")</f>
        <v>14691</v>
      </c>
      <c r="E9314" t="s">
        <v>14691</v>
      </c>
      <c r="F9314" t="s">
        <v>18149</v>
      </c>
      <c r="G9314" t="s">
        <v>14</v>
      </c>
      <c r="H9314">
             </c>
      <c r="I9314" t="s">
        <v>14</v>
      </c>
      <c r="J9314" t="s">
        <v>141</v>
      </c>
      <c r="K9314" t="s">
        <v>14</v>
      </c>
      <c r="L9314" t="s">
        <v>20</v>
      </c>
      <c r="M9314" t="s">
        <v>18117</v>
      </c>
      <c r="N9314" t="s">
        <v>14</v>
      </c>
    </row>
    <row r="9315" x14ac:dyDescent="0.25">
      <c r="A9315" t="n">
        <v>24</v>
      </c>
      <c r="B9315" t="s">
        <v>14</v>
      </c>
      <c r="C9315" t="s">
        <v>22</v>
      </c>
      <c r="D9315" s="2" t="s">
        <f>=HYPERLINK("https://main.knesset.gov.il/APPS/legislation/main/bills/2161528", "הצעת חוק מידע גנטי (תיקון - איסור שימוש בתוצאות בדיקה גנטית לקביעת השתייכות לעדה דתית), התשפ""ב-2021")</f>
        <v>18150</v>
      </c>
      <c r="E9315" t="s">
        <v>18150</v>
      </c>
      <c r="F9315" t="s">
        <v>18151</v>
      </c>
      <c r="G9315" t="s">
        <v>14</v>
      </c>
      <c r="H9315">
             </c>
      <c r="I9315" t="s">
        <v>14</v>
      </c>
      <c r="J9315" t="s">
        <v>141</v>
      </c>
      <c r="K9315" t="s">
        <v>14</v>
      </c>
      <c r="L9315" t="s">
        <v>20</v>
      </c>
      <c r="M9315" t="s">
        <v>18117</v>
      </c>
      <c r="N9315" t="s">
        <v>14</v>
      </c>
    </row>
    <row r="9316" x14ac:dyDescent="0.25">
      <c r="A9316" t="n">
        <v>24</v>
      </c>
      <c r="B9316" t="s">
        <v>14</v>
      </c>
      <c r="C9316" t="s">
        <v>22</v>
      </c>
      <c r="D9316" s="2" t="s">
        <f>=HYPERLINK("https://main.knesset.gov.il/APPS/legislation/main/bills/2164907", "הצעת חוק לתיקון פקודת מס הכנסה (הכרה בהוצאות אש""ל לעצמאים), התשפ""ב-2021")</f>
        <v>18152</v>
      </c>
      <c r="E9316" t="s">
        <v>18152</v>
      </c>
      <c r="F9316" t="s">
        <v>18153</v>
      </c>
      <c r="G9316" t="s">
        <v>14</v>
      </c>
      <c r="H9316">
             </c>
      <c r="I9316" t="s">
        <v>14</v>
      </c>
      <c r="J9316" t="s">
        <v>141</v>
      </c>
      <c r="K9316" t="s">
        <v>14</v>
      </c>
      <c r="L9316" t="s">
        <v>20</v>
      </c>
      <c r="M9316" t="s">
        <v>18117</v>
      </c>
      <c r="N9316" t="s">
        <v>14</v>
      </c>
    </row>
    <row r="9317" x14ac:dyDescent="0.25">
      <c r="A9317" t="n">
        <v>24</v>
      </c>
      <c r="B9317" t="s">
        <v>14</v>
      </c>
      <c r="C9317" t="s">
        <v>22</v>
      </c>
      <c r="D9317" s="2" t="s">
        <f>=HYPERLINK("https://main.knesset.gov.il/APPS/legislation/main/bills/2164152", "הצעת חוק הקמת ועדת חקירה ממלכתית לפרשת מסמך הרפז, התשפ""ב-2021")</f>
        <v>18154</v>
      </c>
      <c r="E9317" t="s">
        <v>18154</v>
      </c>
      <c r="F9317" t="s">
        <v>18155</v>
      </c>
      <c r="G9317" t="s">
        <v>14</v>
      </c>
      <c r="H9317">
             </c>
      <c r="I9317" t="s">
        <v>14</v>
      </c>
      <c r="J9317" t="s">
        <v>141</v>
      </c>
      <c r="K9317" t="s">
        <v>14</v>
      </c>
      <c r="L9317" t="s">
        <v>20</v>
      </c>
      <c r="M9317" t="s">
        <v>18117</v>
      </c>
      <c r="N9317" t="s">
        <v>14</v>
      </c>
    </row>
    <row r="9318" x14ac:dyDescent="0.25">
      <c r="A9318" t="n">
        <v>24</v>
      </c>
      <c r="B9318" t="s">
        <v>14</v>
      </c>
      <c r="C9318" t="s">
        <v>22</v>
      </c>
      <c r="D9318" s="2" t="s">
        <f>=HYPERLINK("https://main.knesset.gov.il/APPS/legislation/main/bills/2164167", "הצעת חוק שיקים ללא כיסוי (תיקון - הקלות בהגבלת חשבון), התשפ""ב-2021")</f>
        <v>18156</v>
      </c>
      <c r="E9318" t="s">
        <v>18156</v>
      </c>
      <c r="F9318" t="s">
        <v>18157</v>
      </c>
      <c r="G9318" t="s">
        <v>14</v>
      </c>
      <c r="H9318">
             </c>
      <c r="I9318" t="s">
        <v>14</v>
      </c>
      <c r="J9318" t="s">
        <v>141</v>
      </c>
      <c r="K9318" t="s">
        <v>14</v>
      </c>
      <c r="L9318" t="s">
        <v>20</v>
      </c>
      <c r="M9318" t="s">
        <v>18117</v>
      </c>
      <c r="N9318" t="s">
        <v>14</v>
      </c>
    </row>
    <row r="9319" x14ac:dyDescent="0.25">
      <c r="A9319" t="n">
        <v>24</v>
      </c>
      <c r="B9319" t="s">
        <v>14</v>
      </c>
      <c r="C9319" t="s">
        <v>22</v>
      </c>
      <c r="D9319" s="2" t="s">
        <f>=HYPERLINK("https://main.knesset.gov.il/APPS/legislation/main/bills/2163474", "הצעת חוק חינוך ממלכתי (תיקון - חובת לימוד ערבית), התשפ""ב-2021")</f>
        <v>18158</v>
      </c>
      <c r="E9319" t="s">
        <v>18158</v>
      </c>
      <c r="F9319" t="s">
        <v>18159</v>
      </c>
      <c r="G9319" t="s">
        <v>14</v>
      </c>
      <c r="H9319">
             </c>
      <c r="I9319" t="s">
        <v>14</v>
      </c>
      <c r="J9319" t="s">
        <v>141</v>
      </c>
      <c r="K9319" t="s">
        <v>14</v>
      </c>
      <c r="L9319" t="s">
        <v>20</v>
      </c>
      <c r="M9319" t="s">
        <v>18117</v>
      </c>
      <c r="N9319" t="s">
        <v>14</v>
      </c>
    </row>
    <row r="9320" x14ac:dyDescent="0.25">
      <c r="A9320" t="n">
        <v>24</v>
      </c>
      <c r="B9320" t="s">
        <v>14</v>
      </c>
      <c r="C9320" t="s">
        <v>22</v>
      </c>
      <c r="D9320" s="2" t="s">
        <f>=HYPERLINK("https://main.knesset.gov.il/APPS/legislation/main/bills/2164795", "הצעת חוק הסדרת העיסוק בייעוץ השקעות, בשיווק השקעות ובניהול תיקי השקעות (תיקון - דיווח יועץ השקעות ללקוח), התשפ""ב-2021")</f>
        <v>18160</v>
      </c>
      <c r="E9320" t="s">
        <v>18160</v>
      </c>
      <c r="F9320" t="s">
        <v>18161</v>
      </c>
      <c r="G9320" t="s">
        <v>14</v>
      </c>
      <c r="H9320">
             </c>
      <c r="I9320" t="s">
        <v>14</v>
      </c>
      <c r="J9320" t="s">
        <v>141</v>
      </c>
      <c r="K9320" t="s">
        <v>14</v>
      </c>
      <c r="L9320" t="s">
        <v>20</v>
      </c>
      <c r="M9320" t="s">
        <v>18117</v>
      </c>
      <c r="N9320" t="s">
        <v>14</v>
      </c>
    </row>
    <row r="9321" x14ac:dyDescent="0.25">
      <c r="A9321" t="n">
        <v>24</v>
      </c>
      <c r="B9321" t="s">
        <v>14</v>
      </c>
      <c r="C9321" t="s">
        <v>22</v>
      </c>
      <c r="D9321" s="2" t="s">
        <f>=HYPERLINK("https://main.knesset.gov.il/APPS/legislation/main/bills/2161130", "הצעת חוק פיקוח על מחירי מצרכים ושירותים (תיקון - פיקוח על מוצרי מזון לתינוקות), התשפ""ב-2021")</f>
        <v>17579</v>
      </c>
      <c r="E9321" t="s">
        <v>17579</v>
      </c>
      <c r="F9321" t="s">
        <v>18162</v>
      </c>
      <c r="G9321" t="s">
        <v>14</v>
      </c>
      <c r="H9321">
             </c>
      <c r="I9321" t="s">
        <v>14</v>
      </c>
      <c r="J9321" t="s">
        <v>343</v>
      </c>
      <c r="K9321" t="s">
        <v>14</v>
      </c>
      <c r="L9321" t="s">
        <v>20</v>
      </c>
      <c r="M9321" t="s">
        <v>18117</v>
      </c>
      <c r="N9321" t="s">
        <v>14</v>
      </c>
    </row>
    <row r="9322" x14ac:dyDescent="0.25">
      <c r="A9322" t="n">
        <v>24</v>
      </c>
      <c r="B9322" t="s">
        <v>14</v>
      </c>
      <c r="C9322" t="s">
        <v>22</v>
      </c>
      <c r="D9322" s="2" t="s">
        <f>=HYPERLINK("https://main.knesset.gov.il/APPS/legislation/main/bills/2164511", "הצעת חוק לשכת עורכי הדין (תיקון - ציון עובר בבחינת ההתמחות) (הוראת שעה), התשפ""ב-2021")</f>
        <v>18163</v>
      </c>
      <c r="E9322" t="s">
        <v>18163</v>
      </c>
      <c r="F9322" t="s">
        <v>18164</v>
      </c>
      <c r="G9322" t="s">
        <v>14</v>
      </c>
      <c r="H9322">
             </c>
      <c r="I9322" t="s">
        <v>14</v>
      </c>
      <c r="J9322" t="s">
        <v>141</v>
      </c>
      <c r="K9322" t="s">
        <v>14</v>
      </c>
      <c r="L9322" t="s">
        <v>20</v>
      </c>
      <c r="M9322" t="s">
        <v>18117</v>
      </c>
      <c r="N9322" t="s">
        <v>14</v>
      </c>
    </row>
    <row r="9323" x14ac:dyDescent="0.25">
      <c r="A9323" t="n">
        <v>24</v>
      </c>
      <c r="B9323" t="s">
        <v>14</v>
      </c>
      <c r="C9323" t="s">
        <v>22</v>
      </c>
      <c r="D9323" s="2" t="s">
        <f>=HYPERLINK("https://main.knesset.gov.il/APPS/legislation/main/bills/2164503", "הצעת חוק מימון מפלגות (תיקון - ייצוג לנשים ברשימות המועמדים), התשפ""ב-2021")</f>
        <v>18165</v>
      </c>
      <c r="E9323" t="s">
        <v>18165</v>
      </c>
      <c r="F9323" t="s">
        <v>18166</v>
      </c>
      <c r="G9323" t="s">
        <v>14</v>
      </c>
      <c r="H9323">
             </c>
      <c r="I9323" t="s">
        <v>14</v>
      </c>
      <c r="J9323" t="s">
        <v>141</v>
      </c>
      <c r="K9323" t="s">
        <v>14</v>
      </c>
      <c r="L9323" t="s">
        <v>20</v>
      </c>
      <c r="M9323" t="s">
        <v>18117</v>
      </c>
      <c r="N9323" t="s">
        <v>14</v>
      </c>
    </row>
    <row r="9324" x14ac:dyDescent="0.25">
      <c r="A9324" t="n">
        <v>24</v>
      </c>
      <c r="B9324" t="s">
        <v>14</v>
      </c>
      <c r="C9324" t="s">
        <v>22</v>
      </c>
      <c r="D9324" s="2" t="s">
        <f>=HYPERLINK("https://main.knesset.gov.il/APPS/legislation/main/bills/2164922", "הצעת חוק לתיקון פקודת העיריות (הטלת ארנונה על מפעל לייצור נשק), התשפ""ב-2021")</f>
        <v>18167</v>
      </c>
      <c r="E9324" t="s">
        <v>18167</v>
      </c>
      <c r="F9324" t="s">
        <v>18168</v>
      </c>
      <c r="G9324" t="s">
        <v>14</v>
      </c>
      <c r="H9324">
             </c>
      <c r="I9324" t="s">
        <v>14</v>
      </c>
      <c r="J9324" t="s">
        <v>343</v>
      </c>
      <c r="K9324" t="s">
        <v>14</v>
      </c>
      <c r="L9324" t="s">
        <v>20</v>
      </c>
      <c r="M9324" t="s">
        <v>18117</v>
      </c>
      <c r="N9324" t="s">
        <v>14</v>
      </c>
    </row>
    <row r="9325" x14ac:dyDescent="0.25">
      <c r="A9325" t="n">
        <v>24</v>
      </c>
      <c r="B9325" t="s">
        <v>14</v>
      </c>
      <c r="C9325" t="s">
        <v>22</v>
      </c>
      <c r="D9325" s="2" t="s">
        <f>=HYPERLINK("https://main.knesset.gov.il/APPS/legislation/main/bills/2156569", "הצעת חוק-יסוד: הממשלה (תיקון - הגבלת תקופת כהונה של ראש הממשלה)")</f>
        <v>12182</v>
      </c>
      <c r="E9325" t="s">
        <v>12182</v>
      </c>
      <c r="F9325" t="s">
        <v>18169</v>
      </c>
      <c r="G9325" t="s">
        <v>14</v>
      </c>
      <c r="H9325">
             </c>
      <c r="I9325" t="s">
        <v>14</v>
      </c>
      <c r="J9325" t="s">
        <v>141</v>
      </c>
      <c r="K9325" t="s">
        <v>14</v>
      </c>
      <c r="L9325" t="s">
        <v>20</v>
      </c>
      <c r="M9325" t="s">
        <v>18117</v>
      </c>
      <c r="N9325" t="s">
        <v>14</v>
      </c>
    </row>
    <row r="9326" x14ac:dyDescent="0.25">
      <c r="A9326" t="n">
        <v>24</v>
      </c>
      <c r="B9326" t="s">
        <v>14</v>
      </c>
      <c r="C9326" t="s">
        <v>22</v>
      </c>
      <c r="D9326" s="2" t="s">
        <f>=HYPERLINK("https://main.knesset.gov.il/APPS/legislation/main/bills/2161371", "הצעת חוק חינוך ממלכתי (תיקון - חינוך לשוויון מגדרי חובה), התשפ""ב-2021")</f>
        <v>18170</v>
      </c>
      <c r="E9326" t="s">
        <v>18170</v>
      </c>
      <c r="F9326" t="s">
        <v>18171</v>
      </c>
      <c r="G9326" t="s">
        <v>14</v>
      </c>
      <c r="H9326">
             </c>
      <c r="I9326" t="s">
        <v>14</v>
      </c>
      <c r="J9326" t="s">
        <v>141</v>
      </c>
      <c r="K9326" t="s">
        <v>14</v>
      </c>
      <c r="L9326" t="s">
        <v>20</v>
      </c>
      <c r="M9326" t="s">
        <v>18117</v>
      </c>
      <c r="N9326" t="s">
        <v>14</v>
      </c>
    </row>
    <row r="9327" x14ac:dyDescent="0.25">
      <c r="A9327" t="n">
        <v>24</v>
      </c>
      <c r="B9327" t="s">
        <v>14</v>
      </c>
      <c r="C9327" t="s">
        <v>22</v>
      </c>
      <c r="D9327" s="2" t="s">
        <f>=HYPERLINK("https://main.knesset.gov.il/APPS/legislation/main/bills/2163168", "הצעת חוק קרן לאזרחי ישראל (תיקון - מועד תחילת החוק), התשפ""ב-2021")</f>
        <v>18172</v>
      </c>
      <c r="E9327" t="s">
        <v>18172</v>
      </c>
      <c r="F9327" t="s">
        <v>18173</v>
      </c>
      <c r="G9327" t="s">
        <v>14</v>
      </c>
      <c r="H9327">
             </c>
      <c r="I9327" t="s">
        <v>14</v>
      </c>
      <c r="J9327" t="s">
        <v>141</v>
      </c>
      <c r="K9327" t="s">
        <v>14</v>
      </c>
      <c r="L9327" t="s">
        <v>20</v>
      </c>
      <c r="M9327" t="s">
        <v>18117</v>
      </c>
      <c r="N9327" t="s">
        <v>14</v>
      </c>
    </row>
    <row r="9328" x14ac:dyDescent="0.25">
      <c r="A9328" t="n">
        <v>24</v>
      </c>
      <c r="B9328" t="s">
        <v>14</v>
      </c>
      <c r="C9328" t="s">
        <v>22</v>
      </c>
      <c r="D9328" s="2" t="s">
        <f>=HYPERLINK("https://main.knesset.gov.il/APPS/legislation/main/bills/2163988", "הצעת חוק הפיקוח על שירותים פיננסיים (ביטוח) (תיקון - תוצאות הפרות חוזרות), התשפ""ב-2021")</f>
        <v>18174</v>
      </c>
      <c r="E9328" t="s">
        <v>18174</v>
      </c>
      <c r="F9328" t="s">
        <v>18175</v>
      </c>
      <c r="G9328" t="s">
        <v>14</v>
      </c>
      <c r="H9328">
             </c>
      <c r="I9328" t="s">
        <v>14</v>
      </c>
      <c r="J9328" t="s">
        <v>141</v>
      </c>
      <c r="K9328" t="s">
        <v>14</v>
      </c>
      <c r="L9328" t="s">
        <v>20</v>
      </c>
      <c r="M9328" t="s">
        <v>18117</v>
      </c>
      <c r="N9328" t="s">
        <v>14</v>
      </c>
    </row>
    <row r="9329" x14ac:dyDescent="0.25">
      <c r="A9329" t="n">
        <v>24</v>
      </c>
      <c r="B9329" t="s">
        <v>14</v>
      </c>
      <c r="C9329" t="s">
        <v>22</v>
      </c>
      <c r="D9329" s="2" t="s">
        <f>=HYPERLINK("https://main.knesset.gov.il/APPS/legislation/main/bills/2164053", "הצעת חוק שוויון ההזדמנויות בעבודה (תיקון - עצמאות נציבות שוויון הזדמנויות בעבודה), התשפ""ב-2021")</f>
        <v>18176</v>
      </c>
      <c r="E9329" t="s">
        <v>18176</v>
      </c>
      <c r="F9329" t="s">
        <v>18177</v>
      </c>
      <c r="G9329" t="s">
        <v>14</v>
      </c>
      <c r="H9329">
             </c>
      <c r="I9329" t="s">
        <v>14</v>
      </c>
      <c r="J9329" t="s">
        <v>141</v>
      </c>
      <c r="K9329" t="s">
        <v>14</v>
      </c>
      <c r="L9329" t="s">
        <v>20</v>
      </c>
      <c r="M9329" t="s">
        <v>18117</v>
      </c>
      <c r="N9329" t="s">
        <v>14</v>
      </c>
    </row>
    <row r="9330" x14ac:dyDescent="0.25">
      <c r="A9330" t="n">
        <v>24</v>
      </c>
      <c r="B9330" t="s">
        <v>14</v>
      </c>
      <c r="C9330" t="s">
        <v>22</v>
      </c>
      <c r="D9330" s="2" t="s">
        <f>=HYPERLINK("https://main.knesset.gov.il/APPS/legislation/main/bills/2164308", "הצעת חוק מס ערך מוסף (תיקון - פטור ממס בגין תרומות לבתי חולים בפריפריה), התשפ""ב-2021")</f>
        <v>17795</v>
      </c>
      <c r="E9330" t="s">
        <v>17795</v>
      </c>
      <c r="F9330" t="s">
        <v>18178</v>
      </c>
      <c r="G9330" t="s">
        <v>14</v>
      </c>
      <c r="H9330">
             </c>
      <c r="I9330" t="s">
        <v>14</v>
      </c>
      <c r="J9330" t="s">
        <v>141</v>
      </c>
      <c r="K9330" t="s">
        <v>14</v>
      </c>
      <c r="L9330" t="s">
        <v>20</v>
      </c>
      <c r="M9330" t="s">
        <v>18117</v>
      </c>
      <c r="N9330" t="s">
        <v>14</v>
      </c>
    </row>
    <row r="9331" x14ac:dyDescent="0.25">
      <c r="A9331" t="n">
        <v>24</v>
      </c>
      <c r="B9331" t="s">
        <v>14</v>
      </c>
      <c r="C9331" t="s">
        <v>22</v>
      </c>
      <c r="D9331" s="2" t="s">
        <f>=HYPERLINK("https://main.knesset.gov.il/APPS/legislation/main/bills/2162908", "הצעת חוק חוזה עבודה (הגבלות לעניין סיום העסקה של עובד), התשפ""ב-2021 ")</f>
        <v>18179</v>
      </c>
      <c r="E9331" t="s">
        <v>18179</v>
      </c>
      <c r="F9331" t="s">
        <v>18180</v>
      </c>
      <c r="G9331" t="s">
        <v>14</v>
      </c>
      <c r="H9331">
             </c>
      <c r="I9331" t="s">
        <v>14</v>
      </c>
      <c r="J9331" t="s">
        <v>141</v>
      </c>
      <c r="K9331" t="s">
        <v>14</v>
      </c>
      <c r="L9331" t="s">
        <v>20</v>
      </c>
      <c r="M9331" t="s">
        <v>18117</v>
      </c>
      <c r="N9331" t="s">
        <v>14</v>
      </c>
    </row>
    <row r="9332" x14ac:dyDescent="0.25">
      <c r="A9332" t="n">
        <v>24</v>
      </c>
      <c r="B9332" t="s">
        <v>14</v>
      </c>
      <c r="C9332" t="s">
        <v>22</v>
      </c>
      <c r="D9332" s="2" t="s">
        <f>=HYPERLINK("https://main.knesset.gov.il/APPS/legislation/main/bills/2164136", "הצעת חוק זכויות בעלי חיים (העברת סמכויות הוועדה בכנסת) (תיקוני חקיקה), התשפ""ב-2021")</f>
        <v>18181</v>
      </c>
      <c r="E9332" t="s">
        <v>18181</v>
      </c>
      <c r="F9332" t="s">
        <v>18182</v>
      </c>
      <c r="G9332" t="s">
        <v>14</v>
      </c>
      <c r="H9332">
             </c>
      <c r="I9332" t="s">
        <v>14</v>
      </c>
      <c r="J9332" t="s">
        <v>141</v>
      </c>
      <c r="K9332" t="s">
        <v>14</v>
      </c>
      <c r="L9332" t="s">
        <v>20</v>
      </c>
      <c r="M9332" t="s">
        <v>18117</v>
      </c>
      <c r="N9332" t="s">
        <v>14</v>
      </c>
    </row>
    <row r="9333" x14ac:dyDescent="0.25">
      <c r="A9333" t="n">
        <v>24</v>
      </c>
      <c r="B9333" t="s">
        <v>14</v>
      </c>
      <c r="C9333" t="s">
        <v>22</v>
      </c>
      <c r="D9333" s="2" t="s">
        <f>=HYPERLINK("https://main.knesset.gov.il/APPS/legislation/main/bills/2162828", "הצעת חוק שוויון זכויות לאנשים עם מוגבלות (תיקון - הנפקת תעודות לבעלי מוגבלות בראיה), התשפ""ב-2021")</f>
        <v>18183</v>
      </c>
      <c r="E9333" t="s">
        <v>18183</v>
      </c>
      <c r="F9333" t="s">
        <v>18184</v>
      </c>
      <c r="G9333" t="s">
        <v>14</v>
      </c>
      <c r="H9333">
             </c>
      <c r="I9333" t="s">
        <v>14</v>
      </c>
      <c r="J9333" t="s">
        <v>141</v>
      </c>
      <c r="K9333" t="s">
        <v>14</v>
      </c>
      <c r="L9333" t="s">
        <v>20</v>
      </c>
      <c r="M9333" t="s">
        <v>18117</v>
      </c>
      <c r="N9333" t="s">
        <v>14</v>
      </c>
    </row>
    <row r="9334" x14ac:dyDescent="0.25">
      <c r="A9334" t="n">
        <v>24</v>
      </c>
      <c r="B9334" t="s">
        <v>14</v>
      </c>
      <c r="C9334" t="s">
        <v>22</v>
      </c>
      <c r="D9334" s="2" t="s">
        <f>=HYPERLINK("https://main.knesset.gov.il/APPS/legislation/main/bills/2164497", "הצעת חוק זכויות החולה (תיקון - קביעת הוראות לעניין הכנסת חפצים ודברי מאכל למוסד רפואי), התשפ""ב-2021")</f>
        <v>18185</v>
      </c>
      <c r="E9334" t="s">
        <v>18185</v>
      </c>
      <c r="F9334" t="s">
        <v>18186</v>
      </c>
      <c r="G9334" t="s">
        <v>14</v>
      </c>
      <c r="H9334">
             </c>
      <c r="I9334" t="s">
        <v>14</v>
      </c>
      <c r="J9334" t="s">
        <v>141</v>
      </c>
      <c r="K9334" t="s">
        <v>14</v>
      </c>
      <c r="L9334" t="s">
        <v>20</v>
      </c>
      <c r="M9334" t="s">
        <v>18117</v>
      </c>
      <c r="N9334" t="s">
        <v>14</v>
      </c>
    </row>
    <row r="9335" x14ac:dyDescent="0.25">
      <c r="A9335" t="n">
        <v>24</v>
      </c>
      <c r="B9335" t="s">
        <v>14</v>
      </c>
      <c r="C9335" t="s">
        <v>22</v>
      </c>
      <c r="D9335" s="2" t="s">
        <f>=HYPERLINK("https://main.knesset.gov.il/APPS/legislation/main/bills/2164597", "הצעת חוק להקמת אוניברסיטה ערבית ביישוב ערבי, התשפ""ב-2021")</f>
        <v>17783</v>
      </c>
      <c r="E9335" t="s">
        <v>17783</v>
      </c>
      <c r="F9335" t="s">
        <v>18187</v>
      </c>
      <c r="G9335" t="s">
        <v>14</v>
      </c>
      <c r="H9335">
             </c>
      <c r="I9335" t="s">
        <v>14</v>
      </c>
      <c r="J9335" t="s">
        <v>141</v>
      </c>
      <c r="K9335" t="s">
        <v>14</v>
      </c>
      <c r="L9335" t="s">
        <v>20</v>
      </c>
      <c r="M9335" t="s">
        <v>18117</v>
      </c>
      <c r="N9335" t="s">
        <v>14</v>
      </c>
    </row>
    <row r="9336" x14ac:dyDescent="0.25">
      <c r="A9336" t="n">
        <v>24</v>
      </c>
      <c r="B9336" t="s">
        <v>14</v>
      </c>
      <c r="C9336" t="s">
        <v>22</v>
      </c>
      <c r="D9336" s="2" t="s">
        <f>=HYPERLINK("https://main.knesset.gov.il/APPS/legislation/main/bills/2164311", "הצעת חוק ביטוח בריאות ממלכתי (תיקון - זמינות שירותים רפואיים), התשפ""ב-2021")</f>
        <v>18188</v>
      </c>
      <c r="E9336" t="s">
        <v>18188</v>
      </c>
      <c r="F9336" t="s">
        <v>18189</v>
      </c>
      <c r="G9336" t="s">
        <v>14</v>
      </c>
      <c r="H9336">
             </c>
      <c r="I9336" t="s">
        <v>14</v>
      </c>
      <c r="J9336" t="s">
        <v>141</v>
      </c>
      <c r="K9336" t="s">
        <v>14</v>
      </c>
      <c r="L9336" t="s">
        <v>20</v>
      </c>
      <c r="M9336" t="s">
        <v>18117</v>
      </c>
      <c r="N9336" t="s">
        <v>14</v>
      </c>
    </row>
    <row r="9337" x14ac:dyDescent="0.25">
      <c r="A9337" t="n">
        <v>24</v>
      </c>
      <c r="B9337" t="s">
        <v>14</v>
      </c>
      <c r="C9337" t="s">
        <v>15</v>
      </c>
      <c r="D9337" s="2" t="s">
        <f>=HYPERLINK("https://main.knesset.gov.il/APPS/legislation/main/bills/2165090", "הצעת חוק בתי המשפט (תיקון מס' 101) (הוספת אמצעי משמעת של העברה זמנית מכהונה), התשפ""ב-2021 ")</f>
        <v>18190</v>
      </c>
      <c r="E9337" t="s">
        <v>18190</v>
      </c>
      <c r="F9337" t="s">
        <v>14</v>
      </c>
      <c r="G9337" t="s">
        <v>18191</v>
      </c>
      <c r="H9337">
             </c>
      <c r="I9337" t="s">
        <v>14</v>
      </c>
      <c r="J9337" t="s">
        <v>69</v>
      </c>
      <c r="K9337" t="s">
        <v>14</v>
      </c>
      <c r="L9337" t="s">
        <v>20</v>
      </c>
      <c r="M9337" t="s">
        <v>18117</v>
      </c>
      <c r="N9337" t="s">
        <v>14</v>
      </c>
    </row>
    <row r="9338" x14ac:dyDescent="0.25">
      <c r="A9338" t="n">
        <v>24</v>
      </c>
      <c r="B9338" t="s">
        <v>14</v>
      </c>
      <c r="C9338" t="s">
        <v>15</v>
      </c>
      <c r="D9338" s="2" t="s">
        <f>=HYPERLINK("https://main.knesset.gov.il/APPS/legislation/main/bills/2165092", "הצעת חוק קבוצות רכישה, התשפ""ב-2021 ")</f>
        <v>18192</v>
      </c>
      <c r="E9338" t="s">
        <v>18192</v>
      </c>
      <c r="F9338" t="s">
        <v>14</v>
      </c>
      <c r="G9338" t="s">
        <v>18193</v>
      </c>
      <c r="H9338">
             </c>
      <c r="I9338" t="s">
        <v>14</v>
      </c>
      <c r="J9338" t="s">
        <v>69</v>
      </c>
      <c r="K9338" t="s">
        <v>14</v>
      </c>
      <c r="L9338" t="s">
        <v>20</v>
      </c>
      <c r="M9338" t="s">
        <v>18117</v>
      </c>
      <c r="N9338" t="s">
        <v>14</v>
      </c>
    </row>
    <row r="9339" x14ac:dyDescent="0.25">
      <c r="A9339" t="n">
        <v>24</v>
      </c>
      <c r="B9339" t="s">
        <v>14</v>
      </c>
      <c r="C9339" t="s">
        <v>22</v>
      </c>
      <c r="D9339" s="2" t="s">
        <f>=HYPERLINK("https://main.knesset.gov.il/APPS/legislation/main/bills/2160005", "הצעת חוק המועצה להשכלה גבוהה (תיקון - אמות מידה לתקצוב), התשפ""א-2021")</f>
        <v>18194</v>
      </c>
      <c r="E9339" t="s">
        <v>18194</v>
      </c>
      <c r="F9339" t="s">
        <v>18195</v>
      </c>
      <c r="G9339" t="s">
        <v>14</v>
      </c>
      <c r="H9339">
             </c>
      <c r="I9339" t="s">
        <v>14</v>
      </c>
      <c r="J9339" t="s">
        <v>55</v>
      </c>
      <c r="K9339" t="s">
        <v>14</v>
      </c>
      <c r="L9339" t="s">
        <v>20</v>
      </c>
      <c r="M9339" t="s">
        <v>18196</v>
      </c>
      <c r="N9339" t="s">
        <v>14</v>
      </c>
    </row>
    <row r="9340" x14ac:dyDescent="0.25">
      <c r="A9340" t="n">
        <v>24</v>
      </c>
      <c r="B9340" t="s">
        <v>14</v>
      </c>
      <c r="C9340" t="s">
        <v>22</v>
      </c>
      <c r="D9340" s="2" t="s">
        <f>=HYPERLINK("https://main.knesset.gov.il/APPS/legislation/main/bills/2159707", "הצעת חוק הטבות לתושבים יוצאי צבא ושירות לאומי ואזרחי, בעיר מעורבת, התשפ""א-2021")</f>
        <v>18197</v>
      </c>
      <c r="E9340" t="s">
        <v>18197</v>
      </c>
      <c r="F9340" t="s">
        <v>18198</v>
      </c>
      <c r="G9340" t="s">
        <v>14</v>
      </c>
      <c r="H9340">
             </c>
      <c r="I9340" t="s">
        <v>14</v>
      </c>
      <c r="J9340" t="s">
        <v>343</v>
      </c>
      <c r="K9340" t="s">
        <v>14</v>
      </c>
      <c r="L9340" t="s">
        <v>20</v>
      </c>
      <c r="M9340" t="s">
        <v>18196</v>
      </c>
      <c r="N9340" t="s">
        <v>14</v>
      </c>
    </row>
    <row r="9341" x14ac:dyDescent="0.25">
      <c r="A9341" t="n">
        <v>24</v>
      </c>
      <c r="B9341" t="s">
        <v>14</v>
      </c>
      <c r="C9341" t="s">
        <v>22</v>
      </c>
      <c r="D9341" s="2" t="s">
        <f>=HYPERLINK("https://main.knesset.gov.il/APPS/legislation/main/bills/2159237", "הצעת חוק קביעת אופן ההעסקה של מטפלות במשפחתונים המפוקחים על ידי משרד העבודה, הרווחה והשירותים החברתיים, התשפ""א-2021")</f>
        <v>18199</v>
      </c>
      <c r="E9341" t="s">
        <v>18199</v>
      </c>
      <c r="F9341" t="s">
        <v>18200</v>
      </c>
      <c r="G9341" t="s">
        <v>14</v>
      </c>
      <c r="H9341">
             </c>
      <c r="I9341" t="s">
        <v>14</v>
      </c>
      <c r="J9341" t="s">
        <v>55</v>
      </c>
      <c r="K9341" t="s">
        <v>14</v>
      </c>
      <c r="L9341" t="s">
        <v>20</v>
      </c>
      <c r="M9341" t="s">
        <v>18196</v>
      </c>
      <c r="N9341" t="s">
        <v>14</v>
      </c>
    </row>
    <row r="9342" x14ac:dyDescent="0.25">
      <c r="A9342" t="n">
        <v>24</v>
      </c>
      <c r="B9342" t="s">
        <v>14</v>
      </c>
      <c r="C9342" t="s">
        <v>22</v>
      </c>
      <c r="D9342" s="2" t="s">
        <f>=HYPERLINK("https://main.knesset.gov.il/APPS/legislation/main/bills/2156854", "הצעת חוק התאמת אופן ההעסקה של מטפלות במשפחתונים המפוקחים על ידי האגף למעונות יום ומשפחתונים במשרד העבודה, הרווחה והשירותים החברתיים, התשפ""א-2021")</f>
        <v>18201</v>
      </c>
      <c r="E9342" t="s">
        <v>18201</v>
      </c>
      <c r="F9342" t="s">
        <v>18202</v>
      </c>
      <c r="G9342" t="s">
        <v>14</v>
      </c>
      <c r="H9342">
             </c>
      <c r="I9342" t="s">
        <v>14</v>
      </c>
      <c r="J9342" t="s">
        <v>55</v>
      </c>
      <c r="K9342" t="s">
        <v>14</v>
      </c>
      <c r="L9342" t="s">
        <v>20</v>
      </c>
      <c r="M9342" t="s">
        <v>18196</v>
      </c>
      <c r="N9342" t="s">
        <v>14</v>
      </c>
    </row>
    <row r="9343" x14ac:dyDescent="0.25">
      <c r="A9343" t="n">
        <v>24</v>
      </c>
      <c r="B9343" t="s">
        <v>14</v>
      </c>
      <c r="C9343" t="s">
        <v>22</v>
      </c>
      <c r="D9343" s="2" t="s">
        <f>=HYPERLINK("https://main.knesset.gov.il/APPS/legislation/main/bills/2158671", "הצעת חוק לעידוד הקמת מרחבים מוגנים דירתיים, התשפ""א-2021")</f>
        <v>18203</v>
      </c>
      <c r="E9343" t="s">
        <v>18203</v>
      </c>
      <c r="F9343" t="s">
        <v>18204</v>
      </c>
      <c r="G9343" t="s">
        <v>14</v>
      </c>
      <c r="H9343">
             </c>
      <c r="I9343" t="s">
        <v>14</v>
      </c>
      <c r="J9343" t="s">
        <v>55</v>
      </c>
      <c r="K9343" t="s">
        <v>14</v>
      </c>
      <c r="L9343" t="s">
        <v>20</v>
      </c>
      <c r="M9343" t="s">
        <v>18196</v>
      </c>
      <c r="N9343" t="s">
        <v>14</v>
      </c>
    </row>
    <row r="9344" x14ac:dyDescent="0.25">
      <c r="A9344" t="n">
        <v>24</v>
      </c>
      <c r="B9344" t="s">
        <v>14</v>
      </c>
      <c r="C9344" t="s">
        <v>22</v>
      </c>
      <c r="D9344" s="2" t="s">
        <f>=HYPERLINK("https://main.knesset.gov.il/APPS/legislation/main/bills/2156308", "הצעת חוק הגנה על הציבור מפני עבריינים שביצעו עבירות אלימות חמורות, התשפ""א-2021")</f>
        <v>18205</v>
      </c>
      <c r="E9344" t="s">
        <v>18205</v>
      </c>
      <c r="F9344" t="s">
        <v>18206</v>
      </c>
      <c r="G9344" t="s">
        <v>14</v>
      </c>
      <c r="H9344">
             </c>
      <c r="I9344" t="s">
        <v>14</v>
      </c>
      <c r="J9344" t="s">
        <v>343</v>
      </c>
      <c r="K9344" t="s">
        <v>14</v>
      </c>
      <c r="L9344" t="s">
        <v>20</v>
      </c>
      <c r="M9344" t="s">
        <v>18196</v>
      </c>
      <c r="N9344" t="s">
        <v>14</v>
      </c>
    </row>
    <row r="9345" x14ac:dyDescent="0.25">
      <c r="A9345" t="n">
        <v>24</v>
      </c>
      <c r="B9345" t="s">
        <v>14</v>
      </c>
      <c r="C9345" t="s">
        <v>22</v>
      </c>
      <c r="D9345" s="2" t="s">
        <f>=HYPERLINK("https://main.knesset.gov.il/APPS/legislation/main/bills/2158199", "הצעת חוק הטבות מס ליישוב מעורב, התשפ""א-2021")</f>
        <v>18207</v>
      </c>
      <c r="E9345" t="s">
        <v>18207</v>
      </c>
      <c r="F9345" t="s">
        <v>18208</v>
      </c>
      <c r="G9345" t="s">
        <v>14</v>
      </c>
      <c r="H9345">
             </c>
      <c r="I9345" t="s">
        <v>14</v>
      </c>
      <c r="J9345" t="s">
        <v>343</v>
      </c>
      <c r="K9345" t="s">
        <v>14</v>
      </c>
      <c r="L9345" t="s">
        <v>20</v>
      </c>
      <c r="M9345" t="s">
        <v>18196</v>
      </c>
      <c r="N9345" t="s">
        <v>14</v>
      </c>
    </row>
    <row r="9346" x14ac:dyDescent="0.25">
      <c r="A9346" t="n">
        <v>24</v>
      </c>
      <c r="B9346" t="s">
        <v>14</v>
      </c>
      <c r="C9346" t="s">
        <v>22</v>
      </c>
      <c r="D9346" s="2" t="s">
        <f>=HYPERLINK("https://main.knesset.gov.il/APPS/legislation/main/bills/2157225", "הצעת חוק שיקים ללא כיסוי (תיקון - מצב חירום בשל מגיפה עולמית), התשפ""א-2021")</f>
        <v>18209</v>
      </c>
      <c r="E9346" t="s">
        <v>18209</v>
      </c>
      <c r="F9346" t="s">
        <v>18210</v>
      </c>
      <c r="G9346" t="s">
        <v>14</v>
      </c>
      <c r="H9346">
             </c>
      <c r="I9346" t="s">
        <v>14</v>
      </c>
      <c r="J9346" t="s">
        <v>55</v>
      </c>
      <c r="K9346" t="s">
        <v>14</v>
      </c>
      <c r="L9346" t="s">
        <v>20</v>
      </c>
      <c r="M9346" t="s">
        <v>18196</v>
      </c>
      <c r="N9346" t="s">
        <v>14</v>
      </c>
    </row>
    <row r="9347" x14ac:dyDescent="0.25">
      <c r="A9347" t="n">
        <v>24</v>
      </c>
      <c r="B9347" t="s">
        <v>14</v>
      </c>
      <c r="C9347" t="s">
        <v>22</v>
      </c>
      <c r="D9347" s="2" t="s">
        <f>=HYPERLINK("https://main.knesset.gov.il/APPS/legislation/main/bills/2156361", "הצעת חוק כביש אגרה (כביש ארצי לישראל) (תיקון - פטור מאגרה בשל האטה ממהירות הנסיעה המותרת), התשפ""א-2021")</f>
        <v>18211</v>
      </c>
      <c r="E9347" t="s">
        <v>18211</v>
      </c>
      <c r="F9347" t="s">
        <v>18212</v>
      </c>
      <c r="G9347" t="s">
        <v>14</v>
      </c>
      <c r="H9347">
             </c>
      <c r="I9347" t="s">
        <v>14</v>
      </c>
      <c r="J9347" t="s">
        <v>55</v>
      </c>
      <c r="K9347" t="s">
        <v>14</v>
      </c>
      <c r="L9347" t="s">
        <v>20</v>
      </c>
      <c r="M9347" t="s">
        <v>18196</v>
      </c>
      <c r="N9347" t="s">
        <v>14</v>
      </c>
    </row>
    <row r="9348" x14ac:dyDescent="0.25">
      <c r="A9348" t="n">
        <v>24</v>
      </c>
      <c r="B9348" t="s">
        <v>14</v>
      </c>
      <c r="C9348" t="s">
        <v>22</v>
      </c>
      <c r="D9348" s="2" t="s">
        <f>=HYPERLINK("https://main.knesset.gov.il/APPS/legislation/main/bills/2156179", "הצעת חוק הטבות מס ליישוב מעורב, התשפ""א-2021")</f>
        <v>18207</v>
      </c>
      <c r="E9348" t="s">
        <v>18207</v>
      </c>
      <c r="F9348" t="s">
        <v>18213</v>
      </c>
      <c r="G9348" t="s">
        <v>14</v>
      </c>
      <c r="H9348">
             </c>
      <c r="I9348" t="s">
        <v>14</v>
      </c>
      <c r="J9348" t="s">
        <v>343</v>
      </c>
      <c r="K9348" t="s">
        <v>14</v>
      </c>
      <c r="L9348" t="s">
        <v>20</v>
      </c>
      <c r="M9348" t="s">
        <v>18196</v>
      </c>
      <c r="N9348" t="s">
        <v>14</v>
      </c>
    </row>
    <row r="9349" x14ac:dyDescent="0.25">
      <c r="A9349" t="n">
        <v>24</v>
      </c>
      <c r="B9349" t="s">
        <v>14</v>
      </c>
      <c r="C9349" t="s">
        <v>22</v>
      </c>
      <c r="D9349" s="2" t="s">
        <f>=HYPERLINK("https://main.knesset.gov.il/APPS/legislation/main/bills/2162072", "הצעת חוק לתיקון פקודת בתי הסוהר (תנאי אסיר ביטחוני בבתי הסוהר), התשפ""ב-2021")</f>
        <v>18214</v>
      </c>
      <c r="E9349" t="s">
        <v>18214</v>
      </c>
      <c r="F9349" t="s">
        <v>18215</v>
      </c>
      <c r="G9349" t="s">
        <v>14</v>
      </c>
      <c r="H9349">
             </c>
      <c r="I9349" t="s">
        <v>14</v>
      </c>
      <c r="J9349" t="s">
        <v>141</v>
      </c>
      <c r="K9349" t="s">
        <v>14</v>
      </c>
      <c r="L9349" t="s">
        <v>20</v>
      </c>
      <c r="M9349" t="s">
        <v>18216</v>
      </c>
      <c r="N9349" t="s">
        <v>14</v>
      </c>
    </row>
    <row r="9350" x14ac:dyDescent="0.25">
      <c r="A9350" t="n">
        <v>24</v>
      </c>
      <c r="B9350" t="s">
        <v>14</v>
      </c>
      <c r="C9350" t="s">
        <v>22</v>
      </c>
      <c r="D9350" s="2" t="s">
        <f>=HYPERLINK("https://main.knesset.gov.il/APPS/legislation/main/bills/2163403", "הצעת חוק המלחמה בפדופיליה (מאגר מידע), התשפ""ב-2021")</f>
        <v>18217</v>
      </c>
      <c r="E9350" t="s">
        <v>18217</v>
      </c>
      <c r="F9350" t="s">
        <v>18218</v>
      </c>
      <c r="G9350" t="s">
        <v>14</v>
      </c>
      <c r="H9350">
             </c>
      <c r="I9350" t="s">
        <v>14</v>
      </c>
      <c r="J9350" t="s">
        <v>141</v>
      </c>
      <c r="K9350" t="s">
        <v>14</v>
      </c>
      <c r="L9350" t="s">
        <v>20</v>
      </c>
      <c r="M9350" t="s">
        <v>18216</v>
      </c>
      <c r="N9350" t="s">
        <v>14</v>
      </c>
    </row>
    <row r="9351" x14ac:dyDescent="0.25">
      <c r="A9351" t="n">
        <v>24</v>
      </c>
      <c r="B9351" t="s">
        <v>14</v>
      </c>
      <c r="C9351" t="s">
        <v>22</v>
      </c>
      <c r="D9351" s="2" t="s">
        <f>=HYPERLINK("https://main.knesset.gov.il/APPS/legislation/main/bills/2163466", "הצעת חוק לתיקון פקודת מס הכנסה (הכרה בהוצאות עבודה מהבית בתקופת התפשטות נגיף הקורונה החדש) (הוראת שעה), התשפ""ב-2021")</f>
        <v>18219</v>
      </c>
      <c r="E9351" t="s">
        <v>18219</v>
      </c>
      <c r="F9351" t="s">
        <v>18220</v>
      </c>
      <c r="G9351" t="s">
        <v>14</v>
      </c>
      <c r="H9351">
             </c>
      <c r="I9351" t="s">
        <v>14</v>
      </c>
      <c r="J9351" t="s">
        <v>141</v>
      </c>
      <c r="K9351" t="s">
        <v>14</v>
      </c>
      <c r="L9351" t="s">
        <v>20</v>
      </c>
      <c r="M9351" t="s">
        <v>18216</v>
      </c>
      <c r="N9351" t="s">
        <v>14</v>
      </c>
    </row>
    <row r="9352" x14ac:dyDescent="0.25">
      <c r="A9352" t="n">
        <v>24</v>
      </c>
      <c r="B9352" t="s">
        <v>14</v>
      </c>
      <c r="C9352" t="s">
        <v>22</v>
      </c>
      <c r="D9352" s="2" t="s">
        <f>=HYPERLINK("https://main.knesset.gov.il/APPS/legislation/main/bills/2162596", "הצעת חוק הבחירות (דרכי תעמולה) (תיקון - פרסום סקרים בימי מנוחה), התשפ""ב-2021")</f>
        <v>18221</v>
      </c>
      <c r="E9352" t="s">
        <v>18221</v>
      </c>
      <c r="F9352" t="s">
        <v>18222</v>
      </c>
      <c r="G9352" t="s">
        <v>14</v>
      </c>
      <c r="H9352">
             </c>
      <c r="I9352" t="s">
        <v>14</v>
      </c>
      <c r="J9352" t="s">
        <v>141</v>
      </c>
      <c r="K9352" t="s">
        <v>14</v>
      </c>
      <c r="L9352" t="s">
        <v>20</v>
      </c>
      <c r="M9352" t="s">
        <v>18216</v>
      </c>
      <c r="N9352" t="s">
        <v>14</v>
      </c>
    </row>
    <row r="9353" x14ac:dyDescent="0.25">
      <c r="A9353" t="n">
        <v>24</v>
      </c>
      <c r="B9353" t="s">
        <v>14</v>
      </c>
      <c r="C9353" t="s">
        <v>22</v>
      </c>
      <c r="D9353" s="2" t="s">
        <f>=HYPERLINK("https://main.knesset.gov.il/APPS/legislation/main/bills/2163471", "הצעת חוק לשכת עורכי הדין (תיקון - ציון עובר בבחינת ההתמחות) (הוראת שעה), התשפ""ב-2021")</f>
        <v>18163</v>
      </c>
      <c r="E9353" t="s">
        <v>18163</v>
      </c>
      <c r="F9353" t="s">
        <v>18223</v>
      </c>
      <c r="G9353" t="s">
        <v>14</v>
      </c>
      <c r="H9353">
             </c>
      <c r="I9353" t="s">
        <v>14</v>
      </c>
      <c r="J9353" t="s">
        <v>141</v>
      </c>
      <c r="K9353" t="s">
        <v>14</v>
      </c>
      <c r="L9353" t="s">
        <v>20</v>
      </c>
      <c r="M9353" t="s">
        <v>18216</v>
      </c>
      <c r="N9353" t="s">
        <v>14</v>
      </c>
    </row>
    <row r="9354" x14ac:dyDescent="0.25">
      <c r="A9354" t="n">
        <v>24</v>
      </c>
      <c r="B9354" t="s">
        <v>14</v>
      </c>
      <c r="C9354" t="s">
        <v>22</v>
      </c>
      <c r="D9354" s="2" t="s">
        <f>=HYPERLINK("https://main.knesset.gov.il/APPS/legislation/main/bills/2164276", "הצעת חוק עבודת נשים (תיקון - תגמול לעובדת עצמאית שבן זוגה משרת במילואים), התשפ""ב-2021")</f>
        <v>18224</v>
      </c>
      <c r="E9354" t="s">
        <v>18224</v>
      </c>
      <c r="F9354" t="s">
        <v>18225</v>
      </c>
      <c r="G9354" t="s">
        <v>14</v>
      </c>
      <c r="H9354">
             </c>
      <c r="I9354" t="s">
        <v>14</v>
      </c>
      <c r="J9354" t="s">
        <v>141</v>
      </c>
      <c r="K9354" t="s">
        <v>14</v>
      </c>
      <c r="L9354" t="s">
        <v>20</v>
      </c>
      <c r="M9354" t="s">
        <v>18216</v>
      </c>
      <c r="N9354" t="s">
        <v>14</v>
      </c>
    </row>
    <row r="9355" x14ac:dyDescent="0.25">
      <c r="A9355" t="n">
        <v>24</v>
      </c>
      <c r="B9355" t="s">
        <v>14</v>
      </c>
      <c r="C9355" t="s">
        <v>22</v>
      </c>
      <c r="D9355" s="2" t="s">
        <f>=HYPERLINK("https://main.knesset.gov.il/APPS/legislation/main/bills/2162153", "הצעת חוק מס ערך מוסף (תיקון - הגבלת שיעור מס שכר למלכ""רים בירושלים), התשפ""ב-2021")</f>
        <v>18226</v>
      </c>
      <c r="E9355" t="s">
        <v>18226</v>
      </c>
      <c r="F9355" t="s">
        <v>18227</v>
      </c>
      <c r="G9355" t="s">
        <v>14</v>
      </c>
      <c r="H9355">
             </c>
      <c r="I9355" t="s">
        <v>14</v>
      </c>
      <c r="J9355" t="s">
        <v>141</v>
      </c>
      <c r="K9355" t="s">
        <v>14</v>
      </c>
      <c r="L9355" t="s">
        <v>20</v>
      </c>
      <c r="M9355" t="s">
        <v>18216</v>
      </c>
      <c r="N9355" t="s">
        <v>14</v>
      </c>
    </row>
    <row r="9356" x14ac:dyDescent="0.25">
      <c r="A9356" t="n">
        <v>24</v>
      </c>
      <c r="B9356" t="s">
        <v>14</v>
      </c>
      <c r="C9356" t="s">
        <v>22</v>
      </c>
      <c r="D9356" s="2" t="s">
        <f>=HYPERLINK("https://main.knesset.gov.il/APPS/legislation/main/bills/2164185", "הצעת חוק ההוצאה לפועל (תיקון - ביטול הגבלת רישיון נהיגה), התשפ""ב-2021")</f>
        <v>17065</v>
      </c>
      <c r="E9356" t="s">
        <v>17065</v>
      </c>
      <c r="F9356" t="s">
        <v>18228</v>
      </c>
      <c r="G9356" t="s">
        <v>14</v>
      </c>
      <c r="H9356">
             </c>
      <c r="I9356" t="s">
        <v>14</v>
      </c>
      <c r="J9356" t="s">
        <v>141</v>
      </c>
      <c r="K9356" t="s">
        <v>14</v>
      </c>
      <c r="L9356" t="s">
        <v>20</v>
      </c>
      <c r="M9356" t="s">
        <v>18216</v>
      </c>
      <c r="N9356" t="s">
        <v>14</v>
      </c>
    </row>
    <row r="9357" x14ac:dyDescent="0.25">
      <c r="A9357" t="n">
        <v>24</v>
      </c>
      <c r="B9357" t="s">
        <v>14</v>
      </c>
      <c r="C9357" t="s">
        <v>22</v>
      </c>
      <c r="D9357" s="2" t="s">
        <f>=HYPERLINK("https://main.knesset.gov.il/APPS/legislation/main/bills/2164307", "הצעת חוק הביטוח הלאומי (תיקון - רכז תנועת נוער או ארגון נוער כעבודה מועדפת), התשפ""ב-2021")</f>
        <v>18229</v>
      </c>
      <c r="E9357" t="s">
        <v>18229</v>
      </c>
      <c r="F9357" t="s">
        <v>18230</v>
      </c>
      <c r="G9357" t="s">
        <v>14</v>
      </c>
      <c r="H9357">
             </c>
      <c r="I9357" t="s">
        <v>14</v>
      </c>
      <c r="J9357" t="s">
        <v>141</v>
      </c>
      <c r="K9357" t="s">
        <v>14</v>
      </c>
      <c r="L9357" t="s">
        <v>20</v>
      </c>
      <c r="M9357" t="s">
        <v>18216</v>
      </c>
      <c r="N9357" t="s">
        <v>14</v>
      </c>
    </row>
    <row r="9358" x14ac:dyDescent="0.25">
      <c r="A9358" t="n">
        <v>24</v>
      </c>
      <c r="B9358" t="s">
        <v>14</v>
      </c>
      <c r="C9358" t="s">
        <v>22</v>
      </c>
      <c r="D9358" s="2" t="s">
        <f>=HYPERLINK("https://main.knesset.gov.il/APPS/legislation/main/bills/2164313", "הצעת חוק לתיקון סדרי המינהל (החלטות והנמקות) (תיקון - קיצור זמן המענה בפניות ציבור), התשפ""ב-2021")</f>
        <v>18231</v>
      </c>
      <c r="E9358" t="s">
        <v>18231</v>
      </c>
      <c r="F9358" t="s">
        <v>18232</v>
      </c>
      <c r="G9358" t="s">
        <v>14</v>
      </c>
      <c r="H9358">
             </c>
      <c r="I9358" t="s">
        <v>14</v>
      </c>
      <c r="J9358" t="s">
        <v>141</v>
      </c>
      <c r="K9358" t="s">
        <v>14</v>
      </c>
      <c r="L9358" t="s">
        <v>20</v>
      </c>
      <c r="M9358" t="s">
        <v>18216</v>
      </c>
      <c r="N9358" t="s">
        <v>14</v>
      </c>
    </row>
    <row r="9359" x14ac:dyDescent="0.25">
      <c r="A9359" t="n">
        <v>24</v>
      </c>
      <c r="B9359" t="s">
        <v>14</v>
      </c>
      <c r="C9359" t="s">
        <v>22</v>
      </c>
      <c r="D9359" s="2" t="s">
        <f>=HYPERLINK("https://main.knesset.gov.il/APPS/legislation/main/bills/2164213", "הצעת חוק הרשויות המקומיות (יועצת לענייני מעמד האישה) (תיקון - תקציב ייעודי וייחוד הכהונה), התשפ""ב-2021")</f>
        <v>18233</v>
      </c>
      <c r="E9359" t="s">
        <v>18233</v>
      </c>
      <c r="F9359" t="s">
        <v>18234</v>
      </c>
      <c r="G9359" t="s">
        <v>14</v>
      </c>
      <c r="H9359">
             </c>
      <c r="I9359" t="s">
        <v>14</v>
      </c>
      <c r="J9359" t="s">
        <v>141</v>
      </c>
      <c r="K9359" t="s">
        <v>14</v>
      </c>
      <c r="L9359" t="s">
        <v>20</v>
      </c>
      <c r="M9359" t="s">
        <v>18216</v>
      </c>
      <c r="N9359" t="s">
        <v>14</v>
      </c>
    </row>
    <row r="9360" x14ac:dyDescent="0.25">
      <c r="A9360" t="n">
        <v>24</v>
      </c>
      <c r="B9360" t="s">
        <v>14</v>
      </c>
      <c r="C9360" t="s">
        <v>22</v>
      </c>
      <c r="D9360" s="2" t="s">
        <f>=HYPERLINK("https://main.knesset.gov.il/APPS/legislation/main/bills/2164222", "הצעת חוק יחסי ממון בין בני זוג (תיקון - הפקעת זכות האיזון מבן זוג שהורשע ברצח בן הזוג השני), התשפ""ב-2021")</f>
        <v>18235</v>
      </c>
      <c r="E9360" t="s">
        <v>18235</v>
      </c>
      <c r="F9360" t="s">
        <v>18236</v>
      </c>
      <c r="G9360" t="s">
        <v>14</v>
      </c>
      <c r="H9360">
             </c>
      <c r="I9360" t="s">
        <v>14</v>
      </c>
      <c r="J9360" t="s">
        <v>141</v>
      </c>
      <c r="K9360" t="s">
        <v>14</v>
      </c>
      <c r="L9360" t="s">
        <v>20</v>
      </c>
      <c r="M9360" t="s">
        <v>18216</v>
      </c>
      <c r="N9360" t="s">
        <v>14</v>
      </c>
    </row>
    <row r="9361" x14ac:dyDescent="0.25">
      <c r="A9361" t="n">
        <v>24</v>
      </c>
      <c r="B9361" t="s">
        <v>14</v>
      </c>
      <c r="C9361" t="s">
        <v>22</v>
      </c>
      <c r="D9361" s="2" t="s">
        <f>=HYPERLINK("https://main.knesset.gov.il/APPS/legislation/main/bills/2163494", "הצעת חוק איסור חקירה בדבר עברו המיני של נפגע עבירה (תיקוני חקיקה), התשפ""ב-2021")</f>
        <v>18237</v>
      </c>
      <c r="E9361" t="s">
        <v>18237</v>
      </c>
      <c r="F9361" t="s">
        <v>18238</v>
      </c>
      <c r="G9361" t="s">
        <v>14</v>
      </c>
      <c r="H9361">
             </c>
      <c r="I9361" t="s">
        <v>14</v>
      </c>
      <c r="J9361" t="s">
        <v>141</v>
      </c>
      <c r="K9361" t="s">
        <v>14</v>
      </c>
      <c r="L9361" t="s">
        <v>20</v>
      </c>
      <c r="M9361" t="s">
        <v>18216</v>
      </c>
      <c r="N9361" t="s">
        <v>14</v>
      </c>
    </row>
    <row r="9362" x14ac:dyDescent="0.25">
      <c r="A9362" t="n">
        <v>24</v>
      </c>
      <c r="B9362" t="s">
        <v>14</v>
      </c>
      <c r="C9362" t="s">
        <v>22</v>
      </c>
      <c r="D9362" s="2" t="s">
        <f>=HYPERLINK("https://main.knesset.gov.il/APPS/legislation/main/bills/2164173", "הצעת חוק דמי נסיעה לסטודנטים בתחבורה ציבורית (תיקוני חקיקה), התשפ""ב-2021")</f>
        <v>18239</v>
      </c>
      <c r="E9362" t="s">
        <v>18239</v>
      </c>
      <c r="F9362" t="s">
        <v>18240</v>
      </c>
      <c r="G9362" t="s">
        <v>14</v>
      </c>
      <c r="H9362">
             </c>
      <c r="I9362" t="s">
        <v>14</v>
      </c>
      <c r="J9362" t="s">
        <v>141</v>
      </c>
      <c r="K9362" t="s">
        <v>14</v>
      </c>
      <c r="L9362" t="s">
        <v>20</v>
      </c>
      <c r="M9362" t="s">
        <v>18216</v>
      </c>
      <c r="N9362" t="s">
        <v>14</v>
      </c>
    </row>
    <row r="9363" x14ac:dyDescent="0.25">
      <c r="A9363" t="n">
        <v>24</v>
      </c>
      <c r="B9363" t="s">
        <v>14</v>
      </c>
      <c r="C9363" t="s">
        <v>22</v>
      </c>
      <c r="D9363" s="2" t="s">
        <f>=HYPERLINK("https://main.knesset.gov.il/APPS/legislation/main/bills/2164191", "הצעת חוק הביטוח הלאומי (תיקון - עבודה מועדפת), התשפ""ב-2021")</f>
        <v>18241</v>
      </c>
      <c r="E9363" t="s">
        <v>18241</v>
      </c>
      <c r="F9363" t="s">
        <v>18242</v>
      </c>
      <c r="G9363" t="s">
        <v>14</v>
      </c>
      <c r="H9363">
             </c>
      <c r="I9363" t="s">
        <v>14</v>
      </c>
      <c r="J9363" t="s">
        <v>141</v>
      </c>
      <c r="K9363" t="s">
        <v>14</v>
      </c>
      <c r="L9363" t="s">
        <v>20</v>
      </c>
      <c r="M9363" t="s">
        <v>18216</v>
      </c>
      <c r="N9363" t="s">
        <v>14</v>
      </c>
    </row>
    <row r="9364" x14ac:dyDescent="0.25">
      <c r="A9364" t="n">
        <v>24</v>
      </c>
      <c r="B9364" t="s">
        <v>14</v>
      </c>
      <c r="C9364" t="s">
        <v>22</v>
      </c>
      <c r="D9364" s="2" t="s">
        <f>=HYPERLINK("https://main.knesset.gov.il/APPS/legislation/main/bills/2164182", "הצעת חוק המועצה להשכלה גבוהה (תיקון - קביעת שכר לימוד במוסדות מוכרים שהמדינה אינה משתתפת בתקציביהם), התשפ""ב-2021")</f>
        <v>18243</v>
      </c>
      <c r="E9364" t="s">
        <v>18243</v>
      </c>
      <c r="F9364" t="s">
        <v>18244</v>
      </c>
      <c r="G9364" t="s">
        <v>14</v>
      </c>
      <c r="H9364">
             </c>
      <c r="I9364" t="s">
        <v>14</v>
      </c>
      <c r="J9364" t="s">
        <v>141</v>
      </c>
      <c r="K9364" t="s">
        <v>14</v>
      </c>
      <c r="L9364" t="s">
        <v>20</v>
      </c>
      <c r="M9364" t="s">
        <v>18216</v>
      </c>
      <c r="N9364" t="s">
        <v>14</v>
      </c>
    </row>
    <row r="9365" x14ac:dyDescent="0.25">
      <c r="A9365" t="n">
        <v>24</v>
      </c>
      <c r="B9365" t="s">
        <v>14</v>
      </c>
      <c r="C9365" t="s">
        <v>22</v>
      </c>
      <c r="D9365" s="2" t="s">
        <f>=HYPERLINK("https://main.knesset.gov.il/APPS/legislation/main/bills/2164184", "הצעת חוק ההוצאה לפועל (תיקון - החרגת עיקול רכב), התשפ""ב-2021")</f>
        <v>18245</v>
      </c>
      <c r="E9365" t="s">
        <v>18245</v>
      </c>
      <c r="F9365" t="s">
        <v>18246</v>
      </c>
      <c r="G9365" t="s">
        <v>14</v>
      </c>
      <c r="H9365">
             </c>
      <c r="I9365" t="s">
        <v>14</v>
      </c>
      <c r="J9365" t="s">
        <v>141</v>
      </c>
      <c r="K9365" t="s">
        <v>14</v>
      </c>
      <c r="L9365" t="s">
        <v>20</v>
      </c>
      <c r="M9365" t="s">
        <v>18216</v>
      </c>
      <c r="N9365" t="s">
        <v>14</v>
      </c>
    </row>
    <row r="9366" x14ac:dyDescent="0.25">
      <c r="A9366" t="n">
        <v>24</v>
      </c>
      <c r="B9366" t="s">
        <v>14</v>
      </c>
      <c r="C9366" t="s">
        <v>22</v>
      </c>
      <c r="D9366" s="2" t="s">
        <f>=HYPERLINK("https://main.knesset.gov.il/APPS/legislation/main/bills/2163968", "הצעת חוק לתיקון פקודת מס הכנסה (הכרה בהוצאות טיפול בילדים), התשפ""ב-2021")</f>
        <v>18247</v>
      </c>
      <c r="E9366" t="s">
        <v>18247</v>
      </c>
      <c r="F9366" t="s">
        <v>18248</v>
      </c>
      <c r="G9366" t="s">
        <v>14</v>
      </c>
      <c r="H9366">
             </c>
      <c r="I9366" t="s">
        <v>14</v>
      </c>
      <c r="J9366" t="s">
        <v>141</v>
      </c>
      <c r="K9366" t="s">
        <v>14</v>
      </c>
      <c r="L9366" t="s">
        <v>20</v>
      </c>
      <c r="M9366" t="s">
        <v>18216</v>
      </c>
      <c r="N9366" t="s">
        <v>14</v>
      </c>
    </row>
    <row r="9367" x14ac:dyDescent="0.25">
      <c r="A9367" t="n">
        <v>24</v>
      </c>
      <c r="B9367" t="s">
        <v>14</v>
      </c>
      <c r="C9367" t="s">
        <v>22</v>
      </c>
      <c r="D9367" s="2" t="s">
        <f>=HYPERLINK("https://main.knesset.gov.il/APPS/legislation/main/bills/2164318", "הצעת חוק-יסוד: הגירה לישראל ")</f>
        <v>18249</v>
      </c>
      <c r="E9367" t="s">
        <v>18249</v>
      </c>
      <c r="F9367" t="s">
        <v>18250</v>
      </c>
      <c r="G9367" t="s">
        <v>14</v>
      </c>
      <c r="H9367">
             </c>
      <c r="I9367" t="s">
        <v>14</v>
      </c>
      <c r="J9367" t="s">
        <v>141</v>
      </c>
      <c r="K9367" t="s">
        <v>14</v>
      </c>
      <c r="L9367" t="s">
        <v>20</v>
      </c>
      <c r="M9367" t="s">
        <v>18216</v>
      </c>
      <c r="N9367" t="s">
        <v>14</v>
      </c>
    </row>
    <row r="9368" x14ac:dyDescent="0.25">
      <c r="A9368" t="n">
        <v>24</v>
      </c>
      <c r="B9368" t="s">
        <v>14</v>
      </c>
      <c r="C9368" t="s">
        <v>22</v>
      </c>
      <c r="D9368" s="2" t="s">
        <f>=HYPERLINK("https://main.knesset.gov.il/APPS/legislation/main/bills/2163953", "הצעת חוק לתיקון פקודת התעבורה (הגבלת הפעלת רכב ציבורי בימי מנוחה), התשפ""ב-2021")</f>
        <v>18251</v>
      </c>
      <c r="E9368" t="s">
        <v>18251</v>
      </c>
      <c r="F9368" t="s">
        <v>18252</v>
      </c>
      <c r="G9368" t="s">
        <v>14</v>
      </c>
      <c r="H9368">
             </c>
      <c r="I9368" t="s">
        <v>14</v>
      </c>
      <c r="J9368" t="s">
        <v>141</v>
      </c>
      <c r="K9368" t="s">
        <v>14</v>
      </c>
      <c r="L9368" t="s">
        <v>20</v>
      </c>
      <c r="M9368" t="s">
        <v>18216</v>
      </c>
      <c r="N9368" t="s">
        <v>14</v>
      </c>
    </row>
    <row r="9369" x14ac:dyDescent="0.25">
      <c r="A9369" t="n">
        <v>24</v>
      </c>
      <c r="B9369" t="s">
        <v>14</v>
      </c>
      <c r="C9369" t="s">
        <v>22</v>
      </c>
      <c r="D9369" s="2" t="s">
        <f>=HYPERLINK("https://main.knesset.gov.il/APPS/legislation/main/bills/2164437", "הצעת חוק שמירת הסביבה החופית (בחינה ועדכון של תכניות), התשפ""ב-2021")</f>
        <v>18253</v>
      </c>
      <c r="E9369" t="s">
        <v>18253</v>
      </c>
      <c r="F9369" t="s">
        <v>18254</v>
      </c>
      <c r="G9369" t="s">
        <v>14</v>
      </c>
      <c r="H9369">
             </c>
      <c r="I9369" t="s">
        <v>14</v>
      </c>
      <c r="J9369" t="s">
        <v>141</v>
      </c>
      <c r="K9369" t="s">
        <v>14</v>
      </c>
      <c r="L9369" t="s">
        <v>20</v>
      </c>
      <c r="M9369" t="s">
        <v>18216</v>
      </c>
      <c r="N9369" t="s">
        <v>14</v>
      </c>
    </row>
    <row r="9370" x14ac:dyDescent="0.25">
      <c r="A9370" t="n">
        <v>24</v>
      </c>
      <c r="B9370" t="s">
        <v>14</v>
      </c>
      <c r="C9370" t="s">
        <v>22</v>
      </c>
      <c r="D9370" s="2" t="s">
        <f>=HYPERLINK("https://main.knesset.gov.il/APPS/legislation/main/bills/2161439", "הצעת חוק הסכמים קיבוציים (תיקון - שינוי מעסיקים), התשפ""ב-2021")</f>
        <v>18255</v>
      </c>
      <c r="E9370" t="s">
        <v>18255</v>
      </c>
      <c r="F9370" t="s">
        <v>18256</v>
      </c>
      <c r="G9370" t="s">
        <v>14</v>
      </c>
      <c r="H9370">
             </c>
      <c r="I9370" t="s">
        <v>14</v>
      </c>
      <c r="J9370" t="s">
        <v>141</v>
      </c>
      <c r="K9370" t="s">
        <v>14</v>
      </c>
      <c r="L9370" t="s">
        <v>20</v>
      </c>
      <c r="M9370" t="s">
        <v>18216</v>
      </c>
      <c r="N9370" t="s">
        <v>14</v>
      </c>
    </row>
    <row r="9371" x14ac:dyDescent="0.25">
      <c r="A9371" t="n">
        <v>24</v>
      </c>
      <c r="B9371" t="s">
        <v>14</v>
      </c>
      <c r="C9371" t="s">
        <v>22</v>
      </c>
      <c r="D9371" s="2" t="s">
        <f>=HYPERLINK("https://main.knesset.gov.il/APPS/legislation/main/bills/2164267", "הצעת חוק המועצה להשכלה גבוהה (תיקון - קביעת שכר לימוד במוסדות מוכרים שהמדינה אינה משתתפת בתקציביהם), התשפ""ב-2021")</f>
        <v>18243</v>
      </c>
      <c r="E9371" t="s">
        <v>18243</v>
      </c>
      <c r="F9371" t="s">
        <v>18257</v>
      </c>
      <c r="G9371" t="s">
        <v>14</v>
      </c>
      <c r="H9371">
             </c>
      <c r="I9371" t="s">
        <v>14</v>
      </c>
      <c r="J9371" t="s">
        <v>141</v>
      </c>
      <c r="K9371" t="s">
        <v>14</v>
      </c>
      <c r="L9371" t="s">
        <v>20</v>
      </c>
      <c r="M9371" t="s">
        <v>18216</v>
      </c>
      <c r="N9371" t="s">
        <v>14</v>
      </c>
    </row>
    <row r="9372" x14ac:dyDescent="0.25">
      <c r="A9372" t="n">
        <v>24</v>
      </c>
      <c r="B9372" t="s">
        <v>14</v>
      </c>
      <c r="C9372" t="s">
        <v>22</v>
      </c>
      <c r="D9372" s="2" t="s">
        <f>=HYPERLINK("https://main.knesset.gov.il/APPS/legislation/main/bills/2164170", "הצעת חוק חינוך ממלכתי (תיקון - תקצוב מלא למוסדות מוכרים לא רשמיים), התשפ""ב-2021")</f>
        <v>18258</v>
      </c>
      <c r="E9372" t="s">
        <v>18258</v>
      </c>
      <c r="F9372" t="s">
        <v>18259</v>
      </c>
      <c r="G9372" t="s">
        <v>14</v>
      </c>
      <c r="H9372">
             </c>
      <c r="I9372" t="s">
        <v>14</v>
      </c>
      <c r="J9372" t="s">
        <v>141</v>
      </c>
      <c r="K9372" t="s">
        <v>14</v>
      </c>
      <c r="L9372" t="s">
        <v>20</v>
      </c>
      <c r="M9372" t="s">
        <v>18216</v>
      </c>
      <c r="N9372" t="s">
        <v>14</v>
      </c>
    </row>
    <row r="9373" x14ac:dyDescent="0.25">
      <c r="A9373" t="n">
        <v>24</v>
      </c>
      <c r="B9373" t="s">
        <v>14</v>
      </c>
      <c r="C9373" t="s">
        <v>22</v>
      </c>
      <c r="D9373" s="2" t="s">
        <f>=HYPERLINK("https://main.knesset.gov.il/APPS/legislation/main/bills/2164306", "הצעת חוק שעות עבודה ומנוחה (תיקון - הפסקה בין יום עבודה למשנהו שלא עולה על 8 שעות), התשפ""ב-2021")</f>
        <v>18260</v>
      </c>
      <c r="E9373" t="s">
        <v>18260</v>
      </c>
      <c r="F9373" t="s">
        <v>18261</v>
      </c>
      <c r="G9373" t="s">
        <v>14</v>
      </c>
      <c r="H9373">
             </c>
      <c r="I9373" t="s">
        <v>14</v>
      </c>
      <c r="J9373" t="s">
        <v>141</v>
      </c>
      <c r="K9373" t="s">
        <v>14</v>
      </c>
      <c r="L9373" t="s">
        <v>20</v>
      </c>
      <c r="M9373" t="s">
        <v>18216</v>
      </c>
      <c r="N9373" t="s">
        <v>14</v>
      </c>
    </row>
    <row r="9374" x14ac:dyDescent="0.25">
      <c r="A9374" t="n">
        <v>24</v>
      </c>
      <c r="B9374" t="s">
        <v>14</v>
      </c>
      <c r="C9374" t="s">
        <v>22</v>
      </c>
      <c r="D9374" s="2" t="s">
        <f>=HYPERLINK("https://main.knesset.gov.il/APPS/legislation/main/bills/2164312", "הצעת חוק הירושה (תיקון - בני זוג), התשפ""ב-2021")</f>
        <v>18262</v>
      </c>
      <c r="E9374" t="s">
        <v>18262</v>
      </c>
      <c r="F9374" t="s">
        <v>18263</v>
      </c>
      <c r="G9374" t="s">
        <v>14</v>
      </c>
      <c r="H9374">
             </c>
      <c r="I9374" t="s">
        <v>14</v>
      </c>
      <c r="J9374" t="s">
        <v>141</v>
      </c>
      <c r="K9374" t="s">
        <v>14</v>
      </c>
      <c r="L9374" t="s">
        <v>20</v>
      </c>
      <c r="M9374" t="s">
        <v>18216</v>
      </c>
      <c r="N9374" t="s">
        <v>14</v>
      </c>
    </row>
    <row r="9375" x14ac:dyDescent="0.25">
      <c r="A9375" t="n">
        <v>24</v>
      </c>
      <c r="B9375" t="s">
        <v>14</v>
      </c>
      <c r="C9375" t="s">
        <v>22</v>
      </c>
      <c r="D9375" s="2" t="s">
        <f>=HYPERLINK("https://main.knesset.gov.il/APPS/legislation/main/bills/2164190", "הצעת חוק שירותי הסעד (תיקון - הגבלת מספר התיקים בטיפול עובד סוציאלי המטפל במשפחות), התשפ""ב-2021")</f>
        <v>18264</v>
      </c>
      <c r="E9375" t="s">
        <v>18264</v>
      </c>
      <c r="F9375" t="s">
        <v>18265</v>
      </c>
      <c r="G9375" t="s">
        <v>14</v>
      </c>
      <c r="H9375">
             </c>
      <c r="I9375" t="s">
        <v>14</v>
      </c>
      <c r="J9375" t="s">
        <v>141</v>
      </c>
      <c r="K9375" t="s">
        <v>14</v>
      </c>
      <c r="L9375" t="s">
        <v>20</v>
      </c>
      <c r="M9375" t="s">
        <v>18216</v>
      </c>
      <c r="N9375" t="s">
        <v>14</v>
      </c>
    </row>
    <row r="9376" x14ac:dyDescent="0.25">
      <c r="A9376" t="n">
        <v>24</v>
      </c>
      <c r="B9376" t="s">
        <v>14</v>
      </c>
      <c r="C9376" t="s">
        <v>22</v>
      </c>
      <c r="D9376" s="2" t="s">
        <f>=HYPERLINK("https://main.knesset.gov.il/APPS/legislation/main/bills/2164133", "הצעת חוק המרכז למורשת יהדות תוניסיה וג'רבה, התשפ""ב-2021")</f>
        <v>18009</v>
      </c>
      <c r="E9376" t="s">
        <v>18009</v>
      </c>
      <c r="F9376" t="s">
        <v>18266</v>
      </c>
      <c r="G9376" t="s">
        <v>14</v>
      </c>
      <c r="H9376">
             </c>
      <c r="I9376" t="s">
        <v>14</v>
      </c>
      <c r="J9376" t="s">
        <v>141</v>
      </c>
      <c r="K9376" t="s">
        <v>14</v>
      </c>
      <c r="L9376" t="s">
        <v>20</v>
      </c>
      <c r="M9376" t="s">
        <v>18216</v>
      </c>
      <c r="N9376" t="s">
        <v>14</v>
      </c>
    </row>
    <row r="9377" x14ac:dyDescent="0.25">
      <c r="A9377" t="n">
        <v>24</v>
      </c>
      <c r="B9377" t="s">
        <v>14</v>
      </c>
      <c r="C9377" t="s">
        <v>22</v>
      </c>
      <c r="D9377" s="2" t="s">
        <f>=HYPERLINK("https://main.knesset.gov.il/APPS/legislation/main/bills/2164165", "הצעת חוק התכנון והבנייה (תיקון - הגבלת תקופת ההפקעה לייעוד ציבורי), התשפ""ב- 2021")</f>
        <v>18267</v>
      </c>
      <c r="E9377" t="s">
        <v>18267</v>
      </c>
      <c r="F9377" t="s">
        <v>18268</v>
      </c>
      <c r="G9377" t="s">
        <v>14</v>
      </c>
      <c r="H9377">
             </c>
      <c r="I9377" t="s">
        <v>14</v>
      </c>
      <c r="J9377" t="s">
        <v>141</v>
      </c>
      <c r="K9377" t="s">
        <v>14</v>
      </c>
      <c r="L9377" t="s">
        <v>20</v>
      </c>
      <c r="M9377" t="s">
        <v>18216</v>
      </c>
      <c r="N9377" t="s">
        <v>14</v>
      </c>
    </row>
    <row r="9378" x14ac:dyDescent="0.25">
      <c r="A9378" t="n">
        <v>24</v>
      </c>
      <c r="B9378" t="s">
        <v>14</v>
      </c>
      <c r="C9378" t="s">
        <v>22</v>
      </c>
      <c r="D9378" s="2" t="s">
        <f>=HYPERLINK("https://main.knesset.gov.il/APPS/legislation/main/bills/2162836", "הצעת חוק ההכרה בענף הפוקר, התשפ""ב-2021")</f>
        <v>18269</v>
      </c>
      <c r="E9378" t="s">
        <v>18269</v>
      </c>
      <c r="F9378" t="s">
        <v>18270</v>
      </c>
      <c r="G9378" t="s">
        <v>14</v>
      </c>
      <c r="H9378">
             </c>
      <c r="I9378" t="s">
        <v>14</v>
      </c>
      <c r="J9378" t="s">
        <v>141</v>
      </c>
      <c r="K9378" t="s">
        <v>14</v>
      </c>
      <c r="L9378" t="s">
        <v>20</v>
      </c>
      <c r="M9378" t="s">
        <v>18216</v>
      </c>
      <c r="N9378" t="s">
        <v>14</v>
      </c>
    </row>
    <row r="9379" x14ac:dyDescent="0.25">
      <c r="A9379" t="n">
        <v>24</v>
      </c>
      <c r="B9379" t="s">
        <v>14</v>
      </c>
      <c r="C9379" t="s">
        <v>22</v>
      </c>
      <c r="D9379" s="2" t="s">
        <f>=HYPERLINK("https://main.knesset.gov.il/APPS/legislation/main/bills/2164582", "הצעת חוק לימוד חובה (תיקון - חינוך חינם לפעוטות ולילדים), התשפ""ב-2021")</f>
        <v>18271</v>
      </c>
      <c r="E9379" t="s">
        <v>18271</v>
      </c>
      <c r="F9379" t="s">
        <v>18272</v>
      </c>
      <c r="G9379" t="s">
        <v>14</v>
      </c>
      <c r="H9379">
             </c>
      <c r="I9379" t="s">
        <v>14</v>
      </c>
      <c r="J9379" t="s">
        <v>141</v>
      </c>
      <c r="K9379" t="s">
        <v>14</v>
      </c>
      <c r="L9379" t="s">
        <v>20</v>
      </c>
      <c r="M9379" t="s">
        <v>18216</v>
      </c>
      <c r="N9379" t="s">
        <v>14</v>
      </c>
    </row>
    <row r="9380" x14ac:dyDescent="0.25">
      <c r="A9380" t="n">
        <v>24</v>
      </c>
      <c r="B9380" t="s">
        <v>14</v>
      </c>
      <c r="C9380" t="s">
        <v>22</v>
      </c>
      <c r="D9380" s="2" t="s">
        <f>=HYPERLINK("https://main.knesset.gov.il/APPS/legislation/main/bills/2164412", "הצעת חוק הפקדות וזכויות סוציאליות לעצמאים (תיקוני חקיקה), התשפ""ב-2021")</f>
        <v>18273</v>
      </c>
      <c r="E9380" t="s">
        <v>18273</v>
      </c>
      <c r="F9380" t="s">
        <v>18274</v>
      </c>
      <c r="G9380" t="s">
        <v>14</v>
      </c>
      <c r="H9380">
             </c>
      <c r="I9380" t="s">
        <v>14</v>
      </c>
      <c r="J9380" t="s">
        <v>141</v>
      </c>
      <c r="K9380" t="s">
        <v>14</v>
      </c>
      <c r="L9380" t="s">
        <v>20</v>
      </c>
      <c r="M9380" t="s">
        <v>18216</v>
      </c>
      <c r="N9380" t="s">
        <v>14</v>
      </c>
    </row>
    <row r="9381" x14ac:dyDescent="0.25">
      <c r="A9381" t="n">
        <v>24</v>
      </c>
      <c r="B9381" t="s">
        <v>14</v>
      </c>
      <c r="C9381" t="s">
        <v>22</v>
      </c>
      <c r="D9381" s="2" t="s">
        <f>=HYPERLINK("https://main.knesset.gov.il/APPS/legislation/main/bills/2164352", "הצעת חוק לימוד חובה (תיקון - חינוך חינם לפעוטות ולילדים), התשפ""ב-2021")</f>
        <v>18271</v>
      </c>
      <c r="E9381" t="s">
        <v>18271</v>
      </c>
      <c r="F9381" t="s">
        <v>18275</v>
      </c>
      <c r="G9381" t="s">
        <v>14</v>
      </c>
      <c r="H9381">
             </c>
      <c r="I9381" t="s">
        <v>14</v>
      </c>
      <c r="J9381" t="s">
        <v>141</v>
      </c>
      <c r="K9381" t="s">
        <v>14</v>
      </c>
      <c r="L9381" t="s">
        <v>20</v>
      </c>
      <c r="M9381" t="s">
        <v>18216</v>
      </c>
      <c r="N9381" t="s">
        <v>14</v>
      </c>
    </row>
    <row r="9382" x14ac:dyDescent="0.25">
      <c r="A9382" t="n">
        <v>24</v>
      </c>
      <c r="B9382" t="s">
        <v>14</v>
      </c>
      <c r="C9382" t="s">
        <v>22</v>
      </c>
      <c r="D9382" s="2" t="s">
        <f>=HYPERLINK("https://main.knesset.gov.il/APPS/legislation/main/bills/2164510", "הצעת חוק חסינות חברי הכנסת, זכויותיהם וחובותיהם (תיקון - ועדת האתיקה), התשפ""ב-2021")</f>
        <v>18276</v>
      </c>
      <c r="E9382" t="s">
        <v>18276</v>
      </c>
      <c r="F9382" t="s">
        <v>18277</v>
      </c>
      <c r="G9382" t="s">
        <v>14</v>
      </c>
      <c r="H9382">
             </c>
      <c r="I9382" t="s">
        <v>14</v>
      </c>
      <c r="J9382" t="s">
        <v>141</v>
      </c>
      <c r="K9382" t="s">
        <v>14</v>
      </c>
      <c r="L9382" t="s">
        <v>20</v>
      </c>
      <c r="M9382" t="s">
        <v>18216</v>
      </c>
      <c r="N9382" t="s">
        <v>14</v>
      </c>
    </row>
    <row r="9383" x14ac:dyDescent="0.25">
      <c r="A9383" t="n">
        <v>24</v>
      </c>
      <c r="B9383" t="s">
        <v>14</v>
      </c>
      <c r="C9383" t="s">
        <v>22</v>
      </c>
      <c r="D9383" s="2" t="s">
        <f>=HYPERLINK("https://main.knesset.gov.il/APPS/legislation/main/bills/2164139", "הצעת חוק משפחות חיילים שנספו במערכה (תגמולים ושיקום) (תיקון - המונח יתום), התשפ""ב-2021")</f>
        <v>18278</v>
      </c>
      <c r="E9383" t="s">
        <v>18278</v>
      </c>
      <c r="F9383" t="s">
        <v>18279</v>
      </c>
      <c r="G9383" t="s">
        <v>14</v>
      </c>
      <c r="H9383">
             </c>
      <c r="I9383" t="s">
        <v>14</v>
      </c>
      <c r="J9383" t="s">
        <v>141</v>
      </c>
      <c r="K9383" t="s">
        <v>14</v>
      </c>
      <c r="L9383" t="s">
        <v>20</v>
      </c>
      <c r="M9383" t="s">
        <v>18216</v>
      </c>
      <c r="N9383" t="s">
        <v>14</v>
      </c>
    </row>
    <row r="9384" x14ac:dyDescent="0.25">
      <c r="A9384" t="n">
        <v>24</v>
      </c>
      <c r="B9384" t="s">
        <v>14</v>
      </c>
      <c r="C9384" t="s">
        <v>22</v>
      </c>
      <c r="D9384" s="2" t="s">
        <f>=HYPERLINK("https://main.knesset.gov.il/APPS/legislation/main/bills/2164338", "הצעת חוק שקיפות אינטרסים כספיים וגילוי עניינים של חברי הכנסת והשרים, התשפ""ב-2021")</f>
        <v>18280</v>
      </c>
      <c r="E9384" t="s">
        <v>18280</v>
      </c>
      <c r="F9384" t="s">
        <v>18281</v>
      </c>
      <c r="G9384" t="s">
        <v>14</v>
      </c>
      <c r="H9384">
             </c>
      <c r="I9384" t="s">
        <v>14</v>
      </c>
      <c r="J9384" t="s">
        <v>141</v>
      </c>
      <c r="K9384" t="s">
        <v>14</v>
      </c>
      <c r="L9384" t="s">
        <v>20</v>
      </c>
      <c r="M9384" t="s">
        <v>18216</v>
      </c>
      <c r="N9384" t="s">
        <v>14</v>
      </c>
    </row>
    <row r="9385" x14ac:dyDescent="0.25">
      <c r="A9385" t="n">
        <v>24</v>
      </c>
      <c r="B9385" t="s">
        <v>14</v>
      </c>
      <c r="C9385" t="s">
        <v>22</v>
      </c>
      <c r="D9385" s="2" t="s">
        <f>=HYPERLINK("https://main.knesset.gov.il/APPS/legislation/main/bills/2163165", "הצעת חוק מיסוי רווחים ממשאבי טבע (תיקון - שקיפות הליכי השומה), התשפ""ב-2021")</f>
        <v>18282</v>
      </c>
      <c r="E9385" t="s">
        <v>18282</v>
      </c>
      <c r="F9385" t="s">
        <v>18283</v>
      </c>
      <c r="G9385" t="s">
        <v>14</v>
      </c>
      <c r="H9385">
             </c>
      <c r="I9385" t="s">
        <v>14</v>
      </c>
      <c r="J9385" t="s">
        <v>141</v>
      </c>
      <c r="K9385" t="s">
        <v>14</v>
      </c>
      <c r="L9385" t="s">
        <v>20</v>
      </c>
      <c r="M9385" t="s">
        <v>18216</v>
      </c>
      <c r="N9385" t="s">
        <v>14</v>
      </c>
    </row>
    <row r="9386" x14ac:dyDescent="0.25">
      <c r="A9386" t="n">
        <v>24</v>
      </c>
      <c r="B9386" t="s">
        <v>14</v>
      </c>
      <c r="C9386" t="s">
        <v>22</v>
      </c>
      <c r="D9386" s="2" t="s">
        <f>=HYPERLINK("https://main.knesset.gov.il/APPS/legislation/main/bills/2164324", "הצעת חוק הביטוח הלאומי (תיקון - העלאת דמי לידה), התשפ""ב-2021")</f>
        <v>18284</v>
      </c>
      <c r="E9386" t="s">
        <v>18284</v>
      </c>
      <c r="F9386" t="s">
        <v>18285</v>
      </c>
      <c r="G9386" t="s">
        <v>14</v>
      </c>
      <c r="H9386">
             </c>
      <c r="I9386" t="s">
        <v>14</v>
      </c>
      <c r="J9386" t="s">
        <v>141</v>
      </c>
      <c r="K9386" t="s">
        <v>14</v>
      </c>
      <c r="L9386" t="s">
        <v>20</v>
      </c>
      <c r="M9386" t="s">
        <v>18216</v>
      </c>
      <c r="N9386" t="s">
        <v>14</v>
      </c>
    </row>
    <row r="9387" x14ac:dyDescent="0.25">
      <c r="A9387" t="n">
        <v>24</v>
      </c>
      <c r="B9387" t="s">
        <v>14</v>
      </c>
      <c r="C9387" t="s">
        <v>22</v>
      </c>
      <c r="D9387" s="2" t="s">
        <f>=HYPERLINK("https://main.knesset.gov.il/APPS/legislation/main/bills/2164188", "הצעת חוק הקמת מאגר מידע דיגיטלי בנושא הכשרות מקצועיות, התשפ""ב-2021")</f>
        <v>18286</v>
      </c>
      <c r="E9387" t="s">
        <v>18286</v>
      </c>
      <c r="F9387" t="s">
        <v>18287</v>
      </c>
      <c r="G9387" t="s">
        <v>14</v>
      </c>
      <c r="H9387">
             </c>
      <c r="I9387" t="s">
        <v>14</v>
      </c>
      <c r="J9387" t="s">
        <v>141</v>
      </c>
      <c r="K9387" t="s">
        <v>14</v>
      </c>
      <c r="L9387" t="s">
        <v>20</v>
      </c>
      <c r="M9387" t="s">
        <v>18216</v>
      </c>
      <c r="N9387" t="s">
        <v>14</v>
      </c>
    </row>
    <row r="9388" x14ac:dyDescent="0.25">
      <c r="A9388" t="n">
        <v>24</v>
      </c>
      <c r="B9388" t="s">
        <v>14</v>
      </c>
      <c r="C9388" t="s">
        <v>22</v>
      </c>
      <c r="D9388" s="2" t="s">
        <f>=HYPERLINK("https://main.knesset.gov.il/APPS/legislation/main/bills/2164092", "הצעת חוק לתיקון פקודת העיריות (הטלת ארנונה על מפעל לייצור נשק), התשפ""ב-2021")</f>
        <v>18167</v>
      </c>
      <c r="E9388" t="s">
        <v>18167</v>
      </c>
      <c r="F9388" t="s">
        <v>18288</v>
      </c>
      <c r="G9388" t="s">
        <v>14</v>
      </c>
      <c r="H9388">
             </c>
      <c r="I9388" t="s">
        <v>14</v>
      </c>
      <c r="J9388" t="s">
        <v>141</v>
      </c>
      <c r="K9388" t="s">
        <v>14</v>
      </c>
      <c r="L9388" t="s">
        <v>20</v>
      </c>
      <c r="M9388" t="s">
        <v>18216</v>
      </c>
      <c r="N9388" t="s">
        <v>14</v>
      </c>
    </row>
    <row r="9389" x14ac:dyDescent="0.25">
      <c r="A9389" t="n">
        <v>24</v>
      </c>
      <c r="B9389" t="s">
        <v>14</v>
      </c>
      <c r="C9389" t="s">
        <v>22</v>
      </c>
      <c r="D9389" s="2" t="s">
        <f>=HYPERLINK("https://main.knesset.gov.il/APPS/legislation/main/bills/2164303", "הצעת חוק שירותי הסעד (תיקון - איסור התניית מימון שירותי רווחה ברשויות מוחלשות), התשפ""ב-2021")</f>
        <v>18289</v>
      </c>
      <c r="E9389" t="s">
        <v>18289</v>
      </c>
      <c r="F9389" t="s">
        <v>18290</v>
      </c>
      <c r="G9389" t="s">
        <v>14</v>
      </c>
      <c r="H9389">
             </c>
      <c r="I9389" t="s">
        <v>14</v>
      </c>
      <c r="J9389" t="s">
        <v>141</v>
      </c>
      <c r="K9389" t="s">
        <v>14</v>
      </c>
      <c r="L9389" t="s">
        <v>20</v>
      </c>
      <c r="M9389" t="s">
        <v>18216</v>
      </c>
      <c r="N9389" t="s">
        <v>14</v>
      </c>
    </row>
    <row r="9390" x14ac:dyDescent="0.25">
      <c r="A9390" t="n">
        <v>24</v>
      </c>
      <c r="B9390" t="s">
        <v>14</v>
      </c>
      <c r="C9390" t="s">
        <v>22</v>
      </c>
      <c r="D9390" s="2" t="s">
        <f>=HYPERLINK("https://main.knesset.gov.il/APPS/legislation/main/bills/2162517", "הצעת חוק המסייעים לנטרול תוצאות אסון צ'רנוביל (תיקון - ציון יום המסייעים), התשפ""ב-2021")</f>
        <v>18291</v>
      </c>
      <c r="E9390" t="s">
        <v>18291</v>
      </c>
      <c r="F9390" t="s">
        <v>18292</v>
      </c>
      <c r="G9390" t="s">
        <v>14</v>
      </c>
      <c r="H9390">
             </c>
      <c r="I9390" t="s">
        <v>14</v>
      </c>
      <c r="J9390" t="s">
        <v>141</v>
      </c>
      <c r="K9390" t="s">
        <v>14</v>
      </c>
      <c r="L9390" t="s">
        <v>20</v>
      </c>
      <c r="M9390" t="s">
        <v>18216</v>
      </c>
      <c r="N9390" t="s">
        <v>14</v>
      </c>
    </row>
    <row r="9391" x14ac:dyDescent="0.25">
      <c r="A9391" t="n">
        <v>24</v>
      </c>
      <c r="B9391" t="s">
        <v>14</v>
      </c>
      <c r="C9391" t="s">
        <v>22</v>
      </c>
      <c r="D9391" s="2" t="s">
        <f>=HYPERLINK("https://main.knesset.gov.il/APPS/legislation/main/bills/2164180", "הצעת חוק עבודת נשים (תיקון - תקופת לידה והורות לנשים בעבודה פיזית קשה), התשפ""ב-2021")</f>
        <v>18293</v>
      </c>
      <c r="E9391" t="s">
        <v>18293</v>
      </c>
      <c r="F9391" t="s">
        <v>18294</v>
      </c>
      <c r="G9391" t="s">
        <v>14</v>
      </c>
      <c r="H9391">
             </c>
      <c r="I9391" t="s">
        <v>14</v>
      </c>
      <c r="J9391" t="s">
        <v>141</v>
      </c>
      <c r="K9391" t="s">
        <v>14</v>
      </c>
      <c r="L9391" t="s">
        <v>20</v>
      </c>
      <c r="M9391" t="s">
        <v>18216</v>
      </c>
      <c r="N9391" t="s">
        <v>14</v>
      </c>
    </row>
    <row r="9392" x14ac:dyDescent="0.25">
      <c r="A9392" t="n">
        <v>24</v>
      </c>
      <c r="B9392" t="s">
        <v>14</v>
      </c>
      <c r="C9392" t="s">
        <v>22</v>
      </c>
      <c r="D9392" s="2" t="s">
        <f>=HYPERLINK("https://main.knesset.gov.il/APPS/legislation/main/bills/2164076", "הצעת חוק המקרקעין (תיקון - התקנת מעלית מטעמים מיוחדים), התשפ""ב-2021")</f>
        <v>17589</v>
      </c>
      <c r="E9392" t="s">
        <v>17589</v>
      </c>
      <c r="F9392" t="s">
        <v>18295</v>
      </c>
      <c r="G9392" t="s">
        <v>14</v>
      </c>
      <c r="H9392">
             </c>
      <c r="I9392" t="s">
        <v>14</v>
      </c>
      <c r="J9392" t="s">
        <v>343</v>
      </c>
      <c r="K9392" t="s">
        <v>14</v>
      </c>
      <c r="L9392" t="s">
        <v>20</v>
      </c>
      <c r="M9392" t="s">
        <v>18216</v>
      </c>
      <c r="N9392" t="s">
        <v>14</v>
      </c>
    </row>
    <row r="9393" x14ac:dyDescent="0.25">
      <c r="A9393" t="n">
        <v>24</v>
      </c>
      <c r="B9393" t="s">
        <v>14</v>
      </c>
      <c r="C9393" t="s">
        <v>22</v>
      </c>
      <c r="D9393" s="2" t="s">
        <f>=HYPERLINK("https://main.knesset.gov.il/APPS/legislation/main/bills/2162359", "הצעת חוק העונשין (תיקון - החמרת ענישה בפשיעה חקלאית), התשפ""ב-2021")</f>
        <v>18296</v>
      </c>
      <c r="E9393" t="s">
        <v>18296</v>
      </c>
      <c r="F9393" t="s">
        <v>18297</v>
      </c>
      <c r="G9393" t="s">
        <v>14</v>
      </c>
      <c r="H9393">
             </c>
      <c r="I9393" t="s">
        <v>14</v>
      </c>
      <c r="J9393" t="s">
        <v>141</v>
      </c>
      <c r="K9393" t="s">
        <v>14</v>
      </c>
      <c r="L9393" t="s">
        <v>20</v>
      </c>
      <c r="M9393" t="s">
        <v>18216</v>
      </c>
      <c r="N9393" t="s">
        <v>14</v>
      </c>
    </row>
    <row r="9394" x14ac:dyDescent="0.25">
      <c r="A9394" t="n">
        <v>24</v>
      </c>
      <c r="B9394" t="s">
        <v>14</v>
      </c>
      <c r="C9394" t="s">
        <v>22</v>
      </c>
      <c r="D9394" s="2" t="s">
        <f>=HYPERLINK("https://main.knesset.gov.il/APPS/legislation/main/bills/2162148", "הצעת חוק חוזה הביטוח (תיקון - ביטוח דירה), התשפ""ב-2021")</f>
        <v>18298</v>
      </c>
      <c r="E9394" t="s">
        <v>18298</v>
      </c>
      <c r="F9394" t="s">
        <v>18299</v>
      </c>
      <c r="G9394" t="s">
        <v>14</v>
      </c>
      <c r="H9394">
             </c>
      <c r="I9394" t="s">
        <v>14</v>
      </c>
      <c r="J9394" t="s">
        <v>141</v>
      </c>
      <c r="K9394" t="s">
        <v>14</v>
      </c>
      <c r="L9394" t="s">
        <v>20</v>
      </c>
      <c r="M9394" t="s">
        <v>18216</v>
      </c>
      <c r="N9394" t="s">
        <v>14</v>
      </c>
    </row>
    <row r="9395" x14ac:dyDescent="0.25">
      <c r="A9395" t="n">
        <v>24</v>
      </c>
      <c r="B9395" t="s">
        <v>14</v>
      </c>
      <c r="C9395" t="s">
        <v>22</v>
      </c>
      <c r="D9395" s="2" t="s">
        <f>=HYPERLINK("https://main.knesset.gov.il/APPS/legislation/main/bills/2163678", "הצעת חוק להגברת השקיפות בפעילותם של גופים פיננסיים (תיקוני חקיקה), התשפ""ב-2021")</f>
        <v>18300</v>
      </c>
      <c r="E9395" t="s">
        <v>18300</v>
      </c>
      <c r="F9395" t="s">
        <v>18301</v>
      </c>
      <c r="G9395" t="s">
        <v>14</v>
      </c>
      <c r="H9395">
             </c>
      <c r="I9395" t="s">
        <v>14</v>
      </c>
      <c r="J9395" t="s">
        <v>141</v>
      </c>
      <c r="K9395" t="s">
        <v>14</v>
      </c>
      <c r="L9395" t="s">
        <v>20</v>
      </c>
      <c r="M9395" t="s">
        <v>18216</v>
      </c>
      <c r="N9395" t="s">
        <v>14</v>
      </c>
    </row>
    <row r="9396" x14ac:dyDescent="0.25">
      <c r="A9396" t="n">
        <v>24</v>
      </c>
      <c r="B9396" t="s">
        <v>14</v>
      </c>
      <c r="C9396" t="s">
        <v>22</v>
      </c>
      <c r="D9396" s="2" t="s">
        <f>=HYPERLINK("https://main.knesset.gov.il/APPS/legislation/main/bills/2161857", "הצעת חוק קביעת יום לציון עקירת יישובי גוש קטיף וצפון השומרון, התשפ""ב-2021")</f>
        <v>18302</v>
      </c>
      <c r="E9396" t="s">
        <v>18302</v>
      </c>
      <c r="F9396" t="s">
        <v>18303</v>
      </c>
      <c r="G9396" t="s">
        <v>14</v>
      </c>
      <c r="H9396">
             </c>
      <c r="I9396" t="s">
        <v>14</v>
      </c>
      <c r="J9396" t="s">
        <v>141</v>
      </c>
      <c r="K9396" t="s">
        <v>14</v>
      </c>
      <c r="L9396" t="s">
        <v>20</v>
      </c>
      <c r="M9396" t="s">
        <v>18216</v>
      </c>
      <c r="N9396" t="s">
        <v>14</v>
      </c>
    </row>
    <row r="9397" x14ac:dyDescent="0.25">
      <c r="A9397" t="n">
        <v>24</v>
      </c>
      <c r="B9397" t="s">
        <v>14</v>
      </c>
      <c r="C9397" t="s">
        <v>22</v>
      </c>
      <c r="D9397" s="2" t="s">
        <f>=HYPERLINK("https://main.knesset.gov.il/APPS/legislation/main/bills/2163906", "הצעת חוק הביטוח הלאומי (תיקון - קצבת נכות לעקרת בית), התשפ""ב-2021")</f>
        <v>18304</v>
      </c>
      <c r="E9397" t="s">
        <v>18304</v>
      </c>
      <c r="F9397" t="s">
        <v>18305</v>
      </c>
      <c r="G9397" t="s">
        <v>14</v>
      </c>
      <c r="H9397">
             </c>
      <c r="I9397" t="s">
        <v>14</v>
      </c>
      <c r="J9397" t="s">
        <v>141</v>
      </c>
      <c r="K9397" t="s">
        <v>14</v>
      </c>
      <c r="L9397" t="s">
        <v>20</v>
      </c>
      <c r="M9397" t="s">
        <v>18216</v>
      </c>
      <c r="N9397" t="s">
        <v>14</v>
      </c>
    </row>
    <row r="9398" x14ac:dyDescent="0.25">
      <c r="A9398" t="n">
        <v>24</v>
      </c>
      <c r="B9398" t="s">
        <v>14</v>
      </c>
      <c r="C9398" t="s">
        <v>22</v>
      </c>
      <c r="D9398" s="2" t="s">
        <f>=HYPERLINK("https://main.knesset.gov.il/APPS/legislation/main/bills/2162936", "הצעת חוק העברת היחידות הארציות של משרדי הממשלה לירושלים, התשפ""ב-2021")</f>
        <v>18306</v>
      </c>
      <c r="E9398" t="s">
        <v>18306</v>
      </c>
      <c r="F9398" t="s">
        <v>18307</v>
      </c>
      <c r="G9398" t="s">
        <v>14</v>
      </c>
      <c r="H9398">
             </c>
      <c r="I9398" t="s">
        <v>14</v>
      </c>
      <c r="J9398" t="s">
        <v>141</v>
      </c>
      <c r="K9398" t="s">
        <v>14</v>
      </c>
      <c r="L9398" t="s">
        <v>20</v>
      </c>
      <c r="M9398" t="s">
        <v>18216</v>
      </c>
      <c r="N9398" t="s">
        <v>14</v>
      </c>
    </row>
    <row r="9399" x14ac:dyDescent="0.25">
      <c r="A9399" t="n">
        <v>24</v>
      </c>
      <c r="B9399" t="s">
        <v>14</v>
      </c>
      <c r="C9399" t="s">
        <v>22</v>
      </c>
      <c r="D9399" s="2" t="s">
        <f>=HYPERLINK("https://main.knesset.gov.il/APPS/legislation/main/bills/2164300", "הצעת חוק הכשרות המשפטית והאפוטרופסות (תיקון - תנאים להוצאת אדם מביתו בניגוד לרצונו), התשפ""ב-2021")</f>
        <v>18308</v>
      </c>
      <c r="E9399" t="s">
        <v>18308</v>
      </c>
      <c r="F9399" t="s">
        <v>18309</v>
      </c>
      <c r="G9399" t="s">
        <v>14</v>
      </c>
      <c r="H9399">
             </c>
      <c r="I9399" t="s">
        <v>14</v>
      </c>
      <c r="J9399" t="s">
        <v>141</v>
      </c>
      <c r="K9399" t="s">
        <v>14</v>
      </c>
      <c r="L9399" t="s">
        <v>20</v>
      </c>
      <c r="M9399" t="s">
        <v>18216</v>
      </c>
      <c r="N9399" t="s">
        <v>14</v>
      </c>
    </row>
    <row r="9400" x14ac:dyDescent="0.25">
      <c r="A9400" t="n">
        <v>24</v>
      </c>
      <c r="B9400" t="s">
        <v>14</v>
      </c>
      <c r="C9400" t="s">
        <v>22</v>
      </c>
      <c r="D9400" s="2" t="s">
        <f>=HYPERLINK("https://main.knesset.gov.il/APPS/legislation/main/bills/2163430", "הצעת חוק יום בריאות הנפש, התשפ""ב-2021")</f>
        <v>18310</v>
      </c>
      <c r="E9400" t="s">
        <v>18310</v>
      </c>
      <c r="F9400" t="s">
        <v>18311</v>
      </c>
      <c r="G9400" t="s">
        <v>14</v>
      </c>
      <c r="H9400">
             </c>
      <c r="I9400" t="s">
        <v>14</v>
      </c>
      <c r="J9400" t="s">
        <v>141</v>
      </c>
      <c r="K9400" t="s">
        <v>14</v>
      </c>
      <c r="L9400" t="s">
        <v>20</v>
      </c>
      <c r="M9400" t="s">
        <v>18216</v>
      </c>
      <c r="N9400" t="s">
        <v>14</v>
      </c>
    </row>
    <row r="9401" x14ac:dyDescent="0.25">
      <c r="A9401" t="n">
        <v>24</v>
      </c>
      <c r="B9401" t="s">
        <v>14</v>
      </c>
      <c r="C9401" t="s">
        <v>22</v>
      </c>
      <c r="D9401" s="2" t="s">
        <f>=HYPERLINK("https://main.knesset.gov.il/APPS/legislation/main/bills/2163864", "הצעת חוק העמותות (תיקון - חובת גילוי תרומה אנונימית), התשפ""ב-2021")</f>
        <v>18312</v>
      </c>
      <c r="E9401" t="s">
        <v>18312</v>
      </c>
      <c r="F9401" t="s">
        <v>18313</v>
      </c>
      <c r="G9401" t="s">
        <v>14</v>
      </c>
      <c r="H9401">
             </c>
      <c r="I9401" t="s">
        <v>14</v>
      </c>
      <c r="J9401" t="s">
        <v>141</v>
      </c>
      <c r="K9401" t="s">
        <v>14</v>
      </c>
      <c r="L9401" t="s">
        <v>20</v>
      </c>
      <c r="M9401" t="s">
        <v>18216</v>
      </c>
      <c r="N9401" t="s">
        <v>14</v>
      </c>
    </row>
    <row r="9402" x14ac:dyDescent="0.25">
      <c r="A9402" t="n">
        <v>24</v>
      </c>
      <c r="B9402" t="s">
        <v>14</v>
      </c>
      <c r="C9402" t="s">
        <v>22</v>
      </c>
      <c r="D9402" s="2" t="s">
        <f>=HYPERLINK("https://main.knesset.gov.il/APPS/legislation/main/bills/2164275", "הצעת חוק לסימון סוסים, חמורים ופרדים ולהגנתם, התשפ""ב-2021")</f>
        <v>18314</v>
      </c>
      <c r="E9402" t="s">
        <v>18314</v>
      </c>
      <c r="F9402" t="s">
        <v>18315</v>
      </c>
      <c r="G9402" t="s">
        <v>14</v>
      </c>
      <c r="H9402">
             </c>
      <c r="I9402" t="s">
        <v>14</v>
      </c>
      <c r="J9402" t="s">
        <v>141</v>
      </c>
      <c r="K9402" t="s">
        <v>14</v>
      </c>
      <c r="L9402" t="s">
        <v>20</v>
      </c>
      <c r="M9402" t="s">
        <v>18216</v>
      </c>
      <c r="N9402" t="s">
        <v>14</v>
      </c>
    </row>
    <row r="9403" x14ac:dyDescent="0.25">
      <c r="A9403" t="n">
        <v>24</v>
      </c>
      <c r="B9403" t="s">
        <v>14</v>
      </c>
      <c r="C9403" t="s">
        <v>22</v>
      </c>
      <c r="D9403" s="2" t="s">
        <f>=HYPERLINK("https://main.knesset.gov.il/APPS/legislation/main/bills/2164295", "הצעת חוק שכר לחיילים בשירות סדיר, התשפ""ב-2021")</f>
        <v>18316</v>
      </c>
      <c r="E9403" t="s">
        <v>18316</v>
      </c>
      <c r="F9403" t="s">
        <v>18317</v>
      </c>
      <c r="G9403" t="s">
        <v>14</v>
      </c>
      <c r="H9403">
             </c>
      <c r="I9403" t="s">
        <v>14</v>
      </c>
      <c r="J9403" t="s">
        <v>141</v>
      </c>
      <c r="K9403" t="s">
        <v>14</v>
      </c>
      <c r="L9403" t="s">
        <v>20</v>
      </c>
      <c r="M9403" t="s">
        <v>18216</v>
      </c>
      <c r="N9403" t="s">
        <v>14</v>
      </c>
    </row>
    <row r="9404" x14ac:dyDescent="0.25">
      <c r="A9404" t="n">
        <v>24</v>
      </c>
      <c r="B9404" t="s">
        <v>14</v>
      </c>
      <c r="C9404" t="s">
        <v>22</v>
      </c>
      <c r="D9404" s="2" t="s">
        <f>=HYPERLINK("https://main.knesset.gov.il/APPS/legislation/main/bills/2164440", "הצעת חוק לתיקון פקודת התעבורה (הסדרי תנועה בקרבת בית ספר), התשפ""ב-2021")</f>
        <v>18318</v>
      </c>
      <c r="E9404" t="s">
        <v>18318</v>
      </c>
      <c r="F9404" t="s">
        <v>18319</v>
      </c>
      <c r="G9404" t="s">
        <v>14</v>
      </c>
      <c r="H9404">
             </c>
      <c r="I9404" t="s">
        <v>14</v>
      </c>
      <c r="J9404" t="s">
        <v>141</v>
      </c>
      <c r="K9404" t="s">
        <v>14</v>
      </c>
      <c r="L9404" t="s">
        <v>20</v>
      </c>
      <c r="M9404" t="s">
        <v>18216</v>
      </c>
      <c r="N9404" t="s">
        <v>14</v>
      </c>
    </row>
    <row r="9405" x14ac:dyDescent="0.25">
      <c r="A9405" t="n">
        <v>24</v>
      </c>
      <c r="B9405" t="s">
        <v>14</v>
      </c>
      <c r="C9405" t="s">
        <v>15</v>
      </c>
      <c r="D9405" s="2" t="s">
        <f>=HYPERLINK("https://main.knesset.gov.il/APPS/legislation/main/bills/2155633", "חוק מיסוי רווחים ממשאבי טבע (תיקון מס' 3), התשפ""ב-2021")</f>
        <v>18320</v>
      </c>
      <c r="E9405" t="s">
        <v>18320</v>
      </c>
      <c r="F9405" t="s">
        <v>14</v>
      </c>
      <c r="G9405" t="s">
        <v>18321</v>
      </c>
      <c r="H9405" t="n">
        <v>2934</v>
      </c>
      <c r="I9405" t="s">
        <v>14</v>
      </c>
      <c r="J9405" t="s">
        <v>91</v>
      </c>
      <c r="K9405" t="s">
        <v>85</v>
      </c>
      <c r="L9405" t="s">
        <v>20</v>
      </c>
      <c r="M9405" t="s">
        <v>18322</v>
      </c>
      <c r="N9405" t="s">
        <v>18323</v>
      </c>
    </row>
    <row r="9406" x14ac:dyDescent="0.25">
      <c r="A9406" t="n">
        <v>24</v>
      </c>
      <c r="B9406" t="s">
        <v>14</v>
      </c>
      <c r="C9406" t="s">
        <v>22</v>
      </c>
      <c r="D9406" s="2" t="s">
        <f>=HYPERLINK("https://main.knesset.gov.il/APPS/legislation/main/bills/2162943", "הצעת חוק הביטוח הלאומי (תיקון - דמי אבטלה לעצמאים), התשפ""ב-2021")</f>
        <v>17853</v>
      </c>
      <c r="E9406" t="s">
        <v>17853</v>
      </c>
      <c r="F9406" t="s">
        <v>18324</v>
      </c>
      <c r="G9406" t="s">
        <v>14</v>
      </c>
      <c r="H9406">
             </c>
      <c r="I9406" t="s">
        <v>14</v>
      </c>
      <c r="J9406" t="s">
        <v>31</v>
      </c>
      <c r="K9406" t="s">
        <v>127</v>
      </c>
      <c r="L9406" t="s">
        <v>20</v>
      </c>
      <c r="M9406" t="s">
        <v>18322</v>
      </c>
      <c r="N9406" t="s">
        <v>14</v>
      </c>
    </row>
    <row r="9407" x14ac:dyDescent="0.25">
      <c r="A9407" t="n">
        <v>24</v>
      </c>
      <c r="B9407" t="s">
        <v>14</v>
      </c>
      <c r="C9407" t="s">
        <v>22</v>
      </c>
      <c r="D9407" s="2" t="s">
        <f>=HYPERLINK("https://main.knesset.gov.il/APPS/legislation/main/bills/2162876", "הצעת חוק הביטוח הלאומי (תיקון - דמי אבטלה לעצמאים), התשפ""ב-2021")</f>
        <v>17853</v>
      </c>
      <c r="E9407" t="s">
        <v>17853</v>
      </c>
      <c r="F9407" t="s">
        <v>18325</v>
      </c>
      <c r="G9407" t="s">
        <v>14</v>
      </c>
      <c r="H9407">
             </c>
      <c r="I9407" t="s">
        <v>14</v>
      </c>
      <c r="J9407" t="s">
        <v>31</v>
      </c>
      <c r="K9407" t="s">
        <v>127</v>
      </c>
      <c r="L9407" t="s">
        <v>20</v>
      </c>
      <c r="M9407" t="s">
        <v>18322</v>
      </c>
      <c r="N9407" t="s">
        <v>14</v>
      </c>
    </row>
    <row r="9408" x14ac:dyDescent="0.25">
      <c r="A9408" t="n">
        <v>24</v>
      </c>
      <c r="B9408" t="s">
        <v>14</v>
      </c>
      <c r="C9408" t="s">
        <v>22</v>
      </c>
      <c r="D9408" s="2" t="s">
        <f>=HYPERLINK("https://main.knesset.gov.il/APPS/legislation/main/bills/2162654", "הצעת חוק הביטוח הלאומי (תיקון - דמי אבטלה לעצמאים), התשפ""ב-2021")</f>
        <v>17853</v>
      </c>
      <c r="E9408" t="s">
        <v>17853</v>
      </c>
      <c r="F9408" t="s">
        <v>18326</v>
      </c>
      <c r="G9408" t="s">
        <v>14</v>
      </c>
      <c r="H9408">
             </c>
      <c r="I9408" t="s">
        <v>14</v>
      </c>
      <c r="J9408" t="s">
        <v>31</v>
      </c>
      <c r="K9408" t="s">
        <v>127</v>
      </c>
      <c r="L9408" t="s">
        <v>20</v>
      </c>
      <c r="M9408" t="s">
        <v>18322</v>
      </c>
      <c r="N9408" t="s">
        <v>14</v>
      </c>
    </row>
    <row r="9409" x14ac:dyDescent="0.25">
      <c r="A9409" t="n">
        <v>24</v>
      </c>
      <c r="B9409" t="s">
        <v>14</v>
      </c>
      <c r="C9409" t="s">
        <v>22</v>
      </c>
      <c r="D9409" s="2" t="s">
        <f>=HYPERLINK("https://main.knesset.gov.il/APPS/legislation/main/bills/2159835", "הצעת חוק הביטוח הלאומי (תיקון - דמי אבטלה לעצמאיים), התשפ""א-2021")</f>
        <v>18327</v>
      </c>
      <c r="E9409" t="s">
        <v>18327</v>
      </c>
      <c r="F9409" t="s">
        <v>18328</v>
      </c>
      <c r="G9409" t="s">
        <v>14</v>
      </c>
      <c r="H9409">
             </c>
      <c r="I9409" t="s">
        <v>14</v>
      </c>
      <c r="J9409" t="s">
        <v>31</v>
      </c>
      <c r="K9409" t="s">
        <v>127</v>
      </c>
      <c r="L9409" t="s">
        <v>20</v>
      </c>
      <c r="M9409" t="s">
        <v>18322</v>
      </c>
      <c r="N9409" t="s">
        <v>14</v>
      </c>
    </row>
    <row r="9410" x14ac:dyDescent="0.25">
      <c r="A9410" t="n">
        <v>24</v>
      </c>
      <c r="B9410" t="s">
        <v>14</v>
      </c>
      <c r="C9410" t="s">
        <v>22</v>
      </c>
      <c r="D9410" s="2" t="s">
        <f>=HYPERLINK("https://main.knesset.gov.il/APPS/legislation/main/bills/2160253", "הצעת חוק העונשין (תיקון - החמרת ענישה בפשיעה חקלאית), התשפ""א-2021")</f>
        <v>18329</v>
      </c>
      <c r="E9410" t="s">
        <v>18329</v>
      </c>
      <c r="F9410" t="s">
        <v>18330</v>
      </c>
      <c r="G9410" t="s">
        <v>14</v>
      </c>
      <c r="H9410">
             </c>
      <c r="I9410" t="s">
        <v>14</v>
      </c>
      <c r="J9410" t="s">
        <v>343</v>
      </c>
      <c r="K9410" t="s">
        <v>14</v>
      </c>
      <c r="L9410" t="s">
        <v>20</v>
      </c>
      <c r="M9410" t="s">
        <v>18322</v>
      </c>
      <c r="N9410" t="s">
        <v>14</v>
      </c>
    </row>
    <row r="9411" x14ac:dyDescent="0.25">
      <c r="A9411" t="n">
        <v>24</v>
      </c>
      <c r="B9411" t="s">
        <v>14</v>
      </c>
      <c r="C9411" t="s">
        <v>22</v>
      </c>
      <c r="D9411" s="2" t="s">
        <f>=HYPERLINK("https://main.knesset.gov.il/APPS/legislation/main/bills/2159427", "הצעת חוק יום בריאות הנפש, התשפ""א-2021")</f>
        <v>18331</v>
      </c>
      <c r="E9411" t="s">
        <v>18331</v>
      </c>
      <c r="F9411" t="s">
        <v>18332</v>
      </c>
      <c r="G9411" t="s">
        <v>14</v>
      </c>
      <c r="H9411">
             </c>
      <c r="I9411" t="s">
        <v>14</v>
      </c>
      <c r="J9411" t="s">
        <v>55</v>
      </c>
      <c r="K9411" t="s">
        <v>14</v>
      </c>
      <c r="L9411" t="s">
        <v>20</v>
      </c>
      <c r="M9411" t="s">
        <v>18322</v>
      </c>
      <c r="N9411" t="s">
        <v>14</v>
      </c>
    </row>
    <row r="9412" x14ac:dyDescent="0.25">
      <c r="A9412" t="n">
        <v>24</v>
      </c>
      <c r="B9412" t="s">
        <v>14</v>
      </c>
      <c r="C9412" t="s">
        <v>22</v>
      </c>
      <c r="D9412" s="2" t="s">
        <f>=HYPERLINK("https://main.knesset.gov.il/APPS/legislation/main/bills/2159321", "הצעת חוק העונשין (תיקון - חלופת מאסר לנשים הרות ולאמהות), התשפ""א-2021")</f>
        <v>18333</v>
      </c>
      <c r="E9412" t="s">
        <v>18333</v>
      </c>
      <c r="F9412" t="s">
        <v>18334</v>
      </c>
      <c r="G9412" t="s">
        <v>14</v>
      </c>
      <c r="H9412">
             </c>
      <c r="I9412" t="s">
        <v>14</v>
      </c>
      <c r="J9412" t="s">
        <v>60</v>
      </c>
      <c r="K9412" t="s">
        <v>14</v>
      </c>
      <c r="L9412" t="s">
        <v>20</v>
      </c>
      <c r="M9412" t="s">
        <v>18322</v>
      </c>
      <c r="N9412" t="s">
        <v>14</v>
      </c>
    </row>
    <row r="9413" x14ac:dyDescent="0.25">
      <c r="A9413" t="n">
        <v>24</v>
      </c>
      <c r="B9413" t="s">
        <v>14</v>
      </c>
      <c r="C9413" t="s">
        <v>22</v>
      </c>
      <c r="D9413" s="2" t="s">
        <f>=HYPERLINK("https://main.knesset.gov.il/APPS/legislation/main/bills/2158539", "הצעת חוק אתרי התיישבות בהליכי הסדרה, התשפ""א-2021")</f>
        <v>18335</v>
      </c>
      <c r="E9413" t="s">
        <v>18335</v>
      </c>
      <c r="F9413" t="s">
        <v>18336</v>
      </c>
      <c r="G9413" t="s">
        <v>14</v>
      </c>
      <c r="H9413">
             </c>
      <c r="I9413" t="s">
        <v>14</v>
      </c>
      <c r="J9413" t="s">
        <v>55</v>
      </c>
      <c r="K9413" t="s">
        <v>14</v>
      </c>
      <c r="L9413" t="s">
        <v>20</v>
      </c>
      <c r="M9413" t="s">
        <v>18322</v>
      </c>
      <c r="N9413" t="s">
        <v>14</v>
      </c>
    </row>
    <row r="9414" x14ac:dyDescent="0.25">
      <c r="A9414" t="n">
        <v>24</v>
      </c>
      <c r="B9414" t="s">
        <v>14</v>
      </c>
      <c r="C9414" t="s">
        <v>22</v>
      </c>
      <c r="D9414" s="2" t="s">
        <f>=HYPERLINK("https://main.knesset.gov.il/APPS/legislation/main/bills/2159496", "הצעת חוק לתיקון פקודת הראיות (פסילת ראיה), התשפ""א-2021")</f>
        <v>17849</v>
      </c>
      <c r="E9414" t="s">
        <v>17849</v>
      </c>
      <c r="F9414" t="s">
        <v>18337</v>
      </c>
      <c r="G9414" t="s">
        <v>14</v>
      </c>
      <c r="H9414">
             </c>
      <c r="I9414" t="s">
        <v>14</v>
      </c>
      <c r="J9414" t="s">
        <v>55</v>
      </c>
      <c r="K9414" t="s">
        <v>14</v>
      </c>
      <c r="L9414" t="s">
        <v>20</v>
      </c>
      <c r="M9414" t="s">
        <v>18322</v>
      </c>
      <c r="N9414" t="s">
        <v>14</v>
      </c>
    </row>
    <row r="9415" x14ac:dyDescent="0.25">
      <c r="A9415" t="n">
        <v>24</v>
      </c>
      <c r="B9415" t="s">
        <v>14</v>
      </c>
      <c r="C9415" t="s">
        <v>22</v>
      </c>
      <c r="D9415" s="2" t="s">
        <f>=HYPERLINK("https://main.knesset.gov.il/APPS/legislation/main/bills/2159157", "הצעת חוק הקמת בית חולים בעיר סח'נין (תיקוני חקיקה), התשפ""א-2021")</f>
        <v>18338</v>
      </c>
      <c r="E9415" t="s">
        <v>18338</v>
      </c>
      <c r="F9415" t="s">
        <v>18339</v>
      </c>
      <c r="G9415" t="s">
        <v>14</v>
      </c>
      <c r="H9415">
             </c>
      <c r="I9415" t="s">
        <v>14</v>
      </c>
      <c r="J9415" t="s">
        <v>60</v>
      </c>
      <c r="K9415" t="s">
        <v>14</v>
      </c>
      <c r="L9415" t="s">
        <v>20</v>
      </c>
      <c r="M9415" t="s">
        <v>18322</v>
      </c>
      <c r="N9415" t="s">
        <v>14</v>
      </c>
    </row>
    <row r="9416" x14ac:dyDescent="0.25">
      <c r="A9416" t="n">
        <v>24</v>
      </c>
      <c r="B9416" t="s">
        <v>14</v>
      </c>
      <c r="C9416" t="s">
        <v>22</v>
      </c>
      <c r="D9416" s="2" t="s">
        <f>=HYPERLINK("https://main.knesset.gov.il/APPS/legislation/main/bills/2158355", "הצעת חוק הביטוח הלאומי (תיקון - דמי אבטלה לעצמאיים), התשפ""א-2021")</f>
        <v>18327</v>
      </c>
      <c r="E9416" t="s">
        <v>18327</v>
      </c>
      <c r="F9416" t="s">
        <v>18340</v>
      </c>
      <c r="G9416" t="s">
        <v>14</v>
      </c>
      <c r="H9416">
             </c>
      <c r="I9416" t="s">
        <v>14</v>
      </c>
      <c r="J9416" t="s">
        <v>31</v>
      </c>
      <c r="K9416" t="s">
        <v>127</v>
      </c>
      <c r="L9416" t="s">
        <v>20</v>
      </c>
      <c r="M9416" t="s">
        <v>18322</v>
      </c>
      <c r="N9416" t="s">
        <v>14</v>
      </c>
    </row>
    <row r="9417" x14ac:dyDescent="0.25">
      <c r="A9417" t="n">
        <v>24</v>
      </c>
      <c r="B9417" t="s">
        <v>14</v>
      </c>
      <c r="C9417" t="s">
        <v>22</v>
      </c>
      <c r="D9417" s="2" t="s">
        <f>=HYPERLINK("https://main.knesset.gov.il/APPS/legislation/main/bills/2157051", "הצעת חוק העונשין (תיקון - חלופת מאסר לנשים הרות ואמהות), התשפ""א-2021")</f>
        <v>18341</v>
      </c>
      <c r="E9417" t="s">
        <v>18341</v>
      </c>
      <c r="F9417" t="s">
        <v>18342</v>
      </c>
      <c r="G9417" t="s">
        <v>14</v>
      </c>
      <c r="H9417">
             </c>
      <c r="I9417" t="s">
        <v>14</v>
      </c>
      <c r="J9417" t="s">
        <v>60</v>
      </c>
      <c r="K9417" t="s">
        <v>14</v>
      </c>
      <c r="L9417" t="s">
        <v>20</v>
      </c>
      <c r="M9417" t="s">
        <v>18322</v>
      </c>
      <c r="N9417" t="s">
        <v>14</v>
      </c>
    </row>
    <row r="9418" x14ac:dyDescent="0.25">
      <c r="A9418" t="n">
        <v>24</v>
      </c>
      <c r="B9418" t="s">
        <v>14</v>
      </c>
      <c r="C9418" t="s">
        <v>22</v>
      </c>
      <c r="D9418" s="2" t="s">
        <f>=HYPERLINK("https://main.knesset.gov.il/APPS/legislation/main/bills/2156124", "הצעת חוק תאגידי מים וביוב (תיקון - ועדת חריגים), התשפ""א-2021")</f>
        <v>18343</v>
      </c>
      <c r="E9418" t="s">
        <v>18343</v>
      </c>
      <c r="F9418" t="s">
        <v>18344</v>
      </c>
      <c r="G9418" t="s">
        <v>14</v>
      </c>
      <c r="H9418">
             </c>
      <c r="I9418" t="s">
        <v>14</v>
      </c>
      <c r="J9418" t="s">
        <v>55</v>
      </c>
      <c r="K9418" t="s">
        <v>14</v>
      </c>
      <c r="L9418" t="s">
        <v>20</v>
      </c>
      <c r="M9418" t="s">
        <v>18322</v>
      </c>
      <c r="N9418" t="s">
        <v>14</v>
      </c>
    </row>
    <row r="9419" x14ac:dyDescent="0.25">
      <c r="A9419" t="n">
        <v>24</v>
      </c>
      <c r="B9419" t="s">
        <v>14</v>
      </c>
      <c r="C9419" t="s">
        <v>22</v>
      </c>
      <c r="D9419" s="2" t="s">
        <f>=HYPERLINK("https://main.knesset.gov.il/APPS/legislation/main/bills/2156443", "הצעת חוק עידוד שירות צבאי, לאומי או לאומי-אזרחי, התשפ""א-2021")</f>
        <v>18345</v>
      </c>
      <c r="E9419" t="s">
        <v>18345</v>
      </c>
      <c r="F9419" t="s">
        <v>18346</v>
      </c>
      <c r="G9419" t="s">
        <v>14</v>
      </c>
      <c r="H9419">
             </c>
      <c r="I9419" t="s">
        <v>14</v>
      </c>
      <c r="J9419" t="s">
        <v>55</v>
      </c>
      <c r="K9419" t="s">
        <v>14</v>
      </c>
      <c r="L9419" t="s">
        <v>20</v>
      </c>
      <c r="M9419" t="s">
        <v>18322</v>
      </c>
      <c r="N9419" t="s">
        <v>14</v>
      </c>
    </row>
    <row r="9420" x14ac:dyDescent="0.25">
      <c r="A9420" t="n">
        <v>24</v>
      </c>
      <c r="B9420" t="s">
        <v>14</v>
      </c>
      <c r="C9420" t="s">
        <v>22</v>
      </c>
      <c r="D9420" s="2" t="s">
        <f>=HYPERLINK("https://main.knesset.gov.il/APPS/legislation/main/bills/2157178", "הצעת חוק הפקדות וזכויות סוציאליות לעצמאים (תיקוני חקיקה), התשפ""א-2021")</f>
        <v>18347</v>
      </c>
      <c r="E9420" t="s">
        <v>18347</v>
      </c>
      <c r="F9420" t="s">
        <v>18348</v>
      </c>
      <c r="G9420" t="s">
        <v>14</v>
      </c>
      <c r="H9420">
             </c>
      <c r="I9420" t="s">
        <v>14</v>
      </c>
      <c r="J9420" t="s">
        <v>31</v>
      </c>
      <c r="K9420" t="s">
        <v>127</v>
      </c>
      <c r="L9420" t="s">
        <v>20</v>
      </c>
      <c r="M9420" t="s">
        <v>18322</v>
      </c>
      <c r="N9420" t="s">
        <v>14</v>
      </c>
    </row>
    <row r="9421" x14ac:dyDescent="0.25">
      <c r="A9421" t="n">
        <v>24</v>
      </c>
      <c r="B9421" t="s">
        <v>14</v>
      </c>
      <c r="C9421" t="s">
        <v>22</v>
      </c>
      <c r="D9421" s="2" t="s">
        <f>=HYPERLINK("https://main.knesset.gov.il/APPS/legislation/main/bills/2156682", "הצעת חוק הפקדות וזכויות סוציאליות לעצמאים (תיקוני חקיקה), התשפ""א-2021")</f>
        <v>18347</v>
      </c>
      <c r="E9421" t="s">
        <v>18347</v>
      </c>
      <c r="F9421" t="s">
        <v>18349</v>
      </c>
      <c r="G9421" t="s">
        <v>14</v>
      </c>
      <c r="H9421">
             </c>
      <c r="I9421" t="s">
        <v>14</v>
      </c>
      <c r="J9421" t="s">
        <v>31</v>
      </c>
      <c r="K9421" t="s">
        <v>127</v>
      </c>
      <c r="L9421" t="s">
        <v>20</v>
      </c>
      <c r="M9421" t="s">
        <v>18322</v>
      </c>
      <c r="N9421" t="s">
        <v>14</v>
      </c>
    </row>
    <row r="9422" x14ac:dyDescent="0.25">
      <c r="A9422" t="n">
        <v>24</v>
      </c>
      <c r="B9422" t="s">
        <v>14</v>
      </c>
      <c r="C9422" t="s">
        <v>22</v>
      </c>
      <c r="D9422" s="2" t="s">
        <f>=HYPERLINK("https://main.knesset.gov.il/APPS/legislation/main/bills/2156651", "הצעת חוק לשכת עורכי הדין (תיקון - בחינת ההתמחות בעידן הקורונה), התשפ""א-2021 ")</f>
        <v>18350</v>
      </c>
      <c r="E9422" t="s">
        <v>18350</v>
      </c>
      <c r="F9422" t="s">
        <v>18351</v>
      </c>
      <c r="G9422" t="s">
        <v>14</v>
      </c>
      <c r="H9422">
             </c>
      <c r="I9422" t="s">
        <v>14</v>
      </c>
      <c r="J9422" t="s">
        <v>55</v>
      </c>
      <c r="K9422" t="s">
        <v>14</v>
      </c>
      <c r="L9422" t="s">
        <v>20</v>
      </c>
      <c r="M9422" t="s">
        <v>18322</v>
      </c>
      <c r="N9422" t="s">
        <v>14</v>
      </c>
    </row>
    <row r="9423" x14ac:dyDescent="0.25">
      <c r="A9423" t="n">
        <v>24</v>
      </c>
      <c r="B9423" t="s">
        <v>14</v>
      </c>
      <c r="C9423" t="s">
        <v>22</v>
      </c>
      <c r="D9423" s="2" t="s">
        <f>=HYPERLINK("https://main.knesset.gov.il/APPS/legislation/main/bills/2156787", "הצעת חוק הביטוח הלאומי (תיקון - דמי אבטלה לעצמאים), התשפ""א-2021")</f>
        <v>18352</v>
      </c>
      <c r="E9423" t="s">
        <v>18352</v>
      </c>
      <c r="F9423" t="s">
        <v>18353</v>
      </c>
      <c r="G9423" t="s">
        <v>14</v>
      </c>
      <c r="H9423">
             </c>
      <c r="I9423" t="s">
        <v>14</v>
      </c>
      <c r="J9423" t="s">
        <v>31</v>
      </c>
      <c r="K9423" t="s">
        <v>127</v>
      </c>
      <c r="L9423" t="s">
        <v>20</v>
      </c>
      <c r="M9423" t="s">
        <v>18322</v>
      </c>
      <c r="N9423" t="s">
        <v>14</v>
      </c>
    </row>
    <row r="9424" x14ac:dyDescent="0.25">
      <c r="A9424" t="n">
        <v>24</v>
      </c>
      <c r="B9424" t="s">
        <v>14</v>
      </c>
      <c r="C9424" t="s">
        <v>22</v>
      </c>
      <c r="D9424" s="2" t="s">
        <f>=HYPERLINK("https://main.knesset.gov.il/APPS/legislation/main/bills/2156635", "הצעת חוק הביטוח הלאומי (תיקון - שוויון לעצמאים בזכות לדמי אבטלה), התשפ""א-2021")</f>
        <v>18354</v>
      </c>
      <c r="E9424" t="s">
        <v>18354</v>
      </c>
      <c r="F9424" t="s">
        <v>18355</v>
      </c>
      <c r="G9424" t="s">
        <v>14</v>
      </c>
      <c r="H9424">
             </c>
      <c r="I9424" t="s">
        <v>14</v>
      </c>
      <c r="J9424" t="s">
        <v>31</v>
      </c>
      <c r="K9424" t="s">
        <v>127</v>
      </c>
      <c r="L9424" t="s">
        <v>20</v>
      </c>
      <c r="M9424" t="s">
        <v>18322</v>
      </c>
      <c r="N9424" t="s">
        <v>14</v>
      </c>
    </row>
    <row r="9425" x14ac:dyDescent="0.25">
      <c r="A9425" t="n">
        <v>24</v>
      </c>
      <c r="B9425" t="s">
        <v>14</v>
      </c>
      <c r="C9425" t="s">
        <v>22</v>
      </c>
      <c r="D9425" s="2" t="s">
        <f>=HYPERLINK("https://main.knesset.gov.il/APPS/legislation/main/bills/2156460", "הצעת חוק הפקדות וזכויות סוציאליות לעצמאים (תיקוני חקיקה), התשפ""א-2021")</f>
        <v>18347</v>
      </c>
      <c r="E9425" t="s">
        <v>18347</v>
      </c>
      <c r="F9425" t="s">
        <v>18356</v>
      </c>
      <c r="G9425" t="s">
        <v>14</v>
      </c>
      <c r="H9425">
             </c>
      <c r="I9425" t="s">
        <v>14</v>
      </c>
      <c r="J9425" t="s">
        <v>31</v>
      </c>
      <c r="K9425" t="s">
        <v>127</v>
      </c>
      <c r="L9425" t="s">
        <v>20</v>
      </c>
      <c r="M9425" t="s">
        <v>18322</v>
      </c>
      <c r="N9425" t="s">
        <v>14</v>
      </c>
    </row>
    <row r="9426" x14ac:dyDescent="0.25">
      <c r="A9426" t="n">
        <v>24</v>
      </c>
      <c r="B9426" t="s">
        <v>14</v>
      </c>
      <c r="C9426" t="s">
        <v>22</v>
      </c>
      <c r="D9426" s="2" t="s">
        <f>=HYPERLINK("https://main.knesset.gov.il/APPS/legislation/main/bills/2156215", "הצעת חוק הביטוח הלאומי (תיקון - דמי אבטלה לעצמאים בתקופת הקורונה) (הוראת שעה), התשפ""א-2021")</f>
        <v>18357</v>
      </c>
      <c r="E9426" t="s">
        <v>18357</v>
      </c>
      <c r="F9426" t="s">
        <v>18358</v>
      </c>
      <c r="G9426" t="s">
        <v>14</v>
      </c>
      <c r="H9426">
             </c>
      <c r="I9426" t="s">
        <v>14</v>
      </c>
      <c r="J9426" t="s">
        <v>31</v>
      </c>
      <c r="K9426" t="s">
        <v>127</v>
      </c>
      <c r="L9426" t="s">
        <v>20</v>
      </c>
      <c r="M9426" t="s">
        <v>18322</v>
      </c>
      <c r="N9426" t="s">
        <v>14</v>
      </c>
    </row>
    <row r="9427" x14ac:dyDescent="0.25">
      <c r="A9427" t="n">
        <v>24</v>
      </c>
      <c r="B9427" t="s">
        <v>14</v>
      </c>
      <c r="C9427" t="s">
        <v>22</v>
      </c>
      <c r="D9427" s="2" t="s">
        <f>=HYPERLINK("https://main.knesset.gov.il/APPS/legislation/main/bills/2156423", "הצעת חוק הביטוח הלאומי (תיקון - דמי אבטלה לעצמאים), התשפ""א-2021")</f>
        <v>18352</v>
      </c>
      <c r="E9427" t="s">
        <v>18352</v>
      </c>
      <c r="F9427" t="s">
        <v>18359</v>
      </c>
      <c r="G9427" t="s">
        <v>14</v>
      </c>
      <c r="H9427">
             </c>
      <c r="I9427" t="s">
        <v>14</v>
      </c>
      <c r="J9427" t="s">
        <v>31</v>
      </c>
      <c r="K9427" t="s">
        <v>127</v>
      </c>
      <c r="L9427" t="s">
        <v>20</v>
      </c>
      <c r="M9427" t="s">
        <v>18322</v>
      </c>
      <c r="N9427" t="s">
        <v>14</v>
      </c>
    </row>
    <row r="9428" x14ac:dyDescent="0.25">
      <c r="A9428" t="n">
        <v>24</v>
      </c>
      <c r="B9428" t="s">
        <v>14</v>
      </c>
      <c r="C9428" t="s">
        <v>22</v>
      </c>
      <c r="D9428" s="2" t="s">
        <f>=HYPERLINK("https://main.knesset.gov.il/APPS/legislation/main/bills/2157155", "הצעת חוק איסור פרסומת והגבלת השיווק של מוצרי טבק ועישון (תיקון - הגבלת כמויות חומרים רעילים בסיגריות), התשפ""א-2021")</f>
        <v>18360</v>
      </c>
      <c r="E9428" t="s">
        <v>18360</v>
      </c>
      <c r="F9428" t="s">
        <v>18361</v>
      </c>
      <c r="G9428" t="s">
        <v>14</v>
      </c>
      <c r="H9428">
             </c>
      <c r="I9428" t="s">
        <v>14</v>
      </c>
      <c r="J9428" t="s">
        <v>31</v>
      </c>
      <c r="K9428" t="s">
        <v>19</v>
      </c>
      <c r="L9428" t="s">
        <v>20</v>
      </c>
      <c r="M9428" t="s">
        <v>18362</v>
      </c>
      <c r="N9428" t="s">
        <v>14</v>
      </c>
    </row>
    <row r="9429" x14ac:dyDescent="0.25">
      <c r="A9429" t="n">
        <v>24</v>
      </c>
      <c r="B9429" t="s">
        <v>14</v>
      </c>
      <c r="C9429" t="s">
        <v>22</v>
      </c>
      <c r="D9429" s="2" t="s">
        <f>=HYPERLINK("https://main.knesset.gov.il/APPS/legislation/main/bills/2163966", "הצעת חוק הכשרות לאנשי מקצוע בתחום הבריאות בנושא מגדר ונטייה מינית, התשפ""ב-2021")</f>
        <v>18363</v>
      </c>
      <c r="E9429" t="s">
        <v>18363</v>
      </c>
      <c r="F9429" t="s">
        <v>18364</v>
      </c>
      <c r="G9429" t="s">
        <v>14</v>
      </c>
      <c r="H9429">
             </c>
      <c r="I9429" t="s">
        <v>14</v>
      </c>
      <c r="J9429" t="s">
        <v>141</v>
      </c>
      <c r="K9429" t="s">
        <v>14</v>
      </c>
      <c r="L9429" t="s">
        <v>20</v>
      </c>
      <c r="M9429" t="s">
        <v>18362</v>
      </c>
      <c r="N9429" t="s">
        <v>14</v>
      </c>
    </row>
    <row r="9430" x14ac:dyDescent="0.25">
      <c r="A9430" t="n">
        <v>24</v>
      </c>
      <c r="B9430" t="s">
        <v>14</v>
      </c>
      <c r="C9430" t="s">
        <v>22</v>
      </c>
      <c r="D9430" s="2" t="s">
        <f>=HYPERLINK("https://main.knesset.gov.il/APPS/legislation/main/bills/2164283", "הצעת חוק חוזה העבודה (הסדרי עבודה מרחוק), התשפ""ב-2021")</f>
        <v>18365</v>
      </c>
      <c r="E9430" t="s">
        <v>18365</v>
      </c>
      <c r="F9430" t="s">
        <v>18366</v>
      </c>
      <c r="G9430" t="s">
        <v>14</v>
      </c>
      <c r="H9430">
             </c>
      <c r="I9430" t="s">
        <v>14</v>
      </c>
      <c r="J9430" t="s">
        <v>141</v>
      </c>
      <c r="K9430" t="s">
        <v>14</v>
      </c>
      <c r="L9430" t="s">
        <v>20</v>
      </c>
      <c r="M9430" t="s">
        <v>18362</v>
      </c>
      <c r="N9430" t="s">
        <v>14</v>
      </c>
    </row>
    <row r="9431" x14ac:dyDescent="0.25">
      <c r="A9431" t="n">
        <v>24</v>
      </c>
      <c r="B9431" t="s">
        <v>14</v>
      </c>
      <c r="C9431" t="s">
        <v>22</v>
      </c>
      <c r="D9431" s="2" t="s">
        <f>=HYPERLINK("https://main.knesset.gov.il/APPS/legislation/main/bills/2161858", "הצעת חוק הרשויות המקומיות (בחירת ראש הרשות וסגניו וכהונתם) (תיקון - הגבלת כהונה שלישית לראש רשות), התשפ""ב-2021")</f>
        <v>17793</v>
      </c>
      <c r="E9431" t="s">
        <v>17793</v>
      </c>
      <c r="F9431" t="s">
        <v>18367</v>
      </c>
      <c r="G9431" t="s">
        <v>14</v>
      </c>
      <c r="H9431">
             </c>
      <c r="I9431" t="s">
        <v>14</v>
      </c>
      <c r="J9431" t="s">
        <v>141</v>
      </c>
      <c r="K9431" t="s">
        <v>14</v>
      </c>
      <c r="L9431" t="s">
        <v>20</v>
      </c>
      <c r="M9431" t="s">
        <v>18362</v>
      </c>
      <c r="N9431" t="s">
        <v>14</v>
      </c>
    </row>
    <row r="9432" x14ac:dyDescent="0.25">
      <c r="A9432" t="n">
        <v>24</v>
      </c>
      <c r="B9432" t="s">
        <v>14</v>
      </c>
      <c r="C9432" t="s">
        <v>22</v>
      </c>
      <c r="D9432" s="2" t="s">
        <f>=HYPERLINK("https://main.knesset.gov.il/APPS/legislation/main/bills/2164186", "הצעת חוק המים (תיקון - מתן הנחות בתעריפי מים לאוכלוסיות נזקקות), התשפ""ב-2021")</f>
        <v>18368</v>
      </c>
      <c r="E9432" t="s">
        <v>18368</v>
      </c>
      <c r="F9432" t="s">
        <v>18369</v>
      </c>
      <c r="G9432" t="s">
        <v>14</v>
      </c>
      <c r="H9432">
             </c>
      <c r="I9432" t="s">
        <v>14</v>
      </c>
      <c r="J9432" t="s">
        <v>141</v>
      </c>
      <c r="K9432" t="s">
        <v>14</v>
      </c>
      <c r="L9432" t="s">
        <v>20</v>
      </c>
      <c r="M9432" t="s">
        <v>18362</v>
      </c>
      <c r="N9432" t="s">
        <v>14</v>
      </c>
    </row>
    <row r="9433" x14ac:dyDescent="0.25">
      <c r="A9433" t="n">
        <v>24</v>
      </c>
      <c r="B9433" t="s">
        <v>14</v>
      </c>
      <c r="C9433" t="s">
        <v>22</v>
      </c>
      <c r="D9433" s="2" t="s">
        <f>=HYPERLINK("https://main.knesset.gov.il/APPS/legislation/main/bills/2164314", "הצעת חוק הגנת הצרכן (תיקון - איסור גביית עמלה בעסקה שבוצעה באמצעות האינטרנט), התשפ""ב-2021")</f>
        <v>18370</v>
      </c>
      <c r="E9433" t="s">
        <v>18370</v>
      </c>
      <c r="F9433" t="s">
        <v>18371</v>
      </c>
      <c r="G9433" t="s">
        <v>14</v>
      </c>
      <c r="H9433">
             </c>
      <c r="I9433" t="s">
        <v>14</v>
      </c>
      <c r="J9433" t="s">
        <v>141</v>
      </c>
      <c r="K9433" t="s">
        <v>14</v>
      </c>
      <c r="L9433" t="s">
        <v>20</v>
      </c>
      <c r="M9433" t="s">
        <v>18362</v>
      </c>
      <c r="N9433" t="s">
        <v>14</v>
      </c>
    </row>
    <row r="9434" x14ac:dyDescent="0.25">
      <c r="A9434" t="n">
        <v>24</v>
      </c>
      <c r="B9434" t="s">
        <v>14</v>
      </c>
      <c r="C9434" t="s">
        <v>22</v>
      </c>
      <c r="D9434" s="2" t="s">
        <f>=HYPERLINK("https://main.knesset.gov.il/APPS/legislation/main/bills/2162314", "הצעת חוק פיקוח על מחירי מצרכים ושירותים (תיקון - פיקוח על מחירי מוצרים בסיסיים במתחמי שירות חיוניים), התשפ""ב-2021")</f>
        <v>18372</v>
      </c>
      <c r="E9434" t="s">
        <v>18372</v>
      </c>
      <c r="F9434" t="s">
        <v>18373</v>
      </c>
      <c r="G9434" t="s">
        <v>14</v>
      </c>
      <c r="H9434">
             </c>
      <c r="I9434" t="s">
        <v>14</v>
      </c>
      <c r="J9434" t="s">
        <v>141</v>
      </c>
      <c r="K9434" t="s">
        <v>14</v>
      </c>
      <c r="L9434" t="s">
        <v>20</v>
      </c>
      <c r="M9434" t="s">
        <v>18362</v>
      </c>
      <c r="N9434" t="s">
        <v>14</v>
      </c>
    </row>
    <row r="9435" x14ac:dyDescent="0.25">
      <c r="A9435" t="n">
        <v>24</v>
      </c>
      <c r="B9435" t="s">
        <v>14</v>
      </c>
      <c r="C9435" t="s">
        <v>22</v>
      </c>
      <c r="D9435" s="2" t="s">
        <f>=HYPERLINK("https://main.knesset.gov.il/APPS/legislation/main/bills/2162556", "הצעת חוק העונשין (תיקון - אלימות במשפחה בנוכחות קטין או חסר ישע), התשפ""ב-2021")</f>
        <v>17665</v>
      </c>
      <c r="E9435" t="s">
        <v>17665</v>
      </c>
      <c r="F9435" t="s">
        <v>18374</v>
      </c>
      <c r="G9435" t="s">
        <v>14</v>
      </c>
      <c r="H9435">
             </c>
      <c r="I9435" t="s">
        <v>14</v>
      </c>
      <c r="J9435" t="s">
        <v>141</v>
      </c>
      <c r="K9435" t="s">
        <v>14</v>
      </c>
      <c r="L9435" t="s">
        <v>20</v>
      </c>
      <c r="M9435" t="s">
        <v>18362</v>
      </c>
      <c r="N9435" t="s">
        <v>14</v>
      </c>
    </row>
    <row r="9436" x14ac:dyDescent="0.25">
      <c r="A9436" t="n">
        <v>24</v>
      </c>
      <c r="B9436" t="s">
        <v>14</v>
      </c>
      <c r="C9436" t="s">
        <v>22</v>
      </c>
      <c r="D9436" s="2" t="s">
        <f>=HYPERLINK("https://main.knesset.gov.il/APPS/legislation/main/bills/2157329", "הצעת חוק הגנה על רופא הנעדר מעבודתו עקב התפשטות נגיף הקורונה, התשפ""ב-2021")</f>
        <v>18375</v>
      </c>
      <c r="E9436" t="s">
        <v>18375</v>
      </c>
      <c r="F9436" t="s">
        <v>18376</v>
      </c>
      <c r="G9436" t="s">
        <v>14</v>
      </c>
      <c r="H9436">
             </c>
      <c r="I9436" t="s">
        <v>14</v>
      </c>
      <c r="J9436" t="s">
        <v>141</v>
      </c>
      <c r="K9436" t="s">
        <v>14</v>
      </c>
      <c r="L9436" t="s">
        <v>20</v>
      </c>
      <c r="M9436" t="s">
        <v>18362</v>
      </c>
      <c r="N9436" t="s">
        <v>14</v>
      </c>
    </row>
    <row r="9437" x14ac:dyDescent="0.25">
      <c r="A9437" t="n">
        <v>24</v>
      </c>
      <c r="B9437" t="s">
        <v>14</v>
      </c>
      <c r="C9437" t="s">
        <v>22</v>
      </c>
      <c r="D9437" s="2" t="s">
        <f>=HYPERLINK("https://main.knesset.gov.il/APPS/legislation/main/bills/2162434", "הצעת חוק התכנון והבנייה (תיקון - הקמת ועדה מיוחדת לקידום והסדרת התכנון ביישובים הדרוזיים והצ'רקסיים) (הוראת שעה), התשפ""ב-2021")</f>
        <v>18377</v>
      </c>
      <c r="E9437" t="s">
        <v>18377</v>
      </c>
      <c r="F9437" t="s">
        <v>18378</v>
      </c>
      <c r="G9437" t="s">
        <v>14</v>
      </c>
      <c r="H9437">
             </c>
      <c r="I9437" t="s">
        <v>14</v>
      </c>
      <c r="J9437" t="s">
        <v>141</v>
      </c>
      <c r="K9437" t="s">
        <v>14</v>
      </c>
      <c r="L9437" t="s">
        <v>20</v>
      </c>
      <c r="M9437" t="s">
        <v>18362</v>
      </c>
      <c r="N9437" t="s">
        <v>14</v>
      </c>
    </row>
    <row r="9438" x14ac:dyDescent="0.25">
      <c r="A9438" t="n">
        <v>24</v>
      </c>
      <c r="B9438" t="s">
        <v>14</v>
      </c>
      <c r="C9438" t="s">
        <v>22</v>
      </c>
      <c r="D9438" s="2" t="s">
        <f>=HYPERLINK("https://main.knesset.gov.il/APPS/legislation/main/bills/2159106", "הצעת חוק חינוך ממלכתי (תיקון - איסור נשיאת דברים במוסד חינוך למורשע בעבירות טרור ובבגידה), התשפ""ב-2021")</f>
        <v>18379</v>
      </c>
      <c r="E9438" t="s">
        <v>18379</v>
      </c>
      <c r="F9438" t="s">
        <v>18380</v>
      </c>
      <c r="G9438" t="s">
        <v>14</v>
      </c>
      <c r="H9438">
             </c>
      <c r="I9438" t="s">
        <v>14</v>
      </c>
      <c r="J9438" t="s">
        <v>141</v>
      </c>
      <c r="K9438" t="s">
        <v>14</v>
      </c>
      <c r="L9438" t="s">
        <v>20</v>
      </c>
      <c r="M9438" t="s">
        <v>18362</v>
      </c>
      <c r="N9438" t="s">
        <v>14</v>
      </c>
    </row>
    <row r="9439" x14ac:dyDescent="0.25">
      <c r="A9439" t="n">
        <v>24</v>
      </c>
      <c r="B9439" t="s">
        <v>14</v>
      </c>
      <c r="C9439" t="s">
        <v>22</v>
      </c>
      <c r="D9439" s="2" t="s">
        <f>=HYPERLINK("https://main.knesset.gov.il/APPS/legislation/main/bills/2161212", "הצעת חוק הגנת הצרכן (תיקון - סימון מידות אחיד לפריטי לבוש והנעלה), התשפ""ב-2021")</f>
        <v>18381</v>
      </c>
      <c r="E9439" t="s">
        <v>18381</v>
      </c>
      <c r="F9439" t="s">
        <v>18382</v>
      </c>
      <c r="G9439" t="s">
        <v>14</v>
      </c>
      <c r="H9439">
             </c>
      <c r="I9439" t="s">
        <v>14</v>
      </c>
      <c r="J9439" t="s">
        <v>141</v>
      </c>
      <c r="K9439" t="s">
        <v>14</v>
      </c>
      <c r="L9439" t="s">
        <v>20</v>
      </c>
      <c r="M9439" t="s">
        <v>18362</v>
      </c>
      <c r="N9439" t="s">
        <v>14</v>
      </c>
    </row>
    <row r="9440" x14ac:dyDescent="0.25">
      <c r="A9440" t="n">
        <v>24</v>
      </c>
      <c r="B9440" t="s">
        <v>14</v>
      </c>
      <c r="C9440" t="s">
        <v>22</v>
      </c>
      <c r="D9440" s="2" t="s">
        <f>=HYPERLINK("https://main.knesset.gov.il/APPS/legislation/main/bills/2161999", "הצעת חוק הדיור הציבורי (זכויות רכישה) (תיקון - העלאת המחיר הבסיסי לחישוב מענק), התשפ""ב-2021")</f>
        <v>18383</v>
      </c>
      <c r="E9440" t="s">
        <v>18383</v>
      </c>
      <c r="F9440" t="s">
        <v>18384</v>
      </c>
      <c r="G9440" t="s">
        <v>14</v>
      </c>
      <c r="H9440">
             </c>
      <c r="I9440" t="s">
        <v>14</v>
      </c>
      <c r="J9440" t="s">
        <v>141</v>
      </c>
      <c r="K9440" t="s">
        <v>14</v>
      </c>
      <c r="L9440" t="s">
        <v>20</v>
      </c>
      <c r="M9440" t="s">
        <v>18362</v>
      </c>
      <c r="N9440" t="s">
        <v>14</v>
      </c>
    </row>
    <row r="9441" x14ac:dyDescent="0.25">
      <c r="A9441" t="n">
        <v>24</v>
      </c>
      <c r="B9441" t="s">
        <v>14</v>
      </c>
      <c r="C9441" t="s">
        <v>22</v>
      </c>
      <c r="D9441" s="2" t="s">
        <f>=HYPERLINK("https://main.knesset.gov.il/APPS/legislation/main/bills/2162510", "הצעת חוק תאגידי מים וביוב (תיקון - הפסקת התקשרות עם חברה), התשפ''ב-2021 ")</f>
        <v>18385</v>
      </c>
      <c r="E9441" t="s">
        <v>18385</v>
      </c>
      <c r="F9441" t="s">
        <v>18386</v>
      </c>
      <c r="G9441" t="s">
        <v>14</v>
      </c>
      <c r="H9441">
             </c>
      <c r="I9441" t="s">
        <v>14</v>
      </c>
      <c r="J9441" t="s">
        <v>141</v>
      </c>
      <c r="K9441" t="s">
        <v>14</v>
      </c>
      <c r="L9441" t="s">
        <v>20</v>
      </c>
      <c r="M9441" t="s">
        <v>18362</v>
      </c>
      <c r="N9441" t="s">
        <v>14</v>
      </c>
    </row>
    <row r="9442" x14ac:dyDescent="0.25">
      <c r="A9442" t="n">
        <v>24</v>
      </c>
      <c r="B9442" t="s">
        <v>14</v>
      </c>
      <c r="C9442" t="s">
        <v>22</v>
      </c>
      <c r="D9442" s="2" t="s">
        <f>=HYPERLINK("https://main.knesset.gov.il/APPS/legislation/main/bills/2163390", "הצעת חוק הדיור הציבורי (הקצאת דירות), התשפ""ב-2021")</f>
        <v>18387</v>
      </c>
      <c r="E9442" t="s">
        <v>18387</v>
      </c>
      <c r="F9442" t="s">
        <v>18388</v>
      </c>
      <c r="G9442" t="s">
        <v>14</v>
      </c>
      <c r="H9442">
             </c>
      <c r="I9442" t="s">
        <v>14</v>
      </c>
      <c r="J9442" t="s">
        <v>141</v>
      </c>
      <c r="K9442" t="s">
        <v>14</v>
      </c>
      <c r="L9442" t="s">
        <v>20</v>
      </c>
      <c r="M9442" t="s">
        <v>18362</v>
      </c>
      <c r="N9442" t="s">
        <v>14</v>
      </c>
    </row>
    <row r="9443" x14ac:dyDescent="0.25">
      <c r="A9443" t="n">
        <v>24</v>
      </c>
      <c r="B9443" t="s">
        <v>14</v>
      </c>
      <c r="C9443" t="s">
        <v>22</v>
      </c>
      <c r="D9443" s="2" t="s">
        <f>=HYPERLINK("https://main.knesset.gov.il/APPS/legislation/main/bills/2163054", "הצעת חוק הבטחת הכנסה (תיקון - הגדלת הסכום להשתכרות בנוסף לקיצבה), התשפ""ב-2021")</f>
        <v>18389</v>
      </c>
      <c r="E9443" t="s">
        <v>18389</v>
      </c>
      <c r="F9443" t="s">
        <v>18390</v>
      </c>
      <c r="G9443" t="s">
        <v>14</v>
      </c>
      <c r="H9443">
             </c>
      <c r="I9443" t="s">
        <v>14</v>
      </c>
      <c r="J9443" t="s">
        <v>141</v>
      </c>
      <c r="K9443" t="s">
        <v>14</v>
      </c>
      <c r="L9443" t="s">
        <v>20</v>
      </c>
      <c r="M9443" t="s">
        <v>18362</v>
      </c>
      <c r="N9443" t="s">
        <v>14</v>
      </c>
    </row>
    <row r="9444" x14ac:dyDescent="0.25">
      <c r="A9444" t="n">
        <v>24</v>
      </c>
      <c r="B9444" t="s">
        <v>14</v>
      </c>
      <c r="C9444" t="s">
        <v>22</v>
      </c>
      <c r="D9444" s="2" t="s">
        <f>=HYPERLINK("https://main.knesset.gov.il/APPS/legislation/main/bills/2156784", "הצעת חוק הביטוח הלאומי (תיקון - הארכת תקופת הזכאות לדמי אבטלה לצעירים), התשפ""ב-2021")</f>
        <v>18391</v>
      </c>
      <c r="E9444" t="s">
        <v>18391</v>
      </c>
      <c r="F9444" t="s">
        <v>18392</v>
      </c>
      <c r="G9444" t="s">
        <v>14</v>
      </c>
      <c r="H9444">
             </c>
      <c r="I9444" t="s">
        <v>14</v>
      </c>
      <c r="J9444" t="s">
        <v>141</v>
      </c>
      <c r="K9444" t="s">
        <v>14</v>
      </c>
      <c r="L9444" t="s">
        <v>20</v>
      </c>
      <c r="M9444" t="s">
        <v>18362</v>
      </c>
      <c r="N9444" t="s">
        <v>14</v>
      </c>
    </row>
    <row r="9445" x14ac:dyDescent="0.25">
      <c r="A9445" t="n">
        <v>24</v>
      </c>
      <c r="B9445" t="s">
        <v>14</v>
      </c>
      <c r="C9445" t="s">
        <v>22</v>
      </c>
      <c r="D9445" s="2" t="s">
        <f>=HYPERLINK("https://main.knesset.gov.il/APPS/legislation/main/bills/2157350", "הצעת חוק הרשויות המקומיות (זכויות וחובות של חברי מועצה), התשפ""ב-2021")</f>
        <v>18393</v>
      </c>
      <c r="E9445" t="s">
        <v>18393</v>
      </c>
      <c r="F9445" t="s">
        <v>18394</v>
      </c>
      <c r="G9445" t="s">
        <v>14</v>
      </c>
      <c r="H9445">
             </c>
      <c r="I9445" t="s">
        <v>14</v>
      </c>
      <c r="J9445" t="s">
        <v>141</v>
      </c>
      <c r="K9445" t="s">
        <v>14</v>
      </c>
      <c r="L9445" t="s">
        <v>20</v>
      </c>
      <c r="M9445" t="s">
        <v>18362</v>
      </c>
      <c r="N9445" t="s">
        <v>14</v>
      </c>
    </row>
    <row r="9446" x14ac:dyDescent="0.25">
      <c r="A9446" t="n">
        <v>24</v>
      </c>
      <c r="B9446" t="s">
        <v>14</v>
      </c>
      <c r="C9446" t="s">
        <v>22</v>
      </c>
      <c r="D9446" s="2" t="s">
        <f>=HYPERLINK("https://main.knesset.gov.il/APPS/legislation/main/bills/2163153", "הצעת חוק סיוע לקטינים נפגעי עבירות מין או אלימות (תיקון - טיפול נפשי לילדים שנפגעו מינית), התשפ""ב-2021")</f>
        <v>18395</v>
      </c>
      <c r="E9446" t="s">
        <v>18395</v>
      </c>
      <c r="F9446" t="s">
        <v>18396</v>
      </c>
      <c r="G9446" t="s">
        <v>14</v>
      </c>
      <c r="H9446">
             </c>
      <c r="I9446" t="s">
        <v>14</v>
      </c>
      <c r="J9446" t="s">
        <v>141</v>
      </c>
      <c r="K9446" t="s">
        <v>14</v>
      </c>
      <c r="L9446" t="s">
        <v>20</v>
      </c>
      <c r="M9446" t="s">
        <v>18362</v>
      </c>
      <c r="N9446" t="s">
        <v>14</v>
      </c>
    </row>
    <row r="9447" x14ac:dyDescent="0.25">
      <c r="A9447" t="n">
        <v>24</v>
      </c>
      <c r="B9447" t="s">
        <v>14</v>
      </c>
      <c r="C9447" t="s">
        <v>22</v>
      </c>
      <c r="D9447" s="2" t="s">
        <f>=HYPERLINK("https://main.knesset.gov.il/APPS/legislation/main/bills/2160769", "הצעת חוק חופש המידע (תיקון - פגיעה בפרטיות לטובת עניין ציבורי), התשפ""ב-2021")</f>
        <v>18397</v>
      </c>
      <c r="E9447" t="s">
        <v>18397</v>
      </c>
      <c r="F9447" t="s">
        <v>18398</v>
      </c>
      <c r="G9447" t="s">
        <v>14</v>
      </c>
      <c r="H9447">
             </c>
      <c r="I9447" t="s">
        <v>14</v>
      </c>
      <c r="J9447" t="s">
        <v>141</v>
      </c>
      <c r="K9447" t="s">
        <v>14</v>
      </c>
      <c r="L9447" t="s">
        <v>20</v>
      </c>
      <c r="M9447" t="s">
        <v>18362</v>
      </c>
      <c r="N9447" t="s">
        <v>14</v>
      </c>
    </row>
    <row r="9448" x14ac:dyDescent="0.25">
      <c r="A9448" t="n">
        <v>24</v>
      </c>
      <c r="B9448" t="s">
        <v>14</v>
      </c>
      <c r="C9448" t="s">
        <v>22</v>
      </c>
      <c r="D9448" s="2" t="s">
        <f>=HYPERLINK("https://main.knesset.gov.il/APPS/legislation/main/bills/2161367", "הצעת חוק איסור פרסומת והגבלת השיווק של מוצרי טבק ועישון (תיקון - איסור על ייצור ושיווק של מוצר עישון בטעם או בריח מובחן), התשפ""ב-2021")</f>
        <v>18399</v>
      </c>
      <c r="E9448" t="s">
        <v>18399</v>
      </c>
      <c r="F9448" t="s">
        <v>18400</v>
      </c>
      <c r="G9448" t="s">
        <v>14</v>
      </c>
      <c r="H9448">
             </c>
      <c r="I9448" t="s">
        <v>14</v>
      </c>
      <c r="J9448" t="s">
        <v>141</v>
      </c>
      <c r="K9448" t="s">
        <v>14</v>
      </c>
      <c r="L9448" t="s">
        <v>20</v>
      </c>
      <c r="M9448" t="s">
        <v>18362</v>
      </c>
      <c r="N9448" t="s">
        <v>14</v>
      </c>
    </row>
    <row r="9449" x14ac:dyDescent="0.25">
      <c r="A9449" t="n">
        <v>24</v>
      </c>
      <c r="B9449" t="s">
        <v>14</v>
      </c>
      <c r="C9449" t="s">
        <v>22</v>
      </c>
      <c r="D9449" s="2" t="s">
        <f>=HYPERLINK("https://main.knesset.gov.il/APPS/legislation/main/bills/2162951", "הצעת חוק ביטוח בריאות ממלכתי (תיקון - יצירת מדד לאומי לשוויון בשירותי בריאות), התשפ""ב-2021")</f>
        <v>18401</v>
      </c>
      <c r="E9449" t="s">
        <v>18401</v>
      </c>
      <c r="F9449" t="s">
        <v>18402</v>
      </c>
      <c r="G9449" t="s">
        <v>14</v>
      </c>
      <c r="H9449">
             </c>
      <c r="I9449" t="s">
        <v>14</v>
      </c>
      <c r="J9449" t="s">
        <v>141</v>
      </c>
      <c r="K9449" t="s">
        <v>14</v>
      </c>
      <c r="L9449" t="s">
        <v>20</v>
      </c>
      <c r="M9449" t="s">
        <v>18362</v>
      </c>
      <c r="N9449" t="s">
        <v>14</v>
      </c>
    </row>
    <row r="9450" x14ac:dyDescent="0.25">
      <c r="A9450" t="n">
        <v>24</v>
      </c>
      <c r="B9450" t="s">
        <v>14</v>
      </c>
      <c r="C9450" t="s">
        <v>22</v>
      </c>
      <c r="D9450" s="2" t="s">
        <f>=HYPERLINK("https://main.knesset.gov.il/APPS/legislation/main/bills/2163702", "הצעת חוק זכויות החולה (תיקון - מסירת מידע רפואי לאחר), התשפ""ב-2021")</f>
        <v>18403</v>
      </c>
      <c r="E9450" t="s">
        <v>18403</v>
      </c>
      <c r="F9450" t="s">
        <v>18404</v>
      </c>
      <c r="G9450" t="s">
        <v>14</v>
      </c>
      <c r="H9450">
             </c>
      <c r="I9450" t="s">
        <v>14</v>
      </c>
      <c r="J9450" t="s">
        <v>141</v>
      </c>
      <c r="K9450" t="s">
        <v>14</v>
      </c>
      <c r="L9450" t="s">
        <v>20</v>
      </c>
      <c r="M9450" t="s">
        <v>18362</v>
      </c>
      <c r="N9450" t="s">
        <v>14</v>
      </c>
    </row>
    <row r="9451" x14ac:dyDescent="0.25">
      <c r="A9451" t="n">
        <v>24</v>
      </c>
      <c r="B9451" t="s">
        <v>14</v>
      </c>
      <c r="C9451" t="s">
        <v>22</v>
      </c>
      <c r="D9451" s="2" t="s">
        <f>=HYPERLINK("https://main.knesset.gov.il/APPS/legislation/main/bills/2163777", "הצעת חוק הביטוח הלאומי (תיקון - הכרה בתורם אבר כמתנדב), התשפ""ב-2021")</f>
        <v>18405</v>
      </c>
      <c r="E9451" t="s">
        <v>18405</v>
      </c>
      <c r="F9451" t="s">
        <v>18406</v>
      </c>
      <c r="G9451" t="s">
        <v>14</v>
      </c>
      <c r="H9451">
             </c>
      <c r="I9451" t="s">
        <v>14</v>
      </c>
      <c r="J9451" t="s">
        <v>141</v>
      </c>
      <c r="K9451" t="s">
        <v>14</v>
      </c>
      <c r="L9451" t="s">
        <v>20</v>
      </c>
      <c r="M9451" t="s">
        <v>18362</v>
      </c>
      <c r="N9451" t="s">
        <v>14</v>
      </c>
    </row>
    <row r="9452" x14ac:dyDescent="0.25">
      <c r="A9452" t="n">
        <v>24</v>
      </c>
      <c r="B9452" t="s">
        <v>14</v>
      </c>
      <c r="C9452" t="s">
        <v>22</v>
      </c>
      <c r="D9452" s="2" t="s">
        <f>=HYPERLINK("https://main.knesset.gov.il/APPS/legislation/main/bills/2163049", "הצעת חוק מתן סיוע ריאלי בשכר דירה לזכאים, התשפ""ב-2021")</f>
        <v>18407</v>
      </c>
      <c r="E9452" t="s">
        <v>18407</v>
      </c>
      <c r="F9452" t="s">
        <v>18408</v>
      </c>
      <c r="G9452" t="s">
        <v>14</v>
      </c>
      <c r="H9452">
             </c>
      <c r="I9452" t="s">
        <v>14</v>
      </c>
      <c r="J9452" t="s">
        <v>141</v>
      </c>
      <c r="K9452" t="s">
        <v>14</v>
      </c>
      <c r="L9452" t="s">
        <v>20</v>
      </c>
      <c r="M9452" t="s">
        <v>18362</v>
      </c>
      <c r="N9452" t="s">
        <v>14</v>
      </c>
    </row>
    <row r="9453" x14ac:dyDescent="0.25">
      <c r="A9453" t="n">
        <v>24</v>
      </c>
      <c r="B9453" t="s">
        <v>14</v>
      </c>
      <c r="C9453" t="s">
        <v>22</v>
      </c>
      <c r="D9453" s="2" t="s">
        <f>=HYPERLINK("https://main.knesset.gov.il/APPS/legislation/main/bills/2160321", "הצעת חוק הכרה ברצח העם הארמני וציון יום זיכרון, התשפ""ב-2021")</f>
        <v>18409</v>
      </c>
      <c r="E9453" t="s">
        <v>18409</v>
      </c>
      <c r="F9453" t="s">
        <v>18410</v>
      </c>
      <c r="G9453" t="s">
        <v>14</v>
      </c>
      <c r="H9453">
             </c>
      <c r="I9453" t="s">
        <v>14</v>
      </c>
      <c r="J9453" t="s">
        <v>141</v>
      </c>
      <c r="K9453" t="s">
        <v>14</v>
      </c>
      <c r="L9453" t="s">
        <v>20</v>
      </c>
      <c r="M9453" t="s">
        <v>18362</v>
      </c>
      <c r="N9453" t="s">
        <v>14</v>
      </c>
    </row>
    <row r="9454" x14ac:dyDescent="0.25">
      <c r="A9454" t="n">
        <v>24</v>
      </c>
      <c r="B9454" t="s">
        <v>14</v>
      </c>
      <c r="C9454" t="s">
        <v>22</v>
      </c>
      <c r="D9454" s="2" t="s">
        <f>=HYPERLINK("https://main.knesset.gov.il/APPS/legislation/main/bills/2163967", "הצעת חוק זכויות הסטודנט (תיקון - איסור הפליה מטעמים של נטייה מינית וזהות מגדרית), התשפ""ב-2021")</f>
        <v>18411</v>
      </c>
      <c r="E9454" t="s">
        <v>18411</v>
      </c>
      <c r="F9454" t="s">
        <v>18412</v>
      </c>
      <c r="G9454" t="s">
        <v>14</v>
      </c>
      <c r="H9454">
             </c>
      <c r="I9454" t="s">
        <v>14</v>
      </c>
      <c r="J9454" t="s">
        <v>141</v>
      </c>
      <c r="K9454" t="s">
        <v>14</v>
      </c>
      <c r="L9454" t="s">
        <v>20</v>
      </c>
      <c r="M9454" t="s">
        <v>18362</v>
      </c>
      <c r="N9454" t="s">
        <v>14</v>
      </c>
    </row>
    <row r="9455" x14ac:dyDescent="0.25">
      <c r="A9455" t="n">
        <v>24</v>
      </c>
      <c r="B9455" t="s">
        <v>14</v>
      </c>
      <c r="C9455" t="s">
        <v>22</v>
      </c>
      <c r="D9455" s="2" t="s">
        <f>=HYPERLINK("https://main.knesset.gov.il/APPS/legislation/main/bills/2163970", "הצעת חוק הנצחת זכרם של קורבנות הטבח בכפר קאסם, התשפ""ב-2021")</f>
        <v>18413</v>
      </c>
      <c r="E9455" t="s">
        <v>18413</v>
      </c>
      <c r="F9455" t="s">
        <v>18414</v>
      </c>
      <c r="G9455" t="s">
        <v>14</v>
      </c>
      <c r="H9455">
             </c>
      <c r="I9455" t="s">
        <v>14</v>
      </c>
      <c r="J9455" t="s">
        <v>141</v>
      </c>
      <c r="K9455" t="s">
        <v>14</v>
      </c>
      <c r="L9455" t="s">
        <v>20</v>
      </c>
      <c r="M9455" t="s">
        <v>18362</v>
      </c>
      <c r="N9455" t="s">
        <v>14</v>
      </c>
    </row>
    <row r="9456" x14ac:dyDescent="0.25">
      <c r="A9456" t="n">
        <v>24</v>
      </c>
      <c r="B9456" t="s">
        <v>14</v>
      </c>
      <c r="C9456" t="s">
        <v>22</v>
      </c>
      <c r="D9456" s="2" t="s">
        <f>=HYPERLINK("https://main.knesset.gov.il/APPS/legislation/main/bills/2163248", "הצעת חוק לתיקון פקודת מס הכנסה (פטור ממס למקבלי קצבת ילד נכה), התשפ""ב-2021")</f>
        <v>18415</v>
      </c>
      <c r="E9456" t="s">
        <v>18415</v>
      </c>
      <c r="F9456" t="s">
        <v>18416</v>
      </c>
      <c r="G9456" t="s">
        <v>14</v>
      </c>
      <c r="H9456">
             </c>
      <c r="I9456" t="s">
        <v>14</v>
      </c>
      <c r="J9456" t="s">
        <v>141</v>
      </c>
      <c r="K9456" t="s">
        <v>14</v>
      </c>
      <c r="L9456" t="s">
        <v>20</v>
      </c>
      <c r="M9456" t="s">
        <v>18362</v>
      </c>
      <c r="N9456" t="s">
        <v>14</v>
      </c>
    </row>
    <row r="9457" x14ac:dyDescent="0.25">
      <c r="A9457" t="n">
        <v>24</v>
      </c>
      <c r="B9457" t="s">
        <v>14</v>
      </c>
      <c r="C9457" t="s">
        <v>22</v>
      </c>
      <c r="D9457" s="2" t="s">
        <f>=HYPERLINK("https://main.knesset.gov.il/APPS/legislation/main/bills/2163969", "הצעת חוק קביעת הזמן (תיקון - ביטול שעון חורף), התשפ""ב-2021")</f>
        <v>18015</v>
      </c>
      <c r="E9457" t="s">
        <v>18015</v>
      </c>
      <c r="F9457" t="s">
        <v>18417</v>
      </c>
      <c r="G9457" t="s">
        <v>14</v>
      </c>
      <c r="H9457">
             </c>
      <c r="I9457" t="s">
        <v>14</v>
      </c>
      <c r="J9457" t="s">
        <v>141</v>
      </c>
      <c r="K9457" t="s">
        <v>14</v>
      </c>
      <c r="L9457" t="s">
        <v>20</v>
      </c>
      <c r="M9457" t="s">
        <v>18362</v>
      </c>
      <c r="N9457" t="s">
        <v>14</v>
      </c>
    </row>
    <row r="9458" x14ac:dyDescent="0.25">
      <c r="A9458" t="n">
        <v>24</v>
      </c>
      <c r="B9458" t="s">
        <v>14</v>
      </c>
      <c r="C9458" t="s">
        <v>22</v>
      </c>
      <c r="D9458" s="2" t="s">
        <f>=HYPERLINK("https://main.knesset.gov.il/APPS/legislation/main/bills/2163977", "הצעת חוק שירות ביטחון (תיקון - ביטול גיוס חובה), התשפ""ב-2021")</f>
        <v>18418</v>
      </c>
      <c r="E9458" t="s">
        <v>18418</v>
      </c>
      <c r="F9458" t="s">
        <v>18419</v>
      </c>
      <c r="G9458" t="s">
        <v>14</v>
      </c>
      <c r="H9458">
             </c>
      <c r="I9458" t="s">
        <v>14</v>
      </c>
      <c r="J9458" t="s">
        <v>141</v>
      </c>
      <c r="K9458" t="s">
        <v>14</v>
      </c>
      <c r="L9458" t="s">
        <v>20</v>
      </c>
      <c r="M9458" t="s">
        <v>18362</v>
      </c>
      <c r="N9458" t="s">
        <v>14</v>
      </c>
    </row>
    <row r="9459" x14ac:dyDescent="0.25">
      <c r="A9459" t="n">
        <v>24</v>
      </c>
      <c r="B9459" t="s">
        <v>14</v>
      </c>
      <c r="C9459" t="s">
        <v>22</v>
      </c>
      <c r="D9459" s="2" t="s">
        <f>=HYPERLINK("https://main.knesset.gov.il/APPS/legislation/main/bills/2163979", "הצעת חוק העונשין (תיקון - הארכת ההתיישנות בעבירות מין במשפחה ובידי אחראי על חסר ישע), התשפ""ב-2021")</f>
        <v>18420</v>
      </c>
      <c r="E9459" t="s">
        <v>18420</v>
      </c>
      <c r="F9459" t="s">
        <v>18421</v>
      </c>
      <c r="G9459" t="s">
        <v>14</v>
      </c>
      <c r="H9459">
             </c>
      <c r="I9459" t="s">
        <v>14</v>
      </c>
      <c r="J9459" t="s">
        <v>141</v>
      </c>
      <c r="K9459" t="s">
        <v>14</v>
      </c>
      <c r="L9459" t="s">
        <v>20</v>
      </c>
      <c r="M9459" t="s">
        <v>18362</v>
      </c>
      <c r="N9459" t="s">
        <v>14</v>
      </c>
    </row>
    <row r="9460" x14ac:dyDescent="0.25">
      <c r="A9460" t="n">
        <v>24</v>
      </c>
      <c r="B9460" t="s">
        <v>14</v>
      </c>
      <c r="C9460" t="s">
        <v>15</v>
      </c>
      <c r="D9460" s="2" t="s">
        <f>=HYPERLINK("https://main.knesset.gov.il/APPS/legislation/main/bills/2161819", "חוק התקציב לשנת הכספים 2022, התשפ""ב-2021")</f>
        <v>18422</v>
      </c>
      <c r="E9460" t="s">
        <v>18422</v>
      </c>
      <c r="F9460" t="s">
        <v>14</v>
      </c>
      <c r="G9460" t="s">
        <v>18423</v>
      </c>
      <c r="H9460" t="n">
        <v>2944</v>
      </c>
      <c r="I9460" t="s">
        <v>14</v>
      </c>
      <c r="J9460" t="s">
        <v>91</v>
      </c>
      <c r="K9460" t="s">
        <v>85</v>
      </c>
      <c r="L9460" t="s">
        <v>20</v>
      </c>
      <c r="M9460" t="s">
        <v>18424</v>
      </c>
      <c r="N9460" t="s">
        <v>18425</v>
      </c>
    </row>
    <row r="9461" x14ac:dyDescent="0.25">
      <c r="A9461" t="n">
        <v>24</v>
      </c>
      <c r="B9461" t="s">
        <v>14</v>
      </c>
      <c r="C9461" t="s">
        <v>15</v>
      </c>
      <c r="D9461" s="2" t="s">
        <f>=HYPERLINK("https://main.knesset.gov.il/APPS/legislation/main/bills/2161818", "חוק התקציב לשנת הכספים 2021, התשפ""ב-2021")</f>
        <v>18426</v>
      </c>
      <c r="E9461" t="s">
        <v>18426</v>
      </c>
      <c r="F9461" t="s">
        <v>14</v>
      </c>
      <c r="G9461" t="s">
        <v>18427</v>
      </c>
      <c r="H9461" t="n">
        <v>2943</v>
      </c>
      <c r="I9461" t="s">
        <v>14</v>
      </c>
      <c r="J9461" t="s">
        <v>91</v>
      </c>
      <c r="K9461" t="s">
        <v>85</v>
      </c>
      <c r="L9461" t="s">
        <v>20</v>
      </c>
      <c r="M9461" t="s">
        <v>18424</v>
      </c>
      <c r="N9461" t="s">
        <v>18428</v>
      </c>
    </row>
    <row r="9462" x14ac:dyDescent="0.25">
      <c r="A9462" t="n">
        <v>24</v>
      </c>
      <c r="B9462" t="s">
        <v>14</v>
      </c>
      <c r="C9462" t="s">
        <v>15</v>
      </c>
      <c r="D9462" s="2" t="s">
        <f>=HYPERLINK("https://main.knesset.gov.il/APPS/legislation/main/bills/2161821", "חוק ההתייעלות הכלכלית (תיקוני חקיקה להשגת יעדי התקציב לשנות התקציב 2021 ו-2022), התשפ""ב-2021")</f>
        <v>18429</v>
      </c>
      <c r="E9462" t="s">
        <v>18429</v>
      </c>
      <c r="F9462" t="s">
        <v>14</v>
      </c>
      <c r="G9462" t="s">
        <v>5568</v>
      </c>
      <c r="H9462" t="n">
        <v>2932</v>
      </c>
      <c r="I9462" t="s">
        <v>14</v>
      </c>
      <c r="J9462" t="s">
        <v>91</v>
      </c>
      <c r="K9462" t="s">
        <v>85</v>
      </c>
      <c r="L9462" t="s">
        <v>20</v>
      </c>
      <c r="M9462" t="s">
        <v>18424</v>
      </c>
      <c r="N9462" t="s">
        <v>18430</v>
      </c>
    </row>
    <row r="9463" x14ac:dyDescent="0.25">
      <c r="A9463" t="n">
        <v>24</v>
      </c>
      <c r="B9463" t="s">
        <v>14</v>
      </c>
      <c r="C9463" t="s">
        <v>15</v>
      </c>
      <c r="D9463" s="2" t="s">
        <f>=HYPERLINK("https://main.knesset.gov.il/APPS/legislation/main/bills/2161822", "חוק מסגרות תקציב המדינה (הוראות מיוחדות לשנים 2021 ו-2022) (תיקוני חקיקה והוראת שעה), התשפ""ב-2021")</f>
        <v>18431</v>
      </c>
      <c r="E9463" t="s">
        <v>18431</v>
      </c>
      <c r="F9463" t="s">
        <v>14</v>
      </c>
      <c r="G9463" t="s">
        <v>5568</v>
      </c>
      <c r="H9463" t="n">
        <v>2931</v>
      </c>
      <c r="I9463" t="s">
        <v>14</v>
      </c>
      <c r="J9463" t="s">
        <v>91</v>
      </c>
      <c r="K9463" t="s">
        <v>85</v>
      </c>
      <c r="L9463" t="s">
        <v>20</v>
      </c>
      <c r="M9463" t="s">
        <v>18424</v>
      </c>
      <c r="N9463" t="s">
        <v>18432</v>
      </c>
    </row>
    <row r="9464" x14ac:dyDescent="0.25">
      <c r="A9464" t="n">
        <v>24</v>
      </c>
      <c r="B9464" t="s">
        <v>14</v>
      </c>
      <c r="C9464" t="s">
        <v>22</v>
      </c>
      <c r="D9464" s="2" t="s">
        <f>=HYPERLINK("https://main.knesset.gov.il/APPS/legislation/main/bills/2160925", "הצעת חוק-יסוד: העדה הדרוזית ")</f>
        <v>831</v>
      </c>
      <c r="E9464" t="s">
        <v>831</v>
      </c>
      <c r="F9464" t="s">
        <v>18433</v>
      </c>
      <c r="G9464" t="s">
        <v>14</v>
      </c>
      <c r="H9464">
             </c>
      <c r="I9464" t="s">
        <v>14</v>
      </c>
      <c r="J9464" t="s">
        <v>141</v>
      </c>
      <c r="K9464" t="s">
        <v>14</v>
      </c>
      <c r="L9464" t="s">
        <v>20</v>
      </c>
      <c r="M9464" t="s">
        <v>18434</v>
      </c>
      <c r="N9464" t="s">
        <v>14</v>
      </c>
    </row>
    <row r="9465" x14ac:dyDescent="0.25">
      <c r="A9465" t="n">
        <v>24</v>
      </c>
      <c r="B9465" t="s">
        <v>14</v>
      </c>
      <c r="C9465" t="s">
        <v>22</v>
      </c>
      <c r="D9465" s="2" t="s">
        <f>=HYPERLINK("https://main.knesset.gov.il/APPS/legislation/main/bills/2162354", "הצעת חוק הסדרת הטיפול בחולי נפש (תיקוני חקיקה), התשפ""ב-2021")</f>
        <v>18435</v>
      </c>
      <c r="E9465" t="s">
        <v>18435</v>
      </c>
      <c r="F9465" t="s">
        <v>18436</v>
      </c>
      <c r="G9465" t="s">
        <v>14</v>
      </c>
      <c r="H9465">
             </c>
      <c r="I9465" t="s">
        <v>14</v>
      </c>
      <c r="J9465" t="s">
        <v>141</v>
      </c>
      <c r="K9465" t="s">
        <v>14</v>
      </c>
      <c r="L9465" t="s">
        <v>20</v>
      </c>
      <c r="M9465" t="s">
        <v>18434</v>
      </c>
      <c r="N9465" t="s">
        <v>14</v>
      </c>
    </row>
    <row r="9466" x14ac:dyDescent="0.25">
      <c r="A9466" t="n">
        <v>24</v>
      </c>
      <c r="B9466" t="s">
        <v>14</v>
      </c>
      <c r="C9466" t="s">
        <v>22</v>
      </c>
      <c r="D9466" s="2" t="s">
        <f>=HYPERLINK("https://main.knesset.gov.il/APPS/legislation/main/bills/2162502", "הצעת חוק העונשין (תיקון - ענישה בגין תקיפת שוטר), התשפ""ב-2021")</f>
        <v>18437</v>
      </c>
      <c r="E9466" t="s">
        <v>18437</v>
      </c>
      <c r="F9466" t="s">
        <v>18438</v>
      </c>
      <c r="G9466" t="s">
        <v>14</v>
      </c>
      <c r="H9466">
             </c>
      <c r="I9466" t="s">
        <v>14</v>
      </c>
      <c r="J9466" t="s">
        <v>141</v>
      </c>
      <c r="K9466" t="s">
        <v>14</v>
      </c>
      <c r="L9466" t="s">
        <v>20</v>
      </c>
      <c r="M9466" t="s">
        <v>18434</v>
      </c>
      <c r="N9466" t="s">
        <v>14</v>
      </c>
    </row>
    <row r="9467" x14ac:dyDescent="0.25">
      <c r="A9467" t="n">
        <v>24</v>
      </c>
      <c r="B9467" t="s">
        <v>14</v>
      </c>
      <c r="C9467" t="s">
        <v>22</v>
      </c>
      <c r="D9467" s="2" t="s">
        <f>=HYPERLINK("https://main.knesset.gov.il/APPS/legislation/main/bills/2163375", "הצעת חוק אזור סחר חופשי באילת (פטורים והנחות ממסים) (תיקון - פיתוח אילת), התשפ""ב-2021")</f>
        <v>17785</v>
      </c>
      <c r="E9467" t="s">
        <v>17785</v>
      </c>
      <c r="F9467" t="s">
        <v>18439</v>
      </c>
      <c r="G9467" t="s">
        <v>14</v>
      </c>
      <c r="H9467">
             </c>
      <c r="I9467" t="s">
        <v>14</v>
      </c>
      <c r="J9467" t="s">
        <v>141</v>
      </c>
      <c r="K9467" t="s">
        <v>14</v>
      </c>
      <c r="L9467" t="s">
        <v>20</v>
      </c>
      <c r="M9467" t="s">
        <v>18434</v>
      </c>
      <c r="N9467" t="s">
        <v>14</v>
      </c>
    </row>
    <row r="9468" x14ac:dyDescent="0.25">
      <c r="A9468" t="n">
        <v>24</v>
      </c>
      <c r="B9468" t="s">
        <v>14</v>
      </c>
      <c r="C9468" t="s">
        <v>22</v>
      </c>
      <c r="D9468" s="2" t="s">
        <f>=HYPERLINK("https://main.knesset.gov.il/APPS/legislation/main/bills/2163492", "הצעת חוק קליטת חיילים משוחררים (תיקון - תקצוב על פי מספר חיילים משוחררים הנרשמים ללימודים), התשפ""ב-2021")</f>
        <v>18440</v>
      </c>
      <c r="E9468" t="s">
        <v>18440</v>
      </c>
      <c r="F9468" t="s">
        <v>18441</v>
      </c>
      <c r="G9468" t="s">
        <v>14</v>
      </c>
      <c r="H9468">
             </c>
      <c r="I9468" t="s">
        <v>14</v>
      </c>
      <c r="J9468" t="s">
        <v>141</v>
      </c>
      <c r="K9468" t="s">
        <v>14</v>
      </c>
      <c r="L9468" t="s">
        <v>20</v>
      </c>
      <c r="M9468" t="s">
        <v>18434</v>
      </c>
      <c r="N9468" t="s">
        <v>14</v>
      </c>
    </row>
    <row r="9469" x14ac:dyDescent="0.25">
      <c r="A9469" t="n">
        <v>24</v>
      </c>
      <c r="B9469" t="s">
        <v>14</v>
      </c>
      <c r="C9469" t="s">
        <v>22</v>
      </c>
      <c r="D9469" s="2" t="s">
        <f>=HYPERLINK("https://main.knesset.gov.il/APPS/legislation/main/bills/2163281", "הצעת חוק הנחה לנכים בתחבורה ציבורית, התשפ""ב-2021")</f>
        <v>18442</v>
      </c>
      <c r="E9469" t="s">
        <v>18442</v>
      </c>
      <c r="F9469" t="s">
        <v>18443</v>
      </c>
      <c r="G9469" t="s">
        <v>14</v>
      </c>
      <c r="H9469">
             </c>
      <c r="I9469" t="s">
        <v>14</v>
      </c>
      <c r="J9469" t="s">
        <v>343</v>
      </c>
      <c r="K9469" t="s">
        <v>14</v>
      </c>
      <c r="L9469" t="s">
        <v>20</v>
      </c>
      <c r="M9469" t="s">
        <v>18434</v>
      </c>
      <c r="N9469" t="s">
        <v>14</v>
      </c>
    </row>
    <row r="9470" x14ac:dyDescent="0.25">
      <c r="A9470" t="n">
        <v>24</v>
      </c>
      <c r="B9470" t="s">
        <v>14</v>
      </c>
      <c r="C9470" t="s">
        <v>22</v>
      </c>
      <c r="D9470" s="2" t="s">
        <f>=HYPERLINK("https://main.knesset.gov.il/APPS/legislation/main/bills/2163366", "הצעת חוק דמי מחלה (היעדרות בשל מחלת ילד) (תיקון - היעדרות בעקבות פגיעה בעבירת מין או אלימות חמורה), התשפ""ב-2021")</f>
        <v>18444</v>
      </c>
      <c r="E9470" t="s">
        <v>18444</v>
      </c>
      <c r="F9470" t="s">
        <v>18445</v>
      </c>
      <c r="G9470" t="s">
        <v>14</v>
      </c>
      <c r="H9470">
             </c>
      <c r="I9470" t="s">
        <v>14</v>
      </c>
      <c r="J9470" t="s">
        <v>141</v>
      </c>
      <c r="K9470" t="s">
        <v>14</v>
      </c>
      <c r="L9470" t="s">
        <v>20</v>
      </c>
      <c r="M9470" t="s">
        <v>18434</v>
      </c>
      <c r="N9470" t="s">
        <v>14</v>
      </c>
    </row>
    <row r="9471" x14ac:dyDescent="0.25">
      <c r="A9471" t="n">
        <v>24</v>
      </c>
      <c r="B9471" t="s">
        <v>14</v>
      </c>
      <c r="C9471" t="s">
        <v>22</v>
      </c>
      <c r="D9471" s="2" t="s">
        <f>=HYPERLINK("https://main.knesset.gov.il/APPS/legislation/main/bills/2163490", "הצעת חוק לתיקון פקודת מס הכנסה (נקודות זיכוי להורי חיילים), התשפ""ב-2021")</f>
        <v>18446</v>
      </c>
      <c r="E9471" t="s">
        <v>18446</v>
      </c>
      <c r="F9471" t="s">
        <v>18447</v>
      </c>
      <c r="G9471" t="s">
        <v>14</v>
      </c>
      <c r="H9471">
             </c>
      <c r="I9471" t="s">
        <v>14</v>
      </c>
      <c r="J9471" t="s">
        <v>141</v>
      </c>
      <c r="K9471" t="s">
        <v>14</v>
      </c>
      <c r="L9471" t="s">
        <v>20</v>
      </c>
      <c r="M9471" t="s">
        <v>18434</v>
      </c>
      <c r="N9471" t="s">
        <v>14</v>
      </c>
    </row>
    <row r="9472" x14ac:dyDescent="0.25">
      <c r="A9472" t="n">
        <v>24</v>
      </c>
      <c r="B9472" t="s">
        <v>14</v>
      </c>
      <c r="C9472" t="s">
        <v>22</v>
      </c>
      <c r="D9472" s="2" t="s">
        <f>=HYPERLINK("https://main.knesset.gov.il/APPS/legislation/main/bills/2163350", "הצעת חוק למניעת התעמרות בעבודה, התשפ""ב-2021")</f>
        <v>18448</v>
      </c>
      <c r="E9472" t="s">
        <v>18448</v>
      </c>
      <c r="F9472" t="s">
        <v>18449</v>
      </c>
      <c r="G9472" t="s">
        <v>14</v>
      </c>
      <c r="H9472">
             </c>
      <c r="I9472" t="s">
        <v>14</v>
      </c>
      <c r="J9472" t="s">
        <v>141</v>
      </c>
      <c r="K9472" t="s">
        <v>14</v>
      </c>
      <c r="L9472" t="s">
        <v>20</v>
      </c>
      <c r="M9472" t="s">
        <v>18434</v>
      </c>
      <c r="N9472" t="s">
        <v>14</v>
      </c>
    </row>
    <row r="9473" x14ac:dyDescent="0.25">
      <c r="A9473" t="n">
        <v>24</v>
      </c>
      <c r="B9473" t="s">
        <v>14</v>
      </c>
      <c r="C9473" t="s">
        <v>22</v>
      </c>
      <c r="D9473" s="2" t="s">
        <f>=HYPERLINK("https://main.knesset.gov.il/APPS/legislation/main/bills/2163192", "הצעת חוק שכר מינימום (תיקון - העלאת שכר המינימום), התשפ""ב-2021")</f>
        <v>15018</v>
      </c>
      <c r="E9473" t="s">
        <v>15018</v>
      </c>
      <c r="F9473" t="s">
        <v>18450</v>
      </c>
      <c r="G9473" t="s">
        <v>14</v>
      </c>
      <c r="H9473">
             </c>
      <c r="I9473" t="s">
        <v>14</v>
      </c>
      <c r="J9473" t="s">
        <v>141</v>
      </c>
      <c r="K9473" t="s">
        <v>14</v>
      </c>
      <c r="L9473" t="s">
        <v>20</v>
      </c>
      <c r="M9473" t="s">
        <v>18434</v>
      </c>
      <c r="N9473" t="s">
        <v>14</v>
      </c>
    </row>
    <row r="9474" x14ac:dyDescent="0.25">
      <c r="A9474" t="n">
        <v>24</v>
      </c>
      <c r="B9474" t="s">
        <v>14</v>
      </c>
      <c r="C9474" t="s">
        <v>22</v>
      </c>
      <c r="D9474" s="2" t="s">
        <f>=HYPERLINK("https://main.knesset.gov.il/APPS/legislation/main/bills/2163632", "הצעת חוק קביעת הזמן (תיקון - ביטול שעון חורף), התשפ""ב-2021")</f>
        <v>18015</v>
      </c>
      <c r="E9474" t="s">
        <v>18015</v>
      </c>
      <c r="F9474" t="s">
        <v>18451</v>
      </c>
      <c r="G9474" t="s">
        <v>14</v>
      </c>
      <c r="H9474">
             </c>
      <c r="I9474" t="s">
        <v>14</v>
      </c>
      <c r="J9474" t="s">
        <v>141</v>
      </c>
      <c r="K9474" t="s">
        <v>14</v>
      </c>
      <c r="L9474" t="s">
        <v>20</v>
      </c>
      <c r="M9474" t="s">
        <v>18434</v>
      </c>
      <c r="N9474" t="s">
        <v>14</v>
      </c>
    </row>
    <row r="9475" x14ac:dyDescent="0.25">
      <c r="A9475" t="n">
        <v>24</v>
      </c>
      <c r="B9475" t="s">
        <v>14</v>
      </c>
      <c r="C9475" t="s">
        <v>22</v>
      </c>
      <c r="D9475" s="2" t="s">
        <f>=HYPERLINK("https://main.knesset.gov.il/APPS/legislation/main/bills/2162874", "הצעת חוק זכויות החולה (תיקון - הכנסת מזון למוסדות רפואיים בחג הפסח), התשפ""ב-2021")</f>
        <v>18452</v>
      </c>
      <c r="E9475" t="s">
        <v>18452</v>
      </c>
      <c r="F9475" t="s">
        <v>18453</v>
      </c>
      <c r="G9475" t="s">
        <v>14</v>
      </c>
      <c r="H9475">
             </c>
      <c r="I9475" t="s">
        <v>14</v>
      </c>
      <c r="J9475" t="s">
        <v>141</v>
      </c>
      <c r="K9475" t="s">
        <v>14</v>
      </c>
      <c r="L9475" t="s">
        <v>20</v>
      </c>
      <c r="M9475" t="s">
        <v>18434</v>
      </c>
      <c r="N9475" t="s">
        <v>14</v>
      </c>
    </row>
    <row r="9476" x14ac:dyDescent="0.25">
      <c r="A9476" t="n">
        <v>24</v>
      </c>
      <c r="B9476" t="s">
        <v>14</v>
      </c>
      <c r="C9476" t="s">
        <v>22</v>
      </c>
      <c r="D9476" s="2" t="s">
        <f>=HYPERLINK("https://main.knesset.gov.il/APPS/legislation/main/bills/2162761", "הצעת חוק מענק יובל לעובדי הוראה עולים, התשפ""ב-2021")</f>
        <v>18454</v>
      </c>
      <c r="E9476" t="s">
        <v>18454</v>
      </c>
      <c r="F9476" t="s">
        <v>18455</v>
      </c>
      <c r="G9476" t="s">
        <v>14</v>
      </c>
      <c r="H9476">
             </c>
      <c r="I9476" t="s">
        <v>14</v>
      </c>
      <c r="J9476" t="s">
        <v>141</v>
      </c>
      <c r="K9476" t="s">
        <v>14</v>
      </c>
      <c r="L9476" t="s">
        <v>20</v>
      </c>
      <c r="M9476" t="s">
        <v>18434</v>
      </c>
      <c r="N9476" t="s">
        <v>14</v>
      </c>
    </row>
    <row r="9477" x14ac:dyDescent="0.25">
      <c r="A9477" t="n">
        <v>24</v>
      </c>
      <c r="B9477" t="s">
        <v>14</v>
      </c>
      <c r="C9477" t="s">
        <v>22</v>
      </c>
      <c r="D9477" s="2" t="s">
        <f>=HYPERLINK("https://main.knesset.gov.il/APPS/legislation/main/bills/2161400", "הצעת חוק סיוע למשפחות שבראשן הורה עצמאי (תיקון - הרחבת ההגדרה הורה עצמאי), התשפ""ב-2021")</f>
        <v>18456</v>
      </c>
      <c r="E9477" t="s">
        <v>18456</v>
      </c>
      <c r="F9477" t="s">
        <v>18457</v>
      </c>
      <c r="G9477" t="s">
        <v>14</v>
      </c>
      <c r="H9477">
             </c>
      <c r="I9477" t="s">
        <v>14</v>
      </c>
      <c r="J9477" t="s">
        <v>141</v>
      </c>
      <c r="K9477" t="s">
        <v>14</v>
      </c>
      <c r="L9477" t="s">
        <v>20</v>
      </c>
      <c r="M9477" t="s">
        <v>18434</v>
      </c>
      <c r="N9477" t="s">
        <v>14</v>
      </c>
    </row>
    <row r="9478" x14ac:dyDescent="0.25">
      <c r="A9478" t="n">
        <v>24</v>
      </c>
      <c r="B9478" t="s">
        <v>14</v>
      </c>
      <c r="C9478" t="s">
        <v>22</v>
      </c>
      <c r="D9478" s="2" t="s">
        <f>=HYPERLINK("https://main.knesset.gov.il/APPS/legislation/main/bills/2163541", "הצעת חוק סדר הדין הפלילי (סמכויות אכיפה - מעצרים) (תיקון - ביצוע מעצר וחקירת אדם עם מוגבלות שכלית או נפשית), התשפ""ב-2021")</f>
        <v>18458</v>
      </c>
      <c r="E9478" t="s">
        <v>18458</v>
      </c>
      <c r="F9478" t="s">
        <v>18459</v>
      </c>
      <c r="G9478" t="s">
        <v>14</v>
      </c>
      <c r="H9478">
             </c>
      <c r="I9478" t="s">
        <v>14</v>
      </c>
      <c r="J9478" t="s">
        <v>141</v>
      </c>
      <c r="K9478" t="s">
        <v>14</v>
      </c>
      <c r="L9478" t="s">
        <v>20</v>
      </c>
      <c r="M9478" t="s">
        <v>18434</v>
      </c>
      <c r="N9478" t="s">
        <v>14</v>
      </c>
    </row>
    <row r="9479" x14ac:dyDescent="0.25">
      <c r="A9479" t="n">
        <v>24</v>
      </c>
      <c r="B9479" t="s">
        <v>14</v>
      </c>
      <c r="C9479" t="s">
        <v>22</v>
      </c>
      <c r="D9479" s="2" t="s">
        <f>=HYPERLINK("https://main.knesset.gov.il/APPS/legislation/main/bills/2163433", "הצעת חוק טיפול בחולי נפש (תיקון - בחירת מקום אשפוז), התשפ""ב-2021")</f>
        <v>18460</v>
      </c>
      <c r="E9479" t="s">
        <v>18460</v>
      </c>
      <c r="F9479" t="s">
        <v>18461</v>
      </c>
      <c r="G9479" t="s">
        <v>14</v>
      </c>
      <c r="H9479">
             </c>
      <c r="I9479" t="s">
        <v>14</v>
      </c>
      <c r="J9479" t="s">
        <v>343</v>
      </c>
      <c r="K9479" t="s">
        <v>14</v>
      </c>
      <c r="L9479" t="s">
        <v>20</v>
      </c>
      <c r="M9479" t="s">
        <v>18434</v>
      </c>
      <c r="N9479" t="s">
        <v>14</v>
      </c>
    </row>
    <row r="9480" x14ac:dyDescent="0.25">
      <c r="A9480" t="n">
        <v>24</v>
      </c>
      <c r="B9480" t="s">
        <v>14</v>
      </c>
      <c r="C9480" t="s">
        <v>22</v>
      </c>
      <c r="D9480" s="2" t="s">
        <f>=HYPERLINK("https://main.knesset.gov.il/APPS/legislation/main/bills/2163684", "הצעת חוק הכנסת (תיקון - ועדה לפיקוח על רשויות פיקוח פיננסיות), התשפ""ב-2021")</f>
        <v>18462</v>
      </c>
      <c r="E9480" t="s">
        <v>18462</v>
      </c>
      <c r="F9480" t="s">
        <v>18463</v>
      </c>
      <c r="G9480" t="s">
        <v>14</v>
      </c>
      <c r="H9480">
             </c>
      <c r="I9480" t="s">
        <v>14</v>
      </c>
      <c r="J9480" t="s">
        <v>141</v>
      </c>
      <c r="K9480" t="s">
        <v>14</v>
      </c>
      <c r="L9480" t="s">
        <v>20</v>
      </c>
      <c r="M9480" t="s">
        <v>18434</v>
      </c>
      <c r="N9480" t="s">
        <v>14</v>
      </c>
    </row>
    <row r="9481" x14ac:dyDescent="0.25">
      <c r="A9481" t="n">
        <v>24</v>
      </c>
      <c r="B9481" t="s">
        <v>14</v>
      </c>
      <c r="C9481" t="s">
        <v>22</v>
      </c>
      <c r="D9481" s="2" t="s">
        <f>=HYPERLINK("https://main.knesset.gov.il/APPS/legislation/main/bills/2157313", "הצעת חוק לתיקון פקודת מס הכנסה (משיכה פטורה מקרן השתלמות כשחלות תקנות שמטילות הגבלות על פעילות עסקית), התשפ""ב-2021")</f>
        <v>18464</v>
      </c>
      <c r="E9481" t="s">
        <v>18464</v>
      </c>
      <c r="F9481" t="s">
        <v>18465</v>
      </c>
      <c r="G9481" t="s">
        <v>14</v>
      </c>
      <c r="H9481">
             </c>
      <c r="I9481" t="s">
        <v>14</v>
      </c>
      <c r="J9481" t="s">
        <v>141</v>
      </c>
      <c r="K9481" t="s">
        <v>14</v>
      </c>
      <c r="L9481" t="s">
        <v>20</v>
      </c>
      <c r="M9481" t="s">
        <v>18434</v>
      </c>
      <c r="N9481" t="s">
        <v>14</v>
      </c>
    </row>
    <row r="9482" x14ac:dyDescent="0.25">
      <c r="A9482" t="n">
        <v>24</v>
      </c>
      <c r="B9482" t="s">
        <v>14</v>
      </c>
      <c r="C9482" t="s">
        <v>22</v>
      </c>
      <c r="D9482" s="2" t="s">
        <f>=HYPERLINK("https://main.knesset.gov.il/APPS/legislation/main/bills/2162890", "הצעת חוק הביטוח הלאומי (תיקון- הצמדת קצבת אזרח ותיק לשכר הממוצע במשק), התשפ""ב-2021")</f>
        <v>18466</v>
      </c>
      <c r="E9482" t="s">
        <v>18466</v>
      </c>
      <c r="F9482" t="s">
        <v>18467</v>
      </c>
      <c r="G9482" t="s">
        <v>14</v>
      </c>
      <c r="H9482">
             </c>
      <c r="I9482" t="s">
        <v>14</v>
      </c>
      <c r="J9482" t="s">
        <v>141</v>
      </c>
      <c r="K9482" t="s">
        <v>14</v>
      </c>
      <c r="L9482" t="s">
        <v>20</v>
      </c>
      <c r="M9482" t="s">
        <v>18434</v>
      </c>
      <c r="N9482" t="s">
        <v>14</v>
      </c>
    </row>
    <row r="9483" x14ac:dyDescent="0.25">
      <c r="A9483" t="n">
        <v>24</v>
      </c>
      <c r="B9483" t="s">
        <v>14</v>
      </c>
      <c r="C9483" t="s">
        <v>22</v>
      </c>
      <c r="D9483" s="2" t="s">
        <f>=HYPERLINK("https://main.knesset.gov.il/APPS/legislation/main/bills/2163391", "הצעת חוק נסיעות חיילים ברכבת ישראל, הרכבת הקלה ובאוטובוסים ציבוריים, התשפ""ב-2021")</f>
        <v>18468</v>
      </c>
      <c r="E9483" t="s">
        <v>18468</v>
      </c>
      <c r="F9483" t="s">
        <v>18469</v>
      </c>
      <c r="G9483" t="s">
        <v>14</v>
      </c>
      <c r="H9483">
             </c>
      <c r="I9483" t="s">
        <v>14</v>
      </c>
      <c r="J9483" t="s">
        <v>141</v>
      </c>
      <c r="K9483" t="s">
        <v>14</v>
      </c>
      <c r="L9483" t="s">
        <v>20</v>
      </c>
      <c r="M9483" t="s">
        <v>18434</v>
      </c>
      <c r="N9483" t="s">
        <v>14</v>
      </c>
    </row>
    <row r="9484" x14ac:dyDescent="0.25">
      <c r="A9484" t="n">
        <v>24</v>
      </c>
      <c r="B9484" t="s">
        <v>14</v>
      </c>
      <c r="C9484" t="s">
        <v>22</v>
      </c>
      <c r="D9484" s="2" t="s">
        <f>=HYPERLINK("https://main.knesset.gov.il/APPS/legislation/main/bills/2163670", "הצעת חוק לתיקון פקודת הבנקאות (הגבלת עמלת פירעון מוקדם של הלוואה לדיור), התשפ""ב-2021")</f>
        <v>18470</v>
      </c>
      <c r="E9484" t="s">
        <v>18470</v>
      </c>
      <c r="F9484" t="s">
        <v>18471</v>
      </c>
      <c r="G9484" t="s">
        <v>14</v>
      </c>
      <c r="H9484">
             </c>
      <c r="I9484" t="s">
        <v>14</v>
      </c>
      <c r="J9484" t="s">
        <v>141</v>
      </c>
      <c r="K9484" t="s">
        <v>14</v>
      </c>
      <c r="L9484" t="s">
        <v>20</v>
      </c>
      <c r="M9484" t="s">
        <v>18434</v>
      </c>
      <c r="N9484" t="s">
        <v>14</v>
      </c>
    </row>
    <row r="9485" x14ac:dyDescent="0.25">
      <c r="A9485" t="n">
        <v>24</v>
      </c>
      <c r="B9485" t="s">
        <v>14</v>
      </c>
      <c r="C9485" t="s">
        <v>22</v>
      </c>
      <c r="D9485" s="2" t="s">
        <f>=HYPERLINK("https://main.knesset.gov.il/APPS/legislation/main/bills/2163454", "הצעת חוק ביטוח בריאות ממלכתי (תיקון - פטור מתקופת המתנה לסטודנטים הלומדים בחו""ל), התשפ""ב-2021")</f>
        <v>18472</v>
      </c>
      <c r="E9485" t="s">
        <v>18472</v>
      </c>
      <c r="F9485" t="s">
        <v>18473</v>
      </c>
      <c r="G9485" t="s">
        <v>14</v>
      </c>
      <c r="H9485">
             </c>
      <c r="I9485" t="s">
        <v>14</v>
      </c>
      <c r="J9485" t="s">
        <v>141</v>
      </c>
      <c r="K9485" t="s">
        <v>14</v>
      </c>
      <c r="L9485" t="s">
        <v>20</v>
      </c>
      <c r="M9485" t="s">
        <v>18434</v>
      </c>
      <c r="N9485" t="s">
        <v>14</v>
      </c>
    </row>
    <row r="9486" x14ac:dyDescent="0.25">
      <c r="A9486" t="n">
        <v>24</v>
      </c>
      <c r="B9486" t="s">
        <v>14</v>
      </c>
      <c r="C9486" t="s">
        <v>22</v>
      </c>
      <c r="D9486" s="2" t="s">
        <f>=HYPERLINK("https://main.knesset.gov.il/APPS/legislation/main/bills/2162109", "הצעת חוק חינוך לחוסן נפשי, התשפ""ב–2021")</f>
        <v>18474</v>
      </c>
      <c r="E9486" t="s">
        <v>18474</v>
      </c>
      <c r="F9486" t="s">
        <v>18475</v>
      </c>
      <c r="G9486" t="s">
        <v>14</v>
      </c>
      <c r="H9486">
             </c>
      <c r="I9486" t="s">
        <v>14</v>
      </c>
      <c r="J9486" t="s">
        <v>141</v>
      </c>
      <c r="K9486" t="s">
        <v>14</v>
      </c>
      <c r="L9486" t="s">
        <v>20</v>
      </c>
      <c r="M9486" t="s">
        <v>18434</v>
      </c>
      <c r="N9486" t="s">
        <v>14</v>
      </c>
    </row>
    <row r="9487" x14ac:dyDescent="0.25">
      <c r="A9487" t="n">
        <v>24</v>
      </c>
      <c r="B9487" t="s">
        <v>14</v>
      </c>
      <c r="C9487" t="s">
        <v>22</v>
      </c>
      <c r="D9487" s="2" t="s">
        <f>=HYPERLINK("https://main.knesset.gov.il/APPS/legislation/main/bills/2163048", "הצעת חוק הרשויות המקומיות (התאמת תקציב הרווחה), התשפ""ב-2021")</f>
        <v>18476</v>
      </c>
      <c r="E9487" t="s">
        <v>18476</v>
      </c>
      <c r="F9487" t="s">
        <v>18477</v>
      </c>
      <c r="G9487" t="s">
        <v>14</v>
      </c>
      <c r="H9487">
             </c>
      <c r="I9487" t="s">
        <v>14</v>
      </c>
      <c r="J9487" t="s">
        <v>141</v>
      </c>
      <c r="K9487" t="s">
        <v>14</v>
      </c>
      <c r="L9487" t="s">
        <v>20</v>
      </c>
      <c r="M9487" t="s">
        <v>18434</v>
      </c>
      <c r="N9487" t="s">
        <v>14</v>
      </c>
    </row>
    <row r="9488" x14ac:dyDescent="0.25">
      <c r="A9488" t="n">
        <v>24</v>
      </c>
      <c r="B9488" t="s">
        <v>14</v>
      </c>
      <c r="C9488" t="s">
        <v>22</v>
      </c>
      <c r="D9488" s="2" t="s">
        <f>=HYPERLINK("https://main.knesset.gov.il/APPS/legislation/main/bills/2163378", "הצעת חוק איסור הקמת מצבות זכרון לזכר מבצעי מעשי טרור (תיקון - איסור הנצחת מחבלים באמצעות ציור קיר), התשפ""ב-2021")</f>
        <v>18478</v>
      </c>
      <c r="E9488" t="s">
        <v>18478</v>
      </c>
      <c r="F9488" t="s">
        <v>18479</v>
      </c>
      <c r="G9488" t="s">
        <v>14</v>
      </c>
      <c r="H9488">
             </c>
      <c r="I9488" t="s">
        <v>14</v>
      </c>
      <c r="J9488" t="s">
        <v>141</v>
      </c>
      <c r="K9488" t="s">
        <v>14</v>
      </c>
      <c r="L9488" t="s">
        <v>20</v>
      </c>
      <c r="M9488" t="s">
        <v>18434</v>
      </c>
      <c r="N9488" t="s">
        <v>14</v>
      </c>
    </row>
    <row r="9489" x14ac:dyDescent="0.25">
      <c r="A9489" t="n">
        <v>24</v>
      </c>
      <c r="B9489" t="s">
        <v>14</v>
      </c>
      <c r="C9489" t="s">
        <v>22</v>
      </c>
      <c r="D9489" s="2" t="s">
        <f>=HYPERLINK("https://main.knesset.gov.il/APPS/legislation/main/bills/2163381", "הצעת חוק לקידום שירותי הרפואה בעיר אילת (תיקוני חקיקה), התשפ""ב-2021")</f>
        <v>18480</v>
      </c>
      <c r="E9489" t="s">
        <v>18480</v>
      </c>
      <c r="F9489" t="s">
        <v>18481</v>
      </c>
      <c r="G9489" t="s">
        <v>14</v>
      </c>
      <c r="H9489">
             </c>
      <c r="I9489" t="s">
        <v>14</v>
      </c>
      <c r="J9489" t="s">
        <v>141</v>
      </c>
      <c r="K9489" t="s">
        <v>14</v>
      </c>
      <c r="L9489" t="s">
        <v>20</v>
      </c>
      <c r="M9489" t="s">
        <v>18434</v>
      </c>
      <c r="N9489" t="s">
        <v>14</v>
      </c>
    </row>
    <row r="9490" x14ac:dyDescent="0.25">
      <c r="A9490" t="n">
        <v>24</v>
      </c>
      <c r="B9490" t="s">
        <v>14</v>
      </c>
      <c r="C9490" t="s">
        <v>22</v>
      </c>
      <c r="D9490" s="2" t="s">
        <f>=HYPERLINK("https://main.knesset.gov.il/APPS/legislation/main/bills/2162786", "הצעת חוק טיפול בחולי נפש (תיקוני חקיקה), התשפ""ב-2021")</f>
        <v>18482</v>
      </c>
      <c r="E9490" t="s">
        <v>18482</v>
      </c>
      <c r="F9490" t="s">
        <v>18483</v>
      </c>
      <c r="G9490" t="s">
        <v>14</v>
      </c>
      <c r="H9490">
             </c>
      <c r="I9490" t="s">
        <v>14</v>
      </c>
      <c r="J9490" t="s">
        <v>141</v>
      </c>
      <c r="K9490" t="s">
        <v>14</v>
      </c>
      <c r="L9490" t="s">
        <v>20</v>
      </c>
      <c r="M9490" t="s">
        <v>18434</v>
      </c>
      <c r="N9490" t="s">
        <v>14</v>
      </c>
    </row>
    <row r="9491" x14ac:dyDescent="0.25">
      <c r="A9491" t="n">
        <v>24</v>
      </c>
      <c r="B9491" t="s">
        <v>14</v>
      </c>
      <c r="C9491" t="s">
        <v>22</v>
      </c>
      <c r="D9491" s="2" t="s">
        <f>=HYPERLINK("https://main.knesset.gov.il/APPS/legislation/main/bills/2156794", "הצעת חוק גיל פרישה (תיקון - הקדמת גיל הפרישה), התשפ""ב-2021")</f>
        <v>18484</v>
      </c>
      <c r="E9491" t="s">
        <v>18484</v>
      </c>
      <c r="F9491" t="s">
        <v>18485</v>
      </c>
      <c r="G9491" t="s">
        <v>14</v>
      </c>
      <c r="H9491">
             </c>
      <c r="I9491" t="s">
        <v>14</v>
      </c>
      <c r="J9491" t="s">
        <v>141</v>
      </c>
      <c r="K9491" t="s">
        <v>14</v>
      </c>
      <c r="L9491" t="s">
        <v>20</v>
      </c>
      <c r="M9491" t="s">
        <v>18434</v>
      </c>
      <c r="N9491" t="s">
        <v>14</v>
      </c>
    </row>
    <row r="9492" x14ac:dyDescent="0.25">
      <c r="A9492" t="n">
        <v>24</v>
      </c>
      <c r="B9492" t="s">
        <v>14</v>
      </c>
      <c r="C9492" t="s">
        <v>22</v>
      </c>
      <c r="D9492" s="2" t="s">
        <f>=HYPERLINK("https://main.knesset.gov.il/APPS/legislation/main/bills/2163399", "הצעת חוק הסעות לחיילים, התשפ""ב-2021")</f>
        <v>18486</v>
      </c>
      <c r="E9492" t="s">
        <v>18486</v>
      </c>
      <c r="F9492" t="s">
        <v>18487</v>
      </c>
      <c r="G9492" t="s">
        <v>14</v>
      </c>
      <c r="H9492">
             </c>
      <c r="I9492" t="s">
        <v>14</v>
      </c>
      <c r="J9492" t="s">
        <v>141</v>
      </c>
      <c r="K9492" t="s">
        <v>14</v>
      </c>
      <c r="L9492" t="s">
        <v>20</v>
      </c>
      <c r="M9492" t="s">
        <v>18434</v>
      </c>
      <c r="N9492" t="s">
        <v>14</v>
      </c>
    </row>
    <row r="9493" x14ac:dyDescent="0.25">
      <c r="A9493" t="n">
        <v>24</v>
      </c>
      <c r="B9493" t="s">
        <v>14</v>
      </c>
      <c r="C9493" t="s">
        <v>15</v>
      </c>
      <c r="D9493" s="2" t="s">
        <f>=HYPERLINK("https://main.knesset.gov.il/APPS/legislation/main/bills/2164125", "הצעת חוק הסיוע המשפטי (תיקון מס' 22 - הוראת שעה) (תיקון), התשפ""ב-2021")</f>
        <v>18488</v>
      </c>
      <c r="E9493" t="s">
        <v>18488</v>
      </c>
      <c r="F9493" t="s">
        <v>14</v>
      </c>
      <c r="G9493" t="s">
        <v>18489</v>
      </c>
      <c r="H9493">
             </c>
      <c r="I9493" t="s">
        <v>14</v>
      </c>
      <c r="J9493" t="s">
        <v>1141</v>
      </c>
      <c r="K9493" t="s">
        <v>14</v>
      </c>
      <c r="L9493" t="s">
        <v>20</v>
      </c>
      <c r="M9493" t="s">
        <v>18434</v>
      </c>
      <c r="N9493" t="s">
        <v>14</v>
      </c>
    </row>
    <row r="9494" x14ac:dyDescent="0.25">
      <c r="A9494" t="n">
        <v>24</v>
      </c>
      <c r="B9494" t="s">
        <v>14</v>
      </c>
      <c r="C9494" t="s">
        <v>15</v>
      </c>
      <c r="D9494" s="2" t="s">
        <f>=HYPERLINK("https://main.knesset.gov.il/APPS/legislation/main/bills/2162015", "פרק ד' (בינוי ושיכון) מתוך הצעת חוק התכנית הכלכלית (תיקוני חקיקה ליישום המדיניות הכלכלית לשנות התקציב 2021 ו-2022), התשפ""א-2021")</f>
        <v>18490</v>
      </c>
      <c r="E9494" t="s">
        <v>18490</v>
      </c>
      <c r="F9494" t="s">
        <v>14</v>
      </c>
      <c r="G9494" t="s">
        <v>5568</v>
      </c>
      <c r="H9494">
             </c>
      <c r="I9494" t="s">
        <v>14</v>
      </c>
      <c r="J9494" t="s">
        <v>99</v>
      </c>
      <c r="K9494" t="s">
        <v>121</v>
      </c>
      <c r="L9494" t="s">
        <v>20</v>
      </c>
      <c r="M9494" t="s">
        <v>18491</v>
      </c>
      <c r="N9494" t="s">
        <v>14</v>
      </c>
    </row>
    <row r="9495" x14ac:dyDescent="0.25">
      <c r="A9495" t="n">
        <v>24</v>
      </c>
      <c r="B9495" t="s">
        <v>14</v>
      </c>
      <c r="C9495" t="s">
        <v>15</v>
      </c>
      <c r="D9495" s="2" t="s">
        <f>=HYPERLINK("https://main.knesset.gov.il/APPS/legislation/main/bills/2162016", "פרק ז' (שכירות מוסדית), רק סעיף 46 (חוק התכנון והבנייה) מתוך הצעת חוק התכנית הכלכלית (תיקוני חקיקה ליישום המדיניות הכלכלית לשנות התקציב 2021 ו-2022), התשפ""א-2021")</f>
        <v>18492</v>
      </c>
      <c r="E9495" t="s">
        <v>18492</v>
      </c>
      <c r="F9495" t="s">
        <v>14</v>
      </c>
      <c r="G9495" t="s">
        <v>5568</v>
      </c>
      <c r="H9495">
             </c>
      <c r="I9495" t="s">
        <v>14</v>
      </c>
      <c r="J9495" t="s">
        <v>99</v>
      </c>
      <c r="K9495" t="s">
        <v>121</v>
      </c>
      <c r="L9495" t="s">
        <v>20</v>
      </c>
      <c r="M9495" t="s">
        <v>18491</v>
      </c>
      <c r="N9495" t="s">
        <v>14</v>
      </c>
    </row>
    <row r="9496" x14ac:dyDescent="0.25">
      <c r="A9496" t="n">
        <v>24</v>
      </c>
      <c r="B9496" t="s">
        <v>14</v>
      </c>
      <c r="C9496" t="s">
        <v>15</v>
      </c>
      <c r="D9496" s="2" t="s">
        <f>=HYPERLINK("https://main.knesset.gov.il/APPS/legislation/main/bills/2162018", "פרק י""ג (רישוי עסקים) מתוך הצעת חוק התכנית הכלכלית (תיקוני חקיקה ליישום המדיניות הכלכלית לשנות התקציב 2021 ו-2022), התשפ""א-2021")</f>
        <v>18493</v>
      </c>
      <c r="E9496" t="s">
        <v>18493</v>
      </c>
      <c r="F9496" t="s">
        <v>14</v>
      </c>
      <c r="G9496" t="s">
        <v>5568</v>
      </c>
      <c r="H9496">
             </c>
      <c r="I9496" t="s">
        <v>14</v>
      </c>
      <c r="J9496" t="s">
        <v>99</v>
      </c>
      <c r="K9496" t="s">
        <v>121</v>
      </c>
      <c r="L9496" t="s">
        <v>20</v>
      </c>
      <c r="M9496" t="s">
        <v>18491</v>
      </c>
      <c r="N9496" t="s">
        <v>14</v>
      </c>
    </row>
    <row r="9497" x14ac:dyDescent="0.25">
      <c r="A9497" t="n">
        <v>24</v>
      </c>
      <c r="B9497" t="s">
        <v>14</v>
      </c>
      <c r="C9497" t="s">
        <v>15</v>
      </c>
      <c r="D9497" s="2" t="s">
        <f>=HYPERLINK("https://main.knesset.gov.il/APPS/legislation/main/bills/2162020", "פרק ט""ו (תקשורת), רק סעיפים 80-79 ו-81 (2) (בעניין מתקן שידור לתקשורת) מתוך הצעת חוק התכנית הכלכלית (תיקוני חקיקה ליישום המדיניות הכלכלית לשנות התקציב 2021 ו-2022), התשפ""א-2021")</f>
        <v>18494</v>
      </c>
      <c r="E9497" t="s">
        <v>18494</v>
      </c>
      <c r="F9497" t="s">
        <v>14</v>
      </c>
      <c r="G9497" t="s">
        <v>5568</v>
      </c>
      <c r="H9497">
             </c>
      <c r="I9497" t="s">
        <v>14</v>
      </c>
      <c r="J9497" t="s">
        <v>99</v>
      </c>
      <c r="K9497" t="s">
        <v>121</v>
      </c>
      <c r="L9497" t="s">
        <v>20</v>
      </c>
      <c r="M9497" t="s">
        <v>18491</v>
      </c>
      <c r="N9497" t="s">
        <v>14</v>
      </c>
    </row>
    <row r="9498" x14ac:dyDescent="0.25">
      <c r="A9498" t="n">
        <v>24</v>
      </c>
      <c r="B9498" t="s">
        <v>14</v>
      </c>
      <c r="C9498" t="s">
        <v>15</v>
      </c>
      <c r="D9498" s="2" t="s">
        <f>=HYPERLINK("https://main.knesset.gov.il/APPS/legislation/main/bills/2162021", "פרק י""ח (תכנון ובנייה), סימן ב'-שימוש במגרשים המיועדים לתעסוקה ושימושים ממשלתיים מתוך הצעת חוק התכנית הכלכלית (תיקוני חקיקה ליישום המדיניות הכלכלית לשנות התקציב 2021 ו-2022), התשפ""א-2021")</f>
        <v>18495</v>
      </c>
      <c r="E9498" t="s">
        <v>18495</v>
      </c>
      <c r="F9498" t="s">
        <v>14</v>
      </c>
      <c r="G9498" t="s">
        <v>5568</v>
      </c>
      <c r="H9498">
             </c>
      <c r="I9498" t="s">
        <v>14</v>
      </c>
      <c r="J9498" t="s">
        <v>99</v>
      </c>
      <c r="K9498" t="s">
        <v>121</v>
      </c>
      <c r="L9498" t="s">
        <v>20</v>
      </c>
      <c r="M9498" t="s">
        <v>18491</v>
      </c>
      <c r="N9498" t="s">
        <v>14</v>
      </c>
    </row>
    <row r="9499" x14ac:dyDescent="0.25">
      <c r="A9499" t="n">
        <v>24</v>
      </c>
      <c r="B9499" t="s">
        <v>14</v>
      </c>
      <c r="C9499" t="s">
        <v>15</v>
      </c>
      <c r="D9499" s="2" t="s">
        <f>=HYPERLINK("https://main.knesset.gov.il/APPS/legislation/main/bills/2162022", "פרק כ""ב (רישוי באמצעות מורשה להיתר) מתוך הצעת חוק התכנית הכלכלית (תיקוני חקיקה ליישום המדיניות הכלכלית לשנות התקציב 2021 ו-2022), התשפ""א-2021")</f>
        <v>18496</v>
      </c>
      <c r="E9499" t="s">
        <v>18496</v>
      </c>
      <c r="F9499" t="s">
        <v>14</v>
      </c>
      <c r="G9499" t="s">
        <v>5568</v>
      </c>
      <c r="H9499">
             </c>
      <c r="I9499" t="s">
        <v>14</v>
      </c>
      <c r="J9499" t="s">
        <v>99</v>
      </c>
      <c r="K9499" t="s">
        <v>121</v>
      </c>
      <c r="L9499" t="s">
        <v>20</v>
      </c>
      <c r="M9499" t="s">
        <v>18491</v>
      </c>
      <c r="N9499" t="s">
        <v>14</v>
      </c>
    </row>
    <row r="9500" x14ac:dyDescent="0.25">
      <c r="A9500" t="n">
        <v>24</v>
      </c>
      <c r="B9500" t="s">
        <v>14</v>
      </c>
      <c r="C9500" t="s">
        <v>15</v>
      </c>
      <c r="D9500" s="2" t="s">
        <f>=HYPERLINK("https://main.knesset.gov.il/APPS/legislation/main/bills/2162014", "פרק י""ט (אסדרה), למעט סעיפים 21, 28 ו-30 המוצעים בסעיף 92 להצעת החוק, מתוך הצעת חוק התכנית הכלכלית (תיקוני חקיקה ליישום המדיניות הכלכלית לשנות התקציב 2021 ו-2022), התשפ""א-2021")</f>
        <v>18497</v>
      </c>
      <c r="E9500" t="s">
        <v>18497</v>
      </c>
      <c r="F9500" t="s">
        <v>14</v>
      </c>
      <c r="G9500" t="s">
        <v>5568</v>
      </c>
      <c r="H9500">
             </c>
      <c r="I9500" t="s">
        <v>14</v>
      </c>
      <c r="J9500" t="s">
        <v>99</v>
      </c>
      <c r="K9500" t="s">
        <v>121</v>
      </c>
      <c r="L9500" t="s">
        <v>20</v>
      </c>
      <c r="M9500" t="s">
        <v>18498</v>
      </c>
      <c r="N9500" t="s">
        <v>14</v>
      </c>
    </row>
    <row r="9501" x14ac:dyDescent="0.25">
      <c r="A9501" t="n">
        <v>24</v>
      </c>
      <c r="B9501" t="s">
        <v>14</v>
      </c>
      <c r="C9501" t="s">
        <v>15</v>
      </c>
      <c r="D9501" s="2" t="s">
        <f>=HYPERLINK("https://main.knesset.gov.il/APPS/legislation/main/bills/2162030", "פרק כ' (ייעול מערך הכשרות) מתוך הצעת חוק התכנית הכלכלית (תיקוני חקיקה ליישום המדיניות הכלכלית לשנות התקציב 2021 ו-2022), התשפ""א-2021")</f>
        <v>18499</v>
      </c>
      <c r="E9501" t="s">
        <v>18499</v>
      </c>
      <c r="F9501" t="s">
        <v>14</v>
      </c>
      <c r="G9501" t="s">
        <v>5568</v>
      </c>
      <c r="H9501">
             </c>
      <c r="I9501" t="s">
        <v>14</v>
      </c>
      <c r="J9501" t="s">
        <v>99</v>
      </c>
      <c r="K9501" t="s">
        <v>121</v>
      </c>
      <c r="L9501" t="s">
        <v>20</v>
      </c>
      <c r="M9501" t="s">
        <v>18498</v>
      </c>
      <c r="N9501" t="s">
        <v>14</v>
      </c>
    </row>
    <row r="9502" x14ac:dyDescent="0.25">
      <c r="A9502" t="n">
        <v>24</v>
      </c>
      <c r="B9502" t="s">
        <v>14</v>
      </c>
      <c r="C9502" t="s">
        <v>15</v>
      </c>
      <c r="D9502" s="2" t="s">
        <f>=HYPERLINK("https://main.knesset.gov.il/APPS/legislation/main/bills/2162042", "פרק ז' (פריסת המועדים להמשך עבודות ההנגשה) מתוך הצעת חוק ההתייעלות הכלכלית (תיקוני חקיקה להשגת יעדי התקציב לשנות התקציב 2021 ו-2022), התשפ""א-2021")</f>
        <v>18500</v>
      </c>
      <c r="E9502" t="s">
        <v>18500</v>
      </c>
      <c r="F9502" t="s">
        <v>14</v>
      </c>
      <c r="G9502" t="s">
        <v>5568</v>
      </c>
      <c r="H9502">
             </c>
      <c r="I9502" t="s">
        <v>14</v>
      </c>
      <c r="J9502" t="s">
        <v>99</v>
      </c>
      <c r="K9502" t="s">
        <v>121</v>
      </c>
      <c r="L9502" t="s">
        <v>20</v>
      </c>
      <c r="M9502" t="s">
        <v>18498</v>
      </c>
      <c r="N9502" t="s">
        <v>14</v>
      </c>
    </row>
    <row r="9503" x14ac:dyDescent="0.25">
      <c r="A9503" t="n">
        <v>24</v>
      </c>
      <c r="B9503" t="s">
        <v>14</v>
      </c>
      <c r="C9503" t="s">
        <v>22</v>
      </c>
      <c r="D9503" s="2" t="s">
        <f>=HYPERLINK("https://main.knesset.gov.il/APPS/legislation/main/bills/2159757", "הצעת חוק הדחת נציג ציבור התומך במאבק מזוין נגד מדינת ישראל (תיקוני חקיקה), התשפ""א-2021")</f>
        <v>18501</v>
      </c>
      <c r="E9503" t="s">
        <v>18501</v>
      </c>
      <c r="F9503" t="s">
        <v>18502</v>
      </c>
      <c r="G9503" t="s">
        <v>14</v>
      </c>
      <c r="H9503">
             </c>
      <c r="I9503" t="s">
        <v>14</v>
      </c>
      <c r="J9503" t="s">
        <v>55</v>
      </c>
      <c r="K9503" t="s">
        <v>14</v>
      </c>
      <c r="L9503" t="s">
        <v>20</v>
      </c>
      <c r="M9503" t="s">
        <v>18498</v>
      </c>
      <c r="N9503" t="s">
        <v>14</v>
      </c>
    </row>
    <row r="9504" x14ac:dyDescent="0.25">
      <c r="A9504" t="n">
        <v>24</v>
      </c>
      <c r="B9504" t="s">
        <v>14</v>
      </c>
      <c r="C9504" t="s">
        <v>22</v>
      </c>
      <c r="D9504" s="2" t="s">
        <f>=HYPERLINK("https://main.knesset.gov.il/APPS/legislation/main/bills/2156628", "הצעת חוק-יסוד: השפיטה (תיקון - הרכב הוועדה לבחירת שופטים ושימוע טרם בחירת שופטי בית המשפט העליון)")</f>
        <v>18503</v>
      </c>
      <c r="E9504" t="s">
        <v>18503</v>
      </c>
      <c r="F9504" t="s">
        <v>18504</v>
      </c>
      <c r="G9504" t="s">
        <v>14</v>
      </c>
      <c r="H9504">
             </c>
      <c r="I9504" t="s">
        <v>14</v>
      </c>
      <c r="J9504" t="s">
        <v>55</v>
      </c>
      <c r="K9504" t="s">
        <v>14</v>
      </c>
      <c r="L9504" t="s">
        <v>20</v>
      </c>
      <c r="M9504" t="s">
        <v>18498</v>
      </c>
      <c r="N9504" t="s">
        <v>14</v>
      </c>
    </row>
    <row r="9505" x14ac:dyDescent="0.25">
      <c r="A9505" t="n">
        <v>24</v>
      </c>
      <c r="B9505" t="s">
        <v>14</v>
      </c>
      <c r="C9505" t="s">
        <v>22</v>
      </c>
      <c r="D9505" s="2" t="s">
        <f>=HYPERLINK("https://main.knesset.gov.il/APPS/legislation/main/bills/2157003", "הצעת חוק הנצחת זכרם של קורבנות הטבח בכפר קאסם, התשפ""א-2021")</f>
        <v>18505</v>
      </c>
      <c r="E9505" t="s">
        <v>18505</v>
      </c>
      <c r="F9505" t="s">
        <v>18506</v>
      </c>
      <c r="G9505" t="s">
        <v>14</v>
      </c>
      <c r="H9505">
             </c>
      <c r="I9505" t="s">
        <v>14</v>
      </c>
      <c r="J9505" t="s">
        <v>55</v>
      </c>
      <c r="K9505" t="s">
        <v>14</v>
      </c>
      <c r="L9505" t="s">
        <v>20</v>
      </c>
      <c r="M9505" t="s">
        <v>18498</v>
      </c>
      <c r="N9505" t="s">
        <v>14</v>
      </c>
    </row>
    <row r="9506" x14ac:dyDescent="0.25">
      <c r="A9506" t="n">
        <v>24</v>
      </c>
      <c r="B9506" t="s">
        <v>14</v>
      </c>
      <c r="C9506" t="s">
        <v>22</v>
      </c>
      <c r="D9506" s="2" t="s">
        <f>=HYPERLINK("https://main.knesset.gov.il/APPS/legislation/main/bills/2157336", "הצעת חוק הנכים (תגמולים ושיקום) (תיקון - הגבלת משך זמן הטיפול בתביעה בשל הפרעה בתר חבלתית בעקבות אירוע לחימה), התשפ""א-2021")</f>
        <v>18507</v>
      </c>
      <c r="E9506" t="s">
        <v>18507</v>
      </c>
      <c r="F9506" t="s">
        <v>18508</v>
      </c>
      <c r="G9506" t="s">
        <v>14</v>
      </c>
      <c r="H9506">
             </c>
      <c r="I9506" t="s">
        <v>14</v>
      </c>
      <c r="J9506" t="s">
        <v>55</v>
      </c>
      <c r="K9506" t="s">
        <v>14</v>
      </c>
      <c r="L9506" t="s">
        <v>20</v>
      </c>
      <c r="M9506" t="s">
        <v>18498</v>
      </c>
      <c r="N9506" t="s">
        <v>14</v>
      </c>
    </row>
    <row r="9507" x14ac:dyDescent="0.25">
      <c r="A9507" t="n">
        <v>24</v>
      </c>
      <c r="B9507" t="s">
        <v>14</v>
      </c>
      <c r="C9507" t="s">
        <v>22</v>
      </c>
      <c r="D9507" s="2" t="s">
        <f>=HYPERLINK("https://main.knesset.gov.il/APPS/legislation/main/bills/2156487", "הצעת חוק רישוי עסקים (תיקון - שינוי מדיניות הביטוח במכוני כושר), התשפ""א-2021")</f>
        <v>18509</v>
      </c>
      <c r="E9507" t="s">
        <v>18509</v>
      </c>
      <c r="F9507" t="s">
        <v>18510</v>
      </c>
      <c r="G9507" t="s">
        <v>14</v>
      </c>
      <c r="H9507">
             </c>
      <c r="I9507" t="s">
        <v>14</v>
      </c>
      <c r="J9507" t="s">
        <v>31</v>
      </c>
      <c r="K9507" t="s">
        <v>46</v>
      </c>
      <c r="L9507" t="s">
        <v>20</v>
      </c>
      <c r="M9507" t="s">
        <v>18498</v>
      </c>
      <c r="N9507" t="s">
        <v>14</v>
      </c>
    </row>
    <row r="9508" x14ac:dyDescent="0.25">
      <c r="A9508" t="n">
        <v>24</v>
      </c>
      <c r="B9508" t="s">
        <v>14</v>
      </c>
      <c r="C9508" t="s">
        <v>22</v>
      </c>
      <c r="D9508" s="2" t="s">
        <f>=HYPERLINK("https://main.knesset.gov.il/APPS/legislation/main/bills/2156521", "הצעת חוק הדחת נציג ציבור התומך במאבק מזוין נגד מדינת ישראל (תיקוני חקיקה), התשפ""א-2021")</f>
        <v>18501</v>
      </c>
      <c r="E9508" t="s">
        <v>18501</v>
      </c>
      <c r="F9508" t="s">
        <v>18511</v>
      </c>
      <c r="G9508" t="s">
        <v>14</v>
      </c>
      <c r="H9508">
             </c>
      <c r="I9508" t="s">
        <v>14</v>
      </c>
      <c r="J9508" t="s">
        <v>55</v>
      </c>
      <c r="K9508" t="s">
        <v>14</v>
      </c>
      <c r="L9508" t="s">
        <v>20</v>
      </c>
      <c r="M9508" t="s">
        <v>18498</v>
      </c>
      <c r="N9508" t="s">
        <v>14</v>
      </c>
    </row>
    <row r="9509" x14ac:dyDescent="0.25">
      <c r="A9509" t="n">
        <v>24</v>
      </c>
      <c r="B9509" t="s">
        <v>14</v>
      </c>
      <c r="C9509" t="s">
        <v>22</v>
      </c>
      <c r="D9509" s="2" t="s">
        <f>=HYPERLINK("https://main.knesset.gov.il/APPS/legislation/main/bills/2156218", "הצעת חוק העונשין (תיקון - עבירה כלפי קשיש או חסר ישע), התשפ""א-2021")</f>
        <v>18512</v>
      </c>
      <c r="E9509" t="s">
        <v>18512</v>
      </c>
      <c r="F9509" t="s">
        <v>18513</v>
      </c>
      <c r="G9509" t="s">
        <v>14</v>
      </c>
      <c r="H9509">
             </c>
      <c r="I9509" t="s">
        <v>14</v>
      </c>
      <c r="J9509" t="s">
        <v>55</v>
      </c>
      <c r="K9509" t="s">
        <v>14</v>
      </c>
      <c r="L9509" t="s">
        <v>20</v>
      </c>
      <c r="M9509" t="s">
        <v>18498</v>
      </c>
      <c r="N9509" t="s">
        <v>14</v>
      </c>
    </row>
    <row r="9510" x14ac:dyDescent="0.25">
      <c r="A9510" t="n">
        <v>24</v>
      </c>
      <c r="B9510" t="s">
        <v>14</v>
      </c>
      <c r="C9510" t="s">
        <v>15</v>
      </c>
      <c r="D9510" s="2" t="s">
        <f>=HYPERLINK("https://main.knesset.gov.il/APPS/legislation/main/bills/2162028", "פרק כ""ג (יבוא) מתוך הצעת חוק התכנית הכלכלית (תיקוני חקיקה ליישום המדיניות הכלכלית לשנות התקציב 2021 ו-2022), התשפ""א-2021")</f>
        <v>18514</v>
      </c>
      <c r="E9510" t="s">
        <v>18514</v>
      </c>
      <c r="F9510" t="s">
        <v>14</v>
      </c>
      <c r="G9510" t="s">
        <v>5568</v>
      </c>
      <c r="H9510">
             </c>
      <c r="I9510" t="s">
        <v>14</v>
      </c>
      <c r="J9510" t="s">
        <v>99</v>
      </c>
      <c r="K9510" t="s">
        <v>121</v>
      </c>
      <c r="L9510" t="s">
        <v>20</v>
      </c>
      <c r="M9510" t="s">
        <v>18515</v>
      </c>
      <c r="N9510" t="s">
        <v>14</v>
      </c>
    </row>
    <row r="9511" x14ac:dyDescent="0.25">
      <c r="A9511" t="n">
        <v>24</v>
      </c>
      <c r="B9511" t="s">
        <v>14</v>
      </c>
      <c r="C9511" t="s">
        <v>15</v>
      </c>
      <c r="D9511" s="2" t="s">
        <f>=HYPERLINK("https://main.knesset.gov.il/APPS/legislation/main/bills/2162027", "פרק ט""ז (שירות מידע פיננסי) מתוך הצעת חוק התכנית הכלכלית (תיקוני חקיקה ליישום המדיניות הכלכלית לשנות התקציב 2021 ו-2022), התשפ""א-2021")</f>
        <v>18516</v>
      </c>
      <c r="E9511" t="s">
        <v>18516</v>
      </c>
      <c r="F9511" t="s">
        <v>14</v>
      </c>
      <c r="G9511" t="s">
        <v>5568</v>
      </c>
      <c r="H9511">
             </c>
      <c r="I9511" t="s">
        <v>14</v>
      </c>
      <c r="J9511" t="s">
        <v>99</v>
      </c>
      <c r="K9511" t="s">
        <v>121</v>
      </c>
      <c r="L9511" t="s">
        <v>20</v>
      </c>
      <c r="M9511" t="s">
        <v>18517</v>
      </c>
      <c r="N9511" t="s">
        <v>14</v>
      </c>
    </row>
    <row r="9512" x14ac:dyDescent="0.25">
      <c r="A9512" t="n">
        <v>24</v>
      </c>
      <c r="B9512" t="s">
        <v>14</v>
      </c>
      <c r="C9512" t="s">
        <v>15</v>
      </c>
      <c r="D9512" s="2" t="s">
        <f>=HYPERLINK("https://main.knesset.gov.il/APPS/legislation/main/bills/2162026", "פרק ט""ו (תקשורת), למעט סעיפים 80-79 ו-81(2) (בעניין מתקן שידור לתקשורת), מתוך הצעת חוק התכנית הכלכלית (תיקוני חקיקה ליישום המדיניות הכלכלית לשנות התקציב 2021 ו-2022), התשפ""א-2021")</f>
        <v>18518</v>
      </c>
      <c r="E9512" t="s">
        <v>18518</v>
      </c>
      <c r="F9512" t="s">
        <v>14</v>
      </c>
      <c r="G9512" t="s">
        <v>5568</v>
      </c>
      <c r="H9512">
             </c>
      <c r="I9512" t="s">
        <v>14</v>
      </c>
      <c r="J9512" t="s">
        <v>99</v>
      </c>
      <c r="K9512" t="s">
        <v>121</v>
      </c>
      <c r="L9512" t="s">
        <v>20</v>
      </c>
      <c r="M9512" t="s">
        <v>18517</v>
      </c>
      <c r="N9512" t="s">
        <v>14</v>
      </c>
    </row>
    <row r="9513" x14ac:dyDescent="0.25">
      <c r="A9513" t="n">
        <v>24</v>
      </c>
      <c r="B9513" t="s">
        <v>14</v>
      </c>
      <c r="C9513" t="s">
        <v>15</v>
      </c>
      <c r="D9513" s="2" t="s">
        <f>=HYPERLINK("https://main.knesset.gov.il/APPS/legislation/main/bills/2162025", "פרק י""א (אנרגיה), רק סעיפים 63-62 - משק הגז, מתוך הצעת חוק התכנית הכלכלית (תיקוני חקיקה ליישום המדיניות הכלכלית לשנות התקציב 2021 ו-2022), התשפ""א-2021")</f>
        <v>18519</v>
      </c>
      <c r="E9513" t="s">
        <v>18519</v>
      </c>
      <c r="F9513" t="s">
        <v>14</v>
      </c>
      <c r="G9513" t="s">
        <v>5568</v>
      </c>
      <c r="H9513">
             </c>
      <c r="I9513" t="s">
        <v>14</v>
      </c>
      <c r="J9513" t="s">
        <v>99</v>
      </c>
      <c r="K9513" t="s">
        <v>121</v>
      </c>
      <c r="L9513" t="s">
        <v>20</v>
      </c>
      <c r="M9513" t="s">
        <v>18517</v>
      </c>
      <c r="N9513" t="s">
        <v>14</v>
      </c>
    </row>
    <row r="9514" x14ac:dyDescent="0.25">
      <c r="A9514" t="n">
        <v>24</v>
      </c>
      <c r="B9514" t="s">
        <v>14</v>
      </c>
      <c r="C9514" t="s">
        <v>15</v>
      </c>
      <c r="D9514" s="2" t="s">
        <f>=HYPERLINK("https://main.knesset.gov.il/APPS/legislation/main/bills/2162024", "פרק י' (תחבורה) מתוך הצעת חוק התכנית הכלכלית (תיקוני חקיקה ליישום המדיניות הכלכלית לשנות התקציב 2021 ו-2022), התשפ""א-2021")</f>
        <v>18520</v>
      </c>
      <c r="E9514" t="s">
        <v>18520</v>
      </c>
      <c r="F9514" t="s">
        <v>14</v>
      </c>
      <c r="G9514" t="s">
        <v>5568</v>
      </c>
      <c r="H9514">
             </c>
      <c r="I9514" t="s">
        <v>14</v>
      </c>
      <c r="J9514" t="s">
        <v>99</v>
      </c>
      <c r="K9514" t="s">
        <v>121</v>
      </c>
      <c r="L9514" t="s">
        <v>20</v>
      </c>
      <c r="M9514" t="s">
        <v>18517</v>
      </c>
      <c r="N9514" t="s">
        <v>14</v>
      </c>
    </row>
    <row r="9515" x14ac:dyDescent="0.25">
      <c r="A9515" t="n">
        <v>24</v>
      </c>
      <c r="B9515" t="s">
        <v>14</v>
      </c>
      <c r="C9515" t="s">
        <v>15</v>
      </c>
      <c r="D9515" s="2" t="s">
        <f>=HYPERLINK("https://main.knesset.gov.il/APPS/legislation/main/bills/2162032", "פרק א' (מטרת החוק) מתוך הצעת חוק ההתייעלות הכלכלית (תיקוני חקיקה להשגת יעדי התקציב לשנות התקציב 2021 ו-2022), התשפ""א-2021")</f>
        <v>18521</v>
      </c>
      <c r="E9515" t="s">
        <v>18521</v>
      </c>
      <c r="F9515" t="s">
        <v>14</v>
      </c>
      <c r="G9515" t="s">
        <v>5568</v>
      </c>
      <c r="H9515">
             </c>
      <c r="I9515" t="s">
        <v>14</v>
      </c>
      <c r="J9515" t="s">
        <v>99</v>
      </c>
      <c r="K9515" t="s">
        <v>121</v>
      </c>
      <c r="L9515" t="s">
        <v>20</v>
      </c>
      <c r="M9515" t="s">
        <v>18517</v>
      </c>
      <c r="N9515" t="s">
        <v>14</v>
      </c>
    </row>
    <row r="9516" x14ac:dyDescent="0.25">
      <c r="A9516" t="n">
        <v>24</v>
      </c>
      <c r="B9516" t="s">
        <v>14</v>
      </c>
      <c r="C9516" t="s">
        <v>15</v>
      </c>
      <c r="D9516" s="2" t="s">
        <f>=HYPERLINK("https://main.knesset.gov.il/APPS/legislation/main/bills/2162040", "פרק י""א (תחילה) מתוך הצעת חוק ההתייעלות הכלכלית (תיקוני חקיקה להשגת יעדי התקציב לשנות התקציב 2021 ו-2022), התשפ""א-2021")</f>
        <v>18522</v>
      </c>
      <c r="E9516" t="s">
        <v>18522</v>
      </c>
      <c r="F9516" t="s">
        <v>14</v>
      </c>
      <c r="G9516" t="s">
        <v>5568</v>
      </c>
      <c r="H9516">
             </c>
      <c r="I9516" t="s">
        <v>14</v>
      </c>
      <c r="J9516" t="s">
        <v>99</v>
      </c>
      <c r="K9516" t="s">
        <v>121</v>
      </c>
      <c r="L9516" t="s">
        <v>20</v>
      </c>
      <c r="M9516" t="s">
        <v>18517</v>
      </c>
      <c r="N9516" t="s">
        <v>14</v>
      </c>
    </row>
    <row r="9517" x14ac:dyDescent="0.25">
      <c r="A9517" t="n">
        <v>24</v>
      </c>
      <c r="B9517" t="s">
        <v>14</v>
      </c>
      <c r="C9517" t="s">
        <v>15</v>
      </c>
      <c r="D9517" s="2" t="s">
        <f>=HYPERLINK("https://main.knesset.gov.il/APPS/legislation/main/bills/2162011", "פרק כ""ד (תחילה) מתוך הצעת חוק התכנית הכלכלית (תיקוני חקיקה ליישום המדיניות הכלכלית לשנות התקציב 2021 ו-2022), התשפ""א-2021")</f>
        <v>18523</v>
      </c>
      <c r="E9517" t="s">
        <v>18523</v>
      </c>
      <c r="F9517" t="s">
        <v>14</v>
      </c>
      <c r="G9517" t="s">
        <v>5568</v>
      </c>
      <c r="H9517">
             </c>
      <c r="I9517" t="s">
        <v>14</v>
      </c>
      <c r="J9517" t="s">
        <v>99</v>
      </c>
      <c r="K9517" t="s">
        <v>121</v>
      </c>
      <c r="L9517" t="s">
        <v>20</v>
      </c>
      <c r="M9517" t="s">
        <v>18517</v>
      </c>
      <c r="N9517" t="s">
        <v>14</v>
      </c>
    </row>
    <row r="9518" x14ac:dyDescent="0.25">
      <c r="A9518" t="n">
        <v>24</v>
      </c>
      <c r="B9518" t="s">
        <v>14</v>
      </c>
      <c r="C9518" t="s">
        <v>15</v>
      </c>
      <c r="D9518" s="2" t="s">
        <f>=HYPERLINK("https://main.knesset.gov.il/APPS/legislation/main/bills/2162007", "פרק א' (מטרת החוק) מתוך הצעת חוק התכנית הכלכלית (תיקוני חקיקה ליישום המדיניות הכלכלית לשנות התקציב 2021 ו-2022), התשפ""ב-2021")</f>
        <v>18524</v>
      </c>
      <c r="E9518" t="s">
        <v>18524</v>
      </c>
      <c r="F9518" t="s">
        <v>14</v>
      </c>
      <c r="G9518" t="s">
        <v>5568</v>
      </c>
      <c r="H9518">
             </c>
      <c r="I9518" t="s">
        <v>14</v>
      </c>
      <c r="J9518" t="s">
        <v>99</v>
      </c>
      <c r="K9518" t="s">
        <v>121</v>
      </c>
      <c r="L9518" t="s">
        <v>20</v>
      </c>
      <c r="M9518" t="s">
        <v>18517</v>
      </c>
      <c r="N9518" t="s">
        <v>14</v>
      </c>
    </row>
    <row r="9519" x14ac:dyDescent="0.25">
      <c r="A9519" t="n">
        <v>24</v>
      </c>
      <c r="B9519" t="s">
        <v>14</v>
      </c>
      <c r="C9519" t="s">
        <v>22</v>
      </c>
      <c r="D9519" s="2" t="s">
        <f>=HYPERLINK("https://main.knesset.gov.il/APPS/legislation/main/bills/2162295", "הצעת חוק עבודת הנוער (תיקון - העסקה במנוחה השבועית), התשפ""ב-2021")</f>
        <v>18525</v>
      </c>
      <c r="E9519" t="s">
        <v>18525</v>
      </c>
      <c r="F9519" t="s">
        <v>18526</v>
      </c>
      <c r="G9519" t="s">
        <v>14</v>
      </c>
      <c r="H9519">
             </c>
      <c r="I9519" t="s">
        <v>14</v>
      </c>
      <c r="J9519" t="s">
        <v>141</v>
      </c>
      <c r="K9519" t="s">
        <v>14</v>
      </c>
      <c r="L9519" t="s">
        <v>20</v>
      </c>
      <c r="M9519" t="s">
        <v>18517</v>
      </c>
      <c r="N9519" t="s">
        <v>14</v>
      </c>
    </row>
    <row r="9520" x14ac:dyDescent="0.25">
      <c r="A9520" t="n">
        <v>24</v>
      </c>
      <c r="B9520" t="s">
        <v>14</v>
      </c>
      <c r="C9520" t="s">
        <v>22</v>
      </c>
      <c r="D9520" s="2" t="s">
        <f>=HYPERLINK("https://main.knesset.gov.il/APPS/legislation/main/bills/2163041", "הצעת חוק מגן דוד אדום (תיקון - פריסת ניידות טיפול נמרץ ברחבי המדינה), התשפ""ב-2021")</f>
        <v>18527</v>
      </c>
      <c r="E9520" t="s">
        <v>18527</v>
      </c>
      <c r="F9520" t="s">
        <v>18528</v>
      </c>
      <c r="G9520" t="s">
        <v>14</v>
      </c>
      <c r="H9520">
             </c>
      <c r="I9520" t="s">
        <v>14</v>
      </c>
      <c r="J9520" t="s">
        <v>141</v>
      </c>
      <c r="K9520" t="s">
        <v>14</v>
      </c>
      <c r="L9520" t="s">
        <v>20</v>
      </c>
      <c r="M9520" t="s">
        <v>18517</v>
      </c>
      <c r="N9520" t="s">
        <v>14</v>
      </c>
    </row>
    <row r="9521" x14ac:dyDescent="0.25">
      <c r="A9521" t="n">
        <v>24</v>
      </c>
      <c r="B9521" t="s">
        <v>14</v>
      </c>
      <c r="C9521" t="s">
        <v>22</v>
      </c>
      <c r="D9521" s="2" t="s">
        <f>=HYPERLINK("https://main.knesset.gov.il/APPS/legislation/main/bills/2163468", "הצעת חוק הנצחת זכרם של קורבנות הטבח בכפר קאסם, התשפ""ב-2021")</f>
        <v>18413</v>
      </c>
      <c r="E9521" t="s">
        <v>18413</v>
      </c>
      <c r="F9521" t="s">
        <v>18529</v>
      </c>
      <c r="G9521" t="s">
        <v>14</v>
      </c>
      <c r="H9521">
             </c>
      <c r="I9521" t="s">
        <v>14</v>
      </c>
      <c r="J9521" t="s">
        <v>141</v>
      </c>
      <c r="K9521" t="s">
        <v>14</v>
      </c>
      <c r="L9521" t="s">
        <v>20</v>
      </c>
      <c r="M9521" t="s">
        <v>18517</v>
      </c>
      <c r="N9521" t="s">
        <v>14</v>
      </c>
    </row>
    <row r="9522" x14ac:dyDescent="0.25">
      <c r="A9522" t="n">
        <v>24</v>
      </c>
      <c r="B9522" t="s">
        <v>14</v>
      </c>
      <c r="C9522" t="s">
        <v>22</v>
      </c>
      <c r="D9522" s="2" t="s">
        <f>=HYPERLINK("https://main.knesset.gov.il/APPS/legislation/main/bills/2162850", "הצעת חוק הפסקת היריון, התשפ""ב-2021")</f>
        <v>18530</v>
      </c>
      <c r="E9522" t="s">
        <v>18530</v>
      </c>
      <c r="F9522" t="s">
        <v>18531</v>
      </c>
      <c r="G9522" t="s">
        <v>14</v>
      </c>
      <c r="H9522">
             </c>
      <c r="I9522" t="s">
        <v>14</v>
      </c>
      <c r="J9522" t="s">
        <v>141</v>
      </c>
      <c r="K9522" t="s">
        <v>14</v>
      </c>
      <c r="L9522" t="s">
        <v>20</v>
      </c>
      <c r="M9522" t="s">
        <v>18517</v>
      </c>
      <c r="N9522" t="s">
        <v>14</v>
      </c>
    </row>
    <row r="9523" x14ac:dyDescent="0.25">
      <c r="A9523" t="n">
        <v>24</v>
      </c>
      <c r="B9523" t="s">
        <v>14</v>
      </c>
      <c r="C9523" t="s">
        <v>22</v>
      </c>
      <c r="D9523" s="2" t="s">
        <f>=HYPERLINK("https://main.knesset.gov.il/APPS/legislation/main/bills/2163464", "הצעת חוק כביש אגרה (כביש ארצי לישראל) (תיקון - הפחתת ריבית פיגורים על חוב חלוט), התשפ""ב-2021")</f>
        <v>18532</v>
      </c>
      <c r="E9523" t="s">
        <v>18532</v>
      </c>
      <c r="F9523" t="s">
        <v>18533</v>
      </c>
      <c r="G9523" t="s">
        <v>14</v>
      </c>
      <c r="H9523">
             </c>
      <c r="I9523" t="s">
        <v>14</v>
      </c>
      <c r="J9523" t="s">
        <v>141</v>
      </c>
      <c r="K9523" t="s">
        <v>14</v>
      </c>
      <c r="L9523" t="s">
        <v>20</v>
      </c>
      <c r="M9523" t="s">
        <v>18517</v>
      </c>
      <c r="N9523" t="s">
        <v>14</v>
      </c>
    </row>
    <row r="9524" x14ac:dyDescent="0.25">
      <c r="A9524" t="n">
        <v>24</v>
      </c>
      <c r="B9524" t="s">
        <v>14</v>
      </c>
      <c r="C9524" t="s">
        <v>22</v>
      </c>
      <c r="D9524" s="2" t="s">
        <f>=HYPERLINK("https://main.knesset.gov.il/APPS/legislation/main/bills/2163465", "הצעת חוק כביש אגרה (כביש ארצי לישראל) (תיקון - פטור מאגרה בשל האטה ממהירות הנסיעה המותרת), התשפ""ב-2021")</f>
        <v>18534</v>
      </c>
      <c r="E9524" t="s">
        <v>18534</v>
      </c>
      <c r="F9524" t="s">
        <v>18535</v>
      </c>
      <c r="G9524" t="s">
        <v>14</v>
      </c>
      <c r="H9524">
             </c>
      <c r="I9524" t="s">
        <v>14</v>
      </c>
      <c r="J9524" t="s">
        <v>141</v>
      </c>
      <c r="K9524" t="s">
        <v>14</v>
      </c>
      <c r="L9524" t="s">
        <v>20</v>
      </c>
      <c r="M9524" t="s">
        <v>18517</v>
      </c>
      <c r="N9524" t="s">
        <v>14</v>
      </c>
    </row>
    <row r="9525" x14ac:dyDescent="0.25">
      <c r="A9525" t="n">
        <v>24</v>
      </c>
      <c r="B9525" t="s">
        <v>14</v>
      </c>
      <c r="C9525" t="s">
        <v>22</v>
      </c>
      <c r="D9525" s="2" t="s">
        <f>=HYPERLINK("https://main.knesset.gov.il/APPS/legislation/main/bills/2157306", "הצעת חוק הביטוח לאומי (תיקון - ביטוח זכויות עצמאי שעיקר הכנסתו מעסק שמצוי בפשיטת רגל או בפירוק), התשפ""ב-2021")</f>
        <v>18536</v>
      </c>
      <c r="E9525" t="s">
        <v>18536</v>
      </c>
      <c r="F9525" t="s">
        <v>18537</v>
      </c>
      <c r="G9525" t="s">
        <v>14</v>
      </c>
      <c r="H9525">
             </c>
      <c r="I9525" t="s">
        <v>14</v>
      </c>
      <c r="J9525" t="s">
        <v>141</v>
      </c>
      <c r="K9525" t="s">
        <v>14</v>
      </c>
      <c r="L9525" t="s">
        <v>20</v>
      </c>
      <c r="M9525" t="s">
        <v>18517</v>
      </c>
      <c r="N9525" t="s">
        <v>14</v>
      </c>
    </row>
    <row r="9526" x14ac:dyDescent="0.25">
      <c r="A9526" t="n">
        <v>24</v>
      </c>
      <c r="B9526" t="s">
        <v>14</v>
      </c>
      <c r="C9526" t="s">
        <v>22</v>
      </c>
      <c r="D9526" s="2" t="s">
        <f>=HYPERLINK("https://main.knesset.gov.il/APPS/legislation/main/bills/2163470", "הצעת חוק לתיקון פקודת התעבורה (הוראות לעניין סככות המתנה בתחנות אוטובוס), התשפ""ב-2021")</f>
        <v>18538</v>
      </c>
      <c r="E9526" t="s">
        <v>18538</v>
      </c>
      <c r="F9526" t="s">
        <v>18539</v>
      </c>
      <c r="G9526" t="s">
        <v>14</v>
      </c>
      <c r="H9526">
             </c>
      <c r="I9526" t="s">
        <v>14</v>
      </c>
      <c r="J9526" t="s">
        <v>141</v>
      </c>
      <c r="K9526" t="s">
        <v>14</v>
      </c>
      <c r="L9526" t="s">
        <v>20</v>
      </c>
      <c r="M9526" t="s">
        <v>18517</v>
      </c>
      <c r="N9526" t="s">
        <v>14</v>
      </c>
    </row>
    <row r="9527" x14ac:dyDescent="0.25">
      <c r="A9527" t="n">
        <v>24</v>
      </c>
      <c r="B9527" t="s">
        <v>14</v>
      </c>
      <c r="C9527" t="s">
        <v>22</v>
      </c>
      <c r="D9527" s="2" t="s">
        <f>=HYPERLINK("https://main.knesset.gov.il/APPS/legislation/main/bills/2163469", "הצעת חוק לתיקון פקודת התעבורה (הסדרי תנועה בקרבת בית ספר), התשפ""ב-2021")</f>
        <v>18318</v>
      </c>
      <c r="E9527" t="s">
        <v>18318</v>
      </c>
      <c r="F9527" t="s">
        <v>18540</v>
      </c>
      <c r="G9527" t="s">
        <v>14</v>
      </c>
      <c r="H9527">
             </c>
      <c r="I9527" t="s">
        <v>14</v>
      </c>
      <c r="J9527" t="s">
        <v>141</v>
      </c>
      <c r="K9527" t="s">
        <v>14</v>
      </c>
      <c r="L9527" t="s">
        <v>20</v>
      </c>
      <c r="M9527" t="s">
        <v>18517</v>
      </c>
      <c r="N9527" t="s">
        <v>14</v>
      </c>
    </row>
    <row r="9528" x14ac:dyDescent="0.25">
      <c r="A9528" t="n">
        <v>24</v>
      </c>
      <c r="B9528" t="s">
        <v>14</v>
      </c>
      <c r="C9528" t="s">
        <v>22</v>
      </c>
      <c r="D9528" s="2" t="s">
        <f>=HYPERLINK("https://main.knesset.gov.il/APPS/legislation/main/bills/2163467", "הצעת חוק משק החשמל (תיקון - איסור ניתוק חשמל), התשפ""ב-2021")</f>
        <v>18541</v>
      </c>
      <c r="E9528" t="s">
        <v>18541</v>
      </c>
      <c r="F9528" t="s">
        <v>18542</v>
      </c>
      <c r="G9528" t="s">
        <v>14</v>
      </c>
      <c r="H9528">
             </c>
      <c r="I9528" t="s">
        <v>14</v>
      </c>
      <c r="J9528" t="s">
        <v>141</v>
      </c>
      <c r="K9528" t="s">
        <v>14</v>
      </c>
      <c r="L9528" t="s">
        <v>20</v>
      </c>
      <c r="M9528" t="s">
        <v>18517</v>
      </c>
      <c r="N9528" t="s">
        <v>14</v>
      </c>
    </row>
    <row r="9529" x14ac:dyDescent="0.25">
      <c r="A9529" t="n">
        <v>24</v>
      </c>
      <c r="B9529" t="s">
        <v>14</v>
      </c>
      <c r="C9529" t="s">
        <v>22</v>
      </c>
      <c r="D9529" s="2" t="s">
        <f>=HYPERLINK("https://main.knesset.gov.il/APPS/legislation/main/bills/2163496", "הצעת חוק הכנסת (תיקון - הבטחת שוויון סיעתי בפעילות הכנסת), התשפ""ב-2021")</f>
        <v>18543</v>
      </c>
      <c r="E9529" t="s">
        <v>18543</v>
      </c>
      <c r="F9529" t="s">
        <v>18544</v>
      </c>
      <c r="G9529" t="s">
        <v>14</v>
      </c>
      <c r="H9529">
             </c>
      <c r="I9529" t="s">
        <v>14</v>
      </c>
      <c r="J9529" t="s">
        <v>141</v>
      </c>
      <c r="K9529" t="s">
        <v>14</v>
      </c>
      <c r="L9529" t="s">
        <v>20</v>
      </c>
      <c r="M9529" t="s">
        <v>18517</v>
      </c>
      <c r="N9529" t="s">
        <v>14</v>
      </c>
    </row>
    <row r="9530" x14ac:dyDescent="0.25">
      <c r="A9530" t="n">
        <v>24</v>
      </c>
      <c r="B9530" t="s">
        <v>14</v>
      </c>
      <c r="C9530" t="s">
        <v>22</v>
      </c>
      <c r="D9530" s="2" t="s">
        <f>=HYPERLINK("https://main.knesset.gov.il/APPS/legislation/main/bills/2163463", "הצעת חוק הסיוע המשפטי (תיקון - הוצאות מומחים), התשפ""ב-2021")</f>
        <v>18545</v>
      </c>
      <c r="E9530" t="s">
        <v>18545</v>
      </c>
      <c r="F9530" t="s">
        <v>18546</v>
      </c>
      <c r="G9530" t="s">
        <v>14</v>
      </c>
      <c r="H9530">
             </c>
      <c r="I9530" t="s">
        <v>14</v>
      </c>
      <c r="J9530" t="s">
        <v>141</v>
      </c>
      <c r="K9530" t="s">
        <v>14</v>
      </c>
      <c r="L9530" t="s">
        <v>20</v>
      </c>
      <c r="M9530" t="s">
        <v>18517</v>
      </c>
      <c r="N9530" t="s">
        <v>14</v>
      </c>
    </row>
    <row r="9531" x14ac:dyDescent="0.25">
      <c r="A9531" t="n">
        <v>24</v>
      </c>
      <c r="B9531" t="s">
        <v>14</v>
      </c>
      <c r="C9531" t="s">
        <v>22</v>
      </c>
      <c r="D9531" s="2" t="s">
        <f>=HYPERLINK("https://main.knesset.gov.il/APPS/legislation/main/bills/2160905", "הצעת חוק צער בעלי חיים (הגנה על בעלי חיים) (תיקון - גידול חזירים והחזקתם לצרכים חקלאיים), התשפ""ב-2021")</f>
        <v>18547</v>
      </c>
      <c r="E9531" t="s">
        <v>18547</v>
      </c>
      <c r="F9531" t="s">
        <v>18548</v>
      </c>
      <c r="G9531" t="s">
        <v>14</v>
      </c>
      <c r="H9531">
             </c>
      <c r="I9531" t="s">
        <v>14</v>
      </c>
      <c r="J9531" t="s">
        <v>141</v>
      </c>
      <c r="K9531" t="s">
        <v>14</v>
      </c>
      <c r="L9531" t="s">
        <v>20</v>
      </c>
      <c r="M9531" t="s">
        <v>18517</v>
      </c>
      <c r="N9531" t="s">
        <v>14</v>
      </c>
    </row>
    <row r="9532" x14ac:dyDescent="0.25">
      <c r="A9532" t="n">
        <v>24</v>
      </c>
      <c r="B9532" t="s">
        <v>14</v>
      </c>
      <c r="C9532" t="s">
        <v>22</v>
      </c>
      <c r="D9532" s="2" t="s">
        <f>=HYPERLINK("https://main.knesset.gov.il/APPS/legislation/main/bills/2163373", "הצעת חוק הסיוע המשפטי (תיקון - נפגעי עבירות מין), התשפ""ב-2021")</f>
        <v>18549</v>
      </c>
      <c r="E9532" t="s">
        <v>18549</v>
      </c>
      <c r="F9532" t="s">
        <v>18550</v>
      </c>
      <c r="G9532" t="s">
        <v>14</v>
      </c>
      <c r="H9532">
             </c>
      <c r="I9532" t="s">
        <v>14</v>
      </c>
      <c r="J9532" t="s">
        <v>141</v>
      </c>
      <c r="K9532" t="s">
        <v>14</v>
      </c>
      <c r="L9532" t="s">
        <v>20</v>
      </c>
      <c r="M9532" t="s">
        <v>18517</v>
      </c>
      <c r="N9532" t="s">
        <v>14</v>
      </c>
    </row>
    <row r="9533" x14ac:dyDescent="0.25">
      <c r="A9533" t="n">
        <v>24</v>
      </c>
      <c r="B9533" t="s">
        <v>14</v>
      </c>
      <c r="C9533" t="s">
        <v>22</v>
      </c>
      <c r="D9533" s="2" t="s">
        <f>=HYPERLINK("https://main.knesset.gov.il/APPS/legislation/main/bills/2163312", "הצעת חוק החלת תקצוב מגדרי על תקציבים ציבוריים בישראל, התשפ""ב-2021")</f>
        <v>17747</v>
      </c>
      <c r="E9533" t="s">
        <v>17747</v>
      </c>
      <c r="F9533" t="s">
        <v>18551</v>
      </c>
      <c r="G9533" t="s">
        <v>14</v>
      </c>
      <c r="H9533">
             </c>
      <c r="I9533" t="s">
        <v>14</v>
      </c>
      <c r="J9533" t="s">
        <v>141</v>
      </c>
      <c r="K9533" t="s">
        <v>14</v>
      </c>
      <c r="L9533" t="s">
        <v>20</v>
      </c>
      <c r="M9533" t="s">
        <v>18517</v>
      </c>
      <c r="N9533" t="s">
        <v>14</v>
      </c>
    </row>
    <row r="9534" x14ac:dyDescent="0.25">
      <c r="A9534" t="n">
        <v>24</v>
      </c>
      <c r="B9534" t="s">
        <v>14</v>
      </c>
      <c r="C9534" t="s">
        <v>22</v>
      </c>
      <c r="D9534" s="2" t="s">
        <f>=HYPERLINK("https://main.knesset.gov.il/APPS/legislation/main/bills/2163404", "הצעת חוק הרשויות המקומיות (פטור חיילים, נפגעי מלחמה ושוטרים מארנונה) (תיקון - פטור לחייל בודד בדירת שותפים), התשפ""ב-2021")</f>
        <v>18552</v>
      </c>
      <c r="E9534" t="s">
        <v>18552</v>
      </c>
      <c r="F9534" t="s">
        <v>18553</v>
      </c>
      <c r="G9534" t="s">
        <v>14</v>
      </c>
      <c r="H9534">
             </c>
      <c r="I9534" t="s">
        <v>14</v>
      </c>
      <c r="J9534" t="s">
        <v>141</v>
      </c>
      <c r="K9534" t="s">
        <v>14</v>
      </c>
      <c r="L9534" t="s">
        <v>20</v>
      </c>
      <c r="M9534" t="s">
        <v>18517</v>
      </c>
      <c r="N9534" t="s">
        <v>14</v>
      </c>
    </row>
    <row r="9535" x14ac:dyDescent="0.25">
      <c r="A9535" t="n">
        <v>24</v>
      </c>
      <c r="B9535" t="s">
        <v>14</v>
      </c>
      <c r="C9535" t="s">
        <v>22</v>
      </c>
      <c r="D9535" s="2" t="s">
        <f>=HYPERLINK("https://main.knesset.gov.il/APPS/legislation/main/bills/2163263", "הצעת חוק הקלות במס על רכישת מכשיר ניידות מסוג קלנועית (תיקוני חקיקה), התשפ""ב-2021")</f>
        <v>18554</v>
      </c>
      <c r="E9535" t="s">
        <v>18554</v>
      </c>
      <c r="F9535" t="s">
        <v>18555</v>
      </c>
      <c r="G9535" t="s">
        <v>14</v>
      </c>
      <c r="H9535">
             </c>
      <c r="I9535" t="s">
        <v>14</v>
      </c>
      <c r="J9535" t="s">
        <v>141</v>
      </c>
      <c r="K9535" t="s">
        <v>14</v>
      </c>
      <c r="L9535" t="s">
        <v>20</v>
      </c>
      <c r="M9535" t="s">
        <v>18517</v>
      </c>
      <c r="N9535" t="s">
        <v>14</v>
      </c>
    </row>
    <row r="9536" x14ac:dyDescent="0.25">
      <c r="A9536" t="n">
        <v>24</v>
      </c>
      <c r="B9536" t="s">
        <v>14</v>
      </c>
      <c r="C9536" t="s">
        <v>22</v>
      </c>
      <c r="D9536" s="2" t="s">
        <f>=HYPERLINK("https://main.knesset.gov.il/APPS/legislation/main/bills/2162963", "הצעת חוק-יסוד: השפיטה (תיקון - סמכויות שיפוט ותקנות סדרי דין באישור ועדה)")</f>
        <v>1901</v>
      </c>
      <c r="E9536" t="s">
        <v>1901</v>
      </c>
      <c r="F9536" t="s">
        <v>18556</v>
      </c>
      <c r="G9536" t="s">
        <v>14</v>
      </c>
      <c r="H9536">
             </c>
      <c r="I9536" t="s">
        <v>14</v>
      </c>
      <c r="J9536" t="s">
        <v>141</v>
      </c>
      <c r="K9536" t="s">
        <v>14</v>
      </c>
      <c r="L9536" t="s">
        <v>20</v>
      </c>
      <c r="M9536" t="s">
        <v>18517</v>
      </c>
      <c r="N9536" t="s">
        <v>14</v>
      </c>
    </row>
    <row r="9537" x14ac:dyDescent="0.25">
      <c r="A9537" t="n">
        <v>24</v>
      </c>
      <c r="B9537" t="s">
        <v>14</v>
      </c>
      <c r="C9537" t="s">
        <v>22</v>
      </c>
      <c r="D9537" s="2" t="s">
        <f>=HYPERLINK("https://main.knesset.gov.il/APPS/legislation/main/bills/2156809", "הצעת חוק מס ערך מוסף (תיקון - דחיית תשלום בתקופת חירום) (הוראת שעה), התשפ""ב-2021")</f>
        <v>18557</v>
      </c>
      <c r="E9537" t="s">
        <v>18557</v>
      </c>
      <c r="F9537" t="s">
        <v>18558</v>
      </c>
      <c r="G9537" t="s">
        <v>14</v>
      </c>
      <c r="H9537">
             </c>
      <c r="I9537" t="s">
        <v>14</v>
      </c>
      <c r="J9537" t="s">
        <v>141</v>
      </c>
      <c r="K9537" t="s">
        <v>14</v>
      </c>
      <c r="L9537" t="s">
        <v>20</v>
      </c>
      <c r="M9537" t="s">
        <v>18517</v>
      </c>
      <c r="N9537" t="s">
        <v>14</v>
      </c>
    </row>
    <row r="9538" x14ac:dyDescent="0.25">
      <c r="A9538" t="n">
        <v>24</v>
      </c>
      <c r="B9538" t="s">
        <v>14</v>
      </c>
      <c r="C9538" t="s">
        <v>22</v>
      </c>
      <c r="D9538" s="2" t="s">
        <f>=HYPERLINK("https://main.knesset.gov.il/APPS/legislation/main/bills/2163186", "הצעת חוק לתיקון פקודת מס הכנסה (ניכוי סכומים שהוצאו לצורך טיפול בילד), התשפ""ב-2021")</f>
        <v>18559</v>
      </c>
      <c r="E9538" t="s">
        <v>18559</v>
      </c>
      <c r="F9538" t="s">
        <v>18560</v>
      </c>
      <c r="G9538" t="s">
        <v>14</v>
      </c>
      <c r="H9538">
             </c>
      <c r="I9538" t="s">
        <v>14</v>
      </c>
      <c r="J9538" t="s">
        <v>141</v>
      </c>
      <c r="K9538" t="s">
        <v>14</v>
      </c>
      <c r="L9538" t="s">
        <v>20</v>
      </c>
      <c r="M9538" t="s">
        <v>18517</v>
      </c>
      <c r="N9538" t="s">
        <v>14</v>
      </c>
    </row>
    <row r="9539" x14ac:dyDescent="0.25">
      <c r="A9539" t="n">
        <v>24</v>
      </c>
      <c r="B9539" t="s">
        <v>14</v>
      </c>
      <c r="C9539" t="s">
        <v>22</v>
      </c>
      <c r="D9539" s="2" t="s">
        <f>=HYPERLINK("https://main.knesset.gov.il/APPS/legislation/main/bills/2160293", "הצעת חוק תאגידי מים וביוב (תיקון - ביטול החוק והוראות מעבר), התשפ""ב-2021")</f>
        <v>18561</v>
      </c>
      <c r="E9539" t="s">
        <v>18561</v>
      </c>
      <c r="F9539" t="s">
        <v>18562</v>
      </c>
      <c r="G9539" t="s">
        <v>14</v>
      </c>
      <c r="H9539">
             </c>
      <c r="I9539" t="s">
        <v>14</v>
      </c>
      <c r="J9539" t="s">
        <v>141</v>
      </c>
      <c r="K9539" t="s">
        <v>14</v>
      </c>
      <c r="L9539" t="s">
        <v>20</v>
      </c>
      <c r="M9539" t="s">
        <v>18517</v>
      </c>
      <c r="N9539" t="s">
        <v>14</v>
      </c>
    </row>
    <row r="9540" x14ac:dyDescent="0.25">
      <c r="A9540" t="n">
        <v>24</v>
      </c>
      <c r="B9540" t="s">
        <v>14</v>
      </c>
      <c r="C9540" t="s">
        <v>22</v>
      </c>
      <c r="D9540" s="2" t="s">
        <f>=HYPERLINK("https://main.knesset.gov.il/APPS/legislation/main/bills/2163299", "הצעת חוק תמיכה כלכלית של הורים בילדיהם, התשפ""ב-2021")</f>
        <v>18563</v>
      </c>
      <c r="E9540" t="s">
        <v>18563</v>
      </c>
      <c r="F9540" t="s">
        <v>18564</v>
      </c>
      <c r="G9540" t="s">
        <v>14</v>
      </c>
      <c r="H9540">
             </c>
      <c r="I9540" t="s">
        <v>14</v>
      </c>
      <c r="J9540" t="s">
        <v>141</v>
      </c>
      <c r="K9540" t="s">
        <v>14</v>
      </c>
      <c r="L9540" t="s">
        <v>20</v>
      </c>
      <c r="M9540" t="s">
        <v>18517</v>
      </c>
      <c r="N9540" t="s">
        <v>14</v>
      </c>
    </row>
    <row r="9541" x14ac:dyDescent="0.25">
      <c r="A9541" t="n">
        <v>24</v>
      </c>
      <c r="B9541" t="s">
        <v>14</v>
      </c>
      <c r="C9541" t="s">
        <v>22</v>
      </c>
      <c r="D9541" s="2" t="s">
        <f>=HYPERLINK("https://main.knesset.gov.il/APPS/legislation/main/bills/2162870", "הצעת חוק-יסוד: כבוד האדם וחירותו (תיקון - תוקפו של חוק חורג)")</f>
        <v>11944</v>
      </c>
      <c r="E9541" t="s">
        <v>11944</v>
      </c>
      <c r="F9541" t="s">
        <v>18565</v>
      </c>
      <c r="G9541" t="s">
        <v>14</v>
      </c>
      <c r="H9541">
             </c>
      <c r="I9541" t="s">
        <v>14</v>
      </c>
      <c r="J9541" t="s">
        <v>141</v>
      </c>
      <c r="K9541" t="s">
        <v>14</v>
      </c>
      <c r="L9541" t="s">
        <v>20</v>
      </c>
      <c r="M9541" t="s">
        <v>18517</v>
      </c>
      <c r="N9541" t="s">
        <v>14</v>
      </c>
    </row>
    <row r="9542" x14ac:dyDescent="0.25">
      <c r="A9542" t="n">
        <v>24</v>
      </c>
      <c r="B9542" t="s">
        <v>14</v>
      </c>
      <c r="C9542" t="s">
        <v>22</v>
      </c>
      <c r="D9542" s="2" t="s">
        <f>=HYPERLINK("https://main.knesset.gov.il/APPS/legislation/main/bills/2157332", "הצעת חוק איסור ניתוק משירותי חשמל, מים וגז (הוראת שעה - נגיף הקורונה החדש) (תיקוני חקיקה), התשפ""ב-2021")</f>
        <v>18566</v>
      </c>
      <c r="E9542" t="s">
        <v>18566</v>
      </c>
      <c r="F9542" t="s">
        <v>18567</v>
      </c>
      <c r="G9542" t="s">
        <v>14</v>
      </c>
      <c r="H9542">
             </c>
      <c r="I9542" t="s">
        <v>14</v>
      </c>
      <c r="J9542" t="s">
        <v>141</v>
      </c>
      <c r="K9542" t="s">
        <v>14</v>
      </c>
      <c r="L9542" t="s">
        <v>20</v>
      </c>
      <c r="M9542" t="s">
        <v>18517</v>
      </c>
      <c r="N9542" t="s">
        <v>14</v>
      </c>
    </row>
    <row r="9543" x14ac:dyDescent="0.25">
      <c r="A9543" t="n">
        <v>24</v>
      </c>
      <c r="B9543" t="s">
        <v>14</v>
      </c>
      <c r="C9543" t="s">
        <v>22</v>
      </c>
      <c r="D9543" s="2" t="s">
        <f>=HYPERLINK("https://main.knesset.gov.il/APPS/legislation/main/bills/2162739", "הצעת חוק סיוע לקטינים נפגעי עבירות מין או אלימות (תיקון - טיפול נפשי לילדים נפגעי אלימות במשפחה), התשפ""ב-2021")</f>
        <v>18568</v>
      </c>
      <c r="E9543" t="s">
        <v>18568</v>
      </c>
      <c r="F9543" t="s">
        <v>18569</v>
      </c>
      <c r="G9543" t="s">
        <v>14</v>
      </c>
      <c r="H9543">
             </c>
      <c r="I9543" t="s">
        <v>14</v>
      </c>
      <c r="J9543" t="s">
        <v>141</v>
      </c>
      <c r="K9543" t="s">
        <v>14</v>
      </c>
      <c r="L9543" t="s">
        <v>20</v>
      </c>
      <c r="M9543" t="s">
        <v>18517</v>
      </c>
      <c r="N9543" t="s">
        <v>14</v>
      </c>
    </row>
    <row r="9544" x14ac:dyDescent="0.25">
      <c r="A9544" t="n">
        <v>24</v>
      </c>
      <c r="B9544" t="s">
        <v>14</v>
      </c>
      <c r="C9544" t="s">
        <v>22</v>
      </c>
      <c r="D9544" s="2" t="s">
        <f>=HYPERLINK("https://main.knesset.gov.il/APPS/legislation/main/bills/2157341", "הצעת חוק חובת המכרזים (תיקון - שילוב עסקים קטנים ובינוניים במכרזים ציבוריים), התשפ""ב-2021")</f>
        <v>18570</v>
      </c>
      <c r="E9544" t="s">
        <v>18570</v>
      </c>
      <c r="F9544" t="s">
        <v>18571</v>
      </c>
      <c r="G9544" t="s">
        <v>14</v>
      </c>
      <c r="H9544">
             </c>
      <c r="I9544" t="s">
        <v>14</v>
      </c>
      <c r="J9544" t="s">
        <v>141</v>
      </c>
      <c r="K9544" t="s">
        <v>14</v>
      </c>
      <c r="L9544" t="s">
        <v>20</v>
      </c>
      <c r="M9544" t="s">
        <v>18517</v>
      </c>
      <c r="N9544" t="s">
        <v>14</v>
      </c>
    </row>
    <row r="9545" x14ac:dyDescent="0.25">
      <c r="A9545" t="n">
        <v>24</v>
      </c>
      <c r="B9545" t="s">
        <v>14</v>
      </c>
      <c r="C9545" t="s">
        <v>22</v>
      </c>
      <c r="D9545" s="2" t="s">
        <f>=HYPERLINK("https://main.knesset.gov.il/APPS/legislation/main/bills/2162774", "הצעת חוק העונשין (תיקון - גזר דין עונש מוות למורשע ברצח בנסיבות טרור), התשפ""ב-2021")</f>
        <v>17781</v>
      </c>
      <c r="E9545" t="s">
        <v>17781</v>
      </c>
      <c r="F9545" t="s">
        <v>18572</v>
      </c>
      <c r="G9545" t="s">
        <v>14</v>
      </c>
      <c r="H9545">
             </c>
      <c r="I9545" t="s">
        <v>14</v>
      </c>
      <c r="J9545" t="s">
        <v>141</v>
      </c>
      <c r="K9545" t="s">
        <v>14</v>
      </c>
      <c r="L9545" t="s">
        <v>20</v>
      </c>
      <c r="M9545" t="s">
        <v>18517</v>
      </c>
      <c r="N9545" t="s">
        <v>14</v>
      </c>
    </row>
    <row r="9546" x14ac:dyDescent="0.25">
      <c r="A9546" t="n">
        <v>24</v>
      </c>
      <c r="B9546" t="s">
        <v>14</v>
      </c>
      <c r="C9546" t="s">
        <v>22</v>
      </c>
      <c r="D9546" s="2" t="s">
        <f>=HYPERLINK("https://main.knesset.gov.il/APPS/legislation/main/bills/2156912", "הצעת חוק-יסוד: ישראל - מדינת הלאום של העם היהודי (תיקון - ביטול החוק)")</f>
        <v>4732</v>
      </c>
      <c r="E9546" t="s">
        <v>4732</v>
      </c>
      <c r="F9546" t="s">
        <v>18573</v>
      </c>
      <c r="G9546" t="s">
        <v>14</v>
      </c>
      <c r="H9546">
             </c>
      <c r="I9546" t="s">
        <v>14</v>
      </c>
      <c r="J9546" t="s">
        <v>141</v>
      </c>
      <c r="K9546" t="s">
        <v>14</v>
      </c>
      <c r="L9546" t="s">
        <v>20</v>
      </c>
      <c r="M9546" t="s">
        <v>18517</v>
      </c>
      <c r="N9546" t="s">
        <v>14</v>
      </c>
    </row>
    <row r="9547" x14ac:dyDescent="0.25">
      <c r="A9547" t="n">
        <v>24</v>
      </c>
      <c r="B9547" t="s">
        <v>14</v>
      </c>
      <c r="C9547" t="s">
        <v>22</v>
      </c>
      <c r="D9547" s="2" t="s">
        <f>=HYPERLINK("https://main.knesset.gov.il/APPS/legislation/main/bills/2156881", "הצעת חוק השכירות והשאילה (תיקון - הארכת תקופת השכירות בעת מצב חירום), התשפ""ב-2021")</f>
        <v>18574</v>
      </c>
      <c r="E9547" t="s">
        <v>18574</v>
      </c>
      <c r="F9547" t="s">
        <v>18575</v>
      </c>
      <c r="G9547" t="s">
        <v>14</v>
      </c>
      <c r="H9547">
             </c>
      <c r="I9547" t="s">
        <v>14</v>
      </c>
      <c r="J9547" t="s">
        <v>141</v>
      </c>
      <c r="K9547" t="s">
        <v>14</v>
      </c>
      <c r="L9547" t="s">
        <v>20</v>
      </c>
      <c r="M9547" t="s">
        <v>18517</v>
      </c>
      <c r="N9547" t="s">
        <v>14</v>
      </c>
    </row>
    <row r="9548" x14ac:dyDescent="0.25">
      <c r="A9548" t="n">
        <v>24</v>
      </c>
      <c r="B9548" t="s">
        <v>14</v>
      </c>
      <c r="C9548" t="s">
        <v>22</v>
      </c>
      <c r="D9548" s="2" t="s">
        <f>=HYPERLINK("https://main.knesset.gov.il/APPS/legislation/main/bills/2156786", "הצעת חוק שיקים ללא כיסוי (תיקון - מצב חירום בשל מגפה עולמית), התשפ""ב-2021")</f>
        <v>18576</v>
      </c>
      <c r="E9548" t="s">
        <v>18576</v>
      </c>
      <c r="F9548" t="s">
        <v>18577</v>
      </c>
      <c r="G9548" t="s">
        <v>14</v>
      </c>
      <c r="H9548">
             </c>
      <c r="I9548" t="s">
        <v>14</v>
      </c>
      <c r="J9548" t="s">
        <v>141</v>
      </c>
      <c r="K9548" t="s">
        <v>14</v>
      </c>
      <c r="L9548" t="s">
        <v>20</v>
      </c>
      <c r="M9548" t="s">
        <v>18517</v>
      </c>
      <c r="N9548" t="s">
        <v>14</v>
      </c>
    </row>
    <row r="9549" x14ac:dyDescent="0.25">
      <c r="A9549" t="n">
        <v>24</v>
      </c>
      <c r="B9549" t="s">
        <v>14</v>
      </c>
      <c r="C9549" t="s">
        <v>22</v>
      </c>
      <c r="D9549" s="2" t="s">
        <f>=HYPERLINK("https://main.knesset.gov.il/APPS/legislation/main/bills/2163231", "הצעת חוק המכר (דירות) (תיקון - הסדרת בנייה במסגרת קבוצות רכישה), התשפ""ב-2021")</f>
        <v>18578</v>
      </c>
      <c r="E9549" t="s">
        <v>18578</v>
      </c>
      <c r="F9549" t="s">
        <v>18579</v>
      </c>
      <c r="G9549" t="s">
        <v>14</v>
      </c>
      <c r="H9549">
             </c>
      <c r="I9549" t="s">
        <v>14</v>
      </c>
      <c r="J9549" t="s">
        <v>141</v>
      </c>
      <c r="K9549" t="s">
        <v>14</v>
      </c>
      <c r="L9549" t="s">
        <v>20</v>
      </c>
      <c r="M9549" t="s">
        <v>18517</v>
      </c>
      <c r="N9549" t="s">
        <v>14</v>
      </c>
    </row>
    <row r="9550" x14ac:dyDescent="0.25">
      <c r="A9550" t="n">
        <v>24</v>
      </c>
      <c r="B9550" t="s">
        <v>14</v>
      </c>
      <c r="C9550" t="s">
        <v>22</v>
      </c>
      <c r="D9550" s="2" t="s">
        <f>=HYPERLINK("https://main.knesset.gov.il/APPS/legislation/main/bills/2160074", "הצעת חוק לימוד חובה (תיקון - חינוך חינם לפעוטות), התשפ""ב-2021")</f>
        <v>18580</v>
      </c>
      <c r="E9550" t="s">
        <v>18580</v>
      </c>
      <c r="F9550" t="s">
        <v>18581</v>
      </c>
      <c r="G9550" t="s">
        <v>14</v>
      </c>
      <c r="H9550">
             </c>
      <c r="I9550" t="s">
        <v>14</v>
      </c>
      <c r="J9550" t="s">
        <v>141</v>
      </c>
      <c r="K9550" t="s">
        <v>14</v>
      </c>
      <c r="L9550" t="s">
        <v>20</v>
      </c>
      <c r="M9550" t="s">
        <v>18517</v>
      </c>
      <c r="N9550" t="s">
        <v>14</v>
      </c>
    </row>
    <row r="9551" x14ac:dyDescent="0.25">
      <c r="A9551" t="n">
        <v>24</v>
      </c>
      <c r="B9551" t="s">
        <v>14</v>
      </c>
      <c r="C9551" t="s">
        <v>22</v>
      </c>
      <c r="D9551" s="2" t="s">
        <f>=HYPERLINK("https://main.knesset.gov.il/APPS/legislation/main/bills/2163402", "הצעת חוק בינוי ופינוי של אזורי שיקום (כפר שלם), התשפ""ב-2021")</f>
        <v>18582</v>
      </c>
      <c r="E9551" t="s">
        <v>18582</v>
      </c>
      <c r="F9551" t="s">
        <v>18583</v>
      </c>
      <c r="G9551" t="s">
        <v>14</v>
      </c>
      <c r="H9551">
             </c>
      <c r="I9551" t="s">
        <v>14</v>
      </c>
      <c r="J9551" t="s">
        <v>141</v>
      </c>
      <c r="K9551" t="s">
        <v>14</v>
      </c>
      <c r="L9551" t="s">
        <v>20</v>
      </c>
      <c r="M9551" t="s">
        <v>18517</v>
      </c>
      <c r="N9551" t="s">
        <v>14</v>
      </c>
    </row>
    <row r="9552" x14ac:dyDescent="0.25">
      <c r="A9552" t="n">
        <v>24</v>
      </c>
      <c r="B9552" t="s">
        <v>14</v>
      </c>
      <c r="C9552" t="s">
        <v>22</v>
      </c>
      <c r="D9552" s="2" t="s">
        <f>=HYPERLINK("https://main.knesset.gov.il/APPS/legislation/main/bills/2163133", "הצעת חוק-יסוד: הממשלה (תיקון - הפסקת כהונה של ראש הממשלה, שר או סגן שר מחמת הגשת כתב אישום)")</f>
        <v>11734</v>
      </c>
      <c r="E9552" t="s">
        <v>11734</v>
      </c>
      <c r="F9552" t="s">
        <v>18584</v>
      </c>
      <c r="G9552" t="s">
        <v>14</v>
      </c>
      <c r="H9552">
             </c>
      <c r="I9552" t="s">
        <v>14</v>
      </c>
      <c r="J9552" t="s">
        <v>141</v>
      </c>
      <c r="K9552" t="s">
        <v>14</v>
      </c>
      <c r="L9552" t="s">
        <v>20</v>
      </c>
      <c r="M9552" t="s">
        <v>18517</v>
      </c>
      <c r="N9552" t="s">
        <v>14</v>
      </c>
    </row>
    <row r="9553" x14ac:dyDescent="0.25">
      <c r="A9553" t="n">
        <v>24</v>
      </c>
      <c r="B9553" t="s">
        <v>14</v>
      </c>
      <c r="C9553" t="s">
        <v>22</v>
      </c>
      <c r="D9553" s="2" t="s">
        <f>=HYPERLINK("https://main.knesset.gov.il/APPS/legislation/main/bills/2163356", "הצעת חוק מגבלות על חזרתו של עבריין מין לסביבת נפגע העבירה (תיקון - הרחבת סמכות בית המשפט להטלת מגבלות), התשפ""ב-2021")</f>
        <v>18585</v>
      </c>
      <c r="E9553" t="s">
        <v>18585</v>
      </c>
      <c r="F9553" t="s">
        <v>18586</v>
      </c>
      <c r="G9553" t="s">
        <v>14</v>
      </c>
      <c r="H9553">
             </c>
      <c r="I9553" t="s">
        <v>14</v>
      </c>
      <c r="J9553" t="s">
        <v>141</v>
      </c>
      <c r="K9553" t="s">
        <v>14</v>
      </c>
      <c r="L9553" t="s">
        <v>20</v>
      </c>
      <c r="M9553" t="s">
        <v>18517</v>
      </c>
      <c r="N9553" t="s">
        <v>14</v>
      </c>
    </row>
    <row r="9554" x14ac:dyDescent="0.25">
      <c r="A9554" t="n">
        <v>24</v>
      </c>
      <c r="B9554" t="s">
        <v>14</v>
      </c>
      <c r="C9554" t="s">
        <v>22</v>
      </c>
      <c r="D9554" s="2" t="s">
        <f>=HYPERLINK("https://main.knesset.gov.il/APPS/legislation/main/bills/2163369", "הצעת חוק העונשין (תיקון - הארכת התיישנות בעבירות מין שבוצעו במסגרת הנישואין), התשפ""ב-2021")</f>
        <v>18587</v>
      </c>
      <c r="E9554" t="s">
        <v>18587</v>
      </c>
      <c r="F9554" t="s">
        <v>18588</v>
      </c>
      <c r="G9554" t="s">
        <v>14</v>
      </c>
      <c r="H9554">
             </c>
      <c r="I9554" t="s">
        <v>14</v>
      </c>
      <c r="J9554" t="s">
        <v>141</v>
      </c>
      <c r="K9554" t="s">
        <v>14</v>
      </c>
      <c r="L9554" t="s">
        <v>20</v>
      </c>
      <c r="M9554" t="s">
        <v>18517</v>
      </c>
      <c r="N9554" t="s">
        <v>14</v>
      </c>
    </row>
    <row r="9555" x14ac:dyDescent="0.25">
      <c r="A9555" t="n">
        <v>24</v>
      </c>
      <c r="B9555" t="s">
        <v>14</v>
      </c>
      <c r="C9555" t="s">
        <v>22</v>
      </c>
      <c r="D9555" s="2" t="s">
        <f>=HYPERLINK("https://main.knesset.gov.il/APPS/legislation/main/bills/2161897", "הצעת חוק הגנת הצרכן (תיקון - הגבלת גביית עמלה בעסקת מכר מרחוק שעניינה רכישת כרטיס למופע), התשפ""ב-2021")</f>
        <v>18589</v>
      </c>
      <c r="E9555" t="s">
        <v>18589</v>
      </c>
      <c r="F9555" t="s">
        <v>18590</v>
      </c>
      <c r="G9555" t="s">
        <v>14</v>
      </c>
      <c r="H9555">
             </c>
      <c r="I9555" t="s">
        <v>14</v>
      </c>
      <c r="J9555" t="s">
        <v>141</v>
      </c>
      <c r="K9555" t="s">
        <v>14</v>
      </c>
      <c r="L9555" t="s">
        <v>20</v>
      </c>
      <c r="M9555" t="s">
        <v>18517</v>
      </c>
      <c r="N9555" t="s">
        <v>14</v>
      </c>
    </row>
    <row r="9556" x14ac:dyDescent="0.25">
      <c r="A9556" t="n">
        <v>24</v>
      </c>
      <c r="B9556" t="s">
        <v>14</v>
      </c>
      <c r="C9556" t="s">
        <v>22</v>
      </c>
      <c r="D9556" s="2" t="s">
        <f>=HYPERLINK("https://main.knesset.gov.il/APPS/legislation/main/bills/2161448", "הצעת חוק הרשות לפיתוח הנגב (תיקון - הגדרת המחוז), התשפ""ב-2021")</f>
        <v>18591</v>
      </c>
      <c r="E9556" t="s">
        <v>18591</v>
      </c>
      <c r="F9556" t="s">
        <v>18592</v>
      </c>
      <c r="G9556" t="s">
        <v>14</v>
      </c>
      <c r="H9556">
             </c>
      <c r="I9556" t="s">
        <v>14</v>
      </c>
      <c r="J9556" t="s">
        <v>141</v>
      </c>
      <c r="K9556" t="s">
        <v>14</v>
      </c>
      <c r="L9556" t="s">
        <v>20</v>
      </c>
      <c r="M9556" t="s">
        <v>18517</v>
      </c>
      <c r="N9556" t="s">
        <v>14</v>
      </c>
    </row>
    <row r="9557" x14ac:dyDescent="0.25">
      <c r="A9557" t="n">
        <v>24</v>
      </c>
      <c r="B9557" t="s">
        <v>14</v>
      </c>
      <c r="C9557" t="s">
        <v>15</v>
      </c>
      <c r="D9557" s="2" t="s">
        <f>=HYPERLINK("https://main.knesset.gov.il/APPS/legislation/main/bills/2162009", "פרק ז' (שכירות מוסדית), למעט סעיף 46 (חוק התכנון והבנייה) מתוך הצעת חוק התכנית הכלכלית (תיקוני חקיקה ליישום המדיניות הכלכלית לשנות התקציב 2021 ו-2022), התשפ""א-2021")</f>
        <v>18593</v>
      </c>
      <c r="E9557" t="s">
        <v>18593</v>
      </c>
      <c r="F9557" t="s">
        <v>14</v>
      </c>
      <c r="G9557" t="s">
        <v>5568</v>
      </c>
      <c r="H9557">
             </c>
      <c r="I9557" t="s">
        <v>14</v>
      </c>
      <c r="J9557" t="s">
        <v>99</v>
      </c>
      <c r="K9557" t="s">
        <v>121</v>
      </c>
      <c r="L9557" t="s">
        <v>20</v>
      </c>
      <c r="M9557" t="s">
        <v>18594</v>
      </c>
      <c r="N9557" t="s">
        <v>14</v>
      </c>
    </row>
    <row r="9558" x14ac:dyDescent="0.25">
      <c r="A9558" t="n">
        <v>24</v>
      </c>
      <c r="B9558" t="s">
        <v>14</v>
      </c>
      <c r="C9558" t="s">
        <v>15</v>
      </c>
      <c r="D9558" s="2" t="s">
        <f>=HYPERLINK("https://main.knesset.gov.il/APPS/legislation/main/bills/2162012", "פרק ג' (תאגידים שהוקמו לפי חוק) מתוך הצעת חוק התכנית הכלכלית (תיקוני חקיקה ליישום המדיניות הכלכלית לשנות התקציב 2021 ו-2022), התשפ""א-2021")</f>
        <v>18595</v>
      </c>
      <c r="E9558" t="s">
        <v>18595</v>
      </c>
      <c r="F9558" t="s">
        <v>14</v>
      </c>
      <c r="G9558" t="s">
        <v>5568</v>
      </c>
      <c r="H9558">
             </c>
      <c r="I9558" t="s">
        <v>14</v>
      </c>
      <c r="J9558" t="s">
        <v>99</v>
      </c>
      <c r="K9558" t="s">
        <v>121</v>
      </c>
      <c r="L9558" t="s">
        <v>20</v>
      </c>
      <c r="M9558" t="s">
        <v>18594</v>
      </c>
      <c r="N9558" t="s">
        <v>14</v>
      </c>
    </row>
    <row r="9559" x14ac:dyDescent="0.25">
      <c r="A9559" t="n">
        <v>24</v>
      </c>
      <c r="B9559" t="s">
        <v>14</v>
      </c>
      <c r="C9559" t="s">
        <v>15</v>
      </c>
      <c r="D9559" s="2" t="s">
        <f>=HYPERLINK("https://main.knesset.gov.il/APPS/legislation/main/bills/2162013", "פרק ו' (היוועדות חזותית) מתוך הצעת חוק התכנית הכלכלית (תיקוני חקיקה ליישום המדיניות הכלכלית לשנות התקציב 2021 ו-2022), התשפ""א-2021")</f>
        <v>18596</v>
      </c>
      <c r="E9559" t="s">
        <v>18596</v>
      </c>
      <c r="F9559" t="s">
        <v>14</v>
      </c>
      <c r="G9559" t="s">
        <v>5568</v>
      </c>
      <c r="H9559">
             </c>
      <c r="I9559" t="s">
        <v>14</v>
      </c>
      <c r="J9559" t="s">
        <v>99</v>
      </c>
      <c r="K9559" t="s">
        <v>121</v>
      </c>
      <c r="L9559" t="s">
        <v>20</v>
      </c>
      <c r="M9559" t="s">
        <v>18594</v>
      </c>
      <c r="N9559" t="s">
        <v>14</v>
      </c>
    </row>
    <row r="9560" x14ac:dyDescent="0.25">
      <c r="A9560" t="n">
        <v>24</v>
      </c>
      <c r="B9560" t="s">
        <v>14</v>
      </c>
      <c r="C9560" t="s">
        <v>15</v>
      </c>
      <c r="D9560" s="2" t="s">
        <f>=HYPERLINK("https://main.knesset.gov.il/APPS/legislation/main/bills/2162010", "פרק י""ז (מס גודש) מתוך הצעת חוק התכנית הכלכלית (תיקוני חקיקה ליישום המדיניות הכלכלית לשנות התקציב 2021 ו-2022), התשפ""א-2021")</f>
        <v>18597</v>
      </c>
      <c r="E9560" t="s">
        <v>18597</v>
      </c>
      <c r="F9560" t="s">
        <v>14</v>
      </c>
      <c r="G9560" t="s">
        <v>5568</v>
      </c>
      <c r="H9560">
             </c>
      <c r="I9560" t="s">
        <v>14</v>
      </c>
      <c r="J9560" t="s">
        <v>99</v>
      </c>
      <c r="K9560" t="s">
        <v>121</v>
      </c>
      <c r="L9560" t="s">
        <v>20</v>
      </c>
      <c r="M9560" t="s">
        <v>18594</v>
      </c>
      <c r="N9560" t="s">
        <v>14</v>
      </c>
    </row>
    <row r="9561" x14ac:dyDescent="0.25">
      <c r="A9561" t="n">
        <v>24</v>
      </c>
      <c r="B9561" t="s">
        <v>14</v>
      </c>
      <c r="C9561" t="s">
        <v>15</v>
      </c>
      <c r="D9561" s="2" t="s">
        <f>=HYPERLINK("https://main.knesset.gov.il/APPS/legislation/main/bills/2162008", "פרק ה' (צמצום פערים מגדריים בשוק העבודה והעלאת גיל הפרישה לנשים) מתוך הצעת חוק התכנית הכלכלית (תיקוני חקיקה ליישום המדיניות הכלכלית לשנות התקציב 2021 ו-2022), התשפ""א-2021")</f>
        <v>18598</v>
      </c>
      <c r="E9561" t="s">
        <v>18598</v>
      </c>
      <c r="F9561" t="s">
        <v>14</v>
      </c>
      <c r="G9561" t="s">
        <v>5568</v>
      </c>
      <c r="H9561">
             </c>
      <c r="I9561" t="s">
        <v>14</v>
      </c>
      <c r="J9561" t="s">
        <v>99</v>
      </c>
      <c r="K9561" t="s">
        <v>121</v>
      </c>
      <c r="L9561" t="s">
        <v>20</v>
      </c>
      <c r="M9561" t="s">
        <v>18594</v>
      </c>
      <c r="N9561" t="s">
        <v>14</v>
      </c>
    </row>
    <row r="9562" x14ac:dyDescent="0.25">
      <c r="A9562" t="n">
        <v>24</v>
      </c>
      <c r="B9562" t="s">
        <v>14</v>
      </c>
      <c r="C9562" t="s">
        <v>15</v>
      </c>
      <c r="D9562" s="2" t="s">
        <f>=HYPERLINK("https://main.knesset.gov.il/APPS/legislation/main/bills/2162038", "פרק ט' (ביטוח לאומי), רק סעיפים 20-19, מתוך הצעת חוק ההתייעלות הכלכלית (תיקוני חקיקה להשגת יעדי התקציב לשנות התקציב 2021 ו-2022), התשפ""א-2021")</f>
        <v>18599</v>
      </c>
      <c r="E9562" t="s">
        <v>18599</v>
      </c>
      <c r="F9562" t="s">
        <v>14</v>
      </c>
      <c r="G9562" t="s">
        <v>5568</v>
      </c>
      <c r="H9562">
             </c>
      <c r="I9562" t="s">
        <v>14</v>
      </c>
      <c r="J9562" t="s">
        <v>99</v>
      </c>
      <c r="K9562" t="s">
        <v>121</v>
      </c>
      <c r="L9562" t="s">
        <v>20</v>
      </c>
      <c r="M9562" t="s">
        <v>18594</v>
      </c>
      <c r="N9562" t="s">
        <v>14</v>
      </c>
    </row>
    <row r="9563" x14ac:dyDescent="0.25">
      <c r="A9563" t="n">
        <v>24</v>
      </c>
      <c r="B9563" t="s">
        <v>14</v>
      </c>
      <c r="C9563" t="s">
        <v>15</v>
      </c>
      <c r="D9563" s="2" t="s">
        <f>=HYPERLINK("https://main.knesset.gov.il/APPS/legislation/main/bills/2162039", "פרק י' (שונות), סעיפים 32-30 ו-34 (רשות הטבע והגנים, השכר הממוצע וביטוח לאומי מתוך הצעת חוק ההתייעלות הכלכלית (תיקוני חקיקה להשגת יעדי התקציב לשנות התקציב 2021 ו-2022), התשפ""א-2021")</f>
        <v>18600</v>
      </c>
      <c r="E9563" t="s">
        <v>18600</v>
      </c>
      <c r="F9563" t="s">
        <v>14</v>
      </c>
      <c r="G9563" t="s">
        <v>5568</v>
      </c>
      <c r="H9563">
             </c>
      <c r="I9563" t="s">
        <v>14</v>
      </c>
      <c r="J9563" t="s">
        <v>99</v>
      </c>
      <c r="K9563" t="s">
        <v>121</v>
      </c>
      <c r="L9563" t="s">
        <v>20</v>
      </c>
      <c r="M9563" t="s">
        <v>18594</v>
      </c>
      <c r="N9563" t="s">
        <v>14</v>
      </c>
    </row>
    <row r="9564" x14ac:dyDescent="0.25">
      <c r="A9564" t="n">
        <v>24</v>
      </c>
      <c r="B9564" t="s">
        <v>14</v>
      </c>
      <c r="C9564" t="s">
        <v>15</v>
      </c>
      <c r="D9564" s="2" t="s">
        <f>=HYPERLINK("https://main.knesset.gov.il/APPS/legislation/main/bills/2162035", "פרק ה' (הבטחת היציבות בתשואות קרנות הפנסיה) מתוך הצעת חוק ההתייעלות הכלכלית (תיקוני חקיקה להשגת יעדי התקציב לשנות התקציב 2021 ו-2022), התשפ""א-2021")</f>
        <v>18601</v>
      </c>
      <c r="E9564" t="s">
        <v>18601</v>
      </c>
      <c r="F9564" t="s">
        <v>14</v>
      </c>
      <c r="G9564" t="s">
        <v>5568</v>
      </c>
      <c r="H9564">
             </c>
      <c r="I9564" t="s">
        <v>14</v>
      </c>
      <c r="J9564" t="s">
        <v>99</v>
      </c>
      <c r="K9564" t="s">
        <v>121</v>
      </c>
      <c r="L9564" t="s">
        <v>20</v>
      </c>
      <c r="M9564" t="s">
        <v>18594</v>
      </c>
      <c r="N9564" t="s">
        <v>14</v>
      </c>
    </row>
    <row r="9565" x14ac:dyDescent="0.25">
      <c r="A9565" t="n">
        <v>24</v>
      </c>
      <c r="B9565" t="s">
        <v>14</v>
      </c>
      <c r="C9565" t="s">
        <v>15</v>
      </c>
      <c r="D9565" s="2" t="s">
        <f>=HYPERLINK("https://main.knesset.gov.il/APPS/legislation/main/bills/2162036", "פרק ו' (מיסוי הכנסות צבורות) מתוך הצעת חוק ההתייעלות הכלכלית (תיקוני חקיקה להשגת יעדי התקציב לשנות התקציב 2021 ו-2022), התשפ""א-2021")</f>
        <v>18602</v>
      </c>
      <c r="E9565" t="s">
        <v>18602</v>
      </c>
      <c r="F9565" t="s">
        <v>14</v>
      </c>
      <c r="G9565" t="s">
        <v>5568</v>
      </c>
      <c r="H9565">
             </c>
      <c r="I9565" t="s">
        <v>14</v>
      </c>
      <c r="J9565" t="s">
        <v>99</v>
      </c>
      <c r="K9565" t="s">
        <v>121</v>
      </c>
      <c r="L9565" t="s">
        <v>20</v>
      </c>
      <c r="M9565" t="s">
        <v>18594</v>
      </c>
      <c r="N9565" t="s">
        <v>14</v>
      </c>
    </row>
    <row r="9566" x14ac:dyDescent="0.25">
      <c r="A9566" t="n">
        <v>24</v>
      </c>
      <c r="B9566" t="s">
        <v>14</v>
      </c>
      <c r="C9566" t="s">
        <v>15</v>
      </c>
      <c r="D9566" s="2" t="s">
        <f>=HYPERLINK("https://main.knesset.gov.il/APPS/legislation/main/bills/2162041", "פרק ב' (התחשבנות בין בתי חולים לקופות חולים) מתוך הצעת חוק ההתייעלות הכלכלית (תיקוני חקיקה להשגת יעדי התקציב לשנות התקציב 2021 ו-2022), התשפ""א-2021")</f>
        <v>18603</v>
      </c>
      <c r="E9566" t="s">
        <v>18603</v>
      </c>
      <c r="F9566" t="s">
        <v>14</v>
      </c>
      <c r="G9566" t="s">
        <v>5568</v>
      </c>
      <c r="H9566">
             </c>
      <c r="I9566" t="s">
        <v>14</v>
      </c>
      <c r="J9566" t="s">
        <v>99</v>
      </c>
      <c r="K9566" t="s">
        <v>121</v>
      </c>
      <c r="L9566" t="s">
        <v>20</v>
      </c>
      <c r="M9566" t="s">
        <v>18594</v>
      </c>
      <c r="N9566" t="s">
        <v>14</v>
      </c>
    </row>
    <row r="9567" x14ac:dyDescent="0.25">
      <c r="A9567" t="n">
        <v>24</v>
      </c>
      <c r="B9567" t="s">
        <v>14</v>
      </c>
      <c r="C9567" t="s">
        <v>15</v>
      </c>
      <c r="D9567" s="2" t="s">
        <f>=HYPERLINK("https://main.knesset.gov.il/APPS/legislation/main/bills/2162037", "פרק ח' (מיסוי שותפויות וקרנות השקעה) מתוך הצעת חוק ההתייעלות הכלכלית (תיקוני חקיקה להשגת יעדי התקציב לשנות התקציב 2021 ו-2022), התשפ""א-2021")</f>
        <v>18604</v>
      </c>
      <c r="E9567" t="s">
        <v>18604</v>
      </c>
      <c r="F9567" t="s">
        <v>14</v>
      </c>
      <c r="G9567" t="s">
        <v>5568</v>
      </c>
      <c r="H9567">
             </c>
      <c r="I9567" t="s">
        <v>14</v>
      </c>
      <c r="J9567" t="s">
        <v>18</v>
      </c>
      <c r="K9567" t="s">
        <v>85</v>
      </c>
      <c r="L9567" t="s">
        <v>20</v>
      </c>
      <c r="M9567" t="s">
        <v>18594</v>
      </c>
      <c r="N9567" t="s">
        <v>14</v>
      </c>
    </row>
    <row r="9568" x14ac:dyDescent="0.25">
      <c r="A9568" t="n">
        <v>24</v>
      </c>
      <c r="B9568" t="s">
        <v>14</v>
      </c>
      <c r="C9568" t="s">
        <v>15</v>
      </c>
      <c r="D9568" s="2" t="s">
        <f>=HYPERLINK("https://main.knesset.gov.il/APPS/legislation/main/bills/2162034", "פרק ד' (מסים) מתוך הצעת חוק ההתייעלות הכלכלית (תיקוני חקיקה להשגת יעדי התקציב לשנות התקציב 2021 ו-2022), התשפ""א-2021")</f>
        <v>18605</v>
      </c>
      <c r="E9568" t="s">
        <v>18605</v>
      </c>
      <c r="F9568" t="s">
        <v>14</v>
      </c>
      <c r="G9568" t="s">
        <v>5568</v>
      </c>
      <c r="H9568">
             </c>
      <c r="I9568" t="s">
        <v>14</v>
      </c>
      <c r="J9568" t="s">
        <v>18</v>
      </c>
      <c r="K9568" t="s">
        <v>85</v>
      </c>
      <c r="L9568" t="s">
        <v>20</v>
      </c>
      <c r="M9568" t="s">
        <v>18594</v>
      </c>
      <c r="N9568" t="s">
        <v>14</v>
      </c>
    </row>
    <row r="9569" x14ac:dyDescent="0.25">
      <c r="A9569" t="n">
        <v>24</v>
      </c>
      <c r="B9569" t="s">
        <v>14</v>
      </c>
      <c r="C9569" t="s">
        <v>15</v>
      </c>
      <c r="D9569" s="2" t="s">
        <f>=HYPERLINK("https://main.knesset.gov.il/APPS/legislation/main/bills/2162029", "פרק י""ח (תכנון ובנייה), סימן א' - היתר שימוש להפעלת מעון מתוך הצעת חוק התכנית הכלכלית (תיקוני חקיקה ליישום המדיניות הכלכלית לשנות התקציב 2021 ו-2022), התשפ""א-2021")</f>
        <v>18606</v>
      </c>
      <c r="E9569" t="s">
        <v>18606</v>
      </c>
      <c r="F9569" t="s">
        <v>14</v>
      </c>
      <c r="G9569" t="s">
        <v>5568</v>
      </c>
      <c r="H9569">
             </c>
      <c r="I9569" t="s">
        <v>14</v>
      </c>
      <c r="J9569" t="s">
        <v>99</v>
      </c>
      <c r="K9569" t="s">
        <v>121</v>
      </c>
      <c r="L9569" t="s">
        <v>20</v>
      </c>
      <c r="M9569" t="s">
        <v>18607</v>
      </c>
      <c r="N9569" t="s">
        <v>14</v>
      </c>
    </row>
    <row r="9570" x14ac:dyDescent="0.25">
      <c r="A9570" t="n">
        <v>24</v>
      </c>
      <c r="B9570" t="s">
        <v>14</v>
      </c>
      <c r="C9570" t="s">
        <v>15</v>
      </c>
      <c r="D9570" s="2" t="s">
        <f>=HYPERLINK("https://main.knesset.gov.il/APPS/legislation/main/bills/2162043", "פרק ט' (ביטוח לאומי), למעט סעיפים 20-19 מתוך הצעת חוק ההתייעלות הכלכלית (תיקוני חקיקה להשגת יעדי התקציב לשנות התקציב 2021 ו-2022), התשפ""א-2021")</f>
        <v>18608</v>
      </c>
      <c r="E9570" t="s">
        <v>18608</v>
      </c>
      <c r="F9570" t="s">
        <v>14</v>
      </c>
      <c r="G9570" t="s">
        <v>5568</v>
      </c>
      <c r="H9570">
             </c>
      <c r="I9570" t="s">
        <v>14</v>
      </c>
      <c r="J9570" t="s">
        <v>99</v>
      </c>
      <c r="K9570" t="s">
        <v>121</v>
      </c>
      <c r="L9570" t="s">
        <v>20</v>
      </c>
      <c r="M9570" t="s">
        <v>18607</v>
      </c>
      <c r="N9570" t="s">
        <v>14</v>
      </c>
    </row>
    <row r="9571" x14ac:dyDescent="0.25">
      <c r="A9571" t="n">
        <v>24</v>
      </c>
      <c r="B9571" t="s">
        <v>14</v>
      </c>
      <c r="C9571" t="s">
        <v>22</v>
      </c>
      <c r="D9571" s="2" t="s">
        <f>=HYPERLINK("https://main.knesset.gov.il/APPS/legislation/main/bills/2161055", "הצעת חוק התרבות והאמנות (תיקון - הפחתה או שלילה של תמיכה בשל פעילות נגד עקרונות המדינה), התשפ""א-2021")</f>
        <v>18609</v>
      </c>
      <c r="E9571" t="s">
        <v>18609</v>
      </c>
      <c r="F9571" t="s">
        <v>18610</v>
      </c>
      <c r="G9571" t="s">
        <v>14</v>
      </c>
      <c r="H9571">
             </c>
      <c r="I9571" t="s">
        <v>14</v>
      </c>
      <c r="J9571" t="s">
        <v>55</v>
      </c>
      <c r="K9571" t="s">
        <v>14</v>
      </c>
      <c r="L9571" t="s">
        <v>20</v>
      </c>
      <c r="M9571" t="s">
        <v>18607</v>
      </c>
      <c r="N9571" t="s">
        <v>14</v>
      </c>
    </row>
    <row r="9572" x14ac:dyDescent="0.25">
      <c r="A9572" t="n">
        <v>24</v>
      </c>
      <c r="B9572" t="s">
        <v>14</v>
      </c>
      <c r="C9572" t="s">
        <v>22</v>
      </c>
      <c r="D9572" s="2" t="s">
        <f>=HYPERLINK("https://main.knesset.gov.il/APPS/legislation/main/bills/2159851", "הצעת חוק שירות ביטחון (תיקון - פטור לנשים משירות ביטחון), התשפ""א-2021")</f>
        <v>18611</v>
      </c>
      <c r="E9572" t="s">
        <v>18611</v>
      </c>
      <c r="F9572" t="s">
        <v>18612</v>
      </c>
      <c r="G9572" t="s">
        <v>14</v>
      </c>
      <c r="H9572">
             </c>
      <c r="I9572" t="s">
        <v>14</v>
      </c>
      <c r="J9572" t="s">
        <v>55</v>
      </c>
      <c r="K9572" t="s">
        <v>14</v>
      </c>
      <c r="L9572" t="s">
        <v>20</v>
      </c>
      <c r="M9572" t="s">
        <v>18607</v>
      </c>
      <c r="N9572" t="s">
        <v>14</v>
      </c>
    </row>
    <row r="9573" x14ac:dyDescent="0.25">
      <c r="A9573" t="n">
        <v>24</v>
      </c>
      <c r="B9573" t="s">
        <v>14</v>
      </c>
      <c r="C9573" t="s">
        <v>22</v>
      </c>
      <c r="D9573" s="2" t="s">
        <f>=HYPERLINK("https://main.knesset.gov.il/APPS/legislation/main/bills/2156830", "הצעת חוק להרחבת הייצוג ההולם של בני האוכלוסייה החרדית ברשויות ובתאגידים ציבוריים (תיקוני חקיקה), התשפ""א-2021")</f>
        <v>18613</v>
      </c>
      <c r="E9573" t="s">
        <v>18613</v>
      </c>
      <c r="F9573" t="s">
        <v>18614</v>
      </c>
      <c r="G9573" t="s">
        <v>14</v>
      </c>
      <c r="H9573">
             </c>
      <c r="I9573" t="s">
        <v>14</v>
      </c>
      <c r="J9573" t="s">
        <v>55</v>
      </c>
      <c r="K9573" t="s">
        <v>14</v>
      </c>
      <c r="L9573" t="s">
        <v>20</v>
      </c>
      <c r="M9573" t="s">
        <v>18607</v>
      </c>
      <c r="N9573" t="s">
        <v>14</v>
      </c>
    </row>
    <row r="9574" x14ac:dyDescent="0.25">
      <c r="A9574" t="n">
        <v>24</v>
      </c>
      <c r="B9574" t="s">
        <v>14</v>
      </c>
      <c r="C9574" t="s">
        <v>22</v>
      </c>
      <c r="D9574" s="2" t="s">
        <f>=HYPERLINK("https://main.knesset.gov.il/APPS/legislation/main/bills/2158289", "הצעת חוק יישום הסכם הביניים בדבר הגדה המערבית ורצועת עזה (הגבלת פעילות) (תיקון - עונשין על קיום פעילות וחובות דיווח לכנסת), התשפ""א-2021")</f>
        <v>18615</v>
      </c>
      <c r="E9574" t="s">
        <v>18615</v>
      </c>
      <c r="F9574" t="s">
        <v>18616</v>
      </c>
      <c r="G9574" t="s">
        <v>14</v>
      </c>
      <c r="H9574">
             </c>
      <c r="I9574" t="s">
        <v>14</v>
      </c>
      <c r="J9574" t="s">
        <v>55</v>
      </c>
      <c r="K9574" t="s">
        <v>14</v>
      </c>
      <c r="L9574" t="s">
        <v>20</v>
      </c>
      <c r="M9574" t="s">
        <v>18607</v>
      </c>
      <c r="N9574" t="s">
        <v>14</v>
      </c>
    </row>
    <row r="9575" x14ac:dyDescent="0.25">
      <c r="A9575" t="n">
        <v>24</v>
      </c>
      <c r="B9575" t="s">
        <v>14</v>
      </c>
      <c r="C9575" t="s">
        <v>22</v>
      </c>
      <c r="D9575" s="2" t="s">
        <f>=HYPERLINK("https://main.knesset.gov.il/APPS/legislation/main/bills/2158440", "הצעת חוק האזרחות (תיקון - ביטול אזרחות בגין מעשה אלימות בזמן מצב מיוחד בעורף), התשפ""א-2021")</f>
        <v>18617</v>
      </c>
      <c r="E9575" t="s">
        <v>18617</v>
      </c>
      <c r="F9575" t="s">
        <v>18618</v>
      </c>
      <c r="G9575" t="s">
        <v>14</v>
      </c>
      <c r="H9575">
             </c>
      <c r="I9575" t="s">
        <v>14</v>
      </c>
      <c r="J9575" t="s">
        <v>55</v>
      </c>
      <c r="K9575" t="s">
        <v>14</v>
      </c>
      <c r="L9575" t="s">
        <v>20</v>
      </c>
      <c r="M9575" t="s">
        <v>18607</v>
      </c>
      <c r="N9575" t="s">
        <v>14</v>
      </c>
    </row>
    <row r="9576" x14ac:dyDescent="0.25">
      <c r="A9576" t="n">
        <v>24</v>
      </c>
      <c r="B9576" t="s">
        <v>14</v>
      </c>
      <c r="C9576" t="s">
        <v>22</v>
      </c>
      <c r="D9576" s="2" t="s">
        <f>=HYPERLINK("https://main.knesset.gov.il/APPS/legislation/main/bills/2156612", "הצעת חוק העונשין (תיקון - עבירת פיתוי קטין), התשפ""א-2021")</f>
        <v>18619</v>
      </c>
      <c r="E9576" t="s">
        <v>18619</v>
      </c>
      <c r="F9576" t="s">
        <v>18620</v>
      </c>
      <c r="G9576" t="s">
        <v>14</v>
      </c>
      <c r="H9576">
             </c>
      <c r="I9576" t="s">
        <v>14</v>
      </c>
      <c r="J9576" t="s">
        <v>343</v>
      </c>
      <c r="K9576" t="s">
        <v>14</v>
      </c>
      <c r="L9576" t="s">
        <v>20</v>
      </c>
      <c r="M9576" t="s">
        <v>18607</v>
      </c>
      <c r="N9576" t="s">
        <v>14</v>
      </c>
    </row>
    <row r="9577" x14ac:dyDescent="0.25">
      <c r="A9577" t="n">
        <v>24</v>
      </c>
      <c r="B9577" t="s">
        <v>14</v>
      </c>
      <c r="C9577" t="s">
        <v>22</v>
      </c>
      <c r="D9577" s="2" t="s">
        <f>=HYPERLINK("https://main.knesset.gov.il/APPS/legislation/main/bills/2157418", "הצעת חוק ארוחה יומית לתלמיד (תיקון - ארוחת כריך יומית בבית ספר על יסודי), התשפ""א-2021")</f>
        <v>18621</v>
      </c>
      <c r="E9577" t="s">
        <v>18621</v>
      </c>
      <c r="F9577" t="s">
        <v>18622</v>
      </c>
      <c r="G9577" t="s">
        <v>14</v>
      </c>
      <c r="H9577">
             </c>
      <c r="I9577" t="s">
        <v>14</v>
      </c>
      <c r="J9577" t="s">
        <v>55</v>
      </c>
      <c r="K9577" t="s">
        <v>14</v>
      </c>
      <c r="L9577" t="s">
        <v>20</v>
      </c>
      <c r="M9577" t="s">
        <v>18607</v>
      </c>
      <c r="N9577" t="s">
        <v>14</v>
      </c>
    </row>
    <row r="9578" x14ac:dyDescent="0.25">
      <c r="A9578" t="n">
        <v>24</v>
      </c>
      <c r="B9578" t="s">
        <v>14</v>
      </c>
      <c r="C9578" t="s">
        <v>22</v>
      </c>
      <c r="D9578" s="2" t="s">
        <f>=HYPERLINK("https://main.knesset.gov.il/APPS/legislation/main/bills/2156134", "הצעת חוק הרשות הלאומית למאבק בעוני, התשפ""א-2021")</f>
        <v>18623</v>
      </c>
      <c r="E9578" t="s">
        <v>18623</v>
      </c>
      <c r="F9578" t="s">
        <v>18624</v>
      </c>
      <c r="G9578" t="s">
        <v>14</v>
      </c>
      <c r="H9578">
             </c>
      <c r="I9578" t="s">
        <v>14</v>
      </c>
      <c r="J9578" t="s">
        <v>55</v>
      </c>
      <c r="K9578" t="s">
        <v>14</v>
      </c>
      <c r="L9578" t="s">
        <v>20</v>
      </c>
      <c r="M9578" t="s">
        <v>18607</v>
      </c>
      <c r="N9578" t="s">
        <v>14</v>
      </c>
    </row>
    <row r="9579" x14ac:dyDescent="0.25">
      <c r="A9579" t="n">
        <v>24</v>
      </c>
      <c r="B9579" t="s">
        <v>14</v>
      </c>
      <c r="C9579" t="s">
        <v>22</v>
      </c>
      <c r="D9579" s="2" t="s">
        <f>=HYPERLINK("https://main.knesset.gov.il/APPS/legislation/main/bills/2156141", "הצעת חוק הפרטת גלי צה""ל, התשפ""א-2021")</f>
        <v>18625</v>
      </c>
      <c r="E9579" t="s">
        <v>18625</v>
      </c>
      <c r="F9579" t="s">
        <v>18626</v>
      </c>
      <c r="G9579" t="s">
        <v>14</v>
      </c>
      <c r="H9579">
             </c>
      <c r="I9579" t="s">
        <v>14</v>
      </c>
      <c r="J9579" t="s">
        <v>55</v>
      </c>
      <c r="K9579" t="s">
        <v>14</v>
      </c>
      <c r="L9579" t="s">
        <v>20</v>
      </c>
      <c r="M9579" t="s">
        <v>18607</v>
      </c>
      <c r="N9579" t="s">
        <v>14</v>
      </c>
    </row>
    <row r="9580" x14ac:dyDescent="0.25">
      <c r="A9580" t="n">
        <v>24</v>
      </c>
      <c r="B9580" t="s">
        <v>14</v>
      </c>
      <c r="C9580" t="s">
        <v>15</v>
      </c>
      <c r="D9580" s="2" t="s">
        <f>=HYPERLINK("https://main.knesset.gov.il/APPS/legislation/main/bills/2162023", "פרק ח' (כבאות) מתוך הצעת חוק התכנית הכלכלית (תיקוני חקיקה ליישום המדיניות הכלכלית לשנות התקציב 2021 ו-2022), התשפ""א-2021")</f>
        <v>18627</v>
      </c>
      <c r="E9580" t="s">
        <v>18627</v>
      </c>
      <c r="F9580" t="s">
        <v>14</v>
      </c>
      <c r="G9580" t="s">
        <v>5568</v>
      </c>
      <c r="H9580">
             </c>
      <c r="I9580" t="s">
        <v>14</v>
      </c>
      <c r="J9580" t="s">
        <v>99</v>
      </c>
      <c r="K9580" t="s">
        <v>121</v>
      </c>
      <c r="L9580" t="s">
        <v>20</v>
      </c>
      <c r="M9580" t="s">
        <v>18628</v>
      </c>
      <c r="N9580" t="s">
        <v>14</v>
      </c>
    </row>
    <row r="9581" x14ac:dyDescent="0.25">
      <c r="A9581" t="n">
        <v>24</v>
      </c>
      <c r="B9581" t="s">
        <v>14</v>
      </c>
      <c r="C9581" t="s">
        <v>15</v>
      </c>
      <c r="D9581" s="2" t="s">
        <f>=HYPERLINK("https://main.knesset.gov.il/APPS/legislation/main/bills/2162031", "פרק כ""א (רכבת תחתית (מטרו)), למעט סימן ג' בפרק ב' (המועצה המאסדרת) מתוך הצעת חוק התכנית הכלכלית (תיקוני חקיקה ליישום המדיניות הכלכלית לשנות התקציב 2021 ו-2022), התשפ""א-2021")</f>
        <v>18629</v>
      </c>
      <c r="E9581" t="s">
        <v>18629</v>
      </c>
      <c r="F9581" t="s">
        <v>14</v>
      </c>
      <c r="G9581" t="s">
        <v>5568</v>
      </c>
      <c r="H9581">
             </c>
      <c r="I9581" t="s">
        <v>14</v>
      </c>
      <c r="J9581" t="s">
        <v>99</v>
      </c>
      <c r="K9581" t="s">
        <v>121</v>
      </c>
      <c r="L9581" t="s">
        <v>20</v>
      </c>
      <c r="M9581" t="s">
        <v>18630</v>
      </c>
      <c r="N9581" t="s">
        <v>14</v>
      </c>
    </row>
    <row r="9582" x14ac:dyDescent="0.25">
      <c r="A9582" t="n">
        <v>24</v>
      </c>
      <c r="B9582" t="s">
        <v>14</v>
      </c>
      <c r="C9582" t="s">
        <v>15</v>
      </c>
      <c r="D9582" s="2" t="s">
        <f>=HYPERLINK("https://main.knesset.gov.il/APPS/legislation/main/bills/2162019", "פרק י""ד (עבודות פיתוח בתוכנית למגורים) מתוך הצעת חוק התכנית הכלכלית (תיקוני חקיקה ליישום המדיניות הכלכלית לשנות התקציב 2021 ו-2022), התשפ""א-2021")</f>
        <v>18631</v>
      </c>
      <c r="E9582" t="s">
        <v>18631</v>
      </c>
      <c r="F9582" t="s">
        <v>14</v>
      </c>
      <c r="G9582" t="s">
        <v>5568</v>
      </c>
      <c r="H9582">
             </c>
      <c r="I9582" t="s">
        <v>14</v>
      </c>
      <c r="J9582" t="s">
        <v>18</v>
      </c>
      <c r="K9582" t="s">
        <v>46</v>
      </c>
      <c r="L9582" t="s">
        <v>20</v>
      </c>
      <c r="M9582" t="s">
        <v>18630</v>
      </c>
      <c r="N9582" t="s">
        <v>14</v>
      </c>
    </row>
    <row r="9583" x14ac:dyDescent="0.25">
      <c r="A9583" t="n">
        <v>24</v>
      </c>
      <c r="B9583" t="s">
        <v>14</v>
      </c>
      <c r="C9583" t="s">
        <v>15</v>
      </c>
      <c r="D9583" s="2" t="s">
        <f>=HYPERLINK("https://main.knesset.gov.il/APPS/legislation/main/bills/2158468", "חוק לתיקון פקודת המכרות (מס' 13), התשפ""ב-2021")</f>
        <v>18632</v>
      </c>
      <c r="E9583" t="s">
        <v>18632</v>
      </c>
      <c r="F9583" t="s">
        <v>14</v>
      </c>
      <c r="G9583" t="s">
        <v>18633</v>
      </c>
      <c r="H9583" t="n">
        <v>2930</v>
      </c>
      <c r="I9583" t="s">
        <v>14</v>
      </c>
      <c r="J9583" t="s">
        <v>91</v>
      </c>
      <c r="K9583" t="s">
        <v>19</v>
      </c>
      <c r="L9583" t="s">
        <v>20</v>
      </c>
      <c r="M9583" t="s">
        <v>18630</v>
      </c>
      <c r="N9583" t="s">
        <v>18634</v>
      </c>
    </row>
    <row r="9584" x14ac:dyDescent="0.25">
      <c r="A9584" t="n">
        <v>24</v>
      </c>
      <c r="B9584" t="s">
        <v>14</v>
      </c>
      <c r="C9584" t="s">
        <v>22</v>
      </c>
      <c r="D9584" s="2" t="s">
        <f>=HYPERLINK("https://main.knesset.gov.il/APPS/legislation/main/bills/2162660", "הצעת חוק ליישוב תחת איום מיידי (הוראת שעה), התשפ""ב-2021")</f>
        <v>18635</v>
      </c>
      <c r="E9584" t="s">
        <v>18635</v>
      </c>
      <c r="F9584" t="s">
        <v>18636</v>
      </c>
      <c r="G9584" t="s">
        <v>14</v>
      </c>
      <c r="H9584">
             </c>
      <c r="I9584" t="s">
        <v>14</v>
      </c>
      <c r="J9584" t="s">
        <v>141</v>
      </c>
      <c r="K9584" t="s">
        <v>14</v>
      </c>
      <c r="L9584" t="s">
        <v>20</v>
      </c>
      <c r="M9584" t="s">
        <v>18630</v>
      </c>
      <c r="N9584" t="s">
        <v>14</v>
      </c>
    </row>
    <row r="9585" x14ac:dyDescent="0.25">
      <c r="A9585" t="n">
        <v>24</v>
      </c>
      <c r="B9585" t="s">
        <v>14</v>
      </c>
      <c r="C9585" t="s">
        <v>22</v>
      </c>
      <c r="D9585" s="2" t="s">
        <f>=HYPERLINK("https://main.knesset.gov.il/APPS/legislation/main/bills/2163174", "הצעת חוק לתיקון פקודת מס הכנסה (פטור ממס לגמלאים על תשלומי פנסיה), התשפ""ב-2021")</f>
        <v>18637</v>
      </c>
      <c r="E9585" t="s">
        <v>18637</v>
      </c>
      <c r="F9585" t="s">
        <v>18638</v>
      </c>
      <c r="G9585" t="s">
        <v>14</v>
      </c>
      <c r="H9585">
             </c>
      <c r="I9585" t="s">
        <v>14</v>
      </c>
      <c r="J9585" t="s">
        <v>141</v>
      </c>
      <c r="K9585" t="s">
        <v>14</v>
      </c>
      <c r="L9585" t="s">
        <v>20</v>
      </c>
      <c r="M9585" t="s">
        <v>18630</v>
      </c>
      <c r="N9585" t="s">
        <v>14</v>
      </c>
    </row>
    <row r="9586" x14ac:dyDescent="0.25">
      <c r="A9586" t="n">
        <v>24</v>
      </c>
      <c r="B9586" t="s">
        <v>14</v>
      </c>
      <c r="C9586" t="s">
        <v>22</v>
      </c>
      <c r="D9586" s="2" t="s">
        <f>=HYPERLINK("https://main.knesset.gov.il/APPS/legislation/main/bills/2163144", "הצעת חוק העונשין (תיקון - תקיפת נהג אוטובוס), התשפ""ב-2021")</f>
        <v>18639</v>
      </c>
      <c r="E9586" t="s">
        <v>18639</v>
      </c>
      <c r="F9586" t="s">
        <v>18640</v>
      </c>
      <c r="G9586" t="s">
        <v>14</v>
      </c>
      <c r="H9586">
             </c>
      <c r="I9586" t="s">
        <v>14</v>
      </c>
      <c r="J9586" t="s">
        <v>141</v>
      </c>
      <c r="K9586" t="s">
        <v>14</v>
      </c>
      <c r="L9586" t="s">
        <v>20</v>
      </c>
      <c r="M9586" t="s">
        <v>18630</v>
      </c>
      <c r="N9586" t="s">
        <v>14</v>
      </c>
    </row>
    <row r="9587" x14ac:dyDescent="0.25">
      <c r="A9587" t="n">
        <v>24</v>
      </c>
      <c r="B9587" t="s">
        <v>14</v>
      </c>
      <c r="C9587" t="s">
        <v>22</v>
      </c>
      <c r="D9587" s="2" t="s">
        <f>=HYPERLINK("https://main.knesset.gov.il/APPS/legislation/main/bills/2162824", "הצעת חוק ליצירת תחרות והגדלת זמינות האשראי, התשפ""ב-2021")</f>
        <v>18641</v>
      </c>
      <c r="E9587" t="s">
        <v>18641</v>
      </c>
      <c r="F9587" t="s">
        <v>18642</v>
      </c>
      <c r="G9587" t="s">
        <v>14</v>
      </c>
      <c r="H9587">
             </c>
      <c r="I9587" t="s">
        <v>14</v>
      </c>
      <c r="J9587" t="s">
        <v>141</v>
      </c>
      <c r="K9587" t="s">
        <v>14</v>
      </c>
      <c r="L9587" t="s">
        <v>20</v>
      </c>
      <c r="M9587" t="s">
        <v>18630</v>
      </c>
      <c r="N9587" t="s">
        <v>14</v>
      </c>
    </row>
    <row r="9588" x14ac:dyDescent="0.25">
      <c r="A9588" t="n">
        <v>24</v>
      </c>
      <c r="B9588" t="s">
        <v>14</v>
      </c>
      <c r="C9588" t="s">
        <v>22</v>
      </c>
      <c r="D9588" s="2" t="s">
        <f>=HYPERLINK("https://main.knesset.gov.il/APPS/legislation/main/bills/2163184", "הצעת חוק לתיקון פקודת מס הכנסה (הפקדות לקרן השתלמות לעצמאי), התשפ""ב-2021")</f>
        <v>18643</v>
      </c>
      <c r="E9588" t="s">
        <v>18643</v>
      </c>
      <c r="F9588" t="s">
        <v>18644</v>
      </c>
      <c r="G9588" t="s">
        <v>14</v>
      </c>
      <c r="H9588">
             </c>
      <c r="I9588" t="s">
        <v>14</v>
      </c>
      <c r="J9588" t="s">
        <v>141</v>
      </c>
      <c r="K9588" t="s">
        <v>14</v>
      </c>
      <c r="L9588" t="s">
        <v>20</v>
      </c>
      <c r="M9588" t="s">
        <v>18630</v>
      </c>
      <c r="N9588" t="s">
        <v>14</v>
      </c>
    </row>
    <row r="9589" x14ac:dyDescent="0.25">
      <c r="A9589" t="n">
        <v>24</v>
      </c>
      <c r="B9589" t="s">
        <v>14</v>
      </c>
      <c r="C9589" t="s">
        <v>22</v>
      </c>
      <c r="D9589" s="2" t="s">
        <f>=HYPERLINK("https://main.knesset.gov.il/APPS/legislation/main/bills/2163185", "הצעת חוק לתיקון פקודת מס הכנסה (ניכוי תשלומים לעצמאים), התשפ""ב-2021")</f>
        <v>18645</v>
      </c>
      <c r="E9589" t="s">
        <v>18645</v>
      </c>
      <c r="F9589" t="s">
        <v>18646</v>
      </c>
      <c r="G9589" t="s">
        <v>14</v>
      </c>
      <c r="H9589">
             </c>
      <c r="I9589" t="s">
        <v>14</v>
      </c>
      <c r="J9589" t="s">
        <v>141</v>
      </c>
      <c r="K9589" t="s">
        <v>14</v>
      </c>
      <c r="L9589" t="s">
        <v>20</v>
      </c>
      <c r="M9589" t="s">
        <v>18630</v>
      </c>
      <c r="N9589" t="s">
        <v>14</v>
      </c>
    </row>
    <row r="9590" x14ac:dyDescent="0.25">
      <c r="A9590" t="n">
        <v>24</v>
      </c>
      <c r="B9590" t="s">
        <v>14</v>
      </c>
      <c r="C9590" t="s">
        <v>22</v>
      </c>
      <c r="D9590" s="2" t="s">
        <f>=HYPERLINK("https://main.knesset.gov.il/APPS/legislation/main/bills/2157791", "הצעת חוק סיוע לקטינים נפגעי עבירות מין או אלימות (תיקון - טיפול נפשי לילדים נפגעי אלימות במשפחה או חשופים לאלימות במשפחה), התשפ""ב-2021")</f>
        <v>18647</v>
      </c>
      <c r="E9590" t="s">
        <v>18647</v>
      </c>
      <c r="F9590" t="s">
        <v>18648</v>
      </c>
      <c r="G9590" t="s">
        <v>14</v>
      </c>
      <c r="H9590">
             </c>
      <c r="I9590" t="s">
        <v>14</v>
      </c>
      <c r="J9590" t="s">
        <v>141</v>
      </c>
      <c r="K9590" t="s">
        <v>14</v>
      </c>
      <c r="L9590" t="s">
        <v>20</v>
      </c>
      <c r="M9590" t="s">
        <v>18630</v>
      </c>
      <c r="N9590" t="s">
        <v>14</v>
      </c>
    </row>
    <row r="9591" x14ac:dyDescent="0.25">
      <c r="A9591" t="n">
        <v>24</v>
      </c>
      <c r="B9591" t="s">
        <v>14</v>
      </c>
      <c r="C9591" t="s">
        <v>22</v>
      </c>
      <c r="D9591" s="2" t="s">
        <f>=HYPERLINK("https://main.knesset.gov.il/APPS/legislation/main/bills/2163181", "הצעת חוק הסדרים במשק המדינה (תיקוני חקיקה להשגת יעדי התקציב) (תיקון - הנחה מארנונה לעסק חדש בשנת פעילותו הראשונה), התשפ""ב-2021")</f>
        <v>18649</v>
      </c>
      <c r="E9591" t="s">
        <v>18649</v>
      </c>
      <c r="F9591" t="s">
        <v>18650</v>
      </c>
      <c r="G9591" t="s">
        <v>14</v>
      </c>
      <c r="H9591">
             </c>
      <c r="I9591" t="s">
        <v>14</v>
      </c>
      <c r="J9591" t="s">
        <v>141</v>
      </c>
      <c r="K9591" t="s">
        <v>14</v>
      </c>
      <c r="L9591" t="s">
        <v>20</v>
      </c>
      <c r="M9591" t="s">
        <v>18630</v>
      </c>
      <c r="N9591" t="s">
        <v>14</v>
      </c>
    </row>
    <row r="9592" x14ac:dyDescent="0.25">
      <c r="A9592" t="n">
        <v>24</v>
      </c>
      <c r="B9592" t="s">
        <v>14</v>
      </c>
      <c r="C9592" t="s">
        <v>22</v>
      </c>
      <c r="D9592" s="2" t="s">
        <f>=HYPERLINK("https://main.knesset.gov.il/APPS/legislation/main/bills/2163182", "הצעת חוק לתיקון פקודת מס הכנסה (הכרה בניכוי הפקדות לביטוח סיעודי), התשפ""ב-2021")</f>
        <v>18651</v>
      </c>
      <c r="E9592" t="s">
        <v>18651</v>
      </c>
      <c r="F9592" t="s">
        <v>18652</v>
      </c>
      <c r="G9592" t="s">
        <v>14</v>
      </c>
      <c r="H9592">
             </c>
      <c r="I9592" t="s">
        <v>14</v>
      </c>
      <c r="J9592" t="s">
        <v>141</v>
      </c>
      <c r="K9592" t="s">
        <v>14</v>
      </c>
      <c r="L9592" t="s">
        <v>20</v>
      </c>
      <c r="M9592" t="s">
        <v>18630</v>
      </c>
      <c r="N9592" t="s">
        <v>14</v>
      </c>
    </row>
    <row r="9593" x14ac:dyDescent="0.25">
      <c r="A9593" t="n">
        <v>24</v>
      </c>
      <c r="B9593" t="s">
        <v>14</v>
      </c>
      <c r="C9593" t="s">
        <v>22</v>
      </c>
      <c r="D9593" s="2" t="s">
        <f>=HYPERLINK("https://main.knesset.gov.il/APPS/legislation/main/bills/2163177", "הצעת חוק לתיקון פקודת מס הכנסה (הכרה בהוצאות אש""ל לעצמאים), התשפ""ב-2021")</f>
        <v>18152</v>
      </c>
      <c r="E9593" t="s">
        <v>18152</v>
      </c>
      <c r="F9593" t="s">
        <v>18653</v>
      </c>
      <c r="G9593" t="s">
        <v>14</v>
      </c>
      <c r="H9593">
             </c>
      <c r="I9593" t="s">
        <v>14</v>
      </c>
      <c r="J9593" t="s">
        <v>141</v>
      </c>
      <c r="K9593" t="s">
        <v>14</v>
      </c>
      <c r="L9593" t="s">
        <v>20</v>
      </c>
      <c r="M9593" t="s">
        <v>18630</v>
      </c>
      <c r="N9593" t="s">
        <v>14</v>
      </c>
    </row>
    <row r="9594" x14ac:dyDescent="0.25">
      <c r="A9594" t="n">
        <v>24</v>
      </c>
      <c r="B9594" t="s">
        <v>14</v>
      </c>
      <c r="C9594" t="s">
        <v>22</v>
      </c>
      <c r="D9594" s="2" t="s">
        <f>=HYPERLINK("https://main.knesset.gov.il/APPS/legislation/main/bills/2162820", "הצעת חוק הפיקוח על שירותים פיננסיים (שירותים פיננסיים מוסדרים) (תיקון - שירות להשוואת עלויות פיננסיות), התשפ""ב-2021")</f>
        <v>18654</v>
      </c>
      <c r="E9594" t="s">
        <v>18654</v>
      </c>
      <c r="F9594" t="s">
        <v>18655</v>
      </c>
      <c r="G9594" t="s">
        <v>14</v>
      </c>
      <c r="H9594">
             </c>
      <c r="I9594" t="s">
        <v>14</v>
      </c>
      <c r="J9594" t="s">
        <v>141</v>
      </c>
      <c r="K9594" t="s">
        <v>14</v>
      </c>
      <c r="L9594" t="s">
        <v>20</v>
      </c>
      <c r="M9594" t="s">
        <v>18630</v>
      </c>
      <c r="N9594" t="s">
        <v>14</v>
      </c>
    </row>
    <row r="9595" x14ac:dyDescent="0.25">
      <c r="A9595" t="n">
        <v>24</v>
      </c>
      <c r="B9595" t="s">
        <v>14</v>
      </c>
      <c r="C9595" t="s">
        <v>22</v>
      </c>
      <c r="D9595" s="2" t="s">
        <f>=HYPERLINK("https://main.knesset.gov.il/APPS/legislation/main/bills/2163137", "הצעת חוק לתיקון פקודת התעבורה (חובת התקנת לחצן מצוקה באוטובוס), התשפ""ב-2021")</f>
        <v>18656</v>
      </c>
      <c r="E9595" t="s">
        <v>18656</v>
      </c>
      <c r="F9595" t="s">
        <v>18657</v>
      </c>
      <c r="G9595" t="s">
        <v>14</v>
      </c>
      <c r="H9595">
             </c>
      <c r="I9595" t="s">
        <v>14</v>
      </c>
      <c r="J9595" t="s">
        <v>141</v>
      </c>
      <c r="K9595" t="s">
        <v>14</v>
      </c>
      <c r="L9595" t="s">
        <v>20</v>
      </c>
      <c r="M9595" t="s">
        <v>18630</v>
      </c>
      <c r="N9595" t="s">
        <v>14</v>
      </c>
    </row>
    <row r="9596" x14ac:dyDescent="0.25">
      <c r="A9596" t="n">
        <v>24</v>
      </c>
      <c r="B9596" t="s">
        <v>14</v>
      </c>
      <c r="C9596" t="s">
        <v>22</v>
      </c>
      <c r="D9596" s="2" t="s">
        <f>=HYPERLINK("https://main.knesset.gov.il/APPS/legislation/main/bills/2162892", "הצעת חוק סדר הדין הפלילי (תיקון - הגבלת משך זמן החקירה המשטרתית), התשפ""ב-2021")</f>
        <v>18658</v>
      </c>
      <c r="E9596" t="s">
        <v>18658</v>
      </c>
      <c r="F9596" t="s">
        <v>18659</v>
      </c>
      <c r="G9596" t="s">
        <v>14</v>
      </c>
      <c r="H9596">
             </c>
      <c r="I9596" t="s">
        <v>14</v>
      </c>
      <c r="J9596" t="s">
        <v>141</v>
      </c>
      <c r="K9596" t="s">
        <v>14</v>
      </c>
      <c r="L9596" t="s">
        <v>20</v>
      </c>
      <c r="M9596" t="s">
        <v>18630</v>
      </c>
      <c r="N9596" t="s">
        <v>14</v>
      </c>
    </row>
    <row r="9597" x14ac:dyDescent="0.25">
      <c r="A9597" t="n">
        <v>24</v>
      </c>
      <c r="B9597" t="s">
        <v>14</v>
      </c>
      <c r="C9597" t="s">
        <v>22</v>
      </c>
      <c r="D9597" s="2" t="s">
        <f>=HYPERLINK("https://main.knesset.gov.il/APPS/legislation/main/bills/2157337", "הצעת חוק להגבלת שכר טרחת כונסי נכסים (תיקוני חקיקה), התשפ""ב-2021")</f>
        <v>18660</v>
      </c>
      <c r="E9597" t="s">
        <v>18660</v>
      </c>
      <c r="F9597" t="s">
        <v>18661</v>
      </c>
      <c r="G9597" t="s">
        <v>14</v>
      </c>
      <c r="H9597">
             </c>
      <c r="I9597" t="s">
        <v>14</v>
      </c>
      <c r="J9597" t="s">
        <v>141</v>
      </c>
      <c r="K9597" t="s">
        <v>14</v>
      </c>
      <c r="L9597" t="s">
        <v>20</v>
      </c>
      <c r="M9597" t="s">
        <v>18630</v>
      </c>
      <c r="N9597" t="s">
        <v>14</v>
      </c>
    </row>
    <row r="9598" x14ac:dyDescent="0.25">
      <c r="A9598" t="n">
        <v>24</v>
      </c>
      <c r="B9598" t="s">
        <v>14</v>
      </c>
      <c r="C9598" t="s">
        <v>22</v>
      </c>
      <c r="D9598" s="2" t="s">
        <f>=HYPERLINK("https://main.knesset.gov.il/APPS/legislation/main/bills/2162773", "הצעת חוק שירות המדינה (מינויים) (תיקון - מינוי יועצים משפטיים של משרדים), התשפ""ב-2021")</f>
        <v>18662</v>
      </c>
      <c r="E9598" t="s">
        <v>18662</v>
      </c>
      <c r="F9598" t="s">
        <v>18663</v>
      </c>
      <c r="G9598" t="s">
        <v>14</v>
      </c>
      <c r="H9598">
             </c>
      <c r="I9598" t="s">
        <v>14</v>
      </c>
      <c r="J9598" t="s">
        <v>141</v>
      </c>
      <c r="K9598" t="s">
        <v>14</v>
      </c>
      <c r="L9598" t="s">
        <v>20</v>
      </c>
      <c r="M9598" t="s">
        <v>18630</v>
      </c>
      <c r="N9598" t="s">
        <v>14</v>
      </c>
    </row>
    <row r="9599" x14ac:dyDescent="0.25">
      <c r="A9599" t="n">
        <v>24</v>
      </c>
      <c r="B9599" t="s">
        <v>14</v>
      </c>
      <c r="C9599" t="s">
        <v>22</v>
      </c>
      <c r="D9599" s="2" t="s">
        <f>=HYPERLINK("https://main.knesset.gov.il/APPS/legislation/main/bills/2157308", "הצעת חוק לתיקון פקודת מס הכנסה (משיכה מקרן השתלמות) (הוראת שעה), התשפ""ב-2021")</f>
        <v>18664</v>
      </c>
      <c r="E9599" t="s">
        <v>18664</v>
      </c>
      <c r="F9599" t="s">
        <v>18665</v>
      </c>
      <c r="G9599" t="s">
        <v>14</v>
      </c>
      <c r="H9599">
             </c>
      <c r="I9599" t="s">
        <v>14</v>
      </c>
      <c r="J9599" t="s">
        <v>141</v>
      </c>
      <c r="K9599" t="s">
        <v>14</v>
      </c>
      <c r="L9599" t="s">
        <v>20</v>
      </c>
      <c r="M9599" t="s">
        <v>18630</v>
      </c>
      <c r="N9599" t="s">
        <v>14</v>
      </c>
    </row>
    <row r="9600" x14ac:dyDescent="0.25">
      <c r="A9600" t="n">
        <v>24</v>
      </c>
      <c r="B9600" t="s">
        <v>14</v>
      </c>
      <c r="C9600" t="s">
        <v>22</v>
      </c>
      <c r="D9600" s="2" t="s">
        <f>=HYPERLINK("https://main.knesset.gov.il/APPS/legislation/main/bills/2160322", "הצעת חוק זכות יוצרים (תיקון - תשלום תמלוגים), התשפ""ב-2021")</f>
        <v>18666</v>
      </c>
      <c r="E9600" t="s">
        <v>18666</v>
      </c>
      <c r="F9600" t="s">
        <v>18667</v>
      </c>
      <c r="G9600" t="s">
        <v>14</v>
      </c>
      <c r="H9600">
             </c>
      <c r="I9600" t="s">
        <v>14</v>
      </c>
      <c r="J9600" t="s">
        <v>141</v>
      </c>
      <c r="K9600" t="s">
        <v>14</v>
      </c>
      <c r="L9600" t="s">
        <v>20</v>
      </c>
      <c r="M9600" t="s">
        <v>18630</v>
      </c>
      <c r="N9600" t="s">
        <v>14</v>
      </c>
    </row>
    <row r="9601" x14ac:dyDescent="0.25">
      <c r="A9601" t="n">
        <v>24</v>
      </c>
      <c r="B9601" t="s">
        <v>14</v>
      </c>
      <c r="C9601" t="s">
        <v>22</v>
      </c>
      <c r="D9601" s="2" t="s">
        <f>=HYPERLINK("https://main.knesset.gov.il/APPS/legislation/main/bills/2156885", "הצעת חוק המועצה להשכלה גבוהה (תיקון - ביטול דרישת מבחני כניסה וציון פסיכומטרי), התשפ""ב-2021")</f>
        <v>18668</v>
      </c>
      <c r="E9601" t="s">
        <v>18668</v>
      </c>
      <c r="F9601" t="s">
        <v>18669</v>
      </c>
      <c r="G9601" t="s">
        <v>14</v>
      </c>
      <c r="H9601">
             </c>
      <c r="I9601" t="s">
        <v>14</v>
      </c>
      <c r="J9601" t="s">
        <v>141</v>
      </c>
      <c r="K9601" t="s">
        <v>14</v>
      </c>
      <c r="L9601" t="s">
        <v>20</v>
      </c>
      <c r="M9601" t="s">
        <v>18630</v>
      </c>
      <c r="N9601" t="s">
        <v>14</v>
      </c>
    </row>
    <row r="9602" x14ac:dyDescent="0.25">
      <c r="A9602" t="n">
        <v>24</v>
      </c>
      <c r="B9602" t="s">
        <v>14</v>
      </c>
      <c r="C9602" t="s">
        <v>22</v>
      </c>
      <c r="D9602" s="2" t="s">
        <f>=HYPERLINK("https://main.knesset.gov.il/APPS/legislation/main/bills/2156770", "הצעת חוק המועצה להשכלה גבוהה (תיקון - הקמת מוסדות להשכלה גבוהה בפריפריה), התשפ""ב-2021")</f>
        <v>18670</v>
      </c>
      <c r="E9602" t="s">
        <v>18670</v>
      </c>
      <c r="F9602" t="s">
        <v>18671</v>
      </c>
      <c r="G9602" t="s">
        <v>14</v>
      </c>
      <c r="H9602">
             </c>
      <c r="I9602" t="s">
        <v>14</v>
      </c>
      <c r="J9602" t="s">
        <v>141</v>
      </c>
      <c r="K9602" t="s">
        <v>14</v>
      </c>
      <c r="L9602" t="s">
        <v>20</v>
      </c>
      <c r="M9602" t="s">
        <v>18630</v>
      </c>
      <c r="N9602" t="s">
        <v>14</v>
      </c>
    </row>
    <row r="9603" x14ac:dyDescent="0.25">
      <c r="A9603" t="n">
        <v>24</v>
      </c>
      <c r="B9603" t="s">
        <v>14</v>
      </c>
      <c r="C9603" t="s">
        <v>22</v>
      </c>
      <c r="D9603" s="2" t="s">
        <f>=HYPERLINK("https://main.knesset.gov.il/APPS/legislation/main/bills/2163060", "הצעת חוק החובה למתן חינוך בלתי פורמאלי לילדים ולנוער, התשפ""ב-2021")</f>
        <v>18672</v>
      </c>
      <c r="E9603" t="s">
        <v>18672</v>
      </c>
      <c r="F9603" t="s">
        <v>18673</v>
      </c>
      <c r="G9603" t="s">
        <v>14</v>
      </c>
      <c r="H9603">
             </c>
      <c r="I9603" t="s">
        <v>14</v>
      </c>
      <c r="J9603" t="s">
        <v>141</v>
      </c>
      <c r="K9603" t="s">
        <v>14</v>
      </c>
      <c r="L9603" t="s">
        <v>20</v>
      </c>
      <c r="M9603" t="s">
        <v>18630</v>
      </c>
      <c r="N9603" t="s">
        <v>14</v>
      </c>
    </row>
    <row r="9604" x14ac:dyDescent="0.25">
      <c r="A9604" t="n">
        <v>24</v>
      </c>
      <c r="B9604" t="s">
        <v>14</v>
      </c>
      <c r="C9604" t="s">
        <v>22</v>
      </c>
      <c r="D9604" s="2" t="s">
        <f>=HYPERLINK("https://main.knesset.gov.il/APPS/legislation/main/bills/2163044", "הצעת חוק לתיקון סדרי המינהל (החלטות והנמקות) (תיקון - קיצור זמן המענה בפניות ציבור), התשפ""ב-2021")</f>
        <v>18231</v>
      </c>
      <c r="E9604" t="s">
        <v>18231</v>
      </c>
      <c r="F9604" t="s">
        <v>18674</v>
      </c>
      <c r="G9604" t="s">
        <v>14</v>
      </c>
      <c r="H9604">
             </c>
      <c r="I9604" t="s">
        <v>14</v>
      </c>
      <c r="J9604" t="s">
        <v>141</v>
      </c>
      <c r="K9604" t="s">
        <v>14</v>
      </c>
      <c r="L9604" t="s">
        <v>20</v>
      </c>
      <c r="M9604" t="s">
        <v>18630</v>
      </c>
      <c r="N9604" t="s">
        <v>14</v>
      </c>
    </row>
    <row r="9605" x14ac:dyDescent="0.25">
      <c r="A9605" t="n">
        <v>24</v>
      </c>
      <c r="B9605" t="s">
        <v>14</v>
      </c>
      <c r="C9605" t="s">
        <v>22</v>
      </c>
      <c r="D9605" s="2" t="s">
        <f>=HYPERLINK("https://main.knesset.gov.il/APPS/legislation/main/bills/2162889", "הצעת חוק החלת ריבונות על בקעת הירדן, גוש עציון, גבעת זאב, מעלה אדומים, ביתר עילית ועפרה, התשפ""ב-2021")</f>
        <v>18031</v>
      </c>
      <c r="E9605" t="s">
        <v>18031</v>
      </c>
      <c r="F9605" t="s">
        <v>18675</v>
      </c>
      <c r="G9605" t="s">
        <v>14</v>
      </c>
      <c r="H9605">
             </c>
      <c r="I9605" t="s">
        <v>14</v>
      </c>
      <c r="J9605" t="s">
        <v>141</v>
      </c>
      <c r="K9605" t="s">
        <v>14</v>
      </c>
      <c r="L9605" t="s">
        <v>20</v>
      </c>
      <c r="M9605" t="s">
        <v>18630</v>
      </c>
      <c r="N9605" t="s">
        <v>14</v>
      </c>
    </row>
    <row r="9606" x14ac:dyDescent="0.25">
      <c r="A9606" t="n">
        <v>24</v>
      </c>
      <c r="B9606" t="s">
        <v>14</v>
      </c>
      <c r="C9606" t="s">
        <v>22</v>
      </c>
      <c r="D9606" s="2" t="s">
        <f>=HYPERLINK("https://main.knesset.gov.il/APPS/legislation/main/bills/2156895", "הצעת חוק לתיקון פקודת בתי הסוהר (עתירות אסיר - ערעור בזכות), התשפ""ב-2021")</f>
        <v>18676</v>
      </c>
      <c r="E9606" t="s">
        <v>18676</v>
      </c>
      <c r="F9606" t="s">
        <v>18677</v>
      </c>
      <c r="G9606" t="s">
        <v>14</v>
      </c>
      <c r="H9606">
             </c>
      <c r="I9606" t="s">
        <v>14</v>
      </c>
      <c r="J9606" t="s">
        <v>141</v>
      </c>
      <c r="K9606" t="s">
        <v>14</v>
      </c>
      <c r="L9606" t="s">
        <v>20</v>
      </c>
      <c r="M9606" t="s">
        <v>18630</v>
      </c>
      <c r="N9606" t="s">
        <v>14</v>
      </c>
    </row>
    <row r="9607" x14ac:dyDescent="0.25">
      <c r="A9607" t="n">
        <v>24</v>
      </c>
      <c r="B9607" t="s">
        <v>14</v>
      </c>
      <c r="C9607" t="s">
        <v>22</v>
      </c>
      <c r="D9607" s="2" t="s">
        <f>=HYPERLINK("https://main.knesset.gov.il/APPS/legislation/main/bills/2162907", "הצעת חוק שכר לחיילים בשירות סדיר, התשפ""ב-2021")</f>
        <v>18316</v>
      </c>
      <c r="E9607" t="s">
        <v>18316</v>
      </c>
      <c r="F9607" t="s">
        <v>18678</v>
      </c>
      <c r="G9607" t="s">
        <v>14</v>
      </c>
      <c r="H9607">
             </c>
      <c r="I9607" t="s">
        <v>14</v>
      </c>
      <c r="J9607" t="s">
        <v>141</v>
      </c>
      <c r="K9607" t="s">
        <v>14</v>
      </c>
      <c r="L9607" t="s">
        <v>20</v>
      </c>
      <c r="M9607" t="s">
        <v>18630</v>
      </c>
      <c r="N9607" t="s">
        <v>14</v>
      </c>
    </row>
    <row r="9608" x14ac:dyDescent="0.25">
      <c r="A9608" t="n">
        <v>24</v>
      </c>
      <c r="B9608" t="s">
        <v>14</v>
      </c>
      <c r="C9608" t="s">
        <v>22</v>
      </c>
      <c r="D9608" s="2" t="s">
        <f>=HYPERLINK("https://main.knesset.gov.il/APPS/legislation/main/bills/2162738", "הצעת חוק להנצחת זכרו של רחבעם זאבי (תיקון - ביטול החוק), התשפ""ב-2021")</f>
        <v>18679</v>
      </c>
      <c r="E9608" t="s">
        <v>18679</v>
      </c>
      <c r="F9608" t="s">
        <v>18680</v>
      </c>
      <c r="G9608" t="s">
        <v>14</v>
      </c>
      <c r="H9608">
             </c>
      <c r="I9608" t="s">
        <v>14</v>
      </c>
      <c r="J9608" t="s">
        <v>141</v>
      </c>
      <c r="K9608" t="s">
        <v>14</v>
      </c>
      <c r="L9608" t="s">
        <v>20</v>
      </c>
      <c r="M9608" t="s">
        <v>18630</v>
      </c>
      <c r="N9608" t="s">
        <v>14</v>
      </c>
    </row>
    <row r="9609" x14ac:dyDescent="0.25">
      <c r="A9609" t="n">
        <v>24</v>
      </c>
      <c r="B9609" t="s">
        <v>14</v>
      </c>
      <c r="C9609" t="s">
        <v>22</v>
      </c>
      <c r="D9609" s="2" t="s">
        <f>=HYPERLINK("https://main.knesset.gov.il/APPS/legislation/main/bills/2161489", "הצעת חוק הקרן לעידוד העסקת אזרחים ותיקים, התשפ""ב-2021")</f>
        <v>18681</v>
      </c>
      <c r="E9609" t="s">
        <v>18681</v>
      </c>
      <c r="F9609" t="s">
        <v>18682</v>
      </c>
      <c r="G9609" t="s">
        <v>14</v>
      </c>
      <c r="H9609">
             </c>
      <c r="I9609" t="s">
        <v>14</v>
      </c>
      <c r="J9609" t="s">
        <v>141</v>
      </c>
      <c r="K9609" t="s">
        <v>14</v>
      </c>
      <c r="L9609" t="s">
        <v>20</v>
      </c>
      <c r="M9609" t="s">
        <v>18630</v>
      </c>
      <c r="N9609" t="s">
        <v>14</v>
      </c>
    </row>
    <row r="9610" x14ac:dyDescent="0.25">
      <c r="A9610" t="n">
        <v>24</v>
      </c>
      <c r="B9610" t="s">
        <v>14</v>
      </c>
      <c r="C9610" t="s">
        <v>22</v>
      </c>
      <c r="D9610" s="2" t="s">
        <f>=HYPERLINK("https://main.knesset.gov.il/APPS/legislation/main/bills/2162523", "הצעת חוק שירות המדינה (מינויים) (תיקון - ייצוג הולם לבני החברה הערבית, לרבות הדרוזית והצ'רקסית), התשפ""ב-2021")</f>
        <v>17651</v>
      </c>
      <c r="E9610" t="s">
        <v>17651</v>
      </c>
      <c r="F9610" t="s">
        <v>18683</v>
      </c>
      <c r="G9610" t="s">
        <v>14</v>
      </c>
      <c r="H9610">
             </c>
      <c r="I9610" t="s">
        <v>14</v>
      </c>
      <c r="J9610" t="s">
        <v>141</v>
      </c>
      <c r="K9610" t="s">
        <v>14</v>
      </c>
      <c r="L9610" t="s">
        <v>20</v>
      </c>
      <c r="M9610" t="s">
        <v>18630</v>
      </c>
      <c r="N9610" t="s">
        <v>14</v>
      </c>
    </row>
    <row r="9611" x14ac:dyDescent="0.25">
      <c r="A9611" t="n">
        <v>24</v>
      </c>
      <c r="B9611" t="s">
        <v>14</v>
      </c>
      <c r="C9611" t="s">
        <v>22</v>
      </c>
      <c r="D9611" s="2" t="s">
        <f>=HYPERLINK("https://main.knesset.gov.il/APPS/legislation/main/bills/2162895", "הצעת חוק החברה למתנ""סים, התשפ""ב-2021")</f>
        <v>18684</v>
      </c>
      <c r="E9611" t="s">
        <v>18684</v>
      </c>
      <c r="F9611" t="s">
        <v>18685</v>
      </c>
      <c r="G9611" t="s">
        <v>14</v>
      </c>
      <c r="H9611">
             </c>
      <c r="I9611" t="s">
        <v>14</v>
      </c>
      <c r="J9611" t="s">
        <v>141</v>
      </c>
      <c r="K9611" t="s">
        <v>14</v>
      </c>
      <c r="L9611" t="s">
        <v>20</v>
      </c>
      <c r="M9611" t="s">
        <v>18630</v>
      </c>
      <c r="N9611" t="s">
        <v>14</v>
      </c>
    </row>
    <row r="9612" x14ac:dyDescent="0.25">
      <c r="A9612" t="n">
        <v>24</v>
      </c>
      <c r="B9612" t="s">
        <v>14</v>
      </c>
      <c r="C9612" t="s">
        <v>22</v>
      </c>
      <c r="D9612" s="2" t="s">
        <f>=HYPERLINK("https://main.knesset.gov.il/APPS/legislation/main/bills/2162911", "הצעת חוק חג המימונה, התשפ""ב-2021 ")</f>
        <v>18686</v>
      </c>
      <c r="E9612" t="s">
        <v>18686</v>
      </c>
      <c r="F9612" t="s">
        <v>18687</v>
      </c>
      <c r="G9612" t="s">
        <v>14</v>
      </c>
      <c r="H9612">
             </c>
      <c r="I9612" t="s">
        <v>14</v>
      </c>
      <c r="J9612" t="s">
        <v>141</v>
      </c>
      <c r="K9612" t="s">
        <v>14</v>
      </c>
      <c r="L9612" t="s">
        <v>20</v>
      </c>
      <c r="M9612" t="s">
        <v>18630</v>
      </c>
      <c r="N9612" t="s">
        <v>14</v>
      </c>
    </row>
    <row r="9613" x14ac:dyDescent="0.25">
      <c r="A9613" t="n">
        <v>24</v>
      </c>
      <c r="B9613" t="s">
        <v>14</v>
      </c>
      <c r="C9613" t="s">
        <v>22</v>
      </c>
      <c r="D9613" s="2" t="s">
        <f>=HYPERLINK("https://main.knesset.gov.il/APPS/legislation/main/bills/2162938", "הצעת חוק החברות הממשלתיות (תיקון - קווי פעולה של חברה ממשלתית), התשפ""ב-2021")</f>
        <v>18688</v>
      </c>
      <c r="E9613" t="s">
        <v>18688</v>
      </c>
      <c r="F9613" t="s">
        <v>18689</v>
      </c>
      <c r="G9613" t="s">
        <v>14</v>
      </c>
      <c r="H9613">
             </c>
      <c r="I9613" t="s">
        <v>14</v>
      </c>
      <c r="J9613" t="s">
        <v>141</v>
      </c>
      <c r="K9613" t="s">
        <v>14</v>
      </c>
      <c r="L9613" t="s">
        <v>20</v>
      </c>
      <c r="M9613" t="s">
        <v>18630</v>
      </c>
      <c r="N9613" t="s">
        <v>14</v>
      </c>
    </row>
    <row r="9614" x14ac:dyDescent="0.25">
      <c r="A9614" t="n">
        <v>24</v>
      </c>
      <c r="B9614" t="s">
        <v>14</v>
      </c>
      <c r="C9614" t="s">
        <v>22</v>
      </c>
      <c r="D9614" s="2" t="s">
        <f>=HYPERLINK("https://main.knesset.gov.il/APPS/legislation/main/bills/2156789", "הצעת חוק-יסוד: כבוד האדם וחירותו (תיקון - הוספת סעיף שוויון)")</f>
        <v>2086</v>
      </c>
      <c r="E9614" t="s">
        <v>2086</v>
      </c>
      <c r="F9614" t="s">
        <v>18690</v>
      </c>
      <c r="G9614" t="s">
        <v>14</v>
      </c>
      <c r="H9614">
             </c>
      <c r="I9614" t="s">
        <v>14</v>
      </c>
      <c r="J9614" t="s">
        <v>141</v>
      </c>
      <c r="K9614" t="s">
        <v>14</v>
      </c>
      <c r="L9614" t="s">
        <v>20</v>
      </c>
      <c r="M9614" t="s">
        <v>18630</v>
      </c>
      <c r="N9614" t="s">
        <v>14</v>
      </c>
    </row>
    <row r="9615" x14ac:dyDescent="0.25">
      <c r="A9615" t="n">
        <v>24</v>
      </c>
      <c r="B9615" t="s">
        <v>14</v>
      </c>
      <c r="C9615" t="s">
        <v>22</v>
      </c>
      <c r="D9615" s="2" t="s">
        <f>=HYPERLINK("https://main.knesset.gov.il/APPS/legislation/main/bills/2162558", "הצעת חוק החברות (תיקון - ייצוג הולם לבני שני המינים בדירקטוריונים של חברות ציבוריות), התשפ""ב-2021")</f>
        <v>18691</v>
      </c>
      <c r="E9615" t="s">
        <v>18691</v>
      </c>
      <c r="F9615" t="s">
        <v>18692</v>
      </c>
      <c r="G9615" t="s">
        <v>14</v>
      </c>
      <c r="H9615">
             </c>
      <c r="I9615" t="s">
        <v>14</v>
      </c>
      <c r="J9615" t="s">
        <v>141</v>
      </c>
      <c r="K9615" t="s">
        <v>14</v>
      </c>
      <c r="L9615" t="s">
        <v>20</v>
      </c>
      <c r="M9615" t="s">
        <v>18630</v>
      </c>
      <c r="N9615" t="s">
        <v>14</v>
      </c>
    </row>
    <row r="9616" x14ac:dyDescent="0.25">
      <c r="A9616" t="n">
        <v>24</v>
      </c>
      <c r="B9616" t="s">
        <v>14</v>
      </c>
      <c r="C9616" t="s">
        <v>22</v>
      </c>
      <c r="D9616" s="2" t="s">
        <f>=HYPERLINK("https://main.knesset.gov.il/APPS/legislation/main/bills/2162740", "הצעת חוק העונשין (תיקון - הגנה עצמית בנסיבות של אלימות במשפחה), התשפ""ב-2021")</f>
        <v>18693</v>
      </c>
      <c r="E9616" t="s">
        <v>18693</v>
      </c>
      <c r="F9616" t="s">
        <v>18694</v>
      </c>
      <c r="G9616" t="s">
        <v>14</v>
      </c>
      <c r="H9616">
             </c>
      <c r="I9616" t="s">
        <v>14</v>
      </c>
      <c r="J9616" t="s">
        <v>141</v>
      </c>
      <c r="K9616" t="s">
        <v>14</v>
      </c>
      <c r="L9616" t="s">
        <v>20</v>
      </c>
      <c r="M9616" t="s">
        <v>18630</v>
      </c>
      <c r="N9616" t="s">
        <v>14</v>
      </c>
    </row>
    <row r="9617" x14ac:dyDescent="0.25">
      <c r="A9617" t="n">
        <v>24</v>
      </c>
      <c r="B9617" t="s">
        <v>14</v>
      </c>
      <c r="C9617" t="s">
        <v>22</v>
      </c>
      <c r="D9617" s="2" t="s">
        <f>=HYPERLINK("https://main.knesset.gov.il/APPS/legislation/main/bills/2162707", "הצעת חוק אוויר נקי (תיקון - איסור שימוש בתנורי עץ, סולר ונפט), התשפ""ב-2021")</f>
        <v>18695</v>
      </c>
      <c r="E9617" t="s">
        <v>18695</v>
      </c>
      <c r="F9617" t="s">
        <v>18696</v>
      </c>
      <c r="G9617" t="s">
        <v>14</v>
      </c>
      <c r="H9617">
             </c>
      <c r="I9617" t="s">
        <v>14</v>
      </c>
      <c r="J9617" t="s">
        <v>141</v>
      </c>
      <c r="K9617" t="s">
        <v>14</v>
      </c>
      <c r="L9617" t="s">
        <v>20</v>
      </c>
      <c r="M9617" t="s">
        <v>18630</v>
      </c>
      <c r="N9617" t="s">
        <v>14</v>
      </c>
    </row>
    <row r="9618" x14ac:dyDescent="0.25">
      <c r="A9618" t="n">
        <v>24</v>
      </c>
      <c r="B9618" t="s">
        <v>14</v>
      </c>
      <c r="C9618" t="s">
        <v>22</v>
      </c>
      <c r="D9618" s="2" t="s">
        <f>=HYPERLINK("https://main.knesset.gov.il/APPS/legislation/main/bills/2162741", "הצעת חוק לביטול ההתיישנות בעבירות מין במשפחה (תיקוני חקיקה), התשפ""ב-2021")</f>
        <v>18697</v>
      </c>
      <c r="E9618" t="s">
        <v>18697</v>
      </c>
      <c r="F9618" t="s">
        <v>18698</v>
      </c>
      <c r="G9618" t="s">
        <v>14</v>
      </c>
      <c r="H9618">
             </c>
      <c r="I9618" t="s">
        <v>14</v>
      </c>
      <c r="J9618" t="s">
        <v>141</v>
      </c>
      <c r="K9618" t="s">
        <v>14</v>
      </c>
      <c r="L9618" t="s">
        <v>20</v>
      </c>
      <c r="M9618" t="s">
        <v>18630</v>
      </c>
      <c r="N9618" t="s">
        <v>14</v>
      </c>
    </row>
    <row r="9619" x14ac:dyDescent="0.25">
      <c r="A9619" t="n">
        <v>24</v>
      </c>
      <c r="B9619" t="s">
        <v>14</v>
      </c>
      <c r="C9619" t="s">
        <v>22</v>
      </c>
      <c r="D9619" s="2" t="s">
        <f>=HYPERLINK("https://main.knesset.gov.il/APPS/legislation/main/bills/2162709", "הצעת חוק רשות מקרקעי ישראל (תיקון - החכר מימוני לדירות), התשפ""ב-2021")</f>
        <v>18699</v>
      </c>
      <c r="E9619" t="s">
        <v>18699</v>
      </c>
      <c r="F9619" t="s">
        <v>18700</v>
      </c>
      <c r="G9619" t="s">
        <v>14</v>
      </c>
      <c r="H9619">
             </c>
      <c r="I9619" t="s">
        <v>14</v>
      </c>
      <c r="J9619" t="s">
        <v>141</v>
      </c>
      <c r="K9619" t="s">
        <v>14</v>
      </c>
      <c r="L9619" t="s">
        <v>20</v>
      </c>
      <c r="M9619" t="s">
        <v>18630</v>
      </c>
      <c r="N9619" t="s">
        <v>14</v>
      </c>
    </row>
    <row r="9620" x14ac:dyDescent="0.25">
      <c r="A9620" t="n">
        <v>24</v>
      </c>
      <c r="B9620" t="s">
        <v>14</v>
      </c>
      <c r="C9620" t="s">
        <v>22</v>
      </c>
      <c r="D9620" s="2" t="s">
        <f>=HYPERLINK("https://main.knesset.gov.il/APPS/legislation/main/bills/2157354", "הצעת חוק הפחתת תוספות פיגור שנוספו על קנסות הנגבים בידי המרכז לגביית קנסות, אגרות והוצאות (הוראת שעה), התשפ""ב-2021")</f>
        <v>17676</v>
      </c>
      <c r="E9620" t="s">
        <v>17676</v>
      </c>
      <c r="F9620" t="s">
        <v>18701</v>
      </c>
      <c r="G9620" t="s">
        <v>14</v>
      </c>
      <c r="H9620">
             </c>
      <c r="I9620" t="s">
        <v>14</v>
      </c>
      <c r="J9620" t="s">
        <v>141</v>
      </c>
      <c r="K9620" t="s">
        <v>14</v>
      </c>
      <c r="L9620" t="s">
        <v>20</v>
      </c>
      <c r="M9620" t="s">
        <v>18630</v>
      </c>
      <c r="N9620" t="s">
        <v>14</v>
      </c>
    </row>
    <row r="9621" x14ac:dyDescent="0.25">
      <c r="A9621" t="n">
        <v>24</v>
      </c>
      <c r="B9621" t="s">
        <v>14</v>
      </c>
      <c r="C9621" t="s">
        <v>22</v>
      </c>
      <c r="D9621" s="2" t="s">
        <f>=HYPERLINK("https://main.knesset.gov.il/APPS/legislation/main/bills/2157324", "הצעת חוק ערבויות מטעם המדינה בשעת חירום (תיקוני חקיקה), התשפ""ב-2021")</f>
        <v>18702</v>
      </c>
      <c r="E9621" t="s">
        <v>18702</v>
      </c>
      <c r="F9621" t="s">
        <v>18703</v>
      </c>
      <c r="G9621" t="s">
        <v>14</v>
      </c>
      <c r="H9621">
             </c>
      <c r="I9621" t="s">
        <v>14</v>
      </c>
      <c r="J9621" t="s">
        <v>141</v>
      </c>
      <c r="K9621" t="s">
        <v>14</v>
      </c>
      <c r="L9621" t="s">
        <v>20</v>
      </c>
      <c r="M9621" t="s">
        <v>18630</v>
      </c>
      <c r="N9621" t="s">
        <v>14</v>
      </c>
    </row>
    <row r="9622" x14ac:dyDescent="0.25">
      <c r="A9622" t="n">
        <v>24</v>
      </c>
      <c r="B9622" t="s">
        <v>14</v>
      </c>
      <c r="C9622" t="s">
        <v>22</v>
      </c>
      <c r="D9622" s="2" t="s">
        <f>=HYPERLINK("https://main.knesset.gov.il/APPS/legislation/main/bills/2157315", "הצעת חוק התוכנית להבראת כלכלת ישראל (תיקוני חקיקה להשגת יעדי התקציב והמדיניות הכלכלית לשנות הכספים 2003 ו-2004) (תיקון - ביטול ההיטל על עובד זר העוסק בסיעוד בבית חולים גריאטרי), התשפ""ב-2021")</f>
        <v>18704</v>
      </c>
      <c r="E9622" t="s">
        <v>18704</v>
      </c>
      <c r="F9622" t="s">
        <v>18705</v>
      </c>
      <c r="G9622" t="s">
        <v>14</v>
      </c>
      <c r="H9622">
             </c>
      <c r="I9622" t="s">
        <v>14</v>
      </c>
      <c r="J9622" t="s">
        <v>141</v>
      </c>
      <c r="K9622" t="s">
        <v>14</v>
      </c>
      <c r="L9622" t="s">
        <v>20</v>
      </c>
      <c r="M9622" t="s">
        <v>18630</v>
      </c>
      <c r="N9622" t="s">
        <v>14</v>
      </c>
    </row>
    <row r="9623" x14ac:dyDescent="0.25">
      <c r="A9623" t="n">
        <v>24</v>
      </c>
      <c r="B9623" t="s">
        <v>14</v>
      </c>
      <c r="C9623" t="s">
        <v>22</v>
      </c>
      <c r="D9623" s="2" t="s">
        <f>=HYPERLINK("https://main.knesset.gov.il/APPS/legislation/main/bills/2158908", "הצעת חוק המועצה להשכלה גבוהה (תיקון - תנאי קבלה למוסד להשכלה גבוהה), התשפ""ב-2021")</f>
        <v>18706</v>
      </c>
      <c r="E9623" t="s">
        <v>18706</v>
      </c>
      <c r="F9623" t="s">
        <v>18707</v>
      </c>
      <c r="G9623" t="s">
        <v>14</v>
      </c>
      <c r="H9623">
             </c>
      <c r="I9623" t="s">
        <v>14</v>
      </c>
      <c r="J9623" t="s">
        <v>141</v>
      </c>
      <c r="K9623" t="s">
        <v>14</v>
      </c>
      <c r="L9623" t="s">
        <v>20</v>
      </c>
      <c r="M9623" t="s">
        <v>18630</v>
      </c>
      <c r="N9623" t="s">
        <v>14</v>
      </c>
    </row>
    <row r="9624" x14ac:dyDescent="0.25">
      <c r="A9624" t="n">
        <v>24</v>
      </c>
      <c r="B9624" t="s">
        <v>14</v>
      </c>
      <c r="C9624" t="s">
        <v>22</v>
      </c>
      <c r="D9624" s="2" t="s">
        <f>=HYPERLINK("https://main.knesset.gov.il/APPS/legislation/main/bills/2159850", "הצעת חוק התכנון והבנייה (תיקון - חיבור לחשמל) (הוראת שעה), התשפ""ב-2021")</f>
        <v>18708</v>
      </c>
      <c r="E9624" t="s">
        <v>18708</v>
      </c>
      <c r="F9624" t="s">
        <v>18709</v>
      </c>
      <c r="G9624" t="s">
        <v>14</v>
      </c>
      <c r="H9624">
             </c>
      <c r="I9624" t="s">
        <v>14</v>
      </c>
      <c r="J9624" t="s">
        <v>141</v>
      </c>
      <c r="K9624" t="s">
        <v>14</v>
      </c>
      <c r="L9624" t="s">
        <v>20</v>
      </c>
      <c r="M9624" t="s">
        <v>18630</v>
      </c>
      <c r="N9624" t="s">
        <v>14</v>
      </c>
    </row>
    <row r="9625" x14ac:dyDescent="0.25">
      <c r="A9625" t="n">
        <v>24</v>
      </c>
      <c r="B9625" t="s">
        <v>14</v>
      </c>
      <c r="C9625" t="s">
        <v>22</v>
      </c>
      <c r="D9625" s="2" t="s">
        <f>=HYPERLINK("https://main.knesset.gov.il/APPS/legislation/main/bills/2162151", "הצעת חוק גיל הפרישה (תיקון - מקצועות שוחקים), התשפ""ב-2021")</f>
        <v>18710</v>
      </c>
      <c r="E9625" t="s">
        <v>18710</v>
      </c>
      <c r="F9625" t="s">
        <v>18711</v>
      </c>
      <c r="G9625" t="s">
        <v>14</v>
      </c>
      <c r="H9625">
             </c>
      <c r="I9625" t="s">
        <v>14</v>
      </c>
      <c r="J9625" t="s">
        <v>141</v>
      </c>
      <c r="K9625" t="s">
        <v>14</v>
      </c>
      <c r="L9625" t="s">
        <v>20</v>
      </c>
      <c r="M9625" t="s">
        <v>18630</v>
      </c>
      <c r="N9625" t="s">
        <v>14</v>
      </c>
    </row>
    <row r="9626" x14ac:dyDescent="0.25">
      <c r="A9626" t="n">
        <v>24</v>
      </c>
      <c r="B9626" t="s">
        <v>14</v>
      </c>
      <c r="C9626" t="s">
        <v>22</v>
      </c>
      <c r="D9626" s="2" t="s">
        <f>=HYPERLINK("https://main.knesset.gov.il/APPS/legislation/main/bills/2157345", "הצעת חוק תשלום פיצויים בשל נזקי אסון טבע, התשפ""ב-2021")</f>
        <v>18712</v>
      </c>
      <c r="E9626" t="s">
        <v>18712</v>
      </c>
      <c r="F9626" t="s">
        <v>18713</v>
      </c>
      <c r="G9626" t="s">
        <v>14</v>
      </c>
      <c r="H9626">
             </c>
      <c r="I9626" t="s">
        <v>14</v>
      </c>
      <c r="J9626" t="s">
        <v>141</v>
      </c>
      <c r="K9626" t="s">
        <v>14</v>
      </c>
      <c r="L9626" t="s">
        <v>20</v>
      </c>
      <c r="M9626" t="s">
        <v>18630</v>
      </c>
      <c r="N9626" t="s">
        <v>14</v>
      </c>
    </row>
    <row r="9627" x14ac:dyDescent="0.25">
      <c r="A9627" t="n">
        <v>24</v>
      </c>
      <c r="B9627" t="s">
        <v>14</v>
      </c>
      <c r="C9627" t="s">
        <v>22</v>
      </c>
      <c r="D9627" s="2" t="s">
        <f>=HYPERLINK("https://main.knesset.gov.il/APPS/legislation/main/bills/2161749", "הצעת חוק להגנה על קופת הציבור מפני דרישות כזב, התשפ""ב-2021")</f>
        <v>18714</v>
      </c>
      <c r="E9627" t="s">
        <v>18714</v>
      </c>
      <c r="F9627" t="s">
        <v>18715</v>
      </c>
      <c r="G9627" t="s">
        <v>14</v>
      </c>
      <c r="H9627">
             </c>
      <c r="I9627" t="s">
        <v>14</v>
      </c>
      <c r="J9627" t="s">
        <v>141</v>
      </c>
      <c r="K9627" t="s">
        <v>14</v>
      </c>
      <c r="L9627" t="s">
        <v>20</v>
      </c>
      <c r="M9627" t="s">
        <v>18630</v>
      </c>
      <c r="N9627" t="s">
        <v>14</v>
      </c>
    </row>
    <row r="9628" x14ac:dyDescent="0.25">
      <c r="A9628" t="n">
        <v>24</v>
      </c>
      <c r="B9628" t="s">
        <v>14</v>
      </c>
      <c r="C9628" t="s">
        <v>15</v>
      </c>
      <c r="D9628" s="2" t="s">
        <f>=HYPERLINK("https://main.knesset.gov.il/APPS/legislation/main/bills/2163288", "הצעת חוק לתיקון פקודת סדר הדין הפלילי (מעצר וחיפוש) (הוראת שעה) (עילות חיפוש בלא צו בית משפט), התשפ""ב-2021")</f>
        <v>18716</v>
      </c>
      <c r="E9628" t="s">
        <v>18716</v>
      </c>
      <c r="F9628" t="s">
        <v>14</v>
      </c>
      <c r="G9628" t="s">
        <v>18717</v>
      </c>
      <c r="H9628">
             </c>
      <c r="I9628" t="s">
        <v>14</v>
      </c>
      <c r="J9628" t="s">
        <v>1141</v>
      </c>
      <c r="K9628" t="s">
        <v>14</v>
      </c>
      <c r="L9628" t="s">
        <v>20</v>
      </c>
      <c r="M9628" t="s">
        <v>18630</v>
      </c>
      <c r="N9628" t="s">
        <v>14</v>
      </c>
    </row>
    <row r="9629" x14ac:dyDescent="0.25">
      <c r="A9629" t="n">
        <v>24</v>
      </c>
      <c r="B9629" t="s">
        <v>14</v>
      </c>
      <c r="C9629" t="s">
        <v>22</v>
      </c>
      <c r="D9629" s="2" t="s">
        <f>=HYPERLINK("https://main.knesset.gov.il/APPS/legislation/main/bills/2159042", "הצעת חוק הבטחת הכנסה (תיקון - הגדלת הגמלה בגיל פרישה והצמדתה לשכר הממוצע), התשפ""א-2021")</f>
        <v>18718</v>
      </c>
      <c r="E9629" t="s">
        <v>18718</v>
      </c>
      <c r="F9629" t="s">
        <v>18719</v>
      </c>
      <c r="G9629" t="s">
        <v>14</v>
      </c>
      <c r="H9629">
             </c>
      <c r="I9629" t="s">
        <v>14</v>
      </c>
      <c r="J9629" t="s">
        <v>99</v>
      </c>
      <c r="K9629" t="s">
        <v>85</v>
      </c>
      <c r="L9629" t="s">
        <v>20</v>
      </c>
      <c r="M9629" t="s">
        <v>18720</v>
      </c>
      <c r="N9629" t="s">
        <v>14</v>
      </c>
    </row>
    <row r="9630" x14ac:dyDescent="0.25">
      <c r="A9630" t="n">
        <v>24</v>
      </c>
      <c r="B9630" t="s">
        <v>14</v>
      </c>
      <c r="C9630" t="s">
        <v>22</v>
      </c>
      <c r="D9630" s="2" t="s">
        <f>=HYPERLINK("https://main.knesset.gov.il/APPS/legislation/main/bills/2159162", "הצעת חוק הבטחת הכנסה (תיקון - גמלת הבטחת הכנסה לקשיש), התשפ""א-2021")</f>
        <v>18721</v>
      </c>
      <c r="E9630" t="s">
        <v>18721</v>
      </c>
      <c r="F9630" t="s">
        <v>18722</v>
      </c>
      <c r="G9630" t="s">
        <v>14</v>
      </c>
      <c r="H9630">
             </c>
      <c r="I9630" t="s">
        <v>14</v>
      </c>
      <c r="J9630" t="s">
        <v>99</v>
      </c>
      <c r="K9630" t="s">
        <v>85</v>
      </c>
      <c r="L9630" t="s">
        <v>20</v>
      </c>
      <c r="M9630" t="s">
        <v>18720</v>
      </c>
      <c r="N9630" t="s">
        <v>14</v>
      </c>
    </row>
    <row r="9631" x14ac:dyDescent="0.25">
      <c r="A9631" t="n">
        <v>24</v>
      </c>
      <c r="B9631" t="s">
        <v>14</v>
      </c>
      <c r="C9631" t="s">
        <v>22</v>
      </c>
      <c r="D9631" s="2" t="s">
        <f>=HYPERLINK("https://main.knesset.gov.il/APPS/legislation/main/bills/2159711", "הצעת חוק שירות המדינה (מינויים) (תיקון - מינוי יועצים משפטיים של משרדים), התשפ""א-2021")</f>
        <v>18723</v>
      </c>
      <c r="E9631" t="s">
        <v>18723</v>
      </c>
      <c r="F9631" t="s">
        <v>18724</v>
      </c>
      <c r="G9631" t="s">
        <v>14</v>
      </c>
      <c r="H9631">
             </c>
      <c r="I9631" t="s">
        <v>14</v>
      </c>
      <c r="J9631" t="s">
        <v>55</v>
      </c>
      <c r="K9631" t="s">
        <v>14</v>
      </c>
      <c r="L9631" t="s">
        <v>20</v>
      </c>
      <c r="M9631" t="s">
        <v>18725</v>
      </c>
      <c r="N9631" t="s">
        <v>14</v>
      </c>
    </row>
    <row r="9632" x14ac:dyDescent="0.25">
      <c r="A9632" t="n">
        <v>24</v>
      </c>
      <c r="B9632" t="s">
        <v>14</v>
      </c>
      <c r="C9632" t="s">
        <v>22</v>
      </c>
      <c r="D9632" s="2" t="s">
        <f>=HYPERLINK("https://main.knesset.gov.il/APPS/legislation/main/bills/2160374", "הצעת חוק השתתפות המדינה בעלות שכר לימוד במעון או במשפחתון, התשפ''א-2021")</f>
        <v>18726</v>
      </c>
      <c r="E9632" t="s">
        <v>18726</v>
      </c>
      <c r="F9632" t="s">
        <v>18727</v>
      </c>
      <c r="G9632" t="s">
        <v>14</v>
      </c>
      <c r="H9632">
             </c>
      <c r="I9632" t="s">
        <v>14</v>
      </c>
      <c r="J9632" t="s">
        <v>55</v>
      </c>
      <c r="K9632" t="s">
        <v>14</v>
      </c>
      <c r="L9632" t="s">
        <v>20</v>
      </c>
      <c r="M9632" t="s">
        <v>18725</v>
      </c>
      <c r="N9632" t="s">
        <v>14</v>
      </c>
    </row>
    <row r="9633" x14ac:dyDescent="0.25">
      <c r="A9633" t="n">
        <v>24</v>
      </c>
      <c r="B9633" t="s">
        <v>14</v>
      </c>
      <c r="C9633" t="s">
        <v>22</v>
      </c>
      <c r="D9633" s="2" t="s">
        <f>=HYPERLINK("https://main.knesset.gov.il/APPS/legislation/main/bills/2159996", "הצעת חוק מס ערך מוסף (תיקון - פטור ממס במכירת תרופות אונקולוגיות שאינן כלולות בסל הבריאות), התשפ""א-2021")</f>
        <v>18728</v>
      </c>
      <c r="E9633" t="s">
        <v>18728</v>
      </c>
      <c r="F9633" t="s">
        <v>18729</v>
      </c>
      <c r="G9633" t="s">
        <v>14</v>
      </c>
      <c r="H9633">
             </c>
      <c r="I9633" t="s">
        <v>14</v>
      </c>
      <c r="J9633" t="s">
        <v>55</v>
      </c>
      <c r="K9633" t="s">
        <v>14</v>
      </c>
      <c r="L9633" t="s">
        <v>20</v>
      </c>
      <c r="M9633" t="s">
        <v>18725</v>
      </c>
      <c r="N9633" t="s">
        <v>14</v>
      </c>
    </row>
    <row r="9634" x14ac:dyDescent="0.25">
      <c r="A9634" t="n">
        <v>24</v>
      </c>
      <c r="B9634" t="s">
        <v>14</v>
      </c>
      <c r="C9634" t="s">
        <v>22</v>
      </c>
      <c r="D9634" s="2" t="s">
        <f>=HYPERLINK("https://main.knesset.gov.il/APPS/legislation/main/bills/2159072", "הצעת חוק סיוע לקטינים נפגעי עבירות מין או אלימות (תיקון - טיפול נפשי לילדים שנפגעו מינית), התשפ""א-2021")</f>
        <v>18730</v>
      </c>
      <c r="E9634" t="s">
        <v>18730</v>
      </c>
      <c r="F9634" t="s">
        <v>18731</v>
      </c>
      <c r="G9634" t="s">
        <v>14</v>
      </c>
      <c r="H9634">
             </c>
      <c r="I9634" t="s">
        <v>14</v>
      </c>
      <c r="J9634" t="s">
        <v>55</v>
      </c>
      <c r="K9634" t="s">
        <v>14</v>
      </c>
      <c r="L9634" t="s">
        <v>20</v>
      </c>
      <c r="M9634" t="s">
        <v>18725</v>
      </c>
      <c r="N9634" t="s">
        <v>14</v>
      </c>
    </row>
    <row r="9635" x14ac:dyDescent="0.25">
      <c r="A9635" t="n">
        <v>24</v>
      </c>
      <c r="B9635" t="s">
        <v>14</v>
      </c>
      <c r="C9635" t="s">
        <v>22</v>
      </c>
      <c r="D9635" s="2" t="s">
        <f>=HYPERLINK("https://main.knesset.gov.il/APPS/legislation/main/bills/2159324", "הצעת חוק העונשין (תיקון - גזר דין עונש מוות למורשע ברצח בנסיבות טרור), התשפ""א-2021")</f>
        <v>18732</v>
      </c>
      <c r="E9635" t="s">
        <v>18732</v>
      </c>
      <c r="F9635" t="s">
        <v>18733</v>
      </c>
      <c r="G9635" t="s">
        <v>14</v>
      </c>
      <c r="H9635">
             </c>
      <c r="I9635" t="s">
        <v>14</v>
      </c>
      <c r="J9635" t="s">
        <v>55</v>
      </c>
      <c r="K9635" t="s">
        <v>14</v>
      </c>
      <c r="L9635" t="s">
        <v>20</v>
      </c>
      <c r="M9635" t="s">
        <v>18725</v>
      </c>
      <c r="N9635" t="s">
        <v>14</v>
      </c>
    </row>
    <row r="9636" x14ac:dyDescent="0.25">
      <c r="A9636" t="n">
        <v>24</v>
      </c>
      <c r="B9636" t="s">
        <v>14</v>
      </c>
      <c r="C9636" t="s">
        <v>22</v>
      </c>
      <c r="D9636" s="2" t="s">
        <f>=HYPERLINK("https://main.knesset.gov.il/APPS/legislation/main/bills/2159712", "הצעת חוק תגמולים לאסירי ציון ולבני משפחותיהם (תיקון - הרוגי עלייה), התשפ""א-2021")</f>
        <v>18734</v>
      </c>
      <c r="E9636" t="s">
        <v>18734</v>
      </c>
      <c r="F9636" t="s">
        <v>18735</v>
      </c>
      <c r="G9636" t="s">
        <v>14</v>
      </c>
      <c r="H9636">
             </c>
      <c r="I9636" t="s">
        <v>14</v>
      </c>
      <c r="J9636" t="s">
        <v>343</v>
      </c>
      <c r="K9636" t="s">
        <v>14</v>
      </c>
      <c r="L9636" t="s">
        <v>20</v>
      </c>
      <c r="M9636" t="s">
        <v>18725</v>
      </c>
      <c r="N9636" t="s">
        <v>14</v>
      </c>
    </row>
    <row r="9637" x14ac:dyDescent="0.25">
      <c r="A9637" t="n">
        <v>24</v>
      </c>
      <c r="B9637" t="s">
        <v>14</v>
      </c>
      <c r="C9637" t="s">
        <v>22</v>
      </c>
      <c r="D9637" s="2" t="s">
        <f>=HYPERLINK("https://main.knesset.gov.il/APPS/legislation/main/bills/2159249", "הצעת חוק בתי המשפט (תיקון - שימוע ובחירות חשאיות לשופטי בית המשפט העליון), התשפ''א-2021")</f>
        <v>18736</v>
      </c>
      <c r="E9637" t="s">
        <v>18736</v>
      </c>
      <c r="F9637" t="s">
        <v>18737</v>
      </c>
      <c r="G9637" t="s">
        <v>14</v>
      </c>
      <c r="H9637">
             </c>
      <c r="I9637" t="s">
        <v>14</v>
      </c>
      <c r="J9637" t="s">
        <v>55</v>
      </c>
      <c r="K9637" t="s">
        <v>14</v>
      </c>
      <c r="L9637" t="s">
        <v>20</v>
      </c>
      <c r="M9637" t="s">
        <v>18725</v>
      </c>
      <c r="N9637" t="s">
        <v>14</v>
      </c>
    </row>
    <row r="9638" x14ac:dyDescent="0.25">
      <c r="A9638" t="n">
        <v>24</v>
      </c>
      <c r="B9638" t="s">
        <v>14</v>
      </c>
      <c r="C9638" t="s">
        <v>22</v>
      </c>
      <c r="D9638" s="2" t="s">
        <f>=HYPERLINK("https://main.knesset.gov.il/APPS/legislation/main/bills/2159562", "הצעת חוק סל הקליטה (תיקון - סל קליטה לחוזר בתשובה), התשפ""א-2021")</f>
        <v>18738</v>
      </c>
      <c r="E9638" t="s">
        <v>18738</v>
      </c>
      <c r="F9638" t="s">
        <v>18739</v>
      </c>
      <c r="G9638" t="s">
        <v>14</v>
      </c>
      <c r="H9638">
             </c>
      <c r="I9638" t="s">
        <v>14</v>
      </c>
      <c r="J9638" t="s">
        <v>55</v>
      </c>
      <c r="K9638" t="s">
        <v>14</v>
      </c>
      <c r="L9638" t="s">
        <v>20</v>
      </c>
      <c r="M9638" t="s">
        <v>18725</v>
      </c>
      <c r="N9638" t="s">
        <v>14</v>
      </c>
    </row>
    <row r="9639" x14ac:dyDescent="0.25">
      <c r="A9639" t="n">
        <v>24</v>
      </c>
      <c r="B9639" t="s">
        <v>14</v>
      </c>
      <c r="C9639" t="s">
        <v>22</v>
      </c>
      <c r="D9639" s="2" t="s">
        <f>=HYPERLINK("https://main.knesset.gov.il/APPS/legislation/main/bills/2159218", "הצעת חוק סל הקליטה (תיקון - זכאות לחוזר בתשובה), התשפ""א-2021")</f>
        <v>18740</v>
      </c>
      <c r="E9639" t="s">
        <v>18740</v>
      </c>
      <c r="F9639" t="s">
        <v>18741</v>
      </c>
      <c r="G9639" t="s">
        <v>14</v>
      </c>
      <c r="H9639">
             </c>
      <c r="I9639" t="s">
        <v>14</v>
      </c>
      <c r="J9639" t="s">
        <v>55</v>
      </c>
      <c r="K9639" t="s">
        <v>14</v>
      </c>
      <c r="L9639" t="s">
        <v>20</v>
      </c>
      <c r="M9639" t="s">
        <v>18725</v>
      </c>
      <c r="N9639" t="s">
        <v>14</v>
      </c>
    </row>
    <row r="9640" x14ac:dyDescent="0.25">
      <c r="A9640" t="n">
        <v>24</v>
      </c>
      <c r="B9640" t="s">
        <v>14</v>
      </c>
      <c r="C9640" t="s">
        <v>22</v>
      </c>
      <c r="D9640" s="2" t="s">
        <f>=HYPERLINK("https://main.knesset.gov.il/APPS/legislation/main/bills/2159360", "הצעת חוק שירות המדינה (מינויים) (תיקון - מינוי יועצים משפטיים של משרדים), התשפ""א-2021 ")</f>
        <v>18742</v>
      </c>
      <c r="E9640" t="s">
        <v>18742</v>
      </c>
      <c r="F9640" t="s">
        <v>18743</v>
      </c>
      <c r="G9640" t="s">
        <v>14</v>
      </c>
      <c r="H9640">
             </c>
      <c r="I9640" t="s">
        <v>14</v>
      </c>
      <c r="J9640" t="s">
        <v>55</v>
      </c>
      <c r="K9640" t="s">
        <v>14</v>
      </c>
      <c r="L9640" t="s">
        <v>20</v>
      </c>
      <c r="M9640" t="s">
        <v>18725</v>
      </c>
      <c r="N9640" t="s">
        <v>14</v>
      </c>
    </row>
    <row r="9641" x14ac:dyDescent="0.25">
      <c r="A9641" t="n">
        <v>24</v>
      </c>
      <c r="B9641" t="s">
        <v>14</v>
      </c>
      <c r="C9641" t="s">
        <v>22</v>
      </c>
      <c r="D9641" s="2" t="s">
        <f>=HYPERLINK("https://main.knesset.gov.il/APPS/legislation/main/bills/2159382", "הצעת חוק-יסוד: כניסה, הגירה ומעמד בישראל")</f>
        <v>2331</v>
      </c>
      <c r="E9641" t="s">
        <v>2331</v>
      </c>
      <c r="F9641" t="s">
        <v>18744</v>
      </c>
      <c r="G9641" t="s">
        <v>14</v>
      </c>
      <c r="H9641">
             </c>
      <c r="I9641" t="s">
        <v>14</v>
      </c>
      <c r="J9641" t="s">
        <v>55</v>
      </c>
      <c r="K9641" t="s">
        <v>14</v>
      </c>
      <c r="L9641" t="s">
        <v>20</v>
      </c>
      <c r="M9641" t="s">
        <v>18725</v>
      </c>
      <c r="N9641" t="s">
        <v>14</v>
      </c>
    </row>
    <row r="9642" x14ac:dyDescent="0.25">
      <c r="A9642" t="n">
        <v>24</v>
      </c>
      <c r="B9642" t="s">
        <v>14</v>
      </c>
      <c r="C9642" t="s">
        <v>22</v>
      </c>
      <c r="D9642" s="2" t="s">
        <f>=HYPERLINK("https://main.knesset.gov.il/APPS/legislation/main/bills/2156348", "הצעת חוק העונשין (תיקון - גזר דין עונש מוות למורשע ברצח בנסיבות טרור), התשפ""א-2021")</f>
        <v>18732</v>
      </c>
      <c r="E9642" t="s">
        <v>18732</v>
      </c>
      <c r="F9642" t="s">
        <v>18745</v>
      </c>
      <c r="G9642" t="s">
        <v>14</v>
      </c>
      <c r="H9642">
             </c>
      <c r="I9642" t="s">
        <v>14</v>
      </c>
      <c r="J9642" t="s">
        <v>55</v>
      </c>
      <c r="K9642" t="s">
        <v>14</v>
      </c>
      <c r="L9642" t="s">
        <v>20</v>
      </c>
      <c r="M9642" t="s">
        <v>18725</v>
      </c>
      <c r="N9642" t="s">
        <v>14</v>
      </c>
    </row>
    <row r="9643" x14ac:dyDescent="0.25">
      <c r="A9643" t="n">
        <v>24</v>
      </c>
      <c r="B9643" t="s">
        <v>14</v>
      </c>
      <c r="C9643" t="s">
        <v>22</v>
      </c>
      <c r="D9643" s="2" t="s">
        <f>=HYPERLINK("https://main.knesset.gov.il/APPS/legislation/main/bills/2156445", "הצעת חוק ביטוח בריאות ממלכתי (תיקון - צמצום פערים בין הפריפריה למרכז), התשפ""א-2021")</f>
        <v>16839</v>
      </c>
      <c r="E9643" t="s">
        <v>16839</v>
      </c>
      <c r="F9643" t="s">
        <v>18746</v>
      </c>
      <c r="G9643" t="s">
        <v>14</v>
      </c>
      <c r="H9643">
             </c>
      <c r="I9643" t="s">
        <v>14</v>
      </c>
      <c r="J9643" t="s">
        <v>31</v>
      </c>
      <c r="K9643" t="s">
        <v>480</v>
      </c>
      <c r="L9643" t="s">
        <v>20</v>
      </c>
      <c r="M9643" t="s">
        <v>18747</v>
      </c>
      <c r="N9643" t="s">
        <v>14</v>
      </c>
    </row>
    <row r="9644" x14ac:dyDescent="0.25">
      <c r="A9644" t="n">
        <v>24</v>
      </c>
      <c r="B9644" t="s">
        <v>14</v>
      </c>
      <c r="C9644" t="s">
        <v>20</v>
      </c>
      <c r="D9644" s="2" t="s">
        <f>=HYPERLINK("https://main.knesset.gov.il/APPS/legislation/main/bills/2161465", "חוק לעניין ועדות הכנסת (תיקוני חקיקה והוראת שעה), התשפ""ב-2021")</f>
        <v>18748</v>
      </c>
      <c r="E9644" t="s">
        <v>18748</v>
      </c>
      <c r="F9644" t="s">
        <v>14</v>
      </c>
      <c r="G9644" t="s">
        <v>18749</v>
      </c>
      <c r="H9644" t="n">
        <v>2929</v>
      </c>
      <c r="I9644" t="s">
        <v>14</v>
      </c>
      <c r="J9644" t="s">
        <v>91</v>
      </c>
      <c r="K9644" t="s">
        <v>121</v>
      </c>
      <c r="L9644" t="s">
        <v>20</v>
      </c>
      <c r="M9644" t="s">
        <v>18747</v>
      </c>
      <c r="N9644" t="s">
        <v>18750</v>
      </c>
    </row>
    <row r="9645" x14ac:dyDescent="0.25">
      <c r="A9645" t="n">
        <v>24</v>
      </c>
      <c r="B9645" t="s">
        <v>14</v>
      </c>
      <c r="C9645" t="s">
        <v>15</v>
      </c>
      <c r="D9645" s="2" t="s">
        <f>=HYPERLINK("https://main.knesset.gov.il/APPS/legislation/main/bills/2162334", "חוק שחרור על-תנאי ממאסר (תיקון מס' 17 – הוראת שעה) (תיקון), התשפ""ב-2021")</f>
        <v>18751</v>
      </c>
      <c r="E9645" t="s">
        <v>18751</v>
      </c>
      <c r="F9645" t="s">
        <v>14</v>
      </c>
      <c r="G9645" t="s">
        <v>18752</v>
      </c>
      <c r="H9645" t="n">
        <v>2928</v>
      </c>
      <c r="I9645" t="s">
        <v>14</v>
      </c>
      <c r="J9645" t="s">
        <v>91</v>
      </c>
      <c r="K9645" t="s">
        <v>27</v>
      </c>
      <c r="L9645" t="s">
        <v>20</v>
      </c>
      <c r="M9645" t="s">
        <v>18747</v>
      </c>
      <c r="N9645" t="s">
        <v>18753</v>
      </c>
    </row>
    <row r="9646" x14ac:dyDescent="0.25">
      <c r="A9646" t="n">
        <v>24</v>
      </c>
      <c r="B9646" t="s">
        <v>14</v>
      </c>
      <c r="C9646" t="s">
        <v>22</v>
      </c>
      <c r="D9646" s="2" t="s">
        <f>=HYPERLINK("https://main.knesset.gov.il/APPS/legislation/main/bills/2162527", "הצעת חוק הכנסת (תיקון - קביעת שכר חברי הכנסת בידי ועדה ציבורית), התשפ""ב-2021")</f>
        <v>18754</v>
      </c>
      <c r="E9646" t="s">
        <v>18754</v>
      </c>
      <c r="F9646" t="s">
        <v>18755</v>
      </c>
      <c r="G9646" t="s">
        <v>14</v>
      </c>
      <c r="H9646">
             </c>
      <c r="I9646" t="s">
        <v>14</v>
      </c>
      <c r="J9646" t="s">
        <v>141</v>
      </c>
      <c r="K9646" t="s">
        <v>14</v>
      </c>
      <c r="L9646" t="s">
        <v>20</v>
      </c>
      <c r="M9646" t="s">
        <v>18747</v>
      </c>
      <c r="N9646" t="s">
        <v>14</v>
      </c>
    </row>
    <row r="9647" x14ac:dyDescent="0.25">
      <c r="A9647" t="n">
        <v>24</v>
      </c>
      <c r="B9647" t="s">
        <v>14</v>
      </c>
      <c r="C9647" t="s">
        <v>22</v>
      </c>
      <c r="D9647" s="2" t="s">
        <f>=HYPERLINK("https://main.knesset.gov.il/APPS/legislation/main/bills/2160570", "הצעת חוק התכנון והבנייה (תיקון - דחיית תשלום היטל השבחה אגב גירושין), התשפ""ב-2021")</f>
        <v>18756</v>
      </c>
      <c r="E9647" t="s">
        <v>18756</v>
      </c>
      <c r="F9647" t="s">
        <v>18757</v>
      </c>
      <c r="G9647" t="s">
        <v>14</v>
      </c>
      <c r="H9647">
             </c>
      <c r="I9647" t="s">
        <v>14</v>
      </c>
      <c r="J9647" t="s">
        <v>141</v>
      </c>
      <c r="K9647" t="s">
        <v>14</v>
      </c>
      <c r="L9647" t="s">
        <v>20</v>
      </c>
      <c r="M9647" t="s">
        <v>18747</v>
      </c>
      <c r="N9647" t="s">
        <v>14</v>
      </c>
    </row>
    <row r="9648" x14ac:dyDescent="0.25">
      <c r="A9648" t="n">
        <v>24</v>
      </c>
      <c r="B9648" t="s">
        <v>14</v>
      </c>
      <c r="C9648" t="s">
        <v>22</v>
      </c>
      <c r="D9648" s="2" t="s">
        <f>=HYPERLINK("https://main.knesset.gov.il/APPS/legislation/main/bills/2161183", "הצעת חוק הסדרת העיסוק במקצועות הבריאות (תיקון - הסדרת העיסוק בפודולוגיה), התשפ""ב-2021")</f>
        <v>18013</v>
      </c>
      <c r="E9648" t="s">
        <v>18013</v>
      </c>
      <c r="F9648" t="s">
        <v>18758</v>
      </c>
      <c r="G9648" t="s">
        <v>14</v>
      </c>
      <c r="H9648">
             </c>
      <c r="I9648" t="s">
        <v>14</v>
      </c>
      <c r="J9648" t="s">
        <v>141</v>
      </c>
      <c r="K9648" t="s">
        <v>14</v>
      </c>
      <c r="L9648" t="s">
        <v>20</v>
      </c>
      <c r="M9648" t="s">
        <v>18747</v>
      </c>
      <c r="N9648" t="s">
        <v>14</v>
      </c>
    </row>
    <row r="9649" x14ac:dyDescent="0.25">
      <c r="A9649" t="n">
        <v>24</v>
      </c>
      <c r="B9649" t="s">
        <v>14</v>
      </c>
      <c r="C9649" t="s">
        <v>22</v>
      </c>
      <c r="D9649" s="2" t="s">
        <f>=HYPERLINK("https://main.knesset.gov.il/APPS/legislation/main/bills/2162468", "הצעת חוק הביטוח הלאומי (תיקון - גמלה לשמירת היריון לאם שילדה פג), התשפ""ב-2021")</f>
        <v>18759</v>
      </c>
      <c r="E9649" t="s">
        <v>18759</v>
      </c>
      <c r="F9649" t="s">
        <v>18760</v>
      </c>
      <c r="G9649" t="s">
        <v>14</v>
      </c>
      <c r="H9649">
             </c>
      <c r="I9649" t="s">
        <v>14</v>
      </c>
      <c r="J9649" t="s">
        <v>141</v>
      </c>
      <c r="K9649" t="s">
        <v>14</v>
      </c>
      <c r="L9649" t="s">
        <v>20</v>
      </c>
      <c r="M9649" t="s">
        <v>18747</v>
      </c>
      <c r="N9649" t="s">
        <v>14</v>
      </c>
    </row>
    <row r="9650" x14ac:dyDescent="0.25">
      <c r="A9650" t="n">
        <v>24</v>
      </c>
      <c r="B9650" t="s">
        <v>14</v>
      </c>
      <c r="C9650" t="s">
        <v>22</v>
      </c>
      <c r="D9650" s="2" t="s">
        <f>=HYPERLINK("https://main.knesset.gov.il/APPS/legislation/main/bills/2162469", "הצעת חוק הביטוח הלאומי (תיקון - זכות טיעון לפני שלילת גמלה), התשפ""ב-2021")</f>
        <v>18761</v>
      </c>
      <c r="E9650" t="s">
        <v>18761</v>
      </c>
      <c r="F9650" t="s">
        <v>18762</v>
      </c>
      <c r="G9650" t="s">
        <v>14</v>
      </c>
      <c r="H9650">
             </c>
      <c r="I9650" t="s">
        <v>14</v>
      </c>
      <c r="J9650" t="s">
        <v>141</v>
      </c>
      <c r="K9650" t="s">
        <v>14</v>
      </c>
      <c r="L9650" t="s">
        <v>20</v>
      </c>
      <c r="M9650" t="s">
        <v>18747</v>
      </c>
      <c r="N9650" t="s">
        <v>14</v>
      </c>
    </row>
    <row r="9651" x14ac:dyDescent="0.25">
      <c r="A9651" t="n">
        <v>24</v>
      </c>
      <c r="B9651" t="s">
        <v>14</v>
      </c>
      <c r="C9651" t="s">
        <v>22</v>
      </c>
      <c r="D9651" s="2" t="s">
        <f>=HYPERLINK("https://main.knesset.gov.il/APPS/legislation/main/bills/2157347", "הצעת חוק דחיית מועד תשלום מסים בעת מצב מיוחד בעורף (תיקוני חקיקה), התשפ""ב-2021")</f>
        <v>18763</v>
      </c>
      <c r="E9651" t="s">
        <v>18763</v>
      </c>
      <c r="F9651" t="s">
        <v>18764</v>
      </c>
      <c r="G9651" t="s">
        <v>14</v>
      </c>
      <c r="H9651">
             </c>
      <c r="I9651" t="s">
        <v>14</v>
      </c>
      <c r="J9651" t="s">
        <v>141</v>
      </c>
      <c r="K9651" t="s">
        <v>14</v>
      </c>
      <c r="L9651" t="s">
        <v>20</v>
      </c>
      <c r="M9651" t="s">
        <v>18747</v>
      </c>
      <c r="N9651" t="s">
        <v>14</v>
      </c>
    </row>
    <row r="9652" x14ac:dyDescent="0.25">
      <c r="A9652" t="n">
        <v>24</v>
      </c>
      <c r="B9652" t="s">
        <v>14</v>
      </c>
      <c r="C9652" t="s">
        <v>22</v>
      </c>
      <c r="D9652" s="2" t="s">
        <f>=HYPERLINK("https://main.knesset.gov.il/APPS/legislation/main/bills/2162315", "הצעת חוק שיווי זכויות האישה (תיקון - ייצוג הולם לנשים בכנסים במימון ציבורי), התשפ""ב-2021")</f>
        <v>18765</v>
      </c>
      <c r="E9652" t="s">
        <v>18765</v>
      </c>
      <c r="F9652" t="s">
        <v>18766</v>
      </c>
      <c r="G9652" t="s">
        <v>14</v>
      </c>
      <c r="H9652">
             </c>
      <c r="I9652" t="s">
        <v>14</v>
      </c>
      <c r="J9652" t="s">
        <v>141</v>
      </c>
      <c r="K9652" t="s">
        <v>14</v>
      </c>
      <c r="L9652" t="s">
        <v>20</v>
      </c>
      <c r="M9652" t="s">
        <v>18747</v>
      </c>
      <c r="N9652" t="s">
        <v>14</v>
      </c>
    </row>
    <row r="9653" x14ac:dyDescent="0.25">
      <c r="A9653" t="n">
        <v>24</v>
      </c>
      <c r="B9653" t="s">
        <v>14</v>
      </c>
      <c r="C9653" t="s">
        <v>22</v>
      </c>
      <c r="D9653" s="2" t="s">
        <f>=HYPERLINK("https://main.knesset.gov.il/APPS/legislation/main/bills/2162471", "הצעת חוק הביטוח הלאומי (תיקון - מימון הסעת יולדת באמבולנס), התשפ""ב-2021")</f>
        <v>18767</v>
      </c>
      <c r="E9653" t="s">
        <v>18767</v>
      </c>
      <c r="F9653" t="s">
        <v>18768</v>
      </c>
      <c r="G9653" t="s">
        <v>14</v>
      </c>
      <c r="H9653">
             </c>
      <c r="I9653" t="s">
        <v>14</v>
      </c>
      <c r="J9653" t="s">
        <v>141</v>
      </c>
      <c r="K9653" t="s">
        <v>14</v>
      </c>
      <c r="L9653" t="s">
        <v>20</v>
      </c>
      <c r="M9653" t="s">
        <v>18747</v>
      </c>
      <c r="N9653" t="s">
        <v>14</v>
      </c>
    </row>
    <row r="9654" x14ac:dyDescent="0.25">
      <c r="A9654" t="n">
        <v>24</v>
      </c>
      <c r="B9654" t="s">
        <v>14</v>
      </c>
      <c r="C9654" t="s">
        <v>22</v>
      </c>
      <c r="D9654" s="2" t="s">
        <f>=HYPERLINK("https://main.knesset.gov.il/APPS/legislation/main/bills/2162472", "הצעת חוק הביטוח הלאומי (תיקון - מימון סייעת לילדים שאינם יכולים לשהות במעון), התשפ""ב-2021")</f>
        <v>18769</v>
      </c>
      <c r="E9654" t="s">
        <v>18769</v>
      </c>
      <c r="F9654" t="s">
        <v>18770</v>
      </c>
      <c r="G9654" t="s">
        <v>14</v>
      </c>
      <c r="H9654">
             </c>
      <c r="I9654" t="s">
        <v>14</v>
      </c>
      <c r="J9654" t="s">
        <v>141</v>
      </c>
      <c r="K9654" t="s">
        <v>14</v>
      </c>
      <c r="L9654" t="s">
        <v>20</v>
      </c>
      <c r="M9654" t="s">
        <v>18747</v>
      </c>
      <c r="N9654" t="s">
        <v>14</v>
      </c>
    </row>
    <row r="9655" x14ac:dyDescent="0.25">
      <c r="A9655" t="n">
        <v>24</v>
      </c>
      <c r="B9655" t="s">
        <v>14</v>
      </c>
      <c r="C9655" t="s">
        <v>22</v>
      </c>
      <c r="D9655" s="2" t="s">
        <f>=HYPERLINK("https://main.knesset.gov.il/APPS/legislation/main/bills/2159875", "הצעת חוק הגנת השכר (תיקון - מועד תשלום דו-שבועי), התשפ""ב-2021")</f>
        <v>18771</v>
      </c>
      <c r="E9655" t="s">
        <v>18771</v>
      </c>
      <c r="F9655" t="s">
        <v>18772</v>
      </c>
      <c r="G9655" t="s">
        <v>14</v>
      </c>
      <c r="H9655">
             </c>
      <c r="I9655" t="s">
        <v>14</v>
      </c>
      <c r="J9655" t="s">
        <v>141</v>
      </c>
      <c r="K9655" t="s">
        <v>14</v>
      </c>
      <c r="L9655" t="s">
        <v>20</v>
      </c>
      <c r="M9655" t="s">
        <v>18747</v>
      </c>
      <c r="N9655" t="s">
        <v>14</v>
      </c>
    </row>
    <row r="9656" x14ac:dyDescent="0.25">
      <c r="A9656" t="n">
        <v>24</v>
      </c>
      <c r="B9656" t="s">
        <v>14</v>
      </c>
      <c r="C9656" t="s">
        <v>22</v>
      </c>
      <c r="D9656" s="2" t="s">
        <f>=HYPERLINK("https://main.knesset.gov.il/APPS/legislation/main/bills/2162474", "הצעת חוק הביטוח הלאומי (תיקון - ערעור על החלטת ועדה לעררים), התשפ""ב-2021")</f>
        <v>18773</v>
      </c>
      <c r="E9656" t="s">
        <v>18773</v>
      </c>
      <c r="F9656" t="s">
        <v>18774</v>
      </c>
      <c r="G9656" t="s">
        <v>14</v>
      </c>
      <c r="H9656">
             </c>
      <c r="I9656" t="s">
        <v>14</v>
      </c>
      <c r="J9656" t="s">
        <v>141</v>
      </c>
      <c r="K9656" t="s">
        <v>14</v>
      </c>
      <c r="L9656" t="s">
        <v>20</v>
      </c>
      <c r="M9656" t="s">
        <v>18747</v>
      </c>
      <c r="N9656" t="s">
        <v>14</v>
      </c>
    </row>
    <row r="9657" x14ac:dyDescent="0.25">
      <c r="A9657" t="n">
        <v>24</v>
      </c>
      <c r="B9657" t="s">
        <v>14</v>
      </c>
      <c r="C9657" t="s">
        <v>22</v>
      </c>
      <c r="D9657" s="2" t="s">
        <f>=HYPERLINK("https://main.knesset.gov.il/APPS/legislation/main/bills/2162475", "הצעת חוק הביטוח הלאומי (תיקון - קביעת דרגת נכות לנפגעי עבודה), התשפ""ב-2021")</f>
        <v>18775</v>
      </c>
      <c r="E9657" t="s">
        <v>18775</v>
      </c>
      <c r="F9657" t="s">
        <v>18776</v>
      </c>
      <c r="G9657" t="s">
        <v>14</v>
      </c>
      <c r="H9657">
             </c>
      <c r="I9657" t="s">
        <v>14</v>
      </c>
      <c r="J9657" t="s">
        <v>141</v>
      </c>
      <c r="K9657" t="s">
        <v>14</v>
      </c>
      <c r="L9657" t="s">
        <v>20</v>
      </c>
      <c r="M9657" t="s">
        <v>18747</v>
      </c>
      <c r="N9657" t="s">
        <v>14</v>
      </c>
    </row>
    <row r="9658" x14ac:dyDescent="0.25">
      <c r="A9658" t="n">
        <v>24</v>
      </c>
      <c r="B9658" t="s">
        <v>14</v>
      </c>
      <c r="C9658" t="s">
        <v>22</v>
      </c>
      <c r="D9658" s="2" t="s">
        <f>=HYPERLINK("https://main.knesset.gov.il/APPS/legislation/main/bills/2162317", "הצעת חוק דמי הבראה, התשפ""ב-2021")</f>
        <v>18777</v>
      </c>
      <c r="E9658" t="s">
        <v>18777</v>
      </c>
      <c r="F9658" t="s">
        <v>18778</v>
      </c>
      <c r="G9658" t="s">
        <v>14</v>
      </c>
      <c r="H9658">
             </c>
      <c r="I9658" t="s">
        <v>14</v>
      </c>
      <c r="J9658" t="s">
        <v>141</v>
      </c>
      <c r="K9658" t="s">
        <v>14</v>
      </c>
      <c r="L9658" t="s">
        <v>20</v>
      </c>
      <c r="M9658" t="s">
        <v>18747</v>
      </c>
      <c r="N9658" t="s">
        <v>14</v>
      </c>
    </row>
    <row r="9659" x14ac:dyDescent="0.25">
      <c r="A9659" t="n">
        <v>24</v>
      </c>
      <c r="B9659" t="s">
        <v>14</v>
      </c>
      <c r="C9659" t="s">
        <v>22</v>
      </c>
      <c r="D9659" s="2" t="s">
        <f>=HYPERLINK("https://main.knesset.gov.il/APPS/legislation/main/bills/2162365", "הצעת חוק מענק הסתגלות מיוחד לבני 67 ומעלה (הוראת שעה - נגיף הקורונה החדש) (תיקון - הארכת מענק ההסתגלות), התשפ""ב-2021")</f>
        <v>18779</v>
      </c>
      <c r="E9659" t="s">
        <v>18779</v>
      </c>
      <c r="F9659" t="s">
        <v>18780</v>
      </c>
      <c r="G9659" t="s">
        <v>14</v>
      </c>
      <c r="H9659">
             </c>
      <c r="I9659" t="s">
        <v>14</v>
      </c>
      <c r="J9659" t="s">
        <v>141</v>
      </c>
      <c r="K9659" t="s">
        <v>14</v>
      </c>
      <c r="L9659" t="s">
        <v>20</v>
      </c>
      <c r="M9659" t="s">
        <v>18747</v>
      </c>
      <c r="N9659" t="s">
        <v>14</v>
      </c>
    </row>
    <row r="9660" x14ac:dyDescent="0.25">
      <c r="A9660" t="n">
        <v>24</v>
      </c>
      <c r="B9660" t="s">
        <v>14</v>
      </c>
      <c r="C9660" t="s">
        <v>22</v>
      </c>
      <c r="D9660" s="2" t="s">
        <f>=HYPERLINK("https://main.knesset.gov.il/APPS/legislation/main/bills/2162511", "הצעת חוק לתיקון פקודת מס הכנסה (הטבות מס ליישובים), התשפ""ב-2021")</f>
        <v>18781</v>
      </c>
      <c r="E9660" t="s">
        <v>18781</v>
      </c>
      <c r="F9660" t="s">
        <v>18782</v>
      </c>
      <c r="G9660" t="s">
        <v>14</v>
      </c>
      <c r="H9660">
             </c>
      <c r="I9660" t="s">
        <v>14</v>
      </c>
      <c r="J9660" t="s">
        <v>343</v>
      </c>
      <c r="K9660" t="s">
        <v>14</v>
      </c>
      <c r="L9660" t="s">
        <v>20</v>
      </c>
      <c r="M9660" t="s">
        <v>18747</v>
      </c>
      <c r="N9660" t="s">
        <v>14</v>
      </c>
    </row>
    <row r="9661" x14ac:dyDescent="0.25">
      <c r="A9661" t="n">
        <v>24</v>
      </c>
      <c r="B9661" t="s">
        <v>14</v>
      </c>
      <c r="C9661" t="s">
        <v>22</v>
      </c>
      <c r="D9661" s="2" t="s">
        <f>=HYPERLINK("https://main.knesset.gov.il/APPS/legislation/main/bills/2162619", "הצעת חוק זכויות הדייר בדיור הציבורי (תיקון - זכות למגורים בדירה ציבורית לנשים ששהו במקלט לנשים מוכות), התשפ""ב-2021")</f>
        <v>18783</v>
      </c>
      <c r="E9661" t="s">
        <v>18783</v>
      </c>
      <c r="F9661" t="s">
        <v>18784</v>
      </c>
      <c r="G9661" t="s">
        <v>14</v>
      </c>
      <c r="H9661">
             </c>
      <c r="I9661" t="s">
        <v>14</v>
      </c>
      <c r="J9661" t="s">
        <v>141</v>
      </c>
      <c r="K9661" t="s">
        <v>14</v>
      </c>
      <c r="L9661" t="s">
        <v>20</v>
      </c>
      <c r="M9661" t="s">
        <v>18747</v>
      </c>
      <c r="N9661" t="s">
        <v>14</v>
      </c>
    </row>
    <row r="9662" x14ac:dyDescent="0.25">
      <c r="A9662" t="n">
        <v>24</v>
      </c>
      <c r="B9662" t="s">
        <v>14</v>
      </c>
      <c r="C9662" t="s">
        <v>22</v>
      </c>
      <c r="D9662" s="2" t="s">
        <f>=HYPERLINK("https://main.knesset.gov.il/APPS/legislation/main/bills/2162466", "הצעת חוק האזרחים הוותיקים (תיקון - לחצן מצוקה לקשיש), התשפ""ב-2021")</f>
        <v>18785</v>
      </c>
      <c r="E9662" t="s">
        <v>18785</v>
      </c>
      <c r="F9662" t="s">
        <v>18786</v>
      </c>
      <c r="G9662" t="s">
        <v>14</v>
      </c>
      <c r="H9662">
             </c>
      <c r="I9662" t="s">
        <v>14</v>
      </c>
      <c r="J9662" t="s">
        <v>141</v>
      </c>
      <c r="K9662" t="s">
        <v>14</v>
      </c>
      <c r="L9662" t="s">
        <v>20</v>
      </c>
      <c r="M9662" t="s">
        <v>18747</v>
      </c>
      <c r="N9662" t="s">
        <v>14</v>
      </c>
    </row>
    <row r="9663" x14ac:dyDescent="0.25">
      <c r="A9663" t="n">
        <v>24</v>
      </c>
      <c r="B9663" t="s">
        <v>14</v>
      </c>
      <c r="C9663" t="s">
        <v>22</v>
      </c>
      <c r="D9663" s="2" t="s">
        <f>=HYPERLINK("https://main.knesset.gov.il/APPS/legislation/main/bills/2161340", "הצעת חוק הסדרת מעמדם של אנשי צוות בהפקות מקומיות, התשפ""ב-2021")</f>
        <v>18787</v>
      </c>
      <c r="E9663" t="s">
        <v>18787</v>
      </c>
      <c r="F9663" t="s">
        <v>18788</v>
      </c>
      <c r="G9663" t="s">
        <v>14</v>
      </c>
      <c r="H9663">
             </c>
      <c r="I9663" t="s">
        <v>14</v>
      </c>
      <c r="J9663" t="s">
        <v>141</v>
      </c>
      <c r="K9663" t="s">
        <v>14</v>
      </c>
      <c r="L9663" t="s">
        <v>20</v>
      </c>
      <c r="M9663" t="s">
        <v>18747</v>
      </c>
      <c r="N9663" t="s">
        <v>14</v>
      </c>
    </row>
    <row r="9664" x14ac:dyDescent="0.25">
      <c r="A9664" t="n">
        <v>24</v>
      </c>
      <c r="B9664" t="s">
        <v>14</v>
      </c>
      <c r="C9664" t="s">
        <v>22</v>
      </c>
      <c r="D9664" s="2" t="s">
        <f>=HYPERLINK("https://main.knesset.gov.il/APPS/legislation/main/bills/2162477", "הצעת חוק הביטוח הלאומי (תיקון - קצבת תלויים וקצבת אזרח ותיק), התשפ""ב-2021")</f>
        <v>18789</v>
      </c>
      <c r="E9664" t="s">
        <v>18789</v>
      </c>
      <c r="F9664" t="s">
        <v>18790</v>
      </c>
      <c r="G9664" t="s">
        <v>14</v>
      </c>
      <c r="H9664">
             </c>
      <c r="I9664" t="s">
        <v>14</v>
      </c>
      <c r="J9664" t="s">
        <v>141</v>
      </c>
      <c r="K9664" t="s">
        <v>14</v>
      </c>
      <c r="L9664" t="s">
        <v>20</v>
      </c>
      <c r="M9664" t="s">
        <v>18747</v>
      </c>
      <c r="N9664" t="s">
        <v>14</v>
      </c>
    </row>
    <row r="9665" x14ac:dyDescent="0.25">
      <c r="A9665" t="n">
        <v>24</v>
      </c>
      <c r="B9665" t="s">
        <v>14</v>
      </c>
      <c r="C9665" t="s">
        <v>22</v>
      </c>
      <c r="D9665" s="2" t="s">
        <f>=HYPERLINK("https://main.knesset.gov.il/APPS/legislation/main/bills/2161952", "הצעת חוק הרשויות המקומיות (מימון בחירות) (תיקון - רשימות מעורבות), התשפ""ב-2021")</f>
        <v>18791</v>
      </c>
      <c r="E9665" t="s">
        <v>18791</v>
      </c>
      <c r="F9665" t="s">
        <v>18792</v>
      </c>
      <c r="G9665" t="s">
        <v>14</v>
      </c>
      <c r="H9665">
             </c>
      <c r="I9665" t="s">
        <v>14</v>
      </c>
      <c r="J9665" t="s">
        <v>141</v>
      </c>
      <c r="K9665" t="s">
        <v>14</v>
      </c>
      <c r="L9665" t="s">
        <v>20</v>
      </c>
      <c r="M9665" t="s">
        <v>18747</v>
      </c>
      <c r="N9665" t="s">
        <v>14</v>
      </c>
    </row>
    <row r="9666" x14ac:dyDescent="0.25">
      <c r="A9666" t="n">
        <v>24</v>
      </c>
      <c r="B9666" t="s">
        <v>14</v>
      </c>
      <c r="C9666" t="s">
        <v>22</v>
      </c>
      <c r="D9666" s="2" t="s">
        <f>=HYPERLINK("https://main.knesset.gov.il/APPS/legislation/main/bills/2161913", "הצעת חוק השבות (תיקון - צמצום הזכאים לזכויות), התשפ""ב-2021")</f>
        <v>18793</v>
      </c>
      <c r="E9666" t="s">
        <v>18793</v>
      </c>
      <c r="F9666" t="s">
        <v>18794</v>
      </c>
      <c r="G9666" t="s">
        <v>14</v>
      </c>
      <c r="H9666">
             </c>
      <c r="I9666" t="s">
        <v>14</v>
      </c>
      <c r="J9666" t="s">
        <v>141</v>
      </c>
      <c r="K9666" t="s">
        <v>14</v>
      </c>
      <c r="L9666" t="s">
        <v>20</v>
      </c>
      <c r="M9666" t="s">
        <v>18747</v>
      </c>
      <c r="N9666" t="s">
        <v>14</v>
      </c>
    </row>
    <row r="9667" x14ac:dyDescent="0.25">
      <c r="A9667" t="n">
        <v>24</v>
      </c>
      <c r="B9667" t="s">
        <v>14</v>
      </c>
      <c r="C9667" t="s">
        <v>22</v>
      </c>
      <c r="D9667" s="2" t="s">
        <f>=HYPERLINK("https://main.knesset.gov.il/APPS/legislation/main/bills/2162304", "הצעת חוק עבודת נשים (תיקון - תקופת לידה והורות לבן זוג של סטודנטית), התשפ""ב-2021")</f>
        <v>18795</v>
      </c>
      <c r="E9667" t="s">
        <v>18795</v>
      </c>
      <c r="F9667" t="s">
        <v>18796</v>
      </c>
      <c r="G9667" t="s">
        <v>14</v>
      </c>
      <c r="H9667">
             </c>
      <c r="I9667" t="s">
        <v>14</v>
      </c>
      <c r="J9667" t="s">
        <v>141</v>
      </c>
      <c r="K9667" t="s">
        <v>14</v>
      </c>
      <c r="L9667" t="s">
        <v>20</v>
      </c>
      <c r="M9667" t="s">
        <v>18747</v>
      </c>
      <c r="N9667" t="s">
        <v>14</v>
      </c>
    </row>
    <row r="9668" x14ac:dyDescent="0.25">
      <c r="A9668" t="n">
        <v>24</v>
      </c>
      <c r="B9668" t="s">
        <v>14</v>
      </c>
      <c r="C9668" t="s">
        <v>22</v>
      </c>
      <c r="D9668" s="2" t="s">
        <f>=HYPERLINK("https://main.knesset.gov.il/APPS/legislation/main/bills/2159232", "הצעת חוק השכלה גבוהה חינם, התשפ""ב-2021")</f>
        <v>18797</v>
      </c>
      <c r="E9668" t="s">
        <v>18797</v>
      </c>
      <c r="F9668" t="s">
        <v>18798</v>
      </c>
      <c r="G9668" t="s">
        <v>14</v>
      </c>
      <c r="H9668">
             </c>
      <c r="I9668" t="s">
        <v>14</v>
      </c>
      <c r="J9668" t="s">
        <v>141</v>
      </c>
      <c r="K9668" t="s">
        <v>14</v>
      </c>
      <c r="L9668" t="s">
        <v>20</v>
      </c>
      <c r="M9668" t="s">
        <v>18747</v>
      </c>
      <c r="N9668" t="s">
        <v>14</v>
      </c>
    </row>
    <row r="9669" x14ac:dyDescent="0.25">
      <c r="A9669" t="n">
        <v>24</v>
      </c>
      <c r="B9669" t="s">
        <v>14</v>
      </c>
      <c r="C9669" t="s">
        <v>22</v>
      </c>
      <c r="D9669" s="2" t="s">
        <f>=HYPERLINK("https://main.knesset.gov.il/APPS/legislation/main/bills/2159341", "הצעת חוק פיקוח על בתי ספר (תיקון - הרחבת תחולה), התשפ""ב-2021")</f>
        <v>18799</v>
      </c>
      <c r="E9669" t="s">
        <v>18799</v>
      </c>
      <c r="F9669" t="s">
        <v>18800</v>
      </c>
      <c r="G9669" t="s">
        <v>14</v>
      </c>
      <c r="H9669">
             </c>
      <c r="I9669" t="s">
        <v>14</v>
      </c>
      <c r="J9669" t="s">
        <v>141</v>
      </c>
      <c r="K9669" t="s">
        <v>14</v>
      </c>
      <c r="L9669" t="s">
        <v>20</v>
      </c>
      <c r="M9669" t="s">
        <v>18747</v>
      </c>
      <c r="N9669" t="s">
        <v>14</v>
      </c>
    </row>
    <row r="9670" x14ac:dyDescent="0.25">
      <c r="A9670" t="n">
        <v>24</v>
      </c>
      <c r="B9670" t="s">
        <v>14</v>
      </c>
      <c r="C9670" t="s">
        <v>15</v>
      </c>
      <c r="D9670" s="2" t="s">
        <f>=HYPERLINK("https://main.knesset.gov.il/APPS/legislation/main/bills/2162045", "פרק י' (שונות), סעיף 29 (יום חינוך ארוך) מתוך הצעת חוק ההתייעלות הכלכלית (תיקוני חקיקה להשגת יעדי התקציב לשנות התקציב 2021 ו-2022), התשפ""א-2021")</f>
        <v>18801</v>
      </c>
      <c r="E9670" t="s">
        <v>18801</v>
      </c>
      <c r="F9670" t="s">
        <v>14</v>
      </c>
      <c r="G9670" t="s">
        <v>5568</v>
      </c>
      <c r="H9670">
             </c>
      <c r="I9670" t="s">
        <v>14</v>
      </c>
      <c r="J9670" t="s">
        <v>99</v>
      </c>
      <c r="K9670" t="s">
        <v>121</v>
      </c>
      <c r="L9670" t="s">
        <v>20</v>
      </c>
      <c r="M9670" t="s">
        <v>18802</v>
      </c>
      <c r="N9670" t="s">
        <v>14</v>
      </c>
    </row>
    <row r="9671" x14ac:dyDescent="0.25">
      <c r="A9671" t="n">
        <v>24</v>
      </c>
      <c r="B9671" t="s">
        <v>14</v>
      </c>
      <c r="C9671" t="s">
        <v>15</v>
      </c>
      <c r="D9671" s="2" t="s">
        <f>=HYPERLINK("https://main.knesset.gov.il/APPS/legislation/main/bills/2162044", "פרק י' (שונות), סעיף 33 (הטבות לניצולי שואה) מתוך הצעת חוק ההתייעלות הכלכלית (תיקוני חקיקה להשגת יעדי התקציב לשנות התקציב 2021 ו-2022), התשפ""א-2021")</f>
        <v>18803</v>
      </c>
      <c r="E9671" t="s">
        <v>18803</v>
      </c>
      <c r="F9671" t="s">
        <v>14</v>
      </c>
      <c r="G9671" t="s">
        <v>5568</v>
      </c>
      <c r="H9671">
             </c>
      <c r="I9671" t="s">
        <v>14</v>
      </c>
      <c r="J9671" t="s">
        <v>99</v>
      </c>
      <c r="K9671" t="s">
        <v>121</v>
      </c>
      <c r="L9671" t="s">
        <v>20</v>
      </c>
      <c r="M9671" t="s">
        <v>18804</v>
      </c>
      <c r="N9671" t="s">
        <v>14</v>
      </c>
    </row>
    <row r="9672" x14ac:dyDescent="0.25">
      <c r="A9672" t="n">
        <v>24</v>
      </c>
      <c r="B9672" t="s">
        <v>14</v>
      </c>
      <c r="C9672" t="s">
        <v>15</v>
      </c>
      <c r="D9672" s="2" t="s">
        <f>=HYPERLINK("https://main.knesset.gov.il/APPS/legislation/main/bills/2162033", "פרק ג' (הלוואות לדיור) מתוך הצעת חוק ההתייעלות הכלכלית (תיקוני חקיקה להשגת יעדי התקציב לשנות התקציב 2021 ו-2022), התשפ""א-2021")</f>
        <v>18805</v>
      </c>
      <c r="E9672" t="s">
        <v>18805</v>
      </c>
      <c r="F9672" t="s">
        <v>14</v>
      </c>
      <c r="G9672" t="s">
        <v>5568</v>
      </c>
      <c r="H9672">
             </c>
      <c r="I9672" t="s">
        <v>14</v>
      </c>
      <c r="J9672" t="s">
        <v>18</v>
      </c>
      <c r="K9672" t="s">
        <v>85</v>
      </c>
      <c r="L9672" t="s">
        <v>20</v>
      </c>
      <c r="M9672" t="s">
        <v>18804</v>
      </c>
      <c r="N9672" t="s">
        <v>14</v>
      </c>
    </row>
    <row r="9673" x14ac:dyDescent="0.25">
      <c r="A9673" t="n">
        <v>24</v>
      </c>
      <c r="B9673" t="s">
        <v>14</v>
      </c>
      <c r="C9673" t="s">
        <v>22</v>
      </c>
      <c r="D9673" s="2" t="s">
        <f>=HYPERLINK("https://main.knesset.gov.il/APPS/legislation/main/bills/2161363", "הצעת חוק שכר לחיילים בשירות סדיר, התשפ""א-2021")</f>
        <v>18806</v>
      </c>
      <c r="E9673" t="s">
        <v>18806</v>
      </c>
      <c r="F9673" t="s">
        <v>18807</v>
      </c>
      <c r="G9673" t="s">
        <v>14</v>
      </c>
      <c r="H9673">
             </c>
      <c r="I9673" t="s">
        <v>14</v>
      </c>
      <c r="J9673" t="s">
        <v>55</v>
      </c>
      <c r="K9673" t="s">
        <v>14</v>
      </c>
      <c r="L9673" t="s">
        <v>20</v>
      </c>
      <c r="M9673" t="s">
        <v>18804</v>
      </c>
      <c r="N9673" t="s">
        <v>14</v>
      </c>
    </row>
    <row r="9674" x14ac:dyDescent="0.25">
      <c r="A9674" t="n">
        <v>24</v>
      </c>
      <c r="B9674" t="s">
        <v>14</v>
      </c>
      <c r="C9674" t="s">
        <v>22</v>
      </c>
      <c r="D9674" s="2" t="s">
        <f>=HYPERLINK("https://main.knesset.gov.il/APPS/legislation/main/bills/2161389", "הצעת חוק הכנסת (תיקון - ייצוג האופוזיציה בוועדות הכנסת), התשפ""א-2021")</f>
        <v>18808</v>
      </c>
      <c r="E9674" t="s">
        <v>18808</v>
      </c>
      <c r="F9674" t="s">
        <v>18809</v>
      </c>
      <c r="G9674" t="s">
        <v>14</v>
      </c>
      <c r="H9674">
             </c>
      <c r="I9674" t="s">
        <v>14</v>
      </c>
      <c r="J9674" t="s">
        <v>55</v>
      </c>
      <c r="K9674" t="s">
        <v>14</v>
      </c>
      <c r="L9674" t="s">
        <v>20</v>
      </c>
      <c r="M9674" t="s">
        <v>18804</v>
      </c>
      <c r="N9674" t="s">
        <v>14</v>
      </c>
    </row>
    <row r="9675" x14ac:dyDescent="0.25">
      <c r="A9675" t="n">
        <v>24</v>
      </c>
      <c r="B9675" t="s">
        <v>14</v>
      </c>
      <c r="C9675" t="s">
        <v>22</v>
      </c>
      <c r="D9675" s="2" t="s">
        <f>=HYPERLINK("https://main.knesset.gov.il/APPS/legislation/main/bills/2161056", "הצעת חוק זכויות הדייר בדיור הציבורי (תיקון - זכות למגורים בדירה ציבורית לנשים ששהו במקלט לנשים מוכות), התשפ""א-2021")</f>
        <v>18810</v>
      </c>
      <c r="E9675" t="s">
        <v>18810</v>
      </c>
      <c r="F9675" t="s">
        <v>18811</v>
      </c>
      <c r="G9675" t="s">
        <v>14</v>
      </c>
      <c r="H9675">
             </c>
      <c r="I9675" t="s">
        <v>14</v>
      </c>
      <c r="J9675" t="s">
        <v>55</v>
      </c>
      <c r="K9675" t="s">
        <v>14</v>
      </c>
      <c r="L9675" t="s">
        <v>20</v>
      </c>
      <c r="M9675" t="s">
        <v>18804</v>
      </c>
      <c r="N9675" t="s">
        <v>14</v>
      </c>
    </row>
    <row r="9676" x14ac:dyDescent="0.25">
      <c r="A9676" t="n">
        <v>24</v>
      </c>
      <c r="B9676" t="s">
        <v>14</v>
      </c>
      <c r="C9676" t="s">
        <v>22</v>
      </c>
      <c r="D9676" s="2" t="s">
        <f>=HYPERLINK("https://main.knesset.gov.il/APPS/legislation/main/bills/2161002", "הצעת חוק להפחתת השימוש ברכב פרטי ולעידוד שימוש בתחבורה הציבורית, התשפ""א-2021 ")</f>
        <v>18812</v>
      </c>
      <c r="E9676" t="s">
        <v>18812</v>
      </c>
      <c r="F9676" t="s">
        <v>18813</v>
      </c>
      <c r="G9676" t="s">
        <v>14</v>
      </c>
      <c r="H9676">
             </c>
      <c r="I9676" t="s">
        <v>14</v>
      </c>
      <c r="J9676" t="s">
        <v>343</v>
      </c>
      <c r="K9676" t="s">
        <v>14</v>
      </c>
      <c r="L9676" t="s">
        <v>20</v>
      </c>
      <c r="M9676" t="s">
        <v>18804</v>
      </c>
      <c r="N9676" t="s">
        <v>14</v>
      </c>
    </row>
    <row r="9677" x14ac:dyDescent="0.25">
      <c r="A9677" t="n">
        <v>24</v>
      </c>
      <c r="B9677" t="s">
        <v>14</v>
      </c>
      <c r="C9677" t="s">
        <v>22</v>
      </c>
      <c r="D9677" s="2" t="s">
        <f>=HYPERLINK("https://main.knesset.gov.il/APPS/legislation/main/bills/2161100", "הצעת חוק האקלים, התשפ""א-2021")</f>
        <v>18814</v>
      </c>
      <c r="E9677" t="s">
        <v>18814</v>
      </c>
      <c r="F9677" t="s">
        <v>18815</v>
      </c>
      <c r="G9677" t="s">
        <v>14</v>
      </c>
      <c r="H9677">
             </c>
      <c r="I9677" t="s">
        <v>14</v>
      </c>
      <c r="J9677" t="s">
        <v>55</v>
      </c>
      <c r="K9677" t="s">
        <v>14</v>
      </c>
      <c r="L9677" t="s">
        <v>20</v>
      </c>
      <c r="M9677" t="s">
        <v>18804</v>
      </c>
      <c r="N9677" t="s">
        <v>14</v>
      </c>
    </row>
    <row r="9678" x14ac:dyDescent="0.25">
      <c r="A9678" t="n">
        <v>24</v>
      </c>
      <c r="B9678" t="s">
        <v>14</v>
      </c>
      <c r="C9678" t="s">
        <v>22</v>
      </c>
      <c r="D9678" s="2" t="s">
        <f>=HYPERLINK("https://main.knesset.gov.il/APPS/legislation/main/bills/2160497", "הצעת חוק יישוב תחת איום מיידי, התשפ""א-2021")</f>
        <v>18816</v>
      </c>
      <c r="E9678" t="s">
        <v>18816</v>
      </c>
      <c r="F9678" t="s">
        <v>18817</v>
      </c>
      <c r="G9678" t="s">
        <v>14</v>
      </c>
      <c r="H9678">
             </c>
      <c r="I9678" t="s">
        <v>14</v>
      </c>
      <c r="J9678" t="s">
        <v>55</v>
      </c>
      <c r="K9678" t="s">
        <v>14</v>
      </c>
      <c r="L9678" t="s">
        <v>20</v>
      </c>
      <c r="M9678" t="s">
        <v>18804</v>
      </c>
      <c r="N9678" t="s">
        <v>14</v>
      </c>
    </row>
    <row r="9679" x14ac:dyDescent="0.25">
      <c r="A9679" t="n">
        <v>24</v>
      </c>
      <c r="B9679" t="s">
        <v>14</v>
      </c>
      <c r="C9679" t="s">
        <v>22</v>
      </c>
      <c r="D9679" s="2" t="s">
        <f>=HYPERLINK("https://main.knesset.gov.il/APPS/legislation/main/bills/2160341", "הצעת חוק סדר הדין הפלילי (סמכויות אכיפה - מעצרים) (תיקון - ביצוע מעצר וחקירת אדם בעל מוגבלות שכלית או נפשית), התשפ""א-2021")</f>
        <v>18818</v>
      </c>
      <c r="E9679" t="s">
        <v>18818</v>
      </c>
      <c r="F9679" t="s">
        <v>18819</v>
      </c>
      <c r="G9679" t="s">
        <v>14</v>
      </c>
      <c r="H9679">
             </c>
      <c r="I9679" t="s">
        <v>14</v>
      </c>
      <c r="J9679" t="s">
        <v>55</v>
      </c>
      <c r="K9679" t="s">
        <v>14</v>
      </c>
      <c r="L9679" t="s">
        <v>20</v>
      </c>
      <c r="M9679" t="s">
        <v>18804</v>
      </c>
      <c r="N9679" t="s">
        <v>14</v>
      </c>
    </row>
    <row r="9680" x14ac:dyDescent="0.25">
      <c r="A9680" t="n">
        <v>24</v>
      </c>
      <c r="B9680" t="s">
        <v>14</v>
      </c>
      <c r="C9680" t="s">
        <v>22</v>
      </c>
      <c r="D9680" s="2" t="s">
        <f>=HYPERLINK("https://main.knesset.gov.il/APPS/legislation/main/bills/2159229", "הצעת חוק ליישוב תחת איום מיידי (הוראת שעה), התשפ""א-2021")</f>
        <v>18820</v>
      </c>
      <c r="E9680" t="s">
        <v>18820</v>
      </c>
      <c r="F9680" t="s">
        <v>18821</v>
      </c>
      <c r="G9680" t="s">
        <v>14</v>
      </c>
      <c r="H9680">
             </c>
      <c r="I9680" t="s">
        <v>14</v>
      </c>
      <c r="J9680" t="s">
        <v>55</v>
      </c>
      <c r="K9680" t="s">
        <v>14</v>
      </c>
      <c r="L9680" t="s">
        <v>20</v>
      </c>
      <c r="M9680" t="s">
        <v>18804</v>
      </c>
      <c r="N9680" t="s">
        <v>14</v>
      </c>
    </row>
    <row r="9681" x14ac:dyDescent="0.25">
      <c r="A9681" t="n">
        <v>24</v>
      </c>
      <c r="B9681" t="s">
        <v>14</v>
      </c>
      <c r="C9681" t="s">
        <v>22</v>
      </c>
      <c r="D9681" s="2" t="s">
        <f>=HYPERLINK("https://main.knesset.gov.il/APPS/legislation/main/bills/2159344", "הצעת חוק הביטוח הלאומי (תיקון - דמי אבטלה לעצמאים), התשפ""א-2021")</f>
        <v>18352</v>
      </c>
      <c r="E9681" t="s">
        <v>18352</v>
      </c>
      <c r="F9681" t="s">
        <v>18822</v>
      </c>
      <c r="G9681" t="s">
        <v>14</v>
      </c>
      <c r="H9681">
             </c>
      <c r="I9681" t="s">
        <v>14</v>
      </c>
      <c r="J9681" t="s">
        <v>55</v>
      </c>
      <c r="K9681" t="s">
        <v>14</v>
      </c>
      <c r="L9681" t="s">
        <v>20</v>
      </c>
      <c r="M9681" t="s">
        <v>18804</v>
      </c>
      <c r="N9681" t="s">
        <v>14</v>
      </c>
    </row>
    <row r="9682" x14ac:dyDescent="0.25">
      <c r="A9682" t="n">
        <v>24</v>
      </c>
      <c r="B9682" t="s">
        <v>14</v>
      </c>
      <c r="C9682" t="s">
        <v>22</v>
      </c>
      <c r="D9682" s="2" t="s">
        <f>=HYPERLINK("https://main.knesset.gov.il/APPS/legislation/main/bills/2159251", "הצעת חוק הביטוח הלאומי (תיקון - דמי אבטלה לעצמאיים), התשפ""א-2021")</f>
        <v>18327</v>
      </c>
      <c r="E9682" t="s">
        <v>18327</v>
      </c>
      <c r="F9682" t="s">
        <v>18823</v>
      </c>
      <c r="G9682" t="s">
        <v>14</v>
      </c>
      <c r="H9682">
             </c>
      <c r="I9682" t="s">
        <v>14</v>
      </c>
      <c r="J9682" t="s">
        <v>55</v>
      </c>
      <c r="K9682" t="s">
        <v>14</v>
      </c>
      <c r="L9682" t="s">
        <v>20</v>
      </c>
      <c r="M9682" t="s">
        <v>18804</v>
      </c>
      <c r="N9682" t="s">
        <v>14</v>
      </c>
    </row>
    <row r="9683" x14ac:dyDescent="0.25">
      <c r="A9683" t="n">
        <v>24</v>
      </c>
      <c r="B9683" t="s">
        <v>14</v>
      </c>
      <c r="C9683" t="s">
        <v>22</v>
      </c>
      <c r="D9683" s="2" t="s">
        <f>=HYPERLINK("https://main.knesset.gov.il/APPS/legislation/main/bills/2159141", "הצעת חוק חינוך ממלכתי (תיקון - חובת לימוד עברית וערבית במוסדות חינוך תיכוניים), התשפ""א-2021")</f>
        <v>18824</v>
      </c>
      <c r="E9683" t="s">
        <v>18824</v>
      </c>
      <c r="F9683" t="s">
        <v>18825</v>
      </c>
      <c r="G9683" t="s">
        <v>14</v>
      </c>
      <c r="H9683">
             </c>
      <c r="I9683" t="s">
        <v>14</v>
      </c>
      <c r="J9683" t="s">
        <v>55</v>
      </c>
      <c r="K9683" t="s">
        <v>14</v>
      </c>
      <c r="L9683" t="s">
        <v>20</v>
      </c>
      <c r="M9683" t="s">
        <v>18804</v>
      </c>
      <c r="N9683" t="s">
        <v>14</v>
      </c>
    </row>
    <row r="9684" x14ac:dyDescent="0.25">
      <c r="A9684" t="n">
        <v>24</v>
      </c>
      <c r="B9684" t="s">
        <v>14</v>
      </c>
      <c r="C9684" t="s">
        <v>22</v>
      </c>
      <c r="D9684" s="2" t="s">
        <f>=HYPERLINK("https://main.knesset.gov.il/APPS/legislation/main/bills/2158687", "הצעת חוק מיגון עוטף עזה, התשפ""א-2021")</f>
        <v>18826</v>
      </c>
      <c r="E9684" t="s">
        <v>18826</v>
      </c>
      <c r="F9684" t="s">
        <v>18827</v>
      </c>
      <c r="G9684" t="s">
        <v>14</v>
      </c>
      <c r="H9684">
             </c>
      <c r="I9684" t="s">
        <v>14</v>
      </c>
      <c r="J9684" t="s">
        <v>55</v>
      </c>
      <c r="K9684" t="s">
        <v>14</v>
      </c>
      <c r="L9684" t="s">
        <v>20</v>
      </c>
      <c r="M9684" t="s">
        <v>18804</v>
      </c>
      <c r="N9684" t="s">
        <v>14</v>
      </c>
    </row>
    <row r="9685" x14ac:dyDescent="0.25">
      <c r="A9685" t="n">
        <v>24</v>
      </c>
      <c r="B9685" t="s">
        <v>14</v>
      </c>
      <c r="C9685" t="s">
        <v>22</v>
      </c>
      <c r="D9685" s="2" t="s">
        <f>=HYPERLINK("https://main.knesset.gov.il/APPS/legislation/main/bills/2159349", "הצעת חוק הביטוח הלאומי (תיקון - דמי אבטלה לעצמאיים), התשפ""א-2021")</f>
        <v>18327</v>
      </c>
      <c r="E9685" t="s">
        <v>18327</v>
      </c>
      <c r="F9685" t="s">
        <v>18828</v>
      </c>
      <c r="G9685" t="s">
        <v>14</v>
      </c>
      <c r="H9685">
             </c>
      <c r="I9685" t="s">
        <v>14</v>
      </c>
      <c r="J9685" t="s">
        <v>55</v>
      </c>
      <c r="K9685" t="s">
        <v>14</v>
      </c>
      <c r="L9685" t="s">
        <v>20</v>
      </c>
      <c r="M9685" t="s">
        <v>18804</v>
      </c>
      <c r="N9685" t="s">
        <v>14</v>
      </c>
    </row>
    <row r="9686" x14ac:dyDescent="0.25">
      <c r="A9686" t="n">
        <v>24</v>
      </c>
      <c r="B9686" t="s">
        <v>14</v>
      </c>
      <c r="C9686" t="s">
        <v>15</v>
      </c>
      <c r="D9686" s="2" t="s">
        <f>=HYPERLINK("https://main.knesset.gov.il/APPS/legislation/main/bills/2162017", "פרק י""א (אנרגיה), למעט סעיפים 63-62 (משק הגז) מתוך הצעת חוק התכנית הכלכלית (תיקוני חקיקה ליישום המדיניות הכלכלית לשנות התקציב 2021 ו-2022), התשפ""א-2021")</f>
        <v>18829</v>
      </c>
      <c r="E9686" t="s">
        <v>18829</v>
      </c>
      <c r="F9686" t="s">
        <v>14</v>
      </c>
      <c r="G9686" t="s">
        <v>5568</v>
      </c>
      <c r="H9686">
             </c>
      <c r="I9686" t="s">
        <v>14</v>
      </c>
      <c r="J9686" t="s">
        <v>99</v>
      </c>
      <c r="K9686" t="s">
        <v>121</v>
      </c>
      <c r="L9686" t="s">
        <v>20</v>
      </c>
      <c r="M9686" t="s">
        <v>18830</v>
      </c>
      <c r="N9686" t="s">
        <v>14</v>
      </c>
    </row>
    <row r="9687" x14ac:dyDescent="0.25">
      <c r="A9687" t="n">
        <v>24</v>
      </c>
      <c r="B9687" t="s">
        <v>14</v>
      </c>
      <c r="C9687" t="s">
        <v>22</v>
      </c>
      <c r="D9687" s="2" t="s">
        <f>=HYPERLINK("https://main.knesset.gov.il/APPS/legislation/main/bills/2160775", "הצעת חוק לתיקון פקודת העיריות (ייצוג הולם לאוכלוסייה הערבית), התשפ""ב-2021")</f>
        <v>17627</v>
      </c>
      <c r="E9687" t="s">
        <v>17627</v>
      </c>
      <c r="F9687" t="s">
        <v>18831</v>
      </c>
      <c r="G9687" t="s">
        <v>14</v>
      </c>
      <c r="H9687">
             </c>
      <c r="I9687" t="s">
        <v>14</v>
      </c>
      <c r="J9687" t="s">
        <v>141</v>
      </c>
      <c r="K9687" t="s">
        <v>14</v>
      </c>
      <c r="L9687" t="s">
        <v>20</v>
      </c>
      <c r="M9687" t="s">
        <v>18832</v>
      </c>
      <c r="N9687" t="s">
        <v>14</v>
      </c>
    </row>
    <row r="9688" x14ac:dyDescent="0.25">
      <c r="A9688" t="n">
        <v>24</v>
      </c>
      <c r="B9688" t="s">
        <v>14</v>
      </c>
      <c r="C9688" t="s">
        <v>22</v>
      </c>
      <c r="D9688" s="2" t="s">
        <f>=HYPERLINK("https://main.knesset.gov.il/APPS/legislation/main/bills/2161884", "הצעת חוק שעות עבודה ומנוחה (תיקון - הגבלת שעות העסקה של מתמחה ברפואה), התשפ""ב-2021")</f>
        <v>18833</v>
      </c>
      <c r="E9688" t="s">
        <v>18833</v>
      </c>
      <c r="F9688" t="s">
        <v>18834</v>
      </c>
      <c r="G9688" t="s">
        <v>14</v>
      </c>
      <c r="H9688">
             </c>
      <c r="I9688" t="s">
        <v>14</v>
      </c>
      <c r="J9688" t="s">
        <v>141</v>
      </c>
      <c r="K9688" t="s">
        <v>14</v>
      </c>
      <c r="L9688" t="s">
        <v>20</v>
      </c>
      <c r="M9688" t="s">
        <v>18832</v>
      </c>
      <c r="N9688" t="s">
        <v>14</v>
      </c>
    </row>
    <row r="9689" x14ac:dyDescent="0.25">
      <c r="A9689" t="n">
        <v>24</v>
      </c>
      <c r="B9689" t="s">
        <v>14</v>
      </c>
      <c r="C9689" t="s">
        <v>22</v>
      </c>
      <c r="D9689" s="2" t="s">
        <f>=HYPERLINK("https://main.knesset.gov.il/APPS/legislation/main/bills/2159013", "הצעת חוק רשות מקרקעי ישראל (תיקון - העדפת בני מקום בשיווק קרקעות בפריפריה), התשפ""ב-2021")</f>
        <v>18835</v>
      </c>
      <c r="E9689" t="s">
        <v>18835</v>
      </c>
      <c r="F9689" t="s">
        <v>18836</v>
      </c>
      <c r="G9689" t="s">
        <v>14</v>
      </c>
      <c r="H9689">
             </c>
      <c r="I9689" t="s">
        <v>14</v>
      </c>
      <c r="J9689" t="s">
        <v>141</v>
      </c>
      <c r="K9689" t="s">
        <v>14</v>
      </c>
      <c r="L9689" t="s">
        <v>20</v>
      </c>
      <c r="M9689" t="s">
        <v>18832</v>
      </c>
      <c r="N9689" t="s">
        <v>14</v>
      </c>
    </row>
    <row r="9690" x14ac:dyDescent="0.25">
      <c r="A9690" t="n">
        <v>24</v>
      </c>
      <c r="B9690" t="s">
        <v>14</v>
      </c>
      <c r="C9690" t="s">
        <v>22</v>
      </c>
      <c r="D9690" s="2" t="s">
        <f>=HYPERLINK("https://main.knesset.gov.il/APPS/legislation/main/bills/2161693", "הצעת חוק עבודת נשים (תיקון - היעדרות עקב לידה של בת זוג), התשפ""ב-2021")</f>
        <v>18837</v>
      </c>
      <c r="E9690" t="s">
        <v>18837</v>
      </c>
      <c r="F9690" t="s">
        <v>18838</v>
      </c>
      <c r="G9690" t="s">
        <v>14</v>
      </c>
      <c r="H9690">
             </c>
      <c r="I9690" t="s">
        <v>14</v>
      </c>
      <c r="J9690" t="s">
        <v>141</v>
      </c>
      <c r="K9690" t="s">
        <v>14</v>
      </c>
      <c r="L9690" t="s">
        <v>20</v>
      </c>
      <c r="M9690" t="s">
        <v>18832</v>
      </c>
      <c r="N9690" t="s">
        <v>14</v>
      </c>
    </row>
    <row r="9691" x14ac:dyDescent="0.25">
      <c r="A9691" t="n">
        <v>24</v>
      </c>
      <c r="B9691" t="s">
        <v>14</v>
      </c>
      <c r="C9691" t="s">
        <v>22</v>
      </c>
      <c r="D9691" s="2" t="s">
        <f>=HYPERLINK("https://main.knesset.gov.il/APPS/legislation/main/bills/2161481", "הצעת חוק הספקת החשמל (הוראת שעה) (תיקון - הארכת תוקף), התשפ""ב-2021")</f>
        <v>18839</v>
      </c>
      <c r="E9691" t="s">
        <v>18839</v>
      </c>
      <c r="F9691" t="s">
        <v>18840</v>
      </c>
      <c r="G9691" t="s">
        <v>14</v>
      </c>
      <c r="H9691">
             </c>
      <c r="I9691" t="s">
        <v>14</v>
      </c>
      <c r="J9691" t="s">
        <v>141</v>
      </c>
      <c r="K9691" t="s">
        <v>14</v>
      </c>
      <c r="L9691" t="s">
        <v>20</v>
      </c>
      <c r="M9691" t="s">
        <v>18832</v>
      </c>
      <c r="N9691" t="s">
        <v>14</v>
      </c>
    </row>
    <row r="9692" x14ac:dyDescent="0.25">
      <c r="A9692" t="n">
        <v>24</v>
      </c>
      <c r="B9692" t="s">
        <v>14</v>
      </c>
      <c r="C9692" t="s">
        <v>22</v>
      </c>
      <c r="D9692" s="2" t="s">
        <f>=HYPERLINK("https://main.knesset.gov.il/APPS/legislation/main/bills/2159087", "הצעת חוק זכויות הדייר בדיור הציבורי (תיקון - הגמשת אמות המידה לזכאות לדיור ציבורי), התשפ""ב-2021")</f>
        <v>18841</v>
      </c>
      <c r="E9692" t="s">
        <v>18841</v>
      </c>
      <c r="F9692" t="s">
        <v>18842</v>
      </c>
      <c r="G9692" t="s">
        <v>14</v>
      </c>
      <c r="H9692">
             </c>
      <c r="I9692" t="s">
        <v>14</v>
      </c>
      <c r="J9692" t="s">
        <v>141</v>
      </c>
      <c r="K9692" t="s">
        <v>14</v>
      </c>
      <c r="L9692" t="s">
        <v>20</v>
      </c>
      <c r="M9692" t="s">
        <v>18832</v>
      </c>
      <c r="N9692" t="s">
        <v>14</v>
      </c>
    </row>
    <row r="9693" x14ac:dyDescent="0.25">
      <c r="A9693" t="n">
        <v>24</v>
      </c>
      <c r="B9693" t="s">
        <v>14</v>
      </c>
      <c r="C9693" t="s">
        <v>22</v>
      </c>
      <c r="D9693" s="2" t="s">
        <f>=HYPERLINK("https://main.knesset.gov.il/APPS/legislation/main/bills/2161079", "הצעת חוק לתיקון פקודת התעבורה (קידום התחרות באמצעות תחבורה שיתופית מקוונת), התשפ""ב-2021")</f>
        <v>18843</v>
      </c>
      <c r="E9693" t="s">
        <v>18843</v>
      </c>
      <c r="F9693" t="s">
        <v>18844</v>
      </c>
      <c r="G9693" t="s">
        <v>14</v>
      </c>
      <c r="H9693">
             </c>
      <c r="I9693" t="s">
        <v>14</v>
      </c>
      <c r="J9693" t="s">
        <v>141</v>
      </c>
      <c r="K9693" t="s">
        <v>14</v>
      </c>
      <c r="L9693" t="s">
        <v>20</v>
      </c>
      <c r="M9693" t="s">
        <v>18832</v>
      </c>
      <c r="N9693" t="s">
        <v>14</v>
      </c>
    </row>
    <row r="9694" x14ac:dyDescent="0.25">
      <c r="A9694" t="n">
        <v>24</v>
      </c>
      <c r="B9694" t="s">
        <v>14</v>
      </c>
      <c r="C9694" t="s">
        <v>22</v>
      </c>
      <c r="D9694" s="2" t="s">
        <f>=HYPERLINK("https://main.knesset.gov.il/APPS/legislation/main/bills/2161868", "הצעת חוק פיקוח על מחירי מצרכים ושירותים (תיקון - פיקוח על מחיר לחם מלא), התשפ''ב-2021")</f>
        <v>18845</v>
      </c>
      <c r="E9694" t="s">
        <v>18845</v>
      </c>
      <c r="F9694" t="s">
        <v>18846</v>
      </c>
      <c r="G9694" t="s">
        <v>14</v>
      </c>
      <c r="H9694">
             </c>
      <c r="I9694" t="s">
        <v>14</v>
      </c>
      <c r="J9694" t="s">
        <v>141</v>
      </c>
      <c r="K9694" t="s">
        <v>14</v>
      </c>
      <c r="L9694" t="s">
        <v>20</v>
      </c>
      <c r="M9694" t="s">
        <v>18832</v>
      </c>
      <c r="N9694" t="s">
        <v>14</v>
      </c>
    </row>
    <row r="9695" x14ac:dyDescent="0.25">
      <c r="A9695" t="n">
        <v>24</v>
      </c>
      <c r="B9695" t="s">
        <v>14</v>
      </c>
      <c r="C9695" t="s">
        <v>22</v>
      </c>
      <c r="D9695" s="2" t="s">
        <f>=HYPERLINK("https://main.knesset.gov.il/APPS/legislation/main/bills/2161225", "הצעת חוק סימון רכיבים אלרגניים בתפריטים של בתי אוכל, התשפ""ב-2021")</f>
        <v>18847</v>
      </c>
      <c r="E9695" t="s">
        <v>18847</v>
      </c>
      <c r="F9695" t="s">
        <v>18848</v>
      </c>
      <c r="G9695" t="s">
        <v>14</v>
      </c>
      <c r="H9695">
             </c>
      <c r="I9695" t="s">
        <v>14</v>
      </c>
      <c r="J9695" t="s">
        <v>141</v>
      </c>
      <c r="K9695" t="s">
        <v>14</v>
      </c>
      <c r="L9695" t="s">
        <v>20</v>
      </c>
      <c r="M9695" t="s">
        <v>18832</v>
      </c>
      <c r="N9695" t="s">
        <v>14</v>
      </c>
    </row>
    <row r="9696" x14ac:dyDescent="0.25">
      <c r="A9696" t="n">
        <v>24</v>
      </c>
      <c r="B9696" t="s">
        <v>14</v>
      </c>
      <c r="C9696" t="s">
        <v>22</v>
      </c>
      <c r="D9696" s="2" t="s">
        <f>=HYPERLINK("https://main.knesset.gov.il/APPS/legislation/main/bills/2161488", "הצעת חוק החזקת תכשיר אפינפרין במוסדות חינוך ובמקומות ציבוריים (תיקון - החזקת תכשיר אפינפרין בבית אוכל ואולם שמחות), התשפ""ב-2021")</f>
        <v>18849</v>
      </c>
      <c r="E9696" t="s">
        <v>18849</v>
      </c>
      <c r="F9696" t="s">
        <v>18850</v>
      </c>
      <c r="G9696" t="s">
        <v>14</v>
      </c>
      <c r="H9696">
             </c>
      <c r="I9696" t="s">
        <v>14</v>
      </c>
      <c r="J9696" t="s">
        <v>141</v>
      </c>
      <c r="K9696" t="s">
        <v>14</v>
      </c>
      <c r="L9696" t="s">
        <v>20</v>
      </c>
      <c r="M9696" t="s">
        <v>18832</v>
      </c>
      <c r="N9696" t="s">
        <v>14</v>
      </c>
    </row>
    <row r="9697" x14ac:dyDescent="0.25">
      <c r="A9697" t="n">
        <v>24</v>
      </c>
      <c r="B9697" t="s">
        <v>14</v>
      </c>
      <c r="C9697" t="s">
        <v>22</v>
      </c>
      <c r="D9697" s="2" t="s">
        <f>=HYPERLINK("https://main.knesset.gov.il/APPS/legislation/main/bills/2161380", "הצעת חוק לתיקון פקודת הסמים המסוכנים (שינוי הגדרת קנבוס), התשפ''ב-2021")</f>
        <v>18851</v>
      </c>
      <c r="E9697" t="s">
        <v>18851</v>
      </c>
      <c r="F9697" t="s">
        <v>18852</v>
      </c>
      <c r="G9697" t="s">
        <v>14</v>
      </c>
      <c r="H9697">
             </c>
      <c r="I9697" t="s">
        <v>14</v>
      </c>
      <c r="J9697" t="s">
        <v>141</v>
      </c>
      <c r="K9697" t="s">
        <v>14</v>
      </c>
      <c r="L9697" t="s">
        <v>20</v>
      </c>
      <c r="M9697" t="s">
        <v>18832</v>
      </c>
      <c r="N9697" t="s">
        <v>14</v>
      </c>
    </row>
    <row r="9698" x14ac:dyDescent="0.25">
      <c r="A9698" t="n">
        <v>24</v>
      </c>
      <c r="B9698" t="s">
        <v>14</v>
      </c>
      <c r="C9698" t="s">
        <v>22</v>
      </c>
      <c r="D9698" s="2" t="s">
        <f>=HYPERLINK("https://main.knesset.gov.il/APPS/legislation/main/bills/2161680", "הצעת חוק ביטוח בריאות ממלכתי (תיקון - העברת תיק רפואי במעבר בין קופות חולים), התשפ""ב-2021")</f>
        <v>18853</v>
      </c>
      <c r="E9698" t="s">
        <v>18853</v>
      </c>
      <c r="F9698" t="s">
        <v>18854</v>
      </c>
      <c r="G9698" t="s">
        <v>14</v>
      </c>
      <c r="H9698">
             </c>
      <c r="I9698" t="s">
        <v>14</v>
      </c>
      <c r="J9698" t="s">
        <v>141</v>
      </c>
      <c r="K9698" t="s">
        <v>14</v>
      </c>
      <c r="L9698" t="s">
        <v>20</v>
      </c>
      <c r="M9698" t="s">
        <v>18832</v>
      </c>
      <c r="N9698" t="s">
        <v>14</v>
      </c>
    </row>
    <row r="9699" x14ac:dyDescent="0.25">
      <c r="A9699" t="n">
        <v>24</v>
      </c>
      <c r="B9699" t="s">
        <v>14</v>
      </c>
      <c r="C9699" t="s">
        <v>22</v>
      </c>
      <c r="D9699" s="2" t="s">
        <f>=HYPERLINK("https://main.knesset.gov.il/APPS/legislation/main/bills/2157758", "הצעת חוק החלת ריבונות על בקעת הירדן, גוש עציון, גבעת זאב, מעלה אדומים, ביתר עילית ועפרה, התשפ""ב-2021")</f>
        <v>18031</v>
      </c>
      <c r="E9699" t="s">
        <v>18031</v>
      </c>
      <c r="F9699" t="s">
        <v>18855</v>
      </c>
      <c r="G9699" t="s">
        <v>14</v>
      </c>
      <c r="H9699">
             </c>
      <c r="I9699" t="s">
        <v>14</v>
      </c>
      <c r="J9699" t="s">
        <v>141</v>
      </c>
      <c r="K9699" t="s">
        <v>14</v>
      </c>
      <c r="L9699" t="s">
        <v>20</v>
      </c>
      <c r="M9699" t="s">
        <v>18832</v>
      </c>
      <c r="N9699" t="s">
        <v>14</v>
      </c>
    </row>
    <row r="9700" x14ac:dyDescent="0.25">
      <c r="A9700" t="n">
        <v>24</v>
      </c>
      <c r="B9700" t="s">
        <v>14</v>
      </c>
      <c r="C9700" t="s">
        <v>22</v>
      </c>
      <c r="D9700" s="2" t="s">
        <f>=HYPERLINK("https://main.knesset.gov.il/APPS/legislation/main/bills/2161537", "הצעת חוק רכזי ביטחון שוטפים צבאיים, התשפ""ב-2021")</f>
        <v>17553</v>
      </c>
      <c r="E9700" t="s">
        <v>17553</v>
      </c>
      <c r="F9700" t="s">
        <v>18856</v>
      </c>
      <c r="G9700" t="s">
        <v>14</v>
      </c>
      <c r="H9700">
             </c>
      <c r="I9700" t="s">
        <v>14</v>
      </c>
      <c r="J9700" t="s">
        <v>141</v>
      </c>
      <c r="K9700" t="s">
        <v>14</v>
      </c>
      <c r="L9700" t="s">
        <v>20</v>
      </c>
      <c r="M9700" t="s">
        <v>18832</v>
      </c>
      <c r="N9700" t="s">
        <v>14</v>
      </c>
    </row>
    <row r="9701" x14ac:dyDescent="0.25">
      <c r="A9701" t="n">
        <v>24</v>
      </c>
      <c r="B9701" t="s">
        <v>14</v>
      </c>
      <c r="C9701" t="s">
        <v>22</v>
      </c>
      <c r="D9701" s="2" t="s">
        <f>=HYPERLINK("https://main.knesset.gov.il/APPS/legislation/main/bills/2161889", "הצעת חוק הסיוע המשפטי (תיקון - סיוע משפטי לנפגעי אלימות במשפחה), התשפ""ב-2021")</f>
        <v>18857</v>
      </c>
      <c r="E9701" t="s">
        <v>18857</v>
      </c>
      <c r="F9701" t="s">
        <v>18858</v>
      </c>
      <c r="G9701" t="s">
        <v>14</v>
      </c>
      <c r="H9701">
             </c>
      <c r="I9701" t="s">
        <v>14</v>
      </c>
      <c r="J9701" t="s">
        <v>141</v>
      </c>
      <c r="K9701" t="s">
        <v>14</v>
      </c>
      <c r="L9701" t="s">
        <v>20</v>
      </c>
      <c r="M9701" t="s">
        <v>18832</v>
      </c>
      <c r="N9701" t="s">
        <v>14</v>
      </c>
    </row>
    <row r="9702" x14ac:dyDescent="0.25">
      <c r="A9702" t="n">
        <v>24</v>
      </c>
      <c r="B9702" t="s">
        <v>14</v>
      </c>
      <c r="C9702" t="s">
        <v>22</v>
      </c>
      <c r="D9702" s="2" t="s">
        <f>=HYPERLINK("https://main.knesset.gov.il/APPS/legislation/main/bills/2161569", "הצעת חוק שכר החיילים בשירות סדיר, התשפ''ב-2021")</f>
        <v>18859</v>
      </c>
      <c r="E9702" t="s">
        <v>18859</v>
      </c>
      <c r="F9702" t="s">
        <v>18860</v>
      </c>
      <c r="G9702" t="s">
        <v>14</v>
      </c>
      <c r="H9702">
             </c>
      <c r="I9702" t="s">
        <v>14</v>
      </c>
      <c r="J9702" t="s">
        <v>141</v>
      </c>
      <c r="K9702" t="s">
        <v>14</v>
      </c>
      <c r="L9702" t="s">
        <v>20</v>
      </c>
      <c r="M9702" t="s">
        <v>18832</v>
      </c>
      <c r="N9702" t="s">
        <v>14</v>
      </c>
    </row>
    <row r="9703" x14ac:dyDescent="0.25">
      <c r="A9703" t="n">
        <v>24</v>
      </c>
      <c r="B9703" t="s">
        <v>14</v>
      </c>
      <c r="C9703" t="s">
        <v>22</v>
      </c>
      <c r="D9703" s="2" t="s">
        <f>=HYPERLINK("https://main.knesset.gov.il/APPS/legislation/main/bills/2162061", "הצעת חוק למניעת התעמרות בעבודה, התשפ""ב-2021")</f>
        <v>18448</v>
      </c>
      <c r="E9703" t="s">
        <v>18448</v>
      </c>
      <c r="F9703" t="s">
        <v>18861</v>
      </c>
      <c r="G9703" t="s">
        <v>14</v>
      </c>
      <c r="H9703">
             </c>
      <c r="I9703" t="s">
        <v>14</v>
      </c>
      <c r="J9703" t="s">
        <v>141</v>
      </c>
      <c r="K9703" t="s">
        <v>14</v>
      </c>
      <c r="L9703" t="s">
        <v>20</v>
      </c>
      <c r="M9703" t="s">
        <v>18832</v>
      </c>
      <c r="N9703" t="s">
        <v>14</v>
      </c>
    </row>
    <row r="9704" x14ac:dyDescent="0.25">
      <c r="A9704" t="n">
        <v>24</v>
      </c>
      <c r="B9704" t="s">
        <v>14</v>
      </c>
      <c r="C9704" t="s">
        <v>22</v>
      </c>
      <c r="D9704" s="2" t="s">
        <f>=HYPERLINK("https://main.knesset.gov.il/APPS/legislation/main/bills/2161681", "הצעת חוק הטבות לניצולי שואה (תיקון - תשלום קצבה חודשית במקום מענק שנתי), התשפ""ב-2021")</f>
        <v>18862</v>
      </c>
      <c r="E9704" t="s">
        <v>18862</v>
      </c>
      <c r="F9704" t="s">
        <v>18863</v>
      </c>
      <c r="G9704" t="s">
        <v>14</v>
      </c>
      <c r="H9704">
             </c>
      <c r="I9704" t="s">
        <v>14</v>
      </c>
      <c r="J9704" t="s">
        <v>141</v>
      </c>
      <c r="K9704" t="s">
        <v>14</v>
      </c>
      <c r="L9704" t="s">
        <v>20</v>
      </c>
      <c r="M9704" t="s">
        <v>18832</v>
      </c>
      <c r="N9704" t="s">
        <v>14</v>
      </c>
    </row>
    <row r="9705" x14ac:dyDescent="0.25">
      <c r="A9705" t="n">
        <v>24</v>
      </c>
      <c r="B9705" t="s">
        <v>14</v>
      </c>
      <c r="C9705" t="s">
        <v>22</v>
      </c>
      <c r="D9705" s="2" t="s">
        <f>=HYPERLINK("https://main.knesset.gov.il/APPS/legislation/main/bills/2161215", "הצעת חוק הביטוח הלאומי (תיקון - עבודה באולמות אירועים ובגני אירועים כעבודה מועדפת), התשפ""ב-2021")</f>
        <v>18864</v>
      </c>
      <c r="E9705" t="s">
        <v>18864</v>
      </c>
      <c r="F9705" t="s">
        <v>18865</v>
      </c>
      <c r="G9705" t="s">
        <v>14</v>
      </c>
      <c r="H9705">
             </c>
      <c r="I9705" t="s">
        <v>14</v>
      </c>
      <c r="J9705" t="s">
        <v>141</v>
      </c>
      <c r="K9705" t="s">
        <v>14</v>
      </c>
      <c r="L9705" t="s">
        <v>20</v>
      </c>
      <c r="M9705" t="s">
        <v>18832</v>
      </c>
      <c r="N9705" t="s">
        <v>14</v>
      </c>
    </row>
    <row r="9706" x14ac:dyDescent="0.25">
      <c r="A9706" t="n">
        <v>24</v>
      </c>
      <c r="B9706" t="s">
        <v>14</v>
      </c>
      <c r="C9706" t="s">
        <v>22</v>
      </c>
      <c r="D9706" s="2" t="s">
        <f>=HYPERLINK("https://main.knesset.gov.il/APPS/legislation/main/bills/2161485", "הצעת חוק חינוך ממלכתי (תיקון - הקניית ידע פיננסי וכישורי חיים), התשפ""ב-2021")</f>
        <v>18866</v>
      </c>
      <c r="E9706" t="s">
        <v>18866</v>
      </c>
      <c r="F9706" t="s">
        <v>18867</v>
      </c>
      <c r="G9706" t="s">
        <v>14</v>
      </c>
      <c r="H9706">
             </c>
      <c r="I9706" t="s">
        <v>14</v>
      </c>
      <c r="J9706" t="s">
        <v>141</v>
      </c>
      <c r="K9706" t="s">
        <v>14</v>
      </c>
      <c r="L9706" t="s">
        <v>20</v>
      </c>
      <c r="M9706" t="s">
        <v>18832</v>
      </c>
      <c r="N9706" t="s">
        <v>14</v>
      </c>
    </row>
    <row r="9707" x14ac:dyDescent="0.25">
      <c r="A9707" t="n">
        <v>24</v>
      </c>
      <c r="B9707" t="s">
        <v>14</v>
      </c>
      <c r="C9707" t="s">
        <v>22</v>
      </c>
      <c r="D9707" s="2" t="s">
        <f>=HYPERLINK("https://main.knesset.gov.il/APPS/legislation/main/bills/2161593", "הצעת חוק חינוך ממלכתי (תיקון - חינוך ממלכתי חרדי), התשפ""ב-2021")</f>
        <v>18868</v>
      </c>
      <c r="E9707" t="s">
        <v>18868</v>
      </c>
      <c r="F9707" t="s">
        <v>18869</v>
      </c>
      <c r="G9707" t="s">
        <v>14</v>
      </c>
      <c r="H9707">
             </c>
      <c r="I9707" t="s">
        <v>14</v>
      </c>
      <c r="J9707" t="s">
        <v>141</v>
      </c>
      <c r="K9707" t="s">
        <v>14</v>
      </c>
      <c r="L9707" t="s">
        <v>20</v>
      </c>
      <c r="M9707" t="s">
        <v>18832</v>
      </c>
      <c r="N9707" t="s">
        <v>14</v>
      </c>
    </row>
    <row r="9708" x14ac:dyDescent="0.25">
      <c r="A9708" t="n">
        <v>24</v>
      </c>
      <c r="B9708" t="s">
        <v>14</v>
      </c>
      <c r="C9708" t="s">
        <v>22</v>
      </c>
      <c r="D9708" s="2" t="s">
        <f>=HYPERLINK("https://main.knesset.gov.il/APPS/legislation/main/bills/2161579", "הצעת חוק חינוך ממלכתי (תיקון - מעמד החינוך הממלכתי המשלב), התשפ""ב-2021")</f>
        <v>18870</v>
      </c>
      <c r="E9708" t="s">
        <v>18870</v>
      </c>
      <c r="F9708" t="s">
        <v>18871</v>
      </c>
      <c r="G9708" t="s">
        <v>14</v>
      </c>
      <c r="H9708">
             </c>
      <c r="I9708" t="s">
        <v>14</v>
      </c>
      <c r="J9708" t="s">
        <v>141</v>
      </c>
      <c r="K9708" t="s">
        <v>14</v>
      </c>
      <c r="L9708" t="s">
        <v>20</v>
      </c>
      <c r="M9708" t="s">
        <v>18832</v>
      </c>
      <c r="N9708" t="s">
        <v>14</v>
      </c>
    </row>
    <row r="9709" x14ac:dyDescent="0.25">
      <c r="A9709" t="n">
        <v>24</v>
      </c>
      <c r="B9709" t="s">
        <v>14</v>
      </c>
      <c r="C9709" t="s">
        <v>22</v>
      </c>
      <c r="D9709" s="2" t="s">
        <f>=HYPERLINK("https://main.knesset.gov.il/APPS/legislation/main/bills/2161699", "הצעת חוק לתיקון פקודת הרוקחים (חיוב רישום רכיבי תמרוקים ומוצרי ניקיון), התשפ""ב-2021")</f>
        <v>18872</v>
      </c>
      <c r="E9709" t="s">
        <v>18872</v>
      </c>
      <c r="F9709" t="s">
        <v>18873</v>
      </c>
      <c r="G9709" t="s">
        <v>14</v>
      </c>
      <c r="H9709">
             </c>
      <c r="I9709" t="s">
        <v>14</v>
      </c>
      <c r="J9709" t="s">
        <v>141</v>
      </c>
      <c r="K9709" t="s">
        <v>14</v>
      </c>
      <c r="L9709" t="s">
        <v>20</v>
      </c>
      <c r="M9709" t="s">
        <v>18832</v>
      </c>
      <c r="N9709" t="s">
        <v>14</v>
      </c>
    </row>
    <row r="9710" x14ac:dyDescent="0.25">
      <c r="A9710" t="n">
        <v>24</v>
      </c>
      <c r="B9710" t="s">
        <v>14</v>
      </c>
      <c r="C9710" t="s">
        <v>22</v>
      </c>
      <c r="D9710" s="2" t="s">
        <f>=HYPERLINK("https://main.knesset.gov.il/APPS/legislation/main/bills/2161355", "הצעת חוק הסדרת העיסוק בייצוג דוגמנים, התשפ""ב-2021")</f>
        <v>18874</v>
      </c>
      <c r="E9710" t="s">
        <v>18874</v>
      </c>
      <c r="F9710" t="s">
        <v>18875</v>
      </c>
      <c r="G9710" t="s">
        <v>14</v>
      </c>
      <c r="H9710">
             </c>
      <c r="I9710" t="s">
        <v>14</v>
      </c>
      <c r="J9710" t="s">
        <v>141</v>
      </c>
      <c r="K9710" t="s">
        <v>14</v>
      </c>
      <c r="L9710" t="s">
        <v>20</v>
      </c>
      <c r="M9710" t="s">
        <v>18832</v>
      </c>
      <c r="N9710" t="s">
        <v>14</v>
      </c>
    </row>
    <row r="9711" x14ac:dyDescent="0.25">
      <c r="A9711" t="n">
        <v>24</v>
      </c>
      <c r="B9711" t="s">
        <v>14</v>
      </c>
      <c r="C9711" t="s">
        <v>22</v>
      </c>
      <c r="D9711" s="2" t="s">
        <f>=HYPERLINK("https://main.knesset.gov.il/APPS/legislation/main/bills/2162058", "הצעת חוק המרכז להנצחת מורשתו של הנשיא יצחק נבון, התשפ""ב-2021")</f>
        <v>18876</v>
      </c>
      <c r="E9711" t="s">
        <v>18876</v>
      </c>
      <c r="F9711" t="s">
        <v>18877</v>
      </c>
      <c r="G9711" t="s">
        <v>14</v>
      </c>
      <c r="H9711">
             </c>
      <c r="I9711" t="s">
        <v>14</v>
      </c>
      <c r="J9711" t="s">
        <v>141</v>
      </c>
      <c r="K9711" t="s">
        <v>14</v>
      </c>
      <c r="L9711" t="s">
        <v>20</v>
      </c>
      <c r="M9711" t="s">
        <v>18832</v>
      </c>
      <c r="N9711" t="s">
        <v>14</v>
      </c>
    </row>
    <row r="9712" x14ac:dyDescent="0.25">
      <c r="A9712" t="n">
        <v>24</v>
      </c>
      <c r="B9712" t="s">
        <v>14</v>
      </c>
      <c r="C9712" t="s">
        <v>22</v>
      </c>
      <c r="D9712" s="2" t="s">
        <f>=HYPERLINK("https://main.knesset.gov.il/APPS/legislation/main/bills/2161914", "הצעת חוק לתיקון פקודת הבנקאות (הגבלת עמלת פירעון מוקדם של הלוואה לדיור), התשפ""ב-2021")</f>
        <v>18470</v>
      </c>
      <c r="E9712" t="s">
        <v>18470</v>
      </c>
      <c r="F9712" t="s">
        <v>18878</v>
      </c>
      <c r="G9712" t="s">
        <v>14</v>
      </c>
      <c r="H9712">
             </c>
      <c r="I9712" t="s">
        <v>14</v>
      </c>
      <c r="J9712" t="s">
        <v>141</v>
      </c>
      <c r="K9712" t="s">
        <v>14</v>
      </c>
      <c r="L9712" t="s">
        <v>20</v>
      </c>
      <c r="M9712" t="s">
        <v>18832</v>
      </c>
      <c r="N9712" t="s">
        <v>14</v>
      </c>
    </row>
    <row r="9713" x14ac:dyDescent="0.25">
      <c r="A9713" t="n">
        <v>24</v>
      </c>
      <c r="B9713" t="s">
        <v>14</v>
      </c>
      <c r="C9713" t="s">
        <v>22</v>
      </c>
      <c r="D9713" s="2" t="s">
        <f>=HYPERLINK("https://main.knesset.gov.il/APPS/legislation/main/bills/2161891", "הצעת חוק איסור הפליה במוצרים, בשירותים ובכניסה למקומות בידור ולמקומות ציבוריים (תיקון - הפליה מחמת מראה והתניית רישיון עסק באיסור הפליה), התשפ""ב-2021")</f>
        <v>18879</v>
      </c>
      <c r="E9713" t="s">
        <v>18879</v>
      </c>
      <c r="F9713" t="s">
        <v>18880</v>
      </c>
      <c r="G9713" t="s">
        <v>14</v>
      </c>
      <c r="H9713">
             </c>
      <c r="I9713" t="s">
        <v>14</v>
      </c>
      <c r="J9713" t="s">
        <v>141</v>
      </c>
      <c r="K9713" t="s">
        <v>14</v>
      </c>
      <c r="L9713" t="s">
        <v>20</v>
      </c>
      <c r="M9713" t="s">
        <v>18832</v>
      </c>
      <c r="N9713" t="s">
        <v>14</v>
      </c>
    </row>
    <row r="9714" x14ac:dyDescent="0.25">
      <c r="A9714" t="n">
        <v>24</v>
      </c>
      <c r="B9714" t="s">
        <v>14</v>
      </c>
      <c r="C9714" t="s">
        <v>22</v>
      </c>
      <c r="D9714" s="2" t="s">
        <f>=HYPERLINK("https://main.knesset.gov.il/APPS/legislation/main/bills/2161288", "הצעת חוק יום האחדות, התשפ""ב-2021")</f>
        <v>18881</v>
      </c>
      <c r="E9714" t="s">
        <v>18881</v>
      </c>
      <c r="F9714" t="s">
        <v>18882</v>
      </c>
      <c r="G9714" t="s">
        <v>14</v>
      </c>
      <c r="H9714">
             </c>
      <c r="I9714" t="s">
        <v>14</v>
      </c>
      <c r="J9714" t="s">
        <v>343</v>
      </c>
      <c r="K9714" t="s">
        <v>14</v>
      </c>
      <c r="L9714" t="s">
        <v>20</v>
      </c>
      <c r="M9714" t="s">
        <v>18832</v>
      </c>
      <c r="N9714" t="s">
        <v>14</v>
      </c>
    </row>
    <row r="9715" x14ac:dyDescent="0.25">
      <c r="A9715" t="n">
        <v>24</v>
      </c>
      <c r="B9715" t="s">
        <v>14</v>
      </c>
      <c r="C9715" t="s">
        <v>22</v>
      </c>
      <c r="D9715" s="2" t="s">
        <f>=HYPERLINK("https://main.knesset.gov.il/APPS/legislation/main/bills/2161723", "הצעת חוק עסקאות גופים ציבוריים (תיקון - מעבר לרכבים ידידותיים לסביבה בגופים ציבוריים), התשפ""ב-2021")</f>
        <v>18883</v>
      </c>
      <c r="E9715" t="s">
        <v>18883</v>
      </c>
      <c r="F9715" t="s">
        <v>18884</v>
      </c>
      <c r="G9715" t="s">
        <v>14</v>
      </c>
      <c r="H9715">
             </c>
      <c r="I9715" t="s">
        <v>14</v>
      </c>
      <c r="J9715" t="s">
        <v>141</v>
      </c>
      <c r="K9715" t="s">
        <v>14</v>
      </c>
      <c r="L9715" t="s">
        <v>20</v>
      </c>
      <c r="M9715" t="s">
        <v>18832</v>
      </c>
      <c r="N9715" t="s">
        <v>14</v>
      </c>
    </row>
    <row r="9716" x14ac:dyDescent="0.25">
      <c r="A9716" t="n">
        <v>24</v>
      </c>
      <c r="B9716" t="s">
        <v>14</v>
      </c>
      <c r="C9716" t="s">
        <v>22</v>
      </c>
      <c r="D9716" s="2" t="s">
        <f>=HYPERLINK("https://main.knesset.gov.il/APPS/legislation/main/bills/2161722", "הצעת חוק התכנון והבנייה (תיקון - חובת הקמת מערכת סולארית לייצור חשמל במבנים), התשפ""ב-2021 ")</f>
        <v>18885</v>
      </c>
      <c r="E9716" t="s">
        <v>18885</v>
      </c>
      <c r="F9716" t="s">
        <v>18886</v>
      </c>
      <c r="G9716" t="s">
        <v>14</v>
      </c>
      <c r="H9716">
             </c>
      <c r="I9716" t="s">
        <v>14</v>
      </c>
      <c r="J9716" t="s">
        <v>141</v>
      </c>
      <c r="K9716" t="s">
        <v>14</v>
      </c>
      <c r="L9716" t="s">
        <v>20</v>
      </c>
      <c r="M9716" t="s">
        <v>18832</v>
      </c>
      <c r="N9716" t="s">
        <v>14</v>
      </c>
    </row>
    <row r="9717" x14ac:dyDescent="0.25">
      <c r="A9717" t="n">
        <v>24</v>
      </c>
      <c r="B9717" t="s">
        <v>14</v>
      </c>
      <c r="C9717" t="s">
        <v>22</v>
      </c>
      <c r="D9717" s="2" t="s">
        <f>=HYPERLINK("https://main.knesset.gov.il/APPS/legislation/main/bills/2161682", "הצעת חוק זכות ייצוג לקטין המתנגד לאשפוז פסיכיאטרי (תיקוני חקיקה), התשפ""ב-2021")</f>
        <v>18887</v>
      </c>
      <c r="E9717" t="s">
        <v>18887</v>
      </c>
      <c r="F9717" t="s">
        <v>18888</v>
      </c>
      <c r="G9717" t="s">
        <v>14</v>
      </c>
      <c r="H9717">
             </c>
      <c r="I9717" t="s">
        <v>14</v>
      </c>
      <c r="J9717" t="s">
        <v>141</v>
      </c>
      <c r="K9717" t="s">
        <v>14</v>
      </c>
      <c r="L9717" t="s">
        <v>20</v>
      </c>
      <c r="M9717" t="s">
        <v>18832</v>
      </c>
      <c r="N9717" t="s">
        <v>14</v>
      </c>
    </row>
    <row r="9718" x14ac:dyDescent="0.25">
      <c r="A9718" t="n">
        <v>24</v>
      </c>
      <c r="B9718" t="s">
        <v>14</v>
      </c>
      <c r="C9718" t="s">
        <v>22</v>
      </c>
      <c r="D9718" s="2" t="s">
        <f>=HYPERLINK("https://main.knesset.gov.il/APPS/legislation/main/bills/2161484", "הצעת חוק הכשרות לאנשי מקצוע בנושא זיהוי ודיווח על התעללות בילדים, התשפ""ב-2021")</f>
        <v>18889</v>
      </c>
      <c r="E9718" t="s">
        <v>18889</v>
      </c>
      <c r="F9718" t="s">
        <v>18890</v>
      </c>
      <c r="G9718" t="s">
        <v>14</v>
      </c>
      <c r="H9718">
             </c>
      <c r="I9718" t="s">
        <v>14</v>
      </c>
      <c r="J9718" t="s">
        <v>141</v>
      </c>
      <c r="K9718" t="s">
        <v>14</v>
      </c>
      <c r="L9718" t="s">
        <v>20</v>
      </c>
      <c r="M9718" t="s">
        <v>18832</v>
      </c>
      <c r="N9718" t="s">
        <v>14</v>
      </c>
    </row>
    <row r="9719" x14ac:dyDescent="0.25">
      <c r="A9719" t="n">
        <v>24</v>
      </c>
      <c r="B9719" t="s">
        <v>14</v>
      </c>
      <c r="C9719" t="s">
        <v>22</v>
      </c>
      <c r="D9719" s="2" t="s">
        <f>=HYPERLINK("https://main.knesset.gov.il/APPS/legislation/main/bills/2160537", "הצעת חוק להגנת חיית הבר (תיקון - ביטול רישיונות ציד), התשפ""ב-2021")</f>
        <v>18891</v>
      </c>
      <c r="E9719" t="s">
        <v>18891</v>
      </c>
      <c r="F9719" t="s">
        <v>18892</v>
      </c>
      <c r="G9719" t="s">
        <v>14</v>
      </c>
      <c r="H9719">
             </c>
      <c r="I9719" t="s">
        <v>14</v>
      </c>
      <c r="J9719" t="s">
        <v>141</v>
      </c>
      <c r="K9719" t="s">
        <v>14</v>
      </c>
      <c r="L9719" t="s">
        <v>20</v>
      </c>
      <c r="M9719" t="s">
        <v>18832</v>
      </c>
      <c r="N9719" t="s">
        <v>14</v>
      </c>
    </row>
    <row r="9720" x14ac:dyDescent="0.25">
      <c r="A9720" t="n">
        <v>24</v>
      </c>
      <c r="B9720" t="s">
        <v>14</v>
      </c>
      <c r="C9720" t="s">
        <v>22</v>
      </c>
      <c r="D9720" s="2" t="s">
        <f>=HYPERLINK("https://main.knesset.gov.il/APPS/legislation/main/bills/2160023", "הצעת חוק בתי דין רבניים (קיום פסקי דין של גירושין) (תיקון - גט אוטומטי), התשפ""ב-2021")</f>
        <v>18893</v>
      </c>
      <c r="E9720" t="s">
        <v>18893</v>
      </c>
      <c r="F9720" t="s">
        <v>18894</v>
      </c>
      <c r="G9720" t="s">
        <v>14</v>
      </c>
      <c r="H9720">
             </c>
      <c r="I9720" t="s">
        <v>14</v>
      </c>
      <c r="J9720" t="s">
        <v>141</v>
      </c>
      <c r="K9720" t="s">
        <v>14</v>
      </c>
      <c r="L9720" t="s">
        <v>20</v>
      </c>
      <c r="M9720" t="s">
        <v>18832</v>
      </c>
      <c r="N9720" t="s">
        <v>14</v>
      </c>
    </row>
    <row r="9721" x14ac:dyDescent="0.25">
      <c r="A9721" t="n">
        <v>24</v>
      </c>
      <c r="B9721" t="s">
        <v>14</v>
      </c>
      <c r="C9721" t="s">
        <v>22</v>
      </c>
      <c r="D9721" s="2" t="s">
        <f>=HYPERLINK("https://main.knesset.gov.il/APPS/legislation/main/bills/2160587", "הצעת חוק הזכות לקבורה אזרחית חלופית (תיקון - קבורה דתית חלופית), התשפ""ב-2021")</f>
        <v>18895</v>
      </c>
      <c r="E9721" t="s">
        <v>18895</v>
      </c>
      <c r="F9721" t="s">
        <v>18896</v>
      </c>
      <c r="G9721" t="s">
        <v>14</v>
      </c>
      <c r="H9721">
             </c>
      <c r="I9721" t="s">
        <v>14</v>
      </c>
      <c r="J9721" t="s">
        <v>141</v>
      </c>
      <c r="K9721" t="s">
        <v>14</v>
      </c>
      <c r="L9721" t="s">
        <v>20</v>
      </c>
      <c r="M9721" t="s">
        <v>18832</v>
      </c>
      <c r="N9721" t="s">
        <v>14</v>
      </c>
    </row>
    <row r="9722" x14ac:dyDescent="0.25">
      <c r="A9722" t="n">
        <v>24</v>
      </c>
      <c r="B9722" t="s">
        <v>14</v>
      </c>
      <c r="C9722" t="s">
        <v>22</v>
      </c>
      <c r="D9722" s="2" t="s">
        <f>=HYPERLINK("https://main.knesset.gov.il/APPS/legislation/main/bills/2159950", "הצעת חוק העונשין (תיקון – תקיפת נהג אוטובוס), התשפ""ב–2021")</f>
        <v>18897</v>
      </c>
      <c r="E9722" t="s">
        <v>18897</v>
      </c>
      <c r="F9722" t="s">
        <v>18898</v>
      </c>
      <c r="G9722" t="s">
        <v>14</v>
      </c>
      <c r="H9722">
             </c>
      <c r="I9722" t="s">
        <v>14</v>
      </c>
      <c r="J9722" t="s">
        <v>141</v>
      </c>
      <c r="K9722" t="s">
        <v>14</v>
      </c>
      <c r="L9722" t="s">
        <v>20</v>
      </c>
      <c r="M9722" t="s">
        <v>18832</v>
      </c>
      <c r="N9722" t="s">
        <v>14</v>
      </c>
    </row>
    <row r="9723" x14ac:dyDescent="0.25">
      <c r="A9723" t="n">
        <v>24</v>
      </c>
      <c r="B9723" t="s">
        <v>14</v>
      </c>
      <c r="C9723" t="s">
        <v>22</v>
      </c>
      <c r="D9723" s="2" t="s">
        <f>=HYPERLINK("https://main.knesset.gov.il/APPS/legislation/main/bills/2159949", "הצעת חוק הסיוע המשפטי (תיקון - הוצאות מומחים), התשפ""ב-2021")</f>
        <v>18545</v>
      </c>
      <c r="E9723" t="s">
        <v>18545</v>
      </c>
      <c r="F9723" t="s">
        <v>18899</v>
      </c>
      <c r="G9723" t="s">
        <v>14</v>
      </c>
      <c r="H9723">
             </c>
      <c r="I9723" t="s">
        <v>14</v>
      </c>
      <c r="J9723" t="s">
        <v>141</v>
      </c>
      <c r="K9723" t="s">
        <v>14</v>
      </c>
      <c r="L9723" t="s">
        <v>20</v>
      </c>
      <c r="M9723" t="s">
        <v>18832</v>
      </c>
      <c r="N9723" t="s">
        <v>14</v>
      </c>
    </row>
    <row r="9724" x14ac:dyDescent="0.25">
      <c r="A9724" t="n">
        <v>24</v>
      </c>
      <c r="B9724" t="s">
        <v>14</v>
      </c>
      <c r="C9724" t="s">
        <v>22</v>
      </c>
      <c r="D9724" s="2" t="s">
        <f>=HYPERLINK("https://main.knesset.gov.il/APPS/legislation/main/bills/2161311", "הצעת חוק השמירה על המקומות הקדושים (תיקון - חופש הפולחן), התשפ""ב-2021")</f>
        <v>18900</v>
      </c>
      <c r="E9724" t="s">
        <v>18900</v>
      </c>
      <c r="F9724" t="s">
        <v>18901</v>
      </c>
      <c r="G9724" t="s">
        <v>14</v>
      </c>
      <c r="H9724">
             </c>
      <c r="I9724" t="s">
        <v>14</v>
      </c>
      <c r="J9724" t="s">
        <v>141</v>
      </c>
      <c r="K9724" t="s">
        <v>14</v>
      </c>
      <c r="L9724" t="s">
        <v>20</v>
      </c>
      <c r="M9724" t="s">
        <v>18832</v>
      </c>
      <c r="N9724" t="s">
        <v>14</v>
      </c>
    </row>
    <row r="9725" x14ac:dyDescent="0.25">
      <c r="A9725" t="n">
        <v>24</v>
      </c>
      <c r="B9725" t="s">
        <v>14</v>
      </c>
      <c r="C9725" t="s">
        <v>22</v>
      </c>
      <c r="D9725" s="2" t="s">
        <f>=HYPERLINK("https://main.knesset.gov.il/APPS/legislation/main/bills/2161405", "הצעת חוק חינוך ממלכתי (תיקון - חינוך לסובלנות ולמניעת הטרדה מינית), התשפ""ב-2021")</f>
        <v>18902</v>
      </c>
      <c r="E9725" t="s">
        <v>18902</v>
      </c>
      <c r="F9725" t="s">
        <v>18903</v>
      </c>
      <c r="G9725" t="s">
        <v>14</v>
      </c>
      <c r="H9725">
             </c>
      <c r="I9725" t="s">
        <v>14</v>
      </c>
      <c r="J9725" t="s">
        <v>141</v>
      </c>
      <c r="K9725" t="s">
        <v>14</v>
      </c>
      <c r="L9725" t="s">
        <v>20</v>
      </c>
      <c r="M9725" t="s">
        <v>18832</v>
      </c>
      <c r="N9725" t="s">
        <v>14</v>
      </c>
    </row>
    <row r="9726" x14ac:dyDescent="0.25">
      <c r="A9726" t="n">
        <v>24</v>
      </c>
      <c r="B9726" t="s">
        <v>14</v>
      </c>
      <c r="C9726" t="s">
        <v>22</v>
      </c>
      <c r="D9726" s="2" t="s">
        <f>=HYPERLINK("https://main.knesset.gov.il/APPS/legislation/main/bills/2159486", "הצעת חוק יכולת הציבור לחוקק, התשפ""ב-2021")</f>
        <v>18904</v>
      </c>
      <c r="E9726" t="s">
        <v>18904</v>
      </c>
      <c r="F9726" t="s">
        <v>18905</v>
      </c>
      <c r="G9726" t="s">
        <v>14</v>
      </c>
      <c r="H9726">
             </c>
      <c r="I9726" t="s">
        <v>14</v>
      </c>
      <c r="J9726" t="s">
        <v>141</v>
      </c>
      <c r="K9726" t="s">
        <v>14</v>
      </c>
      <c r="L9726" t="s">
        <v>20</v>
      </c>
      <c r="M9726" t="s">
        <v>18832</v>
      </c>
      <c r="N9726" t="s">
        <v>14</v>
      </c>
    </row>
    <row r="9727" x14ac:dyDescent="0.25">
      <c r="A9727" t="n">
        <v>24</v>
      </c>
      <c r="B9727" t="s">
        <v>14</v>
      </c>
      <c r="C9727" t="s">
        <v>22</v>
      </c>
      <c r="D9727" s="2" t="s">
        <f>=HYPERLINK("https://main.knesset.gov.il/APPS/legislation/main/bills/2160594", "הצעת חוק הזכות לקבורה אזרחית חלופית (תיקון – החזר הוצאות כספיות עבור קבורה חילונית בתשלום), התשפ""ב–2021")</f>
        <v>18906</v>
      </c>
      <c r="E9727" t="s">
        <v>18906</v>
      </c>
      <c r="F9727" t="s">
        <v>18907</v>
      </c>
      <c r="G9727" t="s">
        <v>14</v>
      </c>
      <c r="H9727">
             </c>
      <c r="I9727" t="s">
        <v>14</v>
      </c>
      <c r="J9727" t="s">
        <v>141</v>
      </c>
      <c r="K9727" t="s">
        <v>14</v>
      </c>
      <c r="L9727" t="s">
        <v>20</v>
      </c>
      <c r="M9727" t="s">
        <v>18832</v>
      </c>
      <c r="N9727" t="s">
        <v>14</v>
      </c>
    </row>
    <row r="9728" x14ac:dyDescent="0.25">
      <c r="A9728" t="n">
        <v>24</v>
      </c>
      <c r="B9728" t="s">
        <v>14</v>
      </c>
      <c r="C9728" t="s">
        <v>22</v>
      </c>
      <c r="D9728" s="2" t="s">
        <f>=HYPERLINK("https://main.knesset.gov.il/APPS/legislation/main/bills/2161211", "הצעת חוק העונשין (תיקון - תקיפת נהג אוטובוס ציבורי), התשפ""ב-2021")</f>
        <v>17661</v>
      </c>
      <c r="E9728" t="s">
        <v>17661</v>
      </c>
      <c r="F9728" t="s">
        <v>18908</v>
      </c>
      <c r="G9728" t="s">
        <v>14</v>
      </c>
      <c r="H9728">
             </c>
      <c r="I9728" t="s">
        <v>14</v>
      </c>
      <c r="J9728" t="s">
        <v>141</v>
      </c>
      <c r="K9728" t="s">
        <v>14</v>
      </c>
      <c r="L9728" t="s">
        <v>20</v>
      </c>
      <c r="M9728" t="s">
        <v>18832</v>
      </c>
      <c r="N9728" t="s">
        <v>14</v>
      </c>
    </row>
    <row r="9729" x14ac:dyDescent="0.25">
      <c r="A9729" t="n">
        <v>24</v>
      </c>
      <c r="B9729" t="s">
        <v>14</v>
      </c>
      <c r="C9729" t="s">
        <v>22</v>
      </c>
      <c r="D9729" s="2" t="s">
        <f>=HYPERLINK("https://main.knesset.gov.il/APPS/legislation/main/bills/2161445", "הצעת חוק גיל פרישה (תיקון - העלאת גיל הפרישה לנשים וקביעת צעדים תומכים לנשים בגילאי העבודה), התשפ""ב-2021")</f>
        <v>18909</v>
      </c>
      <c r="E9729" t="s">
        <v>18909</v>
      </c>
      <c r="F9729" t="s">
        <v>18910</v>
      </c>
      <c r="G9729" t="s">
        <v>14</v>
      </c>
      <c r="H9729">
             </c>
      <c r="I9729" t="s">
        <v>14</v>
      </c>
      <c r="J9729" t="s">
        <v>141</v>
      </c>
      <c r="K9729" t="s">
        <v>14</v>
      </c>
      <c r="L9729" t="s">
        <v>20</v>
      </c>
      <c r="M9729" t="s">
        <v>18832</v>
      </c>
      <c r="N9729" t="s">
        <v>14</v>
      </c>
    </row>
    <row r="9730" x14ac:dyDescent="0.25">
      <c r="A9730" t="n">
        <v>24</v>
      </c>
      <c r="B9730" t="s">
        <v>14</v>
      </c>
      <c r="C9730" t="s">
        <v>22</v>
      </c>
      <c r="D9730" s="2" t="s">
        <f>=HYPERLINK("https://main.knesset.gov.il/APPS/legislation/main/bills/2161452", "הצעת חוק הספורט (תיקון - מחיר נקוב לכרטיס לפעילות ספורט מאורגנת), התשפ""ב-2021")</f>
        <v>18911</v>
      </c>
      <c r="E9730" t="s">
        <v>18911</v>
      </c>
      <c r="F9730" t="s">
        <v>18912</v>
      </c>
      <c r="G9730" t="s">
        <v>14</v>
      </c>
      <c r="H9730">
             </c>
      <c r="I9730" t="s">
        <v>14</v>
      </c>
      <c r="J9730" t="s">
        <v>141</v>
      </c>
      <c r="K9730" t="s">
        <v>14</v>
      </c>
      <c r="L9730" t="s">
        <v>20</v>
      </c>
      <c r="M9730" t="s">
        <v>18832</v>
      </c>
      <c r="N9730" t="s">
        <v>14</v>
      </c>
    </row>
    <row r="9731" x14ac:dyDescent="0.25">
      <c r="A9731" t="n">
        <v>24</v>
      </c>
      <c r="B9731" t="s">
        <v>14</v>
      </c>
      <c r="C9731" t="s">
        <v>22</v>
      </c>
      <c r="D9731" s="2" t="s">
        <f>=HYPERLINK("https://main.knesset.gov.il/APPS/legislation/main/bills/2161462", "הצעת חוק חינוך ממלכתי (תיקון - הוספת שיעורי חינוך גופני), התשפ""ב-2021")</f>
        <v>18913</v>
      </c>
      <c r="E9731" t="s">
        <v>18913</v>
      </c>
      <c r="F9731" t="s">
        <v>18914</v>
      </c>
      <c r="G9731" t="s">
        <v>14</v>
      </c>
      <c r="H9731">
             </c>
      <c r="I9731" t="s">
        <v>14</v>
      </c>
      <c r="J9731" t="s">
        <v>141</v>
      </c>
      <c r="K9731" t="s">
        <v>14</v>
      </c>
      <c r="L9731" t="s">
        <v>20</v>
      </c>
      <c r="M9731" t="s">
        <v>18832</v>
      </c>
      <c r="N9731" t="s">
        <v>14</v>
      </c>
    </row>
    <row r="9732" x14ac:dyDescent="0.25">
      <c r="A9732" t="n">
        <v>24</v>
      </c>
      <c r="B9732" t="s">
        <v>14</v>
      </c>
      <c r="C9732" t="s">
        <v>22</v>
      </c>
      <c r="D9732" s="2" t="s">
        <f>=HYPERLINK("https://main.knesset.gov.il/APPS/legislation/main/bills/2161482", "הצעת חוק התכנון והבנייה (תיקון - חיבור חשמל מטעמים הומניטריים), התשפ""ב-2021")</f>
        <v>18075</v>
      </c>
      <c r="E9732" t="s">
        <v>18075</v>
      </c>
      <c r="F9732" t="s">
        <v>18915</v>
      </c>
      <c r="G9732" t="s">
        <v>14</v>
      </c>
      <c r="H9732">
             </c>
      <c r="I9732" t="s">
        <v>14</v>
      </c>
      <c r="J9732" t="s">
        <v>141</v>
      </c>
      <c r="K9732" t="s">
        <v>14</v>
      </c>
      <c r="L9732" t="s">
        <v>20</v>
      </c>
      <c r="M9732" t="s">
        <v>18832</v>
      </c>
      <c r="N9732" t="s">
        <v>14</v>
      </c>
    </row>
    <row r="9733" x14ac:dyDescent="0.25">
      <c r="A9733" t="n">
        <v>24</v>
      </c>
      <c r="B9733" t="s">
        <v>14</v>
      </c>
      <c r="C9733" t="s">
        <v>22</v>
      </c>
      <c r="D9733" s="2" t="s">
        <f>=HYPERLINK("https://main.knesset.gov.il/APPS/legislation/main/bills/2159343", "הצעת חוק כביש אגרה (כביש ארצי לישראל) (תיקון - תנאי לגביית אגרה), התשפ""ב-2021")</f>
        <v>18916</v>
      </c>
      <c r="E9733" t="s">
        <v>18916</v>
      </c>
      <c r="F9733" t="s">
        <v>18917</v>
      </c>
      <c r="G9733" t="s">
        <v>14</v>
      </c>
      <c r="H9733">
             </c>
      <c r="I9733" t="s">
        <v>14</v>
      </c>
      <c r="J9733" t="s">
        <v>141</v>
      </c>
      <c r="K9733" t="s">
        <v>14</v>
      </c>
      <c r="L9733" t="s">
        <v>20</v>
      </c>
      <c r="M9733" t="s">
        <v>18832</v>
      </c>
      <c r="N9733" t="s">
        <v>14</v>
      </c>
    </row>
    <row r="9734" x14ac:dyDescent="0.25">
      <c r="A9734" t="n">
        <v>24</v>
      </c>
      <c r="B9734" t="s">
        <v>14</v>
      </c>
      <c r="C9734" t="s">
        <v>22</v>
      </c>
      <c r="D9734" s="2" t="s">
        <f>=HYPERLINK("https://main.knesset.gov.il/APPS/legislation/main/bills/2161441", "הצעת חוק למניעת אלימות במשפחה (תיקון - מניעת אלימות כלכלית), התשפ""ב-2021")</f>
        <v>18918</v>
      </c>
      <c r="E9734" t="s">
        <v>18918</v>
      </c>
      <c r="F9734" t="s">
        <v>18919</v>
      </c>
      <c r="G9734" t="s">
        <v>14</v>
      </c>
      <c r="H9734">
             </c>
      <c r="I9734" t="s">
        <v>14</v>
      </c>
      <c r="J9734" t="s">
        <v>141</v>
      </c>
      <c r="K9734" t="s">
        <v>14</v>
      </c>
      <c r="L9734" t="s">
        <v>20</v>
      </c>
      <c r="M9734" t="s">
        <v>18832</v>
      </c>
      <c r="N9734" t="s">
        <v>14</v>
      </c>
    </row>
    <row r="9735" x14ac:dyDescent="0.25">
      <c r="A9735" t="n">
        <v>24</v>
      </c>
      <c r="B9735" t="s">
        <v>14</v>
      </c>
      <c r="C9735" t="s">
        <v>22</v>
      </c>
      <c r="D9735" s="2" t="s">
        <f>=HYPERLINK("https://main.knesset.gov.il/APPS/legislation/main/bills/2161427", "הצעת חוק הביטוח הלאומי (תיקון - ביטול מבחן ההכנסה לצורך קבלת גמלת סיעוד), התשפ""ב-2021")</f>
        <v>18920</v>
      </c>
      <c r="E9735" t="s">
        <v>18920</v>
      </c>
      <c r="F9735" t="s">
        <v>18921</v>
      </c>
      <c r="G9735" t="s">
        <v>14</v>
      </c>
      <c r="H9735">
             </c>
      <c r="I9735" t="s">
        <v>14</v>
      </c>
      <c r="J9735" t="s">
        <v>141</v>
      </c>
      <c r="K9735" t="s">
        <v>14</v>
      </c>
      <c r="L9735" t="s">
        <v>20</v>
      </c>
      <c r="M9735" t="s">
        <v>18832</v>
      </c>
      <c r="N9735" t="s">
        <v>14</v>
      </c>
    </row>
    <row r="9736" x14ac:dyDescent="0.25">
      <c r="A9736" t="n">
        <v>24</v>
      </c>
      <c r="B9736" t="s">
        <v>14</v>
      </c>
      <c r="C9736" t="s">
        <v>22</v>
      </c>
      <c r="D9736" s="2" t="s">
        <f>=HYPERLINK("https://main.knesset.gov.il/APPS/legislation/main/bills/2159322", "הצעת חוק המים (תיקון - איסור הפסקת אספקת מים), התשפ""ב-2021")</f>
        <v>18922</v>
      </c>
      <c r="E9736" t="s">
        <v>18922</v>
      </c>
      <c r="F9736" t="s">
        <v>18923</v>
      </c>
      <c r="G9736" t="s">
        <v>14</v>
      </c>
      <c r="H9736">
             </c>
      <c r="I9736" t="s">
        <v>14</v>
      </c>
      <c r="J9736" t="s">
        <v>141</v>
      </c>
      <c r="K9736" t="s">
        <v>14</v>
      </c>
      <c r="L9736" t="s">
        <v>20</v>
      </c>
      <c r="M9736" t="s">
        <v>18832</v>
      </c>
      <c r="N9736" t="s">
        <v>14</v>
      </c>
    </row>
    <row r="9737" x14ac:dyDescent="0.25">
      <c r="A9737" t="n">
        <v>24</v>
      </c>
      <c r="B9737" t="s">
        <v>14</v>
      </c>
      <c r="C9737" t="s">
        <v>22</v>
      </c>
      <c r="D9737" s="2" t="s">
        <f>=HYPERLINK("https://main.knesset.gov.il/APPS/legislation/main/bills/2161414", "הצעת חוק הביטוח הלאומי (תיקון - קצבת נכות לעקרת בית), התשפ""ב-2021")</f>
        <v>18304</v>
      </c>
      <c r="E9737" t="s">
        <v>18304</v>
      </c>
      <c r="F9737" t="s">
        <v>18924</v>
      </c>
      <c r="G9737" t="s">
        <v>14</v>
      </c>
      <c r="H9737">
             </c>
      <c r="I9737" t="s">
        <v>14</v>
      </c>
      <c r="J9737" t="s">
        <v>141</v>
      </c>
      <c r="K9737" t="s">
        <v>14</v>
      </c>
      <c r="L9737" t="s">
        <v>20</v>
      </c>
      <c r="M9737" t="s">
        <v>18832</v>
      </c>
      <c r="N9737" t="s">
        <v>14</v>
      </c>
    </row>
    <row r="9738" x14ac:dyDescent="0.25">
      <c r="A9738" t="n">
        <v>24</v>
      </c>
      <c r="B9738" t="s">
        <v>14</v>
      </c>
      <c r="C9738" t="s">
        <v>22</v>
      </c>
      <c r="D9738" s="2" t="s">
        <f>=HYPERLINK("https://main.knesset.gov.il/APPS/legislation/main/bills/2161396", "הצעת חוק שכר נושאי משרה ברשויות השלטון, התשפ""ב-2021")</f>
        <v>18925</v>
      </c>
      <c r="E9738" t="s">
        <v>18925</v>
      </c>
      <c r="F9738" t="s">
        <v>18926</v>
      </c>
      <c r="G9738" t="s">
        <v>14</v>
      </c>
      <c r="H9738">
             </c>
      <c r="I9738" t="s">
        <v>14</v>
      </c>
      <c r="J9738" t="s">
        <v>141</v>
      </c>
      <c r="K9738" t="s">
        <v>14</v>
      </c>
      <c r="L9738" t="s">
        <v>20</v>
      </c>
      <c r="M9738" t="s">
        <v>18832</v>
      </c>
      <c r="N9738" t="s">
        <v>14</v>
      </c>
    </row>
    <row r="9739" x14ac:dyDescent="0.25">
      <c r="A9739" t="n">
        <v>24</v>
      </c>
      <c r="B9739" t="s">
        <v>14</v>
      </c>
      <c r="C9739" t="s">
        <v>22</v>
      </c>
      <c r="D9739" s="2" t="s">
        <f>=HYPERLINK("https://main.knesset.gov.il/APPS/legislation/main/bills/2161398", "הצעת חוק-יסוד: שכר נושאי משרה ברשויות השלטון (תיקוני חקיקה)")</f>
        <v>10175</v>
      </c>
      <c r="E9739" t="s">
        <v>10175</v>
      </c>
      <c r="F9739" t="s">
        <v>18927</v>
      </c>
      <c r="G9739" t="s">
        <v>14</v>
      </c>
      <c r="H9739">
             </c>
      <c r="I9739" t="s">
        <v>14</v>
      </c>
      <c r="J9739" t="s">
        <v>141</v>
      </c>
      <c r="K9739" t="s">
        <v>14</v>
      </c>
      <c r="L9739" t="s">
        <v>20</v>
      </c>
      <c r="M9739" t="s">
        <v>18832</v>
      </c>
      <c r="N9739" t="s">
        <v>14</v>
      </c>
    </row>
    <row r="9740" x14ac:dyDescent="0.25">
      <c r="A9740" t="n">
        <v>24</v>
      </c>
      <c r="B9740" t="s">
        <v>14</v>
      </c>
      <c r="C9740" t="s">
        <v>15</v>
      </c>
      <c r="D9740" s="2" t="s">
        <f>=HYPERLINK("https://main.knesset.gov.il/APPS/legislation/main/bills/2161854", "חוק סמכויות מיוחדות להתמודדות עם נגיף הקורונה החדש (הוראת שעה) (תיקון מס' 9), התשפ""א-2021 ")</f>
        <v>18928</v>
      </c>
      <c r="E9740" t="s">
        <v>18928</v>
      </c>
      <c r="F9740" t="s">
        <v>14</v>
      </c>
      <c r="G9740" t="s">
        <v>18929</v>
      </c>
      <c r="H9740" t="n">
        <v>2927</v>
      </c>
      <c r="I9740" t="s">
        <v>14</v>
      </c>
      <c r="J9740" t="s">
        <v>91</v>
      </c>
      <c r="K9740" t="s">
        <v>27</v>
      </c>
      <c r="L9740" t="s">
        <v>20</v>
      </c>
      <c r="M9740" t="s">
        <v>18930</v>
      </c>
      <c r="N9740" t="s">
        <v>18931</v>
      </c>
    </row>
    <row r="9741" x14ac:dyDescent="0.25">
      <c r="A9741" t="n">
        <v>24</v>
      </c>
      <c r="B9741" t="s">
        <v>14</v>
      </c>
      <c r="C9741" t="s">
        <v>15</v>
      </c>
      <c r="D9741" s="2" t="s">
        <f>=HYPERLINK("https://main.knesset.gov.il/APPS/legislation/main/bills/2159669", "חוק קיום דיונים בהיוועדות חזותית בהשתתפות עצורים, אסירים וכלואים בתקופת התפשטות נגיף הקורונה החדש (הוראת שעה) (תיקון), התשפ""א-2021")</f>
        <v>18932</v>
      </c>
      <c r="E9741" t="s">
        <v>18932</v>
      </c>
      <c r="F9741" t="s">
        <v>14</v>
      </c>
      <c r="G9741" t="s">
        <v>18933</v>
      </c>
      <c r="H9741" t="n">
        <v>2926</v>
      </c>
      <c r="I9741" t="s">
        <v>14</v>
      </c>
      <c r="J9741" t="s">
        <v>91</v>
      </c>
      <c r="K9741" t="s">
        <v>27</v>
      </c>
      <c r="L9741" t="s">
        <v>20</v>
      </c>
      <c r="M9741" t="s">
        <v>18934</v>
      </c>
      <c r="N9741" t="s">
        <v>18935</v>
      </c>
    </row>
    <row r="9742" x14ac:dyDescent="0.25">
      <c r="A9742" t="n">
        <v>24</v>
      </c>
      <c r="B9742" t="s">
        <v>14</v>
      </c>
      <c r="C9742" t="s">
        <v>22</v>
      </c>
      <c r="D9742" s="2" t="s">
        <f>=HYPERLINK("https://main.knesset.gov.il/APPS/legislation/main/bills/2156978", "הצעת חוק ליישוב תחת איום מיידי (הוראת שעה), התשפ""א-2021")</f>
        <v>18820</v>
      </c>
      <c r="E9742" t="s">
        <v>18820</v>
      </c>
      <c r="F9742" t="s">
        <v>18936</v>
      </c>
      <c r="G9742" t="s">
        <v>14</v>
      </c>
      <c r="H9742">
             </c>
      <c r="I9742" t="s">
        <v>14</v>
      </c>
      <c r="J9742" t="s">
        <v>31</v>
      </c>
      <c r="K9742" t="s">
        <v>85</v>
      </c>
      <c r="L9742" t="s">
        <v>20</v>
      </c>
      <c r="M9742" t="s">
        <v>18937</v>
      </c>
      <c r="N9742" t="s">
        <v>14</v>
      </c>
    </row>
    <row r="9743" x14ac:dyDescent="0.25">
      <c r="A9743" t="n">
        <v>24</v>
      </c>
      <c r="B9743" t="s">
        <v>14</v>
      </c>
      <c r="C9743" t="s">
        <v>15</v>
      </c>
      <c r="D9743" s="2" t="s">
        <f>=HYPERLINK("https://main.knesset.gov.il/APPS/legislation/main/bills/2160832", "חוק לקידום הבנייה במתחמים מועדפים לדיור (הוראת שעה) (תיקון מס' 7), התשפ""א-2021 ")</f>
        <v>18938</v>
      </c>
      <c r="E9743" t="s">
        <v>18938</v>
      </c>
      <c r="F9743" t="s">
        <v>14</v>
      </c>
      <c r="G9743" t="s">
        <v>18939</v>
      </c>
      <c r="H9743" t="n">
        <v>2925</v>
      </c>
      <c r="I9743" t="s">
        <v>14</v>
      </c>
      <c r="J9743" t="s">
        <v>91</v>
      </c>
      <c r="K9743" t="s">
        <v>46</v>
      </c>
      <c r="L9743" t="s">
        <v>20</v>
      </c>
      <c r="M9743" t="s">
        <v>18940</v>
      </c>
      <c r="N9743" t="s">
        <v>18941</v>
      </c>
    </row>
    <row r="9744" x14ac:dyDescent="0.25">
      <c r="A9744" t="n">
        <v>24</v>
      </c>
      <c r="B9744" t="s">
        <v>14</v>
      </c>
      <c r="C9744" t="s">
        <v>15</v>
      </c>
      <c r="D9744" s="2" t="s">
        <f>=HYPERLINK("https://main.knesset.gov.il/APPS/legislation/main/bills/2159663", "חוק תכנון משק החלב (תיקון מס' 4), התשפ""א-2021")</f>
        <v>18942</v>
      </c>
      <c r="E9744" t="s">
        <v>18942</v>
      </c>
      <c r="F9744" t="s">
        <v>14</v>
      </c>
      <c r="G9744" t="s">
        <v>18943</v>
      </c>
      <c r="H9744" t="n">
        <v>2924</v>
      </c>
      <c r="I9744" t="s">
        <v>14</v>
      </c>
      <c r="J9744" t="s">
        <v>91</v>
      </c>
      <c r="K9744" t="s">
        <v>85</v>
      </c>
      <c r="L9744" t="s">
        <v>20</v>
      </c>
      <c r="M9744" t="s">
        <v>18940</v>
      </c>
      <c r="N9744" t="s">
        <v>18944</v>
      </c>
    </row>
    <row r="9745" x14ac:dyDescent="0.25">
      <c r="A9745" t="n">
        <v>24</v>
      </c>
      <c r="B9745" t="s">
        <v>14</v>
      </c>
      <c r="C9745" t="s">
        <v>22</v>
      </c>
      <c r="D9745" s="2" t="s">
        <f>=HYPERLINK("https://main.knesset.gov.il/APPS/legislation/main/bills/2160387", "הצעת חוק בתי המשפט (תיקון - קביעת מותבים בבית המשפט העליון), התשפ""א-2021")</f>
        <v>18945</v>
      </c>
      <c r="E9745" t="s">
        <v>18945</v>
      </c>
      <c r="F9745" t="s">
        <v>18946</v>
      </c>
      <c r="G9745" t="s">
        <v>14</v>
      </c>
      <c r="H9745">
             </c>
      <c r="I9745" t="s">
        <v>14</v>
      </c>
      <c r="J9745" t="s">
        <v>141</v>
      </c>
      <c r="K9745" t="s">
        <v>14</v>
      </c>
      <c r="L9745" t="s">
        <v>20</v>
      </c>
      <c r="M9745" t="s">
        <v>18940</v>
      </c>
      <c r="N9745" t="s">
        <v>14</v>
      </c>
    </row>
    <row r="9746" x14ac:dyDescent="0.25">
      <c r="A9746" t="n">
        <v>24</v>
      </c>
      <c r="B9746" t="s">
        <v>14</v>
      </c>
      <c r="C9746" t="s">
        <v>22</v>
      </c>
      <c r="D9746" s="2" t="s">
        <f>=HYPERLINK("https://main.knesset.gov.il/APPS/legislation/main/bills/2160546", "הצעת חוק נישואין וגירושין, התשפ""א-2021")</f>
        <v>18947</v>
      </c>
      <c r="E9746" t="s">
        <v>18947</v>
      </c>
      <c r="F9746" t="s">
        <v>18948</v>
      </c>
      <c r="G9746" t="s">
        <v>14</v>
      </c>
      <c r="H9746">
             </c>
      <c r="I9746" t="s">
        <v>14</v>
      </c>
      <c r="J9746" t="s">
        <v>141</v>
      </c>
      <c r="K9746" t="s">
        <v>14</v>
      </c>
      <c r="L9746" t="s">
        <v>20</v>
      </c>
      <c r="M9746" t="s">
        <v>18940</v>
      </c>
      <c r="N9746" t="s">
        <v>14</v>
      </c>
    </row>
    <row r="9747" x14ac:dyDescent="0.25">
      <c r="A9747" t="n">
        <v>24</v>
      </c>
      <c r="B9747" t="s">
        <v>14</v>
      </c>
      <c r="C9747" t="s">
        <v>22</v>
      </c>
      <c r="D9747" s="2" t="s">
        <f>=HYPERLINK("https://main.knesset.gov.il/APPS/legislation/main/bills/2161144", "הצעת חוק ההוצאה לפועל (תיקון - מקדמות על חשבון חוב מזונות ילד), התשפ""א-2021")</f>
        <v>18949</v>
      </c>
      <c r="E9747" t="s">
        <v>18949</v>
      </c>
      <c r="F9747" t="s">
        <v>18950</v>
      </c>
      <c r="G9747" t="s">
        <v>14</v>
      </c>
      <c r="H9747">
             </c>
      <c r="I9747" t="s">
        <v>14</v>
      </c>
      <c r="J9747" t="s">
        <v>141</v>
      </c>
      <c r="K9747" t="s">
        <v>14</v>
      </c>
      <c r="L9747" t="s">
        <v>20</v>
      </c>
      <c r="M9747" t="s">
        <v>18940</v>
      </c>
      <c r="N9747" t="s">
        <v>14</v>
      </c>
    </row>
    <row r="9748" x14ac:dyDescent="0.25">
      <c r="A9748" t="n">
        <v>24</v>
      </c>
      <c r="B9748" t="s">
        <v>14</v>
      </c>
      <c r="C9748" t="s">
        <v>22</v>
      </c>
      <c r="D9748" s="2" t="s">
        <f>=HYPERLINK("https://main.knesset.gov.il/APPS/legislation/main/bills/2161379", "הצעת חוק שירות ביטחון (תיקון - סיוע טיפולי לבוגרי השירות הצבאי), התשפ""א-2021")</f>
        <v>18951</v>
      </c>
      <c r="E9748" t="s">
        <v>18951</v>
      </c>
      <c r="F9748" t="s">
        <v>18952</v>
      </c>
      <c r="G9748" t="s">
        <v>14</v>
      </c>
      <c r="H9748">
             </c>
      <c r="I9748" t="s">
        <v>14</v>
      </c>
      <c r="J9748" t="s">
        <v>343</v>
      </c>
      <c r="K9748" t="s">
        <v>14</v>
      </c>
      <c r="L9748" t="s">
        <v>20</v>
      </c>
      <c r="M9748" t="s">
        <v>18940</v>
      </c>
      <c r="N9748" t="s">
        <v>14</v>
      </c>
    </row>
    <row r="9749" x14ac:dyDescent="0.25">
      <c r="A9749" t="n">
        <v>24</v>
      </c>
      <c r="B9749" t="s">
        <v>14</v>
      </c>
      <c r="C9749" t="s">
        <v>22</v>
      </c>
      <c r="D9749" s="2" t="s">
        <f>=HYPERLINK("https://main.knesset.gov.il/APPS/legislation/main/bills/2161315", "הצעת חוק שירות ביטחון (תיקון - פטור זקן לחיילים), התשפ""א-2021")</f>
        <v>18953</v>
      </c>
      <c r="E9749" t="s">
        <v>18953</v>
      </c>
      <c r="F9749" t="s">
        <v>18954</v>
      </c>
      <c r="G9749" t="s">
        <v>14</v>
      </c>
      <c r="H9749">
             </c>
      <c r="I9749" t="s">
        <v>14</v>
      </c>
      <c r="J9749" t="s">
        <v>141</v>
      </c>
      <c r="K9749" t="s">
        <v>14</v>
      </c>
      <c r="L9749" t="s">
        <v>20</v>
      </c>
      <c r="M9749" t="s">
        <v>18940</v>
      </c>
      <c r="N9749" t="s">
        <v>14</v>
      </c>
    </row>
    <row r="9750" x14ac:dyDescent="0.25">
      <c r="A9750" t="n">
        <v>24</v>
      </c>
      <c r="B9750" t="s">
        <v>14</v>
      </c>
      <c r="C9750" t="s">
        <v>22</v>
      </c>
      <c r="D9750" s="2" t="s">
        <f>=HYPERLINK("https://main.knesset.gov.il/APPS/legislation/main/bills/2158249", "הצעת חוק שיפוט בתי דין רבניים (נישואין וגירושין) (תיקון - בירור יהדות), התשפ""א-2021")</f>
        <v>18955</v>
      </c>
      <c r="E9750" t="s">
        <v>18955</v>
      </c>
      <c r="F9750" t="s">
        <v>18956</v>
      </c>
      <c r="G9750" t="s">
        <v>14</v>
      </c>
      <c r="H9750">
             </c>
      <c r="I9750" t="s">
        <v>14</v>
      </c>
      <c r="J9750" t="s">
        <v>141</v>
      </c>
      <c r="K9750" t="s">
        <v>14</v>
      </c>
      <c r="L9750" t="s">
        <v>20</v>
      </c>
      <c r="M9750" t="s">
        <v>18940</v>
      </c>
      <c r="N9750" t="s">
        <v>14</v>
      </c>
    </row>
    <row r="9751" x14ac:dyDescent="0.25">
      <c r="A9751" t="n">
        <v>24</v>
      </c>
      <c r="B9751" t="s">
        <v>14</v>
      </c>
      <c r="C9751" t="s">
        <v>22</v>
      </c>
      <c r="D9751" s="2" t="s">
        <f>=HYPERLINK("https://main.knesset.gov.il/APPS/legislation/main/bills/2161394", "הצעת חוק הכרה אזרחית בהכשרות צבאיות (תיקון - הכרה בניסיון פיקודי כניסיון ניהולי), התשפ""א-2021")</f>
        <v>18957</v>
      </c>
      <c r="E9751" t="s">
        <v>18957</v>
      </c>
      <c r="F9751" t="s">
        <v>18958</v>
      </c>
      <c r="G9751" t="s">
        <v>14</v>
      </c>
      <c r="H9751">
             </c>
      <c r="I9751" t="s">
        <v>14</v>
      </c>
      <c r="J9751" t="s">
        <v>141</v>
      </c>
      <c r="K9751" t="s">
        <v>14</v>
      </c>
      <c r="L9751" t="s">
        <v>20</v>
      </c>
      <c r="M9751" t="s">
        <v>18940</v>
      </c>
      <c r="N9751" t="s">
        <v>14</v>
      </c>
    </row>
    <row r="9752" x14ac:dyDescent="0.25">
      <c r="A9752" t="n">
        <v>24</v>
      </c>
      <c r="B9752" t="s">
        <v>14</v>
      </c>
      <c r="C9752" t="s">
        <v>22</v>
      </c>
      <c r="D9752" s="2" t="s">
        <f>=HYPERLINK("https://main.knesset.gov.il/APPS/legislation/main/bills/2161390", "הצעת חוק לתיקון פקודת התעבורה (חובת התקנת לחצן מצוקה באוטובוס), התשפ""א-2021")</f>
        <v>18959</v>
      </c>
      <c r="E9752" t="s">
        <v>18959</v>
      </c>
      <c r="F9752" t="s">
        <v>18960</v>
      </c>
      <c r="G9752" t="s">
        <v>14</v>
      </c>
      <c r="H9752">
             </c>
      <c r="I9752" t="s">
        <v>14</v>
      </c>
      <c r="J9752" t="s">
        <v>141</v>
      </c>
      <c r="K9752" t="s">
        <v>14</v>
      </c>
      <c r="L9752" t="s">
        <v>20</v>
      </c>
      <c r="M9752" t="s">
        <v>18940</v>
      </c>
      <c r="N9752" t="s">
        <v>14</v>
      </c>
    </row>
    <row r="9753" x14ac:dyDescent="0.25">
      <c r="A9753" t="n">
        <v>24</v>
      </c>
      <c r="B9753" t="s">
        <v>14</v>
      </c>
      <c r="C9753" t="s">
        <v>22</v>
      </c>
      <c r="D9753" s="2" t="s">
        <f>=HYPERLINK("https://main.knesset.gov.il/APPS/legislation/main/bills/2161150", "הצעת חוק בתי דין רבניים (קיום פסקי דין של גירושין) (תיקון - הפקעת כסף קידושין), התשפ""א-2021")</f>
        <v>18961</v>
      </c>
      <c r="E9753" t="s">
        <v>18961</v>
      </c>
      <c r="F9753" t="s">
        <v>18962</v>
      </c>
      <c r="G9753" t="s">
        <v>14</v>
      </c>
      <c r="H9753">
             </c>
      <c r="I9753" t="s">
        <v>14</v>
      </c>
      <c r="J9753" t="s">
        <v>141</v>
      </c>
      <c r="K9753" t="s">
        <v>14</v>
      </c>
      <c r="L9753" t="s">
        <v>20</v>
      </c>
      <c r="M9753" t="s">
        <v>18940</v>
      </c>
      <c r="N9753" t="s">
        <v>14</v>
      </c>
    </row>
    <row r="9754" x14ac:dyDescent="0.25">
      <c r="A9754" t="n">
        <v>24</v>
      </c>
      <c r="B9754" t="s">
        <v>14</v>
      </c>
      <c r="C9754" t="s">
        <v>22</v>
      </c>
      <c r="D9754" s="2" t="s">
        <f>=HYPERLINK("https://main.knesset.gov.il/APPS/legislation/main/bills/2161322", "הצעת חוק תגמול מדליסטים אולימפיים, התשפ""א-2021")</f>
        <v>18963</v>
      </c>
      <c r="E9754" t="s">
        <v>18963</v>
      </c>
      <c r="F9754" t="s">
        <v>18964</v>
      </c>
      <c r="G9754" t="s">
        <v>14</v>
      </c>
      <c r="H9754">
             </c>
      <c r="I9754" t="s">
        <v>14</v>
      </c>
      <c r="J9754" t="s">
        <v>141</v>
      </c>
      <c r="K9754" t="s">
        <v>14</v>
      </c>
      <c r="L9754" t="s">
        <v>20</v>
      </c>
      <c r="M9754" t="s">
        <v>18940</v>
      </c>
      <c r="N9754" t="s">
        <v>14</v>
      </c>
    </row>
    <row r="9755" x14ac:dyDescent="0.25">
      <c r="A9755" t="n">
        <v>24</v>
      </c>
      <c r="B9755" t="s">
        <v>14</v>
      </c>
      <c r="C9755" t="s">
        <v>22</v>
      </c>
      <c r="D9755" s="2" t="s">
        <f>=HYPERLINK("https://main.knesset.gov.il/APPS/legislation/main/bills/2160937", "הצעת חוק הסדרת השימוש בקנאביס למטרות רפואיות, התשפ""א-2021")</f>
        <v>18965</v>
      </c>
      <c r="E9755" t="s">
        <v>18965</v>
      </c>
      <c r="F9755" t="s">
        <v>18966</v>
      </c>
      <c r="G9755" t="s">
        <v>14</v>
      </c>
      <c r="H9755">
             </c>
      <c r="I9755" t="s">
        <v>14</v>
      </c>
      <c r="J9755" t="s">
        <v>141</v>
      </c>
      <c r="K9755" t="s">
        <v>14</v>
      </c>
      <c r="L9755" t="s">
        <v>20</v>
      </c>
      <c r="M9755" t="s">
        <v>18940</v>
      </c>
      <c r="N9755" t="s">
        <v>14</v>
      </c>
    </row>
    <row r="9756" x14ac:dyDescent="0.25">
      <c r="A9756" t="n">
        <v>24</v>
      </c>
      <c r="B9756" t="s">
        <v>14</v>
      </c>
      <c r="C9756" t="s">
        <v>22</v>
      </c>
      <c r="D9756" s="2" t="s">
        <f>=HYPERLINK("https://main.knesset.gov.il/APPS/legislation/main/bills/2160582", "הצעת חוק איסור פרסומת והגבלת השיווק של מוצרי טבק ועישון (תיקון - איסור פרסום בעיתונות המודפסת), התשפ""א-2021")</f>
        <v>18967</v>
      </c>
      <c r="E9756" t="s">
        <v>18967</v>
      </c>
      <c r="F9756" t="s">
        <v>18968</v>
      </c>
      <c r="G9756" t="s">
        <v>14</v>
      </c>
      <c r="H9756">
             </c>
      <c r="I9756" t="s">
        <v>14</v>
      </c>
      <c r="J9756" t="s">
        <v>141</v>
      </c>
      <c r="K9756" t="s">
        <v>14</v>
      </c>
      <c r="L9756" t="s">
        <v>20</v>
      </c>
      <c r="M9756" t="s">
        <v>18940</v>
      </c>
      <c r="N9756" t="s">
        <v>14</v>
      </c>
    </row>
    <row r="9757" x14ac:dyDescent="0.25">
      <c r="A9757" t="n">
        <v>24</v>
      </c>
      <c r="B9757" t="s">
        <v>14</v>
      </c>
      <c r="C9757" t="s">
        <v>22</v>
      </c>
      <c r="D9757" s="2" t="s">
        <f>=HYPERLINK("https://main.knesset.gov.il/APPS/legislation/main/bills/2160974", "הצעת חוק לשכת עורכי הדין (תיקון - ציון עובר בבחינת ההתמחות), התשפ""א-2021")</f>
        <v>18969</v>
      </c>
      <c r="E9757" t="s">
        <v>18969</v>
      </c>
      <c r="F9757" t="s">
        <v>18970</v>
      </c>
      <c r="G9757" t="s">
        <v>14</v>
      </c>
      <c r="H9757">
             </c>
      <c r="I9757" t="s">
        <v>14</v>
      </c>
      <c r="J9757" t="s">
        <v>141</v>
      </c>
      <c r="K9757" t="s">
        <v>14</v>
      </c>
      <c r="L9757" t="s">
        <v>20</v>
      </c>
      <c r="M9757" t="s">
        <v>18940</v>
      </c>
      <c r="N9757" t="s">
        <v>14</v>
      </c>
    </row>
    <row r="9758" x14ac:dyDescent="0.25">
      <c r="A9758" t="n">
        <v>24</v>
      </c>
      <c r="B9758" t="s">
        <v>14</v>
      </c>
      <c r="C9758" t="s">
        <v>22</v>
      </c>
      <c r="D9758" s="2" t="s">
        <f>=HYPERLINK("https://main.knesset.gov.il/APPS/legislation/main/bills/2161078", "הצעת חוק הקמת המוסד העליון לשפת הסימנים הישראלית, התשפ""א-2021")</f>
        <v>18971</v>
      </c>
      <c r="E9758" t="s">
        <v>18971</v>
      </c>
      <c r="F9758" t="s">
        <v>18972</v>
      </c>
      <c r="G9758" t="s">
        <v>14</v>
      </c>
      <c r="H9758">
             </c>
      <c r="I9758" t="s">
        <v>14</v>
      </c>
      <c r="J9758" t="s">
        <v>141</v>
      </c>
      <c r="K9758" t="s">
        <v>14</v>
      </c>
      <c r="L9758" t="s">
        <v>20</v>
      </c>
      <c r="M9758" t="s">
        <v>18940</v>
      </c>
      <c r="N9758" t="s">
        <v>14</v>
      </c>
    </row>
    <row r="9759" x14ac:dyDescent="0.25">
      <c r="A9759" t="n">
        <v>24</v>
      </c>
      <c r="B9759" t="s">
        <v>14</v>
      </c>
      <c r="C9759" t="s">
        <v>22</v>
      </c>
      <c r="D9759" s="2" t="s">
        <f>=HYPERLINK("https://main.knesset.gov.il/APPS/legislation/main/bills/2161088", "הצעת חוק הפיקוח על מעונות (תיקון - חובת פיקוח של מנהל מעון), התשפ""א-2021")</f>
        <v>18973</v>
      </c>
      <c r="E9759" t="s">
        <v>18973</v>
      </c>
      <c r="F9759" t="s">
        <v>18974</v>
      </c>
      <c r="G9759" t="s">
        <v>14</v>
      </c>
      <c r="H9759">
             </c>
      <c r="I9759" t="s">
        <v>14</v>
      </c>
      <c r="J9759" t="s">
        <v>141</v>
      </c>
      <c r="K9759" t="s">
        <v>14</v>
      </c>
      <c r="L9759" t="s">
        <v>20</v>
      </c>
      <c r="M9759" t="s">
        <v>18940</v>
      </c>
      <c r="N9759" t="s">
        <v>14</v>
      </c>
    </row>
    <row r="9760" x14ac:dyDescent="0.25">
      <c r="A9760" t="n">
        <v>24</v>
      </c>
      <c r="B9760" t="s">
        <v>14</v>
      </c>
      <c r="C9760" t="s">
        <v>22</v>
      </c>
      <c r="D9760" s="2" t="s">
        <f>=HYPERLINK("https://main.knesset.gov.il/APPS/legislation/main/bills/2161198", "הצעת חוק זכויות הסטודנט (תיקון - מועד בחינה מיוחד בשל שירות מילואים), התשפ""א-2021")</f>
        <v>18975</v>
      </c>
      <c r="E9760" t="s">
        <v>18975</v>
      </c>
      <c r="F9760" t="s">
        <v>18976</v>
      </c>
      <c r="G9760" t="s">
        <v>14</v>
      </c>
      <c r="H9760">
             </c>
      <c r="I9760" t="s">
        <v>14</v>
      </c>
      <c r="J9760" t="s">
        <v>141</v>
      </c>
      <c r="K9760" t="s">
        <v>14</v>
      </c>
      <c r="L9760" t="s">
        <v>20</v>
      </c>
      <c r="M9760" t="s">
        <v>18940</v>
      </c>
      <c r="N9760" t="s">
        <v>14</v>
      </c>
    </row>
    <row r="9761" x14ac:dyDescent="0.25">
      <c r="A9761" t="n">
        <v>24</v>
      </c>
      <c r="B9761" t="s">
        <v>14</v>
      </c>
      <c r="C9761" t="s">
        <v>22</v>
      </c>
      <c r="D9761" s="2" t="s">
        <f>=HYPERLINK("https://main.knesset.gov.il/APPS/legislation/main/bills/2161319", "הצעת חוק הביטוח הלאומי (תיקון - דמי ביטוח מופחתים לסטודנטים), התשפ""א-2021")</f>
        <v>17497</v>
      </c>
      <c r="E9761" t="s">
        <v>17497</v>
      </c>
      <c r="F9761" t="s">
        <v>18977</v>
      </c>
      <c r="G9761" t="s">
        <v>14</v>
      </c>
      <c r="H9761">
             </c>
      <c r="I9761" t="s">
        <v>14</v>
      </c>
      <c r="J9761" t="s">
        <v>141</v>
      </c>
      <c r="K9761" t="s">
        <v>14</v>
      </c>
      <c r="L9761" t="s">
        <v>20</v>
      </c>
      <c r="M9761" t="s">
        <v>18940</v>
      </c>
      <c r="N9761" t="s">
        <v>14</v>
      </c>
    </row>
    <row r="9762" x14ac:dyDescent="0.25">
      <c r="A9762" t="n">
        <v>24</v>
      </c>
      <c r="B9762" t="s">
        <v>14</v>
      </c>
      <c r="C9762" t="s">
        <v>22</v>
      </c>
      <c r="D9762" s="2" t="s">
        <f>=HYPERLINK("https://main.knesset.gov.il/APPS/legislation/main/bills/2161323", "הצעת חוק ביטוח בריאות ממלכתי (תיקון - פטור מתקופת המתנה לסטודנטים הלומדים בחו""ל), התשפ""א-2021")</f>
        <v>18978</v>
      </c>
      <c r="E9762" t="s">
        <v>18978</v>
      </c>
      <c r="F9762" t="s">
        <v>18979</v>
      </c>
      <c r="G9762" t="s">
        <v>14</v>
      </c>
      <c r="H9762">
             </c>
      <c r="I9762" t="s">
        <v>14</v>
      </c>
      <c r="J9762" t="s">
        <v>141</v>
      </c>
      <c r="K9762" t="s">
        <v>14</v>
      </c>
      <c r="L9762" t="s">
        <v>20</v>
      </c>
      <c r="M9762" t="s">
        <v>18940</v>
      </c>
      <c r="N9762" t="s">
        <v>14</v>
      </c>
    </row>
    <row r="9763" x14ac:dyDescent="0.25">
      <c r="A9763" t="n">
        <v>24</v>
      </c>
      <c r="B9763" t="s">
        <v>14</v>
      </c>
      <c r="C9763" t="s">
        <v>22</v>
      </c>
      <c r="D9763" s="2" t="s">
        <f>=HYPERLINK("https://main.knesset.gov.il/APPS/legislation/main/bills/2161325", "הצעת חוק הנצחת זכרם של קורבנות הטבח בכפר קאסם, התשפ""א-2021")</f>
        <v>18505</v>
      </c>
      <c r="E9763" t="s">
        <v>18505</v>
      </c>
      <c r="F9763" t="s">
        <v>18980</v>
      </c>
      <c r="G9763" t="s">
        <v>14</v>
      </c>
      <c r="H9763">
             </c>
      <c r="I9763" t="s">
        <v>14</v>
      </c>
      <c r="J9763" t="s">
        <v>141</v>
      </c>
      <c r="K9763" t="s">
        <v>14</v>
      </c>
      <c r="L9763" t="s">
        <v>20</v>
      </c>
      <c r="M9763" t="s">
        <v>18940</v>
      </c>
      <c r="N9763" t="s">
        <v>14</v>
      </c>
    </row>
    <row r="9764" x14ac:dyDescent="0.25">
      <c r="A9764" t="n">
        <v>24</v>
      </c>
      <c r="B9764" t="s">
        <v>14</v>
      </c>
      <c r="C9764" t="s">
        <v>22</v>
      </c>
      <c r="D9764" s="2" t="s">
        <f>=HYPERLINK("https://main.knesset.gov.il/APPS/legislation/main/bills/2160987", "הצעת חוק רשות מקרקעי ישראל (תיקון - הקצאת קרקעות בנגב ובגליל לחיילים משוחררים), התשפ""א-2021")</f>
        <v>18981</v>
      </c>
      <c r="E9764" t="s">
        <v>18981</v>
      </c>
      <c r="F9764" t="s">
        <v>18982</v>
      </c>
      <c r="G9764" t="s">
        <v>14</v>
      </c>
      <c r="H9764">
             </c>
      <c r="I9764" t="s">
        <v>14</v>
      </c>
      <c r="J9764" t="s">
        <v>343</v>
      </c>
      <c r="K9764" t="s">
        <v>14</v>
      </c>
      <c r="L9764" t="s">
        <v>20</v>
      </c>
      <c r="M9764" t="s">
        <v>18940</v>
      </c>
      <c r="N9764" t="s">
        <v>14</v>
      </c>
    </row>
    <row r="9765" x14ac:dyDescent="0.25">
      <c r="A9765" t="n">
        <v>24</v>
      </c>
      <c r="B9765" t="s">
        <v>14</v>
      </c>
      <c r="C9765" t="s">
        <v>22</v>
      </c>
      <c r="D9765" s="2" t="s">
        <f>=HYPERLINK("https://main.knesset.gov.il/APPS/legislation/main/bills/2161341", "הצעת חוק הביטוח הלאומי (תיקון - עבודה מועדפת באילת), התשפ""א-2021")</f>
        <v>18983</v>
      </c>
      <c r="E9765" t="s">
        <v>18983</v>
      </c>
      <c r="F9765" t="s">
        <v>18984</v>
      </c>
      <c r="G9765" t="s">
        <v>14</v>
      </c>
      <c r="H9765">
             </c>
      <c r="I9765" t="s">
        <v>14</v>
      </c>
      <c r="J9765" t="s">
        <v>141</v>
      </c>
      <c r="K9765" t="s">
        <v>14</v>
      </c>
      <c r="L9765" t="s">
        <v>20</v>
      </c>
      <c r="M9765" t="s">
        <v>18940</v>
      </c>
      <c r="N9765" t="s">
        <v>14</v>
      </c>
    </row>
    <row r="9766" x14ac:dyDescent="0.25">
      <c r="A9766" t="n">
        <v>24</v>
      </c>
      <c r="B9766" t="s">
        <v>14</v>
      </c>
      <c r="C9766" t="s">
        <v>22</v>
      </c>
      <c r="D9766" s="2" t="s">
        <f>=HYPERLINK("https://main.knesset.gov.il/APPS/legislation/main/bills/2159485", "הצעת חוק הסדרת מקומות רחצה (תיקון - ייעוד זמנים לרחצה נפרדת באתרי טבע), התשפ""א-2021")</f>
        <v>18985</v>
      </c>
      <c r="E9766" t="s">
        <v>18985</v>
      </c>
      <c r="F9766" t="s">
        <v>18986</v>
      </c>
      <c r="G9766" t="s">
        <v>14</v>
      </c>
      <c r="H9766">
             </c>
      <c r="I9766" t="s">
        <v>14</v>
      </c>
      <c r="J9766" t="s">
        <v>141</v>
      </c>
      <c r="K9766" t="s">
        <v>14</v>
      </c>
      <c r="L9766" t="s">
        <v>20</v>
      </c>
      <c r="M9766" t="s">
        <v>18940</v>
      </c>
      <c r="N9766" t="s">
        <v>14</v>
      </c>
    </row>
    <row r="9767" x14ac:dyDescent="0.25">
      <c r="A9767" t="n">
        <v>24</v>
      </c>
      <c r="B9767" t="s">
        <v>14</v>
      </c>
      <c r="C9767" t="s">
        <v>22</v>
      </c>
      <c r="D9767" s="2" t="s">
        <f>=HYPERLINK("https://main.knesset.gov.il/APPS/legislation/main/bills/2161172", "הצעת חוק ארוחה יומית לתלמיד (תיקון - הרחבת תחולת החוק), התשפ""א-2021")</f>
        <v>18987</v>
      </c>
      <c r="E9767" t="s">
        <v>18987</v>
      </c>
      <c r="F9767" t="s">
        <v>18988</v>
      </c>
      <c r="G9767" t="s">
        <v>14</v>
      </c>
      <c r="H9767">
             </c>
      <c r="I9767" t="s">
        <v>14</v>
      </c>
      <c r="J9767" t="s">
        <v>141</v>
      </c>
      <c r="K9767" t="s">
        <v>14</v>
      </c>
      <c r="L9767" t="s">
        <v>20</v>
      </c>
      <c r="M9767" t="s">
        <v>18940</v>
      </c>
      <c r="N9767" t="s">
        <v>14</v>
      </c>
    </row>
    <row r="9768" x14ac:dyDescent="0.25">
      <c r="A9768" t="n">
        <v>24</v>
      </c>
      <c r="B9768" t="s">
        <v>14</v>
      </c>
      <c r="C9768" t="s">
        <v>22</v>
      </c>
      <c r="D9768" s="2" t="s">
        <f>=HYPERLINK("https://main.knesset.gov.il/APPS/legislation/main/bills/2160035", "הצעת חוק נציב תלונות הציבור על שופטים (תיקון - פרסום שם שופט), התשפ""א-2021")</f>
        <v>18989</v>
      </c>
      <c r="E9768" t="s">
        <v>18989</v>
      </c>
      <c r="F9768" t="s">
        <v>18990</v>
      </c>
      <c r="G9768" t="s">
        <v>14</v>
      </c>
      <c r="H9768">
             </c>
      <c r="I9768" t="s">
        <v>14</v>
      </c>
      <c r="J9768" t="s">
        <v>141</v>
      </c>
      <c r="K9768" t="s">
        <v>14</v>
      </c>
      <c r="L9768" t="s">
        <v>20</v>
      </c>
      <c r="M9768" t="s">
        <v>18940</v>
      </c>
      <c r="N9768" t="s">
        <v>14</v>
      </c>
    </row>
    <row r="9769" x14ac:dyDescent="0.25">
      <c r="A9769" t="n">
        <v>24</v>
      </c>
      <c r="B9769" t="s">
        <v>14</v>
      </c>
      <c r="C9769" t="s">
        <v>22</v>
      </c>
      <c r="D9769" s="2" t="s">
        <f>=HYPERLINK("https://main.knesset.gov.il/APPS/legislation/main/bills/2160275", "הצעת חוק העתיקות (תיקון - הודעה ומחיקת הערה בפנקסי המקרקעין), התשפ""א-2021")</f>
        <v>18991</v>
      </c>
      <c r="E9769" t="s">
        <v>18991</v>
      </c>
      <c r="F9769" t="s">
        <v>18992</v>
      </c>
      <c r="G9769" t="s">
        <v>14</v>
      </c>
      <c r="H9769">
             </c>
      <c r="I9769" t="s">
        <v>14</v>
      </c>
      <c r="J9769" t="s">
        <v>141</v>
      </c>
      <c r="K9769" t="s">
        <v>14</v>
      </c>
      <c r="L9769" t="s">
        <v>20</v>
      </c>
      <c r="M9769" t="s">
        <v>18940</v>
      </c>
      <c r="N9769" t="s">
        <v>14</v>
      </c>
    </row>
    <row r="9770" x14ac:dyDescent="0.25">
      <c r="A9770" t="n">
        <v>24</v>
      </c>
      <c r="B9770" t="s">
        <v>14</v>
      </c>
      <c r="C9770" t="s">
        <v>22</v>
      </c>
      <c r="D9770" s="2" t="s">
        <f>=HYPERLINK("https://main.knesset.gov.il/APPS/legislation/main/bills/2156343", "הצעת חוק אומנה לילדים (תיקון - העברת תשלומים להורה אומנה במקרים מיוחדים), התשפ""א-2021")</f>
        <v>18993</v>
      </c>
      <c r="E9770" t="s">
        <v>18993</v>
      </c>
      <c r="F9770" t="s">
        <v>18994</v>
      </c>
      <c r="G9770" t="s">
        <v>14</v>
      </c>
      <c r="H9770">
             </c>
      <c r="I9770" t="s">
        <v>14</v>
      </c>
      <c r="J9770" t="s">
        <v>141</v>
      </c>
      <c r="K9770" t="s">
        <v>14</v>
      </c>
      <c r="L9770" t="s">
        <v>20</v>
      </c>
      <c r="M9770" t="s">
        <v>18940</v>
      </c>
      <c r="N9770" t="s">
        <v>14</v>
      </c>
    </row>
    <row r="9771" x14ac:dyDescent="0.25">
      <c r="A9771" t="n">
        <v>24</v>
      </c>
      <c r="B9771" t="s">
        <v>14</v>
      </c>
      <c r="C9771" t="s">
        <v>22</v>
      </c>
      <c r="D9771" s="2" t="s">
        <f>=HYPERLINK("https://main.knesset.gov.il/APPS/legislation/main/bills/2159058", "הצעת חוק סדר הדין הפלילי (תיקון - עבירות נוספות בהן ניתן להורות על הגשת תסקיר קורבן), התשפ""א-2021")</f>
        <v>18995</v>
      </c>
      <c r="E9771" t="s">
        <v>18995</v>
      </c>
      <c r="F9771" t="s">
        <v>18996</v>
      </c>
      <c r="G9771" t="s">
        <v>14</v>
      </c>
      <c r="H9771">
             </c>
      <c r="I9771" t="s">
        <v>14</v>
      </c>
      <c r="J9771" t="s">
        <v>141</v>
      </c>
      <c r="K9771" t="s">
        <v>14</v>
      </c>
      <c r="L9771" t="s">
        <v>20</v>
      </c>
      <c r="M9771" t="s">
        <v>18940</v>
      </c>
      <c r="N9771" t="s">
        <v>14</v>
      </c>
    </row>
    <row r="9772" x14ac:dyDescent="0.25">
      <c r="A9772" t="n">
        <v>24</v>
      </c>
      <c r="B9772" t="s">
        <v>14</v>
      </c>
      <c r="C9772" t="s">
        <v>22</v>
      </c>
      <c r="D9772" s="2" t="s">
        <f>=HYPERLINK("https://main.knesset.gov.il/APPS/legislation/main/bills/2161205", "הצעת חוק שוויון זכויות לאנשים עם מוגבלות (תיקון - הנגשת אוטובוסים בין עירוניים), התשפ""א-2021 ")</f>
        <v>18997</v>
      </c>
      <c r="E9772" t="s">
        <v>18997</v>
      </c>
      <c r="F9772" t="s">
        <v>18998</v>
      </c>
      <c r="G9772" t="s">
        <v>14</v>
      </c>
      <c r="H9772">
             </c>
      <c r="I9772" t="s">
        <v>14</v>
      </c>
      <c r="J9772" t="s">
        <v>141</v>
      </c>
      <c r="K9772" t="s">
        <v>14</v>
      </c>
      <c r="L9772" t="s">
        <v>20</v>
      </c>
      <c r="M9772" t="s">
        <v>18940</v>
      </c>
      <c r="N9772" t="s">
        <v>14</v>
      </c>
    </row>
    <row r="9773" x14ac:dyDescent="0.25">
      <c r="A9773" t="n">
        <v>24</v>
      </c>
      <c r="B9773" t="s">
        <v>14</v>
      </c>
      <c r="C9773" t="s">
        <v>22</v>
      </c>
      <c r="D9773" s="2" t="s">
        <f>=HYPERLINK("https://main.knesset.gov.il/APPS/legislation/main/bills/2161105", "הצעת חוק-יסוד: הממשלה (תיקון - כשירות משפטית לכהונת ראש ממשלה וראש ממשלה חלופי)")</f>
        <v>18999</v>
      </c>
      <c r="E9773" t="s">
        <v>18999</v>
      </c>
      <c r="F9773" t="s">
        <v>19000</v>
      </c>
      <c r="G9773" t="s">
        <v>14</v>
      </c>
      <c r="H9773">
             </c>
      <c r="I9773" t="s">
        <v>14</v>
      </c>
      <c r="J9773" t="s">
        <v>141</v>
      </c>
      <c r="K9773" t="s">
        <v>14</v>
      </c>
      <c r="L9773" t="s">
        <v>20</v>
      </c>
      <c r="M9773" t="s">
        <v>18940</v>
      </c>
      <c r="N9773" t="s">
        <v>14</v>
      </c>
    </row>
    <row r="9774" x14ac:dyDescent="0.25">
      <c r="A9774" t="n">
        <v>24</v>
      </c>
      <c r="B9774" t="s">
        <v>14</v>
      </c>
      <c r="C9774" t="s">
        <v>22</v>
      </c>
      <c r="D9774" s="2" t="s">
        <f>=HYPERLINK("https://main.knesset.gov.il/APPS/legislation/main/bills/2161313", "הצעת חוק לתיקון פקודת התעבורה (הוראות לעניין סככות המתנה בתחנות אוטובוס), התשפ""א-2021")</f>
        <v>19001</v>
      </c>
      <c r="E9774" t="s">
        <v>19001</v>
      </c>
      <c r="F9774" t="s">
        <v>19002</v>
      </c>
      <c r="G9774" t="s">
        <v>14</v>
      </c>
      <c r="H9774">
             </c>
      <c r="I9774" t="s">
        <v>14</v>
      </c>
      <c r="J9774" t="s">
        <v>141</v>
      </c>
      <c r="K9774" t="s">
        <v>14</v>
      </c>
      <c r="L9774" t="s">
        <v>20</v>
      </c>
      <c r="M9774" t="s">
        <v>18940</v>
      </c>
      <c r="N9774" t="s">
        <v>14</v>
      </c>
    </row>
    <row r="9775" x14ac:dyDescent="0.25">
      <c r="A9775" t="n">
        <v>24</v>
      </c>
      <c r="B9775" t="s">
        <v>14</v>
      </c>
      <c r="C9775" t="s">
        <v>22</v>
      </c>
      <c r="D9775" s="2" t="s">
        <f>=HYPERLINK("https://main.knesset.gov.il/APPS/legislation/main/bills/2161331", "הצעת חוק לתיקון פקודת מס הכנסה (הכרה בהוצאות עבודה מהבית בתקופת התפשטות נגיף הקורונה החדש) (הוראת שעה), התשפ""א-2021")</f>
        <v>16538</v>
      </c>
      <c r="E9775" t="s">
        <v>16538</v>
      </c>
      <c r="F9775" t="s">
        <v>19003</v>
      </c>
      <c r="G9775" t="s">
        <v>14</v>
      </c>
      <c r="H9775">
             </c>
      <c r="I9775" t="s">
        <v>14</v>
      </c>
      <c r="J9775" t="s">
        <v>141</v>
      </c>
      <c r="K9775" t="s">
        <v>14</v>
      </c>
      <c r="L9775" t="s">
        <v>20</v>
      </c>
      <c r="M9775" t="s">
        <v>18940</v>
      </c>
      <c r="N9775" t="s">
        <v>14</v>
      </c>
    </row>
    <row r="9776" x14ac:dyDescent="0.25">
      <c r="A9776" t="n">
        <v>24</v>
      </c>
      <c r="B9776" t="s">
        <v>14</v>
      </c>
      <c r="C9776" t="s">
        <v>22</v>
      </c>
      <c r="D9776" s="2" t="s">
        <f>=HYPERLINK("https://main.knesset.gov.il/APPS/legislation/main/bills/2160932", "הצעת חוק מניעת עבירות מין בקטינים (תיקוני חקיקה), התשפ""א-2021")</f>
        <v>19004</v>
      </c>
      <c r="E9776" t="s">
        <v>19004</v>
      </c>
      <c r="F9776" t="s">
        <v>19005</v>
      </c>
      <c r="G9776" t="s">
        <v>14</v>
      </c>
      <c r="H9776">
             </c>
      <c r="I9776" t="s">
        <v>14</v>
      </c>
      <c r="J9776" t="s">
        <v>141</v>
      </c>
      <c r="K9776" t="s">
        <v>14</v>
      </c>
      <c r="L9776" t="s">
        <v>20</v>
      </c>
      <c r="M9776" t="s">
        <v>18940</v>
      </c>
      <c r="N9776" t="s">
        <v>14</v>
      </c>
    </row>
    <row r="9777" x14ac:dyDescent="0.25">
      <c r="A9777" t="n">
        <v>24</v>
      </c>
      <c r="B9777" t="s">
        <v>14</v>
      </c>
      <c r="C9777" t="s">
        <v>22</v>
      </c>
      <c r="D9777" s="2" t="s">
        <f>=HYPERLINK("https://main.knesset.gov.il/APPS/legislation/main/bills/2161327", "הצעת חוק כביש אגרה (כביש ארצי לישראל) (תיקון - פטור מאגרה בשל האטה ממהירות הנסיעה המותרת), התשפ""א-2021")</f>
        <v>18211</v>
      </c>
      <c r="E9777" t="s">
        <v>18211</v>
      </c>
      <c r="F9777" t="s">
        <v>19006</v>
      </c>
      <c r="G9777" t="s">
        <v>14</v>
      </c>
      <c r="H9777">
             </c>
      <c r="I9777" t="s">
        <v>14</v>
      </c>
      <c r="J9777" t="s">
        <v>141</v>
      </c>
      <c r="K9777" t="s">
        <v>14</v>
      </c>
      <c r="L9777" t="s">
        <v>20</v>
      </c>
      <c r="M9777" t="s">
        <v>18940</v>
      </c>
      <c r="N9777" t="s">
        <v>14</v>
      </c>
    </row>
    <row r="9778" x14ac:dyDescent="0.25">
      <c r="A9778" t="n">
        <v>24</v>
      </c>
      <c r="B9778" t="s">
        <v>14</v>
      </c>
      <c r="C9778" t="s">
        <v>22</v>
      </c>
      <c r="D9778" s="2" t="s">
        <f>=HYPERLINK("https://main.knesset.gov.il/APPS/legislation/main/bills/2160481", "הצעת חוק סדר הדין הפלילי (סמכויות אכיפה - מעצרים) (תיקון - הגבלת משך הזמן להגשת תסקיר), התשפ""א-2021")</f>
        <v>19007</v>
      </c>
      <c r="E9778" t="s">
        <v>19007</v>
      </c>
      <c r="F9778" t="s">
        <v>19008</v>
      </c>
      <c r="G9778" t="s">
        <v>14</v>
      </c>
      <c r="H9778">
             </c>
      <c r="I9778" t="s">
        <v>14</v>
      </c>
      <c r="J9778" t="s">
        <v>141</v>
      </c>
      <c r="K9778" t="s">
        <v>14</v>
      </c>
      <c r="L9778" t="s">
        <v>20</v>
      </c>
      <c r="M9778" t="s">
        <v>18940</v>
      </c>
      <c r="N9778" t="s">
        <v>14</v>
      </c>
    </row>
    <row r="9779" x14ac:dyDescent="0.25">
      <c r="A9779" t="n">
        <v>24</v>
      </c>
      <c r="B9779" t="s">
        <v>14</v>
      </c>
      <c r="C9779" t="s">
        <v>22</v>
      </c>
      <c r="D9779" s="2" t="s">
        <f>=HYPERLINK("https://main.knesset.gov.il/APPS/legislation/main/bills/2161326", "הצעת חוק משק החשמל (תיקון - איסור ניתוק חשמל), התשפ""א-2021")</f>
        <v>15564</v>
      </c>
      <c r="E9779" t="s">
        <v>15564</v>
      </c>
      <c r="F9779" t="s">
        <v>19009</v>
      </c>
      <c r="G9779" t="s">
        <v>14</v>
      </c>
      <c r="H9779">
             </c>
      <c r="I9779" t="s">
        <v>14</v>
      </c>
      <c r="J9779" t="s">
        <v>141</v>
      </c>
      <c r="K9779" t="s">
        <v>14</v>
      </c>
      <c r="L9779" t="s">
        <v>20</v>
      </c>
      <c r="M9779" t="s">
        <v>18940</v>
      </c>
      <c r="N9779" t="s">
        <v>14</v>
      </c>
    </row>
    <row r="9780" x14ac:dyDescent="0.25">
      <c r="A9780" t="n">
        <v>24</v>
      </c>
      <c r="B9780" t="s">
        <v>14</v>
      </c>
      <c r="C9780" t="s">
        <v>22</v>
      </c>
      <c r="D9780" s="2" t="s">
        <f>=HYPERLINK("https://main.knesset.gov.il/APPS/legislation/main/bills/2160370", "הצעת חוק התחרות הכלכלית (תיקון - תוצרת חקלאית גולמית), התשפ""א-2021")</f>
        <v>19010</v>
      </c>
      <c r="E9780" t="s">
        <v>19010</v>
      </c>
      <c r="F9780" t="s">
        <v>19011</v>
      </c>
      <c r="G9780" t="s">
        <v>14</v>
      </c>
      <c r="H9780">
             </c>
      <c r="I9780" t="s">
        <v>14</v>
      </c>
      <c r="J9780" t="s">
        <v>141</v>
      </c>
      <c r="K9780" t="s">
        <v>14</v>
      </c>
      <c r="L9780" t="s">
        <v>20</v>
      </c>
      <c r="M9780" t="s">
        <v>18940</v>
      </c>
      <c r="N9780" t="s">
        <v>14</v>
      </c>
    </row>
    <row r="9781" x14ac:dyDescent="0.25">
      <c r="A9781" t="n">
        <v>24</v>
      </c>
      <c r="B9781" t="s">
        <v>14</v>
      </c>
      <c r="C9781" t="s">
        <v>22</v>
      </c>
      <c r="D9781" s="2" t="s">
        <f>=HYPERLINK("https://main.knesset.gov.il/APPS/legislation/main/bills/2160475", "הצעת חוק סדר הדין הפלילי (סמכויות אכיפה - מעצרים) (תיקון - פיצוי בשל מעצר), התשפ""א-2021")</f>
        <v>19012</v>
      </c>
      <c r="E9781" t="s">
        <v>19012</v>
      </c>
      <c r="F9781" t="s">
        <v>19013</v>
      </c>
      <c r="G9781" t="s">
        <v>14</v>
      </c>
      <c r="H9781">
             </c>
      <c r="I9781" t="s">
        <v>14</v>
      </c>
      <c r="J9781" t="s">
        <v>141</v>
      </c>
      <c r="K9781" t="s">
        <v>14</v>
      </c>
      <c r="L9781" t="s">
        <v>20</v>
      </c>
      <c r="M9781" t="s">
        <v>18940</v>
      </c>
      <c r="N9781" t="s">
        <v>14</v>
      </c>
    </row>
    <row r="9782" x14ac:dyDescent="0.25">
      <c r="A9782" t="n">
        <v>24</v>
      </c>
      <c r="B9782" t="s">
        <v>14</v>
      </c>
      <c r="C9782" t="s">
        <v>22</v>
      </c>
      <c r="D9782" s="2" t="s">
        <f>=HYPERLINK("https://main.knesset.gov.il/APPS/legislation/main/bills/2161329", "הצעת חוק כביש אגרה (כביש ארצי לישראל) (תיקון - הפחתת ריבית פיגורים על חוב חלוט), התשפ""א-2021")</f>
        <v>19014</v>
      </c>
      <c r="E9782" t="s">
        <v>19014</v>
      </c>
      <c r="F9782" t="s">
        <v>19015</v>
      </c>
      <c r="G9782" t="s">
        <v>14</v>
      </c>
      <c r="H9782">
             </c>
      <c r="I9782" t="s">
        <v>14</v>
      </c>
      <c r="J9782" t="s">
        <v>141</v>
      </c>
      <c r="K9782" t="s">
        <v>14</v>
      </c>
      <c r="L9782" t="s">
        <v>20</v>
      </c>
      <c r="M9782" t="s">
        <v>18940</v>
      </c>
      <c r="N9782" t="s">
        <v>14</v>
      </c>
    </row>
    <row r="9783" x14ac:dyDescent="0.25">
      <c r="A9783" t="n">
        <v>24</v>
      </c>
      <c r="B9783" t="s">
        <v>14</v>
      </c>
      <c r="C9783" t="s">
        <v>22</v>
      </c>
      <c r="D9783" s="2" t="s">
        <f>=HYPERLINK("https://main.knesset.gov.il/APPS/legislation/main/bills/2161316", "הצעת חוק לתיקון פקודת התעבורה (הסדרי תנועה בקרבת בית ספר), התשפ""א-2021")</f>
        <v>19016</v>
      </c>
      <c r="E9783" t="s">
        <v>19016</v>
      </c>
      <c r="F9783" t="s">
        <v>19017</v>
      </c>
      <c r="G9783" t="s">
        <v>14</v>
      </c>
      <c r="H9783">
             </c>
      <c r="I9783" t="s">
        <v>14</v>
      </c>
      <c r="J9783" t="s">
        <v>141</v>
      </c>
      <c r="K9783" t="s">
        <v>14</v>
      </c>
      <c r="L9783" t="s">
        <v>20</v>
      </c>
      <c r="M9783" t="s">
        <v>18940</v>
      </c>
      <c r="N9783" t="s">
        <v>14</v>
      </c>
    </row>
    <row r="9784" x14ac:dyDescent="0.25">
      <c r="A9784" t="n">
        <v>24</v>
      </c>
      <c r="B9784" t="s">
        <v>14</v>
      </c>
      <c r="C9784" t="s">
        <v>22</v>
      </c>
      <c r="D9784" s="2" t="s">
        <f>=HYPERLINK("https://main.knesset.gov.il/APPS/legislation/main/bills/2160553", "הצעת חוק סדר הדין הפלילי (סמכויות אכיפה - מעצרים) (תיקון - הגדרת מסוכנות של פוגעים בבעלי חיים), התשפ""א-2021")</f>
        <v>19018</v>
      </c>
      <c r="E9784" t="s">
        <v>19018</v>
      </c>
      <c r="F9784" t="s">
        <v>19019</v>
      </c>
      <c r="G9784" t="s">
        <v>14</v>
      </c>
      <c r="H9784">
             </c>
      <c r="I9784" t="s">
        <v>14</v>
      </c>
      <c r="J9784" t="s">
        <v>141</v>
      </c>
      <c r="K9784" t="s">
        <v>14</v>
      </c>
      <c r="L9784" t="s">
        <v>20</v>
      </c>
      <c r="M9784" t="s">
        <v>18940</v>
      </c>
      <c r="N9784" t="s">
        <v>14</v>
      </c>
    </row>
    <row r="9785" x14ac:dyDescent="0.25">
      <c r="A9785" t="n">
        <v>24</v>
      </c>
      <c r="B9785" t="s">
        <v>14</v>
      </c>
      <c r="C9785" t="s">
        <v>22</v>
      </c>
      <c r="D9785" s="2" t="s">
        <f>=HYPERLINK("https://main.knesset.gov.il/APPS/legislation/main/bills/2160584", "הצעת חוק הגנת הצרכן (תיקון - תשלום חודשי בעד שירותי מים וחשמל), התשפ""א-2021")</f>
        <v>19020</v>
      </c>
      <c r="E9785" t="s">
        <v>19020</v>
      </c>
      <c r="F9785" t="s">
        <v>19021</v>
      </c>
      <c r="G9785" t="s">
        <v>14</v>
      </c>
      <c r="H9785">
             </c>
      <c r="I9785" t="s">
        <v>14</v>
      </c>
      <c r="J9785" t="s">
        <v>141</v>
      </c>
      <c r="K9785" t="s">
        <v>14</v>
      </c>
      <c r="L9785" t="s">
        <v>20</v>
      </c>
      <c r="M9785" t="s">
        <v>18940</v>
      </c>
      <c r="N9785" t="s">
        <v>14</v>
      </c>
    </row>
    <row r="9786" x14ac:dyDescent="0.25">
      <c r="A9786" t="n">
        <v>24</v>
      </c>
      <c r="B9786" t="s">
        <v>14</v>
      </c>
      <c r="C9786" t="s">
        <v>22</v>
      </c>
      <c r="D9786" s="2" t="s">
        <f>=HYPERLINK("https://main.knesset.gov.il/APPS/legislation/main/bills/2160542", "הצעת חוק מעמדן של ההסתדרות הציונית העולמית ושל הסוכנות היהודית לארץ-ישראל (תיקון - ביטול תיקון מס' 2 והחלת חופש מידע), התשפ""א-2021")</f>
        <v>19022</v>
      </c>
      <c r="E9786" t="s">
        <v>19022</v>
      </c>
      <c r="F9786" t="s">
        <v>19023</v>
      </c>
      <c r="G9786" t="s">
        <v>14</v>
      </c>
      <c r="H9786">
             </c>
      <c r="I9786" t="s">
        <v>14</v>
      </c>
      <c r="J9786" t="s">
        <v>141</v>
      </c>
      <c r="K9786" t="s">
        <v>14</v>
      </c>
      <c r="L9786" t="s">
        <v>20</v>
      </c>
      <c r="M9786" t="s">
        <v>18940</v>
      </c>
      <c r="N9786" t="s">
        <v>14</v>
      </c>
    </row>
    <row r="9787" x14ac:dyDescent="0.25">
      <c r="A9787" t="n">
        <v>24</v>
      </c>
      <c r="B9787" t="s">
        <v>14</v>
      </c>
      <c r="C9787" t="s">
        <v>22</v>
      </c>
      <c r="D9787" s="2" t="s">
        <f>=HYPERLINK("https://main.knesset.gov.il/APPS/legislation/main/bills/2160285", "הצעת חוק שמירת הניקיון (תיקון - תמיכה באירגוני סביבה), התשפ""א-2021")</f>
        <v>19024</v>
      </c>
      <c r="E9787" t="s">
        <v>19024</v>
      </c>
      <c r="F9787" t="s">
        <v>19025</v>
      </c>
      <c r="G9787" t="s">
        <v>14</v>
      </c>
      <c r="H9787">
             </c>
      <c r="I9787" t="s">
        <v>14</v>
      </c>
      <c r="J9787" t="s">
        <v>141</v>
      </c>
      <c r="K9787" t="s">
        <v>14</v>
      </c>
      <c r="L9787" t="s">
        <v>20</v>
      </c>
      <c r="M9787" t="s">
        <v>18940</v>
      </c>
      <c r="N9787" t="s">
        <v>14</v>
      </c>
    </row>
    <row r="9788" x14ac:dyDescent="0.25">
      <c r="A9788" t="n">
        <v>24</v>
      </c>
      <c r="B9788" t="s">
        <v>14</v>
      </c>
      <c r="C9788" t="s">
        <v>22</v>
      </c>
      <c r="D9788" s="2" t="s">
        <f>=HYPERLINK("https://main.knesset.gov.il/APPS/legislation/main/bills/2160720", "הצעת חוק הספקת החשמל (הוראת שעה) (תיקון - הארכת תוקף), התשפ""א-2021")</f>
        <v>19026</v>
      </c>
      <c r="E9788" t="s">
        <v>19026</v>
      </c>
      <c r="F9788" t="s">
        <v>19027</v>
      </c>
      <c r="G9788" t="s">
        <v>14</v>
      </c>
      <c r="H9788">
             </c>
      <c r="I9788" t="s">
        <v>14</v>
      </c>
      <c r="J9788" t="s">
        <v>141</v>
      </c>
      <c r="K9788" t="s">
        <v>14</v>
      </c>
      <c r="L9788" t="s">
        <v>20</v>
      </c>
      <c r="M9788" t="s">
        <v>18940</v>
      </c>
      <c r="N9788" t="s">
        <v>14</v>
      </c>
    </row>
    <row r="9789" x14ac:dyDescent="0.25">
      <c r="A9789" t="n">
        <v>24</v>
      </c>
      <c r="B9789" t="s">
        <v>14</v>
      </c>
      <c r="C9789" t="s">
        <v>22</v>
      </c>
      <c r="D9789" s="2" t="s">
        <f>=HYPERLINK("https://main.knesset.gov.il/APPS/legislation/main/bills/2160930", "הצעת חוק הביטוח הלאומי (תיקון - תוספת לקצבה של מי שמעסיק עובד בענף הסיעוד), התשפ""א-2021")</f>
        <v>19028</v>
      </c>
      <c r="E9789" t="s">
        <v>19028</v>
      </c>
      <c r="F9789" t="s">
        <v>19029</v>
      </c>
      <c r="G9789" t="s">
        <v>14</v>
      </c>
      <c r="H9789">
             </c>
      <c r="I9789" t="s">
        <v>14</v>
      </c>
      <c r="J9789" t="s">
        <v>141</v>
      </c>
      <c r="K9789" t="s">
        <v>14</v>
      </c>
      <c r="L9789" t="s">
        <v>20</v>
      </c>
      <c r="M9789" t="s">
        <v>18940</v>
      </c>
      <c r="N9789" t="s">
        <v>14</v>
      </c>
    </row>
    <row r="9790" x14ac:dyDescent="0.25">
      <c r="A9790" t="n">
        <v>24</v>
      </c>
      <c r="B9790" t="s">
        <v>14</v>
      </c>
      <c r="C9790" t="s">
        <v>22</v>
      </c>
      <c r="D9790" s="2" t="s">
        <f>=HYPERLINK("https://main.knesset.gov.il/APPS/legislation/main/bills/2161128", "הצעת חוק שיווי זכויות האישה (תיקון - ייצוג הולם לנשים בוועדות ציבוריות ברשויות המקומיות), התשפ""א-2021")</f>
        <v>19030</v>
      </c>
      <c r="E9790" t="s">
        <v>19030</v>
      </c>
      <c r="F9790" t="s">
        <v>19031</v>
      </c>
      <c r="G9790" t="s">
        <v>14</v>
      </c>
      <c r="H9790">
             </c>
      <c r="I9790" t="s">
        <v>14</v>
      </c>
      <c r="J9790" t="s">
        <v>141</v>
      </c>
      <c r="K9790" t="s">
        <v>14</v>
      </c>
      <c r="L9790" t="s">
        <v>20</v>
      </c>
      <c r="M9790" t="s">
        <v>18940</v>
      </c>
      <c r="N9790" t="s">
        <v>14</v>
      </c>
    </row>
    <row r="9791" x14ac:dyDescent="0.25">
      <c r="A9791" t="n">
        <v>24</v>
      </c>
      <c r="B9791" t="s">
        <v>14</v>
      </c>
      <c r="C9791" t="s">
        <v>22</v>
      </c>
      <c r="D9791" s="2" t="s">
        <f>=HYPERLINK("https://main.knesset.gov.il/APPS/legislation/main/bills/2160521", "הצעת חוק המועצה לענף הלול (ייצור ושיווק) (תיקון - תוספת מכסה אישית לגדל בלול בלא כלובים), התשפ""א-2021")</f>
        <v>19032</v>
      </c>
      <c r="E9791" t="s">
        <v>19032</v>
      </c>
      <c r="F9791" t="s">
        <v>19033</v>
      </c>
      <c r="G9791" t="s">
        <v>14</v>
      </c>
      <c r="H9791">
             </c>
      <c r="I9791" t="s">
        <v>14</v>
      </c>
      <c r="J9791" t="s">
        <v>141</v>
      </c>
      <c r="K9791" t="s">
        <v>14</v>
      </c>
      <c r="L9791" t="s">
        <v>20</v>
      </c>
      <c r="M9791" t="s">
        <v>18940</v>
      </c>
      <c r="N9791" t="s">
        <v>14</v>
      </c>
    </row>
    <row r="9792" x14ac:dyDescent="0.25">
      <c r="A9792" t="n">
        <v>24</v>
      </c>
      <c r="B9792" t="s">
        <v>14</v>
      </c>
      <c r="C9792" t="s">
        <v>22</v>
      </c>
      <c r="D9792" s="2" t="s">
        <f>=HYPERLINK("https://main.knesset.gov.il/APPS/legislation/main/bills/2161132", "הצעת חוק העמותות (תיקון - חובת גילוי תרומה אנונימית), התשפ""א-2021")</f>
        <v>19034</v>
      </c>
      <c r="E9792" t="s">
        <v>19034</v>
      </c>
      <c r="F9792" t="s">
        <v>19035</v>
      </c>
      <c r="G9792" t="s">
        <v>14</v>
      </c>
      <c r="H9792">
             </c>
      <c r="I9792" t="s">
        <v>14</v>
      </c>
      <c r="J9792" t="s">
        <v>141</v>
      </c>
      <c r="K9792" t="s">
        <v>14</v>
      </c>
      <c r="L9792" t="s">
        <v>20</v>
      </c>
      <c r="M9792" t="s">
        <v>18940</v>
      </c>
      <c r="N9792" t="s">
        <v>14</v>
      </c>
    </row>
    <row r="9793" x14ac:dyDescent="0.25">
      <c r="A9793" t="n">
        <v>24</v>
      </c>
      <c r="B9793" t="s">
        <v>14</v>
      </c>
      <c r="C9793" t="s">
        <v>22</v>
      </c>
      <c r="D9793" s="2" t="s">
        <f>=HYPERLINK("https://main.knesset.gov.il/APPS/legislation/main/bills/2158898", "הצעת חוק עבודת נשים (תיקון - הארכת תקופת לידה והורות להורי פג), התשפ""א-2021")</f>
        <v>19036</v>
      </c>
      <c r="E9793" t="s">
        <v>19036</v>
      </c>
      <c r="F9793" t="s">
        <v>19037</v>
      </c>
      <c r="G9793" t="s">
        <v>14</v>
      </c>
      <c r="H9793">
             </c>
      <c r="I9793" t="s">
        <v>14</v>
      </c>
      <c r="J9793" t="s">
        <v>141</v>
      </c>
      <c r="K9793" t="s">
        <v>14</v>
      </c>
      <c r="L9793" t="s">
        <v>20</v>
      </c>
      <c r="M9793" t="s">
        <v>18940</v>
      </c>
      <c r="N9793" t="s">
        <v>14</v>
      </c>
    </row>
    <row r="9794" x14ac:dyDescent="0.25">
      <c r="A9794" t="n">
        <v>24</v>
      </c>
      <c r="B9794" t="s">
        <v>14</v>
      </c>
      <c r="C9794" t="s">
        <v>22</v>
      </c>
      <c r="D9794" s="2" t="s">
        <f>=HYPERLINK("https://main.knesset.gov.il/APPS/legislation/main/bills/2160392", "הצעת חוק ביטול מאסר חלף קנס (תיקוני חקיקה), התשפ""א-2021")</f>
        <v>19038</v>
      </c>
      <c r="E9794" t="s">
        <v>19038</v>
      </c>
      <c r="F9794" t="s">
        <v>19039</v>
      </c>
      <c r="G9794" t="s">
        <v>14</v>
      </c>
      <c r="H9794">
             </c>
      <c r="I9794" t="s">
        <v>14</v>
      </c>
      <c r="J9794" t="s">
        <v>141</v>
      </c>
      <c r="K9794" t="s">
        <v>14</v>
      </c>
      <c r="L9794" t="s">
        <v>20</v>
      </c>
      <c r="M9794" t="s">
        <v>18940</v>
      </c>
      <c r="N9794" t="s">
        <v>14</v>
      </c>
    </row>
    <row r="9795" x14ac:dyDescent="0.25">
      <c r="A9795" t="n">
        <v>24</v>
      </c>
      <c r="B9795" t="s">
        <v>14</v>
      </c>
      <c r="C9795" t="s">
        <v>22</v>
      </c>
      <c r="D9795" s="2" t="s">
        <f>=HYPERLINK("https://main.knesset.gov.il/APPS/legislation/main/bills/2160106", "הצעת חוק לצמצום השימוש במזומן (תיקון - העברת אסמכתאות לאמצעי תשלום כתנאי לאישור העסקה), התשפ""א-2021")</f>
        <v>19040</v>
      </c>
      <c r="E9795" t="s">
        <v>19040</v>
      </c>
      <c r="F9795" t="s">
        <v>19041</v>
      </c>
      <c r="G9795" t="s">
        <v>14</v>
      </c>
      <c r="H9795">
             </c>
      <c r="I9795" t="s">
        <v>14</v>
      </c>
      <c r="J9795" t="s">
        <v>141</v>
      </c>
      <c r="K9795" t="s">
        <v>14</v>
      </c>
      <c r="L9795" t="s">
        <v>20</v>
      </c>
      <c r="M9795" t="s">
        <v>18940</v>
      </c>
      <c r="N9795" t="s">
        <v>14</v>
      </c>
    </row>
    <row r="9796" x14ac:dyDescent="0.25">
      <c r="A9796" t="n">
        <v>24</v>
      </c>
      <c r="B9796" t="s">
        <v>14</v>
      </c>
      <c r="C9796" t="s">
        <v>22</v>
      </c>
      <c r="D9796" s="2" t="s">
        <f>=HYPERLINK("https://main.knesset.gov.il/APPS/legislation/main/bills/2159144", "הצעת חוק בתי המשפט (תיקון - תובענת תושב אזור עימות), התשפ""א-2021")</f>
        <v>19042</v>
      </c>
      <c r="E9796" t="s">
        <v>19042</v>
      </c>
      <c r="F9796" t="s">
        <v>19043</v>
      </c>
      <c r="G9796" t="s">
        <v>14</v>
      </c>
      <c r="H9796">
             </c>
      <c r="I9796" t="s">
        <v>14</v>
      </c>
      <c r="J9796" t="s">
        <v>141</v>
      </c>
      <c r="K9796" t="s">
        <v>14</v>
      </c>
      <c r="L9796" t="s">
        <v>20</v>
      </c>
      <c r="M9796" t="s">
        <v>18940</v>
      </c>
      <c r="N9796" t="s">
        <v>14</v>
      </c>
    </row>
    <row r="9797" x14ac:dyDescent="0.25">
      <c r="A9797" t="n">
        <v>24</v>
      </c>
      <c r="B9797" t="s">
        <v>14</v>
      </c>
      <c r="C9797" t="s">
        <v>22</v>
      </c>
      <c r="D9797" s="2" t="s">
        <f>=HYPERLINK("https://main.knesset.gov.il/APPS/legislation/main/bills/2160827", "הצעת חוק-יסוד: הכנסת (תיקון - אי חידוש חברותו של שר או סגן שר כחבר כנסת)")</f>
        <v>19044</v>
      </c>
      <c r="E9797" t="s">
        <v>19044</v>
      </c>
      <c r="F9797" t="s">
        <v>19045</v>
      </c>
      <c r="G9797" t="s">
        <v>14</v>
      </c>
      <c r="H9797">
             </c>
      <c r="I9797" t="s">
        <v>14</v>
      </c>
      <c r="J9797" t="s">
        <v>141</v>
      </c>
      <c r="K9797" t="s">
        <v>14</v>
      </c>
      <c r="L9797" t="s">
        <v>20</v>
      </c>
      <c r="M9797" t="s">
        <v>18940</v>
      </c>
      <c r="N9797" t="s">
        <v>14</v>
      </c>
    </row>
    <row r="9798" x14ac:dyDescent="0.25">
      <c r="A9798" t="n">
        <v>24</v>
      </c>
      <c r="B9798" t="s">
        <v>14</v>
      </c>
      <c r="C9798" t="s">
        <v>22</v>
      </c>
      <c r="D9798" s="2" t="s">
        <f>=HYPERLINK("https://main.knesset.gov.il/APPS/legislation/main/bills/2159019", "הצעת חוק האזרחים הוותיקים (תיקון - הקמת קרן למימון תרופות לאזרחים ותיקים מעוטי יכולת), התשפ""א-2021")</f>
        <v>19046</v>
      </c>
      <c r="E9798" t="s">
        <v>19046</v>
      </c>
      <c r="F9798" t="s">
        <v>19047</v>
      </c>
      <c r="G9798" t="s">
        <v>14</v>
      </c>
      <c r="H9798">
             </c>
      <c r="I9798" t="s">
        <v>14</v>
      </c>
      <c r="J9798" t="s">
        <v>141</v>
      </c>
      <c r="K9798" t="s">
        <v>14</v>
      </c>
      <c r="L9798" t="s">
        <v>20</v>
      </c>
      <c r="M9798" t="s">
        <v>18940</v>
      </c>
      <c r="N9798" t="s">
        <v>14</v>
      </c>
    </row>
    <row r="9799" x14ac:dyDescent="0.25">
      <c r="A9799" t="n">
        <v>24</v>
      </c>
      <c r="B9799" t="s">
        <v>14</v>
      </c>
      <c r="C9799" t="s">
        <v>22</v>
      </c>
      <c r="D9799" s="2" t="s">
        <f>=HYPERLINK("https://main.knesset.gov.il/APPS/legislation/main/bills/2161070", "הצעת חוק עבודת נשים (תיקון - הגנה לעובדת העוברת טיפולי פוריות), התשפ""א- 2021")</f>
        <v>19048</v>
      </c>
      <c r="E9799" t="s">
        <v>19048</v>
      </c>
      <c r="F9799" t="s">
        <v>19049</v>
      </c>
      <c r="G9799" t="s">
        <v>14</v>
      </c>
      <c r="H9799">
             </c>
      <c r="I9799" t="s">
        <v>14</v>
      </c>
      <c r="J9799" t="s">
        <v>141</v>
      </c>
      <c r="K9799" t="s">
        <v>14</v>
      </c>
      <c r="L9799" t="s">
        <v>20</v>
      </c>
      <c r="M9799" t="s">
        <v>18940</v>
      </c>
      <c r="N9799" t="s">
        <v>14</v>
      </c>
    </row>
    <row r="9800" x14ac:dyDescent="0.25">
      <c r="A9800" t="n">
        <v>24</v>
      </c>
      <c r="B9800" t="s">
        <v>14</v>
      </c>
      <c r="C9800" t="s">
        <v>22</v>
      </c>
      <c r="D9800" s="2" t="s">
        <f>=HYPERLINK("https://main.knesset.gov.il/APPS/legislation/main/bills/2161059", "הצעת חוק גירוש משפחות מחבלים, התשפ""א-2021")</f>
        <v>17951</v>
      </c>
      <c r="E9800" t="s">
        <v>17951</v>
      </c>
      <c r="F9800" t="s">
        <v>19050</v>
      </c>
      <c r="G9800" t="s">
        <v>14</v>
      </c>
      <c r="H9800">
             </c>
      <c r="I9800" t="s">
        <v>14</v>
      </c>
      <c r="J9800" t="s">
        <v>141</v>
      </c>
      <c r="K9800" t="s">
        <v>14</v>
      </c>
      <c r="L9800" t="s">
        <v>20</v>
      </c>
      <c r="M9800" t="s">
        <v>18940</v>
      </c>
      <c r="N9800" t="s">
        <v>14</v>
      </c>
    </row>
    <row r="9801" x14ac:dyDescent="0.25">
      <c r="A9801" t="n">
        <v>24</v>
      </c>
      <c r="B9801" t="s">
        <v>14</v>
      </c>
      <c r="C9801" t="s">
        <v>22</v>
      </c>
      <c r="D9801" s="2" t="s">
        <f>=HYPERLINK("https://main.knesset.gov.il/APPS/legislation/main/bills/2161136", "הצעת חוק שיקום, פיצוי וסיוע משפטי לנפגעי עבירות מין, התשפ""א-2021")</f>
        <v>19051</v>
      </c>
      <c r="E9801" t="s">
        <v>19051</v>
      </c>
      <c r="F9801" t="s">
        <v>19052</v>
      </c>
      <c r="G9801" t="s">
        <v>14</v>
      </c>
      <c r="H9801">
             </c>
      <c r="I9801" t="s">
        <v>14</v>
      </c>
      <c r="J9801" t="s">
        <v>141</v>
      </c>
      <c r="K9801" t="s">
        <v>14</v>
      </c>
      <c r="L9801" t="s">
        <v>20</v>
      </c>
      <c r="M9801" t="s">
        <v>18940</v>
      </c>
      <c r="N9801" t="s">
        <v>14</v>
      </c>
    </row>
    <row r="9802" x14ac:dyDescent="0.25">
      <c r="A9802" t="n">
        <v>24</v>
      </c>
      <c r="B9802" t="s">
        <v>14</v>
      </c>
      <c r="C9802" t="s">
        <v>22</v>
      </c>
      <c r="D9802" s="2" t="s">
        <f>=HYPERLINK("https://main.knesset.gov.il/APPS/legislation/main/bills/2161137", "הצעת חוק חובת המכרזים (תיקון - העדפת טובין בעלי תו תקן ירוק), התשפ""א-2021")</f>
        <v>19053</v>
      </c>
      <c r="E9802" t="s">
        <v>19053</v>
      </c>
      <c r="F9802" t="s">
        <v>19054</v>
      </c>
      <c r="G9802" t="s">
        <v>14</v>
      </c>
      <c r="H9802">
             </c>
      <c r="I9802" t="s">
        <v>14</v>
      </c>
      <c r="J9802" t="s">
        <v>343</v>
      </c>
      <c r="K9802" t="s">
        <v>14</v>
      </c>
      <c r="L9802" t="s">
        <v>20</v>
      </c>
      <c r="M9802" t="s">
        <v>18940</v>
      </c>
      <c r="N9802" t="s">
        <v>14</v>
      </c>
    </row>
    <row r="9803" x14ac:dyDescent="0.25">
      <c r="A9803" t="n">
        <v>24</v>
      </c>
      <c r="B9803" t="s">
        <v>14</v>
      </c>
      <c r="C9803" t="s">
        <v>22</v>
      </c>
      <c r="D9803" s="2" t="s">
        <f>=HYPERLINK("https://main.knesset.gov.il/APPS/legislation/main/bills/2161140", "הצעת חוק חובת המכרזים (תיקון - העדפת טובין ממוחזרים), התשפ""א-2021")</f>
        <v>19055</v>
      </c>
      <c r="E9803" t="s">
        <v>19055</v>
      </c>
      <c r="F9803" t="s">
        <v>19056</v>
      </c>
      <c r="G9803" t="s">
        <v>14</v>
      </c>
      <c r="H9803">
             </c>
      <c r="I9803" t="s">
        <v>14</v>
      </c>
      <c r="J9803" t="s">
        <v>141</v>
      </c>
      <c r="K9803" t="s">
        <v>14</v>
      </c>
      <c r="L9803" t="s">
        <v>20</v>
      </c>
      <c r="M9803" t="s">
        <v>18940</v>
      </c>
      <c r="N9803" t="s">
        <v>14</v>
      </c>
    </row>
    <row r="9804" x14ac:dyDescent="0.25">
      <c r="A9804" t="n">
        <v>24</v>
      </c>
      <c r="B9804" t="s">
        <v>14</v>
      </c>
      <c r="C9804" t="s">
        <v>22</v>
      </c>
      <c r="D9804" s="2" t="s">
        <f>=HYPERLINK("https://main.knesset.gov.il/APPS/legislation/main/bills/2161141", "הצעת חוק שמירת הסביבה החופית (תיקון - התאמת תכניות ישנות), התשפ""א-2021")</f>
        <v>19057</v>
      </c>
      <c r="E9804" t="s">
        <v>19057</v>
      </c>
      <c r="F9804" t="s">
        <v>19058</v>
      </c>
      <c r="G9804" t="s">
        <v>14</v>
      </c>
      <c r="H9804">
             </c>
      <c r="I9804" t="s">
        <v>14</v>
      </c>
      <c r="J9804" t="s">
        <v>141</v>
      </c>
      <c r="K9804" t="s">
        <v>14</v>
      </c>
      <c r="L9804" t="s">
        <v>20</v>
      </c>
      <c r="M9804" t="s">
        <v>18940</v>
      </c>
      <c r="N9804" t="s">
        <v>14</v>
      </c>
    </row>
    <row r="9805" x14ac:dyDescent="0.25">
      <c r="A9805" t="n">
        <v>24</v>
      </c>
      <c r="B9805" t="s">
        <v>14</v>
      </c>
      <c r="C9805" t="s">
        <v>22</v>
      </c>
      <c r="D9805" s="2" t="s">
        <f>=HYPERLINK("https://main.knesset.gov.il/APPS/legislation/main/bills/2161173", "הצעת חוק ארוחת בוקר במוסדות חינוך, התשפ""א-2021")</f>
        <v>19059</v>
      </c>
      <c r="E9805" t="s">
        <v>19059</v>
      </c>
      <c r="F9805" t="s">
        <v>19060</v>
      </c>
      <c r="G9805" t="s">
        <v>14</v>
      </c>
      <c r="H9805">
             </c>
      <c r="I9805" t="s">
        <v>14</v>
      </c>
      <c r="J9805" t="s">
        <v>141</v>
      </c>
      <c r="K9805" t="s">
        <v>14</v>
      </c>
      <c r="L9805" t="s">
        <v>20</v>
      </c>
      <c r="M9805" t="s">
        <v>18940</v>
      </c>
      <c r="N9805" t="s">
        <v>14</v>
      </c>
    </row>
    <row r="9806" x14ac:dyDescent="0.25">
      <c r="A9806" t="n">
        <v>24</v>
      </c>
      <c r="B9806" t="s">
        <v>14</v>
      </c>
      <c r="C9806" t="s">
        <v>22</v>
      </c>
      <c r="D9806" s="2" t="s">
        <f>=HYPERLINK("https://main.knesset.gov.il/APPS/legislation/main/bills/2161169", "הצעת חוק לתיקון פקודת הסמים המסוכנים (החזקה או שימוש לצריכה עצמית של סם מסוג קנבוס או שרף של קנבוס), התשפ""א-2021")</f>
        <v>19061</v>
      </c>
      <c r="E9806" t="s">
        <v>19061</v>
      </c>
      <c r="F9806" t="s">
        <v>19062</v>
      </c>
      <c r="G9806" t="s">
        <v>14</v>
      </c>
      <c r="H9806">
             </c>
      <c r="I9806" t="s">
        <v>14</v>
      </c>
      <c r="J9806" t="s">
        <v>141</v>
      </c>
      <c r="K9806" t="s">
        <v>14</v>
      </c>
      <c r="L9806" t="s">
        <v>20</v>
      </c>
      <c r="M9806" t="s">
        <v>18940</v>
      </c>
      <c r="N9806" t="s">
        <v>14</v>
      </c>
    </row>
    <row r="9807" x14ac:dyDescent="0.25">
      <c r="A9807" t="n">
        <v>24</v>
      </c>
      <c r="B9807" t="s">
        <v>14</v>
      </c>
      <c r="C9807" t="s">
        <v>22</v>
      </c>
      <c r="D9807" s="2" t="s">
        <f>=HYPERLINK("https://main.knesset.gov.il/APPS/legislation/main/bills/2161206", "הצעת חוק-יסוד: כבוד האדם וחירותו (תיקון - הזכות לשוויון)")</f>
        <v>2676</v>
      </c>
      <c r="E9807" t="s">
        <v>2676</v>
      </c>
      <c r="F9807" t="s">
        <v>19063</v>
      </c>
      <c r="G9807" t="s">
        <v>14</v>
      </c>
      <c r="H9807">
             </c>
      <c r="I9807" t="s">
        <v>14</v>
      </c>
      <c r="J9807" t="s">
        <v>141</v>
      </c>
      <c r="K9807" t="s">
        <v>14</v>
      </c>
      <c r="L9807" t="s">
        <v>20</v>
      </c>
      <c r="M9807" t="s">
        <v>18940</v>
      </c>
      <c r="N9807" t="s">
        <v>14</v>
      </c>
    </row>
    <row r="9808" x14ac:dyDescent="0.25">
      <c r="A9808" t="n">
        <v>24</v>
      </c>
      <c r="B9808" t="s">
        <v>14</v>
      </c>
      <c r="C9808" t="s">
        <v>22</v>
      </c>
      <c r="D9808" s="2" t="s">
        <f>=HYPERLINK("https://main.knesset.gov.il/APPS/legislation/main/bills/2160183", "הצעת חוק איסור הלבנת הון (תיקון - איסור גביית דמי שמירה בלא רישיון), התשפ""א-2021")</f>
        <v>19064</v>
      </c>
      <c r="E9808" t="s">
        <v>19064</v>
      </c>
      <c r="F9808" t="s">
        <v>19065</v>
      </c>
      <c r="G9808" t="s">
        <v>14</v>
      </c>
      <c r="H9808">
             </c>
      <c r="I9808" t="s">
        <v>14</v>
      </c>
      <c r="J9808" t="s">
        <v>141</v>
      </c>
      <c r="K9808" t="s">
        <v>14</v>
      </c>
      <c r="L9808" t="s">
        <v>20</v>
      </c>
      <c r="M9808" t="s">
        <v>18940</v>
      </c>
      <c r="N9808" t="s">
        <v>14</v>
      </c>
    </row>
    <row r="9809" x14ac:dyDescent="0.25">
      <c r="A9809" t="n">
        <v>24</v>
      </c>
      <c r="B9809" t="s">
        <v>14</v>
      </c>
      <c r="C9809" t="s">
        <v>22</v>
      </c>
      <c r="D9809" s="2" t="s">
        <f>=HYPERLINK("https://main.knesset.gov.il/APPS/legislation/main/bills/2161161", "הצעת חוק הגנה על זכויות הדורות הבאים, התשפ""א-2021")</f>
        <v>19066</v>
      </c>
      <c r="E9809" t="s">
        <v>19066</v>
      </c>
      <c r="F9809" t="s">
        <v>19067</v>
      </c>
      <c r="G9809" t="s">
        <v>14</v>
      </c>
      <c r="H9809">
             </c>
      <c r="I9809" t="s">
        <v>14</v>
      </c>
      <c r="J9809" t="s">
        <v>141</v>
      </c>
      <c r="K9809" t="s">
        <v>14</v>
      </c>
      <c r="L9809" t="s">
        <v>20</v>
      </c>
      <c r="M9809" t="s">
        <v>18940</v>
      </c>
      <c r="N9809" t="s">
        <v>14</v>
      </c>
    </row>
    <row r="9810" x14ac:dyDescent="0.25">
      <c r="A9810" t="n">
        <v>24</v>
      </c>
      <c r="B9810" t="s">
        <v>14</v>
      </c>
      <c r="C9810" t="s">
        <v>22</v>
      </c>
      <c r="D9810" s="2" t="s">
        <f>=HYPERLINK("https://main.knesset.gov.il/APPS/legislation/main/bills/2161147", "הצעת חוק שיפוט בתי דין רבניים (נישואין וגירושין) (תיקון - מינוי נציגות ציבור), התשפ""א-2021")</f>
        <v>19068</v>
      </c>
      <c r="E9810" t="s">
        <v>19068</v>
      </c>
      <c r="F9810" t="s">
        <v>19069</v>
      </c>
      <c r="G9810" t="s">
        <v>14</v>
      </c>
      <c r="H9810">
             </c>
      <c r="I9810" t="s">
        <v>14</v>
      </c>
      <c r="J9810" t="s">
        <v>141</v>
      </c>
      <c r="K9810" t="s">
        <v>14</v>
      </c>
      <c r="L9810" t="s">
        <v>20</v>
      </c>
      <c r="M9810" t="s">
        <v>18940</v>
      </c>
      <c r="N9810" t="s">
        <v>14</v>
      </c>
    </row>
    <row r="9811" x14ac:dyDescent="0.25">
      <c r="A9811" t="n">
        <v>24</v>
      </c>
      <c r="B9811" t="s">
        <v>14</v>
      </c>
      <c r="C9811" t="s">
        <v>22</v>
      </c>
      <c r="D9811" s="2" t="s">
        <f>=HYPERLINK("https://main.knesset.gov.il/APPS/legislation/main/bills/2160931", "הצעת חוק הפקדות וזכויות סוציאליות לעצמאים (תיקוני חקיקה), התשפ""א-2021")</f>
        <v>18347</v>
      </c>
      <c r="E9811" t="s">
        <v>18347</v>
      </c>
      <c r="F9811" t="s">
        <v>19070</v>
      </c>
      <c r="G9811" t="s">
        <v>14</v>
      </c>
      <c r="H9811">
             </c>
      <c r="I9811" t="s">
        <v>14</v>
      </c>
      <c r="J9811" t="s">
        <v>141</v>
      </c>
      <c r="K9811" t="s">
        <v>14</v>
      </c>
      <c r="L9811" t="s">
        <v>20</v>
      </c>
      <c r="M9811" t="s">
        <v>18940</v>
      </c>
      <c r="N9811" t="s">
        <v>14</v>
      </c>
    </row>
    <row r="9812" x14ac:dyDescent="0.25">
      <c r="A9812" t="n">
        <v>24</v>
      </c>
      <c r="B9812" t="s">
        <v>14</v>
      </c>
      <c r="C9812" t="s">
        <v>22</v>
      </c>
      <c r="D9812" s="2" t="s">
        <f>=HYPERLINK("https://main.knesset.gov.il/APPS/legislation/main/bills/2161197", "הצעת חוק איסור הונאה בכשרות (תיקון - מתן תעודת הכשר על ידי רב מקומי), התשפ""א-2021")</f>
        <v>19071</v>
      </c>
      <c r="E9812" t="s">
        <v>19071</v>
      </c>
      <c r="F9812" t="s">
        <v>19072</v>
      </c>
      <c r="G9812" t="s">
        <v>14</v>
      </c>
      <c r="H9812">
             </c>
      <c r="I9812" t="s">
        <v>14</v>
      </c>
      <c r="J9812" t="s">
        <v>141</v>
      </c>
      <c r="K9812" t="s">
        <v>14</v>
      </c>
      <c r="L9812" t="s">
        <v>20</v>
      </c>
      <c r="M9812" t="s">
        <v>18940</v>
      </c>
      <c r="N9812" t="s">
        <v>14</v>
      </c>
    </row>
    <row r="9813" x14ac:dyDescent="0.25">
      <c r="A9813" t="n">
        <v>24</v>
      </c>
      <c r="B9813" t="s">
        <v>14</v>
      </c>
      <c r="C9813" t="s">
        <v>22</v>
      </c>
      <c r="D9813" s="2" t="s">
        <f>=HYPERLINK("https://main.knesset.gov.il/APPS/legislation/main/bills/2161175", "הצעת חוק ביטוח בריאות ממלכתי (תיקון - השתתפות בטיפולי שיניים, פה ולסת לנפגעי שיתוק מוחין), התשפ""א-2021")</f>
        <v>19073</v>
      </c>
      <c r="E9813" t="s">
        <v>19073</v>
      </c>
      <c r="F9813" t="s">
        <v>19074</v>
      </c>
      <c r="G9813" t="s">
        <v>14</v>
      </c>
      <c r="H9813">
             </c>
      <c r="I9813" t="s">
        <v>14</v>
      </c>
      <c r="J9813" t="s">
        <v>141</v>
      </c>
      <c r="K9813" t="s">
        <v>14</v>
      </c>
      <c r="L9813" t="s">
        <v>20</v>
      </c>
      <c r="M9813" t="s">
        <v>18940</v>
      </c>
      <c r="N9813" t="s">
        <v>14</v>
      </c>
    </row>
    <row r="9814" x14ac:dyDescent="0.25">
      <c r="A9814" t="n">
        <v>24</v>
      </c>
      <c r="B9814" t="s">
        <v>14</v>
      </c>
      <c r="C9814" t="s">
        <v>22</v>
      </c>
      <c r="D9814" s="2" t="s">
        <f>=HYPERLINK("https://main.knesset.gov.il/APPS/legislation/main/bills/2161146", "הצעת חוק הגנת הסביבה (יחידה סביבתית ברשויות ציבוריות), התשפ""א-2021")</f>
        <v>19075</v>
      </c>
      <c r="E9814" t="s">
        <v>19075</v>
      </c>
      <c r="F9814" t="s">
        <v>19076</v>
      </c>
      <c r="G9814" t="s">
        <v>14</v>
      </c>
      <c r="H9814">
             </c>
      <c r="I9814" t="s">
        <v>14</v>
      </c>
      <c r="J9814" t="s">
        <v>141</v>
      </c>
      <c r="K9814" t="s">
        <v>14</v>
      </c>
      <c r="L9814" t="s">
        <v>20</v>
      </c>
      <c r="M9814" t="s">
        <v>18940</v>
      </c>
      <c r="N9814" t="s">
        <v>14</v>
      </c>
    </row>
    <row r="9815" x14ac:dyDescent="0.25">
      <c r="A9815" t="n">
        <v>24</v>
      </c>
      <c r="B9815" t="s">
        <v>14</v>
      </c>
      <c r="C9815" t="s">
        <v>22</v>
      </c>
      <c r="D9815" s="2" t="s">
        <f>=HYPERLINK("https://main.knesset.gov.il/APPS/legislation/main/bills/2161148", "הצעת חוק לעידוד בנייה בת-קיימא (תיקוני חקיקה), התשפ""א-2021")</f>
        <v>19077</v>
      </c>
      <c r="E9815" t="s">
        <v>19077</v>
      </c>
      <c r="F9815" t="s">
        <v>19078</v>
      </c>
      <c r="G9815" t="s">
        <v>14</v>
      </c>
      <c r="H9815">
             </c>
      <c r="I9815" t="s">
        <v>14</v>
      </c>
      <c r="J9815" t="s">
        <v>141</v>
      </c>
      <c r="K9815" t="s">
        <v>14</v>
      </c>
      <c r="L9815" t="s">
        <v>20</v>
      </c>
      <c r="M9815" t="s">
        <v>18940</v>
      </c>
      <c r="N9815" t="s">
        <v>14</v>
      </c>
    </row>
    <row r="9816" x14ac:dyDescent="0.25">
      <c r="A9816" t="n">
        <v>24</v>
      </c>
      <c r="B9816" t="s">
        <v>14</v>
      </c>
      <c r="C9816" t="s">
        <v>22</v>
      </c>
      <c r="D9816" s="2" t="s">
        <f>=HYPERLINK("https://main.knesset.gov.il/APPS/legislation/main/bills/2160829", "הצעת חוק נציבות זכויות האדם, התשפ""א-2021")</f>
        <v>19079</v>
      </c>
      <c r="E9816" t="s">
        <v>19079</v>
      </c>
      <c r="F9816" t="s">
        <v>19080</v>
      </c>
      <c r="G9816" t="s">
        <v>14</v>
      </c>
      <c r="H9816">
             </c>
      <c r="I9816" t="s">
        <v>14</v>
      </c>
      <c r="J9816" t="s">
        <v>141</v>
      </c>
      <c r="K9816" t="s">
        <v>14</v>
      </c>
      <c r="L9816" t="s">
        <v>20</v>
      </c>
      <c r="M9816" t="s">
        <v>18940</v>
      </c>
      <c r="N9816" t="s">
        <v>14</v>
      </c>
    </row>
    <row r="9817" x14ac:dyDescent="0.25">
      <c r="A9817" t="n">
        <v>24</v>
      </c>
      <c r="B9817" t="s">
        <v>14</v>
      </c>
      <c r="C9817" t="s">
        <v>22</v>
      </c>
      <c r="D9817" s="2" t="s">
        <f>=HYPERLINK("https://main.knesset.gov.il/APPS/legislation/main/bills/2160934", "הצעת חוק הביטוח הלאומי (תיקון - השוואת קצבת נכות לשכר מינימום), התשפ""א-2021")</f>
        <v>19081</v>
      </c>
      <c r="E9817" t="s">
        <v>19081</v>
      </c>
      <c r="F9817" t="s">
        <v>19082</v>
      </c>
      <c r="G9817" t="s">
        <v>14</v>
      </c>
      <c r="H9817">
             </c>
      <c r="I9817" t="s">
        <v>14</v>
      </c>
      <c r="J9817" t="s">
        <v>141</v>
      </c>
      <c r="K9817" t="s">
        <v>14</v>
      </c>
      <c r="L9817" t="s">
        <v>20</v>
      </c>
      <c r="M9817" t="s">
        <v>18940</v>
      </c>
      <c r="N9817" t="s">
        <v>14</v>
      </c>
    </row>
    <row r="9818" x14ac:dyDescent="0.25">
      <c r="A9818" t="n">
        <v>24</v>
      </c>
      <c r="B9818" t="s">
        <v>14</v>
      </c>
      <c r="C9818" t="s">
        <v>22</v>
      </c>
      <c r="D9818" s="2" t="s">
        <f>=HYPERLINK("https://main.knesset.gov.il/APPS/legislation/main/bills/2161233", "הצעת חוק הסכמים קיבוציים (תיקון - יציגות ארגון עובדים והגנה על הפרט), התשפ""א-2021")</f>
        <v>19083</v>
      </c>
      <c r="E9818" t="s">
        <v>19083</v>
      </c>
      <c r="F9818" t="s">
        <v>19084</v>
      </c>
      <c r="G9818" t="s">
        <v>14</v>
      </c>
      <c r="H9818">
             </c>
      <c r="I9818" t="s">
        <v>14</v>
      </c>
      <c r="J9818" t="s">
        <v>141</v>
      </c>
      <c r="K9818" t="s">
        <v>14</v>
      </c>
      <c r="L9818" t="s">
        <v>20</v>
      </c>
      <c r="M9818" t="s">
        <v>18940</v>
      </c>
      <c r="N9818" t="s">
        <v>14</v>
      </c>
    </row>
    <row r="9819" x14ac:dyDescent="0.25">
      <c r="A9819" t="n">
        <v>24</v>
      </c>
      <c r="B9819" t="s">
        <v>14</v>
      </c>
      <c r="C9819" t="s">
        <v>22</v>
      </c>
      <c r="D9819" s="2" t="s">
        <f>=HYPERLINK("https://main.knesset.gov.il/APPS/legislation/main/bills/2159993", "הצעת חוק לתיקון פקודת הדיג (איכון ספינות דיג), התשפ''א-2021")</f>
        <v>19085</v>
      </c>
      <c r="E9819" t="s">
        <v>19085</v>
      </c>
      <c r="F9819" t="s">
        <v>19086</v>
      </c>
      <c r="G9819" t="s">
        <v>14</v>
      </c>
      <c r="H9819">
             </c>
      <c r="I9819" t="s">
        <v>14</v>
      </c>
      <c r="J9819" t="s">
        <v>141</v>
      </c>
      <c r="K9819" t="s">
        <v>14</v>
      </c>
      <c r="L9819" t="s">
        <v>20</v>
      </c>
      <c r="M9819" t="s">
        <v>18940</v>
      </c>
      <c r="N9819" t="s">
        <v>14</v>
      </c>
    </row>
    <row r="9820" x14ac:dyDescent="0.25">
      <c r="A9820" t="n">
        <v>24</v>
      </c>
      <c r="B9820" t="s">
        <v>14</v>
      </c>
      <c r="C9820" t="s">
        <v>22</v>
      </c>
      <c r="D9820" s="2" t="s">
        <f>=HYPERLINK("https://main.knesset.gov.il/APPS/legislation/main/bills/2161102", "הצעת חוק העונשין (תיקון - החמרת ענישה על תקיפת קטין או חסר ישע), התשפ""א-2021")</f>
        <v>19087</v>
      </c>
      <c r="E9820" t="s">
        <v>19087</v>
      </c>
      <c r="F9820" t="s">
        <v>19088</v>
      </c>
      <c r="G9820" t="s">
        <v>14</v>
      </c>
      <c r="H9820">
             </c>
      <c r="I9820" t="s">
        <v>14</v>
      </c>
      <c r="J9820" t="s">
        <v>141</v>
      </c>
      <c r="K9820" t="s">
        <v>14</v>
      </c>
      <c r="L9820" t="s">
        <v>20</v>
      </c>
      <c r="M9820" t="s">
        <v>18940</v>
      </c>
      <c r="N9820" t="s">
        <v>14</v>
      </c>
    </row>
    <row r="9821" x14ac:dyDescent="0.25">
      <c r="A9821" t="n">
        <v>24</v>
      </c>
      <c r="B9821" t="s">
        <v>14</v>
      </c>
      <c r="C9821" t="s">
        <v>22</v>
      </c>
      <c r="D9821" s="2" t="s">
        <f>=HYPERLINK("https://main.knesset.gov.il/APPS/legislation/main/bills/2161111", "הצעת חוק עבודת נשים (תיקון - חזרה לעבודה מתקופת לידה והורות), התשפ""א-2021")</f>
        <v>19089</v>
      </c>
      <c r="E9821" t="s">
        <v>19089</v>
      </c>
      <c r="F9821" t="s">
        <v>19090</v>
      </c>
      <c r="G9821" t="s">
        <v>14</v>
      </c>
      <c r="H9821">
             </c>
      <c r="I9821" t="s">
        <v>14</v>
      </c>
      <c r="J9821" t="s">
        <v>141</v>
      </c>
      <c r="K9821" t="s">
        <v>14</v>
      </c>
      <c r="L9821" t="s">
        <v>20</v>
      </c>
      <c r="M9821" t="s">
        <v>18940</v>
      </c>
      <c r="N9821" t="s">
        <v>14</v>
      </c>
    </row>
    <row r="9822" x14ac:dyDescent="0.25">
      <c r="A9822" t="n">
        <v>24</v>
      </c>
      <c r="B9822" t="s">
        <v>14</v>
      </c>
      <c r="C9822" t="s">
        <v>22</v>
      </c>
      <c r="D9822" s="2" t="s">
        <f>=HYPERLINK("https://main.knesset.gov.il/APPS/legislation/main/bills/2161174", "הצעת חוק ביטוח בריאות ממלכתי (תיקון - החזר דמי נסיעה באמבולנס), התשפ""א-2021")</f>
        <v>19091</v>
      </c>
      <c r="E9822" t="s">
        <v>19091</v>
      </c>
      <c r="F9822" t="s">
        <v>19092</v>
      </c>
      <c r="G9822" t="s">
        <v>14</v>
      </c>
      <c r="H9822">
             </c>
      <c r="I9822" t="s">
        <v>14</v>
      </c>
      <c r="J9822" t="s">
        <v>141</v>
      </c>
      <c r="K9822" t="s">
        <v>14</v>
      </c>
      <c r="L9822" t="s">
        <v>20</v>
      </c>
      <c r="M9822" t="s">
        <v>18940</v>
      </c>
      <c r="N9822" t="s">
        <v>14</v>
      </c>
    </row>
    <row r="9823" x14ac:dyDescent="0.25">
      <c r="A9823" t="n">
        <v>24</v>
      </c>
      <c r="B9823" t="s">
        <v>14</v>
      </c>
      <c r="C9823" t="s">
        <v>22</v>
      </c>
      <c r="D9823" s="2" t="s">
        <f>=HYPERLINK("https://main.knesset.gov.il/APPS/legislation/main/bills/2161103", "הצעת חוק חופש הבחירה במזון מן הצומח, התשפ""א-2021")</f>
        <v>19093</v>
      </c>
      <c r="E9823" t="s">
        <v>19093</v>
      </c>
      <c r="F9823" t="s">
        <v>19094</v>
      </c>
      <c r="G9823" t="s">
        <v>14</v>
      </c>
      <c r="H9823">
             </c>
      <c r="I9823" t="s">
        <v>14</v>
      </c>
      <c r="J9823" t="s">
        <v>141</v>
      </c>
      <c r="K9823" t="s">
        <v>14</v>
      </c>
      <c r="L9823" t="s">
        <v>20</v>
      </c>
      <c r="M9823" t="s">
        <v>18940</v>
      </c>
      <c r="N9823" t="s">
        <v>14</v>
      </c>
    </row>
    <row r="9824" x14ac:dyDescent="0.25">
      <c r="A9824" t="n">
        <v>24</v>
      </c>
      <c r="B9824" t="s">
        <v>14</v>
      </c>
      <c r="C9824" t="s">
        <v>15</v>
      </c>
      <c r="D9824" s="2" t="s">
        <f>=HYPERLINK("https://main.knesset.gov.il/APPS/legislation/main/bills/2152001", "הצעת חוק לעידוד פיתוח טכנולוגיה בתחום הפיננסי בישראל, התשפ""א-2021 ")</f>
        <v>19095</v>
      </c>
      <c r="E9824" t="s">
        <v>19095</v>
      </c>
      <c r="F9824" t="s">
        <v>14</v>
      </c>
      <c r="G9824" t="s">
        <v>19096</v>
      </c>
      <c r="H9824">
             </c>
      <c r="I9824" t="s">
        <v>379</v>
      </c>
      <c r="J9824" t="s">
        <v>18</v>
      </c>
      <c r="K9824" t="s">
        <v>19</v>
      </c>
      <c r="L9824" t="s">
        <v>20</v>
      </c>
      <c r="M9824" t="s">
        <v>18940</v>
      </c>
      <c r="N9824" t="s">
        <v>14</v>
      </c>
    </row>
    <row r="9825" x14ac:dyDescent="0.25">
      <c r="A9825" t="n">
        <v>24</v>
      </c>
      <c r="B9825" t="s">
        <v>14</v>
      </c>
      <c r="C9825" t="s">
        <v>15</v>
      </c>
      <c r="D9825" s="2" t="s">
        <f>=HYPERLINK("https://main.knesset.gov.il/APPS/legislation/main/bills/2160468", "הצעת חוק השיפוט הצבאי (תיקון מס' 80) (התאמות למערכת האזרחית בענייני סדרי דין וראיות), התשפ""א-2021")</f>
        <v>19097</v>
      </c>
      <c r="E9825" t="s">
        <v>19097</v>
      </c>
      <c r="F9825" t="s">
        <v>14</v>
      </c>
      <c r="G9825" t="s">
        <v>19098</v>
      </c>
      <c r="H9825">
             </c>
      <c r="I9825" t="s">
        <v>14</v>
      </c>
      <c r="J9825" t="s">
        <v>18</v>
      </c>
      <c r="K9825" t="s">
        <v>114</v>
      </c>
      <c r="L9825" t="s">
        <v>20</v>
      </c>
      <c r="M9825" t="s">
        <v>18940</v>
      </c>
      <c r="N9825" t="s">
        <v>14</v>
      </c>
    </row>
    <row r="9826" x14ac:dyDescent="0.25">
      <c r="A9826" t="n">
        <v>24</v>
      </c>
      <c r="B9826" t="s">
        <v>14</v>
      </c>
      <c r="C9826" t="s">
        <v>15</v>
      </c>
      <c r="D9826" s="2" t="s">
        <f>=HYPERLINK("https://main.knesset.gov.il/APPS/legislation/main/bills/2160193", "חוק התכנית לסיוע כלכלי (נגיף הקורונה החדש) (הוראת שעה) (תיקון מס' 6), התשפ""א-2021 ")</f>
        <v>19099</v>
      </c>
      <c r="E9826" t="s">
        <v>19099</v>
      </c>
      <c r="F9826" t="s">
        <v>14</v>
      </c>
      <c r="G9826" t="s">
        <v>19100</v>
      </c>
      <c r="H9826" t="n">
        <v>2923</v>
      </c>
      <c r="I9826" t="s">
        <v>14</v>
      </c>
      <c r="J9826" t="s">
        <v>91</v>
      </c>
      <c r="K9826" t="s">
        <v>85</v>
      </c>
      <c r="L9826" t="s">
        <v>20</v>
      </c>
      <c r="M9826" t="s">
        <v>19101</v>
      </c>
      <c r="N9826" t="s">
        <v>19102</v>
      </c>
    </row>
    <row r="9827" x14ac:dyDescent="0.25">
      <c r="A9827" t="n">
        <v>24</v>
      </c>
      <c r="B9827" t="s">
        <v>14</v>
      </c>
      <c r="C9827" t="s">
        <v>15</v>
      </c>
      <c r="D9827" s="2" t="s">
        <f>=HYPERLINK("https://main.knesset.gov.il/APPS/legislation/main/bills/2159662", "חוק שמירת הניקיון (הוראת שעה) (תיקון מס' 2), התשפ""א-2021")</f>
        <v>19103</v>
      </c>
      <c r="E9827" t="s">
        <v>19103</v>
      </c>
      <c r="F9827" t="s">
        <v>14</v>
      </c>
      <c r="G9827" t="s">
        <v>19104</v>
      </c>
      <c r="H9827" t="n">
        <v>2922</v>
      </c>
      <c r="I9827" t="s">
        <v>14</v>
      </c>
      <c r="J9827" t="s">
        <v>91</v>
      </c>
      <c r="K9827" t="s">
        <v>27</v>
      </c>
      <c r="L9827" t="s">
        <v>20</v>
      </c>
      <c r="M9827" t="s">
        <v>19101</v>
      </c>
      <c r="N9827" t="s">
        <v>19105</v>
      </c>
    </row>
    <row r="9828" x14ac:dyDescent="0.25">
      <c r="A9828" t="n">
        <v>24</v>
      </c>
      <c r="B9828" t="s">
        <v>14</v>
      </c>
      <c r="C9828" t="s">
        <v>22</v>
      </c>
      <c r="D9828" s="2" t="s">
        <f>=HYPERLINK("https://main.knesset.gov.il/APPS/legislation/main/bills/2161166", "הצעת חוק לתיקון פקודת מס הכנסה (דיווח שנתי או חצי שנתי לסוגי נכסים), התשפ""א-2021")</f>
        <v>19106</v>
      </c>
      <c r="E9828" t="s">
        <v>19106</v>
      </c>
      <c r="F9828" t="s">
        <v>19107</v>
      </c>
      <c r="G9828" t="s">
        <v>14</v>
      </c>
      <c r="H9828">
             </c>
      <c r="I9828" t="s">
        <v>14</v>
      </c>
      <c r="J9828" t="s">
        <v>141</v>
      </c>
      <c r="K9828" t="s">
        <v>14</v>
      </c>
      <c r="L9828" t="s">
        <v>20</v>
      </c>
      <c r="M9828" t="s">
        <v>19108</v>
      </c>
      <c r="N9828" t="s">
        <v>14</v>
      </c>
    </row>
    <row r="9829" x14ac:dyDescent="0.25">
      <c r="A9829" t="n">
        <v>24</v>
      </c>
      <c r="B9829" t="s">
        <v>14</v>
      </c>
      <c r="C9829" t="s">
        <v>22</v>
      </c>
      <c r="D9829" s="2" t="s">
        <f>=HYPERLINK("https://main.knesset.gov.il/APPS/legislation/main/bills/2161045", "הצעת חוק לתיקון פקודת מס הכנסה (הטבות במס במועצות אזוריות בעלות רוב מוטב), התשפ""א-2021 ")</f>
        <v>19109</v>
      </c>
      <c r="E9829" t="s">
        <v>19109</v>
      </c>
      <c r="F9829" t="s">
        <v>19110</v>
      </c>
      <c r="G9829" t="s">
        <v>14</v>
      </c>
      <c r="H9829">
             </c>
      <c r="I9829" t="s">
        <v>14</v>
      </c>
      <c r="J9829" t="s">
        <v>141</v>
      </c>
      <c r="K9829" t="s">
        <v>14</v>
      </c>
      <c r="L9829" t="s">
        <v>20</v>
      </c>
      <c r="M9829" t="s">
        <v>19108</v>
      </c>
      <c r="N9829" t="s">
        <v>14</v>
      </c>
    </row>
    <row r="9830" x14ac:dyDescent="0.25">
      <c r="A9830" t="n">
        <v>24</v>
      </c>
      <c r="B9830" t="s">
        <v>14</v>
      </c>
      <c r="C9830" t="s">
        <v>22</v>
      </c>
      <c r="D9830" s="2" t="s">
        <f>=HYPERLINK("https://main.knesset.gov.il/APPS/legislation/main/bills/2161060", "הצעת חוק לתיקון פקודת מס הכנסה (שינוי הקריטריונים ליישוב מוטב), התשפ""א-2021")</f>
        <v>19111</v>
      </c>
      <c r="E9830" t="s">
        <v>19111</v>
      </c>
      <c r="F9830" t="s">
        <v>19112</v>
      </c>
      <c r="G9830" t="s">
        <v>14</v>
      </c>
      <c r="H9830">
             </c>
      <c r="I9830" t="s">
        <v>14</v>
      </c>
      <c r="J9830" t="s">
        <v>141</v>
      </c>
      <c r="K9830" t="s">
        <v>14</v>
      </c>
      <c r="L9830" t="s">
        <v>20</v>
      </c>
      <c r="M9830" t="s">
        <v>19108</v>
      </c>
      <c r="N9830" t="s">
        <v>14</v>
      </c>
    </row>
    <row r="9831" x14ac:dyDescent="0.25">
      <c r="A9831" t="n">
        <v>24</v>
      </c>
      <c r="B9831" t="s">
        <v>14</v>
      </c>
      <c r="C9831" t="s">
        <v>22</v>
      </c>
      <c r="D9831" s="2" t="s">
        <f>=HYPERLINK("https://main.knesset.gov.il/APPS/legislation/main/bills/2159484", "הצעת חוק לתיקון פקודת מס הכנסה (סמכות ועדת הכספים באישור מוסד ציבורי לעניין הטבות מס), התשפ""א-2021")</f>
        <v>19113</v>
      </c>
      <c r="E9831" t="s">
        <v>19113</v>
      </c>
      <c r="F9831" t="s">
        <v>19114</v>
      </c>
      <c r="G9831" t="s">
        <v>14</v>
      </c>
      <c r="H9831">
             </c>
      <c r="I9831" t="s">
        <v>14</v>
      </c>
      <c r="J9831" t="s">
        <v>141</v>
      </c>
      <c r="K9831" t="s">
        <v>14</v>
      </c>
      <c r="L9831" t="s">
        <v>20</v>
      </c>
      <c r="M9831" t="s">
        <v>19108</v>
      </c>
      <c r="N9831" t="s">
        <v>14</v>
      </c>
    </row>
    <row r="9832" x14ac:dyDescent="0.25">
      <c r="A9832" t="n">
        <v>24</v>
      </c>
      <c r="B9832" t="s">
        <v>14</v>
      </c>
      <c r="C9832" t="s">
        <v>22</v>
      </c>
      <c r="D9832" s="2" t="s">
        <f>=HYPERLINK("https://main.knesset.gov.il/APPS/legislation/main/bills/2161179", "הצעת חוק דמי מחלה (תיקון - איסור פיטורים בעת היעדרות בשל מחלת ילד), התשפ""א-2021")</f>
        <v>19115</v>
      </c>
      <c r="E9832" t="s">
        <v>19115</v>
      </c>
      <c r="F9832" t="s">
        <v>19116</v>
      </c>
      <c r="G9832" t="s">
        <v>14</v>
      </c>
      <c r="H9832">
             </c>
      <c r="I9832" t="s">
        <v>14</v>
      </c>
      <c r="J9832" t="s">
        <v>141</v>
      </c>
      <c r="K9832" t="s">
        <v>14</v>
      </c>
      <c r="L9832" t="s">
        <v>20</v>
      </c>
      <c r="M9832" t="s">
        <v>19108</v>
      </c>
      <c r="N9832" t="s">
        <v>14</v>
      </c>
    </row>
    <row r="9833" x14ac:dyDescent="0.25">
      <c r="A9833" t="n">
        <v>24</v>
      </c>
      <c r="B9833" t="s">
        <v>14</v>
      </c>
      <c r="C9833" t="s">
        <v>22</v>
      </c>
      <c r="D9833" s="2" t="s">
        <f>=HYPERLINK("https://main.knesset.gov.il/APPS/legislation/main/bills/2161176", "הצעת חוק ביטוח בריאות ממלכתי (תיקון - תנאים להחלפת תרופה, טיפול, מטפל, נותן שירותים או מוסד רפואי), התשפ""א-2021")</f>
        <v>19117</v>
      </c>
      <c r="E9833" t="s">
        <v>19117</v>
      </c>
      <c r="F9833" t="s">
        <v>19118</v>
      </c>
      <c r="G9833" t="s">
        <v>14</v>
      </c>
      <c r="H9833">
             </c>
      <c r="I9833" t="s">
        <v>14</v>
      </c>
      <c r="J9833" t="s">
        <v>141</v>
      </c>
      <c r="K9833" t="s">
        <v>14</v>
      </c>
      <c r="L9833" t="s">
        <v>20</v>
      </c>
      <c r="M9833" t="s">
        <v>19108</v>
      </c>
      <c r="N9833" t="s">
        <v>14</v>
      </c>
    </row>
    <row r="9834" x14ac:dyDescent="0.25">
      <c r="A9834" t="n">
        <v>24</v>
      </c>
      <c r="B9834" t="s">
        <v>14</v>
      </c>
      <c r="C9834" t="s">
        <v>22</v>
      </c>
      <c r="D9834" s="2" t="s">
        <f>=HYPERLINK("https://main.knesset.gov.il/APPS/legislation/main/bills/2160037", "הצעת חוק התגמולים לנפגעי פעולות איבה (תיקון - תביעה נגד מפגע), התשפ""א-2021")</f>
        <v>19119</v>
      </c>
      <c r="E9834" t="s">
        <v>19119</v>
      </c>
      <c r="F9834" t="s">
        <v>19120</v>
      </c>
      <c r="G9834" t="s">
        <v>14</v>
      </c>
      <c r="H9834">
             </c>
      <c r="I9834" t="s">
        <v>14</v>
      </c>
      <c r="J9834" t="s">
        <v>141</v>
      </c>
      <c r="K9834" t="s">
        <v>14</v>
      </c>
      <c r="L9834" t="s">
        <v>20</v>
      </c>
      <c r="M9834" t="s">
        <v>19108</v>
      </c>
      <c r="N9834" t="s">
        <v>14</v>
      </c>
    </row>
    <row r="9835" x14ac:dyDescent="0.25">
      <c r="A9835" t="n">
        <v>24</v>
      </c>
      <c r="B9835" t="s">
        <v>14</v>
      </c>
      <c r="C9835" t="s">
        <v>22</v>
      </c>
      <c r="D9835" s="2" t="s">
        <f>=HYPERLINK("https://main.knesset.gov.il/APPS/legislation/main/bills/2161131", "הצעת חוק הביטוח הלאומי (תיקון - העלאת קצבת אזרח ותיק), התשפ""א-2021")</f>
        <v>17220</v>
      </c>
      <c r="E9835" t="s">
        <v>17220</v>
      </c>
      <c r="F9835" t="s">
        <v>19121</v>
      </c>
      <c r="G9835" t="s">
        <v>14</v>
      </c>
      <c r="H9835">
             </c>
      <c r="I9835" t="s">
        <v>14</v>
      </c>
      <c r="J9835" t="s">
        <v>141</v>
      </c>
      <c r="K9835" t="s">
        <v>14</v>
      </c>
      <c r="L9835" t="s">
        <v>20</v>
      </c>
      <c r="M9835" t="s">
        <v>19108</v>
      </c>
      <c r="N9835" t="s">
        <v>14</v>
      </c>
    </row>
    <row r="9836" x14ac:dyDescent="0.25">
      <c r="A9836" t="n">
        <v>24</v>
      </c>
      <c r="B9836" t="s">
        <v>14</v>
      </c>
      <c r="C9836" t="s">
        <v>22</v>
      </c>
      <c r="D9836" s="2" t="s">
        <f>=HYPERLINK("https://main.knesset.gov.il/APPS/legislation/main/bills/2160908", "הצעת חוק סדר הדין הפלילי (תיקון - התיישנות בעבירות מין שנעשו במסגרת יחסי תלות או מרות), התשפ""א-2021")</f>
        <v>19122</v>
      </c>
      <c r="E9836" t="s">
        <v>19122</v>
      </c>
      <c r="F9836" t="s">
        <v>19123</v>
      </c>
      <c r="G9836" t="s">
        <v>14</v>
      </c>
      <c r="H9836">
             </c>
      <c r="I9836" t="s">
        <v>14</v>
      </c>
      <c r="J9836" t="s">
        <v>343</v>
      </c>
      <c r="K9836" t="s">
        <v>14</v>
      </c>
      <c r="L9836" t="s">
        <v>20</v>
      </c>
      <c r="M9836" t="s">
        <v>19108</v>
      </c>
      <c r="N9836" t="s">
        <v>14</v>
      </c>
    </row>
    <row r="9837" x14ac:dyDescent="0.25">
      <c r="A9837" t="n">
        <v>24</v>
      </c>
      <c r="B9837" t="s">
        <v>14</v>
      </c>
      <c r="C9837" t="s">
        <v>22</v>
      </c>
      <c r="D9837" s="2" t="s">
        <f>=HYPERLINK("https://main.knesset.gov.il/APPS/legislation/main/bills/2160914", "הצעת חוק ההתיישנות (תיקון - הארכת התיישנות של תובענה בגין עבירת מין), התשפ""א-2021")</f>
        <v>19124</v>
      </c>
      <c r="E9837" t="s">
        <v>19124</v>
      </c>
      <c r="F9837" t="s">
        <v>19125</v>
      </c>
      <c r="G9837" t="s">
        <v>14</v>
      </c>
      <c r="H9837">
             </c>
      <c r="I9837" t="s">
        <v>14</v>
      </c>
      <c r="J9837" t="s">
        <v>141</v>
      </c>
      <c r="K9837" t="s">
        <v>14</v>
      </c>
      <c r="L9837" t="s">
        <v>20</v>
      </c>
      <c r="M9837" t="s">
        <v>19108</v>
      </c>
      <c r="N9837" t="s">
        <v>14</v>
      </c>
    </row>
    <row r="9838" x14ac:dyDescent="0.25">
      <c r="A9838" t="n">
        <v>24</v>
      </c>
      <c r="B9838" t="s">
        <v>14</v>
      </c>
      <c r="C9838" t="s">
        <v>22</v>
      </c>
      <c r="D9838" s="2" t="s">
        <f>=HYPERLINK("https://main.knesset.gov.il/APPS/legislation/main/bills/2160984", "הצעת חוק הרשויות המקומיות (פטור חיילים, נפגעי מלחמה ושוטרים מארנונה) (תיקון - פטור לחייל בודד בדירת שותפים), התשפ""א-2021")</f>
        <v>19126</v>
      </c>
      <c r="E9838" t="s">
        <v>19126</v>
      </c>
      <c r="F9838" t="s">
        <v>19127</v>
      </c>
      <c r="G9838" t="s">
        <v>14</v>
      </c>
      <c r="H9838">
             </c>
      <c r="I9838" t="s">
        <v>14</v>
      </c>
      <c r="J9838" t="s">
        <v>141</v>
      </c>
      <c r="K9838" t="s">
        <v>14</v>
      </c>
      <c r="L9838" t="s">
        <v>20</v>
      </c>
      <c r="M9838" t="s">
        <v>19108</v>
      </c>
      <c r="N9838" t="s">
        <v>14</v>
      </c>
    </row>
    <row r="9839" x14ac:dyDescent="0.25">
      <c r="A9839" t="n">
        <v>24</v>
      </c>
      <c r="B9839" t="s">
        <v>14</v>
      </c>
      <c r="C9839" t="s">
        <v>22</v>
      </c>
      <c r="D9839" s="2" t="s">
        <f>=HYPERLINK("https://main.knesset.gov.il/APPS/legislation/main/bills/2158981", "הצעת חוק הביטוח הלאומי (תיקון - דמי פגיעה לעובד עצמאי), התשפ""א-2021")</f>
        <v>19128</v>
      </c>
      <c r="E9839" t="s">
        <v>19128</v>
      </c>
      <c r="F9839" t="s">
        <v>19129</v>
      </c>
      <c r="G9839" t="s">
        <v>14</v>
      </c>
      <c r="H9839">
             </c>
      <c r="I9839" t="s">
        <v>14</v>
      </c>
      <c r="J9839" t="s">
        <v>141</v>
      </c>
      <c r="K9839" t="s">
        <v>14</v>
      </c>
      <c r="L9839" t="s">
        <v>20</v>
      </c>
      <c r="M9839" t="s">
        <v>19108</v>
      </c>
      <c r="N9839" t="s">
        <v>14</v>
      </c>
    </row>
    <row r="9840" x14ac:dyDescent="0.25">
      <c r="A9840" t="n">
        <v>24</v>
      </c>
      <c r="B9840" t="s">
        <v>14</v>
      </c>
      <c r="C9840" t="s">
        <v>22</v>
      </c>
      <c r="D9840" s="2" t="s">
        <f>=HYPERLINK("https://main.knesset.gov.il/APPS/legislation/main/bills/2161129", "הצעת חוק הספקת החשמל (הוראת שעה) (תיקון - הארכת תוקף), התשפ""א-2021")</f>
        <v>19026</v>
      </c>
      <c r="E9840" t="s">
        <v>19026</v>
      </c>
      <c r="F9840" t="s">
        <v>19130</v>
      </c>
      <c r="G9840" t="s">
        <v>14</v>
      </c>
      <c r="H9840">
             </c>
      <c r="I9840" t="s">
        <v>14</v>
      </c>
      <c r="J9840" t="s">
        <v>141</v>
      </c>
      <c r="K9840" t="s">
        <v>14</v>
      </c>
      <c r="L9840" t="s">
        <v>20</v>
      </c>
      <c r="M9840" t="s">
        <v>19108</v>
      </c>
      <c r="N9840" t="s">
        <v>14</v>
      </c>
    </row>
    <row r="9841" x14ac:dyDescent="0.25">
      <c r="A9841" t="n">
        <v>24</v>
      </c>
      <c r="B9841" t="s">
        <v>14</v>
      </c>
      <c r="C9841" t="s">
        <v>22</v>
      </c>
      <c r="D9841" s="2" t="s">
        <f>=HYPERLINK("https://main.knesset.gov.il/APPS/legislation/main/bills/2161171", "הצעת חוק איסור הפליה במוצרים, בשירותים ובכניסה למקומות בידור ולמקומות ציבוריים (תיקון - איסור הפליה בשל הובלת עגלת ילדים), התשפ""א-2021")</f>
        <v>19131</v>
      </c>
      <c r="E9841" t="s">
        <v>19131</v>
      </c>
      <c r="F9841" t="s">
        <v>19132</v>
      </c>
      <c r="G9841" t="s">
        <v>14</v>
      </c>
      <c r="H9841">
             </c>
      <c r="I9841" t="s">
        <v>14</v>
      </c>
      <c r="J9841" t="s">
        <v>141</v>
      </c>
      <c r="K9841" t="s">
        <v>14</v>
      </c>
      <c r="L9841" t="s">
        <v>20</v>
      </c>
      <c r="M9841" t="s">
        <v>19108</v>
      </c>
      <c r="N9841" t="s">
        <v>14</v>
      </c>
    </row>
    <row r="9842" x14ac:dyDescent="0.25">
      <c r="A9842" t="n">
        <v>24</v>
      </c>
      <c r="B9842" t="s">
        <v>14</v>
      </c>
      <c r="C9842" t="s">
        <v>22</v>
      </c>
      <c r="D9842" s="2" t="s">
        <f>=HYPERLINK("https://main.knesset.gov.il/APPS/legislation/main/bills/2159414", "הצעת חוק חוזה העבודה (הסדרי עבודה מרחוק), התשפ""א-2021")</f>
        <v>19133</v>
      </c>
      <c r="E9842" t="s">
        <v>19133</v>
      </c>
      <c r="F9842" t="s">
        <v>19134</v>
      </c>
      <c r="G9842" t="s">
        <v>14</v>
      </c>
      <c r="H9842">
             </c>
      <c r="I9842" t="s">
        <v>14</v>
      </c>
      <c r="J9842" t="s">
        <v>141</v>
      </c>
      <c r="K9842" t="s">
        <v>14</v>
      </c>
      <c r="L9842" t="s">
        <v>20</v>
      </c>
      <c r="M9842" t="s">
        <v>19108</v>
      </c>
      <c r="N9842" t="s">
        <v>14</v>
      </c>
    </row>
    <row r="9843" x14ac:dyDescent="0.25">
      <c r="A9843" t="n">
        <v>24</v>
      </c>
      <c r="B9843" t="s">
        <v>14</v>
      </c>
      <c r="C9843" t="s">
        <v>22</v>
      </c>
      <c r="D9843" s="2" t="s">
        <f>=HYPERLINK("https://main.knesset.gov.il/APPS/legislation/main/bills/2159860", "הצעת חוק הגבלת השכר בסקטור הציבורי, התשפ""א-2021")</f>
        <v>19135</v>
      </c>
      <c r="E9843" t="s">
        <v>19135</v>
      </c>
      <c r="F9843" t="s">
        <v>19136</v>
      </c>
      <c r="G9843" t="s">
        <v>14</v>
      </c>
      <c r="H9843">
             </c>
      <c r="I9843" t="s">
        <v>14</v>
      </c>
      <c r="J9843" t="s">
        <v>141</v>
      </c>
      <c r="K9843" t="s">
        <v>14</v>
      </c>
      <c r="L9843" t="s">
        <v>20</v>
      </c>
      <c r="M9843" t="s">
        <v>19108</v>
      </c>
      <c r="N9843" t="s">
        <v>14</v>
      </c>
    </row>
    <row r="9844" x14ac:dyDescent="0.25">
      <c r="A9844" t="n">
        <v>24</v>
      </c>
      <c r="B9844" t="s">
        <v>14</v>
      </c>
      <c r="C9844" t="s">
        <v>22</v>
      </c>
      <c r="D9844" s="2" t="s">
        <f>=HYPERLINK("https://main.knesset.gov.il/APPS/legislation/main/bills/2160611", "הצעת חוק שעות עבודה ומנוחה (תיקון - אישור ועדת העבודה, הרווחה והבריאות של הכנסת במתן היתר עבודה מעל 16 שעות), התשפ""א-2021")</f>
        <v>19137</v>
      </c>
      <c r="E9844" t="s">
        <v>19137</v>
      </c>
      <c r="F9844" t="s">
        <v>19138</v>
      </c>
      <c r="G9844" t="s">
        <v>14</v>
      </c>
      <c r="H9844">
             </c>
      <c r="I9844" t="s">
        <v>14</v>
      </c>
      <c r="J9844" t="s">
        <v>141</v>
      </c>
      <c r="K9844" t="s">
        <v>14</v>
      </c>
      <c r="L9844" t="s">
        <v>20</v>
      </c>
      <c r="M9844" t="s">
        <v>19108</v>
      </c>
      <c r="N9844" t="s">
        <v>14</v>
      </c>
    </row>
    <row r="9845" x14ac:dyDescent="0.25">
      <c r="A9845" t="n">
        <v>24</v>
      </c>
      <c r="B9845" t="s">
        <v>14</v>
      </c>
      <c r="C9845" t="s">
        <v>22</v>
      </c>
      <c r="D9845" s="2" t="s">
        <f>=HYPERLINK("https://main.knesset.gov.il/APPS/legislation/main/bills/2159120", "הצעת חוק גמול לחיילים בשירות סדיר, התשפ""א-2021")</f>
        <v>19139</v>
      </c>
      <c r="E9845" t="s">
        <v>19139</v>
      </c>
      <c r="F9845" t="s">
        <v>19140</v>
      </c>
      <c r="G9845" t="s">
        <v>14</v>
      </c>
      <c r="H9845">
             </c>
      <c r="I9845" t="s">
        <v>14</v>
      </c>
      <c r="J9845" t="s">
        <v>141</v>
      </c>
      <c r="K9845" t="s">
        <v>14</v>
      </c>
      <c r="L9845" t="s">
        <v>20</v>
      </c>
      <c r="M9845" t="s">
        <v>19108</v>
      </c>
      <c r="N9845" t="s">
        <v>14</v>
      </c>
    </row>
    <row r="9846" x14ac:dyDescent="0.25">
      <c r="A9846" t="n">
        <v>24</v>
      </c>
      <c r="B9846" t="s">
        <v>14</v>
      </c>
      <c r="C9846" t="s">
        <v>22</v>
      </c>
      <c r="D9846" s="2" t="s">
        <f>=HYPERLINK("https://main.knesset.gov.il/APPS/legislation/main/bills/2160787", "הצעת חוק להרחבת הזכאות לדמי מחלה בהיעדרות בשל מחלת בני משפחה (תיקוני חקיקה), התשפ""א-2021")</f>
        <v>19141</v>
      </c>
      <c r="E9846" t="s">
        <v>19141</v>
      </c>
      <c r="F9846" t="s">
        <v>19142</v>
      </c>
      <c r="G9846" t="s">
        <v>14</v>
      </c>
      <c r="H9846">
             </c>
      <c r="I9846" t="s">
        <v>14</v>
      </c>
      <c r="J9846" t="s">
        <v>141</v>
      </c>
      <c r="K9846" t="s">
        <v>14</v>
      </c>
      <c r="L9846" t="s">
        <v>20</v>
      </c>
      <c r="M9846" t="s">
        <v>19108</v>
      </c>
      <c r="N9846" t="s">
        <v>14</v>
      </c>
    </row>
    <row r="9847" x14ac:dyDescent="0.25">
      <c r="A9847" t="n">
        <v>24</v>
      </c>
      <c r="B9847" t="s">
        <v>14</v>
      </c>
      <c r="C9847" t="s">
        <v>22</v>
      </c>
      <c r="D9847" s="2" t="s">
        <f>=HYPERLINK("https://main.knesset.gov.il/APPS/legislation/main/bills/2158541", "הצעת חוק למניעת אלימות במוסדות למתן טיפול (תיקון - נציבות מניעת אלימות כלפי אנשי צוות במוסדות רפואיים), התשפ""א-¬2021")</f>
        <v>19143</v>
      </c>
      <c r="E9847" t="s">
        <v>19143</v>
      </c>
      <c r="F9847" t="s">
        <v>19144</v>
      </c>
      <c r="G9847" t="s">
        <v>14</v>
      </c>
      <c r="H9847">
             </c>
      <c r="I9847" t="s">
        <v>14</v>
      </c>
      <c r="J9847" t="s">
        <v>141</v>
      </c>
      <c r="K9847" t="s">
        <v>14</v>
      </c>
      <c r="L9847" t="s">
        <v>20</v>
      </c>
      <c r="M9847" t="s">
        <v>19108</v>
      </c>
      <c r="N9847" t="s">
        <v>14</v>
      </c>
    </row>
    <row r="9848" x14ac:dyDescent="0.25">
      <c r="A9848" t="n">
        <v>24</v>
      </c>
      <c r="B9848" t="s">
        <v>14</v>
      </c>
      <c r="C9848" t="s">
        <v>22</v>
      </c>
      <c r="D9848" s="2" t="s">
        <f>=HYPERLINK("https://main.knesset.gov.il/APPS/legislation/main/bills/2160982", "הצעת חוק שכר מינימום לחיילים בשירות סדיר, התשפ""א-2021")</f>
        <v>19145</v>
      </c>
      <c r="E9848" t="s">
        <v>19145</v>
      </c>
      <c r="F9848" t="s">
        <v>19146</v>
      </c>
      <c r="G9848" t="s">
        <v>14</v>
      </c>
      <c r="H9848">
             </c>
      <c r="I9848" t="s">
        <v>14</v>
      </c>
      <c r="J9848" t="s">
        <v>141</v>
      </c>
      <c r="K9848" t="s">
        <v>14</v>
      </c>
      <c r="L9848" t="s">
        <v>20</v>
      </c>
      <c r="M9848" t="s">
        <v>19108</v>
      </c>
      <c r="N9848" t="s">
        <v>14</v>
      </c>
    </row>
    <row r="9849" x14ac:dyDescent="0.25">
      <c r="A9849" t="n">
        <v>24</v>
      </c>
      <c r="B9849" t="s">
        <v>14</v>
      </c>
      <c r="C9849" t="s">
        <v>22</v>
      </c>
      <c r="D9849" s="2" t="s">
        <f>=HYPERLINK("https://main.knesset.gov.il/APPS/legislation/main/bills/2159939", "הצעת חוק איסור הפליה ברישוי מחמת מצב בריאותי (תיקוני חקיקה), התשפ""א-2021")</f>
        <v>19147</v>
      </c>
      <c r="E9849" t="s">
        <v>19147</v>
      </c>
      <c r="F9849" t="s">
        <v>19148</v>
      </c>
      <c r="G9849" t="s">
        <v>14</v>
      </c>
      <c r="H9849">
             </c>
      <c r="I9849" t="s">
        <v>14</v>
      </c>
      <c r="J9849" t="s">
        <v>141</v>
      </c>
      <c r="K9849" t="s">
        <v>14</v>
      </c>
      <c r="L9849" t="s">
        <v>20</v>
      </c>
      <c r="M9849" t="s">
        <v>19108</v>
      </c>
      <c r="N9849" t="s">
        <v>14</v>
      </c>
    </row>
    <row r="9850" x14ac:dyDescent="0.25">
      <c r="A9850" t="n">
        <v>24</v>
      </c>
      <c r="B9850" t="s">
        <v>14</v>
      </c>
      <c r="C9850" t="s">
        <v>22</v>
      </c>
      <c r="D9850" s="2" t="s">
        <f>=HYPERLINK("https://main.knesset.gov.il/APPS/legislation/main/bills/2161119", "הצעת חוק הכנסת (תיקון - ייצוג נשים בקרב יושבי ראש ועדות הכנסת), התשפ""א-2021")</f>
        <v>19149</v>
      </c>
      <c r="E9850" t="s">
        <v>19149</v>
      </c>
      <c r="F9850" t="s">
        <v>19150</v>
      </c>
      <c r="G9850" t="s">
        <v>14</v>
      </c>
      <c r="H9850">
             </c>
      <c r="I9850" t="s">
        <v>14</v>
      </c>
      <c r="J9850" t="s">
        <v>141</v>
      </c>
      <c r="K9850" t="s">
        <v>14</v>
      </c>
      <c r="L9850" t="s">
        <v>20</v>
      </c>
      <c r="M9850" t="s">
        <v>19108</v>
      </c>
      <c r="N9850" t="s">
        <v>14</v>
      </c>
    </row>
    <row r="9851" x14ac:dyDescent="0.25">
      <c r="A9851" t="n">
        <v>24</v>
      </c>
      <c r="B9851" t="s">
        <v>14</v>
      </c>
      <c r="C9851" t="s">
        <v>22</v>
      </c>
      <c r="D9851" s="2" t="s">
        <f>=HYPERLINK("https://main.knesset.gov.il/APPS/legislation/main/bills/2160933", "הצעת חוק הביטוח הלאומי (תיקון - תשלום קצבת נכות למי שזכאי לקצבת אזרח ותיק), התשפ""א-2021")</f>
        <v>19151</v>
      </c>
      <c r="E9851" t="s">
        <v>19151</v>
      </c>
      <c r="F9851" t="s">
        <v>19152</v>
      </c>
      <c r="G9851" t="s">
        <v>14</v>
      </c>
      <c r="H9851">
             </c>
      <c r="I9851" t="s">
        <v>14</v>
      </c>
      <c r="J9851" t="s">
        <v>141</v>
      </c>
      <c r="K9851" t="s">
        <v>14</v>
      </c>
      <c r="L9851" t="s">
        <v>20</v>
      </c>
      <c r="M9851" t="s">
        <v>19108</v>
      </c>
      <c r="N9851" t="s">
        <v>14</v>
      </c>
    </row>
    <row r="9852" x14ac:dyDescent="0.25">
      <c r="A9852" t="n">
        <v>24</v>
      </c>
      <c r="B9852" t="s">
        <v>14</v>
      </c>
      <c r="C9852" t="s">
        <v>22</v>
      </c>
      <c r="D9852" s="2" t="s">
        <f>=HYPERLINK("https://main.knesset.gov.il/APPS/legislation/main/bills/2160840", "הצעת חוק עבודת נשים (תיקון - תקופת לידה והורות לבנות זוג מאותו המין), התשפ""א-2021")</f>
        <v>19153</v>
      </c>
      <c r="E9852" t="s">
        <v>19153</v>
      </c>
      <c r="F9852" t="s">
        <v>19154</v>
      </c>
      <c r="G9852" t="s">
        <v>14</v>
      </c>
      <c r="H9852">
             </c>
      <c r="I9852" t="s">
        <v>14</v>
      </c>
      <c r="J9852" t="s">
        <v>141</v>
      </c>
      <c r="K9852" t="s">
        <v>14</v>
      </c>
      <c r="L9852" t="s">
        <v>20</v>
      </c>
      <c r="M9852" t="s">
        <v>19108</v>
      </c>
      <c r="N9852" t="s">
        <v>14</v>
      </c>
    </row>
    <row r="9853" x14ac:dyDescent="0.25">
      <c r="A9853" t="n">
        <v>24</v>
      </c>
      <c r="B9853" t="s">
        <v>14</v>
      </c>
      <c r="C9853" t="s">
        <v>22</v>
      </c>
      <c r="D9853" s="2" t="s">
        <f>=HYPERLINK("https://main.knesset.gov.il/APPS/legislation/main/bills/2159050", "הצעת חוק הביטוח הלאומי (תיקון - משלוח הודעה בדבר זכאות המבוטח), התשפ""א-2021")</f>
        <v>19155</v>
      </c>
      <c r="E9853" t="s">
        <v>19155</v>
      </c>
      <c r="F9853" t="s">
        <v>19156</v>
      </c>
      <c r="G9853" t="s">
        <v>14</v>
      </c>
      <c r="H9853">
             </c>
      <c r="I9853" t="s">
        <v>14</v>
      </c>
      <c r="J9853" t="s">
        <v>141</v>
      </c>
      <c r="K9853" t="s">
        <v>14</v>
      </c>
      <c r="L9853" t="s">
        <v>20</v>
      </c>
      <c r="M9853" t="s">
        <v>19108</v>
      </c>
      <c r="N9853" t="s">
        <v>14</v>
      </c>
    </row>
    <row r="9854" x14ac:dyDescent="0.25">
      <c r="A9854" t="n">
        <v>24</v>
      </c>
      <c r="B9854" t="s">
        <v>14</v>
      </c>
      <c r="C9854" t="s">
        <v>22</v>
      </c>
      <c r="D9854" s="2" t="s">
        <f>=HYPERLINK("https://main.knesset.gov.il/APPS/legislation/main/bills/2160964", "הצעת חוק עבודת נשים (תיקון - הוספת חלקו של חודש במניין), התשפ""א-2021")</f>
        <v>19157</v>
      </c>
      <c r="E9854" t="s">
        <v>19157</v>
      </c>
      <c r="F9854" t="s">
        <v>19158</v>
      </c>
      <c r="G9854" t="s">
        <v>14</v>
      </c>
      <c r="H9854">
             </c>
      <c r="I9854" t="s">
        <v>14</v>
      </c>
      <c r="J9854" t="s">
        <v>141</v>
      </c>
      <c r="K9854" t="s">
        <v>14</v>
      </c>
      <c r="L9854" t="s">
        <v>20</v>
      </c>
      <c r="M9854" t="s">
        <v>19108</v>
      </c>
      <c r="N9854" t="s">
        <v>14</v>
      </c>
    </row>
    <row r="9855" x14ac:dyDescent="0.25">
      <c r="A9855" t="n">
        <v>24</v>
      </c>
      <c r="B9855" t="s">
        <v>14</v>
      </c>
      <c r="C9855" t="s">
        <v>22</v>
      </c>
      <c r="D9855" s="2" t="s">
        <f>=HYPERLINK("https://main.knesset.gov.il/APPS/legislation/main/bills/2160200", "הצעת חוק הביטוח הלאומי (תיקון - שמירת היריון חלקית), התשפ""א-2021")</f>
        <v>19159</v>
      </c>
      <c r="E9855" t="s">
        <v>19159</v>
      </c>
      <c r="F9855" t="s">
        <v>19160</v>
      </c>
      <c r="G9855" t="s">
        <v>14</v>
      </c>
      <c r="H9855">
             </c>
      <c r="I9855" t="s">
        <v>14</v>
      </c>
      <c r="J9855" t="s">
        <v>141</v>
      </c>
      <c r="K9855" t="s">
        <v>14</v>
      </c>
      <c r="L9855" t="s">
        <v>20</v>
      </c>
      <c r="M9855" t="s">
        <v>19108</v>
      </c>
      <c r="N9855" t="s">
        <v>14</v>
      </c>
    </row>
    <row r="9856" x14ac:dyDescent="0.25">
      <c r="A9856" t="n">
        <v>24</v>
      </c>
      <c r="B9856" t="s">
        <v>14</v>
      </c>
      <c r="C9856" t="s">
        <v>22</v>
      </c>
      <c r="D9856" s="2" t="s">
        <f>=HYPERLINK("https://main.knesset.gov.il/APPS/legislation/main/bills/2160904", "הצעת חוק הסדרת שוק הקנאביס לצריכה עצמית, התשפ""א-2021")</f>
        <v>19161</v>
      </c>
      <c r="E9856" t="s">
        <v>19161</v>
      </c>
      <c r="F9856" t="s">
        <v>19162</v>
      </c>
      <c r="G9856" t="s">
        <v>14</v>
      </c>
      <c r="H9856">
             </c>
      <c r="I9856" t="s">
        <v>14</v>
      </c>
      <c r="J9856" t="s">
        <v>141</v>
      </c>
      <c r="K9856" t="s">
        <v>14</v>
      </c>
      <c r="L9856" t="s">
        <v>20</v>
      </c>
      <c r="M9856" t="s">
        <v>19108</v>
      </c>
      <c r="N9856" t="s">
        <v>14</v>
      </c>
    </row>
    <row r="9857" x14ac:dyDescent="0.25">
      <c r="A9857" t="n">
        <v>24</v>
      </c>
      <c r="B9857" t="s">
        <v>14</v>
      </c>
      <c r="C9857" t="s">
        <v>22</v>
      </c>
      <c r="D9857" s="2" t="s">
        <f>=HYPERLINK("https://main.knesset.gov.il/APPS/legislation/main/bills/2160966", "הצעת חוק עסקאות גופים ציבוריים (תיקון - איסור על התקשרות קבלנית להעסקת עובדים), התשפ""א-2021")</f>
        <v>19163</v>
      </c>
      <c r="E9857" t="s">
        <v>19163</v>
      </c>
      <c r="F9857" t="s">
        <v>19164</v>
      </c>
      <c r="G9857" t="s">
        <v>14</v>
      </c>
      <c r="H9857">
             </c>
      <c r="I9857" t="s">
        <v>14</v>
      </c>
      <c r="J9857" t="s">
        <v>141</v>
      </c>
      <c r="K9857" t="s">
        <v>14</v>
      </c>
      <c r="L9857" t="s">
        <v>20</v>
      </c>
      <c r="M9857" t="s">
        <v>19108</v>
      </c>
      <c r="N9857" t="s">
        <v>14</v>
      </c>
    </row>
    <row r="9858" x14ac:dyDescent="0.25">
      <c r="A9858" t="n">
        <v>24</v>
      </c>
      <c r="B9858" t="s">
        <v>14</v>
      </c>
      <c r="C9858" t="s">
        <v>22</v>
      </c>
      <c r="D9858" s="2" t="s">
        <f>=HYPERLINK("https://main.knesset.gov.il/APPS/legislation/main/bills/2160981", "הצעת חוק הרשויות המקומיות (התאמת תקציב החינוך), התשפ""א-2021")</f>
        <v>19165</v>
      </c>
      <c r="E9858" t="s">
        <v>19165</v>
      </c>
      <c r="F9858" t="s">
        <v>19166</v>
      </c>
      <c r="G9858" t="s">
        <v>14</v>
      </c>
      <c r="H9858">
             </c>
      <c r="I9858" t="s">
        <v>14</v>
      </c>
      <c r="J9858" t="s">
        <v>141</v>
      </c>
      <c r="K9858" t="s">
        <v>14</v>
      </c>
      <c r="L9858" t="s">
        <v>20</v>
      </c>
      <c r="M9858" t="s">
        <v>19108</v>
      </c>
      <c r="N9858" t="s">
        <v>14</v>
      </c>
    </row>
    <row r="9859" x14ac:dyDescent="0.25">
      <c r="A9859" t="n">
        <v>24</v>
      </c>
      <c r="B9859" t="s">
        <v>14</v>
      </c>
      <c r="C9859" t="s">
        <v>22</v>
      </c>
      <c r="D9859" s="2" t="s">
        <f>=HYPERLINK("https://main.knesset.gov.il/APPS/legislation/main/bills/2160289", "הצעת חוק משכן הכנסת, רחבתו ומשמר הכנסת (תיקון - איסור העסקה קבלנית), התשפ""א-2021")</f>
        <v>19167</v>
      </c>
      <c r="E9859" t="s">
        <v>19167</v>
      </c>
      <c r="F9859" t="s">
        <v>19168</v>
      </c>
      <c r="G9859" t="s">
        <v>14</v>
      </c>
      <c r="H9859">
             </c>
      <c r="I9859" t="s">
        <v>14</v>
      </c>
      <c r="J9859" t="s">
        <v>141</v>
      </c>
      <c r="K9859" t="s">
        <v>14</v>
      </c>
      <c r="L9859" t="s">
        <v>20</v>
      </c>
      <c r="M9859" t="s">
        <v>19108</v>
      </c>
      <c r="N9859" t="s">
        <v>14</v>
      </c>
    </row>
    <row r="9860" x14ac:dyDescent="0.25">
      <c r="A9860" t="n">
        <v>24</v>
      </c>
      <c r="B9860" t="s">
        <v>14</v>
      </c>
      <c r="C9860" t="s">
        <v>22</v>
      </c>
      <c r="D9860" s="2" t="s">
        <f>=HYPERLINK("https://main.knesset.gov.il/APPS/legislation/main/bills/2160147", "הצעת חוק השיפוט הצבאי (תיקון - פקודת מעצר), התשפ""א-2021")</f>
        <v>19169</v>
      </c>
      <c r="E9860" t="s">
        <v>19169</v>
      </c>
      <c r="F9860" t="s">
        <v>19170</v>
      </c>
      <c r="G9860" t="s">
        <v>14</v>
      </c>
      <c r="H9860">
             </c>
      <c r="I9860" t="s">
        <v>14</v>
      </c>
      <c r="J9860" t="s">
        <v>343</v>
      </c>
      <c r="K9860" t="s">
        <v>14</v>
      </c>
      <c r="L9860" t="s">
        <v>20</v>
      </c>
      <c r="M9860" t="s">
        <v>19108</v>
      </c>
      <c r="N9860" t="s">
        <v>14</v>
      </c>
    </row>
    <row r="9861" x14ac:dyDescent="0.25">
      <c r="A9861" t="n">
        <v>24</v>
      </c>
      <c r="B9861" t="s">
        <v>14</v>
      </c>
      <c r="C9861" t="s">
        <v>22</v>
      </c>
      <c r="D9861" s="2" t="s">
        <f>=HYPERLINK("https://main.knesset.gov.il/APPS/legislation/main/bills/2160187", "הצעת חוק גיל פרישה (תיקון - העלאת גיל הפרישה לנשים וקביעת צעדים תומכים לנשים בגילאי העבודה), התשפ""א-2021")</f>
        <v>19171</v>
      </c>
      <c r="E9861" t="s">
        <v>19171</v>
      </c>
      <c r="F9861" t="s">
        <v>19172</v>
      </c>
      <c r="G9861" t="s">
        <v>14</v>
      </c>
      <c r="H9861">
             </c>
      <c r="I9861" t="s">
        <v>14</v>
      </c>
      <c r="J9861" t="s">
        <v>141</v>
      </c>
      <c r="K9861" t="s">
        <v>14</v>
      </c>
      <c r="L9861" t="s">
        <v>20</v>
      </c>
      <c r="M9861" t="s">
        <v>19108</v>
      </c>
      <c r="N9861" t="s">
        <v>14</v>
      </c>
    </row>
    <row r="9862" x14ac:dyDescent="0.25">
      <c r="A9862" t="n">
        <v>24</v>
      </c>
      <c r="B9862" t="s">
        <v>14</v>
      </c>
      <c r="C9862" t="s">
        <v>22</v>
      </c>
      <c r="D9862" s="2" t="s">
        <f>=HYPERLINK("https://main.knesset.gov.il/APPS/legislation/main/bills/2159259", "הצעת חוק הסכמים לנשיאת עוברים (אישור הסכם ומעמד היילוד) (תיקון - הרחבת הזכאות להליכי נשיאת עוברים), התשפ""א-2021")</f>
        <v>19173</v>
      </c>
      <c r="E9862" t="s">
        <v>19173</v>
      </c>
      <c r="F9862" t="s">
        <v>19174</v>
      </c>
      <c r="G9862" t="s">
        <v>14</v>
      </c>
      <c r="H9862">
             </c>
      <c r="I9862" t="s">
        <v>14</v>
      </c>
      <c r="J9862" t="s">
        <v>141</v>
      </c>
      <c r="K9862" t="s">
        <v>14</v>
      </c>
      <c r="L9862" t="s">
        <v>20</v>
      </c>
      <c r="M9862" t="s">
        <v>19108</v>
      </c>
      <c r="N9862" t="s">
        <v>14</v>
      </c>
    </row>
    <row r="9863" x14ac:dyDescent="0.25">
      <c r="A9863" t="n">
        <v>24</v>
      </c>
      <c r="B9863" t="s">
        <v>14</v>
      </c>
      <c r="C9863" t="s">
        <v>22</v>
      </c>
      <c r="D9863" s="2" t="s">
        <f>=HYPERLINK("https://main.knesset.gov.il/APPS/legislation/main/bills/2159124", "הצעת חוק גוש מודיעין, התשפ""א-2021")</f>
        <v>19175</v>
      </c>
      <c r="E9863" t="s">
        <v>19175</v>
      </c>
      <c r="F9863" t="s">
        <v>19176</v>
      </c>
      <c r="G9863" t="s">
        <v>14</v>
      </c>
      <c r="H9863">
             </c>
      <c r="I9863" t="s">
        <v>14</v>
      </c>
      <c r="J9863" t="s">
        <v>141</v>
      </c>
      <c r="K9863" t="s">
        <v>14</v>
      </c>
      <c r="L9863" t="s">
        <v>20</v>
      </c>
      <c r="M9863" t="s">
        <v>19108</v>
      </c>
      <c r="N9863" t="s">
        <v>14</v>
      </c>
    </row>
    <row r="9864" x14ac:dyDescent="0.25">
      <c r="A9864" t="n">
        <v>24</v>
      </c>
      <c r="B9864" t="s">
        <v>14</v>
      </c>
      <c r="C9864" t="s">
        <v>22</v>
      </c>
      <c r="D9864" s="2" t="s">
        <f>=HYPERLINK("https://main.knesset.gov.il/APPS/legislation/main/bills/2160307", "הצעת חוק חינוך ממלכתי (תיקון - חובת לימוד ערבית), התשפ""א-2021")</f>
        <v>19177</v>
      </c>
      <c r="E9864" t="s">
        <v>19177</v>
      </c>
      <c r="F9864" t="s">
        <v>19178</v>
      </c>
      <c r="G9864" t="s">
        <v>14</v>
      </c>
      <c r="H9864">
             </c>
      <c r="I9864" t="s">
        <v>14</v>
      </c>
      <c r="J9864" t="s">
        <v>141</v>
      </c>
      <c r="K9864" t="s">
        <v>14</v>
      </c>
      <c r="L9864" t="s">
        <v>20</v>
      </c>
      <c r="M9864" t="s">
        <v>19108</v>
      </c>
      <c r="N9864" t="s">
        <v>14</v>
      </c>
    </row>
    <row r="9865" x14ac:dyDescent="0.25">
      <c r="A9865" t="n">
        <v>24</v>
      </c>
      <c r="B9865" t="s">
        <v>14</v>
      </c>
      <c r="C9865" t="s">
        <v>22</v>
      </c>
      <c r="D9865" s="2" t="s">
        <f>=HYPERLINK("https://main.knesset.gov.il/APPS/legislation/main/bills/2159745", "הצעת חוק ריבונות מעלה אדומים, התשפ""א-2021")</f>
        <v>19179</v>
      </c>
      <c r="E9865" t="s">
        <v>19179</v>
      </c>
      <c r="F9865" t="s">
        <v>19180</v>
      </c>
      <c r="G9865" t="s">
        <v>14</v>
      </c>
      <c r="H9865">
             </c>
      <c r="I9865" t="s">
        <v>14</v>
      </c>
      <c r="J9865" t="s">
        <v>141</v>
      </c>
      <c r="K9865" t="s">
        <v>14</v>
      </c>
      <c r="L9865" t="s">
        <v>20</v>
      </c>
      <c r="M9865" t="s">
        <v>19108</v>
      </c>
      <c r="N9865" t="s">
        <v>14</v>
      </c>
    </row>
    <row r="9866" x14ac:dyDescent="0.25">
      <c r="A9866" t="n">
        <v>24</v>
      </c>
      <c r="B9866" t="s">
        <v>14</v>
      </c>
      <c r="C9866" t="s">
        <v>22</v>
      </c>
      <c r="D9866" s="2" t="s">
        <f>=HYPERLINK("https://main.knesset.gov.il/APPS/legislation/main/bills/2157953", "הצעת חוק חינוך אקלימי, התשפ""א-2021")</f>
        <v>19181</v>
      </c>
      <c r="E9866" t="s">
        <v>19181</v>
      </c>
      <c r="F9866" t="s">
        <v>19182</v>
      </c>
      <c r="G9866" t="s">
        <v>14</v>
      </c>
      <c r="H9866">
             </c>
      <c r="I9866" t="s">
        <v>14</v>
      </c>
      <c r="J9866" t="s">
        <v>141</v>
      </c>
      <c r="K9866" t="s">
        <v>14</v>
      </c>
      <c r="L9866" t="s">
        <v>20</v>
      </c>
      <c r="M9866" t="s">
        <v>19108</v>
      </c>
      <c r="N9866" t="s">
        <v>14</v>
      </c>
    </row>
    <row r="9867" x14ac:dyDescent="0.25">
      <c r="A9867" t="n">
        <v>24</v>
      </c>
      <c r="B9867" t="s">
        <v>14</v>
      </c>
      <c r="C9867" t="s">
        <v>22</v>
      </c>
      <c r="D9867" s="2" t="s">
        <f>=HYPERLINK("https://main.knesset.gov.il/APPS/legislation/main/bills/2160909", "הצעת חוק החלת ריבונות על בקעת הירדן, גוש עציון, גבעת זאב, מעלה אדומים, ביתר עילית ועפרה, התשפ""א-2021")</f>
        <v>19183</v>
      </c>
      <c r="E9867" t="s">
        <v>19183</v>
      </c>
      <c r="F9867" t="s">
        <v>19184</v>
      </c>
      <c r="G9867" t="s">
        <v>14</v>
      </c>
      <c r="H9867">
             </c>
      <c r="I9867" t="s">
        <v>14</v>
      </c>
      <c r="J9867" t="s">
        <v>141</v>
      </c>
      <c r="K9867" t="s">
        <v>14</v>
      </c>
      <c r="L9867" t="s">
        <v>20</v>
      </c>
      <c r="M9867" t="s">
        <v>19108</v>
      </c>
      <c r="N9867" t="s">
        <v>14</v>
      </c>
    </row>
    <row r="9868" x14ac:dyDescent="0.25">
      <c r="A9868" t="n">
        <v>24</v>
      </c>
      <c r="B9868" t="s">
        <v>14</v>
      </c>
      <c r="C9868" t="s">
        <v>22</v>
      </c>
      <c r="D9868" s="2" t="s">
        <f>=HYPERLINK("https://main.knesset.gov.il/APPS/legislation/main/bills/2159751", "הצעת חוק גוש מרכז בנימין, התשפ""א-2021")</f>
        <v>19185</v>
      </c>
      <c r="E9868" t="s">
        <v>19185</v>
      </c>
      <c r="F9868" t="s">
        <v>19186</v>
      </c>
      <c r="G9868" t="s">
        <v>14</v>
      </c>
      <c r="H9868">
             </c>
      <c r="I9868" t="s">
        <v>14</v>
      </c>
      <c r="J9868" t="s">
        <v>141</v>
      </c>
      <c r="K9868" t="s">
        <v>14</v>
      </c>
      <c r="L9868" t="s">
        <v>20</v>
      </c>
      <c r="M9868" t="s">
        <v>19108</v>
      </c>
      <c r="N9868" t="s">
        <v>14</v>
      </c>
    </row>
    <row r="9869" x14ac:dyDescent="0.25">
      <c r="A9869" t="n">
        <v>24</v>
      </c>
      <c r="B9869" t="s">
        <v>14</v>
      </c>
      <c r="C9869" t="s">
        <v>22</v>
      </c>
      <c r="D9869" s="2" t="s">
        <f>=HYPERLINK("https://main.knesset.gov.il/APPS/legislation/main/bills/2159125", "הצעת חוק גוש אריאל, התשפ""א-2021")</f>
        <v>19187</v>
      </c>
      <c r="E9869" t="s">
        <v>19187</v>
      </c>
      <c r="F9869" t="s">
        <v>19188</v>
      </c>
      <c r="G9869" t="s">
        <v>14</v>
      </c>
      <c r="H9869">
             </c>
      <c r="I9869" t="s">
        <v>14</v>
      </c>
      <c r="J9869" t="s">
        <v>141</v>
      </c>
      <c r="K9869" t="s">
        <v>14</v>
      </c>
      <c r="L9869" t="s">
        <v>20</v>
      </c>
      <c r="M9869" t="s">
        <v>19108</v>
      </c>
      <c r="N9869" t="s">
        <v>14</v>
      </c>
    </row>
    <row r="9870" x14ac:dyDescent="0.25">
      <c r="A9870" t="n">
        <v>24</v>
      </c>
      <c r="B9870" t="s">
        <v>14</v>
      </c>
      <c r="C9870" t="s">
        <v>22</v>
      </c>
      <c r="D9870" s="2" t="s">
        <f>=HYPERLINK("https://main.knesset.gov.il/APPS/legislation/main/bills/2159389", "הצעת חוק הדיור הציבורי (זכות לדירה ציבורית), התשפ""א-2021")</f>
        <v>19189</v>
      </c>
      <c r="E9870" t="s">
        <v>19189</v>
      </c>
      <c r="F9870" t="s">
        <v>19190</v>
      </c>
      <c r="G9870" t="s">
        <v>14</v>
      </c>
      <c r="H9870">
             </c>
      <c r="I9870" t="s">
        <v>14</v>
      </c>
      <c r="J9870" t="s">
        <v>141</v>
      </c>
      <c r="K9870" t="s">
        <v>14</v>
      </c>
      <c r="L9870" t="s">
        <v>20</v>
      </c>
      <c r="M9870" t="s">
        <v>19108</v>
      </c>
      <c r="N9870" t="s">
        <v>14</v>
      </c>
    </row>
    <row r="9871" x14ac:dyDescent="0.25">
      <c r="A9871" t="n">
        <v>24</v>
      </c>
      <c r="B9871" t="s">
        <v>14</v>
      </c>
      <c r="C9871" t="s">
        <v>22</v>
      </c>
      <c r="D9871" s="2" t="s">
        <f>=HYPERLINK("https://main.knesset.gov.il/APPS/legislation/main/bills/2159761", "הצעת חוק התאגדות לרכישת קרקע חקלאית, התשפ""א-2021")</f>
        <v>19191</v>
      </c>
      <c r="E9871" t="s">
        <v>19191</v>
      </c>
      <c r="F9871" t="s">
        <v>19192</v>
      </c>
      <c r="G9871" t="s">
        <v>14</v>
      </c>
      <c r="H9871">
             </c>
      <c r="I9871" t="s">
        <v>14</v>
      </c>
      <c r="J9871" t="s">
        <v>141</v>
      </c>
      <c r="K9871" t="s">
        <v>14</v>
      </c>
      <c r="L9871" t="s">
        <v>20</v>
      </c>
      <c r="M9871" t="s">
        <v>19108</v>
      </c>
      <c r="N9871" t="s">
        <v>14</v>
      </c>
    </row>
    <row r="9872" x14ac:dyDescent="0.25">
      <c r="A9872" t="n">
        <v>24</v>
      </c>
      <c r="B9872" t="s">
        <v>14</v>
      </c>
      <c r="C9872" t="s">
        <v>22</v>
      </c>
      <c r="D9872" s="2" t="s">
        <f>=HYPERLINK("https://main.knesset.gov.il/APPS/legislation/main/bills/2159929", "הצעת חוק גוש אריאל, התשפ""א-2021")</f>
        <v>19187</v>
      </c>
      <c r="E9872" t="s">
        <v>19187</v>
      </c>
      <c r="F9872" t="s">
        <v>19193</v>
      </c>
      <c r="G9872" t="s">
        <v>14</v>
      </c>
      <c r="H9872">
             </c>
      <c r="I9872" t="s">
        <v>14</v>
      </c>
      <c r="J9872" t="s">
        <v>141</v>
      </c>
      <c r="K9872" t="s">
        <v>14</v>
      </c>
      <c r="L9872" t="s">
        <v>20</v>
      </c>
      <c r="M9872" t="s">
        <v>19108</v>
      </c>
      <c r="N9872" t="s">
        <v>14</v>
      </c>
    </row>
    <row r="9873" x14ac:dyDescent="0.25">
      <c r="A9873" t="n">
        <v>24</v>
      </c>
      <c r="B9873" t="s">
        <v>14</v>
      </c>
      <c r="C9873" t="s">
        <v>22</v>
      </c>
      <c r="D9873" s="2" t="s">
        <f>=HYPERLINK("https://main.knesset.gov.il/APPS/legislation/main/bills/2160320", "הצעת חוק ראש המטה הכללי של צבא ההגנה לישראל (תקופת כהונה), התשפ""א-2021")</f>
        <v>19194</v>
      </c>
      <c r="E9873" t="s">
        <v>19194</v>
      </c>
      <c r="F9873" t="s">
        <v>19195</v>
      </c>
      <c r="G9873" t="s">
        <v>14</v>
      </c>
      <c r="H9873">
             </c>
      <c r="I9873" t="s">
        <v>14</v>
      </c>
      <c r="J9873" t="s">
        <v>141</v>
      </c>
      <c r="K9873" t="s">
        <v>14</v>
      </c>
      <c r="L9873" t="s">
        <v>20</v>
      </c>
      <c r="M9873" t="s">
        <v>19108</v>
      </c>
      <c r="N9873" t="s">
        <v>14</v>
      </c>
    </row>
    <row r="9874" x14ac:dyDescent="0.25">
      <c r="A9874" t="n">
        <v>24</v>
      </c>
      <c r="B9874" t="s">
        <v>14</v>
      </c>
      <c r="C9874" t="s">
        <v>22</v>
      </c>
      <c r="D9874" s="2" t="s">
        <f>=HYPERLINK("https://main.knesset.gov.il/APPS/legislation/main/bills/2161004", "הצעת חוק לקביעת שעות ההצבעה בקלפיות ולקביעת היקף יום השבתון בבחירות לכנסת ולרשויות המקומיות (תיקוני חקיקה), התשפ""א-2021")</f>
        <v>19196</v>
      </c>
      <c r="E9874" t="s">
        <v>19196</v>
      </c>
      <c r="F9874" t="s">
        <v>19197</v>
      </c>
      <c r="G9874" t="s">
        <v>14</v>
      </c>
      <c r="H9874">
             </c>
      <c r="I9874" t="s">
        <v>14</v>
      </c>
      <c r="J9874" t="s">
        <v>141</v>
      </c>
      <c r="K9874" t="s">
        <v>14</v>
      </c>
      <c r="L9874" t="s">
        <v>20</v>
      </c>
      <c r="M9874" t="s">
        <v>19108</v>
      </c>
      <c r="N9874" t="s">
        <v>14</v>
      </c>
    </row>
    <row r="9875" x14ac:dyDescent="0.25">
      <c r="A9875" t="n">
        <v>24</v>
      </c>
      <c r="B9875" t="s">
        <v>14</v>
      </c>
      <c r="C9875" t="s">
        <v>22</v>
      </c>
      <c r="D9875" s="2" t="s">
        <f>=HYPERLINK("https://main.knesset.gov.il/APPS/legislation/main/bills/2159927", "הצעת חוק מעלה אדומים, התשפ""א-2021")</f>
        <v>19198</v>
      </c>
      <c r="E9875" t="s">
        <v>19198</v>
      </c>
      <c r="F9875" t="s">
        <v>19199</v>
      </c>
      <c r="G9875" t="s">
        <v>14</v>
      </c>
      <c r="H9875">
             </c>
      <c r="I9875" t="s">
        <v>14</v>
      </c>
      <c r="J9875" t="s">
        <v>141</v>
      </c>
      <c r="K9875" t="s">
        <v>14</v>
      </c>
      <c r="L9875" t="s">
        <v>20</v>
      </c>
      <c r="M9875" t="s">
        <v>19108</v>
      </c>
      <c r="N9875" t="s">
        <v>14</v>
      </c>
    </row>
    <row r="9876" x14ac:dyDescent="0.25">
      <c r="A9876" t="n">
        <v>24</v>
      </c>
      <c r="B9876" t="s">
        <v>14</v>
      </c>
      <c r="C9876" t="s">
        <v>22</v>
      </c>
      <c r="D9876" s="2" t="s">
        <f>=HYPERLINK("https://main.knesset.gov.il/APPS/legislation/main/bills/2160567", "הצעת חוק אסדרת שוק הקנאביס בישראל, התשפ""א-2021")</f>
        <v>19200</v>
      </c>
      <c r="E9876" t="s">
        <v>19200</v>
      </c>
      <c r="F9876" t="s">
        <v>19201</v>
      </c>
      <c r="G9876" t="s">
        <v>14</v>
      </c>
      <c r="H9876">
             </c>
      <c r="I9876" t="s">
        <v>14</v>
      </c>
      <c r="J9876" t="s">
        <v>141</v>
      </c>
      <c r="K9876" t="s">
        <v>14</v>
      </c>
      <c r="L9876" t="s">
        <v>20</v>
      </c>
      <c r="M9876" t="s">
        <v>19108</v>
      </c>
      <c r="N9876" t="s">
        <v>14</v>
      </c>
    </row>
    <row r="9877" x14ac:dyDescent="0.25">
      <c r="A9877" t="n">
        <v>24</v>
      </c>
      <c r="B9877" t="s">
        <v>14</v>
      </c>
      <c r="C9877" t="s">
        <v>22</v>
      </c>
      <c r="D9877" s="2" t="s">
        <f>=HYPERLINK("https://main.knesset.gov.il/APPS/legislation/main/bills/2160848", "הצעת חוק עבודת נשים (תיקון - הארכת תקופת לידה והורות בתשלום), התשפ""א-2021")</f>
        <v>19202</v>
      </c>
      <c r="E9877" t="s">
        <v>19202</v>
      </c>
      <c r="F9877" t="s">
        <v>19203</v>
      </c>
      <c r="G9877" t="s">
        <v>14</v>
      </c>
      <c r="H9877">
             </c>
      <c r="I9877" t="s">
        <v>14</v>
      </c>
      <c r="J9877" t="s">
        <v>141</v>
      </c>
      <c r="K9877" t="s">
        <v>14</v>
      </c>
      <c r="L9877" t="s">
        <v>20</v>
      </c>
      <c r="M9877" t="s">
        <v>19108</v>
      </c>
      <c r="N9877" t="s">
        <v>14</v>
      </c>
    </row>
    <row r="9878" x14ac:dyDescent="0.25">
      <c r="A9878" t="n">
        <v>24</v>
      </c>
      <c r="B9878" t="s">
        <v>14</v>
      </c>
      <c r="C9878" t="s">
        <v>22</v>
      </c>
      <c r="D9878" s="2" t="s">
        <f>=HYPERLINK("https://main.knesset.gov.il/APPS/legislation/main/bills/2160650", "הצעת חוק הרשות הלאומית לשעת משבר, התשפ""א-2021")</f>
        <v>19204</v>
      </c>
      <c r="E9878" t="s">
        <v>19204</v>
      </c>
      <c r="F9878" t="s">
        <v>19205</v>
      </c>
      <c r="G9878" t="s">
        <v>14</v>
      </c>
      <c r="H9878">
             </c>
      <c r="I9878" t="s">
        <v>14</v>
      </c>
      <c r="J9878" t="s">
        <v>141</v>
      </c>
      <c r="K9878" t="s">
        <v>14</v>
      </c>
      <c r="L9878" t="s">
        <v>20</v>
      </c>
      <c r="M9878" t="s">
        <v>19108</v>
      </c>
      <c r="N9878" t="s">
        <v>14</v>
      </c>
    </row>
    <row r="9879" x14ac:dyDescent="0.25">
      <c r="A9879" t="n">
        <v>24</v>
      </c>
      <c r="B9879" t="s">
        <v>14</v>
      </c>
      <c r="C9879" t="s">
        <v>22</v>
      </c>
      <c r="D9879" s="2" t="s">
        <f>=HYPERLINK("https://main.knesset.gov.il/APPS/legislation/main/bills/2160910", "הצעת חוק-יסוד: כבוד האדם וחירותו (תיקון - תוקפו של חוק חורג)")</f>
        <v>11944</v>
      </c>
      <c r="E9879" t="s">
        <v>11944</v>
      </c>
      <c r="F9879" t="s">
        <v>19206</v>
      </c>
      <c r="G9879" t="s">
        <v>14</v>
      </c>
      <c r="H9879">
             </c>
      <c r="I9879" t="s">
        <v>14</v>
      </c>
      <c r="J9879" t="s">
        <v>141</v>
      </c>
      <c r="K9879" t="s">
        <v>14</v>
      </c>
      <c r="L9879" t="s">
        <v>20</v>
      </c>
      <c r="M9879" t="s">
        <v>19108</v>
      </c>
      <c r="N9879" t="s">
        <v>14</v>
      </c>
    </row>
    <row r="9880" x14ac:dyDescent="0.25">
      <c r="A9880" t="n">
        <v>24</v>
      </c>
      <c r="B9880" t="s">
        <v>14</v>
      </c>
      <c r="C9880" t="s">
        <v>22</v>
      </c>
      <c r="D9880" s="2" t="s">
        <f>=HYPERLINK("https://main.knesset.gov.il/APPS/legislation/main/bills/2159200", "הצעת חוק הביטוח הלאומי (תיקון - דמי אבטלה לחיילים, מתנדבים ומשרתים בשירות לאומי-אזרחי), התשפ""א-2021")</f>
        <v>19207</v>
      </c>
      <c r="E9880" t="s">
        <v>19207</v>
      </c>
      <c r="F9880" t="s">
        <v>19208</v>
      </c>
      <c r="G9880" t="s">
        <v>14</v>
      </c>
      <c r="H9880">
             </c>
      <c r="I9880" t="s">
        <v>14</v>
      </c>
      <c r="J9880" t="s">
        <v>141</v>
      </c>
      <c r="K9880" t="s">
        <v>14</v>
      </c>
      <c r="L9880" t="s">
        <v>20</v>
      </c>
      <c r="M9880" t="s">
        <v>19108</v>
      </c>
      <c r="N9880" t="s">
        <v>14</v>
      </c>
    </row>
    <row r="9881" x14ac:dyDescent="0.25">
      <c r="A9881" t="n">
        <v>24</v>
      </c>
      <c r="B9881" t="s">
        <v>14</v>
      </c>
      <c r="C9881" t="s">
        <v>22</v>
      </c>
      <c r="D9881" s="2" t="s">
        <f>=HYPERLINK("https://main.knesset.gov.il/APPS/legislation/main/bills/2159205", "הצעת חוק פיקוח ודיווח על עבירות נשק, התשפ""א-2021")</f>
        <v>19209</v>
      </c>
      <c r="E9881" t="s">
        <v>19209</v>
      </c>
      <c r="F9881" t="s">
        <v>19210</v>
      </c>
      <c r="G9881" t="s">
        <v>14</v>
      </c>
      <c r="H9881">
             </c>
      <c r="I9881" t="s">
        <v>14</v>
      </c>
      <c r="J9881" t="s">
        <v>141</v>
      </c>
      <c r="K9881" t="s">
        <v>14</v>
      </c>
      <c r="L9881" t="s">
        <v>20</v>
      </c>
      <c r="M9881" t="s">
        <v>19108</v>
      </c>
      <c r="N9881" t="s">
        <v>14</v>
      </c>
    </row>
    <row r="9882" x14ac:dyDescent="0.25">
      <c r="A9882" t="n">
        <v>24</v>
      </c>
      <c r="B9882" t="s">
        <v>14</v>
      </c>
      <c r="C9882" t="s">
        <v>22</v>
      </c>
      <c r="D9882" s="2" t="s">
        <f>=HYPERLINK("https://main.knesset.gov.il/APPS/legislation/main/bills/2160487", "הצעת חוק הביטוח הלאומי (תיקון - הדרכה בתנועת נוער כעבודה מועדפת), התשפ""א-2021")</f>
        <v>19211</v>
      </c>
      <c r="E9882" t="s">
        <v>19211</v>
      </c>
      <c r="F9882" t="s">
        <v>19212</v>
      </c>
      <c r="G9882" t="s">
        <v>14</v>
      </c>
      <c r="H9882">
             </c>
      <c r="I9882" t="s">
        <v>14</v>
      </c>
      <c r="J9882" t="s">
        <v>141</v>
      </c>
      <c r="K9882" t="s">
        <v>14</v>
      </c>
      <c r="L9882" t="s">
        <v>20</v>
      </c>
      <c r="M9882" t="s">
        <v>19108</v>
      </c>
      <c r="N9882" t="s">
        <v>14</v>
      </c>
    </row>
    <row r="9883" x14ac:dyDescent="0.25">
      <c r="A9883" t="n">
        <v>24</v>
      </c>
      <c r="B9883" t="s">
        <v>14</v>
      </c>
      <c r="C9883" t="s">
        <v>22</v>
      </c>
      <c r="D9883" s="2" t="s">
        <f>=HYPERLINK("https://main.knesset.gov.il/APPS/legislation/main/bills/2160524", "הצעת חוק שירות ביטחון (תיקוני חקיקה), התשפ""א-2021 ")</f>
        <v>19213</v>
      </c>
      <c r="E9883" t="s">
        <v>19213</v>
      </c>
      <c r="F9883" t="s">
        <v>19214</v>
      </c>
      <c r="G9883" t="s">
        <v>14</v>
      </c>
      <c r="H9883">
             </c>
      <c r="I9883" t="s">
        <v>14</v>
      </c>
      <c r="J9883" t="s">
        <v>141</v>
      </c>
      <c r="K9883" t="s">
        <v>14</v>
      </c>
      <c r="L9883" t="s">
        <v>20</v>
      </c>
      <c r="M9883" t="s">
        <v>19108</v>
      </c>
      <c r="N9883" t="s">
        <v>14</v>
      </c>
    </row>
    <row r="9884" x14ac:dyDescent="0.25">
      <c r="A9884" t="n">
        <v>24</v>
      </c>
      <c r="B9884" t="s">
        <v>14</v>
      </c>
      <c r="C9884" t="s">
        <v>22</v>
      </c>
      <c r="D9884" s="2" t="s">
        <f>=HYPERLINK("https://main.knesset.gov.il/APPS/legislation/main/bills/2158705", "הצעת חוק בחינת חלופות מדיניות לא-צבאיות (תיקוני חקיקה), התשפ""א-2021")</f>
        <v>19215</v>
      </c>
      <c r="E9884" t="s">
        <v>19215</v>
      </c>
      <c r="F9884" t="s">
        <v>19216</v>
      </c>
      <c r="G9884" t="s">
        <v>14</v>
      </c>
      <c r="H9884">
             </c>
      <c r="I9884" t="s">
        <v>14</v>
      </c>
      <c r="J9884" t="s">
        <v>141</v>
      </c>
      <c r="K9884" t="s">
        <v>14</v>
      </c>
      <c r="L9884" t="s">
        <v>20</v>
      </c>
      <c r="M9884" t="s">
        <v>19108</v>
      </c>
      <c r="N9884" t="s">
        <v>14</v>
      </c>
    </row>
    <row r="9885" x14ac:dyDescent="0.25">
      <c r="A9885" t="n">
        <v>24</v>
      </c>
      <c r="B9885" t="s">
        <v>14</v>
      </c>
      <c r="C9885" t="s">
        <v>22</v>
      </c>
      <c r="D9885" s="2" t="s">
        <f>=HYPERLINK("https://main.knesset.gov.il/APPS/legislation/main/bills/2161005", "הצעת חוק הנגשת מוקדי פניות חירום באמצעות שיחוח ומסרון, התשפ""א-2021")</f>
        <v>19217</v>
      </c>
      <c r="E9885" t="s">
        <v>19217</v>
      </c>
      <c r="F9885" t="s">
        <v>19218</v>
      </c>
      <c r="G9885" t="s">
        <v>14</v>
      </c>
      <c r="H9885">
             </c>
      <c r="I9885" t="s">
        <v>14</v>
      </c>
      <c r="J9885" t="s">
        <v>141</v>
      </c>
      <c r="K9885" t="s">
        <v>14</v>
      </c>
      <c r="L9885" t="s">
        <v>20</v>
      </c>
      <c r="M9885" t="s">
        <v>19108</v>
      </c>
      <c r="N9885" t="s">
        <v>14</v>
      </c>
    </row>
    <row r="9886" x14ac:dyDescent="0.25">
      <c r="A9886" t="n">
        <v>24</v>
      </c>
      <c r="B9886" t="s">
        <v>14</v>
      </c>
      <c r="C9886" t="s">
        <v>22</v>
      </c>
      <c r="D9886" s="2" t="s">
        <f>=HYPERLINK("https://main.knesset.gov.il/APPS/legislation/main/bills/2159213", "הצעת חוק העמדת רכב לרשות נושאי משרה, התשפ""א-2021")</f>
        <v>19219</v>
      </c>
      <c r="E9886" t="s">
        <v>19219</v>
      </c>
      <c r="F9886" t="s">
        <v>19220</v>
      </c>
      <c r="G9886" t="s">
        <v>14</v>
      </c>
      <c r="H9886">
             </c>
      <c r="I9886" t="s">
        <v>14</v>
      </c>
      <c r="J9886" t="s">
        <v>141</v>
      </c>
      <c r="K9886" t="s">
        <v>14</v>
      </c>
      <c r="L9886" t="s">
        <v>20</v>
      </c>
      <c r="M9886" t="s">
        <v>19108</v>
      </c>
      <c r="N9886" t="s">
        <v>14</v>
      </c>
    </row>
    <row r="9887" x14ac:dyDescent="0.25">
      <c r="A9887" t="n">
        <v>24</v>
      </c>
      <c r="B9887" t="s">
        <v>14</v>
      </c>
      <c r="C9887" t="s">
        <v>22</v>
      </c>
      <c r="D9887" s="2" t="s">
        <f>=HYPERLINK("https://main.knesset.gov.il/APPS/legislation/main/bills/2160938", "הצעת חוק גיל פרישה (תיקון - ביטול גיל פרישת חובה), התשפ""א-2021")</f>
        <v>19221</v>
      </c>
      <c r="E9887" t="s">
        <v>19221</v>
      </c>
      <c r="F9887" t="s">
        <v>19222</v>
      </c>
      <c r="G9887" t="s">
        <v>14</v>
      </c>
      <c r="H9887">
             </c>
      <c r="I9887" t="s">
        <v>14</v>
      </c>
      <c r="J9887" t="s">
        <v>141</v>
      </c>
      <c r="K9887" t="s">
        <v>14</v>
      </c>
      <c r="L9887" t="s">
        <v>20</v>
      </c>
      <c r="M9887" t="s">
        <v>19108</v>
      </c>
      <c r="N9887" t="s">
        <v>14</v>
      </c>
    </row>
    <row r="9888" x14ac:dyDescent="0.25">
      <c r="A9888" t="n">
        <v>24</v>
      </c>
      <c r="B9888" t="s">
        <v>14</v>
      </c>
      <c r="C9888" t="s">
        <v>22</v>
      </c>
      <c r="D9888" s="2" t="s">
        <f>=HYPERLINK("https://main.knesset.gov.il/APPS/legislation/main/bills/2160928", "הצעת חוק ההוצאה לפועל (תיקון - הגבלת עיקול מיטלטליו של קשיש), התשפ""א-2021")</f>
        <v>19223</v>
      </c>
      <c r="E9888" t="s">
        <v>19223</v>
      </c>
      <c r="F9888" t="s">
        <v>19224</v>
      </c>
      <c r="G9888" t="s">
        <v>14</v>
      </c>
      <c r="H9888">
             </c>
      <c r="I9888" t="s">
        <v>14</v>
      </c>
      <c r="J9888" t="s">
        <v>141</v>
      </c>
      <c r="K9888" t="s">
        <v>14</v>
      </c>
      <c r="L9888" t="s">
        <v>20</v>
      </c>
      <c r="M9888" t="s">
        <v>19108</v>
      </c>
      <c r="N9888" t="s">
        <v>14</v>
      </c>
    </row>
    <row r="9889" x14ac:dyDescent="0.25">
      <c r="A9889" t="n">
        <v>24</v>
      </c>
      <c r="B9889" t="s">
        <v>14</v>
      </c>
      <c r="C9889" t="s">
        <v>22</v>
      </c>
      <c r="D9889" s="2" t="s">
        <f>=HYPERLINK("https://main.knesset.gov.il/APPS/legislation/main/bills/2160155", "הצעת חוק יישוב סכסוכי עבודה (תיקון - דין שביתה בתקופת בחירות), התשפ""א-2021")</f>
        <v>19225</v>
      </c>
      <c r="E9889" t="s">
        <v>19225</v>
      </c>
      <c r="F9889" t="s">
        <v>19226</v>
      </c>
      <c r="G9889" t="s">
        <v>14</v>
      </c>
      <c r="H9889">
             </c>
      <c r="I9889" t="s">
        <v>14</v>
      </c>
      <c r="J9889" t="s">
        <v>141</v>
      </c>
      <c r="K9889" t="s">
        <v>14</v>
      </c>
      <c r="L9889" t="s">
        <v>20</v>
      </c>
      <c r="M9889" t="s">
        <v>19108</v>
      </c>
      <c r="N9889" t="s">
        <v>14</v>
      </c>
    </row>
    <row r="9890" x14ac:dyDescent="0.25">
      <c r="A9890" t="n">
        <v>24</v>
      </c>
      <c r="B9890" t="s">
        <v>14</v>
      </c>
      <c r="C9890" t="s">
        <v>22</v>
      </c>
      <c r="D9890" s="2" t="s">
        <f>=HYPERLINK("https://main.knesset.gov.il/APPS/legislation/main/bills/2160773", "הצעת חוק הרשויות המקומיות (בחירת ראש הרשות וסגניו וכהונתם) (תיקון - סגן ראש רשות ברשות מעורבת), התשפ""א-2021")</f>
        <v>19227</v>
      </c>
      <c r="E9890" t="s">
        <v>19227</v>
      </c>
      <c r="F9890" t="s">
        <v>19228</v>
      </c>
      <c r="G9890" t="s">
        <v>14</v>
      </c>
      <c r="H9890">
             </c>
      <c r="I9890" t="s">
        <v>14</v>
      </c>
      <c r="J9890" t="s">
        <v>141</v>
      </c>
      <c r="K9890" t="s">
        <v>14</v>
      </c>
      <c r="L9890" t="s">
        <v>20</v>
      </c>
      <c r="M9890" t="s">
        <v>19108</v>
      </c>
      <c r="N9890" t="s">
        <v>14</v>
      </c>
    </row>
    <row r="9891" x14ac:dyDescent="0.25">
      <c r="A9891" t="n">
        <v>24</v>
      </c>
      <c r="B9891" t="s">
        <v>14</v>
      </c>
      <c r="C9891" t="s">
        <v>22</v>
      </c>
      <c r="D9891" s="2" t="s">
        <f>=HYPERLINK("https://main.knesset.gov.il/APPS/legislation/main/bills/2159126", "הצעת חוק הודעה מוקדמת לפיטורים ולהתפטרות (תיקון - החלה על עובד המועסק ביהודה ושומרון), התשפ""א-2021")</f>
        <v>19229</v>
      </c>
      <c r="E9891" t="s">
        <v>19229</v>
      </c>
      <c r="F9891" t="s">
        <v>19230</v>
      </c>
      <c r="G9891" t="s">
        <v>14</v>
      </c>
      <c r="H9891">
             </c>
      <c r="I9891" t="s">
        <v>14</v>
      </c>
      <c r="J9891" t="s">
        <v>141</v>
      </c>
      <c r="K9891" t="s">
        <v>14</v>
      </c>
      <c r="L9891" t="s">
        <v>20</v>
      </c>
      <c r="M9891" t="s">
        <v>19108</v>
      </c>
      <c r="N9891" t="s">
        <v>14</v>
      </c>
    </row>
    <row r="9892" x14ac:dyDescent="0.25">
      <c r="A9892" t="n">
        <v>24</v>
      </c>
      <c r="B9892" t="s">
        <v>14</v>
      </c>
      <c r="C9892" t="s">
        <v>22</v>
      </c>
      <c r="D9892" s="2" t="s">
        <f>=HYPERLINK("https://main.knesset.gov.il/APPS/legislation/main/bills/2159113", "הצעת חוק זכויות התורמים למדינה, התשפ""א-2021")</f>
        <v>19231</v>
      </c>
      <c r="E9892" t="s">
        <v>19231</v>
      </c>
      <c r="F9892" t="s">
        <v>19232</v>
      </c>
      <c r="G9892" t="s">
        <v>14</v>
      </c>
      <c r="H9892">
             </c>
      <c r="I9892" t="s">
        <v>14</v>
      </c>
      <c r="J9892" t="s">
        <v>141</v>
      </c>
      <c r="K9892" t="s">
        <v>14</v>
      </c>
      <c r="L9892" t="s">
        <v>20</v>
      </c>
      <c r="M9892" t="s">
        <v>19108</v>
      </c>
      <c r="N9892" t="s">
        <v>14</v>
      </c>
    </row>
    <row r="9893" x14ac:dyDescent="0.25">
      <c r="A9893" t="n">
        <v>24</v>
      </c>
      <c r="B9893" t="s">
        <v>14</v>
      </c>
      <c r="C9893" t="s">
        <v>22</v>
      </c>
      <c r="D9893" s="2" t="s">
        <f>=HYPERLINK("https://main.knesset.gov.il/APPS/legislation/main/bills/2160226", "הצעת חוק ההתייעלות הכלכלית (תיקוני חקיקה להשגת יעדי התקציב לשנות התקציב 2015 ו-2016) (תיקון - הארכת התקופה להשלמת הבנייה עקב משבר הקורונה), התשפ""א-2021")</f>
        <v>19233</v>
      </c>
      <c r="E9893" t="s">
        <v>19233</v>
      </c>
      <c r="F9893" t="s">
        <v>19234</v>
      </c>
      <c r="G9893" t="s">
        <v>14</v>
      </c>
      <c r="H9893">
             </c>
      <c r="I9893" t="s">
        <v>14</v>
      </c>
      <c r="J9893" t="s">
        <v>141</v>
      </c>
      <c r="K9893" t="s">
        <v>14</v>
      </c>
      <c r="L9893" t="s">
        <v>20</v>
      </c>
      <c r="M9893" t="s">
        <v>19108</v>
      </c>
      <c r="N9893" t="s">
        <v>14</v>
      </c>
    </row>
    <row r="9894" x14ac:dyDescent="0.25">
      <c r="A9894" t="n">
        <v>24</v>
      </c>
      <c r="B9894" t="s">
        <v>14</v>
      </c>
      <c r="C9894" t="s">
        <v>22</v>
      </c>
      <c r="D9894" s="2" t="s">
        <f>=HYPERLINK("https://main.knesset.gov.il/APPS/legislation/main/bills/2159803", "הצעת חוק סדר הדין הפלילי (סמכויות אכיפה - מעצרים) (תיקון - שחרור ממעצר באין הכרעת דין), התשפ""א-2021")</f>
        <v>19235</v>
      </c>
      <c r="E9894" t="s">
        <v>19235</v>
      </c>
      <c r="F9894" t="s">
        <v>19236</v>
      </c>
      <c r="G9894" t="s">
        <v>14</v>
      </c>
      <c r="H9894">
             </c>
      <c r="I9894" t="s">
        <v>14</v>
      </c>
      <c r="J9894" t="s">
        <v>141</v>
      </c>
      <c r="K9894" t="s">
        <v>14</v>
      </c>
      <c r="L9894" t="s">
        <v>20</v>
      </c>
      <c r="M9894" t="s">
        <v>19108</v>
      </c>
      <c r="N9894" t="s">
        <v>14</v>
      </c>
    </row>
    <row r="9895" x14ac:dyDescent="0.25">
      <c r="A9895" t="n">
        <v>24</v>
      </c>
      <c r="B9895" t="s">
        <v>14</v>
      </c>
      <c r="C9895" t="s">
        <v>22</v>
      </c>
      <c r="D9895" s="2" t="s">
        <f>=HYPERLINK("https://main.knesset.gov.il/APPS/legislation/main/bills/2159688", "הצעת חוק להקמת ועדת חקירה ממלכתית לבדיקת אסון הטביעה בנחל צפית, התשפ""א-2021")</f>
        <v>19237</v>
      </c>
      <c r="E9895" t="s">
        <v>19237</v>
      </c>
      <c r="F9895" t="s">
        <v>19238</v>
      </c>
      <c r="G9895" t="s">
        <v>14</v>
      </c>
      <c r="H9895">
             </c>
      <c r="I9895" t="s">
        <v>14</v>
      </c>
      <c r="J9895" t="s">
        <v>141</v>
      </c>
      <c r="K9895" t="s">
        <v>14</v>
      </c>
      <c r="L9895" t="s">
        <v>20</v>
      </c>
      <c r="M9895" t="s">
        <v>19108</v>
      </c>
      <c r="N9895" t="s">
        <v>14</v>
      </c>
    </row>
    <row r="9896" x14ac:dyDescent="0.25">
      <c r="A9896" t="n">
        <v>24</v>
      </c>
      <c r="B9896" t="s">
        <v>14</v>
      </c>
      <c r="C9896" t="s">
        <v>22</v>
      </c>
      <c r="D9896" s="2" t="s">
        <f>=HYPERLINK("https://main.knesset.gov.il/APPS/legislation/main/bills/2160264", "הצעת חוק האזנת סתר (תיקון - האזנת אחראי לקטין), התשפ""א-2021")</f>
        <v>19239</v>
      </c>
      <c r="E9896" t="s">
        <v>19239</v>
      </c>
      <c r="F9896" t="s">
        <v>19240</v>
      </c>
      <c r="G9896" t="s">
        <v>14</v>
      </c>
      <c r="H9896">
             </c>
      <c r="I9896" t="s">
        <v>14</v>
      </c>
      <c r="J9896" t="s">
        <v>141</v>
      </c>
      <c r="K9896" t="s">
        <v>14</v>
      </c>
      <c r="L9896" t="s">
        <v>20</v>
      </c>
      <c r="M9896" t="s">
        <v>19108</v>
      </c>
      <c r="N9896" t="s">
        <v>14</v>
      </c>
    </row>
    <row r="9897" x14ac:dyDescent="0.25">
      <c r="A9897" t="n">
        <v>24</v>
      </c>
      <c r="B9897" t="s">
        <v>14</v>
      </c>
      <c r="C9897" t="s">
        <v>22</v>
      </c>
      <c r="D9897" s="2" t="s">
        <f>=HYPERLINK("https://main.knesset.gov.il/APPS/legislation/main/bills/2160384", "הצעת חוק הביטוח הלאומי (תיקון - קצבת לידה בשל לידת תאומים), התשפ""א-2021")</f>
        <v>19241</v>
      </c>
      <c r="E9897" t="s">
        <v>19241</v>
      </c>
      <c r="F9897" t="s">
        <v>19242</v>
      </c>
      <c r="G9897" t="s">
        <v>14</v>
      </c>
      <c r="H9897">
             </c>
      <c r="I9897" t="s">
        <v>14</v>
      </c>
      <c r="J9897" t="s">
        <v>141</v>
      </c>
      <c r="K9897" t="s">
        <v>14</v>
      </c>
      <c r="L9897" t="s">
        <v>20</v>
      </c>
      <c r="M9897" t="s">
        <v>19108</v>
      </c>
      <c r="N9897" t="s">
        <v>14</v>
      </c>
    </row>
    <row r="9898" x14ac:dyDescent="0.25">
      <c r="A9898" t="n">
        <v>24</v>
      </c>
      <c r="B9898" t="s">
        <v>14</v>
      </c>
      <c r="C9898" t="s">
        <v>22</v>
      </c>
      <c r="D9898" s="2" t="s">
        <f>=HYPERLINK("https://main.knesset.gov.il/APPS/legislation/main/bills/2161008", "הצעת חוק לתיקון פקודת מס הכנסה (פטור ממס למענק כספי בשל הישג בתחרות ספורט), התשפ""א-2021")</f>
        <v>17702</v>
      </c>
      <c r="E9898" t="s">
        <v>17702</v>
      </c>
      <c r="F9898" t="s">
        <v>19243</v>
      </c>
      <c r="G9898" t="s">
        <v>14</v>
      </c>
      <c r="H9898">
             </c>
      <c r="I9898" t="s">
        <v>14</v>
      </c>
      <c r="J9898" t="s">
        <v>141</v>
      </c>
      <c r="K9898" t="s">
        <v>14</v>
      </c>
      <c r="L9898" t="s">
        <v>20</v>
      </c>
      <c r="M9898" t="s">
        <v>19108</v>
      </c>
      <c r="N9898" t="s">
        <v>14</v>
      </c>
    </row>
    <row r="9899" x14ac:dyDescent="0.25">
      <c r="A9899" t="n">
        <v>24</v>
      </c>
      <c r="B9899" t="s">
        <v>14</v>
      </c>
      <c r="C9899" t="s">
        <v>22</v>
      </c>
      <c r="D9899" s="2" t="s">
        <f>=HYPERLINK("https://main.knesset.gov.il/APPS/legislation/main/bills/2160292", "הצעת חוק הביטוח הלאומי (תיקון - פטור מתשלום דמי ביטוח לאומי עד גיל 21), התשפ""א-2021")</f>
        <v>19244</v>
      </c>
      <c r="E9899" t="s">
        <v>19244</v>
      </c>
      <c r="F9899" t="s">
        <v>19245</v>
      </c>
      <c r="G9899" t="s">
        <v>14</v>
      </c>
      <c r="H9899">
             </c>
      <c r="I9899" t="s">
        <v>14</v>
      </c>
      <c r="J9899" t="s">
        <v>141</v>
      </c>
      <c r="K9899" t="s">
        <v>14</v>
      </c>
      <c r="L9899" t="s">
        <v>20</v>
      </c>
      <c r="M9899" t="s">
        <v>19108</v>
      </c>
      <c r="N9899" t="s">
        <v>14</v>
      </c>
    </row>
    <row r="9900" x14ac:dyDescent="0.25">
      <c r="A9900" t="n">
        <v>24</v>
      </c>
      <c r="B9900" t="s">
        <v>14</v>
      </c>
      <c r="C9900" t="s">
        <v>22</v>
      </c>
      <c r="D9900" s="2" t="s">
        <f>=HYPERLINK("https://main.knesset.gov.il/APPS/legislation/main/bills/2159833", "הצעת חוק הסיוע המשפטי (תיקון - סיוע משפטי לנפגעי אלימות במשפחה), התשפ""א-2021")</f>
        <v>19246</v>
      </c>
      <c r="E9900" t="s">
        <v>19246</v>
      </c>
      <c r="F9900" t="s">
        <v>19247</v>
      </c>
      <c r="G9900" t="s">
        <v>14</v>
      </c>
      <c r="H9900">
             </c>
      <c r="I9900" t="s">
        <v>14</v>
      </c>
      <c r="J9900" t="s">
        <v>141</v>
      </c>
      <c r="K9900" t="s">
        <v>14</v>
      </c>
      <c r="L9900" t="s">
        <v>20</v>
      </c>
      <c r="M9900" t="s">
        <v>19108</v>
      </c>
      <c r="N9900" t="s">
        <v>14</v>
      </c>
    </row>
    <row r="9901" x14ac:dyDescent="0.25">
      <c r="A9901" t="n">
        <v>24</v>
      </c>
      <c r="B9901" t="s">
        <v>14</v>
      </c>
      <c r="C9901" t="s">
        <v>22</v>
      </c>
      <c r="D9901" s="2" t="s">
        <f>=HYPERLINK("https://main.knesset.gov.il/APPS/legislation/main/bills/2159197", "הצעת חוק שירות המילואים (תיקון - הפחתת שיעור המס שחל על תגמולים למשרתי מילואים), התשפ""א-2021")</f>
        <v>19248</v>
      </c>
      <c r="E9901" t="s">
        <v>19248</v>
      </c>
      <c r="F9901" t="s">
        <v>19249</v>
      </c>
      <c r="G9901" t="s">
        <v>14</v>
      </c>
      <c r="H9901">
             </c>
      <c r="I9901" t="s">
        <v>14</v>
      </c>
      <c r="J9901" t="s">
        <v>141</v>
      </c>
      <c r="K9901" t="s">
        <v>14</v>
      </c>
      <c r="L9901" t="s">
        <v>20</v>
      </c>
      <c r="M9901" t="s">
        <v>19108</v>
      </c>
      <c r="N9901" t="s">
        <v>14</v>
      </c>
    </row>
    <row r="9902" x14ac:dyDescent="0.25">
      <c r="A9902" t="n">
        <v>24</v>
      </c>
      <c r="B9902" t="s">
        <v>14</v>
      </c>
      <c r="C9902" t="s">
        <v>22</v>
      </c>
      <c r="D9902" s="2" t="s">
        <f>=HYPERLINK("https://main.knesset.gov.il/APPS/legislation/main/bills/2159199", "הצעת חוק לתיקון פקודת מס הכנסה (הכרה בניכוי הפקדות לביטוח סיעודי), התשפ""א-2021")</f>
        <v>19250</v>
      </c>
      <c r="E9902" t="s">
        <v>19250</v>
      </c>
      <c r="F9902" t="s">
        <v>19251</v>
      </c>
      <c r="G9902" t="s">
        <v>14</v>
      </c>
      <c r="H9902">
             </c>
      <c r="I9902" t="s">
        <v>14</v>
      </c>
      <c r="J9902" t="s">
        <v>141</v>
      </c>
      <c r="K9902" t="s">
        <v>14</v>
      </c>
      <c r="L9902" t="s">
        <v>20</v>
      </c>
      <c r="M9902" t="s">
        <v>19108</v>
      </c>
      <c r="N9902" t="s">
        <v>14</v>
      </c>
    </row>
    <row r="9903" x14ac:dyDescent="0.25">
      <c r="A9903" t="n">
        <v>24</v>
      </c>
      <c r="B9903" t="s">
        <v>14</v>
      </c>
      <c r="C9903" t="s">
        <v>22</v>
      </c>
      <c r="D9903" s="2" t="s">
        <f>=HYPERLINK("https://main.knesset.gov.il/APPS/legislation/main/bills/2161000", "הצעת חוק רישוי עסקים (תיקון - מכירת יין בחנות גדולה), התשפ""א-2021")</f>
        <v>19252</v>
      </c>
      <c r="E9903" t="s">
        <v>19252</v>
      </c>
      <c r="F9903" t="s">
        <v>19253</v>
      </c>
      <c r="G9903" t="s">
        <v>14</v>
      </c>
      <c r="H9903">
             </c>
      <c r="I9903" t="s">
        <v>14</v>
      </c>
      <c r="J9903" t="s">
        <v>141</v>
      </c>
      <c r="K9903" t="s">
        <v>14</v>
      </c>
      <c r="L9903" t="s">
        <v>20</v>
      </c>
      <c r="M9903" t="s">
        <v>19108</v>
      </c>
      <c r="N9903" t="s">
        <v>14</v>
      </c>
    </row>
    <row r="9904" x14ac:dyDescent="0.25">
      <c r="A9904" t="n">
        <v>24</v>
      </c>
      <c r="B9904" t="s">
        <v>14</v>
      </c>
      <c r="C9904" t="s">
        <v>22</v>
      </c>
      <c r="D9904" s="2" t="s">
        <f>=HYPERLINK("https://main.knesset.gov.il/APPS/legislation/main/bills/2159097", "הצעת חוק שעות עבודה ומנוחה (תיקון - שבוע עבודה בן חמישה ימים וקביעת יום ראשון כיום חופשי), התשפ""א-2021")</f>
        <v>19254</v>
      </c>
      <c r="E9904" t="s">
        <v>19254</v>
      </c>
      <c r="F9904" t="s">
        <v>19255</v>
      </c>
      <c r="G9904" t="s">
        <v>14</v>
      </c>
      <c r="H9904">
             </c>
      <c r="I9904" t="s">
        <v>14</v>
      </c>
      <c r="J9904" t="s">
        <v>141</v>
      </c>
      <c r="K9904" t="s">
        <v>14</v>
      </c>
      <c r="L9904" t="s">
        <v>20</v>
      </c>
      <c r="M9904" t="s">
        <v>19108</v>
      </c>
      <c r="N9904" t="s">
        <v>14</v>
      </c>
    </row>
    <row r="9905" x14ac:dyDescent="0.25">
      <c r="A9905" t="n">
        <v>24</v>
      </c>
      <c r="B9905" t="s">
        <v>14</v>
      </c>
      <c r="C9905" t="s">
        <v>22</v>
      </c>
      <c r="D9905" s="2" t="s">
        <f>=HYPERLINK("https://main.knesset.gov.il/APPS/legislation/main/bills/2161010", "הצעת חוק שירותי הדת היהודיים (תיקון - דין משמעתי לרבני ערים), התשפ""א-2021")</f>
        <v>19256</v>
      </c>
      <c r="E9905" t="s">
        <v>19256</v>
      </c>
      <c r="F9905" t="s">
        <v>19257</v>
      </c>
      <c r="G9905" t="s">
        <v>14</v>
      </c>
      <c r="H9905">
             </c>
      <c r="I9905" t="s">
        <v>14</v>
      </c>
      <c r="J9905" t="s">
        <v>141</v>
      </c>
      <c r="K9905" t="s">
        <v>14</v>
      </c>
      <c r="L9905" t="s">
        <v>20</v>
      </c>
      <c r="M9905" t="s">
        <v>19108</v>
      </c>
      <c r="N9905" t="s">
        <v>14</v>
      </c>
    </row>
    <row r="9906" x14ac:dyDescent="0.25">
      <c r="A9906" t="n">
        <v>24</v>
      </c>
      <c r="B9906" t="s">
        <v>14</v>
      </c>
      <c r="C9906" t="s">
        <v>22</v>
      </c>
      <c r="D9906" s="2" t="s">
        <f>=HYPERLINK("https://main.knesset.gov.il/APPS/legislation/main/bills/2160069", "הצעת חוק הביטוח הלאומי (תיקון - הגדלת קצבת אזרח ותיק לשבעים אחוז משכר המינימום), התשפ""א-2021")</f>
        <v>19258</v>
      </c>
      <c r="E9906" t="s">
        <v>19258</v>
      </c>
      <c r="F9906" t="s">
        <v>19259</v>
      </c>
      <c r="G9906" t="s">
        <v>14</v>
      </c>
      <c r="H9906">
             </c>
      <c r="I9906" t="s">
        <v>14</v>
      </c>
      <c r="J9906" t="s">
        <v>141</v>
      </c>
      <c r="K9906" t="s">
        <v>14</v>
      </c>
      <c r="L9906" t="s">
        <v>20</v>
      </c>
      <c r="M9906" t="s">
        <v>19108</v>
      </c>
      <c r="N9906" t="s">
        <v>14</v>
      </c>
    </row>
    <row r="9907" x14ac:dyDescent="0.25">
      <c r="A9907" t="n">
        <v>24</v>
      </c>
      <c r="B9907" t="s">
        <v>14</v>
      </c>
      <c r="C9907" t="s">
        <v>22</v>
      </c>
      <c r="D9907" s="2" t="s">
        <f>=HYPERLINK("https://main.knesset.gov.il/APPS/legislation/main/bills/2159107", "הצעת חוק כליאתם של אסירים נדרשים, התשפ""א-2021")</f>
        <v>19260</v>
      </c>
      <c r="E9907" t="s">
        <v>19260</v>
      </c>
      <c r="F9907" t="s">
        <v>19261</v>
      </c>
      <c r="G9907" t="s">
        <v>14</v>
      </c>
      <c r="H9907">
             </c>
      <c r="I9907" t="s">
        <v>14</v>
      </c>
      <c r="J9907" t="s">
        <v>141</v>
      </c>
      <c r="K9907" t="s">
        <v>14</v>
      </c>
      <c r="L9907" t="s">
        <v>20</v>
      </c>
      <c r="M9907" t="s">
        <v>19108</v>
      </c>
      <c r="N9907" t="s">
        <v>14</v>
      </c>
    </row>
    <row r="9908" x14ac:dyDescent="0.25">
      <c r="A9908" t="n">
        <v>24</v>
      </c>
      <c r="B9908" t="s">
        <v>14</v>
      </c>
      <c r="C9908" t="s">
        <v>22</v>
      </c>
      <c r="D9908" s="2" t="s">
        <f>=HYPERLINK("https://main.knesset.gov.il/APPS/legislation/main/bills/2160978", "הצעת חוק חינוך פיננסי, התשפ""א-2021")</f>
        <v>19262</v>
      </c>
      <c r="E9908" t="s">
        <v>19262</v>
      </c>
      <c r="F9908" t="s">
        <v>19263</v>
      </c>
      <c r="G9908" t="s">
        <v>14</v>
      </c>
      <c r="H9908">
             </c>
      <c r="I9908" t="s">
        <v>14</v>
      </c>
      <c r="J9908" t="s">
        <v>141</v>
      </c>
      <c r="K9908" t="s">
        <v>14</v>
      </c>
      <c r="L9908" t="s">
        <v>20</v>
      </c>
      <c r="M9908" t="s">
        <v>19108</v>
      </c>
      <c r="N9908" t="s">
        <v>14</v>
      </c>
    </row>
    <row r="9909" x14ac:dyDescent="0.25">
      <c r="A9909" t="n">
        <v>24</v>
      </c>
      <c r="B9909" t="s">
        <v>14</v>
      </c>
      <c r="C9909" t="s">
        <v>22</v>
      </c>
      <c r="D9909" s="2" t="s">
        <f>=HYPERLINK("https://main.knesset.gov.il/APPS/legislation/main/bills/2159052", "הצעת חוק הביטוח הלאומי (תיקון - ייעוד מענק אשפוז בשל לידת פג למחלקת פגים בלבד), התשפ""א-2021")</f>
        <v>19264</v>
      </c>
      <c r="E9909" t="s">
        <v>19264</v>
      </c>
      <c r="F9909" t="s">
        <v>19265</v>
      </c>
      <c r="G9909" t="s">
        <v>14</v>
      </c>
      <c r="H9909">
             </c>
      <c r="I9909" t="s">
        <v>14</v>
      </c>
      <c r="J9909" t="s">
        <v>141</v>
      </c>
      <c r="K9909" t="s">
        <v>14</v>
      </c>
      <c r="L9909" t="s">
        <v>20</v>
      </c>
      <c r="M9909" t="s">
        <v>19108</v>
      </c>
      <c r="N9909" t="s">
        <v>14</v>
      </c>
    </row>
    <row r="9910" x14ac:dyDescent="0.25">
      <c r="A9910" t="n">
        <v>24</v>
      </c>
      <c r="B9910" t="s">
        <v>14</v>
      </c>
      <c r="C9910" t="s">
        <v>22</v>
      </c>
      <c r="D9910" s="2" t="s">
        <f>=HYPERLINK("https://main.knesset.gov.il/APPS/legislation/main/bills/2160649", "הצעת חוק איסור הפליה במוצרים, בשירותים ובכניסה למקומות בידור ולמקומות ציבוריים (תיקון - הפליה מחמת מראה והתניית רישיון עסק באיסור הפליה), התשפ""א-2021")</f>
        <v>19266</v>
      </c>
      <c r="E9910" t="s">
        <v>19266</v>
      </c>
      <c r="F9910" t="s">
        <v>19267</v>
      </c>
      <c r="G9910" t="s">
        <v>14</v>
      </c>
      <c r="H9910">
             </c>
      <c r="I9910" t="s">
        <v>14</v>
      </c>
      <c r="J9910" t="s">
        <v>141</v>
      </c>
      <c r="K9910" t="s">
        <v>14</v>
      </c>
      <c r="L9910" t="s">
        <v>20</v>
      </c>
      <c r="M9910" t="s">
        <v>19108</v>
      </c>
      <c r="N9910" t="s">
        <v>14</v>
      </c>
    </row>
    <row r="9911" x14ac:dyDescent="0.25">
      <c r="A9911" t="n">
        <v>24</v>
      </c>
      <c r="B9911" t="s">
        <v>14</v>
      </c>
      <c r="C9911" t="s">
        <v>22</v>
      </c>
      <c r="D9911" s="2" t="s">
        <f>=HYPERLINK("https://main.knesset.gov.il/APPS/legislation/main/bills/2160881", "הצעת חוק המים (תיקון - מתן הנחות בתעריפי מים לאוכלוסיות נזקקות), התשפ""א-2021")</f>
        <v>19268</v>
      </c>
      <c r="E9911" t="s">
        <v>19268</v>
      </c>
      <c r="F9911" t="s">
        <v>19269</v>
      </c>
      <c r="G9911" t="s">
        <v>14</v>
      </c>
      <c r="H9911">
             </c>
      <c r="I9911" t="s">
        <v>14</v>
      </c>
      <c r="J9911" t="s">
        <v>141</v>
      </c>
      <c r="K9911" t="s">
        <v>14</v>
      </c>
      <c r="L9911" t="s">
        <v>20</v>
      </c>
      <c r="M9911" t="s">
        <v>19108</v>
      </c>
      <c r="N9911" t="s">
        <v>14</v>
      </c>
    </row>
    <row r="9912" x14ac:dyDescent="0.25">
      <c r="A9912" t="n">
        <v>24</v>
      </c>
      <c r="B9912" t="s">
        <v>14</v>
      </c>
      <c r="C9912" t="s">
        <v>22</v>
      </c>
      <c r="D9912" s="2" t="s">
        <f>=HYPERLINK("https://main.knesset.gov.il/APPS/legislation/main/bills/2160236", "הצעת חוק לביטול ההתיישנות בעבירות מין (תיקוני חקיקה), התשפ""א-2021")</f>
        <v>19270</v>
      </c>
      <c r="E9912" t="s">
        <v>19270</v>
      </c>
      <c r="F9912" t="s">
        <v>19271</v>
      </c>
      <c r="G9912" t="s">
        <v>14</v>
      </c>
      <c r="H9912">
             </c>
      <c r="I9912" t="s">
        <v>14</v>
      </c>
      <c r="J9912" t="s">
        <v>141</v>
      </c>
      <c r="K9912" t="s">
        <v>14</v>
      </c>
      <c r="L9912" t="s">
        <v>20</v>
      </c>
      <c r="M9912" t="s">
        <v>19108</v>
      </c>
      <c r="N9912" t="s">
        <v>14</v>
      </c>
    </row>
    <row r="9913" x14ac:dyDescent="0.25">
      <c r="A9913" t="n">
        <v>24</v>
      </c>
      <c r="B9913" t="s">
        <v>14</v>
      </c>
      <c r="C9913" t="s">
        <v>22</v>
      </c>
      <c r="D9913" s="2" t="s">
        <f>=HYPERLINK("https://main.knesset.gov.il/APPS/legislation/main/bills/2160648", "הצעת חוק לתיקון פקודת התעבורה (הסדרי תנועה בקרבת בית ספר), התשפ""א-2021 ")</f>
        <v>19272</v>
      </c>
      <c r="E9913" t="s">
        <v>19272</v>
      </c>
      <c r="F9913" t="s">
        <v>19273</v>
      </c>
      <c r="G9913" t="s">
        <v>14</v>
      </c>
      <c r="H9913">
             </c>
      <c r="I9913" t="s">
        <v>14</v>
      </c>
      <c r="J9913" t="s">
        <v>141</v>
      </c>
      <c r="K9913" t="s">
        <v>14</v>
      </c>
      <c r="L9913" t="s">
        <v>20</v>
      </c>
      <c r="M9913" t="s">
        <v>19108</v>
      </c>
      <c r="N9913" t="s">
        <v>14</v>
      </c>
    </row>
    <row r="9914" x14ac:dyDescent="0.25">
      <c r="A9914" t="n">
        <v>24</v>
      </c>
      <c r="B9914" t="s">
        <v>14</v>
      </c>
      <c r="C9914" t="s">
        <v>22</v>
      </c>
      <c r="D9914" s="2" t="s">
        <f>=HYPERLINK("https://main.knesset.gov.il/APPS/legislation/main/bills/2160947", "הצעת חוק התכנון והבנייה (תיקון - חובת הקמת מערכת סולארית לייצור חשמל במבנים), התשפ""א-2021")</f>
        <v>19274</v>
      </c>
      <c r="E9914" t="s">
        <v>19274</v>
      </c>
      <c r="F9914" t="s">
        <v>19275</v>
      </c>
      <c r="G9914" t="s">
        <v>14</v>
      </c>
      <c r="H9914">
             </c>
      <c r="I9914" t="s">
        <v>14</v>
      </c>
      <c r="J9914" t="s">
        <v>141</v>
      </c>
      <c r="K9914" t="s">
        <v>14</v>
      </c>
      <c r="L9914" t="s">
        <v>20</v>
      </c>
      <c r="M9914" t="s">
        <v>19108</v>
      </c>
      <c r="N9914" t="s">
        <v>14</v>
      </c>
    </row>
    <row r="9915" x14ac:dyDescent="0.25">
      <c r="A9915" t="n">
        <v>24</v>
      </c>
      <c r="B9915" t="s">
        <v>14</v>
      </c>
      <c r="C9915" t="s">
        <v>22</v>
      </c>
      <c r="D9915" s="2" t="s">
        <f>=HYPERLINK("https://main.knesset.gov.il/APPS/legislation/main/bills/2160643", "הצעת חוק לתיקון פקודת התעבורה (שמירת מרחק בעת עקיפת רוכבי אופניים), התשפ""א-2021")</f>
        <v>19276</v>
      </c>
      <c r="E9915" t="s">
        <v>19276</v>
      </c>
      <c r="F9915" t="s">
        <v>19277</v>
      </c>
      <c r="G9915" t="s">
        <v>14</v>
      </c>
      <c r="H9915">
             </c>
      <c r="I9915" t="s">
        <v>14</v>
      </c>
      <c r="J9915" t="s">
        <v>141</v>
      </c>
      <c r="K9915" t="s">
        <v>14</v>
      </c>
      <c r="L9915" t="s">
        <v>20</v>
      </c>
      <c r="M9915" t="s">
        <v>19108</v>
      </c>
      <c r="N9915" t="s">
        <v>14</v>
      </c>
    </row>
    <row r="9916" x14ac:dyDescent="0.25">
      <c r="A9916" t="n">
        <v>24</v>
      </c>
      <c r="B9916" t="s">
        <v>14</v>
      </c>
      <c r="C9916" t="s">
        <v>22</v>
      </c>
      <c r="D9916" s="2" t="s">
        <f>=HYPERLINK("https://main.knesset.gov.il/APPS/legislation/main/bills/2160612", "הצעת חוק שעות עבודה ומנוחה (תיקון - הגבלת שעות העסקה של מתמחה ברפואה), התשפ""א-2021")</f>
        <v>19278</v>
      </c>
      <c r="E9916" t="s">
        <v>19278</v>
      </c>
      <c r="F9916" t="s">
        <v>19279</v>
      </c>
      <c r="G9916" t="s">
        <v>14</v>
      </c>
      <c r="H9916">
             </c>
      <c r="I9916" t="s">
        <v>14</v>
      </c>
      <c r="J9916" t="s">
        <v>141</v>
      </c>
      <c r="K9916" t="s">
        <v>14</v>
      </c>
      <c r="L9916" t="s">
        <v>20</v>
      </c>
      <c r="M9916" t="s">
        <v>19108</v>
      </c>
      <c r="N9916" t="s">
        <v>14</v>
      </c>
    </row>
    <row r="9917" x14ac:dyDescent="0.25">
      <c r="A9917" t="n">
        <v>24</v>
      </c>
      <c r="B9917" t="s">
        <v>14</v>
      </c>
      <c r="C9917" t="s">
        <v>22</v>
      </c>
      <c r="D9917" s="2" t="s">
        <f>=HYPERLINK("https://main.knesset.gov.il/APPS/legislation/main/bills/2160642", "הצעת חוק לתיקון פקודת התעבורה (הוראות לעניין סככות המתנה בתחנות אוטובוס), התשפ""א-2021")</f>
        <v>19001</v>
      </c>
      <c r="E9917" t="s">
        <v>19001</v>
      </c>
      <c r="F9917" t="s">
        <v>19280</v>
      </c>
      <c r="G9917" t="s">
        <v>14</v>
      </c>
      <c r="H9917">
             </c>
      <c r="I9917" t="s">
        <v>14</v>
      </c>
      <c r="J9917" t="s">
        <v>141</v>
      </c>
      <c r="K9917" t="s">
        <v>14</v>
      </c>
      <c r="L9917" t="s">
        <v>20</v>
      </c>
      <c r="M9917" t="s">
        <v>19108</v>
      </c>
      <c r="N9917" t="s">
        <v>14</v>
      </c>
    </row>
    <row r="9918" x14ac:dyDescent="0.25">
      <c r="A9918" t="n">
        <v>24</v>
      </c>
      <c r="B9918" t="s">
        <v>14</v>
      </c>
      <c r="C9918" t="s">
        <v>22</v>
      </c>
      <c r="D9918" s="2" t="s">
        <f>=HYPERLINK("https://main.knesset.gov.il/APPS/legislation/main/bills/2160485", "הצעת חוק מתן שירות לציבור בגופים ציבוריים בשעות אחר הצהריים, התשפ""א-2021")</f>
        <v>19281</v>
      </c>
      <c r="E9918" t="s">
        <v>19281</v>
      </c>
      <c r="F9918" t="s">
        <v>19282</v>
      </c>
      <c r="G9918" t="s">
        <v>14</v>
      </c>
      <c r="H9918">
             </c>
      <c r="I9918" t="s">
        <v>14</v>
      </c>
      <c r="J9918" t="s">
        <v>141</v>
      </c>
      <c r="K9918" t="s">
        <v>14</v>
      </c>
      <c r="L9918" t="s">
        <v>20</v>
      </c>
      <c r="M9918" t="s">
        <v>19108</v>
      </c>
      <c r="N9918" t="s">
        <v>14</v>
      </c>
    </row>
    <row r="9919" x14ac:dyDescent="0.25">
      <c r="A9919" t="n">
        <v>24</v>
      </c>
      <c r="B9919" t="s">
        <v>14</v>
      </c>
      <c r="C9919" t="s">
        <v>22</v>
      </c>
      <c r="D9919" s="2" t="s">
        <f>=HYPERLINK("https://main.knesset.gov.il/APPS/legislation/main/bills/2160624", "הצעת חוק איסור טיפול המרה לקטין, התשפ""א-2021")</f>
        <v>19283</v>
      </c>
      <c r="E9919" t="s">
        <v>19283</v>
      </c>
      <c r="F9919" t="s">
        <v>19284</v>
      </c>
      <c r="G9919" t="s">
        <v>14</v>
      </c>
      <c r="H9919">
             </c>
      <c r="I9919" t="s">
        <v>14</v>
      </c>
      <c r="J9919" t="s">
        <v>141</v>
      </c>
      <c r="K9919" t="s">
        <v>14</v>
      </c>
      <c r="L9919" t="s">
        <v>20</v>
      </c>
      <c r="M9919" t="s">
        <v>19108</v>
      </c>
      <c r="N9919" t="s">
        <v>14</v>
      </c>
    </row>
    <row r="9920" x14ac:dyDescent="0.25">
      <c r="A9920" t="n">
        <v>24</v>
      </c>
      <c r="B9920" t="s">
        <v>14</v>
      </c>
      <c r="C9920" t="s">
        <v>22</v>
      </c>
      <c r="D9920" s="2" t="s">
        <f>=HYPERLINK("https://main.knesset.gov.il/APPS/legislation/main/bills/2159763", "הצעת חוק הביטוח הלאומי (תיקון - מועד לתביעת גמלת כסף והתקופה שבעדה תשולם), התשפ""א-2021 ")</f>
        <v>19285</v>
      </c>
      <c r="E9920" t="s">
        <v>19285</v>
      </c>
      <c r="F9920" t="s">
        <v>19286</v>
      </c>
      <c r="G9920" t="s">
        <v>14</v>
      </c>
      <c r="H9920">
             </c>
      <c r="I9920" t="s">
        <v>14</v>
      </c>
      <c r="J9920" t="s">
        <v>141</v>
      </c>
      <c r="K9920" t="s">
        <v>14</v>
      </c>
      <c r="L9920" t="s">
        <v>20</v>
      </c>
      <c r="M9920" t="s">
        <v>19108</v>
      </c>
      <c r="N9920" t="s">
        <v>14</v>
      </c>
    </row>
    <row r="9921" x14ac:dyDescent="0.25">
      <c r="A9921" t="n">
        <v>24</v>
      </c>
      <c r="B9921" t="s">
        <v>14</v>
      </c>
      <c r="C9921" t="s">
        <v>22</v>
      </c>
      <c r="D9921" s="2" t="s">
        <f>=HYPERLINK("https://main.knesset.gov.il/APPS/legislation/main/bills/2159930", "הצעת גוש מערב השומרון, התשפ""א-2021")</f>
        <v>19287</v>
      </c>
      <c r="E9921" t="s">
        <v>19287</v>
      </c>
      <c r="F9921" t="s">
        <v>19288</v>
      </c>
      <c r="G9921" t="s">
        <v>14</v>
      </c>
      <c r="H9921">
             </c>
      <c r="I9921" t="s">
        <v>14</v>
      </c>
      <c r="J9921" t="s">
        <v>141</v>
      </c>
      <c r="K9921" t="s">
        <v>14</v>
      </c>
      <c r="L9921" t="s">
        <v>20</v>
      </c>
      <c r="M9921" t="s">
        <v>19108</v>
      </c>
      <c r="N9921" t="s">
        <v>14</v>
      </c>
    </row>
    <row r="9922" x14ac:dyDescent="0.25">
      <c r="A9922" t="n">
        <v>24</v>
      </c>
      <c r="B9922" t="s">
        <v>14</v>
      </c>
      <c r="C9922" t="s">
        <v>22</v>
      </c>
      <c r="D9922" s="2" t="s">
        <f>=HYPERLINK("https://main.knesset.gov.il/APPS/legislation/main/bills/2159931", "הצעת חוק גוש מרכז בנימין, התשפ""א-2021")</f>
        <v>19185</v>
      </c>
      <c r="E9922" t="s">
        <v>19185</v>
      </c>
      <c r="F9922" t="s">
        <v>19289</v>
      </c>
      <c r="G9922" t="s">
        <v>14</v>
      </c>
      <c r="H9922">
             </c>
      <c r="I9922" t="s">
        <v>14</v>
      </c>
      <c r="J9922" t="s">
        <v>141</v>
      </c>
      <c r="K9922" t="s">
        <v>14</v>
      </c>
      <c r="L9922" t="s">
        <v>20</v>
      </c>
      <c r="M9922" t="s">
        <v>19108</v>
      </c>
      <c r="N9922" t="s">
        <v>14</v>
      </c>
    </row>
    <row r="9923" x14ac:dyDescent="0.25">
      <c r="A9923" t="n">
        <v>24</v>
      </c>
      <c r="B9923" t="s">
        <v>14</v>
      </c>
      <c r="C9923" t="s">
        <v>22</v>
      </c>
      <c r="D9923" s="2" t="s">
        <f>=HYPERLINK("https://main.knesset.gov.il/APPS/legislation/main/bills/2159932", "הצעת חוק גוש לב השומרון, התשפ""א-2021")</f>
        <v>19290</v>
      </c>
      <c r="E9923" t="s">
        <v>19290</v>
      </c>
      <c r="F9923" t="s">
        <v>19291</v>
      </c>
      <c r="G9923" t="s">
        <v>14</v>
      </c>
      <c r="H9923">
             </c>
      <c r="I9923" t="s">
        <v>14</v>
      </c>
      <c r="J9923" t="s">
        <v>141</v>
      </c>
      <c r="K9923" t="s">
        <v>14</v>
      </c>
      <c r="L9923" t="s">
        <v>20</v>
      </c>
      <c r="M9923" t="s">
        <v>19108</v>
      </c>
      <c r="N9923" t="s">
        <v>14</v>
      </c>
    </row>
    <row r="9924" x14ac:dyDescent="0.25">
      <c r="A9924" t="n">
        <v>24</v>
      </c>
      <c r="B9924" t="s">
        <v>14</v>
      </c>
      <c r="C9924" t="s">
        <v>22</v>
      </c>
      <c r="D9924" s="2" t="s">
        <f>=HYPERLINK("https://main.knesset.gov.il/APPS/legislation/main/bills/2159934", "הצעת חוק גוש מנשה, התשפ""א-2021")</f>
        <v>19292</v>
      </c>
      <c r="E9924" t="s">
        <v>19292</v>
      </c>
      <c r="F9924" t="s">
        <v>19293</v>
      </c>
      <c r="G9924" t="s">
        <v>14</v>
      </c>
      <c r="H9924">
             </c>
      <c r="I9924" t="s">
        <v>14</v>
      </c>
      <c r="J9924" t="s">
        <v>141</v>
      </c>
      <c r="K9924" t="s">
        <v>14</v>
      </c>
      <c r="L9924" t="s">
        <v>20</v>
      </c>
      <c r="M9924" t="s">
        <v>19108</v>
      </c>
      <c r="N9924" t="s">
        <v>14</v>
      </c>
    </row>
    <row r="9925" x14ac:dyDescent="0.25">
      <c r="A9925" t="n">
        <v>24</v>
      </c>
      <c r="B9925" t="s">
        <v>14</v>
      </c>
      <c r="C9925" t="s">
        <v>22</v>
      </c>
      <c r="D9925" s="2" t="s">
        <f>=HYPERLINK("https://main.knesset.gov.il/APPS/legislation/main/bills/2159936", "הצעת חוק חברון ובנותיה, התשפ""א-2021")</f>
        <v>19294</v>
      </c>
      <c r="E9925" t="s">
        <v>19294</v>
      </c>
      <c r="F9925" t="s">
        <v>19295</v>
      </c>
      <c r="G9925" t="s">
        <v>14</v>
      </c>
      <c r="H9925">
             </c>
      <c r="I9925" t="s">
        <v>14</v>
      </c>
      <c r="J9925" t="s">
        <v>141</v>
      </c>
      <c r="K9925" t="s">
        <v>14</v>
      </c>
      <c r="L9925" t="s">
        <v>20</v>
      </c>
      <c r="M9925" t="s">
        <v>19108</v>
      </c>
      <c r="N9925" t="s">
        <v>14</v>
      </c>
    </row>
    <row r="9926" x14ac:dyDescent="0.25">
      <c r="A9926" t="n">
        <v>24</v>
      </c>
      <c r="B9926" t="s">
        <v>14</v>
      </c>
      <c r="C9926" t="s">
        <v>22</v>
      </c>
      <c r="D9926" s="2" t="s">
        <f>=HYPERLINK("https://main.knesset.gov.il/APPS/legislation/main/bills/2159937", "הצעת חוק גוש מודיעין, התשפ""א-2021")</f>
        <v>19175</v>
      </c>
      <c r="E9926" t="s">
        <v>19175</v>
      </c>
      <c r="F9926" t="s">
        <v>19296</v>
      </c>
      <c r="G9926" t="s">
        <v>14</v>
      </c>
      <c r="H9926">
             </c>
      <c r="I9926" t="s">
        <v>14</v>
      </c>
      <c r="J9926" t="s">
        <v>141</v>
      </c>
      <c r="K9926" t="s">
        <v>14</v>
      </c>
      <c r="L9926" t="s">
        <v>20</v>
      </c>
      <c r="M9926" t="s">
        <v>19108</v>
      </c>
      <c r="N9926" t="s">
        <v>14</v>
      </c>
    </row>
    <row r="9927" x14ac:dyDescent="0.25">
      <c r="A9927" t="n">
        <v>24</v>
      </c>
      <c r="B9927" t="s">
        <v>14</v>
      </c>
      <c r="C9927" t="s">
        <v>22</v>
      </c>
      <c r="D9927" s="2" t="s">
        <f>=HYPERLINK("https://main.knesset.gov.il/APPS/legislation/main/bills/2159938", "הצעת חוק גוש עציון, התשפ""א-2021")</f>
        <v>19297</v>
      </c>
      <c r="E9927" t="s">
        <v>19297</v>
      </c>
      <c r="F9927" t="s">
        <v>19298</v>
      </c>
      <c r="G9927" t="s">
        <v>14</v>
      </c>
      <c r="H9927">
             </c>
      <c r="I9927" t="s">
        <v>14</v>
      </c>
      <c r="J9927" t="s">
        <v>141</v>
      </c>
      <c r="K9927" t="s">
        <v>14</v>
      </c>
      <c r="L9927" t="s">
        <v>20</v>
      </c>
      <c r="M9927" t="s">
        <v>19108</v>
      </c>
      <c r="N9927" t="s">
        <v>14</v>
      </c>
    </row>
    <row r="9928" x14ac:dyDescent="0.25">
      <c r="A9928" t="n">
        <v>24</v>
      </c>
      <c r="B9928" t="s">
        <v>14</v>
      </c>
      <c r="C9928" t="s">
        <v>22</v>
      </c>
      <c r="D9928" s="2" t="s">
        <f>=HYPERLINK("https://main.knesset.gov.il/APPS/legislation/main/bills/2159422", "הצעת חוק תנאי העסקת עובדי הוראה (איסור העסקת מורי קבלן), התשפ""א-2021")</f>
        <v>19299</v>
      </c>
      <c r="E9928" t="s">
        <v>19299</v>
      </c>
      <c r="F9928" t="s">
        <v>19300</v>
      </c>
      <c r="G9928" t="s">
        <v>14</v>
      </c>
      <c r="H9928">
             </c>
      <c r="I9928" t="s">
        <v>14</v>
      </c>
      <c r="J9928" t="s">
        <v>141</v>
      </c>
      <c r="K9928" t="s">
        <v>14</v>
      </c>
      <c r="L9928" t="s">
        <v>20</v>
      </c>
      <c r="M9928" t="s">
        <v>19108</v>
      </c>
      <c r="N9928" t="s">
        <v>14</v>
      </c>
    </row>
    <row r="9929" x14ac:dyDescent="0.25">
      <c r="A9929" t="n">
        <v>24</v>
      </c>
      <c r="B9929" t="s">
        <v>14</v>
      </c>
      <c r="C9929" t="s">
        <v>22</v>
      </c>
      <c r="D9929" s="2" t="s">
        <f>=HYPERLINK("https://main.knesset.gov.il/APPS/legislation/main/bills/2159460", "הצעת חוק לתיקון פקודת מס הכנסה (משיכה מקרן השתלמות לרכישת דירה ראשונה), התשפ""א-2021 ")</f>
        <v>19301</v>
      </c>
      <c r="E9929" t="s">
        <v>19301</v>
      </c>
      <c r="F9929" t="s">
        <v>19302</v>
      </c>
      <c r="G9929" t="s">
        <v>14</v>
      </c>
      <c r="H9929">
             </c>
      <c r="I9929" t="s">
        <v>14</v>
      </c>
      <c r="J9929" t="s">
        <v>141</v>
      </c>
      <c r="K9929" t="s">
        <v>14</v>
      </c>
      <c r="L9929" t="s">
        <v>20</v>
      </c>
      <c r="M9929" t="s">
        <v>19108</v>
      </c>
      <c r="N9929" t="s">
        <v>14</v>
      </c>
    </row>
    <row r="9930" x14ac:dyDescent="0.25">
      <c r="A9930" t="n">
        <v>24</v>
      </c>
      <c r="B9930" t="s">
        <v>14</v>
      </c>
      <c r="C9930" t="s">
        <v>22</v>
      </c>
      <c r="D9930" s="2" t="s">
        <f>=HYPERLINK("https://main.knesset.gov.il/APPS/legislation/main/bills/2159418", "הצעת חוק לתיקון פקודת הבנקאות (תקופת צינון למפקח על הבנקים), התשפ""א-2021")</f>
        <v>19303</v>
      </c>
      <c r="E9930" t="s">
        <v>19303</v>
      </c>
      <c r="F9930" t="s">
        <v>19304</v>
      </c>
      <c r="G9930" t="s">
        <v>14</v>
      </c>
      <c r="H9930">
             </c>
      <c r="I9930" t="s">
        <v>14</v>
      </c>
      <c r="J9930" t="s">
        <v>141</v>
      </c>
      <c r="K9930" t="s">
        <v>14</v>
      </c>
      <c r="L9930" t="s">
        <v>20</v>
      </c>
      <c r="M9930" t="s">
        <v>19108</v>
      </c>
      <c r="N9930" t="s">
        <v>14</v>
      </c>
    </row>
    <row r="9931" x14ac:dyDescent="0.25">
      <c r="A9931" t="n">
        <v>24</v>
      </c>
      <c r="B9931" t="s">
        <v>14</v>
      </c>
      <c r="C9931" t="s">
        <v>22</v>
      </c>
      <c r="D9931" s="2" t="s">
        <f>=HYPERLINK("https://main.knesset.gov.il/APPS/legislation/main/bills/2158268", "הצעת חוק המועצה להשכלה גבוהה (תיקון - שינוי דרישות הקבלה), התשפ""א-2021")</f>
        <v>19305</v>
      </c>
      <c r="E9931" t="s">
        <v>19305</v>
      </c>
      <c r="F9931" t="s">
        <v>19306</v>
      </c>
      <c r="G9931" t="s">
        <v>14</v>
      </c>
      <c r="H9931">
             </c>
      <c r="I9931" t="s">
        <v>14</v>
      </c>
      <c r="J9931" t="s">
        <v>141</v>
      </c>
      <c r="K9931" t="s">
        <v>14</v>
      </c>
      <c r="L9931" t="s">
        <v>20</v>
      </c>
      <c r="M9931" t="s">
        <v>19108</v>
      </c>
      <c r="N9931" t="s">
        <v>14</v>
      </c>
    </row>
    <row r="9932" x14ac:dyDescent="0.25">
      <c r="A9932" t="n">
        <v>24</v>
      </c>
      <c r="B9932" t="s">
        <v>14</v>
      </c>
      <c r="C9932" t="s">
        <v>22</v>
      </c>
      <c r="D9932" s="2" t="s">
        <f>=HYPERLINK("https://main.knesset.gov.il/APPS/legislation/main/bills/2159762", "הצעת חוק יישובים ושכונות בהליכי הסדרה, התשפ""א-2021")</f>
        <v>15216</v>
      </c>
      <c r="E9932" t="s">
        <v>15216</v>
      </c>
      <c r="F9932" t="s">
        <v>19307</v>
      </c>
      <c r="G9932" t="s">
        <v>14</v>
      </c>
      <c r="H9932">
             </c>
      <c r="I9932" t="s">
        <v>14</v>
      </c>
      <c r="J9932" t="s">
        <v>141</v>
      </c>
      <c r="K9932" t="s">
        <v>14</v>
      </c>
      <c r="L9932" t="s">
        <v>20</v>
      </c>
      <c r="M9932" t="s">
        <v>19108</v>
      </c>
      <c r="N9932" t="s">
        <v>14</v>
      </c>
    </row>
    <row r="9933" x14ac:dyDescent="0.25">
      <c r="A9933" t="n">
        <v>24</v>
      </c>
      <c r="B9933" t="s">
        <v>14</v>
      </c>
      <c r="C9933" t="s">
        <v>22</v>
      </c>
      <c r="D9933" s="2" t="s">
        <f>=HYPERLINK("https://main.knesset.gov.il/APPS/legislation/main/bills/2159796", "הצעת חוק לתיקון פקודת התעבורה (ביטול מופע אור ירוק ברמזור פנייה ימינה בעת הופעת אור ירוק ברמזור להולכי רגל), התשפ""א-2021")</f>
        <v>19308</v>
      </c>
      <c r="E9933" t="s">
        <v>19308</v>
      </c>
      <c r="F9933" t="s">
        <v>19309</v>
      </c>
      <c r="G9933" t="s">
        <v>14</v>
      </c>
      <c r="H9933">
             </c>
      <c r="I9933" t="s">
        <v>14</v>
      </c>
      <c r="J9933" t="s">
        <v>141</v>
      </c>
      <c r="K9933" t="s">
        <v>14</v>
      </c>
      <c r="L9933" t="s">
        <v>20</v>
      </c>
      <c r="M9933" t="s">
        <v>19108</v>
      </c>
      <c r="N9933" t="s">
        <v>14</v>
      </c>
    </row>
    <row r="9934" x14ac:dyDescent="0.25">
      <c r="A9934" t="n">
        <v>24</v>
      </c>
      <c r="B9934" t="s">
        <v>14</v>
      </c>
      <c r="C9934" t="s">
        <v>22</v>
      </c>
      <c r="D9934" s="2" t="s">
        <f>=HYPERLINK("https://main.knesset.gov.il/APPS/legislation/main/bills/2157338", "הצעת חוק זכויות הסטודנט (תיקון - סיוע כלכלי בשעת חירום), התשפ""א-2021")</f>
        <v>19310</v>
      </c>
      <c r="E9934" t="s">
        <v>19310</v>
      </c>
      <c r="F9934" t="s">
        <v>19311</v>
      </c>
      <c r="G9934" t="s">
        <v>14</v>
      </c>
      <c r="H9934">
             </c>
      <c r="I9934" t="s">
        <v>14</v>
      </c>
      <c r="J9934" t="s">
        <v>141</v>
      </c>
      <c r="K9934" t="s">
        <v>14</v>
      </c>
      <c r="L9934" t="s">
        <v>20</v>
      </c>
      <c r="M9934" t="s">
        <v>19108</v>
      </c>
      <c r="N9934" t="s">
        <v>14</v>
      </c>
    </row>
    <row r="9935" x14ac:dyDescent="0.25">
      <c r="A9935" t="n">
        <v>24</v>
      </c>
      <c r="B9935" t="s">
        <v>14</v>
      </c>
      <c r="C9935" t="s">
        <v>22</v>
      </c>
      <c r="D9935" s="2" t="s">
        <f>=HYPERLINK("https://main.knesset.gov.il/APPS/legislation/main/bills/2157314", "הצעת חוק הרשויות המקומיות (פטור חיילים, נפגעי מלחמה ושוטרים מארנונה) (תיקון - החרגת ההגבלה סייג לדירות גדולות לחיילים בודדים), התשפ""א-2021")</f>
        <v>19312</v>
      </c>
      <c r="E9935" t="s">
        <v>19312</v>
      </c>
      <c r="F9935" t="s">
        <v>19313</v>
      </c>
      <c r="G9935" t="s">
        <v>14</v>
      </c>
      <c r="H9935">
             </c>
      <c r="I9935" t="s">
        <v>14</v>
      </c>
      <c r="J9935" t="s">
        <v>141</v>
      </c>
      <c r="K9935" t="s">
        <v>14</v>
      </c>
      <c r="L9935" t="s">
        <v>20</v>
      </c>
      <c r="M9935" t="s">
        <v>19108</v>
      </c>
      <c r="N9935" t="s">
        <v>14</v>
      </c>
    </row>
    <row r="9936" x14ac:dyDescent="0.25">
      <c r="A9936" t="n">
        <v>24</v>
      </c>
      <c r="B9936" t="s">
        <v>14</v>
      </c>
      <c r="C9936" t="s">
        <v>22</v>
      </c>
      <c r="D9936" s="2" t="s">
        <f>=HYPERLINK("https://main.knesset.gov.il/APPS/legislation/main/bills/2160015", "הצעת חוק ההוצאה לפועל (תיקון - קביעת תעריף מקסימלי לשכר טרחת עורך דין), התשפ""א-2021")</f>
        <v>19314</v>
      </c>
      <c r="E9936" t="s">
        <v>19314</v>
      </c>
      <c r="F9936" t="s">
        <v>19315</v>
      </c>
      <c r="G9936" t="s">
        <v>14</v>
      </c>
      <c r="H9936">
             </c>
      <c r="I9936" t="s">
        <v>14</v>
      </c>
      <c r="J9936" t="s">
        <v>141</v>
      </c>
      <c r="K9936" t="s">
        <v>14</v>
      </c>
      <c r="L9936" t="s">
        <v>20</v>
      </c>
      <c r="M9936" t="s">
        <v>19108</v>
      </c>
      <c r="N9936" t="s">
        <v>14</v>
      </c>
    </row>
    <row r="9937" x14ac:dyDescent="0.25">
      <c r="A9937" t="n">
        <v>24</v>
      </c>
      <c r="B9937" t="s">
        <v>14</v>
      </c>
      <c r="C9937" t="s">
        <v>22</v>
      </c>
      <c r="D9937" s="2" t="s">
        <f>=HYPERLINK("https://main.knesset.gov.il/APPS/legislation/main/bills/2160061", "הצעת חוק הגנת השכר (תיקון - החלה על עובד המועסק ביהודה והשומרון), התשפ""א-2021")</f>
        <v>19316</v>
      </c>
      <c r="E9937" t="s">
        <v>19316</v>
      </c>
      <c r="F9937" t="s">
        <v>19317</v>
      </c>
      <c r="G9937" t="s">
        <v>14</v>
      </c>
      <c r="H9937">
             </c>
      <c r="I9937" t="s">
        <v>14</v>
      </c>
      <c r="J9937" t="s">
        <v>141</v>
      </c>
      <c r="K9937" t="s">
        <v>14</v>
      </c>
      <c r="L9937" t="s">
        <v>20</v>
      </c>
      <c r="M9937" t="s">
        <v>19108</v>
      </c>
      <c r="N9937" t="s">
        <v>14</v>
      </c>
    </row>
    <row r="9938" x14ac:dyDescent="0.25">
      <c r="A9938" t="n">
        <v>24</v>
      </c>
      <c r="B9938" t="s">
        <v>14</v>
      </c>
      <c r="C9938" t="s">
        <v>22</v>
      </c>
      <c r="D9938" s="2" t="s">
        <f>=HYPERLINK("https://main.knesset.gov.il/APPS/legislation/main/bills/2160062", "הצעת חוק הודעה מוקדמת לפיטורים ולהתפטרות (תיקון - החלה על עובד המועסק ביהודה והשומרון), התשפ""א-2021")</f>
        <v>19318</v>
      </c>
      <c r="E9938" t="s">
        <v>19318</v>
      </c>
      <c r="F9938" t="s">
        <v>19319</v>
      </c>
      <c r="G9938" t="s">
        <v>14</v>
      </c>
      <c r="H9938">
             </c>
      <c r="I9938" t="s">
        <v>14</v>
      </c>
      <c r="J9938" t="s">
        <v>141</v>
      </c>
      <c r="K9938" t="s">
        <v>14</v>
      </c>
      <c r="L9938" t="s">
        <v>20</v>
      </c>
      <c r="M9938" t="s">
        <v>19108</v>
      </c>
      <c r="N9938" t="s">
        <v>14</v>
      </c>
    </row>
    <row r="9939" x14ac:dyDescent="0.25">
      <c r="A9939" t="n">
        <v>24</v>
      </c>
      <c r="B9939" t="s">
        <v>14</v>
      </c>
      <c r="C9939" t="s">
        <v>22</v>
      </c>
      <c r="D9939" s="2" t="s">
        <f>=HYPERLINK("https://main.knesset.gov.il/APPS/legislation/main/bills/2160029", "הצעת חוק-יסוד: הכנסת (תיקון - חבר כנסת הנאמן למצע מפלגתו לא יחשב כפורש מסיעתו)")</f>
        <v>19320</v>
      </c>
      <c r="E9939" t="s">
        <v>19320</v>
      </c>
      <c r="F9939" t="s">
        <v>19321</v>
      </c>
      <c r="G9939" t="s">
        <v>14</v>
      </c>
      <c r="H9939">
             </c>
      <c r="I9939" t="s">
        <v>14</v>
      </c>
      <c r="J9939" t="s">
        <v>141</v>
      </c>
      <c r="K9939" t="s">
        <v>14</v>
      </c>
      <c r="L9939" t="s">
        <v>20</v>
      </c>
      <c r="M9939" t="s">
        <v>19108</v>
      </c>
      <c r="N9939" t="s">
        <v>14</v>
      </c>
    </row>
    <row r="9940" x14ac:dyDescent="0.25">
      <c r="A9940" t="n">
        <v>24</v>
      </c>
      <c r="B9940" t="s">
        <v>14</v>
      </c>
      <c r="C9940" t="s">
        <v>22</v>
      </c>
      <c r="D9940" s="2" t="s">
        <f>=HYPERLINK("https://main.knesset.gov.il/APPS/legislation/main/bills/2160329", "הצעת חוק החזר הוצאות כספיות בגין עריכת נישואין אזרחיים בחוץ לארץ למי שאינם רשאים להינשא על פי הדין הדתי, התשפ""א-2021")</f>
        <v>19322</v>
      </c>
      <c r="E9940" t="s">
        <v>19322</v>
      </c>
      <c r="F9940" t="s">
        <v>19323</v>
      </c>
      <c r="G9940" t="s">
        <v>14</v>
      </c>
      <c r="H9940">
             </c>
      <c r="I9940" t="s">
        <v>14</v>
      </c>
      <c r="J9940" t="s">
        <v>141</v>
      </c>
      <c r="K9940" t="s">
        <v>14</v>
      </c>
      <c r="L9940" t="s">
        <v>20</v>
      </c>
      <c r="M9940" t="s">
        <v>19108</v>
      </c>
      <c r="N9940" t="s">
        <v>14</v>
      </c>
    </row>
    <row r="9941" x14ac:dyDescent="0.25">
      <c r="A9941" t="n">
        <v>24</v>
      </c>
      <c r="B9941" t="s">
        <v>14</v>
      </c>
      <c r="C9941" t="s">
        <v>22</v>
      </c>
      <c r="D9941" s="2" t="s">
        <f>=HYPERLINK("https://main.knesset.gov.il/APPS/legislation/main/bills/2160241", "הצעת חוק צער בעלי חיים (הגנה על בעלי חיים) (תיקון - איסור משלוחים חיים לשחיטה), התשפ""א-2021")</f>
        <v>19324</v>
      </c>
      <c r="E9941" t="s">
        <v>19324</v>
      </c>
      <c r="F9941" t="s">
        <v>19325</v>
      </c>
      <c r="G9941" t="s">
        <v>14</v>
      </c>
      <c r="H9941">
             </c>
      <c r="I9941" t="s">
        <v>14</v>
      </c>
      <c r="J9941" t="s">
        <v>141</v>
      </c>
      <c r="K9941" t="s">
        <v>14</v>
      </c>
      <c r="L9941" t="s">
        <v>20</v>
      </c>
      <c r="M9941" t="s">
        <v>19108</v>
      </c>
      <c r="N9941" t="s">
        <v>14</v>
      </c>
    </row>
    <row r="9942" x14ac:dyDescent="0.25">
      <c r="A9942" t="n">
        <v>24</v>
      </c>
      <c r="B9942" t="s">
        <v>14</v>
      </c>
      <c r="C9942" t="s">
        <v>22</v>
      </c>
      <c r="D9942" s="2" t="s">
        <f>=HYPERLINK("https://main.knesset.gov.il/APPS/legislation/main/bills/2160480", "הצעת חוק המכינות הקדם-צבאיות (תיקון - סעיף תקציב משרד החינוך), התשפ""א-2021")</f>
        <v>19326</v>
      </c>
      <c r="E9942" t="s">
        <v>19326</v>
      </c>
      <c r="F9942" t="s">
        <v>19327</v>
      </c>
      <c r="G9942" t="s">
        <v>14</v>
      </c>
      <c r="H9942">
             </c>
      <c r="I9942" t="s">
        <v>14</v>
      </c>
      <c r="J9942" t="s">
        <v>141</v>
      </c>
      <c r="K9942" t="s">
        <v>14</v>
      </c>
      <c r="L9942" t="s">
        <v>20</v>
      </c>
      <c r="M9942" t="s">
        <v>19108</v>
      </c>
      <c r="N9942" t="s">
        <v>14</v>
      </c>
    </row>
    <row r="9943" x14ac:dyDescent="0.25">
      <c r="A9943" t="n">
        <v>24</v>
      </c>
      <c r="B9943" t="s">
        <v>14</v>
      </c>
      <c r="C9943" t="s">
        <v>22</v>
      </c>
      <c r="D9943" s="2" t="s">
        <f>=HYPERLINK("https://main.knesset.gov.il/APPS/legislation/main/bills/2159749", "הצעת חוק הדואר (תיקון - תשלומי ריבית למקבלי השירותים הכספיים), התשפ""א-2021")</f>
        <v>19328</v>
      </c>
      <c r="E9943" t="s">
        <v>19328</v>
      </c>
      <c r="F9943" t="s">
        <v>19329</v>
      </c>
      <c r="G9943" t="s">
        <v>14</v>
      </c>
      <c r="H9943">
             </c>
      <c r="I9943" t="s">
        <v>14</v>
      </c>
      <c r="J9943" t="s">
        <v>141</v>
      </c>
      <c r="K9943" t="s">
        <v>14</v>
      </c>
      <c r="L9943" t="s">
        <v>20</v>
      </c>
      <c r="M9943" t="s">
        <v>19108</v>
      </c>
      <c r="N9943" t="s">
        <v>14</v>
      </c>
    </row>
    <row r="9944" x14ac:dyDescent="0.25">
      <c r="A9944" t="n">
        <v>24</v>
      </c>
      <c r="B9944" t="s">
        <v>14</v>
      </c>
      <c r="C9944" t="s">
        <v>22</v>
      </c>
      <c r="D9944" s="2" t="s">
        <f>=HYPERLINK("https://main.knesset.gov.il/APPS/legislation/main/bills/2159765", "הצעת חוק איסור קבלת תרומות ממדינות אויב או מדינות תומכות טרור, התשפ""א-2021")</f>
        <v>19330</v>
      </c>
      <c r="E9944" t="s">
        <v>19330</v>
      </c>
      <c r="F9944" t="s">
        <v>19331</v>
      </c>
      <c r="G9944" t="s">
        <v>14</v>
      </c>
      <c r="H9944">
             </c>
      <c r="I9944" t="s">
        <v>14</v>
      </c>
      <c r="J9944" t="s">
        <v>141</v>
      </c>
      <c r="K9944" t="s">
        <v>14</v>
      </c>
      <c r="L9944" t="s">
        <v>20</v>
      </c>
      <c r="M9944" t="s">
        <v>19108</v>
      </c>
      <c r="N9944" t="s">
        <v>14</v>
      </c>
    </row>
    <row r="9945" x14ac:dyDescent="0.25">
      <c r="A9945" t="n">
        <v>24</v>
      </c>
      <c r="B9945" t="s">
        <v>14</v>
      </c>
      <c r="C9945" t="s">
        <v>22</v>
      </c>
      <c r="D9945" s="2" t="s">
        <f>=HYPERLINK("https://main.knesset.gov.il/APPS/legislation/main/bills/2159743", "הצעת חוק שלילת תשלומים מחבר הכנסת ומחבר הכנסת לשעבר בשל עבירה (תיקון - חשוד בעבירת ביטחון), התשפ""א-2021")</f>
        <v>19332</v>
      </c>
      <c r="E9945" t="s">
        <v>19332</v>
      </c>
      <c r="F9945" t="s">
        <v>19333</v>
      </c>
      <c r="G9945" t="s">
        <v>14</v>
      </c>
      <c r="H9945">
             </c>
      <c r="I9945" t="s">
        <v>14</v>
      </c>
      <c r="J9945" t="s">
        <v>141</v>
      </c>
      <c r="K9945" t="s">
        <v>14</v>
      </c>
      <c r="L9945" t="s">
        <v>20</v>
      </c>
      <c r="M9945" t="s">
        <v>19108</v>
      </c>
      <c r="N9945" t="s">
        <v>14</v>
      </c>
    </row>
    <row r="9946" x14ac:dyDescent="0.25">
      <c r="A9946" t="n">
        <v>24</v>
      </c>
      <c r="B9946" t="s">
        <v>14</v>
      </c>
      <c r="C9946" t="s">
        <v>22</v>
      </c>
      <c r="D9946" s="2" t="s">
        <f>=HYPERLINK("https://main.knesset.gov.il/APPS/legislation/main/bills/2160543", "הצעת חוק מרשם האוכלוסין (תיקון - רישום הורה נוסף), התשפ""א-2021 ")</f>
        <v>19334</v>
      </c>
      <c r="E9946" t="s">
        <v>19334</v>
      </c>
      <c r="F9946" t="s">
        <v>19335</v>
      </c>
      <c r="G9946" t="s">
        <v>14</v>
      </c>
      <c r="H9946">
             </c>
      <c r="I9946" t="s">
        <v>14</v>
      </c>
      <c r="J9946" t="s">
        <v>141</v>
      </c>
      <c r="K9946" t="s">
        <v>14</v>
      </c>
      <c r="L9946" t="s">
        <v>20</v>
      </c>
      <c r="M9946" t="s">
        <v>19108</v>
      </c>
      <c r="N9946" t="s">
        <v>14</v>
      </c>
    </row>
    <row r="9947" x14ac:dyDescent="0.25">
      <c r="A9947" t="n">
        <v>24</v>
      </c>
      <c r="B9947" t="s">
        <v>14</v>
      </c>
      <c r="C9947" t="s">
        <v>22</v>
      </c>
      <c r="D9947" s="2" t="s">
        <f>=HYPERLINK("https://main.knesset.gov.il/APPS/legislation/main/bills/2160609", "הצעת חוק החברות (תיקון - ייצוג הולם לבני שני המינים בדירקטוריונים של חברות ציבוריות), התשפ""א-2021")</f>
        <v>19336</v>
      </c>
      <c r="E9947" t="s">
        <v>19336</v>
      </c>
      <c r="F9947" t="s">
        <v>19337</v>
      </c>
      <c r="G9947" t="s">
        <v>14</v>
      </c>
      <c r="H9947">
             </c>
      <c r="I9947" t="s">
        <v>14</v>
      </c>
      <c r="J9947" t="s">
        <v>141</v>
      </c>
      <c r="K9947" t="s">
        <v>14</v>
      </c>
      <c r="L9947" t="s">
        <v>20</v>
      </c>
      <c r="M9947" t="s">
        <v>19108</v>
      </c>
      <c r="N9947" t="s">
        <v>14</v>
      </c>
    </row>
    <row r="9948" x14ac:dyDescent="0.25">
      <c r="A9948" t="n">
        <v>24</v>
      </c>
      <c r="B9948" t="s">
        <v>14</v>
      </c>
      <c r="C9948" t="s">
        <v>22</v>
      </c>
      <c r="D9948" s="2" t="s">
        <f>=HYPERLINK("https://main.knesset.gov.il/APPS/legislation/main/bills/2157126", "הצעת חוק העונשין (תיקון - איסור שידול להמרת דת), התשפ""א-2021")</f>
        <v>19338</v>
      </c>
      <c r="E9948" t="s">
        <v>19338</v>
      </c>
      <c r="F9948" t="s">
        <v>19339</v>
      </c>
      <c r="G9948" t="s">
        <v>14</v>
      </c>
      <c r="H9948">
             </c>
      <c r="I9948" t="s">
        <v>14</v>
      </c>
      <c r="J9948" t="s">
        <v>141</v>
      </c>
      <c r="K9948" t="s">
        <v>14</v>
      </c>
      <c r="L9948" t="s">
        <v>20</v>
      </c>
      <c r="M9948" t="s">
        <v>19108</v>
      </c>
      <c r="N9948" t="s">
        <v>14</v>
      </c>
    </row>
    <row r="9949" x14ac:dyDescent="0.25">
      <c r="A9949" t="n">
        <v>24</v>
      </c>
      <c r="B9949" t="s">
        <v>14</v>
      </c>
      <c r="C9949" t="s">
        <v>22</v>
      </c>
      <c r="D9949" s="2" t="s">
        <f>=HYPERLINK("https://main.knesset.gov.il/APPS/legislation/main/bills/2160204", "הצעת חוק נציבות תלונות הציבור על מייצגי המדינה בערכאות (תיקון - הסדרת מעמד הנציבות כגוף ביקורת עצמאי), התשפ""א-2021")</f>
        <v>19340</v>
      </c>
      <c r="E9949" t="s">
        <v>19340</v>
      </c>
      <c r="F9949" t="s">
        <v>19341</v>
      </c>
      <c r="G9949" t="s">
        <v>14</v>
      </c>
      <c r="H9949">
             </c>
      <c r="I9949" t="s">
        <v>14</v>
      </c>
      <c r="J9949" t="s">
        <v>141</v>
      </c>
      <c r="K9949" t="s">
        <v>14</v>
      </c>
      <c r="L9949" t="s">
        <v>20</v>
      </c>
      <c r="M9949" t="s">
        <v>19108</v>
      </c>
      <c r="N9949" t="s">
        <v>14</v>
      </c>
    </row>
    <row r="9950" x14ac:dyDescent="0.25">
      <c r="A9950" t="n">
        <v>24</v>
      </c>
      <c r="B9950" t="s">
        <v>14</v>
      </c>
      <c r="C9950" t="s">
        <v>22</v>
      </c>
      <c r="D9950" s="2" t="s">
        <f>=HYPERLINK("https://main.knesset.gov.il/APPS/legislation/main/bills/2160767", "הצעת חוק התכנון והבנייה (תיקון - גודל האותיות בהודעות בענייני תכנון ובנייה), התשפ""א-2021")</f>
        <v>19342</v>
      </c>
      <c r="E9950" t="s">
        <v>19342</v>
      </c>
      <c r="F9950" t="s">
        <v>19343</v>
      </c>
      <c r="G9950" t="s">
        <v>14</v>
      </c>
      <c r="H9950">
             </c>
      <c r="I9950" t="s">
        <v>14</v>
      </c>
      <c r="J9950" t="s">
        <v>141</v>
      </c>
      <c r="K9950" t="s">
        <v>14</v>
      </c>
      <c r="L9950" t="s">
        <v>20</v>
      </c>
      <c r="M9950" t="s">
        <v>19108</v>
      </c>
      <c r="N9950" t="s">
        <v>14</v>
      </c>
    </row>
    <row r="9951" x14ac:dyDescent="0.25">
      <c r="A9951" t="n">
        <v>24</v>
      </c>
      <c r="B9951" t="s">
        <v>14</v>
      </c>
      <c r="C9951" t="s">
        <v>22</v>
      </c>
      <c r="D9951" s="2" t="s">
        <f>=HYPERLINK("https://main.knesset.gov.il/APPS/legislation/main/bills/2160863", "הצעת חוק למניעת אלימות במשפחה (תיקון - מניעת אלימות כלכלית), התשפ""א-2021")</f>
        <v>19344</v>
      </c>
      <c r="E9951" t="s">
        <v>19344</v>
      </c>
      <c r="F9951" t="s">
        <v>19345</v>
      </c>
      <c r="G9951" t="s">
        <v>14</v>
      </c>
      <c r="H9951">
             </c>
      <c r="I9951" t="s">
        <v>14</v>
      </c>
      <c r="J9951" t="s">
        <v>141</v>
      </c>
      <c r="K9951" t="s">
        <v>14</v>
      </c>
      <c r="L9951" t="s">
        <v>20</v>
      </c>
      <c r="M9951" t="s">
        <v>19108</v>
      </c>
      <c r="N9951" t="s">
        <v>14</v>
      </c>
    </row>
    <row r="9952" x14ac:dyDescent="0.25">
      <c r="A9952" t="n">
        <v>24</v>
      </c>
      <c r="B9952" t="s">
        <v>14</v>
      </c>
      <c r="C9952" t="s">
        <v>22</v>
      </c>
      <c r="D9952" s="2" t="s">
        <f>=HYPERLINK("https://main.knesset.gov.il/APPS/legislation/main/bills/2159687", "הצעת חוק נציבות תלונות הציבור על מייצגי המדינה בערכאות (תיקון - הסדרת מעמד הנציבות כגוף ביקורת עצמאי), התשפ""א-2021")</f>
        <v>19340</v>
      </c>
      <c r="E9952" t="s">
        <v>19340</v>
      </c>
      <c r="F9952" t="s">
        <v>19346</v>
      </c>
      <c r="G9952" t="s">
        <v>14</v>
      </c>
      <c r="H9952">
             </c>
      <c r="I9952" t="s">
        <v>14</v>
      </c>
      <c r="J9952" t="s">
        <v>141</v>
      </c>
      <c r="K9952" t="s">
        <v>14</v>
      </c>
      <c r="L9952" t="s">
        <v>20</v>
      </c>
      <c r="M9952" t="s">
        <v>19108</v>
      </c>
      <c r="N9952" t="s">
        <v>14</v>
      </c>
    </row>
    <row r="9953" x14ac:dyDescent="0.25">
      <c r="A9953" t="n">
        <v>24</v>
      </c>
      <c r="B9953" t="s">
        <v>14</v>
      </c>
      <c r="C9953" t="s">
        <v>22</v>
      </c>
      <c r="D9953" s="2" t="s">
        <f>=HYPERLINK("https://main.knesset.gov.il/APPS/legislation/main/bills/2160579", "הצעת חוק יום האחדות, התשפ""א-2021")</f>
        <v>19347</v>
      </c>
      <c r="E9953" t="s">
        <v>19347</v>
      </c>
      <c r="F9953" t="s">
        <v>19348</v>
      </c>
      <c r="G9953" t="s">
        <v>14</v>
      </c>
      <c r="H9953">
             </c>
      <c r="I9953" t="s">
        <v>14</v>
      </c>
      <c r="J9953" t="s">
        <v>141</v>
      </c>
      <c r="K9953" t="s">
        <v>14</v>
      </c>
      <c r="L9953" t="s">
        <v>20</v>
      </c>
      <c r="M9953" t="s">
        <v>19108</v>
      </c>
      <c r="N9953" t="s">
        <v>14</v>
      </c>
    </row>
    <row r="9954" x14ac:dyDescent="0.25">
      <c r="A9954" t="n">
        <v>24</v>
      </c>
      <c r="B9954" t="s">
        <v>14</v>
      </c>
      <c r="C9954" t="s">
        <v>22</v>
      </c>
      <c r="D9954" s="2" t="s">
        <f>=HYPERLINK("https://main.knesset.gov.il/APPS/legislation/main/bills/2160478", "הצעת חוק יום האחדות, התשפ""א-2021 ")</f>
        <v>19349</v>
      </c>
      <c r="E9954" t="s">
        <v>19349</v>
      </c>
      <c r="F9954" t="s">
        <v>19350</v>
      </c>
      <c r="G9954" t="s">
        <v>14</v>
      </c>
      <c r="H9954">
             </c>
      <c r="I9954" t="s">
        <v>14</v>
      </c>
      <c r="J9954" t="s">
        <v>141</v>
      </c>
      <c r="K9954" t="s">
        <v>14</v>
      </c>
      <c r="L9954" t="s">
        <v>20</v>
      </c>
      <c r="M9954" t="s">
        <v>19108</v>
      </c>
      <c r="N9954" t="s">
        <v>14</v>
      </c>
    </row>
    <row r="9955" x14ac:dyDescent="0.25">
      <c r="A9955" t="n">
        <v>24</v>
      </c>
      <c r="B9955" t="s">
        <v>14</v>
      </c>
      <c r="C9955" t="s">
        <v>22</v>
      </c>
      <c r="D9955" s="2" t="s">
        <f>=HYPERLINK("https://main.knesset.gov.il/APPS/legislation/main/bills/2160489", "הצעת חוק פיקוח על מחירי מצרכים ושירותים (תיקון - פיקוח על מחיר לחם מלא), התשפ""א-2021")</f>
        <v>19351</v>
      </c>
      <c r="E9955" t="s">
        <v>19351</v>
      </c>
      <c r="F9955" t="s">
        <v>19352</v>
      </c>
      <c r="G9955" t="s">
        <v>14</v>
      </c>
      <c r="H9955">
             </c>
      <c r="I9955" t="s">
        <v>14</v>
      </c>
      <c r="J9955" t="s">
        <v>141</v>
      </c>
      <c r="K9955" t="s">
        <v>14</v>
      </c>
      <c r="L9955" t="s">
        <v>20</v>
      </c>
      <c r="M9955" t="s">
        <v>19108</v>
      </c>
      <c r="N9955" t="s">
        <v>14</v>
      </c>
    </row>
    <row r="9956" x14ac:dyDescent="0.25">
      <c r="A9956" t="n">
        <v>24</v>
      </c>
      <c r="B9956" t="s">
        <v>14</v>
      </c>
      <c r="C9956" t="s">
        <v>15</v>
      </c>
      <c r="D9956" s="2" t="s">
        <f>=HYPERLINK("https://main.knesset.gov.il/APPS/legislation/main/bills/2161235", "הצעת חוק ניירות ערך (תיקון מס' 70), התשפ""א-2021")</f>
        <v>19353</v>
      </c>
      <c r="E9956" t="s">
        <v>19353</v>
      </c>
      <c r="F9956" t="s">
        <v>14</v>
      </c>
      <c r="G9956" t="s">
        <v>19354</v>
      </c>
      <c r="H9956">
             </c>
      <c r="I9956" t="s">
        <v>14</v>
      </c>
      <c r="J9956" t="s">
        <v>1141</v>
      </c>
      <c r="K9956" t="s">
        <v>14</v>
      </c>
      <c r="L9956" t="s">
        <v>20</v>
      </c>
      <c r="M9956" t="s">
        <v>19108</v>
      </c>
      <c r="N9956" t="s">
        <v>14</v>
      </c>
    </row>
    <row r="9957" x14ac:dyDescent="0.25">
      <c r="A9957" t="n">
        <v>24</v>
      </c>
      <c r="B9957" t="s">
        <v>14</v>
      </c>
      <c r="C9957" t="s">
        <v>22</v>
      </c>
      <c r="D9957" s="2" t="s">
        <f>=HYPERLINK("https://main.knesset.gov.il/APPS/legislation/main/bills/2158863", "הצעת חוק הרשתות החברתיות, התשפ""א-2021")</f>
        <v>19355</v>
      </c>
      <c r="E9957" t="s">
        <v>19355</v>
      </c>
      <c r="F9957" t="s">
        <v>19356</v>
      </c>
      <c r="G9957" t="s">
        <v>14</v>
      </c>
      <c r="H9957">
             </c>
      <c r="I9957" t="s">
        <v>14</v>
      </c>
      <c r="J9957" t="s">
        <v>55</v>
      </c>
      <c r="K9957" t="s">
        <v>14</v>
      </c>
      <c r="L9957" t="s">
        <v>20</v>
      </c>
      <c r="M9957" t="s">
        <v>19357</v>
      </c>
      <c r="N9957" t="s">
        <v>14</v>
      </c>
    </row>
    <row r="9958" x14ac:dyDescent="0.25">
      <c r="A9958" t="n">
        <v>24</v>
      </c>
      <c r="B9958" t="s">
        <v>14</v>
      </c>
      <c r="C9958" t="s">
        <v>22</v>
      </c>
      <c r="D9958" s="2" t="s">
        <f>=HYPERLINK("https://main.knesset.gov.il/APPS/legislation/main/bills/2158701", "הצעת חוק ביטוח בריאות ממלכתי (תיקון - העברת שירותי הגמילה לאחריות קופות החולים), התשפ""א-2021")</f>
        <v>17519</v>
      </c>
      <c r="E9958" t="s">
        <v>17519</v>
      </c>
      <c r="F9958" t="s">
        <v>19358</v>
      </c>
      <c r="G9958" t="s">
        <v>14</v>
      </c>
      <c r="H9958">
             </c>
      <c r="I9958" t="s">
        <v>14</v>
      </c>
      <c r="J9958" t="s">
        <v>55</v>
      </c>
      <c r="K9958" t="s">
        <v>14</v>
      </c>
      <c r="L9958" t="s">
        <v>20</v>
      </c>
      <c r="M9958" t="s">
        <v>19357</v>
      </c>
      <c r="N9958" t="s">
        <v>14</v>
      </c>
    </row>
    <row r="9959" x14ac:dyDescent="0.25">
      <c r="A9959" t="n">
        <v>24</v>
      </c>
      <c r="B9959" t="s">
        <v>14</v>
      </c>
      <c r="C9959" t="s">
        <v>22</v>
      </c>
      <c r="D9959" s="2" t="s">
        <f>=HYPERLINK("https://main.knesset.gov.il/APPS/legislation/main/bills/2158419", "הצעת חוק לתיקון פקודת הסמים המסוכנים (הגדרת צמח הקנבוס, מדרוג עבירות ועונשים בסם קנבוס), התשפ""א-2021")</f>
        <v>19359</v>
      </c>
      <c r="E9959" t="s">
        <v>19359</v>
      </c>
      <c r="F9959" t="s">
        <v>19360</v>
      </c>
      <c r="G9959" t="s">
        <v>14</v>
      </c>
      <c r="H9959">
             </c>
      <c r="I9959" t="s">
        <v>14</v>
      </c>
      <c r="J9959" t="s">
        <v>55</v>
      </c>
      <c r="K9959" t="s">
        <v>14</v>
      </c>
      <c r="L9959" t="s">
        <v>20</v>
      </c>
      <c r="M9959" t="s">
        <v>19357</v>
      </c>
      <c r="N9959" t="s">
        <v>14</v>
      </c>
    </row>
    <row r="9960" x14ac:dyDescent="0.25">
      <c r="A9960" t="n">
        <v>24</v>
      </c>
      <c r="B9960" t="s">
        <v>14</v>
      </c>
      <c r="C9960" t="s">
        <v>22</v>
      </c>
      <c r="D9960" s="2" t="s">
        <f>=HYPERLINK("https://main.knesset.gov.il/APPS/legislation/main/bills/2156349", "הצעת חוק הרשות הלאומית למניעת התאבדויות, התשפ""א-2021")</f>
        <v>19361</v>
      </c>
      <c r="E9960" t="s">
        <v>19361</v>
      </c>
      <c r="F9960" t="s">
        <v>19362</v>
      </c>
      <c r="G9960" t="s">
        <v>14</v>
      </c>
      <c r="H9960">
             </c>
      <c r="I9960" t="s">
        <v>14</v>
      </c>
      <c r="J9960" t="s">
        <v>343</v>
      </c>
      <c r="K9960" t="s">
        <v>14</v>
      </c>
      <c r="L9960" t="s">
        <v>20</v>
      </c>
      <c r="M9960" t="s">
        <v>19357</v>
      </c>
      <c r="N9960" t="s">
        <v>14</v>
      </c>
    </row>
    <row r="9961" x14ac:dyDescent="0.25">
      <c r="A9961" t="n">
        <v>24</v>
      </c>
      <c r="B9961" t="s">
        <v>14</v>
      </c>
      <c r="C9961" t="s">
        <v>22</v>
      </c>
      <c r="D9961" s="2" t="s">
        <f>=HYPERLINK("https://main.knesset.gov.il/APPS/legislation/main/bills/2157658", "הצעת חוק העונשין (תיקון - הגדרת גזענות), התשפ""א-2021")</f>
        <v>19363</v>
      </c>
      <c r="E9961" t="s">
        <v>19363</v>
      </c>
      <c r="F9961" t="s">
        <v>19364</v>
      </c>
      <c r="G9961" t="s">
        <v>14</v>
      </c>
      <c r="H9961">
             </c>
      <c r="I9961" t="s">
        <v>14</v>
      </c>
      <c r="J9961" t="s">
        <v>343</v>
      </c>
      <c r="K9961" t="s">
        <v>14</v>
      </c>
      <c r="L9961" t="s">
        <v>20</v>
      </c>
      <c r="M9961" t="s">
        <v>19357</v>
      </c>
      <c r="N9961" t="s">
        <v>14</v>
      </c>
    </row>
    <row r="9962" x14ac:dyDescent="0.25">
      <c r="A9962" t="n">
        <v>24</v>
      </c>
      <c r="B9962" t="s">
        <v>14</v>
      </c>
      <c r="C9962" t="s">
        <v>22</v>
      </c>
      <c r="D9962" s="2" t="s">
        <f>=HYPERLINK("https://main.knesset.gov.il/APPS/legislation/main/bills/2156079", "הצעת חוק הבחירות לכנסת (תיקון - אחוז החסימה), התשפ""א-2021")</f>
        <v>19365</v>
      </c>
      <c r="E9962" t="s">
        <v>19365</v>
      </c>
      <c r="F9962" t="s">
        <v>19366</v>
      </c>
      <c r="G9962" t="s">
        <v>14</v>
      </c>
      <c r="H9962">
             </c>
      <c r="I9962" t="s">
        <v>14</v>
      </c>
      <c r="J9962" t="s">
        <v>343</v>
      </c>
      <c r="K9962" t="s">
        <v>14</v>
      </c>
      <c r="L9962" t="s">
        <v>20</v>
      </c>
      <c r="M9962" t="s">
        <v>19357</v>
      </c>
      <c r="N9962" t="s">
        <v>14</v>
      </c>
    </row>
    <row r="9963" x14ac:dyDescent="0.25">
      <c r="A9963" t="n">
        <v>24</v>
      </c>
      <c r="B9963" t="s">
        <v>14</v>
      </c>
      <c r="C9963" t="s">
        <v>22</v>
      </c>
      <c r="D9963" s="2" t="s">
        <f>=HYPERLINK("https://main.knesset.gov.il/APPS/legislation/main/bills/2157335", "הצעת חוק הספקת החשמל (הוראת שעה) (תיקון - הארכת תוקף), התשפ""א-2021")</f>
        <v>19026</v>
      </c>
      <c r="E9963" t="s">
        <v>19026</v>
      </c>
      <c r="F9963" t="s">
        <v>19367</v>
      </c>
      <c r="G9963" t="s">
        <v>14</v>
      </c>
      <c r="H9963">
             </c>
      <c r="I9963" t="s">
        <v>14</v>
      </c>
      <c r="J9963" t="s">
        <v>343</v>
      </c>
      <c r="K9963" t="s">
        <v>14</v>
      </c>
      <c r="L9963" t="s">
        <v>20</v>
      </c>
      <c r="M9963" t="s">
        <v>19357</v>
      </c>
      <c r="N9963" t="s">
        <v>14</v>
      </c>
    </row>
    <row r="9964" x14ac:dyDescent="0.25">
      <c r="A9964" t="n">
        <v>24</v>
      </c>
      <c r="B9964" t="s">
        <v>14</v>
      </c>
      <c r="C9964" t="s">
        <v>22</v>
      </c>
      <c r="D9964" s="2" t="s">
        <f>=HYPERLINK("https://main.knesset.gov.il/APPS/legislation/main/bills/2157413", "הצעת חוק-יסוד: השפיטה (תיקון - תיעוד מצולם של דיוני בתי המשפט)")</f>
        <v>13817</v>
      </c>
      <c r="E9964" t="s">
        <v>13817</v>
      </c>
      <c r="F9964" t="s">
        <v>19368</v>
      </c>
      <c r="G9964" t="s">
        <v>14</v>
      </c>
      <c r="H9964">
             </c>
      <c r="I9964" t="s">
        <v>14</v>
      </c>
      <c r="J9964" t="s">
        <v>55</v>
      </c>
      <c r="K9964" t="s">
        <v>14</v>
      </c>
      <c r="L9964" t="s">
        <v>20</v>
      </c>
      <c r="M9964" t="s">
        <v>19357</v>
      </c>
      <c r="N9964" t="s">
        <v>14</v>
      </c>
    </row>
    <row r="9965" x14ac:dyDescent="0.25">
      <c r="A9965" t="n">
        <v>24</v>
      </c>
      <c r="B9965" t="s">
        <v>14</v>
      </c>
      <c r="C9965" t="s">
        <v>22</v>
      </c>
      <c r="D9965" s="2" t="s">
        <f>=HYPERLINK("https://main.knesset.gov.il/APPS/legislation/main/bills/2157511", "הצעת חוק משק החשמל (תיקון - איסור ניתוק חשמל), התשפ""א-2021")</f>
        <v>15564</v>
      </c>
      <c r="E9965" t="s">
        <v>15564</v>
      </c>
      <c r="F9965" t="s">
        <v>19369</v>
      </c>
      <c r="G9965" t="s">
        <v>14</v>
      </c>
      <c r="H9965">
             </c>
      <c r="I9965" t="s">
        <v>14</v>
      </c>
      <c r="J9965" t="s">
        <v>55</v>
      </c>
      <c r="K9965" t="s">
        <v>14</v>
      </c>
      <c r="L9965" t="s">
        <v>20</v>
      </c>
      <c r="M9965" t="s">
        <v>19357</v>
      </c>
      <c r="N9965" t="s">
        <v>14</v>
      </c>
    </row>
    <row r="9966" x14ac:dyDescent="0.25">
      <c r="A9966" t="n">
        <v>24</v>
      </c>
      <c r="B9966" t="s">
        <v>14</v>
      </c>
      <c r="C9966" t="s">
        <v>22</v>
      </c>
      <c r="D9966" s="2" t="s">
        <f>=HYPERLINK("https://main.knesset.gov.il/APPS/legislation/main/bills/2156405", "הצעת חוק החלת הריבונות של מדינת ישראל בחבלי יהודה והשומרון, התשפ""א-2021")</f>
        <v>19370</v>
      </c>
      <c r="E9966" t="s">
        <v>19370</v>
      </c>
      <c r="F9966" t="s">
        <v>19371</v>
      </c>
      <c r="G9966" t="s">
        <v>14</v>
      </c>
      <c r="H9966">
             </c>
      <c r="I9966" t="s">
        <v>14</v>
      </c>
      <c r="J9966" t="s">
        <v>55</v>
      </c>
      <c r="K9966" t="s">
        <v>14</v>
      </c>
      <c r="L9966" t="s">
        <v>20</v>
      </c>
      <c r="M9966" t="s">
        <v>19357</v>
      </c>
      <c r="N9966" t="s">
        <v>14</v>
      </c>
    </row>
    <row r="9967" x14ac:dyDescent="0.25">
      <c r="A9967" t="n">
        <v>24</v>
      </c>
      <c r="B9967" t="s">
        <v>14</v>
      </c>
      <c r="C9967" t="s">
        <v>22</v>
      </c>
      <c r="D9967" s="2" t="s">
        <f>=HYPERLINK("https://main.knesset.gov.il/APPS/legislation/main/bills/2156362", "הצעת חוק החלת הריבונות של מדינת ישראל בחבלי יהודה והשומרון, התשפ""א-2021")</f>
        <v>19370</v>
      </c>
      <c r="E9967" t="s">
        <v>19370</v>
      </c>
      <c r="F9967" t="s">
        <v>19372</v>
      </c>
      <c r="G9967" t="s">
        <v>14</v>
      </c>
      <c r="H9967">
             </c>
      <c r="I9967" t="s">
        <v>14</v>
      </c>
      <c r="J9967" t="s">
        <v>55</v>
      </c>
      <c r="K9967" t="s">
        <v>14</v>
      </c>
      <c r="L9967" t="s">
        <v>20</v>
      </c>
      <c r="M9967" t="s">
        <v>19357</v>
      </c>
      <c r="N9967" t="s">
        <v>14</v>
      </c>
    </row>
    <row r="9968" x14ac:dyDescent="0.25">
      <c r="A9968" t="n">
        <v>24</v>
      </c>
      <c r="B9968" t="s">
        <v>14</v>
      </c>
      <c r="C9968" t="s">
        <v>22</v>
      </c>
      <c r="D9968" s="2" t="s">
        <f>=HYPERLINK("https://main.knesset.gov.il/APPS/legislation/main/bills/2156092", "הצעת חוק לתיקון פקודת הסמים המסוכנים (הגדרת צמח הקנבוס, מדרוג עבירות ועונשים בסם קנבוס), התשפ""א-2021")</f>
        <v>19359</v>
      </c>
      <c r="E9968" t="s">
        <v>19359</v>
      </c>
      <c r="F9968" t="s">
        <v>19373</v>
      </c>
      <c r="G9968" t="s">
        <v>14</v>
      </c>
      <c r="H9968">
             </c>
      <c r="I9968" t="s">
        <v>14</v>
      </c>
      <c r="J9968" t="s">
        <v>55</v>
      </c>
      <c r="K9968" t="s">
        <v>14</v>
      </c>
      <c r="L9968" t="s">
        <v>20</v>
      </c>
      <c r="M9968" t="s">
        <v>19357</v>
      </c>
      <c r="N9968" t="s">
        <v>14</v>
      </c>
    </row>
    <row r="9969" x14ac:dyDescent="0.25">
      <c r="A9969" t="n">
        <v>24</v>
      </c>
      <c r="B9969" t="s">
        <v>14</v>
      </c>
      <c r="C9969" t="s">
        <v>22</v>
      </c>
      <c r="D9969" s="2" t="s">
        <f>=HYPERLINK("https://main.knesset.gov.il/APPS/legislation/main/bills/2156159", "הצעת חוק-יסוד: הכנסת (תיקון - הרחבת העילות למניעת השתתפות בבחירות)")</f>
        <v>2473</v>
      </c>
      <c r="E9969" t="s">
        <v>2473</v>
      </c>
      <c r="F9969" t="s">
        <v>19374</v>
      </c>
      <c r="G9969" t="s">
        <v>14</v>
      </c>
      <c r="H9969">
             </c>
      <c r="I9969" t="s">
        <v>14</v>
      </c>
      <c r="J9969" t="s">
        <v>55</v>
      </c>
      <c r="K9969" t="s">
        <v>14</v>
      </c>
      <c r="L9969" t="s">
        <v>20</v>
      </c>
      <c r="M9969" t="s">
        <v>19357</v>
      </c>
      <c r="N9969" t="s">
        <v>14</v>
      </c>
    </row>
    <row r="9970" x14ac:dyDescent="0.25">
      <c r="A9970" t="n">
        <v>24</v>
      </c>
      <c r="B9970" t="s">
        <v>14</v>
      </c>
      <c r="C9970" t="s">
        <v>22</v>
      </c>
      <c r="D9970" s="2" t="s">
        <f>=HYPERLINK("https://main.knesset.gov.il/APPS/legislation/main/bills/2156788", "הצעת חוק המים (תיקון - מתן הנחות בתעריפי מים לאוכלוסיות נזקקות), התשפ""א-2021")</f>
        <v>19268</v>
      </c>
      <c r="E9970" t="s">
        <v>19268</v>
      </c>
      <c r="F9970" t="s">
        <v>19375</v>
      </c>
      <c r="G9970" t="s">
        <v>14</v>
      </c>
      <c r="H9970">
             </c>
      <c r="I9970" t="s">
        <v>14</v>
      </c>
      <c r="J9970" t="s">
        <v>55</v>
      </c>
      <c r="K9970" t="s">
        <v>14</v>
      </c>
      <c r="L9970" t="s">
        <v>20</v>
      </c>
      <c r="M9970" t="s">
        <v>19357</v>
      </c>
      <c r="N9970" t="s">
        <v>14</v>
      </c>
    </row>
    <row r="9971" x14ac:dyDescent="0.25">
      <c r="A9971" t="n">
        <v>24</v>
      </c>
      <c r="B9971" t="s">
        <v>14</v>
      </c>
      <c r="C9971" t="s">
        <v>22</v>
      </c>
      <c r="D9971" s="2" t="s">
        <f>=HYPERLINK("https://main.knesset.gov.il/APPS/legislation/main/bills/2156213", "הצעת חוק פקודת הסמים המסוכנים (תיקון - הגדרת צמח הקנבוס, מדרוג עבירות ועונשים בסם קנבוס), התשפ""א-2021")</f>
        <v>19376</v>
      </c>
      <c r="E9971" t="s">
        <v>19376</v>
      </c>
      <c r="F9971" t="s">
        <v>19377</v>
      </c>
      <c r="G9971" t="s">
        <v>14</v>
      </c>
      <c r="H9971">
             </c>
      <c r="I9971" t="s">
        <v>14</v>
      </c>
      <c r="J9971" t="s">
        <v>55</v>
      </c>
      <c r="K9971" t="s">
        <v>14</v>
      </c>
      <c r="L9971" t="s">
        <v>20</v>
      </c>
      <c r="M9971" t="s">
        <v>19357</v>
      </c>
      <c r="N9971" t="s">
        <v>14</v>
      </c>
    </row>
    <row r="9972" x14ac:dyDescent="0.25">
      <c r="A9972" t="n">
        <v>24</v>
      </c>
      <c r="B9972" t="s">
        <v>14</v>
      </c>
      <c r="C9972" t="s">
        <v>22</v>
      </c>
      <c r="D9972" s="2" t="s">
        <f>=HYPERLINK("https://main.knesset.gov.il/APPS/legislation/main/bills/2156497", "הצעת חוק חיזוק מעמד חברי המועצה (תיקוני חקיקה), התשפ""א-2021")</f>
        <v>19378</v>
      </c>
      <c r="E9972" t="s">
        <v>19378</v>
      </c>
      <c r="F9972" t="s">
        <v>19379</v>
      </c>
      <c r="G9972" t="s">
        <v>14</v>
      </c>
      <c r="H9972">
             </c>
      <c r="I9972" t="s">
        <v>14</v>
      </c>
      <c r="J9972" t="s">
        <v>55</v>
      </c>
      <c r="K9972" t="s">
        <v>14</v>
      </c>
      <c r="L9972" t="s">
        <v>20</v>
      </c>
      <c r="M9972" t="s">
        <v>19357</v>
      </c>
      <c r="N9972" t="s">
        <v>14</v>
      </c>
    </row>
    <row r="9973" x14ac:dyDescent="0.25">
      <c r="A9973" t="n">
        <v>24</v>
      </c>
      <c r="B9973" t="s">
        <v>14</v>
      </c>
      <c r="C9973" t="s">
        <v>22</v>
      </c>
      <c r="D9973" s="2" t="s">
        <f>=HYPERLINK("https://main.knesset.gov.il/APPS/legislation/main/bills/2156062", "הצעת חוק-יסוד: הכנסת (תיקון - הרחבת עילות הפסילה בגין הסתה לגזענות כנגד האוכלוסייה החרדית)")</f>
        <v>19380</v>
      </c>
      <c r="E9973" t="s">
        <v>19380</v>
      </c>
      <c r="F9973" t="s">
        <v>19381</v>
      </c>
      <c r="G9973" t="s">
        <v>14</v>
      </c>
      <c r="H9973">
             </c>
      <c r="I9973" t="s">
        <v>14</v>
      </c>
      <c r="J9973" t="s">
        <v>55</v>
      </c>
      <c r="K9973" t="s">
        <v>14</v>
      </c>
      <c r="L9973" t="s">
        <v>20</v>
      </c>
      <c r="M9973" t="s">
        <v>19357</v>
      </c>
      <c r="N9973" t="s">
        <v>14</v>
      </c>
    </row>
    <row r="9974" x14ac:dyDescent="0.25">
      <c r="A9974" t="n">
        <v>24</v>
      </c>
      <c r="B9974" t="s">
        <v>14</v>
      </c>
      <c r="C9974" t="s">
        <v>15</v>
      </c>
      <c r="D9974" s="2" t="s">
        <f>=HYPERLINK("https://main.knesset.gov.il/APPS/legislation/main/bills/2160529", "חוק הדיינים (תיקון מס' 29), התשפ""א-2021 ")</f>
        <v>19382</v>
      </c>
      <c r="E9974" t="s">
        <v>19382</v>
      </c>
      <c r="F9974" t="s">
        <v>14</v>
      </c>
      <c r="G9974" t="s">
        <v>19383</v>
      </c>
      <c r="H9974" t="n">
        <v>2921</v>
      </c>
      <c r="I9974" t="s">
        <v>14</v>
      </c>
      <c r="J9974" t="s">
        <v>91</v>
      </c>
      <c r="K9974" t="s">
        <v>27</v>
      </c>
      <c r="L9974" t="s">
        <v>20</v>
      </c>
      <c r="M9974" t="s">
        <v>19384</v>
      </c>
      <c r="N9974" t="s">
        <v>19385</v>
      </c>
    </row>
    <row r="9975" x14ac:dyDescent="0.25">
      <c r="A9975" t="n">
        <v>24</v>
      </c>
      <c r="B9975" t="s">
        <v>14</v>
      </c>
      <c r="C9975" t="s">
        <v>15</v>
      </c>
      <c r="D9975" s="2" t="s">
        <f>=HYPERLINK("https://main.knesset.gov.il/APPS/legislation/main/bills/2159659", "חוק-יסוד: הממשלה (תיקון מס' 10)")</f>
        <v>19386</v>
      </c>
      <c r="E9975" t="s">
        <v>19386</v>
      </c>
      <c r="F9975" t="s">
        <v>14</v>
      </c>
      <c r="G9975" t="s">
        <v>19387</v>
      </c>
      <c r="H9975" t="n">
        <v>2920</v>
      </c>
      <c r="I9975" t="s">
        <v>14</v>
      </c>
      <c r="J9975" t="s">
        <v>91</v>
      </c>
      <c r="K9975" t="s">
        <v>27</v>
      </c>
      <c r="L9975" t="s">
        <v>20</v>
      </c>
      <c r="M9975" t="s">
        <v>19388</v>
      </c>
      <c r="N9975" t="s">
        <v>19389</v>
      </c>
    </row>
    <row r="9976" x14ac:dyDescent="0.25">
      <c r="A9976" t="n">
        <v>24</v>
      </c>
      <c r="B9976" t="s">
        <v>14</v>
      </c>
      <c r="C9976" t="s">
        <v>22</v>
      </c>
      <c r="D9976" s="2" t="s">
        <f>=HYPERLINK("https://main.knesset.gov.il/APPS/legislation/main/bills/2159201", "הצעת חוק לתיקון פקודת התעבורה (מסירת מידע על תאונות דרכים), התשפ""א-2021")</f>
        <v>19390</v>
      </c>
      <c r="E9976" t="s">
        <v>19390</v>
      </c>
      <c r="F9976" t="s">
        <v>19391</v>
      </c>
      <c r="G9976" t="s">
        <v>14</v>
      </c>
      <c r="H9976">
             </c>
      <c r="I9976" t="s">
        <v>14</v>
      </c>
      <c r="J9976" t="s">
        <v>141</v>
      </c>
      <c r="K9976" t="s">
        <v>14</v>
      </c>
      <c r="L9976" t="s">
        <v>20</v>
      </c>
      <c r="M9976" t="s">
        <v>19388</v>
      </c>
      <c r="N9976" t="s">
        <v>14</v>
      </c>
    </row>
    <row r="9977" x14ac:dyDescent="0.25">
      <c r="A9977" t="n">
        <v>24</v>
      </c>
      <c r="B9977" t="s">
        <v>14</v>
      </c>
      <c r="C9977" t="s">
        <v>22</v>
      </c>
      <c r="D9977" s="2" t="s">
        <f>=HYPERLINK("https://main.knesset.gov.il/APPS/legislation/main/bills/2160581", "הצעת חוק איסור פרסומת והגבלת השיווק של מוצרי טבק ועישון (תיקון - פרסומות מנע של חברות מוצרי טבק ועישון), התשפ""א-2021")</f>
        <v>19392</v>
      </c>
      <c r="E9977" t="s">
        <v>19392</v>
      </c>
      <c r="F9977" t="s">
        <v>19393</v>
      </c>
      <c r="G9977" t="s">
        <v>14</v>
      </c>
      <c r="H9977">
             </c>
      <c r="I9977" t="s">
        <v>14</v>
      </c>
      <c r="J9977" t="s">
        <v>141</v>
      </c>
      <c r="K9977" t="s">
        <v>14</v>
      </c>
      <c r="L9977" t="s">
        <v>20</v>
      </c>
      <c r="M9977" t="s">
        <v>19388</v>
      </c>
      <c r="N9977" t="s">
        <v>14</v>
      </c>
    </row>
    <row r="9978" x14ac:dyDescent="0.25">
      <c r="A9978" t="n">
        <v>24</v>
      </c>
      <c r="B9978" t="s">
        <v>14</v>
      </c>
      <c r="C9978" t="s">
        <v>22</v>
      </c>
      <c r="D9978" s="2" t="s">
        <f>=HYPERLINK("https://main.knesset.gov.il/APPS/legislation/main/bills/2160740", "הצעת חוק ביטוח בריאות ממלכתי (תיקון - העברת שירותי הגמילה לתוספת השנייה), התשפ""א-2021 ")</f>
        <v>19394</v>
      </c>
      <c r="E9978" t="s">
        <v>19394</v>
      </c>
      <c r="F9978" t="s">
        <v>19395</v>
      </c>
      <c r="G9978" t="s">
        <v>14</v>
      </c>
      <c r="H9978">
             </c>
      <c r="I9978" t="s">
        <v>14</v>
      </c>
      <c r="J9978" t="s">
        <v>141</v>
      </c>
      <c r="K9978" t="s">
        <v>14</v>
      </c>
      <c r="L9978" t="s">
        <v>20</v>
      </c>
      <c r="M9978" t="s">
        <v>19388</v>
      </c>
      <c r="N9978" t="s">
        <v>14</v>
      </c>
    </row>
    <row r="9979" x14ac:dyDescent="0.25">
      <c r="A9979" t="n">
        <v>24</v>
      </c>
      <c r="B9979" t="s">
        <v>14</v>
      </c>
      <c r="C9979" t="s">
        <v>22</v>
      </c>
      <c r="D9979" s="2" t="s">
        <f>=HYPERLINK("https://main.knesset.gov.il/APPS/legislation/main/bills/2160585", "הצעת חוק הגנת הצרכן (תיקון - איסור הפליית מחירים בשל מגדר), התשפ""א-2021")</f>
        <v>19396</v>
      </c>
      <c r="E9979" t="s">
        <v>19396</v>
      </c>
      <c r="F9979" t="s">
        <v>19397</v>
      </c>
      <c r="G9979" t="s">
        <v>14</v>
      </c>
      <c r="H9979">
             </c>
      <c r="I9979" t="s">
        <v>14</v>
      </c>
      <c r="J9979" t="s">
        <v>141</v>
      </c>
      <c r="K9979" t="s">
        <v>14</v>
      </c>
      <c r="L9979" t="s">
        <v>20</v>
      </c>
      <c r="M9979" t="s">
        <v>19388</v>
      </c>
      <c r="N9979" t="s">
        <v>14</v>
      </c>
    </row>
    <row r="9980" x14ac:dyDescent="0.25">
      <c r="A9980" t="n">
        <v>24</v>
      </c>
      <c r="B9980" t="s">
        <v>14</v>
      </c>
      <c r="C9980" t="s">
        <v>22</v>
      </c>
      <c r="D9980" s="2" t="s">
        <f>=HYPERLINK("https://main.knesset.gov.il/APPS/legislation/main/bills/2160159", "הצעת חוק הביטוח הלאומי (תיקון - דמי אבטלה לעצמאיים), התשפ""א-2021")</f>
        <v>18327</v>
      </c>
      <c r="E9980" t="s">
        <v>18327</v>
      </c>
      <c r="F9980" t="s">
        <v>19398</v>
      </c>
      <c r="G9980" t="s">
        <v>14</v>
      </c>
      <c r="H9980">
             </c>
      <c r="I9980" t="s">
        <v>14</v>
      </c>
      <c r="J9980" t="s">
        <v>141</v>
      </c>
      <c r="K9980" t="s">
        <v>14</v>
      </c>
      <c r="L9980" t="s">
        <v>20</v>
      </c>
      <c r="M9980" t="s">
        <v>19388</v>
      </c>
      <c r="N9980" t="s">
        <v>14</v>
      </c>
    </row>
    <row r="9981" x14ac:dyDescent="0.25">
      <c r="A9981" t="n">
        <v>24</v>
      </c>
      <c r="B9981" t="s">
        <v>14</v>
      </c>
      <c r="C9981" t="s">
        <v>22</v>
      </c>
      <c r="D9981" s="2" t="s">
        <f>=HYPERLINK("https://main.knesset.gov.il/APPS/legislation/main/bills/2159864", "הצעת חוק לתיקון פקודת התעבורה (פטור מאגרת רישיון לרכב חשמלי), התשפ""א-2021")</f>
        <v>19399</v>
      </c>
      <c r="E9981" t="s">
        <v>19399</v>
      </c>
      <c r="F9981" t="s">
        <v>19400</v>
      </c>
      <c r="G9981" t="s">
        <v>14</v>
      </c>
      <c r="H9981">
             </c>
      <c r="I9981" t="s">
        <v>14</v>
      </c>
      <c r="J9981" t="s">
        <v>141</v>
      </c>
      <c r="K9981" t="s">
        <v>14</v>
      </c>
      <c r="L9981" t="s">
        <v>20</v>
      </c>
      <c r="M9981" t="s">
        <v>19388</v>
      </c>
      <c r="N9981" t="s">
        <v>14</v>
      </c>
    </row>
    <row r="9982" x14ac:dyDescent="0.25">
      <c r="A9982" t="n">
        <v>24</v>
      </c>
      <c r="B9982" t="s">
        <v>14</v>
      </c>
      <c r="C9982" t="s">
        <v>22</v>
      </c>
      <c r="D9982" s="2" t="s">
        <f>=HYPERLINK("https://main.knesset.gov.il/APPS/legislation/main/bills/2160063", "הצעת חוק איסור קבלת ביטחונות מעובד (תיקון - החלה על עובד המועסק ביהודה והשומרון), התשפ""א-2021")</f>
        <v>19401</v>
      </c>
      <c r="E9982" t="s">
        <v>19401</v>
      </c>
      <c r="F9982" t="s">
        <v>19402</v>
      </c>
      <c r="G9982" t="s">
        <v>14</v>
      </c>
      <c r="H9982">
             </c>
      <c r="I9982" t="s">
        <v>14</v>
      </c>
      <c r="J9982" t="s">
        <v>141</v>
      </c>
      <c r="K9982" t="s">
        <v>14</v>
      </c>
      <c r="L9982" t="s">
        <v>20</v>
      </c>
      <c r="M9982" t="s">
        <v>19388</v>
      </c>
      <c r="N9982" t="s">
        <v>14</v>
      </c>
    </row>
    <row r="9983" x14ac:dyDescent="0.25">
      <c r="A9983" t="n">
        <v>24</v>
      </c>
      <c r="B9983" t="s">
        <v>14</v>
      </c>
      <c r="C9983" t="s">
        <v>22</v>
      </c>
      <c r="D9983" s="2" t="s">
        <f>=HYPERLINK("https://main.knesset.gov.il/APPS/legislation/main/bills/2160064", "הצעת חוק שעות עבודה ומנוחה (תיקון - החלה על עובד המועסק ביהודה והשומרון), התשפ""א-2021")</f>
        <v>19403</v>
      </c>
      <c r="E9983" t="s">
        <v>19403</v>
      </c>
      <c r="F9983" t="s">
        <v>19404</v>
      </c>
      <c r="G9983" t="s">
        <v>14</v>
      </c>
      <c r="H9983">
             </c>
      <c r="I9983" t="s">
        <v>14</v>
      </c>
      <c r="J9983" t="s">
        <v>141</v>
      </c>
      <c r="K9983" t="s">
        <v>14</v>
      </c>
      <c r="L9983" t="s">
        <v>20</v>
      </c>
      <c r="M9983" t="s">
        <v>19388</v>
      </c>
      <c r="N9983" t="s">
        <v>14</v>
      </c>
    </row>
    <row r="9984" x14ac:dyDescent="0.25">
      <c r="A9984" t="n">
        <v>24</v>
      </c>
      <c r="B9984" t="s">
        <v>14</v>
      </c>
      <c r="C9984" t="s">
        <v>22</v>
      </c>
      <c r="D9984" s="2" t="s">
        <f>=HYPERLINK("https://main.knesset.gov.il/APPS/legislation/main/bills/2160741", "הצעת חוק-יסוד: הממשלה (תיקון - הגבלת כהונת ראש הממשלה)")</f>
        <v>19405</v>
      </c>
      <c r="E9984" t="s">
        <v>19405</v>
      </c>
      <c r="F9984" t="s">
        <v>19406</v>
      </c>
      <c r="G9984" t="s">
        <v>14</v>
      </c>
      <c r="H9984">
             </c>
      <c r="I9984" t="s">
        <v>14</v>
      </c>
      <c r="J9984" t="s">
        <v>141</v>
      </c>
      <c r="K9984" t="s">
        <v>14</v>
      </c>
      <c r="L9984" t="s">
        <v>20</v>
      </c>
      <c r="M9984" t="s">
        <v>19388</v>
      </c>
      <c r="N9984" t="s">
        <v>14</v>
      </c>
    </row>
    <row r="9985" x14ac:dyDescent="0.25">
      <c r="A9985" t="n">
        <v>24</v>
      </c>
      <c r="B9985" t="s">
        <v>14</v>
      </c>
      <c r="C9985" t="s">
        <v>22</v>
      </c>
      <c r="D9985" s="2" t="s">
        <f>=HYPERLINK("https://main.knesset.gov.il/APPS/legislation/main/bills/2160065", "הצעת חוק להגברת האכיפה של דיני העבודה (תיקון - החלה על עובד המועסק ביהודה והשומרון), התשפ""א-2021")</f>
        <v>19407</v>
      </c>
      <c r="E9985" t="s">
        <v>19407</v>
      </c>
      <c r="F9985" t="s">
        <v>19408</v>
      </c>
      <c r="G9985" t="s">
        <v>14</v>
      </c>
      <c r="H9985">
             </c>
      <c r="I9985" t="s">
        <v>14</v>
      </c>
      <c r="J9985" t="s">
        <v>141</v>
      </c>
      <c r="K9985" t="s">
        <v>14</v>
      </c>
      <c r="L9985" t="s">
        <v>20</v>
      </c>
      <c r="M9985" t="s">
        <v>19388</v>
      </c>
      <c r="N9985" t="s">
        <v>14</v>
      </c>
    </row>
    <row r="9986" x14ac:dyDescent="0.25">
      <c r="A9986" t="n">
        <v>24</v>
      </c>
      <c r="B9986" t="s">
        <v>14</v>
      </c>
      <c r="C9986" t="s">
        <v>22</v>
      </c>
      <c r="D9986" s="2" t="s">
        <f>=HYPERLINK("https://main.knesset.gov.il/APPS/legislation/main/bills/2159859", "הצעת חוק מיסוי מקרקעין (שבח ורכישה) (תיקון - דירה שאינה בבעלותם המשותפת של בני זוג), התשפ""א-2021")</f>
        <v>19409</v>
      </c>
      <c r="E9986" t="s">
        <v>19409</v>
      </c>
      <c r="F9986" t="s">
        <v>19410</v>
      </c>
      <c r="G9986" t="s">
        <v>14</v>
      </c>
      <c r="H9986">
             </c>
      <c r="I9986" t="s">
        <v>14</v>
      </c>
      <c r="J9986" t="s">
        <v>141</v>
      </c>
      <c r="K9986" t="s">
        <v>14</v>
      </c>
      <c r="L9986" t="s">
        <v>20</v>
      </c>
      <c r="M9986" t="s">
        <v>19388</v>
      </c>
      <c r="N9986" t="s">
        <v>14</v>
      </c>
    </row>
    <row r="9987" x14ac:dyDescent="0.25">
      <c r="A9987" t="n">
        <v>24</v>
      </c>
      <c r="B9987" t="s">
        <v>14</v>
      </c>
      <c r="C9987" t="s">
        <v>22</v>
      </c>
      <c r="D9987" s="2" t="s">
        <f>=HYPERLINK("https://main.knesset.gov.il/APPS/legislation/main/bills/2159754", "הצעת חוק שידור אירועי ספורט בעלי עניין ציבורי, התשפ""א-2021")</f>
        <v>19411</v>
      </c>
      <c r="E9987" t="s">
        <v>19411</v>
      </c>
      <c r="F9987" t="s">
        <v>19412</v>
      </c>
      <c r="G9987" t="s">
        <v>14</v>
      </c>
      <c r="H9987">
             </c>
      <c r="I9987" t="s">
        <v>14</v>
      </c>
      <c r="J9987" t="s">
        <v>141</v>
      </c>
      <c r="K9987" t="s">
        <v>14</v>
      </c>
      <c r="L9987" t="s">
        <v>20</v>
      </c>
      <c r="M9987" t="s">
        <v>19388</v>
      </c>
      <c r="N9987" t="s">
        <v>14</v>
      </c>
    </row>
    <row r="9988" x14ac:dyDescent="0.25">
      <c r="A9988" t="n">
        <v>24</v>
      </c>
      <c r="B9988" t="s">
        <v>14</v>
      </c>
      <c r="C9988" t="s">
        <v>22</v>
      </c>
      <c r="D9988" s="2" t="s">
        <f>=HYPERLINK("https://main.knesset.gov.il/APPS/legislation/main/bills/2158885", "הצעת חוק הדיור הציבורי (פתרונות דיור עבור ממתינים לדיור ציבורי), התשפ""א-2021")</f>
        <v>19413</v>
      </c>
      <c r="E9988" t="s">
        <v>19413</v>
      </c>
      <c r="F9988" t="s">
        <v>19414</v>
      </c>
      <c r="G9988" t="s">
        <v>14</v>
      </c>
      <c r="H9988">
             </c>
      <c r="I9988" t="s">
        <v>14</v>
      </c>
      <c r="J9988" t="s">
        <v>141</v>
      </c>
      <c r="K9988" t="s">
        <v>14</v>
      </c>
      <c r="L9988" t="s">
        <v>20</v>
      </c>
      <c r="M9988" t="s">
        <v>19388</v>
      </c>
      <c r="N9988" t="s">
        <v>14</v>
      </c>
    </row>
    <row r="9989" x14ac:dyDescent="0.25">
      <c r="A9989" t="n">
        <v>24</v>
      </c>
      <c r="B9989" t="s">
        <v>14</v>
      </c>
      <c r="C9989" t="s">
        <v>22</v>
      </c>
      <c r="D9989" s="2" t="s">
        <f>=HYPERLINK("https://main.knesset.gov.il/APPS/legislation/main/bills/2160633", "הצעת חוק הגנת הצרכן (תיקון - איסור גביית עמלה בעסקה שבוצעה באמצעות האינטרנט), התשפ""א-2021")</f>
        <v>19415</v>
      </c>
      <c r="E9989" t="s">
        <v>19415</v>
      </c>
      <c r="F9989" t="s">
        <v>19416</v>
      </c>
      <c r="G9989" t="s">
        <v>14</v>
      </c>
      <c r="H9989">
             </c>
      <c r="I9989" t="s">
        <v>14</v>
      </c>
      <c r="J9989" t="s">
        <v>141</v>
      </c>
      <c r="K9989" t="s">
        <v>14</v>
      </c>
      <c r="L9989" t="s">
        <v>20</v>
      </c>
      <c r="M9989" t="s">
        <v>19388</v>
      </c>
      <c r="N9989" t="s">
        <v>14</v>
      </c>
    </row>
    <row r="9990" x14ac:dyDescent="0.25">
      <c r="A9990" t="n">
        <v>24</v>
      </c>
      <c r="B9990" t="s">
        <v>14</v>
      </c>
      <c r="C9990" t="s">
        <v>22</v>
      </c>
      <c r="D9990" s="2" t="s">
        <f>=HYPERLINK("https://main.knesset.gov.il/APPS/legislation/main/bills/2159722", "הצעת חוק-יסוד: הממשלה (תיקון - הטלת התפקיד להרכיב ממשלה והגבלת מנגנון התפזרות הכנסת)")</f>
        <v>12125</v>
      </c>
      <c r="E9990" t="s">
        <v>12125</v>
      </c>
      <c r="F9990" t="s">
        <v>19417</v>
      </c>
      <c r="G9990" t="s">
        <v>14</v>
      </c>
      <c r="H9990">
             </c>
      <c r="I9990" t="s">
        <v>14</v>
      </c>
      <c r="J9990" t="s">
        <v>141</v>
      </c>
      <c r="K9990" t="s">
        <v>14</v>
      </c>
      <c r="L9990" t="s">
        <v>20</v>
      </c>
      <c r="M9990" t="s">
        <v>19388</v>
      </c>
      <c r="N9990" t="s">
        <v>14</v>
      </c>
    </row>
    <row r="9991" x14ac:dyDescent="0.25">
      <c r="A9991" t="n">
        <v>24</v>
      </c>
      <c r="B9991" t="s">
        <v>14</v>
      </c>
      <c r="C9991" t="s">
        <v>22</v>
      </c>
      <c r="D9991" s="2" t="s">
        <f>=HYPERLINK("https://main.knesset.gov.il/APPS/legislation/main/bills/2158450", "הצעת חוק מענק לבניית מרחב מוגן, התשפ""א-2021")</f>
        <v>19418</v>
      </c>
      <c r="E9991" t="s">
        <v>19418</v>
      </c>
      <c r="F9991" t="s">
        <v>19419</v>
      </c>
      <c r="G9991" t="s">
        <v>14</v>
      </c>
      <c r="H9991">
             </c>
      <c r="I9991" t="s">
        <v>14</v>
      </c>
      <c r="J9991" t="s">
        <v>141</v>
      </c>
      <c r="K9991" t="s">
        <v>14</v>
      </c>
      <c r="L9991" t="s">
        <v>20</v>
      </c>
      <c r="M9991" t="s">
        <v>19388</v>
      </c>
      <c r="N9991" t="s">
        <v>14</v>
      </c>
    </row>
    <row r="9992" x14ac:dyDescent="0.25">
      <c r="A9992" t="n">
        <v>24</v>
      </c>
      <c r="B9992" t="s">
        <v>14</v>
      </c>
      <c r="C9992" t="s">
        <v>22</v>
      </c>
      <c r="D9992" s="2" t="s">
        <f>=HYPERLINK("https://main.knesset.gov.il/APPS/legislation/main/bills/2159102", "הצעת חוק בתי המשפט (תיקון - שקיפות הליכים משפטיים בעתירות בעניינים ציבוריים) (הוראת שעה), התשפ""א-2021")</f>
        <v>19420</v>
      </c>
      <c r="E9992" t="s">
        <v>19420</v>
      </c>
      <c r="F9992" t="s">
        <v>19421</v>
      </c>
      <c r="G9992" t="s">
        <v>14</v>
      </c>
      <c r="H9992">
             </c>
      <c r="I9992" t="s">
        <v>14</v>
      </c>
      <c r="J9992" t="s">
        <v>343</v>
      </c>
      <c r="K9992" t="s">
        <v>14</v>
      </c>
      <c r="L9992" t="s">
        <v>20</v>
      </c>
      <c r="M9992" t="s">
        <v>19388</v>
      </c>
      <c r="N9992" t="s">
        <v>14</v>
      </c>
    </row>
    <row r="9993" x14ac:dyDescent="0.25">
      <c r="A9993" t="n">
        <v>24</v>
      </c>
      <c r="B9993" t="s">
        <v>14</v>
      </c>
      <c r="C9993" t="s">
        <v>22</v>
      </c>
      <c r="D9993" s="2" t="s">
        <f>=HYPERLINK("https://main.knesset.gov.il/APPS/legislation/main/bills/2157001", "הצעת חוק בתי המשפט (תיקון - שקיפות הליכים משפטיים בעתירות בעניינים ציבוריים) (הוראת שעה), התשפ""א-2021")</f>
        <v>19420</v>
      </c>
      <c r="E9993" t="s">
        <v>19420</v>
      </c>
      <c r="F9993" t="s">
        <v>19422</v>
      </c>
      <c r="G9993" t="s">
        <v>14</v>
      </c>
      <c r="H9993">
             </c>
      <c r="I9993" t="s">
        <v>14</v>
      </c>
      <c r="J9993" t="s">
        <v>141</v>
      </c>
      <c r="K9993" t="s">
        <v>14</v>
      </c>
      <c r="L9993" t="s">
        <v>20</v>
      </c>
      <c r="M9993" t="s">
        <v>19388</v>
      </c>
      <c r="N9993" t="s">
        <v>14</v>
      </c>
    </row>
    <row r="9994" x14ac:dyDescent="0.25">
      <c r="A9994" t="n">
        <v>24</v>
      </c>
      <c r="B9994" t="s">
        <v>14</v>
      </c>
      <c r="C9994" t="s">
        <v>22</v>
      </c>
      <c r="D9994" s="2" t="s">
        <f>=HYPERLINK("https://main.knesset.gov.il/APPS/legislation/main/bills/2160179", "הצעת חוק גיל פרישה (תיקון - גיל פרישה לאישה), התשפ""א-2021")</f>
        <v>19423</v>
      </c>
      <c r="E9994" t="s">
        <v>19423</v>
      </c>
      <c r="F9994" t="s">
        <v>19424</v>
      </c>
      <c r="G9994" t="s">
        <v>14</v>
      </c>
      <c r="H9994">
             </c>
      <c r="I9994" t="s">
        <v>14</v>
      </c>
      <c r="J9994" t="s">
        <v>141</v>
      </c>
      <c r="K9994" t="s">
        <v>14</v>
      </c>
      <c r="L9994" t="s">
        <v>20</v>
      </c>
      <c r="M9994" t="s">
        <v>19388</v>
      </c>
      <c r="N9994" t="s">
        <v>14</v>
      </c>
    </row>
    <row r="9995" x14ac:dyDescent="0.25">
      <c r="A9995" t="n">
        <v>24</v>
      </c>
      <c r="B9995" t="s">
        <v>14</v>
      </c>
      <c r="C9995" t="s">
        <v>22</v>
      </c>
      <c r="D9995" s="2" t="s">
        <f>=HYPERLINK("https://main.knesset.gov.il/APPS/legislation/main/bills/2159838", "הצעת חוק הביטוח הלאומי (תיקון - קצבת אזרח ותיק וקצבת נכות), התשפ""א-2021")</f>
        <v>19425</v>
      </c>
      <c r="E9995" t="s">
        <v>19425</v>
      </c>
      <c r="F9995" t="s">
        <v>19426</v>
      </c>
      <c r="G9995" t="s">
        <v>14</v>
      </c>
      <c r="H9995">
             </c>
      <c r="I9995" t="s">
        <v>14</v>
      </c>
      <c r="J9995" t="s">
        <v>141</v>
      </c>
      <c r="K9995" t="s">
        <v>14</v>
      </c>
      <c r="L9995" t="s">
        <v>20</v>
      </c>
      <c r="M9995" t="s">
        <v>19388</v>
      </c>
      <c r="N9995" t="s">
        <v>14</v>
      </c>
    </row>
    <row r="9996" x14ac:dyDescent="0.25">
      <c r="A9996" t="n">
        <v>24</v>
      </c>
      <c r="B9996" t="s">
        <v>14</v>
      </c>
      <c r="C9996" t="s">
        <v>22</v>
      </c>
      <c r="D9996" s="2" t="s">
        <f>=HYPERLINK("https://main.knesset.gov.il/APPS/legislation/main/bills/2158352", "הצעת חוק המועצה להשכלה גבוהה (תיקון - תנאי קבלה למוסד להשכלה גבוהה), התשפ""א-2021")</f>
        <v>19427</v>
      </c>
      <c r="E9996" t="s">
        <v>19427</v>
      </c>
      <c r="F9996" t="s">
        <v>19428</v>
      </c>
      <c r="G9996" t="s">
        <v>14</v>
      </c>
      <c r="H9996">
             </c>
      <c r="I9996" t="s">
        <v>14</v>
      </c>
      <c r="J9996" t="s">
        <v>141</v>
      </c>
      <c r="K9996" t="s">
        <v>14</v>
      </c>
      <c r="L9996" t="s">
        <v>20</v>
      </c>
      <c r="M9996" t="s">
        <v>19388</v>
      </c>
      <c r="N9996" t="s">
        <v>14</v>
      </c>
    </row>
    <row r="9997" x14ac:dyDescent="0.25">
      <c r="A9997" t="n">
        <v>24</v>
      </c>
      <c r="B9997" t="s">
        <v>14</v>
      </c>
      <c r="C9997" t="s">
        <v>22</v>
      </c>
      <c r="D9997" s="2" t="s">
        <f>=HYPERLINK("https://main.knesset.gov.il/APPS/legislation/main/bills/2159744", "הצעת חוק הביטוח הלאומי (תיקון - הצמדת קצבת אזרח ותיק לשכר המינימום), התשפ""א-2021")</f>
        <v>19429</v>
      </c>
      <c r="E9997" t="s">
        <v>19429</v>
      </c>
      <c r="F9997" t="s">
        <v>19430</v>
      </c>
      <c r="G9997" t="s">
        <v>14</v>
      </c>
      <c r="H9997">
             </c>
      <c r="I9997" t="s">
        <v>14</v>
      </c>
      <c r="J9997" t="s">
        <v>141</v>
      </c>
      <c r="K9997" t="s">
        <v>14</v>
      </c>
      <c r="L9997" t="s">
        <v>20</v>
      </c>
      <c r="M9997" t="s">
        <v>19388</v>
      </c>
      <c r="N9997" t="s">
        <v>14</v>
      </c>
    </row>
    <row r="9998" x14ac:dyDescent="0.25">
      <c r="A9998" t="n">
        <v>24</v>
      </c>
      <c r="B9998" t="s">
        <v>14</v>
      </c>
      <c r="C9998" t="s">
        <v>22</v>
      </c>
      <c r="D9998" s="2" t="s">
        <f>=HYPERLINK("https://main.knesset.gov.il/APPS/legislation/main/bills/2160016", "הצעת חוק הגנת הפרטיות (תיקון - תקופת ההתיישנות), התשפ""א-2021")</f>
        <v>19431</v>
      </c>
      <c r="E9998" t="s">
        <v>19431</v>
      </c>
      <c r="F9998" t="s">
        <v>19432</v>
      </c>
      <c r="G9998" t="s">
        <v>14</v>
      </c>
      <c r="H9998">
             </c>
      <c r="I9998" t="s">
        <v>14</v>
      </c>
      <c r="J9998" t="s">
        <v>141</v>
      </c>
      <c r="K9998" t="s">
        <v>14</v>
      </c>
      <c r="L9998" t="s">
        <v>20</v>
      </c>
      <c r="M9998" t="s">
        <v>19388</v>
      </c>
      <c r="N9998" t="s">
        <v>14</v>
      </c>
    </row>
    <row r="9999" x14ac:dyDescent="0.25">
      <c r="A9999" t="n">
        <v>24</v>
      </c>
      <c r="B9999" t="s">
        <v>14</v>
      </c>
      <c r="C9999" t="s">
        <v>22</v>
      </c>
      <c r="D9999" s="2" t="s">
        <f>=HYPERLINK("https://main.knesset.gov.il/APPS/legislation/main/bills/2159994", "הצעת חוק לתיקון פקודת הראיות (פסילת ראיה), התשפ""א-2021")</f>
        <v>17849</v>
      </c>
      <c r="E9999" t="s">
        <v>17849</v>
      </c>
      <c r="F9999" t="s">
        <v>19433</v>
      </c>
      <c r="G9999" t="s">
        <v>14</v>
      </c>
      <c r="H9999">
             </c>
      <c r="I9999" t="s">
        <v>14</v>
      </c>
      <c r="J9999" t="s">
        <v>141</v>
      </c>
      <c r="K9999" t="s">
        <v>14</v>
      </c>
      <c r="L9999" t="s">
        <v>20</v>
      </c>
      <c r="M9999" t="s">
        <v>19388</v>
      </c>
      <c r="N9999" t="s">
        <v>14</v>
      </c>
    </row>
    <row r="10000" x14ac:dyDescent="0.25">
      <c r="A10000" t="n">
        <v>24</v>
      </c>
      <c r="B10000" t="s">
        <v>14</v>
      </c>
      <c r="C10000" t="s">
        <v>22</v>
      </c>
      <c r="D10000" s="2" t="s">
        <f>=HYPERLINK("https://main.knesset.gov.il/APPS/legislation/main/bills/2159145", "הצעת חוק לתיקון פקודת מס הכנסה (פטור ממס לגמלאים על תשלומי הפנסיה), התשפ""א-2021")</f>
        <v>19434</v>
      </c>
      <c r="E10000" t="s">
        <v>19434</v>
      </c>
      <c r="F10000" t="s">
        <v>19435</v>
      </c>
      <c r="G10000" t="s">
        <v>14</v>
      </c>
      <c r="H10000">
             </c>
      <c r="I10000" t="s">
        <v>14</v>
      </c>
      <c r="J10000" t="s">
        <v>141</v>
      </c>
      <c r="K10000" t="s">
        <v>14</v>
      </c>
      <c r="L10000" t="s">
        <v>20</v>
      </c>
      <c r="M10000" t="s">
        <v>19388</v>
      </c>
      <c r="N10000" t="s">
        <v>14</v>
      </c>
    </row>
    <row r="10001" x14ac:dyDescent="0.25">
      <c r="A10001" t="n">
        <v>24</v>
      </c>
      <c r="B10001" t="s">
        <v>14</v>
      </c>
      <c r="C10001" t="s">
        <v>22</v>
      </c>
      <c r="D10001" s="2" t="s">
        <f>=HYPERLINK("https://main.knesset.gov.il/APPS/legislation/main/bills/2159294", "הצעת חוק בית המשפט לענייני משפחה (תיקון - בני הזוג מאותו המין), התשפ""א-2021")</f>
        <v>19436</v>
      </c>
      <c r="E10001" t="s">
        <v>19436</v>
      </c>
      <c r="F10001" t="s">
        <v>19437</v>
      </c>
      <c r="G10001" t="s">
        <v>14</v>
      </c>
      <c r="H10001">
             </c>
      <c r="I10001" t="s">
        <v>14</v>
      </c>
      <c r="J10001" t="s">
        <v>141</v>
      </c>
      <c r="K10001" t="s">
        <v>14</v>
      </c>
      <c r="L10001" t="s">
        <v>20</v>
      </c>
      <c r="M10001" t="s">
        <v>19388</v>
      </c>
      <c r="N10001" t="s">
        <v>14</v>
      </c>
    </row>
    <row r="10002" x14ac:dyDescent="0.25">
      <c r="A10002" t="n">
        <v>24</v>
      </c>
      <c r="B10002" t="s">
        <v>14</v>
      </c>
      <c r="C10002" t="s">
        <v>22</v>
      </c>
      <c r="D10002" s="2" t="s">
        <f>=HYPERLINK("https://main.knesset.gov.il/APPS/legislation/main/bills/2159746", "הצעת חוק לקידום מתחרים ולהגברת יעילות במתן רישיונות והיתרים בענף הפיננסים, התשפ""א-2021 ")</f>
        <v>19438</v>
      </c>
      <c r="E10002" t="s">
        <v>19438</v>
      </c>
      <c r="F10002" t="s">
        <v>19439</v>
      </c>
      <c r="G10002" t="s">
        <v>14</v>
      </c>
      <c r="H10002">
             </c>
      <c r="I10002" t="s">
        <v>14</v>
      </c>
      <c r="J10002" t="s">
        <v>141</v>
      </c>
      <c r="K10002" t="s">
        <v>14</v>
      </c>
      <c r="L10002" t="s">
        <v>20</v>
      </c>
      <c r="M10002" t="s">
        <v>19388</v>
      </c>
      <c r="N10002" t="s">
        <v>14</v>
      </c>
    </row>
    <row r="10003" x14ac:dyDescent="0.25">
      <c r="A10003" t="n">
        <v>24</v>
      </c>
      <c r="B10003" t="s">
        <v>14</v>
      </c>
      <c r="C10003" t="s">
        <v>22</v>
      </c>
      <c r="D10003" s="2" t="s">
        <f>=HYPERLINK("https://main.knesset.gov.il/APPS/legislation/main/bills/2159940", "הצעת חוק הקמת המוסד העליון לשפת הסימנים הישראלית, התשפ""א-2021")</f>
        <v>18971</v>
      </c>
      <c r="E10003" t="s">
        <v>18971</v>
      </c>
      <c r="F10003" t="s">
        <v>19440</v>
      </c>
      <c r="G10003" t="s">
        <v>14</v>
      </c>
      <c r="H10003">
             </c>
      <c r="I10003" t="s">
        <v>14</v>
      </c>
      <c r="J10003" t="s">
        <v>141</v>
      </c>
      <c r="K10003" t="s">
        <v>14</v>
      </c>
      <c r="L10003" t="s">
        <v>20</v>
      </c>
      <c r="M10003" t="s">
        <v>19388</v>
      </c>
      <c r="N10003" t="s">
        <v>14</v>
      </c>
    </row>
    <row r="10004" x14ac:dyDescent="0.25">
      <c r="A10004" t="n">
        <v>24</v>
      </c>
      <c r="B10004" t="s">
        <v>14</v>
      </c>
      <c r="C10004" t="s">
        <v>22</v>
      </c>
      <c r="D10004" s="2" t="s">
        <f>=HYPERLINK("https://main.knesset.gov.il/APPS/legislation/main/bills/2160059", "הצעת חוק החלת הריבונות הישראלית על בקעת הירדן, התשפ""א-2021")</f>
        <v>19441</v>
      </c>
      <c r="E10004" t="s">
        <v>19441</v>
      </c>
      <c r="F10004" t="s">
        <v>19442</v>
      </c>
      <c r="G10004" t="s">
        <v>14</v>
      </c>
      <c r="H10004">
             </c>
      <c r="I10004" t="s">
        <v>14</v>
      </c>
      <c r="J10004" t="s">
        <v>141</v>
      </c>
      <c r="K10004" t="s">
        <v>14</v>
      </c>
      <c r="L10004" t="s">
        <v>20</v>
      </c>
      <c r="M10004" t="s">
        <v>19388</v>
      </c>
      <c r="N10004" t="s">
        <v>14</v>
      </c>
    </row>
    <row r="10005" x14ac:dyDescent="0.25">
      <c r="A10005" t="n">
        <v>24</v>
      </c>
      <c r="B10005" t="s">
        <v>14</v>
      </c>
      <c r="C10005" t="s">
        <v>22</v>
      </c>
      <c r="D10005" s="2" t="s">
        <f>=HYPERLINK("https://main.knesset.gov.il/APPS/legislation/main/bills/2160539", "הצעת חוק מס ערך מוסף (תיקון - מס בשיעור אפס על מוצרי היגיינה נשית), התשפ""א-2021")</f>
        <v>19443</v>
      </c>
      <c r="E10005" t="s">
        <v>19443</v>
      </c>
      <c r="F10005" t="s">
        <v>19444</v>
      </c>
      <c r="G10005" t="s">
        <v>14</v>
      </c>
      <c r="H10005">
             </c>
      <c r="I10005" t="s">
        <v>14</v>
      </c>
      <c r="J10005" t="s">
        <v>141</v>
      </c>
      <c r="K10005" t="s">
        <v>14</v>
      </c>
      <c r="L10005" t="s">
        <v>20</v>
      </c>
      <c r="M10005" t="s">
        <v>19388</v>
      </c>
      <c r="N10005" t="s">
        <v>14</v>
      </c>
    </row>
    <row r="10006" x14ac:dyDescent="0.25">
      <c r="A10006" t="n">
        <v>24</v>
      </c>
      <c r="B10006" t="s">
        <v>14</v>
      </c>
      <c r="C10006" t="s">
        <v>22</v>
      </c>
      <c r="D10006" s="2" t="s">
        <f>=HYPERLINK("https://main.knesset.gov.il/APPS/legislation/main/bills/2159646", "הצעת חוק ליישוב תחת איום מיידי (הוראת שעה), התשפ""א-2021")</f>
        <v>18820</v>
      </c>
      <c r="E10006" t="s">
        <v>18820</v>
      </c>
      <c r="F10006" t="s">
        <v>19445</v>
      </c>
      <c r="G10006" t="s">
        <v>14</v>
      </c>
      <c r="H10006">
             </c>
      <c r="I10006" t="s">
        <v>14</v>
      </c>
      <c r="J10006" t="s">
        <v>141</v>
      </c>
      <c r="K10006" t="s">
        <v>14</v>
      </c>
      <c r="L10006" t="s">
        <v>20</v>
      </c>
      <c r="M10006" t="s">
        <v>19388</v>
      </c>
      <c r="N10006" t="s">
        <v>14</v>
      </c>
    </row>
    <row r="10007" x14ac:dyDescent="0.25">
      <c r="A10007" t="n">
        <v>24</v>
      </c>
      <c r="B10007" t="s">
        <v>14</v>
      </c>
      <c r="C10007" t="s">
        <v>22</v>
      </c>
      <c r="D10007" s="2" t="s">
        <f>=HYPERLINK("https://main.knesset.gov.il/APPS/legislation/main/bills/2160028", "הצעת חוק הביטוח הלאומי (תיקון - עבודה במסגרות חינוך בלתי פורמלי כעבודה מועדפת), התשפ""א-2021")</f>
        <v>19446</v>
      </c>
      <c r="E10007" t="s">
        <v>19446</v>
      </c>
      <c r="F10007" t="s">
        <v>19447</v>
      </c>
      <c r="G10007" t="s">
        <v>14</v>
      </c>
      <c r="H10007">
             </c>
      <c r="I10007" t="s">
        <v>14</v>
      </c>
      <c r="J10007" t="s">
        <v>141</v>
      </c>
      <c r="K10007" t="s">
        <v>14</v>
      </c>
      <c r="L10007" t="s">
        <v>20</v>
      </c>
      <c r="M10007" t="s">
        <v>19388</v>
      </c>
      <c r="N10007" t="s">
        <v>14</v>
      </c>
    </row>
    <row r="10008" x14ac:dyDescent="0.25">
      <c r="A10008" t="n">
        <v>24</v>
      </c>
      <c r="B10008" t="s">
        <v>14</v>
      </c>
      <c r="C10008" t="s">
        <v>22</v>
      </c>
      <c r="D10008" s="2" t="s">
        <f>=HYPERLINK("https://main.knesset.gov.il/APPS/legislation/main/bills/2159741", "הצעת חוק הפקדות וזכויות סוציאליות לעצמאים (תיקוני חקיקה), התשפ""א-2021")</f>
        <v>18347</v>
      </c>
      <c r="E10008" t="s">
        <v>18347</v>
      </c>
      <c r="F10008" t="s">
        <v>19448</v>
      </c>
      <c r="G10008" t="s">
        <v>14</v>
      </c>
      <c r="H10008">
             </c>
      <c r="I10008" t="s">
        <v>14</v>
      </c>
      <c r="J10008" t="s">
        <v>141</v>
      </c>
      <c r="K10008" t="s">
        <v>14</v>
      </c>
      <c r="L10008" t="s">
        <v>20</v>
      </c>
      <c r="M10008" t="s">
        <v>19388</v>
      </c>
      <c r="N10008" t="s">
        <v>14</v>
      </c>
    </row>
    <row r="10009" x14ac:dyDescent="0.25">
      <c r="A10009" t="n">
        <v>24</v>
      </c>
      <c r="B10009" t="s">
        <v>14</v>
      </c>
      <c r="C10009" t="s">
        <v>22</v>
      </c>
      <c r="D10009" s="2" t="s">
        <f>=HYPERLINK("https://main.knesset.gov.il/APPS/legislation/main/bills/2159786", "הצעת חוק ההתגוננות האזרחית (תיקון - פיקוח על מקלטים משותפים), התשפ""א-2021")</f>
        <v>19449</v>
      </c>
      <c r="E10009" t="s">
        <v>19449</v>
      </c>
      <c r="F10009" t="s">
        <v>19450</v>
      </c>
      <c r="G10009" t="s">
        <v>14</v>
      </c>
      <c r="H10009">
             </c>
      <c r="I10009" t="s">
        <v>14</v>
      </c>
      <c r="J10009" t="s">
        <v>141</v>
      </c>
      <c r="K10009" t="s">
        <v>14</v>
      </c>
      <c r="L10009" t="s">
        <v>20</v>
      </c>
      <c r="M10009" t="s">
        <v>19388</v>
      </c>
      <c r="N10009" t="s">
        <v>14</v>
      </c>
    </row>
    <row r="10010" x14ac:dyDescent="0.25">
      <c r="A10010" t="n">
        <v>24</v>
      </c>
      <c r="B10010" t="s">
        <v>14</v>
      </c>
      <c r="C10010" t="s">
        <v>22</v>
      </c>
      <c r="D10010" s="2" t="s">
        <f>=HYPERLINK("https://main.knesset.gov.il/APPS/legislation/main/bills/2156217", "הצעת חוק התכנון והבנייה (תיקון מס' 116) (תיקון - ביטול החוק), התשפ""א-2021")</f>
        <v>19451</v>
      </c>
      <c r="E10010" t="s">
        <v>19451</v>
      </c>
      <c r="F10010" t="s">
        <v>19452</v>
      </c>
      <c r="G10010" t="s">
        <v>14</v>
      </c>
      <c r="H10010">
             </c>
      <c r="I10010" t="s">
        <v>14</v>
      </c>
      <c r="J10010" t="s">
        <v>141</v>
      </c>
      <c r="K10010" t="s">
        <v>14</v>
      </c>
      <c r="L10010" t="s">
        <v>20</v>
      </c>
      <c r="M10010" t="s">
        <v>19388</v>
      </c>
      <c r="N10010" t="s">
        <v>14</v>
      </c>
    </row>
    <row r="10011" x14ac:dyDescent="0.25">
      <c r="A10011" t="n">
        <v>24</v>
      </c>
      <c r="B10011" t="s">
        <v>14</v>
      </c>
      <c r="C10011" t="s">
        <v>22</v>
      </c>
      <c r="D10011" s="2" t="s">
        <f>=HYPERLINK("https://main.knesset.gov.il/APPS/legislation/main/bills/2159748", "הצעת חוק-יסוד: בחירות אזוריות וארציות (תיקוני חקיקה)")</f>
        <v>13073</v>
      </c>
      <c r="E10011" t="s">
        <v>13073</v>
      </c>
      <c r="F10011" t="s">
        <v>19453</v>
      </c>
      <c r="G10011" t="s">
        <v>14</v>
      </c>
      <c r="H10011">
             </c>
      <c r="I10011" t="s">
        <v>14</v>
      </c>
      <c r="J10011" t="s">
        <v>141</v>
      </c>
      <c r="K10011" t="s">
        <v>14</v>
      </c>
      <c r="L10011" t="s">
        <v>20</v>
      </c>
      <c r="M10011" t="s">
        <v>19388</v>
      </c>
      <c r="N10011" t="s">
        <v>14</v>
      </c>
    </row>
    <row r="10012" x14ac:dyDescent="0.25">
      <c r="A10012" t="n">
        <v>24</v>
      </c>
      <c r="B10012" t="s">
        <v>14</v>
      </c>
      <c r="C10012" t="s">
        <v>22</v>
      </c>
      <c r="D10012" s="2" t="s">
        <f>=HYPERLINK("https://main.knesset.gov.il/APPS/legislation/main/bills/2160287", "הצעת חוק הסדרת התפילה בכותל המערבי, התשפ""א-2021")</f>
        <v>19454</v>
      </c>
      <c r="E10012" t="s">
        <v>19454</v>
      </c>
      <c r="F10012" t="s">
        <v>19455</v>
      </c>
      <c r="G10012" t="s">
        <v>14</v>
      </c>
      <c r="H10012">
             </c>
      <c r="I10012" t="s">
        <v>14</v>
      </c>
      <c r="J10012" t="s">
        <v>141</v>
      </c>
      <c r="K10012" t="s">
        <v>14</v>
      </c>
      <c r="L10012" t="s">
        <v>20</v>
      </c>
      <c r="M10012" t="s">
        <v>19388</v>
      </c>
      <c r="N10012" t="s">
        <v>14</v>
      </c>
    </row>
    <row r="10013" x14ac:dyDescent="0.25">
      <c r="A10013" t="n">
        <v>24</v>
      </c>
      <c r="B10013" t="s">
        <v>14</v>
      </c>
      <c r="C10013" t="s">
        <v>22</v>
      </c>
      <c r="D10013" s="2" t="s">
        <f>=HYPERLINK("https://main.knesset.gov.il/APPS/legislation/main/bills/2156496", "הצעת חוק הכשרות המשפטית והאפוטרופסות (תיקון - ביטול חזקת הגיל הרך), התשפ""א-2021")</f>
        <v>19456</v>
      </c>
      <c r="E10013" t="s">
        <v>19456</v>
      </c>
      <c r="F10013" t="s">
        <v>19457</v>
      </c>
      <c r="G10013" t="s">
        <v>14</v>
      </c>
      <c r="H10013">
             </c>
      <c r="I10013" t="s">
        <v>14</v>
      </c>
      <c r="J10013" t="s">
        <v>141</v>
      </c>
      <c r="K10013" t="s">
        <v>14</v>
      </c>
      <c r="L10013" t="s">
        <v>20</v>
      </c>
      <c r="M10013" t="s">
        <v>19388</v>
      </c>
      <c r="N10013" t="s">
        <v>14</v>
      </c>
    </row>
    <row r="10014" x14ac:dyDescent="0.25">
      <c r="A10014" t="n">
        <v>24</v>
      </c>
      <c r="B10014" t="s">
        <v>14</v>
      </c>
      <c r="C10014" t="s">
        <v>22</v>
      </c>
      <c r="D10014" s="2" t="s">
        <f>=HYPERLINK("https://main.knesset.gov.il/APPS/legislation/main/bills/2159753", "הצעת חוק חיזוק מעמד חברי המועצה (תיקוני חקיקה), התשפ""א-2021")</f>
        <v>19378</v>
      </c>
      <c r="E10014" t="s">
        <v>19378</v>
      </c>
      <c r="F10014" t="s">
        <v>19458</v>
      </c>
      <c r="G10014" t="s">
        <v>14</v>
      </c>
      <c r="H10014">
             </c>
      <c r="I10014" t="s">
        <v>14</v>
      </c>
      <c r="J10014" t="s">
        <v>141</v>
      </c>
      <c r="K10014" t="s">
        <v>14</v>
      </c>
      <c r="L10014" t="s">
        <v>20</v>
      </c>
      <c r="M10014" t="s">
        <v>19388</v>
      </c>
      <c r="N10014" t="s">
        <v>14</v>
      </c>
    </row>
    <row r="10015" x14ac:dyDescent="0.25">
      <c r="A10015" t="n">
        <v>24</v>
      </c>
      <c r="B10015" t="s">
        <v>14</v>
      </c>
      <c r="C10015" t="s">
        <v>22</v>
      </c>
      <c r="D10015" s="2" t="s">
        <f>=HYPERLINK("https://main.knesset.gov.il/APPS/legislation/main/bills/2160380", "הצעת חוק לתיקון פקודת הסמים המסוכנים (הגדרת צמח הקנבוס, מדרוג עבירות ועונשים בסם קנבוס), התשפ""א-2021")</f>
        <v>19359</v>
      </c>
      <c r="E10015" t="s">
        <v>19359</v>
      </c>
      <c r="F10015" t="s">
        <v>19459</v>
      </c>
      <c r="G10015" t="s">
        <v>14</v>
      </c>
      <c r="H10015">
             </c>
      <c r="I10015" t="s">
        <v>14</v>
      </c>
      <c r="J10015" t="s">
        <v>141</v>
      </c>
      <c r="K10015" t="s">
        <v>14</v>
      </c>
      <c r="L10015" t="s">
        <v>20</v>
      </c>
      <c r="M10015" t="s">
        <v>19388</v>
      </c>
      <c r="N10015" t="s">
        <v>14</v>
      </c>
    </row>
    <row r="10016" x14ac:dyDescent="0.25">
      <c r="A10016" t="n">
        <v>24</v>
      </c>
      <c r="B10016" t="s">
        <v>14</v>
      </c>
      <c r="C10016" t="s">
        <v>22</v>
      </c>
      <c r="D10016" s="2" t="s">
        <f>=HYPERLINK("https://main.knesset.gov.il/APPS/legislation/main/bills/2160288", "הצעת חוק צער בעלי חיים (הגנה על בעלי חיים) (תיקון - איסור משלוחים חיים לשחיטה), התשפ""א-2021")</f>
        <v>19324</v>
      </c>
      <c r="E10016" t="s">
        <v>19324</v>
      </c>
      <c r="F10016" t="s">
        <v>19460</v>
      </c>
      <c r="G10016" t="s">
        <v>14</v>
      </c>
      <c r="H10016">
             </c>
      <c r="I10016" t="s">
        <v>14</v>
      </c>
      <c r="J10016" t="s">
        <v>141</v>
      </c>
      <c r="K10016" t="s">
        <v>14</v>
      </c>
      <c r="L10016" t="s">
        <v>20</v>
      </c>
      <c r="M10016" t="s">
        <v>19388</v>
      </c>
      <c r="N10016" t="s">
        <v>14</v>
      </c>
    </row>
    <row r="10017" x14ac:dyDescent="0.25">
      <c r="A10017" t="n">
        <v>24</v>
      </c>
      <c r="B10017" t="s">
        <v>14</v>
      </c>
      <c r="C10017" t="s">
        <v>22</v>
      </c>
      <c r="D10017" s="2" t="s">
        <f>=HYPERLINK("https://main.knesset.gov.il/APPS/legislation/main/bills/2158934", "הצעת חוק זכויות החולה (תיקון - שיכוך כאב בעת מתן טיפול רפואי לקטין), התשפ""א-2021")</f>
        <v>19461</v>
      </c>
      <c r="E10017" t="s">
        <v>19461</v>
      </c>
      <c r="F10017" t="s">
        <v>19462</v>
      </c>
      <c r="G10017" t="s">
        <v>14</v>
      </c>
      <c r="H10017">
             </c>
      <c r="I10017" t="s">
        <v>14</v>
      </c>
      <c r="J10017" t="s">
        <v>141</v>
      </c>
      <c r="K10017" t="s">
        <v>14</v>
      </c>
      <c r="L10017" t="s">
        <v>20</v>
      </c>
      <c r="M10017" t="s">
        <v>19388</v>
      </c>
      <c r="N10017" t="s">
        <v>14</v>
      </c>
    </row>
    <row r="10018" x14ac:dyDescent="0.25">
      <c r="A10018" t="n">
        <v>24</v>
      </c>
      <c r="B10018" t="s">
        <v>14</v>
      </c>
      <c r="C10018" t="s">
        <v>22</v>
      </c>
      <c r="D10018" s="2" t="s">
        <f>=HYPERLINK("https://main.knesset.gov.il/APPS/legislation/main/bills/2158537", "הצעת חוק הביטוח הלאומי (תיקון - עבודה מועדפת בענף המסעדנות בעוטף עזה), התשפ""א-2021")</f>
        <v>19463</v>
      </c>
      <c r="E10018" t="s">
        <v>19463</v>
      </c>
      <c r="F10018" t="s">
        <v>19464</v>
      </c>
      <c r="G10018" t="s">
        <v>14</v>
      </c>
      <c r="H10018">
             </c>
      <c r="I10018" t="s">
        <v>14</v>
      </c>
      <c r="J10018" t="s">
        <v>141</v>
      </c>
      <c r="K10018" t="s">
        <v>14</v>
      </c>
      <c r="L10018" t="s">
        <v>20</v>
      </c>
      <c r="M10018" t="s">
        <v>19388</v>
      </c>
      <c r="N10018" t="s">
        <v>14</v>
      </c>
    </row>
    <row r="10019" x14ac:dyDescent="0.25">
      <c r="A10019" t="n">
        <v>24</v>
      </c>
      <c r="B10019" t="s">
        <v>14</v>
      </c>
      <c r="C10019" t="s">
        <v>22</v>
      </c>
      <c r="D10019" s="2" t="s">
        <f>=HYPERLINK("https://main.knesset.gov.il/APPS/legislation/main/bills/2160017", "הצעת חוק הבטחת הכנסה (תיקון - תוספת לגמלה בעד הילד השלישי ואילך), התשפ""א-2021")</f>
        <v>19465</v>
      </c>
      <c r="E10019" t="s">
        <v>19465</v>
      </c>
      <c r="F10019" t="s">
        <v>19466</v>
      </c>
      <c r="G10019" t="s">
        <v>14</v>
      </c>
      <c r="H10019">
             </c>
      <c r="I10019" t="s">
        <v>14</v>
      </c>
      <c r="J10019" t="s">
        <v>141</v>
      </c>
      <c r="K10019" t="s">
        <v>14</v>
      </c>
      <c r="L10019" t="s">
        <v>20</v>
      </c>
      <c r="M10019" t="s">
        <v>19388</v>
      </c>
      <c r="N10019" t="s">
        <v>14</v>
      </c>
    </row>
    <row r="10020" x14ac:dyDescent="0.25">
      <c r="A10020" t="n">
        <v>24</v>
      </c>
      <c r="B10020" t="s">
        <v>14</v>
      </c>
      <c r="C10020" t="s">
        <v>22</v>
      </c>
      <c r="D10020" s="2" t="s">
        <f>=HYPERLINK("https://main.knesset.gov.il/APPS/legislation/main/bills/2159075", "הצעת חוק ביטוח בריאות ממלכתי (תיקון - עיגון זכאות לשירותים לילדים עם אוטיזם), התשפ""א-2021")</f>
        <v>19467</v>
      </c>
      <c r="E10020" t="s">
        <v>19467</v>
      </c>
      <c r="F10020" t="s">
        <v>19468</v>
      </c>
      <c r="G10020" t="s">
        <v>14</v>
      </c>
      <c r="H10020">
             </c>
      <c r="I10020" t="s">
        <v>14</v>
      </c>
      <c r="J10020" t="s">
        <v>141</v>
      </c>
      <c r="K10020" t="s">
        <v>14</v>
      </c>
      <c r="L10020" t="s">
        <v>20</v>
      </c>
      <c r="M10020" t="s">
        <v>19388</v>
      </c>
      <c r="N10020" t="s">
        <v>14</v>
      </c>
    </row>
    <row r="10021" x14ac:dyDescent="0.25">
      <c r="A10021" t="n">
        <v>24</v>
      </c>
      <c r="B10021" t="s">
        <v>14</v>
      </c>
      <c r="C10021" t="s">
        <v>22</v>
      </c>
      <c r="D10021" s="2" t="s">
        <f>=HYPERLINK("https://main.knesset.gov.il/APPS/legislation/main/bills/2156761", "הצעת חוק נציב תלונות הציבור על שופטים (תיקון - נציבות תלונות הציבור על דיינים וקאדים), התשפ""א-2021")</f>
        <v>19469</v>
      </c>
      <c r="E10021" t="s">
        <v>19469</v>
      </c>
      <c r="F10021" t="s">
        <v>19470</v>
      </c>
      <c r="G10021" t="s">
        <v>14</v>
      </c>
      <c r="H10021">
             </c>
      <c r="I10021" t="s">
        <v>14</v>
      </c>
      <c r="J10021" t="s">
        <v>141</v>
      </c>
      <c r="K10021" t="s">
        <v>14</v>
      </c>
      <c r="L10021" t="s">
        <v>20</v>
      </c>
      <c r="M10021" t="s">
        <v>19388</v>
      </c>
      <c r="N10021" t="s">
        <v>14</v>
      </c>
    </row>
    <row r="10022" x14ac:dyDescent="0.25">
      <c r="A10022" t="n">
        <v>24</v>
      </c>
      <c r="B10022" t="s">
        <v>14</v>
      </c>
      <c r="C10022" t="s">
        <v>22</v>
      </c>
      <c r="D10022" s="2" t="s">
        <f>=HYPERLINK("https://main.knesset.gov.il/APPS/legislation/main/bills/2159331", "הצעת חוק חסינות חברי הכנסת, זכויותיהם וחובותיהם (תיקון - ביקור במוסדות ובמתקנים סגורים ותחולה באזור), התשפ""א-2021")</f>
        <v>19471</v>
      </c>
      <c r="E10022" t="s">
        <v>19471</v>
      </c>
      <c r="F10022" t="s">
        <v>19472</v>
      </c>
      <c r="G10022" t="s">
        <v>14</v>
      </c>
      <c r="H10022">
             </c>
      <c r="I10022" t="s">
        <v>14</v>
      </c>
      <c r="J10022" t="s">
        <v>141</v>
      </c>
      <c r="K10022" t="s">
        <v>14</v>
      </c>
      <c r="L10022" t="s">
        <v>20</v>
      </c>
      <c r="M10022" t="s">
        <v>19388</v>
      </c>
      <c r="N10022" t="s">
        <v>14</v>
      </c>
    </row>
    <row r="10023" x14ac:dyDescent="0.25">
      <c r="A10023" t="n">
        <v>24</v>
      </c>
      <c r="B10023" t="s">
        <v>14</v>
      </c>
      <c r="C10023" t="s">
        <v>22</v>
      </c>
      <c r="D10023" s="2" t="s">
        <f>=HYPERLINK("https://main.knesset.gov.il/APPS/legislation/main/bills/2160071", "הצעת חוק אימוץ ילדים (תיקון - אימוץ על ידי בני הזוג), התשפ""א-2021")</f>
        <v>19473</v>
      </c>
      <c r="E10023" t="s">
        <v>19473</v>
      </c>
      <c r="F10023" t="s">
        <v>19474</v>
      </c>
      <c r="G10023" t="s">
        <v>14</v>
      </c>
      <c r="H10023">
             </c>
      <c r="I10023" t="s">
        <v>14</v>
      </c>
      <c r="J10023" t="s">
        <v>141</v>
      </c>
      <c r="K10023" t="s">
        <v>14</v>
      </c>
      <c r="L10023" t="s">
        <v>20</v>
      </c>
      <c r="M10023" t="s">
        <v>19388</v>
      </c>
      <c r="N10023" t="s">
        <v>14</v>
      </c>
    </row>
    <row r="10024" x14ac:dyDescent="0.25">
      <c r="A10024" t="n">
        <v>24</v>
      </c>
      <c r="B10024" t="s">
        <v>14</v>
      </c>
      <c r="C10024" t="s">
        <v>22</v>
      </c>
      <c r="D10024" s="2" t="s">
        <f>=HYPERLINK("https://main.knesset.gov.il/APPS/legislation/main/bills/2160104", "הצעת חוק הבחירות (דרכי תעמולה) (תיקון - תעמולה דיגיטלית), התשפ""א-2021")</f>
        <v>19475</v>
      </c>
      <c r="E10024" t="s">
        <v>19475</v>
      </c>
      <c r="F10024" t="s">
        <v>19476</v>
      </c>
      <c r="G10024" t="s">
        <v>14</v>
      </c>
      <c r="H10024">
             </c>
      <c r="I10024" t="s">
        <v>14</v>
      </c>
      <c r="J10024" t="s">
        <v>141</v>
      </c>
      <c r="K10024" t="s">
        <v>14</v>
      </c>
      <c r="L10024" t="s">
        <v>20</v>
      </c>
      <c r="M10024" t="s">
        <v>19388</v>
      </c>
      <c r="N10024" t="s">
        <v>14</v>
      </c>
    </row>
    <row r="10025" x14ac:dyDescent="0.25">
      <c r="A10025" t="n">
        <v>24</v>
      </c>
      <c r="B10025" t="s">
        <v>14</v>
      </c>
      <c r="C10025" t="s">
        <v>22</v>
      </c>
      <c r="D10025" s="2" t="s">
        <f>=HYPERLINK("https://main.knesset.gov.il/APPS/legislation/main/bills/2160008", "הצעת חוק הביטוח הלאומי (תיקון - דמי אבטלה לעובדי ענף התעופה), התשפ""א-2021")</f>
        <v>19477</v>
      </c>
      <c r="E10025" t="s">
        <v>19477</v>
      </c>
      <c r="F10025" t="s">
        <v>19478</v>
      </c>
      <c r="G10025" t="s">
        <v>14</v>
      </c>
      <c r="H10025">
             </c>
      <c r="I10025" t="s">
        <v>14</v>
      </c>
      <c r="J10025" t="s">
        <v>141</v>
      </c>
      <c r="K10025" t="s">
        <v>14</v>
      </c>
      <c r="L10025" t="s">
        <v>20</v>
      </c>
      <c r="M10025" t="s">
        <v>19388</v>
      </c>
      <c r="N10025" t="s">
        <v>14</v>
      </c>
    </row>
    <row r="10026" x14ac:dyDescent="0.25">
      <c r="A10026" t="n">
        <v>24</v>
      </c>
      <c r="B10026" t="s">
        <v>14</v>
      </c>
      <c r="C10026" t="s">
        <v>15</v>
      </c>
      <c r="D10026" s="2" t="s">
        <f>=HYPERLINK("https://main.knesset.gov.il/APPS/legislation/main/bills/2160590", "הצעת חוק השיפוט הצבאי (סייגים לתחולת סימן ב'1 בפרק ו' לחוק העונשין) (הוראת שעה), התשפ""א-2021")</f>
        <v>19479</v>
      </c>
      <c r="E10026" t="s">
        <v>19479</v>
      </c>
      <c r="F10026" t="s">
        <v>14</v>
      </c>
      <c r="G10026" t="s">
        <v>19480</v>
      </c>
      <c r="H10026">
             </c>
      <c r="I10026" t="s">
        <v>14</v>
      </c>
      <c r="J10026" t="s">
        <v>1141</v>
      </c>
      <c r="K10026" t="s">
        <v>14</v>
      </c>
      <c r="L10026" t="s">
        <v>20</v>
      </c>
      <c r="M10026" t="s">
        <v>19481</v>
      </c>
      <c r="N10026" t="s">
        <v>14</v>
      </c>
    </row>
    <row r="10027" x14ac:dyDescent="0.25">
      <c r="A10027" t="n">
        <v>24</v>
      </c>
      <c r="B10027" t="s">
        <v>14</v>
      </c>
      <c r="C10027" t="s">
        <v>15</v>
      </c>
      <c r="D10027" s="2" t="s">
        <f>=HYPERLINK("https://main.knesset.gov.il/APPS/legislation/main/bills/2159956", "חוק הכניסה לישראל (הוראת שעה – נגיף הקורונה החדש), התשפ""א-2021 ")</f>
        <v>19482</v>
      </c>
      <c r="E10027" t="s">
        <v>19482</v>
      </c>
      <c r="F10027" t="s">
        <v>14</v>
      </c>
      <c r="G10027" t="s">
        <v>19483</v>
      </c>
      <c r="H10027" t="n">
        <v>2919</v>
      </c>
      <c r="I10027" t="s">
        <v>14</v>
      </c>
      <c r="J10027" t="s">
        <v>91</v>
      </c>
      <c r="K10027" t="s">
        <v>27</v>
      </c>
      <c r="L10027" t="s">
        <v>20</v>
      </c>
      <c r="M10027" t="s">
        <v>19484</v>
      </c>
      <c r="N10027" t="s">
        <v>19485</v>
      </c>
    </row>
    <row r="10028" x14ac:dyDescent="0.25">
      <c r="A10028" t="n">
        <v>24</v>
      </c>
      <c r="B10028" t="s">
        <v>14</v>
      </c>
      <c r="C10028" t="s">
        <v>15</v>
      </c>
      <c r="D10028" s="2" t="s">
        <f>=HYPERLINK("https://main.knesset.gov.il/APPS/legislation/main/bills/2159668", "חוק רישוי שירותים ומקצועות בענף הרכב (תיקון מס' 7), התשפ""א-2021")</f>
        <v>19486</v>
      </c>
      <c r="E10028" t="s">
        <v>19486</v>
      </c>
      <c r="F10028" t="s">
        <v>14</v>
      </c>
      <c r="G10028" t="s">
        <v>19487</v>
      </c>
      <c r="H10028" t="n">
        <v>2918</v>
      </c>
      <c r="I10028" t="s">
        <v>14</v>
      </c>
      <c r="J10028" t="s">
        <v>91</v>
      </c>
      <c r="K10028" t="s">
        <v>85</v>
      </c>
      <c r="L10028" t="s">
        <v>20</v>
      </c>
      <c r="M10028" t="s">
        <v>19488</v>
      </c>
      <c r="N10028" t="s">
        <v>19489</v>
      </c>
    </row>
    <row r="10029" x14ac:dyDescent="0.25">
      <c r="A10029" t="n">
        <v>24</v>
      </c>
      <c r="B10029" t="s">
        <v>14</v>
      </c>
      <c r="C10029" t="s">
        <v>22</v>
      </c>
      <c r="D10029" s="2" t="s">
        <f>=HYPERLINK("https://main.knesset.gov.il/APPS/legislation/main/bills/2159006", "הצעת חוק רשות מקרקעי ישראל (תיקון - החכר מימוני לדירות), התשפ""א-2021")</f>
        <v>19490</v>
      </c>
      <c r="E10029" t="s">
        <v>19490</v>
      </c>
      <c r="F10029" t="s">
        <v>19491</v>
      </c>
      <c r="G10029" t="s">
        <v>14</v>
      </c>
      <c r="H10029">
             </c>
      <c r="I10029" t="s">
        <v>14</v>
      </c>
      <c r="J10029" t="s">
        <v>141</v>
      </c>
      <c r="K10029" t="s">
        <v>14</v>
      </c>
      <c r="L10029" t="s">
        <v>20</v>
      </c>
      <c r="M10029" t="s">
        <v>19488</v>
      </c>
      <c r="N10029" t="s">
        <v>14</v>
      </c>
    </row>
    <row r="10030" x14ac:dyDescent="0.25">
      <c r="A10030" t="n">
        <v>24</v>
      </c>
      <c r="B10030" t="s">
        <v>14</v>
      </c>
      <c r="C10030" t="s">
        <v>22</v>
      </c>
      <c r="D10030" s="2" t="s">
        <f>=HYPERLINK("https://main.knesset.gov.il/APPS/legislation/main/bills/2158387", "הצעת חוק-יסוד: הכנסת (תיקון - הצהרת אמונים בפני מליאת הכנסת ועיצומים נגד מי שלא הצהיר)")</f>
        <v>913</v>
      </c>
      <c r="E10030" t="s">
        <v>913</v>
      </c>
      <c r="F10030" t="s">
        <v>19492</v>
      </c>
      <c r="G10030" t="s">
        <v>14</v>
      </c>
      <c r="H10030">
             </c>
      <c r="I10030" t="s">
        <v>14</v>
      </c>
      <c r="J10030" t="s">
        <v>141</v>
      </c>
      <c r="K10030" t="s">
        <v>14</v>
      </c>
      <c r="L10030" t="s">
        <v>20</v>
      </c>
      <c r="M10030" t="s">
        <v>19488</v>
      </c>
      <c r="N10030" t="s">
        <v>14</v>
      </c>
    </row>
    <row r="10031" x14ac:dyDescent="0.25">
      <c r="A10031" t="n">
        <v>24</v>
      </c>
      <c r="B10031" t="s">
        <v>14</v>
      </c>
      <c r="C10031" t="s">
        <v>22</v>
      </c>
      <c r="D10031" s="2" t="s">
        <f>=HYPERLINK("https://main.knesset.gov.il/APPS/legislation/main/bills/2160377", "הצעת חוק משק החשמל (תיקון - איסור ניתוק חשמל), התשפ""א-2021")</f>
        <v>15564</v>
      </c>
      <c r="E10031" t="s">
        <v>15564</v>
      </c>
      <c r="F10031" t="s">
        <v>19493</v>
      </c>
      <c r="G10031" t="s">
        <v>14</v>
      </c>
      <c r="H10031">
             </c>
      <c r="I10031" t="s">
        <v>14</v>
      </c>
      <c r="J10031" t="s">
        <v>141</v>
      </c>
      <c r="K10031" t="s">
        <v>14</v>
      </c>
      <c r="L10031" t="s">
        <v>20</v>
      </c>
      <c r="M10031" t="s">
        <v>19488</v>
      </c>
      <c r="N10031" t="s">
        <v>14</v>
      </c>
    </row>
    <row r="10032" x14ac:dyDescent="0.25">
      <c r="A10032" t="n">
        <v>24</v>
      </c>
      <c r="B10032" t="s">
        <v>14</v>
      </c>
      <c r="C10032" t="s">
        <v>22</v>
      </c>
      <c r="D10032" s="2" t="s">
        <f>=HYPERLINK("https://main.knesset.gov.il/APPS/legislation/main/bills/2160304", "הצעת חוק המועצה לענף הלול (ייצור ושיווק) (תיקון - סימון ביצים), התשפ""א-2021")</f>
        <v>19494</v>
      </c>
      <c r="E10032" t="s">
        <v>19494</v>
      </c>
      <c r="F10032" t="s">
        <v>19495</v>
      </c>
      <c r="G10032" t="s">
        <v>14</v>
      </c>
      <c r="H10032">
             </c>
      <c r="I10032" t="s">
        <v>14</v>
      </c>
      <c r="J10032" t="s">
        <v>141</v>
      </c>
      <c r="K10032" t="s">
        <v>14</v>
      </c>
      <c r="L10032" t="s">
        <v>20</v>
      </c>
      <c r="M10032" t="s">
        <v>19488</v>
      </c>
      <c r="N10032" t="s">
        <v>14</v>
      </c>
    </row>
    <row r="10033" x14ac:dyDescent="0.25">
      <c r="A10033" t="n">
        <v>24</v>
      </c>
      <c r="B10033" t="s">
        <v>14</v>
      </c>
      <c r="C10033" t="s">
        <v>22</v>
      </c>
      <c r="D10033" s="2" t="s">
        <f>=HYPERLINK("https://main.knesset.gov.il/APPS/legislation/main/bills/2157945", "הצעת חוק הגנת הפרטיות (תיקון - מניעת פרסום פרטיו של אדם שנהרג או נפגע ברבים בטרם נמסרה הודעה למשפחה), התשפ""א-2021")</f>
        <v>19496</v>
      </c>
      <c r="E10033" t="s">
        <v>19496</v>
      </c>
      <c r="F10033" t="s">
        <v>19497</v>
      </c>
      <c r="G10033" t="s">
        <v>14</v>
      </c>
      <c r="H10033">
             </c>
      <c r="I10033" t="s">
        <v>14</v>
      </c>
      <c r="J10033" t="s">
        <v>141</v>
      </c>
      <c r="K10033" t="s">
        <v>14</v>
      </c>
      <c r="L10033" t="s">
        <v>20</v>
      </c>
      <c r="M10033" t="s">
        <v>19488</v>
      </c>
      <c r="N10033" t="s">
        <v>14</v>
      </c>
    </row>
    <row r="10034" x14ac:dyDescent="0.25">
      <c r="A10034" t="n">
        <v>24</v>
      </c>
      <c r="B10034" t="s">
        <v>14</v>
      </c>
      <c r="C10034" t="s">
        <v>22</v>
      </c>
      <c r="D10034" s="2" t="s">
        <f>=HYPERLINK("https://main.knesset.gov.il/APPS/legislation/main/bills/2156849", "הצעת חוק העבירות המינהליות (תיקון - הגנה מן הצדק בעבירת קנס), התשפ""א-2021")</f>
        <v>19498</v>
      </c>
      <c r="E10034" t="s">
        <v>19498</v>
      </c>
      <c r="F10034" t="s">
        <v>19499</v>
      </c>
      <c r="G10034" t="s">
        <v>14</v>
      </c>
      <c r="H10034">
             </c>
      <c r="I10034" t="s">
        <v>14</v>
      </c>
      <c r="J10034" t="s">
        <v>141</v>
      </c>
      <c r="K10034" t="s">
        <v>14</v>
      </c>
      <c r="L10034" t="s">
        <v>20</v>
      </c>
      <c r="M10034" t="s">
        <v>19488</v>
      </c>
      <c r="N10034" t="s">
        <v>14</v>
      </c>
    </row>
    <row r="10035" x14ac:dyDescent="0.25">
      <c r="A10035" t="n">
        <v>24</v>
      </c>
      <c r="B10035" t="s">
        <v>14</v>
      </c>
      <c r="C10035" t="s">
        <v>22</v>
      </c>
      <c r="D10035" s="2" t="s">
        <f>=HYPERLINK("https://main.knesset.gov.il/APPS/legislation/main/bills/2159992", "הצעת חוק רכזי ביטחון שוטף צבאיים, התשפ''א-2021")</f>
        <v>19500</v>
      </c>
      <c r="E10035" t="s">
        <v>19500</v>
      </c>
      <c r="F10035" t="s">
        <v>19501</v>
      </c>
      <c r="G10035" t="s">
        <v>14</v>
      </c>
      <c r="H10035">
             </c>
      <c r="I10035" t="s">
        <v>14</v>
      </c>
      <c r="J10035" t="s">
        <v>141</v>
      </c>
      <c r="K10035" t="s">
        <v>14</v>
      </c>
      <c r="L10035" t="s">
        <v>20</v>
      </c>
      <c r="M10035" t="s">
        <v>19488</v>
      </c>
      <c r="N10035" t="s">
        <v>14</v>
      </c>
    </row>
    <row r="10036" x14ac:dyDescent="0.25">
      <c r="A10036" t="n">
        <v>24</v>
      </c>
      <c r="B10036" t="s">
        <v>14</v>
      </c>
      <c r="C10036" t="s">
        <v>22</v>
      </c>
      <c r="D10036" s="2" t="s">
        <f>=HYPERLINK("https://main.knesset.gov.il/APPS/legislation/main/bills/2159478", "הצעת חוק להקפאת קצבאות שמשולמות לפעיל טרור ומשפחתו מקופת המדינה, התשפ""א-2021")</f>
        <v>19502</v>
      </c>
      <c r="E10036" t="s">
        <v>19502</v>
      </c>
      <c r="F10036" t="s">
        <v>19503</v>
      </c>
      <c r="G10036" t="s">
        <v>14</v>
      </c>
      <c r="H10036">
             </c>
      <c r="I10036" t="s">
        <v>14</v>
      </c>
      <c r="J10036" t="s">
        <v>343</v>
      </c>
      <c r="K10036" t="s">
        <v>14</v>
      </c>
      <c r="L10036" t="s">
        <v>20</v>
      </c>
      <c r="M10036" t="s">
        <v>19488</v>
      </c>
      <c r="N10036" t="s">
        <v>14</v>
      </c>
    </row>
    <row r="10037" x14ac:dyDescent="0.25">
      <c r="A10037" t="n">
        <v>24</v>
      </c>
      <c r="B10037" t="s">
        <v>14</v>
      </c>
      <c r="C10037" t="s">
        <v>22</v>
      </c>
      <c r="D10037" s="2" t="s">
        <f>=HYPERLINK("https://main.knesset.gov.il/APPS/legislation/main/bills/2159472", "הצעת חוק גירוש משפחות מחבלים, התשפ""א-2021")</f>
        <v>17951</v>
      </c>
      <c r="E10037" t="s">
        <v>17951</v>
      </c>
      <c r="F10037" t="s">
        <v>19504</v>
      </c>
      <c r="G10037" t="s">
        <v>14</v>
      </c>
      <c r="H10037">
             </c>
      <c r="I10037" t="s">
        <v>14</v>
      </c>
      <c r="J10037" t="s">
        <v>141</v>
      </c>
      <c r="K10037" t="s">
        <v>14</v>
      </c>
      <c r="L10037" t="s">
        <v>20</v>
      </c>
      <c r="M10037" t="s">
        <v>19488</v>
      </c>
      <c r="N10037" t="s">
        <v>14</v>
      </c>
    </row>
    <row r="10038" x14ac:dyDescent="0.25">
      <c r="A10038" t="n">
        <v>24</v>
      </c>
      <c r="B10038" t="s">
        <v>14</v>
      </c>
      <c r="C10038" t="s">
        <v>22</v>
      </c>
      <c r="D10038" s="2" t="s">
        <f>=HYPERLINK("https://main.knesset.gov.il/APPS/legislation/main/bills/2159488", "הצעת חוק רשת ביטחון לעצמאים - הפקדות וזכויות סוציאליות (תיקוני חקיקה), התשפ""א-2021")</f>
        <v>19505</v>
      </c>
      <c r="E10038" t="s">
        <v>19505</v>
      </c>
      <c r="F10038" t="s">
        <v>19506</v>
      </c>
      <c r="G10038" t="s">
        <v>14</v>
      </c>
      <c r="H10038">
             </c>
      <c r="I10038" t="s">
        <v>14</v>
      </c>
      <c r="J10038" t="s">
        <v>141</v>
      </c>
      <c r="K10038" t="s">
        <v>14</v>
      </c>
      <c r="L10038" t="s">
        <v>20</v>
      </c>
      <c r="M10038" t="s">
        <v>19488</v>
      </c>
      <c r="N10038" t="s">
        <v>14</v>
      </c>
    </row>
    <row r="10039" x14ac:dyDescent="0.25">
      <c r="A10039" t="n">
        <v>24</v>
      </c>
      <c r="B10039" t="s">
        <v>14</v>
      </c>
      <c r="C10039" t="s">
        <v>22</v>
      </c>
      <c r="D10039" s="2" t="s">
        <f>=HYPERLINK("https://main.knesset.gov.il/APPS/legislation/main/bills/2159473", "הצעת חוק החלת ריבונות על בקעת הירדן, גוש עציון, גבעת זאב, מעלה אדומים, ביתר עילית ועפרה, התשפ""א-2021")</f>
        <v>19183</v>
      </c>
      <c r="E10039" t="s">
        <v>19183</v>
      </c>
      <c r="F10039" t="s">
        <v>19507</v>
      </c>
      <c r="G10039" t="s">
        <v>14</v>
      </c>
      <c r="H10039">
             </c>
      <c r="I10039" t="s">
        <v>14</v>
      </c>
      <c r="J10039" t="s">
        <v>141</v>
      </c>
      <c r="K10039" t="s">
        <v>14</v>
      </c>
      <c r="L10039" t="s">
        <v>20</v>
      </c>
      <c r="M10039" t="s">
        <v>19488</v>
      </c>
      <c r="N10039" t="s">
        <v>14</v>
      </c>
    </row>
    <row r="10040" x14ac:dyDescent="0.25">
      <c r="A10040" t="n">
        <v>24</v>
      </c>
      <c r="B10040" t="s">
        <v>14</v>
      </c>
      <c r="C10040" t="s">
        <v>22</v>
      </c>
      <c r="D10040" s="2" t="s">
        <f>=HYPERLINK("https://main.knesset.gov.il/APPS/legislation/main/bills/2159207", "הצעת חוק כביש אגרה (כביש ארצי לישראל) (תיקון - פטור מאגרה לחיילי מילואים בדרכם לשירות), התשפ""א-2021")</f>
        <v>19508</v>
      </c>
      <c r="E10040" t="s">
        <v>19508</v>
      </c>
      <c r="F10040" t="s">
        <v>19509</v>
      </c>
      <c r="G10040" t="s">
        <v>14</v>
      </c>
      <c r="H10040">
             </c>
      <c r="I10040" t="s">
        <v>14</v>
      </c>
      <c r="J10040" t="s">
        <v>141</v>
      </c>
      <c r="K10040" t="s">
        <v>14</v>
      </c>
      <c r="L10040" t="s">
        <v>20</v>
      </c>
      <c r="M10040" t="s">
        <v>19488</v>
      </c>
      <c r="N10040" t="s">
        <v>14</v>
      </c>
    </row>
    <row r="10041" x14ac:dyDescent="0.25">
      <c r="A10041" t="n">
        <v>24</v>
      </c>
      <c r="B10041" t="s">
        <v>14</v>
      </c>
      <c r="C10041" t="s">
        <v>22</v>
      </c>
      <c r="D10041" s="2" t="s">
        <f>=HYPERLINK("https://main.knesset.gov.il/APPS/legislation/main/bills/2159334", "הצעת חוק המאבק בטרור (תיקון - זכות להחזיק בגופות מחבלים לצורכי משא ומתן), התשפ""א-2021")</f>
        <v>19510</v>
      </c>
      <c r="E10041" t="s">
        <v>19510</v>
      </c>
      <c r="F10041" t="s">
        <v>19511</v>
      </c>
      <c r="G10041" t="s">
        <v>14</v>
      </c>
      <c r="H10041">
             </c>
      <c r="I10041" t="s">
        <v>14</v>
      </c>
      <c r="J10041" t="s">
        <v>141</v>
      </c>
      <c r="K10041" t="s">
        <v>14</v>
      </c>
      <c r="L10041" t="s">
        <v>20</v>
      </c>
      <c r="M10041" t="s">
        <v>19488</v>
      </c>
      <c r="N10041" t="s">
        <v>14</v>
      </c>
    </row>
    <row r="10042" x14ac:dyDescent="0.25">
      <c r="A10042" t="n">
        <v>24</v>
      </c>
      <c r="B10042" t="s">
        <v>14</v>
      </c>
      <c r="C10042" t="s">
        <v>22</v>
      </c>
      <c r="D10042" s="2" t="s">
        <f>=HYPERLINK("https://main.knesset.gov.il/APPS/legislation/main/bills/2159787", "הצעת חוק הסדרת שוק הקנאביס לצריכה עצמית, התשפ""א-2021")</f>
        <v>19161</v>
      </c>
      <c r="E10042" t="s">
        <v>19161</v>
      </c>
      <c r="F10042" t="s">
        <v>19512</v>
      </c>
      <c r="G10042" t="s">
        <v>14</v>
      </c>
      <c r="H10042">
             </c>
      <c r="I10042" t="s">
        <v>14</v>
      </c>
      <c r="J10042" t="s">
        <v>141</v>
      </c>
      <c r="K10042" t="s">
        <v>14</v>
      </c>
      <c r="L10042" t="s">
        <v>20</v>
      </c>
      <c r="M10042" t="s">
        <v>19488</v>
      </c>
      <c r="N10042" t="s">
        <v>14</v>
      </c>
    </row>
    <row r="10043" x14ac:dyDescent="0.25">
      <c r="A10043" t="n">
        <v>24</v>
      </c>
      <c r="B10043" t="s">
        <v>14</v>
      </c>
      <c r="C10043" t="s">
        <v>22</v>
      </c>
      <c r="D10043" s="2" t="s">
        <f>=HYPERLINK("https://main.knesset.gov.il/APPS/legislation/main/bills/2159009", "הצעת חוק עבודת נשים (תיקון - אובדן הריון), התשפ""א-2021")</f>
        <v>19513</v>
      </c>
      <c r="E10043" t="s">
        <v>19513</v>
      </c>
      <c r="F10043" t="s">
        <v>19514</v>
      </c>
      <c r="G10043" t="s">
        <v>14</v>
      </c>
      <c r="H10043">
             </c>
      <c r="I10043" t="s">
        <v>14</v>
      </c>
      <c r="J10043" t="s">
        <v>141</v>
      </c>
      <c r="K10043" t="s">
        <v>14</v>
      </c>
      <c r="L10043" t="s">
        <v>20</v>
      </c>
      <c r="M10043" t="s">
        <v>19488</v>
      </c>
      <c r="N10043" t="s">
        <v>14</v>
      </c>
    </row>
    <row r="10044" x14ac:dyDescent="0.25">
      <c r="A10044" t="n">
        <v>24</v>
      </c>
      <c r="B10044" t="s">
        <v>14</v>
      </c>
      <c r="C10044" t="s">
        <v>22</v>
      </c>
      <c r="D10044" s="2" t="s">
        <f>=HYPERLINK("https://main.knesset.gov.il/APPS/legislation/main/bills/2159827", "הצעת חוק הביטוח הלאומי (תיקון - דמי מחלה לעובד עצמאי), התשפ""א-2021")</f>
        <v>19515</v>
      </c>
      <c r="E10044" t="s">
        <v>19515</v>
      </c>
      <c r="F10044" t="s">
        <v>19516</v>
      </c>
      <c r="G10044" t="s">
        <v>14</v>
      </c>
      <c r="H10044">
             </c>
      <c r="I10044" t="s">
        <v>14</v>
      </c>
      <c r="J10044" t="s">
        <v>141</v>
      </c>
      <c r="K10044" t="s">
        <v>14</v>
      </c>
      <c r="L10044" t="s">
        <v>20</v>
      </c>
      <c r="M10044" t="s">
        <v>19488</v>
      </c>
      <c r="N10044" t="s">
        <v>14</v>
      </c>
    </row>
    <row r="10045" x14ac:dyDescent="0.25">
      <c r="A10045" t="n">
        <v>24</v>
      </c>
      <c r="B10045" t="s">
        <v>14</v>
      </c>
      <c r="C10045" t="s">
        <v>22</v>
      </c>
      <c r="D10045" s="2" t="s">
        <f>=HYPERLINK("https://main.knesset.gov.il/APPS/legislation/main/bills/2159452", "הצעת חוק-יסוד: הממשלה (תיקון - הבעת אי אמון בממשלה)")</f>
        <v>19517</v>
      </c>
      <c r="E10045" t="s">
        <v>19517</v>
      </c>
      <c r="F10045" t="s">
        <v>19518</v>
      </c>
      <c r="G10045" t="s">
        <v>14</v>
      </c>
      <c r="H10045">
             </c>
      <c r="I10045" t="s">
        <v>14</v>
      </c>
      <c r="J10045" t="s">
        <v>141</v>
      </c>
      <c r="K10045" t="s">
        <v>14</v>
      </c>
      <c r="L10045" t="s">
        <v>20</v>
      </c>
      <c r="M10045" t="s">
        <v>19488</v>
      </c>
      <c r="N10045" t="s">
        <v>14</v>
      </c>
    </row>
    <row r="10046" x14ac:dyDescent="0.25">
      <c r="A10046" t="n">
        <v>24</v>
      </c>
      <c r="B10046" t="s">
        <v>14</v>
      </c>
      <c r="C10046" t="s">
        <v>22</v>
      </c>
      <c r="D10046" s="2" t="s">
        <f>=HYPERLINK("https://main.knesset.gov.il/APPS/legislation/main/bills/2159764", "הצעת חוק שעות עבודה ומנוחה (תיקון - הסדרת סוף שבוע ארוך), התשפ""א-2021")</f>
        <v>19519</v>
      </c>
      <c r="E10046" t="s">
        <v>19519</v>
      </c>
      <c r="F10046" t="s">
        <v>19520</v>
      </c>
      <c r="G10046" t="s">
        <v>14</v>
      </c>
      <c r="H10046">
             </c>
      <c r="I10046" t="s">
        <v>14</v>
      </c>
      <c r="J10046" t="s">
        <v>141</v>
      </c>
      <c r="K10046" t="s">
        <v>14</v>
      </c>
      <c r="L10046" t="s">
        <v>20</v>
      </c>
      <c r="M10046" t="s">
        <v>19488</v>
      </c>
      <c r="N10046" t="s">
        <v>14</v>
      </c>
    </row>
    <row r="10047" x14ac:dyDescent="0.25">
      <c r="A10047" t="n">
        <v>24</v>
      </c>
      <c r="B10047" t="s">
        <v>14</v>
      </c>
      <c r="C10047" t="s">
        <v>22</v>
      </c>
      <c r="D10047" s="2" t="s">
        <f>=HYPERLINK("https://main.knesset.gov.il/APPS/legislation/main/bills/2159868", "הצעת חוק בריאות ממלכתי (תיקון - העברת מידע מלא בעת מעבר בין קופות החולים), התשפ""א-2021")</f>
        <v>19521</v>
      </c>
      <c r="E10047" t="s">
        <v>19521</v>
      </c>
      <c r="F10047" t="s">
        <v>19522</v>
      </c>
      <c r="G10047" t="s">
        <v>14</v>
      </c>
      <c r="H10047">
             </c>
      <c r="I10047" t="s">
        <v>14</v>
      </c>
      <c r="J10047" t="s">
        <v>141</v>
      </c>
      <c r="K10047" t="s">
        <v>14</v>
      </c>
      <c r="L10047" t="s">
        <v>20</v>
      </c>
      <c r="M10047" t="s">
        <v>19488</v>
      </c>
      <c r="N10047" t="s">
        <v>14</v>
      </c>
    </row>
    <row r="10048" x14ac:dyDescent="0.25">
      <c r="A10048" t="n">
        <v>24</v>
      </c>
      <c r="B10048" t="s">
        <v>14</v>
      </c>
      <c r="C10048" t="s">
        <v>22</v>
      </c>
      <c r="D10048" s="2" t="s">
        <f>=HYPERLINK("https://main.knesset.gov.il/APPS/legislation/main/bills/2159208", "הצעת חוק דמי מחלה (תיקון - תשלום דמי מחלה החל מהיום הראשון להיעדרות), התשפ""א-2021")</f>
        <v>19523</v>
      </c>
      <c r="E10048" t="s">
        <v>19523</v>
      </c>
      <c r="F10048" t="s">
        <v>19524</v>
      </c>
      <c r="G10048" t="s">
        <v>14</v>
      </c>
      <c r="H10048">
             </c>
      <c r="I10048" t="s">
        <v>14</v>
      </c>
      <c r="J10048" t="s">
        <v>141</v>
      </c>
      <c r="K10048" t="s">
        <v>14</v>
      </c>
      <c r="L10048" t="s">
        <v>20</v>
      </c>
      <c r="M10048" t="s">
        <v>19488</v>
      </c>
      <c r="N10048" t="s">
        <v>14</v>
      </c>
    </row>
    <row r="10049" x14ac:dyDescent="0.25">
      <c r="A10049" t="n">
        <v>24</v>
      </c>
      <c r="B10049" t="s">
        <v>14</v>
      </c>
      <c r="C10049" t="s">
        <v>22</v>
      </c>
      <c r="D10049" s="2" t="s">
        <f>=HYPERLINK("https://main.knesset.gov.il/APPS/legislation/main/bills/2159788", "הצעת חוק הביטוח הלאומי (תיקון - תשלום קצבת ילדים לאחר גיל 18 בעד ילד המשרת בשירות צבאי, לאומי או אזרחי), התשפ""א-2021")</f>
        <v>19525</v>
      </c>
      <c r="E10049" t="s">
        <v>19525</v>
      </c>
      <c r="F10049" t="s">
        <v>19526</v>
      </c>
      <c r="G10049" t="s">
        <v>14</v>
      </c>
      <c r="H10049">
             </c>
      <c r="I10049" t="s">
        <v>14</v>
      </c>
      <c r="J10049" t="s">
        <v>141</v>
      </c>
      <c r="K10049" t="s">
        <v>14</v>
      </c>
      <c r="L10049" t="s">
        <v>20</v>
      </c>
      <c r="M10049" t="s">
        <v>19488</v>
      </c>
      <c r="N10049" t="s">
        <v>14</v>
      </c>
    </row>
    <row r="10050" x14ac:dyDescent="0.25">
      <c r="A10050" t="n">
        <v>24</v>
      </c>
      <c r="B10050" t="s">
        <v>14</v>
      </c>
      <c r="C10050" t="s">
        <v>22</v>
      </c>
      <c r="D10050" s="2" t="s">
        <f>=HYPERLINK("https://main.knesset.gov.il/APPS/legislation/main/bills/2159152", "הצעת חוק לקביעת חיסיון ליועצי מס ורואי חשבון (תיקוני חקיקה), התשפ""א-2021")</f>
        <v>19527</v>
      </c>
      <c r="E10050" t="s">
        <v>19527</v>
      </c>
      <c r="F10050" t="s">
        <v>19528</v>
      </c>
      <c r="G10050" t="s">
        <v>14</v>
      </c>
      <c r="H10050">
             </c>
      <c r="I10050" t="s">
        <v>14</v>
      </c>
      <c r="J10050" t="s">
        <v>141</v>
      </c>
      <c r="K10050" t="s">
        <v>14</v>
      </c>
      <c r="L10050" t="s">
        <v>20</v>
      </c>
      <c r="M10050" t="s">
        <v>19488</v>
      </c>
      <c r="N10050" t="s">
        <v>14</v>
      </c>
    </row>
    <row r="10051" x14ac:dyDescent="0.25">
      <c r="A10051" t="n">
        <v>24</v>
      </c>
      <c r="B10051" t="s">
        <v>14</v>
      </c>
      <c r="C10051" t="s">
        <v>22</v>
      </c>
      <c r="D10051" s="2" t="s">
        <f>=HYPERLINK("https://main.knesset.gov.il/APPS/legislation/main/bills/2156884", "הצעת חוק-יסוד: הממשלה (תיקון - הפסקת כהונה של שר וסגן שר בשל חשד לפלילים)")</f>
        <v>19529</v>
      </c>
      <c r="E10051" t="s">
        <v>19529</v>
      </c>
      <c r="F10051" t="s">
        <v>19530</v>
      </c>
      <c r="G10051" t="s">
        <v>14</v>
      </c>
      <c r="H10051">
             </c>
      <c r="I10051" t="s">
        <v>14</v>
      </c>
      <c r="J10051" t="s">
        <v>141</v>
      </c>
      <c r="K10051" t="s">
        <v>14</v>
      </c>
      <c r="L10051" t="s">
        <v>20</v>
      </c>
      <c r="M10051" t="s">
        <v>19488</v>
      </c>
      <c r="N10051" t="s">
        <v>14</v>
      </c>
    </row>
    <row r="10052" x14ac:dyDescent="0.25">
      <c r="A10052" t="n">
        <v>24</v>
      </c>
      <c r="B10052" t="s">
        <v>14</v>
      </c>
      <c r="C10052" t="s">
        <v>22</v>
      </c>
      <c r="D10052" s="2" t="s">
        <f>=HYPERLINK("https://main.knesset.gov.il/APPS/legislation/main/bills/2159260", "הצעת חוק חובת המכרזים (תיקון - הרחבת חובת העדפה של תוצרת הארץ), התשפ""א-2021")</f>
        <v>19531</v>
      </c>
      <c r="E10052" t="s">
        <v>19531</v>
      </c>
      <c r="F10052" t="s">
        <v>19532</v>
      </c>
      <c r="G10052" t="s">
        <v>14</v>
      </c>
      <c r="H10052">
             </c>
      <c r="I10052" t="s">
        <v>14</v>
      </c>
      <c r="J10052" t="s">
        <v>141</v>
      </c>
      <c r="K10052" t="s">
        <v>14</v>
      </c>
      <c r="L10052" t="s">
        <v>20</v>
      </c>
      <c r="M10052" t="s">
        <v>19488</v>
      </c>
      <c r="N10052" t="s">
        <v>14</v>
      </c>
    </row>
    <row r="10053" x14ac:dyDescent="0.25">
      <c r="A10053" t="n">
        <v>24</v>
      </c>
      <c r="B10053" t="s">
        <v>14</v>
      </c>
      <c r="C10053" t="s">
        <v>22</v>
      </c>
      <c r="D10053" s="2" t="s">
        <f>=HYPERLINK("https://main.knesset.gov.il/APPS/legislation/main/bills/2159625", "הצעת חוק זכויות הסטודנט (תיקון - מסלולי לימוד נפרדים), התשפ""א-2021")</f>
        <v>19533</v>
      </c>
      <c r="E10053" t="s">
        <v>19533</v>
      </c>
      <c r="F10053" t="s">
        <v>19534</v>
      </c>
      <c r="G10053" t="s">
        <v>14</v>
      </c>
      <c r="H10053">
             </c>
      <c r="I10053" t="s">
        <v>14</v>
      </c>
      <c r="J10053" t="s">
        <v>141</v>
      </c>
      <c r="K10053" t="s">
        <v>14</v>
      </c>
      <c r="L10053" t="s">
        <v>20</v>
      </c>
      <c r="M10053" t="s">
        <v>19488</v>
      </c>
      <c r="N10053" t="s">
        <v>14</v>
      </c>
    </row>
    <row r="10054" x14ac:dyDescent="0.25">
      <c r="A10054" t="n">
        <v>24</v>
      </c>
      <c r="B10054" t="s">
        <v>14</v>
      </c>
      <c r="C10054" t="s">
        <v>22</v>
      </c>
      <c r="D10054" s="2" t="s">
        <f>=HYPERLINK("https://main.knesset.gov.il/APPS/legislation/main/bills/2157244", "הצעת חוק שיקים ללא כיסוי (תיקון - סייגים לתחולת החוק בשל התמשכות משבר הקורונה), התשפ""א-2021 ")</f>
        <v>19535</v>
      </c>
      <c r="E10054" t="s">
        <v>19535</v>
      </c>
      <c r="F10054" t="s">
        <v>19536</v>
      </c>
      <c r="G10054" t="s">
        <v>14</v>
      </c>
      <c r="H10054">
             </c>
      <c r="I10054" t="s">
        <v>14</v>
      </c>
      <c r="J10054" t="s">
        <v>141</v>
      </c>
      <c r="K10054" t="s">
        <v>14</v>
      </c>
      <c r="L10054" t="s">
        <v>20</v>
      </c>
      <c r="M10054" t="s">
        <v>19488</v>
      </c>
      <c r="N10054" t="s">
        <v>14</v>
      </c>
    </row>
    <row r="10055" x14ac:dyDescent="0.25">
      <c r="A10055" t="n">
        <v>24</v>
      </c>
      <c r="B10055" t="s">
        <v>14</v>
      </c>
      <c r="C10055" t="s">
        <v>22</v>
      </c>
      <c r="D10055" s="2" t="s">
        <f>=HYPERLINK("https://main.knesset.gov.il/APPS/legislation/main/bills/2159887", "הצעת חוק הרשויות המקומיות (גמול השתתפות בישיבות והחזר הוצאות לחברי מועצה), התשפ""א-2021")</f>
        <v>19537</v>
      </c>
      <c r="E10055" t="s">
        <v>19537</v>
      </c>
      <c r="F10055" t="s">
        <v>19538</v>
      </c>
      <c r="G10055" t="s">
        <v>14</v>
      </c>
      <c r="H10055">
             </c>
      <c r="I10055" t="s">
        <v>14</v>
      </c>
      <c r="J10055" t="s">
        <v>141</v>
      </c>
      <c r="K10055" t="s">
        <v>14</v>
      </c>
      <c r="L10055" t="s">
        <v>20</v>
      </c>
      <c r="M10055" t="s">
        <v>19488</v>
      </c>
      <c r="N10055" t="s">
        <v>14</v>
      </c>
    </row>
    <row r="10056" x14ac:dyDescent="0.25">
      <c r="A10056" t="n">
        <v>24</v>
      </c>
      <c r="B10056" t="s">
        <v>14</v>
      </c>
      <c r="C10056" t="s">
        <v>22</v>
      </c>
      <c r="D10056" s="2" t="s">
        <f>=HYPERLINK("https://main.knesset.gov.il/APPS/legislation/main/bills/2159340", "הצעת חוק הדחת נציג ציבור התומך במאבק מזוין נגד מדינת ישראל (תיקוני חקיקה), התשפ""א-2021")</f>
        <v>18501</v>
      </c>
      <c r="E10056" t="s">
        <v>18501</v>
      </c>
      <c r="F10056" t="s">
        <v>19539</v>
      </c>
      <c r="G10056" t="s">
        <v>14</v>
      </c>
      <c r="H10056">
             </c>
      <c r="I10056" t="s">
        <v>14</v>
      </c>
      <c r="J10056" t="s">
        <v>141</v>
      </c>
      <c r="K10056" t="s">
        <v>14</v>
      </c>
      <c r="L10056" t="s">
        <v>20</v>
      </c>
      <c r="M10056" t="s">
        <v>19488</v>
      </c>
      <c r="N10056" t="s">
        <v>14</v>
      </c>
    </row>
    <row r="10057" x14ac:dyDescent="0.25">
      <c r="A10057" t="n">
        <v>24</v>
      </c>
      <c r="B10057" t="s">
        <v>14</v>
      </c>
      <c r="C10057" t="s">
        <v>22</v>
      </c>
      <c r="D10057" s="2" t="s">
        <f>=HYPERLINK("https://main.knesset.gov.il/APPS/legislation/main/bills/2159759", "הצעת חוק העונשין (תיקון - עונש מינימום על החזקת נשק בלתי חוקי), התשפ""א-2021")</f>
        <v>19540</v>
      </c>
      <c r="E10057" t="s">
        <v>19540</v>
      </c>
      <c r="F10057" t="s">
        <v>19541</v>
      </c>
      <c r="G10057" t="s">
        <v>14</v>
      </c>
      <c r="H10057">
             </c>
      <c r="I10057" t="s">
        <v>14</v>
      </c>
      <c r="J10057" t="s">
        <v>141</v>
      </c>
      <c r="K10057" t="s">
        <v>14</v>
      </c>
      <c r="L10057" t="s">
        <v>20</v>
      </c>
      <c r="M10057" t="s">
        <v>19488</v>
      </c>
      <c r="N10057" t="s">
        <v>14</v>
      </c>
    </row>
    <row r="10058" x14ac:dyDescent="0.25">
      <c r="A10058" t="n">
        <v>24</v>
      </c>
      <c r="B10058" t="s">
        <v>14</v>
      </c>
      <c r="C10058" t="s">
        <v>22</v>
      </c>
      <c r="D10058" s="2" t="s">
        <f>=HYPERLINK("https://main.knesset.gov.il/APPS/legislation/main/bills/2159831", "הצעת חוק הבטחת הכנסה (תיקון - הכנסה שלא תחושב), התשפ""א-2021")</f>
        <v>19542</v>
      </c>
      <c r="E10058" t="s">
        <v>19542</v>
      </c>
      <c r="F10058" t="s">
        <v>19543</v>
      </c>
      <c r="G10058" t="s">
        <v>14</v>
      </c>
      <c r="H10058">
             </c>
      <c r="I10058" t="s">
        <v>14</v>
      </c>
      <c r="J10058" t="s">
        <v>141</v>
      </c>
      <c r="K10058" t="s">
        <v>14</v>
      </c>
      <c r="L10058" t="s">
        <v>20</v>
      </c>
      <c r="M10058" t="s">
        <v>19488</v>
      </c>
      <c r="N10058" t="s">
        <v>14</v>
      </c>
    </row>
    <row r="10059" x14ac:dyDescent="0.25">
      <c r="A10059" t="n">
        <v>24</v>
      </c>
      <c r="B10059" t="s">
        <v>14</v>
      </c>
      <c r="C10059" t="s">
        <v>22</v>
      </c>
      <c r="D10059" s="2" t="s">
        <f>=HYPERLINK("https://main.knesset.gov.il/APPS/legislation/main/bills/2159832", "הצעת חוק האזרחים הוותיקים (תיקון - פטור מתשלום בתחבורה ציבורית), התשפ""א-2021")</f>
        <v>19544</v>
      </c>
      <c r="E10059" t="s">
        <v>19544</v>
      </c>
      <c r="F10059" t="s">
        <v>19545</v>
      </c>
      <c r="G10059" t="s">
        <v>14</v>
      </c>
      <c r="H10059">
             </c>
      <c r="I10059" t="s">
        <v>14</v>
      </c>
      <c r="J10059" t="s">
        <v>141</v>
      </c>
      <c r="K10059" t="s">
        <v>14</v>
      </c>
      <c r="L10059" t="s">
        <v>20</v>
      </c>
      <c r="M10059" t="s">
        <v>19488</v>
      </c>
      <c r="N10059" t="s">
        <v>14</v>
      </c>
    </row>
    <row r="10060" x14ac:dyDescent="0.25">
      <c r="A10060" t="n">
        <v>24</v>
      </c>
      <c r="B10060" t="s">
        <v>14</v>
      </c>
      <c r="C10060" t="s">
        <v>22</v>
      </c>
      <c r="D10060" s="2" t="s">
        <f>=HYPERLINK("https://main.knesset.gov.il/APPS/legislation/main/bills/2159121", "הצעת חוק התפתחות טבעית בערי יהודה ושומרון, התשפ""א-2021")</f>
        <v>19546</v>
      </c>
      <c r="E10060" t="s">
        <v>19546</v>
      </c>
      <c r="F10060" t="s">
        <v>19547</v>
      </c>
      <c r="G10060" t="s">
        <v>14</v>
      </c>
      <c r="H10060">
             </c>
      <c r="I10060" t="s">
        <v>14</v>
      </c>
      <c r="J10060" t="s">
        <v>141</v>
      </c>
      <c r="K10060" t="s">
        <v>14</v>
      </c>
      <c r="L10060" t="s">
        <v>20</v>
      </c>
      <c r="M10060" t="s">
        <v>19488</v>
      </c>
      <c r="N10060" t="s">
        <v>14</v>
      </c>
    </row>
    <row r="10061" x14ac:dyDescent="0.25">
      <c r="A10061" t="n">
        <v>24</v>
      </c>
      <c r="B10061" t="s">
        <v>14</v>
      </c>
      <c r="C10061" t="s">
        <v>22</v>
      </c>
      <c r="D10061" s="2" t="s">
        <f>=HYPERLINK("https://main.knesset.gov.il/APPS/legislation/main/bills/2159419", "הצעת חוק לתיקון פקודת המשטרה (חובת לבישת מדים בהפגנות), התשפ""א-2021")</f>
        <v>19548</v>
      </c>
      <c r="E10061" t="s">
        <v>19548</v>
      </c>
      <c r="F10061" t="s">
        <v>19549</v>
      </c>
      <c r="G10061" t="s">
        <v>14</v>
      </c>
      <c r="H10061">
             </c>
      <c r="I10061" t="s">
        <v>14</v>
      </c>
      <c r="J10061" t="s">
        <v>141</v>
      </c>
      <c r="K10061" t="s">
        <v>14</v>
      </c>
      <c r="L10061" t="s">
        <v>20</v>
      </c>
      <c r="M10061" t="s">
        <v>19488</v>
      </c>
      <c r="N10061" t="s">
        <v>14</v>
      </c>
    </row>
    <row r="10062" x14ac:dyDescent="0.25">
      <c r="A10062" t="n">
        <v>24</v>
      </c>
      <c r="B10062" t="s">
        <v>14</v>
      </c>
      <c r="C10062" t="s">
        <v>22</v>
      </c>
      <c r="D10062" s="2" t="s">
        <f>=HYPERLINK("https://main.knesset.gov.il/APPS/legislation/main/bills/2159467", "הצעת חוק החלת החוק הישראלי בשטח בקעת הירדן (הליך קבלת אזרחות), התשפ""א-2021")</f>
        <v>19550</v>
      </c>
      <c r="E10062" t="s">
        <v>19550</v>
      </c>
      <c r="F10062" t="s">
        <v>19551</v>
      </c>
      <c r="G10062" t="s">
        <v>14</v>
      </c>
      <c r="H10062">
             </c>
      <c r="I10062" t="s">
        <v>14</v>
      </c>
      <c r="J10062" t="s">
        <v>141</v>
      </c>
      <c r="K10062" t="s">
        <v>14</v>
      </c>
      <c r="L10062" t="s">
        <v>20</v>
      </c>
      <c r="M10062" t="s">
        <v>19488</v>
      </c>
      <c r="N10062" t="s">
        <v>14</v>
      </c>
    </row>
    <row r="10063" x14ac:dyDescent="0.25">
      <c r="A10063" t="n">
        <v>24</v>
      </c>
      <c r="B10063" t="s">
        <v>14</v>
      </c>
      <c r="C10063" t="s">
        <v>22</v>
      </c>
      <c r="D10063" s="2" t="s">
        <f>=HYPERLINK("https://main.knesset.gov.il/APPS/legislation/main/bills/2159471", "הצעת חוק המאבק בטרור (תיקון - איסור החזרת גופות מחבלים), התשפ""א-2021")</f>
        <v>19552</v>
      </c>
      <c r="E10063" t="s">
        <v>19552</v>
      </c>
      <c r="F10063" t="s">
        <v>19553</v>
      </c>
      <c r="G10063" t="s">
        <v>14</v>
      </c>
      <c r="H10063">
             </c>
      <c r="I10063" t="s">
        <v>14</v>
      </c>
      <c r="J10063" t="s">
        <v>141</v>
      </c>
      <c r="K10063" t="s">
        <v>14</v>
      </c>
      <c r="L10063" t="s">
        <v>20</v>
      </c>
      <c r="M10063" t="s">
        <v>19488</v>
      </c>
      <c r="N10063" t="s">
        <v>14</v>
      </c>
    </row>
    <row r="10064" x14ac:dyDescent="0.25">
      <c r="A10064" t="n">
        <v>24</v>
      </c>
      <c r="B10064" t="s">
        <v>14</v>
      </c>
      <c r="C10064" t="s">
        <v>22</v>
      </c>
      <c r="D10064" s="2" t="s">
        <f>=HYPERLINK("https://main.knesset.gov.il/APPS/legislation/main/bills/2157278", "הצעת חוק הדואר (תיקון - אחריות לאיחורים וטעויות), התשפ""א-2021 ")</f>
        <v>19554</v>
      </c>
      <c r="E10064" t="s">
        <v>19554</v>
      </c>
      <c r="F10064" t="s">
        <v>19555</v>
      </c>
      <c r="G10064" t="s">
        <v>14</v>
      </c>
      <c r="H10064">
             </c>
      <c r="I10064" t="s">
        <v>14</v>
      </c>
      <c r="J10064" t="s">
        <v>141</v>
      </c>
      <c r="K10064" t="s">
        <v>14</v>
      </c>
      <c r="L10064" t="s">
        <v>20</v>
      </c>
      <c r="M10064" t="s">
        <v>19488</v>
      </c>
      <c r="N10064" t="s">
        <v>14</v>
      </c>
    </row>
    <row r="10065" x14ac:dyDescent="0.25">
      <c r="A10065" t="n">
        <v>24</v>
      </c>
      <c r="B10065" t="s">
        <v>14</v>
      </c>
      <c r="C10065" t="s">
        <v>22</v>
      </c>
      <c r="D10065" s="2" t="s">
        <f>=HYPERLINK("https://main.knesset.gov.il/APPS/legislation/main/bills/2159020", "הצעת חוק הסדרת העיסוק במקצועות הבריאות (תיקון - טיפול באמצעות בעלי חיים), התשפ""א-2021")</f>
        <v>19556</v>
      </c>
      <c r="E10065" t="s">
        <v>19556</v>
      </c>
      <c r="F10065" t="s">
        <v>19557</v>
      </c>
      <c r="G10065" t="s">
        <v>14</v>
      </c>
      <c r="H10065">
             </c>
      <c r="I10065" t="s">
        <v>14</v>
      </c>
      <c r="J10065" t="s">
        <v>141</v>
      </c>
      <c r="K10065" t="s">
        <v>14</v>
      </c>
      <c r="L10065" t="s">
        <v>20</v>
      </c>
      <c r="M10065" t="s">
        <v>19488</v>
      </c>
      <c r="N10065" t="s">
        <v>14</v>
      </c>
    </row>
    <row r="10066" x14ac:dyDescent="0.25">
      <c r="A10066" t="n">
        <v>24</v>
      </c>
      <c r="B10066" t="s">
        <v>14</v>
      </c>
      <c r="C10066" t="s">
        <v>22</v>
      </c>
      <c r="D10066" s="2" t="s">
        <f>=HYPERLINK("https://main.knesset.gov.il/APPS/legislation/main/bills/2160066", "הצעת חוק זכויות הסטודנט (תיקון - חופשת לידה לסטודנטית), התשפ""א-2021")</f>
        <v>19558</v>
      </c>
      <c r="E10066" t="s">
        <v>19558</v>
      </c>
      <c r="F10066" t="s">
        <v>19559</v>
      </c>
      <c r="G10066" t="s">
        <v>14</v>
      </c>
      <c r="H10066">
             </c>
      <c r="I10066" t="s">
        <v>14</v>
      </c>
      <c r="J10066" t="s">
        <v>141</v>
      </c>
      <c r="K10066" t="s">
        <v>14</v>
      </c>
      <c r="L10066" t="s">
        <v>20</v>
      </c>
      <c r="M10066" t="s">
        <v>19488</v>
      </c>
      <c r="N10066" t="s">
        <v>14</v>
      </c>
    </row>
    <row r="10067" x14ac:dyDescent="0.25">
      <c r="A10067" t="n">
        <v>24</v>
      </c>
      <c r="B10067" t="s">
        <v>14</v>
      </c>
      <c r="C10067" t="s">
        <v>22</v>
      </c>
      <c r="D10067" s="2" t="s">
        <f>=HYPERLINK("https://main.knesset.gov.il/APPS/legislation/main/bills/2159823", "הצעת חוק ביטוח בריאות ממלכתי (תיקון - שירותי בריאות נוספים לשוהים במוסדות לילדים ונוער בסיכון), התשפ""א-2021")</f>
        <v>19560</v>
      </c>
      <c r="E10067" t="s">
        <v>19560</v>
      </c>
      <c r="F10067" t="s">
        <v>19561</v>
      </c>
      <c r="G10067" t="s">
        <v>14</v>
      </c>
      <c r="H10067">
             </c>
      <c r="I10067" t="s">
        <v>14</v>
      </c>
      <c r="J10067" t="s">
        <v>141</v>
      </c>
      <c r="K10067" t="s">
        <v>14</v>
      </c>
      <c r="L10067" t="s">
        <v>20</v>
      </c>
      <c r="M10067" t="s">
        <v>19488</v>
      </c>
      <c r="N10067" t="s">
        <v>14</v>
      </c>
    </row>
    <row r="10068" x14ac:dyDescent="0.25">
      <c r="A10068" t="n">
        <v>24</v>
      </c>
      <c r="B10068" t="s">
        <v>14</v>
      </c>
      <c r="C10068" t="s">
        <v>22</v>
      </c>
      <c r="D10068" s="2" t="s">
        <f>=HYPERLINK("https://main.knesset.gov.il/APPS/legislation/main/bills/2158880", "הצעת חוק משק החשמל (תיקון - גביית תשלומים), התשפ""א-2021")</f>
        <v>15224</v>
      </c>
      <c r="E10068" t="s">
        <v>15224</v>
      </c>
      <c r="F10068" t="s">
        <v>19562</v>
      </c>
      <c r="G10068" t="s">
        <v>14</v>
      </c>
      <c r="H10068">
             </c>
      <c r="I10068" t="s">
        <v>14</v>
      </c>
      <c r="J10068" t="s">
        <v>141</v>
      </c>
      <c r="K10068" t="s">
        <v>14</v>
      </c>
      <c r="L10068" t="s">
        <v>20</v>
      </c>
      <c r="M10068" t="s">
        <v>19488</v>
      </c>
      <c r="N10068" t="s">
        <v>14</v>
      </c>
    </row>
    <row r="10069" x14ac:dyDescent="0.25">
      <c r="A10069" t="n">
        <v>24</v>
      </c>
      <c r="B10069" t="s">
        <v>14</v>
      </c>
      <c r="C10069" t="s">
        <v>22</v>
      </c>
      <c r="D10069" s="2" t="s">
        <f>=HYPERLINK("https://main.knesset.gov.il/APPS/legislation/main/bills/2157487", "הצעת חוק זכויות הסטודנט (תיקון - פעילות ציבורית ופוליטית במוסד להשכלה גבוהה), התשפ""א-2021")</f>
        <v>19563</v>
      </c>
      <c r="E10069" t="s">
        <v>19563</v>
      </c>
      <c r="F10069" t="s">
        <v>19564</v>
      </c>
      <c r="G10069" t="s">
        <v>14</v>
      </c>
      <c r="H10069">
             </c>
      <c r="I10069" t="s">
        <v>14</v>
      </c>
      <c r="J10069" t="s">
        <v>141</v>
      </c>
      <c r="K10069" t="s">
        <v>14</v>
      </c>
      <c r="L10069" t="s">
        <v>20</v>
      </c>
      <c r="M10069" t="s">
        <v>19488</v>
      </c>
      <c r="N10069" t="s">
        <v>14</v>
      </c>
    </row>
    <row r="10070" x14ac:dyDescent="0.25">
      <c r="A10070" t="n">
        <v>24</v>
      </c>
      <c r="B10070" t="s">
        <v>14</v>
      </c>
      <c r="C10070" t="s">
        <v>15</v>
      </c>
      <c r="D10070" s="2" t="s">
        <f>=HYPERLINK("https://main.knesset.gov.il/APPS/legislation/main/bills/2160466", "הצעת חוק השיפוט הצבאי (תיקון מס' 78), התשפ""א-2021")</f>
        <v>19565</v>
      </c>
      <c r="E10070" t="s">
        <v>19565</v>
      </c>
      <c r="F10070" t="s">
        <v>14</v>
      </c>
      <c r="G10070" t="s">
        <v>19566</v>
      </c>
      <c r="H10070">
             </c>
      <c r="I10070" t="s">
        <v>14</v>
      </c>
      <c r="J10070" t="s">
        <v>1141</v>
      </c>
      <c r="K10070" t="s">
        <v>14</v>
      </c>
      <c r="L10070" t="s">
        <v>20</v>
      </c>
      <c r="M10070" t="s">
        <v>19488</v>
      </c>
      <c r="N10070" t="s">
        <v>14</v>
      </c>
    </row>
    <row r="10071" x14ac:dyDescent="0.25">
      <c r="A10071" t="n">
        <v>24</v>
      </c>
      <c r="B10071" t="s">
        <v>14</v>
      </c>
      <c r="C10071" t="s">
        <v>15</v>
      </c>
      <c r="D10071" s="2" t="s">
        <f>=HYPERLINK("https://main.knesset.gov.il/APPS/legislation/main/bills/2160467", "הצעת חוק השיפוט הצבאי (תיקון מס' 79) (הבניית שיקול הדעת השיפוטי בענישה), התשפ""א-2021")</f>
        <v>19567</v>
      </c>
      <c r="E10071" t="s">
        <v>19567</v>
      </c>
      <c r="F10071" t="s">
        <v>14</v>
      </c>
      <c r="G10071" t="s">
        <v>19568</v>
      </c>
      <c r="H10071">
             </c>
      <c r="I10071" t="s">
        <v>14</v>
      </c>
      <c r="J10071" t="s">
        <v>1141</v>
      </c>
      <c r="K10071" t="s">
        <v>14</v>
      </c>
      <c r="L10071" t="s">
        <v>20</v>
      </c>
      <c r="M10071" t="s">
        <v>19488</v>
      </c>
      <c r="N10071" t="s">
        <v>14</v>
      </c>
    </row>
    <row r="10072" x14ac:dyDescent="0.25">
      <c r="A10072" t="n">
        <v>24</v>
      </c>
      <c r="B10072" t="s">
        <v>14</v>
      </c>
      <c r="C10072" t="s">
        <v>15</v>
      </c>
      <c r="D10072" s="2" t="s">
        <f>=HYPERLINK("https://main.knesset.gov.il/APPS/legislation/main/bills/2160462", "הצעת חוק שירות הקבע בצבא הגנה לישראל (גמלאות) (תיקון מס' 33) (מינוי חייל לוועדת ערעור), התשפ""א-2021")</f>
        <v>19569</v>
      </c>
      <c r="E10072" t="s">
        <v>19569</v>
      </c>
      <c r="F10072" t="s">
        <v>14</v>
      </c>
      <c r="G10072" t="s">
        <v>19570</v>
      </c>
      <c r="H10072">
             </c>
      <c r="I10072" t="s">
        <v>14</v>
      </c>
      <c r="J10072" t="s">
        <v>1141</v>
      </c>
      <c r="K10072" t="s">
        <v>14</v>
      </c>
      <c r="L10072" t="s">
        <v>20</v>
      </c>
      <c r="M10072" t="s">
        <v>19488</v>
      </c>
      <c r="N10072" t="s">
        <v>14</v>
      </c>
    </row>
    <row r="10073" x14ac:dyDescent="0.25">
      <c r="A10073" t="n">
        <v>24</v>
      </c>
      <c r="B10073" t="s">
        <v>14</v>
      </c>
      <c r="C10073" t="s">
        <v>15</v>
      </c>
      <c r="D10073" s="2" t="s">
        <f>=HYPERLINK("https://main.knesset.gov.il/APPS/legislation/main/bills/2159667", "הצעת חוק הדיינים (תיקון מס' 29), התשפ""א-2021")</f>
        <v>19571</v>
      </c>
      <c r="E10073" t="s">
        <v>19571</v>
      </c>
      <c r="F10073" t="s">
        <v>14</v>
      </c>
      <c r="G10073" t="s">
        <v>19572</v>
      </c>
      <c r="H10073">
             </c>
      <c r="I10073" t="s">
        <v>14</v>
      </c>
      <c r="J10073" t="s">
        <v>17518</v>
      </c>
      <c r="K10073" t="s">
        <v>27</v>
      </c>
      <c r="L10073" t="s">
        <v>20</v>
      </c>
      <c r="M10073" t="s">
        <v>19573</v>
      </c>
      <c r="N10073" t="s">
        <v>14</v>
      </c>
    </row>
    <row r="10074" x14ac:dyDescent="0.25">
      <c r="A10074" t="n">
        <v>24</v>
      </c>
      <c r="B10074" t="s">
        <v>14</v>
      </c>
      <c r="C10074" t="s">
        <v>22</v>
      </c>
      <c r="D10074" s="2" t="s">
        <f>=HYPERLINK("https://main.knesset.gov.il/APPS/legislation/main/bills/2156051", "הצעת חוק זכויות החולה (תיקון - הכנסת מזון למוסדות רפואיים בחג הפסח), התשפ""א-2021")</f>
        <v>19574</v>
      </c>
      <c r="E10074" t="s">
        <v>19574</v>
      </c>
      <c r="F10074" t="s">
        <v>19575</v>
      </c>
      <c r="G10074" t="s">
        <v>14</v>
      </c>
      <c r="H10074">
             </c>
      <c r="I10074" t="s">
        <v>14</v>
      </c>
      <c r="J10074" t="s">
        <v>55</v>
      </c>
      <c r="K10074" t="s">
        <v>14</v>
      </c>
      <c r="L10074" t="s">
        <v>20</v>
      </c>
      <c r="M10074" t="s">
        <v>19573</v>
      </c>
      <c r="N10074" t="s">
        <v>14</v>
      </c>
    </row>
    <row r="10075" x14ac:dyDescent="0.25">
      <c r="A10075" t="n">
        <v>24</v>
      </c>
      <c r="B10075" t="s">
        <v>14</v>
      </c>
      <c r="C10075" t="s">
        <v>22</v>
      </c>
      <c r="D10075" s="2" t="s">
        <f>=HYPERLINK("https://main.knesset.gov.il/APPS/legislation/main/bills/2156341", "הצעת חוק-יסוד: הממשלה (תיקון - הטלת התפקיד להרכיב ממשלה)")</f>
        <v>15675</v>
      </c>
      <c r="E10075" t="s">
        <v>15675</v>
      </c>
      <c r="F10075" t="s">
        <v>19576</v>
      </c>
      <c r="G10075" t="s">
        <v>14</v>
      </c>
      <c r="H10075">
             </c>
      <c r="I10075" t="s">
        <v>14</v>
      </c>
      <c r="J10075" t="s">
        <v>55</v>
      </c>
      <c r="K10075" t="s">
        <v>14</v>
      </c>
      <c r="L10075" t="s">
        <v>20</v>
      </c>
      <c r="M10075" t="s">
        <v>19573</v>
      </c>
      <c r="N10075" t="s">
        <v>14</v>
      </c>
    </row>
    <row r="10076" x14ac:dyDescent="0.25">
      <c r="A10076" t="n">
        <v>24</v>
      </c>
      <c r="B10076" t="s">
        <v>14</v>
      </c>
      <c r="C10076" t="s">
        <v>22</v>
      </c>
      <c r="D10076" s="2" t="s">
        <f>=HYPERLINK("https://main.knesset.gov.il/APPS/legislation/main/bills/2158207", "הצעת חוק התובע הכללי, התשפ""א-2021")</f>
        <v>19577</v>
      </c>
      <c r="E10076" t="s">
        <v>19577</v>
      </c>
      <c r="F10076" t="s">
        <v>19578</v>
      </c>
      <c r="G10076" t="s">
        <v>14</v>
      </c>
      <c r="H10076">
             </c>
      <c r="I10076" t="s">
        <v>14</v>
      </c>
      <c r="J10076" t="s">
        <v>55</v>
      </c>
      <c r="K10076" t="s">
        <v>14</v>
      </c>
      <c r="L10076" t="s">
        <v>20</v>
      </c>
      <c r="M10076" t="s">
        <v>19573</v>
      </c>
      <c r="N10076" t="s">
        <v>14</v>
      </c>
    </row>
    <row r="10077" x14ac:dyDescent="0.25">
      <c r="A10077" t="n">
        <v>24</v>
      </c>
      <c r="B10077" t="s">
        <v>14</v>
      </c>
      <c r="C10077" t="s">
        <v>22</v>
      </c>
      <c r="D10077" s="2" t="s">
        <f>=HYPERLINK("https://main.knesset.gov.il/APPS/legislation/main/bills/2158423", "הצעת חוק הדגל, הסמל והמנון המדינה (תיקון - פגיעה בכבוד דגל המדינה או סמלה), התשפ״א-2021")</f>
        <v>19579</v>
      </c>
      <c r="E10077" t="s">
        <v>19579</v>
      </c>
      <c r="F10077" t="s">
        <v>19580</v>
      </c>
      <c r="G10077" t="s">
        <v>14</v>
      </c>
      <c r="H10077">
             </c>
      <c r="I10077" t="s">
        <v>14</v>
      </c>
      <c r="J10077" t="s">
        <v>55</v>
      </c>
      <c r="K10077" t="s">
        <v>14</v>
      </c>
      <c r="L10077" t="s">
        <v>20</v>
      </c>
      <c r="M10077" t="s">
        <v>19573</v>
      </c>
      <c r="N10077" t="s">
        <v>14</v>
      </c>
    </row>
    <row r="10078" x14ac:dyDescent="0.25">
      <c r="A10078" t="n">
        <v>24</v>
      </c>
      <c r="B10078" t="s">
        <v>14</v>
      </c>
      <c r="C10078" t="s">
        <v>22</v>
      </c>
      <c r="D10078" s="2" t="s">
        <f>=HYPERLINK("https://main.knesset.gov.il/APPS/legislation/main/bills/2157408", "הצעת חוק-יסוד: ההגירה לישראל")</f>
        <v>2252</v>
      </c>
      <c r="E10078" t="s">
        <v>2252</v>
      </c>
      <c r="F10078" t="s">
        <v>19581</v>
      </c>
      <c r="G10078" t="s">
        <v>14</v>
      </c>
      <c r="H10078">
             </c>
      <c r="I10078" t="s">
        <v>14</v>
      </c>
      <c r="J10078" t="s">
        <v>55</v>
      </c>
      <c r="K10078" t="s">
        <v>14</v>
      </c>
      <c r="L10078" t="s">
        <v>20</v>
      </c>
      <c r="M10078" t="s">
        <v>19573</v>
      </c>
      <c r="N10078" t="s">
        <v>14</v>
      </c>
    </row>
    <row r="10079" x14ac:dyDescent="0.25">
      <c r="A10079" t="n">
        <v>24</v>
      </c>
      <c r="B10079" t="s">
        <v>14</v>
      </c>
      <c r="C10079" t="s">
        <v>22</v>
      </c>
      <c r="D10079" s="2" t="s">
        <f>=HYPERLINK("https://main.knesset.gov.il/APPS/legislation/main/bills/2156495", "הצעת חוק-יסוד: כבוד האדם וחירותו (תיקון - תוקפו של חוק חורג)")</f>
        <v>11944</v>
      </c>
      <c r="E10079" t="s">
        <v>11944</v>
      </c>
      <c r="F10079" t="s">
        <v>19582</v>
      </c>
      <c r="G10079" t="s">
        <v>14</v>
      </c>
      <c r="H10079">
             </c>
      <c r="I10079" t="s">
        <v>14</v>
      </c>
      <c r="J10079" t="s">
        <v>55</v>
      </c>
      <c r="K10079" t="s">
        <v>14</v>
      </c>
      <c r="L10079" t="s">
        <v>20</v>
      </c>
      <c r="M10079" t="s">
        <v>19573</v>
      </c>
      <c r="N10079" t="s">
        <v>14</v>
      </c>
    </row>
    <row r="10080" x14ac:dyDescent="0.25">
      <c r="A10080" t="n">
        <v>24</v>
      </c>
      <c r="B10080" t="s">
        <v>14</v>
      </c>
      <c r="C10080" t="s">
        <v>22</v>
      </c>
      <c r="D10080" s="2" t="s">
        <f>=HYPERLINK("https://main.knesset.gov.il/APPS/legislation/main/bills/2156372", "הצעת חוק-יסוד: כבוד האדם וחירותו (תיקון - תוקפו של חוק חורג)")</f>
        <v>11944</v>
      </c>
      <c r="E10080" t="s">
        <v>11944</v>
      </c>
      <c r="F10080" t="s">
        <v>19583</v>
      </c>
      <c r="G10080" t="s">
        <v>14</v>
      </c>
      <c r="H10080">
             </c>
      <c r="I10080" t="s">
        <v>14</v>
      </c>
      <c r="J10080" t="s">
        <v>55</v>
      </c>
      <c r="K10080" t="s">
        <v>14</v>
      </c>
      <c r="L10080" t="s">
        <v>20</v>
      </c>
      <c r="M10080" t="s">
        <v>19573</v>
      </c>
      <c r="N10080" t="s">
        <v>14</v>
      </c>
    </row>
    <row r="10081" x14ac:dyDescent="0.25">
      <c r="A10081" t="n">
        <v>24</v>
      </c>
      <c r="B10081" t="s">
        <v>14</v>
      </c>
      <c r="C10081" t="s">
        <v>22</v>
      </c>
      <c r="D10081" s="2" t="s">
        <f>=HYPERLINK("https://main.knesset.gov.il/APPS/legislation/main/bills/2158169", "הצעת חוק סיוע לנפגעי האסון הלאומי בהר מירון, התשפ""א-2021")</f>
        <v>19584</v>
      </c>
      <c r="E10081" t="s">
        <v>19584</v>
      </c>
      <c r="F10081" t="s">
        <v>19585</v>
      </c>
      <c r="G10081" t="s">
        <v>14</v>
      </c>
      <c r="H10081">
             </c>
      <c r="I10081" t="s">
        <v>14</v>
      </c>
      <c r="J10081" t="s">
        <v>55</v>
      </c>
      <c r="K10081" t="s">
        <v>14</v>
      </c>
      <c r="L10081" t="s">
        <v>20</v>
      </c>
      <c r="M10081" t="s">
        <v>19573</v>
      </c>
      <c r="N10081" t="s">
        <v>14</v>
      </c>
    </row>
    <row r="10082" x14ac:dyDescent="0.25">
      <c r="A10082" t="n">
        <v>24</v>
      </c>
      <c r="B10082" t="s">
        <v>14</v>
      </c>
      <c r="C10082" t="s">
        <v>22</v>
      </c>
      <c r="D10082" s="2" t="s">
        <f>=HYPERLINK("https://main.knesset.gov.il/APPS/legislation/main/bills/2156467", "הצעת חוק להקפאת קצבאות שמשולמות לפעיל טרור ומשפחתו מקופת המדינה, התשפ""א-2021")</f>
        <v>19502</v>
      </c>
      <c r="E10082" t="s">
        <v>19502</v>
      </c>
      <c r="F10082" t="s">
        <v>19586</v>
      </c>
      <c r="G10082" t="s">
        <v>14</v>
      </c>
      <c r="H10082">
             </c>
      <c r="I10082" t="s">
        <v>14</v>
      </c>
      <c r="J10082" t="s">
        <v>55</v>
      </c>
      <c r="K10082" t="s">
        <v>14</v>
      </c>
      <c r="L10082" t="s">
        <v>20</v>
      </c>
      <c r="M10082" t="s">
        <v>19573</v>
      </c>
      <c r="N10082" t="s">
        <v>14</v>
      </c>
    </row>
    <row r="10083" x14ac:dyDescent="0.25">
      <c r="A10083" t="n">
        <v>24</v>
      </c>
      <c r="B10083" t="s">
        <v>14</v>
      </c>
      <c r="C10083" t="s">
        <v>22</v>
      </c>
      <c r="D10083" s="2" t="s">
        <f>=HYPERLINK("https://main.knesset.gov.il/APPS/legislation/main/bills/2158090", "הצעת חוק לביטול אזרחותו או תושבותו של פעיל טרור שמקבל תגמול עבור ביצוע מעשה הטרור (תיקוני חקיקה), התשפ""א-2021")</f>
        <v>19587</v>
      </c>
      <c r="E10083" t="s">
        <v>19587</v>
      </c>
      <c r="F10083" t="s">
        <v>19588</v>
      </c>
      <c r="G10083" t="s">
        <v>14</v>
      </c>
      <c r="H10083">
             </c>
      <c r="I10083" t="s">
        <v>14</v>
      </c>
      <c r="J10083" t="s">
        <v>55</v>
      </c>
      <c r="K10083" t="s">
        <v>14</v>
      </c>
      <c r="L10083" t="s">
        <v>20</v>
      </c>
      <c r="M10083" t="s">
        <v>19573</v>
      </c>
      <c r="N10083" t="s">
        <v>14</v>
      </c>
    </row>
    <row r="10084" x14ac:dyDescent="0.25">
      <c r="A10084" t="n">
        <v>24</v>
      </c>
      <c r="B10084" t="s">
        <v>14</v>
      </c>
      <c r="C10084" t="s">
        <v>22</v>
      </c>
      <c r="D10084" s="2" t="s">
        <f>=HYPERLINK("https://main.knesset.gov.il/APPS/legislation/main/bills/2156708", "הצעת חוק לביטול אזרחותו או תושבותו של פעיל טרור שמקבל תגמול עבור ביצוע מעשה הטרור (תיקוני חקיקה), התשפ""א-2021")</f>
        <v>19587</v>
      </c>
      <c r="E10084" t="s">
        <v>19587</v>
      </c>
      <c r="F10084" t="s">
        <v>19589</v>
      </c>
      <c r="G10084" t="s">
        <v>14</v>
      </c>
      <c r="H10084">
             </c>
      <c r="I10084" t="s">
        <v>14</v>
      </c>
      <c r="J10084" t="s">
        <v>55</v>
      </c>
      <c r="K10084" t="s">
        <v>14</v>
      </c>
      <c r="L10084" t="s">
        <v>20</v>
      </c>
      <c r="M10084" t="s">
        <v>19573</v>
      </c>
      <c r="N10084" t="s">
        <v>14</v>
      </c>
    </row>
    <row r="10085" x14ac:dyDescent="0.25">
      <c r="A10085" t="n">
        <v>24</v>
      </c>
      <c r="B10085" t="s">
        <v>14</v>
      </c>
      <c r="C10085" t="s">
        <v>22</v>
      </c>
      <c r="D10085" s="2" t="s">
        <f>=HYPERLINK("https://main.knesset.gov.il/APPS/legislation/main/bills/2156638", "הצעת חוק לתיקון פקודת העיריות (צדק חלוקתי בכל הרשויות המתוקצבות במדינת ישראל), התשפ""א-2021")</f>
        <v>19590</v>
      </c>
      <c r="E10085" t="s">
        <v>19590</v>
      </c>
      <c r="F10085" t="s">
        <v>19591</v>
      </c>
      <c r="G10085" t="s">
        <v>14</v>
      </c>
      <c r="H10085">
             </c>
      <c r="I10085" t="s">
        <v>14</v>
      </c>
      <c r="J10085" t="s">
        <v>55</v>
      </c>
      <c r="K10085" t="s">
        <v>14</v>
      </c>
      <c r="L10085" t="s">
        <v>20</v>
      </c>
      <c r="M10085" t="s">
        <v>19573</v>
      </c>
      <c r="N10085" t="s">
        <v>14</v>
      </c>
    </row>
    <row r="10086" x14ac:dyDescent="0.25">
      <c r="A10086" t="n">
        <v>24</v>
      </c>
      <c r="B10086" t="s">
        <v>14</v>
      </c>
      <c r="C10086" t="s">
        <v>22</v>
      </c>
      <c r="D10086" s="2" t="s">
        <f>=HYPERLINK("https://main.knesset.gov.il/APPS/legislation/main/bills/2156146", "הצעת חוק זכויות החולה (תיקון - קביעת הוראות לעניין הכנסת חפצים ודברי מאכל למוסד רפואי), התשפ""א-2021")</f>
        <v>19592</v>
      </c>
      <c r="E10086" t="s">
        <v>19592</v>
      </c>
      <c r="F10086" t="s">
        <v>19593</v>
      </c>
      <c r="G10086" t="s">
        <v>14</v>
      </c>
      <c r="H10086">
             </c>
      <c r="I10086" t="s">
        <v>14</v>
      </c>
      <c r="J10086" t="s">
        <v>55</v>
      </c>
      <c r="K10086" t="s">
        <v>14</v>
      </c>
      <c r="L10086" t="s">
        <v>20</v>
      </c>
      <c r="M10086" t="s">
        <v>19573</v>
      </c>
      <c r="N10086" t="s">
        <v>14</v>
      </c>
    </row>
    <row r="10087" x14ac:dyDescent="0.25">
      <c r="A10087" t="n">
        <v>24</v>
      </c>
      <c r="B10087" t="s">
        <v>14</v>
      </c>
      <c r="C10087" t="s">
        <v>22</v>
      </c>
      <c r="D10087" s="2" t="s">
        <f>=HYPERLINK("https://main.knesset.gov.il/APPS/legislation/main/bills/2156238", "הצעת חוק לתיקון פקודת הבנקאות (הגבלת עמלת פירעון מוקדם של הלוואה לדיור), התשפ""א-2021")</f>
        <v>19594</v>
      </c>
      <c r="E10087" t="s">
        <v>19594</v>
      </c>
      <c r="F10087" t="s">
        <v>19595</v>
      </c>
      <c r="G10087" t="s">
        <v>14</v>
      </c>
      <c r="H10087">
             </c>
      <c r="I10087" t="s">
        <v>14</v>
      </c>
      <c r="J10087" t="s">
        <v>55</v>
      </c>
      <c r="K10087" t="s">
        <v>14</v>
      </c>
      <c r="L10087" t="s">
        <v>20</v>
      </c>
      <c r="M10087" t="s">
        <v>19573</v>
      </c>
      <c r="N10087" t="s">
        <v>14</v>
      </c>
    </row>
    <row r="10088" x14ac:dyDescent="0.25">
      <c r="A10088" t="n">
        <v>24</v>
      </c>
      <c r="B10088" t="s">
        <v>14</v>
      </c>
      <c r="C10088" t="s">
        <v>15</v>
      </c>
      <c r="D10088" s="2" t="s">
        <f>=HYPERLINK("https://main.knesset.gov.il/APPS/legislation/main/bills/2159446", "חוק חדלות פירעון ושיקום כלכלי (תיקון מס' 5), התשפ""א-2021 ")</f>
        <v>19596</v>
      </c>
      <c r="E10088" t="s">
        <v>19596</v>
      </c>
      <c r="F10088" t="s">
        <v>14</v>
      </c>
      <c r="G10088" t="s">
        <v>19597</v>
      </c>
      <c r="H10088" t="n">
        <v>2917</v>
      </c>
      <c r="I10088" t="s">
        <v>14</v>
      </c>
      <c r="J10088" t="s">
        <v>91</v>
      </c>
      <c r="K10088" t="s">
        <v>27</v>
      </c>
      <c r="L10088" t="s">
        <v>20</v>
      </c>
      <c r="M10088" t="s">
        <v>19598</v>
      </c>
      <c r="N10088" t="s">
        <v>19599</v>
      </c>
    </row>
    <row r="10089" x14ac:dyDescent="0.25">
      <c r="A10089" t="n">
        <v>24</v>
      </c>
      <c r="B10089" t="s">
        <v>14</v>
      </c>
      <c r="C10089" t="s">
        <v>15</v>
      </c>
      <c r="D10089" s="2" t="s">
        <f>=HYPERLINK("https://main.knesset.gov.il/APPS/legislation/main/bills/2159665", "חוק לתיקון פקודת התעבורה (מס' 120) (תיקון מס' 2), התשפ""א-2021")</f>
        <v>19600</v>
      </c>
      <c r="E10089" t="s">
        <v>19600</v>
      </c>
      <c r="F10089" t="s">
        <v>14</v>
      </c>
      <c r="G10089" t="s">
        <v>19601</v>
      </c>
      <c r="H10089" t="n">
        <v>2916</v>
      </c>
      <c r="I10089" t="s">
        <v>14</v>
      </c>
      <c r="J10089" t="s">
        <v>91</v>
      </c>
      <c r="K10089" t="s">
        <v>85</v>
      </c>
      <c r="L10089" t="s">
        <v>20</v>
      </c>
      <c r="M10089" t="s">
        <v>19598</v>
      </c>
      <c r="N10089" t="s">
        <v>19602</v>
      </c>
    </row>
    <row r="10090" x14ac:dyDescent="0.25">
      <c r="A10090" t="n">
        <v>24</v>
      </c>
      <c r="B10090" t="s">
        <v>14</v>
      </c>
      <c r="C10090" t="s">
        <v>22</v>
      </c>
      <c r="D10090" s="2" t="s">
        <f>=HYPERLINK("https://main.knesset.gov.il/APPS/legislation/main/bills/2159826", "הצעת חוק הפחתת תוספות פיגור שנוספו על קנסות הנגבים בידי המרכז לגביית קנסות, אגרות והוצאות (הוראת שעה), התשפ""א-2021")</f>
        <v>19603</v>
      </c>
      <c r="E10090" t="s">
        <v>19603</v>
      </c>
      <c r="F10090" t="s">
        <v>19604</v>
      </c>
      <c r="G10090" t="s">
        <v>14</v>
      </c>
      <c r="H10090">
             </c>
      <c r="I10090" t="s">
        <v>14</v>
      </c>
      <c r="J10090" t="s">
        <v>141</v>
      </c>
      <c r="K10090" t="s">
        <v>14</v>
      </c>
      <c r="L10090" t="s">
        <v>20</v>
      </c>
      <c r="M10090" t="s">
        <v>19598</v>
      </c>
      <c r="N10090" t="s">
        <v>14</v>
      </c>
    </row>
    <row r="10091" x14ac:dyDescent="0.25">
      <c r="A10091" t="n">
        <v>24</v>
      </c>
      <c r="B10091" t="s">
        <v>14</v>
      </c>
      <c r="C10091" t="s">
        <v>22</v>
      </c>
      <c r="D10091" s="2" t="s">
        <f>=HYPERLINK("https://main.knesset.gov.il/APPS/legislation/main/bills/2157946", "הצעת חוק לשכת עורכי הדין (תיקון - הגבלת שכר טרחה על מכתבי התראה לפני גביית חוב), התשפ""א-2021")</f>
        <v>19605</v>
      </c>
      <c r="E10091" t="s">
        <v>19605</v>
      </c>
      <c r="F10091" t="s">
        <v>19606</v>
      </c>
      <c r="G10091" t="s">
        <v>14</v>
      </c>
      <c r="H10091">
             </c>
      <c r="I10091" t="s">
        <v>14</v>
      </c>
      <c r="J10091" t="s">
        <v>141</v>
      </c>
      <c r="K10091" t="s">
        <v>14</v>
      </c>
      <c r="L10091" t="s">
        <v>20</v>
      </c>
      <c r="M10091" t="s">
        <v>19598</v>
      </c>
      <c r="N10091" t="s">
        <v>14</v>
      </c>
    </row>
    <row r="10092" x14ac:dyDescent="0.25">
      <c r="A10092" t="n">
        <v>24</v>
      </c>
      <c r="B10092" t="s">
        <v>14</v>
      </c>
      <c r="C10092" t="s">
        <v>22</v>
      </c>
      <c r="D10092" s="2" t="s">
        <f>=HYPERLINK("https://main.knesset.gov.il/APPS/legislation/main/bills/2159153", "הצעת חוק הקמת מאגר מידע דיגיטלי בנושא הכשרות מקצועיות, התשפ""א- 2021")</f>
        <v>19607</v>
      </c>
      <c r="E10092" t="s">
        <v>19607</v>
      </c>
      <c r="F10092" t="s">
        <v>19608</v>
      </c>
      <c r="G10092" t="s">
        <v>14</v>
      </c>
      <c r="H10092">
             </c>
      <c r="I10092" t="s">
        <v>14</v>
      </c>
      <c r="J10092" t="s">
        <v>141</v>
      </c>
      <c r="K10092" t="s">
        <v>14</v>
      </c>
      <c r="L10092" t="s">
        <v>20</v>
      </c>
      <c r="M10092" t="s">
        <v>19598</v>
      </c>
      <c r="N10092" t="s">
        <v>14</v>
      </c>
    </row>
    <row r="10093" x14ac:dyDescent="0.25">
      <c r="A10093" t="n">
        <v>24</v>
      </c>
      <c r="B10093" t="s">
        <v>14</v>
      </c>
      <c r="C10093" t="s">
        <v>22</v>
      </c>
      <c r="D10093" s="2" t="s">
        <f>=HYPERLINK("https://main.knesset.gov.il/APPS/legislation/main/bills/2159166", "הצעת חוק סדר הדין הפלילי (תיקון - הוכחת העדר מסוגלות לעמוד לדין לפי מאזן הסתברויות), התשפ""א-2021")</f>
        <v>19609</v>
      </c>
      <c r="E10093" t="s">
        <v>19609</v>
      </c>
      <c r="F10093" t="s">
        <v>19610</v>
      </c>
      <c r="G10093" t="s">
        <v>14</v>
      </c>
      <c r="H10093">
             </c>
      <c r="I10093" t="s">
        <v>14</v>
      </c>
      <c r="J10093" t="s">
        <v>141</v>
      </c>
      <c r="K10093" t="s">
        <v>14</v>
      </c>
      <c r="L10093" t="s">
        <v>20</v>
      </c>
      <c r="M10093" t="s">
        <v>19598</v>
      </c>
      <c r="N10093" t="s">
        <v>14</v>
      </c>
    </row>
    <row r="10094" x14ac:dyDescent="0.25">
      <c r="A10094" t="n">
        <v>24</v>
      </c>
      <c r="B10094" t="s">
        <v>14</v>
      </c>
      <c r="C10094" t="s">
        <v>22</v>
      </c>
      <c r="D10094" s="2" t="s">
        <f>=HYPERLINK("https://main.knesset.gov.il/APPS/legislation/main/bills/2159657", "הצעת חוק שעות עבודה ומנוחה (תיקון - הגבלת שעות העסקה של מתמחה ברפואה), התשפ""א-2021")</f>
        <v>19278</v>
      </c>
      <c r="E10094" t="s">
        <v>19278</v>
      </c>
      <c r="F10094" t="s">
        <v>19611</v>
      </c>
      <c r="G10094" t="s">
        <v>14</v>
      </c>
      <c r="H10094">
             </c>
      <c r="I10094" t="s">
        <v>14</v>
      </c>
      <c r="J10094" t="s">
        <v>141</v>
      </c>
      <c r="K10094" t="s">
        <v>14</v>
      </c>
      <c r="L10094" t="s">
        <v>20</v>
      </c>
      <c r="M10094" t="s">
        <v>19598</v>
      </c>
      <c r="N10094" t="s">
        <v>14</v>
      </c>
    </row>
    <row r="10095" x14ac:dyDescent="0.25">
      <c r="A10095" t="n">
        <v>24</v>
      </c>
      <c r="B10095" t="s">
        <v>14</v>
      </c>
      <c r="C10095" t="s">
        <v>22</v>
      </c>
      <c r="D10095" s="2" t="s">
        <f>=HYPERLINK("https://main.knesset.gov.il/APPS/legislation/main/bills/2159262", "הצעת חוק דמי מחלה (היעדרות בשל מחלת ילד) (תיקון - בן זוג לומד), התשפ""א-2021")</f>
        <v>17506</v>
      </c>
      <c r="E10095" t="s">
        <v>17506</v>
      </c>
      <c r="F10095" t="s">
        <v>19612</v>
      </c>
      <c r="G10095" t="s">
        <v>14</v>
      </c>
      <c r="H10095">
             </c>
      <c r="I10095" t="s">
        <v>14</v>
      </c>
      <c r="J10095" t="s">
        <v>141</v>
      </c>
      <c r="K10095" t="s">
        <v>14</v>
      </c>
      <c r="L10095" t="s">
        <v>20</v>
      </c>
      <c r="M10095" t="s">
        <v>19598</v>
      </c>
      <c r="N10095" t="s">
        <v>14</v>
      </c>
    </row>
    <row r="10096" x14ac:dyDescent="0.25">
      <c r="A10096" t="n">
        <v>24</v>
      </c>
      <c r="B10096" t="s">
        <v>14</v>
      </c>
      <c r="C10096" t="s">
        <v>22</v>
      </c>
      <c r="D10096" s="2" t="s">
        <f>=HYPERLINK("https://main.knesset.gov.il/APPS/legislation/main/bills/2159372", "הצעת חוק יום אבל במות קרוב מדרגה שנייה, התשפ""א-2021")</f>
        <v>19613</v>
      </c>
      <c r="E10096" t="s">
        <v>19613</v>
      </c>
      <c r="F10096" t="s">
        <v>19614</v>
      </c>
      <c r="G10096" t="s">
        <v>14</v>
      </c>
      <c r="H10096">
             </c>
      <c r="I10096" t="s">
        <v>14</v>
      </c>
      <c r="J10096" t="s">
        <v>141</v>
      </c>
      <c r="K10096" t="s">
        <v>14</v>
      </c>
      <c r="L10096" t="s">
        <v>20</v>
      </c>
      <c r="M10096" t="s">
        <v>19598</v>
      </c>
      <c r="N10096" t="s">
        <v>14</v>
      </c>
    </row>
    <row r="10097" x14ac:dyDescent="0.25">
      <c r="A10097" t="n">
        <v>24</v>
      </c>
      <c r="B10097" t="s">
        <v>14</v>
      </c>
      <c r="C10097" t="s">
        <v>22</v>
      </c>
      <c r="D10097" s="2" t="s">
        <f>=HYPERLINK("https://main.knesset.gov.il/APPS/legislation/main/bills/2159228", "הצעת חוק הכשרות המשפטית והאפוטרופסות (תיקון - שינוי חזקת הגיל הרך), התשפ''א-2021")</f>
        <v>19615</v>
      </c>
      <c r="E10097" t="s">
        <v>19615</v>
      </c>
      <c r="F10097" t="s">
        <v>19616</v>
      </c>
      <c r="G10097" t="s">
        <v>14</v>
      </c>
      <c r="H10097">
             </c>
      <c r="I10097" t="s">
        <v>14</v>
      </c>
      <c r="J10097" t="s">
        <v>141</v>
      </c>
      <c r="K10097" t="s">
        <v>14</v>
      </c>
      <c r="L10097" t="s">
        <v>20</v>
      </c>
      <c r="M10097" t="s">
        <v>19598</v>
      </c>
      <c r="N10097" t="s">
        <v>14</v>
      </c>
    </row>
    <row r="10098" x14ac:dyDescent="0.25">
      <c r="A10098" t="n">
        <v>24</v>
      </c>
      <c r="B10098" t="s">
        <v>14</v>
      </c>
      <c r="C10098" t="s">
        <v>22</v>
      </c>
      <c r="D10098" s="2" t="s">
        <f>=HYPERLINK("https://main.knesset.gov.il/APPS/legislation/main/bills/2158894", "הצעת חוק לטיפול בכתות פוגעניות, התשפ""א-2021")</f>
        <v>19617</v>
      </c>
      <c r="E10098" t="s">
        <v>19617</v>
      </c>
      <c r="F10098" t="s">
        <v>19618</v>
      </c>
      <c r="G10098" t="s">
        <v>14</v>
      </c>
      <c r="H10098">
             </c>
      <c r="I10098" t="s">
        <v>14</v>
      </c>
      <c r="J10098" t="s">
        <v>141</v>
      </c>
      <c r="K10098" t="s">
        <v>14</v>
      </c>
      <c r="L10098" t="s">
        <v>20</v>
      </c>
      <c r="M10098" t="s">
        <v>19598</v>
      </c>
      <c r="N10098" t="s">
        <v>14</v>
      </c>
    </row>
    <row r="10099" x14ac:dyDescent="0.25">
      <c r="A10099" t="n">
        <v>24</v>
      </c>
      <c r="B10099" t="s">
        <v>14</v>
      </c>
      <c r="C10099" t="s">
        <v>22</v>
      </c>
      <c r="D10099" s="2" t="s">
        <f>=HYPERLINK("https://main.knesset.gov.il/APPS/legislation/main/bills/2159245", "הצעת חוק שירות המדינה (מינויים) (תיקון - מינוי יועצים משפטיים של משרדים), התשפ""א-2021 ")</f>
        <v>18742</v>
      </c>
      <c r="E10099" t="s">
        <v>18742</v>
      </c>
      <c r="F10099" t="s">
        <v>19619</v>
      </c>
      <c r="G10099" t="s">
        <v>14</v>
      </c>
      <c r="H10099">
             </c>
      <c r="I10099" t="s">
        <v>14</v>
      </c>
      <c r="J10099" t="s">
        <v>141</v>
      </c>
      <c r="K10099" t="s">
        <v>14</v>
      </c>
      <c r="L10099" t="s">
        <v>20</v>
      </c>
      <c r="M10099" t="s">
        <v>19598</v>
      </c>
      <c r="N10099" t="s">
        <v>14</v>
      </c>
    </row>
    <row r="10100" x14ac:dyDescent="0.25">
      <c r="A10100" t="n">
        <v>24</v>
      </c>
      <c r="B10100" t="s">
        <v>14</v>
      </c>
      <c r="C10100" t="s">
        <v>22</v>
      </c>
      <c r="D10100" s="2" t="s">
        <f>=HYPERLINK("https://main.knesset.gov.il/APPS/legislation/main/bills/2159004", "הצעת חוק המזונות (הבטחת תשלום) (תיקון - סכום שלא יובא בחשבון במבחן ההכנסה), התשפ""א-2021")</f>
        <v>19620</v>
      </c>
      <c r="E10100" t="s">
        <v>19620</v>
      </c>
      <c r="F10100" t="s">
        <v>19621</v>
      </c>
      <c r="G10100" t="s">
        <v>14</v>
      </c>
      <c r="H10100">
             </c>
      <c r="I10100" t="s">
        <v>14</v>
      </c>
      <c r="J10100" t="s">
        <v>141</v>
      </c>
      <c r="K10100" t="s">
        <v>14</v>
      </c>
      <c r="L10100" t="s">
        <v>20</v>
      </c>
      <c r="M10100" t="s">
        <v>19598</v>
      </c>
      <c r="N10100" t="s">
        <v>14</v>
      </c>
    </row>
    <row r="10101" x14ac:dyDescent="0.25">
      <c r="A10101" t="n">
        <v>24</v>
      </c>
      <c r="B10101" t="s">
        <v>14</v>
      </c>
      <c r="C10101" t="s">
        <v>22</v>
      </c>
      <c r="D10101" s="2" t="s">
        <f>=HYPERLINK("https://main.knesset.gov.il/APPS/legislation/main/bills/2159491", "הצעת חוק התקשורת (בזק ושידורים) (תיקון - התרת משלוח דבר פרסומת באמצעות הודעת מסר קצר לשם קבלת תרומה או תעמולה על ידי מפרסם שהוא עמותה או חברה לתועלת הציבור), התשפ""א-2021")</f>
        <v>19622</v>
      </c>
      <c r="E10101" t="s">
        <v>19622</v>
      </c>
      <c r="F10101" t="s">
        <v>19623</v>
      </c>
      <c r="G10101" t="s">
        <v>14</v>
      </c>
      <c r="H10101">
             </c>
      <c r="I10101" t="s">
        <v>14</v>
      </c>
      <c r="J10101" t="s">
        <v>141</v>
      </c>
      <c r="K10101" t="s">
        <v>14</v>
      </c>
      <c r="L10101" t="s">
        <v>20</v>
      </c>
      <c r="M10101" t="s">
        <v>19598</v>
      </c>
      <c r="N10101" t="s">
        <v>14</v>
      </c>
    </row>
    <row r="10102" x14ac:dyDescent="0.25">
      <c r="A10102" t="n">
        <v>24</v>
      </c>
      <c r="B10102" t="s">
        <v>14</v>
      </c>
      <c r="C10102" t="s">
        <v>22</v>
      </c>
      <c r="D10102" s="2" t="s">
        <f>=HYPERLINK("https://main.knesset.gov.il/APPS/legislation/main/bills/2159553", "הצעת חוק משפחות חיילים שנספו במערכה (תגמולים ושיקום) (תיקון - הכרה בארוסות חיילים שנספו במערכה), התשפ""א-2021")</f>
        <v>19624</v>
      </c>
      <c r="E10102" t="s">
        <v>19624</v>
      </c>
      <c r="F10102" t="s">
        <v>19625</v>
      </c>
      <c r="G10102" t="s">
        <v>14</v>
      </c>
      <c r="H10102">
             </c>
      <c r="I10102" t="s">
        <v>14</v>
      </c>
      <c r="J10102" t="s">
        <v>141</v>
      </c>
      <c r="K10102" t="s">
        <v>14</v>
      </c>
      <c r="L10102" t="s">
        <v>20</v>
      </c>
      <c r="M10102" t="s">
        <v>19598</v>
      </c>
      <c r="N10102" t="s">
        <v>14</v>
      </c>
    </row>
    <row r="10103" x14ac:dyDescent="0.25">
      <c r="A10103" t="n">
        <v>24</v>
      </c>
      <c r="B10103" t="s">
        <v>14</v>
      </c>
      <c r="C10103" t="s">
        <v>22</v>
      </c>
      <c r="D10103" s="2" t="s">
        <f>=HYPERLINK("https://main.knesset.gov.il/APPS/legislation/main/bills/2159408", "הצעת חוק הבטחת הכנסה (תיקון - גמלה לאם חד הורית), התשפ""א-2021")</f>
        <v>19626</v>
      </c>
      <c r="E10103" t="s">
        <v>19626</v>
      </c>
      <c r="F10103" t="s">
        <v>19627</v>
      </c>
      <c r="G10103" t="s">
        <v>14</v>
      </c>
      <c r="H10103">
             </c>
      <c r="I10103" t="s">
        <v>14</v>
      </c>
      <c r="J10103" t="s">
        <v>141</v>
      </c>
      <c r="K10103" t="s">
        <v>14</v>
      </c>
      <c r="L10103" t="s">
        <v>20</v>
      </c>
      <c r="M10103" t="s">
        <v>19598</v>
      </c>
      <c r="N10103" t="s">
        <v>14</v>
      </c>
    </row>
    <row r="10104" x14ac:dyDescent="0.25">
      <c r="A10104" t="n">
        <v>24</v>
      </c>
      <c r="B10104" t="s">
        <v>14</v>
      </c>
      <c r="C10104" t="s">
        <v>22</v>
      </c>
      <c r="D10104" s="2" t="s">
        <f>=HYPERLINK("https://main.knesset.gov.il/APPS/legislation/main/bills/2157678", "הצעת חוק מס רכוש וקרן פיצויים (תיקון - פיצוי בעד נזקי מגפת הקורונה) (הוראת שעה), התשפ""א-2021")</f>
        <v>19628</v>
      </c>
      <c r="E10104" t="s">
        <v>19628</v>
      </c>
      <c r="F10104" t="s">
        <v>19629</v>
      </c>
      <c r="G10104" t="s">
        <v>14</v>
      </c>
      <c r="H10104">
             </c>
      <c r="I10104" t="s">
        <v>14</v>
      </c>
      <c r="J10104" t="s">
        <v>141</v>
      </c>
      <c r="K10104" t="s">
        <v>14</v>
      </c>
      <c r="L10104" t="s">
        <v>20</v>
      </c>
      <c r="M10104" t="s">
        <v>19598</v>
      </c>
      <c r="N10104" t="s">
        <v>14</v>
      </c>
    </row>
    <row r="10105" x14ac:dyDescent="0.25">
      <c r="A10105" t="n">
        <v>24</v>
      </c>
      <c r="B10105" t="s">
        <v>14</v>
      </c>
      <c r="C10105" t="s">
        <v>22</v>
      </c>
      <c r="D10105" s="2" t="s">
        <f>=HYPERLINK("https://main.knesset.gov.il/APPS/legislation/main/bills/2159421", "הצעת חוק עבודת נשים (תיקון - הזכות להיעדר מהעבודה בשל צורך רפואי בתקופת ההיריון ללא ניכוי מהשכר), התשפ""א-2021")</f>
        <v>19630</v>
      </c>
      <c r="E10105" t="s">
        <v>19630</v>
      </c>
      <c r="F10105" t="s">
        <v>19631</v>
      </c>
      <c r="G10105" t="s">
        <v>14</v>
      </c>
      <c r="H10105">
             </c>
      <c r="I10105" t="s">
        <v>14</v>
      </c>
      <c r="J10105" t="s">
        <v>141</v>
      </c>
      <c r="K10105" t="s">
        <v>14</v>
      </c>
      <c r="L10105" t="s">
        <v>20</v>
      </c>
      <c r="M10105" t="s">
        <v>19598</v>
      </c>
      <c r="N10105" t="s">
        <v>14</v>
      </c>
    </row>
    <row r="10106" x14ac:dyDescent="0.25">
      <c r="A10106" t="n">
        <v>24</v>
      </c>
      <c r="B10106" t="s">
        <v>14</v>
      </c>
      <c r="C10106" t="s">
        <v>22</v>
      </c>
      <c r="D10106" s="2" t="s">
        <f>=HYPERLINK("https://main.knesset.gov.il/APPS/legislation/main/bills/2159148", "הצעת חוק הבטחת הכנסה (תיקון - גמלת הבטחת הכנסה לקשיש), התשפ""א-2021")</f>
        <v>18721</v>
      </c>
      <c r="E10106" t="s">
        <v>18721</v>
      </c>
      <c r="F10106" t="s">
        <v>19632</v>
      </c>
      <c r="G10106" t="s">
        <v>14</v>
      </c>
      <c r="H10106">
             </c>
      <c r="I10106" t="s">
        <v>14</v>
      </c>
      <c r="J10106" t="s">
        <v>141</v>
      </c>
      <c r="K10106" t="s">
        <v>14</v>
      </c>
      <c r="L10106" t="s">
        <v>20</v>
      </c>
      <c r="M10106" t="s">
        <v>19598</v>
      </c>
      <c r="N10106" t="s">
        <v>14</v>
      </c>
    </row>
    <row r="10107" x14ac:dyDescent="0.25">
      <c r="A10107" t="n">
        <v>24</v>
      </c>
      <c r="B10107" t="s">
        <v>14</v>
      </c>
      <c r="C10107" t="s">
        <v>22</v>
      </c>
      <c r="D10107" s="2" t="s">
        <f>=HYPERLINK("https://main.knesset.gov.il/APPS/legislation/main/bills/2159269", "הצעת חוק יסודות התקציב (תיקון - אישור נוהל הגשת בקשות תמיכה), התשפ""א-2021")</f>
        <v>19633</v>
      </c>
      <c r="E10107" t="s">
        <v>19633</v>
      </c>
      <c r="F10107" t="s">
        <v>19634</v>
      </c>
      <c r="G10107" t="s">
        <v>14</v>
      </c>
      <c r="H10107">
             </c>
      <c r="I10107" t="s">
        <v>14</v>
      </c>
      <c r="J10107" t="s">
        <v>141</v>
      </c>
      <c r="K10107" t="s">
        <v>14</v>
      </c>
      <c r="L10107" t="s">
        <v>20</v>
      </c>
      <c r="M10107" t="s">
        <v>19598</v>
      </c>
      <c r="N10107" t="s">
        <v>14</v>
      </c>
    </row>
    <row r="10108" x14ac:dyDescent="0.25">
      <c r="A10108" t="n">
        <v>24</v>
      </c>
      <c r="B10108" t="s">
        <v>14</v>
      </c>
      <c r="C10108" t="s">
        <v>22</v>
      </c>
      <c r="D10108" s="2" t="s">
        <f>=HYPERLINK("https://main.knesset.gov.il/APPS/legislation/main/bills/2159431", "הצעת חוק יסודות התקציב (תיקון - תמיכת משרדי ממשלה במוסדות ציבור), התשפ""א-2021")</f>
        <v>19635</v>
      </c>
      <c r="E10108" t="s">
        <v>19635</v>
      </c>
      <c r="F10108" t="s">
        <v>19636</v>
      </c>
      <c r="G10108" t="s">
        <v>14</v>
      </c>
      <c r="H10108">
             </c>
      <c r="I10108" t="s">
        <v>14</v>
      </c>
      <c r="J10108" t="s">
        <v>141</v>
      </c>
      <c r="K10108" t="s">
        <v>14</v>
      </c>
      <c r="L10108" t="s">
        <v>20</v>
      </c>
      <c r="M10108" t="s">
        <v>19598</v>
      </c>
      <c r="N10108" t="s">
        <v>14</v>
      </c>
    </row>
    <row r="10109" x14ac:dyDescent="0.25">
      <c r="A10109" t="n">
        <v>24</v>
      </c>
      <c r="B10109" t="s">
        <v>14</v>
      </c>
      <c r="C10109" t="s">
        <v>22</v>
      </c>
      <c r="D10109" s="2" t="s">
        <f>=HYPERLINK("https://main.knesset.gov.il/APPS/legislation/main/bills/2159469", "הצעת חוק הקמת חדרי מיון בקרית שמונה ושדרות, התשפ""א-2021")</f>
        <v>19637</v>
      </c>
      <c r="E10109" t="s">
        <v>19637</v>
      </c>
      <c r="F10109" t="s">
        <v>19638</v>
      </c>
      <c r="G10109" t="s">
        <v>14</v>
      </c>
      <c r="H10109">
             </c>
      <c r="I10109" t="s">
        <v>14</v>
      </c>
      <c r="J10109" t="s">
        <v>141</v>
      </c>
      <c r="K10109" t="s">
        <v>14</v>
      </c>
      <c r="L10109" t="s">
        <v>20</v>
      </c>
      <c r="M10109" t="s">
        <v>19598</v>
      </c>
      <c r="N10109" t="s">
        <v>14</v>
      </c>
    </row>
    <row r="10110" x14ac:dyDescent="0.25">
      <c r="A10110" t="n">
        <v>24</v>
      </c>
      <c r="B10110" t="s">
        <v>14</v>
      </c>
      <c r="C10110" t="s">
        <v>22</v>
      </c>
      <c r="D10110" s="2" t="s">
        <f>=HYPERLINK("https://main.knesset.gov.il/APPS/legislation/main/bills/2159468", "הצעת חוק ביטוח בריאות ממלכתי (תיקון - רפואת שיניים למי שמלאו להם 60 שנים), התשפ""א-2021")</f>
        <v>19639</v>
      </c>
      <c r="E10110" t="s">
        <v>19639</v>
      </c>
      <c r="F10110" t="s">
        <v>19640</v>
      </c>
      <c r="G10110" t="s">
        <v>14</v>
      </c>
      <c r="H10110">
             </c>
      <c r="I10110" t="s">
        <v>14</v>
      </c>
      <c r="J10110" t="s">
        <v>141</v>
      </c>
      <c r="K10110" t="s">
        <v>14</v>
      </c>
      <c r="L10110" t="s">
        <v>20</v>
      </c>
      <c r="M10110" t="s">
        <v>19598</v>
      </c>
      <c r="N10110" t="s">
        <v>14</v>
      </c>
    </row>
    <row r="10111" x14ac:dyDescent="0.25">
      <c r="A10111" t="n">
        <v>24</v>
      </c>
      <c r="B10111" t="s">
        <v>14</v>
      </c>
      <c r="C10111" t="s">
        <v>22</v>
      </c>
      <c r="D10111" s="2" t="s">
        <f>=HYPERLINK("https://main.knesset.gov.il/APPS/legislation/main/bills/2159005", "הצעת חוק הסכמי קדם נישואין, התשפ""א-2021")</f>
        <v>19641</v>
      </c>
      <c r="E10111" t="s">
        <v>19641</v>
      </c>
      <c r="F10111" t="s">
        <v>19642</v>
      </c>
      <c r="G10111" t="s">
        <v>14</v>
      </c>
      <c r="H10111">
             </c>
      <c r="I10111" t="s">
        <v>14</v>
      </c>
      <c r="J10111" t="s">
        <v>141</v>
      </c>
      <c r="K10111" t="s">
        <v>14</v>
      </c>
      <c r="L10111" t="s">
        <v>20</v>
      </c>
      <c r="M10111" t="s">
        <v>19598</v>
      </c>
      <c r="N10111" t="s">
        <v>14</v>
      </c>
    </row>
    <row r="10112" x14ac:dyDescent="0.25">
      <c r="A10112" t="n">
        <v>24</v>
      </c>
      <c r="B10112" t="s">
        <v>14</v>
      </c>
      <c r="C10112" t="s">
        <v>22</v>
      </c>
      <c r="D10112" s="2" t="s">
        <f>=HYPERLINK("https://main.knesset.gov.il/APPS/legislation/main/bills/2158116", "הצעת חוק התכנית להבראת כלכלת ישראל (תיקוני חקיקה להשגת יעדי התקציב והמדיניות הכלכלית לשנות הכספים 2003 ו-2004) (תיקון - ביטול הדרגתי של היטל על העסקת עובד זר) (הוראת שעה), התשפ""א-2021")</f>
        <v>19643</v>
      </c>
      <c r="E10112" t="s">
        <v>19643</v>
      </c>
      <c r="F10112" t="s">
        <v>19644</v>
      </c>
      <c r="G10112" t="s">
        <v>14</v>
      </c>
      <c r="H10112">
             </c>
      <c r="I10112" t="s">
        <v>14</v>
      </c>
      <c r="J10112" t="s">
        <v>141</v>
      </c>
      <c r="K10112" t="s">
        <v>14</v>
      </c>
      <c r="L10112" t="s">
        <v>20</v>
      </c>
      <c r="M10112" t="s">
        <v>19598</v>
      </c>
      <c r="N10112" t="s">
        <v>14</v>
      </c>
    </row>
    <row r="10113" x14ac:dyDescent="0.25">
      <c r="A10113" t="n">
        <v>24</v>
      </c>
      <c r="B10113" t="s">
        <v>14</v>
      </c>
      <c r="C10113" t="s">
        <v>22</v>
      </c>
      <c r="D10113" s="2" t="s">
        <f>=HYPERLINK("https://main.knesset.gov.il/APPS/legislation/main/bills/2159463", "הצעת חוק הביטוח הלאומי (תיקון - השוואת קצבת נכות לשכר מינימום), התשפ""א-2021")</f>
        <v>19081</v>
      </c>
      <c r="E10113" t="s">
        <v>19081</v>
      </c>
      <c r="F10113" t="s">
        <v>19645</v>
      </c>
      <c r="G10113" t="s">
        <v>14</v>
      </c>
      <c r="H10113">
             </c>
      <c r="I10113" t="s">
        <v>14</v>
      </c>
      <c r="J10113" t="s">
        <v>141</v>
      </c>
      <c r="K10113" t="s">
        <v>14</v>
      </c>
      <c r="L10113" t="s">
        <v>20</v>
      </c>
      <c r="M10113" t="s">
        <v>19598</v>
      </c>
      <c r="N10113" t="s">
        <v>14</v>
      </c>
    </row>
    <row r="10114" x14ac:dyDescent="0.25">
      <c r="A10114" t="n">
        <v>24</v>
      </c>
      <c r="B10114" t="s">
        <v>14</v>
      </c>
      <c r="C10114" t="s">
        <v>22</v>
      </c>
      <c r="D10114" s="2" t="s">
        <f>=HYPERLINK("https://main.knesset.gov.il/APPS/legislation/main/bills/2159489", "הצעת חוק הביטוח הלאומי (תיקון - השוואת קצבת נכות לשכר מינימום), התשפ""א-2021")</f>
        <v>19081</v>
      </c>
      <c r="E10114" t="s">
        <v>19081</v>
      </c>
      <c r="F10114" t="s">
        <v>19646</v>
      </c>
      <c r="G10114" t="s">
        <v>14</v>
      </c>
      <c r="H10114">
             </c>
      <c r="I10114" t="s">
        <v>14</v>
      </c>
      <c r="J10114" t="s">
        <v>141</v>
      </c>
      <c r="K10114" t="s">
        <v>14</v>
      </c>
      <c r="L10114" t="s">
        <v>20</v>
      </c>
      <c r="M10114" t="s">
        <v>19598</v>
      </c>
      <c r="N10114" t="s">
        <v>14</v>
      </c>
    </row>
    <row r="10115" x14ac:dyDescent="0.25">
      <c r="A10115" t="n">
        <v>24</v>
      </c>
      <c r="B10115" t="s">
        <v>14</v>
      </c>
      <c r="C10115" t="s">
        <v>22</v>
      </c>
      <c r="D10115" s="2" t="s">
        <f>=HYPERLINK("https://main.knesset.gov.il/APPS/legislation/main/bills/2157787", "הצעת חוק בתי דין רבניים (קיום פסק דין של גירושין) (תיקון - הפקעת זכויות במקרה של סירוב גט מתמשך או מעשי אלימות), התשפ""א-2021")</f>
        <v>19647</v>
      </c>
      <c r="E10115" t="s">
        <v>19647</v>
      </c>
      <c r="F10115" t="s">
        <v>19648</v>
      </c>
      <c r="G10115" t="s">
        <v>14</v>
      </c>
      <c r="H10115">
             </c>
      <c r="I10115" t="s">
        <v>14</v>
      </c>
      <c r="J10115" t="s">
        <v>141</v>
      </c>
      <c r="K10115" t="s">
        <v>14</v>
      </c>
      <c r="L10115" t="s">
        <v>20</v>
      </c>
      <c r="M10115" t="s">
        <v>19598</v>
      </c>
      <c r="N10115" t="s">
        <v>14</v>
      </c>
    </row>
    <row r="10116" x14ac:dyDescent="0.25">
      <c r="A10116" t="n">
        <v>24</v>
      </c>
      <c r="B10116" t="s">
        <v>14</v>
      </c>
      <c r="C10116" t="s">
        <v>22</v>
      </c>
      <c r="D10116" s="2" t="s">
        <f>=HYPERLINK("https://main.knesset.gov.il/APPS/legislation/main/bills/2159586", "הצעת חוק הממשלה (תיקון - הקמת מנגנון מוסדר לחילופי שלטון), התשפ״א-2021")</f>
        <v>19649</v>
      </c>
      <c r="E10116" t="s">
        <v>19649</v>
      </c>
      <c r="F10116" t="s">
        <v>19650</v>
      </c>
      <c r="G10116" t="s">
        <v>14</v>
      </c>
      <c r="H10116">
             </c>
      <c r="I10116" t="s">
        <v>14</v>
      </c>
      <c r="J10116" t="s">
        <v>141</v>
      </c>
      <c r="K10116" t="s">
        <v>14</v>
      </c>
      <c r="L10116" t="s">
        <v>20</v>
      </c>
      <c r="M10116" t="s">
        <v>19598</v>
      </c>
      <c r="N10116" t="s">
        <v>14</v>
      </c>
    </row>
    <row r="10117" x14ac:dyDescent="0.25">
      <c r="A10117" t="n">
        <v>24</v>
      </c>
      <c r="B10117" t="s">
        <v>14</v>
      </c>
      <c r="C10117" t="s">
        <v>22</v>
      </c>
      <c r="D10117" s="2" t="s">
        <f>=HYPERLINK("https://main.knesset.gov.il/APPS/legislation/main/bills/2159136", "הצעת חוק הביטוח הלאומי (תיקון - דמי ביטוח מופחתים למעסיק קולט עלייה), התשפ""א-2021")</f>
        <v>19651</v>
      </c>
      <c r="E10117" t="s">
        <v>19651</v>
      </c>
      <c r="F10117" t="s">
        <v>19652</v>
      </c>
      <c r="G10117" t="s">
        <v>14</v>
      </c>
      <c r="H10117">
             </c>
      <c r="I10117" t="s">
        <v>14</v>
      </c>
      <c r="J10117" t="s">
        <v>343</v>
      </c>
      <c r="K10117" t="s">
        <v>14</v>
      </c>
      <c r="L10117" t="s">
        <v>20</v>
      </c>
      <c r="M10117" t="s">
        <v>19598</v>
      </c>
      <c r="N10117" t="s">
        <v>14</v>
      </c>
    </row>
    <row r="10118" x14ac:dyDescent="0.25">
      <c r="A10118" t="n">
        <v>24</v>
      </c>
      <c r="B10118" t="s">
        <v>14</v>
      </c>
      <c r="C10118" t="s">
        <v>22</v>
      </c>
      <c r="D10118" s="2" t="s">
        <f>=HYPERLINK("https://main.knesset.gov.il/APPS/legislation/main/bills/2159268", "הצעת חוק דמי מחלה (היעדרות בשל מחלת ילד) (תיקון - היעדרות בשל אשפוז ממושך של ילד), התשפ""א-2021")</f>
        <v>19653</v>
      </c>
      <c r="E10118" t="s">
        <v>19653</v>
      </c>
      <c r="F10118" t="s">
        <v>19654</v>
      </c>
      <c r="G10118" t="s">
        <v>14</v>
      </c>
      <c r="H10118">
             </c>
      <c r="I10118" t="s">
        <v>14</v>
      </c>
      <c r="J10118" t="s">
        <v>141</v>
      </c>
      <c r="K10118" t="s">
        <v>14</v>
      </c>
      <c r="L10118" t="s">
        <v>20</v>
      </c>
      <c r="M10118" t="s">
        <v>19598</v>
      </c>
      <c r="N10118" t="s">
        <v>14</v>
      </c>
    </row>
    <row r="10119" x14ac:dyDescent="0.25">
      <c r="A10119" t="n">
        <v>24</v>
      </c>
      <c r="B10119" t="s">
        <v>14</v>
      </c>
      <c r="C10119" t="s">
        <v>22</v>
      </c>
      <c r="D10119" s="2" t="s">
        <f>=HYPERLINK("https://main.knesset.gov.il/APPS/legislation/main/bills/2159791", "הצעת חוק לימוד מורשת עדות ישראל, התשפ""א-2021")</f>
        <v>19655</v>
      </c>
      <c r="E10119" t="s">
        <v>19655</v>
      </c>
      <c r="F10119" t="s">
        <v>19656</v>
      </c>
      <c r="G10119" t="s">
        <v>14</v>
      </c>
      <c r="H10119">
             </c>
      <c r="I10119" t="s">
        <v>14</v>
      </c>
      <c r="J10119" t="s">
        <v>343</v>
      </c>
      <c r="K10119" t="s">
        <v>14</v>
      </c>
      <c r="L10119" t="s">
        <v>20</v>
      </c>
      <c r="M10119" t="s">
        <v>19598</v>
      </c>
      <c r="N10119" t="s">
        <v>14</v>
      </c>
    </row>
    <row r="10120" x14ac:dyDescent="0.25">
      <c r="A10120" t="n">
        <v>24</v>
      </c>
      <c r="B10120" t="s">
        <v>14</v>
      </c>
      <c r="C10120" t="s">
        <v>22</v>
      </c>
      <c r="D10120" s="2" t="s">
        <f>=HYPERLINK("https://main.knesset.gov.il/APPS/legislation/main/bills/2159266", "הצעת חוק לקידום המיחזור בישראל (תיקוני חקיקה), התשפ""א-2021")</f>
        <v>19657</v>
      </c>
      <c r="E10120" t="s">
        <v>19657</v>
      </c>
      <c r="F10120" t="s">
        <v>19658</v>
      </c>
      <c r="G10120" t="s">
        <v>14</v>
      </c>
      <c r="H10120">
             </c>
      <c r="I10120" t="s">
        <v>14</v>
      </c>
      <c r="J10120" t="s">
        <v>141</v>
      </c>
      <c r="K10120" t="s">
        <v>14</v>
      </c>
      <c r="L10120" t="s">
        <v>20</v>
      </c>
      <c r="M10120" t="s">
        <v>19598</v>
      </c>
      <c r="N10120" t="s">
        <v>14</v>
      </c>
    </row>
    <row r="10121" x14ac:dyDescent="0.25">
      <c r="A10121" t="n">
        <v>24</v>
      </c>
      <c r="B10121" t="s">
        <v>14</v>
      </c>
      <c r="C10121" t="s">
        <v>22</v>
      </c>
      <c r="D10121" s="2" t="s">
        <f>=HYPERLINK("https://main.knesset.gov.il/APPS/legislation/main/bills/2159267", "הצעת חוק יסודות התקציב (תיקון - ועדת ערר לתמיכה במוסד ציבור), התשפ""א-2021")</f>
        <v>19659</v>
      </c>
      <c r="E10121" t="s">
        <v>19659</v>
      </c>
      <c r="F10121" t="s">
        <v>19660</v>
      </c>
      <c r="G10121" t="s">
        <v>14</v>
      </c>
      <c r="H10121">
             </c>
      <c r="I10121" t="s">
        <v>14</v>
      </c>
      <c r="J10121" t="s">
        <v>141</v>
      </c>
      <c r="K10121" t="s">
        <v>14</v>
      </c>
      <c r="L10121" t="s">
        <v>20</v>
      </c>
      <c r="M10121" t="s">
        <v>19598</v>
      </c>
      <c r="N10121" t="s">
        <v>14</v>
      </c>
    </row>
    <row r="10122" x14ac:dyDescent="0.25">
      <c r="A10122" t="n">
        <v>24</v>
      </c>
      <c r="B10122" t="s">
        <v>14</v>
      </c>
      <c r="C10122" t="s">
        <v>22</v>
      </c>
      <c r="D10122" s="2" t="s">
        <f>=HYPERLINK("https://main.knesset.gov.il/APPS/legislation/main/bills/2159394", "הצעת חוק העסקת עובדים על ידי קבלני כוח אדם (תיקון - שמירת תנאי העסקה בעת החלפת קבלן כוח אדם), התשפ""א-2021")</f>
        <v>19661</v>
      </c>
      <c r="E10122" t="s">
        <v>19661</v>
      </c>
      <c r="F10122" t="s">
        <v>19662</v>
      </c>
      <c r="G10122" t="s">
        <v>14</v>
      </c>
      <c r="H10122">
             </c>
      <c r="I10122" t="s">
        <v>14</v>
      </c>
      <c r="J10122" t="s">
        <v>141</v>
      </c>
      <c r="K10122" t="s">
        <v>14</v>
      </c>
      <c r="L10122" t="s">
        <v>20</v>
      </c>
      <c r="M10122" t="s">
        <v>19598</v>
      </c>
      <c r="N10122" t="s">
        <v>14</v>
      </c>
    </row>
    <row r="10123" x14ac:dyDescent="0.25">
      <c r="A10123" t="n">
        <v>24</v>
      </c>
      <c r="B10123" t="s">
        <v>14</v>
      </c>
      <c r="C10123" t="s">
        <v>22</v>
      </c>
      <c r="D10123" s="2" t="s">
        <f>=HYPERLINK("https://main.knesset.gov.il/APPS/legislation/main/bills/2159264", "הצעת חוק לתיקון פקודת מס הכנסה (הגדלת שיעור הזיכוי ממס בתרומה למוסד ציבורי) (הוראת שעה), התשפ""א-2021")</f>
        <v>19663</v>
      </c>
      <c r="E10123" t="s">
        <v>19663</v>
      </c>
      <c r="F10123" t="s">
        <v>19664</v>
      </c>
      <c r="G10123" t="s">
        <v>14</v>
      </c>
      <c r="H10123">
             </c>
      <c r="I10123" t="s">
        <v>14</v>
      </c>
      <c r="J10123" t="s">
        <v>141</v>
      </c>
      <c r="K10123" t="s">
        <v>14</v>
      </c>
      <c r="L10123" t="s">
        <v>20</v>
      </c>
      <c r="M10123" t="s">
        <v>19598</v>
      </c>
      <c r="N10123" t="s">
        <v>14</v>
      </c>
    </row>
    <row r="10124" x14ac:dyDescent="0.25">
      <c r="A10124" t="n">
        <v>24</v>
      </c>
      <c r="B10124" t="s">
        <v>14</v>
      </c>
      <c r="C10124" t="s">
        <v>22</v>
      </c>
      <c r="D10124" s="2" t="s">
        <f>=HYPERLINK("https://main.knesset.gov.il/APPS/legislation/main/bills/2159395", "הצעת חוק העסקת עובדים על ידי קבלני כוח אדם (תיקון - ביטול החוק), התשפ""א-2021")</f>
        <v>19665</v>
      </c>
      <c r="E10124" t="s">
        <v>19665</v>
      </c>
      <c r="F10124" t="s">
        <v>19666</v>
      </c>
      <c r="G10124" t="s">
        <v>14</v>
      </c>
      <c r="H10124">
             </c>
      <c r="I10124" t="s">
        <v>14</v>
      </c>
      <c r="J10124" t="s">
        <v>141</v>
      </c>
      <c r="K10124" t="s">
        <v>14</v>
      </c>
      <c r="L10124" t="s">
        <v>20</v>
      </c>
      <c r="M10124" t="s">
        <v>19598</v>
      </c>
      <c r="N10124" t="s">
        <v>14</v>
      </c>
    </row>
    <row r="10125" x14ac:dyDescent="0.25">
      <c r="A10125" t="n">
        <v>24</v>
      </c>
      <c r="B10125" t="s">
        <v>14</v>
      </c>
      <c r="C10125" t="s">
        <v>22</v>
      </c>
      <c r="D10125" s="2" t="s">
        <f>=HYPERLINK("https://main.knesset.gov.il/APPS/legislation/main/bills/2159410", "הצעת חוק המשתתף החופשי, התשפ""א-2021")</f>
        <v>19667</v>
      </c>
      <c r="E10125" t="s">
        <v>19667</v>
      </c>
      <c r="F10125" t="s">
        <v>19668</v>
      </c>
      <c r="G10125" t="s">
        <v>14</v>
      </c>
      <c r="H10125">
             </c>
      <c r="I10125" t="s">
        <v>14</v>
      </c>
      <c r="J10125" t="s">
        <v>141</v>
      </c>
      <c r="K10125" t="s">
        <v>14</v>
      </c>
      <c r="L10125" t="s">
        <v>20</v>
      </c>
      <c r="M10125" t="s">
        <v>19598</v>
      </c>
      <c r="N10125" t="s">
        <v>14</v>
      </c>
    </row>
    <row r="10126" x14ac:dyDescent="0.25">
      <c r="A10126" t="n">
        <v>24</v>
      </c>
      <c r="B10126" t="s">
        <v>14</v>
      </c>
      <c r="C10126" t="s">
        <v>22</v>
      </c>
      <c r="D10126" s="2" t="s">
        <f>=HYPERLINK("https://main.knesset.gov.il/APPS/legislation/main/bills/2159824", "הצעת חוק הדיור הציבורי (הגדלת המלאי), התשפ""א-2021")</f>
        <v>18099</v>
      </c>
      <c r="E10126" t="s">
        <v>18099</v>
      </c>
      <c r="F10126" t="s">
        <v>19669</v>
      </c>
      <c r="G10126" t="s">
        <v>14</v>
      </c>
      <c r="H10126">
             </c>
      <c r="I10126" t="s">
        <v>14</v>
      </c>
      <c r="J10126" t="s">
        <v>141</v>
      </c>
      <c r="K10126" t="s">
        <v>14</v>
      </c>
      <c r="L10126" t="s">
        <v>20</v>
      </c>
      <c r="M10126" t="s">
        <v>19598</v>
      </c>
      <c r="N10126" t="s">
        <v>14</v>
      </c>
    </row>
    <row r="10127" x14ac:dyDescent="0.25">
      <c r="A10127" t="n">
        <v>24</v>
      </c>
      <c r="B10127" t="s">
        <v>14</v>
      </c>
      <c r="C10127" t="s">
        <v>22</v>
      </c>
      <c r="D10127" s="2" t="s">
        <f>=HYPERLINK("https://main.knesset.gov.il/APPS/legislation/main/bills/2159258", "הצעת חוק הבנקאות (שירות ללקוח) (תיקון - חובת הצבת מכשיר אוטומטי למשיכת והפקדת מזומנים ושיקים), התשפ""א-2021")</f>
        <v>19670</v>
      </c>
      <c r="E10127" t="s">
        <v>19670</v>
      </c>
      <c r="F10127" t="s">
        <v>19671</v>
      </c>
      <c r="G10127" t="s">
        <v>14</v>
      </c>
      <c r="H10127">
             </c>
      <c r="I10127" t="s">
        <v>14</v>
      </c>
      <c r="J10127" t="s">
        <v>141</v>
      </c>
      <c r="K10127" t="s">
        <v>14</v>
      </c>
      <c r="L10127" t="s">
        <v>20</v>
      </c>
      <c r="M10127" t="s">
        <v>19598</v>
      </c>
      <c r="N10127" t="s">
        <v>14</v>
      </c>
    </row>
    <row r="10128" x14ac:dyDescent="0.25">
      <c r="A10128" t="n">
        <v>24</v>
      </c>
      <c r="B10128" t="s">
        <v>14</v>
      </c>
      <c r="C10128" t="s">
        <v>22</v>
      </c>
      <c r="D10128" s="2" t="s">
        <f>=HYPERLINK("https://main.knesset.gov.il/APPS/legislation/main/bills/2159392", "הצעת חוק ביטוח בריאות ממלכתי (תיקון - אישור הסדרי הבחירה), התשפ""א-2021")</f>
        <v>19672</v>
      </c>
      <c r="E10128" t="s">
        <v>19672</v>
      </c>
      <c r="F10128" t="s">
        <v>19673</v>
      </c>
      <c r="G10128" t="s">
        <v>14</v>
      </c>
      <c r="H10128">
             </c>
      <c r="I10128" t="s">
        <v>14</v>
      </c>
      <c r="J10128" t="s">
        <v>141</v>
      </c>
      <c r="K10128" t="s">
        <v>14</v>
      </c>
      <c r="L10128" t="s">
        <v>20</v>
      </c>
      <c r="M10128" t="s">
        <v>19598</v>
      </c>
      <c r="N10128" t="s">
        <v>14</v>
      </c>
    </row>
    <row r="10129" x14ac:dyDescent="0.25">
      <c r="A10129" t="n">
        <v>24</v>
      </c>
      <c r="B10129" t="s">
        <v>14</v>
      </c>
      <c r="C10129" t="s">
        <v>22</v>
      </c>
      <c r="D10129" s="2" t="s">
        <f>=HYPERLINK("https://main.knesset.gov.il/APPS/legislation/main/bills/2159455", "הצעת חוק ביטוח בריאות ממלכתי (תיקון - הרחבת הסדרי הבחירה), התשפ""א-2021")</f>
        <v>19674</v>
      </c>
      <c r="E10129" t="s">
        <v>19674</v>
      </c>
      <c r="F10129" t="s">
        <v>19675</v>
      </c>
      <c r="G10129" t="s">
        <v>14</v>
      </c>
      <c r="H10129">
             </c>
      <c r="I10129" t="s">
        <v>14</v>
      </c>
      <c r="J10129" t="s">
        <v>141</v>
      </c>
      <c r="K10129" t="s">
        <v>14</v>
      </c>
      <c r="L10129" t="s">
        <v>20</v>
      </c>
      <c r="M10129" t="s">
        <v>19598</v>
      </c>
      <c r="N10129" t="s">
        <v>14</v>
      </c>
    </row>
    <row r="10130" x14ac:dyDescent="0.25">
      <c r="A10130" t="n">
        <v>24</v>
      </c>
      <c r="B10130" t="s">
        <v>14</v>
      </c>
      <c r="C10130" t="s">
        <v>22</v>
      </c>
      <c r="D10130" s="2" t="s">
        <f>=HYPERLINK("https://main.knesset.gov.il/APPS/legislation/main/bills/2159253", "הצעת חוק הסדרים במשק המדינה (תיקוני חקיקה להשגת יעדי התקציב) (תיקון - חישוב עליית מחירי הארנונה), התשפ""א-2021")</f>
        <v>19676</v>
      </c>
      <c r="E10130" t="s">
        <v>19676</v>
      </c>
      <c r="F10130" t="s">
        <v>19677</v>
      </c>
      <c r="G10130" t="s">
        <v>14</v>
      </c>
      <c r="H10130">
             </c>
      <c r="I10130" t="s">
        <v>14</v>
      </c>
      <c r="J10130" t="s">
        <v>141</v>
      </c>
      <c r="K10130" t="s">
        <v>14</v>
      </c>
      <c r="L10130" t="s">
        <v>20</v>
      </c>
      <c r="M10130" t="s">
        <v>19598</v>
      </c>
      <c r="N10130" t="s">
        <v>14</v>
      </c>
    </row>
    <row r="10131" x14ac:dyDescent="0.25">
      <c r="A10131" t="n">
        <v>24</v>
      </c>
      <c r="B10131" t="s">
        <v>14</v>
      </c>
      <c r="C10131" t="s">
        <v>22</v>
      </c>
      <c r="D10131" s="2" t="s">
        <f>=HYPERLINK("https://main.knesset.gov.il/APPS/legislation/main/bills/2159012", "הצעת חוק למניעת אלימות במשפחה (תיקון - תכניות ומרכזי טיפול באלימות במשפחה), התשפ""א-2021")</f>
        <v>19678</v>
      </c>
      <c r="E10131" t="s">
        <v>19678</v>
      </c>
      <c r="F10131" t="s">
        <v>19679</v>
      </c>
      <c r="G10131" t="s">
        <v>14</v>
      </c>
      <c r="H10131">
             </c>
      <c r="I10131" t="s">
        <v>14</v>
      </c>
      <c r="J10131" t="s">
        <v>141</v>
      </c>
      <c r="K10131" t="s">
        <v>14</v>
      </c>
      <c r="L10131" t="s">
        <v>20</v>
      </c>
      <c r="M10131" t="s">
        <v>19598</v>
      </c>
      <c r="N10131" t="s">
        <v>14</v>
      </c>
    </row>
    <row r="10132" x14ac:dyDescent="0.25">
      <c r="A10132" t="n">
        <v>24</v>
      </c>
      <c r="B10132" t="s">
        <v>14</v>
      </c>
      <c r="C10132" t="s">
        <v>22</v>
      </c>
      <c r="D10132" s="2" t="s">
        <f>=HYPERLINK("https://main.knesset.gov.il/APPS/legislation/main/bills/2159257", "הצעת חוק הטבות לניצולי שואה (תיקון - הטבות לניצולים שעלו לאחר שנת 1953), התשפ""א-2021")</f>
        <v>19680</v>
      </c>
      <c r="E10132" t="s">
        <v>19680</v>
      </c>
      <c r="F10132" t="s">
        <v>19681</v>
      </c>
      <c r="G10132" t="s">
        <v>14</v>
      </c>
      <c r="H10132">
             </c>
      <c r="I10132" t="s">
        <v>14</v>
      </c>
      <c r="J10132" t="s">
        <v>141</v>
      </c>
      <c r="K10132" t="s">
        <v>14</v>
      </c>
      <c r="L10132" t="s">
        <v>20</v>
      </c>
      <c r="M10132" t="s">
        <v>19598</v>
      </c>
      <c r="N10132" t="s">
        <v>14</v>
      </c>
    </row>
    <row r="10133" x14ac:dyDescent="0.25">
      <c r="A10133" t="n">
        <v>24</v>
      </c>
      <c r="B10133" t="s">
        <v>14</v>
      </c>
      <c r="C10133" t="s">
        <v>22</v>
      </c>
      <c r="D10133" s="2" t="s">
        <f>=HYPERLINK("https://main.knesset.gov.il/APPS/legislation/main/bills/2159825", "הצעת חוק לתיקון פקודת מס הכנסה (נקודות זיכוי בעד ילדים), התשפ""א-2021")</f>
        <v>19682</v>
      </c>
      <c r="E10133" t="s">
        <v>19682</v>
      </c>
      <c r="F10133" t="s">
        <v>19683</v>
      </c>
      <c r="G10133" t="s">
        <v>14</v>
      </c>
      <c r="H10133">
             </c>
      <c r="I10133" t="s">
        <v>14</v>
      </c>
      <c r="J10133" t="s">
        <v>141</v>
      </c>
      <c r="K10133" t="s">
        <v>14</v>
      </c>
      <c r="L10133" t="s">
        <v>20</v>
      </c>
      <c r="M10133" t="s">
        <v>19598</v>
      </c>
      <c r="N10133" t="s">
        <v>14</v>
      </c>
    </row>
    <row r="10134" x14ac:dyDescent="0.25">
      <c r="A10134" t="n">
        <v>24</v>
      </c>
      <c r="B10134" t="s">
        <v>14</v>
      </c>
      <c r="C10134" t="s">
        <v>22</v>
      </c>
      <c r="D10134" s="2" t="s">
        <f>=HYPERLINK("https://main.knesset.gov.il/APPS/legislation/main/bills/2159034", "הצעת חוק סבסוד מוצרים ללא גלוטן, התשפ""א-2021")</f>
        <v>19684</v>
      </c>
      <c r="E10134" t="s">
        <v>19684</v>
      </c>
      <c r="F10134" t="s">
        <v>19685</v>
      </c>
      <c r="G10134" t="s">
        <v>14</v>
      </c>
      <c r="H10134">
             </c>
      <c r="I10134" t="s">
        <v>14</v>
      </c>
      <c r="J10134" t="s">
        <v>141</v>
      </c>
      <c r="K10134" t="s">
        <v>14</v>
      </c>
      <c r="L10134" t="s">
        <v>20</v>
      </c>
      <c r="M10134" t="s">
        <v>19598</v>
      </c>
      <c r="N10134" t="s">
        <v>14</v>
      </c>
    </row>
    <row r="10135" x14ac:dyDescent="0.25">
      <c r="A10135" t="n">
        <v>24</v>
      </c>
      <c r="B10135" t="s">
        <v>14</v>
      </c>
      <c r="C10135" t="s">
        <v>22</v>
      </c>
      <c r="D10135" s="2" t="s">
        <f>=HYPERLINK("https://main.knesset.gov.il/APPS/legislation/main/bills/2159100", "הצעת חוק שירות אזרחי (תיקון - הארכת גיל הזכאות של נכה נפש לשרת במסגרת שירות לאומי או התנדבות קהילתית), התשפ""א-2021")</f>
        <v>19686</v>
      </c>
      <c r="E10135" t="s">
        <v>19686</v>
      </c>
      <c r="F10135" t="s">
        <v>19687</v>
      </c>
      <c r="G10135" t="s">
        <v>14</v>
      </c>
      <c r="H10135">
             </c>
      <c r="I10135" t="s">
        <v>14</v>
      </c>
      <c r="J10135" t="s">
        <v>343</v>
      </c>
      <c r="K10135" t="s">
        <v>14</v>
      </c>
      <c r="L10135" t="s">
        <v>20</v>
      </c>
      <c r="M10135" t="s">
        <v>19598</v>
      </c>
      <c r="N10135" t="s">
        <v>14</v>
      </c>
    </row>
    <row r="10136" x14ac:dyDescent="0.25">
      <c r="A10136" t="n">
        <v>24</v>
      </c>
      <c r="B10136" t="s">
        <v>14</v>
      </c>
      <c r="C10136" t="s">
        <v>22</v>
      </c>
      <c r="D10136" s="2" t="s">
        <f>=HYPERLINK("https://main.knesset.gov.il/APPS/legislation/main/bills/2159836", "הצעת חוק לתיקון פקודת מס הכנסה (פטור ממס על משיכה הונית מקופת גמל), התשפ""א-2021")</f>
        <v>19688</v>
      </c>
      <c r="E10136" t="s">
        <v>19688</v>
      </c>
      <c r="F10136" t="s">
        <v>19689</v>
      </c>
      <c r="G10136" t="s">
        <v>14</v>
      </c>
      <c r="H10136">
             </c>
      <c r="I10136" t="s">
        <v>14</v>
      </c>
      <c r="J10136" t="s">
        <v>141</v>
      </c>
      <c r="K10136" t="s">
        <v>14</v>
      </c>
      <c r="L10136" t="s">
        <v>20</v>
      </c>
      <c r="M10136" t="s">
        <v>19598</v>
      </c>
      <c r="N10136" t="s">
        <v>14</v>
      </c>
    </row>
    <row r="10137" x14ac:dyDescent="0.25">
      <c r="A10137" t="n">
        <v>24</v>
      </c>
      <c r="B10137" t="s">
        <v>14</v>
      </c>
      <c r="C10137" t="s">
        <v>22</v>
      </c>
      <c r="D10137" s="2" t="s">
        <f>=HYPERLINK("https://main.knesset.gov.il/APPS/legislation/main/bills/2159252", "הצעת חוק תאגידי מים וביוב (תיקון - הקמת ועדת הנחות), התשפ""א-2021")</f>
        <v>19690</v>
      </c>
      <c r="E10137" t="s">
        <v>19690</v>
      </c>
      <c r="F10137" t="s">
        <v>19691</v>
      </c>
      <c r="G10137" t="s">
        <v>14</v>
      </c>
      <c r="H10137">
             </c>
      <c r="I10137" t="s">
        <v>14</v>
      </c>
      <c r="J10137" t="s">
        <v>141</v>
      </c>
      <c r="K10137" t="s">
        <v>14</v>
      </c>
      <c r="L10137" t="s">
        <v>20</v>
      </c>
      <c r="M10137" t="s">
        <v>19598</v>
      </c>
      <c r="N10137" t="s">
        <v>14</v>
      </c>
    </row>
    <row r="10138" x14ac:dyDescent="0.25">
      <c r="A10138" t="n">
        <v>24</v>
      </c>
      <c r="B10138" t="s">
        <v>14</v>
      </c>
      <c r="C10138" t="s">
        <v>22</v>
      </c>
      <c r="D10138" s="2" t="s">
        <f>=HYPERLINK("https://main.knesset.gov.il/APPS/legislation/main/bills/2159373", "הצעת חוק תאגידי מים וביוב (תיקון - הקמת ועדת הנחות), התשפ""א-2021")</f>
        <v>19690</v>
      </c>
      <c r="E10138" t="s">
        <v>19690</v>
      </c>
      <c r="F10138" t="s">
        <v>19692</v>
      </c>
      <c r="G10138" t="s">
        <v>14</v>
      </c>
      <c r="H10138">
             </c>
      <c r="I10138" t="s">
        <v>14</v>
      </c>
      <c r="J10138" t="s">
        <v>141</v>
      </c>
      <c r="K10138" t="s">
        <v>14</v>
      </c>
      <c r="L10138" t="s">
        <v>20</v>
      </c>
      <c r="M10138" t="s">
        <v>19598</v>
      </c>
      <c r="N10138" t="s">
        <v>14</v>
      </c>
    </row>
    <row r="10139" x14ac:dyDescent="0.25">
      <c r="A10139" t="n">
        <v>24</v>
      </c>
      <c r="B10139" t="s">
        <v>14</v>
      </c>
      <c r="C10139" t="s">
        <v>15</v>
      </c>
      <c r="D10139" s="2" t="s">
        <f>=HYPERLINK("https://main.knesset.gov.il/APPS/legislation/main/bills/2160181", "הצעת חוק התכנית הכלכלית (תיקוני חקיקה ליישום המדיניות הכלכלית לשנת התקציב 2019) (תיקון) (אחריות בנק קולט בהעברת פעילות פיננסית של לקוח), התשפ""א-2021")</f>
        <v>19693</v>
      </c>
      <c r="E10139" t="s">
        <v>19693</v>
      </c>
      <c r="F10139" t="s">
        <v>14</v>
      </c>
      <c r="G10139" t="s">
        <v>19694</v>
      </c>
      <c r="H10139">
             </c>
      <c r="I10139" t="s">
        <v>14</v>
      </c>
      <c r="J10139" t="s">
        <v>1141</v>
      </c>
      <c r="K10139" t="s">
        <v>14</v>
      </c>
      <c r="L10139" t="s">
        <v>20</v>
      </c>
      <c r="M10139" t="s">
        <v>19598</v>
      </c>
      <c r="N10139" t="s">
        <v>14</v>
      </c>
    </row>
    <row r="10140" x14ac:dyDescent="0.25">
      <c r="A10140" t="n">
        <v>24</v>
      </c>
      <c r="B10140" t="s">
        <v>14</v>
      </c>
      <c r="C10140" t="s">
        <v>15</v>
      </c>
      <c r="D10140" s="2" t="s">
        <f>=HYPERLINK("https://main.knesset.gov.il/APPS/legislation/main/bills/2160182", "הצעת חוק לתיקון דיני הקניין הרוחני (מועד ערעור על החלטות הרשם), התשפ""א-2021 ")</f>
        <v>19695</v>
      </c>
      <c r="E10140" t="s">
        <v>19695</v>
      </c>
      <c r="F10140" t="s">
        <v>14</v>
      </c>
      <c r="G10140" t="s">
        <v>19696</v>
      </c>
      <c r="H10140">
             </c>
      <c r="I10140" t="s">
        <v>14</v>
      </c>
      <c r="J10140" t="s">
        <v>1141</v>
      </c>
      <c r="K10140" t="s">
        <v>14</v>
      </c>
      <c r="L10140" t="s">
        <v>20</v>
      </c>
      <c r="M10140" t="s">
        <v>19598</v>
      </c>
      <c r="N10140" t="s">
        <v>14</v>
      </c>
    </row>
    <row r="10141" x14ac:dyDescent="0.25">
      <c r="A10141" t="n">
        <v>24</v>
      </c>
      <c r="B10141" t="s">
        <v>14</v>
      </c>
      <c r="C10141" t="s">
        <v>15</v>
      </c>
      <c r="D10141" s="2" t="s">
        <f>=HYPERLINK("https://main.knesset.gov.il/APPS/legislation/main/bills/2160184", "הצעת חוק הארכת תקופות וקיום דיונים בהיוועדות חזותית בענייני תכנון ובנייה (נגיף הקורונה החדש – הוראת שעה) (תיקון) (הארכת תוקף), התשפ""א-2021 ")</f>
        <v>19697</v>
      </c>
      <c r="E10141" t="s">
        <v>19697</v>
      </c>
      <c r="F10141" t="s">
        <v>14</v>
      </c>
      <c r="G10141" t="s">
        <v>19698</v>
      </c>
      <c r="H10141">
             </c>
      <c r="I10141" t="s">
        <v>14</v>
      </c>
      <c r="J10141" t="s">
        <v>1141</v>
      </c>
      <c r="K10141" t="s">
        <v>14</v>
      </c>
      <c r="L10141" t="s">
        <v>20</v>
      </c>
      <c r="M10141" t="s">
        <v>19598</v>
      </c>
      <c r="N10141" t="s">
        <v>14</v>
      </c>
    </row>
    <row r="10142" x14ac:dyDescent="0.25">
      <c r="A10142" t="n">
        <v>24</v>
      </c>
      <c r="B10142" t="s">
        <v>14</v>
      </c>
      <c r="C10142" t="s">
        <v>15</v>
      </c>
      <c r="D10142" s="2" t="s">
        <f>=HYPERLINK("https://main.knesset.gov.il/APPS/legislation/main/bills/2159661", "חוק הכנסת (תיקון מס' 49), התשפ""א-2021")</f>
        <v>19699</v>
      </c>
      <c r="E10142" t="s">
        <v>19699</v>
      </c>
      <c r="F10142" t="s">
        <v>14</v>
      </c>
      <c r="G10142" t="s">
        <v>19700</v>
      </c>
      <c r="H10142" t="n">
        <v>2915</v>
      </c>
      <c r="I10142" t="s">
        <v>14</v>
      </c>
      <c r="J10142" t="s">
        <v>91</v>
      </c>
      <c r="K10142" t="s">
        <v>27</v>
      </c>
      <c r="L10142" t="s">
        <v>20</v>
      </c>
      <c r="M10142" t="s">
        <v>19701</v>
      </c>
      <c r="N10142" t="s">
        <v>19702</v>
      </c>
    </row>
    <row r="10143" x14ac:dyDescent="0.25">
      <c r="A10143" t="n">
        <v>24</v>
      </c>
      <c r="B10143" t="s">
        <v>14</v>
      </c>
      <c r="C10143" t="s">
        <v>15</v>
      </c>
      <c r="D10143" s="2" t="s">
        <f>=HYPERLINK("https://main.knesset.gov.il/APPS/legislation/main/bills/2159660", "חוק-יסוד: הכנסת (תיקון מס' 51)")</f>
        <v>19703</v>
      </c>
      <c r="E10143" t="s">
        <v>19703</v>
      </c>
      <c r="F10143" t="s">
        <v>14</v>
      </c>
      <c r="G10143" t="s">
        <v>19704</v>
      </c>
      <c r="H10143" t="n">
        <v>2914</v>
      </c>
      <c r="I10143" t="s">
        <v>14</v>
      </c>
      <c r="J10143" t="s">
        <v>91</v>
      </c>
      <c r="K10143" t="s">
        <v>27</v>
      </c>
      <c r="L10143" t="s">
        <v>20</v>
      </c>
      <c r="M10143" t="s">
        <v>19701</v>
      </c>
      <c r="N10143" t="s">
        <v>19705</v>
      </c>
    </row>
    <row r="10144" x14ac:dyDescent="0.25">
      <c r="A10144" t="n">
        <v>24</v>
      </c>
      <c r="B10144" t="s">
        <v>14</v>
      </c>
      <c r="C10144" t="s">
        <v>15</v>
      </c>
      <c r="D10144" s="2" t="s">
        <f>=HYPERLINK("https://main.knesset.gov.il/APPS/legislation/main/bills/2159671", "חוק לייעול האכיפה והפיקוח העירוניים ברשויות המקומיות (הוראת שעה) (תיקון מס' 6), התשפ""א-2021")</f>
        <v>19706</v>
      </c>
      <c r="E10144" t="s">
        <v>19706</v>
      </c>
      <c r="F10144" t="s">
        <v>14</v>
      </c>
      <c r="G10144" t="s">
        <v>19707</v>
      </c>
      <c r="H10144" t="n">
        <v>2913</v>
      </c>
      <c r="I10144" t="s">
        <v>14</v>
      </c>
      <c r="J10144" t="s">
        <v>91</v>
      </c>
      <c r="K10144" t="s">
        <v>85</v>
      </c>
      <c r="L10144" t="s">
        <v>20</v>
      </c>
      <c r="M10144" t="s">
        <v>19708</v>
      </c>
      <c r="N10144" t="s">
        <v>19709</v>
      </c>
    </row>
    <row r="10145" x14ac:dyDescent="0.25">
      <c r="A10145" t="n">
        <v>24</v>
      </c>
      <c r="B10145" t="s">
        <v>14</v>
      </c>
      <c r="C10145" t="s">
        <v>15</v>
      </c>
      <c r="D10145" s="2" t="s">
        <f>=HYPERLINK("https://main.knesset.gov.il/APPS/legislation/main/bills/2159666", "הצעת חוק שירות ביטחון (תיקון מס' 18 והוראת שעה) (תיקון), התשפ""א-2021")</f>
        <v>19710</v>
      </c>
      <c r="E10145" t="s">
        <v>19710</v>
      </c>
      <c r="F10145" t="s">
        <v>14</v>
      </c>
      <c r="G10145" t="s">
        <v>19711</v>
      </c>
      <c r="H10145">
             </c>
      <c r="I10145" t="s">
        <v>14</v>
      </c>
      <c r="J10145" t="s">
        <v>289</v>
      </c>
      <c r="K10145" t="s">
        <v>114</v>
      </c>
      <c r="L10145" t="s">
        <v>20</v>
      </c>
      <c r="M10145" t="s">
        <v>19708</v>
      </c>
      <c r="N10145" t="s">
        <v>14</v>
      </c>
    </row>
    <row r="10146" x14ac:dyDescent="0.25">
      <c r="A10146" t="n">
        <v>24</v>
      </c>
      <c r="B10146" t="s">
        <v>14</v>
      </c>
      <c r="C10146" t="s">
        <v>15</v>
      </c>
      <c r="D10146" s="2" t="s">
        <f>=HYPERLINK("https://main.knesset.gov.il/APPS/legislation/main/bills/2159449", "חוק העונשין (תיקון מס' 133 – הוראת שעה) (תיקון), התשפ""א-2021 ")</f>
        <v>19712</v>
      </c>
      <c r="E10146" t="s">
        <v>19712</v>
      </c>
      <c r="F10146" t="s">
        <v>14</v>
      </c>
      <c r="G10146" t="s">
        <v>19713</v>
      </c>
      <c r="H10146" t="n">
        <v>2912</v>
      </c>
      <c r="I10146" t="s">
        <v>14</v>
      </c>
      <c r="J10146" t="s">
        <v>91</v>
      </c>
      <c r="K10146" t="s">
        <v>27</v>
      </c>
      <c r="L10146" t="s">
        <v>20</v>
      </c>
      <c r="M10146" t="s">
        <v>19708</v>
      </c>
      <c r="N10146" t="s">
        <v>19714</v>
      </c>
    </row>
    <row r="10147" x14ac:dyDescent="0.25">
      <c r="A10147" t="n">
        <v>24</v>
      </c>
      <c r="B10147" t="s">
        <v>14</v>
      </c>
      <c r="C10147" t="s">
        <v>22</v>
      </c>
      <c r="D10147" s="2" t="s">
        <f>=HYPERLINK("https://main.knesset.gov.il/APPS/legislation/main/bills/2159338", "הצעת חוק הבנקאות (שירות ללקוח) (תיקון - ריבית על יתרת זכות), התשפ""א-2021")</f>
        <v>19715</v>
      </c>
      <c r="E10147" t="s">
        <v>19715</v>
      </c>
      <c r="F10147" t="s">
        <v>19716</v>
      </c>
      <c r="G10147" t="s">
        <v>14</v>
      </c>
      <c r="H10147">
             </c>
      <c r="I10147" t="s">
        <v>14</v>
      </c>
      <c r="J10147" t="s">
        <v>141</v>
      </c>
      <c r="K10147" t="s">
        <v>14</v>
      </c>
      <c r="L10147" t="s">
        <v>20</v>
      </c>
      <c r="M10147" t="s">
        <v>19708</v>
      </c>
      <c r="N10147" t="s">
        <v>14</v>
      </c>
    </row>
    <row r="10148" x14ac:dyDescent="0.25">
      <c r="A10148" t="n">
        <v>24</v>
      </c>
      <c r="B10148" t="s">
        <v>14</v>
      </c>
      <c r="C10148" t="s">
        <v>22</v>
      </c>
      <c r="D10148" s="2" t="s">
        <f>=HYPERLINK("https://main.knesset.gov.il/APPS/legislation/main/bills/2159342", "הצעת חוק הגנת הצרכן (תיקון - פיצויים בלא הוכחת נזק בשל חריגה מזמני המתנה במוקד שירות טלפוני), התשפ""א-2021")</f>
        <v>19717</v>
      </c>
      <c r="E10148" t="s">
        <v>19717</v>
      </c>
      <c r="F10148" t="s">
        <v>19718</v>
      </c>
      <c r="G10148" t="s">
        <v>14</v>
      </c>
      <c r="H10148">
             </c>
      <c r="I10148" t="s">
        <v>14</v>
      </c>
      <c r="J10148" t="s">
        <v>141</v>
      </c>
      <c r="K10148" t="s">
        <v>14</v>
      </c>
      <c r="L10148" t="s">
        <v>20</v>
      </c>
      <c r="M10148" t="s">
        <v>19708</v>
      </c>
      <c r="N10148" t="s">
        <v>14</v>
      </c>
    </row>
    <row r="10149" x14ac:dyDescent="0.25">
      <c r="A10149" t="n">
        <v>24</v>
      </c>
      <c r="B10149" t="s">
        <v>14</v>
      </c>
      <c r="C10149" t="s">
        <v>22</v>
      </c>
      <c r="D10149" s="2" t="s">
        <f>=HYPERLINK("https://main.knesset.gov.il/APPS/legislation/main/bills/2159112", "הצעת חוק הנכים (תגמולים ושיקום) (תיקון - הוראות לגבי אישה נכה), התשפ""א-2021")</f>
        <v>19719</v>
      </c>
      <c r="E10149" t="s">
        <v>19719</v>
      </c>
      <c r="F10149" t="s">
        <v>19720</v>
      </c>
      <c r="G10149" t="s">
        <v>14</v>
      </c>
      <c r="H10149">
             </c>
      <c r="I10149" t="s">
        <v>14</v>
      </c>
      <c r="J10149" t="s">
        <v>141</v>
      </c>
      <c r="K10149" t="s">
        <v>14</v>
      </c>
      <c r="L10149" t="s">
        <v>20</v>
      </c>
      <c r="M10149" t="s">
        <v>19708</v>
      </c>
      <c r="N10149" t="s">
        <v>14</v>
      </c>
    </row>
    <row r="10150" x14ac:dyDescent="0.25">
      <c r="A10150" t="n">
        <v>24</v>
      </c>
      <c r="B10150" t="s">
        <v>14</v>
      </c>
      <c r="C10150" t="s">
        <v>22</v>
      </c>
      <c r="D10150" s="2" t="s">
        <f>=HYPERLINK("https://main.knesset.gov.il/APPS/legislation/main/bills/2158987", "הצעת חוק ההוצאה לפועל (תיקון - קביעת תעריף מקסימלי לשכר טרחת עורך דין), התשפ""א-2021")</f>
        <v>19314</v>
      </c>
      <c r="E10150" t="s">
        <v>19314</v>
      </c>
      <c r="F10150" t="s">
        <v>19721</v>
      </c>
      <c r="G10150" t="s">
        <v>14</v>
      </c>
      <c r="H10150">
             </c>
      <c r="I10150" t="s">
        <v>14</v>
      </c>
      <c r="J10150" t="s">
        <v>343</v>
      </c>
      <c r="K10150" t="s">
        <v>14</v>
      </c>
      <c r="L10150" t="s">
        <v>20</v>
      </c>
      <c r="M10150" t="s">
        <v>19708</v>
      </c>
      <c r="N10150" t="s">
        <v>14</v>
      </c>
    </row>
    <row r="10151" x14ac:dyDescent="0.25">
      <c r="A10151" t="n">
        <v>24</v>
      </c>
      <c r="B10151" t="s">
        <v>14</v>
      </c>
      <c r="C10151" t="s">
        <v>22</v>
      </c>
      <c r="D10151" s="2" t="s">
        <f>=HYPERLINK("https://main.knesset.gov.il/APPS/legislation/main/bills/2159015", "הצעת חוק שירות הציבור (הגבלות לאחר פרישה) (תיקון - תקופת צינון של עובדי אגף התקציבים במשרד האוצר במעבר למגזר הפרטי), התשפ""א-2021")</f>
        <v>19722</v>
      </c>
      <c r="E10151" t="s">
        <v>19722</v>
      </c>
      <c r="F10151" t="s">
        <v>19723</v>
      </c>
      <c r="G10151" t="s">
        <v>14</v>
      </c>
      <c r="H10151">
             </c>
      <c r="I10151" t="s">
        <v>14</v>
      </c>
      <c r="J10151" t="s">
        <v>141</v>
      </c>
      <c r="K10151" t="s">
        <v>14</v>
      </c>
      <c r="L10151" t="s">
        <v>20</v>
      </c>
      <c r="M10151" t="s">
        <v>19708</v>
      </c>
      <c r="N10151" t="s">
        <v>14</v>
      </c>
    </row>
    <row r="10152" x14ac:dyDescent="0.25">
      <c r="A10152" t="n">
        <v>24</v>
      </c>
      <c r="B10152" t="s">
        <v>14</v>
      </c>
      <c r="C10152" t="s">
        <v>22</v>
      </c>
      <c r="D10152" s="2" t="s">
        <f>=HYPERLINK("https://main.knesset.gov.il/APPS/legislation/main/bills/2159017", "הצעת חוק הביטוח הלאומי (תיקון - גמלה לשמירת הריון לאם שילדה פג), התשפ""א-2021")</f>
        <v>19724</v>
      </c>
      <c r="E10152" t="s">
        <v>19724</v>
      </c>
      <c r="F10152" t="s">
        <v>19725</v>
      </c>
      <c r="G10152" t="s">
        <v>14</v>
      </c>
      <c r="H10152">
             </c>
      <c r="I10152" t="s">
        <v>14</v>
      </c>
      <c r="J10152" t="s">
        <v>141</v>
      </c>
      <c r="K10152" t="s">
        <v>14</v>
      </c>
      <c r="L10152" t="s">
        <v>20</v>
      </c>
      <c r="M10152" t="s">
        <v>19708</v>
      </c>
      <c r="N10152" t="s">
        <v>14</v>
      </c>
    </row>
    <row r="10153" x14ac:dyDescent="0.25">
      <c r="A10153" t="n">
        <v>24</v>
      </c>
      <c r="B10153" t="s">
        <v>14</v>
      </c>
      <c r="C10153" t="s">
        <v>22</v>
      </c>
      <c r="D10153" s="2" t="s">
        <f>=HYPERLINK("https://main.knesset.gov.il/APPS/legislation/main/bills/2159086", "הצעת חוק ההתגוננות האזרחית (תיקון - הקמת תשתית חיבור לרשת אינטרנט אלחוטית במקלטים שביישובי קו העימות), התשפ""א-2021")</f>
        <v>19726</v>
      </c>
      <c r="E10153" t="s">
        <v>19726</v>
      </c>
      <c r="F10153" t="s">
        <v>19727</v>
      </c>
      <c r="G10153" t="s">
        <v>14</v>
      </c>
      <c r="H10153">
             </c>
      <c r="I10153" t="s">
        <v>14</v>
      </c>
      <c r="J10153" t="s">
        <v>141</v>
      </c>
      <c r="K10153" t="s">
        <v>14</v>
      </c>
      <c r="L10153" t="s">
        <v>20</v>
      </c>
      <c r="M10153" t="s">
        <v>19708</v>
      </c>
      <c r="N10153" t="s">
        <v>14</v>
      </c>
    </row>
    <row r="10154" x14ac:dyDescent="0.25">
      <c r="A10154" t="n">
        <v>24</v>
      </c>
      <c r="B10154" t="s">
        <v>14</v>
      </c>
      <c r="C10154" t="s">
        <v>22</v>
      </c>
      <c r="D10154" s="2" t="s">
        <f>=HYPERLINK("https://main.knesset.gov.il/APPS/legislation/main/bills/2159123", "הצעת חוק נציבות תלונות אסירים, התשפ""א-2021")</f>
        <v>19728</v>
      </c>
      <c r="E10154" t="s">
        <v>19728</v>
      </c>
      <c r="F10154" t="s">
        <v>19729</v>
      </c>
      <c r="G10154" t="s">
        <v>14</v>
      </c>
      <c r="H10154">
             </c>
      <c r="I10154" t="s">
        <v>14</v>
      </c>
      <c r="J10154" t="s">
        <v>141</v>
      </c>
      <c r="K10154" t="s">
        <v>14</v>
      </c>
      <c r="L10154" t="s">
        <v>20</v>
      </c>
      <c r="M10154" t="s">
        <v>19708</v>
      </c>
      <c r="N10154" t="s">
        <v>14</v>
      </c>
    </row>
    <row r="10155" x14ac:dyDescent="0.25">
      <c r="A10155" t="n">
        <v>24</v>
      </c>
      <c r="B10155" t="s">
        <v>14</v>
      </c>
      <c r="C10155" t="s">
        <v>22</v>
      </c>
      <c r="D10155" s="2" t="s">
        <f>=HYPERLINK("https://main.knesset.gov.il/APPS/legislation/main/bills/2159116", "הצעת חוק מקרקעין באזורי יהודה ושומרון, התשפ""א-2021")</f>
        <v>19730</v>
      </c>
      <c r="E10155" t="s">
        <v>19730</v>
      </c>
      <c r="F10155" t="s">
        <v>19731</v>
      </c>
      <c r="G10155" t="s">
        <v>14</v>
      </c>
      <c r="H10155">
             </c>
      <c r="I10155" t="s">
        <v>14</v>
      </c>
      <c r="J10155" t="s">
        <v>141</v>
      </c>
      <c r="K10155" t="s">
        <v>14</v>
      </c>
      <c r="L10155" t="s">
        <v>20</v>
      </c>
      <c r="M10155" t="s">
        <v>19708</v>
      </c>
      <c r="N10155" t="s">
        <v>14</v>
      </c>
    </row>
    <row r="10156" x14ac:dyDescent="0.25">
      <c r="A10156" t="n">
        <v>24</v>
      </c>
      <c r="B10156" t="s">
        <v>14</v>
      </c>
      <c r="C10156" t="s">
        <v>22</v>
      </c>
      <c r="D10156" s="2" t="s">
        <f>=HYPERLINK("https://main.knesset.gov.il/APPS/legislation/main/bills/2159007", "הצעת חוק לתיקון דיני הראיות (הגנת ילדים) (תיקון - חקירה תוך 48 שעות), התשפ""א-2021")</f>
        <v>19732</v>
      </c>
      <c r="E10156" t="s">
        <v>19732</v>
      </c>
      <c r="F10156" t="s">
        <v>19733</v>
      </c>
      <c r="G10156" t="s">
        <v>14</v>
      </c>
      <c r="H10156">
             </c>
      <c r="I10156" t="s">
        <v>14</v>
      </c>
      <c r="J10156" t="s">
        <v>141</v>
      </c>
      <c r="K10156" t="s">
        <v>14</v>
      </c>
      <c r="L10156" t="s">
        <v>20</v>
      </c>
      <c r="M10156" t="s">
        <v>19708</v>
      </c>
      <c r="N10156" t="s">
        <v>14</v>
      </c>
    </row>
    <row r="10157" x14ac:dyDescent="0.25">
      <c r="A10157" t="n">
        <v>24</v>
      </c>
      <c r="B10157" t="s">
        <v>14</v>
      </c>
      <c r="C10157" t="s">
        <v>22</v>
      </c>
      <c r="D10157" s="2" t="s">
        <f>=HYPERLINK("https://main.knesset.gov.il/APPS/legislation/main/bills/2159278", "הצעת חוק-יסוד: הממשלה (תיקון - הגבלת כהונת ראש הממשלה לשתי תקופות כהונה רצופות)")</f>
        <v>1247</v>
      </c>
      <c r="E10157" t="s">
        <v>1247</v>
      </c>
      <c r="F10157" t="s">
        <v>19734</v>
      </c>
      <c r="G10157" t="s">
        <v>14</v>
      </c>
      <c r="H10157">
             </c>
      <c r="I10157" t="s">
        <v>14</v>
      </c>
      <c r="J10157" t="s">
        <v>141</v>
      </c>
      <c r="K10157" t="s">
        <v>14</v>
      </c>
      <c r="L10157" t="s">
        <v>20</v>
      </c>
      <c r="M10157" t="s">
        <v>19708</v>
      </c>
      <c r="N10157" t="s">
        <v>14</v>
      </c>
    </row>
    <row r="10158" x14ac:dyDescent="0.25">
      <c r="A10158" t="n">
        <v>24</v>
      </c>
      <c r="B10158" t="s">
        <v>14</v>
      </c>
      <c r="C10158" t="s">
        <v>22</v>
      </c>
      <c r="D10158" s="2" t="s">
        <f>=HYPERLINK("https://main.knesset.gov.il/APPS/legislation/main/bills/2159559", "הצעת חוק זכויות הסטודנט (תיקון - מסלולי לימוד נפרדים), התשפ""א-2021")</f>
        <v>19533</v>
      </c>
      <c r="E10158" t="s">
        <v>19533</v>
      </c>
      <c r="F10158" t="s">
        <v>19735</v>
      </c>
      <c r="G10158" t="s">
        <v>14</v>
      </c>
      <c r="H10158">
             </c>
      <c r="I10158" t="s">
        <v>14</v>
      </c>
      <c r="J10158" t="s">
        <v>141</v>
      </c>
      <c r="K10158" t="s">
        <v>14</v>
      </c>
      <c r="L10158" t="s">
        <v>20</v>
      </c>
      <c r="M10158" t="s">
        <v>19708</v>
      </c>
      <c r="N10158" t="s">
        <v>14</v>
      </c>
    </row>
    <row r="10159" x14ac:dyDescent="0.25">
      <c r="A10159" t="n">
        <v>24</v>
      </c>
      <c r="B10159" t="s">
        <v>14</v>
      </c>
      <c r="C10159" t="s">
        <v>22</v>
      </c>
      <c r="D10159" s="2" t="s">
        <f>=HYPERLINK("https://main.knesset.gov.il/APPS/legislation/main/bills/2159225", "הצעת חוק לייעול הפיקוח של ועדת החוץ והביטחון של הכנסת, התשפ""א-2021")</f>
        <v>19736</v>
      </c>
      <c r="E10159" t="s">
        <v>19736</v>
      </c>
      <c r="F10159" t="s">
        <v>19737</v>
      </c>
      <c r="G10159" t="s">
        <v>14</v>
      </c>
      <c r="H10159">
             </c>
      <c r="I10159" t="s">
        <v>14</v>
      </c>
      <c r="J10159" t="s">
        <v>141</v>
      </c>
      <c r="K10159" t="s">
        <v>14</v>
      </c>
      <c r="L10159" t="s">
        <v>20</v>
      </c>
      <c r="M10159" t="s">
        <v>19708</v>
      </c>
      <c r="N10159" t="s">
        <v>14</v>
      </c>
    </row>
    <row r="10160" x14ac:dyDescent="0.25">
      <c r="A10160" t="n">
        <v>24</v>
      </c>
      <c r="B10160" t="s">
        <v>14</v>
      </c>
      <c r="C10160" t="s">
        <v>22</v>
      </c>
      <c r="D10160" s="2" t="s">
        <f>=HYPERLINK("https://main.knesset.gov.il/APPS/legislation/main/bills/2159307", "הצעת חוק לתיקון פקודת הראיות (חיסיון עיתונאי), התשפ""א-2021")</f>
        <v>19738</v>
      </c>
      <c r="E10160" t="s">
        <v>19738</v>
      </c>
      <c r="F10160" t="s">
        <v>19739</v>
      </c>
      <c r="G10160" t="s">
        <v>14</v>
      </c>
      <c r="H10160">
             </c>
      <c r="I10160" t="s">
        <v>14</v>
      </c>
      <c r="J10160" t="s">
        <v>141</v>
      </c>
      <c r="K10160" t="s">
        <v>14</v>
      </c>
      <c r="L10160" t="s">
        <v>20</v>
      </c>
      <c r="M10160" t="s">
        <v>19708</v>
      </c>
      <c r="N10160" t="s">
        <v>14</v>
      </c>
    </row>
    <row r="10161" x14ac:dyDescent="0.25">
      <c r="A10161" t="n">
        <v>24</v>
      </c>
      <c r="B10161" t="s">
        <v>14</v>
      </c>
      <c r="C10161" t="s">
        <v>22</v>
      </c>
      <c r="D10161" s="2" t="s">
        <f>=HYPERLINK("https://main.knesset.gov.il/APPS/legislation/main/bills/2159134", "הצעת חוק חינוך ממלכתי (תיקון - מטרות החינוך), התשפ""א-2021")</f>
        <v>19740</v>
      </c>
      <c r="E10161" t="s">
        <v>19740</v>
      </c>
      <c r="F10161" t="s">
        <v>19741</v>
      </c>
      <c r="G10161" t="s">
        <v>14</v>
      </c>
      <c r="H10161">
             </c>
      <c r="I10161" t="s">
        <v>14</v>
      </c>
      <c r="J10161" t="s">
        <v>141</v>
      </c>
      <c r="K10161" t="s">
        <v>14</v>
      </c>
      <c r="L10161" t="s">
        <v>20</v>
      </c>
      <c r="M10161" t="s">
        <v>19708</v>
      </c>
      <c r="N10161" t="s">
        <v>14</v>
      </c>
    </row>
    <row r="10162" x14ac:dyDescent="0.25">
      <c r="A10162" t="n">
        <v>24</v>
      </c>
      <c r="B10162" t="s">
        <v>14</v>
      </c>
      <c r="C10162" t="s">
        <v>22</v>
      </c>
      <c r="D10162" s="2" t="s">
        <f>=HYPERLINK("https://main.knesset.gov.il/APPS/legislation/main/bills/2159359", "הצעת חוק שינוי במינוח המייצג מטעם המדינה (תיקוני חקיקה), התשפ""א-2021")</f>
        <v>19742</v>
      </c>
      <c r="E10162" t="s">
        <v>19742</v>
      </c>
      <c r="F10162" t="s">
        <v>19743</v>
      </c>
      <c r="G10162" t="s">
        <v>14</v>
      </c>
      <c r="H10162">
             </c>
      <c r="I10162" t="s">
        <v>14</v>
      </c>
      <c r="J10162" t="s">
        <v>141</v>
      </c>
      <c r="K10162" t="s">
        <v>14</v>
      </c>
      <c r="L10162" t="s">
        <v>20</v>
      </c>
      <c r="M10162" t="s">
        <v>19708</v>
      </c>
      <c r="N10162" t="s">
        <v>14</v>
      </c>
    </row>
    <row r="10163" x14ac:dyDescent="0.25">
      <c r="A10163" t="n">
        <v>24</v>
      </c>
      <c r="B10163" t="s">
        <v>14</v>
      </c>
      <c r="C10163" t="s">
        <v>22</v>
      </c>
      <c r="D10163" s="2" t="s">
        <f>=HYPERLINK("https://main.knesset.gov.il/APPS/legislation/main/bills/2159393", "הצעת חוק לתיקון פקודת העיריות (חובת גילוי מסמכי תאגיד עירוני), התשפ""א-2021")</f>
        <v>19744</v>
      </c>
      <c r="E10163" t="s">
        <v>19744</v>
      </c>
      <c r="F10163" t="s">
        <v>19745</v>
      </c>
      <c r="G10163" t="s">
        <v>14</v>
      </c>
      <c r="H10163">
             </c>
      <c r="I10163" t="s">
        <v>14</v>
      </c>
      <c r="J10163" t="s">
        <v>141</v>
      </c>
      <c r="K10163" t="s">
        <v>14</v>
      </c>
      <c r="L10163" t="s">
        <v>20</v>
      </c>
      <c r="M10163" t="s">
        <v>19708</v>
      </c>
      <c r="N10163" t="s">
        <v>14</v>
      </c>
    </row>
    <row r="10164" x14ac:dyDescent="0.25">
      <c r="A10164" t="n">
        <v>24</v>
      </c>
      <c r="B10164" t="s">
        <v>14</v>
      </c>
      <c r="C10164" t="s">
        <v>22</v>
      </c>
      <c r="D10164" s="2" t="s">
        <f>=HYPERLINK("https://main.knesset.gov.il/APPS/legislation/main/bills/2159295", "הצעת חוק הביטוח הלאומי (תיקון - השוואת קצבת הנכות לשכר מינימום), התשפ""א-2021")</f>
        <v>19746</v>
      </c>
      <c r="E10164" t="s">
        <v>19746</v>
      </c>
      <c r="F10164" t="s">
        <v>19747</v>
      </c>
      <c r="G10164" t="s">
        <v>14</v>
      </c>
      <c r="H10164">
             </c>
      <c r="I10164" t="s">
        <v>14</v>
      </c>
      <c r="J10164" t="s">
        <v>141</v>
      </c>
      <c r="K10164" t="s">
        <v>14</v>
      </c>
      <c r="L10164" t="s">
        <v>20</v>
      </c>
      <c r="M10164" t="s">
        <v>19708</v>
      </c>
      <c r="N10164" t="s">
        <v>14</v>
      </c>
    </row>
    <row r="10165" x14ac:dyDescent="0.25">
      <c r="A10165" t="n">
        <v>24</v>
      </c>
      <c r="B10165" t="s">
        <v>14</v>
      </c>
      <c r="C10165" t="s">
        <v>22</v>
      </c>
      <c r="D10165" s="2" t="s">
        <f>=HYPERLINK("https://main.knesset.gov.il/APPS/legislation/main/bills/2159346", "הצעת חוק-יסוד: כבוד האדם וחירותו (תיקון - הזכות לשוויון)")</f>
        <v>2676</v>
      </c>
      <c r="E10165" t="s">
        <v>2676</v>
      </c>
      <c r="F10165" t="s">
        <v>19748</v>
      </c>
      <c r="G10165" t="s">
        <v>14</v>
      </c>
      <c r="H10165">
             </c>
      <c r="I10165" t="s">
        <v>14</v>
      </c>
      <c r="J10165" t="s">
        <v>343</v>
      </c>
      <c r="K10165" t="s">
        <v>14</v>
      </c>
      <c r="L10165" t="s">
        <v>20</v>
      </c>
      <c r="M10165" t="s">
        <v>19708</v>
      </c>
      <c r="N10165" t="s">
        <v>14</v>
      </c>
    </row>
    <row r="10166" x14ac:dyDescent="0.25">
      <c r="A10166" t="n">
        <v>24</v>
      </c>
      <c r="B10166" t="s">
        <v>14</v>
      </c>
      <c r="C10166" t="s">
        <v>22</v>
      </c>
      <c r="D10166" s="2" t="s">
        <f>=HYPERLINK("https://main.knesset.gov.il/APPS/legislation/main/bills/2159235", "הצעת חוק הביטוח הלאומי (תיקון - השוואת קצבת נכות לשכר המינימום), התשפ''א-2021")</f>
        <v>19749</v>
      </c>
      <c r="E10166" t="s">
        <v>19749</v>
      </c>
      <c r="F10166" t="s">
        <v>19750</v>
      </c>
      <c r="G10166" t="s">
        <v>14</v>
      </c>
      <c r="H10166">
             </c>
      <c r="I10166" t="s">
        <v>14</v>
      </c>
      <c r="J10166" t="s">
        <v>343</v>
      </c>
      <c r="K10166" t="s">
        <v>14</v>
      </c>
      <c r="L10166" t="s">
        <v>20</v>
      </c>
      <c r="M10166" t="s">
        <v>19708</v>
      </c>
      <c r="N10166" t="s">
        <v>14</v>
      </c>
    </row>
    <row r="10167" x14ac:dyDescent="0.25">
      <c r="A10167" t="n">
        <v>24</v>
      </c>
      <c r="B10167" t="s">
        <v>14</v>
      </c>
      <c r="C10167" t="s">
        <v>22</v>
      </c>
      <c r="D10167" s="2" t="s">
        <f>=HYPERLINK("https://main.knesset.gov.il/APPS/legislation/main/bills/2159263", "הצעת חוק הביטוח הלאומי (תיקון - השוואת קצבת נכות לשכר מינימום), התשפ""א-2021")</f>
        <v>19081</v>
      </c>
      <c r="E10167" t="s">
        <v>19081</v>
      </c>
      <c r="F10167" t="s">
        <v>19751</v>
      </c>
      <c r="G10167" t="s">
        <v>14</v>
      </c>
      <c r="H10167">
             </c>
      <c r="I10167" t="s">
        <v>14</v>
      </c>
      <c r="J10167" t="s">
        <v>141</v>
      </c>
      <c r="K10167" t="s">
        <v>14</v>
      </c>
      <c r="L10167" t="s">
        <v>20</v>
      </c>
      <c r="M10167" t="s">
        <v>19708</v>
      </c>
      <c r="N10167" t="s">
        <v>14</v>
      </c>
    </row>
    <row r="10168" x14ac:dyDescent="0.25">
      <c r="A10168" t="n">
        <v>24</v>
      </c>
      <c r="B10168" t="s">
        <v>14</v>
      </c>
      <c r="C10168" t="s">
        <v>22</v>
      </c>
      <c r="D10168" s="2" t="s">
        <f>=HYPERLINK("https://main.knesset.gov.il/APPS/legislation/main/bills/2158886", "הצעת חוק לקידום דיור בר השגה, התשפ""א-2021")</f>
        <v>19752</v>
      </c>
      <c r="E10168" t="s">
        <v>19752</v>
      </c>
      <c r="F10168" t="s">
        <v>19753</v>
      </c>
      <c r="G10168" t="s">
        <v>14</v>
      </c>
      <c r="H10168">
             </c>
      <c r="I10168" t="s">
        <v>14</v>
      </c>
      <c r="J10168" t="s">
        <v>141</v>
      </c>
      <c r="K10168" t="s">
        <v>14</v>
      </c>
      <c r="L10168" t="s">
        <v>20</v>
      </c>
      <c r="M10168" t="s">
        <v>19708</v>
      </c>
      <c r="N10168" t="s">
        <v>14</v>
      </c>
    </row>
    <row r="10169" x14ac:dyDescent="0.25">
      <c r="A10169" t="n">
        <v>24</v>
      </c>
      <c r="B10169" t="s">
        <v>14</v>
      </c>
      <c r="C10169" t="s">
        <v>22</v>
      </c>
      <c r="D10169" s="2" t="s">
        <f>=HYPERLINK("https://main.knesset.gov.il/APPS/legislation/main/bills/2159049", "הצעת חוק מעונות יום שיקומיים (תיקון - מעון יום שיקומי ייעודי לילדים עם אוטיזם), התשפ""א-2021")</f>
        <v>19754</v>
      </c>
      <c r="E10169" t="s">
        <v>19754</v>
      </c>
      <c r="F10169" t="s">
        <v>19755</v>
      </c>
      <c r="G10169" t="s">
        <v>14</v>
      </c>
      <c r="H10169">
             </c>
      <c r="I10169" t="s">
        <v>14</v>
      </c>
      <c r="J10169" t="s">
        <v>141</v>
      </c>
      <c r="K10169" t="s">
        <v>14</v>
      </c>
      <c r="L10169" t="s">
        <v>20</v>
      </c>
      <c r="M10169" t="s">
        <v>19708</v>
      </c>
      <c r="N10169" t="s">
        <v>14</v>
      </c>
    </row>
    <row r="10170" x14ac:dyDescent="0.25">
      <c r="A10170" t="n">
        <v>24</v>
      </c>
      <c r="B10170" t="s">
        <v>14</v>
      </c>
      <c r="C10170" t="s">
        <v>22</v>
      </c>
      <c r="D10170" s="2" t="s">
        <f>=HYPERLINK("https://main.knesset.gov.il/APPS/legislation/main/bills/2159044", "הצעת חוק שירות ביטחון (תיקון - פטור מטעמי מצפון), התשפ""א-2021")</f>
        <v>19756</v>
      </c>
      <c r="E10170" t="s">
        <v>19756</v>
      </c>
      <c r="F10170" t="s">
        <v>19757</v>
      </c>
      <c r="G10170" t="s">
        <v>14</v>
      </c>
      <c r="H10170">
             </c>
      <c r="I10170" t="s">
        <v>14</v>
      </c>
      <c r="J10170" t="s">
        <v>141</v>
      </c>
      <c r="K10170" t="s">
        <v>14</v>
      </c>
      <c r="L10170" t="s">
        <v>20</v>
      </c>
      <c r="M10170" t="s">
        <v>19708</v>
      </c>
      <c r="N10170" t="s">
        <v>14</v>
      </c>
    </row>
    <row r="10171" x14ac:dyDescent="0.25">
      <c r="A10171" t="n">
        <v>24</v>
      </c>
      <c r="B10171" t="s">
        <v>14</v>
      </c>
      <c r="C10171" t="s">
        <v>22</v>
      </c>
      <c r="D10171" s="2" t="s">
        <f>=HYPERLINK("https://main.knesset.gov.il/APPS/legislation/main/bills/2158884", "הצעת חוק ביטוח בריאות ממלכתי (תיקון - מימון שירותי בריאות נוספים לאוכלוסיות מסוימות), התשפ""א-2021")</f>
        <v>19758</v>
      </c>
      <c r="E10171" t="s">
        <v>19758</v>
      </c>
      <c r="F10171" t="s">
        <v>19759</v>
      </c>
      <c r="G10171" t="s">
        <v>14</v>
      </c>
      <c r="H10171">
             </c>
      <c r="I10171" t="s">
        <v>14</v>
      </c>
      <c r="J10171" t="s">
        <v>141</v>
      </c>
      <c r="K10171" t="s">
        <v>14</v>
      </c>
      <c r="L10171" t="s">
        <v>20</v>
      </c>
      <c r="M10171" t="s">
        <v>19708</v>
      </c>
      <c r="N10171" t="s">
        <v>14</v>
      </c>
    </row>
    <row r="10172" x14ac:dyDescent="0.25">
      <c r="A10172" t="n">
        <v>24</v>
      </c>
      <c r="B10172" t="s">
        <v>14</v>
      </c>
      <c r="C10172" t="s">
        <v>22</v>
      </c>
      <c r="D10172" s="2" t="s">
        <f>=HYPERLINK("https://main.knesset.gov.il/APPS/legislation/main/bills/2158930", "הצעת חוק הגנה על עובדים בשעת חירום (תיקון - תשלום שכר עבודה לעובד שנעדר עקב סגירת מוסד הלימוד של ילדו), התשפ""א-2021")</f>
        <v>19760</v>
      </c>
      <c r="E10172" t="s">
        <v>19760</v>
      </c>
      <c r="F10172" t="s">
        <v>19761</v>
      </c>
      <c r="G10172" t="s">
        <v>14</v>
      </c>
      <c r="H10172">
             </c>
      <c r="I10172" t="s">
        <v>14</v>
      </c>
      <c r="J10172" t="s">
        <v>141</v>
      </c>
      <c r="K10172" t="s">
        <v>14</v>
      </c>
      <c r="L10172" t="s">
        <v>20</v>
      </c>
      <c r="M10172" t="s">
        <v>19708</v>
      </c>
      <c r="N10172" t="s">
        <v>14</v>
      </c>
    </row>
    <row r="10173" x14ac:dyDescent="0.25">
      <c r="A10173" t="n">
        <v>24</v>
      </c>
      <c r="B10173" t="s">
        <v>14</v>
      </c>
      <c r="C10173" t="s">
        <v>22</v>
      </c>
      <c r="D10173" s="2" t="s">
        <f>=HYPERLINK("https://main.knesset.gov.il/APPS/legislation/main/bills/2159464", "הצעת חוק לימוד חובה (תיקון - הוספת סייעת בגני ילדים), התשפ""א-2021")</f>
        <v>19762</v>
      </c>
      <c r="E10173" t="s">
        <v>19762</v>
      </c>
      <c r="F10173" t="s">
        <v>19763</v>
      </c>
      <c r="G10173" t="s">
        <v>14</v>
      </c>
      <c r="H10173">
             </c>
      <c r="I10173" t="s">
        <v>14</v>
      </c>
      <c r="J10173" t="s">
        <v>141</v>
      </c>
      <c r="K10173" t="s">
        <v>14</v>
      </c>
      <c r="L10173" t="s">
        <v>20</v>
      </c>
      <c r="M10173" t="s">
        <v>19708</v>
      </c>
      <c r="N10173" t="s">
        <v>14</v>
      </c>
    </row>
    <row r="10174" x14ac:dyDescent="0.25">
      <c r="A10174" t="n">
        <v>24</v>
      </c>
      <c r="B10174" t="s">
        <v>14</v>
      </c>
      <c r="C10174" t="s">
        <v>22</v>
      </c>
      <c r="D10174" s="2" t="s">
        <f>=HYPERLINK("https://main.knesset.gov.il/APPS/legislation/main/bills/2158883", "הצעת חוק זכויות הדייר בדיור הציבורי (תיקון - זכאות לאימהות יחידניות המקבלות מזונות ילדים), התשפ""א-2021")</f>
        <v>19764</v>
      </c>
      <c r="E10174" t="s">
        <v>19764</v>
      </c>
      <c r="F10174" t="s">
        <v>19765</v>
      </c>
      <c r="G10174" t="s">
        <v>14</v>
      </c>
      <c r="H10174">
             </c>
      <c r="I10174" t="s">
        <v>14</v>
      </c>
      <c r="J10174" t="s">
        <v>141</v>
      </c>
      <c r="K10174" t="s">
        <v>14</v>
      </c>
      <c r="L10174" t="s">
        <v>20</v>
      </c>
      <c r="M10174" t="s">
        <v>19708</v>
      </c>
      <c r="N10174" t="s">
        <v>14</v>
      </c>
    </row>
    <row r="10175" x14ac:dyDescent="0.25">
      <c r="A10175" t="n">
        <v>24</v>
      </c>
      <c r="B10175" t="s">
        <v>14</v>
      </c>
      <c r="C10175" t="s">
        <v>22</v>
      </c>
      <c r="D10175" s="2" t="s">
        <f>=HYPERLINK("https://main.knesset.gov.il/APPS/legislation/main/bills/2158732", "הצעת חוק מס ערך מוסף (תיקון - מס בשיעור אפס על מוצרי מזון בסיסיים), התשפ""א-2021")</f>
        <v>19766</v>
      </c>
      <c r="E10175" t="s">
        <v>19766</v>
      </c>
      <c r="F10175" t="s">
        <v>19767</v>
      </c>
      <c r="G10175" t="s">
        <v>14</v>
      </c>
      <c r="H10175">
             </c>
      <c r="I10175" t="s">
        <v>14</v>
      </c>
      <c r="J10175" t="s">
        <v>141</v>
      </c>
      <c r="K10175" t="s">
        <v>14</v>
      </c>
      <c r="L10175" t="s">
        <v>20</v>
      </c>
      <c r="M10175" t="s">
        <v>19708</v>
      </c>
      <c r="N10175" t="s">
        <v>14</v>
      </c>
    </row>
    <row r="10176" x14ac:dyDescent="0.25">
      <c r="A10176" t="n">
        <v>24</v>
      </c>
      <c r="B10176" t="s">
        <v>14</v>
      </c>
      <c r="C10176" t="s">
        <v>22</v>
      </c>
      <c r="D10176" s="2" t="s">
        <f>=HYPERLINK("https://main.knesset.gov.il/APPS/legislation/main/bills/2159499", "הצעת חוק הרשויות המקומיות (בחירת ראש הרשות וסגניו וכהונתם) (תיקון - מינוי סגן ראש רשות בשכר), התשפ""א-2021 ")</f>
        <v>19768</v>
      </c>
      <c r="E10176" t="s">
        <v>19768</v>
      </c>
      <c r="F10176" t="s">
        <v>19769</v>
      </c>
      <c r="G10176" t="s">
        <v>14</v>
      </c>
      <c r="H10176">
             </c>
      <c r="I10176" t="s">
        <v>14</v>
      </c>
      <c r="J10176" t="s">
        <v>141</v>
      </c>
      <c r="K10176" t="s">
        <v>14</v>
      </c>
      <c r="L10176" t="s">
        <v>20</v>
      </c>
      <c r="M10176" t="s">
        <v>19708</v>
      </c>
      <c r="N10176" t="s">
        <v>14</v>
      </c>
    </row>
    <row r="10177" x14ac:dyDescent="0.25">
      <c r="A10177" t="n">
        <v>24</v>
      </c>
      <c r="B10177" t="s">
        <v>14</v>
      </c>
      <c r="C10177" t="s">
        <v>22</v>
      </c>
      <c r="D10177" s="2" t="s">
        <f>=HYPERLINK("https://main.knesset.gov.il/APPS/legislation/main/bills/2159348", "הצעת חוק הפיקוח על מעונות יום לפעוטות (תיקון - העברת האחריות למשרד החינוך), התשפ""א-2021")</f>
        <v>19770</v>
      </c>
      <c r="E10177" t="s">
        <v>19770</v>
      </c>
      <c r="F10177" t="s">
        <v>19771</v>
      </c>
      <c r="G10177" t="s">
        <v>14</v>
      </c>
      <c r="H10177">
             </c>
      <c r="I10177" t="s">
        <v>14</v>
      </c>
      <c r="J10177" t="s">
        <v>141</v>
      </c>
      <c r="K10177" t="s">
        <v>14</v>
      </c>
      <c r="L10177" t="s">
        <v>20</v>
      </c>
      <c r="M10177" t="s">
        <v>19708</v>
      </c>
      <c r="N10177" t="s">
        <v>14</v>
      </c>
    </row>
    <row r="10178" x14ac:dyDescent="0.25">
      <c r="A10178" t="n">
        <v>24</v>
      </c>
      <c r="B10178" t="s">
        <v>14</v>
      </c>
      <c r="C10178" t="s">
        <v>22</v>
      </c>
      <c r="D10178" s="2" t="s">
        <f>=HYPERLINK("https://main.knesset.gov.il/APPS/legislation/main/bills/2158668", "הצעת חוק הביטוח הלאומי (תיקון - הגדלת קצבת הנכות), התשפ""א-2021")</f>
        <v>19772</v>
      </c>
      <c r="E10178" t="s">
        <v>19772</v>
      </c>
      <c r="F10178" t="s">
        <v>19773</v>
      </c>
      <c r="G10178" t="s">
        <v>14</v>
      </c>
      <c r="H10178">
             </c>
      <c r="I10178" t="s">
        <v>14</v>
      </c>
      <c r="J10178" t="s">
        <v>141</v>
      </c>
      <c r="K10178" t="s">
        <v>14</v>
      </c>
      <c r="L10178" t="s">
        <v>20</v>
      </c>
      <c r="M10178" t="s">
        <v>19708</v>
      </c>
      <c r="N10178" t="s">
        <v>14</v>
      </c>
    </row>
    <row r="10179" x14ac:dyDescent="0.25">
      <c r="A10179" t="n">
        <v>24</v>
      </c>
      <c r="B10179" t="s">
        <v>14</v>
      </c>
      <c r="C10179" t="s">
        <v>22</v>
      </c>
      <c r="D10179" s="2" t="s">
        <f>=HYPERLINK("https://main.knesset.gov.il/APPS/legislation/main/bills/2159347", "הצעת חוק הסדרת הטיפול בחולי נפש (תיקוני חקיקה), התשפ""א-2021")</f>
        <v>19774</v>
      </c>
      <c r="E10179" t="s">
        <v>19774</v>
      </c>
      <c r="F10179" t="s">
        <v>19775</v>
      </c>
      <c r="G10179" t="s">
        <v>14</v>
      </c>
      <c r="H10179">
             </c>
      <c r="I10179" t="s">
        <v>14</v>
      </c>
      <c r="J10179" t="s">
        <v>141</v>
      </c>
      <c r="K10179" t="s">
        <v>14</v>
      </c>
      <c r="L10179" t="s">
        <v>20</v>
      </c>
      <c r="M10179" t="s">
        <v>19708</v>
      </c>
      <c r="N10179" t="s">
        <v>14</v>
      </c>
    </row>
    <row r="10180" x14ac:dyDescent="0.25">
      <c r="A10180" t="n">
        <v>24</v>
      </c>
      <c r="B10180" t="s">
        <v>14</v>
      </c>
      <c r="C10180" t="s">
        <v>22</v>
      </c>
      <c r="D10180" s="2" t="s">
        <f>=HYPERLINK("https://main.knesset.gov.il/APPS/legislation/main/bills/2159357", "הצעת חוק רשות מקרקעי ישראל (תיקון - הקצאת קרקעות בנגב ובגליל לחיילים משוחררים ומשרתי שירות לאומי-אזרחי), התשפ""א-2021")</f>
        <v>19776</v>
      </c>
      <c r="E10180" t="s">
        <v>19776</v>
      </c>
      <c r="F10180" t="s">
        <v>19777</v>
      </c>
      <c r="G10180" t="s">
        <v>14</v>
      </c>
      <c r="H10180">
             </c>
      <c r="I10180" t="s">
        <v>14</v>
      </c>
      <c r="J10180" t="s">
        <v>343</v>
      </c>
      <c r="K10180" t="s">
        <v>14</v>
      </c>
      <c r="L10180" t="s">
        <v>20</v>
      </c>
      <c r="M10180" t="s">
        <v>19708</v>
      </c>
      <c r="N10180" t="s">
        <v>14</v>
      </c>
    </row>
    <row r="10181" x14ac:dyDescent="0.25">
      <c r="A10181" t="n">
        <v>24</v>
      </c>
      <c r="B10181" t="s">
        <v>14</v>
      </c>
      <c r="C10181" t="s">
        <v>22</v>
      </c>
      <c r="D10181" s="2" t="s">
        <f>=HYPERLINK("https://main.knesset.gov.il/APPS/legislation/main/bills/2158665", "הצעת חוק האזרחות והכניסה לישראל (הוראת שעה) (תיקון - ביטול החוק), התשפ""א-2021")</f>
        <v>19778</v>
      </c>
      <c r="E10181" t="s">
        <v>19778</v>
      </c>
      <c r="F10181" t="s">
        <v>19779</v>
      </c>
      <c r="G10181" t="s">
        <v>14</v>
      </c>
      <c r="H10181">
             </c>
      <c r="I10181" t="s">
        <v>14</v>
      </c>
      <c r="J10181" t="s">
        <v>141</v>
      </c>
      <c r="K10181" t="s">
        <v>14</v>
      </c>
      <c r="L10181" t="s">
        <v>20</v>
      </c>
      <c r="M10181" t="s">
        <v>19708</v>
      </c>
      <c r="N10181" t="s">
        <v>14</v>
      </c>
    </row>
    <row r="10182" x14ac:dyDescent="0.25">
      <c r="A10182" t="n">
        <v>24</v>
      </c>
      <c r="B10182" t="s">
        <v>14</v>
      </c>
      <c r="C10182" t="s">
        <v>22</v>
      </c>
      <c r="D10182" s="2" t="s">
        <f>=HYPERLINK("https://main.knesset.gov.il/APPS/legislation/main/bills/2159544", "הצעת חוק-יסוד: הממשלה (תיקון - הגבלת מועמד המצוי בחקירה מהרכבת הממשלה)")</f>
        <v>2524</v>
      </c>
      <c r="E10182" t="s">
        <v>2524</v>
      </c>
      <c r="F10182" t="s">
        <v>19780</v>
      </c>
      <c r="G10182" t="s">
        <v>14</v>
      </c>
      <c r="H10182">
             </c>
      <c r="I10182" t="s">
        <v>14</v>
      </c>
      <c r="J10182" t="s">
        <v>141</v>
      </c>
      <c r="K10182" t="s">
        <v>14</v>
      </c>
      <c r="L10182" t="s">
        <v>20</v>
      </c>
      <c r="M10182" t="s">
        <v>19708</v>
      </c>
      <c r="N10182" t="s">
        <v>14</v>
      </c>
    </row>
    <row r="10183" x14ac:dyDescent="0.25">
      <c r="A10183" t="n">
        <v>24</v>
      </c>
      <c r="B10183" t="s">
        <v>14</v>
      </c>
      <c r="C10183" t="s">
        <v>22</v>
      </c>
      <c r="D10183" s="2" t="s">
        <f>=HYPERLINK("https://main.knesset.gov.il/APPS/legislation/main/bills/2159461", "הצעת חוק המרכז לגביית קנסות, אגרות והוצאות (תיקון - פיצויים שהוטלו על ידי בית משפט צבאי), התשפ""א-2021")</f>
        <v>19781</v>
      </c>
      <c r="E10183" t="s">
        <v>19781</v>
      </c>
      <c r="F10183" t="s">
        <v>19782</v>
      </c>
      <c r="G10183" t="s">
        <v>14</v>
      </c>
      <c r="H10183">
             </c>
      <c r="I10183" t="s">
        <v>14</v>
      </c>
      <c r="J10183" t="s">
        <v>141</v>
      </c>
      <c r="K10183" t="s">
        <v>14</v>
      </c>
      <c r="L10183" t="s">
        <v>20</v>
      </c>
      <c r="M10183" t="s">
        <v>19708</v>
      </c>
      <c r="N10183" t="s">
        <v>14</v>
      </c>
    </row>
    <row r="10184" x14ac:dyDescent="0.25">
      <c r="A10184" t="n">
        <v>24</v>
      </c>
      <c r="B10184" t="s">
        <v>14</v>
      </c>
      <c r="C10184" t="s">
        <v>22</v>
      </c>
      <c r="D10184" s="2" t="s">
        <f>=HYPERLINK("https://main.knesset.gov.il/APPS/legislation/main/bills/2158472", "הצעת חוק-יסוד: הכנסת (תיקון - מניעת בחירת מועמד שהורשע ברצח או ניסיון רצח כחלק ממעשה טרור)")</f>
        <v>9571</v>
      </c>
      <c r="E10184" t="s">
        <v>9571</v>
      </c>
      <c r="F10184" t="s">
        <v>19783</v>
      </c>
      <c r="G10184" t="s">
        <v>14</v>
      </c>
      <c r="H10184">
             </c>
      <c r="I10184" t="s">
        <v>14</v>
      </c>
      <c r="J10184" t="s">
        <v>141</v>
      </c>
      <c r="K10184" t="s">
        <v>14</v>
      </c>
      <c r="L10184" t="s">
        <v>20</v>
      </c>
      <c r="M10184" t="s">
        <v>19708</v>
      </c>
      <c r="N10184" t="s">
        <v>14</v>
      </c>
    </row>
    <row r="10185" x14ac:dyDescent="0.25">
      <c r="A10185" t="n">
        <v>24</v>
      </c>
      <c r="B10185" t="s">
        <v>14</v>
      </c>
      <c r="C10185" t="s">
        <v>22</v>
      </c>
      <c r="D10185" s="2" t="s">
        <f>=HYPERLINK("https://main.knesset.gov.il/APPS/legislation/main/bills/2159453", "הצעת חוק ההוצאה לפועל (תיקון - החרגת עיקול ביטוח רפואי בידי צד שלישי), התשפ""א-2021")</f>
        <v>19784</v>
      </c>
      <c r="E10185" t="s">
        <v>19784</v>
      </c>
      <c r="F10185" t="s">
        <v>19785</v>
      </c>
      <c r="G10185" t="s">
        <v>14</v>
      </c>
      <c r="H10185">
             </c>
      <c r="I10185" t="s">
        <v>14</v>
      </c>
      <c r="J10185" t="s">
        <v>141</v>
      </c>
      <c r="K10185" t="s">
        <v>14</v>
      </c>
      <c r="L10185" t="s">
        <v>20</v>
      </c>
      <c r="M10185" t="s">
        <v>19708</v>
      </c>
      <c r="N10185" t="s">
        <v>14</v>
      </c>
    </row>
    <row r="10186" x14ac:dyDescent="0.25">
      <c r="A10186" t="n">
        <v>24</v>
      </c>
      <c r="B10186" t="s">
        <v>14</v>
      </c>
      <c r="C10186" t="s">
        <v>22</v>
      </c>
      <c r="D10186" s="2" t="s">
        <f>=HYPERLINK("https://main.knesset.gov.il/APPS/legislation/main/bills/2159211", "הצעת חוק ההוצאה לפועל (תיקון - הגבלת עיקול מיטלטליו של קשיש), התשפ""א-2021")</f>
        <v>19223</v>
      </c>
      <c r="E10186" t="s">
        <v>19223</v>
      </c>
      <c r="F10186" t="s">
        <v>19786</v>
      </c>
      <c r="G10186" t="s">
        <v>14</v>
      </c>
      <c r="H10186">
             </c>
      <c r="I10186" t="s">
        <v>14</v>
      </c>
      <c r="J10186" t="s">
        <v>141</v>
      </c>
      <c r="K10186" t="s">
        <v>14</v>
      </c>
      <c r="L10186" t="s">
        <v>20</v>
      </c>
      <c r="M10186" t="s">
        <v>19708</v>
      </c>
      <c r="N10186" t="s">
        <v>14</v>
      </c>
    </row>
    <row r="10187" x14ac:dyDescent="0.25">
      <c r="A10187" t="n">
        <v>24</v>
      </c>
      <c r="B10187" t="s">
        <v>14</v>
      </c>
      <c r="C10187" t="s">
        <v>22</v>
      </c>
      <c r="D10187" s="2" t="s">
        <f>=HYPERLINK("https://main.knesset.gov.il/APPS/legislation/main/bills/2159545", "הצעת חוק-יסוד: נשיא המדינה (תיקון - כשירות מועמדים לכהונה כנשיא המדינה)")</f>
        <v>2549</v>
      </c>
      <c r="E10187" t="s">
        <v>2549</v>
      </c>
      <c r="F10187" t="s">
        <v>19787</v>
      </c>
      <c r="G10187" t="s">
        <v>14</v>
      </c>
      <c r="H10187">
             </c>
      <c r="I10187" t="s">
        <v>14</v>
      </c>
      <c r="J10187" t="s">
        <v>141</v>
      </c>
      <c r="K10187" t="s">
        <v>14</v>
      </c>
      <c r="L10187" t="s">
        <v>20</v>
      </c>
      <c r="M10187" t="s">
        <v>19708</v>
      </c>
      <c r="N10187" t="s">
        <v>14</v>
      </c>
    </row>
    <row r="10188" x14ac:dyDescent="0.25">
      <c r="A10188" t="n">
        <v>24</v>
      </c>
      <c r="B10188" t="s">
        <v>14</v>
      </c>
      <c r="C10188" t="s">
        <v>22</v>
      </c>
      <c r="D10188" s="2" t="s">
        <f>=HYPERLINK("https://main.knesset.gov.il/APPS/legislation/main/bills/2158887", "הצעת חוק הרשויות המקומיות (ייעוד כספי הקצבות למטרות שירותי סידור חוץ-ביתי הולם לילדים), התשפ""א-2021")</f>
        <v>19788</v>
      </c>
      <c r="E10188" t="s">
        <v>19788</v>
      </c>
      <c r="F10188" t="s">
        <v>19789</v>
      </c>
      <c r="G10188" t="s">
        <v>14</v>
      </c>
      <c r="H10188">
             </c>
      <c r="I10188" t="s">
        <v>14</v>
      </c>
      <c r="J10188" t="s">
        <v>141</v>
      </c>
      <c r="K10188" t="s">
        <v>14</v>
      </c>
      <c r="L10188" t="s">
        <v>20</v>
      </c>
      <c r="M10188" t="s">
        <v>19708</v>
      </c>
      <c r="N10188" t="s">
        <v>14</v>
      </c>
    </row>
    <row r="10189" x14ac:dyDescent="0.25">
      <c r="A10189" t="n">
        <v>24</v>
      </c>
      <c r="B10189" t="s">
        <v>14</v>
      </c>
      <c r="C10189" t="s">
        <v>22</v>
      </c>
      <c r="D10189" s="2" t="s">
        <f>=HYPERLINK("https://main.knesset.gov.il/APPS/legislation/main/bills/2159061", "הצעת חוק הביטוח הלאומי (תיקון - תקופת אכשרה לעובדים בעבודה מחזורית), התשפ""א-2021")</f>
        <v>19790</v>
      </c>
      <c r="E10189" t="s">
        <v>19790</v>
      </c>
      <c r="F10189" t="s">
        <v>19791</v>
      </c>
      <c r="G10189" t="s">
        <v>14</v>
      </c>
      <c r="H10189">
             </c>
      <c r="I10189" t="s">
        <v>14</v>
      </c>
      <c r="J10189" t="s">
        <v>141</v>
      </c>
      <c r="K10189" t="s">
        <v>14</v>
      </c>
      <c r="L10189" t="s">
        <v>20</v>
      </c>
      <c r="M10189" t="s">
        <v>19708</v>
      </c>
      <c r="N10189" t="s">
        <v>14</v>
      </c>
    </row>
    <row r="10190" x14ac:dyDescent="0.25">
      <c r="A10190" t="n">
        <v>24</v>
      </c>
      <c r="B10190" t="s">
        <v>14</v>
      </c>
      <c r="C10190" t="s">
        <v>22</v>
      </c>
      <c r="D10190" s="2" t="s">
        <f>=HYPERLINK("https://main.knesset.gov.il/APPS/legislation/main/bills/2159077", "הצעת חוק אבחון פסיכו-דידקטי לילדים נזקקים, התשפ""א-2021")</f>
        <v>19792</v>
      </c>
      <c r="E10190" t="s">
        <v>19792</v>
      </c>
      <c r="F10190" t="s">
        <v>19793</v>
      </c>
      <c r="G10190" t="s">
        <v>14</v>
      </c>
      <c r="H10190">
             </c>
      <c r="I10190" t="s">
        <v>14</v>
      </c>
      <c r="J10190" t="s">
        <v>141</v>
      </c>
      <c r="K10190" t="s">
        <v>14</v>
      </c>
      <c r="L10190" t="s">
        <v>20</v>
      </c>
      <c r="M10190" t="s">
        <v>19708</v>
      </c>
      <c r="N10190" t="s">
        <v>14</v>
      </c>
    </row>
    <row r="10191" x14ac:dyDescent="0.25">
      <c r="A10191" t="n">
        <v>24</v>
      </c>
      <c r="B10191" t="s">
        <v>14</v>
      </c>
      <c r="C10191" t="s">
        <v>22</v>
      </c>
      <c r="D10191" s="2" t="s">
        <f>=HYPERLINK("https://main.knesset.gov.il/APPS/legislation/main/bills/2159096", "הצעת חוק ביטוח בריאות ממלכתי (תיקון - החזר דמי נסיעה באמבולנס עבור מטופל בתחום בריאות הנפש), התשפ""א-2021")</f>
        <v>19794</v>
      </c>
      <c r="E10191" t="s">
        <v>19794</v>
      </c>
      <c r="F10191" t="s">
        <v>19795</v>
      </c>
      <c r="G10191" t="s">
        <v>14</v>
      </c>
      <c r="H10191">
             </c>
      <c r="I10191" t="s">
        <v>14</v>
      </c>
      <c r="J10191" t="s">
        <v>141</v>
      </c>
      <c r="K10191" t="s">
        <v>14</v>
      </c>
      <c r="L10191" t="s">
        <v>20</v>
      </c>
      <c r="M10191" t="s">
        <v>19708</v>
      </c>
      <c r="N10191" t="s">
        <v>14</v>
      </c>
    </row>
    <row r="10192" x14ac:dyDescent="0.25">
      <c r="A10192" t="n">
        <v>24</v>
      </c>
      <c r="B10192" t="s">
        <v>14</v>
      </c>
      <c r="C10192" t="s">
        <v>22</v>
      </c>
      <c r="D10192" s="2" t="s">
        <f>=HYPERLINK("https://main.knesset.gov.il/APPS/legislation/main/bills/2156455", "הצעת חוק אימוץ ילדים (תיקון - כשירות לאמץ והתאמת מאמצים לילד), התשפ""א-2021")</f>
        <v>19796</v>
      </c>
      <c r="E10192" t="s">
        <v>19796</v>
      </c>
      <c r="F10192" t="s">
        <v>19797</v>
      </c>
      <c r="G10192" t="s">
        <v>14</v>
      </c>
      <c r="H10192">
             </c>
      <c r="I10192" t="s">
        <v>14</v>
      </c>
      <c r="J10192" t="s">
        <v>141</v>
      </c>
      <c r="K10192" t="s">
        <v>14</v>
      </c>
      <c r="L10192" t="s">
        <v>20</v>
      </c>
      <c r="M10192" t="s">
        <v>19708</v>
      </c>
      <c r="N10192" t="s">
        <v>14</v>
      </c>
    </row>
    <row r="10193" x14ac:dyDescent="0.25">
      <c r="A10193" t="n">
        <v>24</v>
      </c>
      <c r="B10193" t="s">
        <v>14</v>
      </c>
      <c r="C10193" t="s">
        <v>22</v>
      </c>
      <c r="D10193" s="2" t="s">
        <f>=HYPERLINK("https://main.knesset.gov.il/APPS/legislation/main/bills/2159550", "הצעת חוק הבחירות לכנסת (תיקון - הצבעת אזרחים מחוץ לישראל), התשפ""א-2021")</f>
        <v>19798</v>
      </c>
      <c r="E10193" t="s">
        <v>19798</v>
      </c>
      <c r="F10193" t="s">
        <v>19799</v>
      </c>
      <c r="G10193" t="s">
        <v>14</v>
      </c>
      <c r="H10193">
             </c>
      <c r="I10193" t="s">
        <v>14</v>
      </c>
      <c r="J10193" t="s">
        <v>141</v>
      </c>
      <c r="K10193" t="s">
        <v>14</v>
      </c>
      <c r="L10193" t="s">
        <v>20</v>
      </c>
      <c r="M10193" t="s">
        <v>19708</v>
      </c>
      <c r="N10193" t="s">
        <v>14</v>
      </c>
    </row>
    <row r="10194" x14ac:dyDescent="0.25">
      <c r="A10194" t="n">
        <v>24</v>
      </c>
      <c r="B10194" t="s">
        <v>14</v>
      </c>
      <c r="C10194" t="s">
        <v>22</v>
      </c>
      <c r="D10194" s="2" t="s">
        <f>=HYPERLINK("https://main.knesset.gov.il/APPS/legislation/main/bills/2159549", "הצעת חוק-יסוד: משאל עם (תיקון - יישובים באזור יהודה ושומרון)")</f>
        <v>19800</v>
      </c>
      <c r="E10194" t="s">
        <v>19800</v>
      </c>
      <c r="F10194" t="s">
        <v>19801</v>
      </c>
      <c r="G10194" t="s">
        <v>14</v>
      </c>
      <c r="H10194">
             </c>
      <c r="I10194" t="s">
        <v>14</v>
      </c>
      <c r="J10194" t="s">
        <v>141</v>
      </c>
      <c r="K10194" t="s">
        <v>14</v>
      </c>
      <c r="L10194" t="s">
        <v>20</v>
      </c>
      <c r="M10194" t="s">
        <v>19708</v>
      </c>
      <c r="N10194" t="s">
        <v>14</v>
      </c>
    </row>
    <row r="10195" x14ac:dyDescent="0.25">
      <c r="A10195" t="n">
        <v>24</v>
      </c>
      <c r="B10195" t="s">
        <v>14</v>
      </c>
      <c r="C10195" t="s">
        <v>22</v>
      </c>
      <c r="D10195" s="2" t="s">
        <f>=HYPERLINK("https://main.knesset.gov.il/APPS/legislation/main/bills/2159119", "הצעת חוק המועצה להשכלה גבוהה (תיקון - איסור פעילות פוגענית), התשפ""א-2021")</f>
        <v>19802</v>
      </c>
      <c r="E10195" t="s">
        <v>19802</v>
      </c>
      <c r="F10195" t="s">
        <v>19803</v>
      </c>
      <c r="G10195" t="s">
        <v>14</v>
      </c>
      <c r="H10195">
             </c>
      <c r="I10195" t="s">
        <v>14</v>
      </c>
      <c r="J10195" t="s">
        <v>141</v>
      </c>
      <c r="K10195" t="s">
        <v>14</v>
      </c>
      <c r="L10195" t="s">
        <v>20</v>
      </c>
      <c r="M10195" t="s">
        <v>19708</v>
      </c>
      <c r="N10195" t="s">
        <v>14</v>
      </c>
    </row>
    <row r="10196" x14ac:dyDescent="0.25">
      <c r="A10196" t="n">
        <v>24</v>
      </c>
      <c r="B10196" t="s">
        <v>14</v>
      </c>
      <c r="C10196" t="s">
        <v>22</v>
      </c>
      <c r="D10196" s="2" t="s">
        <f>=HYPERLINK("https://main.knesset.gov.il/APPS/legislation/main/bills/2159054", "הצעת חוק ההגנה על חוסים (תיקון - מחיקת זיקנה מההגדרה), התשפ""א-2021")</f>
        <v>19804</v>
      </c>
      <c r="E10196" t="s">
        <v>19804</v>
      </c>
      <c r="F10196" t="s">
        <v>19805</v>
      </c>
      <c r="G10196" t="s">
        <v>14</v>
      </c>
      <c r="H10196">
             </c>
      <c r="I10196" t="s">
        <v>14</v>
      </c>
      <c r="J10196" t="s">
        <v>141</v>
      </c>
      <c r="K10196" t="s">
        <v>14</v>
      </c>
      <c r="L10196" t="s">
        <v>20</v>
      </c>
      <c r="M10196" t="s">
        <v>19708</v>
      </c>
      <c r="N10196" t="s">
        <v>14</v>
      </c>
    </row>
    <row r="10197" x14ac:dyDescent="0.25">
      <c r="A10197" t="n">
        <v>24</v>
      </c>
      <c r="B10197" t="s">
        <v>14</v>
      </c>
      <c r="C10197" t="s">
        <v>15</v>
      </c>
      <c r="D10197" s="2" t="s">
        <f>=HYPERLINK("https://main.knesset.gov.il/APPS/legislation/main/bills/2159953", "הצעת חוק-יסוד: הממשלה (תיקון מס' 11) (שר נוסף במשרד)")</f>
        <v>19806</v>
      </c>
      <c r="E10197" t="s">
        <v>19806</v>
      </c>
      <c r="F10197" t="s">
        <v>14</v>
      </c>
      <c r="G10197" t="s">
        <v>19807</v>
      </c>
      <c r="H10197">
             </c>
      <c r="I10197" t="s">
        <v>14</v>
      </c>
      <c r="J10197" t="s">
        <v>1141</v>
      </c>
      <c r="K10197" t="s">
        <v>14</v>
      </c>
      <c r="L10197" t="s">
        <v>20</v>
      </c>
      <c r="M10197" t="s">
        <v>19708</v>
      </c>
      <c r="N10197" t="s">
        <v>14</v>
      </c>
    </row>
    <row r="10198" x14ac:dyDescent="0.25">
      <c r="A10198" t="n">
        <v>24</v>
      </c>
      <c r="B10198" t="s">
        <v>14</v>
      </c>
      <c r="C10198" t="s">
        <v>15</v>
      </c>
      <c r="D10198" s="2" t="s">
        <f>=HYPERLINK("https://main.knesset.gov.il/APPS/legislation/main/bills/2159447", "חוק סמכויות מיוחדות להתמודדות עם נגיף הקורונה החדש (הוראת שעה) (תיקון מס' 8), התשפ""א-2021 ")</f>
        <v>19808</v>
      </c>
      <c r="E10198" t="s">
        <v>19808</v>
      </c>
      <c r="F10198" t="s">
        <v>14</v>
      </c>
      <c r="G10198" t="s">
        <v>19809</v>
      </c>
      <c r="H10198" t="n">
        <v>2911</v>
      </c>
      <c r="I10198" t="s">
        <v>14</v>
      </c>
      <c r="J10198" t="s">
        <v>91</v>
      </c>
      <c r="K10198" t="s">
        <v>27</v>
      </c>
      <c r="L10198" t="s">
        <v>20</v>
      </c>
      <c r="M10198" t="s">
        <v>19810</v>
      </c>
      <c r="N10198" t="s">
        <v>19811</v>
      </c>
    </row>
    <row r="10199" x14ac:dyDescent="0.25">
      <c r="A10199" t="n">
        <v>24</v>
      </c>
      <c r="B10199" t="s">
        <v>14</v>
      </c>
      <c r="C10199" t="s">
        <v>15</v>
      </c>
      <c r="D10199" s="2" t="s">
        <f>=HYPERLINK("https://main.knesset.gov.il/APPS/legislation/main/bills/2159670", "חוק הביטוח הלאומי (תיקון מס' 225 והוראת שעה), התשפ""א-2021")</f>
        <v>19812</v>
      </c>
      <c r="E10199" t="s">
        <v>19812</v>
      </c>
      <c r="F10199" t="s">
        <v>14</v>
      </c>
      <c r="G10199" t="s">
        <v>19813</v>
      </c>
      <c r="H10199" t="n">
        <v>2910</v>
      </c>
      <c r="I10199" t="s">
        <v>14</v>
      </c>
      <c r="J10199" t="s">
        <v>91</v>
      </c>
      <c r="K10199" t="s">
        <v>85</v>
      </c>
      <c r="L10199" t="s">
        <v>20</v>
      </c>
      <c r="M10199" t="s">
        <v>19810</v>
      </c>
      <c r="N10199" t="s">
        <v>19814</v>
      </c>
    </row>
    <row r="10200" x14ac:dyDescent="0.25">
      <c r="A10200" t="n">
        <v>24</v>
      </c>
      <c r="B10200" t="s">
        <v>14</v>
      </c>
      <c r="C10200" t="s">
        <v>15</v>
      </c>
      <c r="D10200" s="2" t="s">
        <f>=HYPERLINK("https://main.knesset.gov.il/APPS/legislation/main/bills/2159448", "חוק חומרי נפץ (תיקון מס' 4 – הוראת שעה) (תיקון מס' 2), התשפ""א-2021 ")</f>
        <v>19815</v>
      </c>
      <c r="E10200" t="s">
        <v>19815</v>
      </c>
      <c r="F10200" t="s">
        <v>14</v>
      </c>
      <c r="G10200" t="s">
        <v>19816</v>
      </c>
      <c r="H10200" t="n">
        <v>2909</v>
      </c>
      <c r="I10200" t="s">
        <v>14</v>
      </c>
      <c r="J10200" t="s">
        <v>91</v>
      </c>
      <c r="K10200" t="s">
        <v>114</v>
      </c>
      <c r="L10200" t="s">
        <v>20</v>
      </c>
      <c r="M10200" t="s">
        <v>19817</v>
      </c>
      <c r="N10200" t="s">
        <v>19818</v>
      </c>
    </row>
    <row r="10201" x14ac:dyDescent="0.25">
      <c r="A10201" t="n">
        <v>24</v>
      </c>
      <c r="B10201" t="s">
        <v>14</v>
      </c>
      <c r="C10201" t="s">
        <v>22</v>
      </c>
      <c r="D10201" s="2" t="s">
        <f>=HYPERLINK("https://main.knesset.gov.il/APPS/legislation/main/bills/2158764", "הצעת חוק העונשין (תיקון - עונש מינימום על החזקת נשק בלתי חוקי), התשפ""א-2021")</f>
        <v>19540</v>
      </c>
      <c r="E10201" t="s">
        <v>19540</v>
      </c>
      <c r="F10201" t="s">
        <v>19819</v>
      </c>
      <c r="G10201" t="s">
        <v>14</v>
      </c>
      <c r="H10201">
             </c>
      <c r="I10201" t="s">
        <v>14</v>
      </c>
      <c r="J10201" t="s">
        <v>141</v>
      </c>
      <c r="K10201" t="s">
        <v>14</v>
      </c>
      <c r="L10201" t="s">
        <v>20</v>
      </c>
      <c r="M10201" t="s">
        <v>19820</v>
      </c>
      <c r="N10201" t="s">
        <v>14</v>
      </c>
    </row>
    <row r="10202" x14ac:dyDescent="0.25">
      <c r="A10202" t="n">
        <v>24</v>
      </c>
      <c r="B10202" t="s">
        <v>14</v>
      </c>
      <c r="C10202" t="s">
        <v>22</v>
      </c>
      <c r="D10202" s="2" t="s">
        <f>=HYPERLINK("https://main.knesset.gov.il/APPS/legislation/main/bills/2159327", "הצעת חוק החברות הממשלתיות (תיקון - ביטול מעורבות רשות החברות הממשלתיות במינוי דירקטורים), התשפ""א-2021")</f>
        <v>19821</v>
      </c>
      <c r="E10202" t="s">
        <v>19821</v>
      </c>
      <c r="F10202" t="s">
        <v>19822</v>
      </c>
      <c r="G10202" t="s">
        <v>14</v>
      </c>
      <c r="H10202">
             </c>
      <c r="I10202" t="s">
        <v>14</v>
      </c>
      <c r="J10202" t="s">
        <v>141</v>
      </c>
      <c r="K10202" t="s">
        <v>14</v>
      </c>
      <c r="L10202" t="s">
        <v>20</v>
      </c>
      <c r="M10202" t="s">
        <v>19820</v>
      </c>
      <c r="N10202" t="s">
        <v>14</v>
      </c>
    </row>
    <row r="10203" x14ac:dyDescent="0.25">
      <c r="A10203" t="n">
        <v>24</v>
      </c>
      <c r="B10203" t="s">
        <v>14</v>
      </c>
      <c r="C10203" t="s">
        <v>22</v>
      </c>
      <c r="D10203" s="2" t="s">
        <f>=HYPERLINK("https://main.knesset.gov.il/APPS/legislation/main/bills/2158731", "הצעת חוק-יסוד: הממשלה (תיקון - דיון בהשתתפות ראש הממשלה החלופי)")</f>
        <v>19823</v>
      </c>
      <c r="E10203" t="s">
        <v>19823</v>
      </c>
      <c r="F10203" t="s">
        <v>19824</v>
      </c>
      <c r="G10203" t="s">
        <v>14</v>
      </c>
      <c r="H10203">
             </c>
      <c r="I10203" t="s">
        <v>14</v>
      </c>
      <c r="J10203" t="s">
        <v>141</v>
      </c>
      <c r="K10203" t="s">
        <v>14</v>
      </c>
      <c r="L10203" t="s">
        <v>20</v>
      </c>
      <c r="M10203" t="s">
        <v>19820</v>
      </c>
      <c r="N10203" t="s">
        <v>14</v>
      </c>
    </row>
    <row r="10204" x14ac:dyDescent="0.25">
      <c r="A10204" t="n">
        <v>24</v>
      </c>
      <c r="B10204" t="s">
        <v>14</v>
      </c>
      <c r="C10204" t="s">
        <v>22</v>
      </c>
      <c r="D10204" s="2" t="s">
        <f>=HYPERLINK("https://main.knesset.gov.il/APPS/legislation/main/bills/2158730", "הצעת חוק-יסוד: הממשלה (תיקון - דיון בהשתתפות ראש הממשלה)")</f>
        <v>19825</v>
      </c>
      <c r="E10204" t="s">
        <v>19825</v>
      </c>
      <c r="F10204" t="s">
        <v>19826</v>
      </c>
      <c r="G10204" t="s">
        <v>14</v>
      </c>
      <c r="H10204">
             </c>
      <c r="I10204" t="s">
        <v>14</v>
      </c>
      <c r="J10204" t="s">
        <v>141</v>
      </c>
      <c r="K10204" t="s">
        <v>14</v>
      </c>
      <c r="L10204" t="s">
        <v>20</v>
      </c>
      <c r="M10204" t="s">
        <v>19820</v>
      </c>
      <c r="N10204" t="s">
        <v>14</v>
      </c>
    </row>
    <row r="10205" x14ac:dyDescent="0.25">
      <c r="A10205" t="n">
        <v>24</v>
      </c>
      <c r="B10205" t="s">
        <v>14</v>
      </c>
      <c r="C10205" t="s">
        <v>22</v>
      </c>
      <c r="D10205" s="2" t="s">
        <f>=HYPERLINK("https://main.knesset.gov.il/APPS/legislation/main/bills/2157680", "הצעת חוק הרבנות הראשית לישראל (תיקון - הרחבת האסיפה הבוחרת), התשפ""א-2021")</f>
        <v>19827</v>
      </c>
      <c r="E10205" t="s">
        <v>19827</v>
      </c>
      <c r="F10205" t="s">
        <v>19828</v>
      </c>
      <c r="G10205" t="s">
        <v>14</v>
      </c>
      <c r="H10205">
             </c>
      <c r="I10205" t="s">
        <v>14</v>
      </c>
      <c r="J10205" t="s">
        <v>141</v>
      </c>
      <c r="K10205" t="s">
        <v>14</v>
      </c>
      <c r="L10205" t="s">
        <v>20</v>
      </c>
      <c r="M10205" t="s">
        <v>19820</v>
      </c>
      <c r="N10205" t="s">
        <v>14</v>
      </c>
    </row>
    <row r="10206" x14ac:dyDescent="0.25">
      <c r="A10206" t="n">
        <v>24</v>
      </c>
      <c r="B10206" t="s">
        <v>14</v>
      </c>
      <c r="C10206" t="s">
        <v>22</v>
      </c>
      <c r="D10206" s="2" t="s">
        <f>=HYPERLINK("https://main.knesset.gov.il/APPS/legislation/main/bills/2159316", "הצעת חוק הממשלה (תיקון - ועדת שרים לענייני חקיקה), התשפ""א-2021")</f>
        <v>19829</v>
      </c>
      <c r="E10206" t="s">
        <v>19829</v>
      </c>
      <c r="F10206" t="s">
        <v>19830</v>
      </c>
      <c r="G10206" t="s">
        <v>14</v>
      </c>
      <c r="H10206">
             </c>
      <c r="I10206" t="s">
        <v>14</v>
      </c>
      <c r="J10206" t="s">
        <v>141</v>
      </c>
      <c r="K10206" t="s">
        <v>14</v>
      </c>
      <c r="L10206" t="s">
        <v>20</v>
      </c>
      <c r="M10206" t="s">
        <v>19820</v>
      </c>
      <c r="N10206" t="s">
        <v>14</v>
      </c>
    </row>
    <row r="10207" x14ac:dyDescent="0.25">
      <c r="A10207" t="n">
        <v>24</v>
      </c>
      <c r="B10207" t="s">
        <v>14</v>
      </c>
      <c r="C10207" t="s">
        <v>22</v>
      </c>
      <c r="D10207" s="2" t="s">
        <f>=HYPERLINK("https://main.knesset.gov.il/APPS/legislation/main/bills/2159299", "הצעת חוק המשתתף החופשי, התשפ""א-2021")</f>
        <v>19667</v>
      </c>
      <c r="E10207" t="s">
        <v>19667</v>
      </c>
      <c r="F10207" t="s">
        <v>19831</v>
      </c>
      <c r="G10207" t="s">
        <v>14</v>
      </c>
      <c r="H10207">
             </c>
      <c r="I10207" t="s">
        <v>14</v>
      </c>
      <c r="J10207" t="s">
        <v>141</v>
      </c>
      <c r="K10207" t="s">
        <v>14</v>
      </c>
      <c r="L10207" t="s">
        <v>20</v>
      </c>
      <c r="M10207" t="s">
        <v>19820</v>
      </c>
      <c r="N10207" t="s">
        <v>14</v>
      </c>
    </row>
    <row r="10208" x14ac:dyDescent="0.25">
      <c r="A10208" t="n">
        <v>24</v>
      </c>
      <c r="B10208" t="s">
        <v>14</v>
      </c>
      <c r="C10208" t="s">
        <v>22</v>
      </c>
      <c r="D10208" s="2" t="s">
        <f>=HYPERLINK("https://main.knesset.gov.il/APPS/legislation/main/bills/2158376", "הצעת חוק השימוש בתאריך העברי (תיקון - ציון מניין השנים למדינת ישראל), התשפ""א-2021")</f>
        <v>19832</v>
      </c>
      <c r="E10208" t="s">
        <v>19832</v>
      </c>
      <c r="F10208" t="s">
        <v>19833</v>
      </c>
      <c r="G10208" t="s">
        <v>14</v>
      </c>
      <c r="H10208">
             </c>
      <c r="I10208" t="s">
        <v>14</v>
      </c>
      <c r="J10208" t="s">
        <v>141</v>
      </c>
      <c r="K10208" t="s">
        <v>14</v>
      </c>
      <c r="L10208" t="s">
        <v>20</v>
      </c>
      <c r="M10208" t="s">
        <v>19820</v>
      </c>
      <c r="N10208" t="s">
        <v>14</v>
      </c>
    </row>
    <row r="10209" x14ac:dyDescent="0.25">
      <c r="A10209" t="n">
        <v>24</v>
      </c>
      <c r="B10209" t="s">
        <v>14</v>
      </c>
      <c r="C10209" t="s">
        <v>22</v>
      </c>
      <c r="D10209" s="2" t="s">
        <f>=HYPERLINK("https://main.knesset.gov.il/APPS/legislation/main/bills/2159206", "הצעת חוק הממשלה (תיקון - חוות דעת של רשות ציבורית בענייני חקיקה), התשפ""א-2021")</f>
        <v>17683</v>
      </c>
      <c r="E10209" t="s">
        <v>17683</v>
      </c>
      <c r="F10209" t="s">
        <v>19834</v>
      </c>
      <c r="G10209" t="s">
        <v>14</v>
      </c>
      <c r="H10209">
             </c>
      <c r="I10209" t="s">
        <v>14</v>
      </c>
      <c r="J10209" t="s">
        <v>141</v>
      </c>
      <c r="K10209" t="s">
        <v>14</v>
      </c>
      <c r="L10209" t="s">
        <v>20</v>
      </c>
      <c r="M10209" t="s">
        <v>19820</v>
      </c>
      <c r="N10209" t="s">
        <v>14</v>
      </c>
    </row>
    <row r="10210" x14ac:dyDescent="0.25">
      <c r="A10210" t="n">
        <v>24</v>
      </c>
      <c r="B10210" t="s">
        <v>14</v>
      </c>
      <c r="C10210" t="s">
        <v>22</v>
      </c>
      <c r="D10210" s="2" t="s">
        <f>=HYPERLINK("https://main.knesset.gov.il/APPS/legislation/main/bills/2159293", "הצעת חוק אמנות ג'נבה, התשפ""א-2021")</f>
        <v>19835</v>
      </c>
      <c r="E10210" t="s">
        <v>19835</v>
      </c>
      <c r="F10210" t="s">
        <v>19836</v>
      </c>
      <c r="G10210" t="s">
        <v>14</v>
      </c>
      <c r="H10210">
             </c>
      <c r="I10210" t="s">
        <v>14</v>
      </c>
      <c r="J10210" t="s">
        <v>141</v>
      </c>
      <c r="K10210" t="s">
        <v>14</v>
      </c>
      <c r="L10210" t="s">
        <v>20</v>
      </c>
      <c r="M10210" t="s">
        <v>19820</v>
      </c>
      <c r="N10210" t="s">
        <v>14</v>
      </c>
    </row>
    <row r="10211" x14ac:dyDescent="0.25">
      <c r="A10211" t="n">
        <v>24</v>
      </c>
      <c r="B10211" t="s">
        <v>14</v>
      </c>
      <c r="C10211" t="s">
        <v>22</v>
      </c>
      <c r="D10211" s="2" t="s">
        <f>=HYPERLINK("https://main.knesset.gov.il/APPS/legislation/main/bills/2159306", "הצעת חוק לתיקון פקודת המשטרה (הצעת מועמדים לתפקיד המפקח הכללי של המשטרה בידי ועדת איתור מקצועית-ציבורית), התשפ""א-2021")</f>
        <v>19837</v>
      </c>
      <c r="E10211" t="s">
        <v>19837</v>
      </c>
      <c r="F10211" t="s">
        <v>19838</v>
      </c>
      <c r="G10211" t="s">
        <v>14</v>
      </c>
      <c r="H10211">
             </c>
      <c r="I10211" t="s">
        <v>14</v>
      </c>
      <c r="J10211" t="s">
        <v>141</v>
      </c>
      <c r="K10211" t="s">
        <v>14</v>
      </c>
      <c r="L10211" t="s">
        <v>20</v>
      </c>
      <c r="M10211" t="s">
        <v>19820</v>
      </c>
      <c r="N10211" t="s">
        <v>14</v>
      </c>
    </row>
    <row r="10212" x14ac:dyDescent="0.25">
      <c r="A10212" t="n">
        <v>24</v>
      </c>
      <c r="B10212" t="s">
        <v>14</v>
      </c>
      <c r="C10212" t="s">
        <v>22</v>
      </c>
      <c r="D10212" s="2" t="s">
        <f>=HYPERLINK("https://main.knesset.gov.il/APPS/legislation/main/bills/2159209", "הצעת חוק הגנת הצרכן (תיקון - מענה אנושי בשירות טלפוני לאזרח ותיק), התשפ""א-2021")</f>
        <v>16544</v>
      </c>
      <c r="E10212" t="s">
        <v>16544</v>
      </c>
      <c r="F10212" t="s">
        <v>19839</v>
      </c>
      <c r="G10212" t="s">
        <v>14</v>
      </c>
      <c r="H10212">
             </c>
      <c r="I10212" t="s">
        <v>14</v>
      </c>
      <c r="J10212" t="s">
        <v>141</v>
      </c>
      <c r="K10212" t="s">
        <v>14</v>
      </c>
      <c r="L10212" t="s">
        <v>20</v>
      </c>
      <c r="M10212" t="s">
        <v>19820</v>
      </c>
      <c r="N10212" t="s">
        <v>14</v>
      </c>
    </row>
    <row r="10213" x14ac:dyDescent="0.25">
      <c r="A10213" t="n">
        <v>24</v>
      </c>
      <c r="B10213" t="s">
        <v>14</v>
      </c>
      <c r="C10213" t="s">
        <v>22</v>
      </c>
      <c r="D10213" s="2" t="s">
        <f>=HYPERLINK("https://main.knesset.gov.il/APPS/legislation/main/bills/2159388", "הצעת חוק הרשויות המקומיות (בחירות) (תיקון - הגבלת הזכות להיבחר בשל כתב אישום), התשפ""א-2021")</f>
        <v>19840</v>
      </c>
      <c r="E10213" t="s">
        <v>19840</v>
      </c>
      <c r="F10213" t="s">
        <v>19841</v>
      </c>
      <c r="G10213" t="s">
        <v>14</v>
      </c>
      <c r="H10213">
             </c>
      <c r="I10213" t="s">
        <v>14</v>
      </c>
      <c r="J10213" t="s">
        <v>141</v>
      </c>
      <c r="K10213" t="s">
        <v>14</v>
      </c>
      <c r="L10213" t="s">
        <v>20</v>
      </c>
      <c r="M10213" t="s">
        <v>19820</v>
      </c>
      <c r="N10213" t="s">
        <v>14</v>
      </c>
    </row>
    <row r="10214" x14ac:dyDescent="0.25">
      <c r="A10214" t="n">
        <v>24</v>
      </c>
      <c r="B10214" t="s">
        <v>14</v>
      </c>
      <c r="C10214" t="s">
        <v>22</v>
      </c>
      <c r="D10214" s="2" t="s">
        <f>=HYPERLINK("https://main.knesset.gov.il/APPS/legislation/main/bills/2159454", "הצעת חוק הגנת הצרכן (תיקון - סימון שינוי בכמות המצרך), התשפ""א-2021")</f>
        <v>19842</v>
      </c>
      <c r="E10214" t="s">
        <v>19842</v>
      </c>
      <c r="F10214" t="s">
        <v>19843</v>
      </c>
      <c r="G10214" t="s">
        <v>14</v>
      </c>
      <c r="H10214">
             </c>
      <c r="I10214" t="s">
        <v>14</v>
      </c>
      <c r="J10214" t="s">
        <v>141</v>
      </c>
      <c r="K10214" t="s">
        <v>14</v>
      </c>
      <c r="L10214" t="s">
        <v>20</v>
      </c>
      <c r="M10214" t="s">
        <v>19820</v>
      </c>
      <c r="N10214" t="s">
        <v>14</v>
      </c>
    </row>
    <row r="10215" x14ac:dyDescent="0.25">
      <c r="A10215" t="n">
        <v>24</v>
      </c>
      <c r="B10215" t="s">
        <v>14</v>
      </c>
      <c r="C10215" t="s">
        <v>22</v>
      </c>
      <c r="D10215" s="2" t="s">
        <f>=HYPERLINK("https://main.knesset.gov.il/APPS/legislation/main/bills/2159456", "הצעת חוק לתיקון פקודת התעבורה (הגבלת דמי חניה בחניוני בתי חולים), התשפ""א-2021")</f>
        <v>19844</v>
      </c>
      <c r="E10215" t="s">
        <v>19844</v>
      </c>
      <c r="F10215" t="s">
        <v>19845</v>
      </c>
      <c r="G10215" t="s">
        <v>14</v>
      </c>
      <c r="H10215">
             </c>
      <c r="I10215" t="s">
        <v>14</v>
      </c>
      <c r="J10215" t="s">
        <v>141</v>
      </c>
      <c r="K10215" t="s">
        <v>14</v>
      </c>
      <c r="L10215" t="s">
        <v>20</v>
      </c>
      <c r="M10215" t="s">
        <v>19820</v>
      </c>
      <c r="N10215" t="s">
        <v>14</v>
      </c>
    </row>
    <row r="10216" x14ac:dyDescent="0.25">
      <c r="A10216" t="n">
        <v>24</v>
      </c>
      <c r="B10216" t="s">
        <v>14</v>
      </c>
      <c r="C10216" t="s">
        <v>22</v>
      </c>
      <c r="D10216" s="2" t="s">
        <f>=HYPERLINK("https://main.knesset.gov.il/APPS/legislation/main/bills/2159142", "הצעת חוק לתיקון פקודת מסי העירייה ומסי הממשלה (פטורין) (פטור מארנונה לעמותות הפועלות להנצחת השואה או למען ניצולי השואה), התשפ""א-2021")</f>
        <v>19846</v>
      </c>
      <c r="E10216" t="s">
        <v>19846</v>
      </c>
      <c r="F10216" t="s">
        <v>19847</v>
      </c>
      <c r="G10216" t="s">
        <v>14</v>
      </c>
      <c r="H10216">
             </c>
      <c r="I10216" t="s">
        <v>14</v>
      </c>
      <c r="J10216" t="s">
        <v>141</v>
      </c>
      <c r="K10216" t="s">
        <v>14</v>
      </c>
      <c r="L10216" t="s">
        <v>20</v>
      </c>
      <c r="M10216" t="s">
        <v>19820</v>
      </c>
      <c r="N10216" t="s">
        <v>14</v>
      </c>
    </row>
    <row r="10217" x14ac:dyDescent="0.25">
      <c r="A10217" t="n">
        <v>24</v>
      </c>
      <c r="B10217" t="s">
        <v>14</v>
      </c>
      <c r="C10217" t="s">
        <v>22</v>
      </c>
      <c r="D10217" s="2" t="s">
        <f>=HYPERLINK("https://main.knesset.gov.il/APPS/legislation/main/bills/2158194", "הצעת חוק ניהול ושימור אתר קבר רבי שמעון בר יוחאי, התשפ""א-2021")</f>
        <v>19848</v>
      </c>
      <c r="E10217" t="s">
        <v>19848</v>
      </c>
      <c r="F10217" t="s">
        <v>19849</v>
      </c>
      <c r="G10217" t="s">
        <v>14</v>
      </c>
      <c r="H10217">
             </c>
      <c r="I10217" t="s">
        <v>14</v>
      </c>
      <c r="J10217" t="s">
        <v>141</v>
      </c>
      <c r="K10217" t="s">
        <v>14</v>
      </c>
      <c r="L10217" t="s">
        <v>20</v>
      </c>
      <c r="M10217" t="s">
        <v>19820</v>
      </c>
      <c r="N10217" t="s">
        <v>14</v>
      </c>
    </row>
    <row r="10218" x14ac:dyDescent="0.25">
      <c r="A10218" t="n">
        <v>24</v>
      </c>
      <c r="B10218" t="s">
        <v>14</v>
      </c>
      <c r="C10218" t="s">
        <v>22</v>
      </c>
      <c r="D10218" s="2" t="s">
        <f>=HYPERLINK("https://main.knesset.gov.il/APPS/legislation/main/bills/2159326", "הצעת חוק החלת המשפט הישראלי ביישובים הישראליים ביהודה והשומרון, התשפ""א-2021")</f>
        <v>19850</v>
      </c>
      <c r="E10218" t="s">
        <v>19850</v>
      </c>
      <c r="F10218" t="s">
        <v>19851</v>
      </c>
      <c r="G10218" t="s">
        <v>14</v>
      </c>
      <c r="H10218">
             </c>
      <c r="I10218" t="s">
        <v>14</v>
      </c>
      <c r="J10218" t="s">
        <v>141</v>
      </c>
      <c r="K10218" t="s">
        <v>14</v>
      </c>
      <c r="L10218" t="s">
        <v>20</v>
      </c>
      <c r="M10218" t="s">
        <v>19820</v>
      </c>
      <c r="N10218" t="s">
        <v>14</v>
      </c>
    </row>
    <row r="10219" x14ac:dyDescent="0.25">
      <c r="A10219" t="n">
        <v>24</v>
      </c>
      <c r="B10219" t="s">
        <v>14</v>
      </c>
      <c r="C10219" t="s">
        <v>22</v>
      </c>
      <c r="D10219" s="2" t="s">
        <f>=HYPERLINK("https://main.knesset.gov.il/APPS/legislation/main/bills/2159234", "הצעת חוק לתיקון פקודת המשטרה (הרכב המחלקה לחקירת שוטרים), התשפ""א-2021")</f>
        <v>19852</v>
      </c>
      <c r="E10219" t="s">
        <v>19852</v>
      </c>
      <c r="F10219" t="s">
        <v>19853</v>
      </c>
      <c r="G10219" t="s">
        <v>14</v>
      </c>
      <c r="H10219">
             </c>
      <c r="I10219" t="s">
        <v>14</v>
      </c>
      <c r="J10219" t="s">
        <v>141</v>
      </c>
      <c r="K10219" t="s">
        <v>14</v>
      </c>
      <c r="L10219" t="s">
        <v>20</v>
      </c>
      <c r="M10219" t="s">
        <v>19820</v>
      </c>
      <c r="N10219" t="s">
        <v>14</v>
      </c>
    </row>
    <row r="10220" x14ac:dyDescent="0.25">
      <c r="A10220" t="n">
        <v>24</v>
      </c>
      <c r="B10220" t="s">
        <v>14</v>
      </c>
      <c r="C10220" t="s">
        <v>22</v>
      </c>
      <c r="D10220" s="2" t="s">
        <f>=HYPERLINK("https://main.knesset.gov.il/APPS/legislation/main/bills/2159465", "הצעת חוק שירות המדינה (מינויים) (תיקון - מינוי יועצים משפטיים של משרדים), התשפ""א-2021 ")</f>
        <v>18742</v>
      </c>
      <c r="E10220" t="s">
        <v>18742</v>
      </c>
      <c r="F10220" t="s">
        <v>19854</v>
      </c>
      <c r="G10220" t="s">
        <v>14</v>
      </c>
      <c r="H10220">
             </c>
      <c r="I10220" t="s">
        <v>14</v>
      </c>
      <c r="J10220" t="s">
        <v>141</v>
      </c>
      <c r="K10220" t="s">
        <v>14</v>
      </c>
      <c r="L10220" t="s">
        <v>20</v>
      </c>
      <c r="M10220" t="s">
        <v>19820</v>
      </c>
      <c r="N10220" t="s">
        <v>14</v>
      </c>
    </row>
    <row r="10221" x14ac:dyDescent="0.25">
      <c r="A10221" t="n">
        <v>24</v>
      </c>
      <c r="B10221" t="s">
        <v>14</v>
      </c>
      <c r="C10221" t="s">
        <v>22</v>
      </c>
      <c r="D10221" s="2" t="s">
        <f>=HYPERLINK("https://main.knesset.gov.il/APPS/legislation/main/bills/2159104", "הצעת חוק החלת החוק הישראלי על כל היישובים היהודיים בשטחי יהודה והשומרון, התשפ""א-2021")</f>
        <v>19855</v>
      </c>
      <c r="E10221" t="s">
        <v>19855</v>
      </c>
      <c r="F10221" t="s">
        <v>19856</v>
      </c>
      <c r="G10221" t="s">
        <v>14</v>
      </c>
      <c r="H10221">
             </c>
      <c r="I10221" t="s">
        <v>14</v>
      </c>
      <c r="J10221" t="s">
        <v>141</v>
      </c>
      <c r="K10221" t="s">
        <v>14</v>
      </c>
      <c r="L10221" t="s">
        <v>20</v>
      </c>
      <c r="M10221" t="s">
        <v>19820</v>
      </c>
      <c r="N10221" t="s">
        <v>14</v>
      </c>
    </row>
    <row r="10222" x14ac:dyDescent="0.25">
      <c r="A10222" t="n">
        <v>24</v>
      </c>
      <c r="B10222" t="s">
        <v>14</v>
      </c>
      <c r="C10222" t="s">
        <v>22</v>
      </c>
      <c r="D10222" s="2" t="s">
        <f>=HYPERLINK("https://main.knesset.gov.il/APPS/legislation/main/bills/2159462", "הצעת חוק-יסוד: הממשלה (תיקון - חובת מינוי ממלא מקום ראש הממשלה)")</f>
        <v>2485</v>
      </c>
      <c r="E10222" t="s">
        <v>2485</v>
      </c>
      <c r="F10222" t="s">
        <v>19857</v>
      </c>
      <c r="G10222" t="s">
        <v>14</v>
      </c>
      <c r="H10222">
             </c>
      <c r="I10222" t="s">
        <v>14</v>
      </c>
      <c r="J10222" t="s">
        <v>141</v>
      </c>
      <c r="K10222" t="s">
        <v>14</v>
      </c>
      <c r="L10222" t="s">
        <v>20</v>
      </c>
      <c r="M10222" t="s">
        <v>19820</v>
      </c>
      <c r="N10222" t="s">
        <v>14</v>
      </c>
    </row>
    <row r="10223" x14ac:dyDescent="0.25">
      <c r="A10223" t="n">
        <v>24</v>
      </c>
      <c r="B10223" t="s">
        <v>14</v>
      </c>
      <c r="C10223" t="s">
        <v>22</v>
      </c>
      <c r="D10223" s="2" t="s">
        <f>=HYPERLINK("https://main.knesset.gov.il/APPS/legislation/main/bills/2158479", "הצעת חוק רישוי עסקים (תיקון - דרישת רישוי לאירועים דתיים וטקסים), התשפ""א-2021")</f>
        <v>19858</v>
      </c>
      <c r="E10223" t="s">
        <v>19858</v>
      </c>
      <c r="F10223" t="s">
        <v>19859</v>
      </c>
      <c r="G10223" t="s">
        <v>14</v>
      </c>
      <c r="H10223">
             </c>
      <c r="I10223" t="s">
        <v>14</v>
      </c>
      <c r="J10223" t="s">
        <v>141</v>
      </c>
      <c r="K10223" t="s">
        <v>14</v>
      </c>
      <c r="L10223" t="s">
        <v>20</v>
      </c>
      <c r="M10223" t="s">
        <v>19820</v>
      </c>
      <c r="N10223" t="s">
        <v>14</v>
      </c>
    </row>
    <row r="10224" x14ac:dyDescent="0.25">
      <c r="A10224" t="n">
        <v>24</v>
      </c>
      <c r="B10224" t="s">
        <v>14</v>
      </c>
      <c r="C10224" t="s">
        <v>22</v>
      </c>
      <c r="D10224" s="2" t="s">
        <f>=HYPERLINK("https://main.knesset.gov.il/APPS/legislation/main/bills/2158861", "הצעת חוק איסור הונאה בכשרות (תיקון - מתן תעודת הכשר על ידי רב מקומי), התשפ""א-2021")</f>
        <v>19071</v>
      </c>
      <c r="E10224" t="s">
        <v>19071</v>
      </c>
      <c r="F10224" t="s">
        <v>19860</v>
      </c>
      <c r="G10224" t="s">
        <v>14</v>
      </c>
      <c r="H10224">
             </c>
      <c r="I10224" t="s">
        <v>14</v>
      </c>
      <c r="J10224" t="s">
        <v>141</v>
      </c>
      <c r="K10224" t="s">
        <v>14</v>
      </c>
      <c r="L10224" t="s">
        <v>20</v>
      </c>
      <c r="M10224" t="s">
        <v>19820</v>
      </c>
      <c r="N10224" t="s">
        <v>14</v>
      </c>
    </row>
    <row r="10225" x14ac:dyDescent="0.25">
      <c r="A10225" t="n">
        <v>24</v>
      </c>
      <c r="B10225" t="s">
        <v>14</v>
      </c>
      <c r="C10225" t="s">
        <v>22</v>
      </c>
      <c r="D10225" s="2" t="s">
        <f>=HYPERLINK("https://main.knesset.gov.il/APPS/legislation/main/bills/2159219", "הצעת חוק דחיית מועד הבחירות ברשויות המקומיות (הוראת שעה), התשפ""א-2021")</f>
        <v>19861</v>
      </c>
      <c r="E10225" t="s">
        <v>19861</v>
      </c>
      <c r="F10225" t="s">
        <v>19862</v>
      </c>
      <c r="G10225" t="s">
        <v>14</v>
      </c>
      <c r="H10225">
             </c>
      <c r="I10225" t="s">
        <v>14</v>
      </c>
      <c r="J10225" t="s">
        <v>141</v>
      </c>
      <c r="K10225" t="s">
        <v>14</v>
      </c>
      <c r="L10225" t="s">
        <v>20</v>
      </c>
      <c r="M10225" t="s">
        <v>19820</v>
      </c>
      <c r="N10225" t="s">
        <v>14</v>
      </c>
    </row>
    <row r="10226" x14ac:dyDescent="0.25">
      <c r="A10226" t="n">
        <v>24</v>
      </c>
      <c r="B10226" t="s">
        <v>14</v>
      </c>
      <c r="C10226" t="s">
        <v>22</v>
      </c>
      <c r="D10226" s="2" t="s">
        <f>=HYPERLINK("https://main.knesset.gov.il/APPS/legislation/main/bills/2159029", "הצעת חוק הביטוח הלאומי (תיקון - פירוט החוב במכתב דרישה), התשפ""א-2021")</f>
        <v>19863</v>
      </c>
      <c r="E10226" t="s">
        <v>19863</v>
      </c>
      <c r="F10226" t="s">
        <v>19864</v>
      </c>
      <c r="G10226" t="s">
        <v>14</v>
      </c>
      <c r="H10226">
             </c>
      <c r="I10226" t="s">
        <v>14</v>
      </c>
      <c r="J10226" t="s">
        <v>141</v>
      </c>
      <c r="K10226" t="s">
        <v>14</v>
      </c>
      <c r="L10226" t="s">
        <v>20</v>
      </c>
      <c r="M10226" t="s">
        <v>19820</v>
      </c>
      <c r="N10226" t="s">
        <v>14</v>
      </c>
    </row>
    <row r="10227" x14ac:dyDescent="0.25">
      <c r="A10227" t="n">
        <v>24</v>
      </c>
      <c r="B10227" t="s">
        <v>14</v>
      </c>
      <c r="C10227" t="s">
        <v>22</v>
      </c>
      <c r="D10227" s="2" t="s">
        <f>=HYPERLINK("https://main.knesset.gov.il/APPS/legislation/main/bills/2159149", "הצעת חוק מיסוי מקרקעין (שבח ורכישה) (תיקון - אי תחולת פטור ממס שבח על מי שהשכיר דירת מגורים לשוהה שלא כדין), התשפ""א-2021")</f>
        <v>19865</v>
      </c>
      <c r="E10227" t="s">
        <v>19865</v>
      </c>
      <c r="F10227" t="s">
        <v>19866</v>
      </c>
      <c r="G10227" t="s">
        <v>14</v>
      </c>
      <c r="H10227">
             </c>
      <c r="I10227" t="s">
        <v>14</v>
      </c>
      <c r="J10227" t="s">
        <v>141</v>
      </c>
      <c r="K10227" t="s">
        <v>14</v>
      </c>
      <c r="L10227" t="s">
        <v>20</v>
      </c>
      <c r="M10227" t="s">
        <v>19820</v>
      </c>
      <c r="N10227" t="s">
        <v>14</v>
      </c>
    </row>
    <row r="10228" x14ac:dyDescent="0.25">
      <c r="A10228" t="n">
        <v>24</v>
      </c>
      <c r="B10228" t="s">
        <v>14</v>
      </c>
      <c r="C10228" t="s">
        <v>22</v>
      </c>
      <c r="D10228" s="2" t="s">
        <f>=HYPERLINK("https://main.knesset.gov.il/APPS/legislation/main/bills/2159475", "הצעת חוק הפיקוח על שירותים פיננסיים (ביטוח) (תיקון - הוספת רישיון הנפקה), התשפ""א-2021")</f>
        <v>19867</v>
      </c>
      <c r="E10228" t="s">
        <v>19867</v>
      </c>
      <c r="F10228" t="s">
        <v>19868</v>
      </c>
      <c r="G10228" t="s">
        <v>14</v>
      </c>
      <c r="H10228">
             </c>
      <c r="I10228" t="s">
        <v>14</v>
      </c>
      <c r="J10228" t="s">
        <v>141</v>
      </c>
      <c r="K10228" t="s">
        <v>14</v>
      </c>
      <c r="L10228" t="s">
        <v>20</v>
      </c>
      <c r="M10228" t="s">
        <v>19820</v>
      </c>
      <c r="N10228" t="s">
        <v>14</v>
      </c>
    </row>
    <row r="10229" x14ac:dyDescent="0.25">
      <c r="A10229" t="n">
        <v>24</v>
      </c>
      <c r="B10229" t="s">
        <v>14</v>
      </c>
      <c r="C10229" t="s">
        <v>22</v>
      </c>
      <c r="D10229" s="2" t="s">
        <f>=HYPERLINK("https://main.knesset.gov.il/APPS/legislation/main/bills/2159047", "הצעת חוק הביטוח הלאומי (תיקון - דמי פגיעה לעובד עצמאי), התשפ""א-2021")</f>
        <v>19128</v>
      </c>
      <c r="E10229" t="s">
        <v>19128</v>
      </c>
      <c r="F10229" t="s">
        <v>19869</v>
      </c>
      <c r="G10229" t="s">
        <v>14</v>
      </c>
      <c r="H10229">
             </c>
      <c r="I10229" t="s">
        <v>14</v>
      </c>
      <c r="J10229" t="s">
        <v>141</v>
      </c>
      <c r="K10229" t="s">
        <v>14</v>
      </c>
      <c r="L10229" t="s">
        <v>20</v>
      </c>
      <c r="M10229" t="s">
        <v>19820</v>
      </c>
      <c r="N10229" t="s">
        <v>14</v>
      </c>
    </row>
    <row r="10230" x14ac:dyDescent="0.25">
      <c r="A10230" t="n">
        <v>24</v>
      </c>
      <c r="B10230" t="s">
        <v>14</v>
      </c>
      <c r="C10230" t="s">
        <v>22</v>
      </c>
      <c r="D10230" s="2" t="s">
        <f>=HYPERLINK("https://main.knesset.gov.il/APPS/legislation/main/bills/2156567", "הצעת חוק הסדרת העיסוק במקצועות הבריאות (תיקון - מתן תעודה במקצועות הבריאות לבעלי הכשרה מקצועית), התשפ""א-2021")</f>
        <v>19870</v>
      </c>
      <c r="E10230" t="s">
        <v>19870</v>
      </c>
      <c r="F10230" t="s">
        <v>19871</v>
      </c>
      <c r="G10230" t="s">
        <v>14</v>
      </c>
      <c r="H10230">
             </c>
      <c r="I10230" t="s">
        <v>14</v>
      </c>
      <c r="J10230" t="s">
        <v>141</v>
      </c>
      <c r="K10230" t="s">
        <v>14</v>
      </c>
      <c r="L10230" t="s">
        <v>20</v>
      </c>
      <c r="M10230" t="s">
        <v>19820</v>
      </c>
      <c r="N10230" t="s">
        <v>14</v>
      </c>
    </row>
    <row r="10231" x14ac:dyDescent="0.25">
      <c r="A10231" t="n">
        <v>24</v>
      </c>
      <c r="B10231" t="s">
        <v>14</v>
      </c>
      <c r="C10231" t="s">
        <v>22</v>
      </c>
      <c r="D10231" s="2" t="s">
        <f>=HYPERLINK("https://main.knesset.gov.il/APPS/legislation/main/bills/2158931", "הצעת חוק הביטוח הלאומי (תיקון - קצבת ילד נכה לילד עם תסמונת דאון), התשפ""א-2021")</f>
        <v>19872</v>
      </c>
      <c r="E10231" t="s">
        <v>19872</v>
      </c>
      <c r="F10231" t="s">
        <v>19873</v>
      </c>
      <c r="G10231" t="s">
        <v>14</v>
      </c>
      <c r="H10231">
             </c>
      <c r="I10231" t="s">
        <v>14</v>
      </c>
      <c r="J10231" t="s">
        <v>141</v>
      </c>
      <c r="K10231" t="s">
        <v>14</v>
      </c>
      <c r="L10231" t="s">
        <v>20</v>
      </c>
      <c r="M10231" t="s">
        <v>19820</v>
      </c>
      <c r="N10231" t="s">
        <v>14</v>
      </c>
    </row>
    <row r="10232" x14ac:dyDescent="0.25">
      <c r="A10232" t="n">
        <v>24</v>
      </c>
      <c r="B10232" t="s">
        <v>14</v>
      </c>
      <c r="C10232" t="s">
        <v>22</v>
      </c>
      <c r="D10232" s="2" t="s">
        <f>=HYPERLINK("https://main.knesset.gov.il/APPS/legislation/main/bills/2159318", "הצעת חוק הביטוח הלאומי (תיקון - חישוב דמי לידה לפי שנה שקדמה ליום הקובע), התשפ""א-2021")</f>
        <v>19874</v>
      </c>
      <c r="E10232" t="s">
        <v>19874</v>
      </c>
      <c r="F10232" t="s">
        <v>19875</v>
      </c>
      <c r="G10232" t="s">
        <v>14</v>
      </c>
      <c r="H10232">
             </c>
      <c r="I10232" t="s">
        <v>14</v>
      </c>
      <c r="J10232" t="s">
        <v>141</v>
      </c>
      <c r="K10232" t="s">
        <v>14</v>
      </c>
      <c r="L10232" t="s">
        <v>20</v>
      </c>
      <c r="M10232" t="s">
        <v>19820</v>
      </c>
      <c r="N10232" t="s">
        <v>14</v>
      </c>
    </row>
    <row r="10233" x14ac:dyDescent="0.25">
      <c r="A10233" t="n">
        <v>24</v>
      </c>
      <c r="B10233" t="s">
        <v>14</v>
      </c>
      <c r="C10233" t="s">
        <v>22</v>
      </c>
      <c r="D10233" s="2" t="s">
        <f>=HYPERLINK("https://main.knesset.gov.il/APPS/legislation/main/bills/2159043", "הצעת חוק מדד לזכות לקיום אנושי בכבוד, התשפ""א-2021")</f>
        <v>19876</v>
      </c>
      <c r="E10233" t="s">
        <v>19876</v>
      </c>
      <c r="F10233" t="s">
        <v>19877</v>
      </c>
      <c r="G10233" t="s">
        <v>14</v>
      </c>
      <c r="H10233">
             </c>
      <c r="I10233" t="s">
        <v>14</v>
      </c>
      <c r="J10233" t="s">
        <v>141</v>
      </c>
      <c r="K10233" t="s">
        <v>14</v>
      </c>
      <c r="L10233" t="s">
        <v>20</v>
      </c>
      <c r="M10233" t="s">
        <v>19820</v>
      </c>
      <c r="N10233" t="s">
        <v>14</v>
      </c>
    </row>
    <row r="10234" x14ac:dyDescent="0.25">
      <c r="A10234" t="n">
        <v>24</v>
      </c>
      <c r="B10234" t="s">
        <v>14</v>
      </c>
      <c r="C10234" t="s">
        <v>22</v>
      </c>
      <c r="D10234" s="2" t="s">
        <f>=HYPERLINK("https://main.knesset.gov.il/APPS/legislation/main/bills/2159371", "הצעת חוק הביטוח הלאומי (תיקון - הגדלת קצבאות הילדים), התשפ""א-2021")</f>
        <v>19878</v>
      </c>
      <c r="E10234" t="s">
        <v>19878</v>
      </c>
      <c r="F10234" t="s">
        <v>19879</v>
      </c>
      <c r="G10234" t="s">
        <v>14</v>
      </c>
      <c r="H10234">
             </c>
      <c r="I10234" t="s">
        <v>14</v>
      </c>
      <c r="J10234" t="s">
        <v>141</v>
      </c>
      <c r="K10234" t="s">
        <v>14</v>
      </c>
      <c r="L10234" t="s">
        <v>20</v>
      </c>
      <c r="M10234" t="s">
        <v>19820</v>
      </c>
      <c r="N10234" t="s">
        <v>14</v>
      </c>
    </row>
    <row r="10235" x14ac:dyDescent="0.25">
      <c r="A10235" t="n">
        <v>24</v>
      </c>
      <c r="B10235" t="s">
        <v>14</v>
      </c>
      <c r="C10235" t="s">
        <v>22</v>
      </c>
      <c r="D10235" s="2" t="s">
        <f>=HYPERLINK("https://main.knesset.gov.il/APPS/legislation/main/bills/2158889", "הצעת חוק חובת הודעה להורים על אי הגעת ילד למוסד חינוך או למעון יום (תיקוני חקיקה), התשפ""א-2021")</f>
        <v>19880</v>
      </c>
      <c r="E10235" t="s">
        <v>19880</v>
      </c>
      <c r="F10235" t="s">
        <v>19881</v>
      </c>
      <c r="G10235" t="s">
        <v>14</v>
      </c>
      <c r="H10235">
             </c>
      <c r="I10235" t="s">
        <v>14</v>
      </c>
      <c r="J10235" t="s">
        <v>141</v>
      </c>
      <c r="K10235" t="s">
        <v>14</v>
      </c>
      <c r="L10235" t="s">
        <v>20</v>
      </c>
      <c r="M10235" t="s">
        <v>19820</v>
      </c>
      <c r="N10235" t="s">
        <v>14</v>
      </c>
    </row>
    <row r="10236" x14ac:dyDescent="0.25">
      <c r="A10236" t="n">
        <v>24</v>
      </c>
      <c r="B10236" t="s">
        <v>14</v>
      </c>
      <c r="C10236" t="s">
        <v>22</v>
      </c>
      <c r="D10236" s="2" t="s">
        <f>=HYPERLINK("https://main.knesset.gov.il/APPS/legislation/main/bills/2159409", "הצעת חוק המועצה להשכלה גבוהה (תיקון - איסור הגבלת גיל בהרשמה למוסד להשכלה גבוהה), התשפ""א-2021")</f>
        <v>17362</v>
      </c>
      <c r="E10236" t="s">
        <v>17362</v>
      </c>
      <c r="F10236" t="s">
        <v>19882</v>
      </c>
      <c r="G10236" t="s">
        <v>14</v>
      </c>
      <c r="H10236">
             </c>
      <c r="I10236" t="s">
        <v>14</v>
      </c>
      <c r="J10236" t="s">
        <v>141</v>
      </c>
      <c r="K10236" t="s">
        <v>14</v>
      </c>
      <c r="L10236" t="s">
        <v>20</v>
      </c>
      <c r="M10236" t="s">
        <v>19820</v>
      </c>
      <c r="N10236" t="s">
        <v>14</v>
      </c>
    </row>
    <row r="10237" x14ac:dyDescent="0.25">
      <c r="A10237" t="n">
        <v>24</v>
      </c>
      <c r="B10237" t="s">
        <v>14</v>
      </c>
      <c r="C10237" t="s">
        <v>22</v>
      </c>
      <c r="D10237" s="2" t="s">
        <f>=HYPERLINK("https://main.knesset.gov.il/APPS/legislation/main/bills/2159396", "הצעת חוק לימוד חובה (תיקון - הגבלת מספר התלמידים בכיתה בבית ספר יסודי), התשפ""א-2021")</f>
        <v>19883</v>
      </c>
      <c r="E10237" t="s">
        <v>19883</v>
      </c>
      <c r="F10237" t="s">
        <v>19884</v>
      </c>
      <c r="G10237" t="s">
        <v>14</v>
      </c>
      <c r="H10237">
             </c>
      <c r="I10237" t="s">
        <v>14</v>
      </c>
      <c r="J10237" t="s">
        <v>141</v>
      </c>
      <c r="K10237" t="s">
        <v>14</v>
      </c>
      <c r="L10237" t="s">
        <v>20</v>
      </c>
      <c r="M10237" t="s">
        <v>19820</v>
      </c>
      <c r="N10237" t="s">
        <v>14</v>
      </c>
    </row>
    <row r="10238" x14ac:dyDescent="0.25">
      <c r="A10238" t="n">
        <v>24</v>
      </c>
      <c r="B10238" t="s">
        <v>14</v>
      </c>
      <c r="C10238" t="s">
        <v>22</v>
      </c>
      <c r="D10238" s="2" t="s">
        <f>=HYPERLINK("https://main.knesset.gov.il/APPS/legislation/main/bills/2159411", "הצעת חוק זכויות התלמיד (תיקון - הזכות להיבחן בבחינת בגרות ללא תשלום), התשפ""א-2021")</f>
        <v>19885</v>
      </c>
      <c r="E10238" t="s">
        <v>19885</v>
      </c>
      <c r="F10238" t="s">
        <v>19886</v>
      </c>
      <c r="G10238" t="s">
        <v>14</v>
      </c>
      <c r="H10238">
             </c>
      <c r="I10238" t="s">
        <v>14</v>
      </c>
      <c r="J10238" t="s">
        <v>141</v>
      </c>
      <c r="K10238" t="s">
        <v>14</v>
      </c>
      <c r="L10238" t="s">
        <v>20</v>
      </c>
      <c r="M10238" t="s">
        <v>19820</v>
      </c>
      <c r="N10238" t="s">
        <v>14</v>
      </c>
    </row>
    <row r="10239" x14ac:dyDescent="0.25">
      <c r="A10239" t="n">
        <v>24</v>
      </c>
      <c r="B10239" t="s">
        <v>14</v>
      </c>
      <c r="C10239" t="s">
        <v>22</v>
      </c>
      <c r="D10239" s="2" t="s">
        <f>=HYPERLINK("https://main.knesset.gov.il/APPS/legislation/main/bills/2159412", "הצעת חוק חובת שקיפות תקציבית במוסדות החינוך, התשפ""א-2021")</f>
        <v>19887</v>
      </c>
      <c r="E10239" t="s">
        <v>19887</v>
      </c>
      <c r="F10239" t="s">
        <v>19888</v>
      </c>
      <c r="G10239" t="s">
        <v>14</v>
      </c>
      <c r="H10239">
             </c>
      <c r="I10239" t="s">
        <v>14</v>
      </c>
      <c r="J10239" t="s">
        <v>141</v>
      </c>
      <c r="K10239" t="s">
        <v>14</v>
      </c>
      <c r="L10239" t="s">
        <v>20</v>
      </c>
      <c r="M10239" t="s">
        <v>19820</v>
      </c>
      <c r="N10239" t="s">
        <v>14</v>
      </c>
    </row>
    <row r="10240" x14ac:dyDescent="0.25">
      <c r="A10240" t="n">
        <v>24</v>
      </c>
      <c r="B10240" t="s">
        <v>14</v>
      </c>
      <c r="C10240" t="s">
        <v>22</v>
      </c>
      <c r="D10240" s="2" t="s">
        <f>=HYPERLINK("https://main.knesset.gov.il/APPS/legislation/main/bills/2159027", "הצעת חוק זכויות ושירותים לילדים ובני נוער עם קשיים נפשיים, התשפ""א-2021")</f>
        <v>19889</v>
      </c>
      <c r="E10240" t="s">
        <v>19889</v>
      </c>
      <c r="F10240" t="s">
        <v>19890</v>
      </c>
      <c r="G10240" t="s">
        <v>14</v>
      </c>
      <c r="H10240">
             </c>
      <c r="I10240" t="s">
        <v>14</v>
      </c>
      <c r="J10240" t="s">
        <v>141</v>
      </c>
      <c r="K10240" t="s">
        <v>14</v>
      </c>
      <c r="L10240" t="s">
        <v>20</v>
      </c>
      <c r="M10240" t="s">
        <v>19820</v>
      </c>
      <c r="N10240" t="s">
        <v>14</v>
      </c>
    </row>
    <row r="10241" x14ac:dyDescent="0.25">
      <c r="A10241" t="n">
        <v>24</v>
      </c>
      <c r="B10241" t="s">
        <v>14</v>
      </c>
      <c r="C10241" t="s">
        <v>22</v>
      </c>
      <c r="D10241" s="2" t="s">
        <f>=HYPERLINK("https://main.knesset.gov.il/APPS/legislation/main/bills/2159282", "הצעת חוק ביטוח בריאות ממלכתי (תיקון - הוספת טיפול בקנבוס למטרות רפואיות לסל שירותי הבריאות), התשפ""א-2021")</f>
        <v>19891</v>
      </c>
      <c r="E10241" t="s">
        <v>19891</v>
      </c>
      <c r="F10241" t="s">
        <v>19892</v>
      </c>
      <c r="G10241" t="s">
        <v>14</v>
      </c>
      <c r="H10241">
             </c>
      <c r="I10241" t="s">
        <v>14</v>
      </c>
      <c r="J10241" t="s">
        <v>141</v>
      </c>
      <c r="K10241" t="s">
        <v>14</v>
      </c>
      <c r="L10241" t="s">
        <v>20</v>
      </c>
      <c r="M10241" t="s">
        <v>19820</v>
      </c>
      <c r="N10241" t="s">
        <v>14</v>
      </c>
    </row>
    <row r="10242" x14ac:dyDescent="0.25">
      <c r="A10242" t="n">
        <v>24</v>
      </c>
      <c r="B10242" t="s">
        <v>14</v>
      </c>
      <c r="C10242" t="s">
        <v>22</v>
      </c>
      <c r="D10242" s="2" t="s">
        <f>=HYPERLINK("https://main.knesset.gov.il/APPS/legislation/main/bills/2156726", "הצעת חוק זכויות החולה (תיקון - שמירת דגימות שנלקחו מנפגעי עבירות מין), התשפ""א-2021")</f>
        <v>19893</v>
      </c>
      <c r="E10242" t="s">
        <v>19893</v>
      </c>
      <c r="F10242" t="s">
        <v>19894</v>
      </c>
      <c r="G10242" t="s">
        <v>14</v>
      </c>
      <c r="H10242">
             </c>
      <c r="I10242" t="s">
        <v>14</v>
      </c>
      <c r="J10242" t="s">
        <v>141</v>
      </c>
      <c r="K10242" t="s">
        <v>14</v>
      </c>
      <c r="L10242" t="s">
        <v>20</v>
      </c>
      <c r="M10242" t="s">
        <v>19820</v>
      </c>
      <c r="N10242" t="s">
        <v>14</v>
      </c>
    </row>
    <row r="10243" x14ac:dyDescent="0.25">
      <c r="A10243" t="n">
        <v>24</v>
      </c>
      <c r="B10243" t="s">
        <v>14</v>
      </c>
      <c r="C10243" t="s">
        <v>22</v>
      </c>
      <c r="D10243" s="2" t="s">
        <f>=HYPERLINK("https://main.knesset.gov.il/APPS/legislation/main/bills/2158935", "הצעת חוק הביטוח הלאומי (תיקון - קצבת תלויים וקצבת אזרח ותיק), התשפ""א-2021")</f>
        <v>19895</v>
      </c>
      <c r="E10243" t="s">
        <v>19895</v>
      </c>
      <c r="F10243" t="s">
        <v>19896</v>
      </c>
      <c r="G10243" t="s">
        <v>14</v>
      </c>
      <c r="H10243">
             </c>
      <c r="I10243" t="s">
        <v>14</v>
      </c>
      <c r="J10243" t="s">
        <v>141</v>
      </c>
      <c r="K10243" t="s">
        <v>14</v>
      </c>
      <c r="L10243" t="s">
        <v>20</v>
      </c>
      <c r="M10243" t="s">
        <v>19820</v>
      </c>
      <c r="N10243" t="s">
        <v>14</v>
      </c>
    </row>
    <row r="10244" x14ac:dyDescent="0.25">
      <c r="A10244" t="n">
        <v>24</v>
      </c>
      <c r="B10244" t="s">
        <v>14</v>
      </c>
      <c r="C10244" t="s">
        <v>22</v>
      </c>
      <c r="D10244" s="2" t="s">
        <f>=HYPERLINK("https://main.knesset.gov.il/APPS/legislation/main/bills/2158939", "הצעת חוק ביטוח בריאות ממלכתי (תיקון - שירותי בריאות נוספים לשוהים במוסדות לילדים ונוער בסיכון), התשפ""א-2021")</f>
        <v>19560</v>
      </c>
      <c r="E10244" t="s">
        <v>19560</v>
      </c>
      <c r="F10244" t="s">
        <v>19897</v>
      </c>
      <c r="G10244" t="s">
        <v>14</v>
      </c>
      <c r="H10244">
             </c>
      <c r="I10244" t="s">
        <v>14</v>
      </c>
      <c r="J10244" t="s">
        <v>141</v>
      </c>
      <c r="K10244" t="s">
        <v>14</v>
      </c>
      <c r="L10244" t="s">
        <v>20</v>
      </c>
      <c r="M10244" t="s">
        <v>19820</v>
      </c>
      <c r="N10244" t="s">
        <v>14</v>
      </c>
    </row>
    <row r="10245" x14ac:dyDescent="0.25">
      <c r="A10245" t="n">
        <v>24</v>
      </c>
      <c r="B10245" t="s">
        <v>14</v>
      </c>
      <c r="C10245" t="s">
        <v>22</v>
      </c>
      <c r="D10245" s="2" t="s">
        <f>=HYPERLINK("https://main.knesset.gov.il/APPS/legislation/main/bills/2159301", "הצעת חוק הפרשנות (תיקון - הגדרת הפליה על רקע זהות מגדרית או נטייה מינית), התשפ""א-2021")</f>
        <v>19898</v>
      </c>
      <c r="E10245" t="s">
        <v>19898</v>
      </c>
      <c r="F10245" t="s">
        <v>19899</v>
      </c>
      <c r="G10245" t="s">
        <v>14</v>
      </c>
      <c r="H10245">
             </c>
      <c r="I10245" t="s">
        <v>14</v>
      </c>
      <c r="J10245" t="s">
        <v>141</v>
      </c>
      <c r="K10245" t="s">
        <v>14</v>
      </c>
      <c r="L10245" t="s">
        <v>20</v>
      </c>
      <c r="M10245" t="s">
        <v>19820</v>
      </c>
      <c r="N10245" t="s">
        <v>14</v>
      </c>
    </row>
    <row r="10246" x14ac:dyDescent="0.25">
      <c r="A10246" t="n">
        <v>24</v>
      </c>
      <c r="B10246" t="s">
        <v>14</v>
      </c>
      <c r="C10246" t="s">
        <v>22</v>
      </c>
      <c r="D10246" s="2" t="s">
        <f>=HYPERLINK("https://main.knesset.gov.il/APPS/legislation/main/bills/2159423", "הצעת חוק-יסוד: נשיא המדינה (תיקון - כשירות מועמדים לכהונה כנשיא המדינה)")</f>
        <v>2549</v>
      </c>
      <c r="E10246" t="s">
        <v>2549</v>
      </c>
      <c r="F10246" t="s">
        <v>19900</v>
      </c>
      <c r="G10246" t="s">
        <v>14</v>
      </c>
      <c r="H10246">
             </c>
      <c r="I10246" t="s">
        <v>14</v>
      </c>
      <c r="J10246" t="s">
        <v>141</v>
      </c>
      <c r="K10246" t="s">
        <v>14</v>
      </c>
      <c r="L10246" t="s">
        <v>20</v>
      </c>
      <c r="M10246" t="s">
        <v>19820</v>
      </c>
      <c r="N10246" t="s">
        <v>14</v>
      </c>
    </row>
    <row r="10247" x14ac:dyDescent="0.25">
      <c r="A10247" t="n">
        <v>24</v>
      </c>
      <c r="B10247" t="s">
        <v>14</v>
      </c>
      <c r="C10247" t="s">
        <v>22</v>
      </c>
      <c r="D10247" s="2" t="s">
        <f>=HYPERLINK("https://main.knesset.gov.il/APPS/legislation/main/bills/2159470", "הצעת חוק הכשרות המשפטית והאפוטרופסות (תיקון - ביטול חזקת הגיל הרך), התשפ""א-2021")</f>
        <v>19456</v>
      </c>
      <c r="E10247" t="s">
        <v>19456</v>
      </c>
      <c r="F10247" t="s">
        <v>19901</v>
      </c>
      <c r="G10247" t="s">
        <v>14</v>
      </c>
      <c r="H10247">
             </c>
      <c r="I10247" t="s">
        <v>14</v>
      </c>
      <c r="J10247" t="s">
        <v>141</v>
      </c>
      <c r="K10247" t="s">
        <v>14</v>
      </c>
      <c r="L10247" t="s">
        <v>20</v>
      </c>
      <c r="M10247" t="s">
        <v>19820</v>
      </c>
      <c r="N10247" t="s">
        <v>14</v>
      </c>
    </row>
    <row r="10248" x14ac:dyDescent="0.25">
      <c r="A10248" t="n">
        <v>24</v>
      </c>
      <c r="B10248" t="s">
        <v>14</v>
      </c>
      <c r="C10248" t="s">
        <v>22</v>
      </c>
      <c r="D10248" s="2" t="s">
        <f>=HYPERLINK("https://main.knesset.gov.il/APPS/legislation/main/bills/2159490", "הצעת חוק בתי המשפט (תיקון - מספר השופטים בבית המשפט העליון), התשפ""א-2021")</f>
        <v>19902</v>
      </c>
      <c r="E10248" t="s">
        <v>19902</v>
      </c>
      <c r="F10248" t="s">
        <v>19903</v>
      </c>
      <c r="G10248" t="s">
        <v>14</v>
      </c>
      <c r="H10248">
             </c>
      <c r="I10248" t="s">
        <v>14</v>
      </c>
      <c r="J10248" t="s">
        <v>141</v>
      </c>
      <c r="K10248" t="s">
        <v>14</v>
      </c>
      <c r="L10248" t="s">
        <v>20</v>
      </c>
      <c r="M10248" t="s">
        <v>19820</v>
      </c>
      <c r="N10248" t="s">
        <v>14</v>
      </c>
    </row>
    <row r="10249" x14ac:dyDescent="0.25">
      <c r="A10249" t="n">
        <v>24</v>
      </c>
      <c r="B10249" t="s">
        <v>14</v>
      </c>
      <c r="C10249" t="s">
        <v>22</v>
      </c>
      <c r="D10249" s="2" t="s">
        <f>=HYPERLINK("https://main.knesset.gov.il/APPS/legislation/main/bills/2159082", "הצעת חוק הטבות מענק מקום לרכישת דירה בפריפריה, לזכאים לרכישת דירה בתכנית מחיר למשתכן שאין התכנית פועלת בעירם, התשפ""א-2021")</f>
        <v>19904</v>
      </c>
      <c r="E10249" t="s">
        <v>19904</v>
      </c>
      <c r="F10249" t="s">
        <v>19905</v>
      </c>
      <c r="G10249" t="s">
        <v>14</v>
      </c>
      <c r="H10249">
             </c>
      <c r="I10249" t="s">
        <v>14</v>
      </c>
      <c r="J10249" t="s">
        <v>141</v>
      </c>
      <c r="K10249" t="s">
        <v>14</v>
      </c>
      <c r="L10249" t="s">
        <v>20</v>
      </c>
      <c r="M10249" t="s">
        <v>19820</v>
      </c>
      <c r="N10249" t="s">
        <v>14</v>
      </c>
    </row>
    <row r="10250" x14ac:dyDescent="0.25">
      <c r="A10250" t="n">
        <v>24</v>
      </c>
      <c r="B10250" t="s">
        <v>14</v>
      </c>
      <c r="C10250" t="s">
        <v>22</v>
      </c>
      <c r="D10250" s="2" t="s">
        <f>=HYPERLINK("https://main.knesset.gov.il/APPS/legislation/main/bills/2158932", "הצעת חוק התקשורת (בזק ושידורים) (תיקון - צבירת יחידות של שירותי גלישה באינטרנט באמצעות רט""ן), התשפ""א-2021")</f>
        <v>19906</v>
      </c>
      <c r="E10250" t="s">
        <v>19906</v>
      </c>
      <c r="F10250" t="s">
        <v>19907</v>
      </c>
      <c r="G10250" t="s">
        <v>14</v>
      </c>
      <c r="H10250">
             </c>
      <c r="I10250" t="s">
        <v>14</v>
      </c>
      <c r="J10250" t="s">
        <v>141</v>
      </c>
      <c r="K10250" t="s">
        <v>14</v>
      </c>
      <c r="L10250" t="s">
        <v>20</v>
      </c>
      <c r="M10250" t="s">
        <v>19820</v>
      </c>
      <c r="N10250" t="s">
        <v>14</v>
      </c>
    </row>
    <row r="10251" x14ac:dyDescent="0.25">
      <c r="A10251" t="n">
        <v>24</v>
      </c>
      <c r="B10251" t="s">
        <v>14</v>
      </c>
      <c r="C10251" t="s">
        <v>22</v>
      </c>
      <c r="D10251" s="2" t="s">
        <f>=HYPERLINK("https://main.knesset.gov.il/APPS/legislation/main/bills/2159280", "הצעת חוק-יסוד: כבוד האדם וחירותו (תיקון - שיריון זכויות האדם)")</f>
        <v>19908</v>
      </c>
      <c r="E10251" t="s">
        <v>19908</v>
      </c>
      <c r="F10251" t="s">
        <v>19909</v>
      </c>
      <c r="G10251" t="s">
        <v>14</v>
      </c>
      <c r="H10251">
             </c>
      <c r="I10251" t="s">
        <v>14</v>
      </c>
      <c r="J10251" t="s">
        <v>141</v>
      </c>
      <c r="K10251" t="s">
        <v>14</v>
      </c>
      <c r="L10251" t="s">
        <v>20</v>
      </c>
      <c r="M10251" t="s">
        <v>19820</v>
      </c>
      <c r="N10251" t="s">
        <v>14</v>
      </c>
    </row>
    <row r="10252" x14ac:dyDescent="0.25">
      <c r="A10252" t="n">
        <v>24</v>
      </c>
      <c r="B10252" t="s">
        <v>14</v>
      </c>
      <c r="C10252" t="s">
        <v>22</v>
      </c>
      <c r="D10252" s="2" t="s">
        <f>=HYPERLINK("https://main.knesset.gov.il/APPS/legislation/main/bills/2159311", "הצעת חוק התכנון והבנייה (תיקון מס' 116) (תיקון - ביטול החוק), התשפ""א-2021")</f>
        <v>19451</v>
      </c>
      <c r="E10252" t="s">
        <v>19451</v>
      </c>
      <c r="F10252" t="s">
        <v>19910</v>
      </c>
      <c r="G10252" t="s">
        <v>14</v>
      </c>
      <c r="H10252">
             </c>
      <c r="I10252" t="s">
        <v>14</v>
      </c>
      <c r="J10252" t="s">
        <v>141</v>
      </c>
      <c r="K10252" t="s">
        <v>14</v>
      </c>
      <c r="L10252" t="s">
        <v>20</v>
      </c>
      <c r="M10252" t="s">
        <v>19820</v>
      </c>
      <c r="N10252" t="s">
        <v>14</v>
      </c>
    </row>
    <row r="10253" x14ac:dyDescent="0.25">
      <c r="A10253" t="n">
        <v>24</v>
      </c>
      <c r="B10253" t="s">
        <v>14</v>
      </c>
      <c r="C10253" t="s">
        <v>22</v>
      </c>
      <c r="D10253" s="2" t="s">
        <f>=HYPERLINK("https://main.knesset.gov.il/APPS/legislation/main/bills/2159204", "הצעת חוק התכנון והבנייה (תיקון מס' 116) (תיקון - ביטול החוק), התשפ""א-2021")</f>
        <v>19451</v>
      </c>
      <c r="E10253" t="s">
        <v>19451</v>
      </c>
      <c r="F10253" t="s">
        <v>19911</v>
      </c>
      <c r="G10253" t="s">
        <v>14</v>
      </c>
      <c r="H10253">
             </c>
      <c r="I10253" t="s">
        <v>14</v>
      </c>
      <c r="J10253" t="s">
        <v>141</v>
      </c>
      <c r="K10253" t="s">
        <v>14</v>
      </c>
      <c r="L10253" t="s">
        <v>20</v>
      </c>
      <c r="M10253" t="s">
        <v>19820</v>
      </c>
      <c r="N10253" t="s">
        <v>14</v>
      </c>
    </row>
    <row r="10254" x14ac:dyDescent="0.25">
      <c r="A10254" t="n">
        <v>24</v>
      </c>
      <c r="B10254" t="s">
        <v>14</v>
      </c>
      <c r="C10254" t="s">
        <v>22</v>
      </c>
      <c r="D10254" s="2" t="s">
        <f>=HYPERLINK("https://main.knesset.gov.il/APPS/legislation/main/bills/2159078", "הצעת חוק הביטוח הלאומי (תיקון - תשלום קצבת נכות למי שזכאי לקצבת אזרח ותיק), התשפ""א-2021")</f>
        <v>19151</v>
      </c>
      <c r="E10254" t="s">
        <v>19151</v>
      </c>
      <c r="F10254" t="s">
        <v>19912</v>
      </c>
      <c r="G10254" t="s">
        <v>14</v>
      </c>
      <c r="H10254">
             </c>
      <c r="I10254" t="s">
        <v>14</v>
      </c>
      <c r="J10254" t="s">
        <v>141</v>
      </c>
      <c r="K10254" t="s">
        <v>14</v>
      </c>
      <c r="L10254" t="s">
        <v>20</v>
      </c>
      <c r="M10254" t="s">
        <v>19820</v>
      </c>
      <c r="N10254" t="s">
        <v>14</v>
      </c>
    </row>
    <row r="10255" x14ac:dyDescent="0.25">
      <c r="A10255" t="n">
        <v>24</v>
      </c>
      <c r="B10255" t="s">
        <v>14</v>
      </c>
      <c r="C10255" t="s">
        <v>22</v>
      </c>
      <c r="D10255" s="2" t="s">
        <f>=HYPERLINK("https://main.knesset.gov.il/APPS/legislation/main/bills/2159223", "הצעת חוק התכנון והבנייה (תיקון - תסקירי השפעה על הסביבה ועל הבריאות), התשפ""א-2021")</f>
        <v>19913</v>
      </c>
      <c r="E10255" t="s">
        <v>19913</v>
      </c>
      <c r="F10255" t="s">
        <v>19914</v>
      </c>
      <c r="G10255" t="s">
        <v>14</v>
      </c>
      <c r="H10255">
             </c>
      <c r="I10255" t="s">
        <v>14</v>
      </c>
      <c r="J10255" t="s">
        <v>141</v>
      </c>
      <c r="K10255" t="s">
        <v>14</v>
      </c>
      <c r="L10255" t="s">
        <v>20</v>
      </c>
      <c r="M10255" t="s">
        <v>19820</v>
      </c>
      <c r="N10255" t="s">
        <v>14</v>
      </c>
    </row>
    <row r="10256" x14ac:dyDescent="0.25">
      <c r="A10256" t="n">
        <v>24</v>
      </c>
      <c r="B10256" t="s">
        <v>14</v>
      </c>
      <c r="C10256" t="s">
        <v>22</v>
      </c>
      <c r="D10256" s="2" t="s">
        <f>=HYPERLINK("https://main.knesset.gov.il/APPS/legislation/main/bills/2159081", "הצעת חוק הלוואות לדיור (תיקון - הלוואה כהון עצמי) (הוראת שעה), התשפ""א-2021")</f>
        <v>19915</v>
      </c>
      <c r="E10256" t="s">
        <v>19915</v>
      </c>
      <c r="F10256" t="s">
        <v>19916</v>
      </c>
      <c r="G10256" t="s">
        <v>14</v>
      </c>
      <c r="H10256">
             </c>
      <c r="I10256" t="s">
        <v>14</v>
      </c>
      <c r="J10256" t="s">
        <v>141</v>
      </c>
      <c r="K10256" t="s">
        <v>14</v>
      </c>
      <c r="L10256" t="s">
        <v>20</v>
      </c>
      <c r="M10256" t="s">
        <v>19820</v>
      </c>
      <c r="N10256" t="s">
        <v>14</v>
      </c>
    </row>
    <row r="10257" x14ac:dyDescent="0.25">
      <c r="A10257" t="n">
        <v>24</v>
      </c>
      <c r="B10257" t="s">
        <v>14</v>
      </c>
      <c r="C10257" t="s">
        <v>22</v>
      </c>
      <c r="D10257" s="2" t="s">
        <f>=HYPERLINK("https://main.knesset.gov.il/APPS/legislation/main/bills/2158512", "הצעת חוק הביטוח הלאומי (תיקון - פטור מהמצאת אישור מעסיק לעניין גמלה), התשפ""א-2021")</f>
        <v>19917</v>
      </c>
      <c r="E10257" t="s">
        <v>19917</v>
      </c>
      <c r="F10257" t="s">
        <v>19918</v>
      </c>
      <c r="G10257" t="s">
        <v>14</v>
      </c>
      <c r="H10257">
             </c>
      <c r="I10257" t="s">
        <v>14</v>
      </c>
      <c r="J10257" t="s">
        <v>141</v>
      </c>
      <c r="K10257" t="s">
        <v>14</v>
      </c>
      <c r="L10257" t="s">
        <v>20</v>
      </c>
      <c r="M10257" t="s">
        <v>19820</v>
      </c>
      <c r="N10257" t="s">
        <v>14</v>
      </c>
    </row>
    <row r="10258" x14ac:dyDescent="0.25">
      <c r="A10258" t="n">
        <v>24</v>
      </c>
      <c r="B10258" t="s">
        <v>14</v>
      </c>
      <c r="C10258" t="s">
        <v>22</v>
      </c>
      <c r="D10258" s="2" t="s">
        <f>=HYPERLINK("https://main.knesset.gov.il/APPS/legislation/main/bills/2159158", "הצעת חוק-יסוד: ישראל - מדינת הלאום של העם היהודי (תיקון - ביטול החוק)")</f>
        <v>4732</v>
      </c>
      <c r="E10258" t="s">
        <v>4732</v>
      </c>
      <c r="F10258" t="s">
        <v>19919</v>
      </c>
      <c r="G10258" t="s">
        <v>14</v>
      </c>
      <c r="H10258">
             </c>
      <c r="I10258" t="s">
        <v>14</v>
      </c>
      <c r="J10258" t="s">
        <v>141</v>
      </c>
      <c r="K10258" t="s">
        <v>14</v>
      </c>
      <c r="L10258" t="s">
        <v>20</v>
      </c>
      <c r="M10258" t="s">
        <v>19820</v>
      </c>
      <c r="N10258" t="s">
        <v>14</v>
      </c>
    </row>
    <row r="10259" x14ac:dyDescent="0.25">
      <c r="A10259" t="n">
        <v>24</v>
      </c>
      <c r="B10259" t="s">
        <v>14</v>
      </c>
      <c r="C10259" t="s">
        <v>22</v>
      </c>
      <c r="D10259" s="2" t="s">
        <f>=HYPERLINK("https://main.knesset.gov.il/APPS/legislation/main/bills/2159032", "הצעת חוק לתיקון פקודת מס הכנסה (נקודות זיכוי בעד ילדים), התשפ""א-2021")</f>
        <v>19682</v>
      </c>
      <c r="E10259" t="s">
        <v>19682</v>
      </c>
      <c r="F10259" t="s">
        <v>19920</v>
      </c>
      <c r="G10259" t="s">
        <v>14</v>
      </c>
      <c r="H10259">
             </c>
      <c r="I10259" t="s">
        <v>14</v>
      </c>
      <c r="J10259" t="s">
        <v>141</v>
      </c>
      <c r="K10259" t="s">
        <v>14</v>
      </c>
      <c r="L10259" t="s">
        <v>20</v>
      </c>
      <c r="M10259" t="s">
        <v>19820</v>
      </c>
      <c r="N10259" t="s">
        <v>14</v>
      </c>
    </row>
    <row r="10260" x14ac:dyDescent="0.25">
      <c r="A10260" t="n">
        <v>24</v>
      </c>
      <c r="B10260" t="s">
        <v>14</v>
      </c>
      <c r="C10260" t="s">
        <v>22</v>
      </c>
      <c r="D10260" s="2" t="s">
        <f>=HYPERLINK("https://main.knesset.gov.il/APPS/legislation/main/bills/2159308", "הצעת חוק מרשם האוכלוסין (תיקון - רישום בת זוג או בן זוג כהורה), התשפ""א-2021")</f>
        <v>19921</v>
      </c>
      <c r="E10260" t="s">
        <v>19921</v>
      </c>
      <c r="F10260" t="s">
        <v>19922</v>
      </c>
      <c r="G10260" t="s">
        <v>14</v>
      </c>
      <c r="H10260">
             </c>
      <c r="I10260" t="s">
        <v>14</v>
      </c>
      <c r="J10260" t="s">
        <v>141</v>
      </c>
      <c r="K10260" t="s">
        <v>14</v>
      </c>
      <c r="L10260" t="s">
        <v>20</v>
      </c>
      <c r="M10260" t="s">
        <v>19820</v>
      </c>
      <c r="N10260" t="s">
        <v>14</v>
      </c>
    </row>
    <row r="10261" x14ac:dyDescent="0.25">
      <c r="A10261" t="n">
        <v>24</v>
      </c>
      <c r="B10261" t="s">
        <v>14</v>
      </c>
      <c r="C10261" t="s">
        <v>22</v>
      </c>
      <c r="D10261" s="2" t="s">
        <f>=HYPERLINK("https://main.knesset.gov.il/APPS/legislation/main/bills/2159021", "הצעת חוק הספורט (תיקון - ביטוח קטינים), התשפ""א-2021")</f>
        <v>19923</v>
      </c>
      <c r="E10261" t="s">
        <v>19923</v>
      </c>
      <c r="F10261" t="s">
        <v>19924</v>
      </c>
      <c r="G10261" t="s">
        <v>14</v>
      </c>
      <c r="H10261">
             </c>
      <c r="I10261" t="s">
        <v>14</v>
      </c>
      <c r="J10261" t="s">
        <v>141</v>
      </c>
      <c r="K10261" t="s">
        <v>14</v>
      </c>
      <c r="L10261" t="s">
        <v>20</v>
      </c>
      <c r="M10261" t="s">
        <v>19820</v>
      </c>
      <c r="N10261" t="s">
        <v>14</v>
      </c>
    </row>
    <row r="10262" x14ac:dyDescent="0.25">
      <c r="A10262" t="n">
        <v>24</v>
      </c>
      <c r="B10262" t="s">
        <v>14</v>
      </c>
      <c r="C10262" t="s">
        <v>22</v>
      </c>
      <c r="D10262" s="2" t="s">
        <f>=HYPERLINK("https://main.knesset.gov.il/APPS/legislation/main/bills/2159059", "הצעת חוק לביטול ההתיישנות בעבירות מין במשפחה (תיקוני חקיקה), התשפ""א-2021")</f>
        <v>19925</v>
      </c>
      <c r="E10262" t="s">
        <v>19925</v>
      </c>
      <c r="F10262" t="s">
        <v>19926</v>
      </c>
      <c r="G10262" t="s">
        <v>14</v>
      </c>
      <c r="H10262">
             </c>
      <c r="I10262" t="s">
        <v>14</v>
      </c>
      <c r="J10262" t="s">
        <v>343</v>
      </c>
      <c r="K10262" t="s">
        <v>14</v>
      </c>
      <c r="L10262" t="s">
        <v>20</v>
      </c>
      <c r="M10262" t="s">
        <v>19820</v>
      </c>
      <c r="N10262" t="s">
        <v>14</v>
      </c>
    </row>
    <row r="10263" x14ac:dyDescent="0.25">
      <c r="A10263" t="n">
        <v>24</v>
      </c>
      <c r="B10263" t="s">
        <v>14</v>
      </c>
      <c r="C10263" t="s">
        <v>22</v>
      </c>
      <c r="D10263" s="2" t="s">
        <f>=HYPERLINK("https://main.knesset.gov.il/APPS/legislation/main/bills/2159255", "הצעת חוק לימוד חובה (תיקון - הבטחת פיקוח פרלמנטרי על תשלומי הורים), התשפ""א-2021")</f>
        <v>19927</v>
      </c>
      <c r="E10263" t="s">
        <v>19927</v>
      </c>
      <c r="F10263" t="s">
        <v>19928</v>
      </c>
      <c r="G10263" t="s">
        <v>14</v>
      </c>
      <c r="H10263">
             </c>
      <c r="I10263" t="s">
        <v>14</v>
      </c>
      <c r="J10263" t="s">
        <v>141</v>
      </c>
      <c r="K10263" t="s">
        <v>14</v>
      </c>
      <c r="L10263" t="s">
        <v>20</v>
      </c>
      <c r="M10263" t="s">
        <v>19820</v>
      </c>
      <c r="N10263" t="s">
        <v>14</v>
      </c>
    </row>
    <row r="10264" x14ac:dyDescent="0.25">
      <c r="A10264" t="n">
        <v>24</v>
      </c>
      <c r="B10264" t="s">
        <v>14</v>
      </c>
      <c r="C10264" t="s">
        <v>22</v>
      </c>
      <c r="D10264" s="2" t="s">
        <f>=HYPERLINK("https://main.knesset.gov.il/APPS/legislation/main/bills/2157205", "הצעת חוק חופש מהתאגדות (הוראת שעה ותיקוני חקיקה), התשפ""א-2021")</f>
        <v>19929</v>
      </c>
      <c r="E10264" t="s">
        <v>19929</v>
      </c>
      <c r="F10264" t="s">
        <v>19930</v>
      </c>
      <c r="G10264" t="s">
        <v>14</v>
      </c>
      <c r="H10264">
             </c>
      <c r="I10264" t="s">
        <v>14</v>
      </c>
      <c r="J10264" t="s">
        <v>141</v>
      </c>
      <c r="K10264" t="s">
        <v>14</v>
      </c>
      <c r="L10264" t="s">
        <v>20</v>
      </c>
      <c r="M10264" t="s">
        <v>19820</v>
      </c>
      <c r="N10264" t="s">
        <v>14</v>
      </c>
    </row>
    <row r="10265" x14ac:dyDescent="0.25">
      <c r="A10265" t="n">
        <v>24</v>
      </c>
      <c r="B10265" t="s">
        <v>14</v>
      </c>
      <c r="C10265" t="s">
        <v>22</v>
      </c>
      <c r="D10265" s="2" t="s">
        <f>=HYPERLINK("https://main.knesset.gov.il/APPS/legislation/main/bills/2159291", "הצעת חוק-יסוד: כבוד האדם וחירותו (תיקון - שוויון וחופש ביטוי ומחשבה)")</f>
        <v>19931</v>
      </c>
      <c r="E10265" t="s">
        <v>19931</v>
      </c>
      <c r="F10265" t="s">
        <v>19932</v>
      </c>
      <c r="G10265" t="s">
        <v>14</v>
      </c>
      <c r="H10265">
             </c>
      <c r="I10265" t="s">
        <v>14</v>
      </c>
      <c r="J10265" t="s">
        <v>141</v>
      </c>
      <c r="K10265" t="s">
        <v>14</v>
      </c>
      <c r="L10265" t="s">
        <v>20</v>
      </c>
      <c r="M10265" t="s">
        <v>19820</v>
      </c>
      <c r="N10265" t="s">
        <v>14</v>
      </c>
    </row>
    <row r="10266" x14ac:dyDescent="0.25">
      <c r="A10266" t="n">
        <v>24</v>
      </c>
      <c r="B10266" t="s">
        <v>14</v>
      </c>
      <c r="C10266" t="s">
        <v>22</v>
      </c>
      <c r="D10266" s="2" t="s">
        <f>=HYPERLINK("https://main.knesset.gov.il/APPS/legislation/main/bills/2158664", "הצעת חוק העונשין (תיקון - הכנת פרסום בדבר שירותי זנות), התשפ""א-2021")</f>
        <v>19933</v>
      </c>
      <c r="E10266" t="s">
        <v>19933</v>
      </c>
      <c r="F10266" t="s">
        <v>19934</v>
      </c>
      <c r="G10266" t="s">
        <v>14</v>
      </c>
      <c r="H10266">
             </c>
      <c r="I10266" t="s">
        <v>14</v>
      </c>
      <c r="J10266" t="s">
        <v>141</v>
      </c>
      <c r="K10266" t="s">
        <v>14</v>
      </c>
      <c r="L10266" t="s">
        <v>20</v>
      </c>
      <c r="M10266" t="s">
        <v>19820</v>
      </c>
      <c r="N10266" t="s">
        <v>14</v>
      </c>
    </row>
    <row r="10267" x14ac:dyDescent="0.25">
      <c r="A10267" t="n">
        <v>24</v>
      </c>
      <c r="B10267" t="s">
        <v>14</v>
      </c>
      <c r="C10267" t="s">
        <v>22</v>
      </c>
      <c r="D10267" s="2" t="s">
        <f>=HYPERLINK("https://main.knesset.gov.il/APPS/legislation/main/bills/2158672", "הצעת חוק חובת מיגון לנכים, קשישים, דיירי הדיור הציבורי ולמתגוררים ביישובי קו העימות בעוטף עזה, התשפ""א-2021")</f>
        <v>19935</v>
      </c>
      <c r="E10267" t="s">
        <v>19935</v>
      </c>
      <c r="F10267" t="s">
        <v>19936</v>
      </c>
      <c r="G10267" t="s">
        <v>14</v>
      </c>
      <c r="H10267">
             </c>
      <c r="I10267" t="s">
        <v>14</v>
      </c>
      <c r="J10267" t="s">
        <v>141</v>
      </c>
      <c r="K10267" t="s">
        <v>14</v>
      </c>
      <c r="L10267" t="s">
        <v>20</v>
      </c>
      <c r="M10267" t="s">
        <v>19820</v>
      </c>
      <c r="N10267" t="s">
        <v>14</v>
      </c>
    </row>
    <row r="10268" x14ac:dyDescent="0.25">
      <c r="A10268" t="n">
        <v>24</v>
      </c>
      <c r="B10268" t="s">
        <v>14</v>
      </c>
      <c r="C10268" t="s">
        <v>22</v>
      </c>
      <c r="D10268" s="2" t="s">
        <f>=HYPERLINK("https://main.knesset.gov.il/APPS/legislation/main/bills/2158882", "הצעת חוק ערבות למשכנתאות (תיקון - ערבות מדינה לדירה יחידה), התשפ""א-2021")</f>
        <v>19937</v>
      </c>
      <c r="E10268" t="s">
        <v>19937</v>
      </c>
      <c r="F10268" t="s">
        <v>19938</v>
      </c>
      <c r="G10268" t="s">
        <v>14</v>
      </c>
      <c r="H10268">
             </c>
      <c r="I10268" t="s">
        <v>14</v>
      </c>
      <c r="J10268" t="s">
        <v>141</v>
      </c>
      <c r="K10268" t="s">
        <v>14</v>
      </c>
      <c r="L10268" t="s">
        <v>20</v>
      </c>
      <c r="M10268" t="s">
        <v>19820</v>
      </c>
      <c r="N10268" t="s">
        <v>14</v>
      </c>
    </row>
    <row r="10269" x14ac:dyDescent="0.25">
      <c r="A10269" t="n">
        <v>24</v>
      </c>
      <c r="B10269" t="s">
        <v>14</v>
      </c>
      <c r="C10269" t="s">
        <v>22</v>
      </c>
      <c r="D10269" s="2" t="s">
        <f>=HYPERLINK("https://main.knesset.gov.il/APPS/legislation/main/bills/2159202", "הצעת חוק הממשלה (תיקון - ועדת שרים לענייני חקיקה), התשפ""א-2021")</f>
        <v>19829</v>
      </c>
      <c r="E10269" t="s">
        <v>19829</v>
      </c>
      <c r="F10269" t="s">
        <v>19939</v>
      </c>
      <c r="G10269" t="s">
        <v>14</v>
      </c>
      <c r="H10269">
             </c>
      <c r="I10269" t="s">
        <v>14</v>
      </c>
      <c r="J10269" t="s">
        <v>141</v>
      </c>
      <c r="K10269" t="s">
        <v>14</v>
      </c>
      <c r="L10269" t="s">
        <v>20</v>
      </c>
      <c r="M10269" t="s">
        <v>19820</v>
      </c>
      <c r="N10269" t="s">
        <v>14</v>
      </c>
    </row>
    <row r="10270" x14ac:dyDescent="0.25">
      <c r="A10270" t="n">
        <v>24</v>
      </c>
      <c r="B10270" t="s">
        <v>14</v>
      </c>
      <c r="C10270" t="s">
        <v>22</v>
      </c>
      <c r="D10270" s="2" t="s">
        <f>=HYPERLINK("https://main.knesset.gov.il/APPS/legislation/main/bills/2159292", "הצעת חוק-יסוד: נשיא המדינה (תיקון - כשירות מועמדים לכהונה כנשיא המדינה)")</f>
        <v>2549</v>
      </c>
      <c r="E10270" t="s">
        <v>2549</v>
      </c>
      <c r="F10270" t="s">
        <v>19940</v>
      </c>
      <c r="G10270" t="s">
        <v>14</v>
      </c>
      <c r="H10270">
             </c>
      <c r="I10270" t="s">
        <v>14</v>
      </c>
      <c r="J10270" t="s">
        <v>141</v>
      </c>
      <c r="K10270" t="s">
        <v>14</v>
      </c>
      <c r="L10270" t="s">
        <v>20</v>
      </c>
      <c r="M10270" t="s">
        <v>19820</v>
      </c>
      <c r="N10270" t="s">
        <v>14</v>
      </c>
    </row>
    <row r="10271" x14ac:dyDescent="0.25">
      <c r="A10271" t="n">
        <v>24</v>
      </c>
      <c r="B10271" t="s">
        <v>14</v>
      </c>
      <c r="C10271" t="s">
        <v>22</v>
      </c>
      <c r="D10271" s="2" t="s">
        <f>=HYPERLINK("https://main.knesset.gov.il/APPS/legislation/main/bills/2159325", "הצעת חוק מגבלות על חזרתו של עבריין מין לסביבת נפגע העבירה (תיקון - הרחבת סמכות בית המשפט להטלת מגבלות), התשפ""א-2021")</f>
        <v>19941</v>
      </c>
      <c r="E10271" t="s">
        <v>19941</v>
      </c>
      <c r="F10271" t="s">
        <v>19942</v>
      </c>
      <c r="G10271" t="s">
        <v>14</v>
      </c>
      <c r="H10271">
             </c>
      <c r="I10271" t="s">
        <v>14</v>
      </c>
      <c r="J10271" t="s">
        <v>141</v>
      </c>
      <c r="K10271" t="s">
        <v>14</v>
      </c>
      <c r="L10271" t="s">
        <v>20</v>
      </c>
      <c r="M10271" t="s">
        <v>19820</v>
      </c>
      <c r="N10271" t="s">
        <v>14</v>
      </c>
    </row>
    <row r="10272" x14ac:dyDescent="0.25">
      <c r="A10272" t="n">
        <v>24</v>
      </c>
      <c r="B10272" t="s">
        <v>14</v>
      </c>
      <c r="C10272" t="s">
        <v>22</v>
      </c>
      <c r="D10272" s="2" t="s">
        <f>=HYPERLINK("https://main.knesset.gov.il/APPS/legislation/main/bills/2159046", "הצעת חוק הכנסת (תיקון - כינוס הכנסת בתקופת הפגרה), התשפ""א-2021")</f>
        <v>19943</v>
      </c>
      <c r="E10272" t="s">
        <v>19943</v>
      </c>
      <c r="F10272" t="s">
        <v>19944</v>
      </c>
      <c r="G10272" t="s">
        <v>14</v>
      </c>
      <c r="H10272">
             </c>
      <c r="I10272" t="s">
        <v>14</v>
      </c>
      <c r="J10272" t="s">
        <v>141</v>
      </c>
      <c r="K10272" t="s">
        <v>14</v>
      </c>
      <c r="L10272" t="s">
        <v>20</v>
      </c>
      <c r="M10272" t="s">
        <v>19820</v>
      </c>
      <c r="N10272" t="s">
        <v>14</v>
      </c>
    </row>
    <row r="10273" x14ac:dyDescent="0.25">
      <c r="A10273" t="n">
        <v>24</v>
      </c>
      <c r="B10273" t="s">
        <v>14</v>
      </c>
      <c r="C10273" t="s">
        <v>22</v>
      </c>
      <c r="D10273" s="2" t="s">
        <f>=HYPERLINK("https://main.knesset.gov.il/APPS/legislation/main/bills/2159022", "הצעת חוק העונשין (תיקון - עבירות מין במשפחה), התשפ""א-2021")</f>
        <v>19945</v>
      </c>
      <c r="E10273" t="s">
        <v>19945</v>
      </c>
      <c r="F10273" t="s">
        <v>19946</v>
      </c>
      <c r="G10273" t="s">
        <v>14</v>
      </c>
      <c r="H10273">
             </c>
      <c r="I10273" t="s">
        <v>14</v>
      </c>
      <c r="J10273" t="s">
        <v>141</v>
      </c>
      <c r="K10273" t="s">
        <v>14</v>
      </c>
      <c r="L10273" t="s">
        <v>20</v>
      </c>
      <c r="M10273" t="s">
        <v>19820</v>
      </c>
      <c r="N10273" t="s">
        <v>14</v>
      </c>
    </row>
    <row r="10274" x14ac:dyDescent="0.25">
      <c r="A10274" t="n">
        <v>24</v>
      </c>
      <c r="B10274" t="s">
        <v>14</v>
      </c>
      <c r="C10274" t="s">
        <v>22</v>
      </c>
      <c r="D10274" s="2" t="s">
        <f>=HYPERLINK("https://main.knesset.gov.il/APPS/legislation/main/bills/2159303", "הצעת חוק לימודי יסוד במערכת החינוך, התשפ""א-2021")</f>
        <v>19947</v>
      </c>
      <c r="E10274" t="s">
        <v>19947</v>
      </c>
      <c r="F10274" t="s">
        <v>19948</v>
      </c>
      <c r="G10274" t="s">
        <v>14</v>
      </c>
      <c r="H10274">
             </c>
      <c r="I10274" t="s">
        <v>14</v>
      </c>
      <c r="J10274" t="s">
        <v>141</v>
      </c>
      <c r="K10274" t="s">
        <v>14</v>
      </c>
      <c r="L10274" t="s">
        <v>20</v>
      </c>
      <c r="M10274" t="s">
        <v>19820</v>
      </c>
      <c r="N10274" t="s">
        <v>14</v>
      </c>
    </row>
    <row r="10275" x14ac:dyDescent="0.25">
      <c r="A10275" t="n">
        <v>24</v>
      </c>
      <c r="B10275" t="s">
        <v>14</v>
      </c>
      <c r="C10275" t="s">
        <v>22</v>
      </c>
      <c r="D10275" s="2" t="s">
        <f>=HYPERLINK("https://main.knesset.gov.il/APPS/legislation/main/bills/2159358", "הצעת חוק הרישום למוסדות להשכלה גבוהה, התשפ""א-2021")</f>
        <v>19949</v>
      </c>
      <c r="E10275" t="s">
        <v>19949</v>
      </c>
      <c r="F10275" t="s">
        <v>19950</v>
      </c>
      <c r="G10275" t="s">
        <v>14</v>
      </c>
      <c r="H10275">
             </c>
      <c r="I10275" t="s">
        <v>14</v>
      </c>
      <c r="J10275" t="s">
        <v>141</v>
      </c>
      <c r="K10275" t="s">
        <v>14</v>
      </c>
      <c r="L10275" t="s">
        <v>20</v>
      </c>
      <c r="M10275" t="s">
        <v>19820</v>
      </c>
      <c r="N10275" t="s">
        <v>14</v>
      </c>
    </row>
    <row r="10276" x14ac:dyDescent="0.25">
      <c r="A10276" t="n">
        <v>24</v>
      </c>
      <c r="B10276" t="s">
        <v>14</v>
      </c>
      <c r="C10276" t="s">
        <v>22</v>
      </c>
      <c r="D10276" s="2" t="s">
        <f>=HYPERLINK("https://main.knesset.gov.il/APPS/legislation/main/bills/2159003", "הצעת חוק לימוד חובה (תיקון - יועץ חינוכי בכל מוסד חינוך), התשפ""א-2021")</f>
        <v>19951</v>
      </c>
      <c r="E10276" t="s">
        <v>19951</v>
      </c>
      <c r="F10276" t="s">
        <v>19952</v>
      </c>
      <c r="G10276" t="s">
        <v>14</v>
      </c>
      <c r="H10276">
             </c>
      <c r="I10276" t="s">
        <v>14</v>
      </c>
      <c r="J10276" t="s">
        <v>141</v>
      </c>
      <c r="K10276" t="s">
        <v>14</v>
      </c>
      <c r="L10276" t="s">
        <v>20</v>
      </c>
      <c r="M10276" t="s">
        <v>19820</v>
      </c>
      <c r="N10276" t="s">
        <v>14</v>
      </c>
    </row>
    <row r="10277" x14ac:dyDescent="0.25">
      <c r="A10277" t="n">
        <v>24</v>
      </c>
      <c r="B10277" t="s">
        <v>14</v>
      </c>
      <c r="C10277" t="s">
        <v>22</v>
      </c>
      <c r="D10277" s="2" t="s">
        <f>=HYPERLINK("https://main.knesset.gov.il/APPS/legislation/main/bills/2159062", "הצעת חוק לימוד חובה (תיקון - חינוך חינם לפעוטות ולילדים), התשפ""א-2021")</f>
        <v>19953</v>
      </c>
      <c r="E10277" t="s">
        <v>19953</v>
      </c>
      <c r="F10277" t="s">
        <v>19954</v>
      </c>
      <c r="G10277" t="s">
        <v>14</v>
      </c>
      <c r="H10277">
             </c>
      <c r="I10277" t="s">
        <v>14</v>
      </c>
      <c r="J10277" t="s">
        <v>141</v>
      </c>
      <c r="K10277" t="s">
        <v>14</v>
      </c>
      <c r="L10277" t="s">
        <v>20</v>
      </c>
      <c r="M10277" t="s">
        <v>19820</v>
      </c>
      <c r="N10277" t="s">
        <v>14</v>
      </c>
    </row>
    <row r="10278" x14ac:dyDescent="0.25">
      <c r="A10278" t="n">
        <v>24</v>
      </c>
      <c r="B10278" t="s">
        <v>14</v>
      </c>
      <c r="C10278" t="s">
        <v>22</v>
      </c>
      <c r="D10278" s="2" t="s">
        <f>=HYPERLINK("https://main.knesset.gov.il/APPS/legislation/main/bills/2157304", "הצעת חוק שיפוט בתי דין רבניים (נישואין וגירושין) (תיקון - הענקת סמכות לדון בנושא ערכי הזהות היהודית), התשפ""א-2021")</f>
        <v>19955</v>
      </c>
      <c r="E10278" t="s">
        <v>19955</v>
      </c>
      <c r="F10278" t="s">
        <v>19956</v>
      </c>
      <c r="G10278" t="s">
        <v>14</v>
      </c>
      <c r="H10278">
             </c>
      <c r="I10278" t="s">
        <v>14</v>
      </c>
      <c r="J10278" t="s">
        <v>141</v>
      </c>
      <c r="K10278" t="s">
        <v>14</v>
      </c>
      <c r="L10278" t="s">
        <v>20</v>
      </c>
      <c r="M10278" t="s">
        <v>19820</v>
      </c>
      <c r="N10278" t="s">
        <v>14</v>
      </c>
    </row>
    <row r="10279" x14ac:dyDescent="0.25">
      <c r="A10279" t="n">
        <v>24</v>
      </c>
      <c r="B10279" t="s">
        <v>14</v>
      </c>
      <c r="C10279" t="s">
        <v>22</v>
      </c>
      <c r="D10279" s="2" t="s">
        <f>=HYPERLINK("https://main.knesset.gov.il/APPS/legislation/main/bills/2158890", "הצעת חוק מניעת בריונות ברשת, התשפ""א-2021")</f>
        <v>19957</v>
      </c>
      <c r="E10279" t="s">
        <v>19957</v>
      </c>
      <c r="F10279" t="s">
        <v>19958</v>
      </c>
      <c r="G10279" t="s">
        <v>14</v>
      </c>
      <c r="H10279">
             </c>
      <c r="I10279" t="s">
        <v>14</v>
      </c>
      <c r="J10279" t="s">
        <v>141</v>
      </c>
      <c r="K10279" t="s">
        <v>14</v>
      </c>
      <c r="L10279" t="s">
        <v>20</v>
      </c>
      <c r="M10279" t="s">
        <v>19820</v>
      </c>
      <c r="N10279" t="s">
        <v>14</v>
      </c>
    </row>
    <row r="10280" x14ac:dyDescent="0.25">
      <c r="A10280" t="n">
        <v>24</v>
      </c>
      <c r="B10280" t="s">
        <v>14</v>
      </c>
      <c r="C10280" t="s">
        <v>22</v>
      </c>
      <c r="D10280" s="2" t="s">
        <f>=HYPERLINK("https://main.knesset.gov.il/APPS/legislation/main/bills/2159363", "הצעת חוק לתיקון פקודת מס הכנסה (שווי השימוש ברכב או ברדיו טלפון נייד), התשפ""א-2021")</f>
        <v>19959</v>
      </c>
      <c r="E10280" t="s">
        <v>19959</v>
      </c>
      <c r="F10280" t="s">
        <v>19960</v>
      </c>
      <c r="G10280" t="s">
        <v>14</v>
      </c>
      <c r="H10280">
             </c>
      <c r="I10280" t="s">
        <v>14</v>
      </c>
      <c r="J10280" t="s">
        <v>141</v>
      </c>
      <c r="K10280" t="s">
        <v>14</v>
      </c>
      <c r="L10280" t="s">
        <v>20</v>
      </c>
      <c r="M10280" t="s">
        <v>19820</v>
      </c>
      <c r="N10280" t="s">
        <v>14</v>
      </c>
    </row>
    <row r="10281" x14ac:dyDescent="0.25">
      <c r="A10281" t="n">
        <v>24</v>
      </c>
      <c r="B10281" t="s">
        <v>14</v>
      </c>
      <c r="C10281" t="s">
        <v>22</v>
      </c>
      <c r="D10281" s="2" t="s">
        <f>=HYPERLINK("https://main.knesset.gov.il/APPS/legislation/main/bills/2156837", "הצעת חוק גיל פרישה (תיקון - העלאת גיל הפרישה לנשים וקביעת צעדים תומכים לנשים בגילאי העבודה), התשפ""א-2021")</f>
        <v>19171</v>
      </c>
      <c r="E10281" t="s">
        <v>19171</v>
      </c>
      <c r="F10281" t="s">
        <v>19961</v>
      </c>
      <c r="G10281" t="s">
        <v>14</v>
      </c>
      <c r="H10281">
             </c>
      <c r="I10281" t="s">
        <v>14</v>
      </c>
      <c r="J10281" t="s">
        <v>141</v>
      </c>
      <c r="K10281" t="s">
        <v>14</v>
      </c>
      <c r="L10281" t="s">
        <v>20</v>
      </c>
      <c r="M10281" t="s">
        <v>19820</v>
      </c>
      <c r="N10281" t="s">
        <v>14</v>
      </c>
    </row>
    <row r="10282" x14ac:dyDescent="0.25">
      <c r="A10282" t="n">
        <v>24</v>
      </c>
      <c r="B10282" t="s">
        <v>14</v>
      </c>
      <c r="C10282" t="s">
        <v>22</v>
      </c>
      <c r="D10282" s="2" t="s">
        <f>=HYPERLINK("https://main.knesset.gov.il/APPS/legislation/main/bills/2159147", "הצעת חוק לתיקון פקודת מס הכנסה (נקודות זיכוי להורי חיילים), התשפ""א-2021")</f>
        <v>19962</v>
      </c>
      <c r="E10282" t="s">
        <v>19962</v>
      </c>
      <c r="F10282" t="s">
        <v>19963</v>
      </c>
      <c r="G10282" t="s">
        <v>14</v>
      </c>
      <c r="H10282">
             </c>
      <c r="I10282" t="s">
        <v>14</v>
      </c>
      <c r="J10282" t="s">
        <v>141</v>
      </c>
      <c r="K10282" t="s">
        <v>14</v>
      </c>
      <c r="L10282" t="s">
        <v>20</v>
      </c>
      <c r="M10282" t="s">
        <v>19820</v>
      </c>
      <c r="N10282" t="s">
        <v>14</v>
      </c>
    </row>
    <row r="10283" x14ac:dyDescent="0.25">
      <c r="A10283" t="n">
        <v>24</v>
      </c>
      <c r="B10283" t="s">
        <v>14</v>
      </c>
      <c r="C10283" t="s">
        <v>22</v>
      </c>
      <c r="D10283" s="2" t="s">
        <f>=HYPERLINK("https://main.knesset.gov.il/APPS/legislation/main/bills/2159289", "הצעת חוק-יסוד: חופש הביטוי וההתאגדות")</f>
        <v>19964</v>
      </c>
      <c r="E10283" t="s">
        <v>19964</v>
      </c>
      <c r="F10283" t="s">
        <v>19965</v>
      </c>
      <c r="G10283" t="s">
        <v>14</v>
      </c>
      <c r="H10283">
             </c>
      <c r="I10283" t="s">
        <v>14</v>
      </c>
      <c r="J10283" t="s">
        <v>141</v>
      </c>
      <c r="K10283" t="s">
        <v>14</v>
      </c>
      <c r="L10283" t="s">
        <v>20</v>
      </c>
      <c r="M10283" t="s">
        <v>19820</v>
      </c>
      <c r="N10283" t="s">
        <v>14</v>
      </c>
    </row>
    <row r="10284" x14ac:dyDescent="0.25">
      <c r="A10284" t="n">
        <v>24</v>
      </c>
      <c r="B10284" t="s">
        <v>14</v>
      </c>
      <c r="C10284" t="s">
        <v>22</v>
      </c>
      <c r="D10284" s="2" t="s">
        <f>=HYPERLINK("https://main.knesset.gov.il/APPS/legislation/main/bills/2159261", "הצעת חוק-יסוד: חופש הביטוי וההתאגדות")</f>
        <v>19964</v>
      </c>
      <c r="E10284" t="s">
        <v>19964</v>
      </c>
      <c r="F10284" t="s">
        <v>19966</v>
      </c>
      <c r="G10284" t="s">
        <v>14</v>
      </c>
      <c r="H10284">
             </c>
      <c r="I10284" t="s">
        <v>14</v>
      </c>
      <c r="J10284" t="s">
        <v>141</v>
      </c>
      <c r="K10284" t="s">
        <v>14</v>
      </c>
      <c r="L10284" t="s">
        <v>20</v>
      </c>
      <c r="M10284" t="s">
        <v>19820</v>
      </c>
      <c r="N10284" t="s">
        <v>14</v>
      </c>
    </row>
    <row r="10285" x14ac:dyDescent="0.25">
      <c r="A10285" t="n">
        <v>24</v>
      </c>
      <c r="B10285" t="s">
        <v>14</v>
      </c>
      <c r="C10285" t="s">
        <v>22</v>
      </c>
      <c r="D10285" s="2" t="s">
        <f>=HYPERLINK("https://main.knesset.gov.il/APPS/legislation/main/bills/2159040", "הצעת חוק זכויות התלמיד (תיקון - איסור התניית זכות הלימוד בתשלום), התשפ""א-2021")</f>
        <v>19967</v>
      </c>
      <c r="E10285" t="s">
        <v>19967</v>
      </c>
      <c r="F10285" t="s">
        <v>19968</v>
      </c>
      <c r="G10285" t="s">
        <v>14</v>
      </c>
      <c r="H10285">
             </c>
      <c r="I10285" t="s">
        <v>14</v>
      </c>
      <c r="J10285" t="s">
        <v>141</v>
      </c>
      <c r="K10285" t="s">
        <v>14</v>
      </c>
      <c r="L10285" t="s">
        <v>20</v>
      </c>
      <c r="M10285" t="s">
        <v>19969</v>
      </c>
      <c r="N10285" t="s">
        <v>14</v>
      </c>
    </row>
    <row r="10286" x14ac:dyDescent="0.25">
      <c r="A10286" t="n">
        <v>24</v>
      </c>
      <c r="B10286" t="s">
        <v>14</v>
      </c>
      <c r="C10286" t="s">
        <v>22</v>
      </c>
      <c r="D10286" s="2" t="s">
        <f>=HYPERLINK("https://main.knesset.gov.il/APPS/legislation/main/bills/2159030", "הצעת חוק זכויות הדייר בדיור הציבורי (תיקון - עיגון זכויות דייר ממשיך בדיור הציבורי), התשפ""א-2021")</f>
        <v>19970</v>
      </c>
      <c r="E10286" t="s">
        <v>19970</v>
      </c>
      <c r="F10286" t="s">
        <v>19971</v>
      </c>
      <c r="G10286" t="s">
        <v>14</v>
      </c>
      <c r="H10286">
             </c>
      <c r="I10286" t="s">
        <v>14</v>
      </c>
      <c r="J10286" t="s">
        <v>141</v>
      </c>
      <c r="K10286" t="s">
        <v>14</v>
      </c>
      <c r="L10286" t="s">
        <v>20</v>
      </c>
      <c r="M10286" t="s">
        <v>19969</v>
      </c>
      <c r="N10286" t="s">
        <v>14</v>
      </c>
    </row>
    <row r="10287" x14ac:dyDescent="0.25">
      <c r="A10287" t="n">
        <v>24</v>
      </c>
      <c r="B10287" t="s">
        <v>14</v>
      </c>
      <c r="C10287" t="s">
        <v>22</v>
      </c>
      <c r="D10287" s="2" t="s">
        <f>=HYPERLINK("https://main.knesset.gov.il/APPS/legislation/main/bills/2159221", "הצעת חוק הכשרות לאנשי מקצוע בתחום החינוך בנושא מגדר ונטייה מינית, התשפ""א-2021")</f>
        <v>19972</v>
      </c>
      <c r="E10287" t="s">
        <v>19972</v>
      </c>
      <c r="F10287" t="s">
        <v>19973</v>
      </c>
      <c r="G10287" t="s">
        <v>14</v>
      </c>
      <c r="H10287">
             </c>
      <c r="I10287" t="s">
        <v>14</v>
      </c>
      <c r="J10287" t="s">
        <v>141</v>
      </c>
      <c r="K10287" t="s">
        <v>14</v>
      </c>
      <c r="L10287" t="s">
        <v>20</v>
      </c>
      <c r="M10287" t="s">
        <v>19969</v>
      </c>
      <c r="N10287" t="s">
        <v>14</v>
      </c>
    </row>
    <row r="10288" x14ac:dyDescent="0.25">
      <c r="A10288" t="n">
        <v>24</v>
      </c>
      <c r="B10288" t="s">
        <v>14</v>
      </c>
      <c r="C10288" t="s">
        <v>22</v>
      </c>
      <c r="D10288" s="2" t="s">
        <f>=HYPERLINK("https://main.knesset.gov.il/APPS/legislation/main/bills/2159056", "הצעת חוק התקשורת (בזק ושידורים) (תיקון - חובת סינון אתרים פוגעניים), התשפ""א-2021")</f>
        <v>19974</v>
      </c>
      <c r="E10288" t="s">
        <v>19974</v>
      </c>
      <c r="F10288" t="s">
        <v>19975</v>
      </c>
      <c r="G10288" t="s">
        <v>14</v>
      </c>
      <c r="H10288">
             </c>
      <c r="I10288" t="s">
        <v>14</v>
      </c>
      <c r="J10288" t="s">
        <v>141</v>
      </c>
      <c r="K10288" t="s">
        <v>14</v>
      </c>
      <c r="L10288" t="s">
        <v>20</v>
      </c>
      <c r="M10288" t="s">
        <v>19969</v>
      </c>
      <c r="N10288" t="s">
        <v>14</v>
      </c>
    </row>
    <row r="10289" x14ac:dyDescent="0.25">
      <c r="A10289" t="n">
        <v>24</v>
      </c>
      <c r="B10289" t="s">
        <v>14</v>
      </c>
      <c r="C10289" t="s">
        <v>22</v>
      </c>
      <c r="D10289" s="2" t="s">
        <f>=HYPERLINK("https://main.knesset.gov.il/APPS/legislation/main/bills/2159374", "הצעת חוק בית המשפט לענייני משפחה (תיקון - בני זוג מאותו המין), התשפ""א-2021")</f>
        <v>19976</v>
      </c>
      <c r="E10289" t="s">
        <v>19976</v>
      </c>
      <c r="F10289" t="s">
        <v>19977</v>
      </c>
      <c r="G10289" t="s">
        <v>14</v>
      </c>
      <c r="H10289">
             </c>
      <c r="I10289" t="s">
        <v>14</v>
      </c>
      <c r="J10289" t="s">
        <v>141</v>
      </c>
      <c r="K10289" t="s">
        <v>14</v>
      </c>
      <c r="L10289" t="s">
        <v>20</v>
      </c>
      <c r="M10289" t="s">
        <v>19969</v>
      </c>
      <c r="N10289" t="s">
        <v>14</v>
      </c>
    </row>
    <row r="10290" x14ac:dyDescent="0.25">
      <c r="A10290" t="n">
        <v>24</v>
      </c>
      <c r="B10290" t="s">
        <v>14</v>
      </c>
      <c r="C10290" t="s">
        <v>22</v>
      </c>
      <c r="D10290" s="2" t="s">
        <f>=HYPERLINK("https://main.knesset.gov.il/APPS/legislation/main/bills/2159233", "הצעת חוק נכסי נפקדים (תיקון - החזרת נכסים לנפקד שהפך לאזרח), התשפ""א-2021")</f>
        <v>19978</v>
      </c>
      <c r="E10290" t="s">
        <v>19978</v>
      </c>
      <c r="F10290" t="s">
        <v>19979</v>
      </c>
      <c r="G10290" t="s">
        <v>14</v>
      </c>
      <c r="H10290">
             </c>
      <c r="I10290" t="s">
        <v>14</v>
      </c>
      <c r="J10290" t="s">
        <v>141</v>
      </c>
      <c r="K10290" t="s">
        <v>14</v>
      </c>
      <c r="L10290" t="s">
        <v>20</v>
      </c>
      <c r="M10290" t="s">
        <v>19969</v>
      </c>
      <c r="N10290" t="s">
        <v>14</v>
      </c>
    </row>
    <row r="10291" x14ac:dyDescent="0.25">
      <c r="A10291" t="n">
        <v>24</v>
      </c>
      <c r="B10291" t="s">
        <v>14</v>
      </c>
      <c r="C10291" t="s">
        <v>22</v>
      </c>
      <c r="D10291" s="2" t="s">
        <f>=HYPERLINK("https://main.knesset.gov.il/APPS/legislation/main/bills/2158905", "הצעת חוק אימוץ ילדים (תיקון - צמצום דרישת דת זהה), התשפ""א-2021")</f>
        <v>19980</v>
      </c>
      <c r="E10291" t="s">
        <v>19980</v>
      </c>
      <c r="F10291" t="s">
        <v>19981</v>
      </c>
      <c r="G10291" t="s">
        <v>14</v>
      </c>
      <c r="H10291">
             </c>
      <c r="I10291" t="s">
        <v>14</v>
      </c>
      <c r="J10291" t="s">
        <v>141</v>
      </c>
      <c r="K10291" t="s">
        <v>14</v>
      </c>
      <c r="L10291" t="s">
        <v>20</v>
      </c>
      <c r="M10291" t="s">
        <v>19969</v>
      </c>
      <c r="N10291" t="s">
        <v>14</v>
      </c>
    </row>
    <row r="10292" x14ac:dyDescent="0.25">
      <c r="A10292" t="n">
        <v>24</v>
      </c>
      <c r="B10292" t="s">
        <v>14</v>
      </c>
      <c r="C10292" t="s">
        <v>22</v>
      </c>
      <c r="D10292" s="2" t="s">
        <f>=HYPERLINK("https://main.knesset.gov.il/APPS/legislation/main/bills/2158836", "הצעת חוק השבות (תיקון - מיהו יהודי), התשפ""א-2021")</f>
        <v>19982</v>
      </c>
      <c r="E10292" t="s">
        <v>19982</v>
      </c>
      <c r="F10292" t="s">
        <v>19983</v>
      </c>
      <c r="G10292" t="s">
        <v>14</v>
      </c>
      <c r="H10292">
             </c>
      <c r="I10292" t="s">
        <v>14</v>
      </c>
      <c r="J10292" t="s">
        <v>343</v>
      </c>
      <c r="K10292" t="s">
        <v>14</v>
      </c>
      <c r="L10292" t="s">
        <v>20</v>
      </c>
      <c r="M10292" t="s">
        <v>19969</v>
      </c>
      <c r="N10292" t="s">
        <v>14</v>
      </c>
    </row>
    <row r="10293" x14ac:dyDescent="0.25">
      <c r="A10293" t="n">
        <v>24</v>
      </c>
      <c r="B10293" t="s">
        <v>14</v>
      </c>
      <c r="C10293" t="s">
        <v>22</v>
      </c>
      <c r="D10293" s="2" t="s">
        <f>=HYPERLINK("https://main.knesset.gov.il/APPS/legislation/main/bills/2159150", "הצעת חוק העונשין (תיקון - עונש מינימום על החזקת נשק בלתי חוקי), התשפ""א-2021")</f>
        <v>19540</v>
      </c>
      <c r="E10293" t="s">
        <v>19540</v>
      </c>
      <c r="F10293" t="s">
        <v>19984</v>
      </c>
      <c r="G10293" t="s">
        <v>14</v>
      </c>
      <c r="H10293">
             </c>
      <c r="I10293" t="s">
        <v>14</v>
      </c>
      <c r="J10293" t="s">
        <v>141</v>
      </c>
      <c r="K10293" t="s">
        <v>14</v>
      </c>
      <c r="L10293" t="s">
        <v>20</v>
      </c>
      <c r="M10293" t="s">
        <v>19969</v>
      </c>
      <c r="N10293" t="s">
        <v>14</v>
      </c>
    </row>
    <row r="10294" x14ac:dyDescent="0.25">
      <c r="A10294" t="n">
        <v>24</v>
      </c>
      <c r="B10294" t="s">
        <v>14</v>
      </c>
      <c r="C10294" t="s">
        <v>22</v>
      </c>
      <c r="D10294" s="2" t="s">
        <f>=HYPERLINK("https://main.knesset.gov.il/APPS/legislation/main/bills/2156753", "הצעת חוק הכשרות המשפטית והאפוטרופסות (תיקון - שלילת האפוטרופסות הטבעית עבור נאשמים ומורשעים בעבירות אלימות במשפחה), התשפ""א-2021")</f>
        <v>19985</v>
      </c>
      <c r="E10294" t="s">
        <v>19985</v>
      </c>
      <c r="F10294" t="s">
        <v>19986</v>
      </c>
      <c r="G10294" t="s">
        <v>14</v>
      </c>
      <c r="H10294">
             </c>
      <c r="I10294" t="s">
        <v>14</v>
      </c>
      <c r="J10294" t="s">
        <v>141</v>
      </c>
      <c r="K10294" t="s">
        <v>14</v>
      </c>
      <c r="L10294" t="s">
        <v>20</v>
      </c>
      <c r="M10294" t="s">
        <v>19969</v>
      </c>
      <c r="N10294" t="s">
        <v>14</v>
      </c>
    </row>
    <row r="10295" x14ac:dyDescent="0.25">
      <c r="A10295" t="n">
        <v>24</v>
      </c>
      <c r="B10295" t="s">
        <v>14</v>
      </c>
      <c r="C10295" t="s">
        <v>22</v>
      </c>
      <c r="D10295" s="2" t="s">
        <f>=HYPERLINK("https://main.knesset.gov.il/APPS/legislation/main/bills/2158994", "הצעת חוק הגנה על בריאות הציבור (מזון) (תיקון - סימון רכיבים אלרגניים), התשפ""א-2021")</f>
        <v>19987</v>
      </c>
      <c r="E10295" t="s">
        <v>19987</v>
      </c>
      <c r="F10295" t="s">
        <v>19988</v>
      </c>
      <c r="G10295" t="s">
        <v>14</v>
      </c>
      <c r="H10295">
             </c>
      <c r="I10295" t="s">
        <v>14</v>
      </c>
      <c r="J10295" t="s">
        <v>141</v>
      </c>
      <c r="K10295" t="s">
        <v>14</v>
      </c>
      <c r="L10295" t="s">
        <v>20</v>
      </c>
      <c r="M10295" t="s">
        <v>19969</v>
      </c>
      <c r="N10295" t="s">
        <v>14</v>
      </c>
    </row>
    <row r="10296" x14ac:dyDescent="0.25">
      <c r="A10296" t="n">
        <v>24</v>
      </c>
      <c r="B10296" t="s">
        <v>14</v>
      </c>
      <c r="C10296" t="s">
        <v>22</v>
      </c>
      <c r="D10296" s="2" t="s">
        <f>=HYPERLINK("https://main.knesset.gov.il/APPS/legislation/main/bills/2158278", "הצעת חוק פיצויים לנפגעי התאונה בהר מירון, התשפ""א-2021")</f>
        <v>19989</v>
      </c>
      <c r="E10296" t="s">
        <v>19989</v>
      </c>
      <c r="F10296" t="s">
        <v>19990</v>
      </c>
      <c r="G10296" t="s">
        <v>14</v>
      </c>
      <c r="H10296">
             </c>
      <c r="I10296" t="s">
        <v>14</v>
      </c>
      <c r="J10296" t="s">
        <v>141</v>
      </c>
      <c r="K10296" t="s">
        <v>14</v>
      </c>
      <c r="L10296" t="s">
        <v>20</v>
      </c>
      <c r="M10296" t="s">
        <v>19969</v>
      </c>
      <c r="N10296" t="s">
        <v>14</v>
      </c>
    </row>
    <row r="10297" x14ac:dyDescent="0.25">
      <c r="A10297" t="n">
        <v>24</v>
      </c>
      <c r="B10297" t="s">
        <v>14</v>
      </c>
      <c r="C10297" t="s">
        <v>22</v>
      </c>
      <c r="D10297" s="2" t="s">
        <f>=HYPERLINK("https://main.knesset.gov.il/APPS/legislation/main/bills/2158381", "הצעת חוק התאמת טפסים ממשלתיים (פרטי הורים), התשפ""א-2021")</f>
        <v>19991</v>
      </c>
      <c r="E10297" t="s">
        <v>19991</v>
      </c>
      <c r="F10297" t="s">
        <v>19992</v>
      </c>
      <c r="G10297" t="s">
        <v>14</v>
      </c>
      <c r="H10297">
             </c>
      <c r="I10297" t="s">
        <v>14</v>
      </c>
      <c r="J10297" t="s">
        <v>141</v>
      </c>
      <c r="K10297" t="s">
        <v>14</v>
      </c>
      <c r="L10297" t="s">
        <v>20</v>
      </c>
      <c r="M10297" t="s">
        <v>19969</v>
      </c>
      <c r="N10297" t="s">
        <v>14</v>
      </c>
    </row>
    <row r="10298" x14ac:dyDescent="0.25">
      <c r="A10298" t="n">
        <v>24</v>
      </c>
      <c r="B10298" t="s">
        <v>14</v>
      </c>
      <c r="C10298" t="s">
        <v>22</v>
      </c>
      <c r="D10298" s="2" t="s">
        <f>=HYPERLINK("https://main.knesset.gov.il/APPS/legislation/main/bills/2156594", "הצעת חוק-יסוד: מגילת העצמאות")</f>
        <v>7662</v>
      </c>
      <c r="E10298" t="s">
        <v>7662</v>
      </c>
      <c r="F10298" t="s">
        <v>19993</v>
      </c>
      <c r="G10298" t="s">
        <v>14</v>
      </c>
      <c r="H10298">
             </c>
      <c r="I10298" t="s">
        <v>14</v>
      </c>
      <c r="J10298" t="s">
        <v>141</v>
      </c>
      <c r="K10298" t="s">
        <v>14</v>
      </c>
      <c r="L10298" t="s">
        <v>20</v>
      </c>
      <c r="M10298" t="s">
        <v>19969</v>
      </c>
      <c r="N10298" t="s">
        <v>14</v>
      </c>
    </row>
    <row r="10299" x14ac:dyDescent="0.25">
      <c r="A10299" t="n">
        <v>24</v>
      </c>
      <c r="B10299" t="s">
        <v>14</v>
      </c>
      <c r="C10299" t="s">
        <v>22</v>
      </c>
      <c r="D10299" s="2" t="s">
        <f>=HYPERLINK("https://main.knesset.gov.il/APPS/legislation/main/bills/2159137", "הצעת חוק שכר החיילים בשירות סדיר, התשפ""א-2021")</f>
        <v>19994</v>
      </c>
      <c r="E10299" t="s">
        <v>19994</v>
      </c>
      <c r="F10299" t="s">
        <v>19995</v>
      </c>
      <c r="G10299" t="s">
        <v>14</v>
      </c>
      <c r="H10299">
             </c>
      <c r="I10299" t="s">
        <v>14</v>
      </c>
      <c r="J10299" t="s">
        <v>141</v>
      </c>
      <c r="K10299" t="s">
        <v>14</v>
      </c>
      <c r="L10299" t="s">
        <v>20</v>
      </c>
      <c r="M10299" t="s">
        <v>19969</v>
      </c>
      <c r="N10299" t="s">
        <v>14</v>
      </c>
    </row>
    <row r="10300" x14ac:dyDescent="0.25">
      <c r="A10300" t="n">
        <v>24</v>
      </c>
      <c r="B10300" t="s">
        <v>14</v>
      </c>
      <c r="C10300" t="s">
        <v>22</v>
      </c>
      <c r="D10300" s="2" t="s">
        <f>=HYPERLINK("https://main.knesset.gov.il/APPS/legislation/main/bills/2158318", "הצעת חוק התכנון והבנייה (תיקון - חיבור לחשמל) (הוראת שעה), התשפ""א-2021")</f>
        <v>19996</v>
      </c>
      <c r="E10300" t="s">
        <v>19996</v>
      </c>
      <c r="F10300" t="s">
        <v>19997</v>
      </c>
      <c r="G10300" t="s">
        <v>14</v>
      </c>
      <c r="H10300">
             </c>
      <c r="I10300" t="s">
        <v>14</v>
      </c>
      <c r="J10300" t="s">
        <v>141</v>
      </c>
      <c r="K10300" t="s">
        <v>14</v>
      </c>
      <c r="L10300" t="s">
        <v>20</v>
      </c>
      <c r="M10300" t="s">
        <v>19969</v>
      </c>
      <c r="N10300" t="s">
        <v>14</v>
      </c>
    </row>
    <row r="10301" x14ac:dyDescent="0.25">
      <c r="A10301" t="n">
        <v>24</v>
      </c>
      <c r="B10301" t="s">
        <v>14</v>
      </c>
      <c r="C10301" t="s">
        <v>22</v>
      </c>
      <c r="D10301" s="2" t="s">
        <f>=HYPERLINK("https://main.knesset.gov.il/APPS/legislation/main/bills/2159163", "הצעת חוק הביטוח הלאומי (תיקון - הצמדת קצבת אזרח ותיק לשכר המינימום), התשפ""א-2021")</f>
        <v>19429</v>
      </c>
      <c r="E10301" t="s">
        <v>19429</v>
      </c>
      <c r="F10301" t="s">
        <v>19998</v>
      </c>
      <c r="G10301" t="s">
        <v>14</v>
      </c>
      <c r="H10301">
             </c>
      <c r="I10301" t="s">
        <v>14</v>
      </c>
      <c r="J10301" t="s">
        <v>141</v>
      </c>
      <c r="K10301" t="s">
        <v>14</v>
      </c>
      <c r="L10301" t="s">
        <v>20</v>
      </c>
      <c r="M10301" t="s">
        <v>19969</v>
      </c>
      <c r="N10301" t="s">
        <v>14</v>
      </c>
    </row>
    <row r="10302" x14ac:dyDescent="0.25">
      <c r="A10302" t="n">
        <v>24</v>
      </c>
      <c r="B10302" t="s">
        <v>14</v>
      </c>
      <c r="C10302" t="s">
        <v>22</v>
      </c>
      <c r="D10302" s="2" t="s">
        <f>=HYPERLINK("https://main.knesset.gov.il/APPS/legislation/main/bills/2159146", "הצעת חוק הביטוח הלאומי (תיקון - הצמדת קצבת אזרח ותיק לשכר המינימום), התשפ""א-2021")</f>
        <v>19429</v>
      </c>
      <c r="E10302" t="s">
        <v>19429</v>
      </c>
      <c r="F10302" t="s">
        <v>19999</v>
      </c>
      <c r="G10302" t="s">
        <v>14</v>
      </c>
      <c r="H10302">
             </c>
      <c r="I10302" t="s">
        <v>14</v>
      </c>
      <c r="J10302" t="s">
        <v>343</v>
      </c>
      <c r="K10302" t="s">
        <v>14</v>
      </c>
      <c r="L10302" t="s">
        <v>20</v>
      </c>
      <c r="M10302" t="s">
        <v>19969</v>
      </c>
      <c r="N10302" t="s">
        <v>14</v>
      </c>
    </row>
    <row r="10303" x14ac:dyDescent="0.25">
      <c r="A10303" t="n">
        <v>24</v>
      </c>
      <c r="B10303" t="s">
        <v>14</v>
      </c>
      <c r="C10303" t="s">
        <v>22</v>
      </c>
      <c r="D10303" s="2" t="s">
        <f>=HYPERLINK("https://main.knesset.gov.il/APPS/legislation/main/bills/2159074", "הצעת חוק ביטוח בריאות ממלכתי (תיקון - מימון הסעה לבית חולים), התשפ""א-2021")</f>
        <v>20000</v>
      </c>
      <c r="E10303" t="s">
        <v>20000</v>
      </c>
      <c r="F10303" t="s">
        <v>20001</v>
      </c>
      <c r="G10303" t="s">
        <v>14</v>
      </c>
      <c r="H10303">
             </c>
      <c r="I10303" t="s">
        <v>14</v>
      </c>
      <c r="J10303" t="s">
        <v>141</v>
      </c>
      <c r="K10303" t="s">
        <v>14</v>
      </c>
      <c r="L10303" t="s">
        <v>20</v>
      </c>
      <c r="M10303" t="s">
        <v>19969</v>
      </c>
      <c r="N10303" t="s">
        <v>14</v>
      </c>
    </row>
    <row r="10304" x14ac:dyDescent="0.25">
      <c r="A10304" t="n">
        <v>24</v>
      </c>
      <c r="B10304" t="s">
        <v>14</v>
      </c>
      <c r="C10304" t="s">
        <v>22</v>
      </c>
      <c r="D10304" s="2" t="s">
        <f>=HYPERLINK("https://main.knesset.gov.il/APPS/legislation/main/bills/2156710", "הצעת חוק עובדים זרים (תיקון - ביטול הצורך בהיתר להעסקת עובד זר מומחה לתקופה קצרה), התשפ""א-2021")</f>
        <v>20002</v>
      </c>
      <c r="E10304" t="s">
        <v>20002</v>
      </c>
      <c r="F10304" t="s">
        <v>20003</v>
      </c>
      <c r="G10304" t="s">
        <v>14</v>
      </c>
      <c r="H10304">
             </c>
      <c r="I10304" t="s">
        <v>14</v>
      </c>
      <c r="J10304" t="s">
        <v>141</v>
      </c>
      <c r="K10304" t="s">
        <v>14</v>
      </c>
      <c r="L10304" t="s">
        <v>20</v>
      </c>
      <c r="M10304" t="s">
        <v>19969</v>
      </c>
      <c r="N10304" t="s">
        <v>14</v>
      </c>
    </row>
    <row r="10305" x14ac:dyDescent="0.25">
      <c r="A10305" t="n">
        <v>24</v>
      </c>
      <c r="B10305" t="s">
        <v>14</v>
      </c>
      <c r="C10305" t="s">
        <v>22</v>
      </c>
      <c r="D10305" s="2" t="s">
        <f>=HYPERLINK("https://main.knesset.gov.il/APPS/legislation/main/bills/2156721", "הצעת חוק הכנסת (תיקון - פרסומים רשמיים מטעם הכנסת), התשפ""א-2021")</f>
        <v>20004</v>
      </c>
      <c r="E10305" t="s">
        <v>20004</v>
      </c>
      <c r="F10305" t="s">
        <v>20005</v>
      </c>
      <c r="G10305" t="s">
        <v>14</v>
      </c>
      <c r="H10305">
             </c>
      <c r="I10305" t="s">
        <v>14</v>
      </c>
      <c r="J10305" t="s">
        <v>141</v>
      </c>
      <c r="K10305" t="s">
        <v>14</v>
      </c>
      <c r="L10305" t="s">
        <v>20</v>
      </c>
      <c r="M10305" t="s">
        <v>19969</v>
      </c>
      <c r="N10305" t="s">
        <v>14</v>
      </c>
    </row>
    <row r="10306" x14ac:dyDescent="0.25">
      <c r="A10306" t="n">
        <v>24</v>
      </c>
      <c r="B10306" t="s">
        <v>14</v>
      </c>
      <c r="C10306" t="s">
        <v>22</v>
      </c>
      <c r="D10306" s="2" t="s">
        <f>=HYPERLINK("https://main.knesset.gov.il/APPS/legislation/main/bills/2156572", "הצעת חוק לימוד חובה (תיקון - תקופת שנת הלימודים וחופשות), התשפ""א-2021")</f>
        <v>20006</v>
      </c>
      <c r="E10306" t="s">
        <v>20006</v>
      </c>
      <c r="F10306" t="s">
        <v>20007</v>
      </c>
      <c r="G10306" t="s">
        <v>14</v>
      </c>
      <c r="H10306">
             </c>
      <c r="I10306" t="s">
        <v>14</v>
      </c>
      <c r="J10306" t="s">
        <v>141</v>
      </c>
      <c r="K10306" t="s">
        <v>14</v>
      </c>
      <c r="L10306" t="s">
        <v>20</v>
      </c>
      <c r="M10306" t="s">
        <v>19969</v>
      </c>
      <c r="N10306" t="s">
        <v>14</v>
      </c>
    </row>
    <row r="10307" x14ac:dyDescent="0.25">
      <c r="A10307" t="n">
        <v>24</v>
      </c>
      <c r="B10307" t="s">
        <v>14</v>
      </c>
      <c r="C10307" t="s">
        <v>22</v>
      </c>
      <c r="D10307" s="2" t="s">
        <f>=HYPERLINK("https://main.knesset.gov.il/APPS/legislation/main/bills/2156484", "הצעת חוק הגנת הצרכן (תיקון - פרסומת ודרכי שיווק אסורים במוסד חינוך), התשפ""א-2021")</f>
        <v>20008</v>
      </c>
      <c r="E10307" t="s">
        <v>20008</v>
      </c>
      <c r="F10307" t="s">
        <v>20009</v>
      </c>
      <c r="G10307" t="s">
        <v>14</v>
      </c>
      <c r="H10307">
             </c>
      <c r="I10307" t="s">
        <v>14</v>
      </c>
      <c r="J10307" t="s">
        <v>141</v>
      </c>
      <c r="K10307" t="s">
        <v>14</v>
      </c>
      <c r="L10307" t="s">
        <v>20</v>
      </c>
      <c r="M10307" t="s">
        <v>19969</v>
      </c>
      <c r="N10307" t="s">
        <v>14</v>
      </c>
    </row>
    <row r="10308" x14ac:dyDescent="0.25">
      <c r="A10308" t="n">
        <v>24</v>
      </c>
      <c r="B10308" t="s">
        <v>14</v>
      </c>
      <c r="C10308" t="s">
        <v>22</v>
      </c>
      <c r="D10308" s="2" t="s">
        <f>=HYPERLINK("https://main.knesset.gov.il/APPS/legislation/main/bills/2156544", "הצעת חוק איסור אלימות בספורט (תיקון - איסור התבטאות גזענית מטעמים של זהות מגדרית או נטייה מינית), התשפ""א-2021")</f>
        <v>20010</v>
      </c>
      <c r="E10308" t="s">
        <v>20010</v>
      </c>
      <c r="F10308" t="s">
        <v>20011</v>
      </c>
      <c r="G10308" t="s">
        <v>14</v>
      </c>
      <c r="H10308">
             </c>
      <c r="I10308" t="s">
        <v>14</v>
      </c>
      <c r="J10308" t="s">
        <v>141</v>
      </c>
      <c r="K10308" t="s">
        <v>14</v>
      </c>
      <c r="L10308" t="s">
        <v>20</v>
      </c>
      <c r="M10308" t="s">
        <v>19969</v>
      </c>
      <c r="N10308" t="s">
        <v>14</v>
      </c>
    </row>
    <row r="10309" x14ac:dyDescent="0.25">
      <c r="A10309" t="n">
        <v>24</v>
      </c>
      <c r="B10309" t="s">
        <v>14</v>
      </c>
      <c r="C10309" t="s">
        <v>22</v>
      </c>
      <c r="D10309" s="2" t="s">
        <f>=HYPERLINK("https://main.knesset.gov.il/APPS/legislation/main/bills/2156717", "הצעת חוק פנייה לגופים ציבוריים באמצעי קשר דיגיטליים (תיקון - קביעת תור באמצעות האינטרנט), התשפ""א-2021")</f>
        <v>20012</v>
      </c>
      <c r="E10309" t="s">
        <v>20012</v>
      </c>
      <c r="F10309" t="s">
        <v>20013</v>
      </c>
      <c r="G10309" t="s">
        <v>14</v>
      </c>
      <c r="H10309">
             </c>
      <c r="I10309" t="s">
        <v>14</v>
      </c>
      <c r="J10309" t="s">
        <v>141</v>
      </c>
      <c r="K10309" t="s">
        <v>14</v>
      </c>
      <c r="L10309" t="s">
        <v>20</v>
      </c>
      <c r="M10309" t="s">
        <v>19969</v>
      </c>
      <c r="N10309" t="s">
        <v>14</v>
      </c>
    </row>
    <row r="10310" x14ac:dyDescent="0.25">
      <c r="A10310" t="n">
        <v>24</v>
      </c>
      <c r="B10310" t="s">
        <v>14</v>
      </c>
      <c r="C10310" t="s">
        <v>22</v>
      </c>
      <c r="D10310" s="2" t="s">
        <f>=HYPERLINK("https://main.knesset.gov.il/APPS/legislation/main/bills/2156547", "הצעת חוק הרשות לטקסים ולסמלים ממלכתיים, התשפ""א-2021")</f>
        <v>20014</v>
      </c>
      <c r="E10310" t="s">
        <v>20014</v>
      </c>
      <c r="F10310" t="s">
        <v>20015</v>
      </c>
      <c r="G10310" t="s">
        <v>14</v>
      </c>
      <c r="H10310">
             </c>
      <c r="I10310" t="s">
        <v>14</v>
      </c>
      <c r="J10310" t="s">
        <v>141</v>
      </c>
      <c r="K10310" t="s">
        <v>14</v>
      </c>
      <c r="L10310" t="s">
        <v>20</v>
      </c>
      <c r="M10310" t="s">
        <v>19969</v>
      </c>
      <c r="N10310" t="s">
        <v>14</v>
      </c>
    </row>
    <row r="10311" x14ac:dyDescent="0.25">
      <c r="A10311" t="n">
        <v>24</v>
      </c>
      <c r="B10311" t="s">
        <v>14</v>
      </c>
      <c r="C10311" t="s">
        <v>22</v>
      </c>
      <c r="D10311" s="2" t="s">
        <f>=HYPERLINK("https://main.knesset.gov.il/APPS/legislation/main/bills/2156716", "הצעת חוק-יסוד: משק המדינה (תיקון - בחינת העלות לרשויות מקומיות)")</f>
        <v>2723</v>
      </c>
      <c r="E10311" t="s">
        <v>2723</v>
      </c>
      <c r="F10311" t="s">
        <v>20016</v>
      </c>
      <c r="G10311" t="s">
        <v>14</v>
      </c>
      <c r="H10311">
             </c>
      <c r="I10311" t="s">
        <v>14</v>
      </c>
      <c r="J10311" t="s">
        <v>141</v>
      </c>
      <c r="K10311" t="s">
        <v>14</v>
      </c>
      <c r="L10311" t="s">
        <v>20</v>
      </c>
      <c r="M10311" t="s">
        <v>19969</v>
      </c>
      <c r="N10311" t="s">
        <v>14</v>
      </c>
    </row>
    <row r="10312" x14ac:dyDescent="0.25">
      <c r="A10312" t="n">
        <v>24</v>
      </c>
      <c r="B10312" t="s">
        <v>14</v>
      </c>
      <c r="C10312" t="s">
        <v>22</v>
      </c>
      <c r="D10312" s="2" t="s">
        <f>=HYPERLINK("https://main.knesset.gov.il/APPS/legislation/main/bills/2156533", "הצעת חוק תרומת ביציות (תיקון - תרומת ביציות בין בנות זוג), התשפ""א-2021")</f>
        <v>20017</v>
      </c>
      <c r="E10312" t="s">
        <v>20017</v>
      </c>
      <c r="F10312" t="s">
        <v>20018</v>
      </c>
      <c r="G10312" t="s">
        <v>14</v>
      </c>
      <c r="H10312">
             </c>
      <c r="I10312" t="s">
        <v>14</v>
      </c>
      <c r="J10312" t="s">
        <v>141</v>
      </c>
      <c r="K10312" t="s">
        <v>14</v>
      </c>
      <c r="L10312" t="s">
        <v>20</v>
      </c>
      <c r="M10312" t="s">
        <v>19969</v>
      </c>
      <c r="N10312" t="s">
        <v>14</v>
      </c>
    </row>
    <row r="10313" x14ac:dyDescent="0.25">
      <c r="A10313" t="n">
        <v>24</v>
      </c>
      <c r="B10313" t="s">
        <v>14</v>
      </c>
      <c r="C10313" t="s">
        <v>22</v>
      </c>
      <c r="D10313" s="2" t="s">
        <f>=HYPERLINK("https://main.knesset.gov.il/APPS/legislation/main/bills/2158763", "הצעת חוק האפוטרופוס הכללי (תיקון - הקמת מאגר מידע לעניין כספים ללא דורש), התשפ""א-2021")</f>
        <v>20019</v>
      </c>
      <c r="E10313" t="s">
        <v>20019</v>
      </c>
      <c r="F10313" t="s">
        <v>20020</v>
      </c>
      <c r="G10313" t="s">
        <v>14</v>
      </c>
      <c r="H10313">
             </c>
      <c r="I10313" t="s">
        <v>14</v>
      </c>
      <c r="J10313" t="s">
        <v>141</v>
      </c>
      <c r="K10313" t="s">
        <v>14</v>
      </c>
      <c r="L10313" t="s">
        <v>20</v>
      </c>
      <c r="M10313" t="s">
        <v>19969</v>
      </c>
      <c r="N10313" t="s">
        <v>14</v>
      </c>
    </row>
    <row r="10314" x14ac:dyDescent="0.25">
      <c r="A10314" t="n">
        <v>24</v>
      </c>
      <c r="B10314" t="s">
        <v>14</v>
      </c>
      <c r="C10314" t="s">
        <v>22</v>
      </c>
      <c r="D10314" s="2" t="s">
        <f>=HYPERLINK("https://main.knesset.gov.il/APPS/legislation/main/bills/2156234", "הצעת חוק-יסוד: הממשלה (תיקון - חובת מינוי ממלא מקום ראש הממשלה)")</f>
        <v>2485</v>
      </c>
      <c r="E10314" t="s">
        <v>2485</v>
      </c>
      <c r="F10314" t="s">
        <v>20021</v>
      </c>
      <c r="G10314" t="s">
        <v>14</v>
      </c>
      <c r="H10314">
             </c>
      <c r="I10314" t="s">
        <v>14</v>
      </c>
      <c r="J10314" t="s">
        <v>141</v>
      </c>
      <c r="K10314" t="s">
        <v>14</v>
      </c>
      <c r="L10314" t="s">
        <v>20</v>
      </c>
      <c r="M10314" t="s">
        <v>19969</v>
      </c>
      <c r="N10314" t="s">
        <v>14</v>
      </c>
    </row>
    <row r="10315" x14ac:dyDescent="0.25">
      <c r="A10315" t="n">
        <v>24</v>
      </c>
      <c r="B10315" t="s">
        <v>14</v>
      </c>
      <c r="C10315" t="s">
        <v>22</v>
      </c>
      <c r="D10315" s="2" t="s">
        <f>=HYPERLINK("https://main.knesset.gov.il/APPS/legislation/main/bills/2156575", "הצעת חוק הביטוח הלאומי (תיקון - גמלת אבל), התשפ""א-2021")</f>
        <v>20022</v>
      </c>
      <c r="E10315" t="s">
        <v>20022</v>
      </c>
      <c r="F10315" t="s">
        <v>20023</v>
      </c>
      <c r="G10315" t="s">
        <v>14</v>
      </c>
      <c r="H10315">
             </c>
      <c r="I10315" t="s">
        <v>14</v>
      </c>
      <c r="J10315" t="s">
        <v>141</v>
      </c>
      <c r="K10315" t="s">
        <v>14</v>
      </c>
      <c r="L10315" t="s">
        <v>20</v>
      </c>
      <c r="M10315" t="s">
        <v>19969</v>
      </c>
      <c r="N10315" t="s">
        <v>14</v>
      </c>
    </row>
    <row r="10316" x14ac:dyDescent="0.25">
      <c r="A10316" t="n">
        <v>24</v>
      </c>
      <c r="B10316" t="s">
        <v>14</v>
      </c>
      <c r="C10316" t="s">
        <v>22</v>
      </c>
      <c r="D10316" s="2" t="s">
        <f>=HYPERLINK("https://main.knesset.gov.il/APPS/legislation/main/bills/2156281", "הצעת חוק הממשלה (תיקון - ועדת שרים לענייני חקיקה), התשפ""א-2021")</f>
        <v>19829</v>
      </c>
      <c r="E10316" t="s">
        <v>19829</v>
      </c>
      <c r="F10316" t="s">
        <v>20024</v>
      </c>
      <c r="G10316" t="s">
        <v>14</v>
      </c>
      <c r="H10316">
             </c>
      <c r="I10316" t="s">
        <v>14</v>
      </c>
      <c r="J10316" t="s">
        <v>141</v>
      </c>
      <c r="K10316" t="s">
        <v>14</v>
      </c>
      <c r="L10316" t="s">
        <v>20</v>
      </c>
      <c r="M10316" t="s">
        <v>19969</v>
      </c>
      <c r="N10316" t="s">
        <v>14</v>
      </c>
    </row>
    <row r="10317" x14ac:dyDescent="0.25">
      <c r="A10317" t="n">
        <v>24</v>
      </c>
      <c r="B10317" t="s">
        <v>14</v>
      </c>
      <c r="C10317" t="s">
        <v>22</v>
      </c>
      <c r="D10317" s="2" t="s">
        <f>=HYPERLINK("https://main.knesset.gov.il/APPS/legislation/main/bills/2156558", "הצעת חוק השוואת תשלומים לחיילים בודדים ילידי ישראל וחיילים בודדים שנולדו מחוץ לישראל, התשפ""א-2021")</f>
        <v>20025</v>
      </c>
      <c r="E10317" t="s">
        <v>20025</v>
      </c>
      <c r="F10317" t="s">
        <v>20026</v>
      </c>
      <c r="G10317" t="s">
        <v>14</v>
      </c>
      <c r="H10317">
             </c>
      <c r="I10317" t="s">
        <v>14</v>
      </c>
      <c r="J10317" t="s">
        <v>141</v>
      </c>
      <c r="K10317" t="s">
        <v>14</v>
      </c>
      <c r="L10317" t="s">
        <v>20</v>
      </c>
      <c r="M10317" t="s">
        <v>19969</v>
      </c>
      <c r="N10317" t="s">
        <v>14</v>
      </c>
    </row>
    <row r="10318" x14ac:dyDescent="0.25">
      <c r="A10318" t="n">
        <v>24</v>
      </c>
      <c r="B10318" t="s">
        <v>14</v>
      </c>
      <c r="C10318" t="s">
        <v>22</v>
      </c>
      <c r="D10318" s="2" t="s">
        <f>=HYPERLINK("https://main.knesset.gov.il/APPS/legislation/main/bills/2156588", "הצעת חוק הביטוח הלאומי (תיקון - דמי פגיעה לעצמאי), התשפ""א-2021")</f>
        <v>20027</v>
      </c>
      <c r="E10318" t="s">
        <v>20027</v>
      </c>
      <c r="F10318" t="s">
        <v>20028</v>
      </c>
      <c r="G10318" t="s">
        <v>14</v>
      </c>
      <c r="H10318">
             </c>
      <c r="I10318" t="s">
        <v>14</v>
      </c>
      <c r="J10318" t="s">
        <v>141</v>
      </c>
      <c r="K10318" t="s">
        <v>14</v>
      </c>
      <c r="L10318" t="s">
        <v>20</v>
      </c>
      <c r="M10318" t="s">
        <v>19969</v>
      </c>
      <c r="N10318" t="s">
        <v>14</v>
      </c>
    </row>
    <row r="10319" x14ac:dyDescent="0.25">
      <c r="A10319" t="n">
        <v>24</v>
      </c>
      <c r="B10319" t="s">
        <v>14</v>
      </c>
      <c r="C10319" t="s">
        <v>22</v>
      </c>
      <c r="D10319" s="2" t="s">
        <f>=HYPERLINK("https://main.knesset.gov.il/APPS/legislation/main/bills/2156565", "הצעת חוק דמי מחלה (תיקון - הצהרת מחלה), התשפ""א-2021")</f>
        <v>20029</v>
      </c>
      <c r="E10319" t="s">
        <v>20029</v>
      </c>
      <c r="F10319" t="s">
        <v>20030</v>
      </c>
      <c r="G10319" t="s">
        <v>14</v>
      </c>
      <c r="H10319">
             </c>
      <c r="I10319" t="s">
        <v>14</v>
      </c>
      <c r="J10319" t="s">
        <v>141</v>
      </c>
      <c r="K10319" t="s">
        <v>14</v>
      </c>
      <c r="L10319" t="s">
        <v>20</v>
      </c>
      <c r="M10319" t="s">
        <v>19969</v>
      </c>
      <c r="N10319" t="s">
        <v>14</v>
      </c>
    </row>
    <row r="10320" x14ac:dyDescent="0.25">
      <c r="A10320" t="n">
        <v>24</v>
      </c>
      <c r="B10320" t="s">
        <v>14</v>
      </c>
      <c r="C10320" t="s">
        <v>22</v>
      </c>
      <c r="D10320" s="2" t="s">
        <f>=HYPERLINK("https://main.knesset.gov.il/APPS/legislation/main/bills/2158893", "הצעת חוק לתיקון פקודת העיריות (מס' 146 - הוראת שעה) (קיצור הוראת השעה), התשפ""א-2021")</f>
        <v>20031</v>
      </c>
      <c r="E10320" t="s">
        <v>20031</v>
      </c>
      <c r="F10320" t="s">
        <v>20032</v>
      </c>
      <c r="G10320" t="s">
        <v>14</v>
      </c>
      <c r="H10320">
             </c>
      <c r="I10320" t="s">
        <v>14</v>
      </c>
      <c r="J10320" t="s">
        <v>141</v>
      </c>
      <c r="K10320" t="s">
        <v>14</v>
      </c>
      <c r="L10320" t="s">
        <v>20</v>
      </c>
      <c r="M10320" t="s">
        <v>19969</v>
      </c>
      <c r="N10320" t="s">
        <v>14</v>
      </c>
    </row>
    <row r="10321" x14ac:dyDescent="0.25">
      <c r="A10321" t="n">
        <v>24</v>
      </c>
      <c r="B10321" t="s">
        <v>14</v>
      </c>
      <c r="C10321" t="s">
        <v>22</v>
      </c>
      <c r="D10321" s="2" t="s">
        <f>=HYPERLINK("https://main.knesset.gov.il/APPS/legislation/main/bills/2159035", "הצעת חוק רכזי ביטחון שוטף צבאיים, התשפ""א-2021")</f>
        <v>20033</v>
      </c>
      <c r="E10321" t="s">
        <v>20033</v>
      </c>
      <c r="F10321" t="s">
        <v>20034</v>
      </c>
      <c r="G10321" t="s">
        <v>14</v>
      </c>
      <c r="H10321">
             </c>
      <c r="I10321" t="s">
        <v>14</v>
      </c>
      <c r="J10321" t="s">
        <v>141</v>
      </c>
      <c r="K10321" t="s">
        <v>14</v>
      </c>
      <c r="L10321" t="s">
        <v>20</v>
      </c>
      <c r="M10321" t="s">
        <v>19969</v>
      </c>
      <c r="N10321" t="s">
        <v>14</v>
      </c>
    </row>
    <row r="10322" x14ac:dyDescent="0.25">
      <c r="A10322" t="n">
        <v>24</v>
      </c>
      <c r="B10322" t="s">
        <v>14</v>
      </c>
      <c r="C10322" t="s">
        <v>22</v>
      </c>
      <c r="D10322" s="2" t="s">
        <f>=HYPERLINK("https://main.knesset.gov.il/APPS/legislation/main/bills/2156587", "הצעת חוק רישום האוכלוסין (תיקון - רישום הורה נוסף), התשפ""א-2021")</f>
        <v>20035</v>
      </c>
      <c r="E10322" t="s">
        <v>20035</v>
      </c>
      <c r="F10322" t="s">
        <v>20036</v>
      </c>
      <c r="G10322" t="s">
        <v>14</v>
      </c>
      <c r="H10322">
             </c>
      <c r="I10322" t="s">
        <v>14</v>
      </c>
      <c r="J10322" t="s">
        <v>141</v>
      </c>
      <c r="K10322" t="s">
        <v>14</v>
      </c>
      <c r="L10322" t="s">
        <v>20</v>
      </c>
      <c r="M10322" t="s">
        <v>19969</v>
      </c>
      <c r="N10322" t="s">
        <v>14</v>
      </c>
    </row>
    <row r="10323" x14ac:dyDescent="0.25">
      <c r="A10323" t="n">
        <v>24</v>
      </c>
      <c r="B10323" t="s">
        <v>14</v>
      </c>
      <c r="C10323" t="s">
        <v>22</v>
      </c>
      <c r="D10323" s="2" t="s">
        <f>=HYPERLINK("https://main.knesset.gov.il/APPS/legislation/main/bills/2156580", "הצעת חוק לימודי יסוד במערכת החינוך, התשפ""א-2021")</f>
        <v>19947</v>
      </c>
      <c r="E10323" t="s">
        <v>19947</v>
      </c>
      <c r="F10323" t="s">
        <v>20037</v>
      </c>
      <c r="G10323" t="s">
        <v>14</v>
      </c>
      <c r="H10323">
             </c>
      <c r="I10323" t="s">
        <v>14</v>
      </c>
      <c r="J10323" t="s">
        <v>141</v>
      </c>
      <c r="K10323" t="s">
        <v>14</v>
      </c>
      <c r="L10323" t="s">
        <v>20</v>
      </c>
      <c r="M10323" t="s">
        <v>19969</v>
      </c>
      <c r="N10323" t="s">
        <v>14</v>
      </c>
    </row>
    <row r="10324" x14ac:dyDescent="0.25">
      <c r="A10324" t="n">
        <v>24</v>
      </c>
      <c r="B10324" t="s">
        <v>14</v>
      </c>
      <c r="C10324" t="s">
        <v>22</v>
      </c>
      <c r="D10324" s="2" t="s">
        <f>=HYPERLINK("https://main.knesset.gov.il/APPS/legislation/main/bills/2159165", "הצעת חוק מס ערך מוסף (תיקון - מס בשיעור אפס על ספרי לימוד), התשפ""א-2021")</f>
        <v>20038</v>
      </c>
      <c r="E10324" t="s">
        <v>20038</v>
      </c>
      <c r="F10324" t="s">
        <v>20039</v>
      </c>
      <c r="G10324" t="s">
        <v>14</v>
      </c>
      <c r="H10324">
             </c>
      <c r="I10324" t="s">
        <v>14</v>
      </c>
      <c r="J10324" t="s">
        <v>141</v>
      </c>
      <c r="K10324" t="s">
        <v>14</v>
      </c>
      <c r="L10324" t="s">
        <v>20</v>
      </c>
      <c r="M10324" t="s">
        <v>19969</v>
      </c>
      <c r="N10324" t="s">
        <v>14</v>
      </c>
    </row>
    <row r="10325" x14ac:dyDescent="0.25">
      <c r="A10325" t="n">
        <v>24</v>
      </c>
      <c r="B10325" t="s">
        <v>14</v>
      </c>
      <c r="C10325" t="s">
        <v>22</v>
      </c>
      <c r="D10325" s="2" t="s">
        <f>=HYPERLINK("https://main.knesset.gov.il/APPS/legislation/main/bills/2158128", "הצעת חוק השבות (תיקון - זכויות בני משפחה), התשפ""א-2021")</f>
        <v>17098</v>
      </c>
      <c r="E10325" t="s">
        <v>17098</v>
      </c>
      <c r="F10325" t="s">
        <v>20040</v>
      </c>
      <c r="G10325" t="s">
        <v>14</v>
      </c>
      <c r="H10325">
             </c>
      <c r="I10325" t="s">
        <v>14</v>
      </c>
      <c r="J10325" t="s">
        <v>141</v>
      </c>
      <c r="K10325" t="s">
        <v>14</v>
      </c>
      <c r="L10325" t="s">
        <v>20</v>
      </c>
      <c r="M10325" t="s">
        <v>19969</v>
      </c>
      <c r="N10325" t="s">
        <v>14</v>
      </c>
    </row>
    <row r="10326" x14ac:dyDescent="0.25">
      <c r="A10326" t="n">
        <v>24</v>
      </c>
      <c r="B10326" t="s">
        <v>14</v>
      </c>
      <c r="C10326" t="s">
        <v>22</v>
      </c>
      <c r="D10326" s="2" t="s">
        <f>=HYPERLINK("https://main.knesset.gov.il/APPS/legislation/main/bills/2158979", "הצעת חוק שירות המדינה (מינויים) (תיקון - מינוי יועצים משפטיים של משרדים), התשפ""א-2021")</f>
        <v>18723</v>
      </c>
      <c r="E10326" t="s">
        <v>18723</v>
      </c>
      <c r="F10326" t="s">
        <v>20041</v>
      </c>
      <c r="G10326" t="s">
        <v>14</v>
      </c>
      <c r="H10326">
             </c>
      <c r="I10326" t="s">
        <v>14</v>
      </c>
      <c r="J10326" t="s">
        <v>141</v>
      </c>
      <c r="K10326" t="s">
        <v>14</v>
      </c>
      <c r="L10326" t="s">
        <v>20</v>
      </c>
      <c r="M10326" t="s">
        <v>19969</v>
      </c>
      <c r="N10326" t="s">
        <v>14</v>
      </c>
    </row>
    <row r="10327" x14ac:dyDescent="0.25">
      <c r="A10327" t="n">
        <v>24</v>
      </c>
      <c r="B10327" t="s">
        <v>14</v>
      </c>
      <c r="C10327" t="s">
        <v>22</v>
      </c>
      <c r="D10327" s="2" t="s">
        <f>=HYPERLINK("https://main.knesset.gov.il/APPS/legislation/main/bills/2159037", "הצעת חוק-יסוד: השפיטה (תיקון - הגבלת זכות העמידה) ")</f>
        <v>13492</v>
      </c>
      <c r="E10327" t="s">
        <v>13492</v>
      </c>
      <c r="F10327" t="s">
        <v>20042</v>
      </c>
      <c r="G10327" t="s">
        <v>14</v>
      </c>
      <c r="H10327">
             </c>
      <c r="I10327" t="s">
        <v>14</v>
      </c>
      <c r="J10327" t="s">
        <v>141</v>
      </c>
      <c r="K10327" t="s">
        <v>14</v>
      </c>
      <c r="L10327" t="s">
        <v>20</v>
      </c>
      <c r="M10327" t="s">
        <v>19969</v>
      </c>
      <c r="N10327" t="s">
        <v>14</v>
      </c>
    </row>
    <row r="10328" x14ac:dyDescent="0.25">
      <c r="A10328" t="n">
        <v>24</v>
      </c>
      <c r="B10328" t="s">
        <v>14</v>
      </c>
      <c r="C10328" t="s">
        <v>22</v>
      </c>
      <c r="D10328" s="2" t="s">
        <f>=HYPERLINK("https://main.knesset.gov.il/APPS/legislation/main/bills/2156845", "הצעת חוק הדיינים (תיקון - כשירות הרבנים הראשיים לישראל), התשפ""א-2021")</f>
        <v>20043</v>
      </c>
      <c r="E10328" t="s">
        <v>20043</v>
      </c>
      <c r="F10328" t="s">
        <v>20044</v>
      </c>
      <c r="G10328" t="s">
        <v>14</v>
      </c>
      <c r="H10328">
             </c>
      <c r="I10328" t="s">
        <v>14</v>
      </c>
      <c r="J10328" t="s">
        <v>141</v>
      </c>
      <c r="K10328" t="s">
        <v>14</v>
      </c>
      <c r="L10328" t="s">
        <v>20</v>
      </c>
      <c r="M10328" t="s">
        <v>19969</v>
      </c>
      <c r="N10328" t="s">
        <v>14</v>
      </c>
    </row>
    <row r="10329" x14ac:dyDescent="0.25">
      <c r="A10329" t="n">
        <v>24</v>
      </c>
      <c r="B10329" t="s">
        <v>14</v>
      </c>
      <c r="C10329" t="s">
        <v>22</v>
      </c>
      <c r="D10329" s="2" t="s">
        <f>=HYPERLINK("https://main.knesset.gov.il/APPS/legislation/main/bills/2159190", "הצעת חוק-יסוד: משק המדינה (תיקון - בחירה בין תקציב חד-שנתי לדו-שנתי)")</f>
        <v>20045</v>
      </c>
      <c r="E10329" t="s">
        <v>20045</v>
      </c>
      <c r="F10329" t="s">
        <v>20046</v>
      </c>
      <c r="G10329" t="s">
        <v>14</v>
      </c>
      <c r="H10329">
             </c>
      <c r="I10329" t="s">
        <v>14</v>
      </c>
      <c r="J10329" t="s">
        <v>141</v>
      </c>
      <c r="K10329" t="s">
        <v>14</v>
      </c>
      <c r="L10329" t="s">
        <v>20</v>
      </c>
      <c r="M10329" t="s">
        <v>20047</v>
      </c>
      <c r="N10329" t="s">
        <v>14</v>
      </c>
    </row>
    <row r="10330" x14ac:dyDescent="0.25">
      <c r="A10330" t="n">
        <v>24</v>
      </c>
      <c r="B10330" t="s">
        <v>14</v>
      </c>
      <c r="C10330" t="s">
        <v>22</v>
      </c>
      <c r="D10330" s="2" t="s">
        <f>=HYPERLINK("https://main.knesset.gov.il/APPS/legislation/main/bills/2156711", "הצעת חוק עבודת נשים (תיקון - הוספת חלקו של חודש במניין), התשפ""א-2021")</f>
        <v>19157</v>
      </c>
      <c r="E10330" t="s">
        <v>19157</v>
      </c>
      <c r="F10330" t="s">
        <v>20048</v>
      </c>
      <c r="G10330" t="s">
        <v>14</v>
      </c>
      <c r="H10330">
             </c>
      <c r="I10330" t="s">
        <v>14</v>
      </c>
      <c r="J10330" t="s">
        <v>141</v>
      </c>
      <c r="K10330" t="s">
        <v>14</v>
      </c>
      <c r="L10330" t="s">
        <v>20</v>
      </c>
      <c r="M10330" t="s">
        <v>20047</v>
      </c>
      <c r="N10330" t="s">
        <v>14</v>
      </c>
    </row>
    <row r="10331" x14ac:dyDescent="0.25">
      <c r="A10331" t="n">
        <v>24</v>
      </c>
      <c r="B10331" t="s">
        <v>14</v>
      </c>
      <c r="C10331" t="s">
        <v>22</v>
      </c>
      <c r="D10331" s="2" t="s">
        <f>=HYPERLINK("https://main.knesset.gov.il/APPS/legislation/main/bills/2156553", "הצעת חוק בית המשפט לענייני משפחה (תיקון - בני זוג מאותו המין), התשפ""א-2021")</f>
        <v>19976</v>
      </c>
      <c r="E10331" t="s">
        <v>19976</v>
      </c>
      <c r="F10331" t="s">
        <v>20049</v>
      </c>
      <c r="G10331" t="s">
        <v>14</v>
      </c>
      <c r="H10331">
             </c>
      <c r="I10331" t="s">
        <v>14</v>
      </c>
      <c r="J10331" t="s">
        <v>141</v>
      </c>
      <c r="K10331" t="s">
        <v>14</v>
      </c>
      <c r="L10331" t="s">
        <v>20</v>
      </c>
      <c r="M10331" t="s">
        <v>20047</v>
      </c>
      <c r="N10331" t="s">
        <v>14</v>
      </c>
    </row>
    <row r="10332" x14ac:dyDescent="0.25">
      <c r="A10332" t="n">
        <v>24</v>
      </c>
      <c r="B10332" t="s">
        <v>14</v>
      </c>
      <c r="C10332" t="s">
        <v>22</v>
      </c>
      <c r="D10332" s="2" t="s">
        <f>=HYPERLINK("https://main.knesset.gov.il/APPS/legislation/main/bills/2159188", "הצעת חוק-יסוד: ממשלת חילופים (תיקוני חקיקה)")</f>
        <v>20050</v>
      </c>
      <c r="E10332" t="s">
        <v>20050</v>
      </c>
      <c r="F10332" t="s">
        <v>20051</v>
      </c>
      <c r="G10332" t="s">
        <v>14</v>
      </c>
      <c r="H10332">
             </c>
      <c r="I10332" t="s">
        <v>14</v>
      </c>
      <c r="J10332" t="s">
        <v>141</v>
      </c>
      <c r="K10332" t="s">
        <v>14</v>
      </c>
      <c r="L10332" t="s">
        <v>20</v>
      </c>
      <c r="M10332" t="s">
        <v>20047</v>
      </c>
      <c r="N10332" t="s">
        <v>14</v>
      </c>
    </row>
    <row r="10333" x14ac:dyDescent="0.25">
      <c r="A10333" t="n">
        <v>24</v>
      </c>
      <c r="B10333" t="s">
        <v>14</v>
      </c>
      <c r="C10333" t="s">
        <v>22</v>
      </c>
      <c r="D10333" s="2" t="s">
        <f>=HYPERLINK("https://main.knesset.gov.il/APPS/legislation/main/bills/2156523", "הצעת חוק המוזיאונים (תיקון - מוזיאונים להנצחה ולהנחלה של זכר השואה והגבורה), התשפ""א-2021")</f>
        <v>20052</v>
      </c>
      <c r="E10333" t="s">
        <v>20052</v>
      </c>
      <c r="F10333" t="s">
        <v>20053</v>
      </c>
      <c r="G10333" t="s">
        <v>14</v>
      </c>
      <c r="H10333">
             </c>
      <c r="I10333" t="s">
        <v>14</v>
      </c>
      <c r="J10333" t="s">
        <v>141</v>
      </c>
      <c r="K10333" t="s">
        <v>14</v>
      </c>
      <c r="L10333" t="s">
        <v>20</v>
      </c>
      <c r="M10333" t="s">
        <v>20047</v>
      </c>
      <c r="N10333" t="s">
        <v>14</v>
      </c>
    </row>
    <row r="10334" x14ac:dyDescent="0.25">
      <c r="A10334" t="n">
        <v>24</v>
      </c>
      <c r="B10334" t="s">
        <v>14</v>
      </c>
      <c r="C10334" t="s">
        <v>22</v>
      </c>
      <c r="D10334" s="2" t="s">
        <f>=HYPERLINK("https://main.knesset.gov.il/APPS/legislation/main/bills/2156507", "הצעת חוק הגנת הצרכן (תיקון - שינוי פרטים בכרטיס טיסה או בכרטיס לשיט), התשפ""א-2021")</f>
        <v>20054</v>
      </c>
      <c r="E10334" t="s">
        <v>20054</v>
      </c>
      <c r="F10334" t="s">
        <v>20055</v>
      </c>
      <c r="G10334" t="s">
        <v>14</v>
      </c>
      <c r="H10334">
             </c>
      <c r="I10334" t="s">
        <v>14</v>
      </c>
      <c r="J10334" t="s">
        <v>141</v>
      </c>
      <c r="K10334" t="s">
        <v>14</v>
      </c>
      <c r="L10334" t="s">
        <v>20</v>
      </c>
      <c r="M10334" t="s">
        <v>20047</v>
      </c>
      <c r="N10334" t="s">
        <v>14</v>
      </c>
    </row>
    <row r="10335" x14ac:dyDescent="0.25">
      <c r="A10335" t="n">
        <v>24</v>
      </c>
      <c r="B10335" t="s">
        <v>14</v>
      </c>
      <c r="C10335" t="s">
        <v>22</v>
      </c>
      <c r="D10335" s="2" t="s">
        <f>=HYPERLINK("https://main.knesset.gov.il/APPS/legislation/main/bills/2156713", "הצעת חוק עבודת נשים (תיקון - תקופת לידה והורות לגבר), התשפ""א-2021")</f>
        <v>20056</v>
      </c>
      <c r="E10335" t="s">
        <v>20056</v>
      </c>
      <c r="F10335" t="s">
        <v>20057</v>
      </c>
      <c r="G10335" t="s">
        <v>14</v>
      </c>
      <c r="H10335">
             </c>
      <c r="I10335" t="s">
        <v>14</v>
      </c>
      <c r="J10335" t="s">
        <v>141</v>
      </c>
      <c r="K10335" t="s">
        <v>14</v>
      </c>
      <c r="L10335" t="s">
        <v>20</v>
      </c>
      <c r="M10335" t="s">
        <v>20047</v>
      </c>
      <c r="N10335" t="s">
        <v>14</v>
      </c>
    </row>
    <row r="10336" x14ac:dyDescent="0.25">
      <c r="A10336" t="n">
        <v>24</v>
      </c>
      <c r="B10336" t="s">
        <v>14</v>
      </c>
      <c r="C10336" t="s">
        <v>22</v>
      </c>
      <c r="D10336" s="2" t="s">
        <f>=HYPERLINK("https://main.knesset.gov.il/APPS/legislation/main/bills/2156501", "הצעת חוק איסור טיפולי המרה לקטין, התשפ""א-2021")</f>
        <v>20058</v>
      </c>
      <c r="E10336" t="s">
        <v>20058</v>
      </c>
      <c r="F10336" t="s">
        <v>20059</v>
      </c>
      <c r="G10336" t="s">
        <v>14</v>
      </c>
      <c r="H10336">
             </c>
      <c r="I10336" t="s">
        <v>14</v>
      </c>
      <c r="J10336" t="s">
        <v>141</v>
      </c>
      <c r="K10336" t="s">
        <v>14</v>
      </c>
      <c r="L10336" t="s">
        <v>20</v>
      </c>
      <c r="M10336" t="s">
        <v>20047</v>
      </c>
      <c r="N10336" t="s">
        <v>14</v>
      </c>
    </row>
    <row r="10337" x14ac:dyDescent="0.25">
      <c r="A10337" t="n">
        <v>24</v>
      </c>
      <c r="B10337" t="s">
        <v>14</v>
      </c>
      <c r="C10337" t="s">
        <v>22</v>
      </c>
      <c r="D10337" s="2" t="s">
        <f>=HYPERLINK("https://main.knesset.gov.il/APPS/legislation/main/bills/2159193", "הצעת חוק הדיינים (תיקון - אופן הבטחת הייצוג ההולם לנשים בוועדה), התשפ""א-2021")</f>
        <v>20060</v>
      </c>
      <c r="E10337" t="s">
        <v>20060</v>
      </c>
      <c r="F10337" t="s">
        <v>20061</v>
      </c>
      <c r="G10337" t="s">
        <v>14</v>
      </c>
      <c r="H10337">
             </c>
      <c r="I10337" t="s">
        <v>14</v>
      </c>
      <c r="J10337" t="s">
        <v>141</v>
      </c>
      <c r="K10337" t="s">
        <v>14</v>
      </c>
      <c r="L10337" t="s">
        <v>20</v>
      </c>
      <c r="M10337" t="s">
        <v>20047</v>
      </c>
      <c r="N10337" t="s">
        <v>14</v>
      </c>
    </row>
    <row r="10338" x14ac:dyDescent="0.25">
      <c r="A10338" t="n">
        <v>24</v>
      </c>
      <c r="B10338" t="s">
        <v>14</v>
      </c>
      <c r="C10338" t="s">
        <v>22</v>
      </c>
      <c r="D10338" s="2" t="s">
        <f>=HYPERLINK("https://main.knesset.gov.il/APPS/legislation/main/bills/2156472", "הצעת חוק גמול כספי לחברי מועצה, התשפ""א-2021 ")</f>
        <v>20062</v>
      </c>
      <c r="E10338" t="s">
        <v>20062</v>
      </c>
      <c r="F10338" t="s">
        <v>20063</v>
      </c>
      <c r="G10338" t="s">
        <v>14</v>
      </c>
      <c r="H10338">
             </c>
      <c r="I10338" t="s">
        <v>14</v>
      </c>
      <c r="J10338" t="s">
        <v>141</v>
      </c>
      <c r="K10338" t="s">
        <v>14</v>
      </c>
      <c r="L10338" t="s">
        <v>20</v>
      </c>
      <c r="M10338" t="s">
        <v>20047</v>
      </c>
      <c r="N10338" t="s">
        <v>14</v>
      </c>
    </row>
    <row r="10339" x14ac:dyDescent="0.25">
      <c r="A10339" t="n">
        <v>24</v>
      </c>
      <c r="B10339" t="s">
        <v>14</v>
      </c>
      <c r="C10339" t="s">
        <v>22</v>
      </c>
      <c r="D10339" s="2" t="s">
        <f>=HYPERLINK("https://main.knesset.gov.il/APPS/legislation/main/bills/2159031", "הצעת חוק הכנסת (תיקון - כללי אתיקה לשדלנים), התשפ""א-2021")</f>
        <v>20064</v>
      </c>
      <c r="E10339" t="s">
        <v>20064</v>
      </c>
      <c r="F10339" t="s">
        <v>20065</v>
      </c>
      <c r="G10339" t="s">
        <v>14</v>
      </c>
      <c r="H10339">
             </c>
      <c r="I10339" t="s">
        <v>14</v>
      </c>
      <c r="J10339" t="s">
        <v>141</v>
      </c>
      <c r="K10339" t="s">
        <v>14</v>
      </c>
      <c r="L10339" t="s">
        <v>20</v>
      </c>
      <c r="M10339" t="s">
        <v>20047</v>
      </c>
      <c r="N10339" t="s">
        <v>14</v>
      </c>
    </row>
    <row r="10340" x14ac:dyDescent="0.25">
      <c r="A10340" t="n">
        <v>24</v>
      </c>
      <c r="B10340" t="s">
        <v>14</v>
      </c>
      <c r="C10340" t="s">
        <v>22</v>
      </c>
      <c r="D10340" s="2" t="s">
        <f>=HYPERLINK("https://main.knesset.gov.il/APPS/legislation/main/bills/2159192", "הצעת חוק הכנסת (תיקון - התפלגות ארבעה חברי כנסת מסיעתם), התשפ""א-2021")</f>
        <v>20066</v>
      </c>
      <c r="E10340" t="s">
        <v>20066</v>
      </c>
      <c r="F10340" t="s">
        <v>20067</v>
      </c>
      <c r="G10340" t="s">
        <v>14</v>
      </c>
      <c r="H10340">
             </c>
      <c r="I10340" t="s">
        <v>14</v>
      </c>
      <c r="J10340" t="s">
        <v>141</v>
      </c>
      <c r="K10340" t="s">
        <v>14</v>
      </c>
      <c r="L10340" t="s">
        <v>20</v>
      </c>
      <c r="M10340" t="s">
        <v>20047</v>
      </c>
      <c r="N10340" t="s">
        <v>14</v>
      </c>
    </row>
    <row r="10341" x14ac:dyDescent="0.25">
      <c r="A10341" t="n">
        <v>24</v>
      </c>
      <c r="B10341" t="s">
        <v>14</v>
      </c>
      <c r="C10341" t="s">
        <v>22</v>
      </c>
      <c r="D10341" s="2" t="s">
        <f>=HYPERLINK("https://main.knesset.gov.il/APPS/legislation/main/bills/2157670", "הצעת חוק הביטוח הלאומי (תיקון - גמלה בשל דיכאון לאחר לידה), התשפ""א-2021")</f>
        <v>20068</v>
      </c>
      <c r="E10341" t="s">
        <v>20068</v>
      </c>
      <c r="F10341" t="s">
        <v>20069</v>
      </c>
      <c r="G10341" t="s">
        <v>14</v>
      </c>
      <c r="H10341">
             </c>
      <c r="I10341" t="s">
        <v>14</v>
      </c>
      <c r="J10341" t="s">
        <v>141</v>
      </c>
      <c r="K10341" t="s">
        <v>14</v>
      </c>
      <c r="L10341" t="s">
        <v>20</v>
      </c>
      <c r="M10341" t="s">
        <v>20047</v>
      </c>
      <c r="N10341" t="s">
        <v>14</v>
      </c>
    </row>
    <row r="10342" x14ac:dyDescent="0.25">
      <c r="A10342" t="n">
        <v>24</v>
      </c>
      <c r="B10342" t="s">
        <v>14</v>
      </c>
      <c r="C10342" t="s">
        <v>22</v>
      </c>
      <c r="D10342" s="2" t="s">
        <f>=HYPERLINK("https://main.knesset.gov.il/APPS/legislation/main/bills/2158639", "הצעת חוק הבטחת הכנסה (תיקון - גמלאות להורה עצמאי), התשפ""א-2021")</f>
        <v>20070</v>
      </c>
      <c r="E10342" t="s">
        <v>20070</v>
      </c>
      <c r="F10342" t="s">
        <v>20071</v>
      </c>
      <c r="G10342" t="s">
        <v>14</v>
      </c>
      <c r="H10342">
             </c>
      <c r="I10342" t="s">
        <v>14</v>
      </c>
      <c r="J10342" t="s">
        <v>141</v>
      </c>
      <c r="K10342" t="s">
        <v>14</v>
      </c>
      <c r="L10342" t="s">
        <v>20</v>
      </c>
      <c r="M10342" t="s">
        <v>20047</v>
      </c>
      <c r="N10342" t="s">
        <v>14</v>
      </c>
    </row>
    <row r="10343" x14ac:dyDescent="0.25">
      <c r="A10343" t="n">
        <v>24</v>
      </c>
      <c r="B10343" t="s">
        <v>14</v>
      </c>
      <c r="C10343" t="s">
        <v>22</v>
      </c>
      <c r="D10343" s="2" t="s">
        <f>=HYPERLINK("https://main.knesset.gov.il/APPS/legislation/main/bills/2156469", "הצעת חוק הביטוח הלאומי (תיקון - הכפלת קצבת הילדים בחודשי החגים), התשפ""א-2021")</f>
        <v>20072</v>
      </c>
      <c r="E10343" t="s">
        <v>20072</v>
      </c>
      <c r="F10343" t="s">
        <v>20073</v>
      </c>
      <c r="G10343" t="s">
        <v>14</v>
      </c>
      <c r="H10343">
             </c>
      <c r="I10343" t="s">
        <v>14</v>
      </c>
      <c r="J10343" t="s">
        <v>141</v>
      </c>
      <c r="K10343" t="s">
        <v>14</v>
      </c>
      <c r="L10343" t="s">
        <v>20</v>
      </c>
      <c r="M10343" t="s">
        <v>20047</v>
      </c>
      <c r="N10343" t="s">
        <v>14</v>
      </c>
    </row>
    <row r="10344" x14ac:dyDescent="0.25">
      <c r="A10344" t="n">
        <v>24</v>
      </c>
      <c r="B10344" t="s">
        <v>14</v>
      </c>
      <c r="C10344" t="s">
        <v>22</v>
      </c>
      <c r="D10344" s="2" t="s">
        <f>=HYPERLINK("https://main.knesset.gov.il/APPS/legislation/main/bills/2158053", "הצעת חוק-יסוד: השוויון")</f>
        <v>11747</v>
      </c>
      <c r="E10344" t="s">
        <v>11747</v>
      </c>
      <c r="F10344" t="s">
        <v>20074</v>
      </c>
      <c r="G10344" t="s">
        <v>14</v>
      </c>
      <c r="H10344">
             </c>
      <c r="I10344" t="s">
        <v>14</v>
      </c>
      <c r="J10344" t="s">
        <v>141</v>
      </c>
      <c r="K10344" t="s">
        <v>14</v>
      </c>
      <c r="L10344" t="s">
        <v>20</v>
      </c>
      <c r="M10344" t="s">
        <v>20047</v>
      </c>
      <c r="N10344" t="s">
        <v>14</v>
      </c>
    </row>
    <row r="10345" x14ac:dyDescent="0.25">
      <c r="A10345" t="n">
        <v>24</v>
      </c>
      <c r="B10345" t="s">
        <v>14</v>
      </c>
      <c r="C10345" t="s">
        <v>22</v>
      </c>
      <c r="D10345" s="2" t="s">
        <f>=HYPERLINK("https://main.knesset.gov.il/APPS/legislation/main/bills/2158275", "הצעת חוק המועצה לענף הלול (ייצור ושיווק) (תיקון - סימון ביצים), התשפ""א-2021")</f>
        <v>19494</v>
      </c>
      <c r="E10345" t="s">
        <v>19494</v>
      </c>
      <c r="F10345" t="s">
        <v>20075</v>
      </c>
      <c r="G10345" t="s">
        <v>14</v>
      </c>
      <c r="H10345">
             </c>
      <c r="I10345" t="s">
        <v>14</v>
      </c>
      <c r="J10345" t="s">
        <v>141</v>
      </c>
      <c r="K10345" t="s">
        <v>14</v>
      </c>
      <c r="L10345" t="s">
        <v>20</v>
      </c>
      <c r="M10345" t="s">
        <v>20047</v>
      </c>
      <c r="N10345" t="s">
        <v>14</v>
      </c>
    </row>
    <row r="10346" x14ac:dyDescent="0.25">
      <c r="A10346" t="n">
        <v>24</v>
      </c>
      <c r="B10346" t="s">
        <v>14</v>
      </c>
      <c r="C10346" t="s">
        <v>22</v>
      </c>
      <c r="D10346" s="2" t="s">
        <f>=HYPERLINK("https://main.knesset.gov.il/APPS/legislation/main/bills/2158924", "הצעת חוק ביטוח בריאות ממלכתי (תיקון - העברת תיק רפואי במעבר בין קופות), התשפ""א-2021")</f>
        <v>20076</v>
      </c>
      <c r="E10346" t="s">
        <v>20076</v>
      </c>
      <c r="F10346" t="s">
        <v>20077</v>
      </c>
      <c r="G10346" t="s">
        <v>14</v>
      </c>
      <c r="H10346">
             </c>
      <c r="I10346" t="s">
        <v>14</v>
      </c>
      <c r="J10346" t="s">
        <v>141</v>
      </c>
      <c r="K10346" t="s">
        <v>14</v>
      </c>
      <c r="L10346" t="s">
        <v>20</v>
      </c>
      <c r="M10346" t="s">
        <v>20047</v>
      </c>
      <c r="N10346" t="s">
        <v>14</v>
      </c>
    </row>
    <row r="10347" x14ac:dyDescent="0.25">
      <c r="A10347" t="n">
        <v>24</v>
      </c>
      <c r="B10347" t="s">
        <v>14</v>
      </c>
      <c r="C10347" t="s">
        <v>22</v>
      </c>
      <c r="D10347" s="2" t="s">
        <f>=HYPERLINK("https://main.knesset.gov.il/APPS/legislation/main/bills/2158367", "הצעת חוק ברית הזוגיות לחסרי דת (תיקון - הרחבת רישום בני זוג), התשפ""א-2021")</f>
        <v>20078</v>
      </c>
      <c r="E10347" t="s">
        <v>20078</v>
      </c>
      <c r="F10347" t="s">
        <v>20079</v>
      </c>
      <c r="G10347" t="s">
        <v>14</v>
      </c>
      <c r="H10347">
             </c>
      <c r="I10347" t="s">
        <v>14</v>
      </c>
      <c r="J10347" t="s">
        <v>141</v>
      </c>
      <c r="K10347" t="s">
        <v>14</v>
      </c>
      <c r="L10347" t="s">
        <v>20</v>
      </c>
      <c r="M10347" t="s">
        <v>20047</v>
      </c>
      <c r="N10347" t="s">
        <v>14</v>
      </c>
    </row>
    <row r="10348" x14ac:dyDescent="0.25">
      <c r="A10348" t="n">
        <v>24</v>
      </c>
      <c r="B10348" t="s">
        <v>14</v>
      </c>
      <c r="C10348" t="s">
        <v>22</v>
      </c>
      <c r="D10348" s="2" t="s">
        <f>=HYPERLINK("https://main.knesset.gov.il/APPS/legislation/main/bills/2158856", "הצעת חוק העונשין (תיקון - איסור שידול קטינים להוצאה בשאלה), התשפ""א-2021")</f>
        <v>20080</v>
      </c>
      <c r="E10348" t="s">
        <v>20080</v>
      </c>
      <c r="F10348" t="s">
        <v>20081</v>
      </c>
      <c r="G10348" t="s">
        <v>14</v>
      </c>
      <c r="H10348">
             </c>
      <c r="I10348" t="s">
        <v>14</v>
      </c>
      <c r="J10348" t="s">
        <v>141</v>
      </c>
      <c r="K10348" t="s">
        <v>14</v>
      </c>
      <c r="L10348" t="s">
        <v>20</v>
      </c>
      <c r="M10348" t="s">
        <v>20047</v>
      </c>
      <c r="N10348" t="s">
        <v>14</v>
      </c>
    </row>
    <row r="10349" x14ac:dyDescent="0.25">
      <c r="A10349" t="n">
        <v>24</v>
      </c>
      <c r="B10349" t="s">
        <v>14</v>
      </c>
      <c r="C10349" t="s">
        <v>22</v>
      </c>
      <c r="D10349" s="2" t="s">
        <f>=HYPERLINK("https://main.knesset.gov.il/APPS/legislation/main/bills/2159092", "הצעת חוק-יסוד: הממשלה (תיקון - חובת אמונים לציבור הבוחרים) ")</f>
        <v>20082</v>
      </c>
      <c r="E10349" t="s">
        <v>20082</v>
      </c>
      <c r="F10349" t="s">
        <v>20083</v>
      </c>
      <c r="G10349" t="s">
        <v>14</v>
      </c>
      <c r="H10349">
             </c>
      <c r="I10349" t="s">
        <v>14</v>
      </c>
      <c r="J10349" t="s">
        <v>141</v>
      </c>
      <c r="K10349" t="s">
        <v>14</v>
      </c>
      <c r="L10349" t="s">
        <v>20</v>
      </c>
      <c r="M10349" t="s">
        <v>20047</v>
      </c>
      <c r="N10349" t="s">
        <v>14</v>
      </c>
    </row>
    <row r="10350" x14ac:dyDescent="0.25">
      <c r="A10350" t="n">
        <v>24</v>
      </c>
      <c r="B10350" t="s">
        <v>14</v>
      </c>
      <c r="C10350" t="s">
        <v>22</v>
      </c>
      <c r="D10350" s="2" t="s">
        <f>=HYPERLINK("https://main.knesset.gov.il/APPS/legislation/main/bills/2158490", "הצעת חוק האזרחות (תיקון - הוראות לעניין בקשת התאזרחות של בעל ואישה), התשפ''א-2021")</f>
        <v>20084</v>
      </c>
      <c r="E10350" t="s">
        <v>20084</v>
      </c>
      <c r="F10350" t="s">
        <v>20085</v>
      </c>
      <c r="G10350" t="s">
        <v>14</v>
      </c>
      <c r="H10350">
             </c>
      <c r="I10350" t="s">
        <v>14</v>
      </c>
      <c r="J10350" t="s">
        <v>141</v>
      </c>
      <c r="K10350" t="s">
        <v>14</v>
      </c>
      <c r="L10350" t="s">
        <v>20</v>
      </c>
      <c r="M10350" t="s">
        <v>20047</v>
      </c>
      <c r="N10350" t="s">
        <v>14</v>
      </c>
    </row>
    <row r="10351" x14ac:dyDescent="0.25">
      <c r="A10351" t="n">
        <v>24</v>
      </c>
      <c r="B10351" t="s">
        <v>14</v>
      </c>
      <c r="C10351" t="s">
        <v>22</v>
      </c>
      <c r="D10351" s="2" t="s">
        <f>=HYPERLINK("https://main.knesset.gov.il/APPS/legislation/main/bills/2156835", "הצעת חוק התאמת טפסים ממשלתיים (פרטי הורים), התשפ""א-2021")</f>
        <v>19991</v>
      </c>
      <c r="E10351" t="s">
        <v>19991</v>
      </c>
      <c r="F10351" t="s">
        <v>20086</v>
      </c>
      <c r="G10351" t="s">
        <v>14</v>
      </c>
      <c r="H10351">
             </c>
      <c r="I10351" t="s">
        <v>14</v>
      </c>
      <c r="J10351" t="s">
        <v>141</v>
      </c>
      <c r="K10351" t="s">
        <v>14</v>
      </c>
      <c r="L10351" t="s">
        <v>20</v>
      </c>
      <c r="M10351" t="s">
        <v>20047</v>
      </c>
      <c r="N10351" t="s">
        <v>14</v>
      </c>
    </row>
    <row r="10352" x14ac:dyDescent="0.25">
      <c r="A10352" t="n">
        <v>24</v>
      </c>
      <c r="B10352" t="s">
        <v>14</v>
      </c>
      <c r="C10352" t="s">
        <v>22</v>
      </c>
      <c r="D10352" s="2" t="s">
        <f>=HYPERLINK("https://main.knesset.gov.il/APPS/legislation/main/bills/2159216", "הצעת חוק בתי המשפט (תיקון - הצבעה גלויה) (הוראת שעה), התשפ""א-2021")</f>
        <v>20087</v>
      </c>
      <c r="E10352" t="s">
        <v>20087</v>
      </c>
      <c r="F10352" t="s">
        <v>20088</v>
      </c>
      <c r="G10352" t="s">
        <v>14</v>
      </c>
      <c r="H10352">
             </c>
      <c r="I10352" t="s">
        <v>14</v>
      </c>
      <c r="J10352" t="s">
        <v>141</v>
      </c>
      <c r="K10352" t="s">
        <v>14</v>
      </c>
      <c r="L10352" t="s">
        <v>20</v>
      </c>
      <c r="M10352" t="s">
        <v>20047</v>
      </c>
      <c r="N10352" t="s">
        <v>14</v>
      </c>
    </row>
    <row r="10353" x14ac:dyDescent="0.25">
      <c r="A10353" t="n">
        <v>24</v>
      </c>
      <c r="B10353" t="s">
        <v>14</v>
      </c>
      <c r="C10353" t="s">
        <v>22</v>
      </c>
      <c r="D10353" s="2" t="s">
        <f>=HYPERLINK("https://main.knesset.gov.il/APPS/legislation/main/bills/2158962", "הצעת חוק-יסוד: הממשלה (תיקון - הגבלת מספר שרים וסגני שרים)")</f>
        <v>3098</v>
      </c>
      <c r="E10353" t="s">
        <v>3098</v>
      </c>
      <c r="F10353" t="s">
        <v>20089</v>
      </c>
      <c r="G10353" t="s">
        <v>14</v>
      </c>
      <c r="H10353">
             </c>
      <c r="I10353" t="s">
        <v>14</v>
      </c>
      <c r="J10353" t="s">
        <v>343</v>
      </c>
      <c r="K10353" t="s">
        <v>14</v>
      </c>
      <c r="L10353" t="s">
        <v>20</v>
      </c>
      <c r="M10353" t="s">
        <v>20047</v>
      </c>
      <c r="N10353" t="s">
        <v>14</v>
      </c>
    </row>
    <row r="10354" x14ac:dyDescent="0.25">
      <c r="A10354" t="n">
        <v>24</v>
      </c>
      <c r="B10354" t="s">
        <v>14</v>
      </c>
      <c r="C10354" t="s">
        <v>22</v>
      </c>
      <c r="D10354" s="2" t="s">
        <f>=HYPERLINK("https://main.knesset.gov.il/APPS/legislation/main/bills/2158974", "הצעת חוק הממשלה (תיקון - הקדמת מועד פרסום הסכמים קואליציונים), התשפ""א-2021")</f>
        <v>20090</v>
      </c>
      <c r="E10354" t="s">
        <v>20090</v>
      </c>
      <c r="F10354" t="s">
        <v>20091</v>
      </c>
      <c r="G10354" t="s">
        <v>14</v>
      </c>
      <c r="H10354">
             </c>
      <c r="I10354" t="s">
        <v>14</v>
      </c>
      <c r="J10354" t="s">
        <v>141</v>
      </c>
      <c r="K10354" t="s">
        <v>14</v>
      </c>
      <c r="L10354" t="s">
        <v>20</v>
      </c>
      <c r="M10354" t="s">
        <v>20047</v>
      </c>
      <c r="N10354" t="s">
        <v>14</v>
      </c>
    </row>
    <row r="10355" x14ac:dyDescent="0.25">
      <c r="A10355" t="n">
        <v>24</v>
      </c>
      <c r="B10355" t="s">
        <v>14</v>
      </c>
      <c r="C10355" t="s">
        <v>22</v>
      </c>
      <c r="D10355" s="2" t="s">
        <f>=HYPERLINK("https://main.knesset.gov.il/APPS/legislation/main/bills/2158669", "הצעת חוק ההתגוננות האזרחית (תיקון - פיקוח על מקלטים משותפים), התשפ""א-2021")</f>
        <v>19449</v>
      </c>
      <c r="E10355" t="s">
        <v>19449</v>
      </c>
      <c r="F10355" t="s">
        <v>20092</v>
      </c>
      <c r="G10355" t="s">
        <v>14</v>
      </c>
      <c r="H10355">
             </c>
      <c r="I10355" t="s">
        <v>14</v>
      </c>
      <c r="J10355" t="s">
        <v>141</v>
      </c>
      <c r="K10355" t="s">
        <v>14</v>
      </c>
      <c r="L10355" t="s">
        <v>20</v>
      </c>
      <c r="M10355" t="s">
        <v>20047</v>
      </c>
      <c r="N10355" t="s">
        <v>14</v>
      </c>
    </row>
    <row r="10356" x14ac:dyDescent="0.25">
      <c r="A10356" t="n">
        <v>24</v>
      </c>
      <c r="B10356" t="s">
        <v>14</v>
      </c>
      <c r="C10356" t="s">
        <v>22</v>
      </c>
      <c r="D10356" s="2" t="s">
        <f>=HYPERLINK("https://main.knesset.gov.il/APPS/legislation/main/bills/2158941", "הצעת חוק התכנון והבנייה (תיקון מס' 116) (תיקון - ביטול החוק), התשפ""א-2021")</f>
        <v>19451</v>
      </c>
      <c r="E10356" t="s">
        <v>19451</v>
      </c>
      <c r="F10356" t="s">
        <v>20093</v>
      </c>
      <c r="G10356" t="s">
        <v>14</v>
      </c>
      <c r="H10356">
             </c>
      <c r="I10356" t="s">
        <v>14</v>
      </c>
      <c r="J10356" t="s">
        <v>141</v>
      </c>
      <c r="K10356" t="s">
        <v>14</v>
      </c>
      <c r="L10356" t="s">
        <v>20</v>
      </c>
      <c r="M10356" t="s">
        <v>20047</v>
      </c>
      <c r="N10356" t="s">
        <v>14</v>
      </c>
    </row>
    <row r="10357" x14ac:dyDescent="0.25">
      <c r="A10357" t="n">
        <v>24</v>
      </c>
      <c r="B10357" t="s">
        <v>14</v>
      </c>
      <c r="C10357" t="s">
        <v>22</v>
      </c>
      <c r="D10357" s="2" t="s">
        <f>=HYPERLINK("https://main.knesset.gov.il/APPS/legislation/main/bills/2157679", "הצעת חוק זיכרון השואה והגבורה - יד ושם (תיקון - הגבלות ביקורים של נציגים זרים המעורבים או תומכים בפשעים נגד האנושות, פשעי מלחמה והפרות חמורות של זכויות אדם), התשפ""א-2021")</f>
        <v>20094</v>
      </c>
      <c r="E10357" t="s">
        <v>20094</v>
      </c>
      <c r="F10357" t="s">
        <v>20095</v>
      </c>
      <c r="G10357" t="s">
        <v>14</v>
      </c>
      <c r="H10357">
             </c>
      <c r="I10357" t="s">
        <v>14</v>
      </c>
      <c r="J10357" t="s">
        <v>141</v>
      </c>
      <c r="K10357" t="s">
        <v>14</v>
      </c>
      <c r="L10357" t="s">
        <v>20</v>
      </c>
      <c r="M10357" t="s">
        <v>20047</v>
      </c>
      <c r="N10357" t="s">
        <v>14</v>
      </c>
    </row>
    <row r="10358" x14ac:dyDescent="0.25">
      <c r="A10358" t="n">
        <v>24</v>
      </c>
      <c r="B10358" t="s">
        <v>14</v>
      </c>
      <c r="C10358" t="s">
        <v>22</v>
      </c>
      <c r="D10358" s="2" t="s">
        <f>=HYPERLINK("https://main.knesset.gov.il/APPS/legislation/main/bills/2158715", "הצעת חוק רמת הגולן (תיקון - ביטול החוק), התשפ""א-2021")</f>
        <v>20096</v>
      </c>
      <c r="E10358" t="s">
        <v>20096</v>
      </c>
      <c r="F10358" t="s">
        <v>20097</v>
      </c>
      <c r="G10358" t="s">
        <v>14</v>
      </c>
      <c r="H10358">
             </c>
      <c r="I10358" t="s">
        <v>14</v>
      </c>
      <c r="J10358" t="s">
        <v>141</v>
      </c>
      <c r="K10358" t="s">
        <v>14</v>
      </c>
      <c r="L10358" t="s">
        <v>20</v>
      </c>
      <c r="M10358" t="s">
        <v>20047</v>
      </c>
      <c r="N10358" t="s">
        <v>14</v>
      </c>
    </row>
    <row r="10359" x14ac:dyDescent="0.25">
      <c r="A10359" t="n">
        <v>24</v>
      </c>
      <c r="B10359" t="s">
        <v>14</v>
      </c>
      <c r="C10359" t="s">
        <v>22</v>
      </c>
      <c r="D10359" s="2" t="s">
        <f>=HYPERLINK("https://main.knesset.gov.il/APPS/legislation/main/bills/2158766", "הצעת חוק החזרת תושבי בירעם ואיקרית לבתיהם, התשפ""א-2021")</f>
        <v>20098</v>
      </c>
      <c r="E10359" t="s">
        <v>20098</v>
      </c>
      <c r="F10359" t="s">
        <v>20099</v>
      </c>
      <c r="G10359" t="s">
        <v>14</v>
      </c>
      <c r="H10359">
             </c>
      <c r="I10359" t="s">
        <v>14</v>
      </c>
      <c r="J10359" t="s">
        <v>141</v>
      </c>
      <c r="K10359" t="s">
        <v>14</v>
      </c>
      <c r="L10359" t="s">
        <v>20</v>
      </c>
      <c r="M10359" t="s">
        <v>20047</v>
      </c>
      <c r="N10359" t="s">
        <v>14</v>
      </c>
    </row>
    <row r="10360" x14ac:dyDescent="0.25">
      <c r="A10360" t="n">
        <v>24</v>
      </c>
      <c r="B10360" t="s">
        <v>14</v>
      </c>
      <c r="C10360" t="s">
        <v>22</v>
      </c>
      <c r="D10360" s="2" t="s">
        <f>=HYPERLINK("https://main.knesset.gov.il/APPS/legislation/main/bills/2158624", "הצעת חוק מעונות יום שיקומיים (תיקון - טיפולים לפעוט עם מוגבלות מחוץ למעון היום השיקומי), התשפ""א-2021")</f>
        <v>20100</v>
      </c>
      <c r="E10360" t="s">
        <v>20100</v>
      </c>
      <c r="F10360" t="s">
        <v>20101</v>
      </c>
      <c r="G10360" t="s">
        <v>14</v>
      </c>
      <c r="H10360">
             </c>
      <c r="I10360" t="s">
        <v>14</v>
      </c>
      <c r="J10360" t="s">
        <v>141</v>
      </c>
      <c r="K10360" t="s">
        <v>14</v>
      </c>
      <c r="L10360" t="s">
        <v>20</v>
      </c>
      <c r="M10360" t="s">
        <v>20047</v>
      </c>
      <c r="N10360" t="s">
        <v>14</v>
      </c>
    </row>
    <row r="10361" x14ac:dyDescent="0.25">
      <c r="A10361" t="n">
        <v>24</v>
      </c>
      <c r="B10361" t="s">
        <v>14</v>
      </c>
      <c r="C10361" t="s">
        <v>22</v>
      </c>
      <c r="D10361" s="2" t="s">
        <f>=HYPERLINK("https://main.knesset.gov.il/APPS/legislation/main/bills/2157654", "הצעת חוק שכר מינימום לחיילים בשירות סדיר, התשפ""א-2021")</f>
        <v>19145</v>
      </c>
      <c r="E10361" t="s">
        <v>19145</v>
      </c>
      <c r="F10361" t="s">
        <v>20102</v>
      </c>
      <c r="G10361" t="s">
        <v>14</v>
      </c>
      <c r="H10361">
             </c>
      <c r="I10361" t="s">
        <v>14</v>
      </c>
      <c r="J10361" t="s">
        <v>141</v>
      </c>
      <c r="K10361" t="s">
        <v>14</v>
      </c>
      <c r="L10361" t="s">
        <v>20</v>
      </c>
      <c r="M10361" t="s">
        <v>20047</v>
      </c>
      <c r="N10361" t="s">
        <v>14</v>
      </c>
    </row>
    <row r="10362" x14ac:dyDescent="0.25">
      <c r="A10362" t="n">
        <v>24</v>
      </c>
      <c r="B10362" t="s">
        <v>14</v>
      </c>
      <c r="C10362" t="s">
        <v>22</v>
      </c>
      <c r="D10362" s="2" t="s">
        <f>=HYPERLINK("https://main.knesset.gov.il/APPS/legislation/main/bills/2156447", "הצעת חוק הלוואות לשכר לימוד (תיקון - הלוואה ללא ריבית), התשפ""א-2021")</f>
        <v>20103</v>
      </c>
      <c r="E10362" t="s">
        <v>20103</v>
      </c>
      <c r="F10362" t="s">
        <v>20104</v>
      </c>
      <c r="G10362" t="s">
        <v>14</v>
      </c>
      <c r="H10362">
             </c>
      <c r="I10362" t="s">
        <v>14</v>
      </c>
      <c r="J10362" t="s">
        <v>141</v>
      </c>
      <c r="K10362" t="s">
        <v>14</v>
      </c>
      <c r="L10362" t="s">
        <v>20</v>
      </c>
      <c r="M10362" t="s">
        <v>20047</v>
      </c>
      <c r="N10362" t="s">
        <v>14</v>
      </c>
    </row>
    <row r="10363" x14ac:dyDescent="0.25">
      <c r="A10363" t="n">
        <v>24</v>
      </c>
      <c r="B10363" t="s">
        <v>14</v>
      </c>
      <c r="C10363" t="s">
        <v>22</v>
      </c>
      <c r="D10363" s="2" t="s">
        <f>=HYPERLINK("https://main.knesset.gov.il/APPS/legislation/main/bills/2158756", "הצעת חוק הרשות הלאומית למאבק בעוני, התשפ""א-2021 ")</f>
        <v>20105</v>
      </c>
      <c r="E10363" t="s">
        <v>20105</v>
      </c>
      <c r="F10363" t="s">
        <v>20106</v>
      </c>
      <c r="G10363" t="s">
        <v>14</v>
      </c>
      <c r="H10363">
             </c>
      <c r="I10363" t="s">
        <v>14</v>
      </c>
      <c r="J10363" t="s">
        <v>141</v>
      </c>
      <c r="K10363" t="s">
        <v>14</v>
      </c>
      <c r="L10363" t="s">
        <v>20</v>
      </c>
      <c r="M10363" t="s">
        <v>20047</v>
      </c>
      <c r="N10363" t="s">
        <v>14</v>
      </c>
    </row>
    <row r="10364" x14ac:dyDescent="0.25">
      <c r="A10364" t="n">
        <v>24</v>
      </c>
      <c r="B10364" t="s">
        <v>14</v>
      </c>
      <c r="C10364" t="s">
        <v>22</v>
      </c>
      <c r="D10364" s="2" t="s">
        <f>=HYPERLINK("https://main.knesset.gov.il/APPS/legislation/main/bills/2157733", "הצעת חוק הביטוח הלאומי (תיקון - תשלום גמלה לשמירת היריון בעד כל התקופה), התשפ""א-2021")</f>
        <v>20107</v>
      </c>
      <c r="E10364" t="s">
        <v>20107</v>
      </c>
      <c r="F10364" t="s">
        <v>20108</v>
      </c>
      <c r="G10364" t="s">
        <v>14</v>
      </c>
      <c r="H10364">
             </c>
      <c r="I10364" t="s">
        <v>14</v>
      </c>
      <c r="J10364" t="s">
        <v>141</v>
      </c>
      <c r="K10364" t="s">
        <v>14</v>
      </c>
      <c r="L10364" t="s">
        <v>20</v>
      </c>
      <c r="M10364" t="s">
        <v>20047</v>
      </c>
      <c r="N10364" t="s">
        <v>14</v>
      </c>
    </row>
    <row r="10365" x14ac:dyDescent="0.25">
      <c r="A10365" t="n">
        <v>24</v>
      </c>
      <c r="B10365" t="s">
        <v>14</v>
      </c>
      <c r="C10365" t="s">
        <v>22</v>
      </c>
      <c r="D10365" s="2" t="s">
        <f>=HYPERLINK("https://main.knesset.gov.il/APPS/legislation/main/bills/2156850", "הצעת חוק הדיינים (תיקון - מינוי דיין עמית בבית הדין הרבני הגדול), התשפ""א-2021")</f>
        <v>20109</v>
      </c>
      <c r="E10365" t="s">
        <v>20109</v>
      </c>
      <c r="F10365" t="s">
        <v>20110</v>
      </c>
      <c r="G10365" t="s">
        <v>14</v>
      </c>
      <c r="H10365">
             </c>
      <c r="I10365" t="s">
        <v>14</v>
      </c>
      <c r="J10365" t="s">
        <v>141</v>
      </c>
      <c r="K10365" t="s">
        <v>14</v>
      </c>
      <c r="L10365" t="s">
        <v>20</v>
      </c>
      <c r="M10365" t="s">
        <v>20047</v>
      </c>
      <c r="N10365" t="s">
        <v>14</v>
      </c>
    </row>
    <row r="10366" x14ac:dyDescent="0.25">
      <c r="A10366" t="n">
        <v>24</v>
      </c>
      <c r="B10366" t="s">
        <v>14</v>
      </c>
      <c r="C10366" t="s">
        <v>22</v>
      </c>
      <c r="D10366" s="2" t="s">
        <f>=HYPERLINK("https://main.knesset.gov.il/APPS/legislation/main/bills/2157686", "הצעת חוק שעות עבודה ומנוחה (תיקון - קיצור שבוע העבודה), התשפ""א-2021")</f>
        <v>20111</v>
      </c>
      <c r="E10366" t="s">
        <v>20111</v>
      </c>
      <c r="F10366" t="s">
        <v>20112</v>
      </c>
      <c r="G10366" t="s">
        <v>14</v>
      </c>
      <c r="H10366">
             </c>
      <c r="I10366" t="s">
        <v>14</v>
      </c>
      <c r="J10366" t="s">
        <v>141</v>
      </c>
      <c r="K10366" t="s">
        <v>14</v>
      </c>
      <c r="L10366" t="s">
        <v>20</v>
      </c>
      <c r="M10366" t="s">
        <v>20047</v>
      </c>
      <c r="N10366" t="s">
        <v>14</v>
      </c>
    </row>
    <row r="10367" x14ac:dyDescent="0.25">
      <c r="A10367" t="n">
        <v>24</v>
      </c>
      <c r="B10367" t="s">
        <v>14</v>
      </c>
      <c r="C10367" t="s">
        <v>22</v>
      </c>
      <c r="D10367" s="2" t="s">
        <f>=HYPERLINK("https://main.knesset.gov.il/APPS/legislation/main/bills/2156272", "הצעת חוק-יסוד: השפיטה (תיקון - הגבלת זכות העמידה)")</f>
        <v>4330</v>
      </c>
      <c r="E10367" t="s">
        <v>4330</v>
      </c>
      <c r="F10367" t="s">
        <v>20113</v>
      </c>
      <c r="G10367" t="s">
        <v>14</v>
      </c>
      <c r="H10367">
             </c>
      <c r="I10367" t="s">
        <v>14</v>
      </c>
      <c r="J10367" t="s">
        <v>55</v>
      </c>
      <c r="K10367" t="s">
        <v>20114</v>
      </c>
      <c r="L10367" t="s">
        <v>20</v>
      </c>
      <c r="M10367" t="s">
        <v>20115</v>
      </c>
      <c r="N10367" t="s">
        <v>14</v>
      </c>
    </row>
    <row r="10368" x14ac:dyDescent="0.25">
      <c r="A10368" t="n">
        <v>24</v>
      </c>
      <c r="B10368" t="s">
        <v>14</v>
      </c>
      <c r="C10368" t="s">
        <v>22</v>
      </c>
      <c r="D10368" s="2" t="s">
        <f>=HYPERLINK("https://main.knesset.gov.il/APPS/legislation/main/bills/2156108", "הצעת חוק איסור הונאה בכשרות (תיקון - הגדרת המינוח כשר לעניין הטעיה), התשפ""א-2021")</f>
        <v>20116</v>
      </c>
      <c r="E10368" t="s">
        <v>20116</v>
      </c>
      <c r="F10368" t="s">
        <v>20117</v>
      </c>
      <c r="G10368" t="s">
        <v>14</v>
      </c>
      <c r="H10368">
             </c>
      <c r="I10368" t="s">
        <v>14</v>
      </c>
      <c r="J10368" t="s">
        <v>141</v>
      </c>
      <c r="K10368" t="s">
        <v>14</v>
      </c>
      <c r="L10368" t="s">
        <v>20</v>
      </c>
      <c r="M10368" t="s">
        <v>20118</v>
      </c>
      <c r="N10368" t="s">
        <v>14</v>
      </c>
    </row>
    <row r="10369" x14ac:dyDescent="0.25">
      <c r="A10369" t="n">
        <v>24</v>
      </c>
      <c r="B10369" t="s">
        <v>14</v>
      </c>
      <c r="C10369" t="s">
        <v>22</v>
      </c>
      <c r="D10369" s="2" t="s">
        <f>=HYPERLINK("https://main.knesset.gov.il/APPS/legislation/main/bills/2156524", "הצעת חוק שירות המדינה (מינויים) (תיקון - תואר אקדמי רלוונטי), התשפ""א-2021")</f>
        <v>20119</v>
      </c>
      <c r="E10369" t="s">
        <v>20119</v>
      </c>
      <c r="F10369" t="s">
        <v>20120</v>
      </c>
      <c r="G10369" t="s">
        <v>14</v>
      </c>
      <c r="H10369">
             </c>
      <c r="I10369" t="s">
        <v>14</v>
      </c>
      <c r="J10369" t="s">
        <v>141</v>
      </c>
      <c r="K10369" t="s">
        <v>14</v>
      </c>
      <c r="L10369" t="s">
        <v>20</v>
      </c>
      <c r="M10369" t="s">
        <v>20118</v>
      </c>
      <c r="N10369" t="s">
        <v>14</v>
      </c>
    </row>
    <row r="10370" x14ac:dyDescent="0.25">
      <c r="A10370" t="n">
        <v>24</v>
      </c>
      <c r="B10370" t="s">
        <v>14</v>
      </c>
      <c r="C10370" t="s">
        <v>22</v>
      </c>
      <c r="D10370" s="2" t="s">
        <f>=HYPERLINK("https://main.knesset.gov.il/APPS/legislation/main/bills/2158442", "הצעת חוק העונשין (תיקון - מאסר למשתתף בהתפרעות אלימה בעת מצב חירום), התשפ""א-2021")</f>
        <v>20121</v>
      </c>
      <c r="E10370" t="s">
        <v>20121</v>
      </c>
      <c r="F10370" t="s">
        <v>20122</v>
      </c>
      <c r="G10370" t="s">
        <v>14</v>
      </c>
      <c r="H10370">
             </c>
      <c r="I10370" t="s">
        <v>14</v>
      </c>
      <c r="J10370" t="s">
        <v>141</v>
      </c>
      <c r="K10370" t="s">
        <v>14</v>
      </c>
      <c r="L10370" t="s">
        <v>20</v>
      </c>
      <c r="M10370" t="s">
        <v>20118</v>
      </c>
      <c r="N10370" t="s">
        <v>14</v>
      </c>
    </row>
    <row r="10371" x14ac:dyDescent="0.25">
      <c r="A10371" t="n">
        <v>24</v>
      </c>
      <c r="B10371" t="s">
        <v>14</v>
      </c>
      <c r="C10371" t="s">
        <v>22</v>
      </c>
      <c r="D10371" s="2" t="s">
        <f>=HYPERLINK("https://main.knesset.gov.il/APPS/legislation/main/bills/2158048", "הצעת חוק הבחירות לכנסת (תיקון - הצבעה על ידי אזרחים בחוץ לארץ), התשפ""א-2021")</f>
        <v>20123</v>
      </c>
      <c r="E10371" t="s">
        <v>20123</v>
      </c>
      <c r="F10371" t="s">
        <v>20124</v>
      </c>
      <c r="G10371" t="s">
        <v>14</v>
      </c>
      <c r="H10371">
             </c>
      <c r="I10371" t="s">
        <v>14</v>
      </c>
      <c r="J10371" t="s">
        <v>141</v>
      </c>
      <c r="K10371" t="s">
        <v>14</v>
      </c>
      <c r="L10371" t="s">
        <v>20</v>
      </c>
      <c r="M10371" t="s">
        <v>20118</v>
      </c>
      <c r="N10371" t="s">
        <v>14</v>
      </c>
    </row>
    <row r="10372" x14ac:dyDescent="0.25">
      <c r="A10372" t="n">
        <v>24</v>
      </c>
      <c r="B10372" t="s">
        <v>14</v>
      </c>
      <c r="C10372" t="s">
        <v>22</v>
      </c>
      <c r="D10372" s="2" t="s">
        <f>=HYPERLINK("https://main.knesset.gov.il/APPS/legislation/main/bills/2157520", "הצעת חוק העונשין (תיקון - תקיפת נהג אוטובוס ציבורי), התשפ""א-2021")</f>
        <v>20125</v>
      </c>
      <c r="E10372" t="s">
        <v>20125</v>
      </c>
      <c r="F10372" t="s">
        <v>20126</v>
      </c>
      <c r="G10372" t="s">
        <v>14</v>
      </c>
      <c r="H10372">
             </c>
      <c r="I10372" t="s">
        <v>14</v>
      </c>
      <c r="J10372" t="s">
        <v>141</v>
      </c>
      <c r="K10372" t="s">
        <v>14</v>
      </c>
      <c r="L10372" t="s">
        <v>20</v>
      </c>
      <c r="M10372" t="s">
        <v>20118</v>
      </c>
      <c r="N10372" t="s">
        <v>14</v>
      </c>
    </row>
    <row r="10373" x14ac:dyDescent="0.25">
      <c r="A10373" t="n">
        <v>24</v>
      </c>
      <c r="B10373" t="s">
        <v>14</v>
      </c>
      <c r="C10373" t="s">
        <v>22</v>
      </c>
      <c r="D10373" s="2" t="s">
        <f>=HYPERLINK("https://main.knesset.gov.il/APPS/legislation/main/bills/2158072", "הצעת חוק-יסוד: הזכות לדיור")</f>
        <v>11919</v>
      </c>
      <c r="E10373" t="s">
        <v>11919</v>
      </c>
      <c r="F10373" t="s">
        <v>20127</v>
      </c>
      <c r="G10373" t="s">
        <v>14</v>
      </c>
      <c r="H10373">
             </c>
      <c r="I10373" t="s">
        <v>14</v>
      </c>
      <c r="J10373" t="s">
        <v>141</v>
      </c>
      <c r="K10373" t="s">
        <v>14</v>
      </c>
      <c r="L10373" t="s">
        <v>20</v>
      </c>
      <c r="M10373" t="s">
        <v>20118</v>
      </c>
      <c r="N10373" t="s">
        <v>14</v>
      </c>
    </row>
    <row r="10374" x14ac:dyDescent="0.25">
      <c r="A10374" t="n">
        <v>24</v>
      </c>
      <c r="B10374" t="s">
        <v>14</v>
      </c>
      <c r="C10374" t="s">
        <v>22</v>
      </c>
      <c r="D10374" s="2" t="s">
        <f>=HYPERLINK("https://main.knesset.gov.il/APPS/legislation/main/bills/2157994", "הצעת חוק לתיקון פקודת סדרי השלטון והמשפט (חקיקה באמצעות צו), התשפ""א-2021")</f>
        <v>20128</v>
      </c>
      <c r="E10374" t="s">
        <v>20128</v>
      </c>
      <c r="F10374" t="s">
        <v>20129</v>
      </c>
      <c r="G10374" t="s">
        <v>14</v>
      </c>
      <c r="H10374">
             </c>
      <c r="I10374" t="s">
        <v>14</v>
      </c>
      <c r="J10374" t="s">
        <v>141</v>
      </c>
      <c r="K10374" t="s">
        <v>14</v>
      </c>
      <c r="L10374" t="s">
        <v>20</v>
      </c>
      <c r="M10374" t="s">
        <v>20118</v>
      </c>
      <c r="N10374" t="s">
        <v>14</v>
      </c>
    </row>
    <row r="10375" x14ac:dyDescent="0.25">
      <c r="A10375" t="n">
        <v>24</v>
      </c>
      <c r="B10375" t="s">
        <v>14</v>
      </c>
      <c r="C10375" t="s">
        <v>22</v>
      </c>
      <c r="D10375" s="2" t="s">
        <f>=HYPERLINK("https://main.knesset.gov.il/APPS/legislation/main/bills/2156859", "הצעת חוק תשלום פיצויים בשל נזקי אסון טבע, התשפ""א-2021")</f>
        <v>20130</v>
      </c>
      <c r="E10375" t="s">
        <v>20130</v>
      </c>
      <c r="F10375" t="s">
        <v>20131</v>
      </c>
      <c r="G10375" t="s">
        <v>14</v>
      </c>
      <c r="H10375">
             </c>
      <c r="I10375" t="s">
        <v>14</v>
      </c>
      <c r="J10375" t="s">
        <v>141</v>
      </c>
      <c r="K10375" t="s">
        <v>14</v>
      </c>
      <c r="L10375" t="s">
        <v>20</v>
      </c>
      <c r="M10375" t="s">
        <v>20118</v>
      </c>
      <c r="N10375" t="s">
        <v>14</v>
      </c>
    </row>
    <row r="10376" x14ac:dyDescent="0.25">
      <c r="A10376" t="n">
        <v>24</v>
      </c>
      <c r="B10376" t="s">
        <v>14</v>
      </c>
      <c r="C10376" t="s">
        <v>22</v>
      </c>
      <c r="D10376" s="2" t="s">
        <f>=HYPERLINK("https://main.knesset.gov.il/APPS/legislation/main/bills/2157676", "הצעת חוק הרשות הלאומית למניעה ולמאבק באלימות במשפחה ובאלימות נגד נשים, התשפ""א -2021")</f>
        <v>20132</v>
      </c>
      <c r="E10376" t="s">
        <v>20132</v>
      </c>
      <c r="F10376" t="s">
        <v>20133</v>
      </c>
      <c r="G10376" t="s">
        <v>14</v>
      </c>
      <c r="H10376">
             </c>
      <c r="I10376" t="s">
        <v>14</v>
      </c>
      <c r="J10376" t="s">
        <v>141</v>
      </c>
      <c r="K10376" t="s">
        <v>14</v>
      </c>
      <c r="L10376" t="s">
        <v>20</v>
      </c>
      <c r="M10376" t="s">
        <v>20118</v>
      </c>
      <c r="N10376" t="s">
        <v>14</v>
      </c>
    </row>
    <row r="10377" x14ac:dyDescent="0.25">
      <c r="A10377" t="n">
        <v>24</v>
      </c>
      <c r="B10377" t="s">
        <v>14</v>
      </c>
      <c r="C10377" t="s">
        <v>22</v>
      </c>
      <c r="D10377" s="2" t="s">
        <f>=HYPERLINK("https://main.knesset.gov.il/APPS/legislation/main/bills/2158021", "הצעת חוק הביטוח הלאומי (תיקון - אי שלילת זכאות לגמלת סיעוד מקשיש לאחר פטירת בן הזוג), התשפ""א-2021")</f>
        <v>20134</v>
      </c>
      <c r="E10377" t="s">
        <v>20134</v>
      </c>
      <c r="F10377" t="s">
        <v>20135</v>
      </c>
      <c r="G10377" t="s">
        <v>14</v>
      </c>
      <c r="H10377">
             </c>
      <c r="I10377" t="s">
        <v>14</v>
      </c>
      <c r="J10377" t="s">
        <v>141</v>
      </c>
      <c r="K10377" t="s">
        <v>14</v>
      </c>
      <c r="L10377" t="s">
        <v>20</v>
      </c>
      <c r="M10377" t="s">
        <v>20118</v>
      </c>
      <c r="N10377" t="s">
        <v>14</v>
      </c>
    </row>
    <row r="10378" x14ac:dyDescent="0.25">
      <c r="A10378" t="n">
        <v>24</v>
      </c>
      <c r="B10378" t="s">
        <v>14</v>
      </c>
      <c r="C10378" t="s">
        <v>22</v>
      </c>
      <c r="D10378" s="2" t="s">
        <f>=HYPERLINK("https://main.knesset.gov.il/APPS/legislation/main/bills/2157932", "הצעת חוק עבודת נשים (תיקון - חזרה לעבודה מתקופת לידה והורות), התשפ""א-2021")</f>
        <v>19089</v>
      </c>
      <c r="E10378" t="s">
        <v>19089</v>
      </c>
      <c r="F10378" t="s">
        <v>20136</v>
      </c>
      <c r="G10378" t="s">
        <v>14</v>
      </c>
      <c r="H10378">
             </c>
      <c r="I10378" t="s">
        <v>14</v>
      </c>
      <c r="J10378" t="s">
        <v>141</v>
      </c>
      <c r="K10378" t="s">
        <v>14</v>
      </c>
      <c r="L10378" t="s">
        <v>20</v>
      </c>
      <c r="M10378" t="s">
        <v>20118</v>
      </c>
      <c r="N10378" t="s">
        <v>14</v>
      </c>
    </row>
    <row r="10379" x14ac:dyDescent="0.25">
      <c r="A10379" t="n">
        <v>24</v>
      </c>
      <c r="B10379" t="s">
        <v>14</v>
      </c>
      <c r="C10379" t="s">
        <v>22</v>
      </c>
      <c r="D10379" s="2" t="s">
        <f>=HYPERLINK("https://main.knesset.gov.il/APPS/legislation/main/bills/2158650", "הצעת חוק-יסוד: חופש הביטוי וההתאגדות")</f>
        <v>19964</v>
      </c>
      <c r="E10379" t="s">
        <v>19964</v>
      </c>
      <c r="F10379" t="s">
        <v>20137</v>
      </c>
      <c r="G10379" t="s">
        <v>14</v>
      </c>
      <c r="H10379">
             </c>
      <c r="I10379" t="s">
        <v>14</v>
      </c>
      <c r="J10379" t="s">
        <v>141</v>
      </c>
      <c r="K10379" t="s">
        <v>14</v>
      </c>
      <c r="L10379" t="s">
        <v>20</v>
      </c>
      <c r="M10379" t="s">
        <v>20118</v>
      </c>
      <c r="N10379" t="s">
        <v>14</v>
      </c>
    </row>
    <row r="10380" x14ac:dyDescent="0.25">
      <c r="A10380" t="n">
        <v>24</v>
      </c>
      <c r="B10380" t="s">
        <v>14</v>
      </c>
      <c r="C10380" t="s">
        <v>22</v>
      </c>
      <c r="D10380" s="2" t="s">
        <f>=HYPERLINK("https://main.knesset.gov.il/APPS/legislation/main/bills/2158437", "הצעת חוק לתיקון פקודת העיריות (חברות גבייה) (הוראת שעה), התשפ""א-2021")</f>
        <v>20138</v>
      </c>
      <c r="E10380" t="s">
        <v>20138</v>
      </c>
      <c r="F10380" t="s">
        <v>20139</v>
      </c>
      <c r="G10380" t="s">
        <v>14</v>
      </c>
      <c r="H10380">
             </c>
      <c r="I10380" t="s">
        <v>14</v>
      </c>
      <c r="J10380" t="s">
        <v>141</v>
      </c>
      <c r="K10380" t="s">
        <v>14</v>
      </c>
      <c r="L10380" t="s">
        <v>20</v>
      </c>
      <c r="M10380" t="s">
        <v>20118</v>
      </c>
      <c r="N10380" t="s">
        <v>14</v>
      </c>
    </row>
    <row r="10381" x14ac:dyDescent="0.25">
      <c r="A10381" t="n">
        <v>24</v>
      </c>
      <c r="B10381" t="s">
        <v>14</v>
      </c>
      <c r="C10381" t="s">
        <v>22</v>
      </c>
      <c r="D10381" s="2" t="s">
        <f>=HYPERLINK("https://main.knesset.gov.il/APPS/legislation/main/bills/2158666", "הצעת חוק שיפוט בתי דין רבניים (נישואין וגירושין) (תיקון - כפיית גט), התשפ""א-2021")</f>
        <v>20140</v>
      </c>
      <c r="E10381" t="s">
        <v>20140</v>
      </c>
      <c r="F10381" t="s">
        <v>20141</v>
      </c>
      <c r="G10381" t="s">
        <v>14</v>
      </c>
      <c r="H10381">
             </c>
      <c r="I10381" t="s">
        <v>14</v>
      </c>
      <c r="J10381" t="s">
        <v>141</v>
      </c>
      <c r="K10381" t="s">
        <v>14</v>
      </c>
      <c r="L10381" t="s">
        <v>20</v>
      </c>
      <c r="M10381" t="s">
        <v>20118</v>
      </c>
      <c r="N10381" t="s">
        <v>14</v>
      </c>
    </row>
    <row r="10382" x14ac:dyDescent="0.25">
      <c r="A10382" t="n">
        <v>24</v>
      </c>
      <c r="B10382" t="s">
        <v>14</v>
      </c>
      <c r="C10382" t="s">
        <v>22</v>
      </c>
      <c r="D10382" s="2" t="s">
        <f>=HYPERLINK("https://main.knesset.gov.il/APPS/legislation/main/bills/2158074", "הצעת חוק שוויון הזדמנויות במקום מגורים, התשפ""א-2021")</f>
        <v>20142</v>
      </c>
      <c r="E10382" t="s">
        <v>20142</v>
      </c>
      <c r="F10382" t="s">
        <v>20143</v>
      </c>
      <c r="G10382" t="s">
        <v>14</v>
      </c>
      <c r="H10382">
             </c>
      <c r="I10382" t="s">
        <v>14</v>
      </c>
      <c r="J10382" t="s">
        <v>141</v>
      </c>
      <c r="K10382" t="s">
        <v>14</v>
      </c>
      <c r="L10382" t="s">
        <v>20</v>
      </c>
      <c r="M10382" t="s">
        <v>20118</v>
      </c>
      <c r="N10382" t="s">
        <v>14</v>
      </c>
    </row>
    <row r="10383" x14ac:dyDescent="0.25">
      <c r="A10383" t="n">
        <v>24</v>
      </c>
      <c r="B10383" t="s">
        <v>14</v>
      </c>
      <c r="C10383" t="s">
        <v>22</v>
      </c>
      <c r="D10383" s="2" t="s">
        <f>=HYPERLINK("https://main.knesset.gov.il/APPS/legislation/main/bills/2158670", "הצעת חוק לתיקון פקודת הראיות (חיסיון עיתונאי), התשפ""א-2021")</f>
        <v>19738</v>
      </c>
      <c r="E10383" t="s">
        <v>19738</v>
      </c>
      <c r="F10383" t="s">
        <v>20144</v>
      </c>
      <c r="G10383" t="s">
        <v>14</v>
      </c>
      <c r="H10383">
             </c>
      <c r="I10383" t="s">
        <v>14</v>
      </c>
      <c r="J10383" t="s">
        <v>141</v>
      </c>
      <c r="K10383" t="s">
        <v>14</v>
      </c>
      <c r="L10383" t="s">
        <v>20</v>
      </c>
      <c r="M10383" t="s">
        <v>20118</v>
      </c>
      <c r="N10383" t="s">
        <v>14</v>
      </c>
    </row>
    <row r="10384" x14ac:dyDescent="0.25">
      <c r="A10384" t="n">
        <v>24</v>
      </c>
      <c r="B10384" t="s">
        <v>14</v>
      </c>
      <c r="C10384" t="s">
        <v>22</v>
      </c>
      <c r="D10384" s="2" t="s">
        <f>=HYPERLINK("https://main.knesset.gov.il/APPS/legislation/main/bills/2158071", "הצעת חוק העונשין (תיקון - הגדרת גזענות), התשפ""א-2021")</f>
        <v>19363</v>
      </c>
      <c r="E10384" t="s">
        <v>19363</v>
      </c>
      <c r="F10384" t="s">
        <v>20145</v>
      </c>
      <c r="G10384" t="s">
        <v>14</v>
      </c>
      <c r="H10384">
             </c>
      <c r="I10384" t="s">
        <v>14</v>
      </c>
      <c r="J10384" t="s">
        <v>141</v>
      </c>
      <c r="K10384" t="s">
        <v>14</v>
      </c>
      <c r="L10384" t="s">
        <v>20</v>
      </c>
      <c r="M10384" t="s">
        <v>20118</v>
      </c>
      <c r="N10384" t="s">
        <v>14</v>
      </c>
    </row>
    <row r="10385" x14ac:dyDescent="0.25">
      <c r="A10385" t="n">
        <v>24</v>
      </c>
      <c r="B10385" t="s">
        <v>14</v>
      </c>
      <c r="C10385" t="s">
        <v>22</v>
      </c>
      <c r="D10385" s="2" t="s">
        <f>=HYPERLINK("https://main.knesset.gov.il/APPS/legislation/main/bills/2158673", "הצעת חוק שיפוט בתי דין רבניים (נישואין וגירושין) (תיקון - החרגת שפיטה בענייני רכוש בעת גירושין), התשפ""א-2021")</f>
        <v>20146</v>
      </c>
      <c r="E10385" t="s">
        <v>20146</v>
      </c>
      <c r="F10385" t="s">
        <v>20147</v>
      </c>
      <c r="G10385" t="s">
        <v>14</v>
      </c>
      <c r="H10385">
             </c>
      <c r="I10385" t="s">
        <v>14</v>
      </c>
      <c r="J10385" t="s">
        <v>141</v>
      </c>
      <c r="K10385" t="s">
        <v>14</v>
      </c>
      <c r="L10385" t="s">
        <v>20</v>
      </c>
      <c r="M10385" t="s">
        <v>20118</v>
      </c>
      <c r="N10385" t="s">
        <v>14</v>
      </c>
    </row>
    <row r="10386" x14ac:dyDescent="0.25">
      <c r="A10386" t="n">
        <v>24</v>
      </c>
      <c r="B10386" t="s">
        <v>14</v>
      </c>
      <c r="C10386" t="s">
        <v>22</v>
      </c>
      <c r="D10386" s="2" t="s">
        <f>=HYPERLINK("https://main.knesset.gov.il/APPS/legislation/main/bills/2157635", "הצעת חוק-יסוד: נשיא המדינה (תיקון - תקופת צינון למועמד שהוא חבר הכנסת או חבר ממשלה שאינו חבר הכנסת)")</f>
        <v>20148</v>
      </c>
      <c r="E10386" t="s">
        <v>20148</v>
      </c>
      <c r="F10386" t="s">
        <v>20149</v>
      </c>
      <c r="G10386" t="s">
        <v>14</v>
      </c>
      <c r="H10386">
             </c>
      <c r="I10386" t="s">
        <v>14</v>
      </c>
      <c r="J10386" t="s">
        <v>141</v>
      </c>
      <c r="K10386" t="s">
        <v>14</v>
      </c>
      <c r="L10386" t="s">
        <v>20</v>
      </c>
      <c r="M10386" t="s">
        <v>20118</v>
      </c>
      <c r="N10386" t="s">
        <v>14</v>
      </c>
    </row>
    <row r="10387" x14ac:dyDescent="0.25">
      <c r="A10387" t="n">
        <v>24</v>
      </c>
      <c r="B10387" t="s">
        <v>14</v>
      </c>
      <c r="C10387" t="s">
        <v>22</v>
      </c>
      <c r="D10387" s="2" t="s">
        <f>=HYPERLINK("https://main.knesset.gov.il/APPS/legislation/main/bills/2158065", "הצעת חוק האזרחים הוותיקים (תיקון - פטור מתשלום בתחבורה ציבורית), התשפ""א-2021")</f>
        <v>19544</v>
      </c>
      <c r="E10387" t="s">
        <v>19544</v>
      </c>
      <c r="F10387" t="s">
        <v>20150</v>
      </c>
      <c r="G10387" t="s">
        <v>14</v>
      </c>
      <c r="H10387">
             </c>
      <c r="I10387" t="s">
        <v>14</v>
      </c>
      <c r="J10387" t="s">
        <v>141</v>
      </c>
      <c r="K10387" t="s">
        <v>14</v>
      </c>
      <c r="L10387" t="s">
        <v>20</v>
      </c>
      <c r="M10387" t="s">
        <v>20118</v>
      </c>
      <c r="N10387" t="s">
        <v>14</v>
      </c>
    </row>
    <row r="10388" x14ac:dyDescent="0.25">
      <c r="A10388" t="n">
        <v>24</v>
      </c>
      <c r="B10388" t="s">
        <v>14</v>
      </c>
      <c r="C10388" t="s">
        <v>22</v>
      </c>
      <c r="D10388" s="2" t="s">
        <f>=HYPERLINK("https://main.knesset.gov.il/APPS/legislation/main/bills/2158585", "הצעת חוק לתיקון פקודת מס הכנסה (נקודת זיכוי לסטודנטים ולהוריהם), התשפ""א-2021")</f>
        <v>20151</v>
      </c>
      <c r="E10388" t="s">
        <v>20151</v>
      </c>
      <c r="F10388" t="s">
        <v>20152</v>
      </c>
      <c r="G10388" t="s">
        <v>14</v>
      </c>
      <c r="H10388">
             </c>
      <c r="I10388" t="s">
        <v>14</v>
      </c>
      <c r="J10388" t="s">
        <v>141</v>
      </c>
      <c r="K10388" t="s">
        <v>14</v>
      </c>
      <c r="L10388" t="s">
        <v>20</v>
      </c>
      <c r="M10388" t="s">
        <v>20118</v>
      </c>
      <c r="N10388" t="s">
        <v>14</v>
      </c>
    </row>
    <row r="10389" x14ac:dyDescent="0.25">
      <c r="A10389" t="n">
        <v>24</v>
      </c>
      <c r="B10389" t="s">
        <v>14</v>
      </c>
      <c r="C10389" t="s">
        <v>22</v>
      </c>
      <c r="D10389" s="2" t="s">
        <f>=HYPERLINK("https://main.knesset.gov.il/APPS/legislation/main/bills/2158633", "הצעת חוק הכשרות לאנשי מקצוע בתחום החינוך בנושא מגדר ונטייה מינית, התשפ""א-2021")</f>
        <v>19972</v>
      </c>
      <c r="E10389" t="s">
        <v>19972</v>
      </c>
      <c r="F10389" t="s">
        <v>20153</v>
      </c>
      <c r="G10389" t="s">
        <v>14</v>
      </c>
      <c r="H10389">
             </c>
      <c r="I10389" t="s">
        <v>14</v>
      </c>
      <c r="J10389" t="s">
        <v>141</v>
      </c>
      <c r="K10389" t="s">
        <v>14</v>
      </c>
      <c r="L10389" t="s">
        <v>20</v>
      </c>
      <c r="M10389" t="s">
        <v>20118</v>
      </c>
      <c r="N10389" t="s">
        <v>14</v>
      </c>
    </row>
    <row r="10390" x14ac:dyDescent="0.25">
      <c r="A10390" t="n">
        <v>24</v>
      </c>
      <c r="B10390" t="s">
        <v>14</v>
      </c>
      <c r="C10390" t="s">
        <v>22</v>
      </c>
      <c r="D10390" s="2" t="s">
        <f>=HYPERLINK("https://main.knesset.gov.il/APPS/legislation/main/bills/2157489", "הצעת חוק הקמת המוסד העליון לשפת הסימנים הישראלית, התשפ""א-2021")</f>
        <v>18971</v>
      </c>
      <c r="E10390" t="s">
        <v>18971</v>
      </c>
      <c r="F10390" t="s">
        <v>20154</v>
      </c>
      <c r="G10390" t="s">
        <v>14</v>
      </c>
      <c r="H10390">
             </c>
      <c r="I10390" t="s">
        <v>14</v>
      </c>
      <c r="J10390" t="s">
        <v>141</v>
      </c>
      <c r="K10390" t="s">
        <v>14</v>
      </c>
      <c r="L10390" t="s">
        <v>20</v>
      </c>
      <c r="M10390" t="s">
        <v>20118</v>
      </c>
      <c r="N10390" t="s">
        <v>14</v>
      </c>
    </row>
    <row r="10391" x14ac:dyDescent="0.25">
      <c r="A10391" t="n">
        <v>24</v>
      </c>
      <c r="B10391" t="s">
        <v>14</v>
      </c>
      <c r="C10391" t="s">
        <v>22</v>
      </c>
      <c r="D10391" s="2" t="s">
        <f>=HYPERLINK("https://main.knesset.gov.il/APPS/legislation/main/bills/2156971", "הצעת חוק עוסק מפר בנסיבות מחמירות (תיקוני חקיקה), התשפ""א-2021")</f>
        <v>20155</v>
      </c>
      <c r="E10391" t="s">
        <v>20155</v>
      </c>
      <c r="F10391" t="s">
        <v>20156</v>
      </c>
      <c r="G10391" t="s">
        <v>14</v>
      </c>
      <c r="H10391">
             </c>
      <c r="I10391" t="s">
        <v>14</v>
      </c>
      <c r="J10391" t="s">
        <v>141</v>
      </c>
      <c r="K10391" t="s">
        <v>14</v>
      </c>
      <c r="L10391" t="s">
        <v>20</v>
      </c>
      <c r="M10391" t="s">
        <v>20118</v>
      </c>
      <c r="N10391" t="s">
        <v>14</v>
      </c>
    </row>
    <row r="10392" x14ac:dyDescent="0.25">
      <c r="A10392" t="n">
        <v>24</v>
      </c>
      <c r="B10392" t="s">
        <v>14</v>
      </c>
      <c r="C10392" t="s">
        <v>22</v>
      </c>
      <c r="D10392" s="2" t="s">
        <f>=HYPERLINK("https://main.knesset.gov.il/APPS/legislation/main/bills/2158062", "הצעת חוק מס ערך מוסף (תיקון - שיעור מס מופחת על מוצרי מזון בסיסיים), התשפ""א-2021")</f>
        <v>20157</v>
      </c>
      <c r="E10392" t="s">
        <v>20157</v>
      </c>
      <c r="F10392" t="s">
        <v>20158</v>
      </c>
      <c r="G10392" t="s">
        <v>14</v>
      </c>
      <c r="H10392">
             </c>
      <c r="I10392" t="s">
        <v>14</v>
      </c>
      <c r="J10392" t="s">
        <v>141</v>
      </c>
      <c r="K10392" t="s">
        <v>14</v>
      </c>
      <c r="L10392" t="s">
        <v>20</v>
      </c>
      <c r="M10392" t="s">
        <v>20118</v>
      </c>
      <c r="N10392" t="s">
        <v>14</v>
      </c>
    </row>
    <row r="10393" x14ac:dyDescent="0.25">
      <c r="A10393" t="n">
        <v>24</v>
      </c>
      <c r="B10393" t="s">
        <v>14</v>
      </c>
      <c r="C10393" t="s">
        <v>22</v>
      </c>
      <c r="D10393" s="2" t="s">
        <f>=HYPERLINK("https://main.knesset.gov.il/APPS/legislation/main/bills/2158711", "הצעת חוק חינוך פיננסי, התשפ""א-2021")</f>
        <v>19262</v>
      </c>
      <c r="E10393" t="s">
        <v>19262</v>
      </c>
      <c r="F10393" t="s">
        <v>20159</v>
      </c>
      <c r="G10393" t="s">
        <v>14</v>
      </c>
      <c r="H10393">
             </c>
      <c r="I10393" t="s">
        <v>14</v>
      </c>
      <c r="J10393" t="s">
        <v>141</v>
      </c>
      <c r="K10393" t="s">
        <v>14</v>
      </c>
      <c r="L10393" t="s">
        <v>20</v>
      </c>
      <c r="M10393" t="s">
        <v>20118</v>
      </c>
      <c r="N10393" t="s">
        <v>14</v>
      </c>
    </row>
    <row r="10394" x14ac:dyDescent="0.25">
      <c r="A10394" t="n">
        <v>24</v>
      </c>
      <c r="B10394" t="s">
        <v>14</v>
      </c>
      <c r="C10394" t="s">
        <v>22</v>
      </c>
      <c r="D10394" s="2" t="s">
        <f>=HYPERLINK("https://main.knesset.gov.il/APPS/legislation/main/bills/2157703", "הצעת חוק שכירות הוגנת (רשם השכירויות), התשפ""א-2021")</f>
        <v>20160</v>
      </c>
      <c r="E10394" t="s">
        <v>20160</v>
      </c>
      <c r="F10394" t="s">
        <v>20161</v>
      </c>
      <c r="G10394" t="s">
        <v>14</v>
      </c>
      <c r="H10394">
             </c>
      <c r="I10394" t="s">
        <v>14</v>
      </c>
      <c r="J10394" t="s">
        <v>141</v>
      </c>
      <c r="K10394" t="s">
        <v>14</v>
      </c>
      <c r="L10394" t="s">
        <v>20</v>
      </c>
      <c r="M10394" t="s">
        <v>20118</v>
      </c>
      <c r="N10394" t="s">
        <v>14</v>
      </c>
    </row>
    <row r="10395" x14ac:dyDescent="0.25">
      <c r="A10395" t="n">
        <v>24</v>
      </c>
      <c r="B10395" t="s">
        <v>14</v>
      </c>
      <c r="C10395" t="s">
        <v>22</v>
      </c>
      <c r="D10395" s="2" t="s">
        <f>=HYPERLINK("https://main.knesset.gov.il/APPS/legislation/main/bills/2157863", "הצעת חוק קביעת יום לציון הטבעת הספינה אלטלנה, התשפ""א-2021")</f>
        <v>20162</v>
      </c>
      <c r="E10395" t="s">
        <v>20162</v>
      </c>
      <c r="F10395" t="s">
        <v>20163</v>
      </c>
      <c r="G10395" t="s">
        <v>14</v>
      </c>
      <c r="H10395">
             </c>
      <c r="I10395" t="s">
        <v>14</v>
      </c>
      <c r="J10395" t="s">
        <v>141</v>
      </c>
      <c r="K10395" t="s">
        <v>14</v>
      </c>
      <c r="L10395" t="s">
        <v>20</v>
      </c>
      <c r="M10395" t="s">
        <v>20118</v>
      </c>
      <c r="N10395" t="s">
        <v>14</v>
      </c>
    </row>
    <row r="10396" x14ac:dyDescent="0.25">
      <c r="A10396" t="n">
        <v>24</v>
      </c>
      <c r="B10396" t="s">
        <v>14</v>
      </c>
      <c r="C10396" t="s">
        <v>22</v>
      </c>
      <c r="D10396" s="2" t="s">
        <f>=HYPERLINK("https://main.knesset.gov.il/APPS/legislation/main/bills/2158050", "הצעת חוק מס ערך מוסף (תיקון - פטור ממס ערך מוסף במכירת תרופות לחולים סופניים), התשפ""א-2021")</f>
        <v>20164</v>
      </c>
      <c r="E10396" t="s">
        <v>20164</v>
      </c>
      <c r="F10396" t="s">
        <v>20165</v>
      </c>
      <c r="G10396" t="s">
        <v>14</v>
      </c>
      <c r="H10396">
             </c>
      <c r="I10396" t="s">
        <v>14</v>
      </c>
      <c r="J10396" t="s">
        <v>141</v>
      </c>
      <c r="K10396" t="s">
        <v>14</v>
      </c>
      <c r="L10396" t="s">
        <v>20</v>
      </c>
      <c r="M10396" t="s">
        <v>20118</v>
      </c>
      <c r="N10396" t="s">
        <v>14</v>
      </c>
    </row>
    <row r="10397" x14ac:dyDescent="0.25">
      <c r="A10397" t="n">
        <v>24</v>
      </c>
      <c r="B10397" t="s">
        <v>14</v>
      </c>
      <c r="C10397" t="s">
        <v>22</v>
      </c>
      <c r="D10397" s="2" t="s">
        <f>=HYPERLINK("https://main.knesset.gov.il/APPS/legislation/main/bills/2158716", "הצעת חוק-יסוד: ישראל - מדינת הלאום של העם היהודי (תיקון - ביטול החוק)")</f>
        <v>4732</v>
      </c>
      <c r="E10397" t="s">
        <v>4732</v>
      </c>
      <c r="F10397" t="s">
        <v>20166</v>
      </c>
      <c r="G10397" t="s">
        <v>14</v>
      </c>
      <c r="H10397">
             </c>
      <c r="I10397" t="s">
        <v>14</v>
      </c>
      <c r="J10397" t="s">
        <v>141</v>
      </c>
      <c r="K10397" t="s">
        <v>14</v>
      </c>
      <c r="L10397" t="s">
        <v>20</v>
      </c>
      <c r="M10397" t="s">
        <v>20118</v>
      </c>
      <c r="N10397" t="s">
        <v>14</v>
      </c>
    </row>
    <row r="10398" x14ac:dyDescent="0.25">
      <c r="A10398" t="n">
        <v>24</v>
      </c>
      <c r="B10398" t="s">
        <v>14</v>
      </c>
      <c r="C10398" t="s">
        <v>22</v>
      </c>
      <c r="D10398" s="2" t="s">
        <f>=HYPERLINK("https://main.knesset.gov.il/APPS/legislation/main/bills/2158022", "הצעת חוק הביטוח הלאומי (תיקון - בדיקת תלות בידי רופא מומחה למבוטח מגיל 75), התשפ""א-2021")</f>
        <v>20167</v>
      </c>
      <c r="E10398" t="s">
        <v>20167</v>
      </c>
      <c r="F10398" t="s">
        <v>20168</v>
      </c>
      <c r="G10398" t="s">
        <v>14</v>
      </c>
      <c r="H10398">
             </c>
      <c r="I10398" t="s">
        <v>14</v>
      </c>
      <c r="J10398" t="s">
        <v>141</v>
      </c>
      <c r="K10398" t="s">
        <v>14</v>
      </c>
      <c r="L10398" t="s">
        <v>20</v>
      </c>
      <c r="M10398" t="s">
        <v>20118</v>
      </c>
      <c r="N10398" t="s">
        <v>14</v>
      </c>
    </row>
    <row r="10399" x14ac:dyDescent="0.25">
      <c r="A10399" t="n">
        <v>24</v>
      </c>
      <c r="B10399" t="s">
        <v>14</v>
      </c>
      <c r="C10399" t="s">
        <v>22</v>
      </c>
      <c r="D10399" s="2" t="s">
        <f>=HYPERLINK("https://main.knesset.gov.il/APPS/legislation/main/bills/2158534", "הצעת חוק המועצה להשכלה גבוהה (תיקון - הקמת מוסדות להשכלה גבוהה), התשפ""א-2021")</f>
        <v>20169</v>
      </c>
      <c r="E10399" t="s">
        <v>20169</v>
      </c>
      <c r="F10399" t="s">
        <v>20170</v>
      </c>
      <c r="G10399" t="s">
        <v>14</v>
      </c>
      <c r="H10399">
             </c>
      <c r="I10399" t="s">
        <v>14</v>
      </c>
      <c r="J10399" t="s">
        <v>141</v>
      </c>
      <c r="K10399" t="s">
        <v>14</v>
      </c>
      <c r="L10399" t="s">
        <v>20</v>
      </c>
      <c r="M10399" t="s">
        <v>20118</v>
      </c>
      <c r="N10399" t="s">
        <v>14</v>
      </c>
    </row>
    <row r="10400" x14ac:dyDescent="0.25">
      <c r="A10400" t="n">
        <v>24</v>
      </c>
      <c r="B10400" t="s">
        <v>14</v>
      </c>
      <c r="C10400" t="s">
        <v>22</v>
      </c>
      <c r="D10400" s="2" t="s">
        <f>=HYPERLINK("https://main.knesset.gov.il/APPS/legislation/main/bills/2157665", "הצעת חוק להסדרת הפיקוח על כלבים (תיקון - הקמת מאגר מידע גנטי של כלבים), התשפ""א-2021")</f>
        <v>20171</v>
      </c>
      <c r="E10400" t="s">
        <v>20171</v>
      </c>
      <c r="F10400" t="s">
        <v>20172</v>
      </c>
      <c r="G10400" t="s">
        <v>14</v>
      </c>
      <c r="H10400">
             </c>
      <c r="I10400" t="s">
        <v>14</v>
      </c>
      <c r="J10400" t="s">
        <v>141</v>
      </c>
      <c r="K10400" t="s">
        <v>14</v>
      </c>
      <c r="L10400" t="s">
        <v>20</v>
      </c>
      <c r="M10400" t="s">
        <v>20118</v>
      </c>
      <c r="N10400" t="s">
        <v>14</v>
      </c>
    </row>
    <row r="10401" x14ac:dyDescent="0.25">
      <c r="A10401" t="n">
        <v>24</v>
      </c>
      <c r="B10401" t="s">
        <v>14</v>
      </c>
      <c r="C10401" t="s">
        <v>22</v>
      </c>
      <c r="D10401" s="2" t="s">
        <f>=HYPERLINK("https://main.knesset.gov.il/APPS/legislation/main/bills/2158829", "הצעת חוק לתיקון פקודת בריאות העם (הוספת מכשור רפואי לפריפריה), התשפ""א-2021")</f>
        <v>20173</v>
      </c>
      <c r="E10401" t="s">
        <v>20173</v>
      </c>
      <c r="F10401" t="s">
        <v>20174</v>
      </c>
      <c r="G10401" t="s">
        <v>14</v>
      </c>
      <c r="H10401">
             </c>
      <c r="I10401" t="s">
        <v>14</v>
      </c>
      <c r="J10401" t="s">
        <v>141</v>
      </c>
      <c r="K10401" t="s">
        <v>14</v>
      </c>
      <c r="L10401" t="s">
        <v>20</v>
      </c>
      <c r="M10401" t="s">
        <v>20118</v>
      </c>
      <c r="N10401" t="s">
        <v>14</v>
      </c>
    </row>
    <row r="10402" x14ac:dyDescent="0.25">
      <c r="A10402" t="n">
        <v>24</v>
      </c>
      <c r="B10402" t="s">
        <v>14</v>
      </c>
      <c r="C10402" t="s">
        <v>22</v>
      </c>
      <c r="D10402" s="2" t="s">
        <f>=HYPERLINK("https://main.knesset.gov.il/APPS/legislation/main/bills/2158642", "הצעת חוק זכויות נפגעי עבירה (תיקון - זכאות בני משפחה), התשפ""א-2021")</f>
        <v>20175</v>
      </c>
      <c r="E10402" t="s">
        <v>20175</v>
      </c>
      <c r="F10402" t="s">
        <v>20176</v>
      </c>
      <c r="G10402" t="s">
        <v>14</v>
      </c>
      <c r="H10402">
             </c>
      <c r="I10402" t="s">
        <v>14</v>
      </c>
      <c r="J10402" t="s">
        <v>141</v>
      </c>
      <c r="K10402" t="s">
        <v>14</v>
      </c>
      <c r="L10402" t="s">
        <v>20</v>
      </c>
      <c r="M10402" t="s">
        <v>20118</v>
      </c>
      <c r="N10402" t="s">
        <v>14</v>
      </c>
    </row>
    <row r="10403" x14ac:dyDescent="0.25">
      <c r="A10403" t="n">
        <v>24</v>
      </c>
      <c r="B10403" t="s">
        <v>14</v>
      </c>
      <c r="C10403" t="s">
        <v>22</v>
      </c>
      <c r="D10403" s="2" t="s">
        <f>=HYPERLINK("https://main.knesset.gov.il/APPS/legislation/main/bills/2157695", "הצעת חוק טיפול בחולי נפש (תיקון - בחירת מקום אשפוז), התשפ""א-2021")</f>
        <v>20177</v>
      </c>
      <c r="E10403" t="s">
        <v>20177</v>
      </c>
      <c r="F10403" t="s">
        <v>20178</v>
      </c>
      <c r="G10403" t="s">
        <v>14</v>
      </c>
      <c r="H10403">
             </c>
      <c r="I10403" t="s">
        <v>14</v>
      </c>
      <c r="J10403" t="s">
        <v>343</v>
      </c>
      <c r="K10403" t="s">
        <v>14</v>
      </c>
      <c r="L10403" t="s">
        <v>20</v>
      </c>
      <c r="M10403" t="s">
        <v>20118</v>
      </c>
      <c r="N10403" t="s">
        <v>14</v>
      </c>
    </row>
    <row r="10404" x14ac:dyDescent="0.25">
      <c r="A10404" t="n">
        <v>24</v>
      </c>
      <c r="B10404" t="s">
        <v>14</v>
      </c>
      <c r="C10404" t="s">
        <v>22</v>
      </c>
      <c r="D10404" s="2" t="s">
        <f>=HYPERLINK("https://main.knesset.gov.il/APPS/legislation/main/bills/2156263", "הצעת חוק רישום מקרי אובדנות, התשפ""א-2021")</f>
        <v>20179</v>
      </c>
      <c r="E10404" t="s">
        <v>20179</v>
      </c>
      <c r="F10404" t="s">
        <v>20180</v>
      </c>
      <c r="G10404" t="s">
        <v>14</v>
      </c>
      <c r="H10404">
             </c>
      <c r="I10404" t="s">
        <v>14</v>
      </c>
      <c r="J10404" t="s">
        <v>343</v>
      </c>
      <c r="K10404" t="s">
        <v>14</v>
      </c>
      <c r="L10404" t="s">
        <v>20</v>
      </c>
      <c r="M10404" t="s">
        <v>20118</v>
      </c>
      <c r="N10404" t="s">
        <v>14</v>
      </c>
    </row>
    <row r="10405" x14ac:dyDescent="0.25">
      <c r="A10405" t="n">
        <v>24</v>
      </c>
      <c r="B10405" t="s">
        <v>14</v>
      </c>
      <c r="C10405" t="s">
        <v>22</v>
      </c>
      <c r="D10405" s="2" t="s">
        <f>=HYPERLINK("https://main.knesset.gov.il/APPS/legislation/main/bills/2158343", "הצעת חוק הרשויות המקומיות (פיצול המועצה המקומית כסרא סמיע), התשפ""א-2021 ")</f>
        <v>20181</v>
      </c>
      <c r="E10405" t="s">
        <v>20181</v>
      </c>
      <c r="F10405" t="s">
        <v>20182</v>
      </c>
      <c r="G10405" t="s">
        <v>14</v>
      </c>
      <c r="H10405">
             </c>
      <c r="I10405" t="s">
        <v>14</v>
      </c>
      <c r="J10405" t="s">
        <v>141</v>
      </c>
      <c r="K10405" t="s">
        <v>14</v>
      </c>
      <c r="L10405" t="s">
        <v>20</v>
      </c>
      <c r="M10405" t="s">
        <v>20118</v>
      </c>
      <c r="N10405" t="s">
        <v>14</v>
      </c>
    </row>
    <row r="10406" x14ac:dyDescent="0.25">
      <c r="A10406" t="n">
        <v>24</v>
      </c>
      <c r="B10406" t="s">
        <v>14</v>
      </c>
      <c r="C10406" t="s">
        <v>22</v>
      </c>
      <c r="D10406" s="2" t="s">
        <f>=HYPERLINK("https://main.knesset.gov.il/APPS/legislation/main/bills/2158188", "הצעת חוק איסור הפרטת שיקול דעת שלטוני (הסדרת מעמדה של החטיבה להתיישבות), התשפ""א-2021 ")</f>
        <v>20183</v>
      </c>
      <c r="E10406" t="s">
        <v>20183</v>
      </c>
      <c r="F10406" t="s">
        <v>20184</v>
      </c>
      <c r="G10406" t="s">
        <v>14</v>
      </c>
      <c r="H10406">
             </c>
      <c r="I10406" t="s">
        <v>14</v>
      </c>
      <c r="J10406" t="s">
        <v>141</v>
      </c>
      <c r="K10406" t="s">
        <v>14</v>
      </c>
      <c r="L10406" t="s">
        <v>20</v>
      </c>
      <c r="M10406" t="s">
        <v>20118</v>
      </c>
      <c r="N10406" t="s">
        <v>14</v>
      </c>
    </row>
    <row r="10407" x14ac:dyDescent="0.25">
      <c r="A10407" t="n">
        <v>24</v>
      </c>
      <c r="B10407" t="s">
        <v>14</v>
      </c>
      <c r="C10407" t="s">
        <v>22</v>
      </c>
      <c r="D10407" s="2" t="s">
        <f>=HYPERLINK("https://main.knesset.gov.il/APPS/legislation/main/bills/2156663", "הצעת חוק להסדר התדיינויות בסכסוכי משפחה (הוראת שעה) (תיקון - הוספת גירושין בשיתוף פעולה), התשפ""א-2021")</f>
        <v>20185</v>
      </c>
      <c r="E10407" t="s">
        <v>20185</v>
      </c>
      <c r="F10407" t="s">
        <v>20186</v>
      </c>
      <c r="G10407" t="s">
        <v>14</v>
      </c>
      <c r="H10407">
             </c>
      <c r="I10407" t="s">
        <v>14</v>
      </c>
      <c r="J10407" t="s">
        <v>141</v>
      </c>
      <c r="K10407" t="s">
        <v>14</v>
      </c>
      <c r="L10407" t="s">
        <v>20</v>
      </c>
      <c r="M10407" t="s">
        <v>20118</v>
      </c>
      <c r="N10407" t="s">
        <v>14</v>
      </c>
    </row>
    <row r="10408" x14ac:dyDescent="0.25">
      <c r="A10408" t="n">
        <v>24</v>
      </c>
      <c r="B10408" t="s">
        <v>14</v>
      </c>
      <c r="C10408" t="s">
        <v>22</v>
      </c>
      <c r="D10408" s="2" t="s">
        <f>=HYPERLINK("https://main.knesset.gov.il/APPS/legislation/main/bills/2157526", "הצעת חוק לתיקון פקודת מס הכנסה (פטור ממס בעד דמי הבראה והחזרי הוצאות נסיעה), התשפ""א-2021")</f>
        <v>20187</v>
      </c>
      <c r="E10408" t="s">
        <v>20187</v>
      </c>
      <c r="F10408" t="s">
        <v>20188</v>
      </c>
      <c r="G10408" t="s">
        <v>14</v>
      </c>
      <c r="H10408">
             </c>
      <c r="I10408" t="s">
        <v>14</v>
      </c>
      <c r="J10408" t="s">
        <v>31</v>
      </c>
      <c r="K10408" t="s">
        <v>85</v>
      </c>
      <c r="L10408" t="s">
        <v>20</v>
      </c>
      <c r="M10408" t="s">
        <v>20189</v>
      </c>
      <c r="N10408" t="s">
        <v>14</v>
      </c>
    </row>
    <row r="10409" x14ac:dyDescent="0.25">
      <c r="A10409" t="n">
        <v>24</v>
      </c>
      <c r="B10409" t="s">
        <v>14</v>
      </c>
      <c r="C10409" t="s">
        <v>22</v>
      </c>
      <c r="D10409" s="2" t="s">
        <f>=HYPERLINK("https://main.knesset.gov.il/APPS/legislation/main/bills/2158049", "הצעת חוק התכנון והבנייה (תיקון - ייצוג הולם לאוכלוסייה הערבית במוסדות התכנון), התשפ""א-2021")</f>
        <v>20190</v>
      </c>
      <c r="E10409" t="s">
        <v>20190</v>
      </c>
      <c r="F10409" t="s">
        <v>20191</v>
      </c>
      <c r="G10409" t="s">
        <v>14</v>
      </c>
      <c r="H10409">
             </c>
      <c r="I10409" t="s">
        <v>14</v>
      </c>
      <c r="J10409" t="s">
        <v>141</v>
      </c>
      <c r="K10409" t="s">
        <v>14</v>
      </c>
      <c r="L10409" t="s">
        <v>20</v>
      </c>
      <c r="M10409" t="s">
        <v>20192</v>
      </c>
      <c r="N10409" t="s">
        <v>14</v>
      </c>
    </row>
    <row r="10410" x14ac:dyDescent="0.25">
      <c r="A10410" t="n">
        <v>24</v>
      </c>
      <c r="B10410" t="s">
        <v>14</v>
      </c>
      <c r="C10410" t="s">
        <v>22</v>
      </c>
      <c r="D10410" s="2" t="s">
        <f>=HYPERLINK("https://main.knesset.gov.il/APPS/legislation/main/bills/2157522", "הצעת חוק לתיקון פקודת התעבורה (קביעת קנס בגין גביית יתר של שכר הסעה במונית), התשפ""א-2021")</f>
        <v>20193</v>
      </c>
      <c r="E10410" t="s">
        <v>20193</v>
      </c>
      <c r="F10410" t="s">
        <v>20194</v>
      </c>
      <c r="G10410" t="s">
        <v>14</v>
      </c>
      <c r="H10410">
             </c>
      <c r="I10410" t="s">
        <v>14</v>
      </c>
      <c r="J10410" t="s">
        <v>141</v>
      </c>
      <c r="K10410" t="s">
        <v>14</v>
      </c>
      <c r="L10410" t="s">
        <v>20</v>
      </c>
      <c r="M10410" t="s">
        <v>20192</v>
      </c>
      <c r="N10410" t="s">
        <v>14</v>
      </c>
    </row>
    <row r="10411" x14ac:dyDescent="0.25">
      <c r="A10411" t="n">
        <v>24</v>
      </c>
      <c r="B10411" t="s">
        <v>14</v>
      </c>
      <c r="C10411" t="s">
        <v>22</v>
      </c>
      <c r="D10411" s="2" t="s">
        <f>=HYPERLINK("https://main.knesset.gov.il/APPS/legislation/main/bills/2158340", "הצעת חוק התכנון והבנייה (הוראות מיוחדות לעניין יישובי מיעוטים) (הוראת שעה), התשפ""א-2021")</f>
        <v>20195</v>
      </c>
      <c r="E10411" t="s">
        <v>20195</v>
      </c>
      <c r="F10411" t="s">
        <v>20196</v>
      </c>
      <c r="G10411" t="s">
        <v>14</v>
      </c>
      <c r="H10411">
             </c>
      <c r="I10411" t="s">
        <v>14</v>
      </c>
      <c r="J10411" t="s">
        <v>141</v>
      </c>
      <c r="K10411" t="s">
        <v>14</v>
      </c>
      <c r="L10411" t="s">
        <v>20</v>
      </c>
      <c r="M10411" t="s">
        <v>20192</v>
      </c>
      <c r="N10411" t="s">
        <v>14</v>
      </c>
    </row>
    <row r="10412" x14ac:dyDescent="0.25">
      <c r="A10412" t="n">
        <v>24</v>
      </c>
      <c r="B10412" t="s">
        <v>14</v>
      </c>
      <c r="C10412" t="s">
        <v>22</v>
      </c>
      <c r="D10412" s="2" t="s">
        <f>=HYPERLINK("https://main.knesset.gov.il/APPS/legislation/main/bills/2158649", "הצעת חוק שוויון הזדמנויות בעבודה (תיקון - איסור הפליה על רקע זהות מגדרית), התשפ""א-2021")</f>
        <v>20197</v>
      </c>
      <c r="E10412" t="s">
        <v>20197</v>
      </c>
      <c r="F10412" t="s">
        <v>20198</v>
      </c>
      <c r="G10412" t="s">
        <v>14</v>
      </c>
      <c r="H10412">
             </c>
      <c r="I10412" t="s">
        <v>14</v>
      </c>
      <c r="J10412" t="s">
        <v>141</v>
      </c>
      <c r="K10412" t="s">
        <v>14</v>
      </c>
      <c r="L10412" t="s">
        <v>20</v>
      </c>
      <c r="M10412" t="s">
        <v>20192</v>
      </c>
      <c r="N10412" t="s">
        <v>14</v>
      </c>
    </row>
    <row r="10413" x14ac:dyDescent="0.25">
      <c r="A10413" t="n">
        <v>24</v>
      </c>
      <c r="B10413" t="s">
        <v>14</v>
      </c>
      <c r="C10413" t="s">
        <v>22</v>
      </c>
      <c r="D10413" s="2" t="s">
        <f>=HYPERLINK("https://main.knesset.gov.il/APPS/legislation/main/bills/2158635", "הצעת חוק הביטוח הלאומי (תיקון - השוואת קצבת נכות לשכר מינימום), התשפ""א-2021")</f>
        <v>19081</v>
      </c>
      <c r="E10413" t="s">
        <v>19081</v>
      </c>
      <c r="F10413" t="s">
        <v>20199</v>
      </c>
      <c r="G10413" t="s">
        <v>14</v>
      </c>
      <c r="H10413">
             </c>
      <c r="I10413" t="s">
        <v>14</v>
      </c>
      <c r="J10413" t="s">
        <v>141</v>
      </c>
      <c r="K10413" t="s">
        <v>14</v>
      </c>
      <c r="L10413" t="s">
        <v>20</v>
      </c>
      <c r="M10413" t="s">
        <v>20192</v>
      </c>
      <c r="N10413" t="s">
        <v>14</v>
      </c>
    </row>
    <row r="10414" x14ac:dyDescent="0.25">
      <c r="A10414" t="n">
        <v>24</v>
      </c>
      <c r="B10414" t="s">
        <v>14</v>
      </c>
      <c r="C10414" t="s">
        <v>22</v>
      </c>
      <c r="D10414" s="2" t="s">
        <f>=HYPERLINK("https://main.knesset.gov.il/APPS/legislation/main/bills/2158525", "הצעת חוק שכר מינימום (תיקון - הצמדת שכר המינימום למדד המחירים לצרכן), התשפ""א-2021")</f>
        <v>20200</v>
      </c>
      <c r="E10414" t="s">
        <v>20200</v>
      </c>
      <c r="F10414" t="s">
        <v>20201</v>
      </c>
      <c r="G10414" t="s">
        <v>14</v>
      </c>
      <c r="H10414">
             </c>
      <c r="I10414" t="s">
        <v>14</v>
      </c>
      <c r="J10414" t="s">
        <v>141</v>
      </c>
      <c r="K10414" t="s">
        <v>14</v>
      </c>
      <c r="L10414" t="s">
        <v>20</v>
      </c>
      <c r="M10414" t="s">
        <v>20192</v>
      </c>
      <c r="N10414" t="s">
        <v>14</v>
      </c>
    </row>
    <row r="10415" x14ac:dyDescent="0.25">
      <c r="A10415" t="n">
        <v>24</v>
      </c>
      <c r="B10415" t="s">
        <v>14</v>
      </c>
      <c r="C10415" t="s">
        <v>22</v>
      </c>
      <c r="D10415" s="2" t="s">
        <f>=HYPERLINK("https://main.knesset.gov.il/APPS/legislation/main/bills/2158030", "הצעת חוק שכר מינימום (תיקון - הצמדת שכר המינימום למדד המחירים לצרכן), התשפ""א-2021")</f>
        <v>20200</v>
      </c>
      <c r="E10415" t="s">
        <v>20200</v>
      </c>
      <c r="F10415" t="s">
        <v>20202</v>
      </c>
      <c r="G10415" t="s">
        <v>14</v>
      </c>
      <c r="H10415">
             </c>
      <c r="I10415" t="s">
        <v>14</v>
      </c>
      <c r="J10415" t="s">
        <v>141</v>
      </c>
      <c r="K10415" t="s">
        <v>14</v>
      </c>
      <c r="L10415" t="s">
        <v>20</v>
      </c>
      <c r="M10415" t="s">
        <v>20192</v>
      </c>
      <c r="N10415" t="s">
        <v>14</v>
      </c>
    </row>
    <row r="10416" x14ac:dyDescent="0.25">
      <c r="A10416" t="n">
        <v>24</v>
      </c>
      <c r="B10416" t="s">
        <v>14</v>
      </c>
      <c r="C10416" t="s">
        <v>22</v>
      </c>
      <c r="D10416" s="2" t="s">
        <f>=HYPERLINK("https://main.knesset.gov.il/APPS/legislation/main/bills/2157494", "הצעת חוק איסור לשון הרע (תיקון - הגבלת סעד לאישי ציבור), התשפ""א-2021")</f>
        <v>20203</v>
      </c>
      <c r="E10416" t="s">
        <v>20203</v>
      </c>
      <c r="F10416" t="s">
        <v>20204</v>
      </c>
      <c r="G10416" t="s">
        <v>14</v>
      </c>
      <c r="H10416">
             </c>
      <c r="I10416" t="s">
        <v>14</v>
      </c>
      <c r="J10416" t="s">
        <v>141</v>
      </c>
      <c r="K10416" t="s">
        <v>14</v>
      </c>
      <c r="L10416" t="s">
        <v>20</v>
      </c>
      <c r="M10416" t="s">
        <v>20192</v>
      </c>
      <c r="N10416" t="s">
        <v>14</v>
      </c>
    </row>
    <row r="10417" x14ac:dyDescent="0.25">
      <c r="A10417" t="n">
        <v>24</v>
      </c>
      <c r="B10417" t="s">
        <v>14</v>
      </c>
      <c r="C10417" t="s">
        <v>22</v>
      </c>
      <c r="D10417" s="2" t="s">
        <f>=HYPERLINK("https://main.knesset.gov.il/APPS/legislation/main/bills/2158641", "הצעת חוק הפסקת היריון, התשפ""א-2021")</f>
        <v>20205</v>
      </c>
      <c r="E10417" t="s">
        <v>20205</v>
      </c>
      <c r="F10417" t="s">
        <v>20206</v>
      </c>
      <c r="G10417" t="s">
        <v>14</v>
      </c>
      <c r="H10417">
             </c>
      <c r="I10417" t="s">
        <v>14</v>
      </c>
      <c r="J10417" t="s">
        <v>141</v>
      </c>
      <c r="K10417" t="s">
        <v>14</v>
      </c>
      <c r="L10417" t="s">
        <v>20</v>
      </c>
      <c r="M10417" t="s">
        <v>20192</v>
      </c>
      <c r="N10417" t="s">
        <v>14</v>
      </c>
    </row>
    <row r="10418" x14ac:dyDescent="0.25">
      <c r="A10418" t="n">
        <v>24</v>
      </c>
      <c r="B10418" t="s">
        <v>14</v>
      </c>
      <c r="C10418" t="s">
        <v>22</v>
      </c>
      <c r="D10418" s="2" t="s">
        <f>=HYPERLINK("https://main.knesset.gov.il/APPS/legislation/main/bills/2158524", "הצעת חוק שכר מינימום (תיקון - עוולה נזיקית וקובלנה), התשפ""א-2021")</f>
        <v>20207</v>
      </c>
      <c r="E10418" t="s">
        <v>20207</v>
      </c>
      <c r="F10418" t="s">
        <v>20208</v>
      </c>
      <c r="G10418" t="s">
        <v>14</v>
      </c>
      <c r="H10418">
             </c>
      <c r="I10418" t="s">
        <v>14</v>
      </c>
      <c r="J10418" t="s">
        <v>141</v>
      </c>
      <c r="K10418" t="s">
        <v>14</v>
      </c>
      <c r="L10418" t="s">
        <v>20</v>
      </c>
      <c r="M10418" t="s">
        <v>20192</v>
      </c>
      <c r="N10418" t="s">
        <v>14</v>
      </c>
    </row>
    <row r="10419" x14ac:dyDescent="0.25">
      <c r="A10419" t="n">
        <v>24</v>
      </c>
      <c r="B10419" t="s">
        <v>14</v>
      </c>
      <c r="C10419" t="s">
        <v>22</v>
      </c>
      <c r="D10419" s="2" t="s">
        <f>=HYPERLINK("https://main.knesset.gov.il/APPS/legislation/main/bills/2158686", "הצעת חוק-יסוד: הכנסת (תיקון - תקופת צינון והגבלת כהונה לראש ממשלה ולראש הממשלה החלופי)")</f>
        <v>20209</v>
      </c>
      <c r="E10419" t="s">
        <v>20209</v>
      </c>
      <c r="F10419" t="s">
        <v>20210</v>
      </c>
      <c r="G10419" t="s">
        <v>14</v>
      </c>
      <c r="H10419">
             </c>
      <c r="I10419" t="s">
        <v>14</v>
      </c>
      <c r="J10419" t="s">
        <v>141</v>
      </c>
      <c r="K10419" t="s">
        <v>14</v>
      </c>
      <c r="L10419" t="s">
        <v>20</v>
      </c>
      <c r="M10419" t="s">
        <v>20192</v>
      </c>
      <c r="N10419" t="s">
        <v>14</v>
      </c>
    </row>
    <row r="10420" x14ac:dyDescent="0.25">
      <c r="A10420" t="n">
        <v>24</v>
      </c>
      <c r="B10420" t="s">
        <v>14</v>
      </c>
      <c r="C10420" t="s">
        <v>22</v>
      </c>
      <c r="D10420" s="2" t="s">
        <f>=HYPERLINK("https://main.knesset.gov.il/APPS/legislation/main/bills/2158183", "הצעת חוק סדר הדין הפלילי (סמכויות אכיפה - מעצרים) (תיקון - מעצר עד תום ההליכים בגין עבירה של החזקת נשק שלא כדין), התשפ""א-2021")</f>
        <v>20211</v>
      </c>
      <c r="E10420" t="s">
        <v>20211</v>
      </c>
      <c r="F10420" t="s">
        <v>20212</v>
      </c>
      <c r="G10420" t="s">
        <v>14</v>
      </c>
      <c r="H10420">
             </c>
      <c r="I10420" t="s">
        <v>14</v>
      </c>
      <c r="J10420" t="s">
        <v>141</v>
      </c>
      <c r="K10420" t="s">
        <v>14</v>
      </c>
      <c r="L10420" t="s">
        <v>20</v>
      </c>
      <c r="M10420" t="s">
        <v>20192</v>
      </c>
      <c r="N10420" t="s">
        <v>14</v>
      </c>
    </row>
    <row r="10421" x14ac:dyDescent="0.25">
      <c r="A10421" t="n">
        <v>24</v>
      </c>
      <c r="B10421" t="s">
        <v>14</v>
      </c>
      <c r="C10421" t="s">
        <v>22</v>
      </c>
      <c r="D10421" s="2" t="s">
        <f>=HYPERLINK("https://main.knesset.gov.il/APPS/legislation/main/bills/2158531", "הצעת חוק שכר מינימום (תיקון - שכר מינימום לעובד שטרם מלאו לו 18 שנים), התשפ""א-2021")</f>
        <v>20213</v>
      </c>
      <c r="E10421" t="s">
        <v>20213</v>
      </c>
      <c r="F10421" t="s">
        <v>20214</v>
      </c>
      <c r="G10421" t="s">
        <v>14</v>
      </c>
      <c r="H10421">
             </c>
      <c r="I10421" t="s">
        <v>14</v>
      </c>
      <c r="J10421" t="s">
        <v>141</v>
      </c>
      <c r="K10421" t="s">
        <v>14</v>
      </c>
      <c r="L10421" t="s">
        <v>20</v>
      </c>
      <c r="M10421" t="s">
        <v>20192</v>
      </c>
      <c r="N10421" t="s">
        <v>14</v>
      </c>
    </row>
    <row r="10422" x14ac:dyDescent="0.25">
      <c r="A10422" t="n">
        <v>24</v>
      </c>
      <c r="B10422" t="s">
        <v>14</v>
      </c>
      <c r="C10422" t="s">
        <v>22</v>
      </c>
      <c r="D10422" s="2" t="s">
        <f>=HYPERLINK("https://main.knesset.gov.il/APPS/legislation/main/bills/2158513", "הצעת חוק החזקת תכשיר אפינפרין במוסדות חינוך ובמקומות ציבוריים (תיקון - החזקת תכשיר אפינפרין בבית אוכל), התשפ""א-2021")</f>
        <v>20215</v>
      </c>
      <c r="E10422" t="s">
        <v>20215</v>
      </c>
      <c r="F10422" t="s">
        <v>20216</v>
      </c>
      <c r="G10422" t="s">
        <v>14</v>
      </c>
      <c r="H10422">
             </c>
      <c r="I10422" t="s">
        <v>14</v>
      </c>
      <c r="J10422" t="s">
        <v>141</v>
      </c>
      <c r="K10422" t="s">
        <v>14</v>
      </c>
      <c r="L10422" t="s">
        <v>20</v>
      </c>
      <c r="M10422" t="s">
        <v>20192</v>
      </c>
      <c r="N10422" t="s">
        <v>14</v>
      </c>
    </row>
    <row r="10423" x14ac:dyDescent="0.25">
      <c r="A10423" t="n">
        <v>24</v>
      </c>
      <c r="B10423" t="s">
        <v>14</v>
      </c>
      <c r="C10423" t="s">
        <v>22</v>
      </c>
      <c r="D10423" s="2" t="s">
        <f>=HYPERLINK("https://main.knesset.gov.il/APPS/legislation/main/bills/2158528", "הצעת חוק הביטוח הלאומי (תיקון - מועד לתביעת גמלת כסף והתקופה שבעדה שולמה), התשפ""א-2021")</f>
        <v>20217</v>
      </c>
      <c r="E10423" t="s">
        <v>20217</v>
      </c>
      <c r="F10423" t="s">
        <v>20218</v>
      </c>
      <c r="G10423" t="s">
        <v>14</v>
      </c>
      <c r="H10423">
             </c>
      <c r="I10423" t="s">
        <v>14</v>
      </c>
      <c r="J10423" t="s">
        <v>141</v>
      </c>
      <c r="K10423" t="s">
        <v>14</v>
      </c>
      <c r="L10423" t="s">
        <v>20</v>
      </c>
      <c r="M10423" t="s">
        <v>20192</v>
      </c>
      <c r="N10423" t="s">
        <v>14</v>
      </c>
    </row>
    <row r="10424" x14ac:dyDescent="0.25">
      <c r="A10424" t="n">
        <v>24</v>
      </c>
      <c r="B10424" t="s">
        <v>14</v>
      </c>
      <c r="C10424" t="s">
        <v>22</v>
      </c>
      <c r="D10424" s="2" t="s">
        <f>=HYPERLINK("https://main.knesset.gov.il/APPS/legislation/main/bills/2158702", "הצעת חוק טיפול בחולי נפש (תיקון - התמכרות פסיכוטית לחומרים פסיכו-אקטיביים), התשפ""א-2021")</f>
        <v>20219</v>
      </c>
      <c r="E10424" t="s">
        <v>20219</v>
      </c>
      <c r="F10424" t="s">
        <v>20220</v>
      </c>
      <c r="G10424" t="s">
        <v>14</v>
      </c>
      <c r="H10424">
             </c>
      <c r="I10424" t="s">
        <v>14</v>
      </c>
      <c r="J10424" t="s">
        <v>141</v>
      </c>
      <c r="K10424" t="s">
        <v>14</v>
      </c>
      <c r="L10424" t="s">
        <v>20</v>
      </c>
      <c r="M10424" t="s">
        <v>20192</v>
      </c>
      <c r="N10424" t="s">
        <v>14</v>
      </c>
    </row>
    <row r="10425" x14ac:dyDescent="0.25">
      <c r="A10425" t="n">
        <v>24</v>
      </c>
      <c r="B10425" t="s">
        <v>14</v>
      </c>
      <c r="C10425" t="s">
        <v>22</v>
      </c>
      <c r="D10425" s="2" t="s">
        <f>=HYPERLINK("https://main.knesset.gov.il/APPS/legislation/main/bills/2158410", "הצעת חוק הלוואות לדיור (תיקון - מענק מיוחד לרכישת דירת מגורים מזכה באזור עדיפות לאומית), התשפ""א-2021")</f>
        <v>20221</v>
      </c>
      <c r="E10425" t="s">
        <v>20221</v>
      </c>
      <c r="F10425" t="s">
        <v>20222</v>
      </c>
      <c r="G10425" t="s">
        <v>14</v>
      </c>
      <c r="H10425">
             </c>
      <c r="I10425" t="s">
        <v>14</v>
      </c>
      <c r="J10425" t="s">
        <v>141</v>
      </c>
      <c r="K10425" t="s">
        <v>14</v>
      </c>
      <c r="L10425" t="s">
        <v>20</v>
      </c>
      <c r="M10425" t="s">
        <v>20192</v>
      </c>
      <c r="N10425" t="s">
        <v>14</v>
      </c>
    </row>
    <row r="10426" x14ac:dyDescent="0.25">
      <c r="A10426" t="n">
        <v>24</v>
      </c>
      <c r="B10426" t="s">
        <v>14</v>
      </c>
      <c r="C10426" t="s">
        <v>22</v>
      </c>
      <c r="D10426" s="2" t="s">
        <f>=HYPERLINK("https://main.knesset.gov.il/APPS/legislation/main/bills/2156078", "הצעת חוק לתיקון פקודת מס הכנסה (הפחתת מס רווחי הון), התשפ""א-2021")</f>
        <v>20223</v>
      </c>
      <c r="E10426" t="s">
        <v>20223</v>
      </c>
      <c r="F10426" t="s">
        <v>20224</v>
      </c>
      <c r="G10426" t="s">
        <v>14</v>
      </c>
      <c r="H10426">
             </c>
      <c r="I10426" t="s">
        <v>14</v>
      </c>
      <c r="J10426" t="s">
        <v>141</v>
      </c>
      <c r="K10426" t="s">
        <v>14</v>
      </c>
      <c r="L10426" t="s">
        <v>20</v>
      </c>
      <c r="M10426" t="s">
        <v>20192</v>
      </c>
      <c r="N10426" t="s">
        <v>14</v>
      </c>
    </row>
    <row r="10427" x14ac:dyDescent="0.25">
      <c r="A10427" t="n">
        <v>24</v>
      </c>
      <c r="B10427" t="s">
        <v>14</v>
      </c>
      <c r="C10427" t="s">
        <v>22</v>
      </c>
      <c r="D10427" s="2" t="s">
        <f>=HYPERLINK("https://main.knesset.gov.il/APPS/legislation/main/bills/2157699", "הצעת חוק משבר נגיף הקורונה החדש (הגנה על שוק הדיור) (תיקוני חקיקה), התשפ״א-2021")</f>
        <v>20225</v>
      </c>
      <c r="E10427" t="s">
        <v>20225</v>
      </c>
      <c r="F10427" t="s">
        <v>20226</v>
      </c>
      <c r="G10427" t="s">
        <v>14</v>
      </c>
      <c r="H10427">
             </c>
      <c r="I10427" t="s">
        <v>14</v>
      </c>
      <c r="J10427" t="s">
        <v>141</v>
      </c>
      <c r="K10427" t="s">
        <v>14</v>
      </c>
      <c r="L10427" t="s">
        <v>20</v>
      </c>
      <c r="M10427" t="s">
        <v>20192</v>
      </c>
      <c r="N10427" t="s">
        <v>14</v>
      </c>
    </row>
    <row r="10428" x14ac:dyDescent="0.25">
      <c r="A10428" t="n">
        <v>24</v>
      </c>
      <c r="B10428" t="s">
        <v>14</v>
      </c>
      <c r="C10428" t="s">
        <v>22</v>
      </c>
      <c r="D10428" s="2" t="s">
        <f>=HYPERLINK("https://main.knesset.gov.il/APPS/legislation/main/bills/2158707", "הצעת חוק הביטוח הלאומי (תיקון - דמי פגיעה לעצמאי), התשפ""א-2021")</f>
        <v>20027</v>
      </c>
      <c r="E10428" t="s">
        <v>20027</v>
      </c>
      <c r="F10428" t="s">
        <v>20227</v>
      </c>
      <c r="G10428" t="s">
        <v>14</v>
      </c>
      <c r="H10428">
             </c>
      <c r="I10428" t="s">
        <v>14</v>
      </c>
      <c r="J10428" t="s">
        <v>141</v>
      </c>
      <c r="K10428" t="s">
        <v>14</v>
      </c>
      <c r="L10428" t="s">
        <v>20</v>
      </c>
      <c r="M10428" t="s">
        <v>20192</v>
      </c>
      <c r="N10428" t="s">
        <v>14</v>
      </c>
    </row>
    <row r="10429" x14ac:dyDescent="0.25">
      <c r="A10429" t="n">
        <v>24</v>
      </c>
      <c r="B10429" t="s">
        <v>14</v>
      </c>
      <c r="C10429" t="s">
        <v>22</v>
      </c>
      <c r="D10429" s="2" t="s">
        <f>=HYPERLINK("https://main.knesset.gov.il/APPS/legislation/main/bills/2157041", "הצעת חוק סמכות ואחריות הורית (משמורת), התשפ""א-2021")</f>
        <v>20228</v>
      </c>
      <c r="E10429" t="s">
        <v>20228</v>
      </c>
      <c r="F10429" t="s">
        <v>20229</v>
      </c>
      <c r="G10429" t="s">
        <v>14</v>
      </c>
      <c r="H10429">
             </c>
      <c r="I10429" t="s">
        <v>14</v>
      </c>
      <c r="J10429" t="s">
        <v>141</v>
      </c>
      <c r="K10429" t="s">
        <v>14</v>
      </c>
      <c r="L10429" t="s">
        <v>20</v>
      </c>
      <c r="M10429" t="s">
        <v>20192</v>
      </c>
      <c r="N10429" t="s">
        <v>14</v>
      </c>
    </row>
    <row r="10430" x14ac:dyDescent="0.25">
      <c r="A10430" t="n">
        <v>24</v>
      </c>
      <c r="B10430" t="s">
        <v>14</v>
      </c>
      <c r="C10430" t="s">
        <v>22</v>
      </c>
      <c r="D10430" s="2" t="s">
        <f>=HYPERLINK("https://main.knesset.gov.il/APPS/legislation/main/bills/2156586", "הצעת חוק-יסוד: הממשלה (תיקון - השכלת ראש הממשלה)")</f>
        <v>20230</v>
      </c>
      <c r="E10430" t="s">
        <v>20230</v>
      </c>
      <c r="F10430" t="s">
        <v>20231</v>
      </c>
      <c r="G10430" t="s">
        <v>14</v>
      </c>
      <c r="H10430">
             </c>
      <c r="I10430" t="s">
        <v>14</v>
      </c>
      <c r="J10430" t="s">
        <v>141</v>
      </c>
      <c r="K10430" t="s">
        <v>14</v>
      </c>
      <c r="L10430" t="s">
        <v>20</v>
      </c>
      <c r="M10430" t="s">
        <v>20192</v>
      </c>
      <c r="N10430" t="s">
        <v>14</v>
      </c>
    </row>
    <row r="10431" x14ac:dyDescent="0.25">
      <c r="A10431" t="n">
        <v>24</v>
      </c>
      <c r="B10431" t="s">
        <v>14</v>
      </c>
      <c r="C10431" t="s">
        <v>22</v>
      </c>
      <c r="D10431" s="2" t="s">
        <f>=HYPERLINK("https://main.knesset.gov.il/APPS/legislation/main/bills/2158465", "הצעת חוק לתיקון פקודת מס הכנסה (ניכוי בגין הוצאות טיפול בילדים), התשפ""א-2021")</f>
        <v>20232</v>
      </c>
      <c r="E10431" t="s">
        <v>20232</v>
      </c>
      <c r="F10431" t="s">
        <v>20233</v>
      </c>
      <c r="G10431" t="s">
        <v>14</v>
      </c>
      <c r="H10431">
             </c>
      <c r="I10431" t="s">
        <v>14</v>
      </c>
      <c r="J10431" t="s">
        <v>141</v>
      </c>
      <c r="K10431" t="s">
        <v>14</v>
      </c>
      <c r="L10431" t="s">
        <v>20</v>
      </c>
      <c r="M10431" t="s">
        <v>20192</v>
      </c>
      <c r="N10431" t="s">
        <v>14</v>
      </c>
    </row>
    <row r="10432" x14ac:dyDescent="0.25">
      <c r="A10432" t="n">
        <v>24</v>
      </c>
      <c r="B10432" t="s">
        <v>14</v>
      </c>
      <c r="C10432" t="s">
        <v>22</v>
      </c>
      <c r="D10432" s="2" t="s">
        <f>=HYPERLINK("https://main.knesset.gov.il/APPS/legislation/main/bills/2158019", "הצעת חוק זכויות הסטודנט (תיקון - הגבלת דמי רישום), התשפ""א-2021")</f>
        <v>20234</v>
      </c>
      <c r="E10432" t="s">
        <v>20234</v>
      </c>
      <c r="F10432" t="s">
        <v>20235</v>
      </c>
      <c r="G10432" t="s">
        <v>14</v>
      </c>
      <c r="H10432">
             </c>
      <c r="I10432" t="s">
        <v>14</v>
      </c>
      <c r="J10432" t="s">
        <v>141</v>
      </c>
      <c r="K10432" t="s">
        <v>14</v>
      </c>
      <c r="L10432" t="s">
        <v>20</v>
      </c>
      <c r="M10432" t="s">
        <v>20192</v>
      </c>
      <c r="N10432" t="s">
        <v>14</v>
      </c>
    </row>
    <row r="10433" x14ac:dyDescent="0.25">
      <c r="A10433" t="n">
        <v>24</v>
      </c>
      <c r="B10433" t="s">
        <v>14</v>
      </c>
      <c r="C10433" t="s">
        <v>22</v>
      </c>
      <c r="D10433" s="2" t="s">
        <f>=HYPERLINK("https://main.knesset.gov.il/APPS/legislation/main/bills/2157666", "הצעת חוק הספריה הלאומית (תיקון - פטור ממס והשתתפות המדינה בתקציב), התשפ""א-2021")</f>
        <v>20236</v>
      </c>
      <c r="E10433" t="s">
        <v>20236</v>
      </c>
      <c r="F10433" t="s">
        <v>20237</v>
      </c>
      <c r="G10433" t="s">
        <v>14</v>
      </c>
      <c r="H10433">
             </c>
      <c r="I10433" t="s">
        <v>14</v>
      </c>
      <c r="J10433" t="s">
        <v>141</v>
      </c>
      <c r="K10433" t="s">
        <v>14</v>
      </c>
      <c r="L10433" t="s">
        <v>20</v>
      </c>
      <c r="M10433" t="s">
        <v>20192</v>
      </c>
      <c r="N10433" t="s">
        <v>14</v>
      </c>
    </row>
    <row r="10434" x14ac:dyDescent="0.25">
      <c r="A10434" t="n">
        <v>24</v>
      </c>
      <c r="B10434" t="s">
        <v>14</v>
      </c>
      <c r="C10434" t="s">
        <v>22</v>
      </c>
      <c r="D10434" s="2" t="s">
        <f>=HYPERLINK("https://main.knesset.gov.il/APPS/legislation/main/bills/2158066", "הצעת חוק משק החשמל (תיקון - איסור ניתוק חשמל), התשפ""א-2021")</f>
        <v>15564</v>
      </c>
      <c r="E10434" t="s">
        <v>15564</v>
      </c>
      <c r="F10434" t="s">
        <v>20238</v>
      </c>
      <c r="G10434" t="s">
        <v>14</v>
      </c>
      <c r="H10434">
             </c>
      <c r="I10434" t="s">
        <v>14</v>
      </c>
      <c r="J10434" t="s">
        <v>141</v>
      </c>
      <c r="K10434" t="s">
        <v>14</v>
      </c>
      <c r="L10434" t="s">
        <v>20</v>
      </c>
      <c r="M10434" t="s">
        <v>20192</v>
      </c>
      <c r="N10434" t="s">
        <v>14</v>
      </c>
    </row>
    <row r="10435" x14ac:dyDescent="0.25">
      <c r="A10435" t="n">
        <v>24</v>
      </c>
      <c r="B10435" t="s">
        <v>14</v>
      </c>
      <c r="C10435" t="s">
        <v>22</v>
      </c>
      <c r="D10435" s="2" t="s">
        <f>=HYPERLINK("https://main.knesset.gov.il/APPS/legislation/main/bills/2157663", "הצעת חוק הגנת הצרכן (תיקון - איסור פרסום כפוי במענה טלפוני), התשפ""א-2021")</f>
        <v>20239</v>
      </c>
      <c r="E10435" t="s">
        <v>20239</v>
      </c>
      <c r="F10435" t="s">
        <v>20240</v>
      </c>
      <c r="G10435" t="s">
        <v>14</v>
      </c>
      <c r="H10435">
             </c>
      <c r="I10435" t="s">
        <v>14</v>
      </c>
      <c r="J10435" t="s">
        <v>141</v>
      </c>
      <c r="K10435" t="s">
        <v>14</v>
      </c>
      <c r="L10435" t="s">
        <v>20</v>
      </c>
      <c r="M10435" t="s">
        <v>20192</v>
      </c>
      <c r="N10435" t="s">
        <v>14</v>
      </c>
    </row>
    <row r="10436" x14ac:dyDescent="0.25">
      <c r="A10436" t="n">
        <v>24</v>
      </c>
      <c r="B10436" t="s">
        <v>14</v>
      </c>
      <c r="C10436" t="s">
        <v>22</v>
      </c>
      <c r="D10436" s="2" t="s">
        <f>=HYPERLINK("https://main.knesset.gov.il/APPS/legislation/main/bills/2158557", "הצעת חוק זכויות החולה (תיקון - הסכמה מדעת של קטין), התשפ""א-2021")</f>
        <v>20241</v>
      </c>
      <c r="E10436" t="s">
        <v>20241</v>
      </c>
      <c r="F10436" t="s">
        <v>20242</v>
      </c>
      <c r="G10436" t="s">
        <v>14</v>
      </c>
      <c r="H10436">
             </c>
      <c r="I10436" t="s">
        <v>14</v>
      </c>
      <c r="J10436" t="s">
        <v>141</v>
      </c>
      <c r="K10436" t="s">
        <v>14</v>
      </c>
      <c r="L10436" t="s">
        <v>20</v>
      </c>
      <c r="M10436" t="s">
        <v>20192</v>
      </c>
      <c r="N10436" t="s">
        <v>14</v>
      </c>
    </row>
    <row r="10437" x14ac:dyDescent="0.25">
      <c r="A10437" t="n">
        <v>24</v>
      </c>
      <c r="B10437" t="s">
        <v>14</v>
      </c>
      <c r="C10437" t="s">
        <v>22</v>
      </c>
      <c r="D10437" s="2" t="s">
        <f>=HYPERLINK("https://main.knesset.gov.il/APPS/legislation/main/bills/2158067", "הצעת חוק איסור ניתוק שירותי חשמל ומים למוסדות חינוך (תיקוני חקיקה), התשפ""א-2021")</f>
        <v>20243</v>
      </c>
      <c r="E10437" t="s">
        <v>20243</v>
      </c>
      <c r="F10437" t="s">
        <v>20244</v>
      </c>
      <c r="G10437" t="s">
        <v>14</v>
      </c>
      <c r="H10437">
             </c>
      <c r="I10437" t="s">
        <v>14</v>
      </c>
      <c r="J10437" t="s">
        <v>141</v>
      </c>
      <c r="K10437" t="s">
        <v>14</v>
      </c>
      <c r="L10437" t="s">
        <v>20</v>
      </c>
      <c r="M10437" t="s">
        <v>20192</v>
      </c>
      <c r="N10437" t="s">
        <v>14</v>
      </c>
    </row>
    <row r="10438" x14ac:dyDescent="0.25">
      <c r="A10438" t="n">
        <v>24</v>
      </c>
      <c r="B10438" t="s">
        <v>14</v>
      </c>
      <c r="C10438" t="s">
        <v>22</v>
      </c>
      <c r="D10438" s="2" t="s">
        <f>=HYPERLINK("https://main.knesset.gov.il/APPS/legislation/main/bills/2158500", "הצעת חוק חופשה שנתית (תיקון - ימי חופשה להורים שילדם נפטר), התשפ""א-2021")</f>
        <v>20245</v>
      </c>
      <c r="E10438" t="s">
        <v>20245</v>
      </c>
      <c r="F10438" t="s">
        <v>20246</v>
      </c>
      <c r="G10438" t="s">
        <v>14</v>
      </c>
      <c r="H10438">
             </c>
      <c r="I10438" t="s">
        <v>14</v>
      </c>
      <c r="J10438" t="s">
        <v>343</v>
      </c>
      <c r="K10438" t="s">
        <v>14</v>
      </c>
      <c r="L10438" t="s">
        <v>20</v>
      </c>
      <c r="M10438" t="s">
        <v>20192</v>
      </c>
      <c r="N10438" t="s">
        <v>14</v>
      </c>
    </row>
    <row r="10439" x14ac:dyDescent="0.25">
      <c r="A10439" t="n">
        <v>24</v>
      </c>
      <c r="B10439" t="s">
        <v>14</v>
      </c>
      <c r="C10439" t="s">
        <v>22</v>
      </c>
      <c r="D10439" s="2" t="s">
        <f>=HYPERLINK("https://main.knesset.gov.il/APPS/legislation/main/bills/2158372", "הצעת חוק עבודת נשים (תיקון - הסדרי עבודה גמישים להורה עצמאי), התשפ""א-2021")</f>
        <v>20247</v>
      </c>
      <c r="E10439" t="s">
        <v>20247</v>
      </c>
      <c r="F10439" t="s">
        <v>20248</v>
      </c>
      <c r="G10439" t="s">
        <v>14</v>
      </c>
      <c r="H10439">
             </c>
      <c r="I10439" t="s">
        <v>14</v>
      </c>
      <c r="J10439" t="s">
        <v>141</v>
      </c>
      <c r="K10439" t="s">
        <v>14</v>
      </c>
      <c r="L10439" t="s">
        <v>20</v>
      </c>
      <c r="M10439" t="s">
        <v>20192</v>
      </c>
      <c r="N10439" t="s">
        <v>14</v>
      </c>
    </row>
    <row r="10440" x14ac:dyDescent="0.25">
      <c r="A10440" t="n">
        <v>24</v>
      </c>
      <c r="B10440" t="s">
        <v>14</v>
      </c>
      <c r="C10440" t="s">
        <v>22</v>
      </c>
      <c r="D10440" s="2" t="s">
        <f>=HYPERLINK("https://main.knesset.gov.il/APPS/legislation/main/bills/2158302", "הצעת חוק הבטחת הכנסה (תיקון - הכנסה שמקורה בדמי אבטלה), התשפ""א-2021")</f>
        <v>20249</v>
      </c>
      <c r="E10440" t="s">
        <v>20249</v>
      </c>
      <c r="F10440" t="s">
        <v>20250</v>
      </c>
      <c r="G10440" t="s">
        <v>14</v>
      </c>
      <c r="H10440">
             </c>
      <c r="I10440" t="s">
        <v>14</v>
      </c>
      <c r="J10440" t="s">
        <v>141</v>
      </c>
      <c r="K10440" t="s">
        <v>14</v>
      </c>
      <c r="L10440" t="s">
        <v>20</v>
      </c>
      <c r="M10440" t="s">
        <v>20192</v>
      </c>
      <c r="N10440" t="s">
        <v>14</v>
      </c>
    </row>
    <row r="10441" x14ac:dyDescent="0.25">
      <c r="A10441" t="n">
        <v>24</v>
      </c>
      <c r="B10441" t="s">
        <v>14</v>
      </c>
      <c r="C10441" t="s">
        <v>22</v>
      </c>
      <c r="D10441" s="2" t="s">
        <f>=HYPERLINK("https://main.knesset.gov.il/APPS/legislation/main/bills/2157911", "הצעת חוק העונשין (תיקון - הגבלת שימוש ברשתות חברתיות), התשפ""א-2021 ")</f>
        <v>20251</v>
      </c>
      <c r="E10441" t="s">
        <v>20251</v>
      </c>
      <c r="F10441" t="s">
        <v>20252</v>
      </c>
      <c r="G10441" t="s">
        <v>14</v>
      </c>
      <c r="H10441">
             </c>
      <c r="I10441" t="s">
        <v>14</v>
      </c>
      <c r="J10441" t="s">
        <v>343</v>
      </c>
      <c r="K10441" t="s">
        <v>14</v>
      </c>
      <c r="L10441" t="s">
        <v>20</v>
      </c>
      <c r="M10441" t="s">
        <v>20192</v>
      </c>
      <c r="N10441" t="s">
        <v>14</v>
      </c>
    </row>
    <row r="10442" x14ac:dyDescent="0.25">
      <c r="A10442" t="n">
        <v>24</v>
      </c>
      <c r="B10442" t="s">
        <v>14</v>
      </c>
      <c r="C10442" t="s">
        <v>22</v>
      </c>
      <c r="D10442" s="2" t="s">
        <f>=HYPERLINK("https://main.knesset.gov.il/APPS/legislation/main/bills/2158357", "הצעת חוק-יסוד: הממשלה (תיקון - סייג להטלת התפקיד להרכיב ממשלה)")</f>
        <v>13344</v>
      </c>
      <c r="E10442" t="s">
        <v>13344</v>
      </c>
      <c r="F10442" t="s">
        <v>20253</v>
      </c>
      <c r="G10442" t="s">
        <v>14</v>
      </c>
      <c r="H10442">
             </c>
      <c r="I10442" t="s">
        <v>14</v>
      </c>
      <c r="J10442" t="s">
        <v>141</v>
      </c>
      <c r="K10442" t="s">
        <v>14</v>
      </c>
      <c r="L10442" t="s">
        <v>20</v>
      </c>
      <c r="M10442" t="s">
        <v>20192</v>
      </c>
      <c r="N10442" t="s">
        <v>14</v>
      </c>
    </row>
    <row r="10443" x14ac:dyDescent="0.25">
      <c r="A10443" t="n">
        <v>24</v>
      </c>
      <c r="B10443" t="s">
        <v>14</v>
      </c>
      <c r="C10443" t="s">
        <v>22</v>
      </c>
      <c r="D10443" s="2" t="s">
        <f>=HYPERLINK("https://main.knesset.gov.il/APPS/legislation/main/bills/2157681", "הצעת חוק הסדרת העיסוק בייעוץ השקעות, בשיווק השקעות ובניהול תיקי השקעות (תיקון - דיווח יועץ השקעות ללקוח), התשפ""א-2021")</f>
        <v>20254</v>
      </c>
      <c r="E10443" t="s">
        <v>20254</v>
      </c>
      <c r="F10443" t="s">
        <v>20255</v>
      </c>
      <c r="G10443" t="s">
        <v>14</v>
      </c>
      <c r="H10443">
             </c>
      <c r="I10443" t="s">
        <v>14</v>
      </c>
      <c r="J10443" t="s">
        <v>141</v>
      </c>
      <c r="K10443" t="s">
        <v>14</v>
      </c>
      <c r="L10443" t="s">
        <v>20</v>
      </c>
      <c r="M10443" t="s">
        <v>20192</v>
      </c>
      <c r="N10443" t="s">
        <v>14</v>
      </c>
    </row>
    <row r="10444" x14ac:dyDescent="0.25">
      <c r="A10444" t="n">
        <v>24</v>
      </c>
      <c r="B10444" t="s">
        <v>14</v>
      </c>
      <c r="C10444" t="s">
        <v>22</v>
      </c>
      <c r="D10444" s="2" t="s">
        <f>=HYPERLINK("https://main.knesset.gov.il/APPS/legislation/main/bills/2157038", "הצעת חוק התקשורת (בזק ושידורים) (תיקון - יידוע מנוי בדבר קצב הגלישה הממוצע באינטרנט), התשפ""א-2021")</f>
        <v>20256</v>
      </c>
      <c r="E10444" t="s">
        <v>20256</v>
      </c>
      <c r="F10444" t="s">
        <v>20257</v>
      </c>
      <c r="G10444" t="s">
        <v>14</v>
      </c>
      <c r="H10444">
             </c>
      <c r="I10444" t="s">
        <v>14</v>
      </c>
      <c r="J10444" t="s">
        <v>141</v>
      </c>
      <c r="K10444" t="s">
        <v>14</v>
      </c>
      <c r="L10444" t="s">
        <v>20</v>
      </c>
      <c r="M10444" t="s">
        <v>20192</v>
      </c>
      <c r="N10444" t="s">
        <v>14</v>
      </c>
    </row>
    <row r="10445" x14ac:dyDescent="0.25">
      <c r="A10445" t="n">
        <v>24</v>
      </c>
      <c r="B10445" t="s">
        <v>14</v>
      </c>
      <c r="C10445" t="s">
        <v>22</v>
      </c>
      <c r="D10445" s="2" t="s">
        <f>=HYPERLINK("https://main.knesset.gov.il/APPS/legislation/main/bills/2158363", "הצעת חוק עבודת נשים (תיקון - תקופת לידה והורות להורה יחיד), התשפ""א-2021 ")</f>
        <v>20258</v>
      </c>
      <c r="E10445" t="s">
        <v>20258</v>
      </c>
      <c r="F10445" t="s">
        <v>20259</v>
      </c>
      <c r="G10445" t="s">
        <v>14</v>
      </c>
      <c r="H10445">
             </c>
      <c r="I10445" t="s">
        <v>14</v>
      </c>
      <c r="J10445" t="s">
        <v>141</v>
      </c>
      <c r="K10445" t="s">
        <v>14</v>
      </c>
      <c r="L10445" t="s">
        <v>20</v>
      </c>
      <c r="M10445" t="s">
        <v>20192</v>
      </c>
      <c r="N10445" t="s">
        <v>14</v>
      </c>
    </row>
    <row r="10446" x14ac:dyDescent="0.25">
      <c r="A10446" t="n">
        <v>24</v>
      </c>
      <c r="B10446" t="s">
        <v>14</v>
      </c>
      <c r="C10446" t="s">
        <v>22</v>
      </c>
      <c r="D10446" s="2" t="s">
        <f>=HYPERLINK("https://main.knesset.gov.il/APPS/legislation/main/bills/2156338", "הצעת חוק ארגוני עזר רפואיים הפועלים בתחום רפואת חירום דחופה טרום אשפוזית, התשפ""א-2021")</f>
        <v>20260</v>
      </c>
      <c r="E10446" t="s">
        <v>20260</v>
      </c>
      <c r="F10446" t="s">
        <v>20261</v>
      </c>
      <c r="G10446" t="s">
        <v>14</v>
      </c>
      <c r="H10446">
             </c>
      <c r="I10446" t="s">
        <v>14</v>
      </c>
      <c r="J10446" t="s">
        <v>141</v>
      </c>
      <c r="K10446" t="s">
        <v>14</v>
      </c>
      <c r="L10446" t="s">
        <v>20</v>
      </c>
      <c r="M10446" t="s">
        <v>20192</v>
      </c>
      <c r="N10446" t="s">
        <v>14</v>
      </c>
    </row>
    <row r="10447" x14ac:dyDescent="0.25">
      <c r="A10447" t="n">
        <v>24</v>
      </c>
      <c r="B10447" t="s">
        <v>14</v>
      </c>
      <c r="C10447" t="s">
        <v>22</v>
      </c>
      <c r="D10447" s="2" t="s">
        <f>=HYPERLINK("https://main.knesset.gov.il/APPS/legislation/main/bills/2158038", "הצעת חוק מעונות לסטודנטים, התשפ""א-2021")</f>
        <v>20262</v>
      </c>
      <c r="E10447" t="s">
        <v>20262</v>
      </c>
      <c r="F10447" t="s">
        <v>20263</v>
      </c>
      <c r="G10447" t="s">
        <v>14</v>
      </c>
      <c r="H10447">
             </c>
      <c r="I10447" t="s">
        <v>14</v>
      </c>
      <c r="J10447" t="s">
        <v>141</v>
      </c>
      <c r="K10447" t="s">
        <v>14</v>
      </c>
      <c r="L10447" t="s">
        <v>20</v>
      </c>
      <c r="M10447" t="s">
        <v>20192</v>
      </c>
      <c r="N10447" t="s">
        <v>14</v>
      </c>
    </row>
    <row r="10448" x14ac:dyDescent="0.25">
      <c r="A10448" t="n">
        <v>24</v>
      </c>
      <c r="B10448" t="s">
        <v>14</v>
      </c>
      <c r="C10448" t="s">
        <v>22</v>
      </c>
      <c r="D10448" s="2" t="s">
        <f>=HYPERLINK("https://main.knesset.gov.il/APPS/legislation/main/bills/2157031", "הצעת חוק הביטוח הלאומי (תיקון - קביעת אחוזי נכות ללקויי שמיעה - דו-צידי וחד-צידי), התשפ""א-2021")</f>
        <v>20264</v>
      </c>
      <c r="E10448" t="s">
        <v>20264</v>
      </c>
      <c r="F10448" t="s">
        <v>20265</v>
      </c>
      <c r="G10448" t="s">
        <v>14</v>
      </c>
      <c r="H10448">
             </c>
      <c r="I10448" t="s">
        <v>14</v>
      </c>
      <c r="J10448" t="s">
        <v>141</v>
      </c>
      <c r="K10448" t="s">
        <v>14</v>
      </c>
      <c r="L10448" t="s">
        <v>20</v>
      </c>
      <c r="M10448" t="s">
        <v>20192</v>
      </c>
      <c r="N10448" t="s">
        <v>14</v>
      </c>
    </row>
    <row r="10449" x14ac:dyDescent="0.25">
      <c r="A10449" t="n">
        <v>24</v>
      </c>
      <c r="B10449" t="s">
        <v>14</v>
      </c>
      <c r="C10449" t="s">
        <v>22</v>
      </c>
      <c r="D10449" s="2" t="s">
        <f>=HYPERLINK("https://main.knesset.gov.il/APPS/legislation/main/bills/2158081", "הצעת חוק יום לציון פועלו וזכרו של אלי כהן, התשפ""א-2021")</f>
        <v>20266</v>
      </c>
      <c r="E10449" t="s">
        <v>20266</v>
      </c>
      <c r="F10449" t="s">
        <v>20267</v>
      </c>
      <c r="G10449" t="s">
        <v>14</v>
      </c>
      <c r="H10449">
             </c>
      <c r="I10449" t="s">
        <v>14</v>
      </c>
      <c r="J10449" t="s">
        <v>141</v>
      </c>
      <c r="K10449" t="s">
        <v>14</v>
      </c>
      <c r="L10449" t="s">
        <v>20</v>
      </c>
      <c r="M10449" t="s">
        <v>20192</v>
      </c>
      <c r="N10449" t="s">
        <v>14</v>
      </c>
    </row>
    <row r="10450" x14ac:dyDescent="0.25">
      <c r="A10450" t="n">
        <v>24</v>
      </c>
      <c r="B10450" t="s">
        <v>14</v>
      </c>
      <c r="C10450" t="s">
        <v>22</v>
      </c>
      <c r="D10450" s="2" t="s">
        <f>=HYPERLINK("https://main.knesset.gov.il/APPS/legislation/main/bills/2158347", "הצעת חוק זכויות למשפחות של אנשים עם מוגבלות, התשפ""א-2021")</f>
        <v>20268</v>
      </c>
      <c r="E10450" t="s">
        <v>20268</v>
      </c>
      <c r="F10450" t="s">
        <v>20269</v>
      </c>
      <c r="G10450" t="s">
        <v>14</v>
      </c>
      <c r="H10450">
             </c>
      <c r="I10450" t="s">
        <v>14</v>
      </c>
      <c r="J10450" t="s">
        <v>141</v>
      </c>
      <c r="K10450" t="s">
        <v>14</v>
      </c>
      <c r="L10450" t="s">
        <v>20</v>
      </c>
      <c r="M10450" t="s">
        <v>20192</v>
      </c>
      <c r="N10450" t="s">
        <v>14</v>
      </c>
    </row>
    <row r="10451" x14ac:dyDescent="0.25">
      <c r="A10451" t="n">
        <v>24</v>
      </c>
      <c r="B10451" t="s">
        <v>14</v>
      </c>
      <c r="C10451" t="s">
        <v>22</v>
      </c>
      <c r="D10451" s="2" t="s">
        <f>=HYPERLINK("https://main.knesset.gov.il/APPS/legislation/main/bills/2157954", "הצעת חוק חינוך ממלכתי (תיקון - ביטול השתתפות רשות מקומית בתקציבי מוסדות חינוך מוכרים לא רשמיים), התשפ""א-2021")</f>
        <v>20270</v>
      </c>
      <c r="E10451" t="s">
        <v>20270</v>
      </c>
      <c r="F10451" t="s">
        <v>20271</v>
      </c>
      <c r="G10451" t="s">
        <v>14</v>
      </c>
      <c r="H10451">
             </c>
      <c r="I10451" t="s">
        <v>14</v>
      </c>
      <c r="J10451" t="s">
        <v>141</v>
      </c>
      <c r="K10451" t="s">
        <v>14</v>
      </c>
      <c r="L10451" t="s">
        <v>20</v>
      </c>
      <c r="M10451" t="s">
        <v>20192</v>
      </c>
      <c r="N10451" t="s">
        <v>14</v>
      </c>
    </row>
    <row r="10452" x14ac:dyDescent="0.25">
      <c r="A10452" t="n">
        <v>24</v>
      </c>
      <c r="B10452" t="s">
        <v>14</v>
      </c>
      <c r="C10452" t="s">
        <v>22</v>
      </c>
      <c r="D10452" s="2" t="s">
        <f>=HYPERLINK("https://main.knesset.gov.il/APPS/legislation/main/bills/2157984", "הצעת חוק-יסוד: הממשלה (תיקון - חובת מינוי ממלא מקום ראש הממשלה)")</f>
        <v>2485</v>
      </c>
      <c r="E10452" t="s">
        <v>2485</v>
      </c>
      <c r="F10452" t="s">
        <v>20272</v>
      </c>
      <c r="G10452" t="s">
        <v>14</v>
      </c>
      <c r="H10452">
             </c>
      <c r="I10452" t="s">
        <v>14</v>
      </c>
      <c r="J10452" t="s">
        <v>141</v>
      </c>
      <c r="K10452" t="s">
        <v>14</v>
      </c>
      <c r="L10452" t="s">
        <v>20</v>
      </c>
      <c r="M10452" t="s">
        <v>20192</v>
      </c>
      <c r="N10452" t="s">
        <v>14</v>
      </c>
    </row>
    <row r="10453" x14ac:dyDescent="0.25">
      <c r="A10453" t="n">
        <v>24</v>
      </c>
      <c r="B10453" t="s">
        <v>14</v>
      </c>
      <c r="C10453" t="s">
        <v>22</v>
      </c>
      <c r="D10453" s="2" t="s">
        <f>=HYPERLINK("https://main.knesset.gov.il/APPS/legislation/main/bills/2157956", "הצעת חוק התגמולים לנפגעי פעולות איבה (תיקון - פשעי שנאה), התשפ""א-2021")</f>
        <v>20273</v>
      </c>
      <c r="E10453" t="s">
        <v>20273</v>
      </c>
      <c r="F10453" t="s">
        <v>20274</v>
      </c>
      <c r="G10453" t="s">
        <v>14</v>
      </c>
      <c r="H10453">
             </c>
      <c r="I10453" t="s">
        <v>14</v>
      </c>
      <c r="J10453" t="s">
        <v>141</v>
      </c>
      <c r="K10453" t="s">
        <v>14</v>
      </c>
      <c r="L10453" t="s">
        <v>20</v>
      </c>
      <c r="M10453" t="s">
        <v>20192</v>
      </c>
      <c r="N10453" t="s">
        <v>14</v>
      </c>
    </row>
    <row r="10454" x14ac:dyDescent="0.25">
      <c r="A10454" t="n">
        <v>24</v>
      </c>
      <c r="B10454" t="s">
        <v>14</v>
      </c>
      <c r="C10454" t="s">
        <v>22</v>
      </c>
      <c r="D10454" s="2" t="s">
        <f>=HYPERLINK("https://main.knesset.gov.il/APPS/legislation/main/bills/2157948", "הצעת חוק משפחות חיילים שנספו במערכה (תגמולים ושיקום) (תיקון - הגדרת אלמן ושכול), התשפ""א-2021")</f>
        <v>20275</v>
      </c>
      <c r="E10454" t="s">
        <v>20275</v>
      </c>
      <c r="F10454" t="s">
        <v>20276</v>
      </c>
      <c r="G10454" t="s">
        <v>14</v>
      </c>
      <c r="H10454">
             </c>
      <c r="I10454" t="s">
        <v>14</v>
      </c>
      <c r="J10454" t="s">
        <v>141</v>
      </c>
      <c r="K10454" t="s">
        <v>14</v>
      </c>
      <c r="L10454" t="s">
        <v>20</v>
      </c>
      <c r="M10454" t="s">
        <v>20192</v>
      </c>
      <c r="N10454" t="s">
        <v>14</v>
      </c>
    </row>
    <row r="10455" x14ac:dyDescent="0.25">
      <c r="A10455" t="n">
        <v>24</v>
      </c>
      <c r="B10455" t="s">
        <v>14</v>
      </c>
      <c r="C10455" t="s">
        <v>22</v>
      </c>
      <c r="D10455" s="2" t="s">
        <f>=HYPERLINK("https://main.knesset.gov.il/APPS/legislation/main/bills/2157955", "הצעת חוק עבודת נשים (תיקון - הגנה לעובדת העוברת טיפולי פוריות), התשפ""א-2021")</f>
        <v>20277</v>
      </c>
      <c r="E10455" t="s">
        <v>20277</v>
      </c>
      <c r="F10455" t="s">
        <v>20278</v>
      </c>
      <c r="G10455" t="s">
        <v>14</v>
      </c>
      <c r="H10455">
             </c>
      <c r="I10455" t="s">
        <v>14</v>
      </c>
      <c r="J10455" t="s">
        <v>141</v>
      </c>
      <c r="K10455" t="s">
        <v>14</v>
      </c>
      <c r="L10455" t="s">
        <v>20</v>
      </c>
      <c r="M10455" t="s">
        <v>20192</v>
      </c>
      <c r="N10455" t="s">
        <v>14</v>
      </c>
    </row>
    <row r="10456" x14ac:dyDescent="0.25">
      <c r="A10456" t="n">
        <v>24</v>
      </c>
      <c r="B10456" t="s">
        <v>14</v>
      </c>
      <c r="C10456" t="s">
        <v>22</v>
      </c>
      <c r="D10456" s="2" t="s">
        <f>=HYPERLINK("https://main.knesset.gov.il/APPS/legislation/main/bills/2157942", "הצעת חוק עבודת נשים (תיקון - תקופת לידה והורות מדורגת), התשפ""א-2021")</f>
        <v>20279</v>
      </c>
      <c r="E10456" t="s">
        <v>20279</v>
      </c>
      <c r="F10456" t="s">
        <v>20280</v>
      </c>
      <c r="G10456" t="s">
        <v>14</v>
      </c>
      <c r="H10456">
             </c>
      <c r="I10456" t="s">
        <v>14</v>
      </c>
      <c r="J10456" t="s">
        <v>141</v>
      </c>
      <c r="K10456" t="s">
        <v>14</v>
      </c>
      <c r="L10456" t="s">
        <v>20</v>
      </c>
      <c r="M10456" t="s">
        <v>20192</v>
      </c>
      <c r="N10456" t="s">
        <v>14</v>
      </c>
    </row>
    <row r="10457" x14ac:dyDescent="0.25">
      <c r="A10457" t="n">
        <v>24</v>
      </c>
      <c r="B10457" t="s">
        <v>14</v>
      </c>
      <c r="C10457" t="s">
        <v>22</v>
      </c>
      <c r="D10457" s="2" t="s">
        <f>=HYPERLINK("https://main.knesset.gov.il/APPS/legislation/main/bills/2157969", "הצעת חוק העסקת עובדי הוראה, התשפ""א-2021")</f>
        <v>20281</v>
      </c>
      <c r="E10457" t="s">
        <v>20281</v>
      </c>
      <c r="F10457" t="s">
        <v>20282</v>
      </c>
      <c r="G10457" t="s">
        <v>14</v>
      </c>
      <c r="H10457">
             </c>
      <c r="I10457" t="s">
        <v>14</v>
      </c>
      <c r="J10457" t="s">
        <v>141</v>
      </c>
      <c r="K10457" t="s">
        <v>14</v>
      </c>
      <c r="L10457" t="s">
        <v>20</v>
      </c>
      <c r="M10457" t="s">
        <v>20192</v>
      </c>
      <c r="N10457" t="s">
        <v>14</v>
      </c>
    </row>
    <row r="10458" x14ac:dyDescent="0.25">
      <c r="A10458" t="n">
        <v>24</v>
      </c>
      <c r="B10458" t="s">
        <v>14</v>
      </c>
      <c r="C10458" t="s">
        <v>22</v>
      </c>
      <c r="D10458" s="2" t="s">
        <f>=HYPERLINK("https://main.knesset.gov.il/APPS/legislation/main/bills/2157987", "הצעת חוק חינוך ממלכתי (תיקון - שלילת השתתפות בתקציב עקב הפליה), התשפ""א-2021")</f>
        <v>16257</v>
      </c>
      <c r="E10458" t="s">
        <v>16257</v>
      </c>
      <c r="F10458" t="s">
        <v>20283</v>
      </c>
      <c r="G10458" t="s">
        <v>14</v>
      </c>
      <c r="H10458">
             </c>
      <c r="I10458" t="s">
        <v>14</v>
      </c>
      <c r="J10458" t="s">
        <v>343</v>
      </c>
      <c r="K10458" t="s">
        <v>14</v>
      </c>
      <c r="L10458" t="s">
        <v>20</v>
      </c>
      <c r="M10458" t="s">
        <v>20192</v>
      </c>
      <c r="N10458" t="s">
        <v>14</v>
      </c>
    </row>
    <row r="10459" x14ac:dyDescent="0.25">
      <c r="A10459" t="n">
        <v>24</v>
      </c>
      <c r="B10459" t="s">
        <v>14</v>
      </c>
      <c r="C10459" t="s">
        <v>22</v>
      </c>
      <c r="D10459" s="2" t="s">
        <f>=HYPERLINK("https://main.knesset.gov.il/APPS/legislation/main/bills/2157986", "הצעת חוק התרבות והאומנות (תיקון - הקצאת תקציב שנתי לתרבות והאומנות), התשפ""א-2021")</f>
        <v>20284</v>
      </c>
      <c r="E10459" t="s">
        <v>20284</v>
      </c>
      <c r="F10459" t="s">
        <v>20285</v>
      </c>
      <c r="G10459" t="s">
        <v>14</v>
      </c>
      <c r="H10459">
             </c>
      <c r="I10459" t="s">
        <v>14</v>
      </c>
      <c r="J10459" t="s">
        <v>141</v>
      </c>
      <c r="K10459" t="s">
        <v>14</v>
      </c>
      <c r="L10459" t="s">
        <v>20</v>
      </c>
      <c r="M10459" t="s">
        <v>20192</v>
      </c>
      <c r="N10459" t="s">
        <v>14</v>
      </c>
    </row>
    <row r="10460" x14ac:dyDescent="0.25">
      <c r="A10460" t="n">
        <v>24</v>
      </c>
      <c r="B10460" t="s">
        <v>14</v>
      </c>
      <c r="C10460" t="s">
        <v>22</v>
      </c>
      <c r="D10460" s="2" t="s">
        <f>=HYPERLINK("https://main.knesset.gov.il/APPS/legislation/main/bills/2157960", "הצעת חוק איסור הפליה במוצרים, בשירותים ובכניסה למקומות בידור ולמקומות ציבוריים (תיקון - הגדלת סכום הפיצוי בלא הוכחת נזק), התשפ""א-2021")</f>
        <v>20286</v>
      </c>
      <c r="E10460" t="s">
        <v>20286</v>
      </c>
      <c r="F10460" t="s">
        <v>20287</v>
      </c>
      <c r="G10460" t="s">
        <v>14</v>
      </c>
      <c r="H10460">
             </c>
      <c r="I10460" t="s">
        <v>14</v>
      </c>
      <c r="J10460" t="s">
        <v>141</v>
      </c>
      <c r="K10460" t="s">
        <v>14</v>
      </c>
      <c r="L10460" t="s">
        <v>20</v>
      </c>
      <c r="M10460" t="s">
        <v>20192</v>
      </c>
      <c r="N10460" t="s">
        <v>14</v>
      </c>
    </row>
    <row r="10461" x14ac:dyDescent="0.25">
      <c r="A10461" t="n">
        <v>24</v>
      </c>
      <c r="B10461" t="s">
        <v>14</v>
      </c>
      <c r="C10461" t="s">
        <v>22</v>
      </c>
      <c r="D10461" s="2" t="s">
        <f>=HYPERLINK("https://main.knesset.gov.il/APPS/legislation/main/bills/2157204", "הצעת חוק הפסקת היריון, התשפ""א-2021")</f>
        <v>20205</v>
      </c>
      <c r="E10461" t="s">
        <v>20205</v>
      </c>
      <c r="F10461" t="s">
        <v>20288</v>
      </c>
      <c r="G10461" t="s">
        <v>14</v>
      </c>
      <c r="H10461">
             </c>
      <c r="I10461" t="s">
        <v>14</v>
      </c>
      <c r="J10461" t="s">
        <v>141</v>
      </c>
      <c r="K10461" t="s">
        <v>14</v>
      </c>
      <c r="L10461" t="s">
        <v>20</v>
      </c>
      <c r="M10461" t="s">
        <v>20192</v>
      </c>
      <c r="N10461" t="s">
        <v>14</v>
      </c>
    </row>
    <row r="10462" x14ac:dyDescent="0.25">
      <c r="A10462" t="n">
        <v>24</v>
      </c>
      <c r="B10462" t="s">
        <v>14</v>
      </c>
      <c r="C10462" t="s">
        <v>22</v>
      </c>
      <c r="D10462" s="2" t="s">
        <f>=HYPERLINK("https://main.knesset.gov.il/APPS/legislation/main/bills/2156927", "הצעת חוק הביטוח הלאומי (תיקון - דמי פגיעה לעצמאי), התשפ""א-2021")</f>
        <v>20027</v>
      </c>
      <c r="E10462" t="s">
        <v>20027</v>
      </c>
      <c r="F10462" t="s">
        <v>20289</v>
      </c>
      <c r="G10462" t="s">
        <v>14</v>
      </c>
      <c r="H10462">
             </c>
      <c r="I10462" t="s">
        <v>14</v>
      </c>
      <c r="J10462" t="s">
        <v>141</v>
      </c>
      <c r="K10462" t="s">
        <v>14</v>
      </c>
      <c r="L10462" t="s">
        <v>20</v>
      </c>
      <c r="M10462" t="s">
        <v>20192</v>
      </c>
      <c r="N10462" t="s">
        <v>14</v>
      </c>
    </row>
    <row r="10463" x14ac:dyDescent="0.25">
      <c r="A10463" t="n">
        <v>24</v>
      </c>
      <c r="B10463" t="s">
        <v>14</v>
      </c>
      <c r="C10463" t="s">
        <v>22</v>
      </c>
      <c r="D10463" s="2" t="s">
        <f>=HYPERLINK("https://main.knesset.gov.il/APPS/legislation/main/bills/2157782", "הצעת חוק העונשין (תיקון - הגדרת גזענות), התשפ""א-2021")</f>
        <v>19363</v>
      </c>
      <c r="E10463" t="s">
        <v>19363</v>
      </c>
      <c r="F10463" t="s">
        <v>20290</v>
      </c>
      <c r="G10463" t="s">
        <v>14</v>
      </c>
      <c r="H10463">
             </c>
      <c r="I10463" t="s">
        <v>14</v>
      </c>
      <c r="J10463" t="s">
        <v>141</v>
      </c>
      <c r="K10463" t="s">
        <v>14</v>
      </c>
      <c r="L10463" t="s">
        <v>20</v>
      </c>
      <c r="M10463" t="s">
        <v>20192</v>
      </c>
      <c r="N10463" t="s">
        <v>14</v>
      </c>
    </row>
    <row r="10464" x14ac:dyDescent="0.25">
      <c r="A10464" t="n">
        <v>24</v>
      </c>
      <c r="B10464" t="s">
        <v>14</v>
      </c>
      <c r="C10464" t="s">
        <v>22</v>
      </c>
      <c r="D10464" s="2" t="s">
        <f>=HYPERLINK("https://main.knesset.gov.il/APPS/legislation/main/bills/2157020", "הצעת חוק ניירות ערך (תיקון - קנס מוגדל בגין הרצת מניות), התשפ""א-2021")</f>
        <v>20291</v>
      </c>
      <c r="E10464" t="s">
        <v>20291</v>
      </c>
      <c r="F10464" t="s">
        <v>20292</v>
      </c>
      <c r="G10464" t="s">
        <v>14</v>
      </c>
      <c r="H10464">
             </c>
      <c r="I10464" t="s">
        <v>14</v>
      </c>
      <c r="J10464" t="s">
        <v>141</v>
      </c>
      <c r="K10464" t="s">
        <v>14</v>
      </c>
      <c r="L10464" t="s">
        <v>20</v>
      </c>
      <c r="M10464" t="s">
        <v>20192</v>
      </c>
      <c r="N10464" t="s">
        <v>14</v>
      </c>
    </row>
    <row r="10465" x14ac:dyDescent="0.25">
      <c r="A10465" t="n">
        <v>24</v>
      </c>
      <c r="B10465" t="s">
        <v>14</v>
      </c>
      <c r="C10465" t="s">
        <v>22</v>
      </c>
      <c r="D10465" s="2" t="s">
        <f>=HYPERLINK("https://main.knesset.gov.il/APPS/legislation/main/bills/2158464", "הצעת חוק הצמדת תשלומים לחיילים בודדים למדד המחירים לצרכן, התשפ""א-2021")</f>
        <v>20293</v>
      </c>
      <c r="E10465" t="s">
        <v>20293</v>
      </c>
      <c r="F10465" t="s">
        <v>20294</v>
      </c>
      <c r="G10465" t="s">
        <v>14</v>
      </c>
      <c r="H10465">
             </c>
      <c r="I10465" t="s">
        <v>14</v>
      </c>
      <c r="J10465" t="s">
        <v>141</v>
      </c>
      <c r="K10465" t="s">
        <v>14</v>
      </c>
      <c r="L10465" t="s">
        <v>20</v>
      </c>
      <c r="M10465" t="s">
        <v>20192</v>
      </c>
      <c r="N10465" t="s">
        <v>14</v>
      </c>
    </row>
    <row r="10466" x14ac:dyDescent="0.25">
      <c r="A10466" t="n">
        <v>24</v>
      </c>
      <c r="B10466" t="s">
        <v>14</v>
      </c>
      <c r="C10466" t="s">
        <v>22</v>
      </c>
      <c r="D10466" s="2" t="s">
        <f>=HYPERLINK("https://main.knesset.gov.il/APPS/legislation/main/bills/2158004", "הצעת חוק-יסוד: השוויון")</f>
        <v>11747</v>
      </c>
      <c r="E10466" t="s">
        <v>11747</v>
      </c>
      <c r="F10466" t="s">
        <v>20295</v>
      </c>
      <c r="G10466" t="s">
        <v>14</v>
      </c>
      <c r="H10466">
             </c>
      <c r="I10466" t="s">
        <v>14</v>
      </c>
      <c r="J10466" t="s">
        <v>141</v>
      </c>
      <c r="K10466" t="s">
        <v>14</v>
      </c>
      <c r="L10466" t="s">
        <v>20</v>
      </c>
      <c r="M10466" t="s">
        <v>20192</v>
      </c>
      <c r="N10466" t="s">
        <v>14</v>
      </c>
    </row>
    <row r="10467" x14ac:dyDescent="0.25">
      <c r="A10467" t="n">
        <v>24</v>
      </c>
      <c r="B10467" t="s">
        <v>14</v>
      </c>
      <c r="C10467" t="s">
        <v>22</v>
      </c>
      <c r="D10467" s="2" t="s">
        <f>=HYPERLINK("https://main.knesset.gov.il/APPS/legislation/main/bills/2156197", "הצעת חוק לימוד חובה (תיקון - הסעת תלמידים), התשפ""א-2021")</f>
        <v>20296</v>
      </c>
      <c r="E10467" t="s">
        <v>20296</v>
      </c>
      <c r="F10467" t="s">
        <v>20297</v>
      </c>
      <c r="G10467" t="s">
        <v>14</v>
      </c>
      <c r="H10467">
             </c>
      <c r="I10467" t="s">
        <v>14</v>
      </c>
      <c r="J10467" t="s">
        <v>141</v>
      </c>
      <c r="K10467" t="s">
        <v>14</v>
      </c>
      <c r="L10467" t="s">
        <v>20</v>
      </c>
      <c r="M10467" t="s">
        <v>20192</v>
      </c>
      <c r="N10467" t="s">
        <v>14</v>
      </c>
    </row>
    <row r="10468" x14ac:dyDescent="0.25">
      <c r="A10468" t="n">
        <v>24</v>
      </c>
      <c r="B10468" t="s">
        <v>14</v>
      </c>
      <c r="C10468" t="s">
        <v>22</v>
      </c>
      <c r="D10468" s="2" t="s">
        <f>=HYPERLINK("https://main.knesset.gov.il/APPS/legislation/main/bills/2157458", "הצעת חוק לתיקון פקודת התעבורה (שילוט אלקטרוני ומערכת כריזה באוטובוס בשפה הערבית), התשפ""א-2021")</f>
        <v>20298</v>
      </c>
      <c r="E10468" t="s">
        <v>20298</v>
      </c>
      <c r="F10468" t="s">
        <v>20299</v>
      </c>
      <c r="G10468" t="s">
        <v>14</v>
      </c>
      <c r="H10468">
             </c>
      <c r="I10468" t="s">
        <v>14</v>
      </c>
      <c r="J10468" t="s">
        <v>141</v>
      </c>
      <c r="K10468" t="s">
        <v>14</v>
      </c>
      <c r="L10468" t="s">
        <v>20</v>
      </c>
      <c r="M10468" t="s">
        <v>20192</v>
      </c>
      <c r="N10468" t="s">
        <v>14</v>
      </c>
    </row>
    <row r="10469" x14ac:dyDescent="0.25">
      <c r="A10469" t="n">
        <v>24</v>
      </c>
      <c r="B10469" t="s">
        <v>14</v>
      </c>
      <c r="C10469" t="s">
        <v>22</v>
      </c>
      <c r="D10469" s="2" t="s">
        <f>=HYPERLINK("https://main.knesset.gov.il/APPS/legislation/main/bills/2157459", "הצעת חוק לתיקון פקודת התעבורה (שירותי תחבורה ציבורית ללא תשלום), התשפ""א-2021")</f>
        <v>20300</v>
      </c>
      <c r="E10469" t="s">
        <v>20300</v>
      </c>
      <c r="F10469" t="s">
        <v>20301</v>
      </c>
      <c r="G10469" t="s">
        <v>14</v>
      </c>
      <c r="H10469">
             </c>
      <c r="I10469" t="s">
        <v>14</v>
      </c>
      <c r="J10469" t="s">
        <v>141</v>
      </c>
      <c r="K10469" t="s">
        <v>14</v>
      </c>
      <c r="L10469" t="s">
        <v>20</v>
      </c>
      <c r="M10469" t="s">
        <v>20192</v>
      </c>
      <c r="N10469" t="s">
        <v>14</v>
      </c>
    </row>
    <row r="10470" x14ac:dyDescent="0.25">
      <c r="A10470" t="n">
        <v>24</v>
      </c>
      <c r="B10470" t="s">
        <v>14</v>
      </c>
      <c r="C10470" t="s">
        <v>22</v>
      </c>
      <c r="D10470" s="2" t="s">
        <f>=HYPERLINK("https://main.knesset.gov.il/APPS/legislation/main/bills/2157460", "הצעת חוק לתיקון פקודת התעבורה (שמירת מרחק בעת עקיפת רוכבי אופניים), התשפ""א-2021")</f>
        <v>19276</v>
      </c>
      <c r="E10470" t="s">
        <v>19276</v>
      </c>
      <c r="F10470" t="s">
        <v>20302</v>
      </c>
      <c r="G10470" t="s">
        <v>14</v>
      </c>
      <c r="H10470">
             </c>
      <c r="I10470" t="s">
        <v>14</v>
      </c>
      <c r="J10470" t="s">
        <v>141</v>
      </c>
      <c r="K10470" t="s">
        <v>14</v>
      </c>
      <c r="L10470" t="s">
        <v>20</v>
      </c>
      <c r="M10470" t="s">
        <v>20192</v>
      </c>
      <c r="N10470" t="s">
        <v>14</v>
      </c>
    </row>
    <row r="10471" x14ac:dyDescent="0.25">
      <c r="A10471" t="n">
        <v>24</v>
      </c>
      <c r="B10471" t="s">
        <v>14</v>
      </c>
      <c r="C10471" t="s">
        <v>22</v>
      </c>
      <c r="D10471" s="2" t="s">
        <f>=HYPERLINK("https://main.knesset.gov.il/APPS/legislation/main/bills/2157465", "הצעת חוק סל הקליטה (תיקון - זכאות יוצאים לשאלה), התשפ""א-2021")</f>
        <v>20303</v>
      </c>
      <c r="E10471" t="s">
        <v>20303</v>
      </c>
      <c r="F10471" t="s">
        <v>20304</v>
      </c>
      <c r="G10471" t="s">
        <v>14</v>
      </c>
      <c r="H10471">
             </c>
      <c r="I10471" t="s">
        <v>14</v>
      </c>
      <c r="J10471" t="s">
        <v>141</v>
      </c>
      <c r="K10471" t="s">
        <v>14</v>
      </c>
      <c r="L10471" t="s">
        <v>20</v>
      </c>
      <c r="M10471" t="s">
        <v>20192</v>
      </c>
      <c r="N10471" t="s">
        <v>14</v>
      </c>
    </row>
    <row r="10472" x14ac:dyDescent="0.25">
      <c r="A10472" t="n">
        <v>24</v>
      </c>
      <c r="B10472" t="s">
        <v>14</v>
      </c>
      <c r="C10472" t="s">
        <v>22</v>
      </c>
      <c r="D10472" s="2" t="s">
        <f>=HYPERLINK("https://main.knesset.gov.il/APPS/legislation/main/bills/2157441", "הצעת חוק איסור הפליה במוצרים, בשירותים ובכניסה למקומות בידור ולמקומות ציבוריים (תיקון - הפליה מחמת מראה והתניית רישיון עסק באיסור הפליה), התשפ""א-2021")</f>
        <v>19266</v>
      </c>
      <c r="E10472" t="s">
        <v>19266</v>
      </c>
      <c r="F10472" t="s">
        <v>20305</v>
      </c>
      <c r="G10472" t="s">
        <v>14</v>
      </c>
      <c r="H10472">
             </c>
      <c r="I10472" t="s">
        <v>14</v>
      </c>
      <c r="J10472" t="s">
        <v>141</v>
      </c>
      <c r="K10472" t="s">
        <v>14</v>
      </c>
      <c r="L10472" t="s">
        <v>20</v>
      </c>
      <c r="M10472" t="s">
        <v>20192</v>
      </c>
      <c r="N10472" t="s">
        <v>14</v>
      </c>
    </row>
    <row r="10473" x14ac:dyDescent="0.25">
      <c r="A10473" t="n">
        <v>24</v>
      </c>
      <c r="B10473" t="s">
        <v>14</v>
      </c>
      <c r="C10473" t="s">
        <v>22</v>
      </c>
      <c r="D10473" s="2" t="s">
        <f>=HYPERLINK("https://main.knesset.gov.il/APPS/legislation/main/bills/2157480", "הצעת חוק תהליך קבלת החלטות בעניין הסכמי סחר בין-לאומיים, התשפ""א-2021")</f>
        <v>20306</v>
      </c>
      <c r="E10473" t="s">
        <v>20306</v>
      </c>
      <c r="F10473" t="s">
        <v>20307</v>
      </c>
      <c r="G10473" t="s">
        <v>14</v>
      </c>
      <c r="H10473">
             </c>
      <c r="I10473" t="s">
        <v>14</v>
      </c>
      <c r="J10473" t="s">
        <v>141</v>
      </c>
      <c r="K10473" t="s">
        <v>14</v>
      </c>
      <c r="L10473" t="s">
        <v>20</v>
      </c>
      <c r="M10473" t="s">
        <v>20192</v>
      </c>
      <c r="N10473" t="s">
        <v>14</v>
      </c>
    </row>
    <row r="10474" x14ac:dyDescent="0.25">
      <c r="A10474" t="n">
        <v>24</v>
      </c>
      <c r="B10474" t="s">
        <v>14</v>
      </c>
      <c r="C10474" t="s">
        <v>22</v>
      </c>
      <c r="D10474" s="2" t="s">
        <f>=HYPERLINK("https://main.knesset.gov.il/APPS/legislation/main/bills/2157452", "הצעת חוק לתיקון פקודת היערות (חובת פרסום לציבור על ידי הצבת שלט), התשפ""א-2021")</f>
        <v>20308</v>
      </c>
      <c r="E10474" t="s">
        <v>20308</v>
      </c>
      <c r="F10474" t="s">
        <v>20309</v>
      </c>
      <c r="G10474" t="s">
        <v>14</v>
      </c>
      <c r="H10474">
             </c>
      <c r="I10474" t="s">
        <v>14</v>
      </c>
      <c r="J10474" t="s">
        <v>141</v>
      </c>
      <c r="K10474" t="s">
        <v>14</v>
      </c>
      <c r="L10474" t="s">
        <v>20</v>
      </c>
      <c r="M10474" t="s">
        <v>20192</v>
      </c>
      <c r="N10474" t="s">
        <v>14</v>
      </c>
    </row>
    <row r="10475" x14ac:dyDescent="0.25">
      <c r="A10475" t="n">
        <v>24</v>
      </c>
      <c r="B10475" t="s">
        <v>14</v>
      </c>
      <c r="C10475" t="s">
        <v>22</v>
      </c>
      <c r="D10475" s="2" t="s">
        <f>=HYPERLINK("https://main.knesset.gov.il/APPS/legislation/main/bills/2157453", "הצעת חוק לתיקון פקודת היערות (סמכות השר להגנת הסביבה), התשפ""א-2021")</f>
        <v>20310</v>
      </c>
      <c r="E10475" t="s">
        <v>20310</v>
      </c>
      <c r="F10475" t="s">
        <v>20311</v>
      </c>
      <c r="G10475" t="s">
        <v>14</v>
      </c>
      <c r="H10475">
             </c>
      <c r="I10475" t="s">
        <v>14</v>
      </c>
      <c r="J10475" t="s">
        <v>141</v>
      </c>
      <c r="K10475" t="s">
        <v>14</v>
      </c>
      <c r="L10475" t="s">
        <v>20</v>
      </c>
      <c r="M10475" t="s">
        <v>20192</v>
      </c>
      <c r="N10475" t="s">
        <v>14</v>
      </c>
    </row>
    <row r="10476" x14ac:dyDescent="0.25">
      <c r="A10476" t="n">
        <v>24</v>
      </c>
      <c r="B10476" t="s">
        <v>14</v>
      </c>
      <c r="C10476" t="s">
        <v>22</v>
      </c>
      <c r="D10476" s="2" t="s">
        <f>=HYPERLINK("https://main.knesset.gov.il/APPS/legislation/main/bills/2157454", "הצעת חוק לתיקון פקודת היערות (פקידי יערות ברשות מקומית), התשפ""א-2021")</f>
        <v>20312</v>
      </c>
      <c r="E10476" t="s">
        <v>20312</v>
      </c>
      <c r="F10476" t="s">
        <v>20313</v>
      </c>
      <c r="G10476" t="s">
        <v>14</v>
      </c>
      <c r="H10476">
             </c>
      <c r="I10476" t="s">
        <v>14</v>
      </c>
      <c r="J10476" t="s">
        <v>141</v>
      </c>
      <c r="K10476" t="s">
        <v>14</v>
      </c>
      <c r="L10476" t="s">
        <v>20</v>
      </c>
      <c r="M10476" t="s">
        <v>20192</v>
      </c>
      <c r="N10476" t="s">
        <v>14</v>
      </c>
    </row>
    <row r="10477" x14ac:dyDescent="0.25">
      <c r="A10477" t="n">
        <v>24</v>
      </c>
      <c r="B10477" t="s">
        <v>14</v>
      </c>
      <c r="C10477" t="s">
        <v>22</v>
      </c>
      <c r="D10477" s="2" t="s">
        <f>=HYPERLINK("https://main.knesset.gov.il/APPS/legislation/main/bills/2157455", "הצעת חוק לתיקון פקודת העיריות (ביטול סמכויות גבייה מנהליות), התשפ""א-2021")</f>
        <v>20314</v>
      </c>
      <c r="E10477" t="s">
        <v>20314</v>
      </c>
      <c r="F10477" t="s">
        <v>20315</v>
      </c>
      <c r="G10477" t="s">
        <v>14</v>
      </c>
      <c r="H10477">
             </c>
      <c r="I10477" t="s">
        <v>14</v>
      </c>
      <c r="J10477" t="s">
        <v>141</v>
      </c>
      <c r="K10477" t="s">
        <v>14</v>
      </c>
      <c r="L10477" t="s">
        <v>20</v>
      </c>
      <c r="M10477" t="s">
        <v>20192</v>
      </c>
      <c r="N10477" t="s">
        <v>14</v>
      </c>
    </row>
    <row r="10478" x14ac:dyDescent="0.25">
      <c r="A10478" t="n">
        <v>24</v>
      </c>
      <c r="B10478" t="s">
        <v>14</v>
      </c>
      <c r="C10478" t="s">
        <v>22</v>
      </c>
      <c r="D10478" s="2" t="s">
        <f>=HYPERLINK("https://main.knesset.gov.il/APPS/legislation/main/bills/2157440", "הצעת חוק איסור הפליה במוצרים, בשירותים ובכניסה למקומות בידור ולמקומות ציבוריים (תיקון - איסור הפליה במוסדות חינוך, החלת אחריות אישית על מנהלי בתי ספר והגדלת סכום הפיצוי ללא הוכחת נזק), התשפ''א-2021")</f>
        <v>20316</v>
      </c>
      <c r="E10478" t="s">
        <v>20316</v>
      </c>
      <c r="F10478" t="s">
        <v>20317</v>
      </c>
      <c r="G10478" t="s">
        <v>14</v>
      </c>
      <c r="H10478">
             </c>
      <c r="I10478" t="s">
        <v>14</v>
      </c>
      <c r="J10478" t="s">
        <v>141</v>
      </c>
      <c r="K10478" t="s">
        <v>14</v>
      </c>
      <c r="L10478" t="s">
        <v>20</v>
      </c>
      <c r="M10478" t="s">
        <v>20192</v>
      </c>
      <c r="N10478" t="s">
        <v>14</v>
      </c>
    </row>
    <row r="10479" x14ac:dyDescent="0.25">
      <c r="A10479" t="n">
        <v>24</v>
      </c>
      <c r="B10479" t="s">
        <v>14</v>
      </c>
      <c r="C10479" t="s">
        <v>22</v>
      </c>
      <c r="D10479" s="2" t="s">
        <f>=HYPERLINK("https://main.knesset.gov.il/APPS/legislation/main/bills/2157473", "הצעת חוק רישוי עסקים (תיקון - עסק של אבזרי מין), התשפ""א-2021")</f>
        <v>20318</v>
      </c>
      <c r="E10479" t="s">
        <v>20318</v>
      </c>
      <c r="F10479" t="s">
        <v>20319</v>
      </c>
      <c r="G10479" t="s">
        <v>14</v>
      </c>
      <c r="H10479">
             </c>
      <c r="I10479" t="s">
        <v>14</v>
      </c>
      <c r="J10479" t="s">
        <v>141</v>
      </c>
      <c r="K10479" t="s">
        <v>14</v>
      </c>
      <c r="L10479" t="s">
        <v>20</v>
      </c>
      <c r="M10479" t="s">
        <v>20192</v>
      </c>
      <c r="N10479" t="s">
        <v>14</v>
      </c>
    </row>
    <row r="10480" x14ac:dyDescent="0.25">
      <c r="A10480" t="n">
        <v>24</v>
      </c>
      <c r="B10480" t="s">
        <v>14</v>
      </c>
      <c r="C10480" t="s">
        <v>22</v>
      </c>
      <c r="D10480" s="2" t="s">
        <f>=HYPERLINK("https://main.knesset.gov.il/APPS/legislation/main/bills/2157481", "הצעת חוק תשלום שכר היועץ המשפטי ומבקר העירייה (תיקוני חקיקה), התשפ""א-2021")</f>
        <v>20320</v>
      </c>
      <c r="E10480" t="s">
        <v>20320</v>
      </c>
      <c r="F10480" t="s">
        <v>20321</v>
      </c>
      <c r="G10480" t="s">
        <v>14</v>
      </c>
      <c r="H10480">
             </c>
      <c r="I10480" t="s">
        <v>14</v>
      </c>
      <c r="J10480" t="s">
        <v>141</v>
      </c>
      <c r="K10480" t="s">
        <v>14</v>
      </c>
      <c r="L10480" t="s">
        <v>20</v>
      </c>
      <c r="M10480" t="s">
        <v>20192</v>
      </c>
      <c r="N10480" t="s">
        <v>14</v>
      </c>
    </row>
    <row r="10481" x14ac:dyDescent="0.25">
      <c r="A10481" t="n">
        <v>24</v>
      </c>
      <c r="B10481" t="s">
        <v>14</v>
      </c>
      <c r="C10481" t="s">
        <v>22</v>
      </c>
      <c r="D10481" s="2" t="s">
        <f>=HYPERLINK("https://main.knesset.gov.il/APPS/legislation/main/bills/2157449", "הצעת חוק לסימון סוסים, חמורים ופרדים ולהגנתם, התשפ""א-2021")</f>
        <v>20322</v>
      </c>
      <c r="E10481" t="s">
        <v>20322</v>
      </c>
      <c r="F10481" t="s">
        <v>20323</v>
      </c>
      <c r="G10481" t="s">
        <v>14</v>
      </c>
      <c r="H10481">
             </c>
      <c r="I10481" t="s">
        <v>14</v>
      </c>
      <c r="J10481" t="s">
        <v>141</v>
      </c>
      <c r="K10481" t="s">
        <v>14</v>
      </c>
      <c r="L10481" t="s">
        <v>20</v>
      </c>
      <c r="M10481" t="s">
        <v>20192</v>
      </c>
      <c r="N10481" t="s">
        <v>14</v>
      </c>
    </row>
    <row r="10482" x14ac:dyDescent="0.25">
      <c r="A10482" t="n">
        <v>24</v>
      </c>
      <c r="B10482" t="s">
        <v>14</v>
      </c>
      <c r="C10482" t="s">
        <v>22</v>
      </c>
      <c r="D10482" s="2" t="s">
        <f>=HYPERLINK("https://main.knesset.gov.il/APPS/legislation/main/bills/2157443", "הצעת חוק איסור הפליה של תלמידים במערכת החינוך (תיקוני חקיקה), התשפ""א-2021")</f>
        <v>20324</v>
      </c>
      <c r="E10482" t="s">
        <v>20324</v>
      </c>
      <c r="F10482" t="s">
        <v>20325</v>
      </c>
      <c r="G10482" t="s">
        <v>14</v>
      </c>
      <c r="H10482">
             </c>
      <c r="I10482" t="s">
        <v>14</v>
      </c>
      <c r="J10482" t="s">
        <v>141</v>
      </c>
      <c r="K10482" t="s">
        <v>14</v>
      </c>
      <c r="L10482" t="s">
        <v>20</v>
      </c>
      <c r="M10482" t="s">
        <v>20192</v>
      </c>
      <c r="N10482" t="s">
        <v>14</v>
      </c>
    </row>
    <row r="10483" x14ac:dyDescent="0.25">
      <c r="A10483" t="n">
        <v>24</v>
      </c>
      <c r="B10483" t="s">
        <v>14</v>
      </c>
      <c r="C10483" t="s">
        <v>22</v>
      </c>
      <c r="D10483" s="2" t="s">
        <f>=HYPERLINK("https://main.knesset.gov.il/APPS/legislation/main/bills/2157472", "הצעת חוק צער בעלי חיים (הגנה על בעלי חיים) (תיקון - איסור על זיווג ומכירה של כלבים וחתולים), התשפ""א-2021")</f>
        <v>20326</v>
      </c>
      <c r="E10483" t="s">
        <v>20326</v>
      </c>
      <c r="F10483" t="s">
        <v>20327</v>
      </c>
      <c r="G10483" t="s">
        <v>14</v>
      </c>
      <c r="H10483">
             </c>
      <c r="I10483" t="s">
        <v>14</v>
      </c>
      <c r="J10483" t="s">
        <v>141</v>
      </c>
      <c r="K10483" t="s">
        <v>14</v>
      </c>
      <c r="L10483" t="s">
        <v>20</v>
      </c>
      <c r="M10483" t="s">
        <v>20192</v>
      </c>
      <c r="N10483" t="s">
        <v>14</v>
      </c>
    </row>
    <row r="10484" x14ac:dyDescent="0.25">
      <c r="A10484" t="n">
        <v>24</v>
      </c>
      <c r="B10484" t="s">
        <v>14</v>
      </c>
      <c r="C10484" t="s">
        <v>22</v>
      </c>
      <c r="D10484" s="2" t="s">
        <f>=HYPERLINK("https://main.knesset.gov.il/APPS/legislation/main/bills/2157463", "הצעת חוק סדנאות הכשרה לשוויון מגדרי בגיל הרך, התשפ""א-2021")</f>
        <v>20328</v>
      </c>
      <c r="E10484" t="s">
        <v>20328</v>
      </c>
      <c r="F10484" t="s">
        <v>20329</v>
      </c>
      <c r="G10484" t="s">
        <v>14</v>
      </c>
      <c r="H10484">
             </c>
      <c r="I10484" t="s">
        <v>14</v>
      </c>
      <c r="J10484" t="s">
        <v>141</v>
      </c>
      <c r="K10484" t="s">
        <v>14</v>
      </c>
      <c r="L10484" t="s">
        <v>20</v>
      </c>
      <c r="M10484" t="s">
        <v>20192</v>
      </c>
      <c r="N10484" t="s">
        <v>14</v>
      </c>
    </row>
    <row r="10485" x14ac:dyDescent="0.25">
      <c r="A10485" t="n">
        <v>24</v>
      </c>
      <c r="B10485" t="s">
        <v>14</v>
      </c>
      <c r="C10485" t="s">
        <v>22</v>
      </c>
      <c r="D10485" s="2" t="s">
        <f>=HYPERLINK("https://main.knesset.gov.il/APPS/legislation/main/bills/2157971", "הצעת חוק לקידום התחרות ולצמצום הריכוזיות (תיקון - קביעת תאגיד שאינו מדווח או שותפות כחברת שכבה), התשפ""א-2021")</f>
        <v>20330</v>
      </c>
      <c r="E10485" t="s">
        <v>20330</v>
      </c>
      <c r="F10485" t="s">
        <v>20331</v>
      </c>
      <c r="G10485" t="s">
        <v>14</v>
      </c>
      <c r="H10485">
             </c>
      <c r="I10485" t="s">
        <v>14</v>
      </c>
      <c r="J10485" t="s">
        <v>141</v>
      </c>
      <c r="K10485" t="s">
        <v>14</v>
      </c>
      <c r="L10485" t="s">
        <v>20</v>
      </c>
      <c r="M10485" t="s">
        <v>20192</v>
      </c>
      <c r="N10485" t="s">
        <v>14</v>
      </c>
    </row>
    <row r="10486" x14ac:dyDescent="0.25">
      <c r="A10486" t="n">
        <v>24</v>
      </c>
      <c r="B10486" t="s">
        <v>14</v>
      </c>
      <c r="C10486" t="s">
        <v>22</v>
      </c>
      <c r="D10486" s="2" t="s">
        <f>=HYPERLINK("https://main.knesset.gov.il/APPS/legislation/main/bills/2157461", "הצעת חוק לתיקון פקודת מס הכנסה (זיכוי במס לגרושים ידועים בציבור), התשפ""א-2021")</f>
        <v>20332</v>
      </c>
      <c r="E10486" t="s">
        <v>20332</v>
      </c>
      <c r="F10486" t="s">
        <v>20333</v>
      </c>
      <c r="G10486" t="s">
        <v>14</v>
      </c>
      <c r="H10486">
             </c>
      <c r="I10486" t="s">
        <v>14</v>
      </c>
      <c r="J10486" t="s">
        <v>141</v>
      </c>
      <c r="K10486" t="s">
        <v>14</v>
      </c>
      <c r="L10486" t="s">
        <v>20</v>
      </c>
      <c r="M10486" t="s">
        <v>20192</v>
      </c>
      <c r="N10486" t="s">
        <v>14</v>
      </c>
    </row>
    <row r="10487" x14ac:dyDescent="0.25">
      <c r="A10487" t="n">
        <v>24</v>
      </c>
      <c r="B10487" t="s">
        <v>14</v>
      </c>
      <c r="C10487" t="s">
        <v>22</v>
      </c>
      <c r="D10487" s="2" t="s">
        <f>=HYPERLINK("https://main.knesset.gov.il/APPS/legislation/main/bills/2157970", "הצעת חוק הקמת שדה תעופה בנבטים, התשפ""א-2021")</f>
        <v>20334</v>
      </c>
      <c r="E10487" t="s">
        <v>20334</v>
      </c>
      <c r="F10487" t="s">
        <v>20335</v>
      </c>
      <c r="G10487" t="s">
        <v>14</v>
      </c>
      <c r="H10487">
             </c>
      <c r="I10487" t="s">
        <v>14</v>
      </c>
      <c r="J10487" t="s">
        <v>141</v>
      </c>
      <c r="K10487" t="s">
        <v>14</v>
      </c>
      <c r="L10487" t="s">
        <v>20</v>
      </c>
      <c r="M10487" t="s">
        <v>20192</v>
      </c>
      <c r="N10487" t="s">
        <v>14</v>
      </c>
    </row>
    <row r="10488" x14ac:dyDescent="0.25">
      <c r="A10488" t="n">
        <v>24</v>
      </c>
      <c r="B10488" t="s">
        <v>14</v>
      </c>
      <c r="C10488" t="s">
        <v>22</v>
      </c>
      <c r="D10488" s="2" t="s">
        <f>=HYPERLINK("https://main.knesset.gov.il/APPS/legislation/main/bills/2157475", "הצעת חוק שיווי זכויות האישה (תיקון - פנייה שוויונית בשילוט במקום ציבורי), התשפ""א-2021")</f>
        <v>20336</v>
      </c>
      <c r="E10488" t="s">
        <v>20336</v>
      </c>
      <c r="F10488" t="s">
        <v>20337</v>
      </c>
      <c r="G10488" t="s">
        <v>14</v>
      </c>
      <c r="H10488">
             </c>
      <c r="I10488" t="s">
        <v>14</v>
      </c>
      <c r="J10488" t="s">
        <v>141</v>
      </c>
      <c r="K10488" t="s">
        <v>14</v>
      </c>
      <c r="L10488" t="s">
        <v>20</v>
      </c>
      <c r="M10488" t="s">
        <v>20192</v>
      </c>
      <c r="N10488" t="s">
        <v>14</v>
      </c>
    </row>
    <row r="10489" x14ac:dyDescent="0.25">
      <c r="A10489" t="n">
        <v>24</v>
      </c>
      <c r="B10489" t="s">
        <v>14</v>
      </c>
      <c r="C10489" t="s">
        <v>22</v>
      </c>
      <c r="D10489" s="2" t="s">
        <f>=HYPERLINK("https://main.knesset.gov.il/APPS/legislation/main/bills/2157810", "הצעת חוק בתי המשפט (תיקון - נציגי הכנסת בוועדה לבחירת שופטים), התשפ""א-2021")</f>
        <v>20338</v>
      </c>
      <c r="E10489" t="s">
        <v>20338</v>
      </c>
      <c r="F10489" t="s">
        <v>20339</v>
      </c>
      <c r="G10489" t="s">
        <v>14</v>
      </c>
      <c r="H10489">
             </c>
      <c r="I10489" t="s">
        <v>14</v>
      </c>
      <c r="J10489" t="s">
        <v>141</v>
      </c>
      <c r="K10489" t="s">
        <v>14</v>
      </c>
      <c r="L10489" t="s">
        <v>20</v>
      </c>
      <c r="M10489" t="s">
        <v>20192</v>
      </c>
      <c r="N10489" t="s">
        <v>14</v>
      </c>
    </row>
    <row r="10490" x14ac:dyDescent="0.25">
      <c r="A10490" t="n">
        <v>24</v>
      </c>
      <c r="B10490" t="s">
        <v>14</v>
      </c>
      <c r="C10490" t="s">
        <v>22</v>
      </c>
      <c r="D10490" s="2" t="s">
        <f>=HYPERLINK("https://main.knesset.gov.il/APPS/legislation/main/bills/2157958", "הצעת חוק לתיקון פקודת התעבורה (הוראות לעניין סככות המתנה בתחנות אוטובוס), התשפ""א-2021")</f>
        <v>19001</v>
      </c>
      <c r="E10490" t="s">
        <v>19001</v>
      </c>
      <c r="F10490" t="s">
        <v>20340</v>
      </c>
      <c r="G10490" t="s">
        <v>14</v>
      </c>
      <c r="H10490">
             </c>
      <c r="I10490" t="s">
        <v>14</v>
      </c>
      <c r="J10490" t="s">
        <v>141</v>
      </c>
      <c r="K10490" t="s">
        <v>14</v>
      </c>
      <c r="L10490" t="s">
        <v>20</v>
      </c>
      <c r="M10490" t="s">
        <v>20192</v>
      </c>
      <c r="N10490" t="s">
        <v>14</v>
      </c>
    </row>
    <row r="10491" x14ac:dyDescent="0.25">
      <c r="A10491" t="n">
        <v>24</v>
      </c>
      <c r="B10491" t="s">
        <v>14</v>
      </c>
      <c r="C10491" t="s">
        <v>22</v>
      </c>
      <c r="D10491" s="2" t="s">
        <f>=HYPERLINK("https://main.knesset.gov.il/APPS/legislation/main/bills/2157966", "הצעת חוק הסדרת התפילה בכותל המערבי, התשפ""א-2021")</f>
        <v>19454</v>
      </c>
      <c r="E10491" t="s">
        <v>19454</v>
      </c>
      <c r="F10491" t="s">
        <v>20341</v>
      </c>
      <c r="G10491" t="s">
        <v>14</v>
      </c>
      <c r="H10491">
             </c>
      <c r="I10491" t="s">
        <v>14</v>
      </c>
      <c r="J10491" t="s">
        <v>141</v>
      </c>
      <c r="K10491" t="s">
        <v>14</v>
      </c>
      <c r="L10491" t="s">
        <v>20</v>
      </c>
      <c r="M10491" t="s">
        <v>20192</v>
      </c>
      <c r="N10491" t="s">
        <v>14</v>
      </c>
    </row>
    <row r="10492" x14ac:dyDescent="0.25">
      <c r="A10492" t="n">
        <v>24</v>
      </c>
      <c r="B10492" t="s">
        <v>14</v>
      </c>
      <c r="C10492" t="s">
        <v>22</v>
      </c>
      <c r="D10492" s="2" t="s">
        <f>=HYPERLINK("https://main.knesset.gov.il/APPS/legislation/main/bills/2157707", "הצעת חוק זכויות התלמיד (תיקון - הנחה בתחבורה ציבורית), התשפ""א-2021")</f>
        <v>20342</v>
      </c>
      <c r="E10492" t="s">
        <v>20342</v>
      </c>
      <c r="F10492" t="s">
        <v>20343</v>
      </c>
      <c r="G10492" t="s">
        <v>14</v>
      </c>
      <c r="H10492">
             </c>
      <c r="I10492" t="s">
        <v>14</v>
      </c>
      <c r="J10492" t="s">
        <v>141</v>
      </c>
      <c r="K10492" t="s">
        <v>14</v>
      </c>
      <c r="L10492" t="s">
        <v>20</v>
      </c>
      <c r="M10492" t="s">
        <v>20192</v>
      </c>
      <c r="N10492" t="s">
        <v>14</v>
      </c>
    </row>
    <row r="10493" x14ac:dyDescent="0.25">
      <c r="A10493" t="n">
        <v>24</v>
      </c>
      <c r="B10493" t="s">
        <v>14</v>
      </c>
      <c r="C10493" t="s">
        <v>22</v>
      </c>
      <c r="D10493" s="2" t="s">
        <f>=HYPERLINK("https://main.knesset.gov.il/APPS/legislation/main/bills/2157952", "הצעת חוק הרבנות הראשית לישראל (תיקון - ביטול החוק), התשפ""א-2021")</f>
        <v>20344</v>
      </c>
      <c r="E10493" t="s">
        <v>20344</v>
      </c>
      <c r="F10493" t="s">
        <v>20345</v>
      </c>
      <c r="G10493" t="s">
        <v>14</v>
      </c>
      <c r="H10493">
             </c>
      <c r="I10493" t="s">
        <v>14</v>
      </c>
      <c r="J10493" t="s">
        <v>141</v>
      </c>
      <c r="K10493" t="s">
        <v>14</v>
      </c>
      <c r="L10493" t="s">
        <v>20</v>
      </c>
      <c r="M10493" t="s">
        <v>20192</v>
      </c>
      <c r="N10493" t="s">
        <v>14</v>
      </c>
    </row>
    <row r="10494" x14ac:dyDescent="0.25">
      <c r="A10494" t="n">
        <v>24</v>
      </c>
      <c r="B10494" t="s">
        <v>14</v>
      </c>
      <c r="C10494" t="s">
        <v>22</v>
      </c>
      <c r="D10494" s="2" t="s">
        <f>=HYPERLINK("https://main.knesset.gov.il/APPS/legislation/main/bills/2157451", "הצעת חוק לתיקון פקודת בריאות העם (הוספת מרכז לידה), התשפ""א-2021")</f>
        <v>20346</v>
      </c>
      <c r="E10494" t="s">
        <v>20346</v>
      </c>
      <c r="F10494" t="s">
        <v>20347</v>
      </c>
      <c r="G10494" t="s">
        <v>14</v>
      </c>
      <c r="H10494">
             </c>
      <c r="I10494" t="s">
        <v>14</v>
      </c>
      <c r="J10494" t="s">
        <v>141</v>
      </c>
      <c r="K10494" t="s">
        <v>14</v>
      </c>
      <c r="L10494" t="s">
        <v>20</v>
      </c>
      <c r="M10494" t="s">
        <v>20192</v>
      </c>
      <c r="N10494" t="s">
        <v>14</v>
      </c>
    </row>
    <row r="10495" x14ac:dyDescent="0.25">
      <c r="A10495" t="n">
        <v>24</v>
      </c>
      <c r="B10495" t="s">
        <v>14</v>
      </c>
      <c r="C10495" t="s">
        <v>22</v>
      </c>
      <c r="D10495" s="2" t="s">
        <f>=HYPERLINK("https://main.knesset.gov.il/APPS/legislation/main/bills/2157457", "הצעת חוק לתיקון פקודת הרוקחים (חובת איסוף סמי מרפא), התשפ""א-2021")</f>
        <v>20348</v>
      </c>
      <c r="E10495" t="s">
        <v>20348</v>
      </c>
      <c r="F10495" t="s">
        <v>20349</v>
      </c>
      <c r="G10495" t="s">
        <v>14</v>
      </c>
      <c r="H10495">
             </c>
      <c r="I10495" t="s">
        <v>14</v>
      </c>
      <c r="J10495" t="s">
        <v>141</v>
      </c>
      <c r="K10495" t="s">
        <v>14</v>
      </c>
      <c r="L10495" t="s">
        <v>20</v>
      </c>
      <c r="M10495" t="s">
        <v>20192</v>
      </c>
      <c r="N10495" t="s">
        <v>14</v>
      </c>
    </row>
    <row r="10496" x14ac:dyDescent="0.25">
      <c r="A10496" t="n">
        <v>24</v>
      </c>
      <c r="B10496" t="s">
        <v>14</v>
      </c>
      <c r="C10496" t="s">
        <v>22</v>
      </c>
      <c r="D10496" s="2" t="s">
        <f>=HYPERLINK("https://main.knesset.gov.il/APPS/legislation/main/bills/2157976", "הצעת חוק יסודות התקציב (תיקון - אישור הוועדה המשותפת לתקציב הביטחון להחלטות הממשלה להצטיידות או התעצמות), התשפ""א-2021")</f>
        <v>20350</v>
      </c>
      <c r="E10496" t="s">
        <v>20350</v>
      </c>
      <c r="F10496" t="s">
        <v>20351</v>
      </c>
      <c r="G10496" t="s">
        <v>14</v>
      </c>
      <c r="H10496">
             </c>
      <c r="I10496" t="s">
        <v>14</v>
      </c>
      <c r="J10496" t="s">
        <v>141</v>
      </c>
      <c r="K10496" t="s">
        <v>14</v>
      </c>
      <c r="L10496" t="s">
        <v>20</v>
      </c>
      <c r="M10496" t="s">
        <v>20192</v>
      </c>
      <c r="N10496" t="s">
        <v>14</v>
      </c>
    </row>
    <row r="10497" x14ac:dyDescent="0.25">
      <c r="A10497" t="n">
        <v>24</v>
      </c>
      <c r="B10497" t="s">
        <v>14</v>
      </c>
      <c r="C10497" t="s">
        <v>22</v>
      </c>
      <c r="D10497" s="2" t="s">
        <f>=HYPERLINK("https://main.knesset.gov.il/APPS/legislation/main/bills/2158055", "הצעת חוק-יסוד: הפרדת רשויות (תיקוני חקיקה)")</f>
        <v>13097</v>
      </c>
      <c r="E10497" t="s">
        <v>13097</v>
      </c>
      <c r="F10497" t="s">
        <v>20352</v>
      </c>
      <c r="G10497" t="s">
        <v>14</v>
      </c>
      <c r="H10497">
             </c>
      <c r="I10497" t="s">
        <v>14</v>
      </c>
      <c r="J10497" t="s">
        <v>141</v>
      </c>
      <c r="K10497" t="s">
        <v>14</v>
      </c>
      <c r="L10497" t="s">
        <v>20</v>
      </c>
      <c r="M10497" t="s">
        <v>20192</v>
      </c>
      <c r="N10497" t="s">
        <v>14</v>
      </c>
    </row>
    <row r="10498" x14ac:dyDescent="0.25">
      <c r="A10498" t="n">
        <v>24</v>
      </c>
      <c r="B10498" t="s">
        <v>14</v>
      </c>
      <c r="C10498" t="s">
        <v>22</v>
      </c>
      <c r="D10498" s="2" t="s">
        <f>=HYPERLINK("https://main.knesset.gov.il/APPS/legislation/main/bills/2158051", "הצעת חוק המקרקעין (תיקון - הארכת התקופה לשימוש בכוח נגד הסגת גבול), התשפ""א-2021")</f>
        <v>20353</v>
      </c>
      <c r="E10498" t="s">
        <v>20353</v>
      </c>
      <c r="F10498" t="s">
        <v>20354</v>
      </c>
      <c r="G10498" t="s">
        <v>14</v>
      </c>
      <c r="H10498">
             </c>
      <c r="I10498" t="s">
        <v>14</v>
      </c>
      <c r="J10498" t="s">
        <v>141</v>
      </c>
      <c r="K10498" t="s">
        <v>14</v>
      </c>
      <c r="L10498" t="s">
        <v>20</v>
      </c>
      <c r="M10498" t="s">
        <v>20192</v>
      </c>
      <c r="N10498" t="s">
        <v>14</v>
      </c>
    </row>
    <row r="10499" x14ac:dyDescent="0.25">
      <c r="A10499" t="n">
        <v>24</v>
      </c>
      <c r="B10499" t="s">
        <v>14</v>
      </c>
      <c r="C10499" t="s">
        <v>22</v>
      </c>
      <c r="D10499" s="2" t="s">
        <f>=HYPERLINK("https://main.knesset.gov.il/APPS/legislation/main/bills/2157941", "הצעת חוק למניעת התעמרות בעבודה, התשפ""א-2021")</f>
        <v>20355</v>
      </c>
      <c r="E10499" t="s">
        <v>20355</v>
      </c>
      <c r="F10499" t="s">
        <v>20356</v>
      </c>
      <c r="G10499" t="s">
        <v>14</v>
      </c>
      <c r="H10499">
             </c>
      <c r="I10499" t="s">
        <v>14</v>
      </c>
      <c r="J10499" t="s">
        <v>141</v>
      </c>
      <c r="K10499" t="s">
        <v>14</v>
      </c>
      <c r="L10499" t="s">
        <v>20</v>
      </c>
      <c r="M10499" t="s">
        <v>20192</v>
      </c>
      <c r="N10499" t="s">
        <v>14</v>
      </c>
    </row>
    <row r="10500" x14ac:dyDescent="0.25">
      <c r="A10500" t="n">
        <v>24</v>
      </c>
      <c r="B10500" t="s">
        <v>14</v>
      </c>
      <c r="C10500" t="s">
        <v>22</v>
      </c>
      <c r="D10500" s="2" t="s">
        <f>=HYPERLINK("https://main.knesset.gov.il/APPS/legislation/main/bills/2157974", "הצעת חוק לפיצוי לנפגעי נגיף הקורונה, התשפ""א-2021")</f>
        <v>20357</v>
      </c>
      <c r="E10500" t="s">
        <v>20357</v>
      </c>
      <c r="F10500" t="s">
        <v>20358</v>
      </c>
      <c r="G10500" t="s">
        <v>14</v>
      </c>
      <c r="H10500">
             </c>
      <c r="I10500" t="s">
        <v>14</v>
      </c>
      <c r="J10500" t="s">
        <v>141</v>
      </c>
      <c r="K10500" t="s">
        <v>14</v>
      </c>
      <c r="L10500" t="s">
        <v>20</v>
      </c>
      <c r="M10500" t="s">
        <v>20192</v>
      </c>
      <c r="N10500" t="s">
        <v>14</v>
      </c>
    </row>
    <row r="10501" x14ac:dyDescent="0.25">
      <c r="A10501" t="n">
        <v>24</v>
      </c>
      <c r="B10501" t="s">
        <v>14</v>
      </c>
      <c r="C10501" t="s">
        <v>22</v>
      </c>
      <c r="D10501" s="2" t="s">
        <f>=HYPERLINK("https://main.knesset.gov.il/APPS/legislation/main/bills/2158342", "הצעת חוק-יסוד: כבוד האדם וחירותו (תיקון - הזכות לשוויון)")</f>
        <v>2676</v>
      </c>
      <c r="E10501" t="s">
        <v>2676</v>
      </c>
      <c r="F10501" t="s">
        <v>20359</v>
      </c>
      <c r="G10501" t="s">
        <v>14</v>
      </c>
      <c r="H10501">
             </c>
      <c r="I10501" t="s">
        <v>14</v>
      </c>
      <c r="J10501" t="s">
        <v>141</v>
      </c>
      <c r="K10501" t="s">
        <v>14</v>
      </c>
      <c r="L10501" t="s">
        <v>20</v>
      </c>
      <c r="M10501" t="s">
        <v>20192</v>
      </c>
      <c r="N10501" t="s">
        <v>14</v>
      </c>
    </row>
    <row r="10502" x14ac:dyDescent="0.25">
      <c r="A10502" t="n">
        <v>24</v>
      </c>
      <c r="B10502" t="s">
        <v>14</v>
      </c>
      <c r="C10502" t="s">
        <v>22</v>
      </c>
      <c r="D10502" s="2" t="s">
        <f>=HYPERLINK("https://main.knesset.gov.il/APPS/legislation/main/bills/2157973", "הצעת חוק מס ערך מוסף (תיקון - שיעור מס מופחת על מוצרי מזון בסיסיים), התשפ""א-2021")</f>
        <v>20157</v>
      </c>
      <c r="E10502" t="s">
        <v>20157</v>
      </c>
      <c r="F10502" t="s">
        <v>20360</v>
      </c>
      <c r="G10502" t="s">
        <v>14</v>
      </c>
      <c r="H10502">
             </c>
      <c r="I10502" t="s">
        <v>14</v>
      </c>
      <c r="J10502" t="s">
        <v>141</v>
      </c>
      <c r="K10502" t="s">
        <v>14</v>
      </c>
      <c r="L10502" t="s">
        <v>20</v>
      </c>
      <c r="M10502" t="s">
        <v>20192</v>
      </c>
      <c r="N10502" t="s">
        <v>14</v>
      </c>
    </row>
    <row r="10503" x14ac:dyDescent="0.25">
      <c r="A10503" t="n">
        <v>24</v>
      </c>
      <c r="B10503" t="s">
        <v>14</v>
      </c>
      <c r="C10503" t="s">
        <v>22</v>
      </c>
      <c r="D10503" s="2" t="s">
        <f>=HYPERLINK("https://main.knesset.gov.il/APPS/legislation/main/bills/2156251", "הצעת חוק שוויון זכויות לאנשים עם מוגבלות (תיקון - הנגשת תחבורה ציבורית), התשפ""א-2021")</f>
        <v>20361</v>
      </c>
      <c r="E10503" t="s">
        <v>20361</v>
      </c>
      <c r="F10503" t="s">
        <v>20362</v>
      </c>
      <c r="G10503" t="s">
        <v>14</v>
      </c>
      <c r="H10503">
             </c>
      <c r="I10503" t="s">
        <v>14</v>
      </c>
      <c r="J10503" t="s">
        <v>141</v>
      </c>
      <c r="K10503" t="s">
        <v>14</v>
      </c>
      <c r="L10503" t="s">
        <v>20</v>
      </c>
      <c r="M10503" t="s">
        <v>20192</v>
      </c>
      <c r="N10503" t="s">
        <v>14</v>
      </c>
    </row>
    <row r="10504" x14ac:dyDescent="0.25">
      <c r="A10504" t="n">
        <v>24</v>
      </c>
      <c r="B10504" t="s">
        <v>14</v>
      </c>
      <c r="C10504" t="s">
        <v>22</v>
      </c>
      <c r="D10504" s="2" t="s">
        <f>=HYPERLINK("https://main.knesset.gov.il/APPS/legislation/main/bills/2157975", "הצעת חוק יסודות התקציב (תיקון - תקציב המוקצה למאבק בנגיף הקורונה) (הוראת שעה), התשפ""א-2021")</f>
        <v>20363</v>
      </c>
      <c r="E10504" t="s">
        <v>20363</v>
      </c>
      <c r="F10504" t="s">
        <v>20364</v>
      </c>
      <c r="G10504" t="s">
        <v>14</v>
      </c>
      <c r="H10504">
             </c>
      <c r="I10504" t="s">
        <v>14</v>
      </c>
      <c r="J10504" t="s">
        <v>141</v>
      </c>
      <c r="K10504" t="s">
        <v>14</v>
      </c>
      <c r="L10504" t="s">
        <v>20</v>
      </c>
      <c r="M10504" t="s">
        <v>20192</v>
      </c>
      <c r="N10504" t="s">
        <v>14</v>
      </c>
    </row>
    <row r="10505" x14ac:dyDescent="0.25">
      <c r="A10505" t="n">
        <v>24</v>
      </c>
      <c r="B10505" t="s">
        <v>14</v>
      </c>
      <c r="C10505" t="s">
        <v>22</v>
      </c>
      <c r="D10505" s="2" t="s">
        <f>=HYPERLINK("https://main.knesset.gov.il/APPS/legislation/main/bills/2157947", "הצעת חוק צער בעלי חיים (הגנה על בעלי חיים) (תיקון - איסור מכירת פרוות), התשפ""א-2021")</f>
        <v>20365</v>
      </c>
      <c r="E10505" t="s">
        <v>20365</v>
      </c>
      <c r="F10505" t="s">
        <v>20366</v>
      </c>
      <c r="G10505" t="s">
        <v>14</v>
      </c>
      <c r="H10505">
             </c>
      <c r="I10505" t="s">
        <v>14</v>
      </c>
      <c r="J10505" t="s">
        <v>141</v>
      </c>
      <c r="K10505" t="s">
        <v>14</v>
      </c>
      <c r="L10505" t="s">
        <v>20</v>
      </c>
      <c r="M10505" t="s">
        <v>20192</v>
      </c>
      <c r="N10505" t="s">
        <v>14</v>
      </c>
    </row>
    <row r="10506" x14ac:dyDescent="0.25">
      <c r="A10506" t="n">
        <v>24</v>
      </c>
      <c r="B10506" t="s">
        <v>14</v>
      </c>
      <c r="C10506" t="s">
        <v>22</v>
      </c>
      <c r="D10506" s="2" t="s">
        <f>=HYPERLINK("https://main.knesset.gov.il/APPS/legislation/main/bills/2158201", "הצעת חוק-יסוד: טוהר המידות במוסדות השלטון (תיקוני חקיקה)")</f>
        <v>20367</v>
      </c>
      <c r="E10506" t="s">
        <v>20367</v>
      </c>
      <c r="F10506" t="s">
        <v>20368</v>
      </c>
      <c r="G10506" t="s">
        <v>14</v>
      </c>
      <c r="H10506">
             </c>
      <c r="I10506" t="s">
        <v>14</v>
      </c>
      <c r="J10506" t="s">
        <v>141</v>
      </c>
      <c r="K10506" t="s">
        <v>14</v>
      </c>
      <c r="L10506" t="s">
        <v>20</v>
      </c>
      <c r="M10506" t="s">
        <v>20192</v>
      </c>
      <c r="N10506" t="s">
        <v>14</v>
      </c>
    </row>
    <row r="10507" x14ac:dyDescent="0.25">
      <c r="A10507" t="n">
        <v>24</v>
      </c>
      <c r="B10507" t="s">
        <v>14</v>
      </c>
      <c r="C10507" t="s">
        <v>22</v>
      </c>
      <c r="D10507" s="2" t="s">
        <f>=HYPERLINK("https://main.knesset.gov.il/APPS/legislation/main/bills/2157851", "הצעת חוק-יסוד: טוהר המידות במוסדות השלטון (תיקוני חקיקה)")</f>
        <v>20367</v>
      </c>
      <c r="E10507" t="s">
        <v>20367</v>
      </c>
      <c r="F10507" t="s">
        <v>20369</v>
      </c>
      <c r="G10507" t="s">
        <v>14</v>
      </c>
      <c r="H10507">
             </c>
      <c r="I10507" t="s">
        <v>14</v>
      </c>
      <c r="J10507" t="s">
        <v>141</v>
      </c>
      <c r="K10507" t="s">
        <v>14</v>
      </c>
      <c r="L10507" t="s">
        <v>20</v>
      </c>
      <c r="M10507" t="s">
        <v>20192</v>
      </c>
      <c r="N10507" t="s">
        <v>14</v>
      </c>
    </row>
    <row r="10508" x14ac:dyDescent="0.25">
      <c r="A10508" t="n">
        <v>24</v>
      </c>
      <c r="B10508" t="s">
        <v>14</v>
      </c>
      <c r="C10508" t="s">
        <v>22</v>
      </c>
      <c r="D10508" s="2" t="s">
        <f>=HYPERLINK("https://main.knesset.gov.il/APPS/legislation/main/bills/2157950", "הצעת חוק לימודי יסוד במערכת החינוך, התשפ""א-2021")</f>
        <v>19947</v>
      </c>
      <c r="E10508" t="s">
        <v>19947</v>
      </c>
      <c r="F10508" t="s">
        <v>20370</v>
      </c>
      <c r="G10508" t="s">
        <v>14</v>
      </c>
      <c r="H10508">
             </c>
      <c r="I10508" t="s">
        <v>14</v>
      </c>
      <c r="J10508" t="s">
        <v>141</v>
      </c>
      <c r="K10508" t="s">
        <v>14</v>
      </c>
      <c r="L10508" t="s">
        <v>20</v>
      </c>
      <c r="M10508" t="s">
        <v>20192</v>
      </c>
      <c r="N10508" t="s">
        <v>14</v>
      </c>
    </row>
    <row r="10509" x14ac:dyDescent="0.25">
      <c r="A10509" t="n">
        <v>24</v>
      </c>
      <c r="B10509" t="s">
        <v>14</v>
      </c>
      <c r="C10509" t="s">
        <v>22</v>
      </c>
      <c r="D10509" s="2" t="s">
        <f>=HYPERLINK("https://main.knesset.gov.il/APPS/legislation/main/bills/2157951", "הצעת חוק העסקת עובדים על ידי קבלני כוח אדם (תיקון - מגבלות ברישוי קבלני כוח אדם), התשפ""א-2021")</f>
        <v>20371</v>
      </c>
      <c r="E10509" t="s">
        <v>20371</v>
      </c>
      <c r="F10509" t="s">
        <v>20372</v>
      </c>
      <c r="G10509" t="s">
        <v>14</v>
      </c>
      <c r="H10509">
             </c>
      <c r="I10509" t="s">
        <v>14</v>
      </c>
      <c r="J10509" t="s">
        <v>141</v>
      </c>
      <c r="K10509" t="s">
        <v>14</v>
      </c>
      <c r="L10509" t="s">
        <v>20</v>
      </c>
      <c r="M10509" t="s">
        <v>20192</v>
      </c>
      <c r="N10509" t="s">
        <v>14</v>
      </c>
    </row>
    <row r="10510" x14ac:dyDescent="0.25">
      <c r="A10510" t="n">
        <v>24</v>
      </c>
      <c r="B10510" t="s">
        <v>14</v>
      </c>
      <c r="C10510" t="s">
        <v>22</v>
      </c>
      <c r="D10510" s="2" t="s">
        <f>=HYPERLINK("https://main.knesset.gov.il/APPS/legislation/main/bills/2157827", "הצעת חוק המרכז למורשת הערבים בישראל, התשפ""א-2021")</f>
        <v>20373</v>
      </c>
      <c r="E10510" t="s">
        <v>20373</v>
      </c>
      <c r="F10510" t="s">
        <v>20374</v>
      </c>
      <c r="G10510" t="s">
        <v>14</v>
      </c>
      <c r="H10510">
             </c>
      <c r="I10510" t="s">
        <v>14</v>
      </c>
      <c r="J10510" t="s">
        <v>141</v>
      </c>
      <c r="K10510" t="s">
        <v>14</v>
      </c>
      <c r="L10510" t="s">
        <v>20</v>
      </c>
      <c r="M10510" t="s">
        <v>20192</v>
      </c>
      <c r="N10510" t="s">
        <v>14</v>
      </c>
    </row>
    <row r="10511" x14ac:dyDescent="0.25">
      <c r="A10511" t="n">
        <v>24</v>
      </c>
      <c r="B10511" t="s">
        <v>14</v>
      </c>
      <c r="C10511" t="s">
        <v>22</v>
      </c>
      <c r="D10511" s="2" t="s">
        <f>=HYPERLINK("https://main.knesset.gov.il/APPS/legislation/main/bills/2157835", "הצעת חוק לחינוך נגד גזענות, התשפ""א-2021")</f>
        <v>20375</v>
      </c>
      <c r="E10511" t="s">
        <v>20375</v>
      </c>
      <c r="F10511" t="s">
        <v>20376</v>
      </c>
      <c r="G10511" t="s">
        <v>14</v>
      </c>
      <c r="H10511">
             </c>
      <c r="I10511" t="s">
        <v>14</v>
      </c>
      <c r="J10511" t="s">
        <v>141</v>
      </c>
      <c r="K10511" t="s">
        <v>14</v>
      </c>
      <c r="L10511" t="s">
        <v>20</v>
      </c>
      <c r="M10511" t="s">
        <v>20192</v>
      </c>
      <c r="N10511" t="s">
        <v>14</v>
      </c>
    </row>
    <row r="10512" x14ac:dyDescent="0.25">
      <c r="A10512" t="n">
        <v>24</v>
      </c>
      <c r="B10512" t="s">
        <v>14</v>
      </c>
      <c r="C10512" t="s">
        <v>22</v>
      </c>
      <c r="D10512" s="2" t="s">
        <f>=HYPERLINK("https://main.knesset.gov.il/APPS/legislation/main/bills/2157980", "הצעת חוק ההתייעלות הכלכלית (תיקוני חקיקה ליישום התכנית הכלכלית לשנים 2009 ו-2010) (תיקון - סיוע לעסקים קטנים ובינוניים בהתמודדות עם נגיף הקורונה) (הוראת שעה), התשפ""א-2021")</f>
        <v>20377</v>
      </c>
      <c r="E10512" t="s">
        <v>20377</v>
      </c>
      <c r="F10512" t="s">
        <v>20378</v>
      </c>
      <c r="G10512" t="s">
        <v>14</v>
      </c>
      <c r="H10512">
             </c>
      <c r="I10512" t="s">
        <v>14</v>
      </c>
      <c r="J10512" t="s">
        <v>141</v>
      </c>
      <c r="K10512" t="s">
        <v>14</v>
      </c>
      <c r="L10512" t="s">
        <v>20</v>
      </c>
      <c r="M10512" t="s">
        <v>20192</v>
      </c>
      <c r="N10512" t="s">
        <v>14</v>
      </c>
    </row>
    <row r="10513" x14ac:dyDescent="0.25">
      <c r="A10513" t="n">
        <v>24</v>
      </c>
      <c r="B10513" t="s">
        <v>14</v>
      </c>
      <c r="C10513" t="s">
        <v>22</v>
      </c>
      <c r="D10513" s="2" t="s">
        <f>=HYPERLINK("https://main.knesset.gov.il/APPS/legislation/main/bills/2157982", "הצעת חוק לתיקון פקודת מס הכנסה (פטור ממס על מלגה לחוקר), התשפ""א-2021")</f>
        <v>20379</v>
      </c>
      <c r="E10513" t="s">
        <v>20379</v>
      </c>
      <c r="F10513" t="s">
        <v>20380</v>
      </c>
      <c r="G10513" t="s">
        <v>14</v>
      </c>
      <c r="H10513">
             </c>
      <c r="I10513" t="s">
        <v>14</v>
      </c>
      <c r="J10513" t="s">
        <v>141</v>
      </c>
      <c r="K10513" t="s">
        <v>14</v>
      </c>
      <c r="L10513" t="s">
        <v>20</v>
      </c>
      <c r="M10513" t="s">
        <v>20192</v>
      </c>
      <c r="N10513" t="s">
        <v>14</v>
      </c>
    </row>
    <row r="10514" x14ac:dyDescent="0.25">
      <c r="A10514" t="n">
        <v>24</v>
      </c>
      <c r="B10514" t="s">
        <v>14</v>
      </c>
      <c r="C10514" t="s">
        <v>22</v>
      </c>
      <c r="D10514" s="2" t="s">
        <f>=HYPERLINK("https://main.knesset.gov.il/APPS/legislation/main/bills/2157983", "הצעת חוק הפיקוח על שירותים פיננסיים (קופות גמל) (תיקון - הגבלת דמי ניהול לעמית שסיים את עבודתו), התשפ""א-2021")</f>
        <v>20381</v>
      </c>
      <c r="E10514" t="s">
        <v>20381</v>
      </c>
      <c r="F10514" t="s">
        <v>20382</v>
      </c>
      <c r="G10514" t="s">
        <v>14</v>
      </c>
      <c r="H10514">
             </c>
      <c r="I10514" t="s">
        <v>14</v>
      </c>
      <c r="J10514" t="s">
        <v>141</v>
      </c>
      <c r="K10514" t="s">
        <v>14</v>
      </c>
      <c r="L10514" t="s">
        <v>20</v>
      </c>
      <c r="M10514" t="s">
        <v>20192</v>
      </c>
      <c r="N10514" t="s">
        <v>14</v>
      </c>
    </row>
    <row r="10515" x14ac:dyDescent="0.25">
      <c r="A10515" t="n">
        <v>24</v>
      </c>
      <c r="B10515" t="s">
        <v>14</v>
      </c>
      <c r="C10515" t="s">
        <v>22</v>
      </c>
      <c r="D10515" s="2" t="s">
        <f>=HYPERLINK("https://main.knesset.gov.il/APPS/legislation/main/bills/2158263", "הצעת חוק לתיקון פקודת העדה הדתית (המרה) (גיור על ידי רב עיר), התשפ""א-2021")</f>
        <v>20383</v>
      </c>
      <c r="E10515" t="s">
        <v>20383</v>
      </c>
      <c r="F10515" t="s">
        <v>20384</v>
      </c>
      <c r="G10515" t="s">
        <v>14</v>
      </c>
      <c r="H10515">
             </c>
      <c r="I10515" t="s">
        <v>14</v>
      </c>
      <c r="J10515" t="s">
        <v>141</v>
      </c>
      <c r="K10515" t="s">
        <v>14</v>
      </c>
      <c r="L10515" t="s">
        <v>20</v>
      </c>
      <c r="M10515" t="s">
        <v>20192</v>
      </c>
      <c r="N10515" t="s">
        <v>14</v>
      </c>
    </row>
    <row r="10516" x14ac:dyDescent="0.25">
      <c r="A10516" t="n">
        <v>24</v>
      </c>
      <c r="B10516" t="s">
        <v>14</v>
      </c>
      <c r="C10516" t="s">
        <v>22</v>
      </c>
      <c r="D10516" s="2" t="s">
        <f>=HYPERLINK("https://main.knesset.gov.il/APPS/legislation/main/bills/2157899", "הצעת חוק-יסוד: הממשלה (תיקון - שלילת שכר בגין אי-הקמת ממשלה)")</f>
        <v>20385</v>
      </c>
      <c r="E10516" t="s">
        <v>20385</v>
      </c>
      <c r="F10516" t="s">
        <v>20386</v>
      </c>
      <c r="G10516" t="s">
        <v>14</v>
      </c>
      <c r="H10516">
             </c>
      <c r="I10516" t="s">
        <v>14</v>
      </c>
      <c r="J10516" t="s">
        <v>141</v>
      </c>
      <c r="K10516" t="s">
        <v>14</v>
      </c>
      <c r="L10516" t="s">
        <v>20</v>
      </c>
      <c r="M10516" t="s">
        <v>20192</v>
      </c>
      <c r="N10516" t="s">
        <v>14</v>
      </c>
    </row>
    <row r="10517" x14ac:dyDescent="0.25">
      <c r="A10517" t="n">
        <v>24</v>
      </c>
      <c r="B10517" t="s">
        <v>14</v>
      </c>
      <c r="C10517" t="s">
        <v>22</v>
      </c>
      <c r="D10517" s="2" t="s">
        <f>=HYPERLINK("https://main.knesset.gov.il/APPS/legislation/main/bills/2158284", "הצעת חוק לימוד חובה (תיקון - חינוך חינם לפעוטות ולילדים), התשפ""א-2021")</f>
        <v>19953</v>
      </c>
      <c r="E10517" t="s">
        <v>19953</v>
      </c>
      <c r="F10517" t="s">
        <v>20387</v>
      </c>
      <c r="G10517" t="s">
        <v>14</v>
      </c>
      <c r="H10517">
             </c>
      <c r="I10517" t="s">
        <v>14</v>
      </c>
      <c r="J10517" t="s">
        <v>141</v>
      </c>
      <c r="K10517" t="s">
        <v>14</v>
      </c>
      <c r="L10517" t="s">
        <v>20</v>
      </c>
      <c r="M10517" t="s">
        <v>20192</v>
      </c>
      <c r="N10517" t="s">
        <v>14</v>
      </c>
    </row>
    <row r="10518" x14ac:dyDescent="0.25">
      <c r="A10518" t="n">
        <v>24</v>
      </c>
      <c r="B10518" t="s">
        <v>14</v>
      </c>
      <c r="C10518" t="s">
        <v>22</v>
      </c>
      <c r="D10518" s="2" t="s">
        <f>=HYPERLINK("https://main.knesset.gov.il/APPS/legislation/main/bills/2158411", "הצעת חוק מס ערך מוסף (תיקון - פטור ממס בעד הוצאות פיתוח במסגרת רכישת מקרקעין), התשפ""א-2021 ")</f>
        <v>20388</v>
      </c>
      <c r="E10518" t="s">
        <v>20388</v>
      </c>
      <c r="F10518" t="s">
        <v>20389</v>
      </c>
      <c r="G10518" t="s">
        <v>14</v>
      </c>
      <c r="H10518">
             </c>
      <c r="I10518" t="s">
        <v>14</v>
      </c>
      <c r="J10518" t="s">
        <v>141</v>
      </c>
      <c r="K10518" t="s">
        <v>14</v>
      </c>
      <c r="L10518" t="s">
        <v>20</v>
      </c>
      <c r="M10518" t="s">
        <v>20390</v>
      </c>
      <c r="N10518" t="s">
        <v>14</v>
      </c>
    </row>
    <row r="10519" x14ac:dyDescent="0.25">
      <c r="A10519" t="n">
        <v>24</v>
      </c>
      <c r="B10519" t="s">
        <v>14</v>
      </c>
      <c r="C10519" t="s">
        <v>22</v>
      </c>
      <c r="D10519" s="2" t="s">
        <f>=HYPERLINK("https://main.knesset.gov.il/APPS/legislation/main/bills/2158354", "הצעת חוק-יסוד: הממשלה (תיקון - הגבלת כהונת ראש הממשלה)")</f>
        <v>19405</v>
      </c>
      <c r="E10519" t="s">
        <v>19405</v>
      </c>
      <c r="F10519" t="s">
        <v>20391</v>
      </c>
      <c r="G10519" t="s">
        <v>14</v>
      </c>
      <c r="H10519">
             </c>
      <c r="I10519" t="s">
        <v>14</v>
      </c>
      <c r="J10519" t="s">
        <v>141</v>
      </c>
      <c r="K10519" t="s">
        <v>14</v>
      </c>
      <c r="L10519" t="s">
        <v>20</v>
      </c>
      <c r="M10519" t="s">
        <v>20390</v>
      </c>
      <c r="N10519" t="s">
        <v>14</v>
      </c>
    </row>
    <row r="10520" x14ac:dyDescent="0.25">
      <c r="A10520" t="n">
        <v>24</v>
      </c>
      <c r="B10520" t="s">
        <v>14</v>
      </c>
      <c r="C10520" t="s">
        <v>22</v>
      </c>
      <c r="D10520" s="2" t="s">
        <f>=HYPERLINK("https://main.knesset.gov.il/APPS/legislation/main/bills/2158394", "הצעת חוק רשות מקרקעי ישראל (תיקון - הגדלת מלאי הדיור הציבורי), התשפ""א-2021")</f>
        <v>20392</v>
      </c>
      <c r="E10520" t="s">
        <v>20392</v>
      </c>
      <c r="F10520" t="s">
        <v>20393</v>
      </c>
      <c r="G10520" t="s">
        <v>14</v>
      </c>
      <c r="H10520">
             </c>
      <c r="I10520" t="s">
        <v>14</v>
      </c>
      <c r="J10520" t="s">
        <v>141</v>
      </c>
      <c r="K10520" t="s">
        <v>14</v>
      </c>
      <c r="L10520" t="s">
        <v>20</v>
      </c>
      <c r="M10520" t="s">
        <v>20390</v>
      </c>
      <c r="N10520" t="s">
        <v>14</v>
      </c>
    </row>
    <row r="10521" x14ac:dyDescent="0.25">
      <c r="A10521" t="n">
        <v>24</v>
      </c>
      <c r="B10521" t="s">
        <v>14</v>
      </c>
      <c r="C10521" t="s">
        <v>22</v>
      </c>
      <c r="D10521" s="2" t="s">
        <f>=HYPERLINK("https://main.knesset.gov.il/APPS/legislation/main/bills/2158529", "הצעת חוק התגמולים (ילד שנתייתם עקב אלימות במשפחה) (תיקון - הרחבת זכויות והחלה על נפגעי עבירות אלימות), התשפ""א-2021")</f>
        <v>20394</v>
      </c>
      <c r="E10521" t="s">
        <v>20394</v>
      </c>
      <c r="F10521" t="s">
        <v>20395</v>
      </c>
      <c r="G10521" t="s">
        <v>14</v>
      </c>
      <c r="H10521">
             </c>
      <c r="I10521" t="s">
        <v>14</v>
      </c>
      <c r="J10521" t="s">
        <v>141</v>
      </c>
      <c r="K10521" t="s">
        <v>14</v>
      </c>
      <c r="L10521" t="s">
        <v>20</v>
      </c>
      <c r="M10521" t="s">
        <v>20390</v>
      </c>
      <c r="N10521" t="s">
        <v>14</v>
      </c>
    </row>
    <row r="10522" x14ac:dyDescent="0.25">
      <c r="A10522" t="n">
        <v>24</v>
      </c>
      <c r="B10522" t="s">
        <v>14</v>
      </c>
      <c r="C10522" t="s">
        <v>22</v>
      </c>
      <c r="D10522" s="2" t="s">
        <f>=HYPERLINK("https://main.knesset.gov.il/APPS/legislation/main/bills/2158384", "הצעת חוק-יסוד: השפיטה (תיקון - פסקת התגברות)")</f>
        <v>13222</v>
      </c>
      <c r="E10522" t="s">
        <v>13222</v>
      </c>
      <c r="F10522" t="s">
        <v>20396</v>
      </c>
      <c r="G10522" t="s">
        <v>14</v>
      </c>
      <c r="H10522">
             </c>
      <c r="I10522" t="s">
        <v>14</v>
      </c>
      <c r="J10522" t="s">
        <v>141</v>
      </c>
      <c r="K10522" t="s">
        <v>14</v>
      </c>
      <c r="L10522" t="s">
        <v>20</v>
      </c>
      <c r="M10522" t="s">
        <v>20390</v>
      </c>
      <c r="N10522" t="s">
        <v>14</v>
      </c>
    </row>
    <row r="10523" x14ac:dyDescent="0.25">
      <c r="A10523" t="n">
        <v>24</v>
      </c>
      <c r="B10523" t="s">
        <v>14</v>
      </c>
      <c r="C10523" t="s">
        <v>22</v>
      </c>
      <c r="D10523" s="2" t="s">
        <f>=HYPERLINK("https://main.knesset.gov.il/APPS/legislation/main/bills/2157399", "הצעת חוק לימוד חובה (תיקון - הוספת סייעת בגני ילדים), התשפ""א-2021")</f>
        <v>19762</v>
      </c>
      <c r="E10523" t="s">
        <v>19762</v>
      </c>
      <c r="F10523" t="s">
        <v>20397</v>
      </c>
      <c r="G10523" t="s">
        <v>14</v>
      </c>
      <c r="H10523">
             </c>
      <c r="I10523" t="s">
        <v>14</v>
      </c>
      <c r="J10523" t="s">
        <v>141</v>
      </c>
      <c r="K10523" t="s">
        <v>14</v>
      </c>
      <c r="L10523" t="s">
        <v>20</v>
      </c>
      <c r="M10523" t="s">
        <v>20390</v>
      </c>
      <c r="N10523" t="s">
        <v>14</v>
      </c>
    </row>
    <row r="10524" x14ac:dyDescent="0.25">
      <c r="A10524" t="n">
        <v>24</v>
      </c>
      <c r="B10524" t="s">
        <v>14</v>
      </c>
      <c r="C10524" t="s">
        <v>22</v>
      </c>
      <c r="D10524" s="2" t="s">
        <f>=HYPERLINK("https://main.knesset.gov.il/APPS/legislation/main/bills/2157939", "הצעת חוק השמירה על המקומות הקדושים (תיקון - הבטחת פלורליזם דתי), התשפ""א-2021")</f>
        <v>20398</v>
      </c>
      <c r="E10524" t="s">
        <v>20398</v>
      </c>
      <c r="F10524" t="s">
        <v>20399</v>
      </c>
      <c r="G10524" t="s">
        <v>14</v>
      </c>
      <c r="H10524">
             </c>
      <c r="I10524" t="s">
        <v>14</v>
      </c>
      <c r="J10524" t="s">
        <v>141</v>
      </c>
      <c r="K10524" t="s">
        <v>14</v>
      </c>
      <c r="L10524" t="s">
        <v>20</v>
      </c>
      <c r="M10524" t="s">
        <v>20390</v>
      </c>
      <c r="N10524" t="s">
        <v>14</v>
      </c>
    </row>
    <row r="10525" x14ac:dyDescent="0.25">
      <c r="A10525" t="n">
        <v>24</v>
      </c>
      <c r="B10525" t="s">
        <v>14</v>
      </c>
      <c r="C10525" t="s">
        <v>22</v>
      </c>
      <c r="D10525" s="2" t="s">
        <f>=HYPERLINK("https://main.knesset.gov.il/APPS/legislation/main/bills/2157938", "הצעת חוק שירותי הדת היהודיים (תיקון - משך כהונת רב עיר), התשפ""א-2021")</f>
        <v>20400</v>
      </c>
      <c r="E10525" t="s">
        <v>20400</v>
      </c>
      <c r="F10525" t="s">
        <v>20401</v>
      </c>
      <c r="G10525" t="s">
        <v>14</v>
      </c>
      <c r="H10525">
             </c>
      <c r="I10525" t="s">
        <v>14</v>
      </c>
      <c r="J10525" t="s">
        <v>141</v>
      </c>
      <c r="K10525" t="s">
        <v>14</v>
      </c>
      <c r="L10525" t="s">
        <v>20</v>
      </c>
      <c r="M10525" t="s">
        <v>20390</v>
      </c>
      <c r="N10525" t="s">
        <v>14</v>
      </c>
    </row>
    <row r="10526" x14ac:dyDescent="0.25">
      <c r="A10526" t="n">
        <v>24</v>
      </c>
      <c r="B10526" t="s">
        <v>14</v>
      </c>
      <c r="C10526" t="s">
        <v>22</v>
      </c>
      <c r="D10526" s="2" t="s">
        <f>=HYPERLINK("https://main.knesset.gov.il/APPS/legislation/main/bills/2157937", "הצעת חוק אוויר נקי (תיקון - איסור הפעלת מפוחים), התשפ""א-2021")</f>
        <v>20402</v>
      </c>
      <c r="E10526" t="s">
        <v>20402</v>
      </c>
      <c r="F10526" t="s">
        <v>20403</v>
      </c>
      <c r="G10526" t="s">
        <v>14</v>
      </c>
      <c r="H10526">
             </c>
      <c r="I10526" t="s">
        <v>14</v>
      </c>
      <c r="J10526" t="s">
        <v>141</v>
      </c>
      <c r="K10526" t="s">
        <v>14</v>
      </c>
      <c r="L10526" t="s">
        <v>20</v>
      </c>
      <c r="M10526" t="s">
        <v>20390</v>
      </c>
      <c r="N10526" t="s">
        <v>14</v>
      </c>
    </row>
    <row r="10527" x14ac:dyDescent="0.25">
      <c r="A10527" t="n">
        <v>24</v>
      </c>
      <c r="B10527" t="s">
        <v>14</v>
      </c>
      <c r="C10527" t="s">
        <v>22</v>
      </c>
      <c r="D10527" s="2" t="s">
        <f>=HYPERLINK("https://main.knesset.gov.il/APPS/legislation/main/bills/2157943", "הצעת חוק הנגשת שירותי קבלת קהל הניתנים בגופי שלטון לשפות נוספות, התשפ""א-2021 ")</f>
        <v>20404</v>
      </c>
      <c r="E10527" t="s">
        <v>20404</v>
      </c>
      <c r="F10527" t="s">
        <v>20405</v>
      </c>
      <c r="G10527" t="s">
        <v>14</v>
      </c>
      <c r="H10527">
             </c>
      <c r="I10527" t="s">
        <v>14</v>
      </c>
      <c r="J10527" t="s">
        <v>141</v>
      </c>
      <c r="K10527" t="s">
        <v>14</v>
      </c>
      <c r="L10527" t="s">
        <v>20</v>
      </c>
      <c r="M10527" t="s">
        <v>20390</v>
      </c>
      <c r="N10527" t="s">
        <v>14</v>
      </c>
    </row>
    <row r="10528" x14ac:dyDescent="0.25">
      <c r="A10528" t="n">
        <v>24</v>
      </c>
      <c r="B10528" t="s">
        <v>14</v>
      </c>
      <c r="C10528" t="s">
        <v>22</v>
      </c>
      <c r="D10528" s="2" t="s">
        <f>=HYPERLINK("https://main.knesset.gov.il/APPS/legislation/main/bills/2157927", "הצעת חוק החלת תקצוב מגדרי על תקציבים ציבוריים בישראל, התשפ""א-2021")</f>
        <v>20406</v>
      </c>
      <c r="E10528" t="s">
        <v>20406</v>
      </c>
      <c r="F10528" t="s">
        <v>20407</v>
      </c>
      <c r="G10528" t="s">
        <v>14</v>
      </c>
      <c r="H10528">
             </c>
      <c r="I10528" t="s">
        <v>14</v>
      </c>
      <c r="J10528" t="s">
        <v>141</v>
      </c>
      <c r="K10528" t="s">
        <v>14</v>
      </c>
      <c r="L10528" t="s">
        <v>20</v>
      </c>
      <c r="M10528" t="s">
        <v>20390</v>
      </c>
      <c r="N10528" t="s">
        <v>14</v>
      </c>
    </row>
    <row r="10529" x14ac:dyDescent="0.25">
      <c r="A10529" t="n">
        <v>24</v>
      </c>
      <c r="B10529" t="s">
        <v>14</v>
      </c>
      <c r="C10529" t="s">
        <v>22</v>
      </c>
      <c r="D10529" s="2" t="s">
        <f>=HYPERLINK("https://main.knesset.gov.il/APPS/legislation/main/bills/2157402", "הצעת חוק למניעת הטרדה מינית (תיקון - נקיטת אמצעים למניעת הטרדה מינית במקומות בילוי), התשפ""א-2021")</f>
        <v>20408</v>
      </c>
      <c r="E10529" t="s">
        <v>20408</v>
      </c>
      <c r="F10529" t="s">
        <v>20409</v>
      </c>
      <c r="G10529" t="s">
        <v>14</v>
      </c>
      <c r="H10529">
             </c>
      <c r="I10529" t="s">
        <v>14</v>
      </c>
      <c r="J10529" t="s">
        <v>141</v>
      </c>
      <c r="K10529" t="s">
        <v>14</v>
      </c>
      <c r="L10529" t="s">
        <v>20</v>
      </c>
      <c r="M10529" t="s">
        <v>20390</v>
      </c>
      <c r="N10529" t="s">
        <v>14</v>
      </c>
    </row>
    <row r="10530" x14ac:dyDescent="0.25">
      <c r="A10530" t="n">
        <v>24</v>
      </c>
      <c r="B10530" t="s">
        <v>14</v>
      </c>
      <c r="C10530" t="s">
        <v>22</v>
      </c>
      <c r="D10530" s="2" t="s">
        <f>=HYPERLINK("https://main.knesset.gov.il/APPS/legislation/main/bills/2157925", "הצעת חוק למניעת הטרדה מינית (תיקון - הרחבת תחולה על עובד של קבלן שירות המועסק אצל מזמין השירות), התשפ""א-2021")</f>
        <v>20410</v>
      </c>
      <c r="E10530" t="s">
        <v>20410</v>
      </c>
      <c r="F10530" t="s">
        <v>20411</v>
      </c>
      <c r="G10530" t="s">
        <v>14</v>
      </c>
      <c r="H10530">
             </c>
      <c r="I10530" t="s">
        <v>14</v>
      </c>
      <c r="J10530" t="s">
        <v>141</v>
      </c>
      <c r="K10530" t="s">
        <v>14</v>
      </c>
      <c r="L10530" t="s">
        <v>20</v>
      </c>
      <c r="M10530" t="s">
        <v>20390</v>
      </c>
      <c r="N10530" t="s">
        <v>14</v>
      </c>
    </row>
    <row r="10531" x14ac:dyDescent="0.25">
      <c r="A10531" t="n">
        <v>24</v>
      </c>
      <c r="B10531" t="s">
        <v>14</v>
      </c>
      <c r="C10531" t="s">
        <v>22</v>
      </c>
      <c r="D10531" s="2" t="s">
        <f>=HYPERLINK("https://main.knesset.gov.il/APPS/legislation/main/bills/2157922", "הצעת חוק נציבות תלונות אסירים, התשפ""א-2021")</f>
        <v>19728</v>
      </c>
      <c r="E10531" t="s">
        <v>19728</v>
      </c>
      <c r="F10531" t="s">
        <v>20412</v>
      </c>
      <c r="G10531" t="s">
        <v>14</v>
      </c>
      <c r="H10531">
             </c>
      <c r="I10531" t="s">
        <v>14</v>
      </c>
      <c r="J10531" t="s">
        <v>141</v>
      </c>
      <c r="K10531" t="s">
        <v>14</v>
      </c>
      <c r="L10531" t="s">
        <v>20</v>
      </c>
      <c r="M10531" t="s">
        <v>20390</v>
      </c>
      <c r="N10531" t="s">
        <v>14</v>
      </c>
    </row>
    <row r="10532" x14ac:dyDescent="0.25">
      <c r="A10532" t="n">
        <v>24</v>
      </c>
      <c r="B10532" t="s">
        <v>14</v>
      </c>
      <c r="C10532" t="s">
        <v>22</v>
      </c>
      <c r="D10532" s="2" t="s">
        <f>=HYPERLINK("https://main.knesset.gov.il/APPS/legislation/main/bills/2157921", "הצעת חוק מערך החוץ וההסברה, התשפ""א-2021")</f>
        <v>20413</v>
      </c>
      <c r="E10532" t="s">
        <v>20413</v>
      </c>
      <c r="F10532" t="s">
        <v>20414</v>
      </c>
      <c r="G10532" t="s">
        <v>14</v>
      </c>
      <c r="H10532">
             </c>
      <c r="I10532" t="s">
        <v>14</v>
      </c>
      <c r="J10532" t="s">
        <v>141</v>
      </c>
      <c r="K10532" t="s">
        <v>14</v>
      </c>
      <c r="L10532" t="s">
        <v>20</v>
      </c>
      <c r="M10532" t="s">
        <v>20390</v>
      </c>
      <c r="N10532" t="s">
        <v>14</v>
      </c>
    </row>
    <row r="10533" x14ac:dyDescent="0.25">
      <c r="A10533" t="n">
        <v>24</v>
      </c>
      <c r="B10533" t="s">
        <v>14</v>
      </c>
      <c r="C10533" t="s">
        <v>22</v>
      </c>
      <c r="D10533" s="2" t="s">
        <f>=HYPERLINK("https://main.knesset.gov.il/APPS/legislation/main/bills/2156393", "הצעת חוק זכויות הסטודנט (תיקון - ביטול ארגון סטודנטים יציג), התשפ''א-2021")</f>
        <v>20415</v>
      </c>
      <c r="E10533" t="s">
        <v>20415</v>
      </c>
      <c r="F10533" t="s">
        <v>20416</v>
      </c>
      <c r="G10533" t="s">
        <v>14</v>
      </c>
      <c r="H10533">
             </c>
      <c r="I10533" t="s">
        <v>14</v>
      </c>
      <c r="J10533" t="s">
        <v>141</v>
      </c>
      <c r="K10533" t="s">
        <v>14</v>
      </c>
      <c r="L10533" t="s">
        <v>20</v>
      </c>
      <c r="M10533" t="s">
        <v>20390</v>
      </c>
      <c r="N10533" t="s">
        <v>14</v>
      </c>
    </row>
    <row r="10534" x14ac:dyDescent="0.25">
      <c r="A10534" t="n">
        <v>24</v>
      </c>
      <c r="B10534" t="s">
        <v>14</v>
      </c>
      <c r="C10534" t="s">
        <v>22</v>
      </c>
      <c r="D10534" s="2" t="s">
        <f>=HYPERLINK("https://main.knesset.gov.il/APPS/legislation/main/bills/2157208", "הצעת חוק לחלוקה צודקת של הנטל הכלכלי עקב נגיף הקורונה החדש (תיקוני חקיקה), התשפ""א-2021")</f>
        <v>20417</v>
      </c>
      <c r="E10534" t="s">
        <v>20417</v>
      </c>
      <c r="F10534" t="s">
        <v>20418</v>
      </c>
      <c r="G10534" t="s">
        <v>14</v>
      </c>
      <c r="H10534">
             </c>
      <c r="I10534" t="s">
        <v>14</v>
      </c>
      <c r="J10534" t="s">
        <v>141</v>
      </c>
      <c r="K10534" t="s">
        <v>14</v>
      </c>
      <c r="L10534" t="s">
        <v>20</v>
      </c>
      <c r="M10534" t="s">
        <v>20390</v>
      </c>
      <c r="N10534" t="s">
        <v>14</v>
      </c>
    </row>
    <row r="10535" x14ac:dyDescent="0.25">
      <c r="A10535" t="n">
        <v>24</v>
      </c>
      <c r="B10535" t="s">
        <v>14</v>
      </c>
      <c r="C10535" t="s">
        <v>22</v>
      </c>
      <c r="D10535" s="2" t="s">
        <f>=HYPERLINK("https://main.knesset.gov.il/APPS/legislation/main/bills/2157849", "הצעת חוק מרשם האוכלוסין (תיקון - הגדרת יהודי), התשפ""א-2021")</f>
        <v>20419</v>
      </c>
      <c r="E10535" t="s">
        <v>20419</v>
      </c>
      <c r="F10535" t="s">
        <v>20420</v>
      </c>
      <c r="G10535" t="s">
        <v>14</v>
      </c>
      <c r="H10535">
             </c>
      <c r="I10535" t="s">
        <v>14</v>
      </c>
      <c r="J10535" t="s">
        <v>141</v>
      </c>
      <c r="K10535" t="s">
        <v>14</v>
      </c>
      <c r="L10535" t="s">
        <v>20</v>
      </c>
      <c r="M10535" t="s">
        <v>20390</v>
      </c>
      <c r="N10535" t="s">
        <v>14</v>
      </c>
    </row>
    <row r="10536" x14ac:dyDescent="0.25">
      <c r="A10536" t="n">
        <v>24</v>
      </c>
      <c r="B10536" t="s">
        <v>14</v>
      </c>
      <c r="C10536" t="s">
        <v>22</v>
      </c>
      <c r="D10536" s="2" t="s">
        <f>=HYPERLINK("https://main.knesset.gov.il/APPS/legislation/main/bills/2157848", "הצעת חוק הבנקאות (שירות ללקוח) (תיקון - ריבית על יתרת זכות), התשפ""א-2021")</f>
        <v>19715</v>
      </c>
      <c r="E10536" t="s">
        <v>19715</v>
      </c>
      <c r="F10536" t="s">
        <v>20421</v>
      </c>
      <c r="G10536" t="s">
        <v>14</v>
      </c>
      <c r="H10536">
             </c>
      <c r="I10536" t="s">
        <v>14</v>
      </c>
      <c r="J10536" t="s">
        <v>141</v>
      </c>
      <c r="K10536" t="s">
        <v>14</v>
      </c>
      <c r="L10536" t="s">
        <v>20</v>
      </c>
      <c r="M10536" t="s">
        <v>20390</v>
      </c>
      <c r="N10536" t="s">
        <v>14</v>
      </c>
    </row>
    <row r="10537" x14ac:dyDescent="0.25">
      <c r="A10537" t="n">
        <v>24</v>
      </c>
      <c r="B10537" t="s">
        <v>14</v>
      </c>
      <c r="C10537" t="s">
        <v>22</v>
      </c>
      <c r="D10537" s="2" t="s">
        <f>=HYPERLINK("https://main.knesset.gov.il/APPS/legislation/main/bills/2157395", "הצעת חוק להסדרת הפיקוח על כלבים (תיקון - קנס מוגדל בשל כלב משוטט שאינו מסורס או מעוקר), התשפ""א-2021")</f>
        <v>20422</v>
      </c>
      <c r="E10537" t="s">
        <v>20422</v>
      </c>
      <c r="F10537" t="s">
        <v>20423</v>
      </c>
      <c r="G10537" t="s">
        <v>14</v>
      </c>
      <c r="H10537">
             </c>
      <c r="I10537" t="s">
        <v>14</v>
      </c>
      <c r="J10537" t="s">
        <v>141</v>
      </c>
      <c r="K10537" t="s">
        <v>14</v>
      </c>
      <c r="L10537" t="s">
        <v>20</v>
      </c>
      <c r="M10537" t="s">
        <v>20390</v>
      </c>
      <c r="N10537" t="s">
        <v>14</v>
      </c>
    </row>
    <row r="10538" x14ac:dyDescent="0.25">
      <c r="A10538" t="n">
        <v>24</v>
      </c>
      <c r="B10538" t="s">
        <v>14</v>
      </c>
      <c r="C10538" t="s">
        <v>22</v>
      </c>
      <c r="D10538" s="2" t="s">
        <f>=HYPERLINK("https://main.knesset.gov.il/APPS/legislation/main/bills/2157847", "הצעת חוק יום חינוך ארוך ולימודי העשרה (תיקון - תחולת החוק), התשפ""א-2021")</f>
        <v>20424</v>
      </c>
      <c r="E10538" t="s">
        <v>20424</v>
      </c>
      <c r="F10538" t="s">
        <v>20425</v>
      </c>
      <c r="G10538" t="s">
        <v>14</v>
      </c>
      <c r="H10538">
             </c>
      <c r="I10538" t="s">
        <v>14</v>
      </c>
      <c r="J10538" t="s">
        <v>141</v>
      </c>
      <c r="K10538" t="s">
        <v>14</v>
      </c>
      <c r="L10538" t="s">
        <v>20</v>
      </c>
      <c r="M10538" t="s">
        <v>20390</v>
      </c>
      <c r="N10538" t="s">
        <v>14</v>
      </c>
    </row>
    <row r="10539" x14ac:dyDescent="0.25">
      <c r="A10539" t="n">
        <v>24</v>
      </c>
      <c r="B10539" t="s">
        <v>14</v>
      </c>
      <c r="C10539" t="s">
        <v>22</v>
      </c>
      <c r="D10539" s="2" t="s">
        <f>=HYPERLINK("https://main.knesset.gov.il/APPS/legislation/main/bills/2157846", "הצעת חוק להנצחת זכרה של גולדה מאיר, התשפ""א-2021")</f>
        <v>20426</v>
      </c>
      <c r="E10539" t="s">
        <v>20426</v>
      </c>
      <c r="F10539" t="s">
        <v>20427</v>
      </c>
      <c r="G10539" t="s">
        <v>14</v>
      </c>
      <c r="H10539">
             </c>
      <c r="I10539" t="s">
        <v>14</v>
      </c>
      <c r="J10539" t="s">
        <v>141</v>
      </c>
      <c r="K10539" t="s">
        <v>14</v>
      </c>
      <c r="L10539" t="s">
        <v>20</v>
      </c>
      <c r="M10539" t="s">
        <v>20390</v>
      </c>
      <c r="N10539" t="s">
        <v>14</v>
      </c>
    </row>
    <row r="10540" x14ac:dyDescent="0.25">
      <c r="A10540" t="n">
        <v>24</v>
      </c>
      <c r="B10540" t="s">
        <v>14</v>
      </c>
      <c r="C10540" t="s">
        <v>22</v>
      </c>
      <c r="D10540" s="2" t="s">
        <f>=HYPERLINK("https://main.knesset.gov.il/APPS/legislation/main/bills/2158463", "הצעת חוק הרשות הלאומית למאבק בעוני, התשפ""א-2021 ")</f>
        <v>20105</v>
      </c>
      <c r="E10540" t="s">
        <v>20105</v>
      </c>
      <c r="F10540" t="s">
        <v>20428</v>
      </c>
      <c r="G10540" t="s">
        <v>14</v>
      </c>
      <c r="H10540">
             </c>
      <c r="I10540" t="s">
        <v>14</v>
      </c>
      <c r="J10540" t="s">
        <v>141</v>
      </c>
      <c r="K10540" t="s">
        <v>14</v>
      </c>
      <c r="L10540" t="s">
        <v>20</v>
      </c>
      <c r="M10540" t="s">
        <v>20390</v>
      </c>
      <c r="N10540" t="s">
        <v>14</v>
      </c>
    </row>
    <row r="10541" x14ac:dyDescent="0.25">
      <c r="A10541" t="n">
        <v>24</v>
      </c>
      <c r="B10541" t="s">
        <v>14</v>
      </c>
      <c r="C10541" t="s">
        <v>22</v>
      </c>
      <c r="D10541" s="2" t="s">
        <f>=HYPERLINK("https://main.knesset.gov.il/APPS/legislation/main/bills/2157917", "הצעת חוק זכויות הדייר בדיור הציבורי (תיקון - התקנת דוד שמש), התשפ""א-2021")</f>
        <v>20429</v>
      </c>
      <c r="E10541" t="s">
        <v>20429</v>
      </c>
      <c r="F10541" t="s">
        <v>20430</v>
      </c>
      <c r="G10541" t="s">
        <v>14</v>
      </c>
      <c r="H10541">
             </c>
      <c r="I10541" t="s">
        <v>14</v>
      </c>
      <c r="J10541" t="s">
        <v>141</v>
      </c>
      <c r="K10541" t="s">
        <v>14</v>
      </c>
      <c r="L10541" t="s">
        <v>20</v>
      </c>
      <c r="M10541" t="s">
        <v>20390</v>
      </c>
      <c r="N10541" t="s">
        <v>14</v>
      </c>
    </row>
    <row r="10542" x14ac:dyDescent="0.25">
      <c r="A10542" t="n">
        <v>24</v>
      </c>
      <c r="B10542" t="s">
        <v>14</v>
      </c>
      <c r="C10542" t="s">
        <v>22</v>
      </c>
      <c r="D10542" s="2" t="s">
        <f>=HYPERLINK("https://main.knesset.gov.il/APPS/legislation/main/bills/2158311", "הצעת חוק לתיקון פקודת מס הכנסה (הטבות ליישובים), התשפ""א-2021")</f>
        <v>20431</v>
      </c>
      <c r="E10542" t="s">
        <v>20431</v>
      </c>
      <c r="F10542" t="s">
        <v>20432</v>
      </c>
      <c r="G10542" t="s">
        <v>14</v>
      </c>
      <c r="H10542">
             </c>
      <c r="I10542" t="s">
        <v>14</v>
      </c>
      <c r="J10542" t="s">
        <v>141</v>
      </c>
      <c r="K10542" t="s">
        <v>14</v>
      </c>
      <c r="L10542" t="s">
        <v>20</v>
      </c>
      <c r="M10542" t="s">
        <v>20390</v>
      </c>
      <c r="N10542" t="s">
        <v>14</v>
      </c>
    </row>
    <row r="10543" x14ac:dyDescent="0.25">
      <c r="A10543" t="n">
        <v>24</v>
      </c>
      <c r="B10543" t="s">
        <v>14</v>
      </c>
      <c r="C10543" t="s">
        <v>22</v>
      </c>
      <c r="D10543" s="2" t="s">
        <f>=HYPERLINK("https://main.knesset.gov.il/APPS/legislation/main/bills/2157928", "הצעת חוק פיקוח על מחירי מצרכים ושירותים (תיקון - פיקוח על מחיר גז טבעי), התשפ""א-2021")</f>
        <v>20433</v>
      </c>
      <c r="E10543" t="s">
        <v>20433</v>
      </c>
      <c r="F10543" t="s">
        <v>20434</v>
      </c>
      <c r="G10543" t="s">
        <v>14</v>
      </c>
      <c r="H10543">
             </c>
      <c r="I10543" t="s">
        <v>14</v>
      </c>
      <c r="J10543" t="s">
        <v>141</v>
      </c>
      <c r="K10543" t="s">
        <v>14</v>
      </c>
      <c r="L10543" t="s">
        <v>20</v>
      </c>
      <c r="M10543" t="s">
        <v>20390</v>
      </c>
      <c r="N10543" t="s">
        <v>14</v>
      </c>
    </row>
    <row r="10544" x14ac:dyDescent="0.25">
      <c r="A10544" t="n">
        <v>24</v>
      </c>
      <c r="B10544" t="s">
        <v>14</v>
      </c>
      <c r="C10544" t="s">
        <v>22</v>
      </c>
      <c r="D10544" s="2" t="s">
        <f>=HYPERLINK("https://main.knesset.gov.il/APPS/legislation/main/bills/2157845", "הצעת חוק שיעור ריבית פיגורים מקסימלי (תיקוני חקיקה), התשפ""א-2021")</f>
        <v>20435</v>
      </c>
      <c r="E10544" t="s">
        <v>20435</v>
      </c>
      <c r="F10544" t="s">
        <v>20436</v>
      </c>
      <c r="G10544" t="s">
        <v>14</v>
      </c>
      <c r="H10544">
             </c>
      <c r="I10544" t="s">
        <v>14</v>
      </c>
      <c r="J10544" t="s">
        <v>141</v>
      </c>
      <c r="K10544" t="s">
        <v>14</v>
      </c>
      <c r="L10544" t="s">
        <v>20</v>
      </c>
      <c r="M10544" t="s">
        <v>20390</v>
      </c>
      <c r="N10544" t="s">
        <v>14</v>
      </c>
    </row>
    <row r="10545" x14ac:dyDescent="0.25">
      <c r="A10545" t="n">
        <v>24</v>
      </c>
      <c r="B10545" t="s">
        <v>14</v>
      </c>
      <c r="C10545" t="s">
        <v>22</v>
      </c>
      <c r="D10545" s="2" t="s">
        <f>=HYPERLINK("https://main.knesset.gov.il/APPS/legislation/main/bills/2157464", "הצעת חוק סיוע לקטינים נפגעי עבירות מין או אלימות (תיקון - טיפול נפשי לילדים נפגעי אלימות במשפחה), התשפ""א-2021")</f>
        <v>15326</v>
      </c>
      <c r="E10545" t="s">
        <v>15326</v>
      </c>
      <c r="F10545" t="s">
        <v>20437</v>
      </c>
      <c r="G10545" t="s">
        <v>14</v>
      </c>
      <c r="H10545">
             </c>
      <c r="I10545" t="s">
        <v>14</v>
      </c>
      <c r="J10545" t="s">
        <v>141</v>
      </c>
      <c r="K10545" t="s">
        <v>14</v>
      </c>
      <c r="L10545" t="s">
        <v>20</v>
      </c>
      <c r="M10545" t="s">
        <v>20390</v>
      </c>
      <c r="N10545" t="s">
        <v>14</v>
      </c>
    </row>
    <row r="10546" x14ac:dyDescent="0.25">
      <c r="A10546" t="n">
        <v>24</v>
      </c>
      <c r="B10546" t="s">
        <v>14</v>
      </c>
      <c r="C10546" t="s">
        <v>22</v>
      </c>
      <c r="D10546" s="2" t="s">
        <f>=HYPERLINK("https://main.knesset.gov.il/APPS/legislation/main/bills/2157844", "הצעת חוק איסור הפליה במוצרים, בשירותים ובכניסה למקומות בידור ולמקומות ציבוריים (תיקון - איסור בקשה לשינוי בהסדר במתן השירות), התשפ""א-2021")</f>
        <v>20438</v>
      </c>
      <c r="E10546" t="s">
        <v>20438</v>
      </c>
      <c r="F10546" t="s">
        <v>20439</v>
      </c>
      <c r="G10546" t="s">
        <v>14</v>
      </c>
      <c r="H10546">
             </c>
      <c r="I10546" t="s">
        <v>14</v>
      </c>
      <c r="J10546" t="s">
        <v>141</v>
      </c>
      <c r="K10546" t="s">
        <v>14</v>
      </c>
      <c r="L10546" t="s">
        <v>20</v>
      </c>
      <c r="M10546" t="s">
        <v>20390</v>
      </c>
      <c r="N10546" t="s">
        <v>14</v>
      </c>
    </row>
    <row r="10547" x14ac:dyDescent="0.25">
      <c r="A10547" t="n">
        <v>24</v>
      </c>
      <c r="B10547" t="s">
        <v>14</v>
      </c>
      <c r="C10547" t="s">
        <v>22</v>
      </c>
      <c r="D10547" s="2" t="s">
        <f>=HYPERLINK("https://main.knesset.gov.il/APPS/legislation/main/bills/2158377", "הצעת חוק האזרחים הוותיקים (תיקון - חידוש אוטומטי של הנחה בארנונה), התשפ""א-2021")</f>
        <v>16730</v>
      </c>
      <c r="E10547" t="s">
        <v>16730</v>
      </c>
      <c r="F10547" t="s">
        <v>20440</v>
      </c>
      <c r="G10547" t="s">
        <v>14</v>
      </c>
      <c r="H10547">
             </c>
      <c r="I10547" t="s">
        <v>14</v>
      </c>
      <c r="J10547" t="s">
        <v>141</v>
      </c>
      <c r="K10547" t="s">
        <v>14</v>
      </c>
      <c r="L10547" t="s">
        <v>20</v>
      </c>
      <c r="M10547" t="s">
        <v>20390</v>
      </c>
      <c r="N10547" t="s">
        <v>14</v>
      </c>
    </row>
    <row r="10548" x14ac:dyDescent="0.25">
      <c r="A10548" t="n">
        <v>24</v>
      </c>
      <c r="B10548" t="s">
        <v>14</v>
      </c>
      <c r="C10548" t="s">
        <v>22</v>
      </c>
      <c r="D10548" s="2" t="s">
        <f>=HYPERLINK("https://main.knesset.gov.il/APPS/legislation/main/bills/2157840", "הצעת חוק הרשויות המקומיות (יועצת לענייני מעמד האשה) (תיקון - תקציב ייעודי וייחוד הכהונה), התשפ""א-2021")</f>
        <v>20441</v>
      </c>
      <c r="E10548" t="s">
        <v>20441</v>
      </c>
      <c r="F10548" t="s">
        <v>20442</v>
      </c>
      <c r="G10548" t="s">
        <v>14</v>
      </c>
      <c r="H10548">
             </c>
      <c r="I10548" t="s">
        <v>14</v>
      </c>
      <c r="J10548" t="s">
        <v>141</v>
      </c>
      <c r="K10548" t="s">
        <v>14</v>
      </c>
      <c r="L10548" t="s">
        <v>20</v>
      </c>
      <c r="M10548" t="s">
        <v>20390</v>
      </c>
      <c r="N10548" t="s">
        <v>14</v>
      </c>
    </row>
    <row r="10549" x14ac:dyDescent="0.25">
      <c r="A10549" t="n">
        <v>24</v>
      </c>
      <c r="B10549" t="s">
        <v>14</v>
      </c>
      <c r="C10549" t="s">
        <v>22</v>
      </c>
      <c r="D10549" s="2" t="s">
        <f>=HYPERLINK("https://main.knesset.gov.il/APPS/legislation/main/bills/2157915", "הצעת חוק איסור רוכלות רוחנית במוסדות חינוך ובקרבתם, התשפ""א-2021")</f>
        <v>20443</v>
      </c>
      <c r="E10549" t="s">
        <v>20443</v>
      </c>
      <c r="F10549" t="s">
        <v>20444</v>
      </c>
      <c r="G10549" t="s">
        <v>14</v>
      </c>
      <c r="H10549">
             </c>
      <c r="I10549" t="s">
        <v>14</v>
      </c>
      <c r="J10549" t="s">
        <v>141</v>
      </c>
      <c r="K10549" t="s">
        <v>14</v>
      </c>
      <c r="L10549" t="s">
        <v>20</v>
      </c>
      <c r="M10549" t="s">
        <v>20390</v>
      </c>
      <c r="N10549" t="s">
        <v>14</v>
      </c>
    </row>
    <row r="10550" x14ac:dyDescent="0.25">
      <c r="A10550" t="n">
        <v>24</v>
      </c>
      <c r="B10550" t="s">
        <v>14</v>
      </c>
      <c r="C10550" t="s">
        <v>22</v>
      </c>
      <c r="D10550" s="2" t="s">
        <f>=HYPERLINK("https://main.knesset.gov.il/APPS/legislation/main/bills/2156762", "הצעת חוק חופשה שנתית (תיקון - קביעת יום פתיחת שנת הלימודים כיום בחירה), התשפ""א-2021")</f>
        <v>20445</v>
      </c>
      <c r="E10550" t="s">
        <v>20445</v>
      </c>
      <c r="F10550" t="s">
        <v>20446</v>
      </c>
      <c r="G10550" t="s">
        <v>14</v>
      </c>
      <c r="H10550">
             </c>
      <c r="I10550" t="s">
        <v>14</v>
      </c>
      <c r="J10550" t="s">
        <v>141</v>
      </c>
      <c r="K10550" t="s">
        <v>14</v>
      </c>
      <c r="L10550" t="s">
        <v>20</v>
      </c>
      <c r="M10550" t="s">
        <v>20390</v>
      </c>
      <c r="N10550" t="s">
        <v>14</v>
      </c>
    </row>
    <row r="10551" x14ac:dyDescent="0.25">
      <c r="A10551" t="n">
        <v>24</v>
      </c>
      <c r="B10551" t="s">
        <v>14</v>
      </c>
      <c r="C10551" t="s">
        <v>22</v>
      </c>
      <c r="D10551" s="2" t="s">
        <f>=HYPERLINK("https://main.knesset.gov.il/APPS/legislation/main/bills/2157839", "הצעת חוק טיפול בחולי נפש (תיקון - החלת הוראות על בגיר שסובל מאנורקסיה נרבוזה), התשפ""א-2021")</f>
        <v>20447</v>
      </c>
      <c r="E10551" t="s">
        <v>20447</v>
      </c>
      <c r="F10551" t="s">
        <v>20448</v>
      </c>
      <c r="G10551" t="s">
        <v>14</v>
      </c>
      <c r="H10551">
             </c>
      <c r="I10551" t="s">
        <v>14</v>
      </c>
      <c r="J10551" t="s">
        <v>141</v>
      </c>
      <c r="K10551" t="s">
        <v>14</v>
      </c>
      <c r="L10551" t="s">
        <v>20</v>
      </c>
      <c r="M10551" t="s">
        <v>20390</v>
      </c>
      <c r="N10551" t="s">
        <v>14</v>
      </c>
    </row>
    <row r="10552" x14ac:dyDescent="0.25">
      <c r="A10552" t="n">
        <v>24</v>
      </c>
      <c r="B10552" t="s">
        <v>14</v>
      </c>
      <c r="C10552" t="s">
        <v>22</v>
      </c>
      <c r="D10552" s="2" t="s">
        <f>=HYPERLINK("https://main.knesset.gov.il/APPS/legislation/main/bills/2157446", "הצעת חוק למניעת העישון במקומות ציבוריים והחשיפה לעישון (תיקון - ייעול האכיפה וביטול חדרי העישון), התשפ""א-2021")</f>
        <v>20449</v>
      </c>
      <c r="E10552" t="s">
        <v>20449</v>
      </c>
      <c r="F10552" t="s">
        <v>20450</v>
      </c>
      <c r="G10552" t="s">
        <v>14</v>
      </c>
      <c r="H10552">
             </c>
      <c r="I10552" t="s">
        <v>14</v>
      </c>
      <c r="J10552" t="s">
        <v>141</v>
      </c>
      <c r="K10552" t="s">
        <v>14</v>
      </c>
      <c r="L10552" t="s">
        <v>20</v>
      </c>
      <c r="M10552" t="s">
        <v>20390</v>
      </c>
      <c r="N10552" t="s">
        <v>14</v>
      </c>
    </row>
    <row r="10553" x14ac:dyDescent="0.25">
      <c r="A10553" t="n">
        <v>24</v>
      </c>
      <c r="B10553" t="s">
        <v>14</v>
      </c>
      <c r="C10553" t="s">
        <v>22</v>
      </c>
      <c r="D10553" s="2" t="s">
        <f>=HYPERLINK("https://main.knesset.gov.il/APPS/legislation/main/bills/2157838", "הצעת חוק חזקת הסכמה לתרומת אברים (תיקוני חקיקה), התשפ""א-2021")</f>
        <v>20451</v>
      </c>
      <c r="E10553" t="s">
        <v>20451</v>
      </c>
      <c r="F10553" t="s">
        <v>20452</v>
      </c>
      <c r="G10553" t="s">
        <v>14</v>
      </c>
      <c r="H10553">
             </c>
      <c r="I10553" t="s">
        <v>14</v>
      </c>
      <c r="J10553" t="s">
        <v>141</v>
      </c>
      <c r="K10553" t="s">
        <v>14</v>
      </c>
      <c r="L10553" t="s">
        <v>20</v>
      </c>
      <c r="M10553" t="s">
        <v>20390</v>
      </c>
      <c r="N10553" t="s">
        <v>14</v>
      </c>
    </row>
    <row r="10554" x14ac:dyDescent="0.25">
      <c r="A10554" t="n">
        <v>24</v>
      </c>
      <c r="B10554" t="s">
        <v>14</v>
      </c>
      <c r="C10554" t="s">
        <v>22</v>
      </c>
      <c r="D10554" s="2" t="s">
        <f>=HYPERLINK("https://main.knesset.gov.il/APPS/legislation/main/bills/2157468", "הצעת חוק עסקאות גופים ציבוריים (תיקון - מניעת העסקה במיקור חוץ בשירות הציבורי), התשפ""א-2021")</f>
        <v>20453</v>
      </c>
      <c r="E10554" t="s">
        <v>20453</v>
      </c>
      <c r="F10554" t="s">
        <v>20454</v>
      </c>
      <c r="G10554" t="s">
        <v>14</v>
      </c>
      <c r="H10554">
             </c>
      <c r="I10554" t="s">
        <v>14</v>
      </c>
      <c r="J10554" t="s">
        <v>141</v>
      </c>
      <c r="K10554" t="s">
        <v>14</v>
      </c>
      <c r="L10554" t="s">
        <v>20</v>
      </c>
      <c r="M10554" t="s">
        <v>20390</v>
      </c>
      <c r="N10554" t="s">
        <v>14</v>
      </c>
    </row>
    <row r="10555" x14ac:dyDescent="0.25">
      <c r="A10555" t="n">
        <v>24</v>
      </c>
      <c r="B10555" t="s">
        <v>14</v>
      </c>
      <c r="C10555" t="s">
        <v>22</v>
      </c>
      <c r="D10555" s="2" t="s">
        <f>=HYPERLINK("https://main.knesset.gov.il/APPS/legislation/main/bills/2157837", "הצעת חוק שירות הציבור (הגבלות לאחר פרישה) (תיקון - תקופת צינון לנושאי משרה בכירה בשירות הציבור), התשפ""א-2021")</f>
        <v>20455</v>
      </c>
      <c r="E10555" t="s">
        <v>20455</v>
      </c>
      <c r="F10555" t="s">
        <v>20456</v>
      </c>
      <c r="G10555" t="s">
        <v>14</v>
      </c>
      <c r="H10555">
             </c>
      <c r="I10555" t="s">
        <v>14</v>
      </c>
      <c r="J10555" t="s">
        <v>141</v>
      </c>
      <c r="K10555" t="s">
        <v>14</v>
      </c>
      <c r="L10555" t="s">
        <v>20</v>
      </c>
      <c r="M10555" t="s">
        <v>20390</v>
      </c>
      <c r="N10555" t="s">
        <v>14</v>
      </c>
    </row>
    <row r="10556" x14ac:dyDescent="0.25">
      <c r="A10556" t="n">
        <v>24</v>
      </c>
      <c r="B10556" t="s">
        <v>14</v>
      </c>
      <c r="C10556" t="s">
        <v>22</v>
      </c>
      <c r="D10556" s="2" t="s">
        <f>=HYPERLINK("https://main.knesset.gov.il/APPS/legislation/main/bills/2156988", "הצעת חוק יסודות התקציב (תיקון - שלילת תמיכה ותקצוב ממוסד חינוך שאינו ממלא אחר הנחיות הממשלה לצמצום התפשטות נגיף הקורונה החדש או מסית לאי מילוי ההנחיות) (הוראת שעה), התשפ""א-2021")</f>
        <v>20457</v>
      </c>
      <c r="E10556" t="s">
        <v>20457</v>
      </c>
      <c r="F10556" t="s">
        <v>20458</v>
      </c>
      <c r="G10556" t="s">
        <v>14</v>
      </c>
      <c r="H10556">
             </c>
      <c r="I10556" t="s">
        <v>14</v>
      </c>
      <c r="J10556" t="s">
        <v>141</v>
      </c>
      <c r="K10556" t="s">
        <v>14</v>
      </c>
      <c r="L10556" t="s">
        <v>20</v>
      </c>
      <c r="M10556" t="s">
        <v>20390</v>
      </c>
      <c r="N10556" t="s">
        <v>14</v>
      </c>
    </row>
    <row r="10557" x14ac:dyDescent="0.25">
      <c r="A10557" t="n">
        <v>24</v>
      </c>
      <c r="B10557" t="s">
        <v>14</v>
      </c>
      <c r="C10557" t="s">
        <v>22</v>
      </c>
      <c r="D10557" s="2" t="s">
        <f>=HYPERLINK("https://main.knesset.gov.il/APPS/legislation/main/bills/2157836", "הצעת חוק הגנת הצרכן (תיקון - סיכום פניה), התשפ""א-2021")</f>
        <v>20459</v>
      </c>
      <c r="E10557" t="s">
        <v>20459</v>
      </c>
      <c r="F10557" t="s">
        <v>20460</v>
      </c>
      <c r="G10557" t="s">
        <v>14</v>
      </c>
      <c r="H10557">
             </c>
      <c r="I10557" t="s">
        <v>14</v>
      </c>
      <c r="J10557" t="s">
        <v>141</v>
      </c>
      <c r="K10557" t="s">
        <v>14</v>
      </c>
      <c r="L10557" t="s">
        <v>20</v>
      </c>
      <c r="M10557" t="s">
        <v>20390</v>
      </c>
      <c r="N10557" t="s">
        <v>14</v>
      </c>
    </row>
    <row r="10558" x14ac:dyDescent="0.25">
      <c r="A10558" t="n">
        <v>24</v>
      </c>
      <c r="B10558" t="s">
        <v>14</v>
      </c>
      <c r="C10558" t="s">
        <v>22</v>
      </c>
      <c r="D10558" s="2" t="s">
        <f>=HYPERLINK("https://main.knesset.gov.il/APPS/legislation/main/bills/2157834", "הצעת חוק שירות הקבע בצבא הגנה לישראל (גמלאות) (תיקון - גמלה לאלמנה שנישאה מחדש), התשפ""א-2021")</f>
        <v>20461</v>
      </c>
      <c r="E10558" t="s">
        <v>20461</v>
      </c>
      <c r="F10558" t="s">
        <v>20462</v>
      </c>
      <c r="G10558" t="s">
        <v>14</v>
      </c>
      <c r="H10558">
             </c>
      <c r="I10558" t="s">
        <v>14</v>
      </c>
      <c r="J10558" t="s">
        <v>141</v>
      </c>
      <c r="K10558" t="s">
        <v>14</v>
      </c>
      <c r="L10558" t="s">
        <v>20</v>
      </c>
      <c r="M10558" t="s">
        <v>20390</v>
      </c>
      <c r="N10558" t="s">
        <v>14</v>
      </c>
    </row>
    <row r="10559" x14ac:dyDescent="0.25">
      <c r="A10559" t="n">
        <v>24</v>
      </c>
      <c r="B10559" t="s">
        <v>14</v>
      </c>
      <c r="C10559" t="s">
        <v>22</v>
      </c>
      <c r="D10559" s="2" t="s">
        <f>=HYPERLINK("https://main.knesset.gov.il/APPS/legislation/main/bills/2157833", "הצעת חוק בתי קברות צבאיים (תיקון - חיילים זכאי חוק השבות), התשפ""א-2021")</f>
        <v>20463</v>
      </c>
      <c r="E10559" t="s">
        <v>20463</v>
      </c>
      <c r="F10559" t="s">
        <v>20464</v>
      </c>
      <c r="G10559" t="s">
        <v>14</v>
      </c>
      <c r="H10559">
             </c>
      <c r="I10559" t="s">
        <v>14</v>
      </c>
      <c r="J10559" t="s">
        <v>141</v>
      </c>
      <c r="K10559" t="s">
        <v>14</v>
      </c>
      <c r="L10559" t="s">
        <v>20</v>
      </c>
      <c r="M10559" t="s">
        <v>20390</v>
      </c>
      <c r="N10559" t="s">
        <v>14</v>
      </c>
    </row>
    <row r="10560" x14ac:dyDescent="0.25">
      <c r="A10560" t="n">
        <v>24</v>
      </c>
      <c r="B10560" t="s">
        <v>14</v>
      </c>
      <c r="C10560" t="s">
        <v>22</v>
      </c>
      <c r="D10560" s="2" t="s">
        <f>=HYPERLINK("https://main.knesset.gov.il/APPS/legislation/main/bills/2157392", "הצעת חוק להגנה על האגן הצפוני של ים המלח, התשפ""א-2021")</f>
        <v>20465</v>
      </c>
      <c r="E10560" t="s">
        <v>20465</v>
      </c>
      <c r="F10560" t="s">
        <v>20466</v>
      </c>
      <c r="G10560" t="s">
        <v>14</v>
      </c>
      <c r="H10560">
             </c>
      <c r="I10560" t="s">
        <v>14</v>
      </c>
      <c r="J10560" t="s">
        <v>141</v>
      </c>
      <c r="K10560" t="s">
        <v>14</v>
      </c>
      <c r="L10560" t="s">
        <v>20</v>
      </c>
      <c r="M10560" t="s">
        <v>20390</v>
      </c>
      <c r="N10560" t="s">
        <v>14</v>
      </c>
    </row>
    <row r="10561" x14ac:dyDescent="0.25">
      <c r="A10561" t="n">
        <v>24</v>
      </c>
      <c r="B10561" t="s">
        <v>14</v>
      </c>
      <c r="C10561" t="s">
        <v>22</v>
      </c>
      <c r="D10561" s="2" t="s">
        <f>=HYPERLINK("https://main.knesset.gov.il/APPS/legislation/main/bills/2157832", "הצעת חוק לתיקון פקודת התעבורה (הדרכה בנהיגה בשפות שאינן עברית), התשפ""א-2021")</f>
        <v>20467</v>
      </c>
      <c r="E10561" t="s">
        <v>20467</v>
      </c>
      <c r="F10561" t="s">
        <v>20468</v>
      </c>
      <c r="G10561" t="s">
        <v>14</v>
      </c>
      <c r="H10561">
             </c>
      <c r="I10561" t="s">
        <v>14</v>
      </c>
      <c r="J10561" t="s">
        <v>141</v>
      </c>
      <c r="K10561" t="s">
        <v>14</v>
      </c>
      <c r="L10561" t="s">
        <v>20</v>
      </c>
      <c r="M10561" t="s">
        <v>20390</v>
      </c>
      <c r="N10561" t="s">
        <v>14</v>
      </c>
    </row>
    <row r="10562" x14ac:dyDescent="0.25">
      <c r="A10562" t="n">
        <v>24</v>
      </c>
      <c r="B10562" t="s">
        <v>14</v>
      </c>
      <c r="C10562" t="s">
        <v>22</v>
      </c>
      <c r="D10562" s="2" t="s">
        <f>=HYPERLINK("https://main.knesset.gov.il/APPS/legislation/main/bills/2157830", "הצעת חוק פיצויים בעד נזק עקב אסון טבע, התשפ""א-2021")</f>
        <v>20469</v>
      </c>
      <c r="E10562" t="s">
        <v>20469</v>
      </c>
      <c r="F10562" t="s">
        <v>20470</v>
      </c>
      <c r="G10562" t="s">
        <v>14</v>
      </c>
      <c r="H10562">
             </c>
      <c r="I10562" t="s">
        <v>14</v>
      </c>
      <c r="J10562" t="s">
        <v>141</v>
      </c>
      <c r="K10562" t="s">
        <v>14</v>
      </c>
      <c r="L10562" t="s">
        <v>20</v>
      </c>
      <c r="M10562" t="s">
        <v>20390</v>
      </c>
      <c r="N10562" t="s">
        <v>14</v>
      </c>
    </row>
    <row r="10563" x14ac:dyDescent="0.25">
      <c r="A10563" t="n">
        <v>24</v>
      </c>
      <c r="B10563" t="s">
        <v>14</v>
      </c>
      <c r="C10563" t="s">
        <v>22</v>
      </c>
      <c r="D10563" s="2" t="s">
        <f>=HYPERLINK("https://main.knesset.gov.il/APPS/legislation/main/bills/2157850", "הצעת חוק עוסק זעיר, התשפ""א-2021")</f>
        <v>17218</v>
      </c>
      <c r="E10563" t="s">
        <v>17218</v>
      </c>
      <c r="F10563" t="s">
        <v>20471</v>
      </c>
      <c r="G10563" t="s">
        <v>14</v>
      </c>
      <c r="H10563">
             </c>
      <c r="I10563" t="s">
        <v>14</v>
      </c>
      <c r="J10563" t="s">
        <v>141</v>
      </c>
      <c r="K10563" t="s">
        <v>14</v>
      </c>
      <c r="L10563" t="s">
        <v>20</v>
      </c>
      <c r="M10563" t="s">
        <v>20390</v>
      </c>
      <c r="N10563" t="s">
        <v>14</v>
      </c>
    </row>
    <row r="10564" x14ac:dyDescent="0.25">
      <c r="A10564" t="n">
        <v>24</v>
      </c>
      <c r="B10564" t="s">
        <v>14</v>
      </c>
      <c r="C10564" t="s">
        <v>22</v>
      </c>
      <c r="D10564" s="2" t="s">
        <f>=HYPERLINK("https://main.knesset.gov.il/APPS/legislation/main/bills/2157829", "הצעת חוק סדר הדין הפלילי (סמכויות אכיפה - חיפוש בגוף ונטילת אמצעי זיהוי) (תיקון - בדיקה לגילוי נגיף HIV), התשפ""א-2021")</f>
        <v>20472</v>
      </c>
      <c r="E10564" t="s">
        <v>20472</v>
      </c>
      <c r="F10564" t="s">
        <v>20473</v>
      </c>
      <c r="G10564" t="s">
        <v>14</v>
      </c>
      <c r="H10564">
             </c>
      <c r="I10564" t="s">
        <v>14</v>
      </c>
      <c r="J10564" t="s">
        <v>141</v>
      </c>
      <c r="K10564" t="s">
        <v>14</v>
      </c>
      <c r="L10564" t="s">
        <v>20</v>
      </c>
      <c r="M10564" t="s">
        <v>20390</v>
      </c>
      <c r="N10564" t="s">
        <v>14</v>
      </c>
    </row>
    <row r="10565" x14ac:dyDescent="0.25">
      <c r="A10565" t="n">
        <v>24</v>
      </c>
      <c r="B10565" t="s">
        <v>14</v>
      </c>
      <c r="C10565" t="s">
        <v>22</v>
      </c>
      <c r="D10565" s="2" t="s">
        <f>=HYPERLINK("https://main.knesset.gov.il/APPS/legislation/main/bills/2157804", "הצעת חוק סדר הדין הפלילי (תיקון - התיישנות בעבירות מין שנעשו במסגרת יחסי תלות או מרות), התשפ""א-2021")</f>
        <v>19122</v>
      </c>
      <c r="E10565" t="s">
        <v>19122</v>
      </c>
      <c r="F10565" t="s">
        <v>20474</v>
      </c>
      <c r="G10565" t="s">
        <v>14</v>
      </c>
      <c r="H10565">
             </c>
      <c r="I10565" t="s">
        <v>14</v>
      </c>
      <c r="J10565" t="s">
        <v>343</v>
      </c>
      <c r="K10565" t="s">
        <v>14</v>
      </c>
      <c r="L10565" t="s">
        <v>20</v>
      </c>
      <c r="M10565" t="s">
        <v>20390</v>
      </c>
      <c r="N10565" t="s">
        <v>14</v>
      </c>
    </row>
    <row r="10566" x14ac:dyDescent="0.25">
      <c r="A10566" t="n">
        <v>24</v>
      </c>
      <c r="B10566" t="s">
        <v>14</v>
      </c>
      <c r="C10566" t="s">
        <v>22</v>
      </c>
      <c r="D10566" s="2" t="s">
        <f>=HYPERLINK("https://main.knesset.gov.il/APPS/legislation/main/bills/2156304", "הצעת חוק הפיקוח על שירותים פיננסיים (קופות גמל) (תיקון - הרחבת הגדרת פנסיה תקציבית), התשפ""א-2021")</f>
        <v>20475</v>
      </c>
      <c r="E10566" t="s">
        <v>20475</v>
      </c>
      <c r="F10566" t="s">
        <v>20476</v>
      </c>
      <c r="G10566" t="s">
        <v>14</v>
      </c>
      <c r="H10566">
             </c>
      <c r="I10566" t="s">
        <v>14</v>
      </c>
      <c r="J10566" t="s">
        <v>141</v>
      </c>
      <c r="K10566" t="s">
        <v>14</v>
      </c>
      <c r="L10566" t="s">
        <v>20</v>
      </c>
      <c r="M10566" t="s">
        <v>20390</v>
      </c>
      <c r="N10566" t="s">
        <v>14</v>
      </c>
    </row>
    <row r="10567" x14ac:dyDescent="0.25">
      <c r="A10567" t="n">
        <v>24</v>
      </c>
      <c r="B10567" t="s">
        <v>14</v>
      </c>
      <c r="C10567" t="s">
        <v>22</v>
      </c>
      <c r="D10567" s="2" t="s">
        <f>=HYPERLINK("https://main.knesset.gov.il/APPS/legislation/main/bills/2157803", "הצעת חוק אימוץ ילדים (תיקון - הוספת סמכות בנושא דתו של המאומץ), התשפ""א-2021")</f>
        <v>20477</v>
      </c>
      <c r="E10567" t="s">
        <v>20477</v>
      </c>
      <c r="F10567" t="s">
        <v>20478</v>
      </c>
      <c r="G10567" t="s">
        <v>14</v>
      </c>
      <c r="H10567">
             </c>
      <c r="I10567" t="s">
        <v>14</v>
      </c>
      <c r="J10567" t="s">
        <v>141</v>
      </c>
      <c r="K10567" t="s">
        <v>14</v>
      </c>
      <c r="L10567" t="s">
        <v>20</v>
      </c>
      <c r="M10567" t="s">
        <v>20390</v>
      </c>
      <c r="N10567" t="s">
        <v>14</v>
      </c>
    </row>
    <row r="10568" x14ac:dyDescent="0.25">
      <c r="A10568" t="n">
        <v>24</v>
      </c>
      <c r="B10568" t="s">
        <v>14</v>
      </c>
      <c r="C10568" t="s">
        <v>22</v>
      </c>
      <c r="D10568" s="2" t="s">
        <f>=HYPERLINK("https://main.knesset.gov.il/APPS/legislation/main/bills/2157802", "הצעת חוק להסדרת מינויים בשירות החוץ, התשפ""א-2021")</f>
        <v>20479</v>
      </c>
      <c r="E10568" t="s">
        <v>20479</v>
      </c>
      <c r="F10568" t="s">
        <v>20480</v>
      </c>
      <c r="G10568" t="s">
        <v>14</v>
      </c>
      <c r="H10568">
             </c>
      <c r="I10568" t="s">
        <v>14</v>
      </c>
      <c r="J10568" t="s">
        <v>141</v>
      </c>
      <c r="K10568" t="s">
        <v>14</v>
      </c>
      <c r="L10568" t="s">
        <v>20</v>
      </c>
      <c r="M10568" t="s">
        <v>20390</v>
      </c>
      <c r="N10568" t="s">
        <v>14</v>
      </c>
    </row>
    <row r="10569" x14ac:dyDescent="0.25">
      <c r="A10569" t="n">
        <v>24</v>
      </c>
      <c r="B10569" t="s">
        <v>14</v>
      </c>
      <c r="C10569" t="s">
        <v>22</v>
      </c>
      <c r="D10569" s="2" t="s">
        <f>=HYPERLINK("https://main.knesset.gov.il/APPS/legislation/main/bills/2157801", "הצעת חוק ההוצאה לפועל (תיקון - מסלול מקוצר חובה), התשפ""א-2021")</f>
        <v>18092</v>
      </c>
      <c r="E10569" t="s">
        <v>18092</v>
      </c>
      <c r="F10569" t="s">
        <v>20481</v>
      </c>
      <c r="G10569" t="s">
        <v>14</v>
      </c>
      <c r="H10569">
             </c>
      <c r="I10569" t="s">
        <v>14</v>
      </c>
      <c r="J10569" t="s">
        <v>141</v>
      </c>
      <c r="K10569" t="s">
        <v>14</v>
      </c>
      <c r="L10569" t="s">
        <v>20</v>
      </c>
      <c r="M10569" t="s">
        <v>20390</v>
      </c>
      <c r="N10569" t="s">
        <v>14</v>
      </c>
    </row>
    <row r="10570" x14ac:dyDescent="0.25">
      <c r="A10570" t="n">
        <v>24</v>
      </c>
      <c r="B10570" t="s">
        <v>14</v>
      </c>
      <c r="C10570" t="s">
        <v>22</v>
      </c>
      <c r="D10570" s="2" t="s">
        <f>=HYPERLINK("https://main.knesset.gov.il/APPS/legislation/main/bills/2156329", "הצעת חוק הביטוח הלאומי (תיקון - דמי אבטלה למשרתים בשירות לאומי-אזרחי), התשפ""א-2021")</f>
        <v>20482</v>
      </c>
      <c r="E10570" t="s">
        <v>20482</v>
      </c>
      <c r="F10570" t="s">
        <v>20483</v>
      </c>
      <c r="G10570" t="s">
        <v>14</v>
      </c>
      <c r="H10570">
             </c>
      <c r="I10570" t="s">
        <v>14</v>
      </c>
      <c r="J10570" t="s">
        <v>141</v>
      </c>
      <c r="K10570" t="s">
        <v>14</v>
      </c>
      <c r="L10570" t="s">
        <v>20</v>
      </c>
      <c r="M10570" t="s">
        <v>20390</v>
      </c>
      <c r="N10570" t="s">
        <v>14</v>
      </c>
    </row>
    <row r="10571" x14ac:dyDescent="0.25">
      <c r="A10571" t="n">
        <v>24</v>
      </c>
      <c r="B10571" t="s">
        <v>14</v>
      </c>
      <c r="C10571" t="s">
        <v>22</v>
      </c>
      <c r="D10571" s="2" t="s">
        <f>=HYPERLINK("https://main.knesset.gov.il/APPS/legislation/main/bills/2157908", "הצעת חוק למניעת העישון במקומות ציבוריים והחשיפה לעישון (תיקון - הוספת מקומות ציבוריים שהעישון בהם אסור), התשפ""א-2021")</f>
        <v>20484</v>
      </c>
      <c r="E10571" t="s">
        <v>20484</v>
      </c>
      <c r="F10571" t="s">
        <v>20485</v>
      </c>
      <c r="G10571" t="s">
        <v>14</v>
      </c>
      <c r="H10571">
             </c>
      <c r="I10571" t="s">
        <v>14</v>
      </c>
      <c r="J10571" t="s">
        <v>141</v>
      </c>
      <c r="K10571" t="s">
        <v>14</v>
      </c>
      <c r="L10571" t="s">
        <v>20</v>
      </c>
      <c r="M10571" t="s">
        <v>20390</v>
      </c>
      <c r="N10571" t="s">
        <v>14</v>
      </c>
    </row>
    <row r="10572" x14ac:dyDescent="0.25">
      <c r="A10572" t="n">
        <v>24</v>
      </c>
      <c r="B10572" t="s">
        <v>14</v>
      </c>
      <c r="C10572" t="s">
        <v>22</v>
      </c>
      <c r="D10572" s="2" t="s">
        <f>=HYPERLINK("https://main.knesset.gov.il/APPS/legislation/main/bills/2157799", "הצעת חוק איסור הונאה בכשרות (תיקון - פיקוח על מחירי תעודת הכשר), התשפ""א-2021")</f>
        <v>20486</v>
      </c>
      <c r="E10572" t="s">
        <v>20486</v>
      </c>
      <c r="F10572" t="s">
        <v>20487</v>
      </c>
      <c r="G10572" t="s">
        <v>14</v>
      </c>
      <c r="H10572">
             </c>
      <c r="I10572" t="s">
        <v>14</v>
      </c>
      <c r="J10572" t="s">
        <v>141</v>
      </c>
      <c r="K10572" t="s">
        <v>14</v>
      </c>
      <c r="L10572" t="s">
        <v>20</v>
      </c>
      <c r="M10572" t="s">
        <v>20390</v>
      </c>
      <c r="N10572" t="s">
        <v>14</v>
      </c>
    </row>
    <row r="10573" x14ac:dyDescent="0.25">
      <c r="A10573" t="n">
        <v>24</v>
      </c>
      <c r="B10573" t="s">
        <v>14</v>
      </c>
      <c r="C10573" t="s">
        <v>22</v>
      </c>
      <c r="D10573" s="2" t="s">
        <f>=HYPERLINK("https://main.knesset.gov.il/APPS/legislation/main/bills/2157786", "הצעת חוק הממשלה (תיקון - דיווח על נסיעות שרים לחוץ לארץ), התשפ""א-2021")</f>
        <v>20488</v>
      </c>
      <c r="E10573" t="s">
        <v>20488</v>
      </c>
      <c r="F10573" t="s">
        <v>20489</v>
      </c>
      <c r="G10573" t="s">
        <v>14</v>
      </c>
      <c r="H10573">
             </c>
      <c r="I10573" t="s">
        <v>14</v>
      </c>
      <c r="J10573" t="s">
        <v>141</v>
      </c>
      <c r="K10573" t="s">
        <v>14</v>
      </c>
      <c r="L10573" t="s">
        <v>20</v>
      </c>
      <c r="M10573" t="s">
        <v>20390</v>
      </c>
      <c r="N10573" t="s">
        <v>14</v>
      </c>
    </row>
    <row r="10574" x14ac:dyDescent="0.25">
      <c r="A10574" t="n">
        <v>24</v>
      </c>
      <c r="B10574" t="s">
        <v>14</v>
      </c>
      <c r="C10574" t="s">
        <v>22</v>
      </c>
      <c r="D10574" s="2" t="s">
        <f>=HYPERLINK("https://main.knesset.gov.il/APPS/legislation/main/bills/2156502", "הצעת חוק הממשלה (תיקון - דיווח שר בדבר אי התקנת תקנות במועד), התשפ""א-2021")</f>
        <v>20490</v>
      </c>
      <c r="E10574" t="s">
        <v>20490</v>
      </c>
      <c r="F10574" t="s">
        <v>20491</v>
      </c>
      <c r="G10574" t="s">
        <v>14</v>
      </c>
      <c r="H10574">
             </c>
      <c r="I10574" t="s">
        <v>14</v>
      </c>
      <c r="J10574" t="s">
        <v>141</v>
      </c>
      <c r="K10574" t="s">
        <v>14</v>
      </c>
      <c r="L10574" t="s">
        <v>20</v>
      </c>
      <c r="M10574" t="s">
        <v>20390</v>
      </c>
      <c r="N10574" t="s">
        <v>14</v>
      </c>
    </row>
    <row r="10575" x14ac:dyDescent="0.25">
      <c r="A10575" t="n">
        <v>24</v>
      </c>
      <c r="B10575" t="s">
        <v>14</v>
      </c>
      <c r="C10575" t="s">
        <v>22</v>
      </c>
      <c r="D10575" s="2" t="s">
        <f>=HYPERLINK("https://main.knesset.gov.il/APPS/legislation/main/bills/2157785", "הצעת חוק שירותי הדת היהודיים (תיקון - הנחה ברכישת קבר זוגי), התשפ""א-2021")</f>
        <v>20492</v>
      </c>
      <c r="E10575" t="s">
        <v>20492</v>
      </c>
      <c r="F10575" t="s">
        <v>20493</v>
      </c>
      <c r="G10575" t="s">
        <v>14</v>
      </c>
      <c r="H10575">
             </c>
      <c r="I10575" t="s">
        <v>14</v>
      </c>
      <c r="J10575" t="s">
        <v>141</v>
      </c>
      <c r="K10575" t="s">
        <v>14</v>
      </c>
      <c r="L10575" t="s">
        <v>20</v>
      </c>
      <c r="M10575" t="s">
        <v>20390</v>
      </c>
      <c r="N10575" t="s">
        <v>14</v>
      </c>
    </row>
    <row r="10576" x14ac:dyDescent="0.25">
      <c r="A10576" t="n">
        <v>24</v>
      </c>
      <c r="B10576" t="s">
        <v>14</v>
      </c>
      <c r="C10576" t="s">
        <v>22</v>
      </c>
      <c r="D10576" s="2" t="s">
        <f>=HYPERLINK("https://main.knesset.gov.il/APPS/legislation/main/bills/2157784", "הצעת חוק חוזה הביטוח (תיקון - הארכת תקופת ההתיישנות לביטוח חיים), התשפ""א-2021")</f>
        <v>20494</v>
      </c>
      <c r="E10576" t="s">
        <v>20494</v>
      </c>
      <c r="F10576" t="s">
        <v>20495</v>
      </c>
      <c r="G10576" t="s">
        <v>14</v>
      </c>
      <c r="H10576">
             </c>
      <c r="I10576" t="s">
        <v>14</v>
      </c>
      <c r="J10576" t="s">
        <v>141</v>
      </c>
      <c r="K10576" t="s">
        <v>14</v>
      </c>
      <c r="L10576" t="s">
        <v>20</v>
      </c>
      <c r="M10576" t="s">
        <v>20390</v>
      </c>
      <c r="N10576" t="s">
        <v>14</v>
      </c>
    </row>
    <row r="10577" x14ac:dyDescent="0.25">
      <c r="A10577" t="n">
        <v>24</v>
      </c>
      <c r="B10577" t="s">
        <v>14</v>
      </c>
      <c r="C10577" t="s">
        <v>22</v>
      </c>
      <c r="D10577" s="2" t="s">
        <f>=HYPERLINK("https://main.knesset.gov.il/APPS/legislation/main/bills/2157783", "הצעת חוק למניעת כפייה מינית, התשפ""א-2021")</f>
        <v>20496</v>
      </c>
      <c r="E10577" t="s">
        <v>20496</v>
      </c>
      <c r="F10577" t="s">
        <v>20497</v>
      </c>
      <c r="G10577" t="s">
        <v>14</v>
      </c>
      <c r="H10577">
             </c>
      <c r="I10577" t="s">
        <v>14</v>
      </c>
      <c r="J10577" t="s">
        <v>141</v>
      </c>
      <c r="K10577" t="s">
        <v>14</v>
      </c>
      <c r="L10577" t="s">
        <v>20</v>
      </c>
      <c r="M10577" t="s">
        <v>20390</v>
      </c>
      <c r="N10577" t="s">
        <v>14</v>
      </c>
    </row>
    <row r="10578" x14ac:dyDescent="0.25">
      <c r="A10578" t="n">
        <v>24</v>
      </c>
      <c r="B10578" t="s">
        <v>14</v>
      </c>
      <c r="C10578" t="s">
        <v>22</v>
      </c>
      <c r="D10578" s="2" t="s">
        <f>=HYPERLINK("https://main.knesset.gov.il/APPS/legislation/main/bills/2157447", "הצעת חוק למניעת התנכלות תעסוקתית, התשפ""א-2021")</f>
        <v>20498</v>
      </c>
      <c r="E10578" t="s">
        <v>20498</v>
      </c>
      <c r="F10578" t="s">
        <v>20499</v>
      </c>
      <c r="G10578" t="s">
        <v>14</v>
      </c>
      <c r="H10578">
             </c>
      <c r="I10578" t="s">
        <v>14</v>
      </c>
      <c r="J10578" t="s">
        <v>141</v>
      </c>
      <c r="K10578" t="s">
        <v>14</v>
      </c>
      <c r="L10578" t="s">
        <v>20</v>
      </c>
      <c r="M10578" t="s">
        <v>20390</v>
      </c>
      <c r="N10578" t="s">
        <v>14</v>
      </c>
    </row>
    <row r="10579" x14ac:dyDescent="0.25">
      <c r="A10579" t="n">
        <v>24</v>
      </c>
      <c r="B10579" t="s">
        <v>14</v>
      </c>
      <c r="C10579" t="s">
        <v>22</v>
      </c>
      <c r="D10579" s="2" t="s">
        <f>=HYPERLINK("https://main.knesset.gov.il/APPS/legislation/main/bills/2157781", "הצעת חוק לתיקון פקודת התעבורה (אזורי מנוחה ומפרצי עצירה בדרך בין-עירונית), התשפ""א-2021")</f>
        <v>20500</v>
      </c>
      <c r="E10579" t="s">
        <v>20500</v>
      </c>
      <c r="F10579" t="s">
        <v>20501</v>
      </c>
      <c r="G10579" t="s">
        <v>14</v>
      </c>
      <c r="H10579">
             </c>
      <c r="I10579" t="s">
        <v>14</v>
      </c>
      <c r="J10579" t="s">
        <v>141</v>
      </c>
      <c r="K10579" t="s">
        <v>14</v>
      </c>
      <c r="L10579" t="s">
        <v>20</v>
      </c>
      <c r="M10579" t="s">
        <v>20390</v>
      </c>
      <c r="N10579" t="s">
        <v>14</v>
      </c>
    </row>
    <row r="10580" x14ac:dyDescent="0.25">
      <c r="A10580" t="n">
        <v>24</v>
      </c>
      <c r="B10580" t="s">
        <v>14</v>
      </c>
      <c r="C10580" t="s">
        <v>22</v>
      </c>
      <c r="D10580" s="2" t="s">
        <f>=HYPERLINK("https://main.knesset.gov.il/APPS/legislation/main/bills/2157780", "הצעת חוק בתי דין רבניים (קיום פסקי דין של גירושין) (תיקון - סמכות בית המשפט לענייני משפחה), התשפ""א-2021")</f>
        <v>20502</v>
      </c>
      <c r="E10580" t="s">
        <v>20502</v>
      </c>
      <c r="F10580" t="s">
        <v>20503</v>
      </c>
      <c r="G10580" t="s">
        <v>14</v>
      </c>
      <c r="H10580">
             </c>
      <c r="I10580" t="s">
        <v>14</v>
      </c>
      <c r="J10580" t="s">
        <v>141</v>
      </c>
      <c r="K10580" t="s">
        <v>14</v>
      </c>
      <c r="L10580" t="s">
        <v>20</v>
      </c>
      <c r="M10580" t="s">
        <v>20390</v>
      </c>
      <c r="N10580" t="s">
        <v>14</v>
      </c>
    </row>
    <row r="10581" x14ac:dyDescent="0.25">
      <c r="A10581" t="n">
        <v>24</v>
      </c>
      <c r="B10581" t="s">
        <v>14</v>
      </c>
      <c r="C10581" t="s">
        <v>22</v>
      </c>
      <c r="D10581" s="2" t="s">
        <f>=HYPERLINK("https://main.knesset.gov.il/APPS/legislation/main/bills/2157924", "הצעת חוק לעידוד בנייה בת קיימא (תיקוני חקיקה), התשפ""א-2021")</f>
        <v>20504</v>
      </c>
      <c r="E10581" t="s">
        <v>20504</v>
      </c>
      <c r="F10581" t="s">
        <v>20505</v>
      </c>
      <c r="G10581" t="s">
        <v>14</v>
      </c>
      <c r="H10581">
             </c>
      <c r="I10581" t="s">
        <v>14</v>
      </c>
      <c r="J10581" t="s">
        <v>141</v>
      </c>
      <c r="K10581" t="s">
        <v>14</v>
      </c>
      <c r="L10581" t="s">
        <v>20</v>
      </c>
      <c r="M10581" t="s">
        <v>20390</v>
      </c>
      <c r="N10581" t="s">
        <v>14</v>
      </c>
    </row>
    <row r="10582" x14ac:dyDescent="0.25">
      <c r="A10582" t="n">
        <v>24</v>
      </c>
      <c r="B10582" t="s">
        <v>14</v>
      </c>
      <c r="C10582" t="s">
        <v>22</v>
      </c>
      <c r="D10582" s="2" t="s">
        <f>=HYPERLINK("https://main.knesset.gov.il/APPS/legislation/main/bills/2157621", "הצעת חוק-יסוד: הכנסת (תיקון - הפסקת חברות בכנסת של שר או סגן שר)")</f>
        <v>12176</v>
      </c>
      <c r="E10582" t="s">
        <v>12176</v>
      </c>
      <c r="F10582" t="s">
        <v>20506</v>
      </c>
      <c r="G10582" t="s">
        <v>14</v>
      </c>
      <c r="H10582">
             </c>
      <c r="I10582" t="s">
        <v>14</v>
      </c>
      <c r="J10582" t="s">
        <v>141</v>
      </c>
      <c r="K10582" t="s">
        <v>14</v>
      </c>
      <c r="L10582" t="s">
        <v>20</v>
      </c>
      <c r="M10582" t="s">
        <v>20390</v>
      </c>
      <c r="N10582" t="s">
        <v>14</v>
      </c>
    </row>
    <row r="10583" x14ac:dyDescent="0.25">
      <c r="A10583" t="n">
        <v>24</v>
      </c>
      <c r="B10583" t="s">
        <v>14</v>
      </c>
      <c r="C10583" t="s">
        <v>22</v>
      </c>
      <c r="D10583" s="2" t="s">
        <f>=HYPERLINK("https://main.knesset.gov.il/APPS/legislation/main/bills/2157779", "הצעת חוק-יסוד: השפיטה (תיקון - משפט חוזר אזרחי)")</f>
        <v>11205</v>
      </c>
      <c r="E10583" t="s">
        <v>11205</v>
      </c>
      <c r="F10583" t="s">
        <v>20507</v>
      </c>
      <c r="G10583" t="s">
        <v>14</v>
      </c>
      <c r="H10583">
             </c>
      <c r="I10583" t="s">
        <v>14</v>
      </c>
      <c r="J10583" t="s">
        <v>141</v>
      </c>
      <c r="K10583" t="s">
        <v>14</v>
      </c>
      <c r="L10583" t="s">
        <v>20</v>
      </c>
      <c r="M10583" t="s">
        <v>20390</v>
      </c>
      <c r="N10583" t="s">
        <v>14</v>
      </c>
    </row>
    <row r="10584" x14ac:dyDescent="0.25">
      <c r="A10584" t="n">
        <v>24</v>
      </c>
      <c r="B10584" t="s">
        <v>14</v>
      </c>
      <c r="C10584" t="s">
        <v>22</v>
      </c>
      <c r="D10584" s="2" t="s">
        <f>=HYPERLINK("https://main.knesset.gov.il/APPS/legislation/main/bills/2157777", "הצעת חוק הדיינים (תיקון - כשירות למנהל בתי הדין הרבניים), התשפ""א-2021")</f>
        <v>20508</v>
      </c>
      <c r="E10584" t="s">
        <v>20508</v>
      </c>
      <c r="F10584" t="s">
        <v>20509</v>
      </c>
      <c r="G10584" t="s">
        <v>14</v>
      </c>
      <c r="H10584">
             </c>
      <c r="I10584" t="s">
        <v>14</v>
      </c>
      <c r="J10584" t="s">
        <v>141</v>
      </c>
      <c r="K10584" t="s">
        <v>14</v>
      </c>
      <c r="L10584" t="s">
        <v>20</v>
      </c>
      <c r="M10584" t="s">
        <v>20390</v>
      </c>
      <c r="N10584" t="s">
        <v>14</v>
      </c>
    </row>
    <row r="10585" x14ac:dyDescent="0.25">
      <c r="A10585" t="n">
        <v>24</v>
      </c>
      <c r="B10585" t="s">
        <v>14</v>
      </c>
      <c r="C10585" t="s">
        <v>22</v>
      </c>
      <c r="D10585" s="2" t="s">
        <f>=HYPERLINK("https://main.knesset.gov.il/APPS/legislation/main/bills/2157920", "הצעת חוק למדיניות לאומית לשמירה על שטחים פתוחים, התשפ""א-2021")</f>
        <v>18088</v>
      </c>
      <c r="E10585" t="s">
        <v>18088</v>
      </c>
      <c r="F10585" t="s">
        <v>20510</v>
      </c>
      <c r="G10585" t="s">
        <v>14</v>
      </c>
      <c r="H10585">
             </c>
      <c r="I10585" t="s">
        <v>14</v>
      </c>
      <c r="J10585" t="s">
        <v>141</v>
      </c>
      <c r="K10585" t="s">
        <v>14</v>
      </c>
      <c r="L10585" t="s">
        <v>20</v>
      </c>
      <c r="M10585" t="s">
        <v>20390</v>
      </c>
      <c r="N10585" t="s">
        <v>14</v>
      </c>
    </row>
    <row r="10586" x14ac:dyDescent="0.25">
      <c r="A10586" t="n">
        <v>24</v>
      </c>
      <c r="B10586" t="s">
        <v>14</v>
      </c>
      <c r="C10586" t="s">
        <v>22</v>
      </c>
      <c r="D10586" s="2" t="s">
        <f>=HYPERLINK("https://main.knesset.gov.il/APPS/legislation/main/bills/2157776", "הצעת חוק הגנת הצרכן (תיקון - פיצויים בלא הוכחת נזק בשל חריגה מזמני המתנה במוקד שירות טלפוני), התשפ""א-2021")</f>
        <v>19717</v>
      </c>
      <c r="E10586" t="s">
        <v>19717</v>
      </c>
      <c r="F10586" t="s">
        <v>20511</v>
      </c>
      <c r="G10586" t="s">
        <v>14</v>
      </c>
      <c r="H10586">
             </c>
      <c r="I10586" t="s">
        <v>14</v>
      </c>
      <c r="J10586" t="s">
        <v>141</v>
      </c>
      <c r="K10586" t="s">
        <v>14</v>
      </c>
      <c r="L10586" t="s">
        <v>20</v>
      </c>
      <c r="M10586" t="s">
        <v>20390</v>
      </c>
      <c r="N10586" t="s">
        <v>14</v>
      </c>
    </row>
    <row r="10587" x14ac:dyDescent="0.25">
      <c r="A10587" t="n">
        <v>24</v>
      </c>
      <c r="B10587" t="s">
        <v>14</v>
      </c>
      <c r="C10587" t="s">
        <v>22</v>
      </c>
      <c r="D10587" s="2" t="s">
        <f>=HYPERLINK("https://main.knesset.gov.il/APPS/legislation/main/bills/2157597", "הצעת חוק העונשין (תיקון - ביטול עבירת השוטטות), התשפ""א-2021")</f>
        <v>20512</v>
      </c>
      <c r="E10587" t="s">
        <v>20512</v>
      </c>
      <c r="F10587" t="s">
        <v>20513</v>
      </c>
      <c r="G10587" t="s">
        <v>14</v>
      </c>
      <c r="H10587">
             </c>
      <c r="I10587" t="s">
        <v>14</v>
      </c>
      <c r="J10587" t="s">
        <v>141</v>
      </c>
      <c r="K10587" t="s">
        <v>14</v>
      </c>
      <c r="L10587" t="s">
        <v>20</v>
      </c>
      <c r="M10587" t="s">
        <v>20390</v>
      </c>
      <c r="N10587" t="s">
        <v>14</v>
      </c>
    </row>
    <row r="10588" x14ac:dyDescent="0.25">
      <c r="A10588" t="n">
        <v>24</v>
      </c>
      <c r="B10588" t="s">
        <v>14</v>
      </c>
      <c r="C10588" t="s">
        <v>22</v>
      </c>
      <c r="D10588" s="2" t="s">
        <f>=HYPERLINK("https://main.knesset.gov.il/APPS/legislation/main/bills/2157775", "הצעת חוק הסדרת מעמדם של פליטים ומבקשי מקלט, התשפ""א-2021")</f>
        <v>20514</v>
      </c>
      <c r="E10588" t="s">
        <v>20514</v>
      </c>
      <c r="F10588" t="s">
        <v>20515</v>
      </c>
      <c r="G10588" t="s">
        <v>14</v>
      </c>
      <c r="H10588">
             </c>
      <c r="I10588" t="s">
        <v>14</v>
      </c>
      <c r="J10588" t="s">
        <v>141</v>
      </c>
      <c r="K10588" t="s">
        <v>14</v>
      </c>
      <c r="L10588" t="s">
        <v>20</v>
      </c>
      <c r="M10588" t="s">
        <v>20390</v>
      </c>
      <c r="N10588" t="s">
        <v>14</v>
      </c>
    </row>
    <row r="10589" x14ac:dyDescent="0.25">
      <c r="A10589" t="n">
        <v>24</v>
      </c>
      <c r="B10589" t="s">
        <v>14</v>
      </c>
      <c r="C10589" t="s">
        <v>22</v>
      </c>
      <c r="D10589" s="2" t="s">
        <f>=HYPERLINK("https://main.knesset.gov.il/APPS/legislation/main/bills/2157916", "הצעת חוק הרשויות המקומיות (דירות מקלט), התשפ""א-2021")</f>
        <v>20516</v>
      </c>
      <c r="E10589" t="s">
        <v>20516</v>
      </c>
      <c r="F10589" t="s">
        <v>20517</v>
      </c>
      <c r="G10589" t="s">
        <v>14</v>
      </c>
      <c r="H10589">
             </c>
      <c r="I10589" t="s">
        <v>14</v>
      </c>
      <c r="J10589" t="s">
        <v>141</v>
      </c>
      <c r="K10589" t="s">
        <v>14</v>
      </c>
      <c r="L10589" t="s">
        <v>20</v>
      </c>
      <c r="M10589" t="s">
        <v>20390</v>
      </c>
      <c r="N10589" t="s">
        <v>14</v>
      </c>
    </row>
    <row r="10590" x14ac:dyDescent="0.25">
      <c r="A10590" t="n">
        <v>24</v>
      </c>
      <c r="B10590" t="s">
        <v>14</v>
      </c>
      <c r="C10590" t="s">
        <v>22</v>
      </c>
      <c r="D10590" s="2" t="s">
        <f>=HYPERLINK("https://main.knesset.gov.il/APPS/legislation/main/bills/2157774", "הצעת חוק שכר מינימום (תיקון - תוספת שלא תובא בחשבון בשכר המינימום), התשפ""א-2021")</f>
        <v>20518</v>
      </c>
      <c r="E10590" t="s">
        <v>20518</v>
      </c>
      <c r="F10590" t="s">
        <v>20519</v>
      </c>
      <c r="G10590" t="s">
        <v>14</v>
      </c>
      <c r="H10590">
             </c>
      <c r="I10590" t="s">
        <v>14</v>
      </c>
      <c r="J10590" t="s">
        <v>141</v>
      </c>
      <c r="K10590" t="s">
        <v>14</v>
      </c>
      <c r="L10590" t="s">
        <v>20</v>
      </c>
      <c r="M10590" t="s">
        <v>20390</v>
      </c>
      <c r="N10590" t="s">
        <v>14</v>
      </c>
    </row>
    <row r="10591" x14ac:dyDescent="0.25">
      <c r="A10591" t="n">
        <v>24</v>
      </c>
      <c r="B10591" t="s">
        <v>14</v>
      </c>
      <c r="C10591" t="s">
        <v>22</v>
      </c>
      <c r="D10591" s="2" t="s">
        <f>=HYPERLINK("https://main.knesset.gov.il/APPS/legislation/main/bills/2157926", "הצעת חוק לתיקון פקודת בריאות העם (טיפול בפסולת רפואית), התשפ""א-2021")</f>
        <v>20520</v>
      </c>
      <c r="E10591" t="s">
        <v>20520</v>
      </c>
      <c r="F10591" t="s">
        <v>20521</v>
      </c>
      <c r="G10591" t="s">
        <v>14</v>
      </c>
      <c r="H10591">
             </c>
      <c r="I10591" t="s">
        <v>14</v>
      </c>
      <c r="J10591" t="s">
        <v>141</v>
      </c>
      <c r="K10591" t="s">
        <v>14</v>
      </c>
      <c r="L10591" t="s">
        <v>20</v>
      </c>
      <c r="M10591" t="s">
        <v>20390</v>
      </c>
      <c r="N10591" t="s">
        <v>14</v>
      </c>
    </row>
    <row r="10592" x14ac:dyDescent="0.25">
      <c r="A10592" t="n">
        <v>24</v>
      </c>
      <c r="B10592" t="s">
        <v>14</v>
      </c>
      <c r="C10592" t="s">
        <v>22</v>
      </c>
      <c r="D10592" s="2" t="s">
        <f>=HYPERLINK("https://main.knesset.gov.il/APPS/legislation/main/bills/2157770", "הצעת חוק הבטחת הכנסה (תיקון - מסגרת שיקומית מזנות), התשפ""א-2021")</f>
        <v>20522</v>
      </c>
      <c r="E10592" t="s">
        <v>20522</v>
      </c>
      <c r="F10592" t="s">
        <v>20523</v>
      </c>
      <c r="G10592" t="s">
        <v>14</v>
      </c>
      <c r="H10592">
             </c>
      <c r="I10592" t="s">
        <v>14</v>
      </c>
      <c r="J10592" t="s">
        <v>141</v>
      </c>
      <c r="K10592" t="s">
        <v>14</v>
      </c>
      <c r="L10592" t="s">
        <v>20</v>
      </c>
      <c r="M10592" t="s">
        <v>20390</v>
      </c>
      <c r="N10592" t="s">
        <v>14</v>
      </c>
    </row>
    <row r="10593" x14ac:dyDescent="0.25">
      <c r="A10593" t="n">
        <v>24</v>
      </c>
      <c r="B10593" t="s">
        <v>14</v>
      </c>
      <c r="C10593" t="s">
        <v>22</v>
      </c>
      <c r="D10593" s="2" t="s">
        <f>=HYPERLINK("https://main.knesset.gov.il/APPS/legislation/main/bills/2157397", "הצעת חוק לידה בבית (תיקוני חקיקה), התשפ""א-2021")</f>
        <v>20524</v>
      </c>
      <c r="E10593" t="s">
        <v>20524</v>
      </c>
      <c r="F10593" t="s">
        <v>20525</v>
      </c>
      <c r="G10593" t="s">
        <v>14</v>
      </c>
      <c r="H10593">
             </c>
      <c r="I10593" t="s">
        <v>14</v>
      </c>
      <c r="J10593" t="s">
        <v>141</v>
      </c>
      <c r="K10593" t="s">
        <v>14</v>
      </c>
      <c r="L10593" t="s">
        <v>20</v>
      </c>
      <c r="M10593" t="s">
        <v>20390</v>
      </c>
      <c r="N10593" t="s">
        <v>14</v>
      </c>
    </row>
    <row r="10594" x14ac:dyDescent="0.25">
      <c r="A10594" t="n">
        <v>24</v>
      </c>
      <c r="B10594" t="s">
        <v>14</v>
      </c>
      <c r="C10594" t="s">
        <v>22</v>
      </c>
      <c r="D10594" s="2" t="s">
        <f>=HYPERLINK("https://main.knesset.gov.il/APPS/legislation/main/bills/2157769", "הצעת חוק הגבלת פעולות אנשי דת בלתי מורשים בצבא הגנה לישראל ובמשטרת ישראל, התשפ""א-2021")</f>
        <v>20526</v>
      </c>
      <c r="E10594" t="s">
        <v>20526</v>
      </c>
      <c r="F10594" t="s">
        <v>20527</v>
      </c>
      <c r="G10594" t="s">
        <v>14</v>
      </c>
      <c r="H10594">
             </c>
      <c r="I10594" t="s">
        <v>14</v>
      </c>
      <c r="J10594" t="s">
        <v>141</v>
      </c>
      <c r="K10594" t="s">
        <v>14</v>
      </c>
      <c r="L10594" t="s">
        <v>20</v>
      </c>
      <c r="M10594" t="s">
        <v>20390</v>
      </c>
      <c r="N10594" t="s">
        <v>14</v>
      </c>
    </row>
    <row r="10595" x14ac:dyDescent="0.25">
      <c r="A10595" t="n">
        <v>24</v>
      </c>
      <c r="B10595" t="s">
        <v>14</v>
      </c>
      <c r="C10595" t="s">
        <v>22</v>
      </c>
      <c r="D10595" s="2" t="s">
        <f>=HYPERLINK("https://main.knesset.gov.il/APPS/legislation/main/bills/2157768", "הצעת חוק שירות המילואים, התשפ""א-2021")</f>
        <v>20528</v>
      </c>
      <c r="E10595" t="s">
        <v>20528</v>
      </c>
      <c r="F10595" t="s">
        <v>20529</v>
      </c>
      <c r="G10595" t="s">
        <v>14</v>
      </c>
      <c r="H10595">
             </c>
      <c r="I10595" t="s">
        <v>14</v>
      </c>
      <c r="J10595" t="s">
        <v>141</v>
      </c>
      <c r="K10595" t="s">
        <v>14</v>
      </c>
      <c r="L10595" t="s">
        <v>20</v>
      </c>
      <c r="M10595" t="s">
        <v>20390</v>
      </c>
      <c r="N10595" t="s">
        <v>14</v>
      </c>
    </row>
    <row r="10596" x14ac:dyDescent="0.25">
      <c r="A10596" t="n">
        <v>24</v>
      </c>
      <c r="B10596" t="s">
        <v>14</v>
      </c>
      <c r="C10596" t="s">
        <v>22</v>
      </c>
      <c r="D10596" s="2" t="s">
        <f>=HYPERLINK("https://main.knesset.gov.il/APPS/legislation/main/bills/2157469", "הצעת חוק פדיון הטבת חניה לעובד לשם צמצום שימוש ברכב פרטי, התשפ""א-2021")</f>
        <v>20530</v>
      </c>
      <c r="E10596" t="s">
        <v>20530</v>
      </c>
      <c r="F10596" t="s">
        <v>20531</v>
      </c>
      <c r="G10596" t="s">
        <v>14</v>
      </c>
      <c r="H10596">
             </c>
      <c r="I10596" t="s">
        <v>14</v>
      </c>
      <c r="J10596" t="s">
        <v>141</v>
      </c>
      <c r="K10596" t="s">
        <v>14</v>
      </c>
      <c r="L10596" t="s">
        <v>20</v>
      </c>
      <c r="M10596" t="s">
        <v>20390</v>
      </c>
      <c r="N10596" t="s">
        <v>14</v>
      </c>
    </row>
    <row r="10597" x14ac:dyDescent="0.25">
      <c r="A10597" t="n">
        <v>24</v>
      </c>
      <c r="B10597" t="s">
        <v>14</v>
      </c>
      <c r="C10597" t="s">
        <v>22</v>
      </c>
      <c r="D10597" s="2" t="s">
        <f>=HYPERLINK("https://main.knesset.gov.il/APPS/legislation/main/bills/2157767", "הצעת חוק היערכות אזרחית למצבי חירום, התשפ""א-2021")</f>
        <v>20532</v>
      </c>
      <c r="E10597" t="s">
        <v>20532</v>
      </c>
      <c r="F10597" t="s">
        <v>20533</v>
      </c>
      <c r="G10597" t="s">
        <v>14</v>
      </c>
      <c r="H10597">
             </c>
      <c r="I10597" t="s">
        <v>14</v>
      </c>
      <c r="J10597" t="s">
        <v>141</v>
      </c>
      <c r="K10597" t="s">
        <v>14</v>
      </c>
      <c r="L10597" t="s">
        <v>20</v>
      </c>
      <c r="M10597" t="s">
        <v>20390</v>
      </c>
      <c r="N10597" t="s">
        <v>14</v>
      </c>
    </row>
    <row r="10598" x14ac:dyDescent="0.25">
      <c r="A10598" t="n">
        <v>24</v>
      </c>
      <c r="B10598" t="s">
        <v>14</v>
      </c>
      <c r="C10598" t="s">
        <v>22</v>
      </c>
      <c r="D10598" s="2" t="s">
        <f>=HYPERLINK("https://main.knesset.gov.il/APPS/legislation/main/bills/2157766", "הצעת חוק שירות ביטחון (תיקון - פטור מטעמי הכרה דתית), התשפ""א-2021")</f>
        <v>20534</v>
      </c>
      <c r="E10598" t="s">
        <v>20534</v>
      </c>
      <c r="F10598" t="s">
        <v>20535</v>
      </c>
      <c r="G10598" t="s">
        <v>14</v>
      </c>
      <c r="H10598">
             </c>
      <c r="I10598" t="s">
        <v>14</v>
      </c>
      <c r="J10598" t="s">
        <v>141</v>
      </c>
      <c r="K10598" t="s">
        <v>14</v>
      </c>
      <c r="L10598" t="s">
        <v>20</v>
      </c>
      <c r="M10598" t="s">
        <v>20390</v>
      </c>
      <c r="N10598" t="s">
        <v>14</v>
      </c>
    </row>
    <row r="10599" x14ac:dyDescent="0.25">
      <c r="A10599" t="n">
        <v>24</v>
      </c>
      <c r="B10599" t="s">
        <v>14</v>
      </c>
      <c r="C10599" t="s">
        <v>22</v>
      </c>
      <c r="D10599" s="2" t="s">
        <f>=HYPERLINK("https://main.knesset.gov.il/APPS/legislation/main/bills/2157765", "הצעת חוק נסיעות חיילים ברכבת ישראל, הרכבת הקלה ובאוטובוסים ציבוריים, התשפ""א-2021")</f>
        <v>20536</v>
      </c>
      <c r="E10599" t="s">
        <v>20536</v>
      </c>
      <c r="F10599" t="s">
        <v>20537</v>
      </c>
      <c r="G10599" t="s">
        <v>14</v>
      </c>
      <c r="H10599">
             </c>
      <c r="I10599" t="s">
        <v>14</v>
      </c>
      <c r="J10599" t="s">
        <v>141</v>
      </c>
      <c r="K10599" t="s">
        <v>14</v>
      </c>
      <c r="L10599" t="s">
        <v>20</v>
      </c>
      <c r="M10599" t="s">
        <v>20390</v>
      </c>
      <c r="N10599" t="s">
        <v>14</v>
      </c>
    </row>
    <row r="10600" x14ac:dyDescent="0.25">
      <c r="A10600" t="n">
        <v>24</v>
      </c>
      <c r="B10600" t="s">
        <v>14</v>
      </c>
      <c r="C10600" t="s">
        <v>22</v>
      </c>
      <c r="D10600" s="2" t="s">
        <f>=HYPERLINK("https://main.knesset.gov.il/APPS/legislation/main/bills/2157470", "הצעת חוק פיצויי פיטורים (תיקון - מתן פיצויי פיטורים עקב העתקת מקום מגורים לבני זוג ידועים בציבור), התשפ""א-2021")</f>
        <v>20538</v>
      </c>
      <c r="E10600" t="s">
        <v>20538</v>
      </c>
      <c r="F10600" t="s">
        <v>20539</v>
      </c>
      <c r="G10600" t="s">
        <v>14</v>
      </c>
      <c r="H10600">
             </c>
      <c r="I10600" t="s">
        <v>14</v>
      </c>
      <c r="J10600" t="s">
        <v>141</v>
      </c>
      <c r="K10600" t="s">
        <v>14</v>
      </c>
      <c r="L10600" t="s">
        <v>20</v>
      </c>
      <c r="M10600" t="s">
        <v>20390</v>
      </c>
      <c r="N10600" t="s">
        <v>14</v>
      </c>
    </row>
    <row r="10601" x14ac:dyDescent="0.25">
      <c r="A10601" t="n">
        <v>24</v>
      </c>
      <c r="B10601" t="s">
        <v>14</v>
      </c>
      <c r="C10601" t="s">
        <v>22</v>
      </c>
      <c r="D10601" s="2" t="s">
        <f>=HYPERLINK("https://main.knesset.gov.il/APPS/legislation/main/bills/2157671", "הצעת חוק החברות (תיקון - איסור חברות בדירקטוריון של בנק ושל חברה ציבורית נוספת), התשפ""א-2021")</f>
        <v>20540</v>
      </c>
      <c r="E10601" t="s">
        <v>20540</v>
      </c>
      <c r="F10601" t="s">
        <v>20541</v>
      </c>
      <c r="G10601" t="s">
        <v>14</v>
      </c>
      <c r="H10601">
             </c>
      <c r="I10601" t="s">
        <v>14</v>
      </c>
      <c r="J10601" t="s">
        <v>141</v>
      </c>
      <c r="K10601" t="s">
        <v>14</v>
      </c>
      <c r="L10601" t="s">
        <v>20</v>
      </c>
      <c r="M10601" t="s">
        <v>20390</v>
      </c>
      <c r="N10601" t="s">
        <v>14</v>
      </c>
    </row>
    <row r="10602" x14ac:dyDescent="0.25">
      <c r="A10602" t="n">
        <v>24</v>
      </c>
      <c r="B10602" t="s">
        <v>14</v>
      </c>
      <c r="C10602" t="s">
        <v>22</v>
      </c>
      <c r="D10602" s="2" t="s">
        <f>=HYPERLINK("https://main.knesset.gov.il/APPS/legislation/main/bills/2157535", "הצעת חוק לתיקון פקודת מס הכנסה (משיכה מקרן השתלמות לרכישת דירה ראשונה), התשפ""א-2021")</f>
        <v>20542</v>
      </c>
      <c r="E10602" t="s">
        <v>20542</v>
      </c>
      <c r="F10602" t="s">
        <v>20543</v>
      </c>
      <c r="G10602" t="s">
        <v>14</v>
      </c>
      <c r="H10602">
             </c>
      <c r="I10602" t="s">
        <v>14</v>
      </c>
      <c r="J10602" t="s">
        <v>141</v>
      </c>
      <c r="K10602" t="s">
        <v>14</v>
      </c>
      <c r="L10602" t="s">
        <v>20</v>
      </c>
      <c r="M10602" t="s">
        <v>20390</v>
      </c>
      <c r="N10602" t="s">
        <v>14</v>
      </c>
    </row>
    <row r="10603" x14ac:dyDescent="0.25">
      <c r="A10603" t="n">
        <v>24</v>
      </c>
      <c r="B10603" t="s">
        <v>14</v>
      </c>
      <c r="C10603" t="s">
        <v>22</v>
      </c>
      <c r="D10603" s="2" t="s">
        <f>=HYPERLINK("https://main.knesset.gov.il/APPS/legislation/main/bills/2157467", "הצעת חוק עבודת נשים (תיקון - איסור פגיעה בתנאי עבודה של עובד שחלה הגבלה על פיטוריו), התשפ""א-2021")</f>
        <v>20544</v>
      </c>
      <c r="E10603" t="s">
        <v>20544</v>
      </c>
      <c r="F10603" t="s">
        <v>20545</v>
      </c>
      <c r="G10603" t="s">
        <v>14</v>
      </c>
      <c r="H10603">
             </c>
      <c r="I10603" t="s">
        <v>14</v>
      </c>
      <c r="J10603" t="s">
        <v>141</v>
      </c>
      <c r="K10603" t="s">
        <v>14</v>
      </c>
      <c r="L10603" t="s">
        <v>20</v>
      </c>
      <c r="M10603" t="s">
        <v>20390</v>
      </c>
      <c r="N10603" t="s">
        <v>14</v>
      </c>
    </row>
    <row r="10604" x14ac:dyDescent="0.25">
      <c r="A10604" t="n">
        <v>24</v>
      </c>
      <c r="B10604" t="s">
        <v>14</v>
      </c>
      <c r="C10604" t="s">
        <v>22</v>
      </c>
      <c r="D10604" s="2" t="s">
        <f>=HYPERLINK("https://main.knesset.gov.il/APPS/legislation/main/bills/2157533", "הצעת חוק הבחירות לכנסת (תיקון - הצבעה בקלפיות של בעלי מוגבלויות), התשפ""א-2021")</f>
        <v>20546</v>
      </c>
      <c r="E10604" t="s">
        <v>20546</v>
      </c>
      <c r="F10604" t="s">
        <v>20547</v>
      </c>
      <c r="G10604" t="s">
        <v>14</v>
      </c>
      <c r="H10604">
             </c>
      <c r="I10604" t="s">
        <v>14</v>
      </c>
      <c r="J10604" t="s">
        <v>141</v>
      </c>
      <c r="K10604" t="s">
        <v>14</v>
      </c>
      <c r="L10604" t="s">
        <v>20</v>
      </c>
      <c r="M10604" t="s">
        <v>20390</v>
      </c>
      <c r="N10604" t="s">
        <v>14</v>
      </c>
    </row>
    <row r="10605" x14ac:dyDescent="0.25">
      <c r="A10605" t="n">
        <v>24</v>
      </c>
      <c r="B10605" t="s">
        <v>14</v>
      </c>
      <c r="C10605" t="s">
        <v>22</v>
      </c>
      <c r="D10605" s="2" t="s">
        <f>=HYPERLINK("https://main.knesset.gov.il/APPS/legislation/main/bills/2156249", "הצעת חוק מיסוי מקרקעין (שבח ורכישה) (תיקון - רכישת דירה על ידי ילד יתום), התשפ""א-2021")</f>
        <v>20548</v>
      </c>
      <c r="E10605" t="s">
        <v>20548</v>
      </c>
      <c r="F10605" t="s">
        <v>20549</v>
      </c>
      <c r="G10605" t="s">
        <v>14</v>
      </c>
      <c r="H10605">
             </c>
      <c r="I10605" t="s">
        <v>14</v>
      </c>
      <c r="J10605" t="s">
        <v>141</v>
      </c>
      <c r="K10605" t="s">
        <v>14</v>
      </c>
      <c r="L10605" t="s">
        <v>20</v>
      </c>
      <c r="M10605" t="s">
        <v>20390</v>
      </c>
      <c r="N10605" t="s">
        <v>14</v>
      </c>
    </row>
    <row r="10606" x14ac:dyDescent="0.25">
      <c r="A10606" t="n">
        <v>24</v>
      </c>
      <c r="B10606" t="s">
        <v>14</v>
      </c>
      <c r="C10606" t="s">
        <v>22</v>
      </c>
      <c r="D10606" s="2" t="s">
        <f>=HYPERLINK("https://main.knesset.gov.il/APPS/legislation/main/bills/2157531", "הצעת חוק שירותי הדת היהודיים (מועצות דתיות - בחירות), התשפ""א-2021")</f>
        <v>20550</v>
      </c>
      <c r="E10606" t="s">
        <v>20550</v>
      </c>
      <c r="F10606" t="s">
        <v>20551</v>
      </c>
      <c r="G10606" t="s">
        <v>14</v>
      </c>
      <c r="H10606">
             </c>
      <c r="I10606" t="s">
        <v>14</v>
      </c>
      <c r="J10606" t="s">
        <v>141</v>
      </c>
      <c r="K10606" t="s">
        <v>14</v>
      </c>
      <c r="L10606" t="s">
        <v>20</v>
      </c>
      <c r="M10606" t="s">
        <v>20390</v>
      </c>
      <c r="N10606" t="s">
        <v>14</v>
      </c>
    </row>
    <row r="10607" x14ac:dyDescent="0.25">
      <c r="A10607" t="n">
        <v>24</v>
      </c>
      <c r="B10607" t="s">
        <v>14</v>
      </c>
      <c r="C10607" t="s">
        <v>22</v>
      </c>
      <c r="D10607" s="2" t="s">
        <f>=HYPERLINK("https://main.knesset.gov.il/APPS/legislation/main/bills/2157479", "הצעת חוק שירות הציבור (הגבלות לאחר פרישה) (תיקון - איסור על מתן היתרים או פטורים למשרתים בכוחות הביטחון ובמשרד הביטחון), התשפ""א-2021")</f>
        <v>20552</v>
      </c>
      <c r="E10607" t="s">
        <v>20552</v>
      </c>
      <c r="F10607" t="s">
        <v>20553</v>
      </c>
      <c r="G10607" t="s">
        <v>14</v>
      </c>
      <c r="H10607">
             </c>
      <c r="I10607" t="s">
        <v>14</v>
      </c>
      <c r="J10607" t="s">
        <v>141</v>
      </c>
      <c r="K10607" t="s">
        <v>14</v>
      </c>
      <c r="L10607" t="s">
        <v>20</v>
      </c>
      <c r="M10607" t="s">
        <v>20390</v>
      </c>
      <c r="N10607" t="s">
        <v>14</v>
      </c>
    </row>
    <row r="10608" x14ac:dyDescent="0.25">
      <c r="A10608" t="n">
        <v>24</v>
      </c>
      <c r="B10608" t="s">
        <v>14</v>
      </c>
      <c r="C10608" t="s">
        <v>22</v>
      </c>
      <c r="D10608" s="2" t="s">
        <f>=HYPERLINK("https://main.knesset.gov.il/APPS/legislation/main/bills/2157071", "הצעת חוק הביטוח הלאומי (תיקון - קצבת אזרח ותיק), התשפ""א-2021")</f>
        <v>20554</v>
      </c>
      <c r="E10608" t="s">
        <v>20554</v>
      </c>
      <c r="F10608" t="s">
        <v>20555</v>
      </c>
      <c r="G10608" t="s">
        <v>14</v>
      </c>
      <c r="H10608">
             </c>
      <c r="I10608" t="s">
        <v>14</v>
      </c>
      <c r="J10608" t="s">
        <v>141</v>
      </c>
      <c r="K10608" t="s">
        <v>14</v>
      </c>
      <c r="L10608" t="s">
        <v>20</v>
      </c>
      <c r="M10608" t="s">
        <v>20390</v>
      </c>
      <c r="N10608" t="s">
        <v>14</v>
      </c>
    </row>
    <row r="10609" x14ac:dyDescent="0.25">
      <c r="A10609" t="n">
        <v>24</v>
      </c>
      <c r="B10609" t="s">
        <v>14</v>
      </c>
      <c r="C10609" t="s">
        <v>22</v>
      </c>
      <c r="D10609" s="2" t="s">
        <f>=HYPERLINK("https://main.knesset.gov.il/APPS/legislation/main/bills/2157474", "הצעת חוק שוויון ההזדמנויות בעבודה (תיקון - איסור דרישת מידע ביומטרי מעובד או מדורש עבודה), התשפ""א-2021")</f>
        <v>20556</v>
      </c>
      <c r="E10609" t="s">
        <v>20556</v>
      </c>
      <c r="F10609" t="s">
        <v>20557</v>
      </c>
      <c r="G10609" t="s">
        <v>14</v>
      </c>
      <c r="H10609">
             </c>
      <c r="I10609" t="s">
        <v>14</v>
      </c>
      <c r="J10609" t="s">
        <v>141</v>
      </c>
      <c r="K10609" t="s">
        <v>14</v>
      </c>
      <c r="L10609" t="s">
        <v>20</v>
      </c>
      <c r="M10609" t="s">
        <v>20390</v>
      </c>
      <c r="N10609" t="s">
        <v>14</v>
      </c>
    </row>
    <row r="10610" x14ac:dyDescent="0.25">
      <c r="A10610" t="n">
        <v>24</v>
      </c>
      <c r="B10610" t="s">
        <v>14</v>
      </c>
      <c r="C10610" t="s">
        <v>22</v>
      </c>
      <c r="D10610" s="2" t="s">
        <f>=HYPERLINK("https://main.knesset.gov.il/APPS/legislation/main/bills/2157348", "הצעת חוק הביטוח הלאומי (תיקון - הארכת מועד הזכות למענק בשל עבודה מועדפת) (הוראת שעה), התשפ""א-2021")</f>
        <v>20558</v>
      </c>
      <c r="E10610" t="s">
        <v>20558</v>
      </c>
      <c r="F10610" t="s">
        <v>20559</v>
      </c>
      <c r="G10610" t="s">
        <v>14</v>
      </c>
      <c r="H10610">
             </c>
      <c r="I10610" t="s">
        <v>14</v>
      </c>
      <c r="J10610" t="s">
        <v>141</v>
      </c>
      <c r="K10610" t="s">
        <v>14</v>
      </c>
      <c r="L10610" t="s">
        <v>20</v>
      </c>
      <c r="M10610" t="s">
        <v>20390</v>
      </c>
      <c r="N10610" t="s">
        <v>14</v>
      </c>
    </row>
    <row r="10611" x14ac:dyDescent="0.25">
      <c r="A10611" t="n">
        <v>24</v>
      </c>
      <c r="B10611" t="s">
        <v>14</v>
      </c>
      <c r="C10611" t="s">
        <v>22</v>
      </c>
      <c r="D10611" s="2" t="s">
        <f>=HYPERLINK("https://main.knesset.gov.il/APPS/legislation/main/bills/2157529", "הצעת חוק לתיקון פקודת העיריות (שינוי מועד תשלום הארנונה), התשפ""א-2021")</f>
        <v>20560</v>
      </c>
      <c r="E10611" t="s">
        <v>20560</v>
      </c>
      <c r="F10611" t="s">
        <v>20561</v>
      </c>
      <c r="G10611" t="s">
        <v>14</v>
      </c>
      <c r="H10611">
             </c>
      <c r="I10611" t="s">
        <v>14</v>
      </c>
      <c r="J10611" t="s">
        <v>141</v>
      </c>
      <c r="K10611" t="s">
        <v>14</v>
      </c>
      <c r="L10611" t="s">
        <v>20</v>
      </c>
      <c r="M10611" t="s">
        <v>20390</v>
      </c>
      <c r="N10611" t="s">
        <v>14</v>
      </c>
    </row>
    <row r="10612" x14ac:dyDescent="0.25">
      <c r="A10612" t="n">
        <v>24</v>
      </c>
      <c r="B10612" t="s">
        <v>14</v>
      </c>
      <c r="C10612" t="s">
        <v>22</v>
      </c>
      <c r="D10612" s="2" t="s">
        <f>=HYPERLINK("https://main.knesset.gov.il/APPS/legislation/main/bills/2157237", "הצעת חוק איסור פרסום הפליה (תיקוני חקיקה), התשפ""א-2021")</f>
        <v>20562</v>
      </c>
      <c r="E10612" t="s">
        <v>20562</v>
      </c>
      <c r="F10612" t="s">
        <v>20563</v>
      </c>
      <c r="G10612" t="s">
        <v>14</v>
      </c>
      <c r="H10612">
             </c>
      <c r="I10612" t="s">
        <v>14</v>
      </c>
      <c r="J10612" t="s">
        <v>141</v>
      </c>
      <c r="K10612" t="s">
        <v>14</v>
      </c>
      <c r="L10612" t="s">
        <v>20</v>
      </c>
      <c r="M10612" t="s">
        <v>20390</v>
      </c>
      <c r="N10612" t="s">
        <v>14</v>
      </c>
    </row>
    <row r="10613" x14ac:dyDescent="0.25">
      <c r="A10613" t="n">
        <v>24</v>
      </c>
      <c r="B10613" t="s">
        <v>14</v>
      </c>
      <c r="C10613" t="s">
        <v>22</v>
      </c>
      <c r="D10613" s="2" t="s">
        <f>=HYPERLINK("https://main.knesset.gov.il/APPS/legislation/main/bills/2156140", "הצעת חוק הביטוח הלאומי (תיקון- ביטוח זכויות בהליכי חדלות פירעון לעובד עצמאי שעיקר הכנסתו ממקור אחד), התשפ""א-2021")</f>
        <v>20564</v>
      </c>
      <c r="E10613" t="s">
        <v>20564</v>
      </c>
      <c r="F10613" t="s">
        <v>20565</v>
      </c>
      <c r="G10613" t="s">
        <v>14</v>
      </c>
      <c r="H10613">
             </c>
      <c r="I10613" t="s">
        <v>14</v>
      </c>
      <c r="J10613" t="s">
        <v>141</v>
      </c>
      <c r="K10613" t="s">
        <v>14</v>
      </c>
      <c r="L10613" t="s">
        <v>20</v>
      </c>
      <c r="M10613" t="s">
        <v>20390</v>
      </c>
      <c r="N10613" t="s">
        <v>14</v>
      </c>
    </row>
    <row r="10614" x14ac:dyDescent="0.25">
      <c r="A10614" t="n">
        <v>24</v>
      </c>
      <c r="B10614" t="s">
        <v>14</v>
      </c>
      <c r="C10614" t="s">
        <v>22</v>
      </c>
      <c r="D10614" s="2" t="s">
        <f>=HYPERLINK("https://main.knesset.gov.il/APPS/legislation/main/bills/2157934", "הצעת חוק העמותות (תיקון - חובת גילוי תרומה אנונימית), התשפ""א-2021")</f>
        <v>19034</v>
      </c>
      <c r="E10614" t="s">
        <v>19034</v>
      </c>
      <c r="F10614" t="s">
        <v>20566</v>
      </c>
      <c r="G10614" t="s">
        <v>14</v>
      </c>
      <c r="H10614">
             </c>
      <c r="I10614" t="s">
        <v>14</v>
      </c>
      <c r="J10614" t="s">
        <v>141</v>
      </c>
      <c r="K10614" t="s">
        <v>14</v>
      </c>
      <c r="L10614" t="s">
        <v>20</v>
      </c>
      <c r="M10614" t="s">
        <v>20390</v>
      </c>
      <c r="N10614" t="s">
        <v>14</v>
      </c>
    </row>
    <row r="10615" x14ac:dyDescent="0.25">
      <c r="A10615" t="n">
        <v>24</v>
      </c>
      <c r="B10615" t="s">
        <v>14</v>
      </c>
      <c r="C10615" t="s">
        <v>22</v>
      </c>
      <c r="D10615" s="2" t="s">
        <f>=HYPERLINK("https://main.knesset.gov.il/APPS/legislation/main/bills/2157234", "הצעת חוק הביטוח הלאומי (תיקון - קצבת שאירים למי שמנהל משק בית משותף), התשפ""א-2021")</f>
        <v>20567</v>
      </c>
      <c r="E10615" t="s">
        <v>20567</v>
      </c>
      <c r="F10615" t="s">
        <v>20568</v>
      </c>
      <c r="G10615" t="s">
        <v>14</v>
      </c>
      <c r="H10615">
             </c>
      <c r="I10615" t="s">
        <v>14</v>
      </c>
      <c r="J10615" t="s">
        <v>141</v>
      </c>
      <c r="K10615" t="s">
        <v>14</v>
      </c>
      <c r="L10615" t="s">
        <v>20</v>
      </c>
      <c r="M10615" t="s">
        <v>20390</v>
      </c>
      <c r="N10615" t="s">
        <v>14</v>
      </c>
    </row>
    <row r="10616" x14ac:dyDescent="0.25">
      <c r="A10616" t="n">
        <v>24</v>
      </c>
      <c r="B10616" t="s">
        <v>14</v>
      </c>
      <c r="C10616" t="s">
        <v>22</v>
      </c>
      <c r="D10616" s="2" t="s">
        <f>=HYPERLINK("https://main.knesset.gov.il/APPS/legislation/main/bills/2157248", "הצעת חוק הסכמים לנשיאת עוברים (אישור הסכם ומעמד היילוד) (תיקון - ביצוע הסכם מחוץ לישראל), התשפ""א-2021")</f>
        <v>20569</v>
      </c>
      <c r="E10616" t="s">
        <v>20569</v>
      </c>
      <c r="F10616" t="s">
        <v>20570</v>
      </c>
      <c r="G10616" t="s">
        <v>14</v>
      </c>
      <c r="H10616">
             </c>
      <c r="I10616" t="s">
        <v>14</v>
      </c>
      <c r="J10616" t="s">
        <v>141</v>
      </c>
      <c r="K10616" t="s">
        <v>14</v>
      </c>
      <c r="L10616" t="s">
        <v>20</v>
      </c>
      <c r="M10616" t="s">
        <v>20390</v>
      </c>
      <c r="N10616" t="s">
        <v>14</v>
      </c>
    </row>
    <row r="10617" x14ac:dyDescent="0.25">
      <c r="A10617" t="n">
        <v>24</v>
      </c>
      <c r="B10617" t="s">
        <v>14</v>
      </c>
      <c r="C10617" t="s">
        <v>22</v>
      </c>
      <c r="D10617" s="2" t="s">
        <f>=HYPERLINK("https://main.knesset.gov.il/APPS/legislation/main/bills/2157935", "הצעת חוק העמותות (תיקון - שקיפות במימון ממשלתי או עירוני), התשפ""א-2021")</f>
        <v>20571</v>
      </c>
      <c r="E10617" t="s">
        <v>20571</v>
      </c>
      <c r="F10617" t="s">
        <v>20572</v>
      </c>
      <c r="G10617" t="s">
        <v>14</v>
      </c>
      <c r="H10617">
             </c>
      <c r="I10617" t="s">
        <v>14</v>
      </c>
      <c r="J10617" t="s">
        <v>141</v>
      </c>
      <c r="K10617" t="s">
        <v>14</v>
      </c>
      <c r="L10617" t="s">
        <v>20</v>
      </c>
      <c r="M10617" t="s">
        <v>20390</v>
      </c>
      <c r="N10617" t="s">
        <v>14</v>
      </c>
    </row>
    <row r="10618" x14ac:dyDescent="0.25">
      <c r="A10618" t="n">
        <v>24</v>
      </c>
      <c r="B10618" t="s">
        <v>14</v>
      </c>
      <c r="C10618" t="s">
        <v>22</v>
      </c>
      <c r="D10618" s="2" t="s">
        <f>=HYPERLINK("https://main.knesset.gov.il/APPS/legislation/main/bills/2157233", "הצעת חוק בנק הזרע (הזרעות והפריות חוץ בבני זוג פרודים), התשפ""א-2021")</f>
        <v>20573</v>
      </c>
      <c r="E10618" t="s">
        <v>20573</v>
      </c>
      <c r="F10618" t="s">
        <v>20574</v>
      </c>
      <c r="G10618" t="s">
        <v>14</v>
      </c>
      <c r="H10618">
             </c>
      <c r="I10618" t="s">
        <v>14</v>
      </c>
      <c r="J10618" t="s">
        <v>141</v>
      </c>
      <c r="K10618" t="s">
        <v>14</v>
      </c>
      <c r="L10618" t="s">
        <v>20</v>
      </c>
      <c r="M10618" t="s">
        <v>20390</v>
      </c>
      <c r="N10618" t="s">
        <v>14</v>
      </c>
    </row>
    <row r="10619" x14ac:dyDescent="0.25">
      <c r="A10619" t="n">
        <v>24</v>
      </c>
      <c r="B10619" t="s">
        <v>14</v>
      </c>
      <c r="C10619" t="s">
        <v>22</v>
      </c>
      <c r="D10619" s="2" t="s">
        <f>=HYPERLINK("https://main.knesset.gov.il/APPS/legislation/main/bills/2157961", "הצעת חוק לתיקון פקודת הנזיקין (חסינות חברי מועצה), התשפ""א-2021")</f>
        <v>20575</v>
      </c>
      <c r="E10619" t="s">
        <v>20575</v>
      </c>
      <c r="F10619" t="s">
        <v>20576</v>
      </c>
      <c r="G10619" t="s">
        <v>14</v>
      </c>
      <c r="H10619">
             </c>
      <c r="I10619" t="s">
        <v>14</v>
      </c>
      <c r="J10619" t="s">
        <v>141</v>
      </c>
      <c r="K10619" t="s">
        <v>14</v>
      </c>
      <c r="L10619" t="s">
        <v>20</v>
      </c>
      <c r="M10619" t="s">
        <v>20390</v>
      </c>
      <c r="N10619" t="s">
        <v>14</v>
      </c>
    </row>
    <row r="10620" x14ac:dyDescent="0.25">
      <c r="A10620" t="n">
        <v>24</v>
      </c>
      <c r="B10620" t="s">
        <v>14</v>
      </c>
      <c r="C10620" t="s">
        <v>22</v>
      </c>
      <c r="D10620" s="2" t="s">
        <f>=HYPERLINK("https://main.knesset.gov.il/APPS/legislation/main/bills/2157232", "הצעת חוק הגנה על עובדים (חשיפת עבירות ופגיעה בטוהר המידות או במינהל התקין) (תיקון - הגדלת סכום הפיצוי שאינו תלוי בנזק ושינוי נטל ההוכחה), התשפ""א-2021")</f>
        <v>20577</v>
      </c>
      <c r="E10620" t="s">
        <v>20577</v>
      </c>
      <c r="F10620" t="s">
        <v>20578</v>
      </c>
      <c r="G10620" t="s">
        <v>14</v>
      </c>
      <c r="H10620">
             </c>
      <c r="I10620" t="s">
        <v>14</v>
      </c>
      <c r="J10620" t="s">
        <v>141</v>
      </c>
      <c r="K10620" t="s">
        <v>14</v>
      </c>
      <c r="L10620" t="s">
        <v>20</v>
      </c>
      <c r="M10620" t="s">
        <v>20390</v>
      </c>
      <c r="N10620" t="s">
        <v>14</v>
      </c>
    </row>
    <row r="10621" x14ac:dyDescent="0.25">
      <c r="A10621" t="n">
        <v>24</v>
      </c>
      <c r="B10621" t="s">
        <v>14</v>
      </c>
      <c r="C10621" t="s">
        <v>22</v>
      </c>
      <c r="D10621" s="2" t="s">
        <f>=HYPERLINK("https://main.knesset.gov.il/APPS/legislation/main/bills/2157229", "הצעת חוק הביטוח הלאומי (תיקון - תוספת לקצבה של מי שמעסיק עובד בענף הסיעוד), התשפ""א-2021")</f>
        <v>19028</v>
      </c>
      <c r="E10621" t="s">
        <v>19028</v>
      </c>
      <c r="F10621" t="s">
        <v>20579</v>
      </c>
      <c r="G10621" t="s">
        <v>14</v>
      </c>
      <c r="H10621">
             </c>
      <c r="I10621" t="s">
        <v>14</v>
      </c>
      <c r="J10621" t="s">
        <v>141</v>
      </c>
      <c r="K10621" t="s">
        <v>14</v>
      </c>
      <c r="L10621" t="s">
        <v>20</v>
      </c>
      <c r="M10621" t="s">
        <v>20390</v>
      </c>
      <c r="N10621" t="s">
        <v>14</v>
      </c>
    </row>
    <row r="10622" x14ac:dyDescent="0.25">
      <c r="A10622" t="n">
        <v>24</v>
      </c>
      <c r="B10622" t="s">
        <v>14</v>
      </c>
      <c r="C10622" t="s">
        <v>22</v>
      </c>
      <c r="D10622" s="2" t="s">
        <f>=HYPERLINK("https://main.knesset.gov.il/APPS/legislation/main/bills/2157965", "הצעת חוק העונשין (תיקון - שימוש במידע בידי עובד הציבור), התשפ""א-2021")</f>
        <v>20580</v>
      </c>
      <c r="E10622" t="s">
        <v>20580</v>
      </c>
      <c r="F10622" t="s">
        <v>20581</v>
      </c>
      <c r="G10622" t="s">
        <v>14</v>
      </c>
      <c r="H10622">
             </c>
      <c r="I10622" t="s">
        <v>14</v>
      </c>
      <c r="J10622" t="s">
        <v>141</v>
      </c>
      <c r="K10622" t="s">
        <v>14</v>
      </c>
      <c r="L10622" t="s">
        <v>20</v>
      </c>
      <c r="M10622" t="s">
        <v>20390</v>
      </c>
      <c r="N10622" t="s">
        <v>14</v>
      </c>
    </row>
    <row r="10623" x14ac:dyDescent="0.25">
      <c r="A10623" t="n">
        <v>24</v>
      </c>
      <c r="B10623" t="s">
        <v>14</v>
      </c>
      <c r="C10623" t="s">
        <v>22</v>
      </c>
      <c r="D10623" s="2" t="s">
        <f>=HYPERLINK("https://main.knesset.gov.il/APPS/legislation/main/bills/2157228", "הצעת חוק הביטוח הלאומי (תיקון - זכאות לדמי לידה לחיילות בשירות קבע), התשפ""א-2021")</f>
        <v>20582</v>
      </c>
      <c r="E10623" t="s">
        <v>20582</v>
      </c>
      <c r="F10623" t="s">
        <v>20583</v>
      </c>
      <c r="G10623" t="s">
        <v>14</v>
      </c>
      <c r="H10623">
             </c>
      <c r="I10623" t="s">
        <v>14</v>
      </c>
      <c r="J10623" t="s">
        <v>141</v>
      </c>
      <c r="K10623" t="s">
        <v>14</v>
      </c>
      <c r="L10623" t="s">
        <v>20</v>
      </c>
      <c r="M10623" t="s">
        <v>20390</v>
      </c>
      <c r="N10623" t="s">
        <v>14</v>
      </c>
    </row>
    <row r="10624" x14ac:dyDescent="0.25">
      <c r="A10624" t="n">
        <v>24</v>
      </c>
      <c r="B10624" t="s">
        <v>14</v>
      </c>
      <c r="C10624" t="s">
        <v>22</v>
      </c>
      <c r="D10624" s="2" t="s">
        <f>=HYPERLINK("https://main.knesset.gov.il/APPS/legislation/main/bills/2157221", "הצעת חוק הביטוח הלאומי (תיקון - עקר בית), התשפ""א-2021")</f>
        <v>20584</v>
      </c>
      <c r="E10624" t="s">
        <v>20584</v>
      </c>
      <c r="F10624" t="s">
        <v>20585</v>
      </c>
      <c r="G10624" t="s">
        <v>14</v>
      </c>
      <c r="H10624">
             </c>
      <c r="I10624" t="s">
        <v>14</v>
      </c>
      <c r="J10624" t="s">
        <v>141</v>
      </c>
      <c r="K10624" t="s">
        <v>14</v>
      </c>
      <c r="L10624" t="s">
        <v>20</v>
      </c>
      <c r="M10624" t="s">
        <v>20390</v>
      </c>
      <c r="N10624" t="s">
        <v>14</v>
      </c>
    </row>
    <row r="10625" x14ac:dyDescent="0.25">
      <c r="A10625" t="n">
        <v>24</v>
      </c>
      <c r="B10625" t="s">
        <v>14</v>
      </c>
      <c r="C10625" t="s">
        <v>22</v>
      </c>
      <c r="D10625" s="2" t="s">
        <f>=HYPERLINK("https://main.knesset.gov.il/APPS/legislation/main/bills/2158356", "הצעת חוק שירותי רווחה לאנשים עם מוגבלות, התשפ""א-2021")</f>
        <v>14877</v>
      </c>
      <c r="E10625" t="s">
        <v>14877</v>
      </c>
      <c r="F10625" t="s">
        <v>20586</v>
      </c>
      <c r="G10625" t="s">
        <v>14</v>
      </c>
      <c r="H10625">
             </c>
      <c r="I10625" t="s">
        <v>14</v>
      </c>
      <c r="J10625" t="s">
        <v>141</v>
      </c>
      <c r="K10625" t="s">
        <v>14</v>
      </c>
      <c r="L10625" t="s">
        <v>20</v>
      </c>
      <c r="M10625" t="s">
        <v>20390</v>
      </c>
      <c r="N10625" t="s">
        <v>14</v>
      </c>
    </row>
    <row r="10626" x14ac:dyDescent="0.25">
      <c r="A10626" t="n">
        <v>24</v>
      </c>
      <c r="B10626" t="s">
        <v>14</v>
      </c>
      <c r="C10626" t="s">
        <v>22</v>
      </c>
      <c r="D10626" s="2" t="s">
        <f>=HYPERLINK("https://main.knesset.gov.il/APPS/legislation/main/bills/2157219", "הצעת חוק הגנת השכר (תיקון - צירוף פירוט שעות חודשי לתלוש השכר), התשפ""א-2021")</f>
        <v>20587</v>
      </c>
      <c r="E10626" t="s">
        <v>20587</v>
      </c>
      <c r="F10626" t="s">
        <v>20588</v>
      </c>
      <c r="G10626" t="s">
        <v>14</v>
      </c>
      <c r="H10626">
             </c>
      <c r="I10626" t="s">
        <v>14</v>
      </c>
      <c r="J10626" t="s">
        <v>141</v>
      </c>
      <c r="K10626" t="s">
        <v>14</v>
      </c>
      <c r="L10626" t="s">
        <v>20</v>
      </c>
      <c r="M10626" t="s">
        <v>20390</v>
      </c>
      <c r="N10626" t="s">
        <v>14</v>
      </c>
    </row>
    <row r="10627" x14ac:dyDescent="0.25">
      <c r="A10627" t="n">
        <v>24</v>
      </c>
      <c r="B10627" t="s">
        <v>14</v>
      </c>
      <c r="C10627" t="s">
        <v>22</v>
      </c>
      <c r="D10627" s="2" t="s">
        <f>=HYPERLINK("https://main.knesset.gov.il/APPS/legislation/main/bills/2157931", "הצעת חוק זכויות הדייר בדיור הציבורי (תיקון - זכות למגורים בדירה ציבורית לנשים ששהו במקלט לנשים מוכות), התשפ""א-2021")</f>
        <v>18810</v>
      </c>
      <c r="E10627" t="s">
        <v>18810</v>
      </c>
      <c r="F10627" t="s">
        <v>20589</v>
      </c>
      <c r="G10627" t="s">
        <v>14</v>
      </c>
      <c r="H10627">
             </c>
      <c r="I10627" t="s">
        <v>14</v>
      </c>
      <c r="J10627" t="s">
        <v>141</v>
      </c>
      <c r="K10627" t="s">
        <v>14</v>
      </c>
      <c r="L10627" t="s">
        <v>20</v>
      </c>
      <c r="M10627" t="s">
        <v>20390</v>
      </c>
      <c r="N10627" t="s">
        <v>14</v>
      </c>
    </row>
    <row r="10628" x14ac:dyDescent="0.25">
      <c r="A10628" t="n">
        <v>24</v>
      </c>
      <c r="B10628" t="s">
        <v>14</v>
      </c>
      <c r="C10628" t="s">
        <v>22</v>
      </c>
      <c r="D10628" s="2" t="s">
        <f>=HYPERLINK("https://main.knesset.gov.il/APPS/legislation/main/bills/2157218", "הצעת חוק הביטוח הלאומי (תיקון - הוראות לעניין עקרת בית), התשפ""א-2021")</f>
        <v>20590</v>
      </c>
      <c r="E10628" t="s">
        <v>20590</v>
      </c>
      <c r="F10628" t="s">
        <v>20591</v>
      </c>
      <c r="G10628" t="s">
        <v>14</v>
      </c>
      <c r="H10628">
             </c>
      <c r="I10628" t="s">
        <v>14</v>
      </c>
      <c r="J10628" t="s">
        <v>141</v>
      </c>
      <c r="K10628" t="s">
        <v>14</v>
      </c>
      <c r="L10628" t="s">
        <v>20</v>
      </c>
      <c r="M10628" t="s">
        <v>20390</v>
      </c>
      <c r="N10628" t="s">
        <v>14</v>
      </c>
    </row>
    <row r="10629" x14ac:dyDescent="0.25">
      <c r="A10629" t="n">
        <v>24</v>
      </c>
      <c r="B10629" t="s">
        <v>14</v>
      </c>
      <c r="C10629" t="s">
        <v>22</v>
      </c>
      <c r="D10629" s="2" t="s">
        <f>=HYPERLINK("https://main.knesset.gov.il/APPS/legislation/main/bills/2157214", "הצעת חוק למניעת אלימות במשפחה (תיקון - דיון במעמד צד אחד באלימות נפשית), התשפ""א-2021")</f>
        <v>20592</v>
      </c>
      <c r="E10629" t="s">
        <v>20592</v>
      </c>
      <c r="F10629" t="s">
        <v>20593</v>
      </c>
      <c r="G10629" t="s">
        <v>14</v>
      </c>
      <c r="H10629">
             </c>
      <c r="I10629" t="s">
        <v>14</v>
      </c>
      <c r="J10629" t="s">
        <v>141</v>
      </c>
      <c r="K10629" t="s">
        <v>14</v>
      </c>
      <c r="L10629" t="s">
        <v>20</v>
      </c>
      <c r="M10629" t="s">
        <v>20390</v>
      </c>
      <c r="N10629" t="s">
        <v>14</v>
      </c>
    </row>
    <row r="10630" x14ac:dyDescent="0.25">
      <c r="A10630" t="n">
        <v>24</v>
      </c>
      <c r="B10630" t="s">
        <v>14</v>
      </c>
      <c r="C10630" t="s">
        <v>22</v>
      </c>
      <c r="D10630" s="2" t="s">
        <f>=HYPERLINK("https://main.knesset.gov.il/APPS/legislation/main/bills/2157212", "הצעת חוק הערבות (תיקון - ביטול החוק), התשפ""א-2021")</f>
        <v>20594</v>
      </c>
      <c r="E10630" t="s">
        <v>20594</v>
      </c>
      <c r="F10630" t="s">
        <v>20595</v>
      </c>
      <c r="G10630" t="s">
        <v>14</v>
      </c>
      <c r="H10630">
             </c>
      <c r="I10630" t="s">
        <v>14</v>
      </c>
      <c r="J10630" t="s">
        <v>141</v>
      </c>
      <c r="K10630" t="s">
        <v>14</v>
      </c>
      <c r="L10630" t="s">
        <v>20</v>
      </c>
      <c r="M10630" t="s">
        <v>20390</v>
      </c>
      <c r="N10630" t="s">
        <v>14</v>
      </c>
    </row>
    <row r="10631" x14ac:dyDescent="0.25">
      <c r="A10631" t="n">
        <v>24</v>
      </c>
      <c r="B10631" t="s">
        <v>14</v>
      </c>
      <c r="C10631" t="s">
        <v>22</v>
      </c>
      <c r="D10631" s="2" t="s">
        <f>=HYPERLINK("https://main.knesset.gov.il/APPS/legislation/main/bills/2157442", "הצעת חוק איסור הפליה מחמת משקל (תיקוני חקיקה), התשפ""א-2021")</f>
        <v>20596</v>
      </c>
      <c r="E10631" t="s">
        <v>20596</v>
      </c>
      <c r="F10631" t="s">
        <v>20597</v>
      </c>
      <c r="G10631" t="s">
        <v>14</v>
      </c>
      <c r="H10631">
             </c>
      <c r="I10631" t="s">
        <v>14</v>
      </c>
      <c r="J10631" t="s">
        <v>141</v>
      </c>
      <c r="K10631" t="s">
        <v>14</v>
      </c>
      <c r="L10631" t="s">
        <v>20</v>
      </c>
      <c r="M10631" t="s">
        <v>20390</v>
      </c>
      <c r="N10631" t="s">
        <v>14</v>
      </c>
    </row>
    <row r="10632" x14ac:dyDescent="0.25">
      <c r="A10632" t="n">
        <v>24</v>
      </c>
      <c r="B10632" t="s">
        <v>14</v>
      </c>
      <c r="C10632" t="s">
        <v>22</v>
      </c>
      <c r="D10632" s="2" t="s">
        <f>=HYPERLINK("https://main.knesset.gov.il/APPS/legislation/main/bills/2157210", "הצעת חוק דמי מחלה (היעדרות בשל מחלת נכד), התשפ""א-2021")</f>
        <v>20598</v>
      </c>
      <c r="E10632" t="s">
        <v>20598</v>
      </c>
      <c r="F10632" t="s">
        <v>20599</v>
      </c>
      <c r="G10632" t="s">
        <v>14</v>
      </c>
      <c r="H10632">
             </c>
      <c r="I10632" t="s">
        <v>14</v>
      </c>
      <c r="J10632" t="s">
        <v>141</v>
      </c>
      <c r="K10632" t="s">
        <v>14</v>
      </c>
      <c r="L10632" t="s">
        <v>20</v>
      </c>
      <c r="M10632" t="s">
        <v>20390</v>
      </c>
      <c r="N10632" t="s">
        <v>14</v>
      </c>
    </row>
    <row r="10633" x14ac:dyDescent="0.25">
      <c r="A10633" t="n">
        <v>24</v>
      </c>
      <c r="B10633" t="s">
        <v>14</v>
      </c>
      <c r="C10633" t="s">
        <v>22</v>
      </c>
      <c r="D10633" s="2" t="s">
        <f>=HYPERLINK("https://main.knesset.gov.il/APPS/legislation/main/bills/2157207", "הצעת חוק הסדרי עבודה גמישים, התשפ""א-2021")</f>
        <v>20600</v>
      </c>
      <c r="E10633" t="s">
        <v>20600</v>
      </c>
      <c r="F10633" t="s">
        <v>20601</v>
      </c>
      <c r="G10633" t="s">
        <v>14</v>
      </c>
      <c r="H10633">
             </c>
      <c r="I10633" t="s">
        <v>14</v>
      </c>
      <c r="J10633" t="s">
        <v>141</v>
      </c>
      <c r="K10633" t="s">
        <v>14</v>
      </c>
      <c r="L10633" t="s">
        <v>20</v>
      </c>
      <c r="M10633" t="s">
        <v>20390</v>
      </c>
      <c r="N10633" t="s">
        <v>14</v>
      </c>
    </row>
    <row r="10634" x14ac:dyDescent="0.25">
      <c r="A10634" t="n">
        <v>24</v>
      </c>
      <c r="B10634" t="s">
        <v>14</v>
      </c>
      <c r="C10634" t="s">
        <v>22</v>
      </c>
      <c r="D10634" s="2" t="s">
        <f>=HYPERLINK("https://main.knesset.gov.il/APPS/legislation/main/bills/2157445", "הצעת חוק איסור פרסום גזעני, הסתה לגזענות ורישום גזעני במסמכי תאגיד, התשפ""א-2021")</f>
        <v>20602</v>
      </c>
      <c r="E10634" t="s">
        <v>20602</v>
      </c>
      <c r="F10634" t="s">
        <v>20603</v>
      </c>
      <c r="G10634" t="s">
        <v>14</v>
      </c>
      <c r="H10634">
             </c>
      <c r="I10634" t="s">
        <v>14</v>
      </c>
      <c r="J10634" t="s">
        <v>141</v>
      </c>
      <c r="K10634" t="s">
        <v>14</v>
      </c>
      <c r="L10634" t="s">
        <v>20</v>
      </c>
      <c r="M10634" t="s">
        <v>20390</v>
      </c>
      <c r="N10634" t="s">
        <v>14</v>
      </c>
    </row>
    <row r="10635" x14ac:dyDescent="0.25">
      <c r="A10635" t="n">
        <v>24</v>
      </c>
      <c r="B10635" t="s">
        <v>14</v>
      </c>
      <c r="C10635" t="s">
        <v>22</v>
      </c>
      <c r="D10635" s="2" t="s">
        <f>=HYPERLINK("https://main.knesset.gov.il/APPS/legislation/main/bills/2157653", "הצעת חוק קליטת חיילים משוחררים (תיקון - טיפול פסיכו-סוציאלי לחייל משוחרר), התשפ""א-2021")</f>
        <v>20604</v>
      </c>
      <c r="E10635" t="s">
        <v>20604</v>
      </c>
      <c r="F10635" t="s">
        <v>20605</v>
      </c>
      <c r="G10635" t="s">
        <v>14</v>
      </c>
      <c r="H10635">
             </c>
      <c r="I10635" t="s">
        <v>14</v>
      </c>
      <c r="J10635" t="s">
        <v>141</v>
      </c>
      <c r="K10635" t="s">
        <v>14</v>
      </c>
      <c r="L10635" t="s">
        <v>20</v>
      </c>
      <c r="M10635" t="s">
        <v>20390</v>
      </c>
      <c r="N10635" t="s">
        <v>14</v>
      </c>
    </row>
    <row r="10636" x14ac:dyDescent="0.25">
      <c r="A10636" t="n">
        <v>24</v>
      </c>
      <c r="B10636" t="s">
        <v>14</v>
      </c>
      <c r="C10636" t="s">
        <v>22</v>
      </c>
      <c r="D10636" s="2" t="s">
        <f>=HYPERLINK("https://main.knesset.gov.il/APPS/legislation/main/bills/2157448", "הצעת חוק למניעת שימוש לרעה בהליך משפטי, התשפ""א-2021")</f>
        <v>20606</v>
      </c>
      <c r="E10636" t="s">
        <v>20606</v>
      </c>
      <c r="F10636" t="s">
        <v>20607</v>
      </c>
      <c r="G10636" t="s">
        <v>14</v>
      </c>
      <c r="H10636">
             </c>
      <c r="I10636" t="s">
        <v>14</v>
      </c>
      <c r="J10636" t="s">
        <v>141</v>
      </c>
      <c r="K10636" t="s">
        <v>14</v>
      </c>
      <c r="L10636" t="s">
        <v>20</v>
      </c>
      <c r="M10636" t="s">
        <v>20390</v>
      </c>
      <c r="N10636" t="s">
        <v>14</v>
      </c>
    </row>
    <row r="10637" x14ac:dyDescent="0.25">
      <c r="A10637" t="n">
        <v>24</v>
      </c>
      <c r="B10637" t="s">
        <v>14</v>
      </c>
      <c r="C10637" t="s">
        <v>22</v>
      </c>
      <c r="D10637" s="2" t="s">
        <f>=HYPERLINK("https://main.knesset.gov.il/APPS/legislation/main/bills/2157450", "הצעת חוק לתיקון סדרי המינהל (החלטות והנמקות) (תיקון - חובת מתן תשובה במועד), התשפ""א-2021")</f>
        <v>20608</v>
      </c>
      <c r="E10637" t="s">
        <v>20608</v>
      </c>
      <c r="F10637" t="s">
        <v>20609</v>
      </c>
      <c r="G10637" t="s">
        <v>14</v>
      </c>
      <c r="H10637">
             </c>
      <c r="I10637" t="s">
        <v>14</v>
      </c>
      <c r="J10637" t="s">
        <v>141</v>
      </c>
      <c r="K10637" t="s">
        <v>14</v>
      </c>
      <c r="L10637" t="s">
        <v>20</v>
      </c>
      <c r="M10637" t="s">
        <v>20390</v>
      </c>
      <c r="N10637" t="s">
        <v>14</v>
      </c>
    </row>
    <row r="10638" x14ac:dyDescent="0.25">
      <c r="A10638" t="n">
        <v>24</v>
      </c>
      <c r="B10638" t="s">
        <v>14</v>
      </c>
      <c r="C10638" t="s">
        <v>22</v>
      </c>
      <c r="D10638" s="2" t="s">
        <f>=HYPERLINK("https://main.knesset.gov.il/APPS/legislation/main/bills/2157202", "הצעת חוק שיפוט בתי דין רבניים (נישואין וגירושין) (תיקון - ביטול כריכה), התשפ""א-2021")</f>
        <v>20610</v>
      </c>
      <c r="E10638" t="s">
        <v>20610</v>
      </c>
      <c r="F10638" t="s">
        <v>20611</v>
      </c>
      <c r="G10638" t="s">
        <v>14</v>
      </c>
      <c r="H10638">
             </c>
      <c r="I10638" t="s">
        <v>14</v>
      </c>
      <c r="J10638" t="s">
        <v>141</v>
      </c>
      <c r="K10638" t="s">
        <v>14</v>
      </c>
      <c r="L10638" t="s">
        <v>20</v>
      </c>
      <c r="M10638" t="s">
        <v>20390</v>
      </c>
      <c r="N10638" t="s">
        <v>14</v>
      </c>
    </row>
    <row r="10639" x14ac:dyDescent="0.25">
      <c r="A10639" t="n">
        <v>24</v>
      </c>
      <c r="B10639" t="s">
        <v>14</v>
      </c>
      <c r="C10639" t="s">
        <v>22</v>
      </c>
      <c r="D10639" s="2" t="s">
        <f>=HYPERLINK("https://main.knesset.gov.il/APPS/legislation/main/bills/2157201", "הצעת חוק החזר הוצאות כספיות בגין עריכת נישואין אזרחיים בחוץ לארץ למי שאינם רשאים להינשא על פי הדין הדתי, התשפ""א-2021")</f>
        <v>19322</v>
      </c>
      <c r="E10639" t="s">
        <v>19322</v>
      </c>
      <c r="F10639" t="s">
        <v>20612</v>
      </c>
      <c r="G10639" t="s">
        <v>14</v>
      </c>
      <c r="H10639">
             </c>
      <c r="I10639" t="s">
        <v>14</v>
      </c>
      <c r="J10639" t="s">
        <v>141</v>
      </c>
      <c r="K10639" t="s">
        <v>14</v>
      </c>
      <c r="L10639" t="s">
        <v>20</v>
      </c>
      <c r="M10639" t="s">
        <v>20390</v>
      </c>
      <c r="N10639" t="s">
        <v>14</v>
      </c>
    </row>
    <row r="10640" x14ac:dyDescent="0.25">
      <c r="A10640" t="n">
        <v>24</v>
      </c>
      <c r="B10640" t="s">
        <v>14</v>
      </c>
      <c r="C10640" t="s">
        <v>22</v>
      </c>
      <c r="D10640" s="2" t="s">
        <f>=HYPERLINK("https://main.knesset.gov.il/APPS/legislation/main/bills/2157200", "הצעת חוק חובת ניהול ופרסום פרוטוקול של ועדות מייעצות (תיקוני חקיקה), התשפ""א-2021")</f>
        <v>20613</v>
      </c>
      <c r="E10640" t="s">
        <v>20613</v>
      </c>
      <c r="F10640" t="s">
        <v>20614</v>
      </c>
      <c r="G10640" t="s">
        <v>14</v>
      </c>
      <c r="H10640">
             </c>
      <c r="I10640" t="s">
        <v>14</v>
      </c>
      <c r="J10640" t="s">
        <v>141</v>
      </c>
      <c r="K10640" t="s">
        <v>14</v>
      </c>
      <c r="L10640" t="s">
        <v>20</v>
      </c>
      <c r="M10640" t="s">
        <v>20390</v>
      </c>
      <c r="N10640" t="s">
        <v>14</v>
      </c>
    </row>
    <row r="10641" x14ac:dyDescent="0.25">
      <c r="A10641" t="n">
        <v>24</v>
      </c>
      <c r="B10641" t="s">
        <v>14</v>
      </c>
      <c r="C10641" t="s">
        <v>22</v>
      </c>
      <c r="D10641" s="2" t="s">
        <f>=HYPERLINK("https://main.knesset.gov.il/APPS/legislation/main/bills/2157230", "הצעת חוק המזונות (הבטחת תשלום) (תיקון - סכום שלא יובא בחשבון במבחן ההכנסה), התשפ""א-2021")</f>
        <v>19620</v>
      </c>
      <c r="E10641" t="s">
        <v>19620</v>
      </c>
      <c r="F10641" t="s">
        <v>20615</v>
      </c>
      <c r="G10641" t="s">
        <v>14</v>
      </c>
      <c r="H10641">
             </c>
      <c r="I10641" t="s">
        <v>14</v>
      </c>
      <c r="J10641" t="s">
        <v>141</v>
      </c>
      <c r="K10641" t="s">
        <v>14</v>
      </c>
      <c r="L10641" t="s">
        <v>20</v>
      </c>
      <c r="M10641" t="s">
        <v>20390</v>
      </c>
      <c r="N10641" t="s">
        <v>14</v>
      </c>
    </row>
    <row r="10642" x14ac:dyDescent="0.25">
      <c r="A10642" t="n">
        <v>24</v>
      </c>
      <c r="B10642" t="s">
        <v>14</v>
      </c>
      <c r="C10642" t="s">
        <v>22</v>
      </c>
      <c r="D10642" s="2" t="s">
        <f>=HYPERLINK("https://main.knesset.gov.il/APPS/legislation/main/bills/2157198", "הצעת חוק העונשין (תיקון - החריגים לעבירת ריבוי נישואין), התשפ""א-2021")</f>
        <v>20616</v>
      </c>
      <c r="E10642" t="s">
        <v>20616</v>
      </c>
      <c r="F10642" t="s">
        <v>20617</v>
      </c>
      <c r="G10642" t="s">
        <v>14</v>
      </c>
      <c r="H10642">
             </c>
      <c r="I10642" t="s">
        <v>14</v>
      </c>
      <c r="J10642" t="s">
        <v>141</v>
      </c>
      <c r="K10642" t="s">
        <v>14</v>
      </c>
      <c r="L10642" t="s">
        <v>20</v>
      </c>
      <c r="M10642" t="s">
        <v>20390</v>
      </c>
      <c r="N10642" t="s">
        <v>14</v>
      </c>
    </row>
    <row r="10643" x14ac:dyDescent="0.25">
      <c r="A10643" t="n">
        <v>24</v>
      </c>
      <c r="B10643" t="s">
        <v>14</v>
      </c>
      <c r="C10643" t="s">
        <v>22</v>
      </c>
      <c r="D10643" s="2" t="s">
        <f>=HYPERLINK("https://main.knesset.gov.il/APPS/legislation/main/bills/2157471", "הצעת חוק ציון שם ההורה בטופס, התשפ""א-2021")</f>
        <v>20618</v>
      </c>
      <c r="E10643" t="s">
        <v>20618</v>
      </c>
      <c r="F10643" t="s">
        <v>20619</v>
      </c>
      <c r="G10643" t="s">
        <v>14</v>
      </c>
      <c r="H10643">
             </c>
      <c r="I10643" t="s">
        <v>14</v>
      </c>
      <c r="J10643" t="s">
        <v>141</v>
      </c>
      <c r="K10643" t="s">
        <v>14</v>
      </c>
      <c r="L10643" t="s">
        <v>20</v>
      </c>
      <c r="M10643" t="s">
        <v>20390</v>
      </c>
      <c r="N10643" t="s">
        <v>14</v>
      </c>
    </row>
    <row r="10644" x14ac:dyDescent="0.25">
      <c r="A10644" t="n">
        <v>24</v>
      </c>
      <c r="B10644" t="s">
        <v>14</v>
      </c>
      <c r="C10644" t="s">
        <v>22</v>
      </c>
      <c r="D10644" s="2" t="s">
        <f>=HYPERLINK("https://main.knesset.gov.il/APPS/legislation/main/bills/2157197", "הצעת חוק הסניגוריה הציבורית (תיקון - פיקוח על החזקה בבידוד או על החזקה באיפול תקשורתי), התשפ""א-2021")</f>
        <v>20620</v>
      </c>
      <c r="E10644" t="s">
        <v>20620</v>
      </c>
      <c r="F10644" t="s">
        <v>20621</v>
      </c>
      <c r="G10644" t="s">
        <v>14</v>
      </c>
      <c r="H10644">
             </c>
      <c r="I10644" t="s">
        <v>14</v>
      </c>
      <c r="J10644" t="s">
        <v>141</v>
      </c>
      <c r="K10644" t="s">
        <v>14</v>
      </c>
      <c r="L10644" t="s">
        <v>20</v>
      </c>
      <c r="M10644" t="s">
        <v>20390</v>
      </c>
      <c r="N10644" t="s">
        <v>14</v>
      </c>
    </row>
    <row r="10645" x14ac:dyDescent="0.25">
      <c r="A10645" t="n">
        <v>24</v>
      </c>
      <c r="B10645" t="s">
        <v>14</v>
      </c>
      <c r="C10645" t="s">
        <v>22</v>
      </c>
      <c r="D10645" s="2" t="s">
        <f>=HYPERLINK("https://main.knesset.gov.il/APPS/legislation/main/bills/2157193", "הצעת חוק זכויות נפגעי עבירה (תיקון - החלת זכויות בדין האזרחי), התשפ""א-2021")</f>
        <v>20622</v>
      </c>
      <c r="E10645" t="s">
        <v>20622</v>
      </c>
      <c r="F10645" t="s">
        <v>20623</v>
      </c>
      <c r="G10645" t="s">
        <v>14</v>
      </c>
      <c r="H10645">
             </c>
      <c r="I10645" t="s">
        <v>14</v>
      </c>
      <c r="J10645" t="s">
        <v>141</v>
      </c>
      <c r="K10645" t="s">
        <v>14</v>
      </c>
      <c r="L10645" t="s">
        <v>20</v>
      </c>
      <c r="M10645" t="s">
        <v>20390</v>
      </c>
      <c r="N10645" t="s">
        <v>14</v>
      </c>
    </row>
    <row r="10646" x14ac:dyDescent="0.25">
      <c r="A10646" t="n">
        <v>24</v>
      </c>
      <c r="B10646" t="s">
        <v>14</v>
      </c>
      <c r="C10646" t="s">
        <v>22</v>
      </c>
      <c r="D10646" s="2" t="s">
        <f>=HYPERLINK("https://main.knesset.gov.il/APPS/legislation/main/bills/2157482", "הצעת חוק-יסוד: זכויות חברתיות")</f>
        <v>12991</v>
      </c>
      <c r="E10646" t="s">
        <v>12991</v>
      </c>
      <c r="F10646" t="s">
        <v>20624</v>
      </c>
      <c r="G10646" t="s">
        <v>14</v>
      </c>
      <c r="H10646">
             </c>
      <c r="I10646" t="s">
        <v>14</v>
      </c>
      <c r="J10646" t="s">
        <v>141</v>
      </c>
      <c r="K10646" t="s">
        <v>14</v>
      </c>
      <c r="L10646" t="s">
        <v>20</v>
      </c>
      <c r="M10646" t="s">
        <v>20390</v>
      </c>
      <c r="N10646" t="s">
        <v>14</v>
      </c>
    </row>
    <row r="10647" x14ac:dyDescent="0.25">
      <c r="A10647" t="n">
        <v>24</v>
      </c>
      <c r="B10647" t="s">
        <v>14</v>
      </c>
      <c r="C10647" t="s">
        <v>22</v>
      </c>
      <c r="D10647" s="2" t="s">
        <f>=HYPERLINK("https://main.knesset.gov.il/APPS/legislation/main/bills/2157189", "הצעת חוק סמכות ואחריות הורית (מזונות), התשפ""א-2021")</f>
        <v>20625</v>
      </c>
      <c r="E10647" t="s">
        <v>20625</v>
      </c>
      <c r="F10647" t="s">
        <v>20626</v>
      </c>
      <c r="G10647" t="s">
        <v>14</v>
      </c>
      <c r="H10647">
             </c>
      <c r="I10647" t="s">
        <v>14</v>
      </c>
      <c r="J10647" t="s">
        <v>141</v>
      </c>
      <c r="K10647" t="s">
        <v>14</v>
      </c>
      <c r="L10647" t="s">
        <v>20</v>
      </c>
      <c r="M10647" t="s">
        <v>20390</v>
      </c>
      <c r="N10647" t="s">
        <v>14</v>
      </c>
    </row>
    <row r="10648" x14ac:dyDescent="0.25">
      <c r="A10648" t="n">
        <v>24</v>
      </c>
      <c r="B10648" t="s">
        <v>14</v>
      </c>
      <c r="C10648" t="s">
        <v>22</v>
      </c>
      <c r="D10648" s="2" t="s">
        <f>=HYPERLINK("https://main.knesset.gov.il/APPS/legislation/main/bills/2157476", "הצעת חוק שיקום, פיצוי וסיוע משפטי לנפגעי עבירות מין, התשפ""א-2021")</f>
        <v>19051</v>
      </c>
      <c r="E10648" t="s">
        <v>19051</v>
      </c>
      <c r="F10648" t="s">
        <v>20627</v>
      </c>
      <c r="G10648" t="s">
        <v>14</v>
      </c>
      <c r="H10648">
             </c>
      <c r="I10648" t="s">
        <v>14</v>
      </c>
      <c r="J10648" t="s">
        <v>141</v>
      </c>
      <c r="K10648" t="s">
        <v>14</v>
      </c>
      <c r="L10648" t="s">
        <v>20</v>
      </c>
      <c r="M10648" t="s">
        <v>20390</v>
      </c>
      <c r="N10648" t="s">
        <v>14</v>
      </c>
    </row>
    <row r="10649" x14ac:dyDescent="0.25">
      <c r="A10649" t="n">
        <v>24</v>
      </c>
      <c r="B10649" t="s">
        <v>14</v>
      </c>
      <c r="C10649" t="s">
        <v>22</v>
      </c>
      <c r="D10649" s="2" t="s">
        <f>=HYPERLINK("https://main.knesset.gov.il/APPS/legislation/main/bills/2157478", "הצעת חוק שירות המדינה (מינויים) (תיקון - תקופת צינון במעבר מהמגזר הפרטי לשירות המדינה), התשפ""א-2021")</f>
        <v>20628</v>
      </c>
      <c r="E10649" t="s">
        <v>20628</v>
      </c>
      <c r="F10649" t="s">
        <v>20629</v>
      </c>
      <c r="G10649" t="s">
        <v>14</v>
      </c>
      <c r="H10649">
             </c>
      <c r="I10649" t="s">
        <v>14</v>
      </c>
      <c r="J10649" t="s">
        <v>141</v>
      </c>
      <c r="K10649" t="s">
        <v>14</v>
      </c>
      <c r="L10649" t="s">
        <v>20</v>
      </c>
      <c r="M10649" t="s">
        <v>20390</v>
      </c>
      <c r="N10649" t="s">
        <v>14</v>
      </c>
    </row>
    <row r="10650" x14ac:dyDescent="0.25">
      <c r="A10650" t="n">
        <v>24</v>
      </c>
      <c r="B10650" t="s">
        <v>14</v>
      </c>
      <c r="C10650" t="s">
        <v>22</v>
      </c>
      <c r="D10650" s="2" t="s">
        <f>=HYPERLINK("https://main.knesset.gov.il/APPS/legislation/main/bills/2157188", "הצעת חוק למניעת עיגון מנישואין, התשפ""א-2021")</f>
        <v>20630</v>
      </c>
      <c r="E10650" t="s">
        <v>20630</v>
      </c>
      <c r="F10650" t="s">
        <v>20631</v>
      </c>
      <c r="G10650" t="s">
        <v>14</v>
      </c>
      <c r="H10650">
             </c>
      <c r="I10650" t="s">
        <v>14</v>
      </c>
      <c r="J10650" t="s">
        <v>141</v>
      </c>
      <c r="K10650" t="s">
        <v>14</v>
      </c>
      <c r="L10650" t="s">
        <v>20</v>
      </c>
      <c r="M10650" t="s">
        <v>20390</v>
      </c>
      <c r="N10650" t="s">
        <v>14</v>
      </c>
    </row>
    <row r="10651" x14ac:dyDescent="0.25">
      <c r="A10651" t="n">
        <v>24</v>
      </c>
      <c r="B10651" t="s">
        <v>14</v>
      </c>
      <c r="C10651" t="s">
        <v>22</v>
      </c>
      <c r="D10651" s="2" t="s">
        <f>=HYPERLINK("https://main.knesset.gov.il/APPS/legislation/main/bills/2157918", "הצעת חוק ההתגוננות האזרחית (תיקון - אפשרות לקבלת פטור מבניית מקלט בהרחבת בית), התשפ""א-2021")</f>
        <v>20632</v>
      </c>
      <c r="E10651" t="s">
        <v>20632</v>
      </c>
      <c r="F10651" t="s">
        <v>20633</v>
      </c>
      <c r="G10651" t="s">
        <v>14</v>
      </c>
      <c r="H10651">
             </c>
      <c r="I10651" t="s">
        <v>14</v>
      </c>
      <c r="J10651" t="s">
        <v>141</v>
      </c>
      <c r="K10651" t="s">
        <v>14</v>
      </c>
      <c r="L10651" t="s">
        <v>20</v>
      </c>
      <c r="M10651" t="s">
        <v>20390</v>
      </c>
      <c r="N10651" t="s">
        <v>14</v>
      </c>
    </row>
    <row r="10652" x14ac:dyDescent="0.25">
      <c r="A10652" t="n">
        <v>24</v>
      </c>
      <c r="B10652" t="s">
        <v>14</v>
      </c>
      <c r="C10652" t="s">
        <v>22</v>
      </c>
      <c r="D10652" s="2" t="s">
        <f>=HYPERLINK("https://main.knesset.gov.il/APPS/legislation/main/bills/2157187", "הצעת חוק מניעת עבירות מין בקטינים (תיקוני חקיקה), התשפ""א-2021")</f>
        <v>19004</v>
      </c>
      <c r="E10652" t="s">
        <v>19004</v>
      </c>
      <c r="F10652" t="s">
        <v>20634</v>
      </c>
      <c r="G10652" t="s">
        <v>14</v>
      </c>
      <c r="H10652">
             </c>
      <c r="I10652" t="s">
        <v>14</v>
      </c>
      <c r="J10652" t="s">
        <v>141</v>
      </c>
      <c r="K10652" t="s">
        <v>14</v>
      </c>
      <c r="L10652" t="s">
        <v>20</v>
      </c>
      <c r="M10652" t="s">
        <v>20390</v>
      </c>
      <c r="N10652" t="s">
        <v>14</v>
      </c>
    </row>
    <row r="10653" x14ac:dyDescent="0.25">
      <c r="A10653" t="n">
        <v>24</v>
      </c>
      <c r="B10653" t="s">
        <v>14</v>
      </c>
      <c r="C10653" t="s">
        <v>22</v>
      </c>
      <c r="D10653" s="2" t="s">
        <f>=HYPERLINK("https://main.knesset.gov.il/APPS/legislation/main/bills/2157069", "הצעת חוק שיפוט בתי דין רבניים (נישואין וגירושין) (תיקון - דרישת הסכמה בכתב), התשפ""א-2021")</f>
        <v>20635</v>
      </c>
      <c r="E10653" t="s">
        <v>20635</v>
      </c>
      <c r="F10653" t="s">
        <v>20636</v>
      </c>
      <c r="G10653" t="s">
        <v>14</v>
      </c>
      <c r="H10653">
             </c>
      <c r="I10653" t="s">
        <v>14</v>
      </c>
      <c r="J10653" t="s">
        <v>141</v>
      </c>
      <c r="K10653" t="s">
        <v>14</v>
      </c>
      <c r="L10653" t="s">
        <v>20</v>
      </c>
      <c r="M10653" t="s">
        <v>20390</v>
      </c>
      <c r="N10653" t="s">
        <v>14</v>
      </c>
    </row>
    <row r="10654" x14ac:dyDescent="0.25">
      <c r="A10654" t="n">
        <v>24</v>
      </c>
      <c r="B10654" t="s">
        <v>14</v>
      </c>
      <c r="C10654" t="s">
        <v>22</v>
      </c>
      <c r="D10654" s="2" t="s">
        <f>=HYPERLINK("https://main.knesset.gov.il/APPS/legislation/main/bills/2157068", "הצעת חוק למניעת העסקה של עברייני מין במוסדות מסוימים (תיקון - הגדרת עבירת מין), התשפ""א-2021")</f>
        <v>20637</v>
      </c>
      <c r="E10654" t="s">
        <v>20637</v>
      </c>
      <c r="F10654" t="s">
        <v>20638</v>
      </c>
      <c r="G10654" t="s">
        <v>14</v>
      </c>
      <c r="H10654">
             </c>
      <c r="I10654" t="s">
        <v>14</v>
      </c>
      <c r="J10654" t="s">
        <v>141</v>
      </c>
      <c r="K10654" t="s">
        <v>14</v>
      </c>
      <c r="L10654" t="s">
        <v>20</v>
      </c>
      <c r="M10654" t="s">
        <v>20390</v>
      </c>
      <c r="N10654" t="s">
        <v>14</v>
      </c>
    </row>
    <row r="10655" x14ac:dyDescent="0.25">
      <c r="A10655" t="n">
        <v>24</v>
      </c>
      <c r="B10655" t="s">
        <v>14</v>
      </c>
      <c r="C10655" t="s">
        <v>22</v>
      </c>
      <c r="D10655" s="2" t="s">
        <f>=HYPERLINK("https://main.knesset.gov.il/APPS/legislation/main/bills/2157067", "הצעת חוק העמותות (תיקון - הסדרת מעמדן של אגודות עותמאניות כעמותות רשומות), התשפ""א-2021")</f>
        <v>20639</v>
      </c>
      <c r="E10655" t="s">
        <v>20639</v>
      </c>
      <c r="F10655" t="s">
        <v>20640</v>
      </c>
      <c r="G10655" t="s">
        <v>14</v>
      </c>
      <c r="H10655">
             </c>
      <c r="I10655" t="s">
        <v>14</v>
      </c>
      <c r="J10655" t="s">
        <v>141</v>
      </c>
      <c r="K10655" t="s">
        <v>14</v>
      </c>
      <c r="L10655" t="s">
        <v>20</v>
      </c>
      <c r="M10655" t="s">
        <v>20390</v>
      </c>
      <c r="N10655" t="s">
        <v>14</v>
      </c>
    </row>
    <row r="10656" x14ac:dyDescent="0.25">
      <c r="A10656" t="n">
        <v>24</v>
      </c>
      <c r="B10656" t="s">
        <v>14</v>
      </c>
      <c r="C10656" t="s">
        <v>22</v>
      </c>
      <c r="D10656" s="2" t="s">
        <f>=HYPERLINK("https://main.knesset.gov.il/APPS/legislation/main/bills/2156162", "הצעת חוק התקשורת (בזק ושידורים) (תיקון - התראת חיוב בהתקשרות לחוץ לארץ), התשפ""א-2021")</f>
        <v>20641</v>
      </c>
      <c r="E10656" t="s">
        <v>20641</v>
      </c>
      <c r="F10656" t="s">
        <v>20642</v>
      </c>
      <c r="G10656" t="s">
        <v>14</v>
      </c>
      <c r="H10656">
             </c>
      <c r="I10656" t="s">
        <v>14</v>
      </c>
      <c r="J10656" t="s">
        <v>141</v>
      </c>
      <c r="K10656" t="s">
        <v>14</v>
      </c>
      <c r="L10656" t="s">
        <v>20</v>
      </c>
      <c r="M10656" t="s">
        <v>20390</v>
      </c>
      <c r="N10656" t="s">
        <v>14</v>
      </c>
    </row>
    <row r="10657" x14ac:dyDescent="0.25">
      <c r="A10657" t="n">
        <v>24</v>
      </c>
      <c r="B10657" t="s">
        <v>14</v>
      </c>
      <c r="C10657" t="s">
        <v>22</v>
      </c>
      <c r="D10657" s="2" t="s">
        <f>=HYPERLINK("https://main.knesset.gov.il/APPS/legislation/main/bills/2156286", "הצעת חוק הגנת הצרכן (תיקון - קביעת סכום מרבי לחיוב חשבון), התשפ""א-2021")</f>
        <v>20643</v>
      </c>
      <c r="E10657" t="s">
        <v>20643</v>
      </c>
      <c r="F10657" t="s">
        <v>20644</v>
      </c>
      <c r="G10657" t="s">
        <v>14</v>
      </c>
      <c r="H10657">
             </c>
      <c r="I10657" t="s">
        <v>14</v>
      </c>
      <c r="J10657" t="s">
        <v>141</v>
      </c>
      <c r="K10657" t="s">
        <v>14</v>
      </c>
      <c r="L10657" t="s">
        <v>20</v>
      </c>
      <c r="M10657" t="s">
        <v>20390</v>
      </c>
      <c r="N10657" t="s">
        <v>14</v>
      </c>
    </row>
    <row r="10658" x14ac:dyDescent="0.25">
      <c r="A10658" t="n">
        <v>24</v>
      </c>
      <c r="B10658" t="s">
        <v>14</v>
      </c>
      <c r="C10658" t="s">
        <v>22</v>
      </c>
      <c r="D10658" s="2" t="s">
        <f>=HYPERLINK("https://main.knesset.gov.il/APPS/legislation/main/bills/2158052", "הצעת חוק המאבק בטרור (תיקון - זכות להחזיק בגופות מחבלים לצורכי משא ומתן), התשפ""א-2021")</f>
        <v>19510</v>
      </c>
      <c r="E10658" t="s">
        <v>19510</v>
      </c>
      <c r="F10658" t="s">
        <v>20645</v>
      </c>
      <c r="G10658" t="s">
        <v>14</v>
      </c>
      <c r="H10658">
             </c>
      <c r="I10658" t="s">
        <v>14</v>
      </c>
      <c r="J10658" t="s">
        <v>141</v>
      </c>
      <c r="K10658" t="s">
        <v>14</v>
      </c>
      <c r="L10658" t="s">
        <v>20</v>
      </c>
      <c r="M10658" t="s">
        <v>20390</v>
      </c>
      <c r="N10658" t="s">
        <v>14</v>
      </c>
    </row>
    <row r="10659" x14ac:dyDescent="0.25">
      <c r="A10659" t="n">
        <v>24</v>
      </c>
      <c r="B10659" t="s">
        <v>14</v>
      </c>
      <c r="C10659" t="s">
        <v>22</v>
      </c>
      <c r="D10659" s="2" t="s">
        <f>=HYPERLINK("https://main.knesset.gov.il/APPS/legislation/main/bills/2157711", "הצעת חוק ביטוח בריאות ממלכתי (תיקון - העברת מידע מלא בעת מעבר בין קופות החולים), התשפ""א-2021")</f>
        <v>20646</v>
      </c>
      <c r="E10659" t="s">
        <v>20646</v>
      </c>
      <c r="F10659" t="s">
        <v>20647</v>
      </c>
      <c r="G10659" t="s">
        <v>14</v>
      </c>
      <c r="H10659">
             </c>
      <c r="I10659" t="s">
        <v>14</v>
      </c>
      <c r="J10659" t="s">
        <v>141</v>
      </c>
      <c r="K10659" t="s">
        <v>14</v>
      </c>
      <c r="L10659" t="s">
        <v>20</v>
      </c>
      <c r="M10659" t="s">
        <v>20390</v>
      </c>
      <c r="N10659" t="s">
        <v>14</v>
      </c>
    </row>
    <row r="10660" x14ac:dyDescent="0.25">
      <c r="A10660" t="n">
        <v>24</v>
      </c>
      <c r="B10660" t="s">
        <v>14</v>
      </c>
      <c r="C10660" t="s">
        <v>22</v>
      </c>
      <c r="D10660" s="2" t="s">
        <f>=HYPERLINK("https://main.knesset.gov.il/APPS/legislation/main/bills/2158301", "הצעת חוק התפלגות סיעה (תיקוני חקיקה), התשפ""א-2021")</f>
        <v>20648</v>
      </c>
      <c r="E10660" t="s">
        <v>20648</v>
      </c>
      <c r="F10660" t="s">
        <v>20649</v>
      </c>
      <c r="G10660" t="s">
        <v>14</v>
      </c>
      <c r="H10660">
             </c>
      <c r="I10660" t="s">
        <v>14</v>
      </c>
      <c r="J10660" t="s">
        <v>141</v>
      </c>
      <c r="K10660" t="s">
        <v>14</v>
      </c>
      <c r="L10660" t="s">
        <v>20</v>
      </c>
      <c r="M10660" t="s">
        <v>20390</v>
      </c>
      <c r="N10660" t="s">
        <v>14</v>
      </c>
    </row>
    <row r="10661" x14ac:dyDescent="0.25">
      <c r="A10661" t="n">
        <v>24</v>
      </c>
      <c r="B10661" t="s">
        <v>14</v>
      </c>
      <c r="C10661" t="s">
        <v>22</v>
      </c>
      <c r="D10661" s="2" t="s">
        <f>=HYPERLINK("https://main.knesset.gov.il/APPS/legislation/main/bills/2158143", "הצעת חוק מועצת הצמחים (ייצור ושיווק) (תיקון - ביטול מועצת הצמחים), התשפ""א-2021")</f>
        <v>20650</v>
      </c>
      <c r="E10661" t="s">
        <v>20650</v>
      </c>
      <c r="F10661" t="s">
        <v>20651</v>
      </c>
      <c r="G10661" t="s">
        <v>14</v>
      </c>
      <c r="H10661">
             </c>
      <c r="I10661" t="s">
        <v>14</v>
      </c>
      <c r="J10661" t="s">
        <v>141</v>
      </c>
      <c r="K10661" t="s">
        <v>14</v>
      </c>
      <c r="L10661" t="s">
        <v>20</v>
      </c>
      <c r="M10661" t="s">
        <v>20390</v>
      </c>
      <c r="N10661" t="s">
        <v>14</v>
      </c>
    </row>
    <row r="10662" x14ac:dyDescent="0.25">
      <c r="A10662" t="n">
        <v>24</v>
      </c>
      <c r="B10662" t="s">
        <v>14</v>
      </c>
      <c r="C10662" t="s">
        <v>22</v>
      </c>
      <c r="D10662" s="2" t="s">
        <f>=HYPERLINK("https://main.knesset.gov.il/APPS/legislation/main/bills/2158300", "הצעת חוק התפלגות סיעה (תיקוני חקיקה), התשפ""א-2021")</f>
        <v>20648</v>
      </c>
      <c r="E10662" t="s">
        <v>20648</v>
      </c>
      <c r="F10662" t="s">
        <v>20652</v>
      </c>
      <c r="G10662" t="s">
        <v>14</v>
      </c>
      <c r="H10662">
             </c>
      <c r="I10662" t="s">
        <v>14</v>
      </c>
      <c r="J10662" t="s">
        <v>141</v>
      </c>
      <c r="K10662" t="s">
        <v>14</v>
      </c>
      <c r="L10662" t="s">
        <v>20</v>
      </c>
      <c r="M10662" t="s">
        <v>20390</v>
      </c>
      <c r="N10662" t="s">
        <v>14</v>
      </c>
    </row>
    <row r="10663" x14ac:dyDescent="0.25">
      <c r="A10663" t="n">
        <v>24</v>
      </c>
      <c r="B10663" t="s">
        <v>14</v>
      </c>
      <c r="C10663" t="s">
        <v>22</v>
      </c>
      <c r="D10663" s="2" t="s">
        <f>=HYPERLINK("https://main.knesset.gov.il/APPS/legislation/main/bills/2157825", "הצעת חוק החזרתם של תושבי איקרית ובירעם לכפריהם, התשפ""א-2021")</f>
        <v>20653</v>
      </c>
      <c r="E10663" t="s">
        <v>20653</v>
      </c>
      <c r="F10663" t="s">
        <v>20654</v>
      </c>
      <c r="G10663" t="s">
        <v>14</v>
      </c>
      <c r="H10663">
             </c>
      <c r="I10663" t="s">
        <v>14</v>
      </c>
      <c r="J10663" t="s">
        <v>141</v>
      </c>
      <c r="K10663" t="s">
        <v>14</v>
      </c>
      <c r="L10663" t="s">
        <v>20</v>
      </c>
      <c r="M10663" t="s">
        <v>20390</v>
      </c>
      <c r="N10663" t="s">
        <v>14</v>
      </c>
    </row>
    <row r="10664" x14ac:dyDescent="0.25">
      <c r="A10664" t="n">
        <v>24</v>
      </c>
      <c r="B10664" t="s">
        <v>14</v>
      </c>
      <c r="C10664" t="s">
        <v>22</v>
      </c>
      <c r="D10664" s="2" t="s">
        <f>=HYPERLINK("https://main.knesset.gov.il/APPS/legislation/main/bills/2157842", "הצעת חוק קירוב לבבות במערכת החינוך, התשפ""א-2021")</f>
        <v>20655</v>
      </c>
      <c r="E10664" t="s">
        <v>20655</v>
      </c>
      <c r="F10664" t="s">
        <v>20656</v>
      </c>
      <c r="G10664" t="s">
        <v>14</v>
      </c>
      <c r="H10664">
             </c>
      <c r="I10664" t="s">
        <v>14</v>
      </c>
      <c r="J10664" t="s">
        <v>141</v>
      </c>
      <c r="K10664" t="s">
        <v>14</v>
      </c>
      <c r="L10664" t="s">
        <v>20</v>
      </c>
      <c r="M10664" t="s">
        <v>20390</v>
      </c>
      <c r="N10664" t="s">
        <v>14</v>
      </c>
    </row>
    <row r="10665" x14ac:dyDescent="0.25">
      <c r="A10665" t="n">
        <v>24</v>
      </c>
      <c r="B10665" t="s">
        <v>14</v>
      </c>
      <c r="C10665" t="s">
        <v>22</v>
      </c>
      <c r="D10665" s="2" t="s">
        <f>=HYPERLINK("https://main.knesset.gov.il/APPS/legislation/main/bills/2157826", "הצעת חוק חינוך ממלכתי (תיקון - חובת לימוד עברית וערבית במוסדות חינוך תיכוניים), התשפ""א-2021")</f>
        <v>18824</v>
      </c>
      <c r="E10665" t="s">
        <v>18824</v>
      </c>
      <c r="F10665" t="s">
        <v>20657</v>
      </c>
      <c r="G10665" t="s">
        <v>14</v>
      </c>
      <c r="H10665">
             </c>
      <c r="I10665" t="s">
        <v>14</v>
      </c>
      <c r="J10665" t="s">
        <v>141</v>
      </c>
      <c r="K10665" t="s">
        <v>14</v>
      </c>
      <c r="L10665" t="s">
        <v>20</v>
      </c>
      <c r="M10665" t="s">
        <v>20390</v>
      </c>
      <c r="N10665" t="s">
        <v>14</v>
      </c>
    </row>
    <row r="10666" x14ac:dyDescent="0.25">
      <c r="A10666" t="n">
        <v>24</v>
      </c>
      <c r="B10666" t="s">
        <v>14</v>
      </c>
      <c r="C10666" t="s">
        <v>22</v>
      </c>
      <c r="D10666" s="2" t="s">
        <f>=HYPERLINK("https://main.knesset.gov.il/APPS/legislation/main/bills/2157797", "הצעת חוק הנצחת זכרם של קורבנות הטבח בכפר קאסם, התשפ""א-2021")</f>
        <v>18505</v>
      </c>
      <c r="E10666" t="s">
        <v>18505</v>
      </c>
      <c r="F10666" t="s">
        <v>20658</v>
      </c>
      <c r="G10666" t="s">
        <v>14</v>
      </c>
      <c r="H10666">
             </c>
      <c r="I10666" t="s">
        <v>14</v>
      </c>
      <c r="J10666" t="s">
        <v>141</v>
      </c>
      <c r="K10666" t="s">
        <v>14</v>
      </c>
      <c r="L10666" t="s">
        <v>20</v>
      </c>
      <c r="M10666" t="s">
        <v>20390</v>
      </c>
      <c r="N10666" t="s">
        <v>14</v>
      </c>
    </row>
    <row r="10667" x14ac:dyDescent="0.25">
      <c r="A10667" t="n">
        <v>24</v>
      </c>
      <c r="B10667" t="s">
        <v>14</v>
      </c>
      <c r="C10667" t="s">
        <v>22</v>
      </c>
      <c r="D10667" s="2" t="s">
        <f>=HYPERLINK("https://main.knesset.gov.il/APPS/legislation/main/bills/2158192", "הצעת חוק ביטוח בריאות ממלכתי (תיקון - הגבלת מספר המטופלים אצל רופא משפחה), התשפ""א-2021")</f>
        <v>20659</v>
      </c>
      <c r="E10667" t="s">
        <v>20659</v>
      </c>
      <c r="F10667" t="s">
        <v>20660</v>
      </c>
      <c r="G10667" t="s">
        <v>14</v>
      </c>
      <c r="H10667">
             </c>
      <c r="I10667" t="s">
        <v>14</v>
      </c>
      <c r="J10667" t="s">
        <v>141</v>
      </c>
      <c r="K10667" t="s">
        <v>14</v>
      </c>
      <c r="L10667" t="s">
        <v>20</v>
      </c>
      <c r="M10667" t="s">
        <v>20390</v>
      </c>
      <c r="N10667" t="s">
        <v>14</v>
      </c>
    </row>
    <row r="10668" x14ac:dyDescent="0.25">
      <c r="A10668" t="n">
        <v>24</v>
      </c>
      <c r="B10668" t="s">
        <v>14</v>
      </c>
      <c r="C10668" t="s">
        <v>22</v>
      </c>
      <c r="D10668" s="2" t="s">
        <f>=HYPERLINK("https://main.knesset.gov.il/APPS/legislation/main/bills/2157268", "הצעת חוק אימוץ ילדים (תיקון - כשירות המאמץ), התשפ""א-2021")</f>
        <v>20661</v>
      </c>
      <c r="E10668" t="s">
        <v>20661</v>
      </c>
      <c r="F10668" t="s">
        <v>20662</v>
      </c>
      <c r="G10668" t="s">
        <v>14</v>
      </c>
      <c r="H10668">
             </c>
      <c r="I10668" t="s">
        <v>14</v>
      </c>
      <c r="J10668" t="s">
        <v>141</v>
      </c>
      <c r="K10668" t="s">
        <v>14</v>
      </c>
      <c r="L10668" t="s">
        <v>20</v>
      </c>
      <c r="M10668" t="s">
        <v>20390</v>
      </c>
      <c r="N10668" t="s">
        <v>14</v>
      </c>
    </row>
    <row r="10669" x14ac:dyDescent="0.25">
      <c r="A10669" t="n">
        <v>24</v>
      </c>
      <c r="B10669" t="s">
        <v>14</v>
      </c>
      <c r="C10669" t="s">
        <v>22</v>
      </c>
      <c r="D10669" s="2" t="s">
        <f>=HYPERLINK("https://main.knesset.gov.il/APPS/legislation/main/bills/2157250", "הצעת חוק נישואים אזרחיים, התשפ""א-2021")</f>
        <v>20663</v>
      </c>
      <c r="E10669" t="s">
        <v>20663</v>
      </c>
      <c r="F10669" t="s">
        <v>20664</v>
      </c>
      <c r="G10669" t="s">
        <v>14</v>
      </c>
      <c r="H10669">
             </c>
      <c r="I10669" t="s">
        <v>14</v>
      </c>
      <c r="J10669" t="s">
        <v>141</v>
      </c>
      <c r="K10669" t="s">
        <v>14</v>
      </c>
      <c r="L10669" t="s">
        <v>20</v>
      </c>
      <c r="M10669" t="s">
        <v>20390</v>
      </c>
      <c r="N10669" t="s">
        <v>14</v>
      </c>
    </row>
    <row r="10670" x14ac:dyDescent="0.25">
      <c r="A10670" t="n">
        <v>24</v>
      </c>
      <c r="B10670" t="s">
        <v>14</v>
      </c>
      <c r="C10670" t="s">
        <v>22</v>
      </c>
      <c r="D10670" s="2" t="s">
        <f>=HYPERLINK("https://main.knesset.gov.il/APPS/legislation/main/bills/2157391", "הצעת חוק להגברת האכיפה של דיני העבודה (תיקון - עיצום כספי בשל אי-תשלום שכר שווה לעובדת ולעובד), התשפ""א-2021")</f>
        <v>20665</v>
      </c>
      <c r="E10670" t="s">
        <v>20665</v>
      </c>
      <c r="F10670" t="s">
        <v>20666</v>
      </c>
      <c r="G10670" t="s">
        <v>14</v>
      </c>
      <c r="H10670">
             </c>
      <c r="I10670" t="s">
        <v>14</v>
      </c>
      <c r="J10670" t="s">
        <v>141</v>
      </c>
      <c r="K10670" t="s">
        <v>14</v>
      </c>
      <c r="L10670" t="s">
        <v>20</v>
      </c>
      <c r="M10670" t="s">
        <v>20390</v>
      </c>
      <c r="N10670" t="s">
        <v>14</v>
      </c>
    </row>
    <row r="10671" x14ac:dyDescent="0.25">
      <c r="A10671" t="n">
        <v>24</v>
      </c>
      <c r="B10671" t="s">
        <v>14</v>
      </c>
      <c r="C10671" t="s">
        <v>22</v>
      </c>
      <c r="D10671" s="2" t="s">
        <f>=HYPERLINK("https://main.knesset.gov.il/APPS/legislation/main/bills/2157065", "הצעת חוק סדר הדין הפלילי (חקירת חשודים) (תיקון - יידוע זכויות חשודים), התשפ""א-2021")</f>
        <v>20667</v>
      </c>
      <c r="E10671" t="s">
        <v>20667</v>
      </c>
      <c r="F10671" t="s">
        <v>20668</v>
      </c>
      <c r="G10671" t="s">
        <v>14</v>
      </c>
      <c r="H10671">
             </c>
      <c r="I10671" t="s">
        <v>14</v>
      </c>
      <c r="J10671" t="s">
        <v>141</v>
      </c>
      <c r="K10671" t="s">
        <v>14</v>
      </c>
      <c r="L10671" t="s">
        <v>20</v>
      </c>
      <c r="M10671" t="s">
        <v>20390</v>
      </c>
      <c r="N10671" t="s">
        <v>14</v>
      </c>
    </row>
    <row r="10672" x14ac:dyDescent="0.25">
      <c r="A10672" t="n">
        <v>24</v>
      </c>
      <c r="B10672" t="s">
        <v>14</v>
      </c>
      <c r="C10672" t="s">
        <v>22</v>
      </c>
      <c r="D10672" s="2" t="s">
        <f>=HYPERLINK("https://main.knesset.gov.il/APPS/legislation/main/bills/2157390", "הצעת חוק להגברת האכיפה של דיני העבודה (תיקון - הפרת הוראות צווי הרחבה לעניין החזר הוצאות נסיעה), התשפ""א-2021")</f>
        <v>20669</v>
      </c>
      <c r="E10672" t="s">
        <v>20669</v>
      </c>
      <c r="F10672" t="s">
        <v>20670</v>
      </c>
      <c r="G10672" t="s">
        <v>14</v>
      </c>
      <c r="H10672">
             </c>
      <c r="I10672" t="s">
        <v>14</v>
      </c>
      <c r="J10672" t="s">
        <v>141</v>
      </c>
      <c r="K10672" t="s">
        <v>14</v>
      </c>
      <c r="L10672" t="s">
        <v>20</v>
      </c>
      <c r="M10672" t="s">
        <v>20390</v>
      </c>
      <c r="N10672" t="s">
        <v>14</v>
      </c>
    </row>
    <row r="10673" x14ac:dyDescent="0.25">
      <c r="A10673" t="n">
        <v>24</v>
      </c>
      <c r="B10673" t="s">
        <v>14</v>
      </c>
      <c r="C10673" t="s">
        <v>22</v>
      </c>
      <c r="D10673" s="2" t="s">
        <f>=HYPERLINK("https://main.knesset.gov.il/APPS/legislation/main/bills/2157064", "הצעת חוק תקופת צינון לבכירים בשירות הציבורי (תיקוני חקיקה), התשפ""א-2021")</f>
        <v>20671</v>
      </c>
      <c r="E10673" t="s">
        <v>20671</v>
      </c>
      <c r="F10673" t="s">
        <v>20672</v>
      </c>
      <c r="G10673" t="s">
        <v>14</v>
      </c>
      <c r="H10673">
             </c>
      <c r="I10673" t="s">
        <v>14</v>
      </c>
      <c r="J10673" t="s">
        <v>141</v>
      </c>
      <c r="K10673" t="s">
        <v>14</v>
      </c>
      <c r="L10673" t="s">
        <v>20</v>
      </c>
      <c r="M10673" t="s">
        <v>20390</v>
      </c>
      <c r="N10673" t="s">
        <v>14</v>
      </c>
    </row>
    <row r="10674" x14ac:dyDescent="0.25">
      <c r="A10674" t="n">
        <v>24</v>
      </c>
      <c r="B10674" t="s">
        <v>14</v>
      </c>
      <c r="C10674" t="s">
        <v>22</v>
      </c>
      <c r="D10674" s="2" t="s">
        <f>=HYPERLINK("https://main.knesset.gov.il/APPS/legislation/main/bills/2157380", "הצעת חוק חינוך ממלכתי (תיקון - חובת לימוד עברית וערבית), התשפ""א-2021")</f>
        <v>20673</v>
      </c>
      <c r="E10674" t="s">
        <v>20673</v>
      </c>
      <c r="F10674" t="s">
        <v>20674</v>
      </c>
      <c r="G10674" t="s">
        <v>14</v>
      </c>
      <c r="H10674">
             </c>
      <c r="I10674" t="s">
        <v>14</v>
      </c>
      <c r="J10674" t="s">
        <v>141</v>
      </c>
      <c r="K10674" t="s">
        <v>14</v>
      </c>
      <c r="L10674" t="s">
        <v>20</v>
      </c>
      <c r="M10674" t="s">
        <v>20390</v>
      </c>
      <c r="N10674" t="s">
        <v>14</v>
      </c>
    </row>
    <row r="10675" x14ac:dyDescent="0.25">
      <c r="A10675" t="n">
        <v>24</v>
      </c>
      <c r="B10675" t="s">
        <v>14</v>
      </c>
      <c r="C10675" t="s">
        <v>22</v>
      </c>
      <c r="D10675" s="2" t="s">
        <f>=HYPERLINK("https://main.knesset.gov.il/APPS/legislation/main/bills/2157373", "הצעת חוק חובת שימוש חוזר במי מזגנים, התשפ""א-2021")</f>
        <v>20675</v>
      </c>
      <c r="E10675" t="s">
        <v>20675</v>
      </c>
      <c r="F10675" t="s">
        <v>20676</v>
      </c>
      <c r="G10675" t="s">
        <v>14</v>
      </c>
      <c r="H10675">
             </c>
      <c r="I10675" t="s">
        <v>14</v>
      </c>
      <c r="J10675" t="s">
        <v>141</v>
      </c>
      <c r="K10675" t="s">
        <v>14</v>
      </c>
      <c r="L10675" t="s">
        <v>20</v>
      </c>
      <c r="M10675" t="s">
        <v>20390</v>
      </c>
      <c r="N10675" t="s">
        <v>14</v>
      </c>
    </row>
    <row r="10676" x14ac:dyDescent="0.25">
      <c r="A10676" t="n">
        <v>24</v>
      </c>
      <c r="B10676" t="s">
        <v>14</v>
      </c>
      <c r="C10676" t="s">
        <v>22</v>
      </c>
      <c r="D10676" s="2" t="s">
        <f>=HYPERLINK("https://main.knesset.gov.il/APPS/legislation/main/bills/2157798", "הצעת חוק שימוש חוזר במים אפורים, התשפ""א-2021")</f>
        <v>20677</v>
      </c>
      <c r="E10676" t="s">
        <v>20677</v>
      </c>
      <c r="F10676" t="s">
        <v>20678</v>
      </c>
      <c r="G10676" t="s">
        <v>14</v>
      </c>
      <c r="H10676">
             </c>
      <c r="I10676" t="s">
        <v>14</v>
      </c>
      <c r="J10676" t="s">
        <v>141</v>
      </c>
      <c r="K10676" t="s">
        <v>14</v>
      </c>
      <c r="L10676" t="s">
        <v>20</v>
      </c>
      <c r="M10676" t="s">
        <v>20390</v>
      </c>
      <c r="N10676" t="s">
        <v>14</v>
      </c>
    </row>
    <row r="10677" x14ac:dyDescent="0.25">
      <c r="A10677" t="n">
        <v>24</v>
      </c>
      <c r="B10677" t="s">
        <v>14</v>
      </c>
      <c r="C10677" t="s">
        <v>22</v>
      </c>
      <c r="D10677" s="2" t="s">
        <f>=HYPERLINK("https://main.knesset.gov.il/APPS/legislation/main/bills/2157061", "הצעת חוק הסיוע המשפטי (תיקון - נפגעי עבירות מין), התשפ""א-2021")</f>
        <v>20679</v>
      </c>
      <c r="E10677" t="s">
        <v>20679</v>
      </c>
      <c r="F10677" t="s">
        <v>20680</v>
      </c>
      <c r="G10677" t="s">
        <v>14</v>
      </c>
      <c r="H10677">
             </c>
      <c r="I10677" t="s">
        <v>14</v>
      </c>
      <c r="J10677" t="s">
        <v>141</v>
      </c>
      <c r="K10677" t="s">
        <v>14</v>
      </c>
      <c r="L10677" t="s">
        <v>20</v>
      </c>
      <c r="M10677" t="s">
        <v>20390</v>
      </c>
      <c r="N10677" t="s">
        <v>14</v>
      </c>
    </row>
    <row r="10678" x14ac:dyDescent="0.25">
      <c r="A10678" t="n">
        <v>24</v>
      </c>
      <c r="B10678" t="s">
        <v>14</v>
      </c>
      <c r="C10678" t="s">
        <v>22</v>
      </c>
      <c r="D10678" s="2" t="s">
        <f>=HYPERLINK("https://main.knesset.gov.il/APPS/legislation/main/bills/2157370", "הצעת חוק חובת הצגת תג זיהוי והזדהות של עובד ציבור, התשפ""א-2021")</f>
        <v>20681</v>
      </c>
      <c r="E10678" t="s">
        <v>20681</v>
      </c>
      <c r="F10678" t="s">
        <v>20682</v>
      </c>
      <c r="G10678" t="s">
        <v>14</v>
      </c>
      <c r="H10678">
             </c>
      <c r="I10678" t="s">
        <v>14</v>
      </c>
      <c r="J10678" t="s">
        <v>141</v>
      </c>
      <c r="K10678" t="s">
        <v>14</v>
      </c>
      <c r="L10678" t="s">
        <v>20</v>
      </c>
      <c r="M10678" t="s">
        <v>20390</v>
      </c>
      <c r="N10678" t="s">
        <v>14</v>
      </c>
    </row>
    <row r="10679" x14ac:dyDescent="0.25">
      <c r="A10679" t="n">
        <v>24</v>
      </c>
      <c r="B10679" t="s">
        <v>14</v>
      </c>
      <c r="C10679" t="s">
        <v>22</v>
      </c>
      <c r="D10679" s="2" t="s">
        <f>=HYPERLINK("https://main.knesset.gov.il/APPS/legislation/main/bills/2157060", "הצעת חוק ההוצאה לפועל (תיקון - שכר עורך דין), התשפ""א-2021")</f>
        <v>20683</v>
      </c>
      <c r="E10679" t="s">
        <v>20683</v>
      </c>
      <c r="F10679" t="s">
        <v>20684</v>
      </c>
      <c r="G10679" t="s">
        <v>14</v>
      </c>
      <c r="H10679">
             </c>
      <c r="I10679" t="s">
        <v>14</v>
      </c>
      <c r="J10679" t="s">
        <v>141</v>
      </c>
      <c r="K10679" t="s">
        <v>14</v>
      </c>
      <c r="L10679" t="s">
        <v>20</v>
      </c>
      <c r="M10679" t="s">
        <v>20390</v>
      </c>
      <c r="N10679" t="s">
        <v>14</v>
      </c>
    </row>
    <row r="10680" x14ac:dyDescent="0.25">
      <c r="A10680" t="n">
        <v>24</v>
      </c>
      <c r="B10680" t="s">
        <v>14</v>
      </c>
      <c r="C10680" t="s">
        <v>22</v>
      </c>
      <c r="D10680" s="2" t="s">
        <f>=HYPERLINK("https://main.knesset.gov.il/APPS/legislation/main/bills/2157726", "הצעת חוק למניעת הטרדה מינית (תיקון - הרחבת התחולה לגבי מוסד ציבורי הנותן שירות חיוני), התשפ""א-2021")</f>
        <v>20685</v>
      </c>
      <c r="E10680" t="s">
        <v>20685</v>
      </c>
      <c r="F10680" t="s">
        <v>20686</v>
      </c>
      <c r="G10680" t="s">
        <v>14</v>
      </c>
      <c r="H10680">
             </c>
      <c r="I10680" t="s">
        <v>14</v>
      </c>
      <c r="J10680" t="s">
        <v>141</v>
      </c>
      <c r="K10680" t="s">
        <v>14</v>
      </c>
      <c r="L10680" t="s">
        <v>20</v>
      </c>
      <c r="M10680" t="s">
        <v>20390</v>
      </c>
      <c r="N10680" t="s">
        <v>14</v>
      </c>
    </row>
    <row r="10681" x14ac:dyDescent="0.25">
      <c r="A10681" t="n">
        <v>24</v>
      </c>
      <c r="B10681" t="s">
        <v>14</v>
      </c>
      <c r="C10681" t="s">
        <v>22</v>
      </c>
      <c r="D10681" s="2" t="s">
        <f>=HYPERLINK("https://main.knesset.gov.il/APPS/legislation/main/bills/2157739", "הצעת חוק הביטוח הלאומי (תיקון - הרחבת הזכאות למענק לימודים), התשפ""א-2021")</f>
        <v>20687</v>
      </c>
      <c r="E10681" t="s">
        <v>20687</v>
      </c>
      <c r="F10681" t="s">
        <v>20688</v>
      </c>
      <c r="G10681" t="s">
        <v>14</v>
      </c>
      <c r="H10681">
             </c>
      <c r="I10681" t="s">
        <v>14</v>
      </c>
      <c r="J10681" t="s">
        <v>141</v>
      </c>
      <c r="K10681" t="s">
        <v>14</v>
      </c>
      <c r="L10681" t="s">
        <v>20</v>
      </c>
      <c r="M10681" t="s">
        <v>20390</v>
      </c>
      <c r="N10681" t="s">
        <v>14</v>
      </c>
    </row>
    <row r="10682" x14ac:dyDescent="0.25">
      <c r="A10682" t="n">
        <v>24</v>
      </c>
      <c r="B10682" t="s">
        <v>14</v>
      </c>
      <c r="C10682" t="s">
        <v>22</v>
      </c>
      <c r="D10682" s="2" t="s">
        <f>=HYPERLINK("https://main.knesset.gov.il/APPS/legislation/main/bills/2157795", "הצעת חוק רמת הגולן (תיקון - ביטול החוק), התשפ""א-2021")</f>
        <v>20096</v>
      </c>
      <c r="E10682" t="s">
        <v>20096</v>
      </c>
      <c r="F10682" t="s">
        <v>20689</v>
      </c>
      <c r="G10682" t="s">
        <v>14</v>
      </c>
      <c r="H10682">
             </c>
      <c r="I10682" t="s">
        <v>14</v>
      </c>
      <c r="J10682" t="s">
        <v>141</v>
      </c>
      <c r="K10682" t="s">
        <v>14</v>
      </c>
      <c r="L10682" t="s">
        <v>20</v>
      </c>
      <c r="M10682" t="s">
        <v>20390</v>
      </c>
      <c r="N10682" t="s">
        <v>14</v>
      </c>
    </row>
    <row r="10683" x14ac:dyDescent="0.25">
      <c r="A10683" t="n">
        <v>24</v>
      </c>
      <c r="B10683" t="s">
        <v>14</v>
      </c>
      <c r="C10683" t="s">
        <v>22</v>
      </c>
      <c r="D10683" s="2" t="s">
        <f>=HYPERLINK("https://main.knesset.gov.il/APPS/legislation/main/bills/2157059", "הצעת חוק ההוצאה לפועל (תיקון - קביעת תעריף מקסימלי לשכר טרחת עורך דין), התשפ""א-2021")</f>
        <v>19314</v>
      </c>
      <c r="E10683" t="s">
        <v>19314</v>
      </c>
      <c r="F10683" t="s">
        <v>20690</v>
      </c>
      <c r="G10683" t="s">
        <v>14</v>
      </c>
      <c r="H10683">
             </c>
      <c r="I10683" t="s">
        <v>14</v>
      </c>
      <c r="J10683" t="s">
        <v>141</v>
      </c>
      <c r="K10683" t="s">
        <v>14</v>
      </c>
      <c r="L10683" t="s">
        <v>20</v>
      </c>
      <c r="M10683" t="s">
        <v>20390</v>
      </c>
      <c r="N10683" t="s">
        <v>14</v>
      </c>
    </row>
    <row r="10684" x14ac:dyDescent="0.25">
      <c r="A10684" t="n">
        <v>24</v>
      </c>
      <c r="B10684" t="s">
        <v>14</v>
      </c>
      <c r="C10684" t="s">
        <v>22</v>
      </c>
      <c r="D10684" s="2" t="s">
        <f>=HYPERLINK("https://main.knesset.gov.il/APPS/legislation/main/bills/2158036", "הצעת חוק זכויות הסטודנט (תיקון - פעילות ציבורית), התשפ""א-2021")</f>
        <v>20691</v>
      </c>
      <c r="E10684" t="s">
        <v>20691</v>
      </c>
      <c r="F10684" t="s">
        <v>20692</v>
      </c>
      <c r="G10684" t="s">
        <v>14</v>
      </c>
      <c r="H10684">
             </c>
      <c r="I10684" t="s">
        <v>14</v>
      </c>
      <c r="J10684" t="s">
        <v>141</v>
      </c>
      <c r="K10684" t="s">
        <v>14</v>
      </c>
      <c r="L10684" t="s">
        <v>20</v>
      </c>
      <c r="M10684" t="s">
        <v>20390</v>
      </c>
      <c r="N10684" t="s">
        <v>14</v>
      </c>
    </row>
    <row r="10685" x14ac:dyDescent="0.25">
      <c r="A10685" t="n">
        <v>24</v>
      </c>
      <c r="B10685" t="s">
        <v>14</v>
      </c>
      <c r="C10685" t="s">
        <v>22</v>
      </c>
      <c r="D10685" s="2" t="s">
        <f>=HYPERLINK("https://main.knesset.gov.il/APPS/legislation/main/bills/2157959", "הצעת חוק זכויות הסטודנט (תיקון - פעילות ציבורית), התשפ""א-2021")</f>
        <v>20691</v>
      </c>
      <c r="E10685" t="s">
        <v>20691</v>
      </c>
      <c r="F10685" t="s">
        <v>20693</v>
      </c>
      <c r="G10685" t="s">
        <v>14</v>
      </c>
      <c r="H10685">
             </c>
      <c r="I10685" t="s">
        <v>14</v>
      </c>
      <c r="J10685" t="s">
        <v>141</v>
      </c>
      <c r="K10685" t="s">
        <v>14</v>
      </c>
      <c r="L10685" t="s">
        <v>20</v>
      </c>
      <c r="M10685" t="s">
        <v>20390</v>
      </c>
      <c r="N10685" t="s">
        <v>14</v>
      </c>
    </row>
    <row r="10686" x14ac:dyDescent="0.25">
      <c r="A10686" t="n">
        <v>24</v>
      </c>
      <c r="B10686" t="s">
        <v>14</v>
      </c>
      <c r="C10686" t="s">
        <v>22</v>
      </c>
      <c r="D10686" s="2" t="s">
        <f>=HYPERLINK("https://main.knesset.gov.il/APPS/legislation/main/bills/2157368", "הצעת חוק חובת המכרזים (תיקון - העדפת טובין ממוחזרים), התשפ""א-2021")</f>
        <v>19055</v>
      </c>
      <c r="E10686" t="s">
        <v>19055</v>
      </c>
      <c r="F10686" t="s">
        <v>20694</v>
      </c>
      <c r="G10686" t="s">
        <v>14</v>
      </c>
      <c r="H10686">
             </c>
      <c r="I10686" t="s">
        <v>14</v>
      </c>
      <c r="J10686" t="s">
        <v>141</v>
      </c>
      <c r="K10686" t="s">
        <v>14</v>
      </c>
      <c r="L10686" t="s">
        <v>20</v>
      </c>
      <c r="M10686" t="s">
        <v>20390</v>
      </c>
      <c r="N10686" t="s">
        <v>14</v>
      </c>
    </row>
    <row r="10687" x14ac:dyDescent="0.25">
      <c r="A10687" t="n">
        <v>24</v>
      </c>
      <c r="B10687" t="s">
        <v>14</v>
      </c>
      <c r="C10687" t="s">
        <v>22</v>
      </c>
      <c r="D10687" s="2" t="s">
        <f>=HYPERLINK("https://main.knesset.gov.il/APPS/legislation/main/bills/2157058", "הצעת חוק-יסוד: הכנסת (תיקון - חובת התייצבות בוועדות הכנסת)")</f>
        <v>20695</v>
      </c>
      <c r="E10687" t="s">
        <v>20695</v>
      </c>
      <c r="F10687" t="s">
        <v>20696</v>
      </c>
      <c r="G10687" t="s">
        <v>14</v>
      </c>
      <c r="H10687">
             </c>
      <c r="I10687" t="s">
        <v>14</v>
      </c>
      <c r="J10687" t="s">
        <v>141</v>
      </c>
      <c r="K10687" t="s">
        <v>14</v>
      </c>
      <c r="L10687" t="s">
        <v>20</v>
      </c>
      <c r="M10687" t="s">
        <v>20390</v>
      </c>
      <c r="N10687" t="s">
        <v>14</v>
      </c>
    </row>
    <row r="10688" x14ac:dyDescent="0.25">
      <c r="A10688" t="n">
        <v>24</v>
      </c>
      <c r="B10688" t="s">
        <v>14</v>
      </c>
      <c r="C10688" t="s">
        <v>22</v>
      </c>
      <c r="D10688" s="2" t="s">
        <f>=HYPERLINK("https://main.knesset.gov.il/APPS/legislation/main/bills/2157365", "הצעת חוק חובת המכרזים (תיקון - העדפת טובין בעלי תו תקן ירוק), התשפ""א-2021")</f>
        <v>19053</v>
      </c>
      <c r="E10688" t="s">
        <v>19053</v>
      </c>
      <c r="F10688" t="s">
        <v>20697</v>
      </c>
      <c r="G10688" t="s">
        <v>14</v>
      </c>
      <c r="H10688">
             </c>
      <c r="I10688" t="s">
        <v>14</v>
      </c>
      <c r="J10688" t="s">
        <v>141</v>
      </c>
      <c r="K10688" t="s">
        <v>14</v>
      </c>
      <c r="L10688" t="s">
        <v>20</v>
      </c>
      <c r="M10688" t="s">
        <v>20390</v>
      </c>
      <c r="N10688" t="s">
        <v>14</v>
      </c>
    </row>
    <row r="10689" x14ac:dyDescent="0.25">
      <c r="A10689" t="n">
        <v>24</v>
      </c>
      <c r="B10689" t="s">
        <v>14</v>
      </c>
      <c r="C10689" t="s">
        <v>22</v>
      </c>
      <c r="D10689" s="2" t="s">
        <f>=HYPERLINK("https://main.knesset.gov.il/APPS/legislation/main/bills/2157057", "הצעת חוק העונשין (תיקון - עבירות מין במשפחה), התשפ""א-2021")</f>
        <v>19945</v>
      </c>
      <c r="E10689" t="s">
        <v>19945</v>
      </c>
      <c r="F10689" t="s">
        <v>20698</v>
      </c>
      <c r="G10689" t="s">
        <v>14</v>
      </c>
      <c r="H10689">
             </c>
      <c r="I10689" t="s">
        <v>14</v>
      </c>
      <c r="J10689" t="s">
        <v>141</v>
      </c>
      <c r="K10689" t="s">
        <v>14</v>
      </c>
      <c r="L10689" t="s">
        <v>20</v>
      </c>
      <c r="M10689" t="s">
        <v>20390</v>
      </c>
      <c r="N10689" t="s">
        <v>14</v>
      </c>
    </row>
    <row r="10690" x14ac:dyDescent="0.25">
      <c r="A10690" t="n">
        <v>24</v>
      </c>
      <c r="B10690" t="s">
        <v>14</v>
      </c>
      <c r="C10690" t="s">
        <v>22</v>
      </c>
      <c r="D10690" s="2" t="s">
        <f>=HYPERLINK("https://main.knesset.gov.il/APPS/legislation/main/bills/2157361", "הצעת חוק חג המצות (איסורי חמץ) (תיקון - ביטול החוק), התשפ""א-2021")</f>
        <v>20699</v>
      </c>
      <c r="E10690" t="s">
        <v>20699</v>
      </c>
      <c r="F10690" t="s">
        <v>20700</v>
      </c>
      <c r="G10690" t="s">
        <v>14</v>
      </c>
      <c r="H10690">
             </c>
      <c r="I10690" t="s">
        <v>14</v>
      </c>
      <c r="J10690" t="s">
        <v>141</v>
      </c>
      <c r="K10690" t="s">
        <v>14</v>
      </c>
      <c r="L10690" t="s">
        <v>20</v>
      </c>
      <c r="M10690" t="s">
        <v>20390</v>
      </c>
      <c r="N10690" t="s">
        <v>14</v>
      </c>
    </row>
    <row r="10691" x14ac:dyDescent="0.25">
      <c r="A10691" t="n">
        <v>24</v>
      </c>
      <c r="B10691" t="s">
        <v>14</v>
      </c>
      <c r="C10691" t="s">
        <v>22</v>
      </c>
      <c r="D10691" s="2" t="s">
        <f>=HYPERLINK("https://main.knesset.gov.il/APPS/legislation/main/bills/2156383", "הצעת חוק ההוצאה לפועל (תיקון - הגבלת סכום עיקול בידי צד שלישי שהוא תאגיד בנקאי), התשפ""א-2021")</f>
        <v>20701</v>
      </c>
      <c r="E10691" t="s">
        <v>20701</v>
      </c>
      <c r="F10691" t="s">
        <v>20702</v>
      </c>
      <c r="G10691" t="s">
        <v>14</v>
      </c>
      <c r="H10691">
             </c>
      <c r="I10691" t="s">
        <v>14</v>
      </c>
      <c r="J10691" t="s">
        <v>141</v>
      </c>
      <c r="K10691" t="s">
        <v>14</v>
      </c>
      <c r="L10691" t="s">
        <v>20</v>
      </c>
      <c r="M10691" t="s">
        <v>20390</v>
      </c>
      <c r="N10691" t="s">
        <v>14</v>
      </c>
    </row>
    <row r="10692" x14ac:dyDescent="0.25">
      <c r="A10692" t="n">
        <v>24</v>
      </c>
      <c r="B10692" t="s">
        <v>14</v>
      </c>
      <c r="C10692" t="s">
        <v>22</v>
      </c>
      <c r="D10692" s="2" t="s">
        <f>=HYPERLINK("https://main.knesset.gov.il/APPS/legislation/main/bills/2157253", "הצעת חוק הפעלת תחבורה ציבורית מצומצמת ביום המנוחה השבועי, התשפ""א-2021")</f>
        <v>20703</v>
      </c>
      <c r="E10692" t="s">
        <v>20703</v>
      </c>
      <c r="F10692" t="s">
        <v>20704</v>
      </c>
      <c r="G10692" t="s">
        <v>14</v>
      </c>
      <c r="H10692">
             </c>
      <c r="I10692" t="s">
        <v>14</v>
      </c>
      <c r="J10692" t="s">
        <v>141</v>
      </c>
      <c r="K10692" t="s">
        <v>14</v>
      </c>
      <c r="L10692" t="s">
        <v>20</v>
      </c>
      <c r="M10692" t="s">
        <v>20390</v>
      </c>
      <c r="N10692" t="s">
        <v>14</v>
      </c>
    </row>
    <row r="10693" x14ac:dyDescent="0.25">
      <c r="A10693" t="n">
        <v>24</v>
      </c>
      <c r="B10693" t="s">
        <v>14</v>
      </c>
      <c r="C10693" t="s">
        <v>22</v>
      </c>
      <c r="D10693" s="2" t="s">
        <f>=HYPERLINK("https://main.knesset.gov.il/APPS/legislation/main/bills/2157352", "הצעת חוק זכויות הסטודנט (תיקון - חופש הביטוי וההתארגנות של סטודנטים), התשפ""א-2021")</f>
        <v>20705</v>
      </c>
      <c r="E10693" t="s">
        <v>20705</v>
      </c>
      <c r="F10693" t="s">
        <v>20706</v>
      </c>
      <c r="G10693" t="s">
        <v>14</v>
      </c>
      <c r="H10693">
             </c>
      <c r="I10693" t="s">
        <v>14</v>
      </c>
      <c r="J10693" t="s">
        <v>141</v>
      </c>
      <c r="K10693" t="s">
        <v>14</v>
      </c>
      <c r="L10693" t="s">
        <v>20</v>
      </c>
      <c r="M10693" t="s">
        <v>20390</v>
      </c>
      <c r="N10693" t="s">
        <v>14</v>
      </c>
    </row>
    <row r="10694" x14ac:dyDescent="0.25">
      <c r="A10694" t="n">
        <v>24</v>
      </c>
      <c r="B10694" t="s">
        <v>14</v>
      </c>
      <c r="C10694" t="s">
        <v>22</v>
      </c>
      <c r="D10694" s="2" t="s">
        <f>=HYPERLINK("https://main.knesset.gov.il/APPS/legislation/main/bills/2157672", "הצעת חוק לביטול ההתיישנות בעבירות מין במשפחה (תיקוני חקיקה), התשפ""א-2021")</f>
        <v>19925</v>
      </c>
      <c r="E10694" t="s">
        <v>19925</v>
      </c>
      <c r="F10694" t="s">
        <v>20707</v>
      </c>
      <c r="G10694" t="s">
        <v>14</v>
      </c>
      <c r="H10694">
             </c>
      <c r="I10694" t="s">
        <v>14</v>
      </c>
      <c r="J10694" t="s">
        <v>343</v>
      </c>
      <c r="K10694" t="s">
        <v>14</v>
      </c>
      <c r="L10694" t="s">
        <v>20</v>
      </c>
      <c r="M10694" t="s">
        <v>20390</v>
      </c>
      <c r="N10694" t="s">
        <v>14</v>
      </c>
    </row>
    <row r="10695" x14ac:dyDescent="0.25">
      <c r="A10695" t="n">
        <v>24</v>
      </c>
      <c r="B10695" t="s">
        <v>14</v>
      </c>
      <c r="C10695" t="s">
        <v>22</v>
      </c>
      <c r="D10695" s="2" t="s">
        <f>=HYPERLINK("https://main.knesset.gov.il/APPS/legislation/main/bills/2157235", "הצעת חוק לביטול ההתיישנות בעבירות מין במשפחה (תיקוני חקיקה), התשפ""א-2021")</f>
        <v>19925</v>
      </c>
      <c r="E10695" t="s">
        <v>19925</v>
      </c>
      <c r="F10695" t="s">
        <v>20708</v>
      </c>
      <c r="G10695" t="s">
        <v>14</v>
      </c>
      <c r="H10695">
             </c>
      <c r="I10695" t="s">
        <v>14</v>
      </c>
      <c r="J10695" t="s">
        <v>343</v>
      </c>
      <c r="K10695" t="s">
        <v>14</v>
      </c>
      <c r="L10695" t="s">
        <v>20</v>
      </c>
      <c r="M10695" t="s">
        <v>20390</v>
      </c>
      <c r="N10695" t="s">
        <v>14</v>
      </c>
    </row>
    <row r="10696" x14ac:dyDescent="0.25">
      <c r="A10696" t="n">
        <v>24</v>
      </c>
      <c r="B10696" t="s">
        <v>14</v>
      </c>
      <c r="C10696" t="s">
        <v>22</v>
      </c>
      <c r="D10696" s="2" t="s">
        <f>=HYPERLINK("https://main.knesset.gov.il/APPS/legislation/main/bills/2157340", "הצעת חוק זכויות החולה (תיקון - איסור הפליה על בסיס מצב כלכלי), התשפ""א-2021")</f>
        <v>20709</v>
      </c>
      <c r="E10696" t="s">
        <v>20709</v>
      </c>
      <c r="F10696" t="s">
        <v>20710</v>
      </c>
      <c r="G10696" t="s">
        <v>14</v>
      </c>
      <c r="H10696">
             </c>
      <c r="I10696" t="s">
        <v>14</v>
      </c>
      <c r="J10696" t="s">
        <v>141</v>
      </c>
      <c r="K10696" t="s">
        <v>14</v>
      </c>
      <c r="L10696" t="s">
        <v>20</v>
      </c>
      <c r="M10696" t="s">
        <v>20390</v>
      </c>
      <c r="N10696" t="s">
        <v>14</v>
      </c>
    </row>
    <row r="10697" x14ac:dyDescent="0.25">
      <c r="A10697" t="n">
        <v>24</v>
      </c>
      <c r="B10697" t="s">
        <v>14</v>
      </c>
      <c r="C10697" t="s">
        <v>22</v>
      </c>
      <c r="D10697" s="2" t="s">
        <f>=HYPERLINK("https://main.knesset.gov.il/APPS/legislation/main/bills/2157794", "הצעת חוק הביטוח הלאומי (תיקון - התאמת קצבת הסיעוד להעלאת שכר המינימום), התשפ""א-2021")</f>
        <v>20711</v>
      </c>
      <c r="E10697" t="s">
        <v>20711</v>
      </c>
      <c r="F10697" t="s">
        <v>20712</v>
      </c>
      <c r="G10697" t="s">
        <v>14</v>
      </c>
      <c r="H10697">
             </c>
      <c r="I10697" t="s">
        <v>14</v>
      </c>
      <c r="J10697" t="s">
        <v>141</v>
      </c>
      <c r="K10697" t="s">
        <v>14</v>
      </c>
      <c r="L10697" t="s">
        <v>20</v>
      </c>
      <c r="M10697" t="s">
        <v>20390</v>
      </c>
      <c r="N10697" t="s">
        <v>14</v>
      </c>
    </row>
    <row r="10698" x14ac:dyDescent="0.25">
      <c r="A10698" t="n">
        <v>24</v>
      </c>
      <c r="B10698" t="s">
        <v>14</v>
      </c>
      <c r="C10698" t="s">
        <v>22</v>
      </c>
      <c r="D10698" s="2" t="s">
        <f>=HYPERLINK("https://main.knesset.gov.il/APPS/legislation/main/bills/2157050", "הצעת חוק הגבלת תקופת עסקה בעניין הגרלות או הימורים, התשפ""א-2021")</f>
        <v>20713</v>
      </c>
      <c r="E10698" t="s">
        <v>20713</v>
      </c>
      <c r="F10698" t="s">
        <v>20714</v>
      </c>
      <c r="G10698" t="s">
        <v>14</v>
      </c>
      <c r="H10698">
             </c>
      <c r="I10698" t="s">
        <v>14</v>
      </c>
      <c r="J10698" t="s">
        <v>141</v>
      </c>
      <c r="K10698" t="s">
        <v>14</v>
      </c>
      <c r="L10698" t="s">
        <v>20</v>
      </c>
      <c r="M10698" t="s">
        <v>20390</v>
      </c>
      <c r="N10698" t="s">
        <v>14</v>
      </c>
    </row>
    <row r="10699" x14ac:dyDescent="0.25">
      <c r="A10699" t="n">
        <v>24</v>
      </c>
      <c r="B10699" t="s">
        <v>14</v>
      </c>
      <c r="C10699" t="s">
        <v>22</v>
      </c>
      <c r="D10699" s="2" t="s">
        <f>=HYPERLINK("https://main.knesset.gov.il/APPS/legislation/main/bills/2157662", "הצעת חוק הקרינה הבלתי מייננת (תיקון - תוספת מקורות קרינה שהקמתם והפעלתם אינה טעונה היתר), התשפ""א-2021")</f>
        <v>20715</v>
      </c>
      <c r="E10699" t="s">
        <v>20715</v>
      </c>
      <c r="F10699" t="s">
        <v>20716</v>
      </c>
      <c r="G10699" t="s">
        <v>14</v>
      </c>
      <c r="H10699">
             </c>
      <c r="I10699" t="s">
        <v>14</v>
      </c>
      <c r="J10699" t="s">
        <v>141</v>
      </c>
      <c r="K10699" t="s">
        <v>14</v>
      </c>
      <c r="L10699" t="s">
        <v>20</v>
      </c>
      <c r="M10699" t="s">
        <v>20390</v>
      </c>
      <c r="N10699" t="s">
        <v>14</v>
      </c>
    </row>
    <row r="10700" x14ac:dyDescent="0.25">
      <c r="A10700" t="n">
        <v>24</v>
      </c>
      <c r="B10700" t="s">
        <v>14</v>
      </c>
      <c r="C10700" t="s">
        <v>22</v>
      </c>
      <c r="D10700" s="2" t="s">
        <f>=HYPERLINK("https://main.knesset.gov.il/APPS/legislation/main/bills/2157709", "הצעת חוק לתיקון פקודת בתי הסוהר (מס' 48) (ביטול החוק), התשפ""א-2021")</f>
        <v>20717</v>
      </c>
      <c r="E10700" t="s">
        <v>20717</v>
      </c>
      <c r="F10700" t="s">
        <v>20718</v>
      </c>
      <c r="G10700" t="s">
        <v>14</v>
      </c>
      <c r="H10700">
             </c>
      <c r="I10700" t="s">
        <v>14</v>
      </c>
      <c r="J10700" t="s">
        <v>141</v>
      </c>
      <c r="K10700" t="s">
        <v>14</v>
      </c>
      <c r="L10700" t="s">
        <v>20</v>
      </c>
      <c r="M10700" t="s">
        <v>20390</v>
      </c>
      <c r="N10700" t="s">
        <v>14</v>
      </c>
    </row>
    <row r="10701" x14ac:dyDescent="0.25">
      <c r="A10701" t="n">
        <v>24</v>
      </c>
      <c r="B10701" t="s">
        <v>14</v>
      </c>
      <c r="C10701" t="s">
        <v>22</v>
      </c>
      <c r="D10701" s="2" t="s">
        <f>=HYPERLINK("https://main.knesset.gov.il/APPS/legislation/main/bills/2157730", "הצעת חוק העונשין (תיקון - החמרת הענישה בשל תקיפת עובדים סוציאליים), התשפ""א-2021 ")</f>
        <v>20719</v>
      </c>
      <c r="E10701" t="s">
        <v>20719</v>
      </c>
      <c r="F10701" t="s">
        <v>20720</v>
      </c>
      <c r="G10701" t="s">
        <v>14</v>
      </c>
      <c r="H10701">
             </c>
      <c r="I10701" t="s">
        <v>14</v>
      </c>
      <c r="J10701" t="s">
        <v>141</v>
      </c>
      <c r="K10701" t="s">
        <v>14</v>
      </c>
      <c r="L10701" t="s">
        <v>20</v>
      </c>
      <c r="M10701" t="s">
        <v>20390</v>
      </c>
      <c r="N10701" t="s">
        <v>14</v>
      </c>
    </row>
    <row r="10702" x14ac:dyDescent="0.25">
      <c r="A10702" t="n">
        <v>24</v>
      </c>
      <c r="B10702" t="s">
        <v>14</v>
      </c>
      <c r="C10702" t="s">
        <v>22</v>
      </c>
      <c r="D10702" s="2" t="s">
        <f>=HYPERLINK("https://main.knesset.gov.il/APPS/legislation/main/bills/2157789", "הצעת חוק לתיקון פקודת סדר הדין הפלילי (מעצר וחיפוש) (תנאים למסירת התפוס לפי צו), התשפ""א-2021")</f>
        <v>20721</v>
      </c>
      <c r="E10702" t="s">
        <v>20721</v>
      </c>
      <c r="F10702" t="s">
        <v>20722</v>
      </c>
      <c r="G10702" t="s">
        <v>14</v>
      </c>
      <c r="H10702">
             </c>
      <c r="I10702" t="s">
        <v>14</v>
      </c>
      <c r="J10702" t="s">
        <v>141</v>
      </c>
      <c r="K10702" t="s">
        <v>14</v>
      </c>
      <c r="L10702" t="s">
        <v>20</v>
      </c>
      <c r="M10702" t="s">
        <v>20390</v>
      </c>
      <c r="N10702" t="s">
        <v>14</v>
      </c>
    </row>
    <row r="10703" x14ac:dyDescent="0.25">
      <c r="A10703" t="n">
        <v>24</v>
      </c>
      <c r="B10703" t="s">
        <v>14</v>
      </c>
      <c r="C10703" t="s">
        <v>22</v>
      </c>
      <c r="D10703" s="2" t="s">
        <f>=HYPERLINK("https://main.knesset.gov.il/APPS/legislation/main/bills/2156344", "הצעת חוק המזונות (הבטחת תשלום) (תיקון - סכום שלא יובא בחשבון במבחן ההכנסה), התשפ""א-2021")</f>
        <v>19620</v>
      </c>
      <c r="E10703" t="s">
        <v>19620</v>
      </c>
      <c r="F10703" t="s">
        <v>20723</v>
      </c>
      <c r="G10703" t="s">
        <v>14</v>
      </c>
      <c r="H10703">
             </c>
      <c r="I10703" t="s">
        <v>14</v>
      </c>
      <c r="J10703" t="s">
        <v>141</v>
      </c>
      <c r="K10703" t="s">
        <v>14</v>
      </c>
      <c r="L10703" t="s">
        <v>20</v>
      </c>
      <c r="M10703" t="s">
        <v>20390</v>
      </c>
      <c r="N10703" t="s">
        <v>14</v>
      </c>
    </row>
    <row r="10704" x14ac:dyDescent="0.25">
      <c r="A10704" t="n">
        <v>24</v>
      </c>
      <c r="B10704" t="s">
        <v>14</v>
      </c>
      <c r="C10704" t="s">
        <v>22</v>
      </c>
      <c r="D10704" s="2" t="s">
        <f>=HYPERLINK("https://main.knesset.gov.il/APPS/legislation/main/bills/2157790", "הצעת חוק הפסקת שיטת ההעסקה הקבלנית, התשפ""א-2021")</f>
        <v>20724</v>
      </c>
      <c r="E10704" t="s">
        <v>20724</v>
      </c>
      <c r="F10704" t="s">
        <v>20725</v>
      </c>
      <c r="G10704" t="s">
        <v>14</v>
      </c>
      <c r="H10704">
             </c>
      <c r="I10704" t="s">
        <v>14</v>
      </c>
      <c r="J10704" t="s">
        <v>141</v>
      </c>
      <c r="K10704" t="s">
        <v>14</v>
      </c>
      <c r="L10704" t="s">
        <v>20</v>
      </c>
      <c r="M10704" t="s">
        <v>20390</v>
      </c>
      <c r="N10704" t="s">
        <v>14</v>
      </c>
    </row>
    <row r="10705" x14ac:dyDescent="0.25">
      <c r="A10705" t="n">
        <v>24</v>
      </c>
      <c r="B10705" t="s">
        <v>14</v>
      </c>
      <c r="C10705" t="s">
        <v>22</v>
      </c>
      <c r="D10705" s="2" t="s">
        <f>=HYPERLINK("https://main.knesset.gov.il/APPS/legislation/main/bills/2157741", "הצעת חוק תרומת ביציות (תיקון - מימון הקפאת ביציות למטרת שמירת פוריות של התורמת), התשפ""א-2021")</f>
        <v>20726</v>
      </c>
      <c r="E10705" t="s">
        <v>20726</v>
      </c>
      <c r="F10705" t="s">
        <v>20727</v>
      </c>
      <c r="G10705" t="s">
        <v>14</v>
      </c>
      <c r="H10705">
             </c>
      <c r="I10705" t="s">
        <v>14</v>
      </c>
      <c r="J10705" t="s">
        <v>141</v>
      </c>
      <c r="K10705" t="s">
        <v>14</v>
      </c>
      <c r="L10705" t="s">
        <v>20</v>
      </c>
      <c r="M10705" t="s">
        <v>20390</v>
      </c>
      <c r="N10705" t="s">
        <v>14</v>
      </c>
    </row>
    <row r="10706" x14ac:dyDescent="0.25">
      <c r="A10706" t="n">
        <v>24</v>
      </c>
      <c r="B10706" t="s">
        <v>14</v>
      </c>
      <c r="C10706" t="s">
        <v>22</v>
      </c>
      <c r="D10706" s="2" t="s">
        <f>=HYPERLINK("https://main.knesset.gov.il/APPS/legislation/main/bills/2156394", "הצעת חוק חסינות רבנים, התשפ""א-2021")</f>
        <v>20728</v>
      </c>
      <c r="E10706" t="s">
        <v>20728</v>
      </c>
      <c r="F10706" t="s">
        <v>20729</v>
      </c>
      <c r="G10706" t="s">
        <v>14</v>
      </c>
      <c r="H10706">
             </c>
      <c r="I10706" t="s">
        <v>14</v>
      </c>
      <c r="J10706" t="s">
        <v>141</v>
      </c>
      <c r="K10706" t="s">
        <v>14</v>
      </c>
      <c r="L10706" t="s">
        <v>20</v>
      </c>
      <c r="M10706" t="s">
        <v>20390</v>
      </c>
      <c r="N10706" t="s">
        <v>14</v>
      </c>
    </row>
    <row r="10707" x14ac:dyDescent="0.25">
      <c r="A10707" t="n">
        <v>24</v>
      </c>
      <c r="B10707" t="s">
        <v>14</v>
      </c>
      <c r="C10707" t="s">
        <v>22</v>
      </c>
      <c r="D10707" s="2" t="s">
        <f>=HYPERLINK("https://main.knesset.gov.il/APPS/legislation/main/bills/2156117", "הצעת חוק לתיקון פקודת התעבורה (איסור עישון ברכב שנמצא בו קטין שטרם מלאו לו 15 שנים), התשפ""א-2021")</f>
        <v>20730</v>
      </c>
      <c r="E10707" t="s">
        <v>20730</v>
      </c>
      <c r="F10707" t="s">
        <v>20731</v>
      </c>
      <c r="G10707" t="s">
        <v>14</v>
      </c>
      <c r="H10707">
             </c>
      <c r="I10707" t="s">
        <v>14</v>
      </c>
      <c r="J10707" t="s">
        <v>141</v>
      </c>
      <c r="K10707" t="s">
        <v>14</v>
      </c>
      <c r="L10707" t="s">
        <v>20</v>
      </c>
      <c r="M10707" t="s">
        <v>20390</v>
      </c>
      <c r="N10707" t="s">
        <v>14</v>
      </c>
    </row>
    <row r="10708" x14ac:dyDescent="0.25">
      <c r="A10708" t="n">
        <v>24</v>
      </c>
      <c r="B10708" t="s">
        <v>14</v>
      </c>
      <c r="C10708" t="s">
        <v>22</v>
      </c>
      <c r="D10708" s="2" t="s">
        <f>=HYPERLINK("https://main.knesset.gov.il/APPS/legislation/main/bills/2158006", "הצעת חוק אימוץ ילדים (תיקון - אימוץ על ידי הורה יחיד), התשפ""א-2021")</f>
        <v>20732</v>
      </c>
      <c r="E10708" t="s">
        <v>20732</v>
      </c>
      <c r="F10708" t="s">
        <v>20733</v>
      </c>
      <c r="G10708" t="s">
        <v>14</v>
      </c>
      <c r="H10708">
             </c>
      <c r="I10708" t="s">
        <v>14</v>
      </c>
      <c r="J10708" t="s">
        <v>141</v>
      </c>
      <c r="K10708" t="s">
        <v>14</v>
      </c>
      <c r="L10708" t="s">
        <v>20</v>
      </c>
      <c r="M10708" t="s">
        <v>20390</v>
      </c>
      <c r="N10708" t="s">
        <v>14</v>
      </c>
    </row>
    <row r="10709" x14ac:dyDescent="0.25">
      <c r="A10709" t="n">
        <v>24</v>
      </c>
      <c r="B10709" t="s">
        <v>14</v>
      </c>
      <c r="C10709" t="s">
        <v>22</v>
      </c>
      <c r="D10709" s="2" t="s">
        <f>=HYPERLINK("https://main.knesset.gov.il/APPS/legislation/main/bills/2156330", "הצעת חוק הגנת הפרטיות (תיקון - איסור פרסום שמו של נפגע), התשפ""א-2021")</f>
        <v>20734</v>
      </c>
      <c r="E10709" t="s">
        <v>20734</v>
      </c>
      <c r="F10709" t="s">
        <v>20735</v>
      </c>
      <c r="G10709" t="s">
        <v>14</v>
      </c>
      <c r="H10709">
             </c>
      <c r="I10709" t="s">
        <v>14</v>
      </c>
      <c r="J10709" t="s">
        <v>343</v>
      </c>
      <c r="K10709" t="s">
        <v>14</v>
      </c>
      <c r="L10709" t="s">
        <v>20</v>
      </c>
      <c r="M10709" t="s">
        <v>20390</v>
      </c>
      <c r="N10709" t="s">
        <v>14</v>
      </c>
    </row>
    <row r="10710" x14ac:dyDescent="0.25">
      <c r="A10710" t="n">
        <v>24</v>
      </c>
      <c r="B10710" t="s">
        <v>14</v>
      </c>
      <c r="C10710" t="s">
        <v>22</v>
      </c>
      <c r="D10710" s="2" t="s">
        <f>=HYPERLINK("https://main.knesset.gov.il/APPS/legislation/main/bills/2156412", "הצעת חוק לתיקון פקודת התעבורה (מרכז שירות ארצי לעניין כרטיס רב-קו), התשפ""א-2021")</f>
        <v>20736</v>
      </c>
      <c r="E10710" t="s">
        <v>20736</v>
      </c>
      <c r="F10710" t="s">
        <v>20737</v>
      </c>
      <c r="G10710" t="s">
        <v>14</v>
      </c>
      <c r="H10710">
             </c>
      <c r="I10710" t="s">
        <v>14</v>
      </c>
      <c r="J10710" t="s">
        <v>141</v>
      </c>
      <c r="K10710" t="s">
        <v>14</v>
      </c>
      <c r="L10710" t="s">
        <v>20</v>
      </c>
      <c r="M10710" t="s">
        <v>20390</v>
      </c>
      <c r="N10710" t="s">
        <v>14</v>
      </c>
    </row>
    <row r="10711" x14ac:dyDescent="0.25">
      <c r="A10711" t="n">
        <v>24</v>
      </c>
      <c r="B10711" t="s">
        <v>14</v>
      </c>
      <c r="C10711" t="s">
        <v>22</v>
      </c>
      <c r="D10711" s="2" t="s">
        <f>=HYPERLINK("https://main.knesset.gov.il/APPS/legislation/main/bills/2156276", "הצעת חוק תאגידי מים וביוב (תיקון - ביטול סמכויות גבייה ואכיפה מיוחדות), התשפ""א-2021")</f>
        <v>20738</v>
      </c>
      <c r="E10711" t="s">
        <v>20738</v>
      </c>
      <c r="F10711" t="s">
        <v>20739</v>
      </c>
      <c r="G10711" t="s">
        <v>14</v>
      </c>
      <c r="H10711">
             </c>
      <c r="I10711" t="s">
        <v>14</v>
      </c>
      <c r="J10711" t="s">
        <v>141</v>
      </c>
      <c r="K10711" t="s">
        <v>14</v>
      </c>
      <c r="L10711" t="s">
        <v>20</v>
      </c>
      <c r="M10711" t="s">
        <v>20390</v>
      </c>
      <c r="N10711" t="s">
        <v>14</v>
      </c>
    </row>
    <row r="10712" x14ac:dyDescent="0.25">
      <c r="A10712" t="n">
        <v>24</v>
      </c>
      <c r="B10712" t="s">
        <v>14</v>
      </c>
      <c r="C10712" t="s">
        <v>22</v>
      </c>
      <c r="D10712" s="2" t="s">
        <f>=HYPERLINK("https://main.knesset.gov.il/APPS/legislation/main/bills/2158088", "הצעת חוק התקנת מצלמות לשם פיקוח והגנה בחינוך המיוחד, התשפ""א-2021")</f>
        <v>20740</v>
      </c>
      <c r="E10712" t="s">
        <v>20740</v>
      </c>
      <c r="F10712" t="s">
        <v>20741</v>
      </c>
      <c r="G10712" t="s">
        <v>14</v>
      </c>
      <c r="H10712">
             </c>
      <c r="I10712" t="s">
        <v>14</v>
      </c>
      <c r="J10712" t="s">
        <v>141</v>
      </c>
      <c r="K10712" t="s">
        <v>14</v>
      </c>
      <c r="L10712" t="s">
        <v>20</v>
      </c>
      <c r="M10712" t="s">
        <v>20390</v>
      </c>
      <c r="N10712" t="s">
        <v>14</v>
      </c>
    </row>
    <row r="10713" x14ac:dyDescent="0.25">
      <c r="A10713" t="n">
        <v>24</v>
      </c>
      <c r="B10713" t="s">
        <v>14</v>
      </c>
      <c r="C10713" t="s">
        <v>22</v>
      </c>
      <c r="D10713" s="2" t="s">
        <f>=HYPERLINK("https://main.knesset.gov.il/APPS/legislation/main/bills/2156231", "הצעת חוק תיעוד הדבקה של כתבי בית דין (תיקוני חקיקה), התשפ""א-2021")</f>
        <v>20742</v>
      </c>
      <c r="E10713" t="s">
        <v>20742</v>
      </c>
      <c r="F10713" t="s">
        <v>20743</v>
      </c>
      <c r="G10713" t="s">
        <v>14</v>
      </c>
      <c r="H10713">
             </c>
      <c r="I10713" t="s">
        <v>14</v>
      </c>
      <c r="J10713" t="s">
        <v>141</v>
      </c>
      <c r="K10713" t="s">
        <v>14</v>
      </c>
      <c r="L10713" t="s">
        <v>20</v>
      </c>
      <c r="M10713" t="s">
        <v>20390</v>
      </c>
      <c r="N10713" t="s">
        <v>14</v>
      </c>
    </row>
    <row r="10714" x14ac:dyDescent="0.25">
      <c r="A10714" t="n">
        <v>24</v>
      </c>
      <c r="B10714" t="s">
        <v>14</v>
      </c>
      <c r="C10714" t="s">
        <v>22</v>
      </c>
      <c r="D10714" s="2" t="s">
        <f>=HYPERLINK("https://main.knesset.gov.il/APPS/legislation/main/bills/2156979", "הצעת חוק לתיקון פקודת התעבורה (הקמת מאגר אופניים ממונעים), התשפ""א-2021")</f>
        <v>20744</v>
      </c>
      <c r="E10714" t="s">
        <v>20744</v>
      </c>
      <c r="F10714" t="s">
        <v>20745</v>
      </c>
      <c r="G10714" t="s">
        <v>14</v>
      </c>
      <c r="H10714">
             </c>
      <c r="I10714" t="s">
        <v>14</v>
      </c>
      <c r="J10714" t="s">
        <v>141</v>
      </c>
      <c r="K10714" t="s">
        <v>14</v>
      </c>
      <c r="L10714" t="s">
        <v>20</v>
      </c>
      <c r="M10714" t="s">
        <v>20390</v>
      </c>
      <c r="N10714" t="s">
        <v>14</v>
      </c>
    </row>
    <row r="10715" x14ac:dyDescent="0.25">
      <c r="A10715" t="n">
        <v>24</v>
      </c>
      <c r="B10715" t="s">
        <v>14</v>
      </c>
      <c r="C10715" t="s">
        <v>22</v>
      </c>
      <c r="D10715" s="2" t="s">
        <f>=HYPERLINK("https://main.knesset.gov.il/APPS/legislation/main/bills/2156550", "הצעת חוק הדיינים (תיקון - נציגי הוועדה לבחירת דיינים), התשפ""א-2021")</f>
        <v>20746</v>
      </c>
      <c r="E10715" t="s">
        <v>20746</v>
      </c>
      <c r="F10715" t="s">
        <v>20747</v>
      </c>
      <c r="G10715" t="s">
        <v>14</v>
      </c>
      <c r="H10715">
             </c>
      <c r="I10715" t="s">
        <v>14</v>
      </c>
      <c r="J10715" t="s">
        <v>141</v>
      </c>
      <c r="K10715" t="s">
        <v>14</v>
      </c>
      <c r="L10715" t="s">
        <v>20</v>
      </c>
      <c r="M10715" t="s">
        <v>20390</v>
      </c>
      <c r="N10715" t="s">
        <v>14</v>
      </c>
    </row>
    <row r="10716" x14ac:dyDescent="0.25">
      <c r="A10716" t="n">
        <v>24</v>
      </c>
      <c r="B10716" t="s">
        <v>14</v>
      </c>
      <c r="C10716" t="s">
        <v>22</v>
      </c>
      <c r="D10716" s="2" t="s">
        <f>=HYPERLINK("https://main.knesset.gov.il/APPS/legislation/main/bills/2156488", "הצעת חוק השירות הצבאי או האזרחי, התשפ""א-2021")</f>
        <v>20748</v>
      </c>
      <c r="E10716" t="s">
        <v>20748</v>
      </c>
      <c r="F10716" t="s">
        <v>20749</v>
      </c>
      <c r="G10716" t="s">
        <v>14</v>
      </c>
      <c r="H10716">
             </c>
      <c r="I10716" t="s">
        <v>14</v>
      </c>
      <c r="J10716" t="s">
        <v>141</v>
      </c>
      <c r="K10716" t="s">
        <v>14</v>
      </c>
      <c r="L10716" t="s">
        <v>20</v>
      </c>
      <c r="M10716" t="s">
        <v>20390</v>
      </c>
      <c r="N10716" t="s">
        <v>14</v>
      </c>
    </row>
    <row r="10717" x14ac:dyDescent="0.25">
      <c r="A10717" t="n">
        <v>24</v>
      </c>
      <c r="B10717" t="s">
        <v>14</v>
      </c>
      <c r="C10717" t="s">
        <v>22</v>
      </c>
      <c r="D10717" s="2" t="s">
        <f>=HYPERLINK("https://main.knesset.gov.il/APPS/legislation/main/bills/2158283", "הצעת חוק מס ערך מוסף (תיקון - שיעור מס אפס על מוצרי יסוד ותרופות), התשפ""א-2021")</f>
        <v>20750</v>
      </c>
      <c r="E10717" t="s">
        <v>20750</v>
      </c>
      <c r="F10717" t="s">
        <v>20751</v>
      </c>
      <c r="G10717" t="s">
        <v>14</v>
      </c>
      <c r="H10717">
             </c>
      <c r="I10717" t="s">
        <v>14</v>
      </c>
      <c r="J10717" t="s">
        <v>141</v>
      </c>
      <c r="K10717" t="s">
        <v>14</v>
      </c>
      <c r="L10717" t="s">
        <v>20</v>
      </c>
      <c r="M10717" t="s">
        <v>20390</v>
      </c>
      <c r="N10717" t="s">
        <v>14</v>
      </c>
    </row>
    <row r="10718" x14ac:dyDescent="0.25">
      <c r="A10718" t="n">
        <v>24</v>
      </c>
      <c r="B10718" t="s">
        <v>14</v>
      </c>
      <c r="C10718" t="s">
        <v>22</v>
      </c>
      <c r="D10718" s="2" t="s">
        <f>=HYPERLINK("https://main.knesset.gov.il/APPS/legislation/main/bills/2157257", "הצעת חוק איסור טיפול המרה לקטין, התשפ""א-2021")</f>
        <v>19283</v>
      </c>
      <c r="E10718" t="s">
        <v>19283</v>
      </c>
      <c r="F10718" t="s">
        <v>20752</v>
      </c>
      <c r="G10718" t="s">
        <v>14</v>
      </c>
      <c r="H10718">
             </c>
      <c r="I10718" t="s">
        <v>14</v>
      </c>
      <c r="J10718" t="s">
        <v>141</v>
      </c>
      <c r="K10718" t="s">
        <v>14</v>
      </c>
      <c r="L10718" t="s">
        <v>20</v>
      </c>
      <c r="M10718" t="s">
        <v>20390</v>
      </c>
      <c r="N10718" t="s">
        <v>14</v>
      </c>
    </row>
    <row r="10719" x14ac:dyDescent="0.25">
      <c r="A10719" t="n">
        <v>24</v>
      </c>
      <c r="B10719" t="s">
        <v>14</v>
      </c>
      <c r="C10719" t="s">
        <v>22</v>
      </c>
      <c r="D10719" s="2" t="s">
        <f>=HYPERLINK("https://main.knesset.gov.il/APPS/legislation/main/bills/2157923", "הצעת חוק איסור טיפול המרה לקטין, התשפ""א-2021")</f>
        <v>19283</v>
      </c>
      <c r="E10719" t="s">
        <v>19283</v>
      </c>
      <c r="F10719" t="s">
        <v>20753</v>
      </c>
      <c r="G10719" t="s">
        <v>14</v>
      </c>
      <c r="H10719">
             </c>
      <c r="I10719" t="s">
        <v>14</v>
      </c>
      <c r="J10719" t="s">
        <v>141</v>
      </c>
      <c r="K10719" t="s">
        <v>14</v>
      </c>
      <c r="L10719" t="s">
        <v>20</v>
      </c>
      <c r="M10719" t="s">
        <v>20390</v>
      </c>
      <c r="N10719" t="s">
        <v>14</v>
      </c>
    </row>
    <row r="10720" x14ac:dyDescent="0.25">
      <c r="A10720" t="n">
        <v>24</v>
      </c>
      <c r="B10720" t="s">
        <v>14</v>
      </c>
      <c r="C10720" t="s">
        <v>22</v>
      </c>
      <c r="D10720" s="2" t="s">
        <f>=HYPERLINK("https://main.knesset.gov.il/APPS/legislation/main/bills/2157693", "הצעת חוק למניעת הטרדה מינית (תיקון - הטלת חובות לשם מניעת הטרדה מינית במוסד חינוך), התשפ""א-2021")</f>
        <v>20754</v>
      </c>
      <c r="E10720" t="s">
        <v>20754</v>
      </c>
      <c r="F10720" t="s">
        <v>20755</v>
      </c>
      <c r="G10720" t="s">
        <v>14</v>
      </c>
      <c r="H10720">
             </c>
      <c r="I10720" t="s">
        <v>14</v>
      </c>
      <c r="J10720" t="s">
        <v>141</v>
      </c>
      <c r="K10720" t="s">
        <v>14</v>
      </c>
      <c r="L10720" t="s">
        <v>20</v>
      </c>
      <c r="M10720" t="s">
        <v>20390</v>
      </c>
      <c r="N10720" t="s">
        <v>14</v>
      </c>
    </row>
    <row r="10721" x14ac:dyDescent="0.25">
      <c r="A10721" t="n">
        <v>24</v>
      </c>
      <c r="B10721" t="s">
        <v>14</v>
      </c>
      <c r="C10721" t="s">
        <v>22</v>
      </c>
      <c r="D10721" s="2" t="s">
        <f>=HYPERLINK("https://main.knesset.gov.il/APPS/legislation/main/bills/2158282", "הצעת חוק מגן דוד אדום (תיקון - פריסת ניידות טיפול נמרץ ברחבי המדינה), התשפ""א-2021")</f>
        <v>20756</v>
      </c>
      <c r="E10721" t="s">
        <v>20756</v>
      </c>
      <c r="F10721" t="s">
        <v>20757</v>
      </c>
      <c r="G10721" t="s">
        <v>14</v>
      </c>
      <c r="H10721">
             </c>
      <c r="I10721" t="s">
        <v>14</v>
      </c>
      <c r="J10721" t="s">
        <v>141</v>
      </c>
      <c r="K10721" t="s">
        <v>14</v>
      </c>
      <c r="L10721" t="s">
        <v>20</v>
      </c>
      <c r="M10721" t="s">
        <v>20390</v>
      </c>
      <c r="N10721" t="s">
        <v>14</v>
      </c>
    </row>
    <row r="10722" x14ac:dyDescent="0.25">
      <c r="A10722" t="n">
        <v>24</v>
      </c>
      <c r="B10722" t="s">
        <v>14</v>
      </c>
      <c r="C10722" t="s">
        <v>22</v>
      </c>
      <c r="D10722" s="2" t="s">
        <f>=HYPERLINK("https://main.knesset.gov.il/APPS/legislation/main/bills/2157400", "הצעת חוק למניעת הטרדה מינית (תיקון - הטלת חובות לשם מניעת הטרדה מינית במוסד חינוך), התשפ""א-2021")</f>
        <v>20754</v>
      </c>
      <c r="E10722" t="s">
        <v>20754</v>
      </c>
      <c r="F10722" t="s">
        <v>20758</v>
      </c>
      <c r="G10722" t="s">
        <v>14</v>
      </c>
      <c r="H10722">
             </c>
      <c r="I10722" t="s">
        <v>14</v>
      </c>
      <c r="J10722" t="s">
        <v>141</v>
      </c>
      <c r="K10722" t="s">
        <v>14</v>
      </c>
      <c r="L10722" t="s">
        <v>20</v>
      </c>
      <c r="M10722" t="s">
        <v>20390</v>
      </c>
      <c r="N10722" t="s">
        <v>14</v>
      </c>
    </row>
    <row r="10723" x14ac:dyDescent="0.25">
      <c r="A10723" t="n">
        <v>24</v>
      </c>
      <c r="B10723" t="s">
        <v>14</v>
      </c>
      <c r="C10723" t="s">
        <v>22</v>
      </c>
      <c r="D10723" s="2" t="s">
        <f>=HYPERLINK("https://main.knesset.gov.il/APPS/legislation/main/bills/2157049", "הצעת חוק הבחירות לכנסת (תיקון - ביטול אחוז החסימה ותיקון הסכמי עודפים), התשפ""א-2021")</f>
        <v>20759</v>
      </c>
      <c r="E10723" t="s">
        <v>20759</v>
      </c>
      <c r="F10723" t="s">
        <v>20760</v>
      </c>
      <c r="G10723" t="s">
        <v>14</v>
      </c>
      <c r="H10723">
             </c>
      <c r="I10723" t="s">
        <v>14</v>
      </c>
      <c r="J10723" t="s">
        <v>141</v>
      </c>
      <c r="K10723" t="s">
        <v>14</v>
      </c>
      <c r="L10723" t="s">
        <v>20</v>
      </c>
      <c r="M10723" t="s">
        <v>20390</v>
      </c>
      <c r="N10723" t="s">
        <v>14</v>
      </c>
    </row>
    <row r="10724" x14ac:dyDescent="0.25">
      <c r="A10724" t="n">
        <v>24</v>
      </c>
      <c r="B10724" t="s">
        <v>14</v>
      </c>
      <c r="C10724" t="s">
        <v>22</v>
      </c>
      <c r="D10724" s="2" t="s">
        <f>=HYPERLINK("https://main.knesset.gov.il/APPS/legislation/main/bills/2157334", "הצעת חוק פסילת חבר מועצה מועמד למלא מקום ראש רשות מקומית שהושעה בשל הגשת כתב אישום (תיקוני חקיקה), התשפ""א-2021")</f>
        <v>20761</v>
      </c>
      <c r="E10724" t="s">
        <v>20761</v>
      </c>
      <c r="F10724" t="s">
        <v>20762</v>
      </c>
      <c r="G10724" t="s">
        <v>14</v>
      </c>
      <c r="H10724">
             </c>
      <c r="I10724" t="s">
        <v>14</v>
      </c>
      <c r="J10724" t="s">
        <v>141</v>
      </c>
      <c r="K10724" t="s">
        <v>14</v>
      </c>
      <c r="L10724" t="s">
        <v>20</v>
      </c>
      <c r="M10724" t="s">
        <v>20390</v>
      </c>
      <c r="N10724" t="s">
        <v>14</v>
      </c>
    </row>
    <row r="10725" x14ac:dyDescent="0.25">
      <c r="A10725" t="n">
        <v>24</v>
      </c>
      <c r="B10725" t="s">
        <v>14</v>
      </c>
      <c r="C10725" t="s">
        <v>22</v>
      </c>
      <c r="D10725" s="2" t="s">
        <f>=HYPERLINK("https://main.knesset.gov.il/APPS/legislation/main/bills/2157048", "הצעת חוק העונשין (תיקון - הסתה לגזענות), התשפ""א-2021")</f>
        <v>20763</v>
      </c>
      <c r="E10725" t="s">
        <v>20763</v>
      </c>
      <c r="F10725" t="s">
        <v>20764</v>
      </c>
      <c r="G10725" t="s">
        <v>14</v>
      </c>
      <c r="H10725">
             </c>
      <c r="I10725" t="s">
        <v>14</v>
      </c>
      <c r="J10725" t="s">
        <v>141</v>
      </c>
      <c r="K10725" t="s">
        <v>14</v>
      </c>
      <c r="L10725" t="s">
        <v>20</v>
      </c>
      <c r="M10725" t="s">
        <v>20390</v>
      </c>
      <c r="N10725" t="s">
        <v>14</v>
      </c>
    </row>
    <row r="10726" x14ac:dyDescent="0.25">
      <c r="A10726" t="n">
        <v>24</v>
      </c>
      <c r="B10726" t="s">
        <v>14</v>
      </c>
      <c r="C10726" t="s">
        <v>22</v>
      </c>
      <c r="D10726" s="2" t="s">
        <f>=HYPERLINK("https://main.knesset.gov.il/APPS/legislation/main/bills/2157330", "הצעת חוק הרשויות המקומיות (בחירת ראש הרשות וסגניו וכהונתם) (תיקון - בחירת חבר מועצה למילוי מקום ראש רשות וסגניו), התשפ""א-2021")</f>
        <v>20765</v>
      </c>
      <c r="E10726" t="s">
        <v>20765</v>
      </c>
      <c r="F10726" t="s">
        <v>20766</v>
      </c>
      <c r="G10726" t="s">
        <v>14</v>
      </c>
      <c r="H10726">
             </c>
      <c r="I10726" t="s">
        <v>14</v>
      </c>
      <c r="J10726" t="s">
        <v>141</v>
      </c>
      <c r="K10726" t="s">
        <v>14</v>
      </c>
      <c r="L10726" t="s">
        <v>20</v>
      </c>
      <c r="M10726" t="s">
        <v>20390</v>
      </c>
      <c r="N10726" t="s">
        <v>14</v>
      </c>
    </row>
    <row r="10727" x14ac:dyDescent="0.25">
      <c r="A10727" t="n">
        <v>24</v>
      </c>
      <c r="B10727" t="s">
        <v>14</v>
      </c>
      <c r="C10727" t="s">
        <v>22</v>
      </c>
      <c r="D10727" s="2" t="s">
        <f>=HYPERLINK("https://main.knesset.gov.il/APPS/legislation/main/bills/2157047", "הצעת חוק להסדרת ההימורים החוקיים בישראל, התשפ""א-2021")</f>
        <v>20767</v>
      </c>
      <c r="E10727" t="s">
        <v>20767</v>
      </c>
      <c r="F10727" t="s">
        <v>20768</v>
      </c>
      <c r="G10727" t="s">
        <v>14</v>
      </c>
      <c r="H10727">
             </c>
      <c r="I10727" t="s">
        <v>14</v>
      </c>
      <c r="J10727" t="s">
        <v>141</v>
      </c>
      <c r="K10727" t="s">
        <v>14</v>
      </c>
      <c r="L10727" t="s">
        <v>20</v>
      </c>
      <c r="M10727" t="s">
        <v>20390</v>
      </c>
      <c r="N10727" t="s">
        <v>14</v>
      </c>
    </row>
    <row r="10728" x14ac:dyDescent="0.25">
      <c r="A10728" t="n">
        <v>24</v>
      </c>
      <c r="B10728" t="s">
        <v>14</v>
      </c>
      <c r="C10728" t="s">
        <v>22</v>
      </c>
      <c r="D10728" s="2" t="s">
        <f>=HYPERLINK("https://main.knesset.gov.il/APPS/legislation/main/bills/2157323", "הצעת חוק העונשין (תיקון - איסור על עבירות נלוות לחשפנות לצורך גירוי מיני), התשפ""א-2021")</f>
        <v>20769</v>
      </c>
      <c r="E10728" t="s">
        <v>20769</v>
      </c>
      <c r="F10728" t="s">
        <v>20770</v>
      </c>
      <c r="G10728" t="s">
        <v>14</v>
      </c>
      <c r="H10728">
             </c>
      <c r="I10728" t="s">
        <v>14</v>
      </c>
      <c r="J10728" t="s">
        <v>141</v>
      </c>
      <c r="K10728" t="s">
        <v>14</v>
      </c>
      <c r="L10728" t="s">
        <v>20</v>
      </c>
      <c r="M10728" t="s">
        <v>20390</v>
      </c>
      <c r="N10728" t="s">
        <v>14</v>
      </c>
    </row>
    <row r="10729" x14ac:dyDescent="0.25">
      <c r="A10729" t="n">
        <v>24</v>
      </c>
      <c r="B10729" t="s">
        <v>14</v>
      </c>
      <c r="C10729" t="s">
        <v>22</v>
      </c>
      <c r="D10729" s="2" t="s">
        <f>=HYPERLINK("https://main.knesset.gov.il/APPS/legislation/main/bills/2157043", "הצעת חוק למניעת הטרדה מינית (תיקון - דין התפטרות עקב הטרדה מינית או התנכלות כפיטורין), התשפ""א-2021")</f>
        <v>20771</v>
      </c>
      <c r="E10729" t="s">
        <v>20771</v>
      </c>
      <c r="F10729" t="s">
        <v>20772</v>
      </c>
      <c r="G10729" t="s">
        <v>14</v>
      </c>
      <c r="H10729">
             </c>
      <c r="I10729" t="s">
        <v>14</v>
      </c>
      <c r="J10729" t="s">
        <v>141</v>
      </c>
      <c r="K10729" t="s">
        <v>14</v>
      </c>
      <c r="L10729" t="s">
        <v>20</v>
      </c>
      <c r="M10729" t="s">
        <v>20390</v>
      </c>
      <c r="N10729" t="s">
        <v>14</v>
      </c>
    </row>
    <row r="10730" x14ac:dyDescent="0.25">
      <c r="A10730" t="n">
        <v>24</v>
      </c>
      <c r="B10730" t="s">
        <v>14</v>
      </c>
      <c r="C10730" t="s">
        <v>22</v>
      </c>
      <c r="D10730" s="2" t="s">
        <f>=HYPERLINK("https://main.knesset.gov.il/APPS/legislation/main/bills/2157318", "הצעת חוק הסדרים במשק המדינה (תיקוני חקיקה להשגת יעדי התקציב) (תיקון - פטור מארנונה לנשים ששהו במקלט לנשים מוכות), התשפ""א-2021")</f>
        <v>20773</v>
      </c>
      <c r="E10730" t="s">
        <v>20773</v>
      </c>
      <c r="F10730" t="s">
        <v>20774</v>
      </c>
      <c r="G10730" t="s">
        <v>14</v>
      </c>
      <c r="H10730">
             </c>
      <c r="I10730" t="s">
        <v>14</v>
      </c>
      <c r="J10730" t="s">
        <v>141</v>
      </c>
      <c r="K10730" t="s">
        <v>14</v>
      </c>
      <c r="L10730" t="s">
        <v>20</v>
      </c>
      <c r="M10730" t="s">
        <v>20390</v>
      </c>
      <c r="N10730" t="s">
        <v>14</v>
      </c>
    </row>
    <row r="10731" x14ac:dyDescent="0.25">
      <c r="A10731" t="n">
        <v>24</v>
      </c>
      <c r="B10731" t="s">
        <v>14</v>
      </c>
      <c r="C10731" t="s">
        <v>22</v>
      </c>
      <c r="D10731" s="2" t="s">
        <f>=HYPERLINK("https://main.knesset.gov.il/APPS/legislation/main/bills/2157042", "הצעת חוק שירות המדינה (מינויים) (תיקון - חובת פרסום שאלון לאיתור חשש לניגוד עניינים), התשפ""א-2021")</f>
        <v>20775</v>
      </c>
      <c r="E10731" t="s">
        <v>20775</v>
      </c>
      <c r="F10731" t="s">
        <v>20776</v>
      </c>
      <c r="G10731" t="s">
        <v>14</v>
      </c>
      <c r="H10731">
             </c>
      <c r="I10731" t="s">
        <v>14</v>
      </c>
      <c r="J10731" t="s">
        <v>141</v>
      </c>
      <c r="K10731" t="s">
        <v>14</v>
      </c>
      <c r="L10731" t="s">
        <v>20</v>
      </c>
      <c r="M10731" t="s">
        <v>20390</v>
      </c>
      <c r="N10731" t="s">
        <v>14</v>
      </c>
    </row>
    <row r="10732" x14ac:dyDescent="0.25">
      <c r="A10732" t="n">
        <v>24</v>
      </c>
      <c r="B10732" t="s">
        <v>14</v>
      </c>
      <c r="C10732" t="s">
        <v>22</v>
      </c>
      <c r="D10732" s="2" t="s">
        <f>=HYPERLINK("https://main.knesset.gov.il/APPS/legislation/main/bills/2158014", "הצעת חוק ביטול עונש המוות (תיקוני חקיקה), התשפ""א-2021")</f>
        <v>20777</v>
      </c>
      <c r="E10732" t="s">
        <v>20777</v>
      </c>
      <c r="F10732" t="s">
        <v>20778</v>
      </c>
      <c r="G10732" t="s">
        <v>14</v>
      </c>
      <c r="H10732">
             </c>
      <c r="I10732" t="s">
        <v>14</v>
      </c>
      <c r="J10732" t="s">
        <v>141</v>
      </c>
      <c r="K10732" t="s">
        <v>14</v>
      </c>
      <c r="L10732" t="s">
        <v>20</v>
      </c>
      <c r="M10732" t="s">
        <v>20390</v>
      </c>
      <c r="N10732" t="s">
        <v>14</v>
      </c>
    </row>
    <row r="10733" x14ac:dyDescent="0.25">
      <c r="A10733" t="n">
        <v>24</v>
      </c>
      <c r="B10733" t="s">
        <v>14</v>
      </c>
      <c r="C10733" t="s">
        <v>22</v>
      </c>
      <c r="D10733" s="2" t="s">
        <f>=HYPERLINK("https://main.knesset.gov.il/APPS/legislation/main/bills/2157111", "הצעת חוק ביטול עונש המוות (תיקוני חקיקה), התשפ""א-2021")</f>
        <v>20777</v>
      </c>
      <c r="E10733" t="s">
        <v>20777</v>
      </c>
      <c r="F10733" t="s">
        <v>20779</v>
      </c>
      <c r="G10733" t="s">
        <v>14</v>
      </c>
      <c r="H10733">
             </c>
      <c r="I10733" t="s">
        <v>14</v>
      </c>
      <c r="J10733" t="s">
        <v>141</v>
      </c>
      <c r="K10733" t="s">
        <v>14</v>
      </c>
      <c r="L10733" t="s">
        <v>20</v>
      </c>
      <c r="M10733" t="s">
        <v>20390</v>
      </c>
      <c r="N10733" t="s">
        <v>14</v>
      </c>
    </row>
    <row r="10734" x14ac:dyDescent="0.25">
      <c r="A10734" t="n">
        <v>24</v>
      </c>
      <c r="B10734" t="s">
        <v>14</v>
      </c>
      <c r="C10734" t="s">
        <v>22</v>
      </c>
      <c r="D10734" s="2" t="s">
        <f>=HYPERLINK("https://main.knesset.gov.il/APPS/legislation/main/bills/2157040", "הצעת חוק לתיקון פקודת הסטטיסטיקה (סטטיסטיקה לפי מגדר), התשפ""א-2021")</f>
        <v>20780</v>
      </c>
      <c r="E10734" t="s">
        <v>20780</v>
      </c>
      <c r="F10734" t="s">
        <v>20781</v>
      </c>
      <c r="G10734" t="s">
        <v>14</v>
      </c>
      <c r="H10734">
             </c>
      <c r="I10734" t="s">
        <v>14</v>
      </c>
      <c r="J10734" t="s">
        <v>141</v>
      </c>
      <c r="K10734" t="s">
        <v>14</v>
      </c>
      <c r="L10734" t="s">
        <v>20</v>
      </c>
      <c r="M10734" t="s">
        <v>20390</v>
      </c>
      <c r="N10734" t="s">
        <v>14</v>
      </c>
    </row>
    <row r="10735" x14ac:dyDescent="0.25">
      <c r="A10735" t="n">
        <v>24</v>
      </c>
      <c r="B10735" t="s">
        <v>14</v>
      </c>
      <c r="C10735" t="s">
        <v>22</v>
      </c>
      <c r="D10735" s="2" t="s">
        <f>=HYPERLINK("https://main.knesset.gov.il/APPS/legislation/main/bills/2157530", "הצעת חוק שיווי זכויות האישה (תיקון - ייצוג הולם לנשים בוועדות ציבוריות ברשויות המקומיות), התשפ""א-2021")</f>
        <v>19030</v>
      </c>
      <c r="E10735" t="s">
        <v>19030</v>
      </c>
      <c r="F10735" t="s">
        <v>20782</v>
      </c>
      <c r="G10735" t="s">
        <v>14</v>
      </c>
      <c r="H10735">
             </c>
      <c r="I10735" t="s">
        <v>14</v>
      </c>
      <c r="J10735" t="s">
        <v>141</v>
      </c>
      <c r="K10735" t="s">
        <v>14</v>
      </c>
      <c r="L10735" t="s">
        <v>20</v>
      </c>
      <c r="M10735" t="s">
        <v>20390</v>
      </c>
      <c r="N10735" t="s">
        <v>14</v>
      </c>
    </row>
    <row r="10736" x14ac:dyDescent="0.25">
      <c r="A10736" t="n">
        <v>24</v>
      </c>
      <c r="B10736" t="s">
        <v>14</v>
      </c>
      <c r="C10736" t="s">
        <v>22</v>
      </c>
      <c r="D10736" s="2" t="s">
        <f>=HYPERLINK("https://main.knesset.gov.il/APPS/legislation/main/bills/2156212", "הצעת חוק שיווי זכויות האישה (תיקון - ייצוג הולם לנשים בוועדות ציבוריות ברשויות המקומיות), התשפ""א-2021")</f>
        <v>19030</v>
      </c>
      <c r="E10736" t="s">
        <v>19030</v>
      </c>
      <c r="F10736" t="s">
        <v>20783</v>
      </c>
      <c r="G10736" t="s">
        <v>14</v>
      </c>
      <c r="H10736">
             </c>
      <c r="I10736" t="s">
        <v>14</v>
      </c>
      <c r="J10736" t="s">
        <v>141</v>
      </c>
      <c r="K10736" t="s">
        <v>14</v>
      </c>
      <c r="L10736" t="s">
        <v>20</v>
      </c>
      <c r="M10736" t="s">
        <v>20390</v>
      </c>
      <c r="N10736" t="s">
        <v>14</v>
      </c>
    </row>
    <row r="10737" x14ac:dyDescent="0.25">
      <c r="A10737" t="n">
        <v>24</v>
      </c>
      <c r="B10737" t="s">
        <v>14</v>
      </c>
      <c r="C10737" t="s">
        <v>22</v>
      </c>
      <c r="D10737" s="2" t="s">
        <f>=HYPERLINK("https://main.knesset.gov.il/APPS/legislation/main/bills/2156873", "הצעת חוק חנינה, הפסקת הליכים ומחיקת רישומים בעבירות קורונה, התשפ""א-2021")</f>
        <v>20784</v>
      </c>
      <c r="E10737" t="s">
        <v>20784</v>
      </c>
      <c r="F10737" t="s">
        <v>20785</v>
      </c>
      <c r="G10737" t="s">
        <v>14</v>
      </c>
      <c r="H10737">
             </c>
      <c r="I10737" t="s">
        <v>14</v>
      </c>
      <c r="J10737" t="s">
        <v>141</v>
      </c>
      <c r="K10737" t="s">
        <v>14</v>
      </c>
      <c r="L10737" t="s">
        <v>20</v>
      </c>
      <c r="M10737" t="s">
        <v>20786</v>
      </c>
      <c r="N10737" t="s">
        <v>14</v>
      </c>
    </row>
    <row r="10738" x14ac:dyDescent="0.25">
      <c r="A10738" t="n">
        <v>24</v>
      </c>
      <c r="B10738" t="s">
        <v>14</v>
      </c>
      <c r="C10738" t="s">
        <v>22</v>
      </c>
      <c r="D10738" s="2" t="s">
        <f>=HYPERLINK("https://main.knesset.gov.il/APPS/legislation/main/bills/2158374", "הצעת חוק הקמת ועדת חקירה ציבורית לאירועי אסון הילולת הרשב""י בהר מירון, התשפ""א-2021")</f>
        <v>20787</v>
      </c>
      <c r="E10738" t="s">
        <v>20787</v>
      </c>
      <c r="F10738" t="s">
        <v>20788</v>
      </c>
      <c r="G10738" t="s">
        <v>14</v>
      </c>
      <c r="H10738">
             </c>
      <c r="I10738" t="s">
        <v>14</v>
      </c>
      <c r="J10738" t="s">
        <v>141</v>
      </c>
      <c r="K10738" t="s">
        <v>14</v>
      </c>
      <c r="L10738" t="s">
        <v>20</v>
      </c>
      <c r="M10738" t="s">
        <v>20786</v>
      </c>
      <c r="N10738" t="s">
        <v>14</v>
      </c>
    </row>
    <row r="10739" x14ac:dyDescent="0.25">
      <c r="A10739" t="n">
        <v>24</v>
      </c>
      <c r="B10739" t="s">
        <v>14</v>
      </c>
      <c r="C10739" t="s">
        <v>22</v>
      </c>
      <c r="D10739" s="2" t="s">
        <f>=HYPERLINK("https://main.knesset.gov.il/APPS/legislation/main/bills/2157039", "הצעת חוק העונשין (תיקון - הארכת התיישנות בעבירות מין שבוצעו במסגרת הנישואין), התשפ""א-2021")</f>
        <v>20789</v>
      </c>
      <c r="E10739" t="s">
        <v>20789</v>
      </c>
      <c r="F10739" t="s">
        <v>20790</v>
      </c>
      <c r="G10739" t="s">
        <v>14</v>
      </c>
      <c r="H10739">
             </c>
      <c r="I10739" t="s">
        <v>14</v>
      </c>
      <c r="J10739" t="s">
        <v>141</v>
      </c>
      <c r="K10739" t="s">
        <v>14</v>
      </c>
      <c r="L10739" t="s">
        <v>20</v>
      </c>
      <c r="M10739" t="s">
        <v>20786</v>
      </c>
      <c r="N10739" t="s">
        <v>14</v>
      </c>
    </row>
    <row r="10740" x14ac:dyDescent="0.25">
      <c r="A10740" t="n">
        <v>24</v>
      </c>
      <c r="B10740" t="s">
        <v>14</v>
      </c>
      <c r="C10740" t="s">
        <v>22</v>
      </c>
      <c r="D10740" s="2" t="s">
        <f>=HYPERLINK("https://main.knesset.gov.il/APPS/legislation/main/bills/2157032", "הצעת חוק המרכז לגביית קנסות, אגרות והוצאות (תיקון - גביית חובות עבור רשות המים הארצית), התשפ""א-2021")</f>
        <v>20791</v>
      </c>
      <c r="E10740" t="s">
        <v>20791</v>
      </c>
      <c r="F10740" t="s">
        <v>20792</v>
      </c>
      <c r="G10740" t="s">
        <v>14</v>
      </c>
      <c r="H10740">
             </c>
      <c r="I10740" t="s">
        <v>14</v>
      </c>
      <c r="J10740" t="s">
        <v>141</v>
      </c>
      <c r="K10740" t="s">
        <v>14</v>
      </c>
      <c r="L10740" t="s">
        <v>20</v>
      </c>
      <c r="M10740" t="s">
        <v>20786</v>
      </c>
      <c r="N10740" t="s">
        <v>14</v>
      </c>
    </row>
    <row r="10741" x14ac:dyDescent="0.25">
      <c r="A10741" t="n">
        <v>24</v>
      </c>
      <c r="B10741" t="s">
        <v>14</v>
      </c>
      <c r="C10741" t="s">
        <v>22</v>
      </c>
      <c r="D10741" s="2" t="s">
        <f>=HYPERLINK("https://main.knesset.gov.il/APPS/legislation/main/bills/2157027", "הצעת חוק שירות ביטחון (תיקון - מינוי קצינה לקידום נשים לתפקידים בכירים ויצירת מסלולים לקידום קצינות בדרג הבכיר), התשפ""א-2021")</f>
        <v>20793</v>
      </c>
      <c r="E10741" t="s">
        <v>20793</v>
      </c>
      <c r="F10741" t="s">
        <v>20794</v>
      </c>
      <c r="G10741" t="s">
        <v>14</v>
      </c>
      <c r="H10741">
             </c>
      <c r="I10741" t="s">
        <v>14</v>
      </c>
      <c r="J10741" t="s">
        <v>141</v>
      </c>
      <c r="K10741" t="s">
        <v>14</v>
      </c>
      <c r="L10741" t="s">
        <v>20</v>
      </c>
      <c r="M10741" t="s">
        <v>20786</v>
      </c>
      <c r="N10741" t="s">
        <v>14</v>
      </c>
    </row>
    <row r="10742" x14ac:dyDescent="0.25">
      <c r="A10742" t="n">
        <v>24</v>
      </c>
      <c r="B10742" t="s">
        <v>14</v>
      </c>
      <c r="C10742" t="s">
        <v>22</v>
      </c>
      <c r="D10742" s="2" t="s">
        <f>=HYPERLINK("https://main.knesset.gov.il/APPS/legislation/main/bills/2157316", "הצעת חוק דמי ביטוח לאומי ודמי ביטוח בריאות מופחתים למי שיצא לפרישה מוקדמת (תיקוני חקיקה), התשפ""א-2021")</f>
        <v>20795</v>
      </c>
      <c r="E10742" t="s">
        <v>20795</v>
      </c>
      <c r="F10742" t="s">
        <v>20796</v>
      </c>
      <c r="G10742" t="s">
        <v>14</v>
      </c>
      <c r="H10742">
             </c>
      <c r="I10742" t="s">
        <v>14</v>
      </c>
      <c r="J10742" t="s">
        <v>141</v>
      </c>
      <c r="K10742" t="s">
        <v>14</v>
      </c>
      <c r="L10742" t="s">
        <v>20</v>
      </c>
      <c r="M10742" t="s">
        <v>20786</v>
      </c>
      <c r="N10742" t="s">
        <v>14</v>
      </c>
    </row>
    <row r="10743" x14ac:dyDescent="0.25">
      <c r="A10743" t="n">
        <v>24</v>
      </c>
      <c r="B10743" t="s">
        <v>14</v>
      </c>
      <c r="C10743" t="s">
        <v>22</v>
      </c>
      <c r="D10743" s="2" t="s">
        <f>=HYPERLINK("https://main.knesset.gov.il/APPS/legislation/main/bills/2157251", "הצעת חוק הרשויות המקומיות (גמול השתתפות בישיבות והחזר הוצאות לחברי מועצה), התשפ""א-2021")</f>
        <v>19537</v>
      </c>
      <c r="E10743" t="s">
        <v>19537</v>
      </c>
      <c r="F10743" t="s">
        <v>20797</v>
      </c>
      <c r="G10743" t="s">
        <v>14</v>
      </c>
      <c r="H10743">
             </c>
      <c r="I10743" t="s">
        <v>14</v>
      </c>
      <c r="J10743" t="s">
        <v>141</v>
      </c>
      <c r="K10743" t="s">
        <v>14</v>
      </c>
      <c r="L10743" t="s">
        <v>20</v>
      </c>
      <c r="M10743" t="s">
        <v>20786</v>
      </c>
      <c r="N10743" t="s">
        <v>14</v>
      </c>
    </row>
    <row r="10744" x14ac:dyDescent="0.25">
      <c r="A10744" t="n">
        <v>24</v>
      </c>
      <c r="B10744" t="s">
        <v>14</v>
      </c>
      <c r="C10744" t="s">
        <v>22</v>
      </c>
      <c r="D10744" s="2" t="s">
        <f>=HYPERLINK("https://main.knesset.gov.il/APPS/legislation/main/bills/2157099", "הצעת חוק העונשין (תיקון - איסור שידול קטינים לחזרה בתשובה), התשפ""א-2021")</f>
        <v>20798</v>
      </c>
      <c r="E10744" t="s">
        <v>20798</v>
      </c>
      <c r="F10744" t="s">
        <v>20799</v>
      </c>
      <c r="G10744" t="s">
        <v>14</v>
      </c>
      <c r="H10744">
             </c>
      <c r="I10744" t="s">
        <v>14</v>
      </c>
      <c r="J10744" t="s">
        <v>141</v>
      </c>
      <c r="K10744" t="s">
        <v>14</v>
      </c>
      <c r="L10744" t="s">
        <v>20</v>
      </c>
      <c r="M10744" t="s">
        <v>20786</v>
      </c>
      <c r="N10744" t="s">
        <v>14</v>
      </c>
    </row>
    <row r="10745" x14ac:dyDescent="0.25">
      <c r="A10745" t="n">
        <v>24</v>
      </c>
      <c r="B10745" t="s">
        <v>14</v>
      </c>
      <c r="C10745" t="s">
        <v>22</v>
      </c>
      <c r="D10745" s="2" t="s">
        <f>=HYPERLINK("https://main.knesset.gov.il/APPS/legislation/main/bills/2157018", "הצעת חוק החברות (תיקון - הגבלת כהונת דירקטור לשלוש חברות), התשפ""א-2021")</f>
        <v>20800</v>
      </c>
      <c r="E10745" t="s">
        <v>20800</v>
      </c>
      <c r="F10745" t="s">
        <v>20801</v>
      </c>
      <c r="G10745" t="s">
        <v>14</v>
      </c>
      <c r="H10745">
             </c>
      <c r="I10745" t="s">
        <v>14</v>
      </c>
      <c r="J10745" t="s">
        <v>141</v>
      </c>
      <c r="K10745" t="s">
        <v>14</v>
      </c>
      <c r="L10745" t="s">
        <v>20</v>
      </c>
      <c r="M10745" t="s">
        <v>20786</v>
      </c>
      <c r="N10745" t="s">
        <v>14</v>
      </c>
    </row>
    <row r="10746" x14ac:dyDescent="0.25">
      <c r="A10746" t="n">
        <v>24</v>
      </c>
      <c r="B10746" t="s">
        <v>14</v>
      </c>
      <c r="C10746" t="s">
        <v>22</v>
      </c>
      <c r="D10746" s="2" t="s">
        <f>=HYPERLINK("https://main.knesset.gov.il/APPS/legislation/main/bills/2157016", "הצעת חוק האזרחות והכניסה לישראל (הוראת שעה) (תיקון - איסור הארכת החוק באמצעות צו ושינוי קריטריונים), התשפ""א-2021")</f>
        <v>20802</v>
      </c>
      <c r="E10746" t="s">
        <v>20802</v>
      </c>
      <c r="F10746" t="s">
        <v>20803</v>
      </c>
      <c r="G10746" t="s">
        <v>14</v>
      </c>
      <c r="H10746">
             </c>
      <c r="I10746" t="s">
        <v>14</v>
      </c>
      <c r="J10746" t="s">
        <v>141</v>
      </c>
      <c r="K10746" t="s">
        <v>14</v>
      </c>
      <c r="L10746" t="s">
        <v>20</v>
      </c>
      <c r="M10746" t="s">
        <v>20786</v>
      </c>
      <c r="N10746" t="s">
        <v>14</v>
      </c>
    </row>
    <row r="10747" x14ac:dyDescent="0.25">
      <c r="A10747" t="n">
        <v>24</v>
      </c>
      <c r="B10747" t="s">
        <v>14</v>
      </c>
      <c r="C10747" t="s">
        <v>22</v>
      </c>
      <c r="D10747" s="2" t="s">
        <f>=HYPERLINK("https://main.knesset.gov.il/APPS/legislation/main/bills/2157114", "הצעת חוק הגנה על עובדים בשעת חירום (תיקון - תשלום שכר בעד היעדרות בשל ביטול יום לימודים במוסד חינוך), התשפ""א-2021")</f>
        <v>20804</v>
      </c>
      <c r="E10747" t="s">
        <v>20804</v>
      </c>
      <c r="F10747" t="s">
        <v>20805</v>
      </c>
      <c r="G10747" t="s">
        <v>14</v>
      </c>
      <c r="H10747">
             </c>
      <c r="I10747" t="s">
        <v>14</v>
      </c>
      <c r="J10747" t="s">
        <v>141</v>
      </c>
      <c r="K10747" t="s">
        <v>14</v>
      </c>
      <c r="L10747" t="s">
        <v>20</v>
      </c>
      <c r="M10747" t="s">
        <v>20786</v>
      </c>
      <c r="N10747" t="s">
        <v>14</v>
      </c>
    </row>
    <row r="10748" x14ac:dyDescent="0.25">
      <c r="A10748" t="n">
        <v>24</v>
      </c>
      <c r="B10748" t="s">
        <v>14</v>
      </c>
      <c r="C10748" t="s">
        <v>22</v>
      </c>
      <c r="D10748" s="2" t="s">
        <f>=HYPERLINK("https://main.knesset.gov.il/APPS/legislation/main/bills/2157115", "הצעת חוק-יסוד: הזכות לדיור")</f>
        <v>11919</v>
      </c>
      <c r="E10748" t="s">
        <v>11919</v>
      </c>
      <c r="F10748" t="s">
        <v>20806</v>
      </c>
      <c r="G10748" t="s">
        <v>14</v>
      </c>
      <c r="H10748">
             </c>
      <c r="I10748" t="s">
        <v>14</v>
      </c>
      <c r="J10748" t="s">
        <v>141</v>
      </c>
      <c r="K10748" t="s">
        <v>14</v>
      </c>
      <c r="L10748" t="s">
        <v>20</v>
      </c>
      <c r="M10748" t="s">
        <v>20786</v>
      </c>
      <c r="N10748" t="s">
        <v>14</v>
      </c>
    </row>
    <row r="10749" x14ac:dyDescent="0.25">
      <c r="A10749" t="n">
        <v>24</v>
      </c>
      <c r="B10749" t="s">
        <v>14</v>
      </c>
      <c r="C10749" t="s">
        <v>22</v>
      </c>
      <c r="D10749" s="2" t="s">
        <f>=HYPERLINK("https://main.knesset.gov.il/APPS/legislation/main/bills/2157004", "הצעת חוק העונשין (תיקון - עבירות מין על ידי בן משפחה פונקציונאלי), התשפ""א-2021")</f>
        <v>20807</v>
      </c>
      <c r="E10749" t="s">
        <v>20807</v>
      </c>
      <c r="F10749" t="s">
        <v>20808</v>
      </c>
      <c r="G10749" t="s">
        <v>14</v>
      </c>
      <c r="H10749">
             </c>
      <c r="I10749" t="s">
        <v>14</v>
      </c>
      <c r="J10749" t="s">
        <v>141</v>
      </c>
      <c r="K10749" t="s">
        <v>14</v>
      </c>
      <c r="L10749" t="s">
        <v>20</v>
      </c>
      <c r="M10749" t="s">
        <v>20786</v>
      </c>
      <c r="N10749" t="s">
        <v>14</v>
      </c>
    </row>
    <row r="10750" x14ac:dyDescent="0.25">
      <c r="A10750" t="n">
        <v>24</v>
      </c>
      <c r="B10750" t="s">
        <v>14</v>
      </c>
      <c r="C10750" t="s">
        <v>22</v>
      </c>
      <c r="D10750" s="2" t="s">
        <f>=HYPERLINK("https://main.knesset.gov.il/APPS/legislation/main/bills/2156063", "הצעת חוק זכויות חברתיות ושירותי רווחה לאנשים עם אוטיזם, התשפ""א-2021")</f>
        <v>20809</v>
      </c>
      <c r="E10750" t="s">
        <v>20809</v>
      </c>
      <c r="F10750" t="s">
        <v>20810</v>
      </c>
      <c r="G10750" t="s">
        <v>14</v>
      </c>
      <c r="H10750">
             </c>
      <c r="I10750" t="s">
        <v>14</v>
      </c>
      <c r="J10750" t="s">
        <v>141</v>
      </c>
      <c r="K10750" t="s">
        <v>14</v>
      </c>
      <c r="L10750" t="s">
        <v>20</v>
      </c>
      <c r="M10750" t="s">
        <v>20786</v>
      </c>
      <c r="N10750" t="s">
        <v>14</v>
      </c>
    </row>
    <row r="10751" x14ac:dyDescent="0.25">
      <c r="A10751" t="n">
        <v>24</v>
      </c>
      <c r="B10751" t="s">
        <v>14</v>
      </c>
      <c r="C10751" t="s">
        <v>22</v>
      </c>
      <c r="D10751" s="2" t="s">
        <f>=HYPERLINK("https://main.knesset.gov.il/APPS/legislation/main/bills/2157002", "הצעת חוק לתיקון דיני הראיות (הגנת ילדים) (תיקון - הרחבת ההסדרים הקבועים בחוק לילדים אשר עברו את גיל 14 במועד העדות), התשפ""א-2021")</f>
        <v>20811</v>
      </c>
      <c r="E10751" t="s">
        <v>20811</v>
      </c>
      <c r="F10751" t="s">
        <v>20812</v>
      </c>
      <c r="G10751" t="s">
        <v>14</v>
      </c>
      <c r="H10751">
             </c>
      <c r="I10751" t="s">
        <v>14</v>
      </c>
      <c r="J10751" t="s">
        <v>141</v>
      </c>
      <c r="K10751" t="s">
        <v>14</v>
      </c>
      <c r="L10751" t="s">
        <v>20</v>
      </c>
      <c r="M10751" t="s">
        <v>20786</v>
      </c>
      <c r="N10751" t="s">
        <v>14</v>
      </c>
    </row>
    <row r="10752" x14ac:dyDescent="0.25">
      <c r="A10752" t="n">
        <v>24</v>
      </c>
      <c r="B10752" t="s">
        <v>14</v>
      </c>
      <c r="C10752" t="s">
        <v>22</v>
      </c>
      <c r="D10752" s="2" t="s">
        <f>=HYPERLINK("https://main.knesset.gov.il/APPS/legislation/main/bills/2156934", "הצעת חוק הגישור, התשפ""א-2021")</f>
        <v>20813</v>
      </c>
      <c r="E10752" t="s">
        <v>20813</v>
      </c>
      <c r="F10752" t="s">
        <v>20814</v>
      </c>
      <c r="G10752" t="s">
        <v>14</v>
      </c>
      <c r="H10752">
             </c>
      <c r="I10752" t="s">
        <v>14</v>
      </c>
      <c r="J10752" t="s">
        <v>141</v>
      </c>
      <c r="K10752" t="s">
        <v>14</v>
      </c>
      <c r="L10752" t="s">
        <v>20</v>
      </c>
      <c r="M10752" t="s">
        <v>20786</v>
      </c>
      <c r="N10752" t="s">
        <v>14</v>
      </c>
    </row>
    <row r="10753" x14ac:dyDescent="0.25">
      <c r="A10753" t="n">
        <v>24</v>
      </c>
      <c r="B10753" t="s">
        <v>14</v>
      </c>
      <c r="C10753" t="s">
        <v>22</v>
      </c>
      <c r="D10753" s="2" t="s">
        <f>=HYPERLINK("https://main.knesset.gov.il/APPS/legislation/main/bills/2157152", "הצעת חוק העונשין (תיקון - אחראי על קטין או חסר ישע לעניין חובת הדיווח), התשפ""א-2021")</f>
        <v>20815</v>
      </c>
      <c r="E10753" t="s">
        <v>20815</v>
      </c>
      <c r="F10753" t="s">
        <v>20816</v>
      </c>
      <c r="G10753" t="s">
        <v>14</v>
      </c>
      <c r="H10753">
             </c>
      <c r="I10753" t="s">
        <v>14</v>
      </c>
      <c r="J10753" t="s">
        <v>141</v>
      </c>
      <c r="K10753" t="s">
        <v>14</v>
      </c>
      <c r="L10753" t="s">
        <v>20</v>
      </c>
      <c r="M10753" t="s">
        <v>20786</v>
      </c>
      <c r="N10753" t="s">
        <v>14</v>
      </c>
    </row>
    <row r="10754" x14ac:dyDescent="0.25">
      <c r="A10754" t="n">
        <v>24</v>
      </c>
      <c r="B10754" t="s">
        <v>14</v>
      </c>
      <c r="C10754" t="s">
        <v>22</v>
      </c>
      <c r="D10754" s="2" t="s">
        <f>=HYPERLINK("https://main.knesset.gov.il/APPS/legislation/main/bills/2157153", "הצעת חוק העונשין (תיקון - חובת דיווח של איש דת או טוען רבני), התשפ""א-2021")</f>
        <v>20817</v>
      </c>
      <c r="E10754" t="s">
        <v>20817</v>
      </c>
      <c r="F10754" t="s">
        <v>20818</v>
      </c>
      <c r="G10754" t="s">
        <v>14</v>
      </c>
      <c r="H10754">
             </c>
      <c r="I10754" t="s">
        <v>14</v>
      </c>
      <c r="J10754" t="s">
        <v>141</v>
      </c>
      <c r="K10754" t="s">
        <v>14</v>
      </c>
      <c r="L10754" t="s">
        <v>20</v>
      </c>
      <c r="M10754" t="s">
        <v>20786</v>
      </c>
      <c r="N10754" t="s">
        <v>14</v>
      </c>
    </row>
    <row r="10755" x14ac:dyDescent="0.25">
      <c r="A10755" t="n">
        <v>24</v>
      </c>
      <c r="B10755" t="s">
        <v>14</v>
      </c>
      <c r="C10755" t="s">
        <v>22</v>
      </c>
      <c r="D10755" s="2" t="s">
        <f>=HYPERLINK("https://main.knesset.gov.il/APPS/legislation/main/bills/2157154", "הצעת חוק העונשין (תיקון - חובת פיצוי נפגע עבירה וחובת הנמקה), התשפ""א-2021")</f>
        <v>20819</v>
      </c>
      <c r="E10755" t="s">
        <v>20819</v>
      </c>
      <c r="F10755" t="s">
        <v>20820</v>
      </c>
      <c r="G10755" t="s">
        <v>14</v>
      </c>
      <c r="H10755">
             </c>
      <c r="I10755" t="s">
        <v>14</v>
      </c>
      <c r="J10755" t="s">
        <v>141</v>
      </c>
      <c r="K10755" t="s">
        <v>14</v>
      </c>
      <c r="L10755" t="s">
        <v>20</v>
      </c>
      <c r="M10755" t="s">
        <v>20786</v>
      </c>
      <c r="N10755" t="s">
        <v>14</v>
      </c>
    </row>
    <row r="10756" x14ac:dyDescent="0.25">
      <c r="A10756" t="n">
        <v>24</v>
      </c>
      <c r="B10756" t="s">
        <v>14</v>
      </c>
      <c r="C10756" t="s">
        <v>22</v>
      </c>
      <c r="D10756" s="2" t="s">
        <f>=HYPERLINK("https://main.knesset.gov.il/APPS/legislation/main/bills/2157129", "הצעת חוק הסניגוריה הציבורית (תיקון - ליווי משפטי בשפת חשוד שהוא קטין), התשפ""א-2021")</f>
        <v>20821</v>
      </c>
      <c r="E10756" t="s">
        <v>20821</v>
      </c>
      <c r="F10756" t="s">
        <v>20822</v>
      </c>
      <c r="G10756" t="s">
        <v>14</v>
      </c>
      <c r="H10756">
             </c>
      <c r="I10756" t="s">
        <v>14</v>
      </c>
      <c r="J10756" t="s">
        <v>141</v>
      </c>
      <c r="K10756" t="s">
        <v>14</v>
      </c>
      <c r="L10756" t="s">
        <v>20</v>
      </c>
      <c r="M10756" t="s">
        <v>20786</v>
      </c>
      <c r="N10756" t="s">
        <v>14</v>
      </c>
    </row>
    <row r="10757" x14ac:dyDescent="0.25">
      <c r="A10757" t="n">
        <v>24</v>
      </c>
      <c r="B10757" t="s">
        <v>14</v>
      </c>
      <c r="C10757" t="s">
        <v>22</v>
      </c>
      <c r="D10757" s="2" t="s">
        <f>=HYPERLINK("https://main.knesset.gov.il/APPS/legislation/main/bills/2157112", "הצעת חוק הביטוח הלאומי (תיקון - הודעה לפני גביית חוב), התשפ""א-2021")</f>
        <v>20823</v>
      </c>
      <c r="E10757" t="s">
        <v>20823</v>
      </c>
      <c r="F10757" t="s">
        <v>20824</v>
      </c>
      <c r="G10757" t="s">
        <v>14</v>
      </c>
      <c r="H10757">
             </c>
      <c r="I10757" t="s">
        <v>14</v>
      </c>
      <c r="J10757" t="s">
        <v>141</v>
      </c>
      <c r="K10757" t="s">
        <v>14</v>
      </c>
      <c r="L10757" t="s">
        <v>20</v>
      </c>
      <c r="M10757" t="s">
        <v>20786</v>
      </c>
      <c r="N10757" t="s">
        <v>14</v>
      </c>
    </row>
    <row r="10758" x14ac:dyDescent="0.25">
      <c r="A10758" t="n">
        <v>24</v>
      </c>
      <c r="B10758" t="s">
        <v>14</v>
      </c>
      <c r="C10758" t="s">
        <v>22</v>
      </c>
      <c r="D10758" s="2" t="s">
        <f>=HYPERLINK("https://main.knesset.gov.il/APPS/legislation/main/bills/2157093", "הצעת חוק האזרחות והכניסה לישראל (הוראת שעה) (תיקון - ביטול החוק), התשפ""א-2021")</f>
        <v>19778</v>
      </c>
      <c r="E10758" t="s">
        <v>19778</v>
      </c>
      <c r="F10758" t="s">
        <v>20825</v>
      </c>
      <c r="G10758" t="s">
        <v>14</v>
      </c>
      <c r="H10758">
             </c>
      <c r="I10758" t="s">
        <v>14</v>
      </c>
      <c r="J10758" t="s">
        <v>141</v>
      </c>
      <c r="K10758" t="s">
        <v>14</v>
      </c>
      <c r="L10758" t="s">
        <v>20</v>
      </c>
      <c r="M10758" t="s">
        <v>20786</v>
      </c>
      <c r="N10758" t="s">
        <v>14</v>
      </c>
    </row>
    <row r="10759" x14ac:dyDescent="0.25">
      <c r="A10759" t="n">
        <v>24</v>
      </c>
      <c r="B10759" t="s">
        <v>14</v>
      </c>
      <c r="C10759" t="s">
        <v>22</v>
      </c>
      <c r="D10759" s="2" t="s">
        <f>=HYPERLINK("https://main.knesset.gov.il/APPS/legislation/main/bills/2156932", "הצעת חוק-יסוד: נשיא המדינה (תיקון - ייחוד כהונה)")</f>
        <v>20826</v>
      </c>
      <c r="E10759" t="s">
        <v>20826</v>
      </c>
      <c r="F10759" t="s">
        <v>20827</v>
      </c>
      <c r="G10759" t="s">
        <v>14</v>
      </c>
      <c r="H10759">
             </c>
      <c r="I10759" t="s">
        <v>14</v>
      </c>
      <c r="J10759" t="s">
        <v>141</v>
      </c>
      <c r="K10759" t="s">
        <v>14</v>
      </c>
      <c r="L10759" t="s">
        <v>20</v>
      </c>
      <c r="M10759" t="s">
        <v>20786</v>
      </c>
      <c r="N10759" t="s">
        <v>14</v>
      </c>
    </row>
    <row r="10760" x14ac:dyDescent="0.25">
      <c r="A10760" t="n">
        <v>24</v>
      </c>
      <c r="B10760" t="s">
        <v>14</v>
      </c>
      <c r="C10760" t="s">
        <v>22</v>
      </c>
      <c r="D10760" s="2" t="s">
        <f>=HYPERLINK("https://main.knesset.gov.il/APPS/legislation/main/bills/2157097", "הצעת חוק ביטול סמכות הוועדה המרכזית למניעת השתתפות בבחירות (תיקוני חקיקה), התשפ""א-2021")</f>
        <v>20828</v>
      </c>
      <c r="E10760" t="s">
        <v>20828</v>
      </c>
      <c r="F10760" t="s">
        <v>20829</v>
      </c>
      <c r="G10760" t="s">
        <v>14</v>
      </c>
      <c r="H10760">
             </c>
      <c r="I10760" t="s">
        <v>14</v>
      </c>
      <c r="J10760" t="s">
        <v>141</v>
      </c>
      <c r="K10760" t="s">
        <v>14</v>
      </c>
      <c r="L10760" t="s">
        <v>20</v>
      </c>
      <c r="M10760" t="s">
        <v>20786</v>
      </c>
      <c r="N10760" t="s">
        <v>14</v>
      </c>
    </row>
    <row r="10761" x14ac:dyDescent="0.25">
      <c r="A10761" t="n">
        <v>24</v>
      </c>
      <c r="B10761" t="s">
        <v>14</v>
      </c>
      <c r="C10761" t="s">
        <v>22</v>
      </c>
      <c r="D10761" s="2" t="s">
        <f>=HYPERLINK("https://main.knesset.gov.il/APPS/legislation/main/bills/2157106", "הצעת חוק איסור הפליה בדיור, התשפ""א-2021")</f>
        <v>20830</v>
      </c>
      <c r="E10761" t="s">
        <v>20830</v>
      </c>
      <c r="F10761" t="s">
        <v>20831</v>
      </c>
      <c r="G10761" t="s">
        <v>14</v>
      </c>
      <c r="H10761">
             </c>
      <c r="I10761" t="s">
        <v>14</v>
      </c>
      <c r="J10761" t="s">
        <v>141</v>
      </c>
      <c r="K10761" t="s">
        <v>14</v>
      </c>
      <c r="L10761" t="s">
        <v>20</v>
      </c>
      <c r="M10761" t="s">
        <v>20786</v>
      </c>
      <c r="N10761" t="s">
        <v>14</v>
      </c>
    </row>
    <row r="10762" x14ac:dyDescent="0.25">
      <c r="A10762" t="n">
        <v>24</v>
      </c>
      <c r="B10762" t="s">
        <v>14</v>
      </c>
      <c r="C10762" t="s">
        <v>22</v>
      </c>
      <c r="D10762" s="2" t="s">
        <f>=HYPERLINK("https://main.knesset.gov.il/APPS/legislation/main/bills/2157124", "הצעת חוק השכירות והשאילה (תיקון - הגבלה על העלאת דמי השכירות), התשפ""א-2021")</f>
        <v>20832</v>
      </c>
      <c r="E10762" t="s">
        <v>20832</v>
      </c>
      <c r="F10762" t="s">
        <v>20833</v>
      </c>
      <c r="G10762" t="s">
        <v>14</v>
      </c>
      <c r="H10762">
             </c>
      <c r="I10762" t="s">
        <v>14</v>
      </c>
      <c r="J10762" t="s">
        <v>141</v>
      </c>
      <c r="K10762" t="s">
        <v>14</v>
      </c>
      <c r="L10762" t="s">
        <v>20</v>
      </c>
      <c r="M10762" t="s">
        <v>20786</v>
      </c>
      <c r="N10762" t="s">
        <v>14</v>
      </c>
    </row>
    <row r="10763" x14ac:dyDescent="0.25">
      <c r="A10763" t="n">
        <v>24</v>
      </c>
      <c r="B10763" t="s">
        <v>14</v>
      </c>
      <c r="C10763" t="s">
        <v>22</v>
      </c>
      <c r="D10763" s="2" t="s">
        <f>=HYPERLINK("https://main.knesset.gov.il/APPS/legislation/main/bills/2157109", "הצעת חוק השיפוט הצבאי (תיקון - וידוא הריגה), התשפ""א-2021")</f>
        <v>20834</v>
      </c>
      <c r="E10763" t="s">
        <v>20834</v>
      </c>
      <c r="F10763" t="s">
        <v>20835</v>
      </c>
      <c r="G10763" t="s">
        <v>14</v>
      </c>
      <c r="H10763">
             </c>
      <c r="I10763" t="s">
        <v>14</v>
      </c>
      <c r="J10763" t="s">
        <v>141</v>
      </c>
      <c r="K10763" t="s">
        <v>14</v>
      </c>
      <c r="L10763" t="s">
        <v>20</v>
      </c>
      <c r="M10763" t="s">
        <v>20786</v>
      </c>
      <c r="N10763" t="s">
        <v>14</v>
      </c>
    </row>
    <row r="10764" x14ac:dyDescent="0.25">
      <c r="A10764" t="n">
        <v>24</v>
      </c>
      <c r="B10764" t="s">
        <v>14</v>
      </c>
      <c r="C10764" t="s">
        <v>22</v>
      </c>
      <c r="D10764" s="2" t="s">
        <f>=HYPERLINK("https://main.knesset.gov.il/APPS/legislation/main/bills/2157132", "הצעת חוק החברות הממשלתיות (תיקון - חובת דיווח חברתי-סביבתי), התשפ""א-2021")</f>
        <v>20836</v>
      </c>
      <c r="E10764" t="s">
        <v>20836</v>
      </c>
      <c r="F10764" t="s">
        <v>20837</v>
      </c>
      <c r="G10764" t="s">
        <v>14</v>
      </c>
      <c r="H10764">
             </c>
      <c r="I10764" t="s">
        <v>14</v>
      </c>
      <c r="J10764" t="s">
        <v>141</v>
      </c>
      <c r="K10764" t="s">
        <v>14</v>
      </c>
      <c r="L10764" t="s">
        <v>20</v>
      </c>
      <c r="M10764" t="s">
        <v>20786</v>
      </c>
      <c r="N10764" t="s">
        <v>14</v>
      </c>
    </row>
    <row r="10765" x14ac:dyDescent="0.25">
      <c r="A10765" t="n">
        <v>24</v>
      </c>
      <c r="B10765" t="s">
        <v>14</v>
      </c>
      <c r="C10765" t="s">
        <v>22</v>
      </c>
      <c r="D10765" s="2" t="s">
        <f>=HYPERLINK("https://main.knesset.gov.il/APPS/legislation/main/bills/2158424", "הצעת חוק העונשין (תיקון - הגנה עצמית מפני בקבוק תבערה), התשפ""א-2021")</f>
        <v>20838</v>
      </c>
      <c r="E10765" t="s">
        <v>20838</v>
      </c>
      <c r="F10765" t="s">
        <v>20839</v>
      </c>
      <c r="G10765" t="s">
        <v>14</v>
      </c>
      <c r="H10765">
             </c>
      <c r="I10765" t="s">
        <v>14</v>
      </c>
      <c r="J10765" t="s">
        <v>141</v>
      </c>
      <c r="K10765" t="s">
        <v>14</v>
      </c>
      <c r="L10765" t="s">
        <v>20</v>
      </c>
      <c r="M10765" t="s">
        <v>20786</v>
      </c>
      <c r="N10765" t="s">
        <v>14</v>
      </c>
    </row>
    <row r="10766" x14ac:dyDescent="0.25">
      <c r="A10766" t="n">
        <v>24</v>
      </c>
      <c r="B10766" t="s">
        <v>14</v>
      </c>
      <c r="C10766" t="s">
        <v>22</v>
      </c>
      <c r="D10766" s="2" t="s">
        <f>=HYPERLINK("https://main.knesset.gov.il/APPS/legislation/main/bills/2157888", "הצעת חוק היקף משרתה של עובדת הוראה לעניין קבלה למעון יום והשתתפות בעלות שכר לימוד במעון יום, התשפ""א-2021 ")</f>
        <v>20840</v>
      </c>
      <c r="E10766" t="s">
        <v>20840</v>
      </c>
      <c r="F10766" t="s">
        <v>20841</v>
      </c>
      <c r="G10766" t="s">
        <v>14</v>
      </c>
      <c r="H10766">
             </c>
      <c r="I10766" t="s">
        <v>14</v>
      </c>
      <c r="J10766" t="s">
        <v>141</v>
      </c>
      <c r="K10766" t="s">
        <v>14</v>
      </c>
      <c r="L10766" t="s">
        <v>20</v>
      </c>
      <c r="M10766" t="s">
        <v>20786</v>
      </c>
      <c r="N10766" t="s">
        <v>14</v>
      </c>
    </row>
    <row r="10767" x14ac:dyDescent="0.25">
      <c r="A10767" t="n">
        <v>24</v>
      </c>
      <c r="B10767" t="s">
        <v>14</v>
      </c>
      <c r="C10767" t="s">
        <v>22</v>
      </c>
      <c r="D10767" s="2" t="s">
        <f>=HYPERLINK("https://main.knesset.gov.il/APPS/legislation/main/bills/2156931", "הצעת חוק היועץ המשפטי לראש הממשלה (מינוי וכהונה), התשפ""א-2021")</f>
        <v>20842</v>
      </c>
      <c r="E10767" t="s">
        <v>20842</v>
      </c>
      <c r="F10767" t="s">
        <v>20843</v>
      </c>
      <c r="G10767" t="s">
        <v>14</v>
      </c>
      <c r="H10767">
             </c>
      <c r="I10767" t="s">
        <v>14</v>
      </c>
      <c r="J10767" t="s">
        <v>141</v>
      </c>
      <c r="K10767" t="s">
        <v>14</v>
      </c>
      <c r="L10767" t="s">
        <v>20</v>
      </c>
      <c r="M10767" t="s">
        <v>20786</v>
      </c>
      <c r="N10767" t="s">
        <v>14</v>
      </c>
    </row>
    <row r="10768" x14ac:dyDescent="0.25">
      <c r="A10768" t="n">
        <v>24</v>
      </c>
      <c r="B10768" t="s">
        <v>14</v>
      </c>
      <c r="C10768" t="s">
        <v>22</v>
      </c>
      <c r="D10768" s="2" t="s">
        <f>=HYPERLINK("https://main.knesset.gov.il/APPS/legislation/main/bills/2156928", "הצעת חוק הגנה על עיתונאים (תיקוני חקיקה), התשפ""א-2021")</f>
        <v>20844</v>
      </c>
      <c r="E10768" t="s">
        <v>20844</v>
      </c>
      <c r="F10768" t="s">
        <v>20845</v>
      </c>
      <c r="G10768" t="s">
        <v>14</v>
      </c>
      <c r="H10768">
             </c>
      <c r="I10768" t="s">
        <v>14</v>
      </c>
      <c r="J10768" t="s">
        <v>141</v>
      </c>
      <c r="K10768" t="s">
        <v>14</v>
      </c>
      <c r="L10768" t="s">
        <v>20</v>
      </c>
      <c r="M10768" t="s">
        <v>20786</v>
      </c>
      <c r="N10768" t="s">
        <v>14</v>
      </c>
    </row>
    <row r="10769" x14ac:dyDescent="0.25">
      <c r="A10769" t="n">
        <v>24</v>
      </c>
      <c r="B10769" t="s">
        <v>14</v>
      </c>
      <c r="C10769" t="s">
        <v>22</v>
      </c>
      <c r="D10769" s="2" t="s">
        <f>=HYPERLINK("https://main.knesset.gov.il/APPS/legislation/main/bills/2156922", "הצעת חוק הממשלה (תיקון - ועדת שרים לענייני חקיקה), התשפ""א-2021")</f>
        <v>19829</v>
      </c>
      <c r="E10769" t="s">
        <v>19829</v>
      </c>
      <c r="F10769" t="s">
        <v>20846</v>
      </c>
      <c r="G10769" t="s">
        <v>14</v>
      </c>
      <c r="H10769">
             </c>
      <c r="I10769" t="s">
        <v>14</v>
      </c>
      <c r="J10769" t="s">
        <v>141</v>
      </c>
      <c r="K10769" t="s">
        <v>14</v>
      </c>
      <c r="L10769" t="s">
        <v>20</v>
      </c>
      <c r="M10769" t="s">
        <v>20786</v>
      </c>
      <c r="N10769" t="s">
        <v>14</v>
      </c>
    </row>
    <row r="10770" x14ac:dyDescent="0.25">
      <c r="A10770" t="n">
        <v>24</v>
      </c>
      <c r="B10770" t="s">
        <v>14</v>
      </c>
      <c r="C10770" t="s">
        <v>22</v>
      </c>
      <c r="D10770" s="2" t="s">
        <f>=HYPERLINK("https://main.knesset.gov.il/APPS/legislation/main/bills/2156829", "הצעת חוק שיפוט בתי דין רבניים (נישואין וגירושין) (תיקון - איסור ביטול גיור), התשפ""א-2021")</f>
        <v>20847</v>
      </c>
      <c r="E10770" t="s">
        <v>20847</v>
      </c>
      <c r="F10770" t="s">
        <v>20848</v>
      </c>
      <c r="G10770" t="s">
        <v>14</v>
      </c>
      <c r="H10770">
             </c>
      <c r="I10770" t="s">
        <v>14</v>
      </c>
      <c r="J10770" t="s">
        <v>141</v>
      </c>
      <c r="K10770" t="s">
        <v>14</v>
      </c>
      <c r="L10770" t="s">
        <v>20</v>
      </c>
      <c r="M10770" t="s">
        <v>20786</v>
      </c>
      <c r="N10770" t="s">
        <v>14</v>
      </c>
    </row>
    <row r="10771" x14ac:dyDescent="0.25">
      <c r="A10771" t="n">
        <v>24</v>
      </c>
      <c r="B10771" t="s">
        <v>14</v>
      </c>
      <c r="C10771" t="s">
        <v>22</v>
      </c>
      <c r="D10771" s="2" t="s">
        <f>=HYPERLINK("https://main.knesset.gov.il/APPS/legislation/main/bills/2156921", "הצעת חוק סיוע למשפחות שבראשן הורה עצמאי (תיקון - הרחבת תחולה), התשפ""א-2021")</f>
        <v>20849</v>
      </c>
      <c r="E10771" t="s">
        <v>20849</v>
      </c>
      <c r="F10771" t="s">
        <v>20850</v>
      </c>
      <c r="G10771" t="s">
        <v>14</v>
      </c>
      <c r="H10771">
             </c>
      <c r="I10771" t="s">
        <v>14</v>
      </c>
      <c r="J10771" t="s">
        <v>141</v>
      </c>
      <c r="K10771" t="s">
        <v>14</v>
      </c>
      <c r="L10771" t="s">
        <v>20</v>
      </c>
      <c r="M10771" t="s">
        <v>20786</v>
      </c>
      <c r="N10771" t="s">
        <v>14</v>
      </c>
    </row>
    <row r="10772" x14ac:dyDescent="0.25">
      <c r="A10772" t="n">
        <v>24</v>
      </c>
      <c r="B10772" t="s">
        <v>14</v>
      </c>
      <c r="C10772" t="s">
        <v>22</v>
      </c>
      <c r="D10772" s="2" t="s">
        <f>=HYPERLINK("https://main.knesset.gov.il/APPS/legislation/main/bills/2156904", "הצעת חוק הבחירות לכנסת (תיקון - ביטול עקרון הריתוק לקלפי), התשפ""א-2021")</f>
        <v>20851</v>
      </c>
      <c r="E10772" t="s">
        <v>20851</v>
      </c>
      <c r="F10772" t="s">
        <v>20852</v>
      </c>
      <c r="G10772" t="s">
        <v>14</v>
      </c>
      <c r="H10772">
             </c>
      <c r="I10772" t="s">
        <v>14</v>
      </c>
      <c r="J10772" t="s">
        <v>141</v>
      </c>
      <c r="K10772" t="s">
        <v>14</v>
      </c>
      <c r="L10772" t="s">
        <v>20</v>
      </c>
      <c r="M10772" t="s">
        <v>20786</v>
      </c>
      <c r="N10772" t="s">
        <v>14</v>
      </c>
    </row>
    <row r="10773" x14ac:dyDescent="0.25">
      <c r="A10773" t="n">
        <v>24</v>
      </c>
      <c r="B10773" t="s">
        <v>14</v>
      </c>
      <c r="C10773" t="s">
        <v>22</v>
      </c>
      <c r="D10773" s="2" t="s">
        <f>=HYPERLINK("https://main.knesset.gov.il/APPS/legislation/main/bills/2157091", "הצעת חוק הליך טיפול מזורז על ידי גוף ציבורי בחולה הנוטה למות, התשפ""א-2021")</f>
        <v>20853</v>
      </c>
      <c r="E10773" t="s">
        <v>20853</v>
      </c>
      <c r="F10773" t="s">
        <v>20854</v>
      </c>
      <c r="G10773" t="s">
        <v>14</v>
      </c>
      <c r="H10773">
             </c>
      <c r="I10773" t="s">
        <v>14</v>
      </c>
      <c r="J10773" t="s">
        <v>141</v>
      </c>
      <c r="K10773" t="s">
        <v>14</v>
      </c>
      <c r="L10773" t="s">
        <v>20</v>
      </c>
      <c r="M10773" t="s">
        <v>20786</v>
      </c>
      <c r="N10773" t="s">
        <v>14</v>
      </c>
    </row>
    <row r="10774" x14ac:dyDescent="0.25">
      <c r="A10774" t="n">
        <v>24</v>
      </c>
      <c r="B10774" t="s">
        <v>14</v>
      </c>
      <c r="C10774" t="s">
        <v>22</v>
      </c>
      <c r="D10774" s="2" t="s">
        <f>=HYPERLINK("https://main.knesset.gov.il/APPS/legislation/main/bills/2157592", "הצעת חוק החזקת תכשיר אפינפרין במוסדות חינוך ובמקומות ציבוריים (תיקון - החזקת תכשיר אפינפרין בבית אוכל), התשפ""א-2021")</f>
        <v>20215</v>
      </c>
      <c r="E10774" t="s">
        <v>20215</v>
      </c>
      <c r="F10774" t="s">
        <v>20855</v>
      </c>
      <c r="G10774" t="s">
        <v>14</v>
      </c>
      <c r="H10774">
             </c>
      <c r="I10774" t="s">
        <v>14</v>
      </c>
      <c r="J10774" t="s">
        <v>141</v>
      </c>
      <c r="K10774" t="s">
        <v>14</v>
      </c>
      <c r="L10774" t="s">
        <v>20</v>
      </c>
      <c r="M10774" t="s">
        <v>20786</v>
      </c>
      <c r="N10774" t="s">
        <v>14</v>
      </c>
    </row>
    <row r="10775" x14ac:dyDescent="0.25">
      <c r="A10775" t="n">
        <v>24</v>
      </c>
      <c r="B10775" t="s">
        <v>14</v>
      </c>
      <c r="C10775" t="s">
        <v>22</v>
      </c>
      <c r="D10775" s="2" t="s">
        <f>=HYPERLINK("https://main.knesset.gov.il/APPS/legislation/main/bills/2157095", "הצעת חוק המועצה להשכלה גבוהה (תיקון - איסור הגבלת גיל בהרשמה למוסד להשכלה גבוהה), התשפ""א-2021")</f>
        <v>17362</v>
      </c>
      <c r="E10775" t="s">
        <v>17362</v>
      </c>
      <c r="F10775" t="s">
        <v>20856</v>
      </c>
      <c r="G10775" t="s">
        <v>14</v>
      </c>
      <c r="H10775">
             </c>
      <c r="I10775" t="s">
        <v>14</v>
      </c>
      <c r="J10775" t="s">
        <v>141</v>
      </c>
      <c r="K10775" t="s">
        <v>14</v>
      </c>
      <c r="L10775" t="s">
        <v>20</v>
      </c>
      <c r="M10775" t="s">
        <v>20786</v>
      </c>
      <c r="N10775" t="s">
        <v>14</v>
      </c>
    </row>
    <row r="10776" x14ac:dyDescent="0.25">
      <c r="A10776" t="n">
        <v>24</v>
      </c>
      <c r="B10776" t="s">
        <v>14</v>
      </c>
      <c r="C10776" t="s">
        <v>22</v>
      </c>
      <c r="D10776" s="2" t="s">
        <f>=HYPERLINK("https://main.knesset.gov.il/APPS/legislation/main/bills/2156805", "הצעת חוק הכללת אמצעי זיהוי ביומטריים ונתוני זיהוי ביומטריים במסמכי זיהוי ובמאגר מידע (תיקון - ביטול המאגר הביומטרי), התשפ""א-2021")</f>
        <v>20857</v>
      </c>
      <c r="E10776" t="s">
        <v>20857</v>
      </c>
      <c r="F10776" t="s">
        <v>20858</v>
      </c>
      <c r="G10776" t="s">
        <v>14</v>
      </c>
      <c r="H10776">
             </c>
      <c r="I10776" t="s">
        <v>14</v>
      </c>
      <c r="J10776" t="s">
        <v>141</v>
      </c>
      <c r="K10776" t="s">
        <v>14</v>
      </c>
      <c r="L10776" t="s">
        <v>20</v>
      </c>
      <c r="M10776" t="s">
        <v>20786</v>
      </c>
      <c r="N10776" t="s">
        <v>14</v>
      </c>
    </row>
    <row r="10777" x14ac:dyDescent="0.25">
      <c r="A10777" t="n">
        <v>24</v>
      </c>
      <c r="B10777" t="s">
        <v>14</v>
      </c>
      <c r="C10777" t="s">
        <v>22</v>
      </c>
      <c r="D10777" s="2" t="s">
        <f>=HYPERLINK("https://main.knesset.gov.il/APPS/legislation/main/bills/2156285", "הצעת חוק איסור שימוש בסוסים לשם פיזור התקהלויות, התשפ""א-2021")</f>
        <v>20859</v>
      </c>
      <c r="E10777" t="s">
        <v>20859</v>
      </c>
      <c r="F10777" t="s">
        <v>20860</v>
      </c>
      <c r="G10777" t="s">
        <v>14</v>
      </c>
      <c r="H10777">
             </c>
      <c r="I10777" t="s">
        <v>14</v>
      </c>
      <c r="J10777" t="s">
        <v>141</v>
      </c>
      <c r="K10777" t="s">
        <v>14</v>
      </c>
      <c r="L10777" t="s">
        <v>20</v>
      </c>
      <c r="M10777" t="s">
        <v>20786</v>
      </c>
      <c r="N10777" t="s">
        <v>14</v>
      </c>
    </row>
    <row r="10778" x14ac:dyDescent="0.25">
      <c r="A10778" t="n">
        <v>24</v>
      </c>
      <c r="B10778" t="s">
        <v>14</v>
      </c>
      <c r="C10778" t="s">
        <v>22</v>
      </c>
      <c r="D10778" s="2" t="s">
        <f>=HYPERLINK("https://main.knesset.gov.il/APPS/legislation/main/bills/2156458", "הצעת חוק ביטוח בריאות ממלכתי (תיקון - תוספת שנתית לסל שירותי הבריאות), התשפ""א-2021")</f>
        <v>20861</v>
      </c>
      <c r="E10778" t="s">
        <v>20861</v>
      </c>
      <c r="F10778" t="s">
        <v>20862</v>
      </c>
      <c r="G10778" t="s">
        <v>14</v>
      </c>
      <c r="H10778">
             </c>
      <c r="I10778" t="s">
        <v>14</v>
      </c>
      <c r="J10778" t="s">
        <v>141</v>
      </c>
      <c r="K10778" t="s">
        <v>14</v>
      </c>
      <c r="L10778" t="s">
        <v>20</v>
      </c>
      <c r="M10778" t="s">
        <v>20786</v>
      </c>
      <c r="N10778" t="s">
        <v>14</v>
      </c>
    </row>
    <row r="10779" x14ac:dyDescent="0.25">
      <c r="A10779" t="n">
        <v>24</v>
      </c>
      <c r="B10779" t="s">
        <v>14</v>
      </c>
      <c r="C10779" t="s">
        <v>22</v>
      </c>
      <c r="D10779" s="2" t="s">
        <f>=HYPERLINK("https://main.knesset.gov.il/APPS/legislation/main/bills/2157649", "הצעת חוק העונשין (תיקון - סחר בבני אדם למטרות נישואין), התשפ""א-2021")</f>
        <v>20863</v>
      </c>
      <c r="E10779" t="s">
        <v>20863</v>
      </c>
      <c r="F10779" t="s">
        <v>20864</v>
      </c>
      <c r="G10779" t="s">
        <v>14</v>
      </c>
      <c r="H10779">
             </c>
      <c r="I10779" t="s">
        <v>14</v>
      </c>
      <c r="J10779" t="s">
        <v>141</v>
      </c>
      <c r="K10779" t="s">
        <v>14</v>
      </c>
      <c r="L10779" t="s">
        <v>20</v>
      </c>
      <c r="M10779" t="s">
        <v>20786</v>
      </c>
      <c r="N10779" t="s">
        <v>14</v>
      </c>
    </row>
    <row r="10780" x14ac:dyDescent="0.25">
      <c r="A10780" t="n">
        <v>24</v>
      </c>
      <c r="B10780" t="s">
        <v>14</v>
      </c>
      <c r="C10780" t="s">
        <v>22</v>
      </c>
      <c r="D10780" s="2" t="s">
        <f>=HYPERLINK("https://main.knesset.gov.il/APPS/legislation/main/bills/2158013", "הצעת חוק-יסוד: השפיטה (תיקון - מינוי חברי הכנסת לוועדה לבחירת שופטים)")</f>
        <v>20865</v>
      </c>
      <c r="E10780" t="s">
        <v>20865</v>
      </c>
      <c r="F10780" t="s">
        <v>20866</v>
      </c>
      <c r="G10780" t="s">
        <v>14</v>
      </c>
      <c r="H10780">
             </c>
      <c r="I10780" t="s">
        <v>14</v>
      </c>
      <c r="J10780" t="s">
        <v>141</v>
      </c>
      <c r="K10780" t="s">
        <v>14</v>
      </c>
      <c r="L10780" t="s">
        <v>20</v>
      </c>
      <c r="M10780" t="s">
        <v>20786</v>
      </c>
      <c r="N10780" t="s">
        <v>14</v>
      </c>
    </row>
    <row r="10781" x14ac:dyDescent="0.25">
      <c r="A10781" t="n">
        <v>24</v>
      </c>
      <c r="B10781" t="s">
        <v>14</v>
      </c>
      <c r="C10781" t="s">
        <v>22</v>
      </c>
      <c r="D10781" s="2" t="s">
        <f>=HYPERLINK("https://main.knesset.gov.il/APPS/legislation/main/bills/2157913", "הצעת חוק-יסוד: השפיטה (תיקון - מינוי חברי הכנסת לוועדה לבחירת שופטים)")</f>
        <v>20865</v>
      </c>
      <c r="E10781" t="s">
        <v>20865</v>
      </c>
      <c r="F10781" t="s">
        <v>20867</v>
      </c>
      <c r="G10781" t="s">
        <v>14</v>
      </c>
      <c r="H10781">
             </c>
      <c r="I10781" t="s">
        <v>14</v>
      </c>
      <c r="J10781" t="s">
        <v>141</v>
      </c>
      <c r="K10781" t="s">
        <v>14</v>
      </c>
      <c r="L10781" t="s">
        <v>20</v>
      </c>
      <c r="M10781" t="s">
        <v>20786</v>
      </c>
      <c r="N10781" t="s">
        <v>14</v>
      </c>
    </row>
    <row r="10782" x14ac:dyDescent="0.25">
      <c r="A10782" t="n">
        <v>24</v>
      </c>
      <c r="B10782" t="s">
        <v>14</v>
      </c>
      <c r="C10782" t="s">
        <v>22</v>
      </c>
      <c r="D10782" s="2" t="s">
        <f>=HYPERLINK("https://main.knesset.gov.il/APPS/legislation/main/bills/2157073", "הצעת חוק-יסוד: השפיטה (תיקון - מינוי חברי הכנסת לוועדה לבחירת שופטים)")</f>
        <v>20865</v>
      </c>
      <c r="E10782" t="s">
        <v>20865</v>
      </c>
      <c r="F10782" t="s">
        <v>20868</v>
      </c>
      <c r="G10782" t="s">
        <v>14</v>
      </c>
      <c r="H10782">
             </c>
      <c r="I10782" t="s">
        <v>14</v>
      </c>
      <c r="J10782" t="s">
        <v>141</v>
      </c>
      <c r="K10782" t="s">
        <v>14</v>
      </c>
      <c r="L10782" t="s">
        <v>20</v>
      </c>
      <c r="M10782" t="s">
        <v>20786</v>
      </c>
      <c r="N10782" t="s">
        <v>14</v>
      </c>
    </row>
    <row r="10783" x14ac:dyDescent="0.25">
      <c r="A10783" t="n">
        <v>24</v>
      </c>
      <c r="B10783" t="s">
        <v>14</v>
      </c>
      <c r="C10783" t="s">
        <v>22</v>
      </c>
      <c r="D10783" s="2" t="s">
        <f>=HYPERLINK("https://main.knesset.gov.il/APPS/legislation/main/bills/2156898", "הצעת חוק-יסוד: אוצרות הטבע ומשאבי סביבה")</f>
        <v>10671</v>
      </c>
      <c r="E10783" t="s">
        <v>10671</v>
      </c>
      <c r="F10783" t="s">
        <v>20869</v>
      </c>
      <c r="G10783" t="s">
        <v>14</v>
      </c>
      <c r="H10783">
             </c>
      <c r="I10783" t="s">
        <v>14</v>
      </c>
      <c r="J10783" t="s">
        <v>141</v>
      </c>
      <c r="K10783" t="s">
        <v>14</v>
      </c>
      <c r="L10783" t="s">
        <v>20</v>
      </c>
      <c r="M10783" t="s">
        <v>20786</v>
      </c>
      <c r="N10783" t="s">
        <v>14</v>
      </c>
    </row>
    <row r="10784" x14ac:dyDescent="0.25">
      <c r="A10784" t="n">
        <v>24</v>
      </c>
      <c r="B10784" t="s">
        <v>14</v>
      </c>
      <c r="C10784" t="s">
        <v>22</v>
      </c>
      <c r="D10784" s="2" t="s">
        <f>=HYPERLINK("https://main.knesset.gov.il/APPS/legislation/main/bills/2156828", "הצעת חוק זכויות נפגעי עבירה (תיקון - הרחבת זכויות נפגעי עבירות מין למידע על הליכים משפטיים), התשפ""א-2021")</f>
        <v>20870</v>
      </c>
      <c r="E10784" t="s">
        <v>20870</v>
      </c>
      <c r="F10784" t="s">
        <v>20871</v>
      </c>
      <c r="G10784" t="s">
        <v>14</v>
      </c>
      <c r="H10784">
             </c>
      <c r="I10784" t="s">
        <v>14</v>
      </c>
      <c r="J10784" t="s">
        <v>141</v>
      </c>
      <c r="K10784" t="s">
        <v>14</v>
      </c>
      <c r="L10784" t="s">
        <v>20</v>
      </c>
      <c r="M10784" t="s">
        <v>20786</v>
      </c>
      <c r="N10784" t="s">
        <v>14</v>
      </c>
    </row>
    <row r="10785" x14ac:dyDescent="0.25">
      <c r="A10785" t="n">
        <v>24</v>
      </c>
      <c r="B10785" t="s">
        <v>14</v>
      </c>
      <c r="C10785" t="s">
        <v>22</v>
      </c>
      <c r="D10785" s="2" t="s">
        <f>=HYPERLINK("https://main.knesset.gov.il/APPS/legislation/main/bills/2157949", "הצעת חוק ההוצאה לפועל (תיקון - הגבלת עיקול מיטלטליו של קשיש), התשפ""א-2021")</f>
        <v>19223</v>
      </c>
      <c r="E10785" t="s">
        <v>19223</v>
      </c>
      <c r="F10785" t="s">
        <v>20872</v>
      </c>
      <c r="G10785" t="s">
        <v>14</v>
      </c>
      <c r="H10785">
             </c>
      <c r="I10785" t="s">
        <v>14</v>
      </c>
      <c r="J10785" t="s">
        <v>141</v>
      </c>
      <c r="K10785" t="s">
        <v>14</v>
      </c>
      <c r="L10785" t="s">
        <v>20</v>
      </c>
      <c r="M10785" t="s">
        <v>20786</v>
      </c>
      <c r="N10785" t="s">
        <v>14</v>
      </c>
    </row>
    <row r="10786" x14ac:dyDescent="0.25">
      <c r="A10786" t="n">
        <v>24</v>
      </c>
      <c r="B10786" t="s">
        <v>14</v>
      </c>
      <c r="C10786" t="s">
        <v>22</v>
      </c>
      <c r="D10786" s="2" t="s">
        <f>=HYPERLINK("https://main.knesset.gov.il/APPS/legislation/main/bills/2156832", "הצעת חוק אימוץ ילדים (תיקון - אימוץ על ידי הורה יחיד), התשפ""א-2021")</f>
        <v>20732</v>
      </c>
      <c r="E10786" t="s">
        <v>20732</v>
      </c>
      <c r="F10786" t="s">
        <v>20873</v>
      </c>
      <c r="G10786" t="s">
        <v>14</v>
      </c>
      <c r="H10786">
             </c>
      <c r="I10786" t="s">
        <v>14</v>
      </c>
      <c r="J10786" t="s">
        <v>141</v>
      </c>
      <c r="K10786" t="s">
        <v>14</v>
      </c>
      <c r="L10786" t="s">
        <v>20</v>
      </c>
      <c r="M10786" t="s">
        <v>20786</v>
      </c>
      <c r="N10786" t="s">
        <v>14</v>
      </c>
    </row>
    <row r="10787" x14ac:dyDescent="0.25">
      <c r="A10787" t="n">
        <v>24</v>
      </c>
      <c r="B10787" t="s">
        <v>14</v>
      </c>
      <c r="C10787" t="s">
        <v>22</v>
      </c>
      <c r="D10787" s="2" t="s">
        <f>=HYPERLINK("https://main.knesset.gov.il/APPS/legislation/main/bills/2156842", "הצעת חוק איסור הפליה בשל מין, נטיה מינית או זהות מגדרית (תיקוני חקיקה), התשפ""א-2021")</f>
        <v>20874</v>
      </c>
      <c r="E10787" t="s">
        <v>20874</v>
      </c>
      <c r="F10787" t="s">
        <v>20875</v>
      </c>
      <c r="G10787" t="s">
        <v>14</v>
      </c>
      <c r="H10787">
             </c>
      <c r="I10787" t="s">
        <v>14</v>
      </c>
      <c r="J10787" t="s">
        <v>141</v>
      </c>
      <c r="K10787" t="s">
        <v>14</v>
      </c>
      <c r="L10787" t="s">
        <v>20</v>
      </c>
      <c r="M10787" t="s">
        <v>20786</v>
      </c>
      <c r="N10787" t="s">
        <v>14</v>
      </c>
    </row>
    <row r="10788" x14ac:dyDescent="0.25">
      <c r="A10788" t="n">
        <v>24</v>
      </c>
      <c r="B10788" t="s">
        <v>14</v>
      </c>
      <c r="C10788" t="s">
        <v>22</v>
      </c>
      <c r="D10788" s="2" t="s">
        <f>=HYPERLINK("https://main.knesset.gov.il/APPS/legislation/main/bills/2157650", "הצעת חוק ההוצאה לפועל (תיקון - חייבים מוגנים), התשפ""א-2021")</f>
        <v>20876</v>
      </c>
      <c r="E10788" t="s">
        <v>20876</v>
      </c>
      <c r="F10788" t="s">
        <v>20877</v>
      </c>
      <c r="G10788" t="s">
        <v>14</v>
      </c>
      <c r="H10788">
             </c>
      <c r="I10788" t="s">
        <v>14</v>
      </c>
      <c r="J10788" t="s">
        <v>141</v>
      </c>
      <c r="K10788" t="s">
        <v>14</v>
      </c>
      <c r="L10788" t="s">
        <v>20</v>
      </c>
      <c r="M10788" t="s">
        <v>20786</v>
      </c>
      <c r="N10788" t="s">
        <v>14</v>
      </c>
    </row>
    <row r="10789" x14ac:dyDescent="0.25">
      <c r="A10789" t="n">
        <v>24</v>
      </c>
      <c r="B10789" t="s">
        <v>14</v>
      </c>
      <c r="C10789" t="s">
        <v>22</v>
      </c>
      <c r="D10789" s="2" t="s">
        <f>=HYPERLINK("https://main.knesset.gov.il/APPS/legislation/main/bills/2157267", "הצעת חוק הגנת הפרטיות (תיקון - מינוי נציג רשמי), התשפ""א-2021")</f>
        <v>20878</v>
      </c>
      <c r="E10789" t="s">
        <v>20878</v>
      </c>
      <c r="F10789" t="s">
        <v>20879</v>
      </c>
      <c r="G10789" t="s">
        <v>14</v>
      </c>
      <c r="H10789">
             </c>
      <c r="I10789" t="s">
        <v>14</v>
      </c>
      <c r="J10789" t="s">
        <v>141</v>
      </c>
      <c r="K10789" t="s">
        <v>14</v>
      </c>
      <c r="L10789" t="s">
        <v>20</v>
      </c>
      <c r="M10789" t="s">
        <v>20786</v>
      </c>
      <c r="N10789" t="s">
        <v>14</v>
      </c>
    </row>
    <row r="10790" x14ac:dyDescent="0.25">
      <c r="A10790" t="n">
        <v>24</v>
      </c>
      <c r="B10790" t="s">
        <v>14</v>
      </c>
      <c r="C10790" t="s">
        <v>22</v>
      </c>
      <c r="D10790" s="2" t="s">
        <f>=HYPERLINK("https://main.knesset.gov.il/APPS/legislation/main/bills/2156833", "הצעת חוק זכויות נפגעי עבירה (תיקון - מרכזי טיפול ייעודיים לנפגעות ונפגעי עבירות מין בגירים), התשפ""א-2021")</f>
        <v>20880</v>
      </c>
      <c r="E10790" t="s">
        <v>20880</v>
      </c>
      <c r="F10790" t="s">
        <v>20881</v>
      </c>
      <c r="G10790" t="s">
        <v>14</v>
      </c>
      <c r="H10790">
             </c>
      <c r="I10790" t="s">
        <v>14</v>
      </c>
      <c r="J10790" t="s">
        <v>141</v>
      </c>
      <c r="K10790" t="s">
        <v>14</v>
      </c>
      <c r="L10790" t="s">
        <v>20</v>
      </c>
      <c r="M10790" t="s">
        <v>20786</v>
      </c>
      <c r="N10790" t="s">
        <v>14</v>
      </c>
    </row>
    <row r="10791" x14ac:dyDescent="0.25">
      <c r="A10791" t="n">
        <v>24</v>
      </c>
      <c r="B10791" t="s">
        <v>14</v>
      </c>
      <c r="C10791" t="s">
        <v>22</v>
      </c>
      <c r="D10791" s="2" t="s">
        <f>=HYPERLINK("https://main.knesset.gov.il/APPS/legislation/main/bills/2156792", "הצעת חוק הגנה על הציבור מפני ביצוע עבירות מין ( תיקון - מתן טיפול שיקום מונע ללא הרשעה), התשפ""א-2021")</f>
        <v>20882</v>
      </c>
      <c r="E10791" t="s">
        <v>20882</v>
      </c>
      <c r="F10791" t="s">
        <v>20883</v>
      </c>
      <c r="G10791" t="s">
        <v>14</v>
      </c>
      <c r="H10791">
             </c>
      <c r="I10791" t="s">
        <v>14</v>
      </c>
      <c r="J10791" t="s">
        <v>141</v>
      </c>
      <c r="K10791" t="s">
        <v>14</v>
      </c>
      <c r="L10791" t="s">
        <v>20</v>
      </c>
      <c r="M10791" t="s">
        <v>20786</v>
      </c>
      <c r="N10791" t="s">
        <v>14</v>
      </c>
    </row>
    <row r="10792" x14ac:dyDescent="0.25">
      <c r="A10792" t="n">
        <v>24</v>
      </c>
      <c r="B10792" t="s">
        <v>14</v>
      </c>
      <c r="C10792" t="s">
        <v>22</v>
      </c>
      <c r="D10792" s="2" t="s">
        <f>=HYPERLINK("https://main.knesset.gov.il/APPS/legislation/main/bills/2157262", "הצעת חוק הגנת הפרטיות (תיקון - פרטיות קטינים), התשפ""א-2021")</f>
        <v>20884</v>
      </c>
      <c r="E10792" t="s">
        <v>20884</v>
      </c>
      <c r="F10792" t="s">
        <v>20885</v>
      </c>
      <c r="G10792" t="s">
        <v>14</v>
      </c>
      <c r="H10792">
             </c>
      <c r="I10792" t="s">
        <v>14</v>
      </c>
      <c r="J10792" t="s">
        <v>141</v>
      </c>
      <c r="K10792" t="s">
        <v>14</v>
      </c>
      <c r="L10792" t="s">
        <v>20</v>
      </c>
      <c r="M10792" t="s">
        <v>20786</v>
      </c>
      <c r="N10792" t="s">
        <v>14</v>
      </c>
    </row>
    <row r="10793" x14ac:dyDescent="0.25">
      <c r="A10793" t="n">
        <v>24</v>
      </c>
      <c r="B10793" t="s">
        <v>14</v>
      </c>
      <c r="C10793" t="s">
        <v>22</v>
      </c>
      <c r="D10793" s="2" t="s">
        <f>=HYPERLINK("https://main.knesset.gov.il/APPS/legislation/main/bills/2156407", "הצעת חוק הפעלת תחבורה ציבורית בשבת, התשפ""א-2021")</f>
        <v>20886</v>
      </c>
      <c r="E10793" t="s">
        <v>20886</v>
      </c>
      <c r="F10793" t="s">
        <v>20887</v>
      </c>
      <c r="G10793" t="s">
        <v>14</v>
      </c>
      <c r="H10793">
             </c>
      <c r="I10793" t="s">
        <v>14</v>
      </c>
      <c r="J10793" t="s">
        <v>141</v>
      </c>
      <c r="K10793" t="s">
        <v>14</v>
      </c>
      <c r="L10793" t="s">
        <v>20</v>
      </c>
      <c r="M10793" t="s">
        <v>20786</v>
      </c>
      <c r="N10793" t="s">
        <v>14</v>
      </c>
    </row>
    <row r="10794" x14ac:dyDescent="0.25">
      <c r="A10794" t="n">
        <v>24</v>
      </c>
      <c r="B10794" t="s">
        <v>14</v>
      </c>
      <c r="C10794" t="s">
        <v>22</v>
      </c>
      <c r="D10794" s="2" t="s">
        <f>=HYPERLINK("https://main.knesset.gov.il/APPS/legislation/main/bills/2157087", "הצעת חוק העונשין (תיקון - ביטול האפשרות למאסר במקום קנס) (הוראת שעה), התשפ""א-2021")</f>
        <v>20888</v>
      </c>
      <c r="E10794" t="s">
        <v>20888</v>
      </c>
      <c r="F10794" t="s">
        <v>20889</v>
      </c>
      <c r="G10794" t="s">
        <v>14</v>
      </c>
      <c r="H10794">
             </c>
      <c r="I10794" t="s">
        <v>14</v>
      </c>
      <c r="J10794" t="s">
        <v>141</v>
      </c>
      <c r="K10794" t="s">
        <v>14</v>
      </c>
      <c r="L10794" t="s">
        <v>20</v>
      </c>
      <c r="M10794" t="s">
        <v>20786</v>
      </c>
      <c r="N10794" t="s">
        <v>14</v>
      </c>
    </row>
    <row r="10795" x14ac:dyDescent="0.25">
      <c r="A10795" t="n">
        <v>24</v>
      </c>
      <c r="B10795" t="s">
        <v>14</v>
      </c>
      <c r="C10795" t="s">
        <v>22</v>
      </c>
      <c r="D10795" s="2" t="s">
        <f>=HYPERLINK("https://main.knesset.gov.il/APPS/legislation/main/bills/2156509", "הצעת חוק בתי המשפט (תיקון - תקופת צינון במועמדות חבר כנסת או שר למשרת שופט), התשפ""א-2021")</f>
        <v>20890</v>
      </c>
      <c r="E10795" t="s">
        <v>20890</v>
      </c>
      <c r="F10795" t="s">
        <v>20891</v>
      </c>
      <c r="G10795" t="s">
        <v>14</v>
      </c>
      <c r="H10795">
             </c>
      <c r="I10795" t="s">
        <v>14</v>
      </c>
      <c r="J10795" t="s">
        <v>141</v>
      </c>
      <c r="K10795" t="s">
        <v>14</v>
      </c>
      <c r="L10795" t="s">
        <v>20</v>
      </c>
      <c r="M10795" t="s">
        <v>20786</v>
      </c>
      <c r="N10795" t="s">
        <v>14</v>
      </c>
    </row>
    <row r="10796" x14ac:dyDescent="0.25">
      <c r="A10796" t="n">
        <v>24</v>
      </c>
      <c r="B10796" t="s">
        <v>14</v>
      </c>
      <c r="C10796" t="s">
        <v>22</v>
      </c>
      <c r="D10796" s="2" t="s">
        <f>=HYPERLINK("https://main.knesset.gov.il/APPS/legislation/main/bills/2157353", "הצעת חוק-יסוד: כבוד האדם וחירותו (תיקון - שיריון זכויות האדם)")</f>
        <v>19908</v>
      </c>
      <c r="E10796" t="s">
        <v>19908</v>
      </c>
      <c r="F10796" t="s">
        <v>20892</v>
      </c>
      <c r="G10796" t="s">
        <v>14</v>
      </c>
      <c r="H10796">
             </c>
      <c r="I10796" t="s">
        <v>14</v>
      </c>
      <c r="J10796" t="s">
        <v>141</v>
      </c>
      <c r="K10796" t="s">
        <v>14</v>
      </c>
      <c r="L10796" t="s">
        <v>20</v>
      </c>
      <c r="M10796" t="s">
        <v>20786</v>
      </c>
      <c r="N10796" t="s">
        <v>14</v>
      </c>
    </row>
    <row r="10797" x14ac:dyDescent="0.25">
      <c r="A10797" t="n">
        <v>24</v>
      </c>
      <c r="B10797" t="s">
        <v>14</v>
      </c>
      <c r="C10797" t="s">
        <v>22</v>
      </c>
      <c r="D10797" s="2" t="s">
        <f>=HYPERLINK("https://main.knesset.gov.il/APPS/legislation/main/bills/2157344", "הצעת חוק-יסוד: ישראל - מדינת הלאום של העם היהודי (תיקון - ביטול החוק)")</f>
        <v>4732</v>
      </c>
      <c r="E10797" t="s">
        <v>4732</v>
      </c>
      <c r="F10797" t="s">
        <v>20893</v>
      </c>
      <c r="G10797" t="s">
        <v>14</v>
      </c>
      <c r="H10797">
             </c>
      <c r="I10797" t="s">
        <v>14</v>
      </c>
      <c r="J10797" t="s">
        <v>141</v>
      </c>
      <c r="K10797" t="s">
        <v>14</v>
      </c>
      <c r="L10797" t="s">
        <v>20</v>
      </c>
      <c r="M10797" t="s">
        <v>20786</v>
      </c>
      <c r="N10797" t="s">
        <v>14</v>
      </c>
    </row>
    <row r="10798" x14ac:dyDescent="0.25">
      <c r="A10798" t="n">
        <v>24</v>
      </c>
      <c r="B10798" t="s">
        <v>14</v>
      </c>
      <c r="C10798" t="s">
        <v>22</v>
      </c>
      <c r="D10798" s="2" t="s">
        <f>=HYPERLINK("https://main.knesset.gov.il/APPS/legislation/main/bills/2156994", "הצעת חוק הביטוח הלאומי (תיקון - זכאות לדמי אבטלה מגיל 18), התשפ""א-2021")</f>
        <v>20894</v>
      </c>
      <c r="E10798" t="s">
        <v>20894</v>
      </c>
      <c r="F10798" t="s">
        <v>20895</v>
      </c>
      <c r="G10798" t="s">
        <v>14</v>
      </c>
      <c r="H10798">
             </c>
      <c r="I10798" t="s">
        <v>14</v>
      </c>
      <c r="J10798" t="s">
        <v>141</v>
      </c>
      <c r="K10798" t="s">
        <v>14</v>
      </c>
      <c r="L10798" t="s">
        <v>20</v>
      </c>
      <c r="M10798" t="s">
        <v>20786</v>
      </c>
      <c r="N10798" t="s">
        <v>14</v>
      </c>
    </row>
    <row r="10799" x14ac:dyDescent="0.25">
      <c r="A10799" t="n">
        <v>24</v>
      </c>
      <c r="B10799" t="s">
        <v>14</v>
      </c>
      <c r="C10799" t="s">
        <v>22</v>
      </c>
      <c r="D10799" s="2" t="s">
        <f>=HYPERLINK("https://main.knesset.gov.il/APPS/legislation/main/bills/2157510", "הצעת חוק הביטוח הלאומי (תיקון - תוספת קצבה לנכים מונשמים), התשפ""א-2021")</f>
        <v>20896</v>
      </c>
      <c r="E10799" t="s">
        <v>20896</v>
      </c>
      <c r="F10799" t="s">
        <v>20897</v>
      </c>
      <c r="G10799" t="s">
        <v>14</v>
      </c>
      <c r="H10799">
             </c>
      <c r="I10799" t="s">
        <v>14</v>
      </c>
      <c r="J10799" t="s">
        <v>141</v>
      </c>
      <c r="K10799" t="s">
        <v>14</v>
      </c>
      <c r="L10799" t="s">
        <v>20</v>
      </c>
      <c r="M10799" t="s">
        <v>20786</v>
      </c>
      <c r="N10799" t="s">
        <v>14</v>
      </c>
    </row>
    <row r="10800" x14ac:dyDescent="0.25">
      <c r="A10800" t="n">
        <v>24</v>
      </c>
      <c r="B10800" t="s">
        <v>14</v>
      </c>
      <c r="C10800" t="s">
        <v>22</v>
      </c>
      <c r="D10800" s="2" t="s">
        <f>=HYPERLINK("https://main.knesset.gov.il/APPS/legislation/main/bills/2157644", "הצעת חוק לתיקון פקודת סדרי השלטון והמשפט (יום האישה הבינלאומי), התשפ""א-2021")</f>
        <v>20898</v>
      </c>
      <c r="E10800" t="s">
        <v>20898</v>
      </c>
      <c r="F10800" t="s">
        <v>20899</v>
      </c>
      <c r="G10800" t="s">
        <v>14</v>
      </c>
      <c r="H10800">
             </c>
      <c r="I10800" t="s">
        <v>14</v>
      </c>
      <c r="J10800" t="s">
        <v>141</v>
      </c>
      <c r="K10800" t="s">
        <v>14</v>
      </c>
      <c r="L10800" t="s">
        <v>20</v>
      </c>
      <c r="M10800" t="s">
        <v>20786</v>
      </c>
      <c r="N10800" t="s">
        <v>14</v>
      </c>
    </row>
    <row r="10801" x14ac:dyDescent="0.25">
      <c r="A10801" t="n">
        <v>24</v>
      </c>
      <c r="B10801" t="s">
        <v>14</v>
      </c>
      <c r="C10801" t="s">
        <v>22</v>
      </c>
      <c r="D10801" s="2" t="s">
        <f>=HYPERLINK("https://main.knesset.gov.il/APPS/legislation/main/bills/2156128", "הצעת חוק שוויון זכויות לאנשים עם מוגבלות (תיקון - הוראות לעניין מוסד על-תיכוני להשכלה תורנית או דתית), התשפ""א-2021")</f>
        <v>20900</v>
      </c>
      <c r="E10801" t="s">
        <v>20900</v>
      </c>
      <c r="F10801" t="s">
        <v>20901</v>
      </c>
      <c r="G10801" t="s">
        <v>14</v>
      </c>
      <c r="H10801">
             </c>
      <c r="I10801" t="s">
        <v>14</v>
      </c>
      <c r="J10801" t="s">
        <v>141</v>
      </c>
      <c r="K10801" t="s">
        <v>14</v>
      </c>
      <c r="L10801" t="s">
        <v>20</v>
      </c>
      <c r="M10801" t="s">
        <v>20786</v>
      </c>
      <c r="N10801" t="s">
        <v>14</v>
      </c>
    </row>
    <row r="10802" x14ac:dyDescent="0.25">
      <c r="A10802" t="n">
        <v>24</v>
      </c>
      <c r="B10802" t="s">
        <v>14</v>
      </c>
      <c r="C10802" t="s">
        <v>22</v>
      </c>
      <c r="D10802" s="2" t="s">
        <f>=HYPERLINK("https://main.knesset.gov.il/APPS/legislation/main/bills/2157279", "הצעת חוק הסדרת שוק הקנאביס לצריכה עצמית, התשפ""א-2021")</f>
        <v>19161</v>
      </c>
      <c r="E10802" t="s">
        <v>19161</v>
      </c>
      <c r="F10802" t="s">
        <v>20902</v>
      </c>
      <c r="G10802" t="s">
        <v>14</v>
      </c>
      <c r="H10802">
             </c>
      <c r="I10802" t="s">
        <v>14</v>
      </c>
      <c r="J10802" t="s">
        <v>141</v>
      </c>
      <c r="K10802" t="s">
        <v>14</v>
      </c>
      <c r="L10802" t="s">
        <v>20</v>
      </c>
      <c r="M10802" t="s">
        <v>20786</v>
      </c>
      <c r="N10802" t="s">
        <v>14</v>
      </c>
    </row>
    <row r="10803" x14ac:dyDescent="0.25">
      <c r="A10803" t="n">
        <v>24</v>
      </c>
      <c r="B10803" t="s">
        <v>14</v>
      </c>
      <c r="C10803" t="s">
        <v>22</v>
      </c>
      <c r="D10803" s="2" t="s">
        <f>=HYPERLINK("https://main.knesset.gov.il/APPS/legislation/main/bills/2156099", "הצעת חוק חישוב דרגת הזכאות של מורה להשתתפות המדינה בדמי ההחזקה לילד במעונות יום ובמשפחתונים, התשפ""א-2021")</f>
        <v>20903</v>
      </c>
      <c r="E10803" t="s">
        <v>20903</v>
      </c>
      <c r="F10803" t="s">
        <v>20904</v>
      </c>
      <c r="G10803" t="s">
        <v>14</v>
      </c>
      <c r="H10803">
             </c>
      <c r="I10803" t="s">
        <v>14</v>
      </c>
      <c r="J10803" t="s">
        <v>141</v>
      </c>
      <c r="K10803" t="s">
        <v>14</v>
      </c>
      <c r="L10803" t="s">
        <v>20</v>
      </c>
      <c r="M10803" t="s">
        <v>20786</v>
      </c>
      <c r="N10803" t="s">
        <v>14</v>
      </c>
    </row>
    <row r="10804" x14ac:dyDescent="0.25">
      <c r="A10804" t="n">
        <v>24</v>
      </c>
      <c r="B10804" t="s">
        <v>14</v>
      </c>
      <c r="C10804" t="s">
        <v>22</v>
      </c>
      <c r="D10804" s="2" t="s">
        <f>=HYPERLINK("https://main.knesset.gov.il/APPS/legislation/main/bills/2156975", "הצעת חוק-יסוד: הכנסת (תיקון - גיל הבוחר)")</f>
        <v>20905</v>
      </c>
      <c r="E10804" t="s">
        <v>20905</v>
      </c>
      <c r="F10804" t="s">
        <v>20906</v>
      </c>
      <c r="G10804" t="s">
        <v>14</v>
      </c>
      <c r="H10804">
             </c>
      <c r="I10804" t="s">
        <v>14</v>
      </c>
      <c r="J10804" t="s">
        <v>141</v>
      </c>
      <c r="K10804" t="s">
        <v>14</v>
      </c>
      <c r="L10804" t="s">
        <v>20</v>
      </c>
      <c r="M10804" t="s">
        <v>20786</v>
      </c>
      <c r="N10804" t="s">
        <v>14</v>
      </c>
    </row>
    <row r="10805" x14ac:dyDescent="0.25">
      <c r="A10805" t="n">
        <v>24</v>
      </c>
      <c r="B10805" t="s">
        <v>14</v>
      </c>
      <c r="C10805" t="s">
        <v>22</v>
      </c>
      <c r="D10805" s="2" t="s">
        <f>=HYPERLINK("https://main.knesset.gov.il/APPS/legislation/main/bills/2156053", "הצעת חוק ביטוח בריאות ממלכתי (תיקון - אשפוז בית), התשפ""א-2021")</f>
        <v>20907</v>
      </c>
      <c r="E10805" t="s">
        <v>20907</v>
      </c>
      <c r="F10805" t="s">
        <v>20908</v>
      </c>
      <c r="G10805" t="s">
        <v>14</v>
      </c>
      <c r="H10805">
             </c>
      <c r="I10805" t="s">
        <v>14</v>
      </c>
      <c r="J10805" t="s">
        <v>141</v>
      </c>
      <c r="K10805" t="s">
        <v>14</v>
      </c>
      <c r="L10805" t="s">
        <v>20</v>
      </c>
      <c r="M10805" t="s">
        <v>20786</v>
      </c>
      <c r="N10805" t="s">
        <v>14</v>
      </c>
    </row>
    <row r="10806" x14ac:dyDescent="0.25">
      <c r="A10806" t="n">
        <v>24</v>
      </c>
      <c r="B10806" t="s">
        <v>14</v>
      </c>
      <c r="C10806" t="s">
        <v>22</v>
      </c>
      <c r="D10806" s="2" t="s">
        <f>=HYPERLINK("https://main.knesset.gov.il/APPS/legislation/main/bills/2157648", "הצעת חוק שירות המדינה (משמעת) (תיקון - הארכת תקופת ההתיישנות בהטרדות מיניות), התשפ""א-2021")</f>
        <v>20909</v>
      </c>
      <c r="E10806" t="s">
        <v>20909</v>
      </c>
      <c r="F10806" t="s">
        <v>20910</v>
      </c>
      <c r="G10806" t="s">
        <v>14</v>
      </c>
      <c r="H10806">
             </c>
      <c r="I10806" t="s">
        <v>14</v>
      </c>
      <c r="J10806" t="s">
        <v>141</v>
      </c>
      <c r="K10806" t="s">
        <v>14</v>
      </c>
      <c r="L10806" t="s">
        <v>20</v>
      </c>
      <c r="M10806" t="s">
        <v>20786</v>
      </c>
      <c r="N10806" t="s">
        <v>14</v>
      </c>
    </row>
    <row r="10807" x14ac:dyDescent="0.25">
      <c r="A10807" t="n">
        <v>24</v>
      </c>
      <c r="B10807" t="s">
        <v>14</v>
      </c>
      <c r="C10807" t="s">
        <v>22</v>
      </c>
      <c r="D10807" s="2" t="s">
        <f>=HYPERLINK("https://main.knesset.gov.il/APPS/legislation/main/bills/2157554", "הצעת חוק-יסוד: כבוד האדם וחירותו (תיקון - הזכות לשוויון)")</f>
        <v>2676</v>
      </c>
      <c r="E10807" t="s">
        <v>2676</v>
      </c>
      <c r="F10807" t="s">
        <v>20911</v>
      </c>
      <c r="G10807" t="s">
        <v>14</v>
      </c>
      <c r="H10807">
             </c>
      <c r="I10807" t="s">
        <v>14</v>
      </c>
      <c r="J10807" t="s">
        <v>141</v>
      </c>
      <c r="K10807" t="s">
        <v>14</v>
      </c>
      <c r="L10807" t="s">
        <v>20</v>
      </c>
      <c r="M10807" t="s">
        <v>20786</v>
      </c>
      <c r="N10807" t="s">
        <v>14</v>
      </c>
    </row>
    <row r="10808" x14ac:dyDescent="0.25">
      <c r="A10808" t="n">
        <v>24</v>
      </c>
      <c r="B10808" t="s">
        <v>14</v>
      </c>
      <c r="C10808" t="s">
        <v>22</v>
      </c>
      <c r="D10808" s="2" t="s">
        <f>=HYPERLINK("https://main.knesset.gov.il/APPS/legislation/main/bills/2157823", "הצעת חוק לתיקון דיני הראיות (הגנת ילדים) (תיקון - חקירה תוך 48 שעות), התשפ""א-2021")</f>
        <v>19732</v>
      </c>
      <c r="E10808" t="s">
        <v>19732</v>
      </c>
      <c r="F10808" t="s">
        <v>20912</v>
      </c>
      <c r="G10808" t="s">
        <v>14</v>
      </c>
      <c r="H10808">
             </c>
      <c r="I10808" t="s">
        <v>14</v>
      </c>
      <c r="J10808" t="s">
        <v>141</v>
      </c>
      <c r="K10808" t="s">
        <v>14</v>
      </c>
      <c r="L10808" t="s">
        <v>20</v>
      </c>
      <c r="M10808" t="s">
        <v>20786</v>
      </c>
      <c r="N10808" t="s">
        <v>14</v>
      </c>
    </row>
    <row r="10809" x14ac:dyDescent="0.25">
      <c r="A10809" t="n">
        <v>24</v>
      </c>
      <c r="B10809" t="s">
        <v>14</v>
      </c>
      <c r="C10809" t="s">
        <v>22</v>
      </c>
      <c r="D10809" s="2" t="s">
        <f>=HYPERLINK("https://main.knesset.gov.il/APPS/legislation/main/bills/2157821", "הצעת חוק למניעת הטרדה מינית (תיקון - הטרדת קטין), התשפ""א-2021")</f>
        <v>20913</v>
      </c>
      <c r="E10809" t="s">
        <v>20913</v>
      </c>
      <c r="F10809" t="s">
        <v>20914</v>
      </c>
      <c r="G10809" t="s">
        <v>14</v>
      </c>
      <c r="H10809">
             </c>
      <c r="I10809" t="s">
        <v>14</v>
      </c>
      <c r="J10809" t="s">
        <v>141</v>
      </c>
      <c r="K10809" t="s">
        <v>14</v>
      </c>
      <c r="L10809" t="s">
        <v>20</v>
      </c>
      <c r="M10809" t="s">
        <v>20786</v>
      </c>
      <c r="N10809" t="s">
        <v>14</v>
      </c>
    </row>
    <row r="10810" x14ac:dyDescent="0.25">
      <c r="A10810" t="n">
        <v>24</v>
      </c>
      <c r="B10810" t="s">
        <v>14</v>
      </c>
      <c r="C10810" t="s">
        <v>22</v>
      </c>
      <c r="D10810" s="2" t="s">
        <f>=HYPERLINK("https://main.knesset.gov.il/APPS/legislation/main/bills/2157255", "הצעת חוק לתיקון פקודת הבנקאות (הסכם הלוואה לדיור ללא עמלת היוון בשל פירעון מוקדם), התשפ""א-2021")</f>
        <v>20915</v>
      </c>
      <c r="E10810" t="s">
        <v>20915</v>
      </c>
      <c r="F10810" t="s">
        <v>20916</v>
      </c>
      <c r="G10810" t="s">
        <v>14</v>
      </c>
      <c r="H10810">
             </c>
      <c r="I10810" t="s">
        <v>14</v>
      </c>
      <c r="J10810" t="s">
        <v>141</v>
      </c>
      <c r="K10810" t="s">
        <v>14</v>
      </c>
      <c r="L10810" t="s">
        <v>20</v>
      </c>
      <c r="M10810" t="s">
        <v>20786</v>
      </c>
      <c r="N10810" t="s">
        <v>14</v>
      </c>
    </row>
    <row r="10811" x14ac:dyDescent="0.25">
      <c r="A10811" t="n">
        <v>24</v>
      </c>
      <c r="B10811" t="s">
        <v>14</v>
      </c>
      <c r="C10811" t="s">
        <v>22</v>
      </c>
      <c r="D10811" s="2" t="s">
        <f>=HYPERLINK("https://main.knesset.gov.il/APPS/legislation/main/bills/2157673", "הצעת חוק ביטוח בריאות ממלכתי (תיקון - פטור מתקופת המתנה לסטודנטים הלומדים בחו""ל), התשפ""א-2021")</f>
        <v>18978</v>
      </c>
      <c r="E10811" t="s">
        <v>18978</v>
      </c>
      <c r="F10811" t="s">
        <v>20917</v>
      </c>
      <c r="G10811" t="s">
        <v>14</v>
      </c>
      <c r="H10811">
             </c>
      <c r="I10811" t="s">
        <v>14</v>
      </c>
      <c r="J10811" t="s">
        <v>141</v>
      </c>
      <c r="K10811" t="s">
        <v>14</v>
      </c>
      <c r="L10811" t="s">
        <v>20</v>
      </c>
      <c r="M10811" t="s">
        <v>20786</v>
      </c>
      <c r="N10811" t="s">
        <v>14</v>
      </c>
    </row>
    <row r="10812" x14ac:dyDescent="0.25">
      <c r="A10812" t="n">
        <v>24</v>
      </c>
      <c r="B10812" t="s">
        <v>14</v>
      </c>
      <c r="C10812" t="s">
        <v>22</v>
      </c>
      <c r="D10812" s="2" t="s">
        <f>=HYPERLINK("https://main.knesset.gov.il/APPS/legislation/main/bills/2157900", "הצעת חוק הפיקוח על שירותים פיננסיים (עיסוק בייעוץ מימון דיור), התשפ""א-2021")</f>
        <v>20918</v>
      </c>
      <c r="E10812" t="s">
        <v>20918</v>
      </c>
      <c r="F10812" t="s">
        <v>20919</v>
      </c>
      <c r="G10812" t="s">
        <v>14</v>
      </c>
      <c r="H10812">
             </c>
      <c r="I10812" t="s">
        <v>14</v>
      </c>
      <c r="J10812" t="s">
        <v>141</v>
      </c>
      <c r="K10812" t="s">
        <v>14</v>
      </c>
      <c r="L10812" t="s">
        <v>20</v>
      </c>
      <c r="M10812" t="s">
        <v>20786</v>
      </c>
      <c r="N10812" t="s">
        <v>14</v>
      </c>
    </row>
    <row r="10813" x14ac:dyDescent="0.25">
      <c r="A10813" t="n">
        <v>24</v>
      </c>
      <c r="B10813" t="s">
        <v>14</v>
      </c>
      <c r="C10813" t="s">
        <v>22</v>
      </c>
      <c r="D10813" s="2" t="s">
        <f>=HYPERLINK("https://main.knesset.gov.il/APPS/legislation/main/bills/2157778", "הצעת חוק זכויות החולה (תיקון - הסכמה מדעת של קטין), התשפ""א-2021")</f>
        <v>20241</v>
      </c>
      <c r="E10813" t="s">
        <v>20241</v>
      </c>
      <c r="F10813" t="s">
        <v>20920</v>
      </c>
      <c r="G10813" t="s">
        <v>14</v>
      </c>
      <c r="H10813">
             </c>
      <c r="I10813" t="s">
        <v>14</v>
      </c>
      <c r="J10813" t="s">
        <v>1123</v>
      </c>
      <c r="K10813" t="s">
        <v>14</v>
      </c>
      <c r="L10813" t="s">
        <v>20</v>
      </c>
      <c r="M10813" t="s">
        <v>20786</v>
      </c>
      <c r="N10813" t="s">
        <v>14</v>
      </c>
    </row>
    <row r="10814" x14ac:dyDescent="0.25">
      <c r="A10814" t="n">
        <v>24</v>
      </c>
      <c r="B10814" t="s">
        <v>14</v>
      </c>
      <c r="C10814" t="s">
        <v>22</v>
      </c>
      <c r="D10814" s="2" t="s">
        <f>=HYPERLINK("https://main.knesset.gov.il/APPS/legislation/main/bills/2156337", "הצעת חוק הביטוח הלאומי (תיקון - נכה שהגיע לגיל פרישה), התשפ""א-2021")</f>
        <v>20921</v>
      </c>
      <c r="E10814" t="s">
        <v>20921</v>
      </c>
      <c r="F10814" t="s">
        <v>20922</v>
      </c>
      <c r="G10814" t="s">
        <v>14</v>
      </c>
      <c r="H10814">
             </c>
      <c r="I10814" t="s">
        <v>14</v>
      </c>
      <c r="J10814" t="s">
        <v>141</v>
      </c>
      <c r="K10814" t="s">
        <v>14</v>
      </c>
      <c r="L10814" t="s">
        <v>20</v>
      </c>
      <c r="M10814" t="s">
        <v>20786</v>
      </c>
      <c r="N10814" t="s">
        <v>14</v>
      </c>
    </row>
    <row r="10815" x14ac:dyDescent="0.25">
      <c r="A10815" t="n">
        <v>24</v>
      </c>
      <c r="B10815" t="s">
        <v>14</v>
      </c>
      <c r="C10815" t="s">
        <v>22</v>
      </c>
      <c r="D10815" s="2" t="s">
        <f>=HYPERLINK("https://main.knesset.gov.il/APPS/legislation/main/bills/2157645", "הצעת חוק איסור הונאה בכשרות (תיקון - כשרות לבית אוכל שאינו מחלל שבת), התשפ""א-2021")</f>
        <v>20923</v>
      </c>
      <c r="E10815" t="s">
        <v>20923</v>
      </c>
      <c r="F10815" t="s">
        <v>20924</v>
      </c>
      <c r="G10815" t="s">
        <v>14</v>
      </c>
      <c r="H10815">
             </c>
      <c r="I10815" t="s">
        <v>14</v>
      </c>
      <c r="J10815" t="s">
        <v>141</v>
      </c>
      <c r="K10815" t="s">
        <v>14</v>
      </c>
      <c r="L10815" t="s">
        <v>20</v>
      </c>
      <c r="M10815" t="s">
        <v>20786</v>
      </c>
      <c r="N10815" t="s">
        <v>14</v>
      </c>
    </row>
    <row r="10816" x14ac:dyDescent="0.25">
      <c r="A10816" t="n">
        <v>24</v>
      </c>
      <c r="B10816" t="s">
        <v>14</v>
      </c>
      <c r="C10816" t="s">
        <v>22</v>
      </c>
      <c r="D10816" s="2" t="s">
        <f>=HYPERLINK("https://main.knesset.gov.il/APPS/legislation/main/bills/2157773", "הצעת חוק זכויות נפגעי עבירה (תיקון - זכויות בהליך בפני שופט מגשר), התשפ""א-2021")</f>
        <v>20925</v>
      </c>
      <c r="E10816" t="s">
        <v>20925</v>
      </c>
      <c r="F10816" t="s">
        <v>20926</v>
      </c>
      <c r="G10816" t="s">
        <v>14</v>
      </c>
      <c r="H10816">
             </c>
      <c r="I10816" t="s">
        <v>14</v>
      </c>
      <c r="J10816" t="s">
        <v>141</v>
      </c>
      <c r="K10816" t="s">
        <v>14</v>
      </c>
      <c r="L10816" t="s">
        <v>20</v>
      </c>
      <c r="M10816" t="s">
        <v>20786</v>
      </c>
      <c r="N10816" t="s">
        <v>14</v>
      </c>
    </row>
    <row r="10817" x14ac:dyDescent="0.25">
      <c r="A10817" t="n">
        <v>24</v>
      </c>
      <c r="B10817" t="s">
        <v>14</v>
      </c>
      <c r="C10817" t="s">
        <v>22</v>
      </c>
      <c r="D10817" s="2" t="s">
        <f>=HYPERLINK("https://main.knesset.gov.il/APPS/legislation/main/bills/2157628", "הצעת חוק הגנה על עובדים בעת אירוע חירום אזרחי, התשפ""א-2021")</f>
        <v>20927</v>
      </c>
      <c r="E10817" t="s">
        <v>20927</v>
      </c>
      <c r="F10817" t="s">
        <v>20928</v>
      </c>
      <c r="G10817" t="s">
        <v>14</v>
      </c>
      <c r="H10817">
             </c>
      <c r="I10817" t="s">
        <v>14</v>
      </c>
      <c r="J10817" t="s">
        <v>141</v>
      </c>
      <c r="K10817" t="s">
        <v>14</v>
      </c>
      <c r="L10817" t="s">
        <v>20</v>
      </c>
      <c r="M10817" t="s">
        <v>20786</v>
      </c>
      <c r="N10817" t="s">
        <v>14</v>
      </c>
    </row>
    <row r="10818" x14ac:dyDescent="0.25">
      <c r="A10818" t="n">
        <v>24</v>
      </c>
      <c r="B10818" t="s">
        <v>14</v>
      </c>
      <c r="C10818" t="s">
        <v>22</v>
      </c>
      <c r="D10818" s="2" t="s">
        <f>=HYPERLINK("https://main.knesset.gov.il/APPS/legislation/main/bills/2157579", "הצעת חוק הביטוח הלאומי (תיקון - ביטול דרישה לחתימת הורים כתנאי למשיכת כספי החיסכון), התשפ""א-2021")</f>
        <v>20929</v>
      </c>
      <c r="E10818" t="s">
        <v>20929</v>
      </c>
      <c r="F10818" t="s">
        <v>20930</v>
      </c>
      <c r="G10818" t="s">
        <v>14</v>
      </c>
      <c r="H10818">
             </c>
      <c r="I10818" t="s">
        <v>14</v>
      </c>
      <c r="J10818" t="s">
        <v>141</v>
      </c>
      <c r="K10818" t="s">
        <v>14</v>
      </c>
      <c r="L10818" t="s">
        <v>20</v>
      </c>
      <c r="M10818" t="s">
        <v>20786</v>
      </c>
      <c r="N10818" t="s">
        <v>14</v>
      </c>
    </row>
    <row r="10819" x14ac:dyDescent="0.25">
      <c r="A10819" t="n">
        <v>24</v>
      </c>
      <c r="B10819" t="s">
        <v>14</v>
      </c>
      <c r="C10819" t="s">
        <v>22</v>
      </c>
      <c r="D10819" s="2" t="s">
        <f>=HYPERLINK("https://main.knesset.gov.il/APPS/legislation/main/bills/2157704", "הצעת חוק הרשות הלאומית למאבק בעוני, התשפ""א-2021")</f>
        <v>18623</v>
      </c>
      <c r="E10819" t="s">
        <v>18623</v>
      </c>
      <c r="F10819" t="s">
        <v>20931</v>
      </c>
      <c r="G10819" t="s">
        <v>14</v>
      </c>
      <c r="H10819">
             </c>
      <c r="I10819" t="s">
        <v>14</v>
      </c>
      <c r="J10819" t="s">
        <v>141</v>
      </c>
      <c r="K10819" t="s">
        <v>14</v>
      </c>
      <c r="L10819" t="s">
        <v>20</v>
      </c>
      <c r="M10819" t="s">
        <v>20786</v>
      </c>
      <c r="N10819" t="s">
        <v>14</v>
      </c>
    </row>
    <row r="10820" x14ac:dyDescent="0.25">
      <c r="A10820" t="n">
        <v>24</v>
      </c>
      <c r="B10820" t="s">
        <v>14</v>
      </c>
      <c r="C10820" t="s">
        <v>22</v>
      </c>
      <c r="D10820" s="2" t="s">
        <f>=HYPERLINK("https://main.knesset.gov.il/APPS/legislation/main/bills/2157700", "הצעת חוק סדר הדין הפלילי (תיקון - ביטול האיסור המוטל על המשטרה למסור לפרקליטות עמדה בכתב לעניין מכלול התשתית הראייתית לביסוס אשמה נגד חשודים בחקירה), התשפ""א-2021")</f>
        <v>20932</v>
      </c>
      <c r="E10820" t="s">
        <v>20932</v>
      </c>
      <c r="F10820" t="s">
        <v>20933</v>
      </c>
      <c r="G10820" t="s">
        <v>14</v>
      </c>
      <c r="H10820">
             </c>
      <c r="I10820" t="s">
        <v>14</v>
      </c>
      <c r="J10820" t="s">
        <v>141</v>
      </c>
      <c r="K10820" t="s">
        <v>14</v>
      </c>
      <c r="L10820" t="s">
        <v>20</v>
      </c>
      <c r="M10820" t="s">
        <v>20786</v>
      </c>
      <c r="N10820" t="s">
        <v>14</v>
      </c>
    </row>
    <row r="10821" x14ac:dyDescent="0.25">
      <c r="A10821" t="n">
        <v>24</v>
      </c>
      <c r="B10821" t="s">
        <v>14</v>
      </c>
      <c r="C10821" t="s">
        <v>22</v>
      </c>
      <c r="D10821" s="2" t="s">
        <f>=HYPERLINK("https://main.knesset.gov.il/APPS/legislation/main/bills/2157559", "הצעת חוק שירותי הדת היהודיים (תיקון - פיזור מועצה דתית בידי מועצת הרשות המקומית), התשפ""א-2021")</f>
        <v>20934</v>
      </c>
      <c r="E10821" t="s">
        <v>20934</v>
      </c>
      <c r="F10821" t="s">
        <v>20935</v>
      </c>
      <c r="G10821" t="s">
        <v>14</v>
      </c>
      <c r="H10821">
             </c>
      <c r="I10821" t="s">
        <v>14</v>
      </c>
      <c r="J10821" t="s">
        <v>141</v>
      </c>
      <c r="K10821" t="s">
        <v>14</v>
      </c>
      <c r="L10821" t="s">
        <v>20</v>
      </c>
      <c r="M10821" t="s">
        <v>20786</v>
      </c>
      <c r="N10821" t="s">
        <v>14</v>
      </c>
    </row>
    <row r="10822" x14ac:dyDescent="0.25">
      <c r="A10822" t="n">
        <v>24</v>
      </c>
      <c r="B10822" t="s">
        <v>14</v>
      </c>
      <c r="C10822" t="s">
        <v>22</v>
      </c>
      <c r="D10822" s="2" t="s">
        <f>=HYPERLINK("https://main.knesset.gov.il/APPS/legislation/main/bills/2157576", "הצעת חוק העונשין (תיקון - תקיפת איש כוחות הביטחון וההצלה), התשפ""א-2021")</f>
        <v>20936</v>
      </c>
      <c r="E10822" t="s">
        <v>20936</v>
      </c>
      <c r="F10822" t="s">
        <v>20937</v>
      </c>
      <c r="G10822" t="s">
        <v>14</v>
      </c>
      <c r="H10822">
             </c>
      <c r="I10822" t="s">
        <v>14</v>
      </c>
      <c r="J10822" t="s">
        <v>141</v>
      </c>
      <c r="K10822" t="s">
        <v>14</v>
      </c>
      <c r="L10822" t="s">
        <v>20</v>
      </c>
      <c r="M10822" t="s">
        <v>20786</v>
      </c>
      <c r="N10822" t="s">
        <v>14</v>
      </c>
    </row>
    <row r="10823" x14ac:dyDescent="0.25">
      <c r="A10823" t="n">
        <v>24</v>
      </c>
      <c r="B10823" t="s">
        <v>14</v>
      </c>
      <c r="C10823" t="s">
        <v>22</v>
      </c>
      <c r="D10823" s="2" t="s">
        <f>=HYPERLINK("https://main.knesset.gov.il/APPS/legislation/main/bills/2157771", "הצעת חוק העונשין (תיקון - החמרת ענישה על תקיפת קטין או חסר ישע), התשפ""א-2021")</f>
        <v>19087</v>
      </c>
      <c r="E10823" t="s">
        <v>19087</v>
      </c>
      <c r="F10823" t="s">
        <v>20938</v>
      </c>
      <c r="G10823" t="s">
        <v>14</v>
      </c>
      <c r="H10823">
             </c>
      <c r="I10823" t="s">
        <v>14</v>
      </c>
      <c r="J10823" t="s">
        <v>141</v>
      </c>
      <c r="K10823" t="s">
        <v>14</v>
      </c>
      <c r="L10823" t="s">
        <v>20</v>
      </c>
      <c r="M10823" t="s">
        <v>20786</v>
      </c>
      <c r="N10823" t="s">
        <v>14</v>
      </c>
    </row>
    <row r="10824" x14ac:dyDescent="0.25">
      <c r="A10824" t="n">
        <v>24</v>
      </c>
      <c r="B10824" t="s">
        <v>14</v>
      </c>
      <c r="C10824" t="s">
        <v>22</v>
      </c>
      <c r="D10824" s="2" t="s">
        <f>=HYPERLINK("https://main.knesset.gov.il/APPS/legislation/main/bills/2157581", "הצעת חוק לקידום התחרות ולצמצום הריכוזיות (תיקון - קביעת תאגיד שאינו מדווח או שותפות כחברת שכבה), התשפ""א-2021")</f>
        <v>20330</v>
      </c>
      <c r="E10824" t="s">
        <v>20330</v>
      </c>
      <c r="F10824" t="s">
        <v>20939</v>
      </c>
      <c r="G10824" t="s">
        <v>14</v>
      </c>
      <c r="H10824">
             </c>
      <c r="I10824" t="s">
        <v>14</v>
      </c>
      <c r="J10824" t="s">
        <v>141</v>
      </c>
      <c r="K10824" t="s">
        <v>14</v>
      </c>
      <c r="L10824" t="s">
        <v>20</v>
      </c>
      <c r="M10824" t="s">
        <v>20786</v>
      </c>
      <c r="N10824" t="s">
        <v>14</v>
      </c>
    </row>
    <row r="10825" x14ac:dyDescent="0.25">
      <c r="A10825" t="n">
        <v>24</v>
      </c>
      <c r="B10825" t="s">
        <v>14</v>
      </c>
      <c r="C10825" t="s">
        <v>22</v>
      </c>
      <c r="D10825" s="2" t="s">
        <f>=HYPERLINK("https://main.knesset.gov.il/APPS/legislation/main/bills/2157566", "הצעת חוק הוועדה לטיפול במשפחות נעדרים אזרחיים, התשפ""א-2021")</f>
        <v>20940</v>
      </c>
      <c r="E10825" t="s">
        <v>20940</v>
      </c>
      <c r="F10825" t="s">
        <v>20941</v>
      </c>
      <c r="G10825" t="s">
        <v>14</v>
      </c>
      <c r="H10825">
             </c>
      <c r="I10825" t="s">
        <v>14</v>
      </c>
      <c r="J10825" t="s">
        <v>141</v>
      </c>
      <c r="K10825" t="s">
        <v>14</v>
      </c>
      <c r="L10825" t="s">
        <v>20</v>
      </c>
      <c r="M10825" t="s">
        <v>20786</v>
      </c>
      <c r="N10825" t="s">
        <v>14</v>
      </c>
    </row>
    <row r="10826" x14ac:dyDescent="0.25">
      <c r="A10826" t="n">
        <v>24</v>
      </c>
      <c r="B10826" t="s">
        <v>14</v>
      </c>
      <c r="C10826" t="s">
        <v>22</v>
      </c>
      <c r="D10826" s="2" t="s">
        <f>=HYPERLINK("https://main.knesset.gov.il/APPS/legislation/main/bills/2157762", "הצעת חוק לקידום שירותי הרפואה בעיר אילת (תיקוני חקיקה), התשפ""א-2021")</f>
        <v>20942</v>
      </c>
      <c r="E10826" t="s">
        <v>20942</v>
      </c>
      <c r="F10826" t="s">
        <v>20943</v>
      </c>
      <c r="G10826" t="s">
        <v>14</v>
      </c>
      <c r="H10826">
             </c>
      <c r="I10826" t="s">
        <v>14</v>
      </c>
      <c r="J10826" t="s">
        <v>141</v>
      </c>
      <c r="K10826" t="s">
        <v>14</v>
      </c>
      <c r="L10826" t="s">
        <v>20</v>
      </c>
      <c r="M10826" t="s">
        <v>20786</v>
      </c>
      <c r="N10826" t="s">
        <v>14</v>
      </c>
    </row>
    <row r="10827" x14ac:dyDescent="0.25">
      <c r="A10827" t="n">
        <v>24</v>
      </c>
      <c r="B10827" t="s">
        <v>14</v>
      </c>
      <c r="C10827" t="s">
        <v>22</v>
      </c>
      <c r="D10827" s="2" t="s">
        <f>=HYPERLINK("https://main.knesset.gov.il/APPS/legislation/main/bills/2157570", "הצעת חוק הביטוח הלאומי (תיקון - מענק פטירה להורה של נכה), התשפ""א-2021")</f>
        <v>20944</v>
      </c>
      <c r="E10827" t="s">
        <v>20944</v>
      </c>
      <c r="F10827" t="s">
        <v>20945</v>
      </c>
      <c r="G10827" t="s">
        <v>14</v>
      </c>
      <c r="H10827">
             </c>
      <c r="I10827" t="s">
        <v>14</v>
      </c>
      <c r="J10827" t="s">
        <v>141</v>
      </c>
      <c r="K10827" t="s">
        <v>14</v>
      </c>
      <c r="L10827" t="s">
        <v>20</v>
      </c>
      <c r="M10827" t="s">
        <v>20786</v>
      </c>
      <c r="N10827" t="s">
        <v>14</v>
      </c>
    </row>
    <row r="10828" x14ac:dyDescent="0.25">
      <c r="A10828" t="n">
        <v>24</v>
      </c>
      <c r="B10828" t="s">
        <v>14</v>
      </c>
      <c r="C10828" t="s">
        <v>22</v>
      </c>
      <c r="D10828" s="2" t="s">
        <f>=HYPERLINK("https://main.knesset.gov.il/APPS/legislation/main/bills/2157759", "הצעת חוק יחסי ממון בין בני זוג (תיקון - איסור פגיעה בזכות לאיזון בעת פקיעת הנישואין בנסיבות של חוסר נאמנות מינית), התשפ""א-2021")</f>
        <v>20946</v>
      </c>
      <c r="E10828" t="s">
        <v>20946</v>
      </c>
      <c r="F10828" t="s">
        <v>20947</v>
      </c>
      <c r="G10828" t="s">
        <v>14</v>
      </c>
      <c r="H10828">
             </c>
      <c r="I10828" t="s">
        <v>14</v>
      </c>
      <c r="J10828" t="s">
        <v>141</v>
      </c>
      <c r="K10828" t="s">
        <v>14</v>
      </c>
      <c r="L10828" t="s">
        <v>20</v>
      </c>
      <c r="M10828" t="s">
        <v>20786</v>
      </c>
      <c r="N10828" t="s">
        <v>14</v>
      </c>
    </row>
    <row r="10829" x14ac:dyDescent="0.25">
      <c r="A10829" t="n">
        <v>24</v>
      </c>
      <c r="B10829" t="s">
        <v>14</v>
      </c>
      <c r="C10829" t="s">
        <v>22</v>
      </c>
      <c r="D10829" s="2" t="s">
        <f>=HYPERLINK("https://main.knesset.gov.il/APPS/legislation/main/bills/2157755", "הצעת חוק לשכת עורכי הדין (תיקון - הכשרה למקצוע), התשפ""א-2021")</f>
        <v>20948</v>
      </c>
      <c r="E10829" t="s">
        <v>20948</v>
      </c>
      <c r="F10829" t="s">
        <v>20949</v>
      </c>
      <c r="G10829" t="s">
        <v>14</v>
      </c>
      <c r="H10829">
             </c>
      <c r="I10829" t="s">
        <v>14</v>
      </c>
      <c r="J10829" t="s">
        <v>141</v>
      </c>
      <c r="K10829" t="s">
        <v>14</v>
      </c>
      <c r="L10829" t="s">
        <v>20</v>
      </c>
      <c r="M10829" t="s">
        <v>20786</v>
      </c>
      <c r="N10829" t="s">
        <v>14</v>
      </c>
    </row>
    <row r="10830" x14ac:dyDescent="0.25">
      <c r="A10830" t="n">
        <v>24</v>
      </c>
      <c r="B10830" t="s">
        <v>14</v>
      </c>
      <c r="C10830" t="s">
        <v>22</v>
      </c>
      <c r="D10830" s="2" t="s">
        <f>=HYPERLINK("https://main.knesset.gov.il/APPS/legislation/main/bills/2157651", "הצעת חוק לתיקון פקודת מס הכנסה (החזר בתשלום למעונות יום לאמהות), התשפ""א-2021")</f>
        <v>20950</v>
      </c>
      <c r="E10830" t="s">
        <v>20950</v>
      </c>
      <c r="F10830" t="s">
        <v>20951</v>
      </c>
      <c r="G10830" t="s">
        <v>14</v>
      </c>
      <c r="H10830">
             </c>
      <c r="I10830" t="s">
        <v>14</v>
      </c>
      <c r="J10830" t="s">
        <v>141</v>
      </c>
      <c r="K10830" t="s">
        <v>14</v>
      </c>
      <c r="L10830" t="s">
        <v>20</v>
      </c>
      <c r="M10830" t="s">
        <v>20786</v>
      </c>
      <c r="N10830" t="s">
        <v>14</v>
      </c>
    </row>
    <row r="10831" x14ac:dyDescent="0.25">
      <c r="A10831" t="n">
        <v>24</v>
      </c>
      <c r="B10831" t="s">
        <v>14</v>
      </c>
      <c r="C10831" t="s">
        <v>22</v>
      </c>
      <c r="D10831" s="2" t="s">
        <f>=HYPERLINK("https://main.knesset.gov.il/APPS/legislation/main/bills/2157574", "הצעת חוק עסקאות גופים ציבוריים (תיקון - איסור על התקשרות קבלנית להעסקת עובדים), התשפ""א-2021")</f>
        <v>19163</v>
      </c>
      <c r="E10831" t="s">
        <v>19163</v>
      </c>
      <c r="F10831" t="s">
        <v>20952</v>
      </c>
      <c r="G10831" t="s">
        <v>14</v>
      </c>
      <c r="H10831">
             </c>
      <c r="I10831" t="s">
        <v>14</v>
      </c>
      <c r="J10831" t="s">
        <v>141</v>
      </c>
      <c r="K10831" t="s">
        <v>14</v>
      </c>
      <c r="L10831" t="s">
        <v>20</v>
      </c>
      <c r="M10831" t="s">
        <v>20786</v>
      </c>
      <c r="N10831" t="s">
        <v>14</v>
      </c>
    </row>
    <row r="10832" x14ac:dyDescent="0.25">
      <c r="A10832" t="n">
        <v>24</v>
      </c>
      <c r="B10832" t="s">
        <v>14</v>
      </c>
      <c r="C10832" t="s">
        <v>22</v>
      </c>
      <c r="D10832" s="2" t="s">
        <f>=HYPERLINK("https://main.knesset.gov.il/APPS/legislation/main/bills/2157357", "הצעת חוק סדר הדין הפלילי (סמכויות אכיפה - מעצרים) (תיקון - מעצר אדם שנאשם בסיכון בטחונו של בעל חיים), התשפ""א-2021")</f>
        <v>20953</v>
      </c>
      <c r="E10832" t="s">
        <v>20953</v>
      </c>
      <c r="F10832" t="s">
        <v>20954</v>
      </c>
      <c r="G10832" t="s">
        <v>14</v>
      </c>
      <c r="H10832">
             </c>
      <c r="I10832" t="s">
        <v>14</v>
      </c>
      <c r="J10832" t="s">
        <v>141</v>
      </c>
      <c r="K10832" t="s">
        <v>14</v>
      </c>
      <c r="L10832" t="s">
        <v>20</v>
      </c>
      <c r="M10832" t="s">
        <v>20786</v>
      </c>
      <c r="N10832" t="s">
        <v>14</v>
      </c>
    </row>
    <row r="10833" x14ac:dyDescent="0.25">
      <c r="A10833" t="n">
        <v>24</v>
      </c>
      <c r="B10833" t="s">
        <v>14</v>
      </c>
      <c r="C10833" t="s">
        <v>22</v>
      </c>
      <c r="D10833" s="2" t="s">
        <f>=HYPERLINK("https://main.knesset.gov.il/APPS/legislation/main/bills/2157387", "הצעת חוק לתיקון פקודת העיריות (חיזוק שלטון החוק וטוהר המידות בשלטון המקומי), התשפ""א-2021")</f>
        <v>20955</v>
      </c>
      <c r="E10833" t="s">
        <v>20955</v>
      </c>
      <c r="F10833" t="s">
        <v>20956</v>
      </c>
      <c r="G10833" t="s">
        <v>14</v>
      </c>
      <c r="H10833">
             </c>
      <c r="I10833" t="s">
        <v>14</v>
      </c>
      <c r="J10833" t="s">
        <v>141</v>
      </c>
      <c r="K10833" t="s">
        <v>14</v>
      </c>
      <c r="L10833" t="s">
        <v>20</v>
      </c>
      <c r="M10833" t="s">
        <v>20786</v>
      </c>
      <c r="N10833" t="s">
        <v>14</v>
      </c>
    </row>
    <row r="10834" x14ac:dyDescent="0.25">
      <c r="A10834" t="n">
        <v>24</v>
      </c>
      <c r="B10834" t="s">
        <v>14</v>
      </c>
      <c r="C10834" t="s">
        <v>22</v>
      </c>
      <c r="D10834" s="2" t="s">
        <f>=HYPERLINK("https://main.knesset.gov.il/APPS/legislation/main/bills/2157291", "הצעת חוק הבטחת הכנסה (תיקון - זכויות נשים ששהו במקלט לנשים מוכות), התשפ""א-2021")</f>
        <v>20957</v>
      </c>
      <c r="E10834" t="s">
        <v>20957</v>
      </c>
      <c r="F10834" t="s">
        <v>20958</v>
      </c>
      <c r="G10834" t="s">
        <v>14</v>
      </c>
      <c r="H10834">
             </c>
      <c r="I10834" t="s">
        <v>14</v>
      </c>
      <c r="J10834" t="s">
        <v>141</v>
      </c>
      <c r="K10834" t="s">
        <v>14</v>
      </c>
      <c r="L10834" t="s">
        <v>20</v>
      </c>
      <c r="M10834" t="s">
        <v>20786</v>
      </c>
      <c r="N10834" t="s">
        <v>14</v>
      </c>
    </row>
    <row r="10835" x14ac:dyDescent="0.25">
      <c r="A10835" t="n">
        <v>24</v>
      </c>
      <c r="B10835" t="s">
        <v>14</v>
      </c>
      <c r="C10835" t="s">
        <v>22</v>
      </c>
      <c r="D10835" s="2" t="s">
        <f>=HYPERLINK("https://main.knesset.gov.il/APPS/legislation/main/bills/2157556", "הצעת חוק הביטוח הלאומי (תיקון - ביטול מעמד עקרת הבית), התשפ""א-2021")</f>
        <v>20959</v>
      </c>
      <c r="E10835" t="s">
        <v>20959</v>
      </c>
      <c r="F10835" t="s">
        <v>20960</v>
      </c>
      <c r="G10835" t="s">
        <v>14</v>
      </c>
      <c r="H10835">
             </c>
      <c r="I10835" t="s">
        <v>14</v>
      </c>
      <c r="J10835" t="s">
        <v>141</v>
      </c>
      <c r="K10835" t="s">
        <v>14</v>
      </c>
      <c r="L10835" t="s">
        <v>20</v>
      </c>
      <c r="M10835" t="s">
        <v>20786</v>
      </c>
      <c r="N10835" t="s">
        <v>14</v>
      </c>
    </row>
    <row r="10836" x14ac:dyDescent="0.25">
      <c r="A10836" t="n">
        <v>24</v>
      </c>
      <c r="B10836" t="s">
        <v>14</v>
      </c>
      <c r="C10836" t="s">
        <v>22</v>
      </c>
      <c r="D10836" s="2" t="s">
        <f>=HYPERLINK("https://main.knesset.gov.il/APPS/legislation/main/bills/2157271", "הצעת חוק עבודת נשים (תיקון - חלוקת תקופת הלידה וההורות בין סטודנטית לבן זוגה), התשפ""א-2021")</f>
        <v>20961</v>
      </c>
      <c r="E10836" t="s">
        <v>20961</v>
      </c>
      <c r="F10836" t="s">
        <v>20962</v>
      </c>
      <c r="G10836" t="s">
        <v>14</v>
      </c>
      <c r="H10836">
             </c>
      <c r="I10836" t="s">
        <v>14</v>
      </c>
      <c r="J10836" t="s">
        <v>141</v>
      </c>
      <c r="K10836" t="s">
        <v>14</v>
      </c>
      <c r="L10836" t="s">
        <v>20</v>
      </c>
      <c r="M10836" t="s">
        <v>20786</v>
      </c>
      <c r="N10836" t="s">
        <v>14</v>
      </c>
    </row>
    <row r="10837" x14ac:dyDescent="0.25">
      <c r="A10837" t="n">
        <v>24</v>
      </c>
      <c r="B10837" t="s">
        <v>14</v>
      </c>
      <c r="C10837" t="s">
        <v>22</v>
      </c>
      <c r="D10837" s="2" t="s">
        <f>=HYPERLINK("https://main.knesset.gov.il/APPS/legislation/main/bills/2157282", "הצעת חוק העונשין (תיקון - מרמה והפרת אמונים), התשפ""א-2021")</f>
        <v>20963</v>
      </c>
      <c r="E10837" t="s">
        <v>20963</v>
      </c>
      <c r="F10837" t="s">
        <v>20964</v>
      </c>
      <c r="G10837" t="s">
        <v>14</v>
      </c>
      <c r="H10837">
             </c>
      <c r="I10837" t="s">
        <v>14</v>
      </c>
      <c r="J10837" t="s">
        <v>141</v>
      </c>
      <c r="K10837" t="s">
        <v>14</v>
      </c>
      <c r="L10837" t="s">
        <v>20</v>
      </c>
      <c r="M10837" t="s">
        <v>20786</v>
      </c>
      <c r="N10837" t="s">
        <v>14</v>
      </c>
    </row>
    <row r="10838" x14ac:dyDescent="0.25">
      <c r="A10838" t="n">
        <v>24</v>
      </c>
      <c r="B10838" t="s">
        <v>14</v>
      </c>
      <c r="C10838" t="s">
        <v>22</v>
      </c>
      <c r="D10838" s="2" t="s">
        <f>=HYPERLINK("https://main.knesset.gov.il/APPS/legislation/main/bills/2157558", "הצעת חוק ביטוח בריאות ממלכתי (תיקון - החזר עבור פינוי באמבולנס מבית הספר בשל התקף אנפילקסיס), התשפ""א-2021")</f>
        <v>20965</v>
      </c>
      <c r="E10838" t="s">
        <v>20965</v>
      </c>
      <c r="F10838" t="s">
        <v>20966</v>
      </c>
      <c r="G10838" t="s">
        <v>14</v>
      </c>
      <c r="H10838">
             </c>
      <c r="I10838" t="s">
        <v>14</v>
      </c>
      <c r="J10838" t="s">
        <v>141</v>
      </c>
      <c r="K10838" t="s">
        <v>14</v>
      </c>
      <c r="L10838" t="s">
        <v>20</v>
      </c>
      <c r="M10838" t="s">
        <v>20786</v>
      </c>
      <c r="N10838" t="s">
        <v>14</v>
      </c>
    </row>
    <row r="10839" x14ac:dyDescent="0.25">
      <c r="A10839" t="n">
        <v>24</v>
      </c>
      <c r="B10839" t="s">
        <v>14</v>
      </c>
      <c r="C10839" t="s">
        <v>22</v>
      </c>
      <c r="D10839" s="2" t="s">
        <f>=HYPERLINK("https://main.knesset.gov.il/APPS/legislation/main/bills/2157277", "הצעת חוק ביטוח בריאות ממלכתי (תיקון - תוספת שנתית קבועה לסל שירותי הבריאות לצורך הוספת תרופות, מכשור וטכנולוגיות רפואיות חדשות), התשפ""א-2021")</f>
        <v>20967</v>
      </c>
      <c r="E10839" t="s">
        <v>20967</v>
      </c>
      <c r="F10839" t="s">
        <v>20968</v>
      </c>
      <c r="G10839" t="s">
        <v>14</v>
      </c>
      <c r="H10839">
             </c>
      <c r="I10839" t="s">
        <v>14</v>
      </c>
      <c r="J10839" t="s">
        <v>141</v>
      </c>
      <c r="K10839" t="s">
        <v>14</v>
      </c>
      <c r="L10839" t="s">
        <v>20</v>
      </c>
      <c r="M10839" t="s">
        <v>20786</v>
      </c>
      <c r="N10839" t="s">
        <v>14</v>
      </c>
    </row>
    <row r="10840" x14ac:dyDescent="0.25">
      <c r="A10840" t="n">
        <v>24</v>
      </c>
      <c r="B10840" t="s">
        <v>14</v>
      </c>
      <c r="C10840" t="s">
        <v>22</v>
      </c>
      <c r="D10840" s="2" t="s">
        <f>=HYPERLINK("https://main.knesset.gov.il/APPS/legislation/main/bills/2157562", "הצעת חוק עבודת נשים (תיקון - חישוב ימי מחלה בתקופת היריון), התשפ""א-2021 ")</f>
        <v>20969</v>
      </c>
      <c r="E10840" t="s">
        <v>20969</v>
      </c>
      <c r="F10840" t="s">
        <v>20970</v>
      </c>
      <c r="G10840" t="s">
        <v>14</v>
      </c>
      <c r="H10840">
             </c>
      <c r="I10840" t="s">
        <v>14</v>
      </c>
      <c r="J10840" t="s">
        <v>141</v>
      </c>
      <c r="K10840" t="s">
        <v>14</v>
      </c>
      <c r="L10840" t="s">
        <v>20</v>
      </c>
      <c r="M10840" t="s">
        <v>20786</v>
      </c>
      <c r="N10840" t="s">
        <v>14</v>
      </c>
    </row>
    <row r="10841" x14ac:dyDescent="0.25">
      <c r="A10841" t="n">
        <v>24</v>
      </c>
      <c r="B10841" t="s">
        <v>14</v>
      </c>
      <c r="C10841" t="s">
        <v>22</v>
      </c>
      <c r="D10841" s="2" t="s">
        <f>=HYPERLINK("https://main.knesset.gov.il/APPS/legislation/main/bills/2157276", "הצעת חוק עובדים זרים (תיקון - הפחתת הפרשת מעסיק לפיקדון עבור עובד זר שהוא מסתנן), התשפ""א-2021")</f>
        <v>20971</v>
      </c>
      <c r="E10841" t="s">
        <v>20971</v>
      </c>
      <c r="F10841" t="s">
        <v>20972</v>
      </c>
      <c r="G10841" t="s">
        <v>14</v>
      </c>
      <c r="H10841">
             </c>
      <c r="I10841" t="s">
        <v>14</v>
      </c>
      <c r="J10841" t="s">
        <v>141</v>
      </c>
      <c r="K10841" t="s">
        <v>14</v>
      </c>
      <c r="L10841" t="s">
        <v>20</v>
      </c>
      <c r="M10841" t="s">
        <v>20786</v>
      </c>
      <c r="N10841" t="s">
        <v>14</v>
      </c>
    </row>
    <row r="10842" x14ac:dyDescent="0.25">
      <c r="A10842" t="n">
        <v>24</v>
      </c>
      <c r="B10842" t="s">
        <v>14</v>
      </c>
      <c r="C10842" t="s">
        <v>22</v>
      </c>
      <c r="D10842" s="2" t="s">
        <f>=HYPERLINK("https://main.knesset.gov.il/APPS/legislation/main/bills/2156822", "הצעת חוק מעמד ותיקי מלחמת העולם השנייה (תיקון - מענק הטבות לוותיק מלחמה), התשפ""א-2021")</f>
        <v>20973</v>
      </c>
      <c r="E10842" t="s">
        <v>20973</v>
      </c>
      <c r="F10842" t="s">
        <v>20974</v>
      </c>
      <c r="G10842" t="s">
        <v>14</v>
      </c>
      <c r="H10842">
             </c>
      <c r="I10842" t="s">
        <v>14</v>
      </c>
      <c r="J10842" t="s">
        <v>141</v>
      </c>
      <c r="K10842" t="s">
        <v>14</v>
      </c>
      <c r="L10842" t="s">
        <v>20</v>
      </c>
      <c r="M10842" t="s">
        <v>20786</v>
      </c>
      <c r="N10842" t="s">
        <v>14</v>
      </c>
    </row>
    <row r="10843" x14ac:dyDescent="0.25">
      <c r="A10843" t="n">
        <v>24</v>
      </c>
      <c r="B10843" t="s">
        <v>14</v>
      </c>
      <c r="C10843" t="s">
        <v>22</v>
      </c>
      <c r="D10843" s="2" t="s">
        <f>=HYPERLINK("https://main.knesset.gov.il/APPS/legislation/main/bills/2157264", "הצעת חוק הפיקוח על שירותים פיננסיים (קופות גמל) (תיקון - שלילת זכאות לקצבאות ולפיצויי פיטורים עקב ביצוע פעילות טרור), התשפ""א-2021")</f>
        <v>20975</v>
      </c>
      <c r="E10843" t="s">
        <v>20975</v>
      </c>
      <c r="F10843" t="s">
        <v>20976</v>
      </c>
      <c r="G10843" t="s">
        <v>14</v>
      </c>
      <c r="H10843">
             </c>
      <c r="I10843" t="s">
        <v>14</v>
      </c>
      <c r="J10843" t="s">
        <v>141</v>
      </c>
      <c r="K10843" t="s">
        <v>14</v>
      </c>
      <c r="L10843" t="s">
        <v>20</v>
      </c>
      <c r="M10843" t="s">
        <v>20786</v>
      </c>
      <c r="N10843" t="s">
        <v>14</v>
      </c>
    </row>
    <row r="10844" x14ac:dyDescent="0.25">
      <c r="A10844" t="n">
        <v>24</v>
      </c>
      <c r="B10844" t="s">
        <v>14</v>
      </c>
      <c r="C10844" t="s">
        <v>22</v>
      </c>
      <c r="D10844" s="2" t="s">
        <f>=HYPERLINK("https://main.knesset.gov.il/APPS/legislation/main/bills/2156826", "הצעת חוק הטבות לניצולי שואה (תיקון - הגדלת מענק שנתי), התשפ""א-2021")</f>
        <v>20977</v>
      </c>
      <c r="E10844" t="s">
        <v>20977</v>
      </c>
      <c r="F10844" t="s">
        <v>20978</v>
      </c>
      <c r="G10844" t="s">
        <v>14</v>
      </c>
      <c r="H10844">
             </c>
      <c r="I10844" t="s">
        <v>14</v>
      </c>
      <c r="J10844" t="s">
        <v>141</v>
      </c>
      <c r="K10844" t="s">
        <v>14</v>
      </c>
      <c r="L10844" t="s">
        <v>20</v>
      </c>
      <c r="M10844" t="s">
        <v>20786</v>
      </c>
      <c r="N10844" t="s">
        <v>14</v>
      </c>
    </row>
    <row r="10845" x14ac:dyDescent="0.25">
      <c r="A10845" t="n">
        <v>24</v>
      </c>
      <c r="B10845" t="s">
        <v>14</v>
      </c>
      <c r="C10845" t="s">
        <v>22</v>
      </c>
      <c r="D10845" s="2" t="s">
        <f>=HYPERLINK("https://main.knesset.gov.il/APPS/legislation/main/bills/2157287", "הצעת חוק תרומת זרע, התשפ""א-2021")</f>
        <v>20979</v>
      </c>
      <c r="E10845" t="s">
        <v>20979</v>
      </c>
      <c r="F10845" t="s">
        <v>20980</v>
      </c>
      <c r="G10845" t="s">
        <v>14</v>
      </c>
      <c r="H10845">
             </c>
      <c r="I10845" t="s">
        <v>14</v>
      </c>
      <c r="J10845" t="s">
        <v>141</v>
      </c>
      <c r="K10845" t="s">
        <v>14</v>
      </c>
      <c r="L10845" t="s">
        <v>20</v>
      </c>
      <c r="M10845" t="s">
        <v>20786</v>
      </c>
      <c r="N10845" t="s">
        <v>14</v>
      </c>
    </row>
    <row r="10846" x14ac:dyDescent="0.25">
      <c r="A10846" t="n">
        <v>24</v>
      </c>
      <c r="B10846" t="s">
        <v>14</v>
      </c>
      <c r="C10846" t="s">
        <v>22</v>
      </c>
      <c r="D10846" s="2" t="s">
        <f>=HYPERLINK("https://main.knesset.gov.il/APPS/legislation/main/bills/2156872", "הצעת חוק האזרחים הוותיקים (תיקון - סל תרבות לאזרחים ותיקים עצמאיים המתגוררים בהוסטלים, מקבצי דיור או בתי דיור מוגן), התשפ""א-2021")</f>
        <v>20981</v>
      </c>
      <c r="E10846" t="s">
        <v>20981</v>
      </c>
      <c r="F10846" t="s">
        <v>20982</v>
      </c>
      <c r="G10846" t="s">
        <v>14</v>
      </c>
      <c r="H10846">
             </c>
      <c r="I10846" t="s">
        <v>14</v>
      </c>
      <c r="J10846" t="s">
        <v>141</v>
      </c>
      <c r="K10846" t="s">
        <v>14</v>
      </c>
      <c r="L10846" t="s">
        <v>20</v>
      </c>
      <c r="M10846" t="s">
        <v>20786</v>
      </c>
      <c r="N10846" t="s">
        <v>14</v>
      </c>
    </row>
    <row r="10847" x14ac:dyDescent="0.25">
      <c r="A10847" t="n">
        <v>24</v>
      </c>
      <c r="B10847" t="s">
        <v>14</v>
      </c>
      <c r="C10847" t="s">
        <v>22</v>
      </c>
      <c r="D10847" s="2" t="s">
        <f>=HYPERLINK("https://main.knesset.gov.il/APPS/legislation/main/bills/2157284", "הצעת חוק-יסוד: מבקר המדינה (תיקון - כשירות מועמדים לכהונה כמבקר המדינה)")</f>
        <v>20983</v>
      </c>
      <c r="E10847" t="s">
        <v>20983</v>
      </c>
      <c r="F10847" t="s">
        <v>20984</v>
      </c>
      <c r="G10847" t="s">
        <v>14</v>
      </c>
      <c r="H10847">
             </c>
      <c r="I10847" t="s">
        <v>14</v>
      </c>
      <c r="J10847" t="s">
        <v>141</v>
      </c>
      <c r="K10847" t="s">
        <v>14</v>
      </c>
      <c r="L10847" t="s">
        <v>20</v>
      </c>
      <c r="M10847" t="s">
        <v>20786</v>
      </c>
      <c r="N10847" t="s">
        <v>14</v>
      </c>
    </row>
    <row r="10848" x14ac:dyDescent="0.25">
      <c r="A10848" t="n">
        <v>24</v>
      </c>
      <c r="B10848" t="s">
        <v>14</v>
      </c>
      <c r="C10848" t="s">
        <v>22</v>
      </c>
      <c r="D10848" s="2" t="s">
        <f>=HYPERLINK("https://main.knesset.gov.il/APPS/legislation/main/bills/2157333", "הצעת חוק הרבנות הראשית לישראל (תיקון - הרחבת האסיפה הבוחרת), התשפ""א-2021")</f>
        <v>19827</v>
      </c>
      <c r="E10848" t="s">
        <v>19827</v>
      </c>
      <c r="F10848" t="s">
        <v>20985</v>
      </c>
      <c r="G10848" t="s">
        <v>14</v>
      </c>
      <c r="H10848">
             </c>
      <c r="I10848" t="s">
        <v>14</v>
      </c>
      <c r="J10848" t="s">
        <v>141</v>
      </c>
      <c r="K10848" t="s">
        <v>14</v>
      </c>
      <c r="L10848" t="s">
        <v>20</v>
      </c>
      <c r="M10848" t="s">
        <v>20786</v>
      </c>
      <c r="N10848" t="s">
        <v>14</v>
      </c>
    </row>
    <row r="10849" x14ac:dyDescent="0.25">
      <c r="A10849" t="n">
        <v>24</v>
      </c>
      <c r="B10849" t="s">
        <v>14</v>
      </c>
      <c r="C10849" t="s">
        <v>22</v>
      </c>
      <c r="D10849" s="2" t="s">
        <f>=HYPERLINK("https://main.knesset.gov.il/APPS/legislation/main/bills/2156868", "הצעת חוק הביטוח הלאומי (תיקון - הטבות למי שמקבל גמלה לפי חוק הביטוח הלאומי וקיבל גמלת הבטחת הכנסה), התשפ""א-2021")</f>
        <v>20986</v>
      </c>
      <c r="E10849" t="s">
        <v>20986</v>
      </c>
      <c r="F10849" t="s">
        <v>20987</v>
      </c>
      <c r="G10849" t="s">
        <v>14</v>
      </c>
      <c r="H10849">
             </c>
      <c r="I10849" t="s">
        <v>14</v>
      </c>
      <c r="J10849" t="s">
        <v>141</v>
      </c>
      <c r="K10849" t="s">
        <v>14</v>
      </c>
      <c r="L10849" t="s">
        <v>20</v>
      </c>
      <c r="M10849" t="s">
        <v>20786</v>
      </c>
      <c r="N10849" t="s">
        <v>14</v>
      </c>
    </row>
    <row r="10850" x14ac:dyDescent="0.25">
      <c r="A10850" t="n">
        <v>24</v>
      </c>
      <c r="B10850" t="s">
        <v>14</v>
      </c>
      <c r="C10850" t="s">
        <v>22</v>
      </c>
      <c r="D10850" s="2" t="s">
        <f>=HYPERLINK("https://main.knesset.gov.il/APPS/legislation/main/bills/2157339", "הצעת חוק לתיקון פקודת העיריות (עידוד נשים בעסקים), התשפ""א-2021")</f>
        <v>20988</v>
      </c>
      <c r="E10850" t="s">
        <v>20988</v>
      </c>
      <c r="F10850" t="s">
        <v>20989</v>
      </c>
      <c r="G10850" t="s">
        <v>14</v>
      </c>
      <c r="H10850">
             </c>
      <c r="I10850" t="s">
        <v>14</v>
      </c>
      <c r="J10850" t="s">
        <v>141</v>
      </c>
      <c r="K10850" t="s">
        <v>14</v>
      </c>
      <c r="L10850" t="s">
        <v>20</v>
      </c>
      <c r="M10850" t="s">
        <v>20786</v>
      </c>
      <c r="N10850" t="s">
        <v>14</v>
      </c>
    </row>
    <row r="10851" x14ac:dyDescent="0.25">
      <c r="A10851" t="n">
        <v>24</v>
      </c>
      <c r="B10851" t="s">
        <v>14</v>
      </c>
      <c r="C10851" t="s">
        <v>22</v>
      </c>
      <c r="D10851" s="2" t="s">
        <f>=HYPERLINK("https://main.knesset.gov.il/APPS/legislation/main/bills/2156871", "הצעת חוק החזר הוצאות כספיות בגין עריכת נישואין אזרחיים בחוץ לארץ למי שאינם רשאים להינשא בישראל על פי דיני המדינה, התשפ""א-2021")</f>
        <v>20990</v>
      </c>
      <c r="E10851" t="s">
        <v>20990</v>
      </c>
      <c r="F10851" t="s">
        <v>20991</v>
      </c>
      <c r="G10851" t="s">
        <v>14</v>
      </c>
      <c r="H10851">
             </c>
      <c r="I10851" t="s">
        <v>14</v>
      </c>
      <c r="J10851" t="s">
        <v>141</v>
      </c>
      <c r="K10851" t="s">
        <v>14</v>
      </c>
      <c r="L10851" t="s">
        <v>20</v>
      </c>
      <c r="M10851" t="s">
        <v>20786</v>
      </c>
      <c r="N10851" t="s">
        <v>14</v>
      </c>
    </row>
    <row r="10852" x14ac:dyDescent="0.25">
      <c r="A10852" t="n">
        <v>24</v>
      </c>
      <c r="B10852" t="s">
        <v>14</v>
      </c>
      <c r="C10852" t="s">
        <v>22</v>
      </c>
      <c r="D10852" s="2" t="s">
        <f>=HYPERLINK("https://main.knesset.gov.il/APPS/legislation/main/bills/2157632", "הצעת חוק לשכת עורכי הדין (תיקון - הנחיות למתן ציונים במבחני הסמכה) (הוראת שעה), התשפ""א-2021")</f>
        <v>20992</v>
      </c>
      <c r="E10852" t="s">
        <v>20992</v>
      </c>
      <c r="F10852" t="s">
        <v>20993</v>
      </c>
      <c r="G10852" t="s">
        <v>14</v>
      </c>
      <c r="H10852">
             </c>
      <c r="I10852" t="s">
        <v>14</v>
      </c>
      <c r="J10852" t="s">
        <v>141</v>
      </c>
      <c r="K10852" t="s">
        <v>14</v>
      </c>
      <c r="L10852" t="s">
        <v>20</v>
      </c>
      <c r="M10852" t="s">
        <v>20786</v>
      </c>
      <c r="N10852" t="s">
        <v>14</v>
      </c>
    </row>
    <row r="10853" x14ac:dyDescent="0.25">
      <c r="A10853" t="n">
        <v>24</v>
      </c>
      <c r="B10853" t="s">
        <v>14</v>
      </c>
      <c r="C10853" t="s">
        <v>22</v>
      </c>
      <c r="D10853" s="2" t="s">
        <f>=HYPERLINK("https://main.knesset.gov.il/APPS/legislation/main/bills/2157547", "הצעת חוק לתיקון פקודת בריאות העם (אישור ועדת העבודה, הרווחה והבריאות בפריסת רישיונות למכשור רפואי), התשפ""א-2021")</f>
        <v>20994</v>
      </c>
      <c r="E10853" t="s">
        <v>20994</v>
      </c>
      <c r="F10853" t="s">
        <v>20995</v>
      </c>
      <c r="G10853" t="s">
        <v>14</v>
      </c>
      <c r="H10853">
             </c>
      <c r="I10853" t="s">
        <v>14</v>
      </c>
      <c r="J10853" t="s">
        <v>141</v>
      </c>
      <c r="K10853" t="s">
        <v>14</v>
      </c>
      <c r="L10853" t="s">
        <v>20</v>
      </c>
      <c r="M10853" t="s">
        <v>20786</v>
      </c>
      <c r="N10853" t="s">
        <v>14</v>
      </c>
    </row>
    <row r="10854" x14ac:dyDescent="0.25">
      <c r="A10854" t="n">
        <v>24</v>
      </c>
      <c r="B10854" t="s">
        <v>14</v>
      </c>
      <c r="C10854" t="s">
        <v>22</v>
      </c>
      <c r="D10854" s="2" t="s">
        <f>=HYPERLINK("https://main.knesset.gov.il/APPS/legislation/main/bills/2157525", "הצעת חוק הפיקוח על יצוא ביטחוני (תיקון - הגבלות על ייצוא ביטחוני), התשפ""א-2021")</f>
        <v>20996</v>
      </c>
      <c r="E10854" t="s">
        <v>20996</v>
      </c>
      <c r="F10854" t="s">
        <v>20997</v>
      </c>
      <c r="G10854" t="s">
        <v>14</v>
      </c>
      <c r="H10854">
             </c>
      <c r="I10854" t="s">
        <v>14</v>
      </c>
      <c r="J10854" t="s">
        <v>141</v>
      </c>
      <c r="K10854" t="s">
        <v>14</v>
      </c>
      <c r="L10854" t="s">
        <v>20</v>
      </c>
      <c r="M10854" t="s">
        <v>20786</v>
      </c>
      <c r="N10854" t="s">
        <v>14</v>
      </c>
    </row>
    <row r="10855" x14ac:dyDescent="0.25">
      <c r="A10855" t="n">
        <v>24</v>
      </c>
      <c r="B10855" t="s">
        <v>14</v>
      </c>
      <c r="C10855" t="s">
        <v>22</v>
      </c>
      <c r="D10855" s="2" t="s">
        <f>=HYPERLINK("https://main.knesset.gov.il/APPS/legislation/main/bills/2157527", "הצעת חוק הקמת רשות לפיתוח מקומות קדושים למוסלמים, התשפ""א-2021")</f>
        <v>20998</v>
      </c>
      <c r="E10855" t="s">
        <v>20998</v>
      </c>
      <c r="F10855" t="s">
        <v>20999</v>
      </c>
      <c r="G10855" t="s">
        <v>14</v>
      </c>
      <c r="H10855">
             </c>
      <c r="I10855" t="s">
        <v>14</v>
      </c>
      <c r="J10855" t="s">
        <v>141</v>
      </c>
      <c r="K10855" t="s">
        <v>14</v>
      </c>
      <c r="L10855" t="s">
        <v>20</v>
      </c>
      <c r="M10855" t="s">
        <v>20786</v>
      </c>
      <c r="N10855" t="s">
        <v>14</v>
      </c>
    </row>
    <row r="10856" x14ac:dyDescent="0.25">
      <c r="A10856" t="n">
        <v>24</v>
      </c>
      <c r="B10856" t="s">
        <v>14</v>
      </c>
      <c r="C10856" t="s">
        <v>22</v>
      </c>
      <c r="D10856" s="2" t="s">
        <f>=HYPERLINK("https://main.knesset.gov.il/APPS/legislation/main/bills/2157521", "הצעת חוק הגנה על זכויות הדורות הבאים, התשפ""א-2021")</f>
        <v>19066</v>
      </c>
      <c r="E10856" t="s">
        <v>19066</v>
      </c>
      <c r="F10856" t="s">
        <v>21000</v>
      </c>
      <c r="G10856" t="s">
        <v>14</v>
      </c>
      <c r="H10856">
             </c>
      <c r="I10856" t="s">
        <v>14</v>
      </c>
      <c r="J10856" t="s">
        <v>141</v>
      </c>
      <c r="K10856" t="s">
        <v>14</v>
      </c>
      <c r="L10856" t="s">
        <v>20</v>
      </c>
      <c r="M10856" t="s">
        <v>20786</v>
      </c>
      <c r="N10856" t="s">
        <v>14</v>
      </c>
    </row>
    <row r="10857" x14ac:dyDescent="0.25">
      <c r="A10857" t="n">
        <v>24</v>
      </c>
      <c r="B10857" t="s">
        <v>14</v>
      </c>
      <c r="C10857" t="s">
        <v>22</v>
      </c>
      <c r="D10857" s="2" t="s">
        <f>=HYPERLINK("https://main.knesset.gov.il/APPS/legislation/main/bills/2157519", "הצעת חוק המקרקעין (תיקון - התקנת תשתית ועמדת טעינה לרכב חשמלי), התשפ""א-2021")</f>
        <v>21001</v>
      </c>
      <c r="E10857" t="s">
        <v>21001</v>
      </c>
      <c r="F10857" t="s">
        <v>21002</v>
      </c>
      <c r="G10857" t="s">
        <v>14</v>
      </c>
      <c r="H10857">
             </c>
      <c r="I10857" t="s">
        <v>14</v>
      </c>
      <c r="J10857" t="s">
        <v>141</v>
      </c>
      <c r="K10857" t="s">
        <v>14</v>
      </c>
      <c r="L10857" t="s">
        <v>20</v>
      </c>
      <c r="M10857" t="s">
        <v>20786</v>
      </c>
      <c r="N10857" t="s">
        <v>14</v>
      </c>
    </row>
    <row r="10858" x14ac:dyDescent="0.25">
      <c r="A10858" t="n">
        <v>24</v>
      </c>
      <c r="B10858" t="s">
        <v>14</v>
      </c>
      <c r="C10858" t="s">
        <v>22</v>
      </c>
      <c r="D10858" s="2" t="s">
        <f>=HYPERLINK("https://main.knesset.gov.il/APPS/legislation/main/bills/2157507", "הצעת חוק אסדרת שוק הקנאביס לצריכה עצמית, התשפ""א-2021")</f>
        <v>21003</v>
      </c>
      <c r="E10858" t="s">
        <v>21003</v>
      </c>
      <c r="F10858" t="s">
        <v>21004</v>
      </c>
      <c r="G10858" t="s">
        <v>14</v>
      </c>
      <c r="H10858">
             </c>
      <c r="I10858" t="s">
        <v>14</v>
      </c>
      <c r="J10858" t="s">
        <v>141</v>
      </c>
      <c r="K10858" t="s">
        <v>14</v>
      </c>
      <c r="L10858" t="s">
        <v>20</v>
      </c>
      <c r="M10858" t="s">
        <v>20786</v>
      </c>
      <c r="N10858" t="s">
        <v>14</v>
      </c>
    </row>
    <row r="10859" x14ac:dyDescent="0.25">
      <c r="A10859" t="n">
        <v>24</v>
      </c>
      <c r="B10859" t="s">
        <v>14</v>
      </c>
      <c r="C10859" t="s">
        <v>22</v>
      </c>
      <c r="D10859" s="2" t="s">
        <f>=HYPERLINK("https://main.knesset.gov.il/APPS/legislation/main/bills/2157515", "הצעת חוק האזרחים הוותיקים (תיקון - הנחה בארנונה לאזרח ותיק המתגורר בדירה שאינה בהחזקתו), התשפ""א-2021")</f>
        <v>21005</v>
      </c>
      <c r="E10859" t="s">
        <v>21005</v>
      </c>
      <c r="F10859" t="s">
        <v>21006</v>
      </c>
      <c r="G10859" t="s">
        <v>14</v>
      </c>
      <c r="H10859">
             </c>
      <c r="I10859" t="s">
        <v>14</v>
      </c>
      <c r="J10859" t="s">
        <v>141</v>
      </c>
      <c r="K10859" t="s">
        <v>14</v>
      </c>
      <c r="L10859" t="s">
        <v>20</v>
      </c>
      <c r="M10859" t="s">
        <v>20786</v>
      </c>
      <c r="N10859" t="s">
        <v>14</v>
      </c>
    </row>
    <row r="10860" x14ac:dyDescent="0.25">
      <c r="A10860" t="n">
        <v>24</v>
      </c>
      <c r="B10860" t="s">
        <v>14</v>
      </c>
      <c r="C10860" t="s">
        <v>22</v>
      </c>
      <c r="D10860" s="2" t="s">
        <f>=HYPERLINK("https://main.knesset.gov.il/APPS/legislation/main/bills/2157500", "הצעת חוק הביטוח הלאומי (תיקון - גמלת אבל), התשפ""א-2021")</f>
        <v>20022</v>
      </c>
      <c r="E10860" t="s">
        <v>20022</v>
      </c>
      <c r="F10860" t="s">
        <v>21007</v>
      </c>
      <c r="G10860" t="s">
        <v>14</v>
      </c>
      <c r="H10860">
             </c>
      <c r="I10860" t="s">
        <v>14</v>
      </c>
      <c r="J10860" t="s">
        <v>141</v>
      </c>
      <c r="K10860" t="s">
        <v>14</v>
      </c>
      <c r="L10860" t="s">
        <v>20</v>
      </c>
      <c r="M10860" t="s">
        <v>20786</v>
      </c>
      <c r="N10860" t="s">
        <v>14</v>
      </c>
    </row>
    <row r="10861" x14ac:dyDescent="0.25">
      <c r="A10861" t="n">
        <v>24</v>
      </c>
      <c r="B10861" t="s">
        <v>14</v>
      </c>
      <c r="C10861" t="s">
        <v>22</v>
      </c>
      <c r="D10861" s="2" t="s">
        <f>=HYPERLINK("https://main.knesset.gov.il/APPS/legislation/main/bills/2157518", "הצעת חוק הוראות לעניין עובד שלא התחסן (תיקוני חקיקה), התשפ""א-2021")</f>
        <v>21008</v>
      </c>
      <c r="E10861" t="s">
        <v>21008</v>
      </c>
      <c r="F10861" t="s">
        <v>21009</v>
      </c>
      <c r="G10861" t="s">
        <v>14</v>
      </c>
      <c r="H10861">
             </c>
      <c r="I10861" t="s">
        <v>14</v>
      </c>
      <c r="J10861" t="s">
        <v>141</v>
      </c>
      <c r="K10861" t="s">
        <v>14</v>
      </c>
      <c r="L10861" t="s">
        <v>20</v>
      </c>
      <c r="M10861" t="s">
        <v>20786</v>
      </c>
      <c r="N10861" t="s">
        <v>14</v>
      </c>
    </row>
    <row r="10862" x14ac:dyDescent="0.25">
      <c r="A10862" t="n">
        <v>24</v>
      </c>
      <c r="B10862" t="s">
        <v>14</v>
      </c>
      <c r="C10862" t="s">
        <v>22</v>
      </c>
      <c r="D10862" s="2" t="s">
        <f>=HYPERLINK("https://main.knesset.gov.il/APPS/legislation/main/bills/2157509", "הצעת חוק הגנת השכר (תיקון - פיצויי פיטורים בזמן אמת), התשפ""א-2021")</f>
        <v>21010</v>
      </c>
      <c r="E10862" t="s">
        <v>21010</v>
      </c>
      <c r="F10862" t="s">
        <v>21011</v>
      </c>
      <c r="G10862" t="s">
        <v>14</v>
      </c>
      <c r="H10862">
             </c>
      <c r="I10862" t="s">
        <v>14</v>
      </c>
      <c r="J10862" t="s">
        <v>141</v>
      </c>
      <c r="K10862" t="s">
        <v>14</v>
      </c>
      <c r="L10862" t="s">
        <v>20</v>
      </c>
      <c r="M10862" t="s">
        <v>20786</v>
      </c>
      <c r="N10862" t="s">
        <v>14</v>
      </c>
    </row>
    <row r="10863" x14ac:dyDescent="0.25">
      <c r="A10863" t="n">
        <v>24</v>
      </c>
      <c r="B10863" t="s">
        <v>14</v>
      </c>
      <c r="C10863" t="s">
        <v>22</v>
      </c>
      <c r="D10863" s="2" t="s">
        <f>=HYPERLINK("https://main.knesset.gov.il/APPS/legislation/main/bills/2157504", "הצעת חוק לתיקון פקודת מס הכנסה (השוואת תנאים בין שכיר לעצמאי בחיסכון ארוך טווח), התשפ""א-2021")</f>
        <v>21012</v>
      </c>
      <c r="E10863" t="s">
        <v>21012</v>
      </c>
      <c r="F10863" t="s">
        <v>21013</v>
      </c>
      <c r="G10863" t="s">
        <v>14</v>
      </c>
      <c r="H10863">
             </c>
      <c r="I10863" t="s">
        <v>14</v>
      </c>
      <c r="J10863" t="s">
        <v>141</v>
      </c>
      <c r="K10863" t="s">
        <v>14</v>
      </c>
      <c r="L10863" t="s">
        <v>20</v>
      </c>
      <c r="M10863" t="s">
        <v>20786</v>
      </c>
      <c r="N10863" t="s">
        <v>14</v>
      </c>
    </row>
    <row r="10864" x14ac:dyDescent="0.25">
      <c r="A10864" t="n">
        <v>24</v>
      </c>
      <c r="B10864" t="s">
        <v>14</v>
      </c>
      <c r="C10864" t="s">
        <v>22</v>
      </c>
      <c r="D10864" s="2" t="s">
        <f>=HYPERLINK("https://main.knesset.gov.il/APPS/legislation/main/bills/2157503", "הצעת חוק לתיקון פקודת מסי העיריה ומסי הממשלה (פיטורין) (החלת חובת תשלום ארנונה על נכסי ממשלה המצויים באזור), התשפ""א-2021")</f>
        <v>21014</v>
      </c>
      <c r="E10864" t="s">
        <v>21014</v>
      </c>
      <c r="F10864" t="s">
        <v>21015</v>
      </c>
      <c r="G10864" t="s">
        <v>14</v>
      </c>
      <c r="H10864">
             </c>
      <c r="I10864" t="s">
        <v>14</v>
      </c>
      <c r="J10864" t="s">
        <v>141</v>
      </c>
      <c r="K10864" t="s">
        <v>14</v>
      </c>
      <c r="L10864" t="s">
        <v>20</v>
      </c>
      <c r="M10864" t="s">
        <v>20786</v>
      </c>
      <c r="N10864" t="s">
        <v>14</v>
      </c>
    </row>
    <row r="10865" x14ac:dyDescent="0.25">
      <c r="A10865" t="n">
        <v>24</v>
      </c>
      <c r="B10865" t="s">
        <v>14</v>
      </c>
      <c r="C10865" t="s">
        <v>22</v>
      </c>
      <c r="D10865" s="2" t="s">
        <f>=HYPERLINK("https://main.knesset.gov.il/APPS/legislation/main/bills/2157501", "הצעת חוק להגדלת שיעור ההשתתפות בכוח העבודה ולצמצום פערים חברתיים (מענק עבודה) (תיקון - זכאות להטבות נלוות), התשפ""א-2021")</f>
        <v>21016</v>
      </c>
      <c r="E10865" t="s">
        <v>21016</v>
      </c>
      <c r="F10865" t="s">
        <v>21017</v>
      </c>
      <c r="G10865" t="s">
        <v>14</v>
      </c>
      <c r="H10865">
             </c>
      <c r="I10865" t="s">
        <v>14</v>
      </c>
      <c r="J10865" t="s">
        <v>141</v>
      </c>
      <c r="K10865" t="s">
        <v>14</v>
      </c>
      <c r="L10865" t="s">
        <v>20</v>
      </c>
      <c r="M10865" t="s">
        <v>20786</v>
      </c>
      <c r="N10865" t="s">
        <v>14</v>
      </c>
    </row>
    <row r="10866" x14ac:dyDescent="0.25">
      <c r="A10866" t="n">
        <v>24</v>
      </c>
      <c r="B10866" t="s">
        <v>14</v>
      </c>
      <c r="C10866" t="s">
        <v>22</v>
      </c>
      <c r="D10866" s="2" t="s">
        <f>=HYPERLINK("https://main.knesset.gov.il/APPS/legislation/main/bills/2157497", "הצעת חוק הביטוח הלאומי (תיקון - הארכת המועד להגשת תביעות ליקוי שמיעה), התשפ""א-2021")</f>
        <v>21018</v>
      </c>
      <c r="E10866" t="s">
        <v>21018</v>
      </c>
      <c r="F10866" t="s">
        <v>21019</v>
      </c>
      <c r="G10866" t="s">
        <v>14</v>
      </c>
      <c r="H10866">
             </c>
      <c r="I10866" t="s">
        <v>14</v>
      </c>
      <c r="J10866" t="s">
        <v>141</v>
      </c>
      <c r="K10866" t="s">
        <v>14</v>
      </c>
      <c r="L10866" t="s">
        <v>20</v>
      </c>
      <c r="M10866" t="s">
        <v>20786</v>
      </c>
      <c r="N10866" t="s">
        <v>14</v>
      </c>
    </row>
    <row r="10867" x14ac:dyDescent="0.25">
      <c r="A10867" t="n">
        <v>24</v>
      </c>
      <c r="B10867" t="s">
        <v>14</v>
      </c>
      <c r="C10867" t="s">
        <v>22</v>
      </c>
      <c r="D10867" s="2" t="s">
        <f>=HYPERLINK("https://main.knesset.gov.il/APPS/legislation/main/bills/2157299", "הצעת חוק מרכזי צעירים, התשפ""א-2021")</f>
        <v>21020</v>
      </c>
      <c r="E10867" t="s">
        <v>21020</v>
      </c>
      <c r="F10867" t="s">
        <v>21021</v>
      </c>
      <c r="G10867" t="s">
        <v>14</v>
      </c>
      <c r="H10867">
             </c>
      <c r="I10867" t="s">
        <v>14</v>
      </c>
      <c r="J10867" t="s">
        <v>141</v>
      </c>
      <c r="K10867" t="s">
        <v>14</v>
      </c>
      <c r="L10867" t="s">
        <v>20</v>
      </c>
      <c r="M10867" t="s">
        <v>20786</v>
      </c>
      <c r="N10867" t="s">
        <v>14</v>
      </c>
    </row>
    <row r="10868" x14ac:dyDescent="0.25">
      <c r="A10868" t="n">
        <v>24</v>
      </c>
      <c r="B10868" t="s">
        <v>14</v>
      </c>
      <c r="C10868" t="s">
        <v>22</v>
      </c>
      <c r="D10868" s="2" t="s">
        <f>=HYPERLINK("https://main.knesset.gov.il/APPS/legislation/main/bills/2156561", "הצעת חוק יישוב סכסוכי עבודה (תיקון - איסור שביתה ללא הודעה מראש), התשפ""א-2021")</f>
        <v>21022</v>
      </c>
      <c r="E10868" t="s">
        <v>21022</v>
      </c>
      <c r="F10868" t="s">
        <v>21023</v>
      </c>
      <c r="G10868" t="s">
        <v>14</v>
      </c>
      <c r="H10868">
             </c>
      <c r="I10868" t="s">
        <v>14</v>
      </c>
      <c r="J10868" t="s">
        <v>141</v>
      </c>
      <c r="K10868" t="s">
        <v>14</v>
      </c>
      <c r="L10868" t="s">
        <v>20</v>
      </c>
      <c r="M10868" t="s">
        <v>20786</v>
      </c>
      <c r="N10868" t="s">
        <v>14</v>
      </c>
    </row>
    <row r="10869" x14ac:dyDescent="0.25">
      <c r="A10869" t="n">
        <v>24</v>
      </c>
      <c r="B10869" t="s">
        <v>14</v>
      </c>
      <c r="C10869" t="s">
        <v>22</v>
      </c>
      <c r="D10869" s="2" t="s">
        <f>=HYPERLINK("https://main.knesset.gov.il/APPS/legislation/main/bills/2156112", "הצעת חוק שעות עבודה ומנוחה (תיקון - תשלום בעד שעות המנוחה השבועית), התשפ""א-2021")</f>
        <v>21024</v>
      </c>
      <c r="E10869" t="s">
        <v>21024</v>
      </c>
      <c r="F10869" t="s">
        <v>21025</v>
      </c>
      <c r="G10869" t="s">
        <v>14</v>
      </c>
      <c r="H10869">
             </c>
      <c r="I10869" t="s">
        <v>14</v>
      </c>
      <c r="J10869" t="s">
        <v>141</v>
      </c>
      <c r="K10869" t="s">
        <v>14</v>
      </c>
      <c r="L10869" t="s">
        <v>20</v>
      </c>
      <c r="M10869" t="s">
        <v>20786</v>
      </c>
      <c r="N10869" t="s">
        <v>14</v>
      </c>
    </row>
    <row r="10870" x14ac:dyDescent="0.25">
      <c r="A10870" t="n">
        <v>24</v>
      </c>
      <c r="B10870" t="s">
        <v>14</v>
      </c>
      <c r="C10870" t="s">
        <v>22</v>
      </c>
      <c r="D10870" s="2" t="s">
        <f>=HYPERLINK("https://main.knesset.gov.il/APPS/legislation/main/bills/2156428", "הצעת חוק איסור לשון הרע (תיקון - השתייכות חברתית), התשפ""א-2021")</f>
        <v>21026</v>
      </c>
      <c r="E10870" t="s">
        <v>21026</v>
      </c>
      <c r="F10870" t="s">
        <v>21027</v>
      </c>
      <c r="G10870" t="s">
        <v>14</v>
      </c>
      <c r="H10870">
             </c>
      <c r="I10870" t="s">
        <v>14</v>
      </c>
      <c r="J10870" t="s">
        <v>141</v>
      </c>
      <c r="K10870" t="s">
        <v>14</v>
      </c>
      <c r="L10870" t="s">
        <v>20</v>
      </c>
      <c r="M10870" t="s">
        <v>20786</v>
      </c>
      <c r="N10870" t="s">
        <v>14</v>
      </c>
    </row>
    <row r="10871" x14ac:dyDescent="0.25">
      <c r="A10871" t="n">
        <v>24</v>
      </c>
      <c r="B10871" t="s">
        <v>14</v>
      </c>
      <c r="C10871" t="s">
        <v>22</v>
      </c>
      <c r="D10871" s="2" t="s">
        <f>=HYPERLINK("https://main.knesset.gov.il/APPS/legislation/main/bills/2156246", "הצעת חוק הודעה לעובד ולמועמד לעבודה (תנאי עבודה והליכי מיון וקבלה לעבודה) (תיקון - הגברת השקיפות בעניין הפרשות לפנסיה), התשפ""א-2021")</f>
        <v>21028</v>
      </c>
      <c r="E10871" t="s">
        <v>21028</v>
      </c>
      <c r="F10871" t="s">
        <v>21029</v>
      </c>
      <c r="G10871" t="s">
        <v>14</v>
      </c>
      <c r="H10871">
             </c>
      <c r="I10871" t="s">
        <v>14</v>
      </c>
      <c r="J10871" t="s">
        <v>141</v>
      </c>
      <c r="K10871" t="s">
        <v>14</v>
      </c>
      <c r="L10871" t="s">
        <v>20</v>
      </c>
      <c r="M10871" t="s">
        <v>20786</v>
      </c>
      <c r="N10871" t="s">
        <v>14</v>
      </c>
    </row>
    <row r="10872" x14ac:dyDescent="0.25">
      <c r="A10872" t="n">
        <v>24</v>
      </c>
      <c r="B10872" t="s">
        <v>14</v>
      </c>
      <c r="C10872" t="s">
        <v>22</v>
      </c>
      <c r="D10872" s="2" t="s">
        <f>=HYPERLINK("https://main.knesset.gov.il/APPS/legislation/main/bills/2156283", "הצעת חוק הבטחת הכנסה (תיקון - הצמדת הגמלה בגיל פרישה לשכר הממוצע במשק), התשפ""א-2021")</f>
        <v>21030</v>
      </c>
      <c r="E10872" t="s">
        <v>21030</v>
      </c>
      <c r="F10872" t="s">
        <v>21031</v>
      </c>
      <c r="G10872" t="s">
        <v>14</v>
      </c>
      <c r="H10872">
             </c>
      <c r="I10872" t="s">
        <v>14</v>
      </c>
      <c r="J10872" t="s">
        <v>141</v>
      </c>
      <c r="K10872" t="s">
        <v>14</v>
      </c>
      <c r="L10872" t="s">
        <v>20</v>
      </c>
      <c r="M10872" t="s">
        <v>20786</v>
      </c>
      <c r="N10872" t="s">
        <v>14</v>
      </c>
    </row>
    <row r="10873" x14ac:dyDescent="0.25">
      <c r="A10873" t="n">
        <v>24</v>
      </c>
      <c r="B10873" t="s">
        <v>14</v>
      </c>
      <c r="C10873" t="s">
        <v>22</v>
      </c>
      <c r="D10873" s="2" t="s">
        <f>=HYPERLINK("https://main.knesset.gov.il/APPS/legislation/main/bills/2156295", "הצעת חוק הצמדת תשלומים לחיילים בודדים למדד המחירים לצרכן, התשפ""א-2021")</f>
        <v>20293</v>
      </c>
      <c r="E10873" t="s">
        <v>20293</v>
      </c>
      <c r="F10873" t="s">
        <v>21032</v>
      </c>
      <c r="G10873" t="s">
        <v>14</v>
      </c>
      <c r="H10873">
             </c>
      <c r="I10873" t="s">
        <v>14</v>
      </c>
      <c r="J10873" t="s">
        <v>141</v>
      </c>
      <c r="K10873" t="s">
        <v>14</v>
      </c>
      <c r="L10873" t="s">
        <v>20</v>
      </c>
      <c r="M10873" t="s">
        <v>20786</v>
      </c>
      <c r="N10873" t="s">
        <v>14</v>
      </c>
    </row>
    <row r="10874" x14ac:dyDescent="0.25">
      <c r="A10874" t="n">
        <v>24</v>
      </c>
      <c r="B10874" t="s">
        <v>14</v>
      </c>
      <c r="C10874" t="s">
        <v>22</v>
      </c>
      <c r="D10874" s="2" t="s">
        <f>=HYPERLINK("https://main.knesset.gov.il/APPS/legislation/main/bills/2156303", "הצעת חוק השוואת תנאי שכר לקבוצות שאסור להפלותן (תיקוני חקיקה), התשפ""א-2021")</f>
        <v>21033</v>
      </c>
      <c r="E10874" t="s">
        <v>21033</v>
      </c>
      <c r="F10874" t="s">
        <v>21034</v>
      </c>
      <c r="G10874" t="s">
        <v>14</v>
      </c>
      <c r="H10874">
             </c>
      <c r="I10874" t="s">
        <v>14</v>
      </c>
      <c r="J10874" t="s">
        <v>141</v>
      </c>
      <c r="K10874" t="s">
        <v>14</v>
      </c>
      <c r="L10874" t="s">
        <v>20</v>
      </c>
      <c r="M10874" t="s">
        <v>20786</v>
      </c>
      <c r="N10874" t="s">
        <v>14</v>
      </c>
    </row>
    <row r="10875" x14ac:dyDescent="0.25">
      <c r="A10875" t="n">
        <v>24</v>
      </c>
      <c r="B10875" t="s">
        <v>14</v>
      </c>
      <c r="C10875" t="s">
        <v>22</v>
      </c>
      <c r="D10875" s="2" t="s">
        <f>=HYPERLINK("https://main.knesset.gov.il/APPS/legislation/main/bills/2158091", "הצעת חוק השוואת תשלומים לחיילים בודדים ילידי ישראל וחיילים בודדים שנולדו מחוץ לישראל, התשפ""א-2021")</f>
        <v>20025</v>
      </c>
      <c r="E10875" t="s">
        <v>20025</v>
      </c>
      <c r="F10875" t="s">
        <v>21035</v>
      </c>
      <c r="G10875" t="s">
        <v>14</v>
      </c>
      <c r="H10875">
             </c>
      <c r="I10875" t="s">
        <v>14</v>
      </c>
      <c r="J10875" t="s">
        <v>141</v>
      </c>
      <c r="K10875" t="s">
        <v>14</v>
      </c>
      <c r="L10875" t="s">
        <v>20</v>
      </c>
      <c r="M10875" t="s">
        <v>20786</v>
      </c>
      <c r="N10875" t="s">
        <v>14</v>
      </c>
    </row>
    <row r="10876" x14ac:dyDescent="0.25">
      <c r="A10876" t="n">
        <v>24</v>
      </c>
      <c r="B10876" t="s">
        <v>14</v>
      </c>
      <c r="C10876" t="s">
        <v>22</v>
      </c>
      <c r="D10876" s="2" t="s">
        <f>=HYPERLINK("https://main.knesset.gov.il/APPS/legislation/main/bills/2156323", "הצעת חוק הפנסיה (מועד תחילת הביטוח הפנסיוני), התשפ""א-2021")</f>
        <v>21036</v>
      </c>
      <c r="E10876" t="s">
        <v>21036</v>
      </c>
      <c r="F10876" t="s">
        <v>21037</v>
      </c>
      <c r="G10876" t="s">
        <v>14</v>
      </c>
      <c r="H10876">
             </c>
      <c r="I10876" t="s">
        <v>14</v>
      </c>
      <c r="J10876" t="s">
        <v>141</v>
      </c>
      <c r="K10876" t="s">
        <v>14</v>
      </c>
      <c r="L10876" t="s">
        <v>20</v>
      </c>
      <c r="M10876" t="s">
        <v>20786</v>
      </c>
      <c r="N10876" t="s">
        <v>14</v>
      </c>
    </row>
    <row r="10877" x14ac:dyDescent="0.25">
      <c r="A10877" t="n">
        <v>24</v>
      </c>
      <c r="B10877" t="s">
        <v>14</v>
      </c>
      <c r="C10877" t="s">
        <v>22</v>
      </c>
      <c r="D10877" s="2" t="s">
        <f>=HYPERLINK("https://main.knesset.gov.il/APPS/legislation/main/bills/2157311", "הצעת חוק החקלאות, התשפ""א-2021 ")</f>
        <v>21038</v>
      </c>
      <c r="E10877" t="s">
        <v>21038</v>
      </c>
      <c r="F10877" t="s">
        <v>21039</v>
      </c>
      <c r="G10877" t="s">
        <v>14</v>
      </c>
      <c r="H10877">
             </c>
      <c r="I10877" t="s">
        <v>14</v>
      </c>
      <c r="J10877" t="s">
        <v>141</v>
      </c>
      <c r="K10877" t="s">
        <v>14</v>
      </c>
      <c r="L10877" t="s">
        <v>20</v>
      </c>
      <c r="M10877" t="s">
        <v>20786</v>
      </c>
      <c r="N10877" t="s">
        <v>14</v>
      </c>
    </row>
    <row r="10878" x14ac:dyDescent="0.25">
      <c r="A10878" t="n">
        <v>24</v>
      </c>
      <c r="B10878" t="s">
        <v>14</v>
      </c>
      <c r="C10878" t="s">
        <v>22</v>
      </c>
      <c r="D10878" s="2" t="s">
        <f>=HYPERLINK("https://main.knesset.gov.il/APPS/legislation/main/bills/2157435", "הצעת חוק הביטוח לאומי (תיקון - ביטוח זכויות עצמאי שעיקר הכנסתו מעסק בהליכי חדלות פרעון), התשפ""א-2021")</f>
        <v>21040</v>
      </c>
      <c r="E10878" t="s">
        <v>21040</v>
      </c>
      <c r="F10878" t="s">
        <v>21041</v>
      </c>
      <c r="G10878" t="s">
        <v>14</v>
      </c>
      <c r="H10878">
             </c>
      <c r="I10878" t="s">
        <v>14</v>
      </c>
      <c r="J10878" t="s">
        <v>141</v>
      </c>
      <c r="K10878" t="s">
        <v>14</v>
      </c>
      <c r="L10878" t="s">
        <v>20</v>
      </c>
      <c r="M10878" t="s">
        <v>20786</v>
      </c>
      <c r="N10878" t="s">
        <v>14</v>
      </c>
    </row>
    <row r="10879" x14ac:dyDescent="0.25">
      <c r="A10879" t="n">
        <v>24</v>
      </c>
      <c r="B10879" t="s">
        <v>14</v>
      </c>
      <c r="C10879" t="s">
        <v>22</v>
      </c>
      <c r="D10879" s="2" t="s">
        <f>=HYPERLINK("https://main.knesset.gov.il/APPS/legislation/main/bills/2156982", "הצעת חוק רישום נישואין אזרחיים באילת (תיקוני חקיקה), התשפ""א-2021")</f>
        <v>21042</v>
      </c>
      <c r="E10879" t="s">
        <v>21042</v>
      </c>
      <c r="F10879" t="s">
        <v>21043</v>
      </c>
      <c r="G10879" t="s">
        <v>14</v>
      </c>
      <c r="H10879">
             </c>
      <c r="I10879" t="s">
        <v>14</v>
      </c>
      <c r="J10879" t="s">
        <v>141</v>
      </c>
      <c r="K10879" t="s">
        <v>14</v>
      </c>
      <c r="L10879" t="s">
        <v>20</v>
      </c>
      <c r="M10879" t="s">
        <v>20786</v>
      </c>
      <c r="N10879" t="s">
        <v>14</v>
      </c>
    </row>
    <row r="10880" x14ac:dyDescent="0.25">
      <c r="A10880" t="n">
        <v>24</v>
      </c>
      <c r="B10880" t="s">
        <v>14</v>
      </c>
      <c r="C10880" t="s">
        <v>22</v>
      </c>
      <c r="D10880" s="2" t="s">
        <f>=HYPERLINK("https://main.knesset.gov.il/APPS/legislation/main/bills/2157427", "הצעת חוק הביטוח הלאומי (תיקון - שמירה חקלאית כעבודה מועדפת), התשפ""א-2021")</f>
        <v>21044</v>
      </c>
      <c r="E10880" t="s">
        <v>21044</v>
      </c>
      <c r="F10880" t="s">
        <v>21045</v>
      </c>
      <c r="G10880" t="s">
        <v>14</v>
      </c>
      <c r="H10880">
             </c>
      <c r="I10880" t="s">
        <v>14</v>
      </c>
      <c r="J10880" t="s">
        <v>141</v>
      </c>
      <c r="K10880" t="s">
        <v>14</v>
      </c>
      <c r="L10880" t="s">
        <v>20</v>
      </c>
      <c r="M10880" t="s">
        <v>20786</v>
      </c>
      <c r="N10880" t="s">
        <v>14</v>
      </c>
    </row>
    <row r="10881" x14ac:dyDescent="0.25">
      <c r="A10881" t="n">
        <v>24</v>
      </c>
      <c r="B10881" t="s">
        <v>14</v>
      </c>
      <c r="C10881" t="s">
        <v>22</v>
      </c>
      <c r="D10881" s="2" t="s">
        <f>=HYPERLINK("https://main.knesset.gov.il/APPS/legislation/main/bills/2156976", "הצעת חוק עיקול ותפיסה מידתיים של נכסים המוחזקים בידי צד שלישי (תיקוני חקיקה), התשפ""א-2021")</f>
        <v>21046</v>
      </c>
      <c r="E10881" t="s">
        <v>21046</v>
      </c>
      <c r="F10881" t="s">
        <v>21047</v>
      </c>
      <c r="G10881" t="s">
        <v>14</v>
      </c>
      <c r="H10881">
             </c>
      <c r="I10881" t="s">
        <v>14</v>
      </c>
      <c r="J10881" t="s">
        <v>141</v>
      </c>
      <c r="K10881" t="s">
        <v>14</v>
      </c>
      <c r="L10881" t="s">
        <v>20</v>
      </c>
      <c r="M10881" t="s">
        <v>20786</v>
      </c>
      <c r="N10881" t="s">
        <v>14</v>
      </c>
    </row>
    <row r="10882" x14ac:dyDescent="0.25">
      <c r="A10882" t="n">
        <v>24</v>
      </c>
      <c r="B10882" t="s">
        <v>14</v>
      </c>
      <c r="C10882" t="s">
        <v>22</v>
      </c>
      <c r="D10882" s="2" t="s">
        <f>=HYPERLINK("https://main.knesset.gov.il/APPS/legislation/main/bills/2157424", "הצעת חוק לתיקון פקודת מס הכנסה (ביטול הפטור ממס לתשלומים ושירותים הניתנים לראש הממשלה), התשפ""א-2021")</f>
        <v>21048</v>
      </c>
      <c r="E10882" t="s">
        <v>21048</v>
      </c>
      <c r="F10882" t="s">
        <v>21049</v>
      </c>
      <c r="G10882" t="s">
        <v>14</v>
      </c>
      <c r="H10882">
             </c>
      <c r="I10882" t="s">
        <v>14</v>
      </c>
      <c r="J10882" t="s">
        <v>141</v>
      </c>
      <c r="K10882" t="s">
        <v>14</v>
      </c>
      <c r="L10882" t="s">
        <v>20</v>
      </c>
      <c r="M10882" t="s">
        <v>20786</v>
      </c>
      <c r="N10882" t="s">
        <v>14</v>
      </c>
    </row>
    <row r="10883" x14ac:dyDescent="0.25">
      <c r="A10883" t="n">
        <v>24</v>
      </c>
      <c r="B10883" t="s">
        <v>14</v>
      </c>
      <c r="C10883" t="s">
        <v>22</v>
      </c>
      <c r="D10883" s="2" t="s">
        <f>=HYPERLINK("https://main.knesset.gov.il/APPS/legislation/main/bills/2156916", "הצעת חוק חוזה הביטוח (תיקון - בחינת סבירות פעולות מבטח, העברת נטל ועיצום כספי), התשפ""א-2021")</f>
        <v>21050</v>
      </c>
      <c r="E10883" t="s">
        <v>21050</v>
      </c>
      <c r="F10883" t="s">
        <v>21051</v>
      </c>
      <c r="G10883" t="s">
        <v>14</v>
      </c>
      <c r="H10883">
             </c>
      <c r="I10883" t="s">
        <v>14</v>
      </c>
      <c r="J10883" t="s">
        <v>141</v>
      </c>
      <c r="K10883" t="s">
        <v>14</v>
      </c>
      <c r="L10883" t="s">
        <v>20</v>
      </c>
      <c r="M10883" t="s">
        <v>20786</v>
      </c>
      <c r="N10883" t="s">
        <v>14</v>
      </c>
    </row>
    <row r="10884" x14ac:dyDescent="0.25">
      <c r="A10884" t="n">
        <v>24</v>
      </c>
      <c r="B10884" t="s">
        <v>14</v>
      </c>
      <c r="C10884" t="s">
        <v>22</v>
      </c>
      <c r="D10884" s="2" t="s">
        <f>=HYPERLINK("https://main.knesset.gov.il/APPS/legislation/main/bills/2157295", "הצעת חוק הכניסה לישראל (תיקון - הארכת היתר ישיבה ומתן רישיון לישיבת קבע לקורבנות סחר בבני אדם), התשפ""א-2021")</f>
        <v>21052</v>
      </c>
      <c r="E10884" t="s">
        <v>21052</v>
      </c>
      <c r="F10884" t="s">
        <v>21053</v>
      </c>
      <c r="G10884" t="s">
        <v>14</v>
      </c>
      <c r="H10884">
             </c>
      <c r="I10884" t="s">
        <v>14</v>
      </c>
      <c r="J10884" t="s">
        <v>141</v>
      </c>
      <c r="K10884" t="s">
        <v>14</v>
      </c>
      <c r="L10884" t="s">
        <v>20</v>
      </c>
      <c r="M10884" t="s">
        <v>20786</v>
      </c>
      <c r="N10884" t="s">
        <v>14</v>
      </c>
    </row>
    <row r="10885" x14ac:dyDescent="0.25">
      <c r="A10885" t="n">
        <v>24</v>
      </c>
      <c r="B10885" t="s">
        <v>14</v>
      </c>
      <c r="C10885" t="s">
        <v>22</v>
      </c>
      <c r="D10885" s="2" t="s">
        <f>=HYPERLINK("https://main.knesset.gov.il/APPS/legislation/main/bills/2156759", "הצעת חוק שירות הקבע בצבא הגנה לישראל (הליכים לעניין החלטות הנוגעות לחיילים בשירות קבע) (תיקון - סמכות נגררת ומקום מושב), התשפ""א-2021")</f>
        <v>21054</v>
      </c>
      <c r="E10885" t="s">
        <v>21054</v>
      </c>
      <c r="F10885" t="s">
        <v>21055</v>
      </c>
      <c r="G10885" t="s">
        <v>14</v>
      </c>
      <c r="H10885">
             </c>
      <c r="I10885" t="s">
        <v>14</v>
      </c>
      <c r="J10885" t="s">
        <v>141</v>
      </c>
      <c r="K10885" t="s">
        <v>14</v>
      </c>
      <c r="L10885" t="s">
        <v>20</v>
      </c>
      <c r="M10885" t="s">
        <v>20786</v>
      </c>
      <c r="N10885" t="s">
        <v>14</v>
      </c>
    </row>
    <row r="10886" x14ac:dyDescent="0.25">
      <c r="A10886" t="n">
        <v>24</v>
      </c>
      <c r="B10886" t="s">
        <v>14</v>
      </c>
      <c r="C10886" t="s">
        <v>22</v>
      </c>
      <c r="D10886" s="2" t="s">
        <f>=HYPERLINK("https://main.knesset.gov.il/APPS/legislation/main/bills/2156548", "הצעת חוק אי נקיטת הליכים לפני מועדי ישראל (תיקוני חקיקה), התשפ""א-2021")</f>
        <v>21056</v>
      </c>
      <c r="E10886" t="s">
        <v>21056</v>
      </c>
      <c r="F10886" t="s">
        <v>21057</v>
      </c>
      <c r="G10886" t="s">
        <v>14</v>
      </c>
      <c r="H10886">
             </c>
      <c r="I10886" t="s">
        <v>14</v>
      </c>
      <c r="J10886" t="s">
        <v>141</v>
      </c>
      <c r="K10886" t="s">
        <v>14</v>
      </c>
      <c r="L10886" t="s">
        <v>20</v>
      </c>
      <c r="M10886" t="s">
        <v>20786</v>
      </c>
      <c r="N10886" t="s">
        <v>14</v>
      </c>
    </row>
    <row r="10887" x14ac:dyDescent="0.25">
      <c r="A10887" t="n">
        <v>24</v>
      </c>
      <c r="B10887" t="s">
        <v>14</v>
      </c>
      <c r="C10887" t="s">
        <v>22</v>
      </c>
      <c r="D10887" s="2" t="s">
        <f>=HYPERLINK("https://main.knesset.gov.il/APPS/legislation/main/bills/2157415", "הצעת חוק שירות אזרחי (תיקון - צמצום יכולת ההשפעה של חשודים על התנהלות גוף מוכר), התשפ""א-2021")</f>
        <v>21058</v>
      </c>
      <c r="E10887" t="s">
        <v>21058</v>
      </c>
      <c r="F10887" t="s">
        <v>21059</v>
      </c>
      <c r="G10887" t="s">
        <v>14</v>
      </c>
      <c r="H10887">
             </c>
      <c r="I10887" t="s">
        <v>14</v>
      </c>
      <c r="J10887" t="s">
        <v>141</v>
      </c>
      <c r="K10887" t="s">
        <v>14</v>
      </c>
      <c r="L10887" t="s">
        <v>20</v>
      </c>
      <c r="M10887" t="s">
        <v>20786</v>
      </c>
      <c r="N10887" t="s">
        <v>14</v>
      </c>
    </row>
    <row r="10888" x14ac:dyDescent="0.25">
      <c r="A10888" t="n">
        <v>24</v>
      </c>
      <c r="B10888" t="s">
        <v>14</v>
      </c>
      <c r="C10888" t="s">
        <v>22</v>
      </c>
      <c r="D10888" s="2" t="s">
        <f>=HYPERLINK("https://main.knesset.gov.il/APPS/legislation/main/bills/2156545", "הצעת חוק ביטוח בריאות ממלכתי (תיקון - מימון הסעה לבית חולים), התשפ""א-2021")</f>
        <v>20000</v>
      </c>
      <c r="E10888" t="s">
        <v>20000</v>
      </c>
      <c r="F10888" t="s">
        <v>21060</v>
      </c>
      <c r="G10888" t="s">
        <v>14</v>
      </c>
      <c r="H10888">
             </c>
      <c r="I10888" t="s">
        <v>14</v>
      </c>
      <c r="J10888" t="s">
        <v>141</v>
      </c>
      <c r="K10888" t="s">
        <v>14</v>
      </c>
      <c r="L10888" t="s">
        <v>20</v>
      </c>
      <c r="M10888" t="s">
        <v>20786</v>
      </c>
      <c r="N10888" t="s">
        <v>14</v>
      </c>
    </row>
    <row r="10889" x14ac:dyDescent="0.25">
      <c r="A10889" t="n">
        <v>24</v>
      </c>
      <c r="B10889" t="s">
        <v>14</v>
      </c>
      <c r="C10889" t="s">
        <v>22</v>
      </c>
      <c r="D10889" s="2" t="s">
        <f>=HYPERLINK("https://main.knesset.gov.il/APPS/legislation/main/bills/2157414", "הצעת חוק המקרקעין (תיקון - התקנת מעלית מטעמים מיוחדים), התשפ""א-2021")</f>
        <v>17867</v>
      </c>
      <c r="E10889" t="s">
        <v>17867</v>
      </c>
      <c r="F10889" t="s">
        <v>21061</v>
      </c>
      <c r="G10889" t="s">
        <v>14</v>
      </c>
      <c r="H10889">
             </c>
      <c r="I10889" t="s">
        <v>14</v>
      </c>
      <c r="J10889" t="s">
        <v>141</v>
      </c>
      <c r="K10889" t="s">
        <v>14</v>
      </c>
      <c r="L10889" t="s">
        <v>20</v>
      </c>
      <c r="M10889" t="s">
        <v>20786</v>
      </c>
      <c r="N10889" t="s">
        <v>14</v>
      </c>
    </row>
    <row r="10890" x14ac:dyDescent="0.25">
      <c r="A10890" t="n">
        <v>24</v>
      </c>
      <c r="B10890" t="s">
        <v>14</v>
      </c>
      <c r="C10890" t="s">
        <v>22</v>
      </c>
      <c r="D10890" s="2" t="s">
        <f>=HYPERLINK("https://main.knesset.gov.il/APPS/legislation/main/bills/2156473", "הצעת חוק לתיקון פקודת מסילות הברזל (פטור מתשלום דמי נסיעה לעגלת ילדים), התשפ""א-2021")</f>
        <v>21062</v>
      </c>
      <c r="E10890" t="s">
        <v>21062</v>
      </c>
      <c r="F10890" t="s">
        <v>21063</v>
      </c>
      <c r="G10890" t="s">
        <v>14</v>
      </c>
      <c r="H10890">
             </c>
      <c r="I10890" t="s">
        <v>14</v>
      </c>
      <c r="J10890" t="s">
        <v>141</v>
      </c>
      <c r="K10890" t="s">
        <v>14</v>
      </c>
      <c r="L10890" t="s">
        <v>20</v>
      </c>
      <c r="M10890" t="s">
        <v>20786</v>
      </c>
      <c r="N10890" t="s">
        <v>14</v>
      </c>
    </row>
    <row r="10891" x14ac:dyDescent="0.25">
      <c r="A10891" t="n">
        <v>24</v>
      </c>
      <c r="B10891" t="s">
        <v>14</v>
      </c>
      <c r="C10891" t="s">
        <v>22</v>
      </c>
      <c r="D10891" s="2" t="s">
        <f>=HYPERLINK("https://main.knesset.gov.il/APPS/legislation/main/bills/2157405", "הצעת חוק סדר הדין הפלילי (תיקון - ביטול האיסור המוטל על המשטרה למסור לפרקליטות עמדה בכתב לעניין מכלול התשתית הראייתית), התשפ""א-2021")</f>
        <v>21064</v>
      </c>
      <c r="E10891" t="s">
        <v>21064</v>
      </c>
      <c r="F10891" t="s">
        <v>21065</v>
      </c>
      <c r="G10891" t="s">
        <v>14</v>
      </c>
      <c r="H10891">
             </c>
      <c r="I10891" t="s">
        <v>14</v>
      </c>
      <c r="J10891" t="s">
        <v>141</v>
      </c>
      <c r="K10891" t="s">
        <v>14</v>
      </c>
      <c r="L10891" t="s">
        <v>20</v>
      </c>
      <c r="M10891" t="s">
        <v>20786</v>
      </c>
      <c r="N10891" t="s">
        <v>14</v>
      </c>
    </row>
    <row r="10892" x14ac:dyDescent="0.25">
      <c r="A10892" t="n">
        <v>24</v>
      </c>
      <c r="B10892" t="s">
        <v>14</v>
      </c>
      <c r="C10892" t="s">
        <v>22</v>
      </c>
      <c r="D10892" s="2" t="s">
        <f>=HYPERLINK("https://main.knesset.gov.il/APPS/legislation/main/bills/2156441", "הצעת חוק שיפוט בתי דין דתיים (בוררות), התשפ""א-2021")</f>
        <v>17959</v>
      </c>
      <c r="E10892" t="s">
        <v>17959</v>
      </c>
      <c r="F10892" t="s">
        <v>21066</v>
      </c>
      <c r="G10892" t="s">
        <v>14</v>
      </c>
      <c r="H10892">
             </c>
      <c r="I10892" t="s">
        <v>14</v>
      </c>
      <c r="J10892" t="s">
        <v>141</v>
      </c>
      <c r="K10892" t="s">
        <v>14</v>
      </c>
      <c r="L10892" t="s">
        <v>20</v>
      </c>
      <c r="M10892" t="s">
        <v>20786</v>
      </c>
      <c r="N10892" t="s">
        <v>14</v>
      </c>
    </row>
    <row r="10893" x14ac:dyDescent="0.25">
      <c r="A10893" t="n">
        <v>24</v>
      </c>
      <c r="B10893" t="s">
        <v>14</v>
      </c>
      <c r="C10893" t="s">
        <v>22</v>
      </c>
      <c r="D10893" s="2" t="s">
        <f>=HYPERLINK("https://main.knesset.gov.il/APPS/legislation/main/bills/2156437", "הצעת חוק שיפוט בתי דין רבניים (נישואין וגירושין) (תיקון - סמכות שיפוט בהסכמה בעניין אזרחי), התשפ""א-2021")</f>
        <v>21067</v>
      </c>
      <c r="E10893" t="s">
        <v>21067</v>
      </c>
      <c r="F10893" t="s">
        <v>21068</v>
      </c>
      <c r="G10893" t="s">
        <v>14</v>
      </c>
      <c r="H10893">
             </c>
      <c r="I10893" t="s">
        <v>14</v>
      </c>
      <c r="J10893" t="s">
        <v>141</v>
      </c>
      <c r="K10893" t="s">
        <v>14</v>
      </c>
      <c r="L10893" t="s">
        <v>20</v>
      </c>
      <c r="M10893" t="s">
        <v>20786</v>
      </c>
      <c r="N10893" t="s">
        <v>14</v>
      </c>
    </row>
    <row r="10894" x14ac:dyDescent="0.25">
      <c r="A10894" t="n">
        <v>24</v>
      </c>
      <c r="B10894" t="s">
        <v>14</v>
      </c>
      <c r="C10894" t="s">
        <v>22</v>
      </c>
      <c r="D10894" s="2" t="s">
        <f>=HYPERLINK("https://main.knesset.gov.il/APPS/legislation/main/bills/2157325", "הצעת חוק חופש המידע (תיקון - החלת חופש המידע על תאגידים בנקאיים, גופים פיננסיים ונותני אשראי ובורסה לניירות ערך), התשפ""א-2021")</f>
        <v>21069</v>
      </c>
      <c r="E10894" t="s">
        <v>21069</v>
      </c>
      <c r="F10894" t="s">
        <v>21070</v>
      </c>
      <c r="G10894" t="s">
        <v>14</v>
      </c>
      <c r="H10894">
             </c>
      <c r="I10894" t="s">
        <v>14</v>
      </c>
      <c r="J10894" t="s">
        <v>141</v>
      </c>
      <c r="K10894" t="s">
        <v>14</v>
      </c>
      <c r="L10894" t="s">
        <v>20</v>
      </c>
      <c r="M10894" t="s">
        <v>20786</v>
      </c>
      <c r="N10894" t="s">
        <v>14</v>
      </c>
    </row>
    <row r="10895" x14ac:dyDescent="0.25">
      <c r="A10895" t="n">
        <v>24</v>
      </c>
      <c r="B10895" t="s">
        <v>14</v>
      </c>
      <c r="C10895" t="s">
        <v>22</v>
      </c>
      <c r="D10895" s="2" t="s">
        <f>=HYPERLINK("https://main.knesset.gov.il/APPS/legislation/main/bills/2156417", "הצעת חוק שופט עמית ודיין עמית (תיקוני חקיקה), התשפ""א-2021")</f>
        <v>21071</v>
      </c>
      <c r="E10895" t="s">
        <v>21071</v>
      </c>
      <c r="F10895" t="s">
        <v>21072</v>
      </c>
      <c r="G10895" t="s">
        <v>14</v>
      </c>
      <c r="H10895">
             </c>
      <c r="I10895" t="s">
        <v>14</v>
      </c>
      <c r="J10895" t="s">
        <v>141</v>
      </c>
      <c r="K10895" t="s">
        <v>14</v>
      </c>
      <c r="L10895" t="s">
        <v>20</v>
      </c>
      <c r="M10895" t="s">
        <v>20786</v>
      </c>
      <c r="N10895" t="s">
        <v>14</v>
      </c>
    </row>
    <row r="10896" x14ac:dyDescent="0.25">
      <c r="A10896" t="n">
        <v>24</v>
      </c>
      <c r="B10896" t="s">
        <v>14</v>
      </c>
      <c r="C10896" t="s">
        <v>22</v>
      </c>
      <c r="D10896" s="2" t="s">
        <f>=HYPERLINK("https://main.knesset.gov.il/APPS/legislation/main/bills/2157326", "הצעת חוק עיטור הפציעה הקרבית, התשפ""א-2021")</f>
        <v>21073</v>
      </c>
      <c r="E10896" t="s">
        <v>21073</v>
      </c>
      <c r="F10896" t="s">
        <v>21074</v>
      </c>
      <c r="G10896" t="s">
        <v>14</v>
      </c>
      <c r="H10896">
             </c>
      <c r="I10896" t="s">
        <v>14</v>
      </c>
      <c r="J10896" t="s">
        <v>343</v>
      </c>
      <c r="K10896" t="s">
        <v>14</v>
      </c>
      <c r="L10896" t="s">
        <v>20</v>
      </c>
      <c r="M10896" t="s">
        <v>20786</v>
      </c>
      <c r="N10896" t="s">
        <v>14</v>
      </c>
    </row>
    <row r="10897" x14ac:dyDescent="0.25">
      <c r="A10897" t="n">
        <v>24</v>
      </c>
      <c r="B10897" t="s">
        <v>14</v>
      </c>
      <c r="C10897" t="s">
        <v>22</v>
      </c>
      <c r="D10897" s="2" t="s">
        <f>=HYPERLINK("https://main.knesset.gov.il/APPS/legislation/main/bills/2156359", "הצעת חוק מגן דוד אדום (תיקון - פריסת ניידות טיפול נמרץ ברחבי המדינה), התשפ""א-2021 ")</f>
        <v>21075</v>
      </c>
      <c r="E10897" t="s">
        <v>21075</v>
      </c>
      <c r="F10897" t="s">
        <v>21076</v>
      </c>
      <c r="G10897" t="s">
        <v>14</v>
      </c>
      <c r="H10897">
             </c>
      <c r="I10897" t="s">
        <v>14</v>
      </c>
      <c r="J10897" t="s">
        <v>141</v>
      </c>
      <c r="K10897" t="s">
        <v>14</v>
      </c>
      <c r="L10897" t="s">
        <v>20</v>
      </c>
      <c r="M10897" t="s">
        <v>20786</v>
      </c>
      <c r="N10897" t="s">
        <v>14</v>
      </c>
    </row>
    <row r="10898" x14ac:dyDescent="0.25">
      <c r="A10898" t="n">
        <v>24</v>
      </c>
      <c r="B10898" t="s">
        <v>14</v>
      </c>
      <c r="C10898" t="s">
        <v>22</v>
      </c>
      <c r="D10898" s="2" t="s">
        <f>=HYPERLINK("https://main.knesset.gov.il/APPS/legislation/main/bills/2156358", "הצעת חוק העונשין (תיקון - הרחבת הגדרת הגזענות), התשפ""א-2021")</f>
        <v>15472</v>
      </c>
      <c r="E10898" t="s">
        <v>15472</v>
      </c>
      <c r="F10898" t="s">
        <v>21077</v>
      </c>
      <c r="G10898" t="s">
        <v>14</v>
      </c>
      <c r="H10898">
             </c>
      <c r="I10898" t="s">
        <v>14</v>
      </c>
      <c r="J10898" t="s">
        <v>141</v>
      </c>
      <c r="K10898" t="s">
        <v>14</v>
      </c>
      <c r="L10898" t="s">
        <v>20</v>
      </c>
      <c r="M10898" t="s">
        <v>20786</v>
      </c>
      <c r="N10898" t="s">
        <v>14</v>
      </c>
    </row>
    <row r="10899" x14ac:dyDescent="0.25">
      <c r="A10899" t="n">
        <v>24</v>
      </c>
      <c r="B10899" t="s">
        <v>14</v>
      </c>
      <c r="C10899" t="s">
        <v>22</v>
      </c>
      <c r="D10899" s="2" t="s">
        <f>=HYPERLINK("https://main.knesset.gov.il/APPS/legislation/main/bills/2156242", "הצעת חוק התאמת אופן ההעסקה של מטפלות במשפחתונים המפוקחים על ידי האגף למעונות יום ומשפחתונים במשרד העבודה, הרווחה והשירותים החברתיים, התשפ""א-2021")</f>
        <v>18201</v>
      </c>
      <c r="E10899" t="s">
        <v>18201</v>
      </c>
      <c r="F10899" t="s">
        <v>21078</v>
      </c>
      <c r="G10899" t="s">
        <v>14</v>
      </c>
      <c r="H10899">
             </c>
      <c r="I10899" t="s">
        <v>14</v>
      </c>
      <c r="J10899" t="s">
        <v>141</v>
      </c>
      <c r="K10899" t="s">
        <v>14</v>
      </c>
      <c r="L10899" t="s">
        <v>20</v>
      </c>
      <c r="M10899" t="s">
        <v>20786</v>
      </c>
      <c r="N10899" t="s">
        <v>14</v>
      </c>
    </row>
    <row r="10900" x14ac:dyDescent="0.25">
      <c r="A10900" t="n">
        <v>24</v>
      </c>
      <c r="B10900" t="s">
        <v>14</v>
      </c>
      <c r="C10900" t="s">
        <v>22</v>
      </c>
      <c r="D10900" s="2" t="s">
        <f>=HYPERLINK("https://main.knesset.gov.il/APPS/legislation/main/bills/2156189", "הצעת חוק ביטוח בריאות ממלכתי (תיקון - ביטול הגבלת זכותו של תושב גלמוד ששהה מחוץ לישראל), התשפ""א-2021")</f>
        <v>21079</v>
      </c>
      <c r="E10900" t="s">
        <v>21079</v>
      </c>
      <c r="F10900" t="s">
        <v>21080</v>
      </c>
      <c r="G10900" t="s">
        <v>14</v>
      </c>
      <c r="H10900">
             </c>
      <c r="I10900" t="s">
        <v>14</v>
      </c>
      <c r="J10900" t="s">
        <v>141</v>
      </c>
      <c r="K10900" t="s">
        <v>14</v>
      </c>
      <c r="L10900" t="s">
        <v>20</v>
      </c>
      <c r="M10900" t="s">
        <v>20786</v>
      </c>
      <c r="N10900" t="s">
        <v>14</v>
      </c>
    </row>
    <row r="10901" x14ac:dyDescent="0.25">
      <c r="A10901" t="n">
        <v>24</v>
      </c>
      <c r="B10901" t="s">
        <v>14</v>
      </c>
      <c r="C10901" t="s">
        <v>22</v>
      </c>
      <c r="D10901" s="2" t="s">
        <f>=HYPERLINK("https://main.knesset.gov.il/APPS/legislation/main/bills/2156133", "הצעת חוק הביטוח הלאומי (תיקון - הארכת תקופת הזכאות לדמי אבטלה לשכיר שהפך לעצמאי ועסקו נסגר), התשפ""א-2021")</f>
        <v>21081</v>
      </c>
      <c r="E10901" t="s">
        <v>21081</v>
      </c>
      <c r="F10901" t="s">
        <v>21082</v>
      </c>
      <c r="G10901" t="s">
        <v>14</v>
      </c>
      <c r="H10901">
             </c>
      <c r="I10901" t="s">
        <v>14</v>
      </c>
      <c r="J10901" t="s">
        <v>141</v>
      </c>
      <c r="K10901" t="s">
        <v>14</v>
      </c>
      <c r="L10901" t="s">
        <v>20</v>
      </c>
      <c r="M10901" t="s">
        <v>20786</v>
      </c>
      <c r="N10901" t="s">
        <v>14</v>
      </c>
    </row>
    <row r="10902" x14ac:dyDescent="0.25">
      <c r="A10902" t="n">
        <v>24</v>
      </c>
      <c r="B10902" t="s">
        <v>14</v>
      </c>
      <c r="C10902" t="s">
        <v>22</v>
      </c>
      <c r="D10902" s="2" t="s">
        <f>=HYPERLINK("https://main.knesset.gov.il/APPS/legislation/main/bills/2156126", "הצעת חוק שוויון זכויות לאנשים עם מוגבלות (תיקון - פטור מהמתנה בתור לנכי גפיים), התשפ""א-2021")</f>
        <v>21083</v>
      </c>
      <c r="E10902" t="s">
        <v>21083</v>
      </c>
      <c r="F10902" t="s">
        <v>21084</v>
      </c>
      <c r="G10902" t="s">
        <v>14</v>
      </c>
      <c r="H10902">
             </c>
      <c r="I10902" t="s">
        <v>14</v>
      </c>
      <c r="J10902" t="s">
        <v>141</v>
      </c>
      <c r="K10902" t="s">
        <v>14</v>
      </c>
      <c r="L10902" t="s">
        <v>20</v>
      </c>
      <c r="M10902" t="s">
        <v>20786</v>
      </c>
      <c r="N10902" t="s">
        <v>14</v>
      </c>
    </row>
    <row r="10903" x14ac:dyDescent="0.25">
      <c r="A10903" t="n">
        <v>24</v>
      </c>
      <c r="B10903" t="s">
        <v>14</v>
      </c>
      <c r="C10903" t="s">
        <v>22</v>
      </c>
      <c r="D10903" s="2" t="s">
        <f>=HYPERLINK("https://main.knesset.gov.il/APPS/legislation/main/bills/2156857", "הצעת חוק הביטוח הלאומי (תיקון - הצמדת קצבת אזרח ותיק לשכר הממוצע לפחות), התשפ""א-2021")</f>
        <v>21085</v>
      </c>
      <c r="E10903" t="s">
        <v>21085</v>
      </c>
      <c r="F10903" t="s">
        <v>21086</v>
      </c>
      <c r="G10903" t="s">
        <v>14</v>
      </c>
      <c r="H10903">
             </c>
      <c r="I10903" t="s">
        <v>14</v>
      </c>
      <c r="J10903" t="s">
        <v>141</v>
      </c>
      <c r="K10903" t="s">
        <v>14</v>
      </c>
      <c r="L10903" t="s">
        <v>20</v>
      </c>
      <c r="M10903" t="s">
        <v>20786</v>
      </c>
      <c r="N10903" t="s">
        <v>14</v>
      </c>
    </row>
    <row r="10904" x14ac:dyDescent="0.25">
      <c r="A10904" t="n">
        <v>24</v>
      </c>
      <c r="B10904" t="s">
        <v>14</v>
      </c>
      <c r="C10904" t="s">
        <v>22</v>
      </c>
      <c r="D10904" s="2" t="s">
        <f>=HYPERLINK("https://main.knesset.gov.il/APPS/legislation/main/bills/2156947", "הצעת חוק לתיקון פקודת ביטוח רכב מנועי (פוליסה לשני כלי רכב של נהג יחיד), התשפ""א-2021")</f>
        <v>21087</v>
      </c>
      <c r="E10904" t="s">
        <v>21087</v>
      </c>
      <c r="F10904" t="s">
        <v>21088</v>
      </c>
      <c r="G10904" t="s">
        <v>14</v>
      </c>
      <c r="H10904">
             </c>
      <c r="I10904" t="s">
        <v>14</v>
      </c>
      <c r="J10904" t="s">
        <v>141</v>
      </c>
      <c r="K10904" t="s">
        <v>14</v>
      </c>
      <c r="L10904" t="s">
        <v>20</v>
      </c>
      <c r="M10904" t="s">
        <v>20786</v>
      </c>
      <c r="N10904" t="s">
        <v>14</v>
      </c>
    </row>
    <row r="10905" x14ac:dyDescent="0.25">
      <c r="A10905" t="n">
        <v>24</v>
      </c>
      <c r="B10905" t="s">
        <v>14</v>
      </c>
      <c r="C10905" t="s">
        <v>22</v>
      </c>
      <c r="D10905" s="2" t="s">
        <f>=HYPERLINK("https://main.knesset.gov.il/APPS/legislation/main/bills/2156953", "הצעת חוק מיסוי מקרקעין (שבח ורכישה) (דירה נוספת שלא נעשה בה שימוש), התשפ""א-2021")</f>
        <v>21089</v>
      </c>
      <c r="E10905" t="s">
        <v>21089</v>
      </c>
      <c r="F10905" t="s">
        <v>21090</v>
      </c>
      <c r="G10905" t="s">
        <v>14</v>
      </c>
      <c r="H10905">
             </c>
      <c r="I10905" t="s">
        <v>14</v>
      </c>
      <c r="J10905" t="s">
        <v>141</v>
      </c>
      <c r="K10905" t="s">
        <v>14</v>
      </c>
      <c r="L10905" t="s">
        <v>20</v>
      </c>
      <c r="M10905" t="s">
        <v>20786</v>
      </c>
      <c r="N10905" t="s">
        <v>14</v>
      </c>
    </row>
    <row r="10906" x14ac:dyDescent="0.25">
      <c r="A10906" t="n">
        <v>24</v>
      </c>
      <c r="B10906" t="s">
        <v>14</v>
      </c>
      <c r="C10906" t="s">
        <v>22</v>
      </c>
      <c r="D10906" s="2" t="s">
        <f>=HYPERLINK("https://main.knesset.gov.il/APPS/legislation/main/bills/2156878", "הצעת חוק שירות המדינה (מינויים) (תיקון - מינוי יועצים משפטיים של משרדים), התשפ""א-2021")</f>
        <v>18723</v>
      </c>
      <c r="E10906" t="s">
        <v>18723</v>
      </c>
      <c r="F10906" t="s">
        <v>21091</v>
      </c>
      <c r="G10906" t="s">
        <v>14</v>
      </c>
      <c r="H10906">
             </c>
      <c r="I10906" t="s">
        <v>14</v>
      </c>
      <c r="J10906" t="s">
        <v>141</v>
      </c>
      <c r="K10906" t="s">
        <v>14</v>
      </c>
      <c r="L10906" t="s">
        <v>20</v>
      </c>
      <c r="M10906" t="s">
        <v>20786</v>
      </c>
      <c r="N10906" t="s">
        <v>14</v>
      </c>
    </row>
    <row r="10907" x14ac:dyDescent="0.25">
      <c r="A10907" t="n">
        <v>24</v>
      </c>
      <c r="B10907" t="s">
        <v>14</v>
      </c>
      <c r="C10907" t="s">
        <v>22</v>
      </c>
      <c r="D10907" s="2" t="s">
        <f>=HYPERLINK("https://main.knesset.gov.il/APPS/legislation/main/bills/2156856", "הצעת חוק הבטחת הכנסה (תיקון - הכנסת מינימום לאזרח ותיק), התשפ""א-2021")</f>
        <v>21092</v>
      </c>
      <c r="E10907" t="s">
        <v>21092</v>
      </c>
      <c r="F10907" t="s">
        <v>21093</v>
      </c>
      <c r="G10907" t="s">
        <v>14</v>
      </c>
      <c r="H10907">
             </c>
      <c r="I10907" t="s">
        <v>14</v>
      </c>
      <c r="J10907" t="s">
        <v>141</v>
      </c>
      <c r="K10907" t="s">
        <v>14</v>
      </c>
      <c r="L10907" t="s">
        <v>20</v>
      </c>
      <c r="M10907" t="s">
        <v>20786</v>
      </c>
      <c r="N10907" t="s">
        <v>14</v>
      </c>
    </row>
    <row r="10908" x14ac:dyDescent="0.25">
      <c r="A10908" t="n">
        <v>24</v>
      </c>
      <c r="B10908" t="s">
        <v>14</v>
      </c>
      <c r="C10908" t="s">
        <v>22</v>
      </c>
      <c r="D10908" s="2" t="s">
        <f>=HYPERLINK("https://main.knesset.gov.il/APPS/legislation/main/bills/2156852", "הצעת חוק הבטחת הכנסה (תיקון - גמלת הבטחת הכנסה לקשיש), התשפ""א-2021")</f>
        <v>18721</v>
      </c>
      <c r="E10908" t="s">
        <v>18721</v>
      </c>
      <c r="F10908" t="s">
        <v>21094</v>
      </c>
      <c r="G10908" t="s">
        <v>14</v>
      </c>
      <c r="H10908">
             </c>
      <c r="I10908" t="s">
        <v>14</v>
      </c>
      <c r="J10908" t="s">
        <v>141</v>
      </c>
      <c r="K10908" t="s">
        <v>14</v>
      </c>
      <c r="L10908" t="s">
        <v>20</v>
      </c>
      <c r="M10908" t="s">
        <v>20786</v>
      </c>
      <c r="N10908" t="s">
        <v>14</v>
      </c>
    </row>
    <row r="10909" x14ac:dyDescent="0.25">
      <c r="A10909" t="n">
        <v>24</v>
      </c>
      <c r="B10909" t="s">
        <v>14</v>
      </c>
      <c r="C10909" t="s">
        <v>22</v>
      </c>
      <c r="D10909" s="2" t="s">
        <f>=HYPERLINK("https://main.knesset.gov.il/APPS/legislation/main/bills/2156819", "הצעת חוק שכר שווה לעובדת ולעובד (תיקון - חובת מסירת מידע), התשפ""א-2021")</f>
        <v>21095</v>
      </c>
      <c r="E10909" t="s">
        <v>21095</v>
      </c>
      <c r="F10909" t="s">
        <v>21096</v>
      </c>
      <c r="G10909" t="s">
        <v>14</v>
      </c>
      <c r="H10909">
             </c>
      <c r="I10909" t="s">
        <v>14</v>
      </c>
      <c r="J10909" t="s">
        <v>1123</v>
      </c>
      <c r="K10909" t="s">
        <v>14</v>
      </c>
      <c r="L10909" t="s">
        <v>20</v>
      </c>
      <c r="M10909" t="s">
        <v>20786</v>
      </c>
      <c r="N10909" t="s">
        <v>14</v>
      </c>
    </row>
    <row r="10910" x14ac:dyDescent="0.25">
      <c r="A10910" t="n">
        <v>24</v>
      </c>
      <c r="B10910" t="s">
        <v>14</v>
      </c>
      <c r="C10910" t="s">
        <v>22</v>
      </c>
      <c r="D10910" s="2" t="s">
        <f>=HYPERLINK("https://main.knesset.gov.il/APPS/legislation/main/bills/2156328", "הצעת חוק חופש המידע (תיקון - מידע על נגישות), התשפ""א-2021")</f>
        <v>21097</v>
      </c>
      <c r="E10910" t="s">
        <v>21097</v>
      </c>
      <c r="F10910" t="s">
        <v>21098</v>
      </c>
      <c r="G10910" t="s">
        <v>14</v>
      </c>
      <c r="H10910">
             </c>
      <c r="I10910" t="s">
        <v>14</v>
      </c>
      <c r="J10910" t="s">
        <v>141</v>
      </c>
      <c r="K10910" t="s">
        <v>14</v>
      </c>
      <c r="L10910" t="s">
        <v>20</v>
      </c>
      <c r="M10910" t="s">
        <v>20786</v>
      </c>
      <c r="N10910" t="s">
        <v>14</v>
      </c>
    </row>
    <row r="10911" x14ac:dyDescent="0.25">
      <c r="A10911" t="n">
        <v>24</v>
      </c>
      <c r="B10911" t="s">
        <v>14</v>
      </c>
      <c r="C10911" t="s">
        <v>22</v>
      </c>
      <c r="D10911" s="2" t="s">
        <f>=HYPERLINK("https://main.knesset.gov.il/APPS/legislation/main/bills/2157292", "הצעת חוק ביטוח בריאות ממלכתי (תיקון - מחלה יתומה), התשפ""א-2021")</f>
        <v>21099</v>
      </c>
      <c r="E10911" t="s">
        <v>21099</v>
      </c>
      <c r="F10911" t="s">
        <v>21100</v>
      </c>
      <c r="G10911" t="s">
        <v>14</v>
      </c>
      <c r="H10911">
             </c>
      <c r="I10911" t="s">
        <v>14</v>
      </c>
      <c r="J10911" t="s">
        <v>141</v>
      </c>
      <c r="K10911" t="s">
        <v>14</v>
      </c>
      <c r="L10911" t="s">
        <v>20</v>
      </c>
      <c r="M10911" t="s">
        <v>20786</v>
      </c>
      <c r="N10911" t="s">
        <v>14</v>
      </c>
    </row>
    <row r="10912" x14ac:dyDescent="0.25">
      <c r="A10912" t="n">
        <v>24</v>
      </c>
      <c r="B10912" t="s">
        <v>14</v>
      </c>
      <c r="C10912" t="s">
        <v>22</v>
      </c>
      <c r="D10912" s="2" t="s">
        <f>=HYPERLINK("https://main.knesset.gov.il/APPS/legislation/main/bills/2157272", "הצעת חוק מעונות יום שיקומיים (תיקון - פטור מתשלומי תאגיד בריאות לבית חולים), התשפ""א-2021")</f>
        <v>21101</v>
      </c>
      <c r="E10912" t="s">
        <v>21101</v>
      </c>
      <c r="F10912" t="s">
        <v>21102</v>
      </c>
      <c r="G10912" t="s">
        <v>14</v>
      </c>
      <c r="H10912">
             </c>
      <c r="I10912" t="s">
        <v>14</v>
      </c>
      <c r="J10912" t="s">
        <v>141</v>
      </c>
      <c r="K10912" t="s">
        <v>14</v>
      </c>
      <c r="L10912" t="s">
        <v>20</v>
      </c>
      <c r="M10912" t="s">
        <v>20786</v>
      </c>
      <c r="N10912" t="s">
        <v>14</v>
      </c>
    </row>
    <row r="10913" x14ac:dyDescent="0.25">
      <c r="A10913" t="n">
        <v>24</v>
      </c>
      <c r="B10913" t="s">
        <v>14</v>
      </c>
      <c r="C10913" t="s">
        <v>22</v>
      </c>
      <c r="D10913" s="2" t="s">
        <f>=HYPERLINK("https://main.knesset.gov.il/APPS/legislation/main/bills/2157249", "הצעת חוק הפיקוח על שירותים פיננסיים (קופות גמל) (תיקון - היוון קצבה על ידי שאיר הזכאי לפנסיה תקציבית או לקצבה מקופה אחרת), התשפ""א-2021")</f>
        <v>21103</v>
      </c>
      <c r="E10913" t="s">
        <v>21103</v>
      </c>
      <c r="F10913" t="s">
        <v>21104</v>
      </c>
      <c r="G10913" t="s">
        <v>14</v>
      </c>
      <c r="H10913">
             </c>
      <c r="I10913" t="s">
        <v>14</v>
      </c>
      <c r="J10913" t="s">
        <v>141</v>
      </c>
      <c r="K10913" t="s">
        <v>14</v>
      </c>
      <c r="L10913" t="s">
        <v>20</v>
      </c>
      <c r="M10913" t="s">
        <v>20786</v>
      </c>
      <c r="N10913" t="s">
        <v>14</v>
      </c>
    </row>
    <row r="10914" x14ac:dyDescent="0.25">
      <c r="A10914" t="n">
        <v>24</v>
      </c>
      <c r="B10914" t="s">
        <v>14</v>
      </c>
      <c r="C10914" t="s">
        <v>22</v>
      </c>
      <c r="D10914" s="2" t="s">
        <f>=HYPERLINK("https://main.knesset.gov.il/APPS/legislation/main/bills/2156350", "הצעת חוק שכר מינימום (תיקון - עוולה נזיקית וקובלנה), התשפ""א-2021")</f>
        <v>20207</v>
      </c>
      <c r="E10914" t="s">
        <v>20207</v>
      </c>
      <c r="F10914" t="s">
        <v>21105</v>
      </c>
      <c r="G10914" t="s">
        <v>14</v>
      </c>
      <c r="H10914">
             </c>
      <c r="I10914" t="s">
        <v>14</v>
      </c>
      <c r="J10914" t="s">
        <v>141</v>
      </c>
      <c r="K10914" t="s">
        <v>14</v>
      </c>
      <c r="L10914" t="s">
        <v>20</v>
      </c>
      <c r="M10914" t="s">
        <v>20786</v>
      </c>
      <c r="N10914" t="s">
        <v>14</v>
      </c>
    </row>
    <row r="10915" x14ac:dyDescent="0.25">
      <c r="A10915" t="n">
        <v>24</v>
      </c>
      <c r="B10915" t="s">
        <v>14</v>
      </c>
      <c r="C10915" t="s">
        <v>22</v>
      </c>
      <c r="D10915" s="2" t="s">
        <f>=HYPERLINK("https://main.knesset.gov.il/APPS/legislation/main/bills/2156355", "הצעת חוק בית המשפט לענייני משפחה (תיקון - פטור מתשלום אגרה למקבלי הבטחת הכנסה), התשפ""א-2021")</f>
        <v>21106</v>
      </c>
      <c r="E10915" t="s">
        <v>21106</v>
      </c>
      <c r="F10915" t="s">
        <v>21107</v>
      </c>
      <c r="G10915" t="s">
        <v>14</v>
      </c>
      <c r="H10915">
             </c>
      <c r="I10915" t="s">
        <v>14</v>
      </c>
      <c r="J10915" t="s">
        <v>141</v>
      </c>
      <c r="K10915" t="s">
        <v>14</v>
      </c>
      <c r="L10915" t="s">
        <v>20</v>
      </c>
      <c r="M10915" t="s">
        <v>20786</v>
      </c>
      <c r="N10915" t="s">
        <v>14</v>
      </c>
    </row>
    <row r="10916" x14ac:dyDescent="0.25">
      <c r="A10916" t="n">
        <v>24</v>
      </c>
      <c r="B10916" t="s">
        <v>14</v>
      </c>
      <c r="C10916" t="s">
        <v>22</v>
      </c>
      <c r="D10916" s="2" t="s">
        <f>=HYPERLINK("https://main.knesset.gov.il/APPS/legislation/main/bills/2156221", "הצעת חוק לתיקון פקודת המכס (ביטול חיוב בעד בדיקת טובין), התשפ""א-2021")</f>
        <v>21108</v>
      </c>
      <c r="E10916" t="s">
        <v>21108</v>
      </c>
      <c r="F10916" t="s">
        <v>21109</v>
      </c>
      <c r="G10916" t="s">
        <v>14</v>
      </c>
      <c r="H10916">
             </c>
      <c r="I10916" t="s">
        <v>14</v>
      </c>
      <c r="J10916" t="s">
        <v>141</v>
      </c>
      <c r="K10916" t="s">
        <v>14</v>
      </c>
      <c r="L10916" t="s">
        <v>20</v>
      </c>
      <c r="M10916" t="s">
        <v>20786</v>
      </c>
      <c r="N10916" t="s">
        <v>14</v>
      </c>
    </row>
    <row r="10917" x14ac:dyDescent="0.25">
      <c r="A10917" t="n">
        <v>24</v>
      </c>
      <c r="B10917" t="s">
        <v>14</v>
      </c>
      <c r="C10917" t="s">
        <v>22</v>
      </c>
      <c r="D10917" s="2" t="s">
        <f>=HYPERLINK("https://main.knesset.gov.il/APPS/legislation/main/bills/2156715", "הצעת חוק נכי רדיפות הנאצים (תיקון - הגדרות זכאות), התשפ""א-2021")</f>
        <v>21110</v>
      </c>
      <c r="E10917" t="s">
        <v>21110</v>
      </c>
      <c r="F10917" t="s">
        <v>21111</v>
      </c>
      <c r="G10917" t="s">
        <v>14</v>
      </c>
      <c r="H10917">
             </c>
      <c r="I10917" t="s">
        <v>14</v>
      </c>
      <c r="J10917" t="s">
        <v>141</v>
      </c>
      <c r="K10917" t="s">
        <v>14</v>
      </c>
      <c r="L10917" t="s">
        <v>20</v>
      </c>
      <c r="M10917" t="s">
        <v>20786</v>
      </c>
      <c r="N10917" t="s">
        <v>14</v>
      </c>
    </row>
    <row r="10918" x14ac:dyDescent="0.25">
      <c r="A10918" t="n">
        <v>24</v>
      </c>
      <c r="B10918" t="s">
        <v>14</v>
      </c>
      <c r="C10918" t="s">
        <v>22</v>
      </c>
      <c r="D10918" s="2" t="s">
        <f>=HYPERLINK("https://main.knesset.gov.il/APPS/legislation/main/bills/2157713", "הצעת חוק עבודת נשים (תיקון - תקופת לידה והורות לנשים בעבודה פיזית קשה), התשפ""א-2021")</f>
        <v>21112</v>
      </c>
      <c r="E10918" t="s">
        <v>21112</v>
      </c>
      <c r="F10918" t="s">
        <v>21113</v>
      </c>
      <c r="G10918" t="s">
        <v>14</v>
      </c>
      <c r="H10918">
             </c>
      <c r="I10918" t="s">
        <v>14</v>
      </c>
      <c r="J10918" t="s">
        <v>141</v>
      </c>
      <c r="K10918" t="s">
        <v>14</v>
      </c>
      <c r="L10918" t="s">
        <v>20</v>
      </c>
      <c r="M10918" t="s">
        <v>20786</v>
      </c>
      <c r="N10918" t="s">
        <v>14</v>
      </c>
    </row>
    <row r="10919" x14ac:dyDescent="0.25">
      <c r="A10919" t="n">
        <v>24</v>
      </c>
      <c r="B10919" t="s">
        <v>14</v>
      </c>
      <c r="C10919" t="s">
        <v>22</v>
      </c>
      <c r="D10919" s="2" t="s">
        <f>=HYPERLINK("https://main.knesset.gov.il/APPS/legislation/main/bills/2156210", "הצעת חוק מס ערך מוסף (תיקון - פטור בעת קניית דירה ראשונה לזוגות צעירים), התשפ""א-2021")</f>
        <v>21114</v>
      </c>
      <c r="E10919" t="s">
        <v>21114</v>
      </c>
      <c r="F10919" t="s">
        <v>21115</v>
      </c>
      <c r="G10919" t="s">
        <v>14</v>
      </c>
      <c r="H10919">
             </c>
      <c r="I10919" t="s">
        <v>14</v>
      </c>
      <c r="J10919" t="s">
        <v>141</v>
      </c>
      <c r="K10919" t="s">
        <v>14</v>
      </c>
      <c r="L10919" t="s">
        <v>20</v>
      </c>
      <c r="M10919" t="s">
        <v>20786</v>
      </c>
      <c r="N10919" t="s">
        <v>14</v>
      </c>
    </row>
    <row r="10920" x14ac:dyDescent="0.25">
      <c r="A10920" t="n">
        <v>24</v>
      </c>
      <c r="B10920" t="s">
        <v>14</v>
      </c>
      <c r="C10920" t="s">
        <v>22</v>
      </c>
      <c r="D10920" s="2" t="s">
        <f>=HYPERLINK("https://main.knesset.gov.il/APPS/legislation/main/bills/2156271", "הצעת חוק סדר הדין הפלילי (סמכויות אכיפה - מעצרים) (תיקון - הגדרת מסוכנות של פוגעים בבעלי חיים), התשפ""א-2021")</f>
        <v>19018</v>
      </c>
      <c r="E10920" t="s">
        <v>19018</v>
      </c>
      <c r="F10920" t="s">
        <v>21116</v>
      </c>
      <c r="G10920" t="s">
        <v>14</v>
      </c>
      <c r="H10920">
             </c>
      <c r="I10920" t="s">
        <v>14</v>
      </c>
      <c r="J10920" t="s">
        <v>141</v>
      </c>
      <c r="K10920" t="s">
        <v>14</v>
      </c>
      <c r="L10920" t="s">
        <v>20</v>
      </c>
      <c r="M10920" t="s">
        <v>20786</v>
      </c>
      <c r="N10920" t="s">
        <v>14</v>
      </c>
    </row>
    <row r="10921" x14ac:dyDescent="0.25">
      <c r="A10921" t="n">
        <v>24</v>
      </c>
      <c r="B10921" t="s">
        <v>14</v>
      </c>
      <c r="C10921" t="s">
        <v>22</v>
      </c>
      <c r="D10921" s="2" t="s">
        <f>=HYPERLINK("https://main.knesset.gov.il/APPS/legislation/main/bills/2157796", "הצעת חוק רישוי עסקים (תיקון - חובת הספקת אמצעים לגילוי סם מסוכן), התשפ""א-2021")</f>
        <v>21117</v>
      </c>
      <c r="E10921" t="s">
        <v>21117</v>
      </c>
      <c r="F10921" t="s">
        <v>21118</v>
      </c>
      <c r="G10921" t="s">
        <v>14</v>
      </c>
      <c r="H10921">
             </c>
      <c r="I10921" t="s">
        <v>14</v>
      </c>
      <c r="J10921" t="s">
        <v>141</v>
      </c>
      <c r="K10921" t="s">
        <v>14</v>
      </c>
      <c r="L10921" t="s">
        <v>20</v>
      </c>
      <c r="M10921" t="s">
        <v>20786</v>
      </c>
      <c r="N10921" t="s">
        <v>14</v>
      </c>
    </row>
    <row r="10922" x14ac:dyDescent="0.25">
      <c r="A10922" t="n">
        <v>24</v>
      </c>
      <c r="B10922" t="s">
        <v>14</v>
      </c>
      <c r="C10922" t="s">
        <v>22</v>
      </c>
      <c r="D10922" s="2" t="s">
        <f>=HYPERLINK("https://main.knesset.gov.il/APPS/legislation/main/bills/2156806", "הצעת חוק בתי המשפט (תיקון - שימוע ובחירות חשאיות לשופטי בית המשפט העליון), התשפ""א-2021")</f>
        <v>21119</v>
      </c>
      <c r="E10922" t="s">
        <v>21119</v>
      </c>
      <c r="F10922" t="s">
        <v>21120</v>
      </c>
      <c r="G10922" t="s">
        <v>14</v>
      </c>
      <c r="H10922">
             </c>
      <c r="I10922" t="s">
        <v>14</v>
      </c>
      <c r="J10922" t="s">
        <v>141</v>
      </c>
      <c r="K10922" t="s">
        <v>14</v>
      </c>
      <c r="L10922" t="s">
        <v>20</v>
      </c>
      <c r="M10922" t="s">
        <v>20786</v>
      </c>
      <c r="N10922" t="s">
        <v>14</v>
      </c>
    </row>
    <row r="10923" x14ac:dyDescent="0.25">
      <c r="A10923" t="n">
        <v>24</v>
      </c>
      <c r="B10923" t="s">
        <v>14</v>
      </c>
      <c r="C10923" t="s">
        <v>22</v>
      </c>
      <c r="D10923" s="2" t="s">
        <f>=HYPERLINK("https://main.knesset.gov.il/APPS/legislation/main/bills/2156888", "הצעת חוק לתיקון פקודת מס הכנסה (פריסת תשלומי מס הכנסה בעקבות משבר הקורונה), התשפ""א-2021")</f>
        <v>21121</v>
      </c>
      <c r="E10923" t="s">
        <v>21121</v>
      </c>
      <c r="F10923" t="s">
        <v>21122</v>
      </c>
      <c r="G10923" t="s">
        <v>14</v>
      </c>
      <c r="H10923">
             </c>
      <c r="I10923" t="s">
        <v>14</v>
      </c>
      <c r="J10923" t="s">
        <v>141</v>
      </c>
      <c r="K10923" t="s">
        <v>14</v>
      </c>
      <c r="L10923" t="s">
        <v>20</v>
      </c>
      <c r="M10923" t="s">
        <v>20786</v>
      </c>
      <c r="N10923" t="s">
        <v>14</v>
      </c>
    </row>
    <row r="10924" x14ac:dyDescent="0.25">
      <c r="A10924" t="n">
        <v>24</v>
      </c>
      <c r="B10924" t="s">
        <v>14</v>
      </c>
      <c r="C10924" t="s">
        <v>22</v>
      </c>
      <c r="D10924" s="2" t="s">
        <f>=HYPERLINK("https://main.knesset.gov.il/APPS/legislation/main/bills/2156827", "הצעת חוק בית הדין לעבודה (תיקון - סמכות ליישוב סכסוך בהסכמה), התשפ""א-2021")</f>
        <v>21123</v>
      </c>
      <c r="E10924" t="s">
        <v>21123</v>
      </c>
      <c r="F10924" t="s">
        <v>21124</v>
      </c>
      <c r="G10924" t="s">
        <v>14</v>
      </c>
      <c r="H10924">
             </c>
      <c r="I10924" t="s">
        <v>14</v>
      </c>
      <c r="J10924" t="s">
        <v>141</v>
      </c>
      <c r="K10924" t="s">
        <v>14</v>
      </c>
      <c r="L10924" t="s">
        <v>20</v>
      </c>
      <c r="M10924" t="s">
        <v>20786</v>
      </c>
      <c r="N10924" t="s">
        <v>14</v>
      </c>
    </row>
    <row r="10925" x14ac:dyDescent="0.25">
      <c r="A10925" t="n">
        <v>24</v>
      </c>
      <c r="B10925" t="s">
        <v>14</v>
      </c>
      <c r="C10925" t="s">
        <v>22</v>
      </c>
      <c r="D10925" s="2" t="s">
        <f>=HYPERLINK("https://main.knesset.gov.il/APPS/legislation/main/bills/2157698", "הצעת חוק זכויות הדייר בדיור הציבורי (תיקון - זכאות לאם יחידנית המקבלת תשלומי מזונות מהמוסד לביטוח לאומי), התשפ""א-2021")</f>
        <v>21125</v>
      </c>
      <c r="E10925" t="s">
        <v>21125</v>
      </c>
      <c r="F10925" t="s">
        <v>21126</v>
      </c>
      <c r="G10925" t="s">
        <v>14</v>
      </c>
      <c r="H10925">
             </c>
      <c r="I10925" t="s">
        <v>14</v>
      </c>
      <c r="J10925" t="s">
        <v>141</v>
      </c>
      <c r="K10925" t="s">
        <v>14</v>
      </c>
      <c r="L10925" t="s">
        <v>20</v>
      </c>
      <c r="M10925" t="s">
        <v>20786</v>
      </c>
      <c r="N10925" t="s">
        <v>14</v>
      </c>
    </row>
    <row r="10926" x14ac:dyDescent="0.25">
      <c r="A10926" t="n">
        <v>24</v>
      </c>
      <c r="B10926" t="s">
        <v>14</v>
      </c>
      <c r="C10926" t="s">
        <v>22</v>
      </c>
      <c r="D10926" s="2" t="s">
        <f>=HYPERLINK("https://main.knesset.gov.il/APPS/legislation/main/bills/2156812", "הצעת חוק ההוצאה לפועל (תיקון - דחיית ביצוע משכנתה על דירת מגורים), התשפ""א-2021")</f>
        <v>21127</v>
      </c>
      <c r="E10926" t="s">
        <v>21127</v>
      </c>
      <c r="F10926" t="s">
        <v>21128</v>
      </c>
      <c r="G10926" t="s">
        <v>14</v>
      </c>
      <c r="H10926">
             </c>
      <c r="I10926" t="s">
        <v>14</v>
      </c>
      <c r="J10926" t="s">
        <v>141</v>
      </c>
      <c r="K10926" t="s">
        <v>14</v>
      </c>
      <c r="L10926" t="s">
        <v>20</v>
      </c>
      <c r="M10926" t="s">
        <v>20786</v>
      </c>
      <c r="N10926" t="s">
        <v>14</v>
      </c>
    </row>
    <row r="10927" x14ac:dyDescent="0.25">
      <c r="A10927" t="n">
        <v>24</v>
      </c>
      <c r="B10927" t="s">
        <v>14</v>
      </c>
      <c r="C10927" t="s">
        <v>22</v>
      </c>
      <c r="D10927" s="2" t="s">
        <f>=HYPERLINK("https://main.knesset.gov.il/APPS/legislation/main/bills/2157735", "הצעת חוק לתיקון פקודת העיריות (שידור ישיבות מועצה), התשפ""א-2021")</f>
        <v>21129</v>
      </c>
      <c r="E10927" t="s">
        <v>21129</v>
      </c>
      <c r="F10927" t="s">
        <v>21130</v>
      </c>
      <c r="G10927" t="s">
        <v>14</v>
      </c>
      <c r="H10927">
             </c>
      <c r="I10927" t="s">
        <v>14</v>
      </c>
      <c r="J10927" t="s">
        <v>141</v>
      </c>
      <c r="K10927" t="s">
        <v>14</v>
      </c>
      <c r="L10927" t="s">
        <v>20</v>
      </c>
      <c r="M10927" t="s">
        <v>20786</v>
      </c>
      <c r="N10927" t="s">
        <v>14</v>
      </c>
    </row>
    <row r="10928" x14ac:dyDescent="0.25">
      <c r="A10928" t="n">
        <v>24</v>
      </c>
      <c r="B10928" t="s">
        <v>14</v>
      </c>
      <c r="C10928" t="s">
        <v>22</v>
      </c>
      <c r="D10928" s="2" t="s">
        <f>=HYPERLINK("https://main.knesset.gov.il/APPS/legislation/main/bills/2156765", "הצעת חוק מיסוי מקרקעין (שבח ורכישה) (תיקון - שחלוף דירה ומיסוי מכירת דירה), התשפ""א‏-2021")</f>
        <v>21131</v>
      </c>
      <c r="E10928" t="s">
        <v>21131</v>
      </c>
      <c r="F10928" t="s">
        <v>21132</v>
      </c>
      <c r="G10928" t="s">
        <v>14</v>
      </c>
      <c r="H10928">
             </c>
      <c r="I10928" t="s">
        <v>14</v>
      </c>
      <c r="J10928" t="s">
        <v>141</v>
      </c>
      <c r="K10928" t="s">
        <v>14</v>
      </c>
      <c r="L10928" t="s">
        <v>20</v>
      </c>
      <c r="M10928" t="s">
        <v>20786</v>
      </c>
      <c r="N10928" t="s">
        <v>14</v>
      </c>
    </row>
    <row r="10929" x14ac:dyDescent="0.25">
      <c r="A10929" t="n">
        <v>24</v>
      </c>
      <c r="B10929" t="s">
        <v>14</v>
      </c>
      <c r="C10929" t="s">
        <v>22</v>
      </c>
      <c r="D10929" s="2" t="s">
        <f>=HYPERLINK("https://main.knesset.gov.il/APPS/legislation/main/bills/2157456", "הצעת חוק לתיקון פקודת העיריות (שידור ישיבות מועצה), התשפ""א-2021")</f>
        <v>21129</v>
      </c>
      <c r="E10929" t="s">
        <v>21129</v>
      </c>
      <c r="F10929" t="s">
        <v>21133</v>
      </c>
      <c r="G10929" t="s">
        <v>14</v>
      </c>
      <c r="H10929">
             </c>
      <c r="I10929" t="s">
        <v>14</v>
      </c>
      <c r="J10929" t="s">
        <v>141</v>
      </c>
      <c r="K10929" t="s">
        <v>14</v>
      </c>
      <c r="L10929" t="s">
        <v>20</v>
      </c>
      <c r="M10929" t="s">
        <v>20786</v>
      </c>
      <c r="N10929" t="s">
        <v>14</v>
      </c>
    </row>
    <row r="10930" x14ac:dyDescent="0.25">
      <c r="A10930" t="n">
        <v>24</v>
      </c>
      <c r="B10930" t="s">
        <v>14</v>
      </c>
      <c r="C10930" t="s">
        <v>22</v>
      </c>
      <c r="D10930" s="2" t="s">
        <f>=HYPERLINK("https://main.knesset.gov.il/APPS/legislation/main/bills/2156709", "הצעת חוק טוס כחול לבן, התשפ""א-2021")</f>
        <v>21134</v>
      </c>
      <c r="E10930" t="s">
        <v>21134</v>
      </c>
      <c r="F10930" t="s">
        <v>21135</v>
      </c>
      <c r="G10930" t="s">
        <v>14</v>
      </c>
      <c r="H10930">
             </c>
      <c r="I10930" t="s">
        <v>14</v>
      </c>
      <c r="J10930" t="s">
        <v>141</v>
      </c>
      <c r="K10930" t="s">
        <v>14</v>
      </c>
      <c r="L10930" t="s">
        <v>20</v>
      </c>
      <c r="M10930" t="s">
        <v>20786</v>
      </c>
      <c r="N10930" t="s">
        <v>14</v>
      </c>
    </row>
    <row r="10931" x14ac:dyDescent="0.25">
      <c r="A10931" t="n">
        <v>24</v>
      </c>
      <c r="B10931" t="s">
        <v>14</v>
      </c>
      <c r="C10931" t="s">
        <v>22</v>
      </c>
      <c r="D10931" s="2" t="s">
        <f>=HYPERLINK("https://main.knesset.gov.il/APPS/legislation/main/bills/2156290", "הצעת חוק הגנת הצרכן (תיקון - תשלום על פי צריכה בעסקה מתמשכת), התשפ""א-2021")</f>
        <v>21136</v>
      </c>
      <c r="E10931" t="s">
        <v>21136</v>
      </c>
      <c r="F10931" t="s">
        <v>21137</v>
      </c>
      <c r="G10931" t="s">
        <v>14</v>
      </c>
      <c r="H10931">
             </c>
      <c r="I10931" t="s">
        <v>14</v>
      </c>
      <c r="J10931" t="s">
        <v>141</v>
      </c>
      <c r="K10931" t="s">
        <v>14</v>
      </c>
      <c r="L10931" t="s">
        <v>20</v>
      </c>
      <c r="M10931" t="s">
        <v>20786</v>
      </c>
      <c r="N10931" t="s">
        <v>14</v>
      </c>
    </row>
    <row r="10932" x14ac:dyDescent="0.25">
      <c r="A10932" t="n">
        <v>24</v>
      </c>
      <c r="B10932" t="s">
        <v>14</v>
      </c>
      <c r="C10932" t="s">
        <v>22</v>
      </c>
      <c r="D10932" s="2" t="s">
        <f>=HYPERLINK("https://main.knesset.gov.il/APPS/legislation/main/bills/2156700", "הצעת חוק העונשין (תיקון - החמרת ענישה בפשיעה חקלאית), התשפ""א-2021")</f>
        <v>18329</v>
      </c>
      <c r="E10932" t="s">
        <v>18329</v>
      </c>
      <c r="F10932" t="s">
        <v>21138</v>
      </c>
      <c r="G10932" t="s">
        <v>14</v>
      </c>
      <c r="H10932">
             </c>
      <c r="I10932" t="s">
        <v>14</v>
      </c>
      <c r="J10932" t="s">
        <v>141</v>
      </c>
      <c r="K10932" t="s">
        <v>14</v>
      </c>
      <c r="L10932" t="s">
        <v>20</v>
      </c>
      <c r="M10932" t="s">
        <v>20786</v>
      </c>
      <c r="N10932" t="s">
        <v>14</v>
      </c>
    </row>
    <row r="10933" x14ac:dyDescent="0.25">
      <c r="A10933" t="n">
        <v>24</v>
      </c>
      <c r="B10933" t="s">
        <v>14</v>
      </c>
      <c r="C10933" t="s">
        <v>22</v>
      </c>
      <c r="D10933" s="2" t="s">
        <f>=HYPERLINK("https://main.knesset.gov.il/APPS/legislation/main/bills/2156948", "הצעת חוק-יסוד: השפיטה (תיקון - הגבלת זכות העמידה)")</f>
        <v>4330</v>
      </c>
      <c r="E10933" t="s">
        <v>4330</v>
      </c>
      <c r="F10933" t="s">
        <v>21139</v>
      </c>
      <c r="G10933" t="s">
        <v>14</v>
      </c>
      <c r="H10933">
             </c>
      <c r="I10933" t="s">
        <v>14</v>
      </c>
      <c r="J10933" t="s">
        <v>141</v>
      </c>
      <c r="K10933" t="s">
        <v>14</v>
      </c>
      <c r="L10933" t="s">
        <v>20</v>
      </c>
      <c r="M10933" t="s">
        <v>20786</v>
      </c>
      <c r="N10933" t="s">
        <v>14</v>
      </c>
    </row>
    <row r="10934" x14ac:dyDescent="0.25">
      <c r="A10934" t="n">
        <v>24</v>
      </c>
      <c r="B10934" t="s">
        <v>14</v>
      </c>
      <c r="C10934" t="s">
        <v>22</v>
      </c>
      <c r="D10934" s="2" t="s">
        <f>=HYPERLINK("https://main.knesset.gov.il/APPS/legislation/main/bills/2156181", "הצעת חוק מיסוי מקרקעין (שבח ורכישה) (תיקון - הרחבת הקלה לרוכשים דירה מקבלן), התשפ""א-2021")</f>
        <v>21140</v>
      </c>
      <c r="E10934" t="s">
        <v>21140</v>
      </c>
      <c r="F10934" t="s">
        <v>21141</v>
      </c>
      <c r="G10934" t="s">
        <v>14</v>
      </c>
      <c r="H10934">
             </c>
      <c r="I10934" t="s">
        <v>14</v>
      </c>
      <c r="J10934" t="s">
        <v>141</v>
      </c>
      <c r="K10934" t="s">
        <v>14</v>
      </c>
      <c r="L10934" t="s">
        <v>20</v>
      </c>
      <c r="M10934" t="s">
        <v>20786</v>
      </c>
      <c r="N10934" t="s">
        <v>14</v>
      </c>
    </row>
    <row r="10935" x14ac:dyDescent="0.25">
      <c r="A10935" t="n">
        <v>24</v>
      </c>
      <c r="B10935" t="s">
        <v>14</v>
      </c>
      <c r="C10935" t="s">
        <v>22</v>
      </c>
      <c r="D10935" s="2" t="s">
        <f>=HYPERLINK("https://main.knesset.gov.il/APPS/legislation/main/bills/2156597", "הצעת חוק האזרחות והכניסה לישראל (הוראת שעה) (תיקון - היתר לגבי בני זוג), התשפ""א-2021")</f>
        <v>21142</v>
      </c>
      <c r="E10935" t="s">
        <v>21142</v>
      </c>
      <c r="F10935" t="s">
        <v>21143</v>
      </c>
      <c r="G10935" t="s">
        <v>14</v>
      </c>
      <c r="H10935">
             </c>
      <c r="I10935" t="s">
        <v>14</v>
      </c>
      <c r="J10935" t="s">
        <v>141</v>
      </c>
      <c r="K10935" t="s">
        <v>14</v>
      </c>
      <c r="L10935" t="s">
        <v>20</v>
      </c>
      <c r="M10935" t="s">
        <v>20786</v>
      </c>
      <c r="N10935" t="s">
        <v>14</v>
      </c>
    </row>
    <row r="10936" x14ac:dyDescent="0.25">
      <c r="A10936" t="n">
        <v>24</v>
      </c>
      <c r="B10936" t="s">
        <v>14</v>
      </c>
      <c r="C10936" t="s">
        <v>22</v>
      </c>
      <c r="D10936" s="2" t="s">
        <f>=HYPERLINK("https://main.knesset.gov.il/APPS/legislation/main/bills/2157716", "הצעת חוק הביטוח הלאומי (תיקון - חובת נוכחות מתורגמן בדיוני ועדה רפואית), התשפ""א-2021")</f>
        <v>21144</v>
      </c>
      <c r="E10936" t="s">
        <v>21144</v>
      </c>
      <c r="F10936" t="s">
        <v>21145</v>
      </c>
      <c r="G10936" t="s">
        <v>14</v>
      </c>
      <c r="H10936">
             </c>
      <c r="I10936" t="s">
        <v>14</v>
      </c>
      <c r="J10936" t="s">
        <v>141</v>
      </c>
      <c r="K10936" t="s">
        <v>14</v>
      </c>
      <c r="L10936" t="s">
        <v>20</v>
      </c>
      <c r="M10936" t="s">
        <v>20786</v>
      </c>
      <c r="N10936" t="s">
        <v>14</v>
      </c>
    </row>
    <row r="10937" x14ac:dyDescent="0.25">
      <c r="A10937" t="n">
        <v>24</v>
      </c>
      <c r="B10937" t="s">
        <v>14</v>
      </c>
      <c r="C10937" t="s">
        <v>22</v>
      </c>
      <c r="D10937" s="2" t="s">
        <f>=HYPERLINK("https://main.knesset.gov.il/APPS/legislation/main/bills/2156602", "הצעת חוק שירותי תשלום (תיקון - הפסקת ביצוע של פעולת תשלום בעסקת יסוד בשל השפעה בלתי הוגנת על ידי מוטב), התשפ""א-2021")</f>
        <v>21146</v>
      </c>
      <c r="E10937" t="s">
        <v>21146</v>
      </c>
      <c r="F10937" t="s">
        <v>21147</v>
      </c>
      <c r="G10937" t="s">
        <v>14</v>
      </c>
      <c r="H10937">
             </c>
      <c r="I10937" t="s">
        <v>14</v>
      </c>
      <c r="J10937" t="s">
        <v>141</v>
      </c>
      <c r="K10937" t="s">
        <v>14</v>
      </c>
      <c r="L10937" t="s">
        <v>20</v>
      </c>
      <c r="M10937" t="s">
        <v>20786</v>
      </c>
      <c r="N10937" t="s">
        <v>14</v>
      </c>
    </row>
    <row r="10938" x14ac:dyDescent="0.25">
      <c r="A10938" t="n">
        <v>24</v>
      </c>
      <c r="B10938" t="s">
        <v>14</v>
      </c>
      <c r="C10938" t="s">
        <v>22</v>
      </c>
      <c r="D10938" s="2" t="s">
        <f>=HYPERLINK("https://main.knesset.gov.il/APPS/legislation/main/bills/2156289", "הצעת חוק זכויות נפגעי עבירה (תיקון - חובת בית המשפט לשמוע נפגעי עבירה כולל נפגעי מעשי טרור), התשפ""א-2021")</f>
        <v>21148</v>
      </c>
      <c r="E10938" t="s">
        <v>21148</v>
      </c>
      <c r="F10938" t="s">
        <v>21149</v>
      </c>
      <c r="G10938" t="s">
        <v>14</v>
      </c>
      <c r="H10938">
             </c>
      <c r="I10938" t="s">
        <v>14</v>
      </c>
      <c r="J10938" t="s">
        <v>141</v>
      </c>
      <c r="K10938" t="s">
        <v>14</v>
      </c>
      <c r="L10938" t="s">
        <v>20</v>
      </c>
      <c r="M10938" t="s">
        <v>20786</v>
      </c>
      <c r="N10938" t="s">
        <v>14</v>
      </c>
    </row>
    <row r="10939" x14ac:dyDescent="0.25">
      <c r="A10939" t="n">
        <v>24</v>
      </c>
      <c r="B10939" t="s">
        <v>14</v>
      </c>
      <c r="C10939" t="s">
        <v>22</v>
      </c>
      <c r="D10939" s="2" t="s">
        <f>=HYPERLINK("https://main.knesset.gov.il/APPS/legislation/main/bills/2156499", "הצעת חוק-יסוד: השפיטה (תיקון - הרכב הוועדה לבחירת שופטים)")</f>
        <v>21150</v>
      </c>
      <c r="E10939" t="s">
        <v>21150</v>
      </c>
      <c r="F10939" t="s">
        <v>21151</v>
      </c>
      <c r="G10939" t="s">
        <v>14</v>
      </c>
      <c r="H10939">
             </c>
      <c r="I10939" t="s">
        <v>14</v>
      </c>
      <c r="J10939" t="s">
        <v>141</v>
      </c>
      <c r="K10939" t="s">
        <v>14</v>
      </c>
      <c r="L10939" t="s">
        <v>20</v>
      </c>
      <c r="M10939" t="s">
        <v>20786</v>
      </c>
      <c r="N10939" t="s">
        <v>14</v>
      </c>
    </row>
    <row r="10940" x14ac:dyDescent="0.25">
      <c r="A10940" t="n">
        <v>24</v>
      </c>
      <c r="B10940" t="s">
        <v>14</v>
      </c>
      <c r="C10940" t="s">
        <v>22</v>
      </c>
      <c r="D10940" s="2" t="s">
        <f>=HYPERLINK("https://main.knesset.gov.il/APPS/legislation/main/bills/2157734", "הצעת חוק לביטול הרשות לפיתוח והתיישבות הבדואים בנגב, התשפ""א-2021")</f>
        <v>21152</v>
      </c>
      <c r="E10940" t="s">
        <v>21152</v>
      </c>
      <c r="F10940" t="s">
        <v>21153</v>
      </c>
      <c r="G10940" t="s">
        <v>14</v>
      </c>
      <c r="H10940">
             </c>
      <c r="I10940" t="s">
        <v>14</v>
      </c>
      <c r="J10940" t="s">
        <v>141</v>
      </c>
      <c r="K10940" t="s">
        <v>14</v>
      </c>
      <c r="L10940" t="s">
        <v>20</v>
      </c>
      <c r="M10940" t="s">
        <v>20786</v>
      </c>
      <c r="N10940" t="s">
        <v>14</v>
      </c>
    </row>
    <row r="10941" x14ac:dyDescent="0.25">
      <c r="A10941" t="n">
        <v>24</v>
      </c>
      <c r="B10941" t="s">
        <v>14</v>
      </c>
      <c r="C10941" t="s">
        <v>22</v>
      </c>
      <c r="D10941" s="2" t="s">
        <f>=HYPERLINK("https://main.knesset.gov.il/APPS/legislation/main/bills/2156388", "הצעת חוק ההתגוננות האזרחית (תיקון - הקמת תשתית חיבור לרשת אינטרנט אלחוטית במקלטים שביישובי קו העימות), התשפ""א-2021")</f>
        <v>19726</v>
      </c>
      <c r="E10941" t="s">
        <v>19726</v>
      </c>
      <c r="F10941" t="s">
        <v>21154</v>
      </c>
      <c r="G10941" t="s">
        <v>14</v>
      </c>
      <c r="H10941">
             </c>
      <c r="I10941" t="s">
        <v>14</v>
      </c>
      <c r="J10941" t="s">
        <v>343</v>
      </c>
      <c r="K10941" t="s">
        <v>14</v>
      </c>
      <c r="L10941" t="s">
        <v>20</v>
      </c>
      <c r="M10941" t="s">
        <v>20786</v>
      </c>
      <c r="N10941" t="s">
        <v>14</v>
      </c>
    </row>
    <row r="10942" x14ac:dyDescent="0.25">
      <c r="A10942" t="n">
        <v>24</v>
      </c>
      <c r="B10942" t="s">
        <v>14</v>
      </c>
      <c r="C10942" t="s">
        <v>22</v>
      </c>
      <c r="D10942" s="2" t="s">
        <f>=HYPERLINK("https://main.knesset.gov.il/APPS/legislation/main/bills/2156153", "הצעת חוק לתיקון פקודת התעבורה (פיצוי כספי בגין איחור אוטובוס), התשפ""א-2021")</f>
        <v>21155</v>
      </c>
      <c r="E10942" t="s">
        <v>21155</v>
      </c>
      <c r="F10942" t="s">
        <v>21156</v>
      </c>
      <c r="G10942" t="s">
        <v>14</v>
      </c>
      <c r="H10942">
             </c>
      <c r="I10942" t="s">
        <v>14</v>
      </c>
      <c r="J10942" t="s">
        <v>141</v>
      </c>
      <c r="K10942" t="s">
        <v>14</v>
      </c>
      <c r="L10942" t="s">
        <v>20</v>
      </c>
      <c r="M10942" t="s">
        <v>20786</v>
      </c>
      <c r="N10942" t="s">
        <v>14</v>
      </c>
    </row>
    <row r="10943" x14ac:dyDescent="0.25">
      <c r="A10943" t="n">
        <v>24</v>
      </c>
      <c r="B10943" t="s">
        <v>14</v>
      </c>
      <c r="C10943" t="s">
        <v>22</v>
      </c>
      <c r="D10943" s="2" t="s">
        <f>=HYPERLINK("https://main.knesset.gov.il/APPS/legislation/main/bills/2157890", "הצעת חוק לתיקון פקודת העיריות (הסדרת מבנים לתנועות נוער), התשפ""א-2021")</f>
        <v>21157</v>
      </c>
      <c r="E10943" t="s">
        <v>21157</v>
      </c>
      <c r="F10943" t="s">
        <v>21158</v>
      </c>
      <c r="G10943" t="s">
        <v>14</v>
      </c>
      <c r="H10943">
             </c>
      <c r="I10943" t="s">
        <v>14</v>
      </c>
      <c r="J10943" t="s">
        <v>141</v>
      </c>
      <c r="K10943" t="s">
        <v>14</v>
      </c>
      <c r="L10943" t="s">
        <v>20</v>
      </c>
      <c r="M10943" t="s">
        <v>20786</v>
      </c>
      <c r="N10943" t="s">
        <v>14</v>
      </c>
    </row>
    <row r="10944" x14ac:dyDescent="0.25">
      <c r="A10944" t="n">
        <v>24</v>
      </c>
      <c r="B10944" t="s">
        <v>14</v>
      </c>
      <c r="C10944" t="s">
        <v>22</v>
      </c>
      <c r="D10944" s="2" t="s">
        <f>=HYPERLINK("https://main.knesset.gov.il/APPS/legislation/main/bills/2158094", "הצעת חוק הביטוח הלאומי (תיקון - דמי אבטלה למי שנמצא בהכשרה מקצועית), התשפ""א-2021 ")</f>
        <v>21159</v>
      </c>
      <c r="E10944" t="s">
        <v>21159</v>
      </c>
      <c r="F10944" t="s">
        <v>21160</v>
      </c>
      <c r="G10944" t="s">
        <v>14</v>
      </c>
      <c r="H10944">
             </c>
      <c r="I10944" t="s">
        <v>14</v>
      </c>
      <c r="J10944" t="s">
        <v>141</v>
      </c>
      <c r="K10944" t="s">
        <v>14</v>
      </c>
      <c r="L10944" t="s">
        <v>20</v>
      </c>
      <c r="M10944" t="s">
        <v>20786</v>
      </c>
      <c r="N10944" t="s">
        <v>14</v>
      </c>
    </row>
    <row r="10945" x14ac:dyDescent="0.25">
      <c r="A10945" t="n">
        <v>24</v>
      </c>
      <c r="B10945" t="s">
        <v>14</v>
      </c>
      <c r="C10945" t="s">
        <v>22</v>
      </c>
      <c r="D10945" s="2" t="s">
        <f>=HYPERLINK("https://main.knesset.gov.il/APPS/legislation/main/bills/2156314", "הצעת חוק הביטוח הלאומי (תיקון - שינוי המונח נכה), התשפ""א-2021")</f>
        <v>21161</v>
      </c>
      <c r="E10945" t="s">
        <v>21161</v>
      </c>
      <c r="F10945" t="s">
        <v>21162</v>
      </c>
      <c r="G10945" t="s">
        <v>14</v>
      </c>
      <c r="H10945">
             </c>
      <c r="I10945" t="s">
        <v>14</v>
      </c>
      <c r="J10945" t="s">
        <v>141</v>
      </c>
      <c r="K10945" t="s">
        <v>14</v>
      </c>
      <c r="L10945" t="s">
        <v>20</v>
      </c>
      <c r="M10945" t="s">
        <v>20786</v>
      </c>
      <c r="N10945" t="s">
        <v>14</v>
      </c>
    </row>
    <row r="10946" x14ac:dyDescent="0.25">
      <c r="A10946" t="n">
        <v>24</v>
      </c>
      <c r="B10946" t="s">
        <v>14</v>
      </c>
      <c r="C10946" t="s">
        <v>22</v>
      </c>
      <c r="D10946" s="2" t="s">
        <f>=HYPERLINK("https://main.knesset.gov.il/APPS/legislation/main/bills/2156261", "הצעת חוק מס הכנסה (פטור ממס על הכנסה מהשכרת דירת מגורים) (תיקון - ניכוי דמי שכירות), התשפ""א-2021")</f>
        <v>21163</v>
      </c>
      <c r="E10946" t="s">
        <v>21163</v>
      </c>
      <c r="F10946" t="s">
        <v>21164</v>
      </c>
      <c r="G10946" t="s">
        <v>14</v>
      </c>
      <c r="H10946">
             </c>
      <c r="I10946" t="s">
        <v>14</v>
      </c>
      <c r="J10946" t="s">
        <v>141</v>
      </c>
      <c r="K10946" t="s">
        <v>14</v>
      </c>
      <c r="L10946" t="s">
        <v>20</v>
      </c>
      <c r="M10946" t="s">
        <v>20786</v>
      </c>
      <c r="N10946" t="s">
        <v>14</v>
      </c>
    </row>
    <row r="10947" x14ac:dyDescent="0.25">
      <c r="A10947" t="n">
        <v>24</v>
      </c>
      <c r="B10947" t="s">
        <v>14</v>
      </c>
      <c r="C10947" t="s">
        <v>22</v>
      </c>
      <c r="D10947" s="2" t="s">
        <f>=HYPERLINK("https://main.knesset.gov.il/APPS/legislation/main/bills/2156211", "הצעת חוק ביטוח בריאות ממלכתי (תיקון - בדיקות לגילוי מוקדם של מחלות קשות אצל ילדים עד גיל 18), התשפ""א-2021")</f>
        <v>21165</v>
      </c>
      <c r="E10947" t="s">
        <v>21165</v>
      </c>
      <c r="F10947" t="s">
        <v>21166</v>
      </c>
      <c r="G10947" t="s">
        <v>14</v>
      </c>
      <c r="H10947">
             </c>
      <c r="I10947" t="s">
        <v>14</v>
      </c>
      <c r="J10947" t="s">
        <v>141</v>
      </c>
      <c r="K10947" t="s">
        <v>14</v>
      </c>
      <c r="L10947" t="s">
        <v>20</v>
      </c>
      <c r="M10947" t="s">
        <v>20786</v>
      </c>
      <c r="N10947" t="s">
        <v>14</v>
      </c>
    </row>
    <row r="10948" x14ac:dyDescent="0.25">
      <c r="A10948" t="n">
        <v>24</v>
      </c>
      <c r="B10948" t="s">
        <v>14</v>
      </c>
      <c r="C10948" t="s">
        <v>22</v>
      </c>
      <c r="D10948" s="2" t="s">
        <f>=HYPERLINK("https://main.knesset.gov.il/APPS/legislation/main/bills/2156624", "הצעת חוק החברות הממשלתיות (תיקון - ייצוג הולם בתאגידים שהוקמו בחוק ובחברות ממשלתיות), התשפ""א-2021")</f>
        <v>21167</v>
      </c>
      <c r="E10948" t="s">
        <v>21167</v>
      </c>
      <c r="F10948" t="s">
        <v>21168</v>
      </c>
      <c r="G10948" t="s">
        <v>14</v>
      </c>
      <c r="H10948">
             </c>
      <c r="I10948" t="s">
        <v>14</v>
      </c>
      <c r="J10948" t="s">
        <v>141</v>
      </c>
      <c r="K10948" t="s">
        <v>14</v>
      </c>
      <c r="L10948" t="s">
        <v>20</v>
      </c>
      <c r="M10948" t="s">
        <v>20786</v>
      </c>
      <c r="N10948" t="s">
        <v>14</v>
      </c>
    </row>
    <row r="10949" x14ac:dyDescent="0.25">
      <c r="A10949" t="n">
        <v>24</v>
      </c>
      <c r="B10949" t="s">
        <v>14</v>
      </c>
      <c r="C10949" t="s">
        <v>22</v>
      </c>
      <c r="D10949" s="2" t="s">
        <f>=HYPERLINK("https://main.knesset.gov.il/APPS/legislation/main/bills/2158060", "הצעת חוק בדבר סמכויות להשבת פליטים שהשבתם לא מהווה סכנה, התשפ""א-2021")</f>
        <v>21169</v>
      </c>
      <c r="E10949" t="s">
        <v>21169</v>
      </c>
      <c r="F10949" t="s">
        <v>21170</v>
      </c>
      <c r="G10949" t="s">
        <v>14</v>
      </c>
      <c r="H10949">
             </c>
      <c r="I10949" t="s">
        <v>14</v>
      </c>
      <c r="J10949" t="s">
        <v>141</v>
      </c>
      <c r="K10949" t="s">
        <v>14</v>
      </c>
      <c r="L10949" t="s">
        <v>20</v>
      </c>
      <c r="M10949" t="s">
        <v>20786</v>
      </c>
      <c r="N10949" t="s">
        <v>14</v>
      </c>
    </row>
    <row r="10950" x14ac:dyDescent="0.25">
      <c r="A10950" t="n">
        <v>24</v>
      </c>
      <c r="B10950" t="s">
        <v>14</v>
      </c>
      <c r="C10950" t="s">
        <v>22</v>
      </c>
      <c r="D10950" s="2" t="s">
        <f>=HYPERLINK("https://main.knesset.gov.il/APPS/legislation/main/bills/2156860", "הצעת חוק הביטוח הלאומי (תיקון - קצבת נכות וקצבת שאירים), התשפ""א-2021")</f>
        <v>21171</v>
      </c>
      <c r="E10950" t="s">
        <v>21171</v>
      </c>
      <c r="F10950" t="s">
        <v>21172</v>
      </c>
      <c r="G10950" t="s">
        <v>14</v>
      </c>
      <c r="H10950">
             </c>
      <c r="I10950" t="s">
        <v>14</v>
      </c>
      <c r="J10950" t="s">
        <v>141</v>
      </c>
      <c r="K10950" t="s">
        <v>14</v>
      </c>
      <c r="L10950" t="s">
        <v>20</v>
      </c>
      <c r="M10950" t="s">
        <v>20786</v>
      </c>
      <c r="N10950" t="s">
        <v>14</v>
      </c>
    </row>
    <row r="10951" x14ac:dyDescent="0.25">
      <c r="A10951" t="n">
        <v>24</v>
      </c>
      <c r="B10951" t="s">
        <v>14</v>
      </c>
      <c r="C10951" t="s">
        <v>22</v>
      </c>
      <c r="D10951" s="2" t="s">
        <f>=HYPERLINK("https://main.knesset.gov.il/APPS/legislation/main/bills/2158046", "הצעת חוק לתיקון פקודת מס הכנסה (ביטול מס בגין זקיפה סלולרית), התשפ""א-2021")</f>
        <v>21173</v>
      </c>
      <c r="E10951" t="s">
        <v>21173</v>
      </c>
      <c r="F10951" t="s">
        <v>21174</v>
      </c>
      <c r="G10951" t="s">
        <v>14</v>
      </c>
      <c r="H10951">
             </c>
      <c r="I10951" t="s">
        <v>14</v>
      </c>
      <c r="J10951" t="s">
        <v>141</v>
      </c>
      <c r="K10951" t="s">
        <v>14</v>
      </c>
      <c r="L10951" t="s">
        <v>20</v>
      </c>
      <c r="M10951" t="s">
        <v>20786</v>
      </c>
      <c r="N10951" t="s">
        <v>14</v>
      </c>
    </row>
    <row r="10952" x14ac:dyDescent="0.25">
      <c r="A10952" t="n">
        <v>24</v>
      </c>
      <c r="B10952" t="s">
        <v>14</v>
      </c>
      <c r="C10952" t="s">
        <v>22</v>
      </c>
      <c r="D10952" s="2" t="s">
        <f>=HYPERLINK("https://main.knesset.gov.il/APPS/legislation/main/bills/2158056", "הצעת חוק עובדים זרים (תיקון - הפחתת אגרות בענף החקלאות) (הוראת שעה), התשפ""א-2021")</f>
        <v>21175</v>
      </c>
      <c r="E10952" t="s">
        <v>21175</v>
      </c>
      <c r="F10952" t="s">
        <v>21176</v>
      </c>
      <c r="G10952" t="s">
        <v>14</v>
      </c>
      <c r="H10952">
             </c>
      <c r="I10952" t="s">
        <v>14</v>
      </c>
      <c r="J10952" t="s">
        <v>141</v>
      </c>
      <c r="K10952" t="s">
        <v>14</v>
      </c>
      <c r="L10952" t="s">
        <v>20</v>
      </c>
      <c r="M10952" t="s">
        <v>20786</v>
      </c>
      <c r="N10952" t="s">
        <v>14</v>
      </c>
    </row>
    <row r="10953" x14ac:dyDescent="0.25">
      <c r="A10953" t="n">
        <v>24</v>
      </c>
      <c r="B10953" t="s">
        <v>14</v>
      </c>
      <c r="C10953" t="s">
        <v>22</v>
      </c>
      <c r="D10953" s="2" t="s">
        <f>=HYPERLINK("https://main.knesset.gov.il/APPS/legislation/main/bills/2157809", "הצעת חוק הרשויות המקומיות (בחירות) (תיקון - ספירת פתקי ההצבעה לראש הרשות תחילה), התשפ""א-2021")</f>
        <v>21177</v>
      </c>
      <c r="E10953" t="s">
        <v>21177</v>
      </c>
      <c r="F10953" t="s">
        <v>21178</v>
      </c>
      <c r="G10953" t="s">
        <v>14</v>
      </c>
      <c r="H10953">
             </c>
      <c r="I10953" t="s">
        <v>14</v>
      </c>
      <c r="J10953" t="s">
        <v>141</v>
      </c>
      <c r="K10953" t="s">
        <v>14</v>
      </c>
      <c r="L10953" t="s">
        <v>20</v>
      </c>
      <c r="M10953" t="s">
        <v>20786</v>
      </c>
      <c r="N10953" t="s">
        <v>14</v>
      </c>
    </row>
    <row r="10954" x14ac:dyDescent="0.25">
      <c r="A10954" t="n">
        <v>24</v>
      </c>
      <c r="B10954" t="s">
        <v>14</v>
      </c>
      <c r="C10954" t="s">
        <v>22</v>
      </c>
      <c r="D10954" s="2" t="s">
        <f>=HYPERLINK("https://main.knesset.gov.il/APPS/legislation/main/bills/2157816", "הצעת חוק יסודות התקציב (תיקון - שימוש בעודפי תקציב לתכניות בהן נכללו במקור), התשפ""א-2021")</f>
        <v>21179</v>
      </c>
      <c r="E10954" t="s">
        <v>21179</v>
      </c>
      <c r="F10954" t="s">
        <v>21180</v>
      </c>
      <c r="G10954" t="s">
        <v>14</v>
      </c>
      <c r="H10954">
             </c>
      <c r="I10954" t="s">
        <v>14</v>
      </c>
      <c r="J10954" t="s">
        <v>141</v>
      </c>
      <c r="K10954" t="s">
        <v>14</v>
      </c>
      <c r="L10954" t="s">
        <v>20</v>
      </c>
      <c r="M10954" t="s">
        <v>20786</v>
      </c>
      <c r="N10954" t="s">
        <v>14</v>
      </c>
    </row>
    <row r="10955" x14ac:dyDescent="0.25">
      <c r="A10955" t="n">
        <v>24</v>
      </c>
      <c r="B10955" t="s">
        <v>14</v>
      </c>
      <c r="C10955" t="s">
        <v>22</v>
      </c>
      <c r="D10955" s="2" t="s">
        <f>=HYPERLINK("https://main.knesset.gov.il/APPS/legislation/main/bills/2157122", "הצעת חוק שירות ביטחון (תיקון - הזדמנות שווה לנשים בצה""ל), התשפ""א-2021")</f>
        <v>21181</v>
      </c>
      <c r="E10955" t="s">
        <v>21181</v>
      </c>
      <c r="F10955" t="s">
        <v>21182</v>
      </c>
      <c r="G10955" t="s">
        <v>14</v>
      </c>
      <c r="H10955">
             </c>
      <c r="I10955" t="s">
        <v>14</v>
      </c>
      <c r="J10955" t="s">
        <v>141</v>
      </c>
      <c r="K10955" t="s">
        <v>14</v>
      </c>
      <c r="L10955" t="s">
        <v>20</v>
      </c>
      <c r="M10955" t="s">
        <v>20786</v>
      </c>
      <c r="N10955" t="s">
        <v>14</v>
      </c>
    </row>
    <row r="10956" x14ac:dyDescent="0.25">
      <c r="A10956" t="n">
        <v>24</v>
      </c>
      <c r="B10956" t="s">
        <v>14</v>
      </c>
      <c r="C10956" t="s">
        <v>22</v>
      </c>
      <c r="D10956" s="2" t="s">
        <f>=HYPERLINK("https://main.knesset.gov.il/APPS/legislation/main/bills/2157894", "הצעת חוק לתיקון פקודת התעבורה (איסור העמדת משאיות וחנייתן באזור מגורים בתחום רשות מקומית), התשפ""א-2021")</f>
        <v>21183</v>
      </c>
      <c r="E10956" t="s">
        <v>21183</v>
      </c>
      <c r="F10956" t="s">
        <v>21184</v>
      </c>
      <c r="G10956" t="s">
        <v>14</v>
      </c>
      <c r="H10956">
             </c>
      <c r="I10956" t="s">
        <v>14</v>
      </c>
      <c r="J10956" t="s">
        <v>141</v>
      </c>
      <c r="K10956" t="s">
        <v>14</v>
      </c>
      <c r="L10956" t="s">
        <v>20</v>
      </c>
      <c r="M10956" t="s">
        <v>20786</v>
      </c>
      <c r="N10956" t="s">
        <v>14</v>
      </c>
    </row>
    <row r="10957" x14ac:dyDescent="0.25">
      <c r="A10957" t="n">
        <v>24</v>
      </c>
      <c r="B10957" t="s">
        <v>14</v>
      </c>
      <c r="C10957" t="s">
        <v>22</v>
      </c>
      <c r="D10957" s="2" t="s">
        <f>=HYPERLINK("https://main.knesset.gov.il/APPS/legislation/main/bills/2157160", "הצעת חוק סיוג הגבלת חשבון והגבלת לקוח בשל שיקים שסורבו בתקופה שהוכרזה מחלה מידבקת מסוכנת (תיקוני חקיקה), התשפ""א-2021")</f>
        <v>21185</v>
      </c>
      <c r="E10957" t="s">
        <v>21185</v>
      </c>
      <c r="F10957" t="s">
        <v>21186</v>
      </c>
      <c r="G10957" t="s">
        <v>14</v>
      </c>
      <c r="H10957">
             </c>
      <c r="I10957" t="s">
        <v>14</v>
      </c>
      <c r="J10957" t="s">
        <v>141</v>
      </c>
      <c r="K10957" t="s">
        <v>14</v>
      </c>
      <c r="L10957" t="s">
        <v>20</v>
      </c>
      <c r="M10957" t="s">
        <v>20786</v>
      </c>
      <c r="N10957" t="s">
        <v>14</v>
      </c>
    </row>
    <row r="10958" x14ac:dyDescent="0.25">
      <c r="A10958" t="n">
        <v>24</v>
      </c>
      <c r="B10958" t="s">
        <v>14</v>
      </c>
      <c r="C10958" t="s">
        <v>22</v>
      </c>
      <c r="D10958" s="2" t="s">
        <f>=HYPERLINK("https://main.knesset.gov.il/APPS/legislation/main/bills/2158037", "הצעת חוק הטיס (ביטחון בתעופה האזרחית) (תיקון - איסור שימוש בעילה של לאום או מוצא אתני בביצוע חיפוש), התשפ""א-2021")</f>
        <v>21187</v>
      </c>
      <c r="E10958" t="s">
        <v>21187</v>
      </c>
      <c r="F10958" t="s">
        <v>21188</v>
      </c>
      <c r="G10958" t="s">
        <v>14</v>
      </c>
      <c r="H10958">
             </c>
      <c r="I10958" t="s">
        <v>14</v>
      </c>
      <c r="J10958" t="s">
        <v>141</v>
      </c>
      <c r="K10958" t="s">
        <v>14</v>
      </c>
      <c r="L10958" t="s">
        <v>20</v>
      </c>
      <c r="M10958" t="s">
        <v>20786</v>
      </c>
      <c r="N10958" t="s">
        <v>14</v>
      </c>
    </row>
    <row r="10959" x14ac:dyDescent="0.25">
      <c r="A10959" t="n">
        <v>24</v>
      </c>
      <c r="B10959" t="s">
        <v>14</v>
      </c>
      <c r="C10959" t="s">
        <v>22</v>
      </c>
      <c r="D10959" s="2" t="s">
        <f>=HYPERLINK("https://main.knesset.gov.il/APPS/legislation/main/bills/2156839", "הצעת חוק הטבות לניצולי שואה (תיקון - זכאות למענק הטבות שנתי לבן זוג של ניצול שואה שנפטר), התשפ""א-2021")</f>
        <v>21189</v>
      </c>
      <c r="E10959" t="s">
        <v>21189</v>
      </c>
      <c r="F10959" t="s">
        <v>21190</v>
      </c>
      <c r="G10959" t="s">
        <v>14</v>
      </c>
      <c r="H10959">
             </c>
      <c r="I10959" t="s">
        <v>14</v>
      </c>
      <c r="J10959" t="s">
        <v>141</v>
      </c>
      <c r="K10959" t="s">
        <v>14</v>
      </c>
      <c r="L10959" t="s">
        <v>20</v>
      </c>
      <c r="M10959" t="s">
        <v>20786</v>
      </c>
      <c r="N10959" t="s">
        <v>14</v>
      </c>
    </row>
    <row r="10960" x14ac:dyDescent="0.25">
      <c r="A10960" t="n">
        <v>24</v>
      </c>
      <c r="B10960" t="s">
        <v>14</v>
      </c>
      <c r="C10960" t="s">
        <v>22</v>
      </c>
      <c r="D10960" s="2" t="s">
        <f>=HYPERLINK("https://main.knesset.gov.il/APPS/legislation/main/bills/2156844", "הצעת חוק ביטוח בריאות ממלכתי (תיקון - רפואת שיניים למי שמלאו להם 60 שנים), התשפ""א-2021")</f>
        <v>19639</v>
      </c>
      <c r="E10960" t="s">
        <v>19639</v>
      </c>
      <c r="F10960" t="s">
        <v>21191</v>
      </c>
      <c r="G10960" t="s">
        <v>14</v>
      </c>
      <c r="H10960">
             </c>
      <c r="I10960" t="s">
        <v>14</v>
      </c>
      <c r="J10960" t="s">
        <v>141</v>
      </c>
      <c r="K10960" t="s">
        <v>14</v>
      </c>
      <c r="L10960" t="s">
        <v>20</v>
      </c>
      <c r="M10960" t="s">
        <v>20786</v>
      </c>
      <c r="N10960" t="s">
        <v>14</v>
      </c>
    </row>
    <row r="10961" x14ac:dyDescent="0.25">
      <c r="A10961" t="n">
        <v>24</v>
      </c>
      <c r="B10961" t="s">
        <v>14</v>
      </c>
      <c r="C10961" t="s">
        <v>22</v>
      </c>
      <c r="D10961" s="2" t="s">
        <f>=HYPERLINK("https://main.knesset.gov.il/APPS/legislation/main/bills/2157162", "הצעת חוק העונשין (תיקון - תקיפת עורך דין כתקיפת עובד ציבור), התשפ""א-2021")</f>
        <v>21192</v>
      </c>
      <c r="E10961" t="s">
        <v>21192</v>
      </c>
      <c r="F10961" t="s">
        <v>21193</v>
      </c>
      <c r="G10961" t="s">
        <v>14</v>
      </c>
      <c r="H10961">
             </c>
      <c r="I10961" t="s">
        <v>14</v>
      </c>
      <c r="J10961" t="s">
        <v>141</v>
      </c>
      <c r="K10961" t="s">
        <v>14</v>
      </c>
      <c r="L10961" t="s">
        <v>20</v>
      </c>
      <c r="M10961" t="s">
        <v>20786</v>
      </c>
      <c r="N10961" t="s">
        <v>14</v>
      </c>
    </row>
    <row r="10962" x14ac:dyDescent="0.25">
      <c r="A10962" t="n">
        <v>24</v>
      </c>
      <c r="B10962" t="s">
        <v>14</v>
      </c>
      <c r="C10962" t="s">
        <v>22</v>
      </c>
      <c r="D10962" s="2" t="s">
        <f>=HYPERLINK("https://main.knesset.gov.il/APPS/legislation/main/bills/2157870", "הצעת חוק הביטוח הלאומי (תיקון - פטור לסטודנטים מתשלום דמי ביטוח לאומי), התשפ""א-2021")</f>
        <v>16556</v>
      </c>
      <c r="E10962" t="s">
        <v>16556</v>
      </c>
      <c r="F10962" t="s">
        <v>21194</v>
      </c>
      <c r="G10962" t="s">
        <v>14</v>
      </c>
      <c r="H10962">
             </c>
      <c r="I10962" t="s">
        <v>14</v>
      </c>
      <c r="J10962" t="s">
        <v>141</v>
      </c>
      <c r="K10962" t="s">
        <v>14</v>
      </c>
      <c r="L10962" t="s">
        <v>20</v>
      </c>
      <c r="M10962" t="s">
        <v>20786</v>
      </c>
      <c r="N10962" t="s">
        <v>14</v>
      </c>
    </row>
    <row r="10963" x14ac:dyDescent="0.25">
      <c r="A10963" t="n">
        <v>24</v>
      </c>
      <c r="B10963" t="s">
        <v>14</v>
      </c>
      <c r="C10963" t="s">
        <v>22</v>
      </c>
      <c r="D10963" s="2" t="s">
        <f>=HYPERLINK("https://main.knesset.gov.il/APPS/legislation/main/bills/2157165", "הצעת חוק להגבלת שכר טרחת כונסי נכסים (תיקוני חקיקה), התשפ""א-2021")</f>
        <v>21195</v>
      </c>
      <c r="E10963" t="s">
        <v>21195</v>
      </c>
      <c r="F10963" t="s">
        <v>21196</v>
      </c>
      <c r="G10963" t="s">
        <v>14</v>
      </c>
      <c r="H10963">
             </c>
      <c r="I10963" t="s">
        <v>14</v>
      </c>
      <c r="J10963" t="s">
        <v>141</v>
      </c>
      <c r="K10963" t="s">
        <v>14</v>
      </c>
      <c r="L10963" t="s">
        <v>20</v>
      </c>
      <c r="M10963" t="s">
        <v>20786</v>
      </c>
      <c r="N10963" t="s">
        <v>14</v>
      </c>
    </row>
    <row r="10964" x14ac:dyDescent="0.25">
      <c r="A10964" t="n">
        <v>24</v>
      </c>
      <c r="B10964" t="s">
        <v>14</v>
      </c>
      <c r="C10964" t="s">
        <v>22</v>
      </c>
      <c r="D10964" s="2" t="s">
        <f>=HYPERLINK("https://main.knesset.gov.il/APPS/legislation/main/bills/2157362", "הצעת חוק שיווי זכויות האישה (תיקון - תחולה על תפקידים דתיים), התשפ""א-2021")</f>
        <v>21197</v>
      </c>
      <c r="E10964" t="s">
        <v>21197</v>
      </c>
      <c r="F10964" t="s">
        <v>21198</v>
      </c>
      <c r="G10964" t="s">
        <v>14</v>
      </c>
      <c r="H10964">
             </c>
      <c r="I10964" t="s">
        <v>14</v>
      </c>
      <c r="J10964" t="s">
        <v>141</v>
      </c>
      <c r="K10964" t="s">
        <v>14</v>
      </c>
      <c r="L10964" t="s">
        <v>20</v>
      </c>
      <c r="M10964" t="s">
        <v>20786</v>
      </c>
      <c r="N10964" t="s">
        <v>14</v>
      </c>
    </row>
    <row r="10965" x14ac:dyDescent="0.25">
      <c r="A10965" t="n">
        <v>24</v>
      </c>
      <c r="B10965" t="s">
        <v>14</v>
      </c>
      <c r="C10965" t="s">
        <v>22</v>
      </c>
      <c r="D10965" s="2" t="s">
        <f>=HYPERLINK("https://main.knesset.gov.il/APPS/legislation/main/bills/2157897", "הצעת חוק סיוע למשפחות שבראשן הורה עצמאי (תיקון - הגנה מפני עיקול של כספי סיוע), התשפ""א-2021 ")</f>
        <v>21199</v>
      </c>
      <c r="E10965" t="s">
        <v>21199</v>
      </c>
      <c r="F10965" t="s">
        <v>21200</v>
      </c>
      <c r="G10965" t="s">
        <v>14</v>
      </c>
      <c r="H10965">
             </c>
      <c r="I10965" t="s">
        <v>14</v>
      </c>
      <c r="J10965" t="s">
        <v>141</v>
      </c>
      <c r="K10965" t="s">
        <v>14</v>
      </c>
      <c r="L10965" t="s">
        <v>20</v>
      </c>
      <c r="M10965" t="s">
        <v>20786</v>
      </c>
      <c r="N10965" t="s">
        <v>14</v>
      </c>
    </row>
    <row r="10966" x14ac:dyDescent="0.25">
      <c r="A10966" t="n">
        <v>24</v>
      </c>
      <c r="B10966" t="s">
        <v>14</v>
      </c>
      <c r="C10966" t="s">
        <v>22</v>
      </c>
      <c r="D10966" s="2" t="s">
        <f>=HYPERLINK("https://main.knesset.gov.il/APPS/legislation/main/bills/2156252", "הצעת חוק סיוע למשפחות שבראשן הורה עצמאי (תיקון - הגנה מפני עיקול של כספי סיוע), התשפ""א-2021")</f>
        <v>21201</v>
      </c>
      <c r="E10966" t="s">
        <v>21201</v>
      </c>
      <c r="F10966" t="s">
        <v>21202</v>
      </c>
      <c r="G10966" t="s">
        <v>14</v>
      </c>
      <c r="H10966">
             </c>
      <c r="I10966" t="s">
        <v>14</v>
      </c>
      <c r="J10966" t="s">
        <v>343</v>
      </c>
      <c r="K10966" t="s">
        <v>14</v>
      </c>
      <c r="L10966" t="s">
        <v>20</v>
      </c>
      <c r="M10966" t="s">
        <v>20786</v>
      </c>
      <c r="N10966" t="s">
        <v>14</v>
      </c>
    </row>
    <row r="10967" x14ac:dyDescent="0.25">
      <c r="A10967" t="n">
        <v>24</v>
      </c>
      <c r="B10967" t="s">
        <v>14</v>
      </c>
      <c r="C10967" t="s">
        <v>22</v>
      </c>
      <c r="D10967" s="2" t="s">
        <f>=HYPERLINK("https://main.knesset.gov.il/APPS/legislation/main/bills/2157877", "הצעת חוק הביטוח הלאומי (תיקון - דמי אבטלה למתמחים), התשפ""א-2021")</f>
        <v>21203</v>
      </c>
      <c r="E10967" t="s">
        <v>21203</v>
      </c>
      <c r="F10967" t="s">
        <v>21204</v>
      </c>
      <c r="G10967" t="s">
        <v>14</v>
      </c>
      <c r="H10967">
             </c>
      <c r="I10967" t="s">
        <v>14</v>
      </c>
      <c r="J10967" t="s">
        <v>141</v>
      </c>
      <c r="K10967" t="s">
        <v>14</v>
      </c>
      <c r="L10967" t="s">
        <v>20</v>
      </c>
      <c r="M10967" t="s">
        <v>20786</v>
      </c>
      <c r="N10967" t="s">
        <v>14</v>
      </c>
    </row>
    <row r="10968" x14ac:dyDescent="0.25">
      <c r="A10968" t="n">
        <v>24</v>
      </c>
      <c r="B10968" t="s">
        <v>14</v>
      </c>
      <c r="C10968" t="s">
        <v>22</v>
      </c>
      <c r="D10968" s="2" t="s">
        <f>=HYPERLINK("https://main.knesset.gov.il/APPS/legislation/main/bills/2157168", "הצעת חוק לתיקון פקודת הבנקאות (הוראות ניהול בנקאי תקין להלוואה בערבות מדינה בשעת חירום), התשפ""א-2021")</f>
        <v>21205</v>
      </c>
      <c r="E10968" t="s">
        <v>21205</v>
      </c>
      <c r="F10968" t="s">
        <v>21206</v>
      </c>
      <c r="G10968" t="s">
        <v>14</v>
      </c>
      <c r="H10968">
             </c>
      <c r="I10968" t="s">
        <v>14</v>
      </c>
      <c r="J10968" t="s">
        <v>141</v>
      </c>
      <c r="K10968" t="s">
        <v>14</v>
      </c>
      <c r="L10968" t="s">
        <v>20</v>
      </c>
      <c r="M10968" t="s">
        <v>20786</v>
      </c>
      <c r="N10968" t="s">
        <v>14</v>
      </c>
    </row>
    <row r="10969" x14ac:dyDescent="0.25">
      <c r="A10969" t="n">
        <v>24</v>
      </c>
      <c r="B10969" t="s">
        <v>14</v>
      </c>
      <c r="C10969" t="s">
        <v>22</v>
      </c>
      <c r="D10969" s="2" t="s">
        <f>=HYPERLINK("https://main.knesset.gov.il/APPS/legislation/main/bills/2157906", "הצעת חוק זכויות הדייר בדיור הציבורי (תיקון - זכאות להורה עצמאי המקבל מזונות ילדים מהביטוח הלאומי), התשפ""א-2021 ")</f>
        <v>21207</v>
      </c>
      <c r="E10969" t="s">
        <v>21207</v>
      </c>
      <c r="F10969" t="s">
        <v>21208</v>
      </c>
      <c r="G10969" t="s">
        <v>14</v>
      </c>
      <c r="H10969">
             </c>
      <c r="I10969" t="s">
        <v>14</v>
      </c>
      <c r="J10969" t="s">
        <v>141</v>
      </c>
      <c r="K10969" t="s">
        <v>14</v>
      </c>
      <c r="L10969" t="s">
        <v>20</v>
      </c>
      <c r="M10969" t="s">
        <v>20786</v>
      </c>
      <c r="N10969" t="s">
        <v>14</v>
      </c>
    </row>
    <row r="10970" x14ac:dyDescent="0.25">
      <c r="A10970" t="n">
        <v>24</v>
      </c>
      <c r="B10970" t="s">
        <v>14</v>
      </c>
      <c r="C10970" t="s">
        <v>22</v>
      </c>
      <c r="D10970" s="2" t="s">
        <f>=HYPERLINK("https://main.knesset.gov.il/APPS/legislation/main/bills/2157164", "הצעת חוק שיפוט בתי דין רבניים (נישואין וגירושין) (תיקון - תשלומי מזונות לילדי בני הזוג), התשפ""א-2021")</f>
        <v>21209</v>
      </c>
      <c r="E10970" t="s">
        <v>21209</v>
      </c>
      <c r="F10970" t="s">
        <v>21210</v>
      </c>
      <c r="G10970" t="s">
        <v>14</v>
      </c>
      <c r="H10970">
             </c>
      <c r="I10970" t="s">
        <v>14</v>
      </c>
      <c r="J10970" t="s">
        <v>141</v>
      </c>
      <c r="K10970" t="s">
        <v>14</v>
      </c>
      <c r="L10970" t="s">
        <v>20</v>
      </c>
      <c r="M10970" t="s">
        <v>20786</v>
      </c>
      <c r="N10970" t="s">
        <v>14</v>
      </c>
    </row>
    <row r="10971" x14ac:dyDescent="0.25">
      <c r="A10971" t="n">
        <v>24</v>
      </c>
      <c r="B10971" t="s">
        <v>14</v>
      </c>
      <c r="C10971" t="s">
        <v>22</v>
      </c>
      <c r="D10971" s="2" t="s">
        <f>=HYPERLINK("https://main.knesset.gov.il/APPS/legislation/main/bills/2156188", "הצעת חוק יסודות התקציב (תיקון - פיקוח אחיד על שימוש בתמיכה), התשפ""א-2021")</f>
        <v>21211</v>
      </c>
      <c r="E10971" t="s">
        <v>21211</v>
      </c>
      <c r="F10971" t="s">
        <v>21212</v>
      </c>
      <c r="G10971" t="s">
        <v>14</v>
      </c>
      <c r="H10971">
             </c>
      <c r="I10971" t="s">
        <v>14</v>
      </c>
      <c r="J10971" t="s">
        <v>141</v>
      </c>
      <c r="K10971" t="s">
        <v>14</v>
      </c>
      <c r="L10971" t="s">
        <v>20</v>
      </c>
      <c r="M10971" t="s">
        <v>20786</v>
      </c>
      <c r="N10971" t="s">
        <v>14</v>
      </c>
    </row>
    <row r="10972" x14ac:dyDescent="0.25">
      <c r="A10972" t="n">
        <v>24</v>
      </c>
      <c r="B10972" t="s">
        <v>14</v>
      </c>
      <c r="C10972" t="s">
        <v>22</v>
      </c>
      <c r="D10972" s="2" t="s">
        <f>=HYPERLINK("https://main.knesset.gov.il/APPS/legislation/main/bills/2158026", "הצעת חוק שירותי תעופה (פיצוי וסיוע בשל ביטול טיסה או שינוי בתנאיה) (תיקון - הגבלת מחיר כרטיס טיסה לכיוון אחד), התשפ""א-2021")</f>
        <v>21213</v>
      </c>
      <c r="E10972" t="s">
        <v>21213</v>
      </c>
      <c r="F10972" t="s">
        <v>21214</v>
      </c>
      <c r="G10972" t="s">
        <v>14</v>
      </c>
      <c r="H10972">
             </c>
      <c r="I10972" t="s">
        <v>14</v>
      </c>
      <c r="J10972" t="s">
        <v>141</v>
      </c>
      <c r="K10972" t="s">
        <v>14</v>
      </c>
      <c r="L10972" t="s">
        <v>20</v>
      </c>
      <c r="M10972" t="s">
        <v>20786</v>
      </c>
      <c r="N10972" t="s">
        <v>14</v>
      </c>
    </row>
    <row r="10973" x14ac:dyDescent="0.25">
      <c r="A10973" t="n">
        <v>24</v>
      </c>
      <c r="B10973" t="s">
        <v>14</v>
      </c>
      <c r="C10973" t="s">
        <v>22</v>
      </c>
      <c r="D10973" s="2" t="s">
        <f>=HYPERLINK("https://main.knesset.gov.il/APPS/legislation/main/bills/2157878", "הצעת חוק הבטחת הכנסה (תיקון - הגדרת הכנסה), התשפ""א-2021 ")</f>
        <v>21215</v>
      </c>
      <c r="E10973" t="s">
        <v>21215</v>
      </c>
      <c r="F10973" t="s">
        <v>21216</v>
      </c>
      <c r="G10973" t="s">
        <v>14</v>
      </c>
      <c r="H10973">
             </c>
      <c r="I10973" t="s">
        <v>14</v>
      </c>
      <c r="J10973" t="s">
        <v>141</v>
      </c>
      <c r="K10973" t="s">
        <v>14</v>
      </c>
      <c r="L10973" t="s">
        <v>20</v>
      </c>
      <c r="M10973" t="s">
        <v>20786</v>
      </c>
      <c r="N10973" t="s">
        <v>14</v>
      </c>
    </row>
    <row r="10974" x14ac:dyDescent="0.25">
      <c r="A10974" t="n">
        <v>24</v>
      </c>
      <c r="B10974" t="s">
        <v>14</v>
      </c>
      <c r="C10974" t="s">
        <v>22</v>
      </c>
      <c r="D10974" s="2" t="s">
        <f>=HYPERLINK("https://main.knesset.gov.il/APPS/legislation/main/bills/2157171", "הצעת חוק הביטוח הלאומי (תיקון - הפחתת קצבת ילדים בשל אי חיסון), התשפ""א-2021")</f>
        <v>21217</v>
      </c>
      <c r="E10974" t="s">
        <v>21217</v>
      </c>
      <c r="F10974" t="s">
        <v>21218</v>
      </c>
      <c r="G10974" t="s">
        <v>14</v>
      </c>
      <c r="H10974">
             </c>
      <c r="I10974" t="s">
        <v>14</v>
      </c>
      <c r="J10974" t="s">
        <v>141</v>
      </c>
      <c r="K10974" t="s">
        <v>14</v>
      </c>
      <c r="L10974" t="s">
        <v>20</v>
      </c>
      <c r="M10974" t="s">
        <v>20786</v>
      </c>
      <c r="N10974" t="s">
        <v>14</v>
      </c>
    </row>
    <row r="10975" x14ac:dyDescent="0.25">
      <c r="A10975" t="n">
        <v>24</v>
      </c>
      <c r="B10975" t="s">
        <v>14</v>
      </c>
      <c r="C10975" t="s">
        <v>22</v>
      </c>
      <c r="D10975" s="2" t="s">
        <f>=HYPERLINK("https://main.knesset.gov.il/APPS/legislation/main/bills/2156462", "הצעת חוק לתיקון פקודת בריאות העם (מכרז להצבת מכונות מזון אוטומטיות), התשפ""א-2021")</f>
        <v>21219</v>
      </c>
      <c r="E10975" t="s">
        <v>21219</v>
      </c>
      <c r="F10975" t="s">
        <v>21220</v>
      </c>
      <c r="G10975" t="s">
        <v>14</v>
      </c>
      <c r="H10975">
             </c>
      <c r="I10975" t="s">
        <v>14</v>
      </c>
      <c r="J10975" t="s">
        <v>141</v>
      </c>
      <c r="K10975" t="s">
        <v>14</v>
      </c>
      <c r="L10975" t="s">
        <v>20</v>
      </c>
      <c r="M10975" t="s">
        <v>20786</v>
      </c>
      <c r="N10975" t="s">
        <v>14</v>
      </c>
    </row>
    <row r="10976" x14ac:dyDescent="0.25">
      <c r="A10976" t="n">
        <v>24</v>
      </c>
      <c r="B10976" t="s">
        <v>14</v>
      </c>
      <c r="C10976" t="s">
        <v>22</v>
      </c>
      <c r="D10976" s="2" t="s">
        <f>=HYPERLINK("https://main.knesset.gov.il/APPS/legislation/main/bills/2157822", "הצעת חוק הביטוח הלאומי (תיקון - מענק פטירה להורה), התשפ""א-2021")</f>
        <v>21221</v>
      </c>
      <c r="E10976" t="s">
        <v>21221</v>
      </c>
      <c r="F10976" t="s">
        <v>21222</v>
      </c>
      <c r="G10976" t="s">
        <v>14</v>
      </c>
      <c r="H10976">
             </c>
      <c r="I10976" t="s">
        <v>14</v>
      </c>
      <c r="J10976" t="s">
        <v>141</v>
      </c>
      <c r="K10976" t="s">
        <v>14</v>
      </c>
      <c r="L10976" t="s">
        <v>20</v>
      </c>
      <c r="M10976" t="s">
        <v>20786</v>
      </c>
      <c r="N10976" t="s">
        <v>14</v>
      </c>
    </row>
    <row r="10977" x14ac:dyDescent="0.25">
      <c r="A10977" t="n">
        <v>24</v>
      </c>
      <c r="B10977" t="s">
        <v>14</v>
      </c>
      <c r="C10977" t="s">
        <v>22</v>
      </c>
      <c r="D10977" s="2" t="s">
        <f>=HYPERLINK("https://main.knesset.gov.il/APPS/legislation/main/bills/2157096", "הצעת חוק הבטחת הכנסה (תיקון - ניכוי הכנסות להורה עצמאי), התשפ""א-2021 ")</f>
        <v>21223</v>
      </c>
      <c r="E10977" t="s">
        <v>21223</v>
      </c>
      <c r="F10977" t="s">
        <v>21224</v>
      </c>
      <c r="G10977" t="s">
        <v>14</v>
      </c>
      <c r="H10977">
             </c>
      <c r="I10977" t="s">
        <v>14</v>
      </c>
      <c r="J10977" t="s">
        <v>141</v>
      </c>
      <c r="K10977" t="s">
        <v>14</v>
      </c>
      <c r="L10977" t="s">
        <v>20</v>
      </c>
      <c r="M10977" t="s">
        <v>20786</v>
      </c>
      <c r="N10977" t="s">
        <v>14</v>
      </c>
    </row>
    <row r="10978" x14ac:dyDescent="0.25">
      <c r="A10978" t="n">
        <v>24</v>
      </c>
      <c r="B10978" t="s">
        <v>14</v>
      </c>
      <c r="C10978" t="s">
        <v>22</v>
      </c>
      <c r="D10978" s="2" t="s">
        <f>=HYPERLINK("https://main.knesset.gov.il/APPS/legislation/main/bills/2156360", "הצעת חוק פיצויי פיטורים (תיקון - פיצויי פיטורים למתגייס לרשות הארצית לכבאות והצלה), התשפ""א-2021")</f>
        <v>21225</v>
      </c>
      <c r="E10978" t="s">
        <v>21225</v>
      </c>
      <c r="F10978" t="s">
        <v>21226</v>
      </c>
      <c r="G10978" t="s">
        <v>14</v>
      </c>
      <c r="H10978">
             </c>
      <c r="I10978" t="s">
        <v>14</v>
      </c>
      <c r="J10978" t="s">
        <v>141</v>
      </c>
      <c r="K10978" t="s">
        <v>14</v>
      </c>
      <c r="L10978" t="s">
        <v>20</v>
      </c>
      <c r="M10978" t="s">
        <v>20786</v>
      </c>
      <c r="N10978" t="s">
        <v>14</v>
      </c>
    </row>
    <row r="10979" x14ac:dyDescent="0.25">
      <c r="A10979" t="n">
        <v>24</v>
      </c>
      <c r="B10979" t="s">
        <v>14</v>
      </c>
      <c r="C10979" t="s">
        <v>22</v>
      </c>
      <c r="D10979" s="2" t="s">
        <f>=HYPERLINK("https://main.knesset.gov.il/APPS/legislation/main/bills/2156347", "הצעת חוק הקלות במס על רכישת מכשיר ניידות מסוג קלנועית (תיקוני חקיקה), התשפ""א-2021")</f>
        <v>21227</v>
      </c>
      <c r="E10979" t="s">
        <v>21227</v>
      </c>
      <c r="F10979" t="s">
        <v>21228</v>
      </c>
      <c r="G10979" t="s">
        <v>14</v>
      </c>
      <c r="H10979">
             </c>
      <c r="I10979" t="s">
        <v>14</v>
      </c>
      <c r="J10979" t="s">
        <v>141</v>
      </c>
      <c r="K10979" t="s">
        <v>14</v>
      </c>
      <c r="L10979" t="s">
        <v>20</v>
      </c>
      <c r="M10979" t="s">
        <v>20786</v>
      </c>
      <c r="N10979" t="s">
        <v>14</v>
      </c>
    </row>
    <row r="10980" x14ac:dyDescent="0.25">
      <c r="A10980" t="n">
        <v>24</v>
      </c>
      <c r="B10980" t="s">
        <v>14</v>
      </c>
      <c r="C10980" t="s">
        <v>22</v>
      </c>
      <c r="D10980" s="2" t="s">
        <f>=HYPERLINK("https://main.knesset.gov.il/APPS/legislation/main/bills/2157867", "הצעת חוק להגדלת היצע מעונות סטודנטים, התשפ""א-2021 ")</f>
        <v>21229</v>
      </c>
      <c r="E10980" t="s">
        <v>21229</v>
      </c>
      <c r="F10980" t="s">
        <v>21230</v>
      </c>
      <c r="G10980" t="s">
        <v>14</v>
      </c>
      <c r="H10980">
             </c>
      <c r="I10980" t="s">
        <v>14</v>
      </c>
      <c r="J10980" t="s">
        <v>141</v>
      </c>
      <c r="K10980" t="s">
        <v>14</v>
      </c>
      <c r="L10980" t="s">
        <v>20</v>
      </c>
      <c r="M10980" t="s">
        <v>20786</v>
      </c>
      <c r="N10980" t="s">
        <v>14</v>
      </c>
    </row>
    <row r="10981" x14ac:dyDescent="0.25">
      <c r="A10981" t="n">
        <v>24</v>
      </c>
      <c r="B10981" t="s">
        <v>14</v>
      </c>
      <c r="C10981" t="s">
        <v>22</v>
      </c>
      <c r="D10981" s="2" t="s">
        <f>=HYPERLINK("https://main.knesset.gov.il/APPS/legislation/main/bills/2156184", "הצעת חוק לעידוד השקעות בשכירות ארוכת טווח (תיקוני חקיקה), התשפ""א-2021")</f>
        <v>21231</v>
      </c>
      <c r="E10981" t="s">
        <v>21231</v>
      </c>
      <c r="F10981" t="s">
        <v>21232</v>
      </c>
      <c r="G10981" t="s">
        <v>14</v>
      </c>
      <c r="H10981">
             </c>
      <c r="I10981" t="s">
        <v>14</v>
      </c>
      <c r="J10981" t="s">
        <v>141</v>
      </c>
      <c r="K10981" t="s">
        <v>14</v>
      </c>
      <c r="L10981" t="s">
        <v>20</v>
      </c>
      <c r="M10981" t="s">
        <v>20786</v>
      </c>
      <c r="N10981" t="s">
        <v>14</v>
      </c>
    </row>
    <row r="10982" x14ac:dyDescent="0.25">
      <c r="A10982" t="n">
        <v>24</v>
      </c>
      <c r="B10982" t="s">
        <v>14</v>
      </c>
      <c r="C10982" t="s">
        <v>22</v>
      </c>
      <c r="D10982" s="2" t="s">
        <f>=HYPERLINK("https://main.knesset.gov.il/APPS/legislation/main/bills/2157192", "הצעת חוק הבחירות לכנסת (תיקון - זכות לשכר ביום הבחירות), התשפ""א-2021")</f>
        <v>21233</v>
      </c>
      <c r="E10982" t="s">
        <v>21233</v>
      </c>
      <c r="F10982" t="s">
        <v>21234</v>
      </c>
      <c r="G10982" t="s">
        <v>14</v>
      </c>
      <c r="H10982">
             </c>
      <c r="I10982" t="s">
        <v>14</v>
      </c>
      <c r="J10982" t="s">
        <v>141</v>
      </c>
      <c r="K10982" t="s">
        <v>14</v>
      </c>
      <c r="L10982" t="s">
        <v>20</v>
      </c>
      <c r="M10982" t="s">
        <v>20786</v>
      </c>
      <c r="N10982" t="s">
        <v>14</v>
      </c>
    </row>
    <row r="10983" x14ac:dyDescent="0.25">
      <c r="A10983" t="n">
        <v>24</v>
      </c>
      <c r="B10983" t="s">
        <v>14</v>
      </c>
      <c r="C10983" t="s">
        <v>22</v>
      </c>
      <c r="D10983" s="2" t="s">
        <f>=HYPERLINK("https://main.knesset.gov.il/APPS/legislation/main/bills/2157688", "הצעת חוק לתיקון פקודת סדרי השלטון והמשפט (יום הפועלים הבינלאומי), התשפ""א-2021")</f>
        <v>21235</v>
      </c>
      <c r="E10983" t="s">
        <v>21235</v>
      </c>
      <c r="F10983" t="s">
        <v>21236</v>
      </c>
      <c r="G10983" t="s">
        <v>14</v>
      </c>
      <c r="H10983">
             </c>
      <c r="I10983" t="s">
        <v>14</v>
      </c>
      <c r="J10983" t="s">
        <v>141</v>
      </c>
      <c r="K10983" t="s">
        <v>14</v>
      </c>
      <c r="L10983" t="s">
        <v>20</v>
      </c>
      <c r="M10983" t="s">
        <v>20786</v>
      </c>
      <c r="N10983" t="s">
        <v>14</v>
      </c>
    </row>
    <row r="10984" x14ac:dyDescent="0.25">
      <c r="A10984" t="n">
        <v>24</v>
      </c>
      <c r="B10984" t="s">
        <v>14</v>
      </c>
      <c r="C10984" t="s">
        <v>22</v>
      </c>
      <c r="D10984" s="2" t="s">
        <f>=HYPERLINK("https://main.knesset.gov.il/APPS/legislation/main/bills/2157167", "הצעת חוק בית המשפט לענייני משפחה (תיקון - רשימת כונסי נכסים), התשפ""א-2021")</f>
        <v>21237</v>
      </c>
      <c r="E10984" t="s">
        <v>21237</v>
      </c>
      <c r="F10984" t="s">
        <v>21238</v>
      </c>
      <c r="G10984" t="s">
        <v>14</v>
      </c>
      <c r="H10984">
             </c>
      <c r="I10984" t="s">
        <v>14</v>
      </c>
      <c r="J10984" t="s">
        <v>141</v>
      </c>
      <c r="K10984" t="s">
        <v>14</v>
      </c>
      <c r="L10984" t="s">
        <v>20</v>
      </c>
      <c r="M10984" t="s">
        <v>20786</v>
      </c>
      <c r="N10984" t="s">
        <v>14</v>
      </c>
    </row>
    <row r="10985" x14ac:dyDescent="0.25">
      <c r="A10985" t="n">
        <v>24</v>
      </c>
      <c r="B10985" t="s">
        <v>14</v>
      </c>
      <c r="C10985" t="s">
        <v>22</v>
      </c>
      <c r="D10985" s="2" t="s">
        <f>=HYPERLINK("https://main.knesset.gov.il/APPS/legislation/main/bills/2158068", "הצעת חוק ביטוח בריאות ממלכתי (תיקון - זכויות תושב חוזר), התשפ""א-2021")</f>
        <v>21239</v>
      </c>
      <c r="E10985" t="s">
        <v>21239</v>
      </c>
      <c r="F10985" t="s">
        <v>21240</v>
      </c>
      <c r="G10985" t="s">
        <v>14</v>
      </c>
      <c r="H10985">
             </c>
      <c r="I10985" t="s">
        <v>14</v>
      </c>
      <c r="J10985" t="s">
        <v>141</v>
      </c>
      <c r="K10985" t="s">
        <v>14</v>
      </c>
      <c r="L10985" t="s">
        <v>20</v>
      </c>
      <c r="M10985" t="s">
        <v>20786</v>
      </c>
      <c r="N10985" t="s">
        <v>14</v>
      </c>
    </row>
    <row r="10986" x14ac:dyDescent="0.25">
      <c r="A10986" t="n">
        <v>24</v>
      </c>
      <c r="B10986" t="s">
        <v>14</v>
      </c>
      <c r="C10986" t="s">
        <v>22</v>
      </c>
      <c r="D10986" s="2" t="s">
        <f>=HYPERLINK("https://main.knesset.gov.il/APPS/legislation/main/bills/2157163", "הצעת חוק ביטוח בריאות ממלכתי (תיקון - תושב ששהה מחוץ לישראל ואין לו קרוב משפחה), התשפ""א-2021")</f>
        <v>21241</v>
      </c>
      <c r="E10986" t="s">
        <v>21241</v>
      </c>
      <c r="F10986" t="s">
        <v>21242</v>
      </c>
      <c r="G10986" t="s">
        <v>14</v>
      </c>
      <c r="H10986">
             </c>
      <c r="I10986" t="s">
        <v>14</v>
      </c>
      <c r="J10986" t="s">
        <v>141</v>
      </c>
      <c r="K10986" t="s">
        <v>14</v>
      </c>
      <c r="L10986" t="s">
        <v>20</v>
      </c>
      <c r="M10986" t="s">
        <v>20786</v>
      </c>
      <c r="N10986" t="s">
        <v>14</v>
      </c>
    </row>
    <row r="10987" x14ac:dyDescent="0.25">
      <c r="A10987" t="n">
        <v>24</v>
      </c>
      <c r="B10987" t="s">
        <v>14</v>
      </c>
      <c r="C10987" t="s">
        <v>22</v>
      </c>
      <c r="D10987" s="2" t="s">
        <f>=HYPERLINK("https://main.knesset.gov.il/APPS/legislation/main/bills/2156893", "הצעת חוק הפיקוח על שירותים פיננסיים (קופות גמל) (תיקון - הגדלת הסכום המרבי להפקדה בקופות גמל להשקעה), התשפ""א-2021")</f>
        <v>21243</v>
      </c>
      <c r="E10987" t="s">
        <v>21243</v>
      </c>
      <c r="F10987" t="s">
        <v>21244</v>
      </c>
      <c r="G10987" t="s">
        <v>14</v>
      </c>
      <c r="H10987">
             </c>
      <c r="I10987" t="s">
        <v>14</v>
      </c>
      <c r="J10987" t="s">
        <v>141</v>
      </c>
      <c r="K10987" t="s">
        <v>14</v>
      </c>
      <c r="L10987" t="s">
        <v>20</v>
      </c>
      <c r="M10987" t="s">
        <v>20786</v>
      </c>
      <c r="N10987" t="s">
        <v>14</v>
      </c>
    </row>
    <row r="10988" x14ac:dyDescent="0.25">
      <c r="A10988" t="n">
        <v>24</v>
      </c>
      <c r="B10988" t="s">
        <v>14</v>
      </c>
      <c r="C10988" t="s">
        <v>22</v>
      </c>
      <c r="D10988" s="2" t="s">
        <f>=HYPERLINK("https://main.knesset.gov.il/APPS/legislation/main/bills/2157085", "הצעת חוק הגנת הצרכן (תיקון - איסור התניית תשלום בכרטיס אשראי בסכום רכישה מזערי), התשפ""א-2021")</f>
        <v>21245</v>
      </c>
      <c r="E10988" t="s">
        <v>21245</v>
      </c>
      <c r="F10988" t="s">
        <v>21246</v>
      </c>
      <c r="G10988" t="s">
        <v>14</v>
      </c>
      <c r="H10988">
             </c>
      <c r="I10988" t="s">
        <v>14</v>
      </c>
      <c r="J10988" t="s">
        <v>141</v>
      </c>
      <c r="K10988" t="s">
        <v>14</v>
      </c>
      <c r="L10988" t="s">
        <v>20</v>
      </c>
      <c r="M10988" t="s">
        <v>20786</v>
      </c>
      <c r="N10988" t="s">
        <v>14</v>
      </c>
    </row>
    <row r="10989" x14ac:dyDescent="0.25">
      <c r="A10989" t="n">
        <v>24</v>
      </c>
      <c r="B10989" t="s">
        <v>14</v>
      </c>
      <c r="C10989" t="s">
        <v>22</v>
      </c>
      <c r="D10989" s="2" t="s">
        <f>=HYPERLINK("https://main.knesset.gov.il/APPS/legislation/main/bills/2156061", "הצעת חוק השבות (תיקון - זכויות בני משפחה), התשפ""א-2021")</f>
        <v>17098</v>
      </c>
      <c r="E10989" t="s">
        <v>17098</v>
      </c>
      <c r="F10989" t="s">
        <v>21247</v>
      </c>
      <c r="G10989" t="s">
        <v>14</v>
      </c>
      <c r="H10989">
             </c>
      <c r="I10989" t="s">
        <v>14</v>
      </c>
      <c r="J10989" t="s">
        <v>141</v>
      </c>
      <c r="K10989" t="s">
        <v>14</v>
      </c>
      <c r="L10989" t="s">
        <v>20</v>
      </c>
      <c r="M10989" t="s">
        <v>20786</v>
      </c>
      <c r="N10989" t="s">
        <v>14</v>
      </c>
    </row>
    <row r="10990" x14ac:dyDescent="0.25">
      <c r="A10990" t="n">
        <v>24</v>
      </c>
      <c r="B10990" t="s">
        <v>14</v>
      </c>
      <c r="C10990" t="s">
        <v>22</v>
      </c>
      <c r="D10990" s="2" t="s">
        <f>=HYPERLINK("https://main.knesset.gov.il/APPS/legislation/main/bills/2157169", "הצעת חוק להקפאת כספים ששילמה הרשות הפלסטינית בזיקה לטרור מהכספים המועברים אליה מממשלת ישראל (תיקון - הקפאת כספי תגמולים לתושבי האזור מכוח חוק התגמולים לנפגעי פעולות איבה), התשפ""א-2021")</f>
        <v>21248</v>
      </c>
      <c r="E10990" t="s">
        <v>21248</v>
      </c>
      <c r="F10990" t="s">
        <v>21249</v>
      </c>
      <c r="G10990" t="s">
        <v>14</v>
      </c>
      <c r="H10990">
             </c>
      <c r="I10990" t="s">
        <v>14</v>
      </c>
      <c r="J10990" t="s">
        <v>141</v>
      </c>
      <c r="K10990" t="s">
        <v>14</v>
      </c>
      <c r="L10990" t="s">
        <v>20</v>
      </c>
      <c r="M10990" t="s">
        <v>20786</v>
      </c>
      <c r="N10990" t="s">
        <v>14</v>
      </c>
    </row>
    <row r="10991" x14ac:dyDescent="0.25">
      <c r="A10991" t="n">
        <v>24</v>
      </c>
      <c r="B10991" t="s">
        <v>14</v>
      </c>
      <c r="C10991" t="s">
        <v>22</v>
      </c>
      <c r="D10991" s="2" t="s">
        <f>=HYPERLINK("https://main.knesset.gov.il/APPS/legislation/main/bills/2158033", "הצעת חוק הביטוח הלאומי (תיקון - חיסכון מוקדם לגיל פרישה), התשפ""א-2021")</f>
        <v>21250</v>
      </c>
      <c r="E10991" t="s">
        <v>21250</v>
      </c>
      <c r="F10991" t="s">
        <v>21251</v>
      </c>
      <c r="G10991" t="s">
        <v>14</v>
      </c>
      <c r="H10991">
             </c>
      <c r="I10991" t="s">
        <v>14</v>
      </c>
      <c r="J10991" t="s">
        <v>141</v>
      </c>
      <c r="K10991" t="s">
        <v>14</v>
      </c>
      <c r="L10991" t="s">
        <v>20</v>
      </c>
      <c r="M10991" t="s">
        <v>20786</v>
      </c>
      <c r="N10991" t="s">
        <v>14</v>
      </c>
    </row>
    <row r="10992" x14ac:dyDescent="0.25">
      <c r="A10992" t="n">
        <v>24</v>
      </c>
      <c r="B10992" t="s">
        <v>14</v>
      </c>
      <c r="C10992" t="s">
        <v>22</v>
      </c>
      <c r="D10992" s="2" t="s">
        <f>=HYPERLINK("https://main.knesset.gov.il/APPS/legislation/main/bills/2156943", "הצעת חוק שיפוט בתי דין רבניים (נישואין וגירושין) (תיקון - נישואין אזרחיים בשטח שגרירות בישראל), התשפ""א-2021")</f>
        <v>21252</v>
      </c>
      <c r="E10992" t="s">
        <v>21252</v>
      </c>
      <c r="F10992" t="s">
        <v>21253</v>
      </c>
      <c r="G10992" t="s">
        <v>14</v>
      </c>
      <c r="H10992">
             </c>
      <c r="I10992" t="s">
        <v>14</v>
      </c>
      <c r="J10992" t="s">
        <v>343</v>
      </c>
      <c r="K10992" t="s">
        <v>14</v>
      </c>
      <c r="L10992" t="s">
        <v>20</v>
      </c>
      <c r="M10992" t="s">
        <v>20786</v>
      </c>
      <c r="N10992" t="s">
        <v>14</v>
      </c>
    </row>
    <row r="10993" x14ac:dyDescent="0.25">
      <c r="A10993" t="n">
        <v>24</v>
      </c>
      <c r="B10993" t="s">
        <v>14</v>
      </c>
      <c r="C10993" t="s">
        <v>22</v>
      </c>
      <c r="D10993" s="2" t="s">
        <f>=HYPERLINK("https://main.knesset.gov.il/APPS/legislation/main/bills/2157247", "הצעת חוק-יסוד: כבוד האדם וחירותו (תיקון - תוקפו של חוק חורג בעניין מסתננים)")</f>
        <v>13290</v>
      </c>
      <c r="E10993" t="s">
        <v>13290</v>
      </c>
      <c r="F10993" t="s">
        <v>21254</v>
      </c>
      <c r="G10993" t="s">
        <v>14</v>
      </c>
      <c r="H10993">
             </c>
      <c r="I10993" t="s">
        <v>14</v>
      </c>
      <c r="J10993" t="s">
        <v>141</v>
      </c>
      <c r="K10993" t="s">
        <v>14</v>
      </c>
      <c r="L10993" t="s">
        <v>20</v>
      </c>
      <c r="M10993" t="s">
        <v>20786</v>
      </c>
      <c r="N10993" t="s">
        <v>14</v>
      </c>
    </row>
    <row r="10994" x14ac:dyDescent="0.25">
      <c r="A10994" t="n">
        <v>24</v>
      </c>
      <c r="B10994" t="s">
        <v>14</v>
      </c>
      <c r="C10994" t="s">
        <v>22</v>
      </c>
      <c r="D10994" s="2" t="s">
        <f>=HYPERLINK("https://main.knesset.gov.il/APPS/legislation/main/bills/2158070", "הצעת חוק הביטוח הלאומי (תיקון - דמי ביטוח מופחתים בעד עובד בעבודה מהבית), התשפ""א-2021")</f>
        <v>21255</v>
      </c>
      <c r="E10994" t="s">
        <v>21255</v>
      </c>
      <c r="F10994" t="s">
        <v>21256</v>
      </c>
      <c r="G10994" t="s">
        <v>14</v>
      </c>
      <c r="H10994">
             </c>
      <c r="I10994" t="s">
        <v>14</v>
      </c>
      <c r="J10994" t="s">
        <v>141</v>
      </c>
      <c r="K10994" t="s">
        <v>14</v>
      </c>
      <c r="L10994" t="s">
        <v>20</v>
      </c>
      <c r="M10994" t="s">
        <v>20786</v>
      </c>
      <c r="N10994" t="s">
        <v>14</v>
      </c>
    </row>
    <row r="10995" x14ac:dyDescent="0.25">
      <c r="A10995" t="n">
        <v>24</v>
      </c>
      <c r="B10995" t="s">
        <v>14</v>
      </c>
      <c r="C10995" t="s">
        <v>22</v>
      </c>
      <c r="D10995" s="2" t="s">
        <f>=HYPERLINK("https://main.knesset.gov.il/APPS/legislation/main/bills/2156951", "הצעת חוק-יסוד: חופש העיסוק (תיקון - החלת חוק היסוד על אזרחי ישראל ותושבי קבע בלבד)")</f>
        <v>13048</v>
      </c>
      <c r="E10995" t="s">
        <v>13048</v>
      </c>
      <c r="F10995" t="s">
        <v>21257</v>
      </c>
      <c r="G10995" t="s">
        <v>14</v>
      </c>
      <c r="H10995">
             </c>
      <c r="I10995" t="s">
        <v>14</v>
      </c>
      <c r="J10995" t="s">
        <v>141</v>
      </c>
      <c r="K10995" t="s">
        <v>14</v>
      </c>
      <c r="L10995" t="s">
        <v>20</v>
      </c>
      <c r="M10995" t="s">
        <v>20786</v>
      </c>
      <c r="N10995" t="s">
        <v>14</v>
      </c>
    </row>
    <row r="10996" x14ac:dyDescent="0.25">
      <c r="A10996" t="n">
        <v>24</v>
      </c>
      <c r="B10996" t="s">
        <v>14</v>
      </c>
      <c r="C10996" t="s">
        <v>22</v>
      </c>
      <c r="D10996" s="2" t="s">
        <f>=HYPERLINK("https://main.knesset.gov.il/APPS/legislation/main/bills/2158015", "הצעת חוק הסדרת שוק הכשרות בישראל, התשפ""א-2021")</f>
        <v>21258</v>
      </c>
      <c r="E10996" t="s">
        <v>21258</v>
      </c>
      <c r="F10996" t="s">
        <v>21259</v>
      </c>
      <c r="G10996" t="s">
        <v>14</v>
      </c>
      <c r="H10996">
             </c>
      <c r="I10996" t="s">
        <v>14</v>
      </c>
      <c r="J10996" t="s">
        <v>141</v>
      </c>
      <c r="K10996" t="s">
        <v>14</v>
      </c>
      <c r="L10996" t="s">
        <v>20</v>
      </c>
      <c r="M10996" t="s">
        <v>20786</v>
      </c>
      <c r="N10996" t="s">
        <v>14</v>
      </c>
    </row>
    <row r="10997" x14ac:dyDescent="0.25">
      <c r="A10997" t="n">
        <v>24</v>
      </c>
      <c r="B10997" t="s">
        <v>14</v>
      </c>
      <c r="C10997" t="s">
        <v>22</v>
      </c>
      <c r="D10997" s="2" t="s">
        <f>=HYPERLINK("https://main.knesset.gov.il/APPS/legislation/main/bills/2156581", "הצעת חוק לצמצום השימוש בשקיות נשיאה חד-פעמיות (תיקון - פטור מהיטל), התשפ""א-2021 ")</f>
        <v>21260</v>
      </c>
      <c r="E10997" t="s">
        <v>21260</v>
      </c>
      <c r="F10997" t="s">
        <v>21261</v>
      </c>
      <c r="G10997" t="s">
        <v>14</v>
      </c>
      <c r="H10997">
             </c>
      <c r="I10997" t="s">
        <v>14</v>
      </c>
      <c r="J10997" t="s">
        <v>141</v>
      </c>
      <c r="K10997" t="s">
        <v>14</v>
      </c>
      <c r="L10997" t="s">
        <v>20</v>
      </c>
      <c r="M10997" t="s">
        <v>20786</v>
      </c>
      <c r="N10997" t="s">
        <v>14</v>
      </c>
    </row>
    <row r="10998" x14ac:dyDescent="0.25">
      <c r="A10998" t="n">
        <v>24</v>
      </c>
      <c r="B10998" t="s">
        <v>14</v>
      </c>
      <c r="C10998" t="s">
        <v>22</v>
      </c>
      <c r="D10998" s="2" t="s">
        <f>=HYPERLINK("https://main.knesset.gov.il/APPS/legislation/main/bills/2158016", "הצעת חוק תכנון משק החלב (תיקון - הארכת מועדים), התשפ""א-2021")</f>
        <v>21262</v>
      </c>
      <c r="E10998" t="s">
        <v>21262</v>
      </c>
      <c r="F10998" t="s">
        <v>21263</v>
      </c>
      <c r="G10998" t="s">
        <v>14</v>
      </c>
      <c r="H10998">
             </c>
      <c r="I10998" t="s">
        <v>14</v>
      </c>
      <c r="J10998" t="s">
        <v>141</v>
      </c>
      <c r="K10998" t="s">
        <v>14</v>
      </c>
      <c r="L10998" t="s">
        <v>20</v>
      </c>
      <c r="M10998" t="s">
        <v>20786</v>
      </c>
      <c r="N10998" t="s">
        <v>14</v>
      </c>
    </row>
    <row r="10999" x14ac:dyDescent="0.25">
      <c r="A10999" t="n">
        <v>24</v>
      </c>
      <c r="B10999" t="s">
        <v>14</v>
      </c>
      <c r="C10999" t="s">
        <v>22</v>
      </c>
      <c r="D10999" s="2" t="s">
        <f>=HYPERLINK("https://main.knesset.gov.il/APPS/legislation/main/bills/2156309", "הצעת חוק השוואת תשלומים לחיילים בודדים ילידי ישראל וחיילים בודדים שנולדו מחוץ לישראל, התשפ""א-2021")</f>
        <v>20025</v>
      </c>
      <c r="E10999" t="s">
        <v>20025</v>
      </c>
      <c r="F10999" t="s">
        <v>21264</v>
      </c>
      <c r="G10999" t="s">
        <v>14</v>
      </c>
      <c r="H10999">
             </c>
      <c r="I10999" t="s">
        <v>14</v>
      </c>
      <c r="J10999" t="s">
        <v>141</v>
      </c>
      <c r="K10999" t="s">
        <v>14</v>
      </c>
      <c r="L10999" t="s">
        <v>20</v>
      </c>
      <c r="M10999" t="s">
        <v>20786</v>
      </c>
      <c r="N10999" t="s">
        <v>14</v>
      </c>
    </row>
    <row r="11000" x14ac:dyDescent="0.25">
      <c r="A11000" t="n">
        <v>24</v>
      </c>
      <c r="B11000" t="s">
        <v>14</v>
      </c>
      <c r="C11000" t="s">
        <v>22</v>
      </c>
      <c r="D11000" s="2" t="s">
        <f>=HYPERLINK("https://main.knesset.gov.il/APPS/legislation/main/bills/2156778", "הצעת חוק חובת המכרזים (תיקון - מתן עדיפות לשירותים מתוצרת הארץ), התשפ""א-2021")</f>
        <v>21265</v>
      </c>
      <c r="E11000" t="s">
        <v>21265</v>
      </c>
      <c r="F11000" t="s">
        <v>21266</v>
      </c>
      <c r="G11000" t="s">
        <v>14</v>
      </c>
      <c r="H11000">
             </c>
      <c r="I11000" t="s">
        <v>14</v>
      </c>
      <c r="J11000" t="s">
        <v>141</v>
      </c>
      <c r="K11000" t="s">
        <v>14</v>
      </c>
      <c r="L11000" t="s">
        <v>20</v>
      </c>
      <c r="M11000" t="s">
        <v>20786</v>
      </c>
      <c r="N11000" t="s">
        <v>14</v>
      </c>
    </row>
    <row r="11001" x14ac:dyDescent="0.25">
      <c r="A11001" t="n">
        <v>24</v>
      </c>
      <c r="B11001" t="s">
        <v>14</v>
      </c>
      <c r="C11001" t="s">
        <v>22</v>
      </c>
      <c r="D11001" s="2" t="s">
        <f>=HYPERLINK("https://main.knesset.gov.il/APPS/legislation/main/bills/2157185", "הצעת חוק הביטוח הלאומי (תיקון - קידום קצבת אזרח ותיק לפי השכר הממוצע במשק), התשפ""א-2021")</f>
        <v>21267</v>
      </c>
      <c r="E11001" t="s">
        <v>21267</v>
      </c>
      <c r="F11001" t="s">
        <v>21268</v>
      </c>
      <c r="G11001" t="s">
        <v>14</v>
      </c>
      <c r="H11001">
             </c>
      <c r="I11001" t="s">
        <v>14</v>
      </c>
      <c r="J11001" t="s">
        <v>141</v>
      </c>
      <c r="K11001" t="s">
        <v>14</v>
      </c>
      <c r="L11001" t="s">
        <v>20</v>
      </c>
      <c r="M11001" t="s">
        <v>20786</v>
      </c>
      <c r="N11001" t="s">
        <v>14</v>
      </c>
    </row>
    <row r="11002" x14ac:dyDescent="0.25">
      <c r="A11002" t="n">
        <v>24</v>
      </c>
      <c r="B11002" t="s">
        <v>14</v>
      </c>
      <c r="C11002" t="s">
        <v>22</v>
      </c>
      <c r="D11002" s="2" t="s">
        <f>=HYPERLINK("https://main.knesset.gov.il/APPS/legislation/main/bills/2158002", "הצעת חוק אבטחה במוסדות חינוך, התשפ""א-2021")</f>
        <v>21269</v>
      </c>
      <c r="E11002" t="s">
        <v>21269</v>
      </c>
      <c r="F11002" t="s">
        <v>21270</v>
      </c>
      <c r="G11002" t="s">
        <v>14</v>
      </c>
      <c r="H11002">
             </c>
      <c r="I11002" t="s">
        <v>14</v>
      </c>
      <c r="J11002" t="s">
        <v>141</v>
      </c>
      <c r="K11002" t="s">
        <v>14</v>
      </c>
      <c r="L11002" t="s">
        <v>20</v>
      </c>
      <c r="M11002" t="s">
        <v>20786</v>
      </c>
      <c r="N11002" t="s">
        <v>14</v>
      </c>
    </row>
    <row r="11003" x14ac:dyDescent="0.25">
      <c r="A11003" t="n">
        <v>24</v>
      </c>
      <c r="B11003" t="s">
        <v>14</v>
      </c>
      <c r="C11003" t="s">
        <v>22</v>
      </c>
      <c r="D11003" s="2" t="s">
        <f>=HYPERLINK("https://main.knesset.gov.il/APPS/legislation/main/bills/2157532", "הצעת חוק אבטחה במוסדות חינוך, התשפ""א-2021")</f>
        <v>21269</v>
      </c>
      <c r="E11003" t="s">
        <v>21269</v>
      </c>
      <c r="F11003" t="s">
        <v>21271</v>
      </c>
      <c r="G11003" t="s">
        <v>14</v>
      </c>
      <c r="H11003">
             </c>
      <c r="I11003" t="s">
        <v>14</v>
      </c>
      <c r="J11003" t="s">
        <v>141</v>
      </c>
      <c r="K11003" t="s">
        <v>14</v>
      </c>
      <c r="L11003" t="s">
        <v>20</v>
      </c>
      <c r="M11003" t="s">
        <v>20786</v>
      </c>
      <c r="N11003" t="s">
        <v>14</v>
      </c>
    </row>
    <row r="11004" x14ac:dyDescent="0.25">
      <c r="A11004" t="n">
        <v>24</v>
      </c>
      <c r="B11004" t="s">
        <v>14</v>
      </c>
      <c r="C11004" t="s">
        <v>22</v>
      </c>
      <c r="D11004" s="2" t="s">
        <f>=HYPERLINK("https://main.knesset.gov.il/APPS/legislation/main/bills/2156554", "הצעת חוק אבטחה במוסדות חינוך, התשפ""א-2021")</f>
        <v>21269</v>
      </c>
      <c r="E11004" t="s">
        <v>21269</v>
      </c>
      <c r="F11004" t="s">
        <v>21272</v>
      </c>
      <c r="G11004" t="s">
        <v>14</v>
      </c>
      <c r="H11004">
             </c>
      <c r="I11004" t="s">
        <v>14</v>
      </c>
      <c r="J11004" t="s">
        <v>141</v>
      </c>
      <c r="K11004" t="s">
        <v>14</v>
      </c>
      <c r="L11004" t="s">
        <v>20</v>
      </c>
      <c r="M11004" t="s">
        <v>20786</v>
      </c>
      <c r="N11004" t="s">
        <v>14</v>
      </c>
    </row>
    <row r="11005" x14ac:dyDescent="0.25">
      <c r="A11005" t="n">
        <v>24</v>
      </c>
      <c r="B11005" t="s">
        <v>14</v>
      </c>
      <c r="C11005" t="s">
        <v>22</v>
      </c>
      <c r="D11005" s="2" t="s">
        <f>=HYPERLINK("https://main.knesset.gov.il/APPS/legislation/main/bills/2156416", "הצעת חוק-יסוד: הממשלה (תיקון - הגבלת כהונת ראש הממשלה לשתי תקופות כהונה רצופות)")</f>
        <v>1247</v>
      </c>
      <c r="E11005" t="s">
        <v>1247</v>
      </c>
      <c r="F11005" t="s">
        <v>21273</v>
      </c>
      <c r="G11005" t="s">
        <v>14</v>
      </c>
      <c r="H11005">
             </c>
      <c r="I11005" t="s">
        <v>14</v>
      </c>
      <c r="J11005" t="s">
        <v>141</v>
      </c>
      <c r="K11005" t="s">
        <v>14</v>
      </c>
      <c r="L11005" t="s">
        <v>20</v>
      </c>
      <c r="M11005" t="s">
        <v>20786</v>
      </c>
      <c r="N11005" t="s">
        <v>14</v>
      </c>
    </row>
    <row r="11006" x14ac:dyDescent="0.25">
      <c r="A11006" t="n">
        <v>24</v>
      </c>
      <c r="B11006" t="s">
        <v>14</v>
      </c>
      <c r="C11006" t="s">
        <v>22</v>
      </c>
      <c r="D11006" s="2" t="s">
        <f>=HYPERLINK("https://main.knesset.gov.il/APPS/legislation/main/bills/2158003", "הצעת חוק אוויר נקי (תיקון - איסור שימוש בתנורי עץ, סולר ונפט), התשפ""א-2021")</f>
        <v>21274</v>
      </c>
      <c r="E11006" t="s">
        <v>21274</v>
      </c>
      <c r="F11006" t="s">
        <v>21275</v>
      </c>
      <c r="G11006" t="s">
        <v>14</v>
      </c>
      <c r="H11006">
             </c>
      <c r="I11006" t="s">
        <v>14</v>
      </c>
      <c r="J11006" t="s">
        <v>141</v>
      </c>
      <c r="K11006" t="s">
        <v>14</v>
      </c>
      <c r="L11006" t="s">
        <v>20</v>
      </c>
      <c r="M11006" t="s">
        <v>20786</v>
      </c>
      <c r="N11006" t="s">
        <v>14</v>
      </c>
    </row>
    <row r="11007" x14ac:dyDescent="0.25">
      <c r="A11007" t="n">
        <v>24</v>
      </c>
      <c r="B11007" t="s">
        <v>14</v>
      </c>
      <c r="C11007" t="s">
        <v>22</v>
      </c>
      <c r="D11007" s="2" t="s">
        <f>=HYPERLINK("https://main.knesset.gov.il/APPS/legislation/main/bills/2156579", "הצעת חוק לתיקון פקודת בתי הסוהר (קביעת משך הביקור), התשפ""א-2021")</f>
        <v>18106</v>
      </c>
      <c r="E11007" t="s">
        <v>18106</v>
      </c>
      <c r="F11007" t="s">
        <v>21276</v>
      </c>
      <c r="G11007" t="s">
        <v>14</v>
      </c>
      <c r="H11007">
             </c>
      <c r="I11007" t="s">
        <v>14</v>
      </c>
      <c r="J11007" t="s">
        <v>141</v>
      </c>
      <c r="K11007" t="s">
        <v>14</v>
      </c>
      <c r="L11007" t="s">
        <v>20</v>
      </c>
      <c r="M11007" t="s">
        <v>20786</v>
      </c>
      <c r="N11007" t="s">
        <v>14</v>
      </c>
    </row>
    <row r="11008" x14ac:dyDescent="0.25">
      <c r="A11008" t="n">
        <v>24</v>
      </c>
      <c r="B11008" t="s">
        <v>14</v>
      </c>
      <c r="C11008" t="s">
        <v>22</v>
      </c>
      <c r="D11008" s="2" t="s">
        <f>=HYPERLINK("https://main.knesset.gov.il/APPS/legislation/main/bills/2158010", "הצעת חוק הפיקוח על יצוא ביטחוני (תיקון - הגבלות על יצוא ביטחוני לכוחות ביטחון שביצעו הפרות חמורות של זכויות אדם), התשפ""א-2021")</f>
        <v>21277</v>
      </c>
      <c r="E11008" t="s">
        <v>21277</v>
      </c>
      <c r="F11008" t="s">
        <v>21278</v>
      </c>
      <c r="G11008" t="s">
        <v>14</v>
      </c>
      <c r="H11008">
             </c>
      <c r="I11008" t="s">
        <v>14</v>
      </c>
      <c r="J11008" t="s">
        <v>343</v>
      </c>
      <c r="K11008" t="s">
        <v>14</v>
      </c>
      <c r="L11008" t="s">
        <v>20</v>
      </c>
      <c r="M11008" t="s">
        <v>20786</v>
      </c>
      <c r="N11008" t="s">
        <v>14</v>
      </c>
    </row>
    <row r="11009" x14ac:dyDescent="0.25">
      <c r="A11009" t="n">
        <v>24</v>
      </c>
      <c r="B11009" t="s">
        <v>14</v>
      </c>
      <c r="C11009" t="s">
        <v>22</v>
      </c>
      <c r="D11009" s="2" t="s">
        <f>=HYPERLINK("https://main.knesset.gov.il/APPS/legislation/main/bills/2156241", "הצעת חוק ההוצאה לפועל (תיקון - הגבלת עיקול מיטלטליו של קשיש), התשפ""א-2021")</f>
        <v>19223</v>
      </c>
      <c r="E11009" t="s">
        <v>19223</v>
      </c>
      <c r="F11009" t="s">
        <v>21279</v>
      </c>
      <c r="G11009" t="s">
        <v>14</v>
      </c>
      <c r="H11009">
             </c>
      <c r="I11009" t="s">
        <v>14</v>
      </c>
      <c r="J11009" t="s">
        <v>141</v>
      </c>
      <c r="K11009" t="s">
        <v>14</v>
      </c>
      <c r="L11009" t="s">
        <v>20</v>
      </c>
      <c r="M11009" t="s">
        <v>20786</v>
      </c>
      <c r="N11009" t="s">
        <v>14</v>
      </c>
    </row>
    <row r="11010" x14ac:dyDescent="0.25">
      <c r="A11010" t="n">
        <v>24</v>
      </c>
      <c r="B11010" t="s">
        <v>14</v>
      </c>
      <c r="C11010" t="s">
        <v>22</v>
      </c>
      <c r="D11010" s="2" t="s">
        <f>=HYPERLINK("https://main.knesset.gov.il/APPS/legislation/main/bills/2156662", "הצעת חוק לצמצום רגולציה ושעורי אגרות לעסקים קטנים, התשפ""א-2021")</f>
        <v>21280</v>
      </c>
      <c r="E11010" t="s">
        <v>21280</v>
      </c>
      <c r="F11010" t="s">
        <v>21281</v>
      </c>
      <c r="G11010" t="s">
        <v>14</v>
      </c>
      <c r="H11010">
             </c>
      <c r="I11010" t="s">
        <v>14</v>
      </c>
      <c r="J11010" t="s">
        <v>141</v>
      </c>
      <c r="K11010" t="s">
        <v>14</v>
      </c>
      <c r="L11010" t="s">
        <v>20</v>
      </c>
      <c r="M11010" t="s">
        <v>20786</v>
      </c>
      <c r="N11010" t="s">
        <v>14</v>
      </c>
    </row>
    <row r="11011" x14ac:dyDescent="0.25">
      <c r="A11011" t="n">
        <v>24</v>
      </c>
      <c r="B11011" t="s">
        <v>14</v>
      </c>
      <c r="C11011" t="s">
        <v>22</v>
      </c>
      <c r="D11011" s="2" t="s">
        <f>=HYPERLINK("https://main.knesset.gov.il/APPS/legislation/main/bills/2156131", "הצעת חוק הרב הצבאי הראשי, התשפ""א-2021")</f>
        <v>21282</v>
      </c>
      <c r="E11011" t="s">
        <v>21282</v>
      </c>
      <c r="F11011" t="s">
        <v>21283</v>
      </c>
      <c r="G11011" t="s">
        <v>14</v>
      </c>
      <c r="H11011">
             </c>
      <c r="I11011" t="s">
        <v>14</v>
      </c>
      <c r="J11011" t="s">
        <v>141</v>
      </c>
      <c r="K11011" t="s">
        <v>14</v>
      </c>
      <c r="L11011" t="s">
        <v>20</v>
      </c>
      <c r="M11011" t="s">
        <v>20786</v>
      </c>
      <c r="N11011" t="s">
        <v>14</v>
      </c>
    </row>
    <row r="11012" x14ac:dyDescent="0.25">
      <c r="A11012" t="n">
        <v>24</v>
      </c>
      <c r="B11012" t="s">
        <v>14</v>
      </c>
      <c r="C11012" t="s">
        <v>22</v>
      </c>
      <c r="D11012" s="2" t="s">
        <f>=HYPERLINK("https://main.knesset.gov.il/APPS/legislation/main/bills/2157907", "הצעת חוק לעידוד השקעות הון (תיקון - הקלה בתנאי סף למפעל קטן), התשפ""א-2021 ")</f>
        <v>21284</v>
      </c>
      <c r="E11012" t="s">
        <v>21284</v>
      </c>
      <c r="F11012" t="s">
        <v>21285</v>
      </c>
      <c r="G11012" t="s">
        <v>14</v>
      </c>
      <c r="H11012">
             </c>
      <c r="I11012" t="s">
        <v>14</v>
      </c>
      <c r="J11012" t="s">
        <v>141</v>
      </c>
      <c r="K11012" t="s">
        <v>14</v>
      </c>
      <c r="L11012" t="s">
        <v>20</v>
      </c>
      <c r="M11012" t="s">
        <v>20786</v>
      </c>
      <c r="N11012" t="s">
        <v>14</v>
      </c>
    </row>
    <row r="11013" x14ac:dyDescent="0.25">
      <c r="A11013" t="n">
        <v>24</v>
      </c>
      <c r="B11013" t="s">
        <v>14</v>
      </c>
      <c r="C11013" t="s">
        <v>22</v>
      </c>
      <c r="D11013" s="2" t="s">
        <f>=HYPERLINK("https://main.knesset.gov.il/APPS/legislation/main/bills/2156107", "הצעת חוק העונשין (תיקון - מאסר עולם לאונס קטינים), התשפ""א-2021")</f>
        <v>21286</v>
      </c>
      <c r="E11013" t="s">
        <v>21286</v>
      </c>
      <c r="F11013" t="s">
        <v>21287</v>
      </c>
      <c r="G11013" t="s">
        <v>14</v>
      </c>
      <c r="H11013">
             </c>
      <c r="I11013" t="s">
        <v>14</v>
      </c>
      <c r="J11013" t="s">
        <v>141</v>
      </c>
      <c r="K11013" t="s">
        <v>14</v>
      </c>
      <c r="L11013" t="s">
        <v>20</v>
      </c>
      <c r="M11013" t="s">
        <v>21288</v>
      </c>
      <c r="N11013" t="s">
        <v>14</v>
      </c>
    </row>
    <row r="11014" x14ac:dyDescent="0.25">
      <c r="A11014" t="n">
        <v>24</v>
      </c>
      <c r="B11014" t="s">
        <v>14</v>
      </c>
      <c r="C11014" t="s">
        <v>22</v>
      </c>
      <c r="D11014" s="2" t="s">
        <f>=HYPERLINK("https://main.knesset.gov.il/APPS/legislation/main/bills/2158161", "הצעת חוק הקמת ועדת חקירה ממלכתית לאירועי אסון הילולת הרשב""י בהר מירון, התשפ""א-2021")</f>
        <v>21289</v>
      </c>
      <c r="E11014" t="s">
        <v>21289</v>
      </c>
      <c r="F11014" t="s">
        <v>21290</v>
      </c>
      <c r="G11014" t="s">
        <v>14</v>
      </c>
      <c r="H11014">
             </c>
      <c r="I11014" t="s">
        <v>14</v>
      </c>
      <c r="J11014" t="s">
        <v>141</v>
      </c>
      <c r="K11014" t="s">
        <v>14</v>
      </c>
      <c r="L11014" t="s">
        <v>20</v>
      </c>
      <c r="M11014" t="s">
        <v>21288</v>
      </c>
      <c r="N11014" t="s">
        <v>14</v>
      </c>
    </row>
    <row r="11015" x14ac:dyDescent="0.25">
      <c r="A11015" t="n">
        <v>24</v>
      </c>
      <c r="B11015" t="s">
        <v>14</v>
      </c>
      <c r="C11015" t="s">
        <v>22</v>
      </c>
      <c r="D11015" s="2" t="s">
        <f>=HYPERLINK("https://main.knesset.gov.il/APPS/legislation/main/bills/2156686", "הצעת חוק לאיחוד קווי החירום הטלפוניים, התשפ""א-2021")</f>
        <v>21291</v>
      </c>
      <c r="E11015" t="s">
        <v>21291</v>
      </c>
      <c r="F11015" t="s">
        <v>21292</v>
      </c>
      <c r="G11015" t="s">
        <v>14</v>
      </c>
      <c r="H11015">
             </c>
      <c r="I11015" t="s">
        <v>14</v>
      </c>
      <c r="J11015" t="s">
        <v>141</v>
      </c>
      <c r="K11015" t="s">
        <v>14</v>
      </c>
      <c r="L11015" t="s">
        <v>20</v>
      </c>
      <c r="M11015" t="s">
        <v>21288</v>
      </c>
      <c r="N11015" t="s">
        <v>14</v>
      </c>
    </row>
    <row r="11016" x14ac:dyDescent="0.25">
      <c r="A11016" t="n">
        <v>24</v>
      </c>
      <c r="B11016" t="s">
        <v>14</v>
      </c>
      <c r="C11016" t="s">
        <v>22</v>
      </c>
      <c r="D11016" s="2" t="s">
        <f>=HYPERLINK("https://main.knesset.gov.il/APPS/legislation/main/bills/2156675", "הצעת חוק לתיקון פקודת בתי הסוהר (מות אסיר), התשפ""א-2021")</f>
        <v>21293</v>
      </c>
      <c r="E11016" t="s">
        <v>21293</v>
      </c>
      <c r="F11016" t="s">
        <v>21294</v>
      </c>
      <c r="G11016" t="s">
        <v>14</v>
      </c>
      <c r="H11016">
             </c>
      <c r="I11016" t="s">
        <v>14</v>
      </c>
      <c r="J11016" t="s">
        <v>141</v>
      </c>
      <c r="K11016" t="s">
        <v>14</v>
      </c>
      <c r="L11016" t="s">
        <v>20</v>
      </c>
      <c r="M11016" t="s">
        <v>21288</v>
      </c>
      <c r="N11016" t="s">
        <v>14</v>
      </c>
    </row>
    <row r="11017" x14ac:dyDescent="0.25">
      <c r="A11017" t="n">
        <v>24</v>
      </c>
      <c r="B11017" t="s">
        <v>14</v>
      </c>
      <c r="C11017" t="s">
        <v>22</v>
      </c>
      <c r="D11017" s="2" t="s">
        <f>=HYPERLINK("https://main.knesset.gov.il/APPS/legislation/main/bills/2156527", "הצעת חוק מיסוי מקרקעין (שבח ורכישה) (תיקון - תשלום המס בתשלומים), התשפ""א-2021")</f>
        <v>21295</v>
      </c>
      <c r="E11017" t="s">
        <v>21295</v>
      </c>
      <c r="F11017" t="s">
        <v>21296</v>
      </c>
      <c r="G11017" t="s">
        <v>14</v>
      </c>
      <c r="H11017">
             </c>
      <c r="I11017" t="s">
        <v>14</v>
      </c>
      <c r="J11017" t="s">
        <v>343</v>
      </c>
      <c r="K11017" t="s">
        <v>14</v>
      </c>
      <c r="L11017" t="s">
        <v>20</v>
      </c>
      <c r="M11017" t="s">
        <v>21288</v>
      </c>
      <c r="N11017" t="s">
        <v>14</v>
      </c>
    </row>
    <row r="11018" x14ac:dyDescent="0.25">
      <c r="A11018" t="n">
        <v>24</v>
      </c>
      <c r="B11018" t="s">
        <v>14</v>
      </c>
      <c r="C11018" t="s">
        <v>22</v>
      </c>
      <c r="D11018" s="2" t="s">
        <f>=HYPERLINK("https://main.knesset.gov.il/APPS/legislation/main/bills/2156208", "הצעת חוק שוויון זכויות לאנשים עם מוגבלות (תיקון - בירור תלונות ופיקוח על שמירת זכויות של אנשים עם מוגבלות במסגרות מגורים), התשפ""א-2021")</f>
        <v>21297</v>
      </c>
      <c r="E11018" t="s">
        <v>21297</v>
      </c>
      <c r="F11018" t="s">
        <v>21298</v>
      </c>
      <c r="G11018" t="s">
        <v>14</v>
      </c>
      <c r="H11018">
             </c>
      <c r="I11018" t="s">
        <v>14</v>
      </c>
      <c r="J11018" t="s">
        <v>141</v>
      </c>
      <c r="K11018" t="s">
        <v>14</v>
      </c>
      <c r="L11018" t="s">
        <v>20</v>
      </c>
      <c r="M11018" t="s">
        <v>21288</v>
      </c>
      <c r="N11018" t="s">
        <v>14</v>
      </c>
    </row>
    <row r="11019" x14ac:dyDescent="0.25">
      <c r="A11019" t="n">
        <v>24</v>
      </c>
      <c r="B11019" t="s">
        <v>14</v>
      </c>
      <c r="C11019" t="s">
        <v>22</v>
      </c>
      <c r="D11019" s="2" t="s">
        <f>=HYPERLINK("https://main.knesset.gov.il/APPS/legislation/main/bills/2156463", "הצעת חוק להסדרת הטיפול באריזות (תיקון - החלת החוק על מכלי משקה גדולים), התשפ""א-2021")</f>
        <v>21299</v>
      </c>
      <c r="E11019" t="s">
        <v>21299</v>
      </c>
      <c r="F11019" t="s">
        <v>21300</v>
      </c>
      <c r="G11019" t="s">
        <v>14</v>
      </c>
      <c r="H11019">
             </c>
      <c r="I11019" t="s">
        <v>14</v>
      </c>
      <c r="J11019" t="s">
        <v>141</v>
      </c>
      <c r="K11019" t="s">
        <v>14</v>
      </c>
      <c r="L11019" t="s">
        <v>20</v>
      </c>
      <c r="M11019" t="s">
        <v>21288</v>
      </c>
      <c r="N11019" t="s">
        <v>14</v>
      </c>
    </row>
    <row r="11020" x14ac:dyDescent="0.25">
      <c r="A11020" t="n">
        <v>24</v>
      </c>
      <c r="B11020" t="s">
        <v>14</v>
      </c>
      <c r="C11020" t="s">
        <v>22</v>
      </c>
      <c r="D11020" s="2" t="s">
        <f>=HYPERLINK("https://main.knesset.gov.il/APPS/legislation/main/bills/2156669", "הצעת חוק בתי המשפט (תיקון - פרסום פסיקה בענייני משפחה), התשפ""א-2021")</f>
        <v>21301</v>
      </c>
      <c r="E11020" t="s">
        <v>21301</v>
      </c>
      <c r="F11020" t="s">
        <v>21302</v>
      </c>
      <c r="G11020" t="s">
        <v>14</v>
      </c>
      <c r="H11020">
             </c>
      <c r="I11020" t="s">
        <v>14</v>
      </c>
      <c r="J11020" t="s">
        <v>141</v>
      </c>
      <c r="K11020" t="s">
        <v>14</v>
      </c>
      <c r="L11020" t="s">
        <v>20</v>
      </c>
      <c r="M11020" t="s">
        <v>21288</v>
      </c>
      <c r="N11020" t="s">
        <v>14</v>
      </c>
    </row>
    <row r="11021" x14ac:dyDescent="0.25">
      <c r="A11021" t="n">
        <v>24</v>
      </c>
      <c r="B11021" t="s">
        <v>14</v>
      </c>
      <c r="C11021" t="s">
        <v>22</v>
      </c>
      <c r="D11021" s="2" t="s">
        <f>=HYPERLINK("https://main.knesset.gov.il/APPS/legislation/main/bills/2156476", "הצעת חוק ביטוח בריאות ממלכתי (תיקון - הגבלת סכום ההשתתפות העצמית בתכשיר מרשם), התשפ""א-2021")</f>
        <v>21303</v>
      </c>
      <c r="E11021" t="s">
        <v>21303</v>
      </c>
      <c r="F11021" t="s">
        <v>21304</v>
      </c>
      <c r="G11021" t="s">
        <v>14</v>
      </c>
      <c r="H11021">
             </c>
      <c r="I11021" t="s">
        <v>14</v>
      </c>
      <c r="J11021" t="s">
        <v>141</v>
      </c>
      <c r="K11021" t="s">
        <v>14</v>
      </c>
      <c r="L11021" t="s">
        <v>20</v>
      </c>
      <c r="M11021" t="s">
        <v>21288</v>
      </c>
      <c r="N11021" t="s">
        <v>14</v>
      </c>
    </row>
    <row r="11022" x14ac:dyDescent="0.25">
      <c r="A11022" t="n">
        <v>24</v>
      </c>
      <c r="B11022" t="s">
        <v>14</v>
      </c>
      <c r="C11022" t="s">
        <v>22</v>
      </c>
      <c r="D11022" s="2" t="s">
        <f>=HYPERLINK("https://main.knesset.gov.il/APPS/legislation/main/bills/2156369", "הצעת חוק זכויות החולה (תיקון - הכנסת מזון למוסדות רפואיים בחג הפסח), התשפ""א-2021")</f>
        <v>19574</v>
      </c>
      <c r="E11022" t="s">
        <v>19574</v>
      </c>
      <c r="F11022" t="s">
        <v>21305</v>
      </c>
      <c r="G11022" t="s">
        <v>14</v>
      </c>
      <c r="H11022">
             </c>
      <c r="I11022" t="s">
        <v>14</v>
      </c>
      <c r="J11022" t="s">
        <v>141</v>
      </c>
      <c r="K11022" t="s">
        <v>14</v>
      </c>
      <c r="L11022" t="s">
        <v>20</v>
      </c>
      <c r="M11022" t="s">
        <v>21288</v>
      </c>
      <c r="N11022" t="s">
        <v>14</v>
      </c>
    </row>
    <row r="11023" x14ac:dyDescent="0.25">
      <c r="A11023" t="n">
        <v>24</v>
      </c>
      <c r="B11023" t="s">
        <v>14</v>
      </c>
      <c r="C11023" t="s">
        <v>22</v>
      </c>
      <c r="D11023" s="2" t="s">
        <f>=HYPERLINK("https://main.knesset.gov.il/APPS/legislation/main/bills/2156939", "הצעת חוק סדר הדין הפלילי (חקירת חשודים) (תיקון - זכויות חשודים), התשפ""א-2021")</f>
        <v>21306</v>
      </c>
      <c r="E11023" t="s">
        <v>21306</v>
      </c>
      <c r="F11023" t="s">
        <v>21307</v>
      </c>
      <c r="G11023" t="s">
        <v>14</v>
      </c>
      <c r="H11023">
             </c>
      <c r="I11023" t="s">
        <v>14</v>
      </c>
      <c r="J11023" t="s">
        <v>141</v>
      </c>
      <c r="K11023" t="s">
        <v>14</v>
      </c>
      <c r="L11023" t="s">
        <v>20</v>
      </c>
      <c r="M11023" t="s">
        <v>21288</v>
      </c>
      <c r="N11023" t="s">
        <v>14</v>
      </c>
    </row>
    <row r="11024" x14ac:dyDescent="0.25">
      <c r="A11024" t="n">
        <v>24</v>
      </c>
      <c r="B11024" t="s">
        <v>14</v>
      </c>
      <c r="C11024" t="s">
        <v>22</v>
      </c>
      <c r="D11024" s="2" t="s">
        <f>=HYPERLINK("https://main.knesset.gov.il/APPS/legislation/main/bills/2156187", "הצעת חוק הצבת מכשירי החייאה במקומות ציבוריים (תיקון - בדיקות תקינות שנתיות ותיעודן), התשפ""א-2021")</f>
        <v>21308</v>
      </c>
      <c r="E11024" t="s">
        <v>21308</v>
      </c>
      <c r="F11024" t="s">
        <v>21309</v>
      </c>
      <c r="G11024" t="s">
        <v>14</v>
      </c>
      <c r="H11024">
             </c>
      <c r="I11024" t="s">
        <v>14</v>
      </c>
      <c r="J11024" t="s">
        <v>141</v>
      </c>
      <c r="K11024" t="s">
        <v>14</v>
      </c>
      <c r="L11024" t="s">
        <v>20</v>
      </c>
      <c r="M11024" t="s">
        <v>21288</v>
      </c>
      <c r="N11024" t="s">
        <v>14</v>
      </c>
    </row>
    <row r="11025" x14ac:dyDescent="0.25">
      <c r="A11025" t="n">
        <v>24</v>
      </c>
      <c r="B11025" t="s">
        <v>14</v>
      </c>
      <c r="C11025" t="s">
        <v>22</v>
      </c>
      <c r="D11025" s="2" t="s">
        <f>=HYPERLINK("https://main.knesset.gov.il/APPS/legislation/main/bills/2156442", "הצעת חוק חוזה הביטוח (תיקון - מניעת כפל ביטוחים), התשפ""א-2021")</f>
        <v>21310</v>
      </c>
      <c r="E11025" t="s">
        <v>21310</v>
      </c>
      <c r="F11025" t="s">
        <v>21311</v>
      </c>
      <c r="G11025" t="s">
        <v>14</v>
      </c>
      <c r="H11025">
             </c>
      <c r="I11025" t="s">
        <v>14</v>
      </c>
      <c r="J11025" t="s">
        <v>141</v>
      </c>
      <c r="K11025" t="s">
        <v>14</v>
      </c>
      <c r="L11025" t="s">
        <v>20</v>
      </c>
      <c r="M11025" t="s">
        <v>21288</v>
      </c>
      <c r="N11025" t="s">
        <v>14</v>
      </c>
    </row>
    <row r="11026" x14ac:dyDescent="0.25">
      <c r="A11026" t="n">
        <v>24</v>
      </c>
      <c r="B11026" t="s">
        <v>14</v>
      </c>
      <c r="C11026" t="s">
        <v>22</v>
      </c>
      <c r="D11026" s="2" t="s">
        <f>=HYPERLINK("https://main.knesset.gov.il/APPS/legislation/main/bills/2156182", "הצעת חוק דמי מחלה (תיקון - יתרה שלילית של ימי מחלה), התשפ""א-2021")</f>
        <v>21312</v>
      </c>
      <c r="E11026" t="s">
        <v>21312</v>
      </c>
      <c r="F11026" t="s">
        <v>21313</v>
      </c>
      <c r="G11026" t="s">
        <v>14</v>
      </c>
      <c r="H11026">
             </c>
      <c r="I11026" t="s">
        <v>14</v>
      </c>
      <c r="J11026" t="s">
        <v>141</v>
      </c>
      <c r="K11026" t="s">
        <v>14</v>
      </c>
      <c r="L11026" t="s">
        <v>20</v>
      </c>
      <c r="M11026" t="s">
        <v>21288</v>
      </c>
      <c r="N11026" t="s">
        <v>14</v>
      </c>
    </row>
    <row r="11027" x14ac:dyDescent="0.25">
      <c r="A11027" t="n">
        <v>24</v>
      </c>
      <c r="B11027" t="s">
        <v>14</v>
      </c>
      <c r="C11027" t="s">
        <v>22</v>
      </c>
      <c r="D11027" s="2" t="s">
        <f>=HYPERLINK("https://main.knesset.gov.il/APPS/legislation/main/bills/2156665", "הצעת חוק זכויות נפגעי עבירה (תיקון - חובת מסירת הודעה בדבר כניסה, יציאה ושחרור של נידון ממעון נעול), התשפ""א-2021")</f>
        <v>21314</v>
      </c>
      <c r="E11027" t="s">
        <v>21314</v>
      </c>
      <c r="F11027" t="s">
        <v>21315</v>
      </c>
      <c r="G11027" t="s">
        <v>14</v>
      </c>
      <c r="H11027">
             </c>
      <c r="I11027" t="s">
        <v>14</v>
      </c>
      <c r="J11027" t="s">
        <v>141</v>
      </c>
      <c r="K11027" t="s">
        <v>14</v>
      </c>
      <c r="L11027" t="s">
        <v>20</v>
      </c>
      <c r="M11027" t="s">
        <v>21288</v>
      </c>
      <c r="N11027" t="s">
        <v>14</v>
      </c>
    </row>
    <row r="11028" x14ac:dyDescent="0.25">
      <c r="A11028" t="n">
        <v>24</v>
      </c>
      <c r="B11028" t="s">
        <v>14</v>
      </c>
      <c r="C11028" t="s">
        <v>22</v>
      </c>
      <c r="D11028" s="2" t="s">
        <f>=HYPERLINK("https://main.knesset.gov.il/APPS/legislation/main/bills/2156973", "הצעת חוק שכר מינימום (תיקון - שכר מינימום לעובד שטרם מלאו לו 18 שנים), התשפ""א-2021")</f>
        <v>20213</v>
      </c>
      <c r="E11028" t="s">
        <v>20213</v>
      </c>
      <c r="F11028" t="s">
        <v>21316</v>
      </c>
      <c r="G11028" t="s">
        <v>14</v>
      </c>
      <c r="H11028">
             </c>
      <c r="I11028" t="s">
        <v>14</v>
      </c>
      <c r="J11028" t="s">
        <v>141</v>
      </c>
      <c r="K11028" t="s">
        <v>14</v>
      </c>
      <c r="L11028" t="s">
        <v>20</v>
      </c>
      <c r="M11028" t="s">
        <v>21288</v>
      </c>
      <c r="N11028" t="s">
        <v>14</v>
      </c>
    </row>
    <row r="11029" x14ac:dyDescent="0.25">
      <c r="A11029" t="n">
        <v>24</v>
      </c>
      <c r="B11029" t="s">
        <v>14</v>
      </c>
      <c r="C11029" t="s">
        <v>22</v>
      </c>
      <c r="D11029" s="2" t="s">
        <f>=HYPERLINK("https://main.knesset.gov.il/APPS/legislation/main/bills/2156167", "הצעת חוק הביטוח הלאומי (תיקון - דמי אבטלה לעובד שפוטר לאחר שהגיע לגיל פרישה), התשפ""א-2021")</f>
        <v>21317</v>
      </c>
      <c r="E11029" t="s">
        <v>21317</v>
      </c>
      <c r="F11029" t="s">
        <v>21318</v>
      </c>
      <c r="G11029" t="s">
        <v>14</v>
      </c>
      <c r="H11029">
             </c>
      <c r="I11029" t="s">
        <v>14</v>
      </c>
      <c r="J11029" t="s">
        <v>141</v>
      </c>
      <c r="K11029" t="s">
        <v>14</v>
      </c>
      <c r="L11029" t="s">
        <v>20</v>
      </c>
      <c r="M11029" t="s">
        <v>21288</v>
      </c>
      <c r="N11029" t="s">
        <v>14</v>
      </c>
    </row>
    <row r="11030" x14ac:dyDescent="0.25">
      <c r="A11030" t="n">
        <v>24</v>
      </c>
      <c r="B11030" t="s">
        <v>14</v>
      </c>
      <c r="C11030" t="s">
        <v>22</v>
      </c>
      <c r="D11030" s="2" t="s">
        <f>=HYPERLINK("https://main.knesset.gov.il/APPS/legislation/main/bills/2156422", "הצעת חוק העונשין (תיקון - איסור שיווק ומכירת הימורים בידי מי שאינו בעל היתר, פועל מטעמו או בפיקוחו), התשפ""א-2021")</f>
        <v>21319</v>
      </c>
      <c r="E11030" t="s">
        <v>21319</v>
      </c>
      <c r="F11030" t="s">
        <v>21320</v>
      </c>
      <c r="G11030" t="s">
        <v>14</v>
      </c>
      <c r="H11030">
             </c>
      <c r="I11030" t="s">
        <v>14</v>
      </c>
      <c r="J11030" t="s">
        <v>141</v>
      </c>
      <c r="K11030" t="s">
        <v>14</v>
      </c>
      <c r="L11030" t="s">
        <v>20</v>
      </c>
      <c r="M11030" t="s">
        <v>21288</v>
      </c>
      <c r="N11030" t="s">
        <v>14</v>
      </c>
    </row>
    <row r="11031" x14ac:dyDescent="0.25">
      <c r="A11031" t="n">
        <v>24</v>
      </c>
      <c r="B11031" t="s">
        <v>14</v>
      </c>
      <c r="C11031" t="s">
        <v>22</v>
      </c>
      <c r="D11031" s="2" t="s">
        <f>=HYPERLINK("https://main.knesset.gov.il/APPS/legislation/main/bills/2156161", "הצעת חוק דמי מחלה (תיקון - הצהרת מחלה), התשפ""א-2021")</f>
        <v>20029</v>
      </c>
      <c r="E11031" t="s">
        <v>20029</v>
      </c>
      <c r="F11031" t="s">
        <v>21321</v>
      </c>
      <c r="G11031" t="s">
        <v>14</v>
      </c>
      <c r="H11031">
             </c>
      <c r="I11031" t="s">
        <v>14</v>
      </c>
      <c r="J11031" t="s">
        <v>141</v>
      </c>
      <c r="K11031" t="s">
        <v>14</v>
      </c>
      <c r="L11031" t="s">
        <v>20</v>
      </c>
      <c r="M11031" t="s">
        <v>21288</v>
      </c>
      <c r="N11031" t="s">
        <v>14</v>
      </c>
    </row>
    <row r="11032" x14ac:dyDescent="0.25">
      <c r="A11032" t="n">
        <v>24</v>
      </c>
      <c r="B11032" t="s">
        <v>14</v>
      </c>
      <c r="C11032" t="s">
        <v>22</v>
      </c>
      <c r="D11032" s="2" t="s">
        <f>=HYPERLINK("https://main.knesset.gov.il/APPS/legislation/main/bills/2156968", "הצעת חוק הצבת מכשירי החייאה במקומות ציבוריים (תיקון - חובת הצבת מכשיר החייאה בבנייני מגורים גדולים), התשפ""א-2021")</f>
        <v>21322</v>
      </c>
      <c r="E11032" t="s">
        <v>21322</v>
      </c>
      <c r="F11032" t="s">
        <v>21323</v>
      </c>
      <c r="G11032" t="s">
        <v>14</v>
      </c>
      <c r="H11032">
             </c>
      <c r="I11032" t="s">
        <v>14</v>
      </c>
      <c r="J11032" t="s">
        <v>141</v>
      </c>
      <c r="K11032" t="s">
        <v>14</v>
      </c>
      <c r="L11032" t="s">
        <v>20</v>
      </c>
      <c r="M11032" t="s">
        <v>21288</v>
      </c>
      <c r="N11032" t="s">
        <v>14</v>
      </c>
    </row>
    <row r="11033" x14ac:dyDescent="0.25">
      <c r="A11033" t="n">
        <v>24</v>
      </c>
      <c r="B11033" t="s">
        <v>14</v>
      </c>
      <c r="C11033" t="s">
        <v>22</v>
      </c>
      <c r="D11033" s="2" t="s">
        <f>=HYPERLINK("https://main.knesset.gov.il/APPS/legislation/main/bills/2156149", "הצעת חוק הביטוח הלאומי (תיקון - הארכת תקופת הזכאות לדמי אבטלה לצעירים), התשפ""א-2021")</f>
        <v>21324</v>
      </c>
      <c r="E11033" t="s">
        <v>21324</v>
      </c>
      <c r="F11033" t="s">
        <v>21325</v>
      </c>
      <c r="G11033" t="s">
        <v>14</v>
      </c>
      <c r="H11033">
             </c>
      <c r="I11033" t="s">
        <v>14</v>
      </c>
      <c r="J11033" t="s">
        <v>141</v>
      </c>
      <c r="K11033" t="s">
        <v>14</v>
      </c>
      <c r="L11033" t="s">
        <v>20</v>
      </c>
      <c r="M11033" t="s">
        <v>21288</v>
      </c>
      <c r="N11033" t="s">
        <v>14</v>
      </c>
    </row>
    <row r="11034" x14ac:dyDescent="0.25">
      <c r="A11034" t="n">
        <v>24</v>
      </c>
      <c r="B11034" t="s">
        <v>14</v>
      </c>
      <c r="C11034" t="s">
        <v>22</v>
      </c>
      <c r="D11034" s="2" t="s">
        <f>=HYPERLINK("https://main.knesset.gov.il/APPS/legislation/main/bills/2156813", "הצעת חוק העונשין (תיקון - נשיאת מאסר בעבודת שירות), התשפ""א-2021")</f>
        <v>21326</v>
      </c>
      <c r="E11034" t="s">
        <v>21326</v>
      </c>
      <c r="F11034" t="s">
        <v>21327</v>
      </c>
      <c r="G11034" t="s">
        <v>14</v>
      </c>
      <c r="H11034">
             </c>
      <c r="I11034" t="s">
        <v>14</v>
      </c>
      <c r="J11034" t="s">
        <v>141</v>
      </c>
      <c r="K11034" t="s">
        <v>14</v>
      </c>
      <c r="L11034" t="s">
        <v>20</v>
      </c>
      <c r="M11034" t="s">
        <v>21288</v>
      </c>
      <c r="N11034" t="s">
        <v>14</v>
      </c>
    </row>
    <row r="11035" x14ac:dyDescent="0.25">
      <c r="A11035" t="n">
        <v>24</v>
      </c>
      <c r="B11035" t="s">
        <v>14</v>
      </c>
      <c r="C11035" t="s">
        <v>22</v>
      </c>
      <c r="D11035" s="2" t="s">
        <f>=HYPERLINK("https://main.knesset.gov.il/APPS/legislation/main/bills/2156419", "הצעת חוק מיסוי מקרקעין (שבח ורכישה) (תיקון - חזקת דירה יחידה), התשפ""א-2021")</f>
        <v>21328</v>
      </c>
      <c r="E11035" t="s">
        <v>21328</v>
      </c>
      <c r="F11035" t="s">
        <v>21329</v>
      </c>
      <c r="G11035" t="s">
        <v>14</v>
      </c>
      <c r="H11035">
             </c>
      <c r="I11035" t="s">
        <v>14</v>
      </c>
      <c r="J11035" t="s">
        <v>141</v>
      </c>
      <c r="K11035" t="s">
        <v>14</v>
      </c>
      <c r="L11035" t="s">
        <v>20</v>
      </c>
      <c r="M11035" t="s">
        <v>21288</v>
      </c>
      <c r="N11035" t="s">
        <v>14</v>
      </c>
    </row>
    <row r="11036" x14ac:dyDescent="0.25">
      <c r="A11036" t="n">
        <v>24</v>
      </c>
      <c r="B11036" t="s">
        <v>14</v>
      </c>
      <c r="C11036" t="s">
        <v>22</v>
      </c>
      <c r="D11036" s="2" t="s">
        <f>=HYPERLINK("https://main.knesset.gov.il/APPS/legislation/main/bills/2156964", "הצעת חוק סיוע לבני משפחה של נפטר ממחלה סופנית, התשפ""א-2021")</f>
        <v>21330</v>
      </c>
      <c r="E11036" t="s">
        <v>21330</v>
      </c>
      <c r="F11036" t="s">
        <v>21331</v>
      </c>
      <c r="G11036" t="s">
        <v>14</v>
      </c>
      <c r="H11036">
             </c>
      <c r="I11036" t="s">
        <v>14</v>
      </c>
      <c r="J11036" t="s">
        <v>141</v>
      </c>
      <c r="K11036" t="s">
        <v>14</v>
      </c>
      <c r="L11036" t="s">
        <v>20</v>
      </c>
      <c r="M11036" t="s">
        <v>21288</v>
      </c>
      <c r="N11036" t="s">
        <v>14</v>
      </c>
    </row>
    <row r="11037" x14ac:dyDescent="0.25">
      <c r="A11037" t="n">
        <v>24</v>
      </c>
      <c r="B11037" t="s">
        <v>14</v>
      </c>
      <c r="C11037" t="s">
        <v>22</v>
      </c>
      <c r="D11037" s="2" t="s">
        <f>=HYPERLINK("https://main.knesset.gov.il/APPS/legislation/main/bills/2156920", "הצעת חוק יישוב סכסוכי עבודה (תיקון - סכסוך עבודה פוליטי), התשפ""א-2021")</f>
        <v>21332</v>
      </c>
      <c r="E11037" t="s">
        <v>21332</v>
      </c>
      <c r="F11037" t="s">
        <v>21333</v>
      </c>
      <c r="G11037" t="s">
        <v>14</v>
      </c>
      <c r="H11037">
             </c>
      <c r="I11037" t="s">
        <v>14</v>
      </c>
      <c r="J11037" t="s">
        <v>141</v>
      </c>
      <c r="K11037" t="s">
        <v>14</v>
      </c>
      <c r="L11037" t="s">
        <v>20</v>
      </c>
      <c r="M11037" t="s">
        <v>21288</v>
      </c>
      <c r="N11037" t="s">
        <v>14</v>
      </c>
    </row>
    <row r="11038" x14ac:dyDescent="0.25">
      <c r="A11038" t="n">
        <v>24</v>
      </c>
      <c r="B11038" t="s">
        <v>14</v>
      </c>
      <c r="C11038" t="s">
        <v>22</v>
      </c>
      <c r="D11038" s="2" t="s">
        <f>=HYPERLINK("https://main.knesset.gov.il/APPS/legislation/main/bills/2156843", "הצעת חוק דמי מחלה (היעדרות בשל מחלת ילד) (תיקון - התליית מספר ימי ההיעדרות במספר ילדי העובד), התשפ""א-2021")</f>
        <v>21334</v>
      </c>
      <c r="E11038" t="s">
        <v>21334</v>
      </c>
      <c r="F11038" t="s">
        <v>21335</v>
      </c>
      <c r="G11038" t="s">
        <v>14</v>
      </c>
      <c r="H11038">
             </c>
      <c r="I11038" t="s">
        <v>14</v>
      </c>
      <c r="J11038" t="s">
        <v>141</v>
      </c>
      <c r="K11038" t="s">
        <v>14</v>
      </c>
      <c r="L11038" t="s">
        <v>20</v>
      </c>
      <c r="M11038" t="s">
        <v>21288</v>
      </c>
      <c r="N11038" t="s">
        <v>14</v>
      </c>
    </row>
    <row r="11039" x14ac:dyDescent="0.25">
      <c r="A11039" t="n">
        <v>24</v>
      </c>
      <c r="B11039" t="s">
        <v>14</v>
      </c>
      <c r="C11039" t="s">
        <v>22</v>
      </c>
      <c r="D11039" s="2" t="s">
        <f>=HYPERLINK("https://main.knesset.gov.il/APPS/legislation/main/bills/2156641", "הצעת חוק ידועים בציבור, התשפ""א-2021")</f>
        <v>21336</v>
      </c>
      <c r="E11039" t="s">
        <v>21336</v>
      </c>
      <c r="F11039" t="s">
        <v>21337</v>
      </c>
      <c r="G11039" t="s">
        <v>14</v>
      </c>
      <c r="H11039">
             </c>
      <c r="I11039" t="s">
        <v>14</v>
      </c>
      <c r="J11039" t="s">
        <v>141</v>
      </c>
      <c r="K11039" t="s">
        <v>14</v>
      </c>
      <c r="L11039" t="s">
        <v>20</v>
      </c>
      <c r="M11039" t="s">
        <v>21288</v>
      </c>
      <c r="N11039" t="s">
        <v>14</v>
      </c>
    </row>
    <row r="11040" x14ac:dyDescent="0.25">
      <c r="A11040" t="n">
        <v>24</v>
      </c>
      <c r="B11040" t="s">
        <v>14</v>
      </c>
      <c r="C11040" t="s">
        <v>22</v>
      </c>
      <c r="D11040" s="2" t="s">
        <f>=HYPERLINK("https://main.knesset.gov.il/APPS/legislation/main/bills/2156766", "הצעת חוק הגנת השכר (תיקון - התיישנות), התשפ""א-2021")</f>
        <v>21338</v>
      </c>
      <c r="E11040" t="s">
        <v>21338</v>
      </c>
      <c r="F11040" t="s">
        <v>21339</v>
      </c>
      <c r="G11040" t="s">
        <v>14</v>
      </c>
      <c r="H11040">
             </c>
      <c r="I11040" t="s">
        <v>14</v>
      </c>
      <c r="J11040" t="s">
        <v>141</v>
      </c>
      <c r="K11040" t="s">
        <v>14</v>
      </c>
      <c r="L11040" t="s">
        <v>20</v>
      </c>
      <c r="M11040" t="s">
        <v>21288</v>
      </c>
      <c r="N11040" t="s">
        <v>14</v>
      </c>
    </row>
    <row r="11041" x14ac:dyDescent="0.25">
      <c r="A11041" t="n">
        <v>24</v>
      </c>
      <c r="B11041" t="s">
        <v>14</v>
      </c>
      <c r="C11041" t="s">
        <v>22</v>
      </c>
      <c r="D11041" s="2" t="s">
        <f>=HYPERLINK("https://main.knesset.gov.il/APPS/legislation/main/bills/2156384", "הצעת חוק הביטוח הלאומי (תיקון - ניכוי הכנסה חודשית שלא מעבודה או ממשלח יד), התשפ""א-2021")</f>
        <v>21340</v>
      </c>
      <c r="E11041" t="s">
        <v>21340</v>
      </c>
      <c r="F11041" t="s">
        <v>21341</v>
      </c>
      <c r="G11041" t="s">
        <v>14</v>
      </c>
      <c r="H11041">
             </c>
      <c r="I11041" t="s">
        <v>14</v>
      </c>
      <c r="J11041" t="s">
        <v>141</v>
      </c>
      <c r="K11041" t="s">
        <v>14</v>
      </c>
      <c r="L11041" t="s">
        <v>20</v>
      </c>
      <c r="M11041" t="s">
        <v>21288</v>
      </c>
      <c r="N11041" t="s">
        <v>14</v>
      </c>
    </row>
    <row r="11042" x14ac:dyDescent="0.25">
      <c r="A11042" t="n">
        <v>24</v>
      </c>
      <c r="B11042" t="s">
        <v>14</v>
      </c>
      <c r="C11042" t="s">
        <v>22</v>
      </c>
      <c r="D11042" s="2" t="s">
        <f>=HYPERLINK("https://main.knesset.gov.il/APPS/legislation/main/bills/2156636", "הצעת חוק העונשין (תיקון - איסור מתן טיפול המרה לקטין), התשפ""א-2021")</f>
        <v>21342</v>
      </c>
      <c r="E11042" t="s">
        <v>21342</v>
      </c>
      <c r="F11042" t="s">
        <v>21343</v>
      </c>
      <c r="G11042" t="s">
        <v>14</v>
      </c>
      <c r="H11042">
             </c>
      <c r="I11042" t="s">
        <v>14</v>
      </c>
      <c r="J11042" t="s">
        <v>141</v>
      </c>
      <c r="K11042" t="s">
        <v>14</v>
      </c>
      <c r="L11042" t="s">
        <v>20</v>
      </c>
      <c r="M11042" t="s">
        <v>21288</v>
      </c>
      <c r="N11042" t="s">
        <v>14</v>
      </c>
    </row>
    <row r="11043" x14ac:dyDescent="0.25">
      <c r="A11043" t="n">
        <v>24</v>
      </c>
      <c r="B11043" t="s">
        <v>14</v>
      </c>
      <c r="C11043" t="s">
        <v>22</v>
      </c>
      <c r="D11043" s="2" t="s">
        <f>=HYPERLINK("https://main.knesset.gov.il/APPS/legislation/main/bills/2157933", "הצעת חוק לתיקון פקודת העיריות (תשלום עבור המצאת מסמכי מכרז), התשפ""א-2021")</f>
        <v>21344</v>
      </c>
      <c r="E11043" t="s">
        <v>21344</v>
      </c>
      <c r="F11043" t="s">
        <v>21345</v>
      </c>
      <c r="G11043" t="s">
        <v>14</v>
      </c>
      <c r="H11043">
             </c>
      <c r="I11043" t="s">
        <v>14</v>
      </c>
      <c r="J11043" t="s">
        <v>141</v>
      </c>
      <c r="K11043" t="s">
        <v>14</v>
      </c>
      <c r="L11043" t="s">
        <v>20</v>
      </c>
      <c r="M11043" t="s">
        <v>21288</v>
      </c>
      <c r="N11043" t="s">
        <v>14</v>
      </c>
    </row>
    <row r="11044" x14ac:dyDescent="0.25">
      <c r="A11044" t="n">
        <v>24</v>
      </c>
      <c r="B11044" t="s">
        <v>14</v>
      </c>
      <c r="C11044" t="s">
        <v>22</v>
      </c>
      <c r="D11044" s="2" t="s">
        <f>=HYPERLINK("https://main.knesset.gov.il/APPS/legislation/main/bills/2157538", "הצעת חוק החזקת תכשיר אפינפרין במוסדות חינוך ובמקומות ציבוריים (תיקון - החזקת תכשיר אפינפרין בבית אוכל), התשפ""א-2021")</f>
        <v>20215</v>
      </c>
      <c r="E11044" t="s">
        <v>20215</v>
      </c>
      <c r="F11044" t="s">
        <v>21346</v>
      </c>
      <c r="G11044" t="s">
        <v>14</v>
      </c>
      <c r="H11044">
             </c>
      <c r="I11044" t="s">
        <v>14</v>
      </c>
      <c r="J11044" t="s">
        <v>141</v>
      </c>
      <c r="K11044" t="s">
        <v>14</v>
      </c>
      <c r="L11044" t="s">
        <v>20</v>
      </c>
      <c r="M11044" t="s">
        <v>21288</v>
      </c>
      <c r="N11044" t="s">
        <v>14</v>
      </c>
    </row>
    <row r="11045" x14ac:dyDescent="0.25">
      <c r="A11045" t="n">
        <v>24</v>
      </c>
      <c r="B11045" t="s">
        <v>14</v>
      </c>
      <c r="C11045" t="s">
        <v>22</v>
      </c>
      <c r="D11045" s="2" t="s">
        <f>=HYPERLINK("https://main.knesset.gov.il/APPS/legislation/main/bills/2157871", "הצעת חוק לעידוד השקעות הון (תיקון - הטבות מס למפעלים תעשיתיים חדשים), התשפ""א-2021")</f>
        <v>21347</v>
      </c>
      <c r="E11045" t="s">
        <v>21347</v>
      </c>
      <c r="F11045" t="s">
        <v>21348</v>
      </c>
      <c r="G11045" t="s">
        <v>14</v>
      </c>
      <c r="H11045">
             </c>
      <c r="I11045" t="s">
        <v>14</v>
      </c>
      <c r="J11045" t="s">
        <v>141</v>
      </c>
      <c r="K11045" t="s">
        <v>14</v>
      </c>
      <c r="L11045" t="s">
        <v>20</v>
      </c>
      <c r="M11045" t="s">
        <v>21288</v>
      </c>
      <c r="N11045" t="s">
        <v>14</v>
      </c>
    </row>
    <row r="11046" x14ac:dyDescent="0.25">
      <c r="A11046" t="n">
        <v>24</v>
      </c>
      <c r="B11046" t="s">
        <v>14</v>
      </c>
      <c r="C11046" t="s">
        <v>22</v>
      </c>
      <c r="D11046" s="2" t="s">
        <f>=HYPERLINK("https://main.knesset.gov.il/APPS/legislation/main/bills/2157744", "הצעת חוק להנצחת זכרו של רחבעם זאבי (תיקון - ביטול החוק), התשפ""א-2021")</f>
        <v>21349</v>
      </c>
      <c r="E11046" t="s">
        <v>21349</v>
      </c>
      <c r="F11046" t="s">
        <v>21350</v>
      </c>
      <c r="G11046" t="s">
        <v>14</v>
      </c>
      <c r="H11046">
             </c>
      <c r="I11046" t="s">
        <v>14</v>
      </c>
      <c r="J11046" t="s">
        <v>141</v>
      </c>
      <c r="K11046" t="s">
        <v>14</v>
      </c>
      <c r="L11046" t="s">
        <v>20</v>
      </c>
      <c r="M11046" t="s">
        <v>21288</v>
      </c>
      <c r="N11046" t="s">
        <v>14</v>
      </c>
    </row>
    <row r="11047" x14ac:dyDescent="0.25">
      <c r="A11047" t="n">
        <v>24</v>
      </c>
      <c r="B11047" t="s">
        <v>14</v>
      </c>
      <c r="C11047" t="s">
        <v>22</v>
      </c>
      <c r="D11047" s="2" t="s">
        <f>=HYPERLINK("https://main.knesset.gov.il/APPS/legislation/main/bills/2156760", "הצעת חוק הביטוח הלאומי (תיקון - הכנסה מביטוח אובדן כושר עבודה), התשפ""א-2021")</f>
        <v>21351</v>
      </c>
      <c r="E11047" t="s">
        <v>21351</v>
      </c>
      <c r="F11047" t="s">
        <v>21352</v>
      </c>
      <c r="G11047" t="s">
        <v>14</v>
      </c>
      <c r="H11047">
             </c>
      <c r="I11047" t="s">
        <v>14</v>
      </c>
      <c r="J11047" t="s">
        <v>141</v>
      </c>
      <c r="K11047" t="s">
        <v>14</v>
      </c>
      <c r="L11047" t="s">
        <v>20</v>
      </c>
      <c r="M11047" t="s">
        <v>21288</v>
      </c>
      <c r="N11047" t="s">
        <v>14</v>
      </c>
    </row>
    <row r="11048" x14ac:dyDescent="0.25">
      <c r="A11048" t="n">
        <v>24</v>
      </c>
      <c r="B11048" t="s">
        <v>14</v>
      </c>
      <c r="C11048" t="s">
        <v>22</v>
      </c>
      <c r="D11048" s="2" t="s">
        <f>=HYPERLINK("https://main.knesset.gov.il/APPS/legislation/main/bills/2157394", "הצעת חוק להנצחת זכרו של רחבעם זאבי (תיקון - ביטול החוק), התשפ""א-2021")</f>
        <v>21349</v>
      </c>
      <c r="E11048" t="s">
        <v>21349</v>
      </c>
      <c r="F11048" t="s">
        <v>21353</v>
      </c>
      <c r="G11048" t="s">
        <v>14</v>
      </c>
      <c r="H11048">
             </c>
      <c r="I11048" t="s">
        <v>14</v>
      </c>
      <c r="J11048" t="s">
        <v>141</v>
      </c>
      <c r="K11048" t="s">
        <v>14</v>
      </c>
      <c r="L11048" t="s">
        <v>20</v>
      </c>
      <c r="M11048" t="s">
        <v>21288</v>
      </c>
      <c r="N11048" t="s">
        <v>14</v>
      </c>
    </row>
    <row r="11049" x14ac:dyDescent="0.25">
      <c r="A11049" t="n">
        <v>24</v>
      </c>
      <c r="B11049" t="s">
        <v>14</v>
      </c>
      <c r="C11049" t="s">
        <v>22</v>
      </c>
      <c r="D11049" s="2" t="s">
        <f>=HYPERLINK("https://main.knesset.gov.il/APPS/legislation/main/bills/2156919", "הצעת חוק יישוב סכסוכי עבודה (תיקון - בוררות חובה בשירותים חיוניים), התשפ""א-2021")</f>
        <v>21354</v>
      </c>
      <c r="E11049" t="s">
        <v>21354</v>
      </c>
      <c r="F11049" t="s">
        <v>21355</v>
      </c>
      <c r="G11049" t="s">
        <v>14</v>
      </c>
      <c r="H11049">
             </c>
      <c r="I11049" t="s">
        <v>14</v>
      </c>
      <c r="J11049" t="s">
        <v>141</v>
      </c>
      <c r="K11049" t="s">
        <v>14</v>
      </c>
      <c r="L11049" t="s">
        <v>20</v>
      </c>
      <c r="M11049" t="s">
        <v>21288</v>
      </c>
      <c r="N11049" t="s">
        <v>14</v>
      </c>
    </row>
    <row r="11050" x14ac:dyDescent="0.25">
      <c r="A11050" t="n">
        <v>24</v>
      </c>
      <c r="B11050" t="s">
        <v>14</v>
      </c>
      <c r="C11050" t="s">
        <v>22</v>
      </c>
      <c r="D11050" s="2" t="s">
        <f>=HYPERLINK("https://main.knesset.gov.il/APPS/legislation/main/bills/2156614", "הצעת חוק ההוצאה לפועל (תיקון - מקדמות על חשבון חוב מזונות ילד), התשפ""א-2021")</f>
        <v>18949</v>
      </c>
      <c r="E11050" t="s">
        <v>18949</v>
      </c>
      <c r="F11050" t="s">
        <v>21356</v>
      </c>
      <c r="G11050" t="s">
        <v>14</v>
      </c>
      <c r="H11050">
             </c>
      <c r="I11050" t="s">
        <v>14</v>
      </c>
      <c r="J11050" t="s">
        <v>141</v>
      </c>
      <c r="K11050" t="s">
        <v>14</v>
      </c>
      <c r="L11050" t="s">
        <v>20</v>
      </c>
      <c r="M11050" t="s">
        <v>21288</v>
      </c>
      <c r="N11050" t="s">
        <v>14</v>
      </c>
    </row>
    <row r="11051" x14ac:dyDescent="0.25">
      <c r="A11051" t="n">
        <v>24</v>
      </c>
      <c r="B11051" t="s">
        <v>14</v>
      </c>
      <c r="C11051" t="s">
        <v>22</v>
      </c>
      <c r="D11051" s="2" t="s">
        <f>=HYPERLINK("https://main.knesset.gov.il/APPS/legislation/main/bills/2156357", "הצעת חוק לתיקון פקודת התעבורה (מאגר מידע של ניקוד מסוכנות לעניין נהגים מקצועיים), התשפ""א-2021")</f>
        <v>21357</v>
      </c>
      <c r="E11051" t="s">
        <v>21357</v>
      </c>
      <c r="F11051" t="s">
        <v>21358</v>
      </c>
      <c r="G11051" t="s">
        <v>14</v>
      </c>
      <c r="H11051">
             </c>
      <c r="I11051" t="s">
        <v>14</v>
      </c>
      <c r="J11051" t="s">
        <v>141</v>
      </c>
      <c r="K11051" t="s">
        <v>14</v>
      </c>
      <c r="L11051" t="s">
        <v>20</v>
      </c>
      <c r="M11051" t="s">
        <v>21288</v>
      </c>
      <c r="N11051" t="s">
        <v>14</v>
      </c>
    </row>
    <row r="11052" x14ac:dyDescent="0.25">
      <c r="A11052" t="n">
        <v>24</v>
      </c>
      <c r="B11052" t="s">
        <v>14</v>
      </c>
      <c r="C11052" t="s">
        <v>22</v>
      </c>
      <c r="D11052" s="2" t="s">
        <f>=HYPERLINK("https://main.knesset.gov.il/APPS/legislation/main/bills/2157873", "הצעת חוק הארכיונים (תיקון - הגדרת חומר ארכיוני), התשפ""א-2021 ")</f>
        <v>21359</v>
      </c>
      <c r="E11052" t="s">
        <v>21359</v>
      </c>
      <c r="F11052" t="s">
        <v>21360</v>
      </c>
      <c r="G11052" t="s">
        <v>14</v>
      </c>
      <c r="H11052">
             </c>
      <c r="I11052" t="s">
        <v>14</v>
      </c>
      <c r="J11052" t="s">
        <v>141</v>
      </c>
      <c r="K11052" t="s">
        <v>14</v>
      </c>
      <c r="L11052" t="s">
        <v>20</v>
      </c>
      <c r="M11052" t="s">
        <v>21288</v>
      </c>
      <c r="N11052" t="s">
        <v>14</v>
      </c>
    </row>
    <row r="11053" x14ac:dyDescent="0.25">
      <c r="A11053" t="n">
        <v>24</v>
      </c>
      <c r="B11053" t="s">
        <v>14</v>
      </c>
      <c r="C11053" t="s">
        <v>22</v>
      </c>
      <c r="D11053" s="2" t="s">
        <f>=HYPERLINK("https://main.knesset.gov.il/APPS/legislation/main/bills/2156406", "הצעת חוק פקודת הראיות (תיקון - עדות יועץ תקשורת או דובר), התשפ""א-2021")</f>
        <v>21361</v>
      </c>
      <c r="E11053" t="s">
        <v>21361</v>
      </c>
      <c r="F11053" t="s">
        <v>21362</v>
      </c>
      <c r="G11053" t="s">
        <v>14</v>
      </c>
      <c r="H11053">
             </c>
      <c r="I11053" t="s">
        <v>14</v>
      </c>
      <c r="J11053" t="s">
        <v>141</v>
      </c>
      <c r="K11053" t="s">
        <v>14</v>
      </c>
      <c r="L11053" t="s">
        <v>20</v>
      </c>
      <c r="M11053" t="s">
        <v>21288</v>
      </c>
      <c r="N11053" t="s">
        <v>14</v>
      </c>
    </row>
    <row r="11054" x14ac:dyDescent="0.25">
      <c r="A11054" t="n">
        <v>24</v>
      </c>
      <c r="B11054" t="s">
        <v>14</v>
      </c>
      <c r="C11054" t="s">
        <v>22</v>
      </c>
      <c r="D11054" s="2" t="s">
        <f>=HYPERLINK("https://main.knesset.gov.il/APPS/legislation/main/bills/2157761", "הצעת חוק לתיקון פקודת התעבורה (הגבלת דמי חניה בחניוני בתי חולים), התשפ""א-2021")</f>
        <v>19844</v>
      </c>
      <c r="E11054" t="s">
        <v>19844</v>
      </c>
      <c r="F11054" t="s">
        <v>21363</v>
      </c>
      <c r="G11054" t="s">
        <v>14</v>
      </c>
      <c r="H11054">
             </c>
      <c r="I11054" t="s">
        <v>14</v>
      </c>
      <c r="J11054" t="s">
        <v>141</v>
      </c>
      <c r="K11054" t="s">
        <v>14</v>
      </c>
      <c r="L11054" t="s">
        <v>20</v>
      </c>
      <c r="M11054" t="s">
        <v>21288</v>
      </c>
      <c r="N11054" t="s">
        <v>14</v>
      </c>
    </row>
    <row r="11055" x14ac:dyDescent="0.25">
      <c r="A11055" t="n">
        <v>24</v>
      </c>
      <c r="B11055" t="s">
        <v>14</v>
      </c>
      <c r="C11055" t="s">
        <v>22</v>
      </c>
      <c r="D11055" s="2" t="s">
        <f>=HYPERLINK("https://main.knesset.gov.il/APPS/legislation/main/bills/2156950", "הצעת חוק שיקים ללא כיסוי (תיקון - חשבון פרטי וחשבון עסקי), התשפ""א-2021")</f>
        <v>21364</v>
      </c>
      <c r="E11055" t="s">
        <v>21364</v>
      </c>
      <c r="F11055" t="s">
        <v>21365</v>
      </c>
      <c r="G11055" t="s">
        <v>14</v>
      </c>
      <c r="H11055">
             </c>
      <c r="I11055" t="s">
        <v>14</v>
      </c>
      <c r="J11055" t="s">
        <v>141</v>
      </c>
      <c r="K11055" t="s">
        <v>14</v>
      </c>
      <c r="L11055" t="s">
        <v>20</v>
      </c>
      <c r="M11055" t="s">
        <v>21288</v>
      </c>
      <c r="N11055" t="s">
        <v>14</v>
      </c>
    </row>
    <row r="11056" x14ac:dyDescent="0.25">
      <c r="A11056" t="n">
        <v>24</v>
      </c>
      <c r="B11056" t="s">
        <v>14</v>
      </c>
      <c r="C11056" t="s">
        <v>22</v>
      </c>
      <c r="D11056" s="2" t="s">
        <f>=HYPERLINK("https://main.knesset.gov.il/APPS/legislation/main/bills/2156673", "הצעת חוק חופשה שנתית (תיקון - חופשה לרגל נישואין), התשפ""א-2021")</f>
        <v>21366</v>
      </c>
      <c r="E11056" t="s">
        <v>21366</v>
      </c>
      <c r="F11056" t="s">
        <v>21367</v>
      </c>
      <c r="G11056" t="s">
        <v>14</v>
      </c>
      <c r="H11056">
             </c>
      <c r="I11056" t="s">
        <v>14</v>
      </c>
      <c r="J11056" t="s">
        <v>141</v>
      </c>
      <c r="K11056" t="s">
        <v>14</v>
      </c>
      <c r="L11056" t="s">
        <v>20</v>
      </c>
      <c r="M11056" t="s">
        <v>21288</v>
      </c>
      <c r="N11056" t="s">
        <v>14</v>
      </c>
    </row>
    <row r="11057" x14ac:dyDescent="0.25">
      <c r="A11057" t="n">
        <v>24</v>
      </c>
      <c r="B11057" t="s">
        <v>14</v>
      </c>
      <c r="C11057" t="s">
        <v>22</v>
      </c>
      <c r="D11057" s="2" t="s">
        <f>=HYPERLINK("https://main.knesset.gov.il/APPS/legislation/main/bills/2157567", "הצעת חוק פיקוח על בתי ספר (תיקון - חובת הכנת תסקיר בטיחות), התשפ""א-2021")</f>
        <v>21368</v>
      </c>
      <c r="E11057" t="s">
        <v>21368</v>
      </c>
      <c r="F11057" t="s">
        <v>21369</v>
      </c>
      <c r="G11057" t="s">
        <v>14</v>
      </c>
      <c r="H11057">
             </c>
      <c r="I11057" t="s">
        <v>14</v>
      </c>
      <c r="J11057" t="s">
        <v>141</v>
      </c>
      <c r="K11057" t="s">
        <v>14</v>
      </c>
      <c r="L11057" t="s">
        <v>20</v>
      </c>
      <c r="M11057" t="s">
        <v>21288</v>
      </c>
      <c r="N11057" t="s">
        <v>14</v>
      </c>
    </row>
    <row r="11058" x14ac:dyDescent="0.25">
      <c r="A11058" t="n">
        <v>24</v>
      </c>
      <c r="B11058" t="s">
        <v>14</v>
      </c>
      <c r="C11058" t="s">
        <v>22</v>
      </c>
      <c r="D11058" s="2" t="s">
        <f>=HYPERLINK("https://main.knesset.gov.il/APPS/legislation/main/bills/2157551", "הצעת חוק לתיקון פקודת התעבורה (הבחינה העיונית לשם מתן רישיון נהיגה), התשפ""א-2021")</f>
        <v>21370</v>
      </c>
      <c r="E11058" t="s">
        <v>21370</v>
      </c>
      <c r="F11058" t="s">
        <v>21371</v>
      </c>
      <c r="G11058" t="s">
        <v>14</v>
      </c>
      <c r="H11058">
             </c>
      <c r="I11058" t="s">
        <v>14</v>
      </c>
      <c r="J11058" t="s">
        <v>141</v>
      </c>
      <c r="K11058" t="s">
        <v>14</v>
      </c>
      <c r="L11058" t="s">
        <v>20</v>
      </c>
      <c r="M11058" t="s">
        <v>21288</v>
      </c>
      <c r="N11058" t="s">
        <v>14</v>
      </c>
    </row>
    <row r="11059" x14ac:dyDescent="0.25">
      <c r="A11059" t="n">
        <v>24</v>
      </c>
      <c r="B11059" t="s">
        <v>14</v>
      </c>
      <c r="C11059" t="s">
        <v>22</v>
      </c>
      <c r="D11059" s="2" t="s">
        <f>=HYPERLINK("https://main.knesset.gov.il/APPS/legislation/main/bills/2157549", "הצעת חוק בינוי ופינוי של אזורי שיקום (כפר שלם), התשפ""א-2021")</f>
        <v>14698</v>
      </c>
      <c r="E11059" t="s">
        <v>14698</v>
      </c>
      <c r="F11059" t="s">
        <v>21372</v>
      </c>
      <c r="G11059" t="s">
        <v>14</v>
      </c>
      <c r="H11059">
             </c>
      <c r="I11059" t="s">
        <v>14</v>
      </c>
      <c r="J11059" t="s">
        <v>141</v>
      </c>
      <c r="K11059" t="s">
        <v>14</v>
      </c>
      <c r="L11059" t="s">
        <v>20</v>
      </c>
      <c r="M11059" t="s">
        <v>21288</v>
      </c>
      <c r="N11059" t="s">
        <v>14</v>
      </c>
    </row>
    <row r="11060" x14ac:dyDescent="0.25">
      <c r="A11060" t="n">
        <v>24</v>
      </c>
      <c r="B11060" t="s">
        <v>14</v>
      </c>
      <c r="C11060" t="s">
        <v>22</v>
      </c>
      <c r="D11060" s="2" t="s">
        <f>=HYPERLINK("https://main.knesset.gov.il/APPS/legislation/main/bills/2157263", "הצעת חוק חינוך ממלכתי (תיקון - איסור פעילות שיש בה שנאה בשל נטייה מינית, גזענות והדרת נשים במוסדות חינוך רשמיים), התשפ""א-2021")</f>
        <v>21373</v>
      </c>
      <c r="E11060" t="s">
        <v>21373</v>
      </c>
      <c r="F11060" t="s">
        <v>21374</v>
      </c>
      <c r="G11060" t="s">
        <v>14</v>
      </c>
      <c r="H11060">
             </c>
      <c r="I11060" t="s">
        <v>14</v>
      </c>
      <c r="J11060" t="s">
        <v>141</v>
      </c>
      <c r="K11060" t="s">
        <v>14</v>
      </c>
      <c r="L11060" t="s">
        <v>20</v>
      </c>
      <c r="M11060" t="s">
        <v>21288</v>
      </c>
      <c r="N11060" t="s">
        <v>14</v>
      </c>
    </row>
    <row r="11061" x14ac:dyDescent="0.25">
      <c r="A11061" t="n">
        <v>24</v>
      </c>
      <c r="B11061" t="s">
        <v>14</v>
      </c>
      <c r="C11061" t="s">
        <v>22</v>
      </c>
      <c r="D11061" s="2" t="s">
        <f>=HYPERLINK("https://main.knesset.gov.il/APPS/legislation/main/bills/2157343", "הצעת חוק חינוך פיננסי, התשפ""א-2021")</f>
        <v>19262</v>
      </c>
      <c r="E11061" t="s">
        <v>19262</v>
      </c>
      <c r="F11061" t="s">
        <v>21375</v>
      </c>
      <c r="G11061" t="s">
        <v>14</v>
      </c>
      <c r="H11061">
             </c>
      <c r="I11061" t="s">
        <v>14</v>
      </c>
      <c r="J11061" t="s">
        <v>141</v>
      </c>
      <c r="K11061" t="s">
        <v>14</v>
      </c>
      <c r="L11061" t="s">
        <v>20</v>
      </c>
      <c r="M11061" t="s">
        <v>21288</v>
      </c>
      <c r="N11061" t="s">
        <v>14</v>
      </c>
    </row>
    <row r="11062" x14ac:dyDescent="0.25">
      <c r="A11062" t="n">
        <v>24</v>
      </c>
      <c r="B11062" t="s">
        <v>14</v>
      </c>
      <c r="C11062" t="s">
        <v>22</v>
      </c>
      <c r="D11062" s="2" t="s">
        <f>=HYPERLINK("https://main.knesset.gov.il/APPS/legislation/main/bills/2157385", "הצעת חוק חינוך פיננסי, התשפ""א-2021")</f>
        <v>19262</v>
      </c>
      <c r="E11062" t="s">
        <v>19262</v>
      </c>
      <c r="F11062" t="s">
        <v>21376</v>
      </c>
      <c r="G11062" t="s">
        <v>14</v>
      </c>
      <c r="H11062">
             </c>
      <c r="I11062" t="s">
        <v>14</v>
      </c>
      <c r="J11062" t="s">
        <v>141</v>
      </c>
      <c r="K11062" t="s">
        <v>14</v>
      </c>
      <c r="L11062" t="s">
        <v>20</v>
      </c>
      <c r="M11062" t="s">
        <v>21288</v>
      </c>
      <c r="N11062" t="s">
        <v>14</v>
      </c>
    </row>
    <row r="11063" x14ac:dyDescent="0.25">
      <c r="A11063" t="n">
        <v>24</v>
      </c>
      <c r="B11063" t="s">
        <v>14</v>
      </c>
      <c r="C11063" t="s">
        <v>22</v>
      </c>
      <c r="D11063" s="2" t="s">
        <f>=HYPERLINK("https://main.knesset.gov.il/APPS/legislation/main/bills/2157349", "הצעת חוק צער בעלי חיים (הגנה על בעלי חיים) (תיקון - קביעת עונש מינימום בגין התעללות בבעלי חיים), התשפ""א-2021")</f>
        <v>21377</v>
      </c>
      <c r="E11063" t="s">
        <v>21377</v>
      </c>
      <c r="F11063" t="s">
        <v>21378</v>
      </c>
      <c r="G11063" t="s">
        <v>14</v>
      </c>
      <c r="H11063">
             </c>
      <c r="I11063" t="s">
        <v>14</v>
      </c>
      <c r="J11063" t="s">
        <v>141</v>
      </c>
      <c r="K11063" t="s">
        <v>14</v>
      </c>
      <c r="L11063" t="s">
        <v>20</v>
      </c>
      <c r="M11063" t="s">
        <v>21288</v>
      </c>
      <c r="N11063" t="s">
        <v>14</v>
      </c>
    </row>
    <row r="11064" x14ac:dyDescent="0.25">
      <c r="A11064" t="n">
        <v>24</v>
      </c>
      <c r="B11064" t="s">
        <v>14</v>
      </c>
      <c r="C11064" t="s">
        <v>22</v>
      </c>
      <c r="D11064" s="2" t="s">
        <f>=HYPERLINK("https://main.knesset.gov.il/APPS/legislation/main/bills/2156749", "הצעת חוק הביטוח הלאומי (תיקון - זכאות לכפל גמלאות), התשפ""א-2021")</f>
        <v>21379</v>
      </c>
      <c r="E11064" t="s">
        <v>21379</v>
      </c>
      <c r="F11064" t="s">
        <v>21380</v>
      </c>
      <c r="G11064" t="s">
        <v>14</v>
      </c>
      <c r="H11064">
             </c>
      <c r="I11064" t="s">
        <v>14</v>
      </c>
      <c r="J11064" t="s">
        <v>141</v>
      </c>
      <c r="K11064" t="s">
        <v>14</v>
      </c>
      <c r="L11064" t="s">
        <v>20</v>
      </c>
      <c r="M11064" t="s">
        <v>21288</v>
      </c>
      <c r="N11064" t="s">
        <v>14</v>
      </c>
    </row>
    <row r="11065" x14ac:dyDescent="0.25">
      <c r="A11065" t="n">
        <v>24</v>
      </c>
      <c r="B11065" t="s">
        <v>14</v>
      </c>
      <c r="C11065" t="s">
        <v>22</v>
      </c>
      <c r="D11065" s="2" t="s">
        <f>=HYPERLINK("https://main.knesset.gov.il/APPS/legislation/main/bills/2157638", "הצעת חוק תוכנית למניעת אלימות מינית וקידום מיניות בריאה, התשפ""א-2021")</f>
        <v>21381</v>
      </c>
      <c r="E11065" t="s">
        <v>21381</v>
      </c>
      <c r="F11065" t="s">
        <v>21382</v>
      </c>
      <c r="G11065" t="s">
        <v>14</v>
      </c>
      <c r="H11065">
             </c>
      <c r="I11065" t="s">
        <v>14</v>
      </c>
      <c r="J11065" t="s">
        <v>141</v>
      </c>
      <c r="K11065" t="s">
        <v>14</v>
      </c>
      <c r="L11065" t="s">
        <v>20</v>
      </c>
      <c r="M11065" t="s">
        <v>21288</v>
      </c>
      <c r="N11065" t="s">
        <v>14</v>
      </c>
    </row>
    <row r="11066" x14ac:dyDescent="0.25">
      <c r="A11066" t="n">
        <v>24</v>
      </c>
      <c r="B11066" t="s">
        <v>14</v>
      </c>
      <c r="C11066" t="s">
        <v>22</v>
      </c>
      <c r="D11066" s="2" t="s">
        <f>=HYPERLINK("https://main.knesset.gov.il/APPS/legislation/main/bills/2156585", "הצעת חוק הירושה (תיקון - בטלות צוואה ישנה), התשפ""א-2021")</f>
        <v>21383</v>
      </c>
      <c r="E11066" t="s">
        <v>21383</v>
      </c>
      <c r="F11066" t="s">
        <v>21384</v>
      </c>
      <c r="G11066" t="s">
        <v>14</v>
      </c>
      <c r="H11066">
             </c>
      <c r="I11066" t="s">
        <v>14</v>
      </c>
      <c r="J11066" t="s">
        <v>141</v>
      </c>
      <c r="K11066" t="s">
        <v>14</v>
      </c>
      <c r="L11066" t="s">
        <v>20</v>
      </c>
      <c r="M11066" t="s">
        <v>21288</v>
      </c>
      <c r="N11066" t="s">
        <v>14</v>
      </c>
    </row>
    <row r="11067" x14ac:dyDescent="0.25">
      <c r="A11067" t="n">
        <v>24</v>
      </c>
      <c r="B11067" t="s">
        <v>14</v>
      </c>
      <c r="C11067" t="s">
        <v>22</v>
      </c>
      <c r="D11067" s="2" t="s">
        <f>=HYPERLINK("https://main.knesset.gov.il/APPS/legislation/main/bills/2157359", "הצעת חוק לתיקון פקודת היערות (הגברת ההגנה על עצים בוגרים), התשפ""א-2021")</f>
        <v>21385</v>
      </c>
      <c r="E11067" t="s">
        <v>21385</v>
      </c>
      <c r="F11067" t="s">
        <v>21386</v>
      </c>
      <c r="G11067" t="s">
        <v>14</v>
      </c>
      <c r="H11067">
             </c>
      <c r="I11067" t="s">
        <v>14</v>
      </c>
      <c r="J11067" t="s">
        <v>141</v>
      </c>
      <c r="K11067" t="s">
        <v>14</v>
      </c>
      <c r="L11067" t="s">
        <v>20</v>
      </c>
      <c r="M11067" t="s">
        <v>21288</v>
      </c>
      <c r="N11067" t="s">
        <v>14</v>
      </c>
    </row>
    <row r="11068" x14ac:dyDescent="0.25">
      <c r="A11068" t="n">
        <v>24</v>
      </c>
      <c r="B11068" t="s">
        <v>14</v>
      </c>
      <c r="C11068" t="s">
        <v>22</v>
      </c>
      <c r="D11068" s="2" t="s">
        <f>=HYPERLINK("https://main.knesset.gov.il/APPS/legislation/main/bills/2156492", "הצעת חוק סדר הדין הפלילי (תיקון - החרגת עובד מערכת אכיפת החוק מתקופת ההתיישנות), התשפ""א-2021")</f>
        <v>21387</v>
      </c>
      <c r="E11068" t="s">
        <v>21387</v>
      </c>
      <c r="F11068" t="s">
        <v>21388</v>
      </c>
      <c r="G11068" t="s">
        <v>14</v>
      </c>
      <c r="H11068">
             </c>
      <c r="I11068" t="s">
        <v>14</v>
      </c>
      <c r="J11068" t="s">
        <v>141</v>
      </c>
      <c r="K11068" t="s">
        <v>14</v>
      </c>
      <c r="L11068" t="s">
        <v>20</v>
      </c>
      <c r="M11068" t="s">
        <v>21288</v>
      </c>
      <c r="N11068" t="s">
        <v>14</v>
      </c>
    </row>
    <row r="11069" x14ac:dyDescent="0.25">
      <c r="A11069" t="n">
        <v>24</v>
      </c>
      <c r="B11069" t="s">
        <v>14</v>
      </c>
      <c r="C11069" t="s">
        <v>22</v>
      </c>
      <c r="D11069" s="2" t="s">
        <f>=HYPERLINK("https://main.knesset.gov.il/APPS/legislation/main/bills/2156098", "הצעת חוק הביטוח הלאומי (תיקון - ביטול מעמד עקרת בית), התשפ""א-2021")</f>
        <v>21389</v>
      </c>
      <c r="E11069" t="s">
        <v>21389</v>
      </c>
      <c r="F11069" t="s">
        <v>21390</v>
      </c>
      <c r="G11069" t="s">
        <v>14</v>
      </c>
      <c r="H11069">
             </c>
      <c r="I11069" t="s">
        <v>14</v>
      </c>
      <c r="J11069" t="s">
        <v>141</v>
      </c>
      <c r="K11069" t="s">
        <v>14</v>
      </c>
      <c r="L11069" t="s">
        <v>20</v>
      </c>
      <c r="M11069" t="s">
        <v>21288</v>
      </c>
      <c r="N11069" t="s">
        <v>14</v>
      </c>
    </row>
    <row r="11070" x14ac:dyDescent="0.25">
      <c r="A11070" t="n">
        <v>24</v>
      </c>
      <c r="B11070" t="s">
        <v>14</v>
      </c>
      <c r="C11070" t="s">
        <v>22</v>
      </c>
      <c r="D11070" s="2" t="s">
        <f>=HYPERLINK("https://main.knesset.gov.il/APPS/legislation/main/bills/2156952", "הצעת חוק בתי המשפט (תיקון - שופט משנה), התשפ""א-2021")</f>
        <v>21391</v>
      </c>
      <c r="E11070" t="s">
        <v>21391</v>
      </c>
      <c r="F11070" t="s">
        <v>21392</v>
      </c>
      <c r="G11070" t="s">
        <v>14</v>
      </c>
      <c r="H11070">
             </c>
      <c r="I11070" t="s">
        <v>14</v>
      </c>
      <c r="J11070" t="s">
        <v>141</v>
      </c>
      <c r="K11070" t="s">
        <v>14</v>
      </c>
      <c r="L11070" t="s">
        <v>20</v>
      </c>
      <c r="M11070" t="s">
        <v>21288</v>
      </c>
      <c r="N11070" t="s">
        <v>14</v>
      </c>
    </row>
    <row r="11071" x14ac:dyDescent="0.25">
      <c r="A11071" t="n">
        <v>24</v>
      </c>
      <c r="B11071" t="s">
        <v>14</v>
      </c>
      <c r="C11071" t="s">
        <v>22</v>
      </c>
      <c r="D11071" s="2" t="s">
        <f>=HYPERLINK("https://main.knesset.gov.il/APPS/legislation/main/bills/2156769", "הצעת חוק שירות ביטחון (תיקון - פטור מטעמי מצפון), התשפ""א-2021")</f>
        <v>19756</v>
      </c>
      <c r="E11071" t="s">
        <v>19756</v>
      </c>
      <c r="F11071" t="s">
        <v>21393</v>
      </c>
      <c r="G11071" t="s">
        <v>14</v>
      </c>
      <c r="H11071">
             </c>
      <c r="I11071" t="s">
        <v>14</v>
      </c>
      <c r="J11071" t="s">
        <v>141</v>
      </c>
      <c r="K11071" t="s">
        <v>14</v>
      </c>
      <c r="L11071" t="s">
        <v>20</v>
      </c>
      <c r="M11071" t="s">
        <v>21288</v>
      </c>
      <c r="N11071" t="s">
        <v>14</v>
      </c>
    </row>
    <row r="11072" x14ac:dyDescent="0.25">
      <c r="A11072" t="n">
        <v>24</v>
      </c>
      <c r="B11072" t="s">
        <v>14</v>
      </c>
      <c r="C11072" t="s">
        <v>22</v>
      </c>
      <c r="D11072" s="2" t="s">
        <f>=HYPERLINK("https://main.knesset.gov.il/APPS/legislation/main/bills/2157220", "הצעת חוק הביטוח הלאומי (תיקון - דמי אבטלה למתמחים), התשפ""א-2021")</f>
        <v>21203</v>
      </c>
      <c r="E11072" t="s">
        <v>21203</v>
      </c>
      <c r="F11072" t="s">
        <v>21394</v>
      </c>
      <c r="G11072" t="s">
        <v>14</v>
      </c>
      <c r="H11072">
             </c>
      <c r="I11072" t="s">
        <v>14</v>
      </c>
      <c r="J11072" t="s">
        <v>141</v>
      </c>
      <c r="K11072" t="s">
        <v>14</v>
      </c>
      <c r="L11072" t="s">
        <v>20</v>
      </c>
      <c r="M11072" t="s">
        <v>21288</v>
      </c>
      <c r="N11072" t="s">
        <v>14</v>
      </c>
    </row>
    <row r="11073" x14ac:dyDescent="0.25">
      <c r="A11073" t="n">
        <v>24</v>
      </c>
      <c r="B11073" t="s">
        <v>14</v>
      </c>
      <c r="C11073" t="s">
        <v>22</v>
      </c>
      <c r="D11073" s="2" t="s">
        <f>=HYPERLINK("https://main.knesset.gov.il/APPS/legislation/main/bills/2156244", "הצעת חוק לתיקון פקודת המשטרה (הוראות בדבר פיזור אסיפה או תהלוכה), התשפ""א-2021")</f>
        <v>17681</v>
      </c>
      <c r="E11073" t="s">
        <v>17681</v>
      </c>
      <c r="F11073" t="s">
        <v>21395</v>
      </c>
      <c r="G11073" t="s">
        <v>14</v>
      </c>
      <c r="H11073">
             </c>
      <c r="I11073" t="s">
        <v>14</v>
      </c>
      <c r="J11073" t="s">
        <v>141</v>
      </c>
      <c r="K11073" t="s">
        <v>14</v>
      </c>
      <c r="L11073" t="s">
        <v>20</v>
      </c>
      <c r="M11073" t="s">
        <v>21288</v>
      </c>
      <c r="N11073" t="s">
        <v>14</v>
      </c>
    </row>
    <row r="11074" x14ac:dyDescent="0.25">
      <c r="A11074" t="n">
        <v>24</v>
      </c>
      <c r="B11074" t="s">
        <v>14</v>
      </c>
      <c r="C11074" t="s">
        <v>22</v>
      </c>
      <c r="D11074" s="2" t="s">
        <f>=HYPERLINK("https://main.knesset.gov.il/APPS/legislation/main/bills/2158007", "הצעת חוק אימוץ ילדים (תיקון - איסור הפרדה בין אחים בהליך אימוץ), התשפ""א-2021")</f>
        <v>21396</v>
      </c>
      <c r="E11074" t="s">
        <v>21396</v>
      </c>
      <c r="F11074" t="s">
        <v>21397</v>
      </c>
      <c r="G11074" t="s">
        <v>14</v>
      </c>
      <c r="H11074">
             </c>
      <c r="I11074" t="s">
        <v>14</v>
      </c>
      <c r="J11074" t="s">
        <v>141</v>
      </c>
      <c r="K11074" t="s">
        <v>14</v>
      </c>
      <c r="L11074" t="s">
        <v>20</v>
      </c>
      <c r="M11074" t="s">
        <v>21288</v>
      </c>
      <c r="N11074" t="s">
        <v>14</v>
      </c>
    </row>
    <row r="11075" x14ac:dyDescent="0.25">
      <c r="A11075" t="n">
        <v>24</v>
      </c>
      <c r="B11075" t="s">
        <v>14</v>
      </c>
      <c r="C11075" t="s">
        <v>22</v>
      </c>
      <c r="D11075" s="2" t="s">
        <f>=HYPERLINK("https://main.knesset.gov.il/APPS/legislation/main/bills/2158009", "הצעת חוק התכנון והבנייה (תיקון - תסקיר תחבורה ציבורית), התשפ""א-2021")</f>
        <v>21398</v>
      </c>
      <c r="E11075" t="s">
        <v>21398</v>
      </c>
      <c r="F11075" t="s">
        <v>21399</v>
      </c>
      <c r="G11075" t="s">
        <v>14</v>
      </c>
      <c r="H11075">
             </c>
      <c r="I11075" t="s">
        <v>14</v>
      </c>
      <c r="J11075" t="s">
        <v>141</v>
      </c>
      <c r="K11075" t="s">
        <v>14</v>
      </c>
      <c r="L11075" t="s">
        <v>20</v>
      </c>
      <c r="M11075" t="s">
        <v>21288</v>
      </c>
      <c r="N11075" t="s">
        <v>14</v>
      </c>
    </row>
    <row r="11076" x14ac:dyDescent="0.25">
      <c r="A11076" t="n">
        <v>24</v>
      </c>
      <c r="B11076" t="s">
        <v>14</v>
      </c>
      <c r="C11076" t="s">
        <v>22</v>
      </c>
      <c r="D11076" s="2" t="s">
        <f>=HYPERLINK("https://main.knesset.gov.il/APPS/legislation/main/bills/2157512", "הצעת חוק השכירות והשאילה (תיקון - פטור מתשלומים על נכס המשמש כמקום עבודה בשל נגיף הקורונה), התשפ""א-2021")</f>
        <v>21400</v>
      </c>
      <c r="E11076" t="s">
        <v>21400</v>
      </c>
      <c r="F11076" t="s">
        <v>21401</v>
      </c>
      <c r="G11076" t="s">
        <v>14</v>
      </c>
      <c r="H11076">
             </c>
      <c r="I11076" t="s">
        <v>14</v>
      </c>
      <c r="J11076" t="s">
        <v>141</v>
      </c>
      <c r="K11076" t="s">
        <v>14</v>
      </c>
      <c r="L11076" t="s">
        <v>20</v>
      </c>
      <c r="M11076" t="s">
        <v>21288</v>
      </c>
      <c r="N11076" t="s">
        <v>14</v>
      </c>
    </row>
    <row r="11077" x14ac:dyDescent="0.25">
      <c r="A11077" t="n">
        <v>24</v>
      </c>
      <c r="B11077" t="s">
        <v>14</v>
      </c>
      <c r="C11077" t="s">
        <v>22</v>
      </c>
      <c r="D11077" s="2" t="s">
        <f>=HYPERLINK("https://main.knesset.gov.il/APPS/legislation/main/bills/2157523", "הצעת חוק שיווי זכויות האישה (תיקון - תחולה), התשפ""א-2021")</f>
        <v>21402</v>
      </c>
      <c r="E11077" t="s">
        <v>21402</v>
      </c>
      <c r="F11077" t="s">
        <v>21403</v>
      </c>
      <c r="G11077" t="s">
        <v>14</v>
      </c>
      <c r="H11077">
             </c>
      <c r="I11077" t="s">
        <v>14</v>
      </c>
      <c r="J11077" t="s">
        <v>141</v>
      </c>
      <c r="K11077" t="s">
        <v>14</v>
      </c>
      <c r="L11077" t="s">
        <v>20</v>
      </c>
      <c r="M11077" t="s">
        <v>21288</v>
      </c>
      <c r="N11077" t="s">
        <v>14</v>
      </c>
    </row>
    <row r="11078" x14ac:dyDescent="0.25">
      <c r="A11078" t="n">
        <v>24</v>
      </c>
      <c r="B11078" t="s">
        <v>14</v>
      </c>
      <c r="C11078" t="s">
        <v>22</v>
      </c>
      <c r="D11078" s="2" t="s">
        <f>=HYPERLINK("https://main.knesset.gov.il/APPS/legislation/main/bills/2157572", "הצעת חוק הבחירות לכנסת (תיקון - אי-זכאות ליום שבתון לעובדים זרים), התשפ""א-2021")</f>
        <v>21404</v>
      </c>
      <c r="E11078" t="s">
        <v>21404</v>
      </c>
      <c r="F11078" t="s">
        <v>21405</v>
      </c>
      <c r="G11078" t="s">
        <v>14</v>
      </c>
      <c r="H11078">
             </c>
      <c r="I11078" t="s">
        <v>14</v>
      </c>
      <c r="J11078" t="s">
        <v>141</v>
      </c>
      <c r="K11078" t="s">
        <v>14</v>
      </c>
      <c r="L11078" t="s">
        <v>20</v>
      </c>
      <c r="M11078" t="s">
        <v>21288</v>
      </c>
      <c r="N11078" t="s">
        <v>14</v>
      </c>
    </row>
    <row r="11079" x14ac:dyDescent="0.25">
      <c r="A11079" t="n">
        <v>24</v>
      </c>
      <c r="B11079" t="s">
        <v>14</v>
      </c>
      <c r="C11079" t="s">
        <v>22</v>
      </c>
      <c r="D11079" s="2" t="s">
        <f>=HYPERLINK("https://main.knesset.gov.il/APPS/legislation/main/bills/2157514", "הצעת חוק הלוואות לדיור (תיקון - הצמדת סכום ההלוואה למדד), התשפ""א-2021")</f>
        <v>21406</v>
      </c>
      <c r="E11079" t="s">
        <v>21406</v>
      </c>
      <c r="F11079" t="s">
        <v>21407</v>
      </c>
      <c r="G11079" t="s">
        <v>14</v>
      </c>
      <c r="H11079">
             </c>
      <c r="I11079" t="s">
        <v>14</v>
      </c>
      <c r="J11079" t="s">
        <v>141</v>
      </c>
      <c r="K11079" t="s">
        <v>14</v>
      </c>
      <c r="L11079" t="s">
        <v>20</v>
      </c>
      <c r="M11079" t="s">
        <v>21288</v>
      </c>
      <c r="N11079" t="s">
        <v>14</v>
      </c>
    </row>
    <row r="11080" x14ac:dyDescent="0.25">
      <c r="A11080" t="n">
        <v>24</v>
      </c>
      <c r="B11080" t="s">
        <v>14</v>
      </c>
      <c r="C11080" t="s">
        <v>22</v>
      </c>
      <c r="D11080" s="2" t="s">
        <f>=HYPERLINK("https://main.knesset.gov.il/APPS/legislation/main/bills/2156981", "הצעת חוק מימון מפלגות (תיקון - ייצוג הולם לנשים בבחירות לכנסת), התשפ""א-2021")</f>
        <v>21408</v>
      </c>
      <c r="E11080" t="s">
        <v>21408</v>
      </c>
      <c r="F11080" t="s">
        <v>21409</v>
      </c>
      <c r="G11080" t="s">
        <v>14</v>
      </c>
      <c r="H11080">
             </c>
      <c r="I11080" t="s">
        <v>14</v>
      </c>
      <c r="J11080" t="s">
        <v>141</v>
      </c>
      <c r="K11080" t="s">
        <v>14</v>
      </c>
      <c r="L11080" t="s">
        <v>20</v>
      </c>
      <c r="M11080" t="s">
        <v>21288</v>
      </c>
      <c r="N11080" t="s">
        <v>14</v>
      </c>
    </row>
    <row r="11081" x14ac:dyDescent="0.25">
      <c r="A11081" t="n">
        <v>24</v>
      </c>
      <c r="B11081" t="s">
        <v>14</v>
      </c>
      <c r="C11081" t="s">
        <v>22</v>
      </c>
      <c r="D11081" s="2" t="s">
        <f>=HYPERLINK("https://main.knesset.gov.il/APPS/legislation/main/bills/2156280", "הצעת חוק לתיקון פקודת מס הכנסה (שווי השימוש ברכב או ברדיו טלפון נייד), התשפ""א-2021")</f>
        <v>19959</v>
      </c>
      <c r="E11081" t="s">
        <v>19959</v>
      </c>
      <c r="F11081" t="s">
        <v>21410</v>
      </c>
      <c r="G11081" t="s">
        <v>14</v>
      </c>
      <c r="H11081">
             </c>
      <c r="I11081" t="s">
        <v>14</v>
      </c>
      <c r="J11081" t="s">
        <v>141</v>
      </c>
      <c r="K11081" t="s">
        <v>14</v>
      </c>
      <c r="L11081" t="s">
        <v>20</v>
      </c>
      <c r="M11081" t="s">
        <v>21288</v>
      </c>
      <c r="N11081" t="s">
        <v>14</v>
      </c>
    </row>
    <row r="11082" x14ac:dyDescent="0.25">
      <c r="A11082" t="n">
        <v>24</v>
      </c>
      <c r="B11082" t="s">
        <v>14</v>
      </c>
      <c r="C11082" t="s">
        <v>22</v>
      </c>
      <c r="D11082" s="2" t="s">
        <f>=HYPERLINK("https://main.knesset.gov.il/APPS/legislation/main/bills/2157436", "הצעת חוק לתיקון פקודת מס הכנסה (עידוד צמיחה לעסקים עצמאיים קטנים ובינוניים), התשפ""א-2021")</f>
        <v>21411</v>
      </c>
      <c r="E11082" t="s">
        <v>21411</v>
      </c>
      <c r="F11082" t="s">
        <v>21412</v>
      </c>
      <c r="G11082" t="s">
        <v>14</v>
      </c>
      <c r="H11082">
             </c>
      <c r="I11082" t="s">
        <v>14</v>
      </c>
      <c r="J11082" t="s">
        <v>141</v>
      </c>
      <c r="K11082" t="s">
        <v>14</v>
      </c>
      <c r="L11082" t="s">
        <v>20</v>
      </c>
      <c r="M11082" t="s">
        <v>21288</v>
      </c>
      <c r="N11082" t="s">
        <v>14</v>
      </c>
    </row>
    <row r="11083" x14ac:dyDescent="0.25">
      <c r="A11083" t="n">
        <v>24</v>
      </c>
      <c r="B11083" t="s">
        <v>14</v>
      </c>
      <c r="C11083" t="s">
        <v>22</v>
      </c>
      <c r="D11083" s="2" t="s">
        <f>=HYPERLINK("https://main.knesset.gov.il/APPS/legislation/main/bills/2157431", "הצעת חוק מס ערך מוסף (תיקון - מועד הוצאת חשבונית מס), התשפ""א-2021")</f>
        <v>21413</v>
      </c>
      <c r="E11083" t="s">
        <v>21413</v>
      </c>
      <c r="F11083" t="s">
        <v>21414</v>
      </c>
      <c r="G11083" t="s">
        <v>14</v>
      </c>
      <c r="H11083">
             </c>
      <c r="I11083" t="s">
        <v>14</v>
      </c>
      <c r="J11083" t="s">
        <v>141</v>
      </c>
      <c r="K11083" t="s">
        <v>14</v>
      </c>
      <c r="L11083" t="s">
        <v>20</v>
      </c>
      <c r="M11083" t="s">
        <v>21288</v>
      </c>
      <c r="N11083" t="s">
        <v>14</v>
      </c>
    </row>
    <row r="11084" x14ac:dyDescent="0.25">
      <c r="A11084" t="n">
        <v>24</v>
      </c>
      <c r="B11084" t="s">
        <v>14</v>
      </c>
      <c r="C11084" t="s">
        <v>22</v>
      </c>
      <c r="D11084" s="2" t="s">
        <f>=HYPERLINK("https://main.knesset.gov.il/APPS/legislation/main/bills/2157428", "הצעת חוק המכר (דירות) (הבטחת השקעות של רוכשי דירות) (תיקון - התחדשות עירונית), התשפ""א-2021")</f>
        <v>21415</v>
      </c>
      <c r="E11084" t="s">
        <v>21415</v>
      </c>
      <c r="F11084" t="s">
        <v>21416</v>
      </c>
      <c r="G11084" t="s">
        <v>14</v>
      </c>
      <c r="H11084">
             </c>
      <c r="I11084" t="s">
        <v>14</v>
      </c>
      <c r="J11084" t="s">
        <v>141</v>
      </c>
      <c r="K11084" t="s">
        <v>14</v>
      </c>
      <c r="L11084" t="s">
        <v>20</v>
      </c>
      <c r="M11084" t="s">
        <v>21288</v>
      </c>
      <c r="N11084" t="s">
        <v>14</v>
      </c>
    </row>
    <row r="11085" x14ac:dyDescent="0.25">
      <c r="A11085" t="n">
        <v>24</v>
      </c>
      <c r="B11085" t="s">
        <v>14</v>
      </c>
      <c r="C11085" t="s">
        <v>22</v>
      </c>
      <c r="D11085" s="2" t="s">
        <f>=HYPERLINK("https://main.knesset.gov.il/APPS/legislation/main/bills/2157841", "הצעת חוק לתיקון פקודת העיריות (ייצוג הולם בשמות מקומות ציבוריים), התשפ""א-2021")</f>
        <v>21417</v>
      </c>
      <c r="E11085" t="s">
        <v>21417</v>
      </c>
      <c r="F11085" t="s">
        <v>21418</v>
      </c>
      <c r="G11085" t="s">
        <v>14</v>
      </c>
      <c r="H11085">
             </c>
      <c r="I11085" t="s">
        <v>14</v>
      </c>
      <c r="J11085" t="s">
        <v>141</v>
      </c>
      <c r="K11085" t="s">
        <v>14</v>
      </c>
      <c r="L11085" t="s">
        <v>20</v>
      </c>
      <c r="M11085" t="s">
        <v>21288</v>
      </c>
      <c r="N11085" t="s">
        <v>14</v>
      </c>
    </row>
    <row r="11086" x14ac:dyDescent="0.25">
      <c r="A11086" t="n">
        <v>24</v>
      </c>
      <c r="B11086" t="s">
        <v>14</v>
      </c>
      <c r="C11086" t="s">
        <v>22</v>
      </c>
      <c r="D11086" s="2" t="s">
        <f>=HYPERLINK("https://main.knesset.gov.il/APPS/legislation/main/bills/2157176", "הצעת חוק הרבנות הראשית לישראל (תיקון - סייג לבחירה או למינוי לתפקיד רב ראשי לישראל או לחבר מועצה), התשפ""א-2021")</f>
        <v>21419</v>
      </c>
      <c r="E11086" t="s">
        <v>21419</v>
      </c>
      <c r="F11086" t="s">
        <v>21420</v>
      </c>
      <c r="G11086" t="s">
        <v>14</v>
      </c>
      <c r="H11086">
             </c>
      <c r="I11086" t="s">
        <v>14</v>
      </c>
      <c r="J11086" t="s">
        <v>141</v>
      </c>
      <c r="K11086" t="s">
        <v>14</v>
      </c>
      <c r="L11086" t="s">
        <v>20</v>
      </c>
      <c r="M11086" t="s">
        <v>21288</v>
      </c>
      <c r="N11086" t="s">
        <v>14</v>
      </c>
    </row>
    <row r="11087" x14ac:dyDescent="0.25">
      <c r="A11087" t="n">
        <v>24</v>
      </c>
      <c r="B11087" t="s">
        <v>14</v>
      </c>
      <c r="C11087" t="s">
        <v>22</v>
      </c>
      <c r="D11087" s="2" t="s">
        <f>=HYPERLINK("https://main.knesset.gov.il/APPS/legislation/main/bills/2157342", "הצעת חוק זכויות הסטודנט (תיקון - איסור הפליית מועמדים או סטודנטים), התשפ""א-2021")</f>
        <v>21421</v>
      </c>
      <c r="E11087" t="s">
        <v>21421</v>
      </c>
      <c r="F11087" t="s">
        <v>21422</v>
      </c>
      <c r="G11087" t="s">
        <v>14</v>
      </c>
      <c r="H11087">
             </c>
      <c r="I11087" t="s">
        <v>14</v>
      </c>
      <c r="J11087" t="s">
        <v>141</v>
      </c>
      <c r="K11087" t="s">
        <v>14</v>
      </c>
      <c r="L11087" t="s">
        <v>20</v>
      </c>
      <c r="M11087" t="s">
        <v>21288</v>
      </c>
      <c r="N11087" t="s">
        <v>14</v>
      </c>
    </row>
    <row r="11088" x14ac:dyDescent="0.25">
      <c r="A11088" t="n">
        <v>24</v>
      </c>
      <c r="B11088" t="s">
        <v>14</v>
      </c>
      <c r="C11088" t="s">
        <v>22</v>
      </c>
      <c r="D11088" s="2" t="s">
        <f>=HYPERLINK("https://main.knesset.gov.il/APPS/legislation/main/bills/2157290", "הצעת חוק איסור הפליה במוצרים, בשירותים ובכניסה למקומות בידור ולמקומות ציבוריים (תיקון - איסור הפרעה להנקה בציבור), התשפ""א-2021")</f>
        <v>21423</v>
      </c>
      <c r="E11088" t="s">
        <v>21423</v>
      </c>
      <c r="F11088" t="s">
        <v>21424</v>
      </c>
      <c r="G11088" t="s">
        <v>14</v>
      </c>
      <c r="H11088">
             </c>
      <c r="I11088" t="s">
        <v>14</v>
      </c>
      <c r="J11088" t="s">
        <v>343</v>
      </c>
      <c r="K11088" t="s">
        <v>14</v>
      </c>
      <c r="L11088" t="s">
        <v>20</v>
      </c>
      <c r="M11088" t="s">
        <v>21288</v>
      </c>
      <c r="N11088" t="s">
        <v>14</v>
      </c>
    </row>
    <row r="11089" x14ac:dyDescent="0.25">
      <c r="A11089" t="n">
        <v>24</v>
      </c>
      <c r="B11089" t="s">
        <v>14</v>
      </c>
      <c r="C11089" t="s">
        <v>22</v>
      </c>
      <c r="D11089" s="2" t="s">
        <f>=HYPERLINK("https://main.knesset.gov.il/APPS/legislation/main/bills/2157425", "הצעת חוק הבנקאות (רישוי) (תיקון - אישור ועדת הכספים של הכנסת לרכישת תאגיד בנקאי על ידי תאגיד בנקאי אחר), התשפ""א-2021")</f>
        <v>21425</v>
      </c>
      <c r="E11089" t="s">
        <v>21425</v>
      </c>
      <c r="F11089" t="s">
        <v>21426</v>
      </c>
      <c r="G11089" t="s">
        <v>14</v>
      </c>
      <c r="H11089">
             </c>
      <c r="I11089" t="s">
        <v>14</v>
      </c>
      <c r="J11089" t="s">
        <v>141</v>
      </c>
      <c r="K11089" t="s">
        <v>14</v>
      </c>
      <c r="L11089" t="s">
        <v>20</v>
      </c>
      <c r="M11089" t="s">
        <v>21288</v>
      </c>
      <c r="N11089" t="s">
        <v>14</v>
      </c>
    </row>
    <row r="11090" x14ac:dyDescent="0.25">
      <c r="A11090" t="n">
        <v>24</v>
      </c>
      <c r="B11090" t="s">
        <v>14</v>
      </c>
      <c r="C11090" t="s">
        <v>22</v>
      </c>
      <c r="D11090" s="2" t="s">
        <f>=HYPERLINK("https://main.knesset.gov.il/APPS/legislation/main/bills/2157177", "הצעת חוק להגבלת כהונת ראש רשות מקומית (תיקוני חקיקה), התשפ""א-2021")</f>
        <v>21427</v>
      </c>
      <c r="E11090" t="s">
        <v>21427</v>
      </c>
      <c r="F11090" t="s">
        <v>21428</v>
      </c>
      <c r="G11090" t="s">
        <v>14</v>
      </c>
      <c r="H11090">
             </c>
      <c r="I11090" t="s">
        <v>14</v>
      </c>
      <c r="J11090" t="s">
        <v>141</v>
      </c>
      <c r="K11090" t="s">
        <v>14</v>
      </c>
      <c r="L11090" t="s">
        <v>20</v>
      </c>
      <c r="M11090" t="s">
        <v>21288</v>
      </c>
      <c r="N11090" t="s">
        <v>14</v>
      </c>
    </row>
    <row r="11091" x14ac:dyDescent="0.25">
      <c r="A11091" t="n">
        <v>24</v>
      </c>
      <c r="B11091" t="s">
        <v>14</v>
      </c>
      <c r="C11091" t="s">
        <v>22</v>
      </c>
      <c r="D11091" s="2" t="s">
        <f>=HYPERLINK("https://main.knesset.gov.il/APPS/legislation/main/bills/2157423", "הצעת חוק חינוך ממלכתי (תיקון - הקניית ידע פיננסי וכישורי חיים), התשפ""א-2021")</f>
        <v>21429</v>
      </c>
      <c r="E11091" t="s">
        <v>21429</v>
      </c>
      <c r="F11091" t="s">
        <v>21430</v>
      </c>
      <c r="G11091" t="s">
        <v>14</v>
      </c>
      <c r="H11091">
             </c>
      <c r="I11091" t="s">
        <v>14</v>
      </c>
      <c r="J11091" t="s">
        <v>141</v>
      </c>
      <c r="K11091" t="s">
        <v>14</v>
      </c>
      <c r="L11091" t="s">
        <v>20</v>
      </c>
      <c r="M11091" t="s">
        <v>21288</v>
      </c>
      <c r="N11091" t="s">
        <v>14</v>
      </c>
    </row>
    <row r="11092" x14ac:dyDescent="0.25">
      <c r="A11092" t="n">
        <v>24</v>
      </c>
      <c r="B11092" t="s">
        <v>14</v>
      </c>
      <c r="C11092" t="s">
        <v>22</v>
      </c>
      <c r="D11092" s="2" t="s">
        <f>=HYPERLINK("https://main.knesset.gov.il/APPS/legislation/main/bills/2157181", "הצעת חוק לתיקון פקודת העיריות (הסדרת מבנים לתנועות נוער), התשפ""א-2021")</f>
        <v>21157</v>
      </c>
      <c r="E11092" t="s">
        <v>21157</v>
      </c>
      <c r="F11092" t="s">
        <v>21431</v>
      </c>
      <c r="G11092" t="s">
        <v>14</v>
      </c>
      <c r="H11092">
             </c>
      <c r="I11092" t="s">
        <v>14</v>
      </c>
      <c r="J11092" t="s">
        <v>141</v>
      </c>
      <c r="K11092" t="s">
        <v>14</v>
      </c>
      <c r="L11092" t="s">
        <v>20</v>
      </c>
      <c r="M11092" t="s">
        <v>21288</v>
      </c>
      <c r="N11092" t="s">
        <v>14</v>
      </c>
    </row>
    <row r="11093" x14ac:dyDescent="0.25">
      <c r="A11093" t="n">
        <v>24</v>
      </c>
      <c r="B11093" t="s">
        <v>14</v>
      </c>
      <c r="C11093" t="s">
        <v>22</v>
      </c>
      <c r="D11093" s="2" t="s">
        <f>=HYPERLINK("https://main.knesset.gov.il/APPS/legislation/main/bills/2157416", "הצעת חוק התכנון והבנייה (תיקון - הוראות שונות לעניין היטל השבחה), התשפ""א-2021")</f>
        <v>21432</v>
      </c>
      <c r="E11093" t="s">
        <v>21432</v>
      </c>
      <c r="F11093" t="s">
        <v>21433</v>
      </c>
      <c r="G11093" t="s">
        <v>14</v>
      </c>
      <c r="H11093">
             </c>
      <c r="I11093" t="s">
        <v>14</v>
      </c>
      <c r="J11093" t="s">
        <v>141</v>
      </c>
      <c r="K11093" t="s">
        <v>14</v>
      </c>
      <c r="L11093" t="s">
        <v>20</v>
      </c>
      <c r="M11093" t="s">
        <v>21288</v>
      </c>
      <c r="N11093" t="s">
        <v>14</v>
      </c>
    </row>
    <row r="11094" x14ac:dyDescent="0.25">
      <c r="A11094" t="n">
        <v>24</v>
      </c>
      <c r="B11094" t="s">
        <v>14</v>
      </c>
      <c r="C11094" t="s">
        <v>22</v>
      </c>
      <c r="D11094" s="2" t="s">
        <f>=HYPERLINK("https://main.knesset.gov.il/APPS/legislation/main/bills/2157179", "הצעת חוק להגנה על האגן הצפוני של ים המלח, התשפ""א-2021")</f>
        <v>20465</v>
      </c>
      <c r="E11094" t="s">
        <v>20465</v>
      </c>
      <c r="F11094" t="s">
        <v>21434</v>
      </c>
      <c r="G11094" t="s">
        <v>14</v>
      </c>
      <c r="H11094">
             </c>
      <c r="I11094" t="s">
        <v>14</v>
      </c>
      <c r="J11094" t="s">
        <v>141</v>
      </c>
      <c r="K11094" t="s">
        <v>14</v>
      </c>
      <c r="L11094" t="s">
        <v>20</v>
      </c>
      <c r="M11094" t="s">
        <v>21288</v>
      </c>
      <c r="N11094" t="s">
        <v>14</v>
      </c>
    </row>
    <row r="11095" x14ac:dyDescent="0.25">
      <c r="A11095" t="n">
        <v>24</v>
      </c>
      <c r="B11095" t="s">
        <v>14</v>
      </c>
      <c r="C11095" t="s">
        <v>22</v>
      </c>
      <c r="D11095" s="2" t="s">
        <f>=HYPERLINK("https://main.knesset.gov.il/APPS/legislation/main/bills/2157412", "הצעת חוק הקרן הקיימת לישראל (תחולת דיני המס), התשפ""א-2021")</f>
        <v>21435</v>
      </c>
      <c r="E11095" t="s">
        <v>21435</v>
      </c>
      <c r="F11095" t="s">
        <v>21436</v>
      </c>
      <c r="G11095" t="s">
        <v>14</v>
      </c>
      <c r="H11095">
             </c>
      <c r="I11095" t="s">
        <v>14</v>
      </c>
      <c r="J11095" t="s">
        <v>141</v>
      </c>
      <c r="K11095" t="s">
        <v>14</v>
      </c>
      <c r="L11095" t="s">
        <v>20</v>
      </c>
      <c r="M11095" t="s">
        <v>21288</v>
      </c>
      <c r="N11095" t="s">
        <v>14</v>
      </c>
    </row>
    <row r="11096" x14ac:dyDescent="0.25">
      <c r="A11096" t="n">
        <v>24</v>
      </c>
      <c r="B11096" t="s">
        <v>14</v>
      </c>
      <c r="C11096" t="s">
        <v>22</v>
      </c>
      <c r="D11096" s="2" t="s">
        <f>=HYPERLINK("https://main.knesset.gov.il/APPS/legislation/main/bills/2157195", "הצעת חוק למניעת הטרדה מינית (תיקון - הטלת חובות לשם מניעת הטרדה מינית במוסד חינוך), התשפ""א-2021")</f>
        <v>20754</v>
      </c>
      <c r="E11096" t="s">
        <v>20754</v>
      </c>
      <c r="F11096" t="s">
        <v>21437</v>
      </c>
      <c r="G11096" t="s">
        <v>14</v>
      </c>
      <c r="H11096">
             </c>
      <c r="I11096" t="s">
        <v>14</v>
      </c>
      <c r="J11096" t="s">
        <v>141</v>
      </c>
      <c r="K11096" t="s">
        <v>14</v>
      </c>
      <c r="L11096" t="s">
        <v>20</v>
      </c>
      <c r="M11096" t="s">
        <v>21288</v>
      </c>
      <c r="N11096" t="s">
        <v>14</v>
      </c>
    </row>
    <row r="11097" x14ac:dyDescent="0.25">
      <c r="A11097" t="n">
        <v>24</v>
      </c>
      <c r="B11097" t="s">
        <v>14</v>
      </c>
      <c r="C11097" t="s">
        <v>22</v>
      </c>
      <c r="D11097" s="2" t="s">
        <f>=HYPERLINK("https://main.knesset.gov.il/APPS/legislation/main/bills/2157411", "הצעת חוק מיסוי מקרקעין (שבח ורכישה) (תיקון - ביטול הפטור ממס שבח לתושב חוץ), התשפ""א-2021")</f>
        <v>21438</v>
      </c>
      <c r="E11097" t="s">
        <v>21438</v>
      </c>
      <c r="F11097" t="s">
        <v>21439</v>
      </c>
      <c r="G11097" t="s">
        <v>14</v>
      </c>
      <c r="H11097">
             </c>
      <c r="I11097" t="s">
        <v>14</v>
      </c>
      <c r="J11097" t="s">
        <v>141</v>
      </c>
      <c r="K11097" t="s">
        <v>14</v>
      </c>
      <c r="L11097" t="s">
        <v>20</v>
      </c>
      <c r="M11097" t="s">
        <v>21288</v>
      </c>
      <c r="N11097" t="s">
        <v>14</v>
      </c>
    </row>
    <row r="11098" x14ac:dyDescent="0.25">
      <c r="A11098" t="n">
        <v>24</v>
      </c>
      <c r="B11098" t="s">
        <v>14</v>
      </c>
      <c r="C11098" t="s">
        <v>22</v>
      </c>
      <c r="D11098" s="2" t="s">
        <f>=HYPERLINK("https://main.knesset.gov.il/APPS/legislation/main/bills/2157289", "הצעת חוק איסור הפליה במוצרים, בשירותים ובכניסה למקומות בידור ולמקומות ציבוריים (תיקון - איסור הפרדה), התשפ""א-2021")</f>
        <v>21440</v>
      </c>
      <c r="E11098" t="s">
        <v>21440</v>
      </c>
      <c r="F11098" t="s">
        <v>21441</v>
      </c>
      <c r="G11098" t="s">
        <v>14</v>
      </c>
      <c r="H11098">
             </c>
      <c r="I11098" t="s">
        <v>14</v>
      </c>
      <c r="J11098" t="s">
        <v>141</v>
      </c>
      <c r="K11098" t="s">
        <v>14</v>
      </c>
      <c r="L11098" t="s">
        <v>20</v>
      </c>
      <c r="M11098" t="s">
        <v>21288</v>
      </c>
      <c r="N11098" t="s">
        <v>14</v>
      </c>
    </row>
    <row r="11099" x14ac:dyDescent="0.25">
      <c r="A11099" t="n">
        <v>24</v>
      </c>
      <c r="B11099" t="s">
        <v>14</v>
      </c>
      <c r="C11099" t="s">
        <v>22</v>
      </c>
      <c r="D11099" s="2" t="s">
        <f>=HYPERLINK("https://main.knesset.gov.il/APPS/legislation/main/bills/2157137", "הצעת חוק התכנון והבנייה (תיקון - הטמנת תשתיות בחוף הים), התשפ""א-2021")</f>
        <v>21442</v>
      </c>
      <c r="E11099" t="s">
        <v>21442</v>
      </c>
      <c r="F11099" t="s">
        <v>21443</v>
      </c>
      <c r="G11099" t="s">
        <v>14</v>
      </c>
      <c r="H11099">
             </c>
      <c r="I11099" t="s">
        <v>14</v>
      </c>
      <c r="J11099" t="s">
        <v>141</v>
      </c>
      <c r="K11099" t="s">
        <v>14</v>
      </c>
      <c r="L11099" t="s">
        <v>20</v>
      </c>
      <c r="M11099" t="s">
        <v>21288</v>
      </c>
      <c r="N11099" t="s">
        <v>14</v>
      </c>
    </row>
    <row r="11100" x14ac:dyDescent="0.25">
      <c r="A11100" t="n">
        <v>24</v>
      </c>
      <c r="B11100" t="s">
        <v>14</v>
      </c>
      <c r="C11100" t="s">
        <v>22</v>
      </c>
      <c r="D11100" s="2" t="s">
        <f>=HYPERLINK("https://main.knesset.gov.il/APPS/legislation/main/bills/2157410", "הצעת חוק לתיקון פקודת הבנקאות (בדיקה ודיווח לבקשת ועדת הכספים של הכנסת), התשפ""א-2021")</f>
        <v>21444</v>
      </c>
      <c r="E11100" t="s">
        <v>21444</v>
      </c>
      <c r="F11100" t="s">
        <v>21445</v>
      </c>
      <c r="G11100" t="s">
        <v>14</v>
      </c>
      <c r="H11100">
             </c>
      <c r="I11100" t="s">
        <v>14</v>
      </c>
      <c r="J11100" t="s">
        <v>141</v>
      </c>
      <c r="K11100" t="s">
        <v>14</v>
      </c>
      <c r="L11100" t="s">
        <v>20</v>
      </c>
      <c r="M11100" t="s">
        <v>21288</v>
      </c>
      <c r="N11100" t="s">
        <v>14</v>
      </c>
    </row>
    <row r="11101" x14ac:dyDescent="0.25">
      <c r="A11101" t="n">
        <v>24</v>
      </c>
      <c r="B11101" t="s">
        <v>14</v>
      </c>
      <c r="C11101" t="s">
        <v>22</v>
      </c>
      <c r="D11101" s="2" t="s">
        <f>=HYPERLINK("https://main.knesset.gov.il/APPS/legislation/main/bills/2157139", "הצעת חוק התכנון והבנייה (תיקון - היתר הניתן לפי תכניות ישנות), התשפ""א-2021")</f>
        <v>21446</v>
      </c>
      <c r="E11101" t="s">
        <v>21446</v>
      </c>
      <c r="F11101" t="s">
        <v>21447</v>
      </c>
      <c r="G11101" t="s">
        <v>14</v>
      </c>
      <c r="H11101">
             </c>
      <c r="I11101" t="s">
        <v>14</v>
      </c>
      <c r="J11101" t="s">
        <v>141</v>
      </c>
      <c r="K11101" t="s">
        <v>14</v>
      </c>
      <c r="L11101" t="s">
        <v>20</v>
      </c>
      <c r="M11101" t="s">
        <v>21288</v>
      </c>
      <c r="N11101" t="s">
        <v>14</v>
      </c>
    </row>
    <row r="11102" x14ac:dyDescent="0.25">
      <c r="A11102" t="n">
        <v>24</v>
      </c>
      <c r="B11102" t="s">
        <v>14</v>
      </c>
      <c r="C11102" t="s">
        <v>22</v>
      </c>
      <c r="D11102" s="2" t="s">
        <f>=HYPERLINK("https://main.knesset.gov.il/APPS/legislation/main/bills/2157407", "הצעת חוק הרשויות המקומיות (בחירת ראש הרשות וסגניו וכהונתם) (תיקון - הליך ההשעיה בגין הגשת כתב אישום), התשפ""א-2021")</f>
        <v>21448</v>
      </c>
      <c r="E11102" t="s">
        <v>21448</v>
      </c>
      <c r="F11102" t="s">
        <v>21449</v>
      </c>
      <c r="G11102" t="s">
        <v>14</v>
      </c>
      <c r="H11102">
             </c>
      <c r="I11102" t="s">
        <v>14</v>
      </c>
      <c r="J11102" t="s">
        <v>141</v>
      </c>
      <c r="K11102" t="s">
        <v>14</v>
      </c>
      <c r="L11102" t="s">
        <v>20</v>
      </c>
      <c r="M11102" t="s">
        <v>21288</v>
      </c>
      <c r="N11102" t="s">
        <v>14</v>
      </c>
    </row>
    <row r="11103" x14ac:dyDescent="0.25">
      <c r="A11103" t="n">
        <v>24</v>
      </c>
      <c r="B11103" t="s">
        <v>14</v>
      </c>
      <c r="C11103" t="s">
        <v>22</v>
      </c>
      <c r="D11103" s="2" t="s">
        <f>=HYPERLINK("https://main.knesset.gov.il/APPS/legislation/main/bills/2157072", "הצעת חוק חסינות חברי הכנסת, זכויותיהם וחובותיהם (תיקון - הצהרה על חשבונות בנק בחוץ לארץ), התשפ""א-2021")</f>
        <v>21450</v>
      </c>
      <c r="E11103" t="s">
        <v>21450</v>
      </c>
      <c r="F11103" t="s">
        <v>21451</v>
      </c>
      <c r="G11103" t="s">
        <v>14</v>
      </c>
      <c r="H11103">
             </c>
      <c r="I11103" t="s">
        <v>14</v>
      </c>
      <c r="J11103" t="s">
        <v>141</v>
      </c>
      <c r="K11103" t="s">
        <v>14</v>
      </c>
      <c r="L11103" t="s">
        <v>20</v>
      </c>
      <c r="M11103" t="s">
        <v>21288</v>
      </c>
      <c r="N11103" t="s">
        <v>14</v>
      </c>
    </row>
    <row r="11104" x14ac:dyDescent="0.25">
      <c r="A11104" t="n">
        <v>24</v>
      </c>
      <c r="B11104" t="s">
        <v>14</v>
      </c>
      <c r="C11104" t="s">
        <v>22</v>
      </c>
      <c r="D11104" s="2" t="s">
        <f>=HYPERLINK("https://main.knesset.gov.il/APPS/legislation/main/bills/2157401", "הצעת חוק הסדרים במשק המדינה (תיקוני חקיקה להשגת יעדי התקציב) (תיקון - ארנונה על מבנה מגורים שאינו בשימוש), התשפ""א-2021")</f>
        <v>21452</v>
      </c>
      <c r="E11104" t="s">
        <v>21452</v>
      </c>
      <c r="F11104" t="s">
        <v>21453</v>
      </c>
      <c r="G11104" t="s">
        <v>14</v>
      </c>
      <c r="H11104">
             </c>
      <c r="I11104" t="s">
        <v>14</v>
      </c>
      <c r="J11104" t="s">
        <v>141</v>
      </c>
      <c r="K11104" t="s">
        <v>14</v>
      </c>
      <c r="L11104" t="s">
        <v>20</v>
      </c>
      <c r="M11104" t="s">
        <v>21288</v>
      </c>
      <c r="N11104" t="s">
        <v>14</v>
      </c>
    </row>
    <row r="11105" x14ac:dyDescent="0.25">
      <c r="A11105" t="n">
        <v>24</v>
      </c>
      <c r="B11105" t="s">
        <v>14</v>
      </c>
      <c r="C11105" t="s">
        <v>22</v>
      </c>
      <c r="D11105" s="2" t="s">
        <f>=HYPERLINK("https://main.knesset.gov.il/APPS/legislation/main/bills/2157070", "הצעת חוק הבטחת הכנסה (תיקון - גמלה לאם חד-הורית), התשפ""א-2021")</f>
        <v>21454</v>
      </c>
      <c r="E11105" t="s">
        <v>21454</v>
      </c>
      <c r="F11105" t="s">
        <v>21455</v>
      </c>
      <c r="G11105" t="s">
        <v>14</v>
      </c>
      <c r="H11105">
             </c>
      <c r="I11105" t="s">
        <v>14</v>
      </c>
      <c r="J11105" t="s">
        <v>141</v>
      </c>
      <c r="K11105" t="s">
        <v>14</v>
      </c>
      <c r="L11105" t="s">
        <v>20</v>
      </c>
      <c r="M11105" t="s">
        <v>21288</v>
      </c>
      <c r="N11105" t="s">
        <v>14</v>
      </c>
    </row>
    <row r="11106" x14ac:dyDescent="0.25">
      <c r="A11106" t="n">
        <v>24</v>
      </c>
      <c r="B11106" t="s">
        <v>14</v>
      </c>
      <c r="C11106" t="s">
        <v>22</v>
      </c>
      <c r="D11106" s="2" t="s">
        <f>=HYPERLINK("https://main.knesset.gov.il/APPS/legislation/main/bills/2157364", "הצעת חוק הנכים (תגמולים ושיקום) (תיקון - הגבלת שכר טרחת עורך דין), התשפ""א-2021")</f>
        <v>21456</v>
      </c>
      <c r="E11106" t="s">
        <v>21456</v>
      </c>
      <c r="F11106" t="s">
        <v>21457</v>
      </c>
      <c r="G11106" t="s">
        <v>14</v>
      </c>
      <c r="H11106">
             </c>
      <c r="I11106" t="s">
        <v>14</v>
      </c>
      <c r="J11106" t="s">
        <v>141</v>
      </c>
      <c r="K11106" t="s">
        <v>14</v>
      </c>
      <c r="L11106" t="s">
        <v>20</v>
      </c>
      <c r="M11106" t="s">
        <v>21288</v>
      </c>
      <c r="N11106" t="s">
        <v>14</v>
      </c>
    </row>
    <row r="11107" x14ac:dyDescent="0.25">
      <c r="A11107" t="n">
        <v>24</v>
      </c>
      <c r="B11107" t="s">
        <v>14</v>
      </c>
      <c r="C11107" t="s">
        <v>22</v>
      </c>
      <c r="D11107" s="2" t="s">
        <f>=HYPERLINK("https://main.knesset.gov.il/APPS/legislation/main/bills/2157128", "הצעת חוק התכנון והבנייה (תיקון - גודל האותיות בהודעות בענייני תכנון ובנייה), התשפ""א-2021")</f>
        <v>19342</v>
      </c>
      <c r="E11107" t="s">
        <v>19342</v>
      </c>
      <c r="F11107" t="s">
        <v>21458</v>
      </c>
      <c r="G11107" t="s">
        <v>14</v>
      </c>
      <c r="H11107">
             </c>
      <c r="I11107" t="s">
        <v>14</v>
      </c>
      <c r="J11107" t="s">
        <v>141</v>
      </c>
      <c r="K11107" t="s">
        <v>14</v>
      </c>
      <c r="L11107" t="s">
        <v>20</v>
      </c>
      <c r="M11107" t="s">
        <v>21288</v>
      </c>
      <c r="N11107" t="s">
        <v>14</v>
      </c>
    </row>
    <row r="11108" x14ac:dyDescent="0.25">
      <c r="A11108" t="n">
        <v>24</v>
      </c>
      <c r="B11108" t="s">
        <v>14</v>
      </c>
      <c r="C11108" t="s">
        <v>22</v>
      </c>
      <c r="D11108" s="2" t="s">
        <f>=HYPERLINK("https://main.knesset.gov.il/APPS/legislation/main/bills/2157098", "הצעת חוק הביקורת הפנימית (תיקון - אחריות ועצמאות המבקר), התשפ""א-2021")</f>
        <v>21459</v>
      </c>
      <c r="E11108" t="s">
        <v>21459</v>
      </c>
      <c r="F11108" t="s">
        <v>21460</v>
      </c>
      <c r="G11108" t="s">
        <v>14</v>
      </c>
      <c r="H11108">
             </c>
      <c r="I11108" t="s">
        <v>14</v>
      </c>
      <c r="J11108" t="s">
        <v>141</v>
      </c>
      <c r="K11108" t="s">
        <v>14</v>
      </c>
      <c r="L11108" t="s">
        <v>20</v>
      </c>
      <c r="M11108" t="s">
        <v>21288</v>
      </c>
      <c r="N11108" t="s">
        <v>14</v>
      </c>
    </row>
    <row r="11109" x14ac:dyDescent="0.25">
      <c r="A11109" t="n">
        <v>24</v>
      </c>
      <c r="B11109" t="s">
        <v>14</v>
      </c>
      <c r="C11109" t="s">
        <v>22</v>
      </c>
      <c r="D11109" s="2" t="s">
        <f>=HYPERLINK("https://main.knesset.gov.il/APPS/legislation/main/bills/2157258", "הצעת חוק לתיקון פקודת מס הכנסה (ניכוי בגין הוצאות טיפול בילדים), התשפ""א-2021")</f>
        <v>20232</v>
      </c>
      <c r="E11109" t="s">
        <v>20232</v>
      </c>
      <c r="F11109" t="s">
        <v>21461</v>
      </c>
      <c r="G11109" t="s">
        <v>14</v>
      </c>
      <c r="H11109">
             </c>
      <c r="I11109" t="s">
        <v>14</v>
      </c>
      <c r="J11109" t="s">
        <v>141</v>
      </c>
      <c r="K11109" t="s">
        <v>14</v>
      </c>
      <c r="L11109" t="s">
        <v>20</v>
      </c>
      <c r="M11109" t="s">
        <v>21288</v>
      </c>
      <c r="N11109" t="s">
        <v>14</v>
      </c>
    </row>
    <row r="11110" x14ac:dyDescent="0.25">
      <c r="A11110" t="n">
        <v>24</v>
      </c>
      <c r="B11110" t="s">
        <v>14</v>
      </c>
      <c r="C11110" t="s">
        <v>22</v>
      </c>
      <c r="D11110" s="2" t="s">
        <f>=HYPERLINK("https://main.knesset.gov.il/APPS/legislation/main/bills/2157327", "הצעת חוק רשות מקרקעי ישראל (תיקון - הקצאה שוויונית לאוכלוסייה הערבית), התשפ""א-2021")</f>
        <v>21462</v>
      </c>
      <c r="E11110" t="s">
        <v>21462</v>
      </c>
      <c r="F11110" t="s">
        <v>21463</v>
      </c>
      <c r="G11110" t="s">
        <v>14</v>
      </c>
      <c r="H11110">
             </c>
      <c r="I11110" t="s">
        <v>14</v>
      </c>
      <c r="J11110" t="s">
        <v>141</v>
      </c>
      <c r="K11110" t="s">
        <v>14</v>
      </c>
      <c r="L11110" t="s">
        <v>20</v>
      </c>
      <c r="M11110" t="s">
        <v>21288</v>
      </c>
      <c r="N11110" t="s">
        <v>14</v>
      </c>
    </row>
    <row r="11111" x14ac:dyDescent="0.25">
      <c r="A11111" t="n">
        <v>24</v>
      </c>
      <c r="B11111" t="s">
        <v>14</v>
      </c>
      <c r="C11111" t="s">
        <v>22</v>
      </c>
      <c r="D11111" s="2" t="s">
        <f>=HYPERLINK("https://main.knesset.gov.il/APPS/legislation/main/bills/2157320", "הצעת חוק לתיקון פקודת התעבורה (התראה מפני מצלמות ומכמונות מהירות), התשפ""א-2021")</f>
        <v>21464</v>
      </c>
      <c r="E11111" t="s">
        <v>21464</v>
      </c>
      <c r="F11111" t="s">
        <v>21465</v>
      </c>
      <c r="G11111" t="s">
        <v>14</v>
      </c>
      <c r="H11111">
             </c>
      <c r="I11111" t="s">
        <v>14</v>
      </c>
      <c r="J11111" t="s">
        <v>141</v>
      </c>
      <c r="K11111" t="s">
        <v>14</v>
      </c>
      <c r="L11111" t="s">
        <v>20</v>
      </c>
      <c r="M11111" t="s">
        <v>21288</v>
      </c>
      <c r="N11111" t="s">
        <v>14</v>
      </c>
    </row>
    <row r="11112" x14ac:dyDescent="0.25">
      <c r="A11112" t="n">
        <v>24</v>
      </c>
      <c r="B11112" t="s">
        <v>14</v>
      </c>
      <c r="C11112" t="s">
        <v>22</v>
      </c>
      <c r="D11112" s="2" t="s">
        <f>=HYPERLINK("https://main.knesset.gov.il/APPS/legislation/main/bills/2157142", "הצעת חוק התכנון והבנייה (תיקון - תסקיר גישה ובטיחות בנתיבי תנועה ציבוריים), התשפ""א-2021")</f>
        <v>21466</v>
      </c>
      <c r="E11112" t="s">
        <v>21466</v>
      </c>
      <c r="F11112" t="s">
        <v>21467</v>
      </c>
      <c r="G11112" t="s">
        <v>14</v>
      </c>
      <c r="H11112">
             </c>
      <c r="I11112" t="s">
        <v>14</v>
      </c>
      <c r="J11112" t="s">
        <v>141</v>
      </c>
      <c r="K11112" t="s">
        <v>14</v>
      </c>
      <c r="L11112" t="s">
        <v>20</v>
      </c>
      <c r="M11112" t="s">
        <v>21288</v>
      </c>
      <c r="N11112" t="s">
        <v>14</v>
      </c>
    </row>
    <row r="11113" x14ac:dyDescent="0.25">
      <c r="A11113" t="n">
        <v>24</v>
      </c>
      <c r="B11113" t="s">
        <v>14</v>
      </c>
      <c r="C11113" t="s">
        <v>22</v>
      </c>
      <c r="D11113" s="2" t="s">
        <f>=HYPERLINK("https://main.knesset.gov.il/APPS/legislation/main/bills/2157281", "הצעת חוק מתן שירות בשפה הערבית בגופים ציבוריים ובגופים מסחריים, התשפ""א-2021 ")</f>
        <v>21468</v>
      </c>
      <c r="E11113" t="s">
        <v>21468</v>
      </c>
      <c r="F11113" t="s">
        <v>21469</v>
      </c>
      <c r="G11113" t="s">
        <v>14</v>
      </c>
      <c r="H11113">
             </c>
      <c r="I11113" t="s">
        <v>14</v>
      </c>
      <c r="J11113" t="s">
        <v>141</v>
      </c>
      <c r="K11113" t="s">
        <v>14</v>
      </c>
      <c r="L11113" t="s">
        <v>20</v>
      </c>
      <c r="M11113" t="s">
        <v>21288</v>
      </c>
      <c r="N11113" t="s">
        <v>14</v>
      </c>
    </row>
    <row r="11114" x14ac:dyDescent="0.25">
      <c r="A11114" t="n">
        <v>24</v>
      </c>
      <c r="B11114" t="s">
        <v>14</v>
      </c>
      <c r="C11114" t="s">
        <v>22</v>
      </c>
      <c r="D11114" s="2" t="s">
        <f>=HYPERLINK("https://main.knesset.gov.il/APPS/legislation/main/bills/2157135", "הצעת חוק הסדרת מקומות רחצה (תיקון - איסור גביית דמי כניסה), התשפ""א-2021")</f>
        <v>21470</v>
      </c>
      <c r="E11114" t="s">
        <v>21470</v>
      </c>
      <c r="F11114" t="s">
        <v>21471</v>
      </c>
      <c r="G11114" t="s">
        <v>14</v>
      </c>
      <c r="H11114">
             </c>
      <c r="I11114" t="s">
        <v>14</v>
      </c>
      <c r="J11114" t="s">
        <v>141</v>
      </c>
      <c r="K11114" t="s">
        <v>14</v>
      </c>
      <c r="L11114" t="s">
        <v>20</v>
      </c>
      <c r="M11114" t="s">
        <v>21288</v>
      </c>
      <c r="N11114" t="s">
        <v>14</v>
      </c>
    </row>
    <row r="11115" x14ac:dyDescent="0.25">
      <c r="A11115" t="n">
        <v>24</v>
      </c>
      <c r="B11115" t="s">
        <v>14</v>
      </c>
      <c r="C11115" t="s">
        <v>22</v>
      </c>
      <c r="D11115" s="2" t="s">
        <f>=HYPERLINK("https://main.knesset.gov.il/APPS/legislation/main/bills/2157260", "הצעת חוק שירותי תעופה (פיצוי וסיוע בשל ביטול טיסה או שינוי בתנאיה) (תיקון - הוראות שונות), התשפ""א-2021")</f>
        <v>21472</v>
      </c>
      <c r="E11115" t="s">
        <v>21472</v>
      </c>
      <c r="F11115" t="s">
        <v>21473</v>
      </c>
      <c r="G11115" t="s">
        <v>14</v>
      </c>
      <c r="H11115">
             </c>
      <c r="I11115" t="s">
        <v>14</v>
      </c>
      <c r="J11115" t="s">
        <v>141</v>
      </c>
      <c r="K11115" t="s">
        <v>14</v>
      </c>
      <c r="L11115" t="s">
        <v>20</v>
      </c>
      <c r="M11115" t="s">
        <v>21288</v>
      </c>
      <c r="N11115" t="s">
        <v>14</v>
      </c>
    </row>
    <row r="11116" x14ac:dyDescent="0.25">
      <c r="A11116" t="n">
        <v>24</v>
      </c>
      <c r="B11116" t="s">
        <v>14</v>
      </c>
      <c r="C11116" t="s">
        <v>22</v>
      </c>
      <c r="D11116" s="2" t="s">
        <f>=HYPERLINK("https://main.knesset.gov.il/APPS/legislation/main/bills/2157028", "הצעת חוק דמי מחלה (היעדרות בשל מחלת ילד) (תיקון - מספר ימי מחלת ילד להורה ליותר מילד אחד), התשפ""א-2021")</f>
        <v>21474</v>
      </c>
      <c r="E11116" t="s">
        <v>21474</v>
      </c>
      <c r="F11116" t="s">
        <v>21475</v>
      </c>
      <c r="G11116" t="s">
        <v>14</v>
      </c>
      <c r="H11116">
             </c>
      <c r="I11116" t="s">
        <v>14</v>
      </c>
      <c r="J11116" t="s">
        <v>141</v>
      </c>
      <c r="K11116" t="s">
        <v>14</v>
      </c>
      <c r="L11116" t="s">
        <v>20</v>
      </c>
      <c r="M11116" t="s">
        <v>21288</v>
      </c>
      <c r="N11116" t="s">
        <v>14</v>
      </c>
    </row>
    <row r="11117" x14ac:dyDescent="0.25">
      <c r="A11117" t="n">
        <v>24</v>
      </c>
      <c r="B11117" t="s">
        <v>14</v>
      </c>
      <c r="C11117" t="s">
        <v>22</v>
      </c>
      <c r="D11117" s="2" t="s">
        <f>=HYPERLINK("https://main.knesset.gov.il/APPS/legislation/main/bills/2157121", "הצעת חוק לתיקון פקודת מס הכנסה (דחיית הגשת דיווח שנתי לעסק שהוקם ברבעון האחרון של השנה), התשפ""א-2021")</f>
        <v>21476</v>
      </c>
      <c r="E11117" t="s">
        <v>21476</v>
      </c>
      <c r="F11117" t="s">
        <v>21477</v>
      </c>
      <c r="G11117" t="s">
        <v>14</v>
      </c>
      <c r="H11117">
             </c>
      <c r="I11117" t="s">
        <v>14</v>
      </c>
      <c r="J11117" t="s">
        <v>141</v>
      </c>
      <c r="K11117" t="s">
        <v>14</v>
      </c>
      <c r="L11117" t="s">
        <v>20</v>
      </c>
      <c r="M11117" t="s">
        <v>21288</v>
      </c>
      <c r="N11117" t="s">
        <v>14</v>
      </c>
    </row>
    <row r="11118" x14ac:dyDescent="0.25">
      <c r="A11118" t="n">
        <v>24</v>
      </c>
      <c r="B11118" t="s">
        <v>14</v>
      </c>
      <c r="C11118" t="s">
        <v>22</v>
      </c>
      <c r="D11118" s="2" t="s">
        <f>=HYPERLINK("https://main.knesset.gov.il/APPS/legislation/main/bills/2157125", "הצעת חוק אמנת הפליט להסדרת מעמד מבקשי מקלט ופליטים בישראל, התשפ""א-2021")</f>
        <v>21478</v>
      </c>
      <c r="E11118" t="s">
        <v>21478</v>
      </c>
      <c r="F11118" t="s">
        <v>21479</v>
      </c>
      <c r="G11118" t="s">
        <v>14</v>
      </c>
      <c r="H11118">
             </c>
      <c r="I11118" t="s">
        <v>14</v>
      </c>
      <c r="J11118" t="s">
        <v>141</v>
      </c>
      <c r="K11118" t="s">
        <v>14</v>
      </c>
      <c r="L11118" t="s">
        <v>20</v>
      </c>
      <c r="M11118" t="s">
        <v>21288</v>
      </c>
      <c r="N11118" t="s">
        <v>14</v>
      </c>
    </row>
    <row r="11119" x14ac:dyDescent="0.25">
      <c r="A11119" t="n">
        <v>24</v>
      </c>
      <c r="B11119" t="s">
        <v>14</v>
      </c>
      <c r="C11119" t="s">
        <v>22</v>
      </c>
      <c r="D11119" s="2" t="s">
        <f>=HYPERLINK("https://main.knesset.gov.il/APPS/legislation/main/bills/2156537", "הצעת חוק הסכמים קיבוציים (תיקון - סייג לגביית דמי חבר ודמי טיפול מקצועי-ארגוני בארגון עובדים), התשפ""א-2021")</f>
        <v>21480</v>
      </c>
      <c r="E11119" t="s">
        <v>21480</v>
      </c>
      <c r="F11119" t="s">
        <v>21481</v>
      </c>
      <c r="G11119" t="s">
        <v>14</v>
      </c>
      <c r="H11119">
             </c>
      <c r="I11119" t="s">
        <v>14</v>
      </c>
      <c r="J11119" t="s">
        <v>141</v>
      </c>
      <c r="K11119" t="s">
        <v>14</v>
      </c>
      <c r="L11119" t="s">
        <v>20</v>
      </c>
      <c r="M11119" t="s">
        <v>21288</v>
      </c>
      <c r="N11119" t="s">
        <v>14</v>
      </c>
    </row>
    <row r="11120" x14ac:dyDescent="0.25">
      <c r="A11120" t="n">
        <v>24</v>
      </c>
      <c r="B11120" t="s">
        <v>14</v>
      </c>
      <c r="C11120" t="s">
        <v>22</v>
      </c>
      <c r="D11120" s="2" t="s">
        <f>=HYPERLINK("https://main.knesset.gov.il/APPS/legislation/main/bills/2157226", "הצעת חוק יישוב סכסוכי עבודה (תיקון - הוספת שירות לשינוע מזומנים ומעות להגדרה ""שירות ציבורי""), התשפ""א-2021")</f>
        <v>21482</v>
      </c>
      <c r="E11120" t="s">
        <v>21482</v>
      </c>
      <c r="F11120" t="s">
        <v>21483</v>
      </c>
      <c r="G11120" t="s">
        <v>14</v>
      </c>
      <c r="H11120">
             </c>
      <c r="I11120" t="s">
        <v>14</v>
      </c>
      <c r="J11120" t="s">
        <v>141</v>
      </c>
      <c r="K11120" t="s">
        <v>14</v>
      </c>
      <c r="L11120" t="s">
        <v>20</v>
      </c>
      <c r="M11120" t="s">
        <v>21288</v>
      </c>
      <c r="N11120" t="s">
        <v>14</v>
      </c>
    </row>
    <row r="11121" x14ac:dyDescent="0.25">
      <c r="A11121" t="n">
        <v>24</v>
      </c>
      <c r="B11121" t="s">
        <v>14</v>
      </c>
      <c r="C11121" t="s">
        <v>22</v>
      </c>
      <c r="D11121" s="2" t="s">
        <f>=HYPERLINK("https://main.knesset.gov.il/APPS/legislation/main/bills/2156573", "הצעת חוק ביטוח בריאות ממלכתי (תיקון - בחירה מבין נותני השירותים), התשפ""א-2021")</f>
        <v>21484</v>
      </c>
      <c r="E11121" t="s">
        <v>21484</v>
      </c>
      <c r="F11121" t="s">
        <v>21485</v>
      </c>
      <c r="G11121" t="s">
        <v>14</v>
      </c>
      <c r="H11121">
             </c>
      <c r="I11121" t="s">
        <v>14</v>
      </c>
      <c r="J11121" t="s">
        <v>141</v>
      </c>
      <c r="K11121" t="s">
        <v>14</v>
      </c>
      <c r="L11121" t="s">
        <v>20</v>
      </c>
      <c r="M11121" t="s">
        <v>21288</v>
      </c>
      <c r="N11121" t="s">
        <v>14</v>
      </c>
    </row>
    <row r="11122" x14ac:dyDescent="0.25">
      <c r="A11122" t="n">
        <v>24</v>
      </c>
      <c r="B11122" t="s">
        <v>14</v>
      </c>
      <c r="C11122" t="s">
        <v>22</v>
      </c>
      <c r="D11122" s="2" t="s">
        <f>=HYPERLINK("https://main.knesset.gov.il/APPS/legislation/main/bills/2156260", "הצעת חוק הביטוח הלאומי (תיקון - הגדלת סכום קצבאות הילדים), התשפ""א-2021")</f>
        <v>21486</v>
      </c>
      <c r="E11122" t="s">
        <v>21486</v>
      </c>
      <c r="F11122" t="s">
        <v>21487</v>
      </c>
      <c r="G11122" t="s">
        <v>14</v>
      </c>
      <c r="H11122">
             </c>
      <c r="I11122" t="s">
        <v>14</v>
      </c>
      <c r="J11122" t="s">
        <v>141</v>
      </c>
      <c r="K11122" t="s">
        <v>14</v>
      </c>
      <c r="L11122" t="s">
        <v>20</v>
      </c>
      <c r="M11122" t="s">
        <v>21288</v>
      </c>
      <c r="N11122" t="s">
        <v>14</v>
      </c>
    </row>
    <row r="11123" x14ac:dyDescent="0.25">
      <c r="A11123" t="n">
        <v>24</v>
      </c>
      <c r="B11123" t="s">
        <v>14</v>
      </c>
      <c r="C11123" t="s">
        <v>22</v>
      </c>
      <c r="D11123" s="2" t="s">
        <f>=HYPERLINK("https://main.knesset.gov.il/APPS/legislation/main/bills/2156227", "הצעת חוק האזרחים הוותיקים (הנחה בארנונה), התשפ""א-2021")</f>
        <v>21488</v>
      </c>
      <c r="E11123" t="s">
        <v>21488</v>
      </c>
      <c r="F11123" t="s">
        <v>21489</v>
      </c>
      <c r="G11123" t="s">
        <v>14</v>
      </c>
      <c r="H11123">
             </c>
      <c r="I11123" t="s">
        <v>14</v>
      </c>
      <c r="J11123" t="s">
        <v>141</v>
      </c>
      <c r="K11123" t="s">
        <v>14</v>
      </c>
      <c r="L11123" t="s">
        <v>20</v>
      </c>
      <c r="M11123" t="s">
        <v>21288</v>
      </c>
      <c r="N11123" t="s">
        <v>14</v>
      </c>
    </row>
    <row r="11124" x14ac:dyDescent="0.25">
      <c r="A11124" t="n">
        <v>24</v>
      </c>
      <c r="B11124" t="s">
        <v>14</v>
      </c>
      <c r="C11124" t="s">
        <v>22</v>
      </c>
      <c r="D11124" s="2" t="s">
        <f>=HYPERLINK("https://main.knesset.gov.il/APPS/legislation/main/bills/2156705", "הצעת חוק זכויות נפגעי עבירה (תיקון - הקמת נציבות זכויות נפגעי עבירה), התשפ""א-2021")</f>
        <v>21490</v>
      </c>
      <c r="E11124" t="s">
        <v>21490</v>
      </c>
      <c r="F11124" t="s">
        <v>21491</v>
      </c>
      <c r="G11124" t="s">
        <v>14</v>
      </c>
      <c r="H11124">
             </c>
      <c r="I11124" t="s">
        <v>14</v>
      </c>
      <c r="J11124" t="s">
        <v>141</v>
      </c>
      <c r="K11124" t="s">
        <v>14</v>
      </c>
      <c r="L11124" t="s">
        <v>20</v>
      </c>
      <c r="M11124" t="s">
        <v>21288</v>
      </c>
      <c r="N11124" t="s">
        <v>14</v>
      </c>
    </row>
    <row r="11125" x14ac:dyDescent="0.25">
      <c r="A11125" t="n">
        <v>24</v>
      </c>
      <c r="B11125" t="s">
        <v>14</v>
      </c>
      <c r="C11125" t="s">
        <v>22</v>
      </c>
      <c r="D11125" s="2" t="s">
        <f>=HYPERLINK("https://main.knesset.gov.il/APPS/legislation/main/bills/2156879", "הצעת חוק העונשין (תיקון - החרגת טורניר מהגדרת משחק אסור), התשפ""א-2021")</f>
        <v>21492</v>
      </c>
      <c r="E11125" t="s">
        <v>21492</v>
      </c>
      <c r="F11125" t="s">
        <v>21493</v>
      </c>
      <c r="G11125" t="s">
        <v>14</v>
      </c>
      <c r="H11125">
             </c>
      <c r="I11125" t="s">
        <v>14</v>
      </c>
      <c r="J11125" t="s">
        <v>141</v>
      </c>
      <c r="K11125" t="s">
        <v>14</v>
      </c>
      <c r="L11125" t="s">
        <v>20</v>
      </c>
      <c r="M11125" t="s">
        <v>21288</v>
      </c>
      <c r="N11125" t="s">
        <v>14</v>
      </c>
    </row>
    <row r="11126" x14ac:dyDescent="0.25">
      <c r="A11126" t="n">
        <v>24</v>
      </c>
      <c r="B11126" t="s">
        <v>14</v>
      </c>
      <c r="C11126" t="s">
        <v>22</v>
      </c>
      <c r="D11126" s="2" t="s">
        <f>=HYPERLINK("https://main.knesset.gov.il/APPS/legislation/main/bills/2156902", "הצעת חוק שוויון ההזדמנויות בעבודה (תיקון - עצמאות נציבות שוויון הזדמנויות בעבודה), התשפ""א-2021")</f>
        <v>21494</v>
      </c>
      <c r="E11126" t="s">
        <v>21494</v>
      </c>
      <c r="F11126" t="s">
        <v>21495</v>
      </c>
      <c r="G11126" t="s">
        <v>14</v>
      </c>
      <c r="H11126">
             </c>
      <c r="I11126" t="s">
        <v>14</v>
      </c>
      <c r="J11126" t="s">
        <v>141</v>
      </c>
      <c r="K11126" t="s">
        <v>14</v>
      </c>
      <c r="L11126" t="s">
        <v>20</v>
      </c>
      <c r="M11126" t="s">
        <v>21288</v>
      </c>
      <c r="N11126" t="s">
        <v>14</v>
      </c>
    </row>
    <row r="11127" x14ac:dyDescent="0.25">
      <c r="A11127" t="n">
        <v>24</v>
      </c>
      <c r="B11127" t="s">
        <v>14</v>
      </c>
      <c r="C11127" t="s">
        <v>22</v>
      </c>
      <c r="D11127" s="2" t="s">
        <f>=HYPERLINK("https://main.knesset.gov.il/APPS/legislation/main/bills/2156300", "הצעת חוק הביטוח הלאומי (תיקון - הרחבת הזכאות למענק פטירה), התשפ""א-2021")</f>
        <v>21496</v>
      </c>
      <c r="E11127" t="s">
        <v>21496</v>
      </c>
      <c r="F11127" t="s">
        <v>21497</v>
      </c>
      <c r="G11127" t="s">
        <v>14</v>
      </c>
      <c r="H11127">
             </c>
      <c r="I11127" t="s">
        <v>14</v>
      </c>
      <c r="J11127" t="s">
        <v>141</v>
      </c>
      <c r="K11127" t="s">
        <v>14</v>
      </c>
      <c r="L11127" t="s">
        <v>20</v>
      </c>
      <c r="M11127" t="s">
        <v>21288</v>
      </c>
      <c r="N11127" t="s">
        <v>14</v>
      </c>
    </row>
    <row r="11128" x14ac:dyDescent="0.25">
      <c r="A11128" t="n">
        <v>24</v>
      </c>
      <c r="B11128" t="s">
        <v>14</v>
      </c>
      <c r="C11128" t="s">
        <v>22</v>
      </c>
      <c r="D11128" s="2" t="s">
        <f>=HYPERLINK("https://main.knesset.gov.il/APPS/legislation/main/bills/2156352", "הצעת חוק פיקוח על מחירי מצרכים ושירותים (תיקון - פיקוח על מוצרי מזון לתינוקות), התשפ""א-2021")</f>
        <v>21498</v>
      </c>
      <c r="E11128" t="s">
        <v>21498</v>
      </c>
      <c r="F11128" t="s">
        <v>21499</v>
      </c>
      <c r="G11128" t="s">
        <v>14</v>
      </c>
      <c r="H11128">
             </c>
      <c r="I11128" t="s">
        <v>14</v>
      </c>
      <c r="J11128" t="s">
        <v>343</v>
      </c>
      <c r="K11128" t="s">
        <v>14</v>
      </c>
      <c r="L11128" t="s">
        <v>20</v>
      </c>
      <c r="M11128" t="s">
        <v>21288</v>
      </c>
      <c r="N11128" t="s">
        <v>14</v>
      </c>
    </row>
    <row r="11129" x14ac:dyDescent="0.25">
      <c r="A11129" t="n">
        <v>24</v>
      </c>
      <c r="B11129" t="s">
        <v>14</v>
      </c>
      <c r="C11129" t="s">
        <v>22</v>
      </c>
      <c r="D11129" s="2" t="s">
        <f>=HYPERLINK("https://main.knesset.gov.il/APPS/legislation/main/bills/2156896", "הצעת חוק הביטוח הלאומי (דמי הסתגלות לעצמאית) (הוראת שעה), התשפ""א-2021")</f>
        <v>21500</v>
      </c>
      <c r="E11129" t="s">
        <v>21500</v>
      </c>
      <c r="F11129" t="s">
        <v>21501</v>
      </c>
      <c r="G11129" t="s">
        <v>14</v>
      </c>
      <c r="H11129">
             </c>
      <c r="I11129" t="s">
        <v>14</v>
      </c>
      <c r="J11129" t="s">
        <v>141</v>
      </c>
      <c r="K11129" t="s">
        <v>14</v>
      </c>
      <c r="L11129" t="s">
        <v>20</v>
      </c>
      <c r="M11129" t="s">
        <v>21288</v>
      </c>
      <c r="N11129" t="s">
        <v>14</v>
      </c>
    </row>
    <row r="11130" x14ac:dyDescent="0.25">
      <c r="A11130" t="n">
        <v>24</v>
      </c>
      <c r="B11130" t="s">
        <v>14</v>
      </c>
      <c r="C11130" t="s">
        <v>22</v>
      </c>
      <c r="D11130" s="2" t="s">
        <f>=HYPERLINK("https://main.knesset.gov.il/APPS/legislation/main/bills/2156318", "הצעת חוק האזרחים הוותיקים (תיקון - חניה חינם לאזרח ותיק שמלאו לו 70 שנים), התשפ""א-2021")</f>
        <v>21502</v>
      </c>
      <c r="E11130" t="s">
        <v>21502</v>
      </c>
      <c r="F11130" t="s">
        <v>21503</v>
      </c>
      <c r="G11130" t="s">
        <v>14</v>
      </c>
      <c r="H11130">
             </c>
      <c r="I11130" t="s">
        <v>14</v>
      </c>
      <c r="J11130" t="s">
        <v>141</v>
      </c>
      <c r="K11130" t="s">
        <v>14</v>
      </c>
      <c r="L11130" t="s">
        <v>20</v>
      </c>
      <c r="M11130" t="s">
        <v>21288</v>
      </c>
      <c r="N11130" t="s">
        <v>14</v>
      </c>
    </row>
    <row r="11131" x14ac:dyDescent="0.25">
      <c r="A11131" t="n">
        <v>24</v>
      </c>
      <c r="B11131" t="s">
        <v>14</v>
      </c>
      <c r="C11131" t="s">
        <v>22</v>
      </c>
      <c r="D11131" s="2" t="s">
        <f>=HYPERLINK("https://main.knesset.gov.il/APPS/legislation/main/bills/2157066", "הצעת חוק הביטוח הלאומי (תיקון - ביטוח שאירים לאלמן), התשפ""א-2021")</f>
        <v>15328</v>
      </c>
      <c r="E11131" t="s">
        <v>15328</v>
      </c>
      <c r="F11131" t="s">
        <v>21504</v>
      </c>
      <c r="G11131" t="s">
        <v>14</v>
      </c>
      <c r="H11131">
             </c>
      <c r="I11131" t="s">
        <v>14</v>
      </c>
      <c r="J11131" t="s">
        <v>141</v>
      </c>
      <c r="K11131" t="s">
        <v>14</v>
      </c>
      <c r="L11131" t="s">
        <v>20</v>
      </c>
      <c r="M11131" t="s">
        <v>21288</v>
      </c>
      <c r="N11131" t="s">
        <v>14</v>
      </c>
    </row>
    <row r="11132" x14ac:dyDescent="0.25">
      <c r="A11132" t="n">
        <v>24</v>
      </c>
      <c r="B11132" t="s">
        <v>14</v>
      </c>
      <c r="C11132" t="s">
        <v>22</v>
      </c>
      <c r="D11132" s="2" t="s">
        <f>=HYPERLINK("https://main.knesset.gov.il/APPS/legislation/main/bills/2156414", "הצעת חוק-יסוד: הכנסת (תיקון - ייצוג מינימלי לשני המינים ברשימת מועמדים לכנסת)")</f>
        <v>1843</v>
      </c>
      <c r="E11132" t="s">
        <v>1843</v>
      </c>
      <c r="F11132" t="s">
        <v>21505</v>
      </c>
      <c r="G11132" t="s">
        <v>14</v>
      </c>
      <c r="H11132">
             </c>
      <c r="I11132" t="s">
        <v>14</v>
      </c>
      <c r="J11132" t="s">
        <v>141</v>
      </c>
      <c r="K11132" t="s">
        <v>14</v>
      </c>
      <c r="L11132" t="s">
        <v>20</v>
      </c>
      <c r="M11132" t="s">
        <v>21288</v>
      </c>
      <c r="N11132" t="s">
        <v>14</v>
      </c>
    </row>
    <row r="11133" x14ac:dyDescent="0.25">
      <c r="A11133" t="n">
        <v>24</v>
      </c>
      <c r="B11133" t="s">
        <v>14</v>
      </c>
      <c r="C11133" t="s">
        <v>22</v>
      </c>
      <c r="D11133" s="2" t="s">
        <f>=HYPERLINK("https://main.knesset.gov.il/APPS/legislation/main/bills/2157022", "הצעת חוק לתיקון פקודת הרוקחים (הכשרת עוזרי רוקח), התשפ""א-2021")</f>
        <v>21506</v>
      </c>
      <c r="E11133" t="s">
        <v>21506</v>
      </c>
      <c r="F11133" t="s">
        <v>21507</v>
      </c>
      <c r="G11133" t="s">
        <v>14</v>
      </c>
      <c r="H11133">
             </c>
      <c r="I11133" t="s">
        <v>14</v>
      </c>
      <c r="J11133" t="s">
        <v>141</v>
      </c>
      <c r="K11133" t="s">
        <v>14</v>
      </c>
      <c r="L11133" t="s">
        <v>20</v>
      </c>
      <c r="M11133" t="s">
        <v>21288</v>
      </c>
      <c r="N11133" t="s">
        <v>14</v>
      </c>
    </row>
    <row r="11134" x14ac:dyDescent="0.25">
      <c r="A11134" t="n">
        <v>24</v>
      </c>
      <c r="B11134" t="s">
        <v>14</v>
      </c>
      <c r="C11134" t="s">
        <v>22</v>
      </c>
      <c r="D11134" s="2" t="s">
        <f>=HYPERLINK("https://main.knesset.gov.il/APPS/legislation/main/bills/2156270", "הצעת חוק למניעת אלימות במשפחה (תיקון - הוראה לקבלת טיפול) (הוראת שעה), התשפ""א-2021")</f>
        <v>21508</v>
      </c>
      <c r="E11134" t="s">
        <v>21508</v>
      </c>
      <c r="F11134" t="s">
        <v>21509</v>
      </c>
      <c r="G11134" t="s">
        <v>14</v>
      </c>
      <c r="H11134">
             </c>
      <c r="I11134" t="s">
        <v>14</v>
      </c>
      <c r="J11134" t="s">
        <v>141</v>
      </c>
      <c r="K11134" t="s">
        <v>14</v>
      </c>
      <c r="L11134" t="s">
        <v>20</v>
      </c>
      <c r="M11134" t="s">
        <v>21288</v>
      </c>
      <c r="N11134" t="s">
        <v>14</v>
      </c>
    </row>
    <row r="11135" x14ac:dyDescent="0.25">
      <c r="A11135" t="n">
        <v>24</v>
      </c>
      <c r="B11135" t="s">
        <v>14</v>
      </c>
      <c r="C11135" t="s">
        <v>22</v>
      </c>
      <c r="D11135" s="2" t="s">
        <f>=HYPERLINK("https://main.knesset.gov.il/APPS/legislation/main/bills/2157102", "הצעת חוק השמות (תיקון - בחירה או שינוי שם), התשפ""א-2021")</f>
        <v>21510</v>
      </c>
      <c r="E11135" t="s">
        <v>21510</v>
      </c>
      <c r="F11135" t="s">
        <v>21511</v>
      </c>
      <c r="G11135" t="s">
        <v>14</v>
      </c>
      <c r="H11135">
             </c>
      <c r="I11135" t="s">
        <v>14</v>
      </c>
      <c r="J11135" t="s">
        <v>141</v>
      </c>
      <c r="K11135" t="s">
        <v>14</v>
      </c>
      <c r="L11135" t="s">
        <v>20</v>
      </c>
      <c r="M11135" t="s">
        <v>21288</v>
      </c>
      <c r="N11135" t="s">
        <v>14</v>
      </c>
    </row>
    <row r="11136" x14ac:dyDescent="0.25">
      <c r="A11136" t="n">
        <v>24</v>
      </c>
      <c r="B11136" t="s">
        <v>14</v>
      </c>
      <c r="C11136" t="s">
        <v>22</v>
      </c>
      <c r="D11136" s="2" t="s">
        <f>=HYPERLINK("https://main.knesset.gov.il/APPS/legislation/main/bills/2157130", "הצעת חוק הגנת הסביבה (יחידה סביבתית ברשויות ציבוריות), התשפ""א-2021")</f>
        <v>19075</v>
      </c>
      <c r="E11136" t="s">
        <v>19075</v>
      </c>
      <c r="F11136" t="s">
        <v>21512</v>
      </c>
      <c r="G11136" t="s">
        <v>14</v>
      </c>
      <c r="H11136">
             </c>
      <c r="I11136" t="s">
        <v>14</v>
      </c>
      <c r="J11136" t="s">
        <v>141</v>
      </c>
      <c r="K11136" t="s">
        <v>14</v>
      </c>
      <c r="L11136" t="s">
        <v>20</v>
      </c>
      <c r="M11136" t="s">
        <v>21288</v>
      </c>
      <c r="N11136" t="s">
        <v>14</v>
      </c>
    </row>
    <row r="11137" x14ac:dyDescent="0.25">
      <c r="A11137" t="n">
        <v>24</v>
      </c>
      <c r="B11137" t="s">
        <v>14</v>
      </c>
      <c r="C11137" t="s">
        <v>22</v>
      </c>
      <c r="D11137" s="2" t="s">
        <f>=HYPERLINK("https://main.knesset.gov.il/APPS/legislation/main/bills/2157104", "הצעת חוק התכנון והבנייה (תיקון - פרסום בדבר קבלת היתר בנייה ותחילת עבודה), התשפ""א-2021")</f>
        <v>21513</v>
      </c>
      <c r="E11137" t="s">
        <v>21513</v>
      </c>
      <c r="F11137" t="s">
        <v>21514</v>
      </c>
      <c r="G11137" t="s">
        <v>14</v>
      </c>
      <c r="H11137">
             </c>
      <c r="I11137" t="s">
        <v>14</v>
      </c>
      <c r="J11137" t="s">
        <v>141</v>
      </c>
      <c r="K11137" t="s">
        <v>14</v>
      </c>
      <c r="L11137" t="s">
        <v>20</v>
      </c>
      <c r="M11137" t="s">
        <v>21288</v>
      </c>
      <c r="N11137" t="s">
        <v>14</v>
      </c>
    </row>
    <row r="11138" x14ac:dyDescent="0.25">
      <c r="A11138" t="n">
        <v>24</v>
      </c>
      <c r="B11138" t="s">
        <v>14</v>
      </c>
      <c r="C11138" t="s">
        <v>22</v>
      </c>
      <c r="D11138" s="2" t="s">
        <f>=HYPERLINK("https://main.knesset.gov.il/APPS/legislation/main/bills/2156543", "הצעת חוק החברות הממשלתיות (תיקון - כשירות מיוחדת), התשפ""א-2021")</f>
        <v>21515</v>
      </c>
      <c r="E11138" t="s">
        <v>21515</v>
      </c>
      <c r="F11138" t="s">
        <v>21516</v>
      </c>
      <c r="G11138" t="s">
        <v>14</v>
      </c>
      <c r="H11138">
             </c>
      <c r="I11138" t="s">
        <v>14</v>
      </c>
      <c r="J11138" t="s">
        <v>141</v>
      </c>
      <c r="K11138" t="s">
        <v>14</v>
      </c>
      <c r="L11138" t="s">
        <v>20</v>
      </c>
      <c r="M11138" t="s">
        <v>21288</v>
      </c>
      <c r="N11138" t="s">
        <v>14</v>
      </c>
    </row>
    <row r="11139" x14ac:dyDescent="0.25">
      <c r="A11139" t="n">
        <v>24</v>
      </c>
      <c r="B11139" t="s">
        <v>14</v>
      </c>
      <c r="C11139" t="s">
        <v>22</v>
      </c>
      <c r="D11139" s="2" t="s">
        <f>=HYPERLINK("https://main.knesset.gov.il/APPS/legislation/main/bills/2156989", "הצעת חוק קליטת חיילים משוחררים (תיקון - תקצוב על פי מספר חיילים משוחררים הנרשמים ללימודים), התשפ""א-2021")</f>
        <v>21517</v>
      </c>
      <c r="E11139" t="s">
        <v>21517</v>
      </c>
      <c r="F11139" t="s">
        <v>21518</v>
      </c>
      <c r="G11139" t="s">
        <v>14</v>
      </c>
      <c r="H11139">
             </c>
      <c r="I11139" t="s">
        <v>14</v>
      </c>
      <c r="J11139" t="s">
        <v>141</v>
      </c>
      <c r="K11139" t="s">
        <v>14</v>
      </c>
      <c r="L11139" t="s">
        <v>20</v>
      </c>
      <c r="M11139" t="s">
        <v>21288</v>
      </c>
      <c r="N11139" t="s">
        <v>14</v>
      </c>
    </row>
    <row r="11140" x14ac:dyDescent="0.25">
      <c r="A11140" t="n">
        <v>24</v>
      </c>
      <c r="B11140" t="s">
        <v>14</v>
      </c>
      <c r="C11140" t="s">
        <v>22</v>
      </c>
      <c r="D11140" s="2" t="s">
        <f>=HYPERLINK("https://main.knesset.gov.il/APPS/legislation/main/bills/2157117", "הצעת חוק הכניסה לישראל (תיקון - ביטול האיסור על מתן אשרה ורישיון ישיבה לקורא לחרם על ישראל), התשפ""א-2021")</f>
        <v>21519</v>
      </c>
      <c r="E11140" t="s">
        <v>21519</v>
      </c>
      <c r="F11140" t="s">
        <v>21520</v>
      </c>
      <c r="G11140" t="s">
        <v>14</v>
      </c>
      <c r="H11140">
             </c>
      <c r="I11140" t="s">
        <v>14</v>
      </c>
      <c r="J11140" t="s">
        <v>141</v>
      </c>
      <c r="K11140" t="s">
        <v>14</v>
      </c>
      <c r="L11140" t="s">
        <v>20</v>
      </c>
      <c r="M11140" t="s">
        <v>21288</v>
      </c>
      <c r="N11140" t="s">
        <v>14</v>
      </c>
    </row>
    <row r="11141" x14ac:dyDescent="0.25">
      <c r="A11141" t="n">
        <v>24</v>
      </c>
      <c r="B11141" t="s">
        <v>14</v>
      </c>
      <c r="C11141" t="s">
        <v>22</v>
      </c>
      <c r="D11141" s="2" t="s">
        <f>=HYPERLINK("https://main.knesset.gov.il/APPS/legislation/main/bills/2156980", "הצעת חוק פיצוי לנפגעי פוליו (תיקון - הרחבת הזכאות לחולים שנותחו לפני שנת 1980), התשפ""א-2021")</f>
        <v>21521</v>
      </c>
      <c r="E11141" t="s">
        <v>21521</v>
      </c>
      <c r="F11141" t="s">
        <v>21522</v>
      </c>
      <c r="G11141" t="s">
        <v>14</v>
      </c>
      <c r="H11141">
             </c>
      <c r="I11141" t="s">
        <v>14</v>
      </c>
      <c r="J11141" t="s">
        <v>141</v>
      </c>
      <c r="K11141" t="s">
        <v>14</v>
      </c>
      <c r="L11141" t="s">
        <v>20</v>
      </c>
      <c r="M11141" t="s">
        <v>21288</v>
      </c>
      <c r="N11141" t="s">
        <v>14</v>
      </c>
    </row>
    <row r="11142" x14ac:dyDescent="0.25">
      <c r="A11142" t="n">
        <v>24</v>
      </c>
      <c r="B11142" t="s">
        <v>14</v>
      </c>
      <c r="C11142" t="s">
        <v>22</v>
      </c>
      <c r="D11142" s="2" t="s">
        <f>=HYPERLINK("https://main.knesset.gov.il/APPS/legislation/main/bills/2156070", "הצעת חוק המאבק בטרור (תיקון - גילוי הזדהות עם ארגון טרור ברשת חברתית), התשפ""א-2021")</f>
        <v>21523</v>
      </c>
      <c r="E11142" t="s">
        <v>21523</v>
      </c>
      <c r="F11142" t="s">
        <v>21524</v>
      </c>
      <c r="G11142" t="s">
        <v>14</v>
      </c>
      <c r="H11142">
             </c>
      <c r="I11142" t="s">
        <v>14</v>
      </c>
      <c r="J11142" t="s">
        <v>343</v>
      </c>
      <c r="K11142" t="s">
        <v>14</v>
      </c>
      <c r="L11142" t="s">
        <v>20</v>
      </c>
      <c r="M11142" t="s">
        <v>21288</v>
      </c>
      <c r="N11142" t="s">
        <v>14</v>
      </c>
    </row>
    <row r="11143" x14ac:dyDescent="0.25">
      <c r="A11143" t="n">
        <v>24</v>
      </c>
      <c r="B11143" t="s">
        <v>14</v>
      </c>
      <c r="C11143" t="s">
        <v>22</v>
      </c>
      <c r="D11143" s="2" t="s">
        <f>=HYPERLINK("https://main.knesset.gov.il/APPS/legislation/main/bills/2156050", "הצעת חוק-יסוד: הממשלה (תיקון - סייג להטלת התפקיד להרכיב ממשלה)")</f>
        <v>13344</v>
      </c>
      <c r="E11143" t="s">
        <v>13344</v>
      </c>
      <c r="F11143" t="s">
        <v>21525</v>
      </c>
      <c r="G11143" t="s">
        <v>14</v>
      </c>
      <c r="H11143">
             </c>
      <c r="I11143" t="s">
        <v>14</v>
      </c>
      <c r="J11143" t="s">
        <v>141</v>
      </c>
      <c r="K11143" t="s">
        <v>14</v>
      </c>
      <c r="L11143" t="s">
        <v>20</v>
      </c>
      <c r="M11143" t="s">
        <v>21288</v>
      </c>
      <c r="N11143" t="s">
        <v>14</v>
      </c>
    </row>
    <row r="11144" x14ac:dyDescent="0.25">
      <c r="A11144" t="n">
        <v>24</v>
      </c>
      <c r="B11144" t="s">
        <v>14</v>
      </c>
      <c r="C11144" t="s">
        <v>22</v>
      </c>
      <c r="D11144" s="2" t="s">
        <f>=HYPERLINK("https://main.knesset.gov.il/APPS/legislation/main/bills/2156552", "הצעת חוק הבחירות לכנסת (תיקון - יושב ראש ועדת הבחירות המרכזית), התשפ""א-2021 ")</f>
        <v>21526</v>
      </c>
      <c r="E11144" t="s">
        <v>21526</v>
      </c>
      <c r="F11144" t="s">
        <v>21527</v>
      </c>
      <c r="G11144" t="s">
        <v>14</v>
      </c>
      <c r="H11144">
             </c>
      <c r="I11144" t="s">
        <v>14</v>
      </c>
      <c r="J11144" t="s">
        <v>141</v>
      </c>
      <c r="K11144" t="s">
        <v>14</v>
      </c>
      <c r="L11144" t="s">
        <v>20</v>
      </c>
      <c r="M11144" t="s">
        <v>21288</v>
      </c>
      <c r="N11144" t="s">
        <v>14</v>
      </c>
    </row>
    <row r="11145" x14ac:dyDescent="0.25">
      <c r="A11145" t="n">
        <v>24</v>
      </c>
      <c r="B11145" t="s">
        <v>14</v>
      </c>
      <c r="C11145" t="s">
        <v>22</v>
      </c>
      <c r="D11145" s="2" t="s">
        <f>=HYPERLINK("https://main.knesset.gov.il/APPS/legislation/main/bills/2157426", "הצעת חוק העונשין (תיקון - חילוט רווחי סרסרות), התשפ""א-2021")</f>
        <v>16724</v>
      </c>
      <c r="E11145" t="s">
        <v>16724</v>
      </c>
      <c r="F11145" t="s">
        <v>21528</v>
      </c>
      <c r="G11145" t="s">
        <v>14</v>
      </c>
      <c r="H11145">
             </c>
      <c r="I11145" t="s">
        <v>14</v>
      </c>
      <c r="J11145" t="s">
        <v>141</v>
      </c>
      <c r="K11145" t="s">
        <v>14</v>
      </c>
      <c r="L11145" t="s">
        <v>20</v>
      </c>
      <c r="M11145" t="s">
        <v>21288</v>
      </c>
      <c r="N11145" t="s">
        <v>14</v>
      </c>
    </row>
    <row r="11146" x14ac:dyDescent="0.25">
      <c r="A11146" t="n">
        <v>24</v>
      </c>
      <c r="B11146" t="s">
        <v>14</v>
      </c>
      <c r="C11146" t="s">
        <v>22</v>
      </c>
      <c r="D11146" s="2" t="s">
        <f>=HYPERLINK("https://main.knesset.gov.il/APPS/legislation/main/bills/2156275", "הצעת חוק הפיקוח על יצוא ביטחוני (תיקון - הגבלות על יצוא ביטחוני לכוחות ביטחון שביצעו הפרות חמורות של זכויות אדם), התשפ""א-2021")</f>
        <v>21277</v>
      </c>
      <c r="E11146" t="s">
        <v>21277</v>
      </c>
      <c r="F11146" t="s">
        <v>21529</v>
      </c>
      <c r="G11146" t="s">
        <v>14</v>
      </c>
      <c r="H11146">
             </c>
      <c r="I11146" t="s">
        <v>14</v>
      </c>
      <c r="J11146" t="s">
        <v>141</v>
      </c>
      <c r="K11146" t="s">
        <v>14</v>
      </c>
      <c r="L11146" t="s">
        <v>20</v>
      </c>
      <c r="M11146" t="s">
        <v>21288</v>
      </c>
      <c r="N11146" t="s">
        <v>14</v>
      </c>
    </row>
    <row r="11147" x14ac:dyDescent="0.25">
      <c r="A11147" t="n">
        <v>24</v>
      </c>
      <c r="B11147" t="s">
        <v>14</v>
      </c>
      <c r="C11147" t="s">
        <v>22</v>
      </c>
      <c r="D11147" s="2" t="s">
        <f>=HYPERLINK("https://main.knesset.gov.il/APPS/legislation/main/bills/2157215", "הצעת חוק העונשין (תיקון - חילוט רווחי סרסרות), התשפ""א-2021")</f>
        <v>16724</v>
      </c>
      <c r="E11147" t="s">
        <v>16724</v>
      </c>
      <c r="F11147" t="s">
        <v>21530</v>
      </c>
      <c r="G11147" t="s">
        <v>14</v>
      </c>
      <c r="H11147">
             </c>
      <c r="I11147" t="s">
        <v>14</v>
      </c>
      <c r="J11147" t="s">
        <v>141</v>
      </c>
      <c r="K11147" t="s">
        <v>14</v>
      </c>
      <c r="L11147" t="s">
        <v>20</v>
      </c>
      <c r="M11147" t="s">
        <v>21288</v>
      </c>
      <c r="N11147" t="s">
        <v>14</v>
      </c>
    </row>
    <row r="11148" x14ac:dyDescent="0.25">
      <c r="A11148" t="n">
        <v>24</v>
      </c>
      <c r="B11148" t="s">
        <v>14</v>
      </c>
      <c r="C11148" t="s">
        <v>22</v>
      </c>
      <c r="D11148" s="2" t="s">
        <f>=HYPERLINK("https://main.knesset.gov.il/APPS/legislation/main/bills/2156531", "הצעת חוק יסודות התקציב (תיקון - תקציב המשטרה), התשפ""א-2021")</f>
        <v>21531</v>
      </c>
      <c r="E11148" t="s">
        <v>21531</v>
      </c>
      <c r="F11148" t="s">
        <v>21532</v>
      </c>
      <c r="G11148" t="s">
        <v>14</v>
      </c>
      <c r="H11148">
             </c>
      <c r="I11148" t="s">
        <v>14</v>
      </c>
      <c r="J11148" t="s">
        <v>141</v>
      </c>
      <c r="K11148" t="s">
        <v>14</v>
      </c>
      <c r="L11148" t="s">
        <v>20</v>
      </c>
      <c r="M11148" t="s">
        <v>21288</v>
      </c>
      <c r="N11148" t="s">
        <v>14</v>
      </c>
    </row>
    <row r="11149" x14ac:dyDescent="0.25">
      <c r="A11149" t="n">
        <v>24</v>
      </c>
      <c r="B11149" t="s">
        <v>14</v>
      </c>
      <c r="C11149" t="s">
        <v>22</v>
      </c>
      <c r="D11149" s="2" t="s">
        <f>=HYPERLINK("https://main.knesset.gov.il/APPS/legislation/main/bills/2158008", "הצעת חוק השתלת אברים (תיקון - שינוי ברירת המחדל), התשפ""א-2021")</f>
        <v>21533</v>
      </c>
      <c r="E11149" t="s">
        <v>21533</v>
      </c>
      <c r="F11149" t="s">
        <v>21534</v>
      </c>
      <c r="G11149" t="s">
        <v>14</v>
      </c>
      <c r="H11149">
             </c>
      <c r="I11149" t="s">
        <v>14</v>
      </c>
      <c r="J11149" t="s">
        <v>141</v>
      </c>
      <c r="K11149" t="s">
        <v>14</v>
      </c>
      <c r="L11149" t="s">
        <v>20</v>
      </c>
      <c r="M11149" t="s">
        <v>21288</v>
      </c>
      <c r="N11149" t="s">
        <v>14</v>
      </c>
    </row>
    <row r="11150" x14ac:dyDescent="0.25">
      <c r="A11150" t="n">
        <v>24</v>
      </c>
      <c r="B11150" t="s">
        <v>14</v>
      </c>
      <c r="C11150" t="s">
        <v>22</v>
      </c>
      <c r="D11150" s="2" t="s">
        <f>=HYPERLINK("https://main.knesset.gov.il/APPS/legislation/main/bills/2157108", "הצעת חוק השתלת אברים (תיקון - שינוי ברירת המחדל), התשפ""א-2021")</f>
        <v>21533</v>
      </c>
      <c r="E11150" t="s">
        <v>21533</v>
      </c>
      <c r="F11150" t="s">
        <v>21535</v>
      </c>
      <c r="G11150" t="s">
        <v>14</v>
      </c>
      <c r="H11150">
             </c>
      <c r="I11150" t="s">
        <v>14</v>
      </c>
      <c r="J11150" t="s">
        <v>141</v>
      </c>
      <c r="K11150" t="s">
        <v>14</v>
      </c>
      <c r="L11150" t="s">
        <v>20</v>
      </c>
      <c r="M11150" t="s">
        <v>21288</v>
      </c>
      <c r="N11150" t="s">
        <v>14</v>
      </c>
    </row>
    <row r="11151" x14ac:dyDescent="0.25">
      <c r="A11151" t="n">
        <v>24</v>
      </c>
      <c r="B11151" t="s">
        <v>14</v>
      </c>
      <c r="C11151" t="s">
        <v>22</v>
      </c>
      <c r="D11151" s="2" t="s">
        <f>=HYPERLINK("https://main.knesset.gov.il/APPS/legislation/main/bills/2156178", "הצעת חוק דמי מחלה (תיקון - קרן ימי מחלה), התשפ""א-2021")</f>
        <v>21536</v>
      </c>
      <c r="E11151" t="s">
        <v>21536</v>
      </c>
      <c r="F11151" t="s">
        <v>21537</v>
      </c>
      <c r="G11151" t="s">
        <v>14</v>
      </c>
      <c r="H11151">
             </c>
      <c r="I11151" t="s">
        <v>14</v>
      </c>
      <c r="J11151" t="s">
        <v>141</v>
      </c>
      <c r="K11151" t="s">
        <v>14</v>
      </c>
      <c r="L11151" t="s">
        <v>20</v>
      </c>
      <c r="M11151" t="s">
        <v>21288</v>
      </c>
      <c r="N11151" t="s">
        <v>14</v>
      </c>
    </row>
    <row r="11152" x14ac:dyDescent="0.25">
      <c r="A11152" t="n">
        <v>24</v>
      </c>
      <c r="B11152" t="s">
        <v>14</v>
      </c>
      <c r="C11152" t="s">
        <v>22</v>
      </c>
      <c r="D11152" s="2" t="s">
        <f>=HYPERLINK("https://main.knesset.gov.il/APPS/legislation/main/bills/2156804", "הצעת חוק יום הזיכרון לנכבה, התשפ""א-2021")</f>
        <v>21538</v>
      </c>
      <c r="E11152" t="s">
        <v>21538</v>
      </c>
      <c r="F11152" t="s">
        <v>21539</v>
      </c>
      <c r="G11152" t="s">
        <v>14</v>
      </c>
      <c r="H11152">
             </c>
      <c r="I11152" t="s">
        <v>14</v>
      </c>
      <c r="J11152" t="s">
        <v>141</v>
      </c>
      <c r="K11152" t="s">
        <v>14</v>
      </c>
      <c r="L11152" t="s">
        <v>20</v>
      </c>
      <c r="M11152" t="s">
        <v>21288</v>
      </c>
      <c r="N11152" t="s">
        <v>14</v>
      </c>
    </row>
    <row r="11153" x14ac:dyDescent="0.25">
      <c r="A11153" t="n">
        <v>24</v>
      </c>
      <c r="B11153" t="s">
        <v>14</v>
      </c>
      <c r="C11153" t="s">
        <v>22</v>
      </c>
      <c r="D11153" s="2" t="s">
        <f>=HYPERLINK("https://main.knesset.gov.il/APPS/legislation/main/bills/2158012", "הצעת חוק למניעת העישון במקומות ציבוריים והחשיפה לעישון (תיקון - איסור עישון במקומות ציבוריים פתוחים), התשפ""א-2021")</f>
        <v>21540</v>
      </c>
      <c r="E11153" t="s">
        <v>21540</v>
      </c>
      <c r="F11153" t="s">
        <v>21541</v>
      </c>
      <c r="G11153" t="s">
        <v>14</v>
      </c>
      <c r="H11153">
             </c>
      <c r="I11153" t="s">
        <v>14</v>
      </c>
      <c r="J11153" t="s">
        <v>141</v>
      </c>
      <c r="K11153" t="s">
        <v>14</v>
      </c>
      <c r="L11153" t="s">
        <v>20</v>
      </c>
      <c r="M11153" t="s">
        <v>21288</v>
      </c>
      <c r="N11153" t="s">
        <v>14</v>
      </c>
    </row>
    <row r="11154" x14ac:dyDescent="0.25">
      <c r="A11154" t="n">
        <v>24</v>
      </c>
      <c r="B11154" t="s">
        <v>14</v>
      </c>
      <c r="C11154" t="s">
        <v>22</v>
      </c>
      <c r="D11154" s="2" t="s">
        <f>=HYPERLINK("https://main.knesset.gov.il/APPS/legislation/main/bills/2157403", "הצעת חוק למניעת העישון במקומות ציבוריים והחשיפה לעישון (תיקון - איסור עישון במקומות ציבוריים פתוחים), התשפ""א-2021")</f>
        <v>21540</v>
      </c>
      <c r="E11154" t="s">
        <v>21540</v>
      </c>
      <c r="F11154" t="s">
        <v>21542</v>
      </c>
      <c r="G11154" t="s">
        <v>14</v>
      </c>
      <c r="H11154">
             </c>
      <c r="I11154" t="s">
        <v>14</v>
      </c>
      <c r="J11154" t="s">
        <v>141</v>
      </c>
      <c r="K11154" t="s">
        <v>14</v>
      </c>
      <c r="L11154" t="s">
        <v>20</v>
      </c>
      <c r="M11154" t="s">
        <v>21288</v>
      </c>
      <c r="N11154" t="s">
        <v>14</v>
      </c>
    </row>
    <row r="11155" x14ac:dyDescent="0.25">
      <c r="A11155" t="n">
        <v>24</v>
      </c>
      <c r="B11155" t="s">
        <v>14</v>
      </c>
      <c r="C11155" t="s">
        <v>22</v>
      </c>
      <c r="D11155" s="2" t="s">
        <f>=HYPERLINK("https://main.knesset.gov.il/APPS/legislation/main/bills/2157957", "הצעת חוק זכויות, שירותים והתאמות בחינוך לילדים עם צרכים מיוחדים, התשפ""א-2021")</f>
        <v>21543</v>
      </c>
      <c r="E11155" t="s">
        <v>21543</v>
      </c>
      <c r="F11155" t="s">
        <v>21544</v>
      </c>
      <c r="G11155" t="s">
        <v>14</v>
      </c>
      <c r="H11155">
             </c>
      <c r="I11155" t="s">
        <v>14</v>
      </c>
      <c r="J11155" t="s">
        <v>141</v>
      </c>
      <c r="K11155" t="s">
        <v>14</v>
      </c>
      <c r="L11155" t="s">
        <v>20</v>
      </c>
      <c r="M11155" t="s">
        <v>21288</v>
      </c>
      <c r="N11155" t="s">
        <v>14</v>
      </c>
    </row>
    <row r="11156" x14ac:dyDescent="0.25">
      <c r="A11156" t="n">
        <v>24</v>
      </c>
      <c r="B11156" t="s">
        <v>14</v>
      </c>
      <c r="C11156" t="s">
        <v>22</v>
      </c>
      <c r="D11156" s="2" t="s">
        <f>=HYPERLINK("https://main.knesset.gov.il/APPS/legislation/main/bills/2156815", "הצעת חוק המועצה להשכלה גבוהה (תיקון - ביטול חובת דרישות מבחני כניסה וציון פסיכומטרי), התשפ""א-2021 ")</f>
        <v>21545</v>
      </c>
      <c r="E11156" t="s">
        <v>21545</v>
      </c>
      <c r="F11156" t="s">
        <v>21546</v>
      </c>
      <c r="G11156" t="s">
        <v>14</v>
      </c>
      <c r="H11156">
             </c>
      <c r="I11156" t="s">
        <v>14</v>
      </c>
      <c r="J11156" t="s">
        <v>141</v>
      </c>
      <c r="K11156" t="s">
        <v>14</v>
      </c>
      <c r="L11156" t="s">
        <v>20</v>
      </c>
      <c r="M11156" t="s">
        <v>21288</v>
      </c>
      <c r="N11156" t="s">
        <v>14</v>
      </c>
    </row>
    <row r="11157" x14ac:dyDescent="0.25">
      <c r="A11157" t="n">
        <v>24</v>
      </c>
      <c r="B11157" t="s">
        <v>14</v>
      </c>
      <c r="C11157" t="s">
        <v>22</v>
      </c>
      <c r="D11157" s="2" t="s">
        <f>=HYPERLINK("https://main.knesset.gov.il/APPS/legislation/main/bills/2156103", "הצעת חוק זכויות, שירותים והתאמות בחינוך לילדים עם צרכים מיוחדים, התשפ""א-2021")</f>
        <v>21543</v>
      </c>
      <c r="E11157" t="s">
        <v>21543</v>
      </c>
      <c r="F11157" t="s">
        <v>21547</v>
      </c>
      <c r="G11157" t="s">
        <v>14</v>
      </c>
      <c r="H11157">
             </c>
      <c r="I11157" t="s">
        <v>14</v>
      </c>
      <c r="J11157" t="s">
        <v>141</v>
      </c>
      <c r="K11157" t="s">
        <v>14</v>
      </c>
      <c r="L11157" t="s">
        <v>20</v>
      </c>
      <c r="M11157" t="s">
        <v>21288</v>
      </c>
      <c r="N11157" t="s">
        <v>14</v>
      </c>
    </row>
    <row r="11158" x14ac:dyDescent="0.25">
      <c r="A11158" t="n">
        <v>24</v>
      </c>
      <c r="B11158" t="s">
        <v>14</v>
      </c>
      <c r="C11158" t="s">
        <v>22</v>
      </c>
      <c r="D11158" s="2" t="s">
        <f>=HYPERLINK("https://main.knesset.gov.il/APPS/legislation/main/bills/2157843", "הצעת חוק להגנת חיית הבר (תיקון - איסור מכירת פרוות), התשפ""א-2021")</f>
        <v>21548</v>
      </c>
      <c r="E11158" t="s">
        <v>21548</v>
      </c>
      <c r="F11158" t="s">
        <v>21549</v>
      </c>
      <c r="G11158" t="s">
        <v>14</v>
      </c>
      <c r="H11158">
             </c>
      <c r="I11158" t="s">
        <v>14</v>
      </c>
      <c r="J11158" t="s">
        <v>141</v>
      </c>
      <c r="K11158" t="s">
        <v>14</v>
      </c>
      <c r="L11158" t="s">
        <v>20</v>
      </c>
      <c r="M11158" t="s">
        <v>21288</v>
      </c>
      <c r="N11158" t="s">
        <v>14</v>
      </c>
    </row>
    <row r="11159" x14ac:dyDescent="0.25">
      <c r="A11159" t="n">
        <v>24</v>
      </c>
      <c r="B11159" t="s">
        <v>14</v>
      </c>
      <c r="C11159" t="s">
        <v>22</v>
      </c>
      <c r="D11159" s="2" t="s">
        <f>=HYPERLINK("https://main.knesset.gov.il/APPS/legislation/main/bills/2156775", "הצעת חוק חינוך ממלכתי (תיקון - הגבלת כהונה של מפקח מחוז), התשפ""א-2021")</f>
        <v>21550</v>
      </c>
      <c r="E11159" t="s">
        <v>21550</v>
      </c>
      <c r="F11159" t="s">
        <v>21551</v>
      </c>
      <c r="G11159" t="s">
        <v>14</v>
      </c>
      <c r="H11159">
             </c>
      <c r="I11159" t="s">
        <v>14</v>
      </c>
      <c r="J11159" t="s">
        <v>141</v>
      </c>
      <c r="K11159" t="s">
        <v>14</v>
      </c>
      <c r="L11159" t="s">
        <v>20</v>
      </c>
      <c r="M11159" t="s">
        <v>21288</v>
      </c>
      <c r="N11159" t="s">
        <v>14</v>
      </c>
    </row>
    <row r="11160" x14ac:dyDescent="0.25">
      <c r="A11160" t="n">
        <v>24</v>
      </c>
      <c r="B11160" t="s">
        <v>14</v>
      </c>
      <c r="C11160" t="s">
        <v>22</v>
      </c>
      <c r="D11160" s="2" t="s">
        <f>=HYPERLINK("https://main.knesset.gov.il/APPS/legislation/main/bills/2157488", "הצעת חוק להגנת חיית הבר (תיקון - איסור מכירת פרוות), התשפ""א-2021")</f>
        <v>21548</v>
      </c>
      <c r="E11160" t="s">
        <v>21548</v>
      </c>
      <c r="F11160" t="s">
        <v>21552</v>
      </c>
      <c r="G11160" t="s">
        <v>14</v>
      </c>
      <c r="H11160">
             </c>
      <c r="I11160" t="s">
        <v>14</v>
      </c>
      <c r="J11160" t="s">
        <v>141</v>
      </c>
      <c r="K11160" t="s">
        <v>14</v>
      </c>
      <c r="L11160" t="s">
        <v>20</v>
      </c>
      <c r="M11160" t="s">
        <v>21288</v>
      </c>
      <c r="N11160" t="s">
        <v>14</v>
      </c>
    </row>
    <row r="11161" x14ac:dyDescent="0.25">
      <c r="A11161" t="n">
        <v>24</v>
      </c>
      <c r="B11161" t="s">
        <v>14</v>
      </c>
      <c r="C11161" t="s">
        <v>22</v>
      </c>
      <c r="D11161" s="2" t="s">
        <f>=HYPERLINK("https://main.knesset.gov.il/APPS/legislation/main/bills/2156483", "הצעת חוק לתיקון פקודת התעבורה (הסעת אזרח ותיק באוטובוס), התשפ""א-2021")</f>
        <v>21553</v>
      </c>
      <c r="E11161" t="s">
        <v>21553</v>
      </c>
      <c r="F11161" t="s">
        <v>21554</v>
      </c>
      <c r="G11161" t="s">
        <v>14</v>
      </c>
      <c r="H11161">
             </c>
      <c r="I11161" t="s">
        <v>14</v>
      </c>
      <c r="J11161" t="s">
        <v>141</v>
      </c>
      <c r="K11161" t="s">
        <v>14</v>
      </c>
      <c r="L11161" t="s">
        <v>20</v>
      </c>
      <c r="M11161" t="s">
        <v>21288</v>
      </c>
      <c r="N11161" t="s">
        <v>14</v>
      </c>
    </row>
    <row r="11162" x14ac:dyDescent="0.25">
      <c r="A11162" t="n">
        <v>24</v>
      </c>
      <c r="B11162" t="s">
        <v>14</v>
      </c>
      <c r="C11162" t="s">
        <v>22</v>
      </c>
      <c r="D11162" s="2" t="s">
        <f>=HYPERLINK("https://main.knesset.gov.il/APPS/legislation/main/bills/2157831", "הצעת חוק מרשם האוכלוסין (תיקון - רישום הורה נוסף), התשפ""א-2021")</f>
        <v>21555</v>
      </c>
      <c r="E11162" t="s">
        <v>21555</v>
      </c>
      <c r="F11162" t="s">
        <v>21556</v>
      </c>
      <c r="G11162" t="s">
        <v>14</v>
      </c>
      <c r="H11162">
             </c>
      <c r="I11162" t="s">
        <v>14</v>
      </c>
      <c r="J11162" t="s">
        <v>141</v>
      </c>
      <c r="K11162" t="s">
        <v>14</v>
      </c>
      <c r="L11162" t="s">
        <v>20</v>
      </c>
      <c r="M11162" t="s">
        <v>21288</v>
      </c>
      <c r="N11162" t="s">
        <v>14</v>
      </c>
    </row>
    <row r="11163" x14ac:dyDescent="0.25">
      <c r="A11163" t="n">
        <v>24</v>
      </c>
      <c r="B11163" t="s">
        <v>14</v>
      </c>
      <c r="C11163" t="s">
        <v>22</v>
      </c>
      <c r="D11163" s="2" t="s">
        <f>=HYPERLINK("https://main.knesset.gov.il/APPS/legislation/main/bills/2157021", "הצעת חוק להפחתת השימוש ברכב פרטי ולעידוד שימוש בתחבורה הציבורית, התשפ""א-2021 ")</f>
        <v>18812</v>
      </c>
      <c r="E11163" t="s">
        <v>18812</v>
      </c>
      <c r="F11163" t="s">
        <v>21557</v>
      </c>
      <c r="G11163" t="s">
        <v>14</v>
      </c>
      <c r="H11163">
             </c>
      <c r="I11163" t="s">
        <v>14</v>
      </c>
      <c r="J11163" t="s">
        <v>141</v>
      </c>
      <c r="K11163" t="s">
        <v>14</v>
      </c>
      <c r="L11163" t="s">
        <v>20</v>
      </c>
      <c r="M11163" t="s">
        <v>21288</v>
      </c>
      <c r="N11163" t="s">
        <v>14</v>
      </c>
    </row>
    <row r="11164" x14ac:dyDescent="0.25">
      <c r="A11164" t="n">
        <v>24</v>
      </c>
      <c r="B11164" t="s">
        <v>14</v>
      </c>
      <c r="C11164" t="s">
        <v>22</v>
      </c>
      <c r="D11164" s="2" t="s">
        <f>=HYPERLINK("https://main.knesset.gov.il/APPS/legislation/main/bills/2157261", "הצעת חוק מרשם האוכלוסין (תיקון - רישום הורה נוסף), התשפ""א-2021")</f>
        <v>21555</v>
      </c>
      <c r="E11164" t="s">
        <v>21555</v>
      </c>
      <c r="F11164" t="s">
        <v>21558</v>
      </c>
      <c r="G11164" t="s">
        <v>14</v>
      </c>
      <c r="H11164">
             </c>
      <c r="I11164" t="s">
        <v>14</v>
      </c>
      <c r="J11164" t="s">
        <v>141</v>
      </c>
      <c r="K11164" t="s">
        <v>14</v>
      </c>
      <c r="L11164" t="s">
        <v>20</v>
      </c>
      <c r="M11164" t="s">
        <v>21288</v>
      </c>
      <c r="N11164" t="s">
        <v>14</v>
      </c>
    </row>
    <row r="11165" x14ac:dyDescent="0.25">
      <c r="A11165" t="n">
        <v>24</v>
      </c>
      <c r="B11165" t="s">
        <v>14</v>
      </c>
      <c r="C11165" t="s">
        <v>22</v>
      </c>
      <c r="D11165" s="2" t="s">
        <f>=HYPERLINK("https://main.knesset.gov.il/APPS/legislation/main/bills/2156991", "הצעת חוק הביטוח הלאומי (תיקון - הצמדת קצבת אזרח ותיק לשכר המינימום), התשפ""א-2021")</f>
        <v>19429</v>
      </c>
      <c r="E11165" t="s">
        <v>19429</v>
      </c>
      <c r="F11165" t="s">
        <v>21559</v>
      </c>
      <c r="G11165" t="s">
        <v>14</v>
      </c>
      <c r="H11165">
             </c>
      <c r="I11165" t="s">
        <v>14</v>
      </c>
      <c r="J11165" t="s">
        <v>141</v>
      </c>
      <c r="K11165" t="s">
        <v>14</v>
      </c>
      <c r="L11165" t="s">
        <v>20</v>
      </c>
      <c r="M11165" t="s">
        <v>21288</v>
      </c>
      <c r="N11165" t="s">
        <v>14</v>
      </c>
    </row>
    <row r="11166" x14ac:dyDescent="0.25">
      <c r="A11166" t="n">
        <v>24</v>
      </c>
      <c r="B11166" t="s">
        <v>14</v>
      </c>
      <c r="C11166" t="s">
        <v>22</v>
      </c>
      <c r="D11166" s="2" t="s">
        <f>=HYPERLINK("https://main.knesset.gov.il/APPS/legislation/main/bills/2157981", "הצעת חוק לתיקון פקודת המסים (גבייה) (ביטול החוק), התשפ""א-2021")</f>
        <v>21560</v>
      </c>
      <c r="E11166" t="s">
        <v>21560</v>
      </c>
      <c r="F11166" t="s">
        <v>21561</v>
      </c>
      <c r="G11166" t="s">
        <v>14</v>
      </c>
      <c r="H11166">
             </c>
      <c r="I11166" t="s">
        <v>14</v>
      </c>
      <c r="J11166" t="s">
        <v>141</v>
      </c>
      <c r="K11166" t="s">
        <v>14</v>
      </c>
      <c r="L11166" t="s">
        <v>20</v>
      </c>
      <c r="M11166" t="s">
        <v>21288</v>
      </c>
      <c r="N11166" t="s">
        <v>14</v>
      </c>
    </row>
    <row r="11167" x14ac:dyDescent="0.25">
      <c r="A11167" t="n">
        <v>24</v>
      </c>
      <c r="B11167" t="s">
        <v>14</v>
      </c>
      <c r="C11167" t="s">
        <v>22</v>
      </c>
      <c r="D11167" s="2" t="s">
        <f>=HYPERLINK("https://main.knesset.gov.il/APPS/legislation/main/bills/2156870", "הצעת חוק הגנת השכר (תיקון - זכות בחוזה עבודה לעניין שכר דירה או הוצאות לינה), התשפ""א-2021")</f>
        <v>21562</v>
      </c>
      <c r="E11167" t="s">
        <v>21562</v>
      </c>
      <c r="F11167" t="s">
        <v>21563</v>
      </c>
      <c r="G11167" t="s">
        <v>14</v>
      </c>
      <c r="H11167">
             </c>
      <c r="I11167" t="s">
        <v>14</v>
      </c>
      <c r="J11167" t="s">
        <v>141</v>
      </c>
      <c r="K11167" t="s">
        <v>14</v>
      </c>
      <c r="L11167" t="s">
        <v>20</v>
      </c>
      <c r="M11167" t="s">
        <v>21288</v>
      </c>
      <c r="N11167" t="s">
        <v>14</v>
      </c>
    </row>
    <row r="11168" x14ac:dyDescent="0.25">
      <c r="A11168" t="n">
        <v>24</v>
      </c>
      <c r="B11168" t="s">
        <v>14</v>
      </c>
      <c r="C11168" t="s">
        <v>22</v>
      </c>
      <c r="D11168" s="2" t="s">
        <f>=HYPERLINK("https://main.knesset.gov.il/APPS/legislation/main/bills/2157506", "הצעת חוק לתיקון פקודת המסים (גבייה) (ביטול החוק), התשפ""א-2021")</f>
        <v>21560</v>
      </c>
      <c r="E11168" t="s">
        <v>21560</v>
      </c>
      <c r="F11168" t="s">
        <v>21564</v>
      </c>
      <c r="G11168" t="s">
        <v>14</v>
      </c>
      <c r="H11168">
             </c>
      <c r="I11168" t="s">
        <v>14</v>
      </c>
      <c r="J11168" t="s">
        <v>141</v>
      </c>
      <c r="K11168" t="s">
        <v>14</v>
      </c>
      <c r="L11168" t="s">
        <v>20</v>
      </c>
      <c r="M11168" t="s">
        <v>21288</v>
      </c>
      <c r="N11168" t="s">
        <v>14</v>
      </c>
    </row>
    <row r="11169" x14ac:dyDescent="0.25">
      <c r="A11169" t="n">
        <v>24</v>
      </c>
      <c r="B11169" t="s">
        <v>14</v>
      </c>
      <c r="C11169" t="s">
        <v>22</v>
      </c>
      <c r="D11169" s="2" t="s">
        <f>=HYPERLINK("https://main.knesset.gov.il/APPS/legislation/main/bills/2157940", "הצעת חוק צער בעלי חיים (הגנה על בעלי חיים) (תיקון - איסור משלוחים חיים לשחיטה), התשפ""א-2021")</f>
        <v>19324</v>
      </c>
      <c r="E11169" t="s">
        <v>19324</v>
      </c>
      <c r="F11169" t="s">
        <v>21565</v>
      </c>
      <c r="G11169" t="s">
        <v>14</v>
      </c>
      <c r="H11169">
             </c>
      <c r="I11169" t="s">
        <v>14</v>
      </c>
      <c r="J11169" t="s">
        <v>141</v>
      </c>
      <c r="K11169" t="s">
        <v>14</v>
      </c>
      <c r="L11169" t="s">
        <v>20</v>
      </c>
      <c r="M11169" t="s">
        <v>21288</v>
      </c>
      <c r="N11169" t="s">
        <v>14</v>
      </c>
    </row>
    <row r="11170" x14ac:dyDescent="0.25">
      <c r="A11170" t="n">
        <v>24</v>
      </c>
      <c r="B11170" t="s">
        <v>14</v>
      </c>
      <c r="C11170" t="s">
        <v>22</v>
      </c>
      <c r="D11170" s="2" t="s">
        <f>=HYPERLINK("https://main.knesset.gov.il/APPS/legislation/main/bills/2157285", "הצעת חוק הסכמים לנשיאת עוברים (אישור הסכם ומעמד היילוד) (תיקון - הרחבת הזכאות להליכי נשיאת עוברים והרחבת ההגנה על האם הנושאת), התשפ""א-2021 ")</f>
        <v>21566</v>
      </c>
      <c r="E11170" t="s">
        <v>21566</v>
      </c>
      <c r="F11170" t="s">
        <v>21567</v>
      </c>
      <c r="G11170" t="s">
        <v>14</v>
      </c>
      <c r="H11170">
             </c>
      <c r="I11170" t="s">
        <v>14</v>
      </c>
      <c r="J11170" t="s">
        <v>141</v>
      </c>
      <c r="K11170" t="s">
        <v>14</v>
      </c>
      <c r="L11170" t="s">
        <v>20</v>
      </c>
      <c r="M11170" t="s">
        <v>21288</v>
      </c>
      <c r="N11170" t="s">
        <v>14</v>
      </c>
    </row>
    <row r="11171" x14ac:dyDescent="0.25">
      <c r="A11171" t="n">
        <v>24</v>
      </c>
      <c r="B11171" t="s">
        <v>14</v>
      </c>
      <c r="C11171" t="s">
        <v>22</v>
      </c>
      <c r="D11171" s="2" t="s">
        <f>=HYPERLINK("https://main.knesset.gov.il/APPS/legislation/main/bills/2157377", "הצעת חוק למניעת העישון במקומות ציבוריים והחשיפה לעישון (תיקון - איסור עישון במקומות רחצה, גנים לאומיים ושמורות טבע), התשפ""א-2021")</f>
        <v>21568</v>
      </c>
      <c r="E11171" t="s">
        <v>21568</v>
      </c>
      <c r="F11171" t="s">
        <v>21569</v>
      </c>
      <c r="G11171" t="s">
        <v>14</v>
      </c>
      <c r="H11171">
             </c>
      <c r="I11171" t="s">
        <v>14</v>
      </c>
      <c r="J11171" t="s">
        <v>141</v>
      </c>
      <c r="K11171" t="s">
        <v>14</v>
      </c>
      <c r="L11171" t="s">
        <v>20</v>
      </c>
      <c r="M11171" t="s">
        <v>21288</v>
      </c>
      <c r="N11171" t="s">
        <v>14</v>
      </c>
    </row>
    <row r="11172" x14ac:dyDescent="0.25">
      <c r="A11172" t="n">
        <v>24</v>
      </c>
      <c r="B11172" t="s">
        <v>14</v>
      </c>
      <c r="C11172" t="s">
        <v>22</v>
      </c>
      <c r="D11172" s="2" t="s">
        <f>=HYPERLINK("https://main.knesset.gov.il/APPS/legislation/main/bills/2157516", "הצעת חוק עבודת נשים (תיקון - שעות היעדרות מעבודה לאישה בהריון בר-סיכון), התשפ""א-2021")</f>
        <v>21570</v>
      </c>
      <c r="E11172" t="s">
        <v>21570</v>
      </c>
      <c r="F11172" t="s">
        <v>21571</v>
      </c>
      <c r="G11172" t="s">
        <v>14</v>
      </c>
      <c r="H11172">
             </c>
      <c r="I11172" t="s">
        <v>14</v>
      </c>
      <c r="J11172" t="s">
        <v>141</v>
      </c>
      <c r="K11172" t="s">
        <v>14</v>
      </c>
      <c r="L11172" t="s">
        <v>20</v>
      </c>
      <c r="M11172" t="s">
        <v>21288</v>
      </c>
      <c r="N11172" t="s">
        <v>14</v>
      </c>
    </row>
    <row r="11173" x14ac:dyDescent="0.25">
      <c r="A11173" t="n">
        <v>24</v>
      </c>
      <c r="B11173" t="s">
        <v>14</v>
      </c>
      <c r="C11173" t="s">
        <v>22</v>
      </c>
      <c r="D11173" s="2" t="s">
        <f>=HYPERLINK("https://main.knesset.gov.il/APPS/legislation/main/bills/2156582", "הצעת חוק צער בעלי חיים (הגנה על בעלי חיים) (תיקון - איסור משלוחים חיים לשחיטה), התשפ""א-2021")</f>
        <v>19324</v>
      </c>
      <c r="E11173" t="s">
        <v>19324</v>
      </c>
      <c r="F11173" t="s">
        <v>21572</v>
      </c>
      <c r="G11173" t="s">
        <v>14</v>
      </c>
      <c r="H11173">
             </c>
      <c r="I11173" t="s">
        <v>14</v>
      </c>
      <c r="J11173" t="s">
        <v>141</v>
      </c>
      <c r="K11173" t="s">
        <v>14</v>
      </c>
      <c r="L11173" t="s">
        <v>20</v>
      </c>
      <c r="M11173" t="s">
        <v>21288</v>
      </c>
      <c r="N11173" t="s">
        <v>14</v>
      </c>
    </row>
    <row r="11174" x14ac:dyDescent="0.25">
      <c r="A11174" t="n">
        <v>24</v>
      </c>
      <c r="B11174" t="s">
        <v>14</v>
      </c>
      <c r="C11174" t="s">
        <v>22</v>
      </c>
      <c r="D11174" s="2" t="s">
        <f>=HYPERLINK("https://main.knesset.gov.il/APPS/legislation/main/bills/2156363", "הצעת חוק עבודת נשים (תיקון - שעות היעדרות מעבודה לאישה בהריון בר-סיכון), התשפ""א-2021")</f>
        <v>21570</v>
      </c>
      <c r="E11174" t="s">
        <v>21570</v>
      </c>
      <c r="F11174" t="s">
        <v>21573</v>
      </c>
      <c r="G11174" t="s">
        <v>14</v>
      </c>
      <c r="H11174">
             </c>
      <c r="I11174" t="s">
        <v>14</v>
      </c>
      <c r="J11174" t="s">
        <v>141</v>
      </c>
      <c r="K11174" t="s">
        <v>14</v>
      </c>
      <c r="L11174" t="s">
        <v>20</v>
      </c>
      <c r="M11174" t="s">
        <v>21288</v>
      </c>
      <c r="N11174" t="s">
        <v>14</v>
      </c>
    </row>
    <row r="11175" x14ac:dyDescent="0.25">
      <c r="A11175" t="n">
        <v>24</v>
      </c>
      <c r="B11175" t="s">
        <v>14</v>
      </c>
      <c r="C11175" t="s">
        <v>22</v>
      </c>
      <c r="D11175" s="2" t="s">
        <f>=HYPERLINK("https://main.knesset.gov.il/APPS/legislation/main/bills/2156206", "הצעת חוק הביטוח הלאומי (תיקון - ביטול מבחן הכנסה לצורך קביעת זכאות ניצול שואה לגמלת סיעוד), התשפ""א-2021")</f>
        <v>21574</v>
      </c>
      <c r="E11175" t="s">
        <v>21574</v>
      </c>
      <c r="F11175" t="s">
        <v>21575</v>
      </c>
      <c r="G11175" t="s">
        <v>14</v>
      </c>
      <c r="H11175">
             </c>
      <c r="I11175" t="s">
        <v>14</v>
      </c>
      <c r="J11175" t="s">
        <v>141</v>
      </c>
      <c r="K11175" t="s">
        <v>14</v>
      </c>
      <c r="L11175" t="s">
        <v>20</v>
      </c>
      <c r="M11175" t="s">
        <v>21288</v>
      </c>
      <c r="N11175" t="s">
        <v>14</v>
      </c>
    </row>
    <row r="11176" x14ac:dyDescent="0.25">
      <c r="A11176" t="n">
        <v>24</v>
      </c>
      <c r="B11176" t="s">
        <v>14</v>
      </c>
      <c r="C11176" t="s">
        <v>22</v>
      </c>
      <c r="D11176" s="2" t="s">
        <f>=HYPERLINK("https://main.knesset.gov.il/APPS/legislation/main/bills/2157273", "הצעת חוק דמי מחלה (היעדרות בשל מחלת ילד) (תיקון - היעדרות בשל מחלת ילדו של בן זוג), התשפ""א-2021")</f>
        <v>21576</v>
      </c>
      <c r="E11176" t="s">
        <v>21576</v>
      </c>
      <c r="F11176" t="s">
        <v>21577</v>
      </c>
      <c r="G11176" t="s">
        <v>14</v>
      </c>
      <c r="H11176">
             </c>
      <c r="I11176" t="s">
        <v>14</v>
      </c>
      <c r="J11176" t="s">
        <v>141</v>
      </c>
      <c r="K11176" t="s">
        <v>14</v>
      </c>
      <c r="L11176" t="s">
        <v>20</v>
      </c>
      <c r="M11176" t="s">
        <v>21288</v>
      </c>
      <c r="N11176" t="s">
        <v>14</v>
      </c>
    </row>
    <row r="11177" x14ac:dyDescent="0.25">
      <c r="A11177" t="n">
        <v>24</v>
      </c>
      <c r="B11177" t="s">
        <v>14</v>
      </c>
      <c r="C11177" t="s">
        <v>22</v>
      </c>
      <c r="D11177" s="2" t="s">
        <f>=HYPERLINK("https://main.knesset.gov.il/APPS/legislation/main/bills/2157367", "הצעת חוק סיוע לצעירים חסרי עורף משפחתי, התשפ""א-2021")</f>
        <v>21578</v>
      </c>
      <c r="E11177" t="s">
        <v>21578</v>
      </c>
      <c r="F11177" t="s">
        <v>21579</v>
      </c>
      <c r="G11177" t="s">
        <v>14</v>
      </c>
      <c r="H11177">
             </c>
      <c r="I11177" t="s">
        <v>14</v>
      </c>
      <c r="J11177" t="s">
        <v>141</v>
      </c>
      <c r="K11177" t="s">
        <v>14</v>
      </c>
      <c r="L11177" t="s">
        <v>20</v>
      </c>
      <c r="M11177" t="s">
        <v>21288</v>
      </c>
      <c r="N11177" t="s">
        <v>14</v>
      </c>
    </row>
    <row r="11178" x14ac:dyDescent="0.25">
      <c r="A11178" t="n">
        <v>24</v>
      </c>
      <c r="B11178" t="s">
        <v>14</v>
      </c>
      <c r="C11178" t="s">
        <v>22</v>
      </c>
      <c r="D11178" s="2" t="s">
        <f>=HYPERLINK("https://main.knesset.gov.il/APPS/legislation/main/bills/2156659", "הצעת חוק שיפוט בעניני התרת נישואין (מקרים מיוחדים וסמכות בין-לאומית) (תיקון - התרת נישואין אזרחיים), התשפ""א-2021")</f>
        <v>21580</v>
      </c>
      <c r="E11178" t="s">
        <v>21580</v>
      </c>
      <c r="F11178" t="s">
        <v>21581</v>
      </c>
      <c r="G11178" t="s">
        <v>14</v>
      </c>
      <c r="H11178">
             </c>
      <c r="I11178" t="s">
        <v>14</v>
      </c>
      <c r="J11178" t="s">
        <v>141</v>
      </c>
      <c r="K11178" t="s">
        <v>14</v>
      </c>
      <c r="L11178" t="s">
        <v>20</v>
      </c>
      <c r="M11178" t="s">
        <v>21288</v>
      </c>
      <c r="N11178" t="s">
        <v>14</v>
      </c>
    </row>
    <row r="11179" x14ac:dyDescent="0.25">
      <c r="A11179" t="n">
        <v>24</v>
      </c>
      <c r="B11179" t="s">
        <v>14</v>
      </c>
      <c r="C11179" t="s">
        <v>22</v>
      </c>
      <c r="D11179" s="2" t="s">
        <f>=HYPERLINK("https://main.knesset.gov.il/APPS/legislation/main/bills/2157433", "הצעת חוק דמי מחלה (היעדרות בשל מחלת ילד) (תיקון - היעדרות בשל מחלת ילדו של בן זוג), התשפ""א-2021")</f>
        <v>21576</v>
      </c>
      <c r="E11179" t="s">
        <v>21576</v>
      </c>
      <c r="F11179" t="s">
        <v>21582</v>
      </c>
      <c r="G11179" t="s">
        <v>14</v>
      </c>
      <c r="H11179">
             </c>
      <c r="I11179" t="s">
        <v>14</v>
      </c>
      <c r="J11179" t="s">
        <v>141</v>
      </c>
      <c r="K11179" t="s">
        <v>14</v>
      </c>
      <c r="L11179" t="s">
        <v>20</v>
      </c>
      <c r="M11179" t="s">
        <v>21288</v>
      </c>
      <c r="N11179" t="s">
        <v>14</v>
      </c>
    </row>
    <row r="11180" x14ac:dyDescent="0.25">
      <c r="A11180" t="n">
        <v>24</v>
      </c>
      <c r="B11180" t="s">
        <v>14</v>
      </c>
      <c r="C11180" t="s">
        <v>22</v>
      </c>
      <c r="D11180" s="2" t="s">
        <f>=HYPERLINK("https://main.knesset.gov.il/APPS/legislation/main/bills/2157363", "הצעת חוק עסקאות גופים ציבוריים (תיקון - מעבר לרכבים ידידותיים לסביבה בגופים ציבוריים), התשפ""א-2021")</f>
        <v>21583</v>
      </c>
      <c r="E11180" t="s">
        <v>21583</v>
      </c>
      <c r="F11180" t="s">
        <v>21584</v>
      </c>
      <c r="G11180" t="s">
        <v>14</v>
      </c>
      <c r="H11180">
             </c>
      <c r="I11180" t="s">
        <v>14</v>
      </c>
      <c r="J11180" t="s">
        <v>141</v>
      </c>
      <c r="K11180" t="s">
        <v>14</v>
      </c>
      <c r="L11180" t="s">
        <v>20</v>
      </c>
      <c r="M11180" t="s">
        <v>21288</v>
      </c>
      <c r="N11180" t="s">
        <v>14</v>
      </c>
    </row>
    <row r="11181" x14ac:dyDescent="0.25">
      <c r="A11181" t="n">
        <v>24</v>
      </c>
      <c r="B11181" t="s">
        <v>14</v>
      </c>
      <c r="C11181" t="s">
        <v>22</v>
      </c>
      <c r="D11181" s="2" t="s">
        <f>=HYPERLINK("https://main.knesset.gov.il/APPS/legislation/main/bills/2158011", "הצעת חוק האזרחים הוותיקים (תיקון - פטור מתשלום בתחבורה ציבורית), התשפ""א-2021")</f>
        <v>19544</v>
      </c>
      <c r="E11181" t="s">
        <v>19544</v>
      </c>
      <c r="F11181" t="s">
        <v>21585</v>
      </c>
      <c r="G11181" t="s">
        <v>14</v>
      </c>
      <c r="H11181">
             </c>
      <c r="I11181" t="s">
        <v>14</v>
      </c>
      <c r="J11181" t="s">
        <v>141</v>
      </c>
      <c r="K11181" t="s">
        <v>14</v>
      </c>
      <c r="L11181" t="s">
        <v>20</v>
      </c>
      <c r="M11181" t="s">
        <v>21288</v>
      </c>
      <c r="N11181" t="s">
        <v>14</v>
      </c>
    </row>
    <row r="11182" x14ac:dyDescent="0.25">
      <c r="A11182" t="n">
        <v>24</v>
      </c>
      <c r="B11182" t="s">
        <v>14</v>
      </c>
      <c r="C11182" t="s">
        <v>22</v>
      </c>
      <c r="D11182" s="2" t="s">
        <f>=HYPERLINK("https://main.knesset.gov.il/APPS/legislation/main/bills/2157089", "הצעת חוק האזרחים הוותיקים (תיקון - פטור מתשלום בתחבורה ציבורית), התשפ""א-2021")</f>
        <v>19544</v>
      </c>
      <c r="E11182" t="s">
        <v>19544</v>
      </c>
      <c r="F11182" t="s">
        <v>21586</v>
      </c>
      <c r="G11182" t="s">
        <v>14</v>
      </c>
      <c r="H11182">
             </c>
      <c r="I11182" t="s">
        <v>14</v>
      </c>
      <c r="J11182" t="s">
        <v>141</v>
      </c>
      <c r="K11182" t="s">
        <v>14</v>
      </c>
      <c r="L11182" t="s">
        <v>20</v>
      </c>
      <c r="M11182" t="s">
        <v>21288</v>
      </c>
      <c r="N11182" t="s">
        <v>14</v>
      </c>
    </row>
    <row r="11183" x14ac:dyDescent="0.25">
      <c r="A11183" t="n">
        <v>24</v>
      </c>
      <c r="B11183" t="s">
        <v>14</v>
      </c>
      <c r="C11183" t="s">
        <v>22</v>
      </c>
      <c r="D11183" s="2" t="s">
        <f>=HYPERLINK("https://main.knesset.gov.il/APPS/legislation/main/bills/2157331", "הצעת חוק הפיקוח על מצרכים ושירותים (תיקון - סייגים לעסקאות בציוד צבאי), התשפ""א-2021")</f>
        <v>21587</v>
      </c>
      <c r="E11183" t="s">
        <v>21587</v>
      </c>
      <c r="F11183" t="s">
        <v>21588</v>
      </c>
      <c r="G11183" t="s">
        <v>14</v>
      </c>
      <c r="H11183">
             </c>
      <c r="I11183" t="s">
        <v>14</v>
      </c>
      <c r="J11183" t="s">
        <v>141</v>
      </c>
      <c r="K11183" t="s">
        <v>14</v>
      </c>
      <c r="L11183" t="s">
        <v>20</v>
      </c>
      <c r="M11183" t="s">
        <v>21288</v>
      </c>
      <c r="N11183" t="s">
        <v>14</v>
      </c>
    </row>
    <row r="11184" x14ac:dyDescent="0.25">
      <c r="A11184" t="n">
        <v>24</v>
      </c>
      <c r="B11184" t="s">
        <v>14</v>
      </c>
      <c r="C11184" t="s">
        <v>22</v>
      </c>
      <c r="D11184" s="2" t="s">
        <f>=HYPERLINK("https://main.knesset.gov.il/APPS/legislation/main/bills/2157266", "הצעת חוק לעידוד מחקר, פיתוח וחדשנות טכנולוגית בתעשייה (תיקון - תקציב הרשות הלאומית לחדשנות טכנולוגית), התשפ""א-2021")</f>
        <v>21589</v>
      </c>
      <c r="E11184" t="s">
        <v>21589</v>
      </c>
      <c r="F11184" t="s">
        <v>21590</v>
      </c>
      <c r="G11184" t="s">
        <v>14</v>
      </c>
      <c r="H11184">
             </c>
      <c r="I11184" t="s">
        <v>14</v>
      </c>
      <c r="J11184" t="s">
        <v>141</v>
      </c>
      <c r="K11184" t="s">
        <v>14</v>
      </c>
      <c r="L11184" t="s">
        <v>20</v>
      </c>
      <c r="M11184" t="s">
        <v>21288</v>
      </c>
      <c r="N11184" t="s">
        <v>14</v>
      </c>
    </row>
    <row r="11185" x14ac:dyDescent="0.25">
      <c r="A11185" t="n">
        <v>24</v>
      </c>
      <c r="B11185" t="s">
        <v>14</v>
      </c>
      <c r="C11185" t="s">
        <v>22</v>
      </c>
      <c r="D11185" s="2" t="s">
        <f>=HYPERLINK("https://main.knesset.gov.il/APPS/legislation/main/bills/2157430", "הצעת חוק לעידוד מחקר, פיתוח וחדשנות טכנולוגית בתעשייה (תיקון - תקציב הרשות הלאומית לחדשנות טכנולוגית), התשפ""א-2021")</f>
        <v>21589</v>
      </c>
      <c r="E11185" t="s">
        <v>21589</v>
      </c>
      <c r="F11185" t="s">
        <v>21591</v>
      </c>
      <c r="G11185" t="s">
        <v>14</v>
      </c>
      <c r="H11185">
             </c>
      <c r="I11185" t="s">
        <v>14</v>
      </c>
      <c r="J11185" t="s">
        <v>141</v>
      </c>
      <c r="K11185" t="s">
        <v>14</v>
      </c>
      <c r="L11185" t="s">
        <v>20</v>
      </c>
      <c r="M11185" t="s">
        <v>21288</v>
      </c>
      <c r="N11185" t="s">
        <v>14</v>
      </c>
    </row>
    <row r="11186" x14ac:dyDescent="0.25">
      <c r="A11186" t="n">
        <v>24</v>
      </c>
      <c r="B11186" t="s">
        <v>14</v>
      </c>
      <c r="C11186" t="s">
        <v>22</v>
      </c>
      <c r="D11186" s="2" t="s">
        <f>=HYPERLINK("https://main.knesset.gov.il/APPS/legislation/main/bills/2157203", "הצעת חוק לתיקון פקודת מס הכנסה (שווי השימוש ברכב או ברדיו טלפון נייד), התשפ""א-2021")</f>
        <v>19959</v>
      </c>
      <c r="E11186" t="s">
        <v>19959</v>
      </c>
      <c r="F11186" t="s">
        <v>21592</v>
      </c>
      <c r="G11186" t="s">
        <v>14</v>
      </c>
      <c r="H11186">
             </c>
      <c r="I11186" t="s">
        <v>14</v>
      </c>
      <c r="J11186" t="s">
        <v>141</v>
      </c>
      <c r="K11186" t="s">
        <v>14</v>
      </c>
      <c r="L11186" t="s">
        <v>20</v>
      </c>
      <c r="M11186" t="s">
        <v>21288</v>
      </c>
      <c r="N11186" t="s">
        <v>14</v>
      </c>
    </row>
    <row r="11187" x14ac:dyDescent="0.25">
      <c r="A11187" t="n">
        <v>24</v>
      </c>
      <c r="B11187" t="s">
        <v>14</v>
      </c>
      <c r="C11187" t="s">
        <v>22</v>
      </c>
      <c r="D11187" s="2" t="s">
        <f>=HYPERLINK("https://main.knesset.gov.il/APPS/legislation/main/bills/2156591", "הצעת חוק המועצה להשכלה גבוהה (תיקון - קביעת שכר לימוד במוסדות מוכרים שהמדינה אינה משתתפת בתקציביהם), התשפ""א-2021")</f>
        <v>21593</v>
      </c>
      <c r="E11187" t="s">
        <v>21593</v>
      </c>
      <c r="F11187" t="s">
        <v>21594</v>
      </c>
      <c r="G11187" t="s">
        <v>14</v>
      </c>
      <c r="H11187">
             </c>
      <c r="I11187" t="s">
        <v>14</v>
      </c>
      <c r="J11187" t="s">
        <v>141</v>
      </c>
      <c r="K11187" t="s">
        <v>14</v>
      </c>
      <c r="L11187" t="s">
        <v>20</v>
      </c>
      <c r="M11187" t="s">
        <v>21288</v>
      </c>
      <c r="N11187" t="s">
        <v>14</v>
      </c>
    </row>
    <row r="11188" x14ac:dyDescent="0.25">
      <c r="A11188" t="n">
        <v>24</v>
      </c>
      <c r="B11188" t="s">
        <v>14</v>
      </c>
      <c r="C11188" t="s">
        <v>22</v>
      </c>
      <c r="D11188" s="2" t="s">
        <f>=HYPERLINK("https://main.knesset.gov.il/APPS/legislation/main/bills/2156674", "הצעת חוק למניעת הטרדה מינית (תיקון - הטרדת קטין), התשפ""א-2021")</f>
        <v>20913</v>
      </c>
      <c r="E11188" t="s">
        <v>20913</v>
      </c>
      <c r="F11188" t="s">
        <v>21595</v>
      </c>
      <c r="G11188" t="s">
        <v>14</v>
      </c>
      <c r="H11188">
             </c>
      <c r="I11188" t="s">
        <v>14</v>
      </c>
      <c r="J11188" t="s">
        <v>141</v>
      </c>
      <c r="K11188" t="s">
        <v>14</v>
      </c>
      <c r="L11188" t="s">
        <v>20</v>
      </c>
      <c r="M11188" t="s">
        <v>21288</v>
      </c>
      <c r="N11188" t="s">
        <v>14</v>
      </c>
    </row>
    <row r="11189" x14ac:dyDescent="0.25">
      <c r="A11189" t="n">
        <v>24</v>
      </c>
      <c r="B11189" t="s">
        <v>14</v>
      </c>
      <c r="C11189" t="s">
        <v>22</v>
      </c>
      <c r="D11189" s="2" t="s">
        <f>=HYPERLINK("https://main.knesset.gov.il/APPS/legislation/main/bills/2156490", "הצעת חוק הביטוח הלאומי (תיקון - חישוב דמי לידה לפי ממוצע שנת עבודה), התשפ""א-2021")</f>
        <v>21596</v>
      </c>
      <c r="E11189" t="s">
        <v>21596</v>
      </c>
      <c r="F11189" t="s">
        <v>21597</v>
      </c>
      <c r="G11189" t="s">
        <v>14</v>
      </c>
      <c r="H11189">
             </c>
      <c r="I11189" t="s">
        <v>14</v>
      </c>
      <c r="J11189" t="s">
        <v>141</v>
      </c>
      <c r="K11189" t="s">
        <v>14</v>
      </c>
      <c r="L11189" t="s">
        <v>20</v>
      </c>
      <c r="M11189" t="s">
        <v>21288</v>
      </c>
      <c r="N11189" t="s">
        <v>14</v>
      </c>
    </row>
    <row r="11190" x14ac:dyDescent="0.25">
      <c r="A11190" t="n">
        <v>24</v>
      </c>
      <c r="B11190" t="s">
        <v>14</v>
      </c>
      <c r="C11190" t="s">
        <v>22</v>
      </c>
      <c r="D11190" s="2" t="s">
        <f>=HYPERLINK("https://main.knesset.gov.il/APPS/legislation/main/bills/2156401", "הצעת חוק שכר ותנאי עבודה לנהגי תחבורה ציבורית, התשפ""א-2021")</f>
        <v>21598</v>
      </c>
      <c r="E11190" t="s">
        <v>21598</v>
      </c>
      <c r="F11190" t="s">
        <v>21599</v>
      </c>
      <c r="G11190" t="s">
        <v>14</v>
      </c>
      <c r="H11190">
             </c>
      <c r="I11190" t="s">
        <v>14</v>
      </c>
      <c r="J11190" t="s">
        <v>141</v>
      </c>
      <c r="K11190" t="s">
        <v>14</v>
      </c>
      <c r="L11190" t="s">
        <v>20</v>
      </c>
      <c r="M11190" t="s">
        <v>21288</v>
      </c>
      <c r="N11190" t="s">
        <v>14</v>
      </c>
    </row>
    <row r="11191" x14ac:dyDescent="0.25">
      <c r="A11191" t="n">
        <v>24</v>
      </c>
      <c r="B11191" t="s">
        <v>14</v>
      </c>
      <c r="C11191" t="s">
        <v>22</v>
      </c>
      <c r="D11191" s="2" t="s">
        <f>=HYPERLINK("https://main.knesset.gov.il/APPS/legislation/main/bills/2156185", "הצעת חוק פינוי ההתנחלות בחברון, התשפ""א-2021")</f>
        <v>21600</v>
      </c>
      <c r="E11191" t="s">
        <v>21600</v>
      </c>
      <c r="F11191" t="s">
        <v>21601</v>
      </c>
      <c r="G11191" t="s">
        <v>14</v>
      </c>
      <c r="H11191">
             </c>
      <c r="I11191" t="s">
        <v>14</v>
      </c>
      <c r="J11191" t="s">
        <v>141</v>
      </c>
      <c r="K11191" t="s">
        <v>14</v>
      </c>
      <c r="L11191" t="s">
        <v>20</v>
      </c>
      <c r="M11191" t="s">
        <v>21288</v>
      </c>
      <c r="N11191" t="s">
        <v>14</v>
      </c>
    </row>
    <row r="11192" x14ac:dyDescent="0.25">
      <c r="A11192" t="n">
        <v>24</v>
      </c>
      <c r="B11192" t="s">
        <v>14</v>
      </c>
      <c r="C11192" t="s">
        <v>22</v>
      </c>
      <c r="D11192" s="2" t="s">
        <f>=HYPERLINK("https://main.knesset.gov.il/APPS/legislation/main/bills/2157524", "הצעת חוק לתיקון פקודת התעבורה (סמכות שוטר בעבירות הנוגעות לשימוש בטלפון נייד), התשפ""א-2021")</f>
        <v>21602</v>
      </c>
      <c r="E11192" t="s">
        <v>21602</v>
      </c>
      <c r="F11192" t="s">
        <v>21603</v>
      </c>
      <c r="G11192" t="s">
        <v>14</v>
      </c>
      <c r="H11192">
             </c>
      <c r="I11192" t="s">
        <v>14</v>
      </c>
      <c r="J11192" t="s">
        <v>141</v>
      </c>
      <c r="K11192" t="s">
        <v>14</v>
      </c>
      <c r="L11192" t="s">
        <v>20</v>
      </c>
      <c r="M11192" t="s">
        <v>21288</v>
      </c>
      <c r="N11192" t="s">
        <v>14</v>
      </c>
    </row>
    <row r="11193" x14ac:dyDescent="0.25">
      <c r="A11193" t="n">
        <v>24</v>
      </c>
      <c r="B11193" t="s">
        <v>14</v>
      </c>
      <c r="C11193" t="s">
        <v>22</v>
      </c>
      <c r="D11193" s="2" t="s">
        <f>=HYPERLINK("https://main.knesset.gov.il/APPS/legislation/main/bills/2157396", "הצעת חוק הרשויות המקומיות (בחירת ראש הרשות וסגניו וכהונתם) (תיקון - מילוי מקום ראש רשות שהושעה מכהונה בשל הגשת כתב אישום ושב ונבחר), התשפ""א-2021")</f>
        <v>21604</v>
      </c>
      <c r="E11193" t="s">
        <v>21604</v>
      </c>
      <c r="F11193" t="s">
        <v>21605</v>
      </c>
      <c r="G11193" t="s">
        <v>14</v>
      </c>
      <c r="H11193">
             </c>
      <c r="I11193" t="s">
        <v>14</v>
      </c>
      <c r="J11193" t="s">
        <v>141</v>
      </c>
      <c r="K11193" t="s">
        <v>14</v>
      </c>
      <c r="L11193" t="s">
        <v>20</v>
      </c>
      <c r="M11193" t="s">
        <v>21288</v>
      </c>
      <c r="N11193" t="s">
        <v>14</v>
      </c>
    </row>
    <row r="11194" x14ac:dyDescent="0.25">
      <c r="A11194" t="n">
        <v>24</v>
      </c>
      <c r="B11194" t="s">
        <v>14</v>
      </c>
      <c r="C11194" t="s">
        <v>22</v>
      </c>
      <c r="D11194" s="2" t="s">
        <f>=HYPERLINK("https://main.knesset.gov.il/APPS/legislation/main/bills/2157312", "הצעת חוק להגבלת הריסה וענישה על בנייה בלתי חוקית במגזר הערבי (הוראת שעה), התשפ""א-2021")</f>
        <v>21606</v>
      </c>
      <c r="E11194" t="s">
        <v>21606</v>
      </c>
      <c r="F11194" t="s">
        <v>21607</v>
      </c>
      <c r="G11194" t="s">
        <v>14</v>
      </c>
      <c r="H11194">
             </c>
      <c r="I11194" t="s">
        <v>14</v>
      </c>
      <c r="J11194" t="s">
        <v>141</v>
      </c>
      <c r="K11194" t="s">
        <v>14</v>
      </c>
      <c r="L11194" t="s">
        <v>20</v>
      </c>
      <c r="M11194" t="s">
        <v>21288</v>
      </c>
      <c r="N11194" t="s">
        <v>14</v>
      </c>
    </row>
    <row r="11195" x14ac:dyDescent="0.25">
      <c r="A11195" t="n">
        <v>24</v>
      </c>
      <c r="B11195" t="s">
        <v>14</v>
      </c>
      <c r="C11195" t="s">
        <v>22</v>
      </c>
      <c r="D11195" s="2" t="s">
        <f>=HYPERLINK("https://main.knesset.gov.il/APPS/legislation/main/bills/2157389", "הצעת חוק אחריות לעבודות שיפוצים, התשפ""א-2021")</f>
        <v>21608</v>
      </c>
      <c r="E11195" t="s">
        <v>21608</v>
      </c>
      <c r="F11195" t="s">
        <v>21609</v>
      </c>
      <c r="G11195" t="s">
        <v>14</v>
      </c>
      <c r="H11195">
             </c>
      <c r="I11195" t="s">
        <v>14</v>
      </c>
      <c r="J11195" t="s">
        <v>141</v>
      </c>
      <c r="K11195" t="s">
        <v>14</v>
      </c>
      <c r="L11195" t="s">
        <v>20</v>
      </c>
      <c r="M11195" t="s">
        <v>21288</v>
      </c>
      <c r="N11195" t="s">
        <v>14</v>
      </c>
    </row>
    <row r="11196" x14ac:dyDescent="0.25">
      <c r="A11196" t="n">
        <v>24</v>
      </c>
      <c r="B11196" t="s">
        <v>14</v>
      </c>
      <c r="C11196" t="s">
        <v>22</v>
      </c>
      <c r="D11196" s="2" t="s">
        <f>=HYPERLINK("https://main.knesset.gov.il/APPS/legislation/main/bills/2157170", "הצעת חוק להגברת האכיפה של דיני העבודה (תיקון - הפרות בטיחות בעבודה בתחום הבנייה), התשפ""א-2021")</f>
        <v>21610</v>
      </c>
      <c r="E11196" t="s">
        <v>21610</v>
      </c>
      <c r="F11196" t="s">
        <v>21611</v>
      </c>
      <c r="G11196" t="s">
        <v>14</v>
      </c>
      <c r="H11196">
             </c>
      <c r="I11196" t="s">
        <v>14</v>
      </c>
      <c r="J11196" t="s">
        <v>141</v>
      </c>
      <c r="K11196" t="s">
        <v>14</v>
      </c>
      <c r="L11196" t="s">
        <v>20</v>
      </c>
      <c r="M11196" t="s">
        <v>21288</v>
      </c>
      <c r="N11196" t="s">
        <v>14</v>
      </c>
    </row>
    <row r="11197" x14ac:dyDescent="0.25">
      <c r="A11197" t="n">
        <v>24</v>
      </c>
      <c r="B11197" t="s">
        <v>14</v>
      </c>
      <c r="C11197" t="s">
        <v>22</v>
      </c>
      <c r="D11197" s="2" t="s">
        <f>=HYPERLINK("https://main.knesset.gov.il/APPS/legislation/main/bills/2157010", "הצעת חוק צער בעלי חיים (הגנה על בעלי חיים) (תיקון - איסור ניצול בעלי חיים למטרות הימורים), התשפ""א-2021")</f>
        <v>21612</v>
      </c>
      <c r="E11197" t="s">
        <v>21612</v>
      </c>
      <c r="F11197" t="s">
        <v>21613</v>
      </c>
      <c r="G11197" t="s">
        <v>14</v>
      </c>
      <c r="H11197">
             </c>
      <c r="I11197" t="s">
        <v>14</v>
      </c>
      <c r="J11197" t="s">
        <v>141</v>
      </c>
      <c r="K11197" t="s">
        <v>14</v>
      </c>
      <c r="L11197" t="s">
        <v>20</v>
      </c>
      <c r="M11197" t="s">
        <v>21288</v>
      </c>
      <c r="N11197" t="s">
        <v>14</v>
      </c>
    </row>
    <row r="11198" x14ac:dyDescent="0.25">
      <c r="A11198" t="n">
        <v>24</v>
      </c>
      <c r="B11198" t="s">
        <v>14</v>
      </c>
      <c r="C11198" t="s">
        <v>22</v>
      </c>
      <c r="D11198" s="2" t="s">
        <f>=HYPERLINK("https://main.knesset.gov.il/APPS/legislation/main/bills/2156810", "הצעת חוק ביטוח בריאות ממלכתי (תיקון - מתן טיפולי שיניים, פה ולסת למבוטח עם שיתוק מוחין), התשפ""א-2021")</f>
        <v>21614</v>
      </c>
      <c r="E11198" t="s">
        <v>21614</v>
      </c>
      <c r="F11198" t="s">
        <v>21615</v>
      </c>
      <c r="G11198" t="s">
        <v>14</v>
      </c>
      <c r="H11198">
             </c>
      <c r="I11198" t="s">
        <v>14</v>
      </c>
      <c r="J11198" t="s">
        <v>141</v>
      </c>
      <c r="K11198" t="s">
        <v>14</v>
      </c>
      <c r="L11198" t="s">
        <v>20</v>
      </c>
      <c r="M11198" t="s">
        <v>21288</v>
      </c>
      <c r="N11198" t="s">
        <v>14</v>
      </c>
    </row>
    <row r="11199" x14ac:dyDescent="0.25">
      <c r="A11199" t="n">
        <v>24</v>
      </c>
      <c r="B11199" t="s">
        <v>14</v>
      </c>
      <c r="C11199" t="s">
        <v>22</v>
      </c>
      <c r="D11199" s="2" t="s">
        <f>=HYPERLINK("https://main.knesset.gov.il/APPS/legislation/main/bills/2156831", "הצעת חוק האזרחים הוותיקים (תיקון - הקצאת מקומות חניה במקום ציבורי לאזרח ותיק), התשפ""א-2021")</f>
        <v>21616</v>
      </c>
      <c r="E11199" t="s">
        <v>21616</v>
      </c>
      <c r="F11199" t="s">
        <v>21617</v>
      </c>
      <c r="G11199" t="s">
        <v>14</v>
      </c>
      <c r="H11199">
             </c>
      <c r="I11199" t="s">
        <v>14</v>
      </c>
      <c r="J11199" t="s">
        <v>141</v>
      </c>
      <c r="K11199" t="s">
        <v>14</v>
      </c>
      <c r="L11199" t="s">
        <v>20</v>
      </c>
      <c r="M11199" t="s">
        <v>21288</v>
      </c>
      <c r="N11199" t="s">
        <v>14</v>
      </c>
    </row>
    <row r="11200" x14ac:dyDescent="0.25">
      <c r="A11200" t="n">
        <v>24</v>
      </c>
      <c r="B11200" t="s">
        <v>14</v>
      </c>
      <c r="C11200" t="s">
        <v>22</v>
      </c>
      <c r="D11200" s="2" t="s">
        <f>=HYPERLINK("https://main.knesset.gov.il/APPS/legislation/main/bills/2156903", "הצעת חוק הרשות לטיפול בנפגעי הלם קרב, התשפ""א-2021")</f>
        <v>21618</v>
      </c>
      <c r="E11200" t="s">
        <v>21618</v>
      </c>
      <c r="F11200" t="s">
        <v>21619</v>
      </c>
      <c r="G11200" t="s">
        <v>14</v>
      </c>
      <c r="H11200">
             </c>
      <c r="I11200" t="s">
        <v>14</v>
      </c>
      <c r="J11200" t="s">
        <v>141</v>
      </c>
      <c r="K11200" t="s">
        <v>14</v>
      </c>
      <c r="L11200" t="s">
        <v>20</v>
      </c>
      <c r="M11200" t="s">
        <v>21288</v>
      </c>
      <c r="N11200" t="s">
        <v>14</v>
      </c>
    </row>
    <row r="11201" x14ac:dyDescent="0.25">
      <c r="A11201" t="n">
        <v>24</v>
      </c>
      <c r="B11201" t="s">
        <v>14</v>
      </c>
      <c r="C11201" t="s">
        <v>22</v>
      </c>
      <c r="D11201" s="2" t="s">
        <f>=HYPERLINK("https://main.knesset.gov.il/APPS/legislation/main/bills/2156345", "הצעת חוק לתיקון פקודת המסים (גבייה) (פיצוי עקב טעות), התשפ""א-2021")</f>
        <v>21620</v>
      </c>
      <c r="E11201" t="s">
        <v>21620</v>
      </c>
      <c r="F11201" t="s">
        <v>21621</v>
      </c>
      <c r="G11201" t="s">
        <v>14</v>
      </c>
      <c r="H11201">
             </c>
      <c r="I11201" t="s">
        <v>14</v>
      </c>
      <c r="J11201" t="s">
        <v>141</v>
      </c>
      <c r="K11201" t="s">
        <v>14</v>
      </c>
      <c r="L11201" t="s">
        <v>20</v>
      </c>
      <c r="M11201" t="s">
        <v>21288</v>
      </c>
      <c r="N11201" t="s">
        <v>14</v>
      </c>
    </row>
    <row r="11202" x14ac:dyDescent="0.25">
      <c r="A11202" t="n">
        <v>24</v>
      </c>
      <c r="B11202" t="s">
        <v>14</v>
      </c>
      <c r="C11202" t="s">
        <v>22</v>
      </c>
      <c r="D11202" s="2" t="s">
        <f>=HYPERLINK("https://main.knesset.gov.il/APPS/legislation/main/bills/2157094", "הצעת חוק חסינות חברי הכנסת, זכויותיהם וחובותיהם (תיקון - חובת גילוי של מסחר בניירות ערך לחבר בוועדת הכספים או הכלכלה של הכנסת), התשפ""א-2021")</f>
        <v>21622</v>
      </c>
      <c r="E11202" t="s">
        <v>21622</v>
      </c>
      <c r="F11202" t="s">
        <v>21623</v>
      </c>
      <c r="G11202" t="s">
        <v>14</v>
      </c>
      <c r="H11202">
             </c>
      <c r="I11202" t="s">
        <v>14</v>
      </c>
      <c r="J11202" t="s">
        <v>141</v>
      </c>
      <c r="K11202" t="s">
        <v>14</v>
      </c>
      <c r="L11202" t="s">
        <v>20</v>
      </c>
      <c r="M11202" t="s">
        <v>21288</v>
      </c>
      <c r="N11202" t="s">
        <v>14</v>
      </c>
    </row>
    <row r="11203" x14ac:dyDescent="0.25">
      <c r="A11203" t="n">
        <v>24</v>
      </c>
      <c r="B11203" t="s">
        <v>14</v>
      </c>
      <c r="C11203" t="s">
        <v>22</v>
      </c>
      <c r="D11203" s="2" t="s">
        <f>=HYPERLINK("https://main.knesset.gov.il/APPS/legislation/main/bills/2157088", "הצעת חוק עיטור הפציעה הקרבית, התשפ""א-2021")</f>
        <v>21073</v>
      </c>
      <c r="E11203" t="s">
        <v>21073</v>
      </c>
      <c r="F11203" t="s">
        <v>21624</v>
      </c>
      <c r="G11203" t="s">
        <v>14</v>
      </c>
      <c r="H11203">
             </c>
      <c r="I11203" t="s">
        <v>14</v>
      </c>
      <c r="J11203" t="s">
        <v>141</v>
      </c>
      <c r="K11203" t="s">
        <v>14</v>
      </c>
      <c r="L11203" t="s">
        <v>20</v>
      </c>
      <c r="M11203" t="s">
        <v>21288</v>
      </c>
      <c r="N11203" t="s">
        <v>14</v>
      </c>
    </row>
    <row r="11204" x14ac:dyDescent="0.25">
      <c r="A11204" t="n">
        <v>24</v>
      </c>
      <c r="B11204" t="s">
        <v>14</v>
      </c>
      <c r="C11204" t="s">
        <v>22</v>
      </c>
      <c r="D11204" s="2" t="s">
        <f>=HYPERLINK("https://main.knesset.gov.il/APPS/legislation/main/bills/2156853", "הצעת חוק ביטוח בריאות ממלכתי (תיקון - תרופות בסבסוד מלא לוותיקי מלחמת העולם השנייה), התשפ""א-2021")</f>
        <v>21625</v>
      </c>
      <c r="E11204" t="s">
        <v>21625</v>
      </c>
      <c r="F11204" t="s">
        <v>21626</v>
      </c>
      <c r="G11204" t="s">
        <v>14</v>
      </c>
      <c r="H11204">
             </c>
      <c r="I11204" t="s">
        <v>14</v>
      </c>
      <c r="J11204" t="s">
        <v>141</v>
      </c>
      <c r="K11204" t="s">
        <v>14</v>
      </c>
      <c r="L11204" t="s">
        <v>20</v>
      </c>
      <c r="M11204" t="s">
        <v>21288</v>
      </c>
      <c r="N11204" t="s">
        <v>14</v>
      </c>
    </row>
    <row r="11205" x14ac:dyDescent="0.25">
      <c r="A11205" t="n">
        <v>24</v>
      </c>
      <c r="B11205" t="s">
        <v>14</v>
      </c>
      <c r="C11205" t="s">
        <v>22</v>
      </c>
      <c r="D11205" s="2" t="s">
        <f>=HYPERLINK("https://main.knesset.gov.il/APPS/legislation/main/bills/2156723", "הצעת חוק שירות לאומי-אזרחי (תיקון - משרת בודד), התשפ""א-2021")</f>
        <v>21627</v>
      </c>
      <c r="E11205" t="s">
        <v>21627</v>
      </c>
      <c r="F11205" t="s">
        <v>21628</v>
      </c>
      <c r="G11205" t="s">
        <v>14</v>
      </c>
      <c r="H11205">
             </c>
      <c r="I11205" t="s">
        <v>14</v>
      </c>
      <c r="J11205" t="s">
        <v>141</v>
      </c>
      <c r="K11205" t="s">
        <v>14</v>
      </c>
      <c r="L11205" t="s">
        <v>20</v>
      </c>
      <c r="M11205" t="s">
        <v>21288</v>
      </c>
      <c r="N11205" t="s">
        <v>14</v>
      </c>
    </row>
    <row r="11206" x14ac:dyDescent="0.25">
      <c r="A11206" t="n">
        <v>24</v>
      </c>
      <c r="B11206" t="s">
        <v>14</v>
      </c>
      <c r="C11206" t="s">
        <v>22</v>
      </c>
      <c r="D11206" s="2" t="s">
        <f>=HYPERLINK("https://main.knesset.gov.il/APPS/legislation/main/bills/2156625", "הצעת חוק העונשין (תיקון - גזענות נגד קבוצה דתית), התשפ""א-2021")</f>
        <v>21629</v>
      </c>
      <c r="E11206" t="s">
        <v>21629</v>
      </c>
      <c r="F11206" t="s">
        <v>21630</v>
      </c>
      <c r="G11206" t="s">
        <v>14</v>
      </c>
      <c r="H11206">
             </c>
      <c r="I11206" t="s">
        <v>14</v>
      </c>
      <c r="J11206" t="s">
        <v>141</v>
      </c>
      <c r="K11206" t="s">
        <v>14</v>
      </c>
      <c r="L11206" t="s">
        <v>20</v>
      </c>
      <c r="M11206" t="s">
        <v>21288</v>
      </c>
      <c r="N11206" t="s">
        <v>14</v>
      </c>
    </row>
    <row r="11207" x14ac:dyDescent="0.25">
      <c r="A11207" t="n">
        <v>24</v>
      </c>
      <c r="B11207" t="s">
        <v>14</v>
      </c>
      <c r="C11207" t="s">
        <v>22</v>
      </c>
      <c r="D11207" s="2" t="s">
        <f>=HYPERLINK("https://main.knesset.gov.il/APPS/legislation/main/bills/2156697", "הצעת חוק סיוע לצעירים חסרי עורף משפחתי, התשפ""א-2021")</f>
        <v>21578</v>
      </c>
      <c r="E11207" t="s">
        <v>21578</v>
      </c>
      <c r="F11207" t="s">
        <v>21631</v>
      </c>
      <c r="G11207" t="s">
        <v>14</v>
      </c>
      <c r="H11207">
             </c>
      <c r="I11207" t="s">
        <v>14</v>
      </c>
      <c r="J11207" t="s">
        <v>141</v>
      </c>
      <c r="K11207" t="s">
        <v>14</v>
      </c>
      <c r="L11207" t="s">
        <v>20</v>
      </c>
      <c r="M11207" t="s">
        <v>21288</v>
      </c>
      <c r="N11207" t="s">
        <v>14</v>
      </c>
    </row>
    <row r="11208" x14ac:dyDescent="0.25">
      <c r="A11208" t="n">
        <v>24</v>
      </c>
      <c r="B11208" t="s">
        <v>14</v>
      </c>
      <c r="C11208" t="s">
        <v>22</v>
      </c>
      <c r="D11208" s="2" t="s">
        <f>=HYPERLINK("https://main.knesset.gov.il/APPS/legislation/main/bills/2156395", "הצעת חוק-יסוד: הממשלה (תיקון - הגבלת כהונת ראש הממשלה לשתי תקופות כהונה רצופות)")</f>
        <v>1247</v>
      </c>
      <c r="E11208" t="s">
        <v>1247</v>
      </c>
      <c r="F11208" t="s">
        <v>21632</v>
      </c>
      <c r="G11208" t="s">
        <v>14</v>
      </c>
      <c r="H11208">
             </c>
      <c r="I11208" t="s">
        <v>14</v>
      </c>
      <c r="J11208" t="s">
        <v>141</v>
      </c>
      <c r="K11208" t="s">
        <v>14</v>
      </c>
      <c r="L11208" t="s">
        <v>20</v>
      </c>
      <c r="M11208" t="s">
        <v>21288</v>
      </c>
      <c r="N11208" t="s">
        <v>14</v>
      </c>
    </row>
    <row r="11209" x14ac:dyDescent="0.25">
      <c r="A11209" t="n">
        <v>24</v>
      </c>
      <c r="B11209" t="s">
        <v>14</v>
      </c>
      <c r="C11209" t="s">
        <v>22</v>
      </c>
      <c r="D11209" s="2" t="s">
        <f>=HYPERLINK("https://main.knesset.gov.il/APPS/legislation/main/bills/2156391", "הצעת חוק המיזם הלאומי לביטחון תזונתי, התשפ""א-2021")</f>
        <v>21633</v>
      </c>
      <c r="E11209" t="s">
        <v>21633</v>
      </c>
      <c r="F11209" t="s">
        <v>21634</v>
      </c>
      <c r="G11209" t="s">
        <v>14</v>
      </c>
      <c r="H11209">
             </c>
      <c r="I11209" t="s">
        <v>14</v>
      </c>
      <c r="J11209" t="s">
        <v>141</v>
      </c>
      <c r="K11209" t="s">
        <v>14</v>
      </c>
      <c r="L11209" t="s">
        <v>20</v>
      </c>
      <c r="M11209" t="s">
        <v>21288</v>
      </c>
      <c r="N11209" t="s">
        <v>14</v>
      </c>
    </row>
    <row r="11210" x14ac:dyDescent="0.25">
      <c r="A11210" t="n">
        <v>24</v>
      </c>
      <c r="B11210" t="s">
        <v>14</v>
      </c>
      <c r="C11210" t="s">
        <v>22</v>
      </c>
      <c r="D11210" s="2" t="s">
        <f>=HYPERLINK("https://main.knesset.gov.il/APPS/legislation/main/bills/2156574", "הצעת חוק קליטת חיילים משוחררים (תיקון - מימון שכר לימוד), התשפ""א-2021")</f>
        <v>21635</v>
      </c>
      <c r="E11210" t="s">
        <v>21635</v>
      </c>
      <c r="F11210" t="s">
        <v>21636</v>
      </c>
      <c r="G11210" t="s">
        <v>14</v>
      </c>
      <c r="H11210">
             </c>
      <c r="I11210" t="s">
        <v>14</v>
      </c>
      <c r="J11210" t="s">
        <v>141</v>
      </c>
      <c r="K11210" t="s">
        <v>14</v>
      </c>
      <c r="L11210" t="s">
        <v>20</v>
      </c>
      <c r="M11210" t="s">
        <v>21288</v>
      </c>
      <c r="N11210" t="s">
        <v>14</v>
      </c>
    </row>
    <row r="11211" x14ac:dyDescent="0.25">
      <c r="A11211" t="n">
        <v>24</v>
      </c>
      <c r="B11211" t="s">
        <v>14</v>
      </c>
      <c r="C11211" t="s">
        <v>22</v>
      </c>
      <c r="D11211" s="2" t="s">
        <f>=HYPERLINK("https://main.knesset.gov.il/APPS/legislation/main/bills/2156571", "הצעת חוק הביטוח הלאומי (תיקון - סיוע לחוזרים בתשובה), התשפ""א-2021")</f>
        <v>21637</v>
      </c>
      <c r="E11211" t="s">
        <v>21637</v>
      </c>
      <c r="F11211" t="s">
        <v>21638</v>
      </c>
      <c r="G11211" t="s">
        <v>14</v>
      </c>
      <c r="H11211">
             </c>
      <c r="I11211" t="s">
        <v>14</v>
      </c>
      <c r="J11211" t="s">
        <v>141</v>
      </c>
      <c r="K11211" t="s">
        <v>14</v>
      </c>
      <c r="L11211" t="s">
        <v>20</v>
      </c>
      <c r="M11211" t="s">
        <v>21288</v>
      </c>
      <c r="N11211" t="s">
        <v>14</v>
      </c>
    </row>
    <row r="11212" x14ac:dyDescent="0.25">
      <c r="A11212" t="n">
        <v>24</v>
      </c>
      <c r="B11212" t="s">
        <v>14</v>
      </c>
      <c r="C11212" t="s">
        <v>22</v>
      </c>
      <c r="D11212" s="2" t="s">
        <f>=HYPERLINK("https://main.knesset.gov.il/APPS/legislation/main/bills/2156057", "הצעת חוק חוזה העבודה (הסדרי עבודה מרחוק), התשפ""א-2021")</f>
        <v>19133</v>
      </c>
      <c r="E11212" t="s">
        <v>19133</v>
      </c>
      <c r="F11212" t="s">
        <v>21639</v>
      </c>
      <c r="G11212" t="s">
        <v>14</v>
      </c>
      <c r="H11212">
             </c>
      <c r="I11212" t="s">
        <v>14</v>
      </c>
      <c r="J11212" t="s">
        <v>141</v>
      </c>
      <c r="K11212" t="s">
        <v>14</v>
      </c>
      <c r="L11212" t="s">
        <v>20</v>
      </c>
      <c r="M11212" t="s">
        <v>21288</v>
      </c>
      <c r="N11212" t="s">
        <v>14</v>
      </c>
    </row>
    <row r="11213" x14ac:dyDescent="0.25">
      <c r="A11213" t="n">
        <v>24</v>
      </c>
      <c r="B11213" t="s">
        <v>14</v>
      </c>
      <c r="C11213" t="s">
        <v>22</v>
      </c>
      <c r="D11213" s="2" t="s">
        <f>=HYPERLINK("https://main.knesset.gov.il/APPS/legislation/main/bills/2156381", "הצעת חוק להנצחת מורשת המחתרות, התשפ""א-2021")</f>
        <v>21640</v>
      </c>
      <c r="E11213" t="s">
        <v>21640</v>
      </c>
      <c r="F11213" t="s">
        <v>21641</v>
      </c>
      <c r="G11213" t="s">
        <v>14</v>
      </c>
      <c r="H11213">
             </c>
      <c r="I11213" t="s">
        <v>14</v>
      </c>
      <c r="J11213" t="s">
        <v>141</v>
      </c>
      <c r="K11213" t="s">
        <v>14</v>
      </c>
      <c r="L11213" t="s">
        <v>20</v>
      </c>
      <c r="M11213" t="s">
        <v>21288</v>
      </c>
      <c r="N11213" t="s">
        <v>14</v>
      </c>
    </row>
    <row r="11214" x14ac:dyDescent="0.25">
      <c r="A11214" t="n">
        <v>24</v>
      </c>
      <c r="B11214" t="s">
        <v>14</v>
      </c>
      <c r="C11214" t="s">
        <v>22</v>
      </c>
      <c r="D11214" s="2" t="s">
        <f>=HYPERLINK("https://main.knesset.gov.il/APPS/legislation/main/bills/2156556", "הצעת חוק הביטוח הלאומי (תיקון - שיעור ההטבה לפי הסכם בדבר גמלת ניידות), התשפ""א-2021")</f>
        <v>21642</v>
      </c>
      <c r="E11214" t="s">
        <v>21642</v>
      </c>
      <c r="F11214" t="s">
        <v>21643</v>
      </c>
      <c r="G11214" t="s">
        <v>14</v>
      </c>
      <c r="H11214">
             </c>
      <c r="I11214" t="s">
        <v>14</v>
      </c>
      <c r="J11214" t="s">
        <v>141</v>
      </c>
      <c r="K11214" t="s">
        <v>14</v>
      </c>
      <c r="L11214" t="s">
        <v>20</v>
      </c>
      <c r="M11214" t="s">
        <v>21288</v>
      </c>
      <c r="N11214" t="s">
        <v>14</v>
      </c>
    </row>
    <row r="11215" x14ac:dyDescent="0.25">
      <c r="A11215" t="n">
        <v>24</v>
      </c>
      <c r="B11215" t="s">
        <v>14</v>
      </c>
      <c r="C11215" t="s">
        <v>22</v>
      </c>
      <c r="D11215" s="2" t="s">
        <f>=HYPERLINK("https://main.knesset.gov.il/APPS/legislation/main/bills/2156517", "הצעת חוק לתיקון פקודת העדה הדתית (המרה) (גיור על ידי רב מקומי), התשפ""א-2021")</f>
        <v>21644</v>
      </c>
      <c r="E11215" t="s">
        <v>21644</v>
      </c>
      <c r="F11215" t="s">
        <v>21645</v>
      </c>
      <c r="G11215" t="s">
        <v>14</v>
      </c>
      <c r="H11215">
             </c>
      <c r="I11215" t="s">
        <v>14</v>
      </c>
      <c r="J11215" t="s">
        <v>141</v>
      </c>
      <c r="K11215" t="s">
        <v>14</v>
      </c>
      <c r="L11215" t="s">
        <v>20</v>
      </c>
      <c r="M11215" t="s">
        <v>21288</v>
      </c>
      <c r="N11215" t="s">
        <v>14</v>
      </c>
    </row>
    <row r="11216" x14ac:dyDescent="0.25">
      <c r="A11216" t="n">
        <v>24</v>
      </c>
      <c r="B11216" t="s">
        <v>14</v>
      </c>
      <c r="C11216" t="s">
        <v>22</v>
      </c>
      <c r="D11216" s="2" t="s">
        <f>=HYPERLINK("https://main.knesset.gov.il/APPS/legislation/main/bills/2156901", "הצעת חוק-יסוד: הממשלה (תיקון - החלת שקיפות ופרסום פרוטוקולים ונתונים בהתקנת תקנות לשעת חירום)")</f>
        <v>21646</v>
      </c>
      <c r="E11216" t="s">
        <v>21646</v>
      </c>
      <c r="F11216" t="s">
        <v>21647</v>
      </c>
      <c r="G11216" t="s">
        <v>14</v>
      </c>
      <c r="H11216">
             </c>
      <c r="I11216" t="s">
        <v>14</v>
      </c>
      <c r="J11216" t="s">
        <v>141</v>
      </c>
      <c r="K11216" t="s">
        <v>14</v>
      </c>
      <c r="L11216" t="s">
        <v>20</v>
      </c>
      <c r="M11216" t="s">
        <v>21288</v>
      </c>
      <c r="N11216" t="s">
        <v>14</v>
      </c>
    </row>
    <row r="11217" x14ac:dyDescent="0.25">
      <c r="A11217" t="n">
        <v>24</v>
      </c>
      <c r="B11217" t="s">
        <v>14</v>
      </c>
      <c r="C11217" t="s">
        <v>22</v>
      </c>
      <c r="D11217" s="2" t="s">
        <f>=HYPERLINK("https://main.knesset.gov.il/APPS/legislation/main/bills/2156137", "הצעת חוק-יסוד: הממשלה (תיקון - החלת שקיפות ופרסום פרוטוקולים ונתונים, בהתקנת תקנות לשעת חירום)")</f>
        <v>21648</v>
      </c>
      <c r="E11217" t="s">
        <v>21648</v>
      </c>
      <c r="F11217" t="s">
        <v>21649</v>
      </c>
      <c r="G11217" t="s">
        <v>14</v>
      </c>
      <c r="H11217">
             </c>
      <c r="I11217" t="s">
        <v>14</v>
      </c>
      <c r="J11217" t="s">
        <v>141</v>
      </c>
      <c r="K11217" t="s">
        <v>14</v>
      </c>
      <c r="L11217" t="s">
        <v>20</v>
      </c>
      <c r="M11217" t="s">
        <v>21288</v>
      </c>
      <c r="N11217" t="s">
        <v>14</v>
      </c>
    </row>
    <row r="11218" x14ac:dyDescent="0.25">
      <c r="A11218" t="n">
        <v>24</v>
      </c>
      <c r="B11218" t="s">
        <v>14</v>
      </c>
      <c r="C11218" t="s">
        <v>22</v>
      </c>
      <c r="D11218" s="2" t="s">
        <f>=HYPERLINK("https://main.knesset.gov.il/APPS/legislation/main/bills/2156515", "הצעת חוק ההתיישנות (תיקון - תביעה בגין אחריות לפגיעה מינית בקטין), התשפ""א-2021")</f>
        <v>21650</v>
      </c>
      <c r="E11218" t="s">
        <v>21650</v>
      </c>
      <c r="F11218" t="s">
        <v>21651</v>
      </c>
      <c r="G11218" t="s">
        <v>14</v>
      </c>
      <c r="H11218">
             </c>
      <c r="I11218" t="s">
        <v>14</v>
      </c>
      <c r="J11218" t="s">
        <v>141</v>
      </c>
      <c r="K11218" t="s">
        <v>14</v>
      </c>
      <c r="L11218" t="s">
        <v>20</v>
      </c>
      <c r="M11218" t="s">
        <v>21288</v>
      </c>
      <c r="N11218" t="s">
        <v>14</v>
      </c>
    </row>
    <row r="11219" x14ac:dyDescent="0.25">
      <c r="A11219" t="n">
        <v>24</v>
      </c>
      <c r="B11219" t="s">
        <v>14</v>
      </c>
      <c r="C11219" t="s">
        <v>22</v>
      </c>
      <c r="D11219" s="2" t="s">
        <f>=HYPERLINK("https://main.knesset.gov.il/APPS/legislation/main/bills/2156123", "הצעת חוק לתיקון פקודת התעבורה (פטור מתשלום דמי חניה באזורי מגורים במהלך שבתות ומועדי ישראל), התשפ""א-2021")</f>
        <v>21652</v>
      </c>
      <c r="E11219" t="s">
        <v>21652</v>
      </c>
      <c r="F11219" t="s">
        <v>21653</v>
      </c>
      <c r="G11219" t="s">
        <v>14</v>
      </c>
      <c r="H11219">
             </c>
      <c r="I11219" t="s">
        <v>14</v>
      </c>
      <c r="J11219" t="s">
        <v>141</v>
      </c>
      <c r="K11219" t="s">
        <v>14</v>
      </c>
      <c r="L11219" t="s">
        <v>20</v>
      </c>
      <c r="M11219" t="s">
        <v>21288</v>
      </c>
      <c r="N11219" t="s">
        <v>14</v>
      </c>
    </row>
    <row r="11220" x14ac:dyDescent="0.25">
      <c r="A11220" t="n">
        <v>24</v>
      </c>
      <c r="B11220" t="s">
        <v>14</v>
      </c>
      <c r="C11220" t="s">
        <v>22</v>
      </c>
      <c r="D11220" s="2" t="s">
        <f>=HYPERLINK("https://main.knesset.gov.il/APPS/legislation/main/bills/2156083", "הצעת חוק הגנת הצרכן (תיקון - צירוף הוראות שימוש בשפה העברית למוצרי חשמל), התשפ""א-2021")</f>
        <v>21654</v>
      </c>
      <c r="E11220" t="s">
        <v>21654</v>
      </c>
      <c r="F11220" t="s">
        <v>21655</v>
      </c>
      <c r="G11220" t="s">
        <v>14</v>
      </c>
      <c r="H11220">
             </c>
      <c r="I11220" t="s">
        <v>14</v>
      </c>
      <c r="J11220" t="s">
        <v>141</v>
      </c>
      <c r="K11220" t="s">
        <v>14</v>
      </c>
      <c r="L11220" t="s">
        <v>20</v>
      </c>
      <c r="M11220" t="s">
        <v>21288</v>
      </c>
      <c r="N11220" t="s">
        <v>14</v>
      </c>
    </row>
    <row r="11221" x14ac:dyDescent="0.25">
      <c r="A11221" t="n">
        <v>24</v>
      </c>
      <c r="B11221" t="s">
        <v>14</v>
      </c>
      <c r="C11221" t="s">
        <v>22</v>
      </c>
      <c r="D11221" s="2" t="s">
        <f>=HYPERLINK("https://main.knesset.gov.il/APPS/legislation/main/bills/2156093", "הצעת חוק חינוך ממלכתי (תיקון - מימון מוסדות חינוך מוכרים לא רשמיים), התשפ""א-2021")</f>
        <v>21656</v>
      </c>
      <c r="E11221" t="s">
        <v>21656</v>
      </c>
      <c r="F11221" t="s">
        <v>21657</v>
      </c>
      <c r="G11221" t="s">
        <v>14</v>
      </c>
      <c r="H11221">
             </c>
      <c r="I11221" t="s">
        <v>14</v>
      </c>
      <c r="J11221" t="s">
        <v>141</v>
      </c>
      <c r="K11221" t="s">
        <v>14</v>
      </c>
      <c r="L11221" t="s">
        <v>20</v>
      </c>
      <c r="M11221" t="s">
        <v>21288</v>
      </c>
      <c r="N11221" t="s">
        <v>14</v>
      </c>
    </row>
    <row r="11222" x14ac:dyDescent="0.25">
      <c r="A11222" t="n">
        <v>24</v>
      </c>
      <c r="B11222" t="s">
        <v>14</v>
      </c>
      <c r="C11222" t="s">
        <v>22</v>
      </c>
      <c r="D11222" s="2" t="s">
        <f>=HYPERLINK("https://main.knesset.gov.il/APPS/legislation/main/bills/2157499", "הצעת חוק דמי מחלה (היעדרות בשל מחלת ילד) (תיקון - היעדרות בשל אשפוז ילד), התשפ""א-2021")</f>
        <v>21658</v>
      </c>
      <c r="E11222" t="s">
        <v>21658</v>
      </c>
      <c r="F11222" t="s">
        <v>21659</v>
      </c>
      <c r="G11222" t="s">
        <v>14</v>
      </c>
      <c r="H11222">
             </c>
      <c r="I11222" t="s">
        <v>14</v>
      </c>
      <c r="J11222" t="s">
        <v>141</v>
      </c>
      <c r="K11222" t="s">
        <v>14</v>
      </c>
      <c r="L11222" t="s">
        <v>20</v>
      </c>
      <c r="M11222" t="s">
        <v>21288</v>
      </c>
      <c r="N11222" t="s">
        <v>14</v>
      </c>
    </row>
    <row r="11223" x14ac:dyDescent="0.25">
      <c r="A11223" t="n">
        <v>24</v>
      </c>
      <c r="B11223" t="s">
        <v>14</v>
      </c>
      <c r="C11223" t="s">
        <v>22</v>
      </c>
      <c r="D11223" s="2" t="s">
        <f>=HYPERLINK("https://main.knesset.gov.il/APPS/legislation/main/bills/2157206", "הצעת חוק דמי מחלה (היעדרות בשל מחלת ילד) (תיקון - היעדרות בשל אשפוז ילד), התשפ""א-2021")</f>
        <v>21658</v>
      </c>
      <c r="E11223" t="s">
        <v>21658</v>
      </c>
      <c r="F11223" t="s">
        <v>21660</v>
      </c>
      <c r="G11223" t="s">
        <v>14</v>
      </c>
      <c r="H11223">
             </c>
      <c r="I11223" t="s">
        <v>14</v>
      </c>
      <c r="J11223" t="s">
        <v>141</v>
      </c>
      <c r="K11223" t="s">
        <v>14</v>
      </c>
      <c r="L11223" t="s">
        <v>20</v>
      </c>
      <c r="M11223" t="s">
        <v>21288</v>
      </c>
      <c r="N11223" t="s">
        <v>14</v>
      </c>
    </row>
    <row r="11224" x14ac:dyDescent="0.25">
      <c r="A11224" t="n">
        <v>24</v>
      </c>
      <c r="B11224" t="s">
        <v>14</v>
      </c>
      <c r="C11224" t="s">
        <v>22</v>
      </c>
      <c r="D11224" s="2" t="s">
        <f>=HYPERLINK("https://main.knesset.gov.il/APPS/legislation/main/bills/2156267", "הצעת חוק ביטוח בריאות ממלכתי (תיקון - החזר אגרת נסיעה באמבולנס), התשפ""א-2021")</f>
        <v>21661</v>
      </c>
      <c r="E11224" t="s">
        <v>21661</v>
      </c>
      <c r="F11224" t="s">
        <v>21662</v>
      </c>
      <c r="G11224" t="s">
        <v>14</v>
      </c>
      <c r="H11224">
             </c>
      <c r="I11224" t="s">
        <v>14</v>
      </c>
      <c r="J11224" t="s">
        <v>141</v>
      </c>
      <c r="K11224" t="s">
        <v>14</v>
      </c>
      <c r="L11224" t="s">
        <v>20</v>
      </c>
      <c r="M11224" t="s">
        <v>21288</v>
      </c>
      <c r="N11224" t="s">
        <v>14</v>
      </c>
    </row>
    <row r="11225" x14ac:dyDescent="0.25">
      <c r="A11225" t="n">
        <v>24</v>
      </c>
      <c r="B11225" t="s">
        <v>14</v>
      </c>
      <c r="C11225" t="s">
        <v>22</v>
      </c>
      <c r="D11225" s="2" t="s">
        <f>=HYPERLINK("https://main.knesset.gov.il/APPS/legislation/main/bills/2156192", "הצעת חוק פינוי ההתנחלות יצהר ותשעת המאחזים הסמוכים אליה, התשפ""א-2021")</f>
        <v>21663</v>
      </c>
      <c r="E11225" t="s">
        <v>21663</v>
      </c>
      <c r="F11225" t="s">
        <v>21664</v>
      </c>
      <c r="G11225" t="s">
        <v>14</v>
      </c>
      <c r="H11225">
             </c>
      <c r="I11225" t="s">
        <v>14</v>
      </c>
      <c r="J11225" t="s">
        <v>141</v>
      </c>
      <c r="K11225" t="s">
        <v>14</v>
      </c>
      <c r="L11225" t="s">
        <v>20</v>
      </c>
      <c r="M11225" t="s">
        <v>21288</v>
      </c>
      <c r="N11225" t="s">
        <v>14</v>
      </c>
    </row>
    <row r="11226" x14ac:dyDescent="0.25">
      <c r="A11226" t="n">
        <v>24</v>
      </c>
      <c r="B11226" t="s">
        <v>14</v>
      </c>
      <c r="C11226" t="s">
        <v>22</v>
      </c>
      <c r="D11226" s="2" t="s">
        <f>=HYPERLINK("https://main.knesset.gov.il/APPS/legislation/main/bills/2157517", "הצעת חוק לתיקון פקודת התעבורה (פטור מאגרת רישיון לרכב חשמלי), התשפ""א-2021")</f>
        <v>19399</v>
      </c>
      <c r="E11226" t="s">
        <v>19399</v>
      </c>
      <c r="F11226" t="s">
        <v>21665</v>
      </c>
      <c r="G11226" t="s">
        <v>14</v>
      </c>
      <c r="H11226">
             </c>
      <c r="I11226" t="s">
        <v>14</v>
      </c>
      <c r="J11226" t="s">
        <v>141</v>
      </c>
      <c r="K11226" t="s">
        <v>14</v>
      </c>
      <c r="L11226" t="s">
        <v>20</v>
      </c>
      <c r="M11226" t="s">
        <v>21288</v>
      </c>
      <c r="N11226" t="s">
        <v>14</v>
      </c>
    </row>
    <row r="11227" x14ac:dyDescent="0.25">
      <c r="A11227" t="n">
        <v>24</v>
      </c>
      <c r="B11227" t="s">
        <v>14</v>
      </c>
      <c r="C11227" t="s">
        <v>22</v>
      </c>
      <c r="D11227" s="2" t="s">
        <f>=HYPERLINK("https://main.knesset.gov.il/APPS/legislation/main/bills/2157356", "הצעת חוק חיזוק מעמד חברי המועצה מקרב סיעות האופוזיציה (תיקוני חקיקה), התשפ""א-2021")</f>
        <v>21666</v>
      </c>
      <c r="E11227" t="s">
        <v>21666</v>
      </c>
      <c r="F11227" t="s">
        <v>21667</v>
      </c>
      <c r="G11227" t="s">
        <v>14</v>
      </c>
      <c r="H11227">
             </c>
      <c r="I11227" t="s">
        <v>14</v>
      </c>
      <c r="J11227" t="s">
        <v>141</v>
      </c>
      <c r="K11227" t="s">
        <v>14</v>
      </c>
      <c r="L11227" t="s">
        <v>20</v>
      </c>
      <c r="M11227" t="s">
        <v>21288</v>
      </c>
      <c r="N11227" t="s">
        <v>14</v>
      </c>
    </row>
    <row r="11228" x14ac:dyDescent="0.25">
      <c r="A11228" t="n">
        <v>24</v>
      </c>
      <c r="B11228" t="s">
        <v>14</v>
      </c>
      <c r="C11228" t="s">
        <v>22</v>
      </c>
      <c r="D11228" s="2" t="s">
        <f>=HYPERLINK("https://main.knesset.gov.il/APPS/legislation/main/bills/2157384", "הצעת חוק לתיקון פקודת העיריות (ערר על החלטת שר הפנים לעניין חוקי עזר), התשפ""א-2021")</f>
        <v>21668</v>
      </c>
      <c r="E11228" t="s">
        <v>21668</v>
      </c>
      <c r="F11228" t="s">
        <v>21669</v>
      </c>
      <c r="G11228" t="s">
        <v>14</v>
      </c>
      <c r="H11228">
             </c>
      <c r="I11228" t="s">
        <v>14</v>
      </c>
      <c r="J11228" t="s">
        <v>141</v>
      </c>
      <c r="K11228" t="s">
        <v>14</v>
      </c>
      <c r="L11228" t="s">
        <v>20</v>
      </c>
      <c r="M11228" t="s">
        <v>21288</v>
      </c>
      <c r="N11228" t="s">
        <v>14</v>
      </c>
    </row>
    <row r="11229" x14ac:dyDescent="0.25">
      <c r="A11229" t="n">
        <v>24</v>
      </c>
      <c r="B11229" t="s">
        <v>14</v>
      </c>
      <c r="C11229" t="s">
        <v>22</v>
      </c>
      <c r="D11229" s="2" t="s">
        <f>=HYPERLINK("https://main.knesset.gov.il/APPS/legislation/main/bills/2157909", "הצעת חוק הרשויות המקומיות (זכויות וחובות של חברי מועצה), התשפ""א-2021")</f>
        <v>21670</v>
      </c>
      <c r="E11229" t="s">
        <v>21670</v>
      </c>
      <c r="F11229" t="s">
        <v>21671</v>
      </c>
      <c r="G11229" t="s">
        <v>14</v>
      </c>
      <c r="H11229">
             </c>
      <c r="I11229" t="s">
        <v>14</v>
      </c>
      <c r="J11229" t="s">
        <v>141</v>
      </c>
      <c r="K11229" t="s">
        <v>14</v>
      </c>
      <c r="L11229" t="s">
        <v>20</v>
      </c>
      <c r="M11229" t="s">
        <v>21288</v>
      </c>
      <c r="N11229" t="s">
        <v>14</v>
      </c>
    </row>
    <row r="11230" x14ac:dyDescent="0.25">
      <c r="A11230" t="n">
        <v>24</v>
      </c>
      <c r="B11230" t="s">
        <v>14</v>
      </c>
      <c r="C11230" t="s">
        <v>22</v>
      </c>
      <c r="D11230" s="2" t="s">
        <f>=HYPERLINK("https://main.knesset.gov.il/APPS/legislation/main/bills/2157269", "הצעת חוק נתוני אשראי (תיקון - איסור שימוש בנתוני אשראי שנאספו בתקופת משבר הקורונה), התשפ""א-2021 ")</f>
        <v>21672</v>
      </c>
      <c r="E11230" t="s">
        <v>21672</v>
      </c>
      <c r="F11230" t="s">
        <v>21673</v>
      </c>
      <c r="G11230" t="s">
        <v>14</v>
      </c>
      <c r="H11230">
             </c>
      <c r="I11230" t="s">
        <v>14</v>
      </c>
      <c r="J11230" t="s">
        <v>141</v>
      </c>
      <c r="K11230" t="s">
        <v>14</v>
      </c>
      <c r="L11230" t="s">
        <v>20</v>
      </c>
      <c r="M11230" t="s">
        <v>21288</v>
      </c>
      <c r="N11230" t="s">
        <v>14</v>
      </c>
    </row>
    <row r="11231" x14ac:dyDescent="0.25">
      <c r="A11231" t="n">
        <v>24</v>
      </c>
      <c r="B11231" t="s">
        <v>14</v>
      </c>
      <c r="C11231" t="s">
        <v>22</v>
      </c>
      <c r="D11231" s="2" t="s">
        <f>=HYPERLINK("https://main.knesset.gov.il/APPS/legislation/main/bills/2156367", "הצעת חוק חניה לנכים (תיקון - תג נכה אישי), התשפ""א-2021")</f>
        <v>21674</v>
      </c>
      <c r="E11231" t="s">
        <v>21674</v>
      </c>
      <c r="F11231" t="s">
        <v>21675</v>
      </c>
      <c r="G11231" t="s">
        <v>14</v>
      </c>
      <c r="H11231">
             </c>
      <c r="I11231" t="s">
        <v>14</v>
      </c>
      <c r="J11231" t="s">
        <v>141</v>
      </c>
      <c r="K11231" t="s">
        <v>14</v>
      </c>
      <c r="L11231" t="s">
        <v>20</v>
      </c>
      <c r="M11231" t="s">
        <v>21288</v>
      </c>
      <c r="N11231" t="s">
        <v>14</v>
      </c>
    </row>
    <row r="11232" x14ac:dyDescent="0.25">
      <c r="A11232" t="n">
        <v>24</v>
      </c>
      <c r="B11232" t="s">
        <v>14</v>
      </c>
      <c r="C11232" t="s">
        <v>22</v>
      </c>
      <c r="D11232" s="2" t="s">
        <f>=HYPERLINK("https://main.knesset.gov.il/APPS/legislation/main/bills/2157256", "הצעת חוק הרשויות המקומיות (זכויות וחובות של חברי מועצה), התשפ""א-2021")</f>
        <v>21670</v>
      </c>
      <c r="E11232" t="s">
        <v>21670</v>
      </c>
      <c r="F11232" t="s">
        <v>21676</v>
      </c>
      <c r="G11232" t="s">
        <v>14</v>
      </c>
      <c r="H11232">
             </c>
      <c r="I11232" t="s">
        <v>14</v>
      </c>
      <c r="J11232" t="s">
        <v>141</v>
      </c>
      <c r="K11232" t="s">
        <v>14</v>
      </c>
      <c r="L11232" t="s">
        <v>20</v>
      </c>
      <c r="M11232" t="s">
        <v>21288</v>
      </c>
      <c r="N11232" t="s">
        <v>14</v>
      </c>
    </row>
    <row r="11233" x14ac:dyDescent="0.25">
      <c r="A11233" t="n">
        <v>24</v>
      </c>
      <c r="B11233" t="s">
        <v>14</v>
      </c>
      <c r="C11233" t="s">
        <v>22</v>
      </c>
      <c r="D11233" s="2" t="s">
        <f>=HYPERLINK("https://main.knesset.gov.il/APPS/legislation/main/bills/2156814", "הצעת חוק העברת מידע לשם פיקוח על הפרשות לפנסיה, התשפ""א-2021")</f>
        <v>21677</v>
      </c>
      <c r="E11233" t="s">
        <v>21677</v>
      </c>
      <c r="F11233" t="s">
        <v>21678</v>
      </c>
      <c r="G11233" t="s">
        <v>14</v>
      </c>
      <c r="H11233">
             </c>
      <c r="I11233" t="s">
        <v>14</v>
      </c>
      <c r="J11233" t="s">
        <v>141</v>
      </c>
      <c r="K11233" t="s">
        <v>14</v>
      </c>
      <c r="L11233" t="s">
        <v>20</v>
      </c>
      <c r="M11233" t="s">
        <v>21288</v>
      </c>
      <c r="N11233" t="s">
        <v>14</v>
      </c>
    </row>
    <row r="11234" x14ac:dyDescent="0.25">
      <c r="A11234" t="n">
        <v>24</v>
      </c>
      <c r="B11234" t="s">
        <v>14</v>
      </c>
      <c r="C11234" t="s">
        <v>22</v>
      </c>
      <c r="D11234" s="2" t="s">
        <f>=HYPERLINK("https://main.knesset.gov.il/APPS/legislation/main/bills/2156324", "הצעת חוק חניה לנכים (תיקון - החלפת המונח נכה), התשפ""א-2021")</f>
        <v>21679</v>
      </c>
      <c r="E11234" t="s">
        <v>21679</v>
      </c>
      <c r="F11234" t="s">
        <v>21680</v>
      </c>
      <c r="G11234" t="s">
        <v>14</v>
      </c>
      <c r="H11234">
             </c>
      <c r="I11234" t="s">
        <v>14</v>
      </c>
      <c r="J11234" t="s">
        <v>141</v>
      </c>
      <c r="K11234" t="s">
        <v>14</v>
      </c>
      <c r="L11234" t="s">
        <v>20</v>
      </c>
      <c r="M11234" t="s">
        <v>21288</v>
      </c>
      <c r="N11234" t="s">
        <v>14</v>
      </c>
    </row>
    <row r="11235" x14ac:dyDescent="0.25">
      <c r="A11235" t="n">
        <v>24</v>
      </c>
      <c r="B11235" t="s">
        <v>14</v>
      </c>
      <c r="C11235" t="s">
        <v>22</v>
      </c>
      <c r="D11235" s="2" t="s">
        <f>=HYPERLINK("https://main.knesset.gov.il/APPS/legislation/main/bills/2156109", "הצעת חוק לתיקון פקודת הרוקחים (חיוב רישום רכיבי תמרוקים ומוצרי ניקיון), התשפ""א-2021")</f>
        <v>21681</v>
      </c>
      <c r="E11235" t="s">
        <v>21681</v>
      </c>
      <c r="F11235" t="s">
        <v>21682</v>
      </c>
      <c r="G11235" t="s">
        <v>14</v>
      </c>
      <c r="H11235">
             </c>
      <c r="I11235" t="s">
        <v>14</v>
      </c>
      <c r="J11235" t="s">
        <v>141</v>
      </c>
      <c r="K11235" t="s">
        <v>14</v>
      </c>
      <c r="L11235" t="s">
        <v>20</v>
      </c>
      <c r="M11235" t="s">
        <v>21288</v>
      </c>
      <c r="N11235" t="s">
        <v>14</v>
      </c>
    </row>
    <row r="11236" x14ac:dyDescent="0.25">
      <c r="A11236" t="n">
        <v>24</v>
      </c>
      <c r="B11236" t="s">
        <v>14</v>
      </c>
      <c r="C11236" t="s">
        <v>22</v>
      </c>
      <c r="D11236" s="2" t="s">
        <f>=HYPERLINK("https://main.knesset.gov.il/APPS/legislation/main/bills/2156877", "הצעת חוק הסכמים לנשיאת עוברים (אישור הסכם ומעמד היילוד) (תיקון - הורים מיועדים), התשפ""א-2021")</f>
        <v>21683</v>
      </c>
      <c r="E11236" t="s">
        <v>21683</v>
      </c>
      <c r="F11236" t="s">
        <v>21684</v>
      </c>
      <c r="G11236" t="s">
        <v>14</v>
      </c>
      <c r="H11236">
             </c>
      <c r="I11236" t="s">
        <v>14</v>
      </c>
      <c r="J11236" t="s">
        <v>141</v>
      </c>
      <c r="K11236" t="s">
        <v>14</v>
      </c>
      <c r="L11236" t="s">
        <v>20</v>
      </c>
      <c r="M11236" t="s">
        <v>21288</v>
      </c>
      <c r="N11236" t="s">
        <v>14</v>
      </c>
    </row>
    <row r="11237" x14ac:dyDescent="0.25">
      <c r="A11237" t="n">
        <v>24</v>
      </c>
      <c r="B11237" t="s">
        <v>14</v>
      </c>
      <c r="C11237" t="s">
        <v>22</v>
      </c>
      <c r="D11237" s="2" t="s">
        <f>=HYPERLINK("https://main.knesset.gov.il/APPS/legislation/main/bills/2157534", "הצעת חוק הכשרות המשפטית והאפוטרופסות (תיקון - תשלום שכר והוצאות של אפוטרופוס מאוצר המדינה), התשפ""א-2021")</f>
        <v>21685</v>
      </c>
      <c r="E11237" t="s">
        <v>21685</v>
      </c>
      <c r="F11237" t="s">
        <v>21686</v>
      </c>
      <c r="G11237" t="s">
        <v>14</v>
      </c>
      <c r="H11237">
             </c>
      <c r="I11237" t="s">
        <v>14</v>
      </c>
      <c r="J11237" t="s">
        <v>141</v>
      </c>
      <c r="K11237" t="s">
        <v>14</v>
      </c>
      <c r="L11237" t="s">
        <v>20</v>
      </c>
      <c r="M11237" t="s">
        <v>21288</v>
      </c>
      <c r="N11237" t="s">
        <v>14</v>
      </c>
    </row>
    <row r="11238" x14ac:dyDescent="0.25">
      <c r="A11238" t="n">
        <v>24</v>
      </c>
      <c r="B11238" t="s">
        <v>14</v>
      </c>
      <c r="C11238" t="s">
        <v>22</v>
      </c>
      <c r="D11238" s="2" t="s">
        <f>=HYPERLINK("https://main.knesset.gov.il/APPS/legislation/main/bills/2156440", "הצעת חוק הביטוח הלאומי (תיקון - תוספת דמי אבטלה למי שמתחת לגיל 28 עם ילד אחד לפחות), התשפ""א-2021 ")</f>
        <v>21687</v>
      </c>
      <c r="E11238" t="s">
        <v>21687</v>
      </c>
      <c r="F11238" t="s">
        <v>21688</v>
      </c>
      <c r="G11238" t="s">
        <v>14</v>
      </c>
      <c r="H11238">
             </c>
      <c r="I11238" t="s">
        <v>14</v>
      </c>
      <c r="J11238" t="s">
        <v>141</v>
      </c>
      <c r="K11238" t="s">
        <v>14</v>
      </c>
      <c r="L11238" t="s">
        <v>20</v>
      </c>
      <c r="M11238" t="s">
        <v>21288</v>
      </c>
      <c r="N11238" t="s">
        <v>14</v>
      </c>
    </row>
    <row r="11239" x14ac:dyDescent="0.25">
      <c r="A11239" t="n">
        <v>24</v>
      </c>
      <c r="B11239" t="s">
        <v>14</v>
      </c>
      <c r="C11239" t="s">
        <v>22</v>
      </c>
      <c r="D11239" s="2" t="s">
        <f>=HYPERLINK("https://main.knesset.gov.il/APPS/legislation/main/bills/2156087", "הצעת חוק התגמולים לנפגעי פעולות איבה (תיקון - פגיעה מנפל), התשפ""א-2021")</f>
        <v>21689</v>
      </c>
      <c r="E11239" t="s">
        <v>21689</v>
      </c>
      <c r="F11239" t="s">
        <v>21690</v>
      </c>
      <c r="G11239" t="s">
        <v>14</v>
      </c>
      <c r="H11239">
             </c>
      <c r="I11239" t="s">
        <v>14</v>
      </c>
      <c r="J11239" t="s">
        <v>141</v>
      </c>
      <c r="K11239" t="s">
        <v>14</v>
      </c>
      <c r="L11239" t="s">
        <v>20</v>
      </c>
      <c r="M11239" t="s">
        <v>21288</v>
      </c>
      <c r="N11239" t="s">
        <v>14</v>
      </c>
    </row>
    <row r="11240" x14ac:dyDescent="0.25">
      <c r="A11240" t="n">
        <v>24</v>
      </c>
      <c r="B11240" t="s">
        <v>14</v>
      </c>
      <c r="C11240" t="s">
        <v>22</v>
      </c>
      <c r="D11240" s="2" t="s">
        <f>=HYPERLINK("https://main.knesset.gov.il/APPS/legislation/main/bills/2157498", "הצעת חוק הכשרות המשפטית והאפוטרופסות (תיקון - תשלום שכר והוצאות של אפוטרופוס מאוצר המדינה), התשפ""א-2021")</f>
        <v>21685</v>
      </c>
      <c r="E11240" t="s">
        <v>21685</v>
      </c>
      <c r="F11240" t="s">
        <v>21691</v>
      </c>
      <c r="G11240" t="s">
        <v>14</v>
      </c>
      <c r="H11240">
             </c>
      <c r="I11240" t="s">
        <v>14</v>
      </c>
      <c r="J11240" t="s">
        <v>141</v>
      </c>
      <c r="K11240" t="s">
        <v>14</v>
      </c>
      <c r="L11240" t="s">
        <v>20</v>
      </c>
      <c r="M11240" t="s">
        <v>21288</v>
      </c>
      <c r="N11240" t="s">
        <v>14</v>
      </c>
    </row>
    <row r="11241" x14ac:dyDescent="0.25">
      <c r="A11241" t="n">
        <v>24</v>
      </c>
      <c r="B11241" t="s">
        <v>14</v>
      </c>
      <c r="C11241" t="s">
        <v>22</v>
      </c>
      <c r="D11241" s="2" t="s">
        <f>=HYPERLINK("https://main.knesset.gov.il/APPS/legislation/main/bills/2156257", "הצעת חוק התרת נישואין אזרחיים (תיקוני חקיקה), התשפ""א-2021")</f>
        <v>21692</v>
      </c>
      <c r="E11241" t="s">
        <v>21692</v>
      </c>
      <c r="F11241" t="s">
        <v>21693</v>
      </c>
      <c r="G11241" t="s">
        <v>14</v>
      </c>
      <c r="H11241">
             </c>
      <c r="I11241" t="s">
        <v>14</v>
      </c>
      <c r="J11241" t="s">
        <v>141</v>
      </c>
      <c r="K11241" t="s">
        <v>14</v>
      </c>
      <c r="L11241" t="s">
        <v>20</v>
      </c>
      <c r="M11241" t="s">
        <v>21288</v>
      </c>
      <c r="N11241" t="s">
        <v>14</v>
      </c>
    </row>
    <row r="11242" x14ac:dyDescent="0.25">
      <c r="A11242" t="n">
        <v>24</v>
      </c>
      <c r="B11242" t="s">
        <v>14</v>
      </c>
      <c r="C11242" t="s">
        <v>22</v>
      </c>
      <c r="D11242" s="2" t="s">
        <f>=HYPERLINK("https://main.knesset.gov.il/APPS/legislation/main/bills/2157227", "הצעת חוק התכנון והבנייה (תיקון - תוקף היתר הבנייה), התשפ""א-2021")</f>
        <v>21694</v>
      </c>
      <c r="E11242" t="s">
        <v>21694</v>
      </c>
      <c r="F11242" t="s">
        <v>21695</v>
      </c>
      <c r="G11242" t="s">
        <v>14</v>
      </c>
      <c r="H11242">
             </c>
      <c r="I11242" t="s">
        <v>14</v>
      </c>
      <c r="J11242" t="s">
        <v>141</v>
      </c>
      <c r="K11242" t="s">
        <v>14</v>
      </c>
      <c r="L11242" t="s">
        <v>20</v>
      </c>
      <c r="M11242" t="s">
        <v>21288</v>
      </c>
      <c r="N11242" t="s">
        <v>14</v>
      </c>
    </row>
    <row r="11243" x14ac:dyDescent="0.25">
      <c r="A11243" t="n">
        <v>24</v>
      </c>
      <c r="B11243" t="s">
        <v>14</v>
      </c>
      <c r="C11243" t="s">
        <v>22</v>
      </c>
      <c r="D11243" s="2" t="s">
        <f>=HYPERLINK("https://main.knesset.gov.il/APPS/legislation/main/bills/2157105", "הצעת חוק הכנסת (תיקון - דיווח מנהלים כלליים חדשים לוועדות הכנסת), התשפ""א-2021")</f>
        <v>21696</v>
      </c>
      <c r="E11243" t="s">
        <v>21696</v>
      </c>
      <c r="F11243" t="s">
        <v>21697</v>
      </c>
      <c r="G11243" t="s">
        <v>14</v>
      </c>
      <c r="H11243">
             </c>
      <c r="I11243" t="s">
        <v>14</v>
      </c>
      <c r="J11243" t="s">
        <v>141</v>
      </c>
      <c r="K11243" t="s">
        <v>14</v>
      </c>
      <c r="L11243" t="s">
        <v>20</v>
      </c>
      <c r="M11243" t="s">
        <v>21288</v>
      </c>
      <c r="N11243" t="s">
        <v>14</v>
      </c>
    </row>
    <row r="11244" x14ac:dyDescent="0.25">
      <c r="A11244" t="n">
        <v>24</v>
      </c>
      <c r="B11244" t="s">
        <v>14</v>
      </c>
      <c r="C11244" t="s">
        <v>22</v>
      </c>
      <c r="D11244" s="2" t="s">
        <f>=HYPERLINK("https://main.knesset.gov.il/APPS/legislation/main/bills/2156983", "הצעת חוק מעונות יום שיקומיים (תיקון - מעונות יום עם הגנה חיסונית), התשפ""א-2021")</f>
        <v>21698</v>
      </c>
      <c r="E11244" t="s">
        <v>21698</v>
      </c>
      <c r="F11244" t="s">
        <v>21699</v>
      </c>
      <c r="G11244" t="s">
        <v>14</v>
      </c>
      <c r="H11244">
             </c>
      <c r="I11244" t="s">
        <v>14</v>
      </c>
      <c r="J11244" t="s">
        <v>141</v>
      </c>
      <c r="K11244" t="s">
        <v>14</v>
      </c>
      <c r="L11244" t="s">
        <v>20</v>
      </c>
      <c r="M11244" t="s">
        <v>21288</v>
      </c>
      <c r="N11244" t="s">
        <v>14</v>
      </c>
    </row>
    <row r="11245" x14ac:dyDescent="0.25">
      <c r="A11245" t="n">
        <v>24</v>
      </c>
      <c r="B11245" t="s">
        <v>14</v>
      </c>
      <c r="C11245" t="s">
        <v>22</v>
      </c>
      <c r="D11245" s="2" t="s">
        <f>=HYPERLINK("https://main.knesset.gov.il/APPS/legislation/main/bills/2156863", "הצעת חוק הבטחת הכנסה (תיקון - הגדלת הסכום להשתכרות בנוסף לקצבה), התשפ""א-2021")</f>
        <v>21700</v>
      </c>
      <c r="E11245" t="s">
        <v>21700</v>
      </c>
      <c r="F11245" t="s">
        <v>21701</v>
      </c>
      <c r="G11245" t="s">
        <v>14</v>
      </c>
      <c r="H11245">
             </c>
      <c r="I11245" t="s">
        <v>14</v>
      </c>
      <c r="J11245" t="s">
        <v>141</v>
      </c>
      <c r="K11245" t="s">
        <v>14</v>
      </c>
      <c r="L11245" t="s">
        <v>20</v>
      </c>
      <c r="M11245" t="s">
        <v>21288</v>
      </c>
      <c r="N11245" t="s">
        <v>14</v>
      </c>
    </row>
    <row r="11246" x14ac:dyDescent="0.25">
      <c r="A11246" t="n">
        <v>24</v>
      </c>
      <c r="B11246" t="s">
        <v>14</v>
      </c>
      <c r="C11246" t="s">
        <v>22</v>
      </c>
      <c r="D11246" s="2" t="s">
        <f>=HYPERLINK("https://main.knesset.gov.il/APPS/legislation/main/bills/2156505", "הצעת חוק הבחירות לכנסת (תיקון - הפחתת אחוז החסימה), התשפ""א-2021")</f>
        <v>21702</v>
      </c>
      <c r="E11246" t="s">
        <v>21702</v>
      </c>
      <c r="F11246" t="s">
        <v>21703</v>
      </c>
      <c r="G11246" t="s">
        <v>14</v>
      </c>
      <c r="H11246">
             </c>
      <c r="I11246" t="s">
        <v>14</v>
      </c>
      <c r="J11246" t="s">
        <v>343</v>
      </c>
      <c r="K11246" t="s">
        <v>14</v>
      </c>
      <c r="L11246" t="s">
        <v>20</v>
      </c>
      <c r="M11246" t="s">
        <v>21288</v>
      </c>
      <c r="N11246" t="s">
        <v>14</v>
      </c>
    </row>
    <row r="11247" x14ac:dyDescent="0.25">
      <c r="A11247" t="n">
        <v>24</v>
      </c>
      <c r="B11247" t="s">
        <v>14</v>
      </c>
      <c r="C11247" t="s">
        <v>22</v>
      </c>
      <c r="D11247" s="2" t="s">
        <f>=HYPERLINK("https://main.knesset.gov.il/APPS/legislation/main/bills/2156250", "הצעת חוק הבטחת הכנסה (תיקון - הגדלת הסכום להשתכרות בנוסף לקצבה), התשפ""א-2021")</f>
        <v>21700</v>
      </c>
      <c r="E11247" t="s">
        <v>21700</v>
      </c>
      <c r="F11247" t="s">
        <v>21704</v>
      </c>
      <c r="G11247" t="s">
        <v>14</v>
      </c>
      <c r="H11247">
             </c>
      <c r="I11247" t="s">
        <v>14</v>
      </c>
      <c r="J11247" t="s">
        <v>141</v>
      </c>
      <c r="K11247" t="s">
        <v>14</v>
      </c>
      <c r="L11247" t="s">
        <v>20</v>
      </c>
      <c r="M11247" t="s">
        <v>21288</v>
      </c>
      <c r="N11247" t="s">
        <v>14</v>
      </c>
    </row>
    <row r="11248" x14ac:dyDescent="0.25">
      <c r="A11248" t="n">
        <v>24</v>
      </c>
      <c r="B11248" t="s">
        <v>14</v>
      </c>
      <c r="C11248" t="s">
        <v>22</v>
      </c>
      <c r="D11248" s="2" t="s">
        <f>=HYPERLINK("https://main.knesset.gov.il/APPS/legislation/main/bills/2156867", "הצעת חוק החלת החוק הישראלי בשטח בקעת הירדן (הליך קבלת אזרחות), התשפ""א-2021")</f>
        <v>19550</v>
      </c>
      <c r="E11248" t="s">
        <v>19550</v>
      </c>
      <c r="F11248" t="s">
        <v>21705</v>
      </c>
      <c r="G11248" t="s">
        <v>14</v>
      </c>
      <c r="H11248">
             </c>
      <c r="I11248" t="s">
        <v>14</v>
      </c>
      <c r="J11248" t="s">
        <v>141</v>
      </c>
      <c r="K11248" t="s">
        <v>14</v>
      </c>
      <c r="L11248" t="s">
        <v>20</v>
      </c>
      <c r="M11248" t="s">
        <v>21288</v>
      </c>
      <c r="N11248" t="s">
        <v>14</v>
      </c>
    </row>
    <row r="11249" x14ac:dyDescent="0.25">
      <c r="A11249" t="n">
        <v>24</v>
      </c>
      <c r="B11249" t="s">
        <v>14</v>
      </c>
      <c r="C11249" t="s">
        <v>22</v>
      </c>
      <c r="D11249" s="2" t="s">
        <f>=HYPERLINK("https://main.knesset.gov.il/APPS/legislation/main/bills/2156196", "הצעת חוק גירוש משפחות מחבלים, התשפ""א-2021")</f>
        <v>17951</v>
      </c>
      <c r="E11249" t="s">
        <v>17951</v>
      </c>
      <c r="F11249" t="s">
        <v>21706</v>
      </c>
      <c r="G11249" t="s">
        <v>14</v>
      </c>
      <c r="H11249">
             </c>
      <c r="I11249" t="s">
        <v>14</v>
      </c>
      <c r="J11249" t="s">
        <v>141</v>
      </c>
      <c r="K11249" t="s">
        <v>14</v>
      </c>
      <c r="L11249" t="s">
        <v>20</v>
      </c>
      <c r="M11249" t="s">
        <v>21288</v>
      </c>
      <c r="N11249" t="s">
        <v>14</v>
      </c>
    </row>
    <row r="11250" x14ac:dyDescent="0.25">
      <c r="A11250" t="n">
        <v>24</v>
      </c>
      <c r="B11250" t="s">
        <v>14</v>
      </c>
      <c r="C11250" t="s">
        <v>22</v>
      </c>
      <c r="D11250" s="2" t="s">
        <f>=HYPERLINK("https://main.knesset.gov.il/APPS/legislation/main/bills/2156601", "הצעת חוק בקעת הירדן, צפון ים המלח ומדבר יהודה, התשפ""א-2021")</f>
        <v>21707</v>
      </c>
      <c r="E11250" t="s">
        <v>21707</v>
      </c>
      <c r="F11250" t="s">
        <v>21708</v>
      </c>
      <c r="G11250" t="s">
        <v>14</v>
      </c>
      <c r="H11250">
             </c>
      <c r="I11250" t="s">
        <v>14</v>
      </c>
      <c r="J11250" t="s">
        <v>141</v>
      </c>
      <c r="K11250" t="s">
        <v>14</v>
      </c>
      <c r="L11250" t="s">
        <v>20</v>
      </c>
      <c r="M11250" t="s">
        <v>21288</v>
      </c>
      <c r="N11250" t="s">
        <v>14</v>
      </c>
    </row>
    <row r="11251" x14ac:dyDescent="0.25">
      <c r="A11251" t="n">
        <v>24</v>
      </c>
      <c r="B11251" t="s">
        <v>14</v>
      </c>
      <c r="C11251" t="s">
        <v>22</v>
      </c>
      <c r="D11251" s="2" t="s">
        <f>=HYPERLINK("https://main.knesset.gov.il/APPS/legislation/main/bills/2156385", "הצעת חוק לתיקון פקודת המשטרה (אלימות שוטרים ושינויים ארגוניים), התשפ""א-2021")</f>
        <v>21709</v>
      </c>
      <c r="E11251" t="s">
        <v>21709</v>
      </c>
      <c r="F11251" t="s">
        <v>21710</v>
      </c>
      <c r="G11251" t="s">
        <v>14</v>
      </c>
      <c r="H11251">
             </c>
      <c r="I11251" t="s">
        <v>14</v>
      </c>
      <c r="J11251" t="s">
        <v>141</v>
      </c>
      <c r="K11251" t="s">
        <v>14</v>
      </c>
      <c r="L11251" t="s">
        <v>20</v>
      </c>
      <c r="M11251" t="s">
        <v>21288</v>
      </c>
      <c r="N11251" t="s">
        <v>14</v>
      </c>
    </row>
    <row r="11252" x14ac:dyDescent="0.25">
      <c r="A11252" t="n">
        <v>24</v>
      </c>
      <c r="B11252" t="s">
        <v>14</v>
      </c>
      <c r="C11252" t="s">
        <v>22</v>
      </c>
      <c r="D11252" s="2" t="s">
        <f>=HYPERLINK("https://main.knesset.gov.il/APPS/legislation/main/bills/2156564", "הצעת חוק החלת החוק הישראלי בשטח בקעת הירדן, צפון ים המלח, ובישובים היהודיים ביהודה והשומרון, התשפ""א-2021")</f>
        <v>21711</v>
      </c>
      <c r="E11252" t="s">
        <v>21711</v>
      </c>
      <c r="F11252" t="s">
        <v>21712</v>
      </c>
      <c r="G11252" t="s">
        <v>14</v>
      </c>
      <c r="H11252">
             </c>
      <c r="I11252" t="s">
        <v>14</v>
      </c>
      <c r="J11252" t="s">
        <v>141</v>
      </c>
      <c r="K11252" t="s">
        <v>14</v>
      </c>
      <c r="L11252" t="s">
        <v>20</v>
      </c>
      <c r="M11252" t="s">
        <v>21288</v>
      </c>
      <c r="N11252" t="s">
        <v>14</v>
      </c>
    </row>
    <row r="11253" x14ac:dyDescent="0.25">
      <c r="A11253" t="n">
        <v>24</v>
      </c>
      <c r="B11253" t="s">
        <v>14</v>
      </c>
      <c r="C11253" t="s">
        <v>22</v>
      </c>
      <c r="D11253" s="2" t="s">
        <f>=HYPERLINK("https://main.knesset.gov.il/APPS/legislation/main/bills/2156291", "הצעת חוק הגנה על ישראלים מפני מוסדות בין-לאומיים עוינים, התשפ""א-2021")</f>
        <v>21713</v>
      </c>
      <c r="E11253" t="s">
        <v>21713</v>
      </c>
      <c r="F11253" t="s">
        <v>21714</v>
      </c>
      <c r="G11253" t="s">
        <v>14</v>
      </c>
      <c r="H11253">
             </c>
      <c r="I11253" t="s">
        <v>14</v>
      </c>
      <c r="J11253" t="s">
        <v>141</v>
      </c>
      <c r="K11253" t="s">
        <v>14</v>
      </c>
      <c r="L11253" t="s">
        <v>20</v>
      </c>
      <c r="M11253" t="s">
        <v>21288</v>
      </c>
      <c r="N11253" t="s">
        <v>14</v>
      </c>
    </row>
    <row r="11254" x14ac:dyDescent="0.25">
      <c r="A11254" t="n">
        <v>24</v>
      </c>
      <c r="B11254" t="s">
        <v>14</v>
      </c>
      <c r="C11254" t="s">
        <v>22</v>
      </c>
      <c r="D11254" s="2" t="s">
        <f>=HYPERLINK("https://main.knesset.gov.il/APPS/legislation/main/bills/2156864", "הצעת חוק הגנת השכר (תיקון - הגבלת ניכוי דמי חבר ודמי טיפול מקצועי ארגוני), התשפ""א-2021")</f>
        <v>21715</v>
      </c>
      <c r="E11254" t="s">
        <v>21715</v>
      </c>
      <c r="F11254" t="s">
        <v>21716</v>
      </c>
      <c r="G11254" t="s">
        <v>14</v>
      </c>
      <c r="H11254">
             </c>
      <c r="I11254" t="s">
        <v>14</v>
      </c>
      <c r="J11254" t="s">
        <v>141</v>
      </c>
      <c r="K11254" t="s">
        <v>14</v>
      </c>
      <c r="L11254" t="s">
        <v>20</v>
      </c>
      <c r="M11254" t="s">
        <v>21288</v>
      </c>
      <c r="N11254" t="s">
        <v>14</v>
      </c>
    </row>
    <row r="11255" x14ac:dyDescent="0.25">
      <c r="A11255" t="n">
        <v>24</v>
      </c>
      <c r="B11255" t="s">
        <v>14</v>
      </c>
      <c r="C11255" t="s">
        <v>22</v>
      </c>
      <c r="D11255" s="2" t="s">
        <f>=HYPERLINK("https://main.knesset.gov.il/APPS/legislation/main/bills/2156683", "הצעת חוק ביטוח בריאות ממלכתי (תיקון - זמן סביר לעניין שירות רפואי), התשפ""א-2021")</f>
        <v>21717</v>
      </c>
      <c r="E11255" t="s">
        <v>21717</v>
      </c>
      <c r="F11255" t="s">
        <v>21718</v>
      </c>
      <c r="G11255" t="s">
        <v>14</v>
      </c>
      <c r="H11255">
             </c>
      <c r="I11255" t="s">
        <v>14</v>
      </c>
      <c r="J11255" t="s">
        <v>141</v>
      </c>
      <c r="K11255" t="s">
        <v>14</v>
      </c>
      <c r="L11255" t="s">
        <v>20</v>
      </c>
      <c r="M11255" t="s">
        <v>21288</v>
      </c>
      <c r="N11255" t="s">
        <v>14</v>
      </c>
    </row>
    <row r="11256" x14ac:dyDescent="0.25">
      <c r="A11256" t="n">
        <v>24</v>
      </c>
      <c r="B11256" t="s">
        <v>14</v>
      </c>
      <c r="C11256" t="s">
        <v>22</v>
      </c>
      <c r="D11256" s="2" t="s">
        <f>=HYPERLINK("https://main.knesset.gov.il/APPS/legislation/main/bills/2157063", "הצעת חוק גיל פרישה (תיקון - ביטול גיל פרישת חובה), התשפ""א-2021")</f>
        <v>19221</v>
      </c>
      <c r="E11256" t="s">
        <v>19221</v>
      </c>
      <c r="F11256" t="s">
        <v>21719</v>
      </c>
      <c r="G11256" t="s">
        <v>14</v>
      </c>
      <c r="H11256">
             </c>
      <c r="I11256" t="s">
        <v>14</v>
      </c>
      <c r="J11256" t="s">
        <v>141</v>
      </c>
      <c r="K11256" t="s">
        <v>14</v>
      </c>
      <c r="L11256" t="s">
        <v>20</v>
      </c>
      <c r="M11256" t="s">
        <v>21288</v>
      </c>
      <c r="N11256" t="s">
        <v>14</v>
      </c>
    </row>
    <row r="11257" x14ac:dyDescent="0.25">
      <c r="A11257" t="n">
        <v>24</v>
      </c>
      <c r="B11257" t="s">
        <v>14</v>
      </c>
      <c r="C11257" t="s">
        <v>22</v>
      </c>
      <c r="D11257" s="2" t="s">
        <f>=HYPERLINK("https://main.knesset.gov.il/APPS/legislation/main/bills/2157901", "הצעת חוק איסור הונאה בכשרות (תיקון - מתן תעודת הכשר על ידי רב מקומי), התשפ""א-2021")</f>
        <v>19071</v>
      </c>
      <c r="E11257" t="s">
        <v>19071</v>
      </c>
      <c r="F11257" t="s">
        <v>21720</v>
      </c>
      <c r="G11257" t="s">
        <v>14</v>
      </c>
      <c r="H11257">
             </c>
      <c r="I11257" t="s">
        <v>14</v>
      </c>
      <c r="J11257" t="s">
        <v>141</v>
      </c>
      <c r="K11257" t="s">
        <v>14</v>
      </c>
      <c r="L11257" t="s">
        <v>20</v>
      </c>
      <c r="M11257" t="s">
        <v>21288</v>
      </c>
      <c r="N11257" t="s">
        <v>14</v>
      </c>
    </row>
    <row r="11258" x14ac:dyDescent="0.25">
      <c r="A11258" t="n">
        <v>24</v>
      </c>
      <c r="B11258" t="s">
        <v>14</v>
      </c>
      <c r="C11258" t="s">
        <v>22</v>
      </c>
      <c r="D11258" s="2" t="s">
        <f>=HYPERLINK("https://main.knesset.gov.il/APPS/legislation/main/bills/2156530", "הצעת חוק שירות ביטחון (תיקון - השוואת תהליכי המיון, השיבוץ, התקינה וההכשרה, המסלולים המקצועיים ואופקי הקידום לנשים וגברים), התשפ""א-2021")</f>
        <v>21721</v>
      </c>
      <c r="E11258" t="s">
        <v>21721</v>
      </c>
      <c r="F11258" t="s">
        <v>21722</v>
      </c>
      <c r="G11258" t="s">
        <v>14</v>
      </c>
      <c r="H11258">
             </c>
      <c r="I11258" t="s">
        <v>14</v>
      </c>
      <c r="J11258" t="s">
        <v>141</v>
      </c>
      <c r="K11258" t="s">
        <v>14</v>
      </c>
      <c r="L11258" t="s">
        <v>20</v>
      </c>
      <c r="M11258" t="s">
        <v>21288</v>
      </c>
      <c r="N11258" t="s">
        <v>14</v>
      </c>
    </row>
    <row r="11259" x14ac:dyDescent="0.25">
      <c r="A11259" t="n">
        <v>24</v>
      </c>
      <c r="B11259" t="s">
        <v>14</v>
      </c>
      <c r="C11259" t="s">
        <v>22</v>
      </c>
      <c r="D11259" s="2" t="s">
        <f>=HYPERLINK("https://main.knesset.gov.il/APPS/legislation/main/bills/2157017", "הצעת חוק גיל פרישה (תיקון - ביטול גיל פרישת חובה), התשפ""א-2021")</f>
        <v>19221</v>
      </c>
      <c r="E11259" t="s">
        <v>19221</v>
      </c>
      <c r="F11259" t="s">
        <v>21723</v>
      </c>
      <c r="G11259" t="s">
        <v>14</v>
      </c>
      <c r="H11259">
             </c>
      <c r="I11259" t="s">
        <v>14</v>
      </c>
      <c r="J11259" t="s">
        <v>141</v>
      </c>
      <c r="K11259" t="s">
        <v>14</v>
      </c>
      <c r="L11259" t="s">
        <v>20</v>
      </c>
      <c r="M11259" t="s">
        <v>21288</v>
      </c>
      <c r="N11259" t="s">
        <v>14</v>
      </c>
    </row>
    <row r="11260" x14ac:dyDescent="0.25">
      <c r="A11260" t="n">
        <v>24</v>
      </c>
      <c r="B11260" t="s">
        <v>14</v>
      </c>
      <c r="C11260" t="s">
        <v>22</v>
      </c>
      <c r="D11260" s="2" t="s">
        <f>=HYPERLINK("https://main.knesset.gov.il/APPS/legislation/main/bills/2158075", "הצעת חוק מס ערך מוסף (תיקון - עוסק פטור חדש), התשפ""א-2021 ")</f>
        <v>21724</v>
      </c>
      <c r="E11260" t="s">
        <v>21724</v>
      </c>
      <c r="F11260" t="s">
        <v>21725</v>
      </c>
      <c r="G11260" t="s">
        <v>14</v>
      </c>
      <c r="H11260">
             </c>
      <c r="I11260" t="s">
        <v>14</v>
      </c>
      <c r="J11260" t="s">
        <v>141</v>
      </c>
      <c r="K11260" t="s">
        <v>14</v>
      </c>
      <c r="L11260" t="s">
        <v>20</v>
      </c>
      <c r="M11260" t="s">
        <v>21288</v>
      </c>
      <c r="N11260" t="s">
        <v>14</v>
      </c>
    </row>
    <row r="11261" x14ac:dyDescent="0.25">
      <c r="A11261" t="n">
        <v>24</v>
      </c>
      <c r="B11261" t="s">
        <v>14</v>
      </c>
      <c r="C11261" t="s">
        <v>22</v>
      </c>
      <c r="D11261" s="2" t="s">
        <f>=HYPERLINK("https://main.knesset.gov.il/APPS/legislation/main/bills/2156259", "הצעת חוק החזר דמי נסיעה במונית לבית החולים (תיקוני חקיקה), התשפ""א-2021")</f>
        <v>21726</v>
      </c>
      <c r="E11261" t="s">
        <v>21726</v>
      </c>
      <c r="F11261" t="s">
        <v>21727</v>
      </c>
      <c r="G11261" t="s">
        <v>14</v>
      </c>
      <c r="H11261">
             </c>
      <c r="I11261" t="s">
        <v>14</v>
      </c>
      <c r="J11261" t="s">
        <v>141</v>
      </c>
      <c r="K11261" t="s">
        <v>14</v>
      </c>
      <c r="L11261" t="s">
        <v>20</v>
      </c>
      <c r="M11261" t="s">
        <v>21288</v>
      </c>
      <c r="N11261" t="s">
        <v>14</v>
      </c>
    </row>
    <row r="11262" x14ac:dyDescent="0.25">
      <c r="A11262" t="n">
        <v>24</v>
      </c>
      <c r="B11262" t="s">
        <v>14</v>
      </c>
      <c r="C11262" t="s">
        <v>22</v>
      </c>
      <c r="D11262" s="2" t="s">
        <f>=HYPERLINK("https://main.knesset.gov.il/APPS/legislation/main/bills/2158080", "הצעת חוק-יסוד: הכנסת (תיקון - שלילת שכר בשל אי-הצהרת אמונים)")</f>
        <v>21728</v>
      </c>
      <c r="E11262" t="s">
        <v>21728</v>
      </c>
      <c r="F11262" t="s">
        <v>21729</v>
      </c>
      <c r="G11262" t="s">
        <v>14</v>
      </c>
      <c r="H11262">
             </c>
      <c r="I11262" t="s">
        <v>14</v>
      </c>
      <c r="J11262" t="s">
        <v>141</v>
      </c>
      <c r="K11262" t="s">
        <v>14</v>
      </c>
      <c r="L11262" t="s">
        <v>20</v>
      </c>
      <c r="M11262" t="s">
        <v>21288</v>
      </c>
      <c r="N11262" t="s">
        <v>14</v>
      </c>
    </row>
    <row r="11263" x14ac:dyDescent="0.25">
      <c r="A11263" t="n">
        <v>24</v>
      </c>
      <c r="B11263" t="s">
        <v>14</v>
      </c>
      <c r="C11263" t="s">
        <v>22</v>
      </c>
      <c r="D11263" s="2" t="s">
        <f>=HYPERLINK("https://main.knesset.gov.il/APPS/legislation/main/bills/2156847", "הצעת חוק האזרחים הוותיקים (תיקון - פטור מתשלום עבור שמירת מקום ישיבה בתחבורה ציבורית), התשפ""א-2021")</f>
        <v>21730</v>
      </c>
      <c r="E11263" t="s">
        <v>21730</v>
      </c>
      <c r="F11263" t="s">
        <v>21731</v>
      </c>
      <c r="G11263" t="s">
        <v>14</v>
      </c>
      <c r="H11263">
             </c>
      <c r="I11263" t="s">
        <v>14</v>
      </c>
      <c r="J11263" t="s">
        <v>141</v>
      </c>
      <c r="K11263" t="s">
        <v>14</v>
      </c>
      <c r="L11263" t="s">
        <v>20</v>
      </c>
      <c r="M11263" t="s">
        <v>21288</v>
      </c>
      <c r="N11263" t="s">
        <v>14</v>
      </c>
    </row>
    <row r="11264" x14ac:dyDescent="0.25">
      <c r="A11264" t="n">
        <v>24</v>
      </c>
      <c r="B11264" t="s">
        <v>14</v>
      </c>
      <c r="C11264" t="s">
        <v>22</v>
      </c>
      <c r="D11264" s="2" t="s">
        <f>=HYPERLINK("https://main.knesset.gov.il/APPS/legislation/main/bills/2157231", "הצעת חוק האזרחים הוותיקים (תיקון - פטור מתשלום עבור שמירת מקום ישיבה בתחבורה ציבורית), התשפ""א-2021")</f>
        <v>21730</v>
      </c>
      <c r="E11264" t="s">
        <v>21730</v>
      </c>
      <c r="F11264" t="s">
        <v>21732</v>
      </c>
      <c r="G11264" t="s">
        <v>14</v>
      </c>
      <c r="H11264">
             </c>
      <c r="I11264" t="s">
        <v>14</v>
      </c>
      <c r="J11264" t="s">
        <v>141</v>
      </c>
      <c r="K11264" t="s">
        <v>14</v>
      </c>
      <c r="L11264" t="s">
        <v>20</v>
      </c>
      <c r="M11264" t="s">
        <v>21288</v>
      </c>
      <c r="N11264" t="s">
        <v>14</v>
      </c>
    </row>
    <row r="11265" x14ac:dyDescent="0.25">
      <c r="A11265" t="n">
        <v>24</v>
      </c>
      <c r="B11265" t="s">
        <v>14</v>
      </c>
      <c r="C11265" t="s">
        <v>22</v>
      </c>
      <c r="D11265" s="2" t="s">
        <f>=HYPERLINK("https://main.knesset.gov.il/APPS/legislation/main/bills/2157166", "הצעת חוק הסדרת מקומות רחצה (תיקון - תיקון קביעת מקומות לרחצה נפרדת), התשפ""א-2021")</f>
        <v>21733</v>
      </c>
      <c r="E11265" t="s">
        <v>21733</v>
      </c>
      <c r="F11265" t="s">
        <v>21734</v>
      </c>
      <c r="G11265" t="s">
        <v>14</v>
      </c>
      <c r="H11265">
             </c>
      <c r="I11265" t="s">
        <v>14</v>
      </c>
      <c r="J11265" t="s">
        <v>141</v>
      </c>
      <c r="K11265" t="s">
        <v>14</v>
      </c>
      <c r="L11265" t="s">
        <v>20</v>
      </c>
      <c r="M11265" t="s">
        <v>21288</v>
      </c>
      <c r="N11265" t="s">
        <v>14</v>
      </c>
    </row>
    <row r="11266" x14ac:dyDescent="0.25">
      <c r="A11266" t="n">
        <v>24</v>
      </c>
      <c r="B11266" t="s">
        <v>14</v>
      </c>
      <c r="C11266" t="s">
        <v>22</v>
      </c>
      <c r="D11266" s="2" t="s">
        <f>=HYPERLINK("https://main.knesset.gov.il/APPS/legislation/main/bills/2157100", "הצעת חוק הסדרים במשק המדינה (תיקוני חקיקה להשגת יעדי התקציב) (תיקון - חובת הענקת הנחה בארנונה לאדם בעל מוגבלות), התשפ""א-2021")</f>
        <v>21735</v>
      </c>
      <c r="E11266" t="s">
        <v>21735</v>
      </c>
      <c r="F11266" t="s">
        <v>21736</v>
      </c>
      <c r="G11266" t="s">
        <v>14</v>
      </c>
      <c r="H11266">
             </c>
      <c r="I11266" t="s">
        <v>14</v>
      </c>
      <c r="J11266" t="s">
        <v>141</v>
      </c>
      <c r="K11266" t="s">
        <v>14</v>
      </c>
      <c r="L11266" t="s">
        <v>20</v>
      </c>
      <c r="M11266" t="s">
        <v>21288</v>
      </c>
      <c r="N11266" t="s">
        <v>14</v>
      </c>
    </row>
    <row r="11267" x14ac:dyDescent="0.25">
      <c r="A11267" t="n">
        <v>24</v>
      </c>
      <c r="B11267" t="s">
        <v>14</v>
      </c>
      <c r="C11267" t="s">
        <v>22</v>
      </c>
      <c r="D11267" s="2" t="s">
        <f>=HYPERLINK("https://main.knesset.gov.il/APPS/legislation/main/bills/2156777", "הצעת חוק התכנון והבנייה (תיקון - חלף היטל השבחה), התשפ""א-2021")</f>
        <v>21737</v>
      </c>
      <c r="E11267" t="s">
        <v>21737</v>
      </c>
      <c r="F11267" t="s">
        <v>21738</v>
      </c>
      <c r="G11267" t="s">
        <v>14</v>
      </c>
      <c r="H11267">
             </c>
      <c r="I11267" t="s">
        <v>14</v>
      </c>
      <c r="J11267" t="s">
        <v>141</v>
      </c>
      <c r="K11267" t="s">
        <v>14</v>
      </c>
      <c r="L11267" t="s">
        <v>20</v>
      </c>
      <c r="M11267" t="s">
        <v>21288</v>
      </c>
      <c r="N11267" t="s">
        <v>14</v>
      </c>
    </row>
    <row r="11268" x14ac:dyDescent="0.25">
      <c r="A11268" t="n">
        <v>24</v>
      </c>
      <c r="B11268" t="s">
        <v>14</v>
      </c>
      <c r="C11268" t="s">
        <v>22</v>
      </c>
      <c r="D11268" s="2" t="s">
        <f>=HYPERLINK("https://main.knesset.gov.il/APPS/legislation/main/bills/2157513", "הצעת חוק תאגידי מים וביוב (תיקון - הפסקת התקשרות עם חברה), התשפ""א-2021")</f>
        <v>21739</v>
      </c>
      <c r="E11268" t="s">
        <v>21739</v>
      </c>
      <c r="F11268" t="s">
        <v>21740</v>
      </c>
      <c r="G11268" t="s">
        <v>14</v>
      </c>
      <c r="H11268">
             </c>
      <c r="I11268" t="s">
        <v>14</v>
      </c>
      <c r="J11268" t="s">
        <v>141</v>
      </c>
      <c r="K11268" t="s">
        <v>14</v>
      </c>
      <c r="L11268" t="s">
        <v>20</v>
      </c>
      <c r="M11268" t="s">
        <v>21288</v>
      </c>
      <c r="N11268" t="s">
        <v>14</v>
      </c>
    </row>
    <row r="11269" x14ac:dyDescent="0.25">
      <c r="A11269" t="n">
        <v>24</v>
      </c>
      <c r="B11269" t="s">
        <v>14</v>
      </c>
      <c r="C11269" t="s">
        <v>22</v>
      </c>
      <c r="D11269" s="2" t="s">
        <f>=HYPERLINK("https://main.knesset.gov.il/APPS/legislation/main/bills/2156862", "הצעת חוק הביטוח הלאומי (תיקון - ביטול מענק עבודה מועדפת), התשפ""א-2021")</f>
        <v>21741</v>
      </c>
      <c r="E11269" t="s">
        <v>21741</v>
      </c>
      <c r="F11269" t="s">
        <v>21742</v>
      </c>
      <c r="G11269" t="s">
        <v>14</v>
      </c>
      <c r="H11269">
             </c>
      <c r="I11269" t="s">
        <v>14</v>
      </c>
      <c r="J11269" t="s">
        <v>141</v>
      </c>
      <c r="K11269" t="s">
        <v>14</v>
      </c>
      <c r="L11269" t="s">
        <v>20</v>
      </c>
      <c r="M11269" t="s">
        <v>21288</v>
      </c>
      <c r="N11269" t="s">
        <v>14</v>
      </c>
    </row>
    <row r="11270" x14ac:dyDescent="0.25">
      <c r="A11270" t="n">
        <v>24</v>
      </c>
      <c r="B11270" t="s">
        <v>14</v>
      </c>
      <c r="C11270" t="s">
        <v>22</v>
      </c>
      <c r="D11270" s="2" t="s">
        <f>=HYPERLINK("https://main.knesset.gov.il/APPS/legislation/main/bills/2157274", "הצעת חוק הביטוח הלאומי (תיקון - ביטול הפחתת דמי אבטלה למי שנמצא בהכשרה מקצועית), התשפ""א-2021")</f>
        <v>21743</v>
      </c>
      <c r="E11270" t="s">
        <v>21743</v>
      </c>
      <c r="F11270" t="s">
        <v>21744</v>
      </c>
      <c r="G11270" t="s">
        <v>14</v>
      </c>
      <c r="H11270">
             </c>
      <c r="I11270" t="s">
        <v>14</v>
      </c>
      <c r="J11270" t="s">
        <v>141</v>
      </c>
      <c r="K11270" t="s">
        <v>14</v>
      </c>
      <c r="L11270" t="s">
        <v>20</v>
      </c>
      <c r="M11270" t="s">
        <v>21288</v>
      </c>
      <c r="N11270" t="s">
        <v>14</v>
      </c>
    </row>
    <row r="11271" x14ac:dyDescent="0.25">
      <c r="A11271" t="n">
        <v>24</v>
      </c>
      <c r="B11271" t="s">
        <v>14</v>
      </c>
      <c r="C11271" t="s">
        <v>22</v>
      </c>
      <c r="D11271" s="2" t="s">
        <f>=HYPERLINK("https://main.knesset.gov.il/APPS/legislation/main/bills/2156214", "הצעת חוק הביטוח הלאומי (תיקון - זכאות לדמי אבטלה בחמשת הימים הראשונים), התשפ""א-2021")</f>
        <v>21745</v>
      </c>
      <c r="E11271" t="s">
        <v>21745</v>
      </c>
      <c r="F11271" t="s">
        <v>21746</v>
      </c>
      <c r="G11271" t="s">
        <v>14</v>
      </c>
      <c r="H11271">
             </c>
      <c r="I11271" t="s">
        <v>14</v>
      </c>
      <c r="J11271" t="s">
        <v>141</v>
      </c>
      <c r="K11271" t="s">
        <v>14</v>
      </c>
      <c r="L11271" t="s">
        <v>20</v>
      </c>
      <c r="M11271" t="s">
        <v>21288</v>
      </c>
      <c r="N11271" t="s">
        <v>14</v>
      </c>
    </row>
    <row r="11272" x14ac:dyDescent="0.25">
      <c r="A11272" t="n">
        <v>24</v>
      </c>
      <c r="B11272" t="s">
        <v>14</v>
      </c>
      <c r="C11272" t="s">
        <v>22</v>
      </c>
      <c r="D11272" s="2" t="s">
        <f>=HYPERLINK("https://main.knesset.gov.il/APPS/legislation/main/bills/2156069", "הצעת חוק-יסוד: כבוד האדם וחירותו (תיקון - הזכות לשוויון)")</f>
        <v>2676</v>
      </c>
      <c r="E11272" t="s">
        <v>2676</v>
      </c>
      <c r="F11272" t="s">
        <v>21747</v>
      </c>
      <c r="G11272" t="s">
        <v>14</v>
      </c>
      <c r="H11272">
             </c>
      <c r="I11272" t="s">
        <v>14</v>
      </c>
      <c r="J11272" t="s">
        <v>141</v>
      </c>
      <c r="K11272" t="s">
        <v>14</v>
      </c>
      <c r="L11272" t="s">
        <v>20</v>
      </c>
      <c r="M11272" t="s">
        <v>21288</v>
      </c>
      <c r="N11272" t="s">
        <v>14</v>
      </c>
    </row>
    <row r="11273" x14ac:dyDescent="0.25">
      <c r="A11273" t="n">
        <v>24</v>
      </c>
      <c r="B11273" t="s">
        <v>14</v>
      </c>
      <c r="C11273" t="s">
        <v>22</v>
      </c>
      <c r="D11273" s="2" t="s">
        <f>=HYPERLINK("https://main.knesset.gov.il/APPS/legislation/main/bills/2157763", "הצעת חוק הביטוח הלאומי (תיקון - תשלום רטרואקטיבי בעד תקופה שקדמה להגשת התביעה), התשפ""א-2021")</f>
        <v>21748</v>
      </c>
      <c r="E11273" t="s">
        <v>21748</v>
      </c>
      <c r="F11273" t="s">
        <v>21749</v>
      </c>
      <c r="G11273" t="s">
        <v>14</v>
      </c>
      <c r="H11273">
             </c>
      <c r="I11273" t="s">
        <v>14</v>
      </c>
      <c r="J11273" t="s">
        <v>141</v>
      </c>
      <c r="K11273" t="s">
        <v>14</v>
      </c>
      <c r="L11273" t="s">
        <v>20</v>
      </c>
      <c r="M11273" t="s">
        <v>21288</v>
      </c>
      <c r="N11273" t="s">
        <v>14</v>
      </c>
    </row>
    <row r="11274" x14ac:dyDescent="0.25">
      <c r="A11274" t="n">
        <v>24</v>
      </c>
      <c r="B11274" t="s">
        <v>14</v>
      </c>
      <c r="C11274" t="s">
        <v>22</v>
      </c>
      <c r="D11274" s="2" t="s">
        <f>=HYPERLINK("https://main.knesset.gov.il/APPS/legislation/main/bills/2156435", "הצעת חוק-יסוד: הממשלה (תיקון - הגבלת מועמד המצוי בחקירה מהרכבת ממשלה)")</f>
        <v>21750</v>
      </c>
      <c r="E11274" t="s">
        <v>21750</v>
      </c>
      <c r="F11274" t="s">
        <v>21751</v>
      </c>
      <c r="G11274" t="s">
        <v>14</v>
      </c>
      <c r="H11274">
             </c>
      <c r="I11274" t="s">
        <v>14</v>
      </c>
      <c r="J11274" t="s">
        <v>141</v>
      </c>
      <c r="K11274" t="s">
        <v>14</v>
      </c>
      <c r="L11274" t="s">
        <v>20</v>
      </c>
      <c r="M11274" t="s">
        <v>21288</v>
      </c>
      <c r="N11274" t="s">
        <v>14</v>
      </c>
    </row>
    <row r="11275" x14ac:dyDescent="0.25">
      <c r="A11275" t="n">
        <v>24</v>
      </c>
      <c r="B11275" t="s">
        <v>14</v>
      </c>
      <c r="C11275" t="s">
        <v>22</v>
      </c>
      <c r="D11275" s="2" t="s">
        <f>=HYPERLINK("https://main.knesset.gov.il/APPS/legislation/main/bills/2156370", "הצעת חוק הביטוח הלאומי (תיקון - תשלום גמלה בעד תקופה שקדמה להגשת התביעה), התשפ""א-2021")</f>
        <v>21752</v>
      </c>
      <c r="E11275" t="s">
        <v>21752</v>
      </c>
      <c r="F11275" t="s">
        <v>21753</v>
      </c>
      <c r="G11275" t="s">
        <v>14</v>
      </c>
      <c r="H11275">
             </c>
      <c r="I11275" t="s">
        <v>14</v>
      </c>
      <c r="J11275" t="s">
        <v>343</v>
      </c>
      <c r="K11275" t="s">
        <v>14</v>
      </c>
      <c r="L11275" t="s">
        <v>20</v>
      </c>
      <c r="M11275" t="s">
        <v>21288</v>
      </c>
      <c r="N11275" t="s">
        <v>14</v>
      </c>
    </row>
    <row r="11276" x14ac:dyDescent="0.25">
      <c r="A11276" t="n">
        <v>24</v>
      </c>
      <c r="B11276" t="s">
        <v>14</v>
      </c>
      <c r="C11276" t="s">
        <v>22</v>
      </c>
      <c r="D11276" s="2" t="s">
        <f>=HYPERLINK("https://main.knesset.gov.il/APPS/legislation/main/bills/2156076", "הצעת חוק-יסוד: הממשלה (תיקון - הגבלת כהונת ראש הממשלה)")</f>
        <v>19405</v>
      </c>
      <c r="E11276" t="s">
        <v>19405</v>
      </c>
      <c r="F11276" t="s">
        <v>21754</v>
      </c>
      <c r="G11276" t="s">
        <v>14</v>
      </c>
      <c r="H11276">
             </c>
      <c r="I11276" t="s">
        <v>14</v>
      </c>
      <c r="J11276" t="s">
        <v>141</v>
      </c>
      <c r="K11276" t="s">
        <v>14</v>
      </c>
      <c r="L11276" t="s">
        <v>20</v>
      </c>
      <c r="M11276" t="s">
        <v>21288</v>
      </c>
      <c r="N11276" t="s">
        <v>14</v>
      </c>
    </row>
    <row r="11277" x14ac:dyDescent="0.25">
      <c r="A11277" t="n">
        <v>24</v>
      </c>
      <c r="B11277" t="s">
        <v>14</v>
      </c>
      <c r="C11277" t="s">
        <v>22</v>
      </c>
      <c r="D11277" s="2" t="s">
        <f>=HYPERLINK("https://main.knesset.gov.il/APPS/legislation/main/bills/2156671", "הצעת חוק שירות המילואים (תיקון - תוספת גמול לימי מילואים נוספים), התשפ""א-2021")</f>
        <v>21755</v>
      </c>
      <c r="E11277" t="s">
        <v>21755</v>
      </c>
      <c r="F11277" t="s">
        <v>21756</v>
      </c>
      <c r="G11277" t="s">
        <v>14</v>
      </c>
      <c r="H11277">
             </c>
      <c r="I11277" t="s">
        <v>14</v>
      </c>
      <c r="J11277" t="s">
        <v>141</v>
      </c>
      <c r="K11277" t="s">
        <v>14</v>
      </c>
      <c r="L11277" t="s">
        <v>20</v>
      </c>
      <c r="M11277" t="s">
        <v>21288</v>
      </c>
      <c r="N11277" t="s">
        <v>14</v>
      </c>
    </row>
    <row r="11278" x14ac:dyDescent="0.25">
      <c r="A11278" t="n">
        <v>24</v>
      </c>
      <c r="B11278" t="s">
        <v>14</v>
      </c>
      <c r="C11278" t="s">
        <v>22</v>
      </c>
      <c r="D11278" s="2" t="s">
        <f>=HYPERLINK("https://main.knesset.gov.il/APPS/legislation/main/bills/2156996", "הצעת חוק בתי המשפט (תיקון - שקיפות הליכים משפטיים), התשפ""א-2021")</f>
        <v>21757</v>
      </c>
      <c r="E11278" t="s">
        <v>21757</v>
      </c>
      <c r="F11278" t="s">
        <v>21758</v>
      </c>
      <c r="G11278" t="s">
        <v>14</v>
      </c>
      <c r="H11278">
             </c>
      <c r="I11278" t="s">
        <v>14</v>
      </c>
      <c r="J11278" t="s">
        <v>141</v>
      </c>
      <c r="K11278" t="s">
        <v>14</v>
      </c>
      <c r="L11278" t="s">
        <v>20</v>
      </c>
      <c r="M11278" t="s">
        <v>21288</v>
      </c>
      <c r="N11278" t="s">
        <v>14</v>
      </c>
    </row>
    <row r="11279" x14ac:dyDescent="0.25">
      <c r="A11279" t="n">
        <v>24</v>
      </c>
      <c r="B11279" t="s">
        <v>14</v>
      </c>
      <c r="C11279" t="s">
        <v>22</v>
      </c>
      <c r="D11279" s="2" t="s">
        <f>=HYPERLINK("https://main.knesset.gov.il/APPS/legislation/main/bills/2156924", "הצעת חוק הפקדות וזכויות סוציאליות לעצמאים (תיקוני חקיקה), התשפ""א-2021")</f>
        <v>18347</v>
      </c>
      <c r="E11279" t="s">
        <v>18347</v>
      </c>
      <c r="F11279" t="s">
        <v>21759</v>
      </c>
      <c r="G11279" t="s">
        <v>14</v>
      </c>
      <c r="H11279">
             </c>
      <c r="I11279" t="s">
        <v>14</v>
      </c>
      <c r="J11279" t="s">
        <v>141</v>
      </c>
      <c r="K11279" t="s">
        <v>14</v>
      </c>
      <c r="L11279" t="s">
        <v>20</v>
      </c>
      <c r="M11279" t="s">
        <v>21288</v>
      </c>
      <c r="N11279" t="s">
        <v>14</v>
      </c>
    </row>
    <row r="11280" x14ac:dyDescent="0.25">
      <c r="A11280" t="n">
        <v>24</v>
      </c>
      <c r="B11280" t="s">
        <v>14</v>
      </c>
      <c r="C11280" t="s">
        <v>22</v>
      </c>
      <c r="D11280" s="2" t="s">
        <f>=HYPERLINK("https://main.knesset.gov.il/APPS/legislation/main/bills/2156630", "הצעת חוק השיפוט הצבאי (תיקון - קביעת ערובה חלף מעצר), התשפ""א-2021")</f>
        <v>21760</v>
      </c>
      <c r="E11280" t="s">
        <v>21760</v>
      </c>
      <c r="F11280" t="s">
        <v>21761</v>
      </c>
      <c r="G11280" t="s">
        <v>14</v>
      </c>
      <c r="H11280">
             </c>
      <c r="I11280" t="s">
        <v>14</v>
      </c>
      <c r="J11280" t="s">
        <v>141</v>
      </c>
      <c r="K11280" t="s">
        <v>14</v>
      </c>
      <c r="L11280" t="s">
        <v>20</v>
      </c>
      <c r="M11280" t="s">
        <v>21288</v>
      </c>
      <c r="N11280" t="s">
        <v>14</v>
      </c>
    </row>
    <row r="11281" x14ac:dyDescent="0.25">
      <c r="A11281" t="n">
        <v>24</v>
      </c>
      <c r="B11281" t="s">
        <v>14</v>
      </c>
      <c r="C11281" t="s">
        <v>22</v>
      </c>
      <c r="D11281" s="2" t="s">
        <f>=HYPERLINK("https://main.knesset.gov.il/APPS/legislation/main/bills/2156420", "הצעת חוק הנישואין ופירוקם, התשפ""א-2021 ")</f>
        <v>21762</v>
      </c>
      <c r="E11281" t="s">
        <v>21762</v>
      </c>
      <c r="F11281" t="s">
        <v>21763</v>
      </c>
      <c r="G11281" t="s">
        <v>14</v>
      </c>
      <c r="H11281">
             </c>
      <c r="I11281" t="s">
        <v>14</v>
      </c>
      <c r="J11281" t="s">
        <v>141</v>
      </c>
      <c r="K11281" t="s">
        <v>14</v>
      </c>
      <c r="L11281" t="s">
        <v>20</v>
      </c>
      <c r="M11281" t="s">
        <v>21288</v>
      </c>
      <c r="N11281" t="s">
        <v>14</v>
      </c>
    </row>
    <row r="11282" x14ac:dyDescent="0.25">
      <c r="A11282" t="n">
        <v>24</v>
      </c>
      <c r="B11282" t="s">
        <v>14</v>
      </c>
      <c r="C11282" t="s">
        <v>22</v>
      </c>
      <c r="D11282" s="2" t="s">
        <f>=HYPERLINK("https://main.knesset.gov.il/APPS/legislation/main/bills/2156223", "הצעת חוק הביטוח הלאומי (תיקון - זכאות לדמי אבטלה מגיל 19), התשפ""א-2021")</f>
        <v>21764</v>
      </c>
      <c r="E11282" t="s">
        <v>21764</v>
      </c>
      <c r="F11282" t="s">
        <v>21765</v>
      </c>
      <c r="G11282" t="s">
        <v>14</v>
      </c>
      <c r="H11282">
             </c>
      <c r="I11282" t="s">
        <v>14</v>
      </c>
      <c r="J11282" t="s">
        <v>141</v>
      </c>
      <c r="K11282" t="s">
        <v>14</v>
      </c>
      <c r="L11282" t="s">
        <v>20</v>
      </c>
      <c r="M11282" t="s">
        <v>21288</v>
      </c>
      <c r="N11282" t="s">
        <v>14</v>
      </c>
    </row>
    <row r="11283" x14ac:dyDescent="0.25">
      <c r="A11283" t="n">
        <v>24</v>
      </c>
      <c r="B11283" t="s">
        <v>14</v>
      </c>
      <c r="C11283" t="s">
        <v>22</v>
      </c>
      <c r="D11283" s="2" t="s">
        <f>=HYPERLINK("https://main.knesset.gov.il/APPS/legislation/main/bills/2156371", "הצעת חוק שלילת זכויות למעורב בטרור ולבני משפחתו (תיקוני חקיקה), התשפ""א-2021")</f>
        <v>21766</v>
      </c>
      <c r="E11283" t="s">
        <v>21766</v>
      </c>
      <c r="F11283" t="s">
        <v>21767</v>
      </c>
      <c r="G11283" t="s">
        <v>14</v>
      </c>
      <c r="H11283">
             </c>
      <c r="I11283" t="s">
        <v>14</v>
      </c>
      <c r="J11283" t="s">
        <v>141</v>
      </c>
      <c r="K11283" t="s">
        <v>14</v>
      </c>
      <c r="L11283" t="s">
        <v>20</v>
      </c>
      <c r="M11283" t="s">
        <v>21288</v>
      </c>
      <c r="N11283" t="s">
        <v>14</v>
      </c>
    </row>
    <row r="11284" x14ac:dyDescent="0.25">
      <c r="A11284" t="n">
        <v>24</v>
      </c>
      <c r="B11284" t="s">
        <v>14</v>
      </c>
      <c r="C11284" t="s">
        <v>22</v>
      </c>
      <c r="D11284" s="2" t="s">
        <f>=HYPERLINK("https://main.knesset.gov.il/APPS/legislation/main/bills/2156074", "הצעת חוק-יסוד: הממשלה (תיקון - הפסקת כהונה של ראש הממשלה, שר או סגן שר מחמת הגשת כתב אישום)")</f>
        <v>11734</v>
      </c>
      <c r="E11284" t="s">
        <v>11734</v>
      </c>
      <c r="F11284" t="s">
        <v>21768</v>
      </c>
      <c r="G11284" t="s">
        <v>14</v>
      </c>
      <c r="H11284">
             </c>
      <c r="I11284" t="s">
        <v>14</v>
      </c>
      <c r="J11284" t="s">
        <v>141</v>
      </c>
      <c r="K11284" t="s">
        <v>14</v>
      </c>
      <c r="L11284" t="s">
        <v>20</v>
      </c>
      <c r="M11284" t="s">
        <v>21288</v>
      </c>
      <c r="N11284" t="s">
        <v>14</v>
      </c>
    </row>
    <row r="11285" x14ac:dyDescent="0.25">
      <c r="A11285" t="n">
        <v>24</v>
      </c>
      <c r="B11285" t="s">
        <v>14</v>
      </c>
      <c r="C11285" t="s">
        <v>22</v>
      </c>
      <c r="D11285" s="2" t="s">
        <f>=HYPERLINK("https://main.knesset.gov.il/APPS/legislation/main/bills/2157477", "הצעת חוק הסדרת העיסוק במקצועות הבריאות (תיקון - הסדרת העיסוק בפודולוגיה), התשפ""א-2021")</f>
        <v>21769</v>
      </c>
      <c r="E11285" t="s">
        <v>21769</v>
      </c>
      <c r="F11285" t="s">
        <v>21770</v>
      </c>
      <c r="G11285" t="s">
        <v>14</v>
      </c>
      <c r="H11285">
             </c>
      <c r="I11285" t="s">
        <v>14</v>
      </c>
      <c r="J11285" t="s">
        <v>141</v>
      </c>
      <c r="K11285" t="s">
        <v>14</v>
      </c>
      <c r="L11285" t="s">
        <v>20</v>
      </c>
      <c r="M11285" t="s">
        <v>21288</v>
      </c>
      <c r="N11285" t="s">
        <v>14</v>
      </c>
    </row>
    <row r="11286" x14ac:dyDescent="0.25">
      <c r="A11286" t="n">
        <v>24</v>
      </c>
      <c r="B11286" t="s">
        <v>14</v>
      </c>
      <c r="C11286" t="s">
        <v>22</v>
      </c>
      <c r="D11286" s="2" t="s">
        <f>=HYPERLINK("https://main.knesset.gov.il/APPS/legislation/main/bills/2157484", "הצעת חוק שירות ביטחון (תיקון - הסדר מעמדם של לומדי התורה), התשפ""א-2021 ")</f>
        <v>21771</v>
      </c>
      <c r="E11286" t="s">
        <v>21771</v>
      </c>
      <c r="F11286" t="s">
        <v>21772</v>
      </c>
      <c r="G11286" t="s">
        <v>14</v>
      </c>
      <c r="H11286">
             </c>
      <c r="I11286" t="s">
        <v>14</v>
      </c>
      <c r="J11286" t="s">
        <v>141</v>
      </c>
      <c r="K11286" t="s">
        <v>14</v>
      </c>
      <c r="L11286" t="s">
        <v>20</v>
      </c>
      <c r="M11286" t="s">
        <v>21288</v>
      </c>
      <c r="N11286" t="s">
        <v>14</v>
      </c>
    </row>
    <row r="11287" x14ac:dyDescent="0.25">
      <c r="A11287" t="n">
        <v>24</v>
      </c>
      <c r="B11287" t="s">
        <v>14</v>
      </c>
      <c r="C11287" t="s">
        <v>22</v>
      </c>
      <c r="D11287" s="2" t="s">
        <f>=HYPERLINK("https://main.knesset.gov.il/APPS/legislation/main/bills/2157222", "הצעת חוק ביטוח בריאות ממלכתי (תיקון - צמצום פערים בין הפריפריה למרכז), התשפ""א-2021")</f>
        <v>16839</v>
      </c>
      <c r="E11287" t="s">
        <v>16839</v>
      </c>
      <c r="F11287" t="s">
        <v>21773</v>
      </c>
      <c r="G11287" t="s">
        <v>14</v>
      </c>
      <c r="H11287">
             </c>
      <c r="I11287" t="s">
        <v>14</v>
      </c>
      <c r="J11287" t="s">
        <v>141</v>
      </c>
      <c r="K11287" t="s">
        <v>14</v>
      </c>
      <c r="L11287" t="s">
        <v>20</v>
      </c>
      <c r="M11287" t="s">
        <v>21288</v>
      </c>
      <c r="N11287" t="s">
        <v>14</v>
      </c>
    </row>
    <row r="11288" x14ac:dyDescent="0.25">
      <c r="A11288" t="n">
        <v>24</v>
      </c>
      <c r="B11288" t="s">
        <v>14</v>
      </c>
      <c r="C11288" t="s">
        <v>22</v>
      </c>
      <c r="D11288" s="2" t="s">
        <f>=HYPERLINK("https://main.knesset.gov.il/APPS/legislation/main/bills/2157252", "הצעת חוק ההוצאה לפועל (תיקון - מגבלת רשיון נהיגה), התשפ""א-2021")</f>
        <v>21774</v>
      </c>
      <c r="E11288" t="s">
        <v>21774</v>
      </c>
      <c r="F11288" t="s">
        <v>21775</v>
      </c>
      <c r="G11288" t="s">
        <v>14</v>
      </c>
      <c r="H11288">
             </c>
      <c r="I11288" t="s">
        <v>14</v>
      </c>
      <c r="J11288" t="s">
        <v>141</v>
      </c>
      <c r="K11288" t="s">
        <v>14</v>
      </c>
      <c r="L11288" t="s">
        <v>20</v>
      </c>
      <c r="M11288" t="s">
        <v>21288</v>
      </c>
      <c r="N11288" t="s">
        <v>14</v>
      </c>
    </row>
    <row r="11289" x14ac:dyDescent="0.25">
      <c r="A11289" t="n">
        <v>24</v>
      </c>
      <c r="B11289" t="s">
        <v>14</v>
      </c>
      <c r="C11289" t="s">
        <v>22</v>
      </c>
      <c r="D11289" s="2" t="s">
        <f>=HYPERLINK("https://main.knesset.gov.il/APPS/legislation/main/bills/2156429", "הצעת חוק הפסיכולוגים (תיקון - איסור טיפולי המרה), התשפ""א-2021")</f>
        <v>21776</v>
      </c>
      <c r="E11289" t="s">
        <v>21776</v>
      </c>
      <c r="F11289" t="s">
        <v>21777</v>
      </c>
      <c r="G11289" t="s">
        <v>14</v>
      </c>
      <c r="H11289">
             </c>
      <c r="I11289" t="s">
        <v>14</v>
      </c>
      <c r="J11289" t="s">
        <v>141</v>
      </c>
      <c r="K11289" t="s">
        <v>14</v>
      </c>
      <c r="L11289" t="s">
        <v>20</v>
      </c>
      <c r="M11289" t="s">
        <v>21288</v>
      </c>
      <c r="N11289" t="s">
        <v>14</v>
      </c>
    </row>
    <row r="11290" x14ac:dyDescent="0.25">
      <c r="A11290" t="n">
        <v>24</v>
      </c>
      <c r="B11290" t="s">
        <v>14</v>
      </c>
      <c r="C11290" t="s">
        <v>22</v>
      </c>
      <c r="D11290" s="2" t="s">
        <f>=HYPERLINK("https://main.knesset.gov.il/APPS/legislation/main/bills/2156929", "הצעת חוק הפסיכולוגים (איסור טיפולי המרה), התשפ""א-2021")</f>
        <v>21778</v>
      </c>
      <c r="E11290" t="s">
        <v>21778</v>
      </c>
      <c r="F11290" t="s">
        <v>21779</v>
      </c>
      <c r="G11290" t="s">
        <v>14</v>
      </c>
      <c r="H11290">
             </c>
      <c r="I11290" t="s">
        <v>14</v>
      </c>
      <c r="J11290" t="s">
        <v>141</v>
      </c>
      <c r="K11290" t="s">
        <v>14</v>
      </c>
      <c r="L11290" t="s">
        <v>20</v>
      </c>
      <c r="M11290" t="s">
        <v>21288</v>
      </c>
      <c r="N11290" t="s">
        <v>14</v>
      </c>
    </row>
    <row r="11291" x14ac:dyDescent="0.25">
      <c r="A11291" t="n">
        <v>24</v>
      </c>
      <c r="B11291" t="s">
        <v>14</v>
      </c>
      <c r="C11291" t="s">
        <v>22</v>
      </c>
      <c r="D11291" s="2" t="s">
        <f>=HYPERLINK("https://main.knesset.gov.il/APPS/legislation/main/bills/2157182", "הצעת חוק יסוד: השפיטה (תיקון - הגבלת זכות העמידה)")</f>
        <v>21780</v>
      </c>
      <c r="E11291" t="s">
        <v>21780</v>
      </c>
      <c r="F11291" t="s">
        <v>21781</v>
      </c>
      <c r="G11291" t="s">
        <v>14</v>
      </c>
      <c r="H11291">
             </c>
      <c r="I11291" t="s">
        <v>14</v>
      </c>
      <c r="J11291" t="s">
        <v>141</v>
      </c>
      <c r="K11291" t="s">
        <v>14</v>
      </c>
      <c r="L11291" t="s">
        <v>20</v>
      </c>
      <c r="M11291" t="s">
        <v>21288</v>
      </c>
      <c r="N11291" t="s">
        <v>14</v>
      </c>
    </row>
    <row r="11292" x14ac:dyDescent="0.25">
      <c r="A11292" t="n">
        <v>24</v>
      </c>
      <c r="B11292" t="s">
        <v>14</v>
      </c>
      <c r="C11292" t="s">
        <v>22</v>
      </c>
      <c r="D11292" s="2" t="s">
        <f>=HYPERLINK("https://main.knesset.gov.il/APPS/legislation/main/bills/2156995", "הצעת חוק זכויות הסטודנט (תיקון - מועד בחינה מיוחד בשל שירות מילואים), התשפ""א-2021")</f>
        <v>18975</v>
      </c>
      <c r="E11292" t="s">
        <v>18975</v>
      </c>
      <c r="F11292" t="s">
        <v>21782</v>
      </c>
      <c r="G11292" t="s">
        <v>14</v>
      </c>
      <c r="H11292">
             </c>
      <c r="I11292" t="s">
        <v>14</v>
      </c>
      <c r="J11292" t="s">
        <v>141</v>
      </c>
      <c r="K11292" t="s">
        <v>14</v>
      </c>
      <c r="L11292" t="s">
        <v>20</v>
      </c>
      <c r="M11292" t="s">
        <v>21288</v>
      </c>
      <c r="N11292" t="s">
        <v>14</v>
      </c>
    </row>
    <row r="11293" x14ac:dyDescent="0.25">
      <c r="A11293" t="n">
        <v>24</v>
      </c>
      <c r="B11293" t="s">
        <v>14</v>
      </c>
      <c r="C11293" t="s">
        <v>22</v>
      </c>
      <c r="D11293" s="2" t="s">
        <f>=HYPERLINK("https://main.knesset.gov.il/APPS/legislation/main/bills/2157609", "הצעת חוק הטבות לניצולי שואה (תיקון - הטבות לניצולים שעלו לאחר שנת 1953), התשפ""א-2021")</f>
        <v>19680</v>
      </c>
      <c r="E11293" t="s">
        <v>19680</v>
      </c>
      <c r="F11293" t="s">
        <v>21783</v>
      </c>
      <c r="G11293" t="s">
        <v>14</v>
      </c>
      <c r="H11293">
             </c>
      <c r="I11293" t="s">
        <v>14</v>
      </c>
      <c r="J11293" t="s">
        <v>141</v>
      </c>
      <c r="K11293" t="s">
        <v>14</v>
      </c>
      <c r="L11293" t="s">
        <v>20</v>
      </c>
      <c r="M11293" t="s">
        <v>21288</v>
      </c>
      <c r="N11293" t="s">
        <v>14</v>
      </c>
    </row>
    <row r="11294" x14ac:dyDescent="0.25">
      <c r="A11294" t="n">
        <v>24</v>
      </c>
      <c r="B11294" t="s">
        <v>14</v>
      </c>
      <c r="C11294" t="s">
        <v>22</v>
      </c>
      <c r="D11294" s="2" t="s">
        <f>=HYPERLINK("https://main.knesset.gov.il/APPS/legislation/main/bills/2157136", "הצעת חוק הטבות לניצולי שואה (תיקון - הטבות לניצולים שעלו לאחר שנת 1953), התשפ""א-2021")</f>
        <v>19680</v>
      </c>
      <c r="E11294" t="s">
        <v>19680</v>
      </c>
      <c r="F11294" t="s">
        <v>21784</v>
      </c>
      <c r="G11294" t="s">
        <v>14</v>
      </c>
      <c r="H11294">
             </c>
      <c r="I11294" t="s">
        <v>14</v>
      </c>
      <c r="J11294" t="s">
        <v>141</v>
      </c>
      <c r="K11294" t="s">
        <v>14</v>
      </c>
      <c r="L11294" t="s">
        <v>20</v>
      </c>
      <c r="M11294" t="s">
        <v>21288</v>
      </c>
      <c r="N11294" t="s">
        <v>14</v>
      </c>
    </row>
    <row r="11295" x14ac:dyDescent="0.25">
      <c r="A11295" t="n">
        <v>24</v>
      </c>
      <c r="B11295" t="s">
        <v>14</v>
      </c>
      <c r="C11295" t="s">
        <v>22</v>
      </c>
      <c r="D11295" s="2" t="s">
        <f>=HYPERLINK("https://main.knesset.gov.il/APPS/legislation/main/bills/2156426", "הצעת חוק השירות הצבאי (שוויון הנטל) (תיקוני חקיקה), התשפ""א-2021")</f>
        <v>21785</v>
      </c>
      <c r="E11295" t="s">
        <v>21785</v>
      </c>
      <c r="F11295" t="s">
        <v>21786</v>
      </c>
      <c r="G11295" t="s">
        <v>14</v>
      </c>
      <c r="H11295">
             </c>
      <c r="I11295" t="s">
        <v>14</v>
      </c>
      <c r="J11295" t="s">
        <v>141</v>
      </c>
      <c r="K11295" t="s">
        <v>14</v>
      </c>
      <c r="L11295" t="s">
        <v>20</v>
      </c>
      <c r="M11295" t="s">
        <v>21288</v>
      </c>
      <c r="N11295" t="s">
        <v>14</v>
      </c>
    </row>
    <row r="11296" x14ac:dyDescent="0.25">
      <c r="A11296" t="n">
        <v>24</v>
      </c>
      <c r="B11296" t="s">
        <v>14</v>
      </c>
      <c r="C11296" t="s">
        <v>22</v>
      </c>
      <c r="D11296" s="2" t="s">
        <f>=HYPERLINK("https://main.knesset.gov.il/APPS/legislation/main/bills/2156891", "הצעת חוק ביטול המינהל האזרחי, התשפ""א-2021")</f>
        <v>18110</v>
      </c>
      <c r="E11296" t="s">
        <v>18110</v>
      </c>
      <c r="F11296" t="s">
        <v>21787</v>
      </c>
      <c r="G11296" t="s">
        <v>14</v>
      </c>
      <c r="H11296">
             </c>
      <c r="I11296" t="s">
        <v>14</v>
      </c>
      <c r="J11296" t="s">
        <v>141</v>
      </c>
      <c r="K11296" t="s">
        <v>14</v>
      </c>
      <c r="L11296" t="s">
        <v>20</v>
      </c>
      <c r="M11296" t="s">
        <v>21288</v>
      </c>
      <c r="N11296" t="s">
        <v>14</v>
      </c>
    </row>
    <row r="11297" x14ac:dyDescent="0.25">
      <c r="A11297" t="n">
        <v>24</v>
      </c>
      <c r="B11297" t="s">
        <v>14</v>
      </c>
      <c r="C11297" t="s">
        <v>22</v>
      </c>
      <c r="D11297" s="2" t="s">
        <f>=HYPERLINK("https://main.knesset.gov.il/APPS/legislation/main/bills/2156791", "הצעת חוק זכויות ושירותים לילדים ובני נוער עם קשיים נפשיים, התשפ""א-2021")</f>
        <v>19889</v>
      </c>
      <c r="E11297" t="s">
        <v>19889</v>
      </c>
      <c r="F11297" t="s">
        <v>21788</v>
      </c>
      <c r="G11297" t="s">
        <v>14</v>
      </c>
      <c r="H11297">
             </c>
      <c r="I11297" t="s">
        <v>14</v>
      </c>
      <c r="J11297" t="s">
        <v>141</v>
      </c>
      <c r="K11297" t="s">
        <v>14</v>
      </c>
      <c r="L11297" t="s">
        <v>20</v>
      </c>
      <c r="M11297" t="s">
        <v>21288</v>
      </c>
      <c r="N11297" t="s">
        <v>14</v>
      </c>
    </row>
    <row r="11298" x14ac:dyDescent="0.25">
      <c r="A11298" t="n">
        <v>24</v>
      </c>
      <c r="B11298" t="s">
        <v>14</v>
      </c>
      <c r="C11298" t="s">
        <v>22</v>
      </c>
      <c r="D11298" s="2" t="s">
        <f>=HYPERLINK("https://main.knesset.gov.il/APPS/legislation/main/bills/2156118", "הצעת חוק ביטול המינהל האזרחי, התשפ""א-2021")</f>
        <v>18110</v>
      </c>
      <c r="E11298" t="s">
        <v>18110</v>
      </c>
      <c r="F11298" t="s">
        <v>21789</v>
      </c>
      <c r="G11298" t="s">
        <v>14</v>
      </c>
      <c r="H11298">
             </c>
      <c r="I11298" t="s">
        <v>14</v>
      </c>
      <c r="J11298" t="s">
        <v>141</v>
      </c>
      <c r="K11298" t="s">
        <v>14</v>
      </c>
      <c r="L11298" t="s">
        <v>20</v>
      </c>
      <c r="M11298" t="s">
        <v>21288</v>
      </c>
      <c r="N11298" t="s">
        <v>14</v>
      </c>
    </row>
    <row r="11299" x14ac:dyDescent="0.25">
      <c r="A11299" t="n">
        <v>24</v>
      </c>
      <c r="B11299" t="s">
        <v>14</v>
      </c>
      <c r="C11299" t="s">
        <v>22</v>
      </c>
      <c r="D11299" s="2" t="s">
        <f>=HYPERLINK("https://main.knesset.gov.il/APPS/legislation/main/bills/2156403", "הצעת חוק העונשין (תיקון - החמרת ענישה בגין אי-חובת דיווח), התשפ""א-2021")</f>
        <v>21790</v>
      </c>
      <c r="E11299" t="s">
        <v>21790</v>
      </c>
      <c r="F11299" t="s">
        <v>21791</v>
      </c>
      <c r="G11299" t="s">
        <v>14</v>
      </c>
      <c r="H11299">
             </c>
      <c r="I11299" t="s">
        <v>14</v>
      </c>
      <c r="J11299" t="s">
        <v>141</v>
      </c>
      <c r="K11299" t="s">
        <v>14</v>
      </c>
      <c r="L11299" t="s">
        <v>20</v>
      </c>
      <c r="M11299" t="s">
        <v>21288</v>
      </c>
      <c r="N11299" t="s">
        <v>14</v>
      </c>
    </row>
    <row r="11300" x14ac:dyDescent="0.25">
      <c r="A11300" t="n">
        <v>24</v>
      </c>
      <c r="B11300" t="s">
        <v>14</v>
      </c>
      <c r="C11300" t="s">
        <v>22</v>
      </c>
      <c r="D11300" s="2" t="s">
        <f>=HYPERLINK("https://main.knesset.gov.il/APPS/legislation/main/bills/2157619", "הצעת חוק למניעת אלימות במשפחה (תיקון - מניעת אלימות כלכלית) (הוראת שעה), התשפ""א-2021")</f>
        <v>21792</v>
      </c>
      <c r="E11300" t="s">
        <v>21792</v>
      </c>
      <c r="F11300" t="s">
        <v>21793</v>
      </c>
      <c r="G11300" t="s">
        <v>14</v>
      </c>
      <c r="H11300">
             </c>
      <c r="I11300" t="s">
        <v>14</v>
      </c>
      <c r="J11300" t="s">
        <v>141</v>
      </c>
      <c r="K11300" t="s">
        <v>14</v>
      </c>
      <c r="L11300" t="s">
        <v>20</v>
      </c>
      <c r="M11300" t="s">
        <v>21288</v>
      </c>
      <c r="N11300" t="s">
        <v>14</v>
      </c>
    </row>
    <row r="11301" x14ac:dyDescent="0.25">
      <c r="A11301" t="n">
        <v>24</v>
      </c>
      <c r="B11301" t="s">
        <v>14</v>
      </c>
      <c r="C11301" t="s">
        <v>22</v>
      </c>
      <c r="D11301" s="2" t="s">
        <f>=HYPERLINK("https://main.knesset.gov.il/APPS/legislation/main/bills/2157388", "הצעת חוק לביטול ולהארכת ההתיישנות בעבירות מין והטרדה מינית (תיקוני חקיקה), התשפ""א-2021")</f>
        <v>21794</v>
      </c>
      <c r="E11301" t="s">
        <v>21794</v>
      </c>
      <c r="F11301" t="s">
        <v>21795</v>
      </c>
      <c r="G11301" t="s">
        <v>14</v>
      </c>
      <c r="H11301">
             </c>
      <c r="I11301" t="s">
        <v>14</v>
      </c>
      <c r="J11301" t="s">
        <v>141</v>
      </c>
      <c r="K11301" t="s">
        <v>14</v>
      </c>
      <c r="L11301" t="s">
        <v>20</v>
      </c>
      <c r="M11301" t="s">
        <v>21288</v>
      </c>
      <c r="N11301" t="s">
        <v>14</v>
      </c>
    </row>
    <row r="11302" x14ac:dyDescent="0.25">
      <c r="A11302" t="n">
        <v>24</v>
      </c>
      <c r="B11302" t="s">
        <v>14</v>
      </c>
      <c r="C11302" t="s">
        <v>22</v>
      </c>
      <c r="D11302" s="2" t="s">
        <f>=HYPERLINK("https://main.knesset.gov.il/APPS/legislation/main/bills/2156489", "הצעת חוק-יסוד: הכנסת (תיקון - הרוב הנדרש למניעת השתתפות בבחירות) ")</f>
        <v>21796</v>
      </c>
      <c r="E11302" t="s">
        <v>21796</v>
      </c>
      <c r="F11302" t="s">
        <v>21797</v>
      </c>
      <c r="G11302" t="s">
        <v>14</v>
      </c>
      <c r="H11302">
             </c>
      <c r="I11302" t="s">
        <v>14</v>
      </c>
      <c r="J11302" t="s">
        <v>141</v>
      </c>
      <c r="K11302" t="s">
        <v>14</v>
      </c>
      <c r="L11302" t="s">
        <v>20</v>
      </c>
      <c r="M11302" t="s">
        <v>21288</v>
      </c>
      <c r="N11302" t="s">
        <v>14</v>
      </c>
    </row>
    <row r="11303" x14ac:dyDescent="0.25">
      <c r="A11303" t="n">
        <v>24</v>
      </c>
      <c r="B11303" t="s">
        <v>14</v>
      </c>
      <c r="C11303" t="s">
        <v>22</v>
      </c>
      <c r="D11303" s="2" t="s">
        <f>=HYPERLINK("https://main.knesset.gov.il/APPS/legislation/main/bills/2156230", "הצעת חוק החלת ריבונות ישראל בשטח בקעת הירדן וצפון ים המלח, התשפ""א-2021")</f>
        <v>21798</v>
      </c>
      <c r="E11303" t="s">
        <v>21798</v>
      </c>
      <c r="F11303" t="s">
        <v>21799</v>
      </c>
      <c r="G11303" t="s">
        <v>14</v>
      </c>
      <c r="H11303">
             </c>
      <c r="I11303" t="s">
        <v>14</v>
      </c>
      <c r="J11303" t="s">
        <v>141</v>
      </c>
      <c r="K11303" t="s">
        <v>14</v>
      </c>
      <c r="L11303" t="s">
        <v>20</v>
      </c>
      <c r="M11303" t="s">
        <v>21288</v>
      </c>
      <c r="N11303" t="s">
        <v>14</v>
      </c>
    </row>
    <row r="11304" x14ac:dyDescent="0.25">
      <c r="A11304" t="n">
        <v>24</v>
      </c>
      <c r="B11304" t="s">
        <v>14</v>
      </c>
      <c r="C11304" t="s">
        <v>22</v>
      </c>
      <c r="D11304" s="2" t="s">
        <f>=HYPERLINK("https://main.knesset.gov.il/APPS/legislation/main/bills/2157052", "הצעת חוק לביטול ההתיישנות בעבירות מין (תיקוני חקיקה), התשפ""א-2021")</f>
        <v>19270</v>
      </c>
      <c r="E11304" t="s">
        <v>19270</v>
      </c>
      <c r="F11304" t="s">
        <v>21800</v>
      </c>
      <c r="G11304" t="s">
        <v>14</v>
      </c>
      <c r="H11304">
             </c>
      <c r="I11304" t="s">
        <v>14</v>
      </c>
      <c r="J11304" t="s">
        <v>141</v>
      </c>
      <c r="K11304" t="s">
        <v>14</v>
      </c>
      <c r="L11304" t="s">
        <v>20</v>
      </c>
      <c r="M11304" t="s">
        <v>21288</v>
      </c>
      <c r="N11304" t="s">
        <v>14</v>
      </c>
    </row>
    <row r="11305" x14ac:dyDescent="0.25">
      <c r="A11305" t="n">
        <v>24</v>
      </c>
      <c r="B11305" t="s">
        <v>14</v>
      </c>
      <c r="C11305" t="s">
        <v>22</v>
      </c>
      <c r="D11305" s="2" t="s">
        <f>=HYPERLINK("https://main.knesset.gov.il/APPS/legislation/main/bills/2157217", "הצעת חוק הביטוח הלאומי (תיקון - פטור מתשלום דמי ביטוח לתלמיד על יסודי), התשפ""א-2021")</f>
        <v>21801</v>
      </c>
      <c r="E11305" t="s">
        <v>21801</v>
      </c>
      <c r="F11305" t="s">
        <v>21802</v>
      </c>
      <c r="G11305" t="s">
        <v>14</v>
      </c>
      <c r="H11305">
             </c>
      <c r="I11305" t="s">
        <v>14</v>
      </c>
      <c r="J11305" t="s">
        <v>141</v>
      </c>
      <c r="K11305" t="s">
        <v>14</v>
      </c>
      <c r="L11305" t="s">
        <v>20</v>
      </c>
      <c r="M11305" t="s">
        <v>21288</v>
      </c>
      <c r="N11305" t="s">
        <v>14</v>
      </c>
    </row>
    <row r="11306" x14ac:dyDescent="0.25">
      <c r="A11306" t="n">
        <v>24</v>
      </c>
      <c r="B11306" t="s">
        <v>14</v>
      </c>
      <c r="C11306" t="s">
        <v>22</v>
      </c>
      <c r="D11306" s="2" t="s">
        <f>=HYPERLINK("https://main.knesset.gov.il/APPS/legislation/main/bills/2156694", "הצעת חוק לביטול ההתיישנות בעבירות מין (תיקוני חקיקה), התשפ""א-2021")</f>
        <v>19270</v>
      </c>
      <c r="E11306" t="s">
        <v>19270</v>
      </c>
      <c r="F11306" t="s">
        <v>21803</v>
      </c>
      <c r="G11306" t="s">
        <v>14</v>
      </c>
      <c r="H11306">
             </c>
      <c r="I11306" t="s">
        <v>14</v>
      </c>
      <c r="J11306" t="s">
        <v>141</v>
      </c>
      <c r="K11306" t="s">
        <v>14</v>
      </c>
      <c r="L11306" t="s">
        <v>20</v>
      </c>
      <c r="M11306" t="s">
        <v>21288</v>
      </c>
      <c r="N11306" t="s">
        <v>14</v>
      </c>
    </row>
    <row r="11307" x14ac:dyDescent="0.25">
      <c r="A11307" t="n">
        <v>24</v>
      </c>
      <c r="B11307" t="s">
        <v>14</v>
      </c>
      <c r="C11307" t="s">
        <v>22</v>
      </c>
      <c r="D11307" s="2" t="s">
        <f>=HYPERLINK("https://main.knesset.gov.il/APPS/legislation/main/bills/2156266", "הצעת חוק הביטוח הלאומי (תיקון - פטור מתשלום דמי ביטוח לתלמיד על יסודי), התשפ""א-2021")</f>
        <v>21801</v>
      </c>
      <c r="E11307" t="s">
        <v>21801</v>
      </c>
      <c r="F11307" t="s">
        <v>21804</v>
      </c>
      <c r="G11307" t="s">
        <v>14</v>
      </c>
      <c r="H11307">
             </c>
      <c r="I11307" t="s">
        <v>14</v>
      </c>
      <c r="J11307" t="s">
        <v>141</v>
      </c>
      <c r="K11307" t="s">
        <v>14</v>
      </c>
      <c r="L11307" t="s">
        <v>20</v>
      </c>
      <c r="M11307" t="s">
        <v>21288</v>
      </c>
      <c r="N11307" t="s">
        <v>14</v>
      </c>
    </row>
    <row r="11308" x14ac:dyDescent="0.25">
      <c r="A11308" t="n">
        <v>24</v>
      </c>
      <c r="B11308" t="s">
        <v>14</v>
      </c>
      <c r="C11308" t="s">
        <v>22</v>
      </c>
      <c r="D11308" s="2" t="s">
        <f>=HYPERLINK("https://main.knesset.gov.il/APPS/legislation/main/bills/2156474", "הצעת חוק-יסוד: השפיטה (תיקון - רשות ערעור למדינה על זיכוי אדם בפלילים)")</f>
        <v>1398</v>
      </c>
      <c r="E11308" t="s">
        <v>1398</v>
      </c>
      <c r="F11308" t="s">
        <v>21805</v>
      </c>
      <c r="G11308" t="s">
        <v>14</v>
      </c>
      <c r="H11308">
             </c>
      <c r="I11308" t="s">
        <v>14</v>
      </c>
      <c r="J11308" t="s">
        <v>141</v>
      </c>
      <c r="K11308" t="s">
        <v>14</v>
      </c>
      <c r="L11308" t="s">
        <v>20</v>
      </c>
      <c r="M11308" t="s">
        <v>21288</v>
      </c>
      <c r="N11308" t="s">
        <v>14</v>
      </c>
    </row>
    <row r="11309" x14ac:dyDescent="0.25">
      <c r="A11309" t="n">
        <v>24</v>
      </c>
      <c r="B11309" t="s">
        <v>14</v>
      </c>
      <c r="C11309" t="s">
        <v>22</v>
      </c>
      <c r="D11309" s="2" t="s">
        <f>=HYPERLINK("https://main.knesset.gov.il/APPS/legislation/main/bills/2157000", "הצעת חוק האזרחים הוותיקים (תיקון - חידוש אוטומטי של הנחה בארנונה), התשפ""א-2021")</f>
        <v>16730</v>
      </c>
      <c r="E11309" t="s">
        <v>16730</v>
      </c>
      <c r="F11309" t="s">
        <v>21806</v>
      </c>
      <c r="G11309" t="s">
        <v>14</v>
      </c>
      <c r="H11309">
             </c>
      <c r="I11309" t="s">
        <v>14</v>
      </c>
      <c r="J11309" t="s">
        <v>141</v>
      </c>
      <c r="K11309" t="s">
        <v>14</v>
      </c>
      <c r="L11309" t="s">
        <v>20</v>
      </c>
      <c r="M11309" t="s">
        <v>21288</v>
      </c>
      <c r="N11309" t="s">
        <v>14</v>
      </c>
    </row>
    <row r="11310" x14ac:dyDescent="0.25">
      <c r="A11310" t="n">
        <v>24</v>
      </c>
      <c r="B11310" t="s">
        <v>14</v>
      </c>
      <c r="C11310" t="s">
        <v>22</v>
      </c>
      <c r="D11310" s="2" t="s">
        <f>=HYPERLINK("https://main.knesset.gov.il/APPS/legislation/main/bills/2156695", "הצעת חוק בתי המשפט (תיקון - מחלקות לעבירות מין), התשפ""א-2021")</f>
        <v>21807</v>
      </c>
      <c r="E11310" t="s">
        <v>21807</v>
      </c>
      <c r="F11310" t="s">
        <v>21808</v>
      </c>
      <c r="G11310" t="s">
        <v>14</v>
      </c>
      <c r="H11310">
             </c>
      <c r="I11310" t="s">
        <v>14</v>
      </c>
      <c r="J11310" t="s">
        <v>141</v>
      </c>
      <c r="K11310" t="s">
        <v>14</v>
      </c>
      <c r="L11310" t="s">
        <v>20</v>
      </c>
      <c r="M11310" t="s">
        <v>21288</v>
      </c>
      <c r="N11310" t="s">
        <v>14</v>
      </c>
    </row>
    <row r="11311" x14ac:dyDescent="0.25">
      <c r="A11311" t="n">
        <v>24</v>
      </c>
      <c r="B11311" t="s">
        <v>14</v>
      </c>
      <c r="C11311" t="s">
        <v>22</v>
      </c>
      <c r="D11311" s="2" t="s">
        <f>=HYPERLINK("https://main.knesset.gov.il/APPS/legislation/main/bills/2157014", "הצעת חוק בית המשפט לענייני משפחה (תיקון - מימון ניהול ההליך המשפטי), התשפ""א-2021")</f>
        <v>21809</v>
      </c>
      <c r="E11311" t="s">
        <v>21809</v>
      </c>
      <c r="F11311" t="s">
        <v>21810</v>
      </c>
      <c r="G11311" t="s">
        <v>14</v>
      </c>
      <c r="H11311">
             </c>
      <c r="I11311" t="s">
        <v>14</v>
      </c>
      <c r="J11311" t="s">
        <v>141</v>
      </c>
      <c r="K11311" t="s">
        <v>14</v>
      </c>
      <c r="L11311" t="s">
        <v>20</v>
      </c>
      <c r="M11311" t="s">
        <v>21288</v>
      </c>
      <c r="N11311" t="s">
        <v>14</v>
      </c>
    </row>
    <row r="11312" x14ac:dyDescent="0.25">
      <c r="A11312" t="n">
        <v>24</v>
      </c>
      <c r="B11312" t="s">
        <v>14</v>
      </c>
      <c r="C11312" t="s">
        <v>22</v>
      </c>
      <c r="D11312" s="2" t="s">
        <f>=HYPERLINK("https://main.knesset.gov.il/APPS/legislation/main/bills/2156680", "הצעת חוק בית המשפט לענייני משפחה (תיקון - מימון ניהול ההליך המשפטי), התשפ""א-2021")</f>
        <v>21809</v>
      </c>
      <c r="E11312" t="s">
        <v>21809</v>
      </c>
      <c r="F11312" t="s">
        <v>21811</v>
      </c>
      <c r="G11312" t="s">
        <v>14</v>
      </c>
      <c r="H11312">
             </c>
      <c r="I11312" t="s">
        <v>14</v>
      </c>
      <c r="J11312" t="s">
        <v>141</v>
      </c>
      <c r="K11312" t="s">
        <v>14</v>
      </c>
      <c r="L11312" t="s">
        <v>20</v>
      </c>
      <c r="M11312" t="s">
        <v>21288</v>
      </c>
      <c r="N11312" t="s">
        <v>14</v>
      </c>
    </row>
    <row r="11313" x14ac:dyDescent="0.25">
      <c r="A11313" t="n">
        <v>24</v>
      </c>
      <c r="B11313" t="s">
        <v>14</v>
      </c>
      <c r="C11313" t="s">
        <v>22</v>
      </c>
      <c r="D11313" s="2" t="s">
        <f>=HYPERLINK("https://main.knesset.gov.il/APPS/legislation/main/bills/2156466", "הצעת חוק בתי המשפט (תיקון - מחלקות לעבירות מין), התשפ""א-2021")</f>
        <v>21807</v>
      </c>
      <c r="E11313" t="s">
        <v>21807</v>
      </c>
      <c r="F11313" t="s">
        <v>21812</v>
      </c>
      <c r="G11313" t="s">
        <v>14</v>
      </c>
      <c r="H11313">
             </c>
      <c r="I11313" t="s">
        <v>14</v>
      </c>
      <c r="J11313" t="s">
        <v>141</v>
      </c>
      <c r="K11313" t="s">
        <v>14</v>
      </c>
      <c r="L11313" t="s">
        <v>20</v>
      </c>
      <c r="M11313" t="s">
        <v>21288</v>
      </c>
      <c r="N11313" t="s">
        <v>14</v>
      </c>
    </row>
    <row r="11314" x14ac:dyDescent="0.25">
      <c r="A11314" t="n">
        <v>24</v>
      </c>
      <c r="B11314" t="s">
        <v>14</v>
      </c>
      <c r="C11314" t="s">
        <v>22</v>
      </c>
      <c r="D11314" s="2" t="s">
        <f>=HYPERLINK("https://main.knesset.gov.il/APPS/legislation/main/bills/2156204", "הצעת חוק לתיקון דיני הרשויות המקומיות (ביטול סמכות שר הפנים לעניין חוקי עזר בדבר פתיחתם וסגירתם של עסקים בימי מנוחה), התשפ""א-2021")</f>
        <v>21813</v>
      </c>
      <c r="E11314" t="s">
        <v>21813</v>
      </c>
      <c r="F11314" t="s">
        <v>21814</v>
      </c>
      <c r="G11314" t="s">
        <v>14</v>
      </c>
      <c r="H11314">
             </c>
      <c r="I11314" t="s">
        <v>14</v>
      </c>
      <c r="J11314" t="s">
        <v>141</v>
      </c>
      <c r="K11314" t="s">
        <v>14</v>
      </c>
      <c r="L11314" t="s">
        <v>20</v>
      </c>
      <c r="M11314" t="s">
        <v>21815</v>
      </c>
      <c r="N11314" t="s">
        <v>14</v>
      </c>
    </row>
    <row r="11315" x14ac:dyDescent="0.25">
      <c r="A11315" t="n">
        <v>24</v>
      </c>
      <c r="B11315" t="s">
        <v>14</v>
      </c>
      <c r="C11315" t="s">
        <v>22</v>
      </c>
      <c r="D11315" s="2" t="s">
        <f>=HYPERLINK("https://main.knesset.gov.il/APPS/legislation/main/bills/2156158", "הצעת חוק נישואין וגירושין, התשפ""א-2021")</f>
        <v>18947</v>
      </c>
      <c r="E11315" t="s">
        <v>18947</v>
      </c>
      <c r="F11315" t="s">
        <v>21816</v>
      </c>
      <c r="G11315" t="s">
        <v>14</v>
      </c>
      <c r="H11315">
             </c>
      <c r="I11315" t="s">
        <v>14</v>
      </c>
      <c r="J11315" t="s">
        <v>141</v>
      </c>
      <c r="K11315" t="s">
        <v>14</v>
      </c>
      <c r="L11315" t="s">
        <v>20</v>
      </c>
      <c r="M11315" t="s">
        <v>21815</v>
      </c>
      <c r="N11315" t="s">
        <v>14</v>
      </c>
    </row>
    <row r="11316" x14ac:dyDescent="0.25">
      <c r="A11316" t="n">
        <v>24</v>
      </c>
      <c r="B11316" t="s">
        <v>14</v>
      </c>
      <c r="C11316" t="s">
        <v>22</v>
      </c>
      <c r="D11316" s="2" t="s">
        <f>=HYPERLINK("https://main.knesset.gov.il/APPS/legislation/main/bills/2156578", "הצעת חוק פיקוח על בתי ספר (תיקון - הרחבת תקפו של רישיון), התשפ""א-2021")</f>
        <v>21817</v>
      </c>
      <c r="E11316" t="s">
        <v>21817</v>
      </c>
      <c r="F11316" t="s">
        <v>21818</v>
      </c>
      <c r="G11316" t="s">
        <v>14</v>
      </c>
      <c r="H11316">
             </c>
      <c r="I11316" t="s">
        <v>14</v>
      </c>
      <c r="J11316" t="s">
        <v>141</v>
      </c>
      <c r="K11316" t="s">
        <v>14</v>
      </c>
      <c r="L11316" t="s">
        <v>20</v>
      </c>
      <c r="M11316" t="s">
        <v>21815</v>
      </c>
      <c r="N11316" t="s">
        <v>14</v>
      </c>
    </row>
    <row r="11317" x14ac:dyDescent="0.25">
      <c r="A11317" t="n">
        <v>24</v>
      </c>
      <c r="B11317" t="s">
        <v>14</v>
      </c>
      <c r="C11317" t="s">
        <v>22</v>
      </c>
      <c r="D11317" s="2" t="s">
        <f>=HYPERLINK("https://main.knesset.gov.il/APPS/legislation/main/bills/2156536", "הצעת חוק ביטוח בריאות ממלכתי (תיקון - העברת מידע בין קופות החולים בעת מעבר תושב), התשפ""א-2021")</f>
        <v>21819</v>
      </c>
      <c r="E11317" t="s">
        <v>21819</v>
      </c>
      <c r="F11317" t="s">
        <v>21820</v>
      </c>
      <c r="G11317" t="s">
        <v>14</v>
      </c>
      <c r="H11317">
             </c>
      <c r="I11317" t="s">
        <v>14</v>
      </c>
      <c r="J11317" t="s">
        <v>141</v>
      </c>
      <c r="K11317" t="s">
        <v>14</v>
      </c>
      <c r="L11317" t="s">
        <v>20</v>
      </c>
      <c r="M11317" t="s">
        <v>21815</v>
      </c>
      <c r="N11317" t="s">
        <v>14</v>
      </c>
    </row>
    <row r="11318" x14ac:dyDescent="0.25">
      <c r="A11318" t="n">
        <v>24</v>
      </c>
      <c r="B11318" t="s">
        <v>14</v>
      </c>
      <c r="C11318" t="s">
        <v>22</v>
      </c>
      <c r="D11318" s="2" t="s">
        <f>=HYPERLINK("https://main.knesset.gov.il/APPS/legislation/main/bills/2156461", "הצעת חוק התכנון והבנייה (תיקון - פיצול דירות) (הוראת שעה), התשפ""א-2021 ")</f>
        <v>21821</v>
      </c>
      <c r="E11318" t="s">
        <v>21821</v>
      </c>
      <c r="F11318" t="s">
        <v>21822</v>
      </c>
      <c r="G11318" t="s">
        <v>14</v>
      </c>
      <c r="H11318">
             </c>
      <c r="I11318" t="s">
        <v>14</v>
      </c>
      <c r="J11318" t="s">
        <v>141</v>
      </c>
      <c r="K11318" t="s">
        <v>14</v>
      </c>
      <c r="L11318" t="s">
        <v>20</v>
      </c>
      <c r="M11318" t="s">
        <v>21815</v>
      </c>
      <c r="N11318" t="s">
        <v>14</v>
      </c>
    </row>
    <row r="11319" x14ac:dyDescent="0.25">
      <c r="A11319" t="n">
        <v>24</v>
      </c>
      <c r="B11319" t="s">
        <v>14</v>
      </c>
      <c r="C11319" t="s">
        <v>22</v>
      </c>
      <c r="D11319" s="2" t="s">
        <f>=HYPERLINK("https://main.knesset.gov.il/APPS/legislation/main/bills/2156453", "הצעת חוק דמי מחלה (היעדרות בשל מחלת ילד) (תיקון - בן זוג לומד), התשפ""א-2021")</f>
        <v>17506</v>
      </c>
      <c r="E11319" t="s">
        <v>17506</v>
      </c>
      <c r="F11319" t="s">
        <v>21823</v>
      </c>
      <c r="G11319" t="s">
        <v>14</v>
      </c>
      <c r="H11319">
             </c>
      <c r="I11319" t="s">
        <v>14</v>
      </c>
      <c r="J11319" t="s">
        <v>141</v>
      </c>
      <c r="K11319" t="s">
        <v>14</v>
      </c>
      <c r="L11319" t="s">
        <v>20</v>
      </c>
      <c r="M11319" t="s">
        <v>21815</v>
      </c>
      <c r="N11319" t="s">
        <v>14</v>
      </c>
    </row>
    <row r="11320" x14ac:dyDescent="0.25">
      <c r="A11320" t="n">
        <v>24</v>
      </c>
      <c r="B11320" t="s">
        <v>14</v>
      </c>
      <c r="C11320" t="s">
        <v>22</v>
      </c>
      <c r="D11320" s="2" t="s">
        <f>=HYPERLINK("https://main.knesset.gov.il/APPS/legislation/main/bills/2157437", "הצעת חוק הבנקאות (שירות ללקוח) (תיקון - הגבלת עמלת ביטול עסקה בעד שירותי סליקה שמשלם עסק זעיר, קטן או בינוני), התשפ""א-2021")</f>
        <v>21824</v>
      </c>
      <c r="E11320" t="s">
        <v>21824</v>
      </c>
      <c r="F11320" t="s">
        <v>21825</v>
      </c>
      <c r="G11320" t="s">
        <v>14</v>
      </c>
      <c r="H11320">
             </c>
      <c r="I11320" t="s">
        <v>14</v>
      </c>
      <c r="J11320" t="s">
        <v>141</v>
      </c>
      <c r="K11320" t="s">
        <v>14</v>
      </c>
      <c r="L11320" t="s">
        <v>20</v>
      </c>
      <c r="M11320" t="s">
        <v>21815</v>
      </c>
      <c r="N11320" t="s">
        <v>14</v>
      </c>
    </row>
    <row r="11321" x14ac:dyDescent="0.25">
      <c r="A11321" t="n">
        <v>24</v>
      </c>
      <c r="B11321" t="s">
        <v>14</v>
      </c>
      <c r="C11321" t="s">
        <v>22</v>
      </c>
      <c r="D11321" s="2" t="s">
        <f>=HYPERLINK("https://main.knesset.gov.il/APPS/legislation/main/bills/2157432", "הצעת חוק לתיקון פקודת התעבורה (התניית מתן רישיון רכב או חידושו בהתקנת מערכת המונעת השארת ילדים ברכב), התשפ""א-2021")</f>
        <v>21826</v>
      </c>
      <c r="E11321" t="s">
        <v>21826</v>
      </c>
      <c r="F11321" t="s">
        <v>21827</v>
      </c>
      <c r="G11321" t="s">
        <v>14</v>
      </c>
      <c r="H11321">
             </c>
      <c r="I11321" t="s">
        <v>14</v>
      </c>
      <c r="J11321" t="s">
        <v>141</v>
      </c>
      <c r="K11321" t="s">
        <v>14</v>
      </c>
      <c r="L11321" t="s">
        <v>20</v>
      </c>
      <c r="M11321" t="s">
        <v>21815</v>
      </c>
      <c r="N11321" t="s">
        <v>14</v>
      </c>
    </row>
    <row r="11322" x14ac:dyDescent="0.25">
      <c r="A11322" t="n">
        <v>24</v>
      </c>
      <c r="B11322" t="s">
        <v>14</v>
      </c>
      <c r="C11322" t="s">
        <v>22</v>
      </c>
      <c r="D11322" s="2" t="s">
        <f>=HYPERLINK("https://main.knesset.gov.il/APPS/legislation/main/bills/2157429", "הצעת חוק המכר (דירות) (תיקון - הסדרת בנייה במסגרת קבוצות רכישה), התשפ""א-2021")</f>
        <v>21828</v>
      </c>
      <c r="E11322" t="s">
        <v>21828</v>
      </c>
      <c r="F11322" t="s">
        <v>21829</v>
      </c>
      <c r="G11322" t="s">
        <v>14</v>
      </c>
      <c r="H11322">
             </c>
      <c r="I11322" t="s">
        <v>14</v>
      </c>
      <c r="J11322" t="s">
        <v>141</v>
      </c>
      <c r="K11322" t="s">
        <v>14</v>
      </c>
      <c r="L11322" t="s">
        <v>20</v>
      </c>
      <c r="M11322" t="s">
        <v>21815</v>
      </c>
      <c r="N11322" t="s">
        <v>14</v>
      </c>
    </row>
    <row r="11323" x14ac:dyDescent="0.25">
      <c r="A11323" t="n">
        <v>24</v>
      </c>
      <c r="B11323" t="s">
        <v>14</v>
      </c>
      <c r="C11323" t="s">
        <v>22</v>
      </c>
      <c r="D11323" s="2" t="s">
        <f>=HYPERLINK("https://main.knesset.gov.il/APPS/legislation/main/bills/2157419", "הצעת חוק המים (תיקון - איסור הפקעת מבנה המשמש מוסד ללא כוונת רווח), התשפ""א-2021")</f>
        <v>21830</v>
      </c>
      <c r="E11323" t="s">
        <v>21830</v>
      </c>
      <c r="F11323" t="s">
        <v>21831</v>
      </c>
      <c r="G11323" t="s">
        <v>14</v>
      </c>
      <c r="H11323">
             </c>
      <c r="I11323" t="s">
        <v>14</v>
      </c>
      <c r="J11323" t="s">
        <v>141</v>
      </c>
      <c r="K11323" t="s">
        <v>14</v>
      </c>
      <c r="L11323" t="s">
        <v>20</v>
      </c>
      <c r="M11323" t="s">
        <v>21815</v>
      </c>
      <c r="N11323" t="s">
        <v>14</v>
      </c>
    </row>
    <row r="11324" x14ac:dyDescent="0.25">
      <c r="A11324" t="n">
        <v>24</v>
      </c>
      <c r="B11324" t="s">
        <v>14</v>
      </c>
      <c r="C11324" t="s">
        <v>22</v>
      </c>
      <c r="D11324" s="2" t="s">
        <f>=HYPERLINK("https://main.knesset.gov.il/APPS/legislation/main/bills/2157406", "הצעת חוק לתיקון פקודת התעבורה (הגבלת מתן רישיון נהיגה לטרקטורון), התשפ""א-2021")</f>
        <v>21832</v>
      </c>
      <c r="E11324" t="s">
        <v>21832</v>
      </c>
      <c r="F11324" t="s">
        <v>21833</v>
      </c>
      <c r="G11324" t="s">
        <v>14</v>
      </c>
      <c r="H11324">
             </c>
      <c r="I11324" t="s">
        <v>14</v>
      </c>
      <c r="J11324" t="s">
        <v>141</v>
      </c>
      <c r="K11324" t="s">
        <v>14</v>
      </c>
      <c r="L11324" t="s">
        <v>20</v>
      </c>
      <c r="M11324" t="s">
        <v>21815</v>
      </c>
      <c r="N11324" t="s">
        <v>14</v>
      </c>
    </row>
    <row r="11325" x14ac:dyDescent="0.25">
      <c r="A11325" t="n">
        <v>24</v>
      </c>
      <c r="B11325" t="s">
        <v>14</v>
      </c>
      <c r="C11325" t="s">
        <v>22</v>
      </c>
      <c r="D11325" s="2" t="s">
        <f>=HYPERLINK("https://main.knesset.gov.il/APPS/legislation/main/bills/2157404", "הצעת חוק הקצאת דירות שנבנו במסגרת תכנית מחיר למשתכן למחוסרי דיור או לדיור הציבורי, התשפ""א-2021")</f>
        <v>21834</v>
      </c>
      <c r="E11325" t="s">
        <v>21834</v>
      </c>
      <c r="F11325" t="s">
        <v>21835</v>
      </c>
      <c r="G11325" t="s">
        <v>14</v>
      </c>
      <c r="H11325">
             </c>
      <c r="I11325" t="s">
        <v>14</v>
      </c>
      <c r="J11325" t="s">
        <v>141</v>
      </c>
      <c r="K11325" t="s">
        <v>14</v>
      </c>
      <c r="L11325" t="s">
        <v>20</v>
      </c>
      <c r="M11325" t="s">
        <v>21815</v>
      </c>
      <c r="N11325" t="s">
        <v>14</v>
      </c>
    </row>
    <row r="11326" x14ac:dyDescent="0.25">
      <c r="A11326" t="n">
        <v>24</v>
      </c>
      <c r="B11326" t="s">
        <v>14</v>
      </c>
      <c r="C11326" t="s">
        <v>22</v>
      </c>
      <c r="D11326" s="2" t="s">
        <f>=HYPERLINK("https://main.knesset.gov.il/APPS/legislation/main/bills/2157393", "הצעת חוק הבנקאות (שירות ללקוח) (תיקון - חובת הצבת מכשיר אוטומטי למשיכת והפקדת מזומנים ושיקים), התשפ""א-2021")</f>
        <v>19670</v>
      </c>
      <c r="E11326" t="s">
        <v>19670</v>
      </c>
      <c r="F11326" t="s">
        <v>21836</v>
      </c>
      <c r="G11326" t="s">
        <v>14</v>
      </c>
      <c r="H11326">
             </c>
      <c r="I11326" t="s">
        <v>14</v>
      </c>
      <c r="J11326" t="s">
        <v>141</v>
      </c>
      <c r="K11326" t="s">
        <v>14</v>
      </c>
      <c r="L11326" t="s">
        <v>20</v>
      </c>
      <c r="M11326" t="s">
        <v>21815</v>
      </c>
      <c r="N11326" t="s">
        <v>14</v>
      </c>
    </row>
    <row r="11327" x14ac:dyDescent="0.25">
      <c r="A11327" t="n">
        <v>24</v>
      </c>
      <c r="B11327" t="s">
        <v>14</v>
      </c>
      <c r="C11327" t="s">
        <v>22</v>
      </c>
      <c r="D11327" s="2" t="s">
        <f>=HYPERLINK("https://main.knesset.gov.il/APPS/legislation/main/bills/2157118", "הצעת חוק זכויות החולה (תיקון - זכות מטופל לקבל רשומות רפואיות), התשפ""א-2021")</f>
        <v>21837</v>
      </c>
      <c r="E11327" t="s">
        <v>21837</v>
      </c>
      <c r="F11327" t="s">
        <v>21838</v>
      </c>
      <c r="G11327" t="s">
        <v>14</v>
      </c>
      <c r="H11327">
             </c>
      <c r="I11327" t="s">
        <v>14</v>
      </c>
      <c r="J11327" t="s">
        <v>141</v>
      </c>
      <c r="K11327" t="s">
        <v>14</v>
      </c>
      <c r="L11327" t="s">
        <v>20</v>
      </c>
      <c r="M11327" t="s">
        <v>21815</v>
      </c>
      <c r="N11327" t="s">
        <v>14</v>
      </c>
    </row>
    <row r="11328" x14ac:dyDescent="0.25">
      <c r="A11328" t="n">
        <v>24</v>
      </c>
      <c r="B11328" t="s">
        <v>14</v>
      </c>
      <c r="C11328" t="s">
        <v>22</v>
      </c>
      <c r="D11328" s="2" t="s">
        <f>=HYPERLINK("https://main.knesset.gov.il/APPS/legislation/main/bills/2157113", "הצעת חוק פנימיות הנוער, התשפ""א-2021")</f>
        <v>21839</v>
      </c>
      <c r="E11328" t="s">
        <v>21839</v>
      </c>
      <c r="F11328" t="s">
        <v>21840</v>
      </c>
      <c r="G11328" t="s">
        <v>14</v>
      </c>
      <c r="H11328">
             </c>
      <c r="I11328" t="s">
        <v>14</v>
      </c>
      <c r="J11328" t="s">
        <v>141</v>
      </c>
      <c r="K11328" t="s">
        <v>14</v>
      </c>
      <c r="L11328" t="s">
        <v>20</v>
      </c>
      <c r="M11328" t="s">
        <v>21815</v>
      </c>
      <c r="N11328" t="s">
        <v>14</v>
      </c>
    </row>
    <row r="11329" x14ac:dyDescent="0.25">
      <c r="A11329" t="n">
        <v>24</v>
      </c>
      <c r="B11329" t="s">
        <v>14</v>
      </c>
      <c r="C11329" t="s">
        <v>22</v>
      </c>
      <c r="D11329" s="2" t="s">
        <f>=HYPERLINK("https://main.knesset.gov.il/APPS/legislation/main/bills/2157110", "הצעת חוק רשות העתיקות (תיקון - הגנה על עתיקות), התשפ""א-2021")</f>
        <v>21841</v>
      </c>
      <c r="E11329" t="s">
        <v>21841</v>
      </c>
      <c r="F11329" t="s">
        <v>21842</v>
      </c>
      <c r="G11329" t="s">
        <v>14</v>
      </c>
      <c r="H11329">
             </c>
      <c r="I11329" t="s">
        <v>14</v>
      </c>
      <c r="J11329" t="s">
        <v>141</v>
      </c>
      <c r="K11329" t="s">
        <v>14</v>
      </c>
      <c r="L11329" t="s">
        <v>20</v>
      </c>
      <c r="M11329" t="s">
        <v>21815</v>
      </c>
      <c r="N11329" t="s">
        <v>14</v>
      </c>
    </row>
    <row r="11330" x14ac:dyDescent="0.25">
      <c r="A11330" t="n">
        <v>24</v>
      </c>
      <c r="B11330" t="s">
        <v>14</v>
      </c>
      <c r="C11330" t="s">
        <v>22</v>
      </c>
      <c r="D11330" s="2" t="s">
        <f>=HYPERLINK("https://main.knesset.gov.il/APPS/legislation/main/bills/2156718", "הצעת חוק ביטוח בריאות ממלכתי (תיקון - מתן שירותים במרפאה ביישוב קטן לחברי קופה אחרת), התשפ""א-2021")</f>
        <v>21843</v>
      </c>
      <c r="E11330" t="s">
        <v>21843</v>
      </c>
      <c r="F11330" t="s">
        <v>21844</v>
      </c>
      <c r="G11330" t="s">
        <v>14</v>
      </c>
      <c r="H11330">
             </c>
      <c r="I11330" t="s">
        <v>14</v>
      </c>
      <c r="J11330" t="s">
        <v>141</v>
      </c>
      <c r="K11330" t="s">
        <v>14</v>
      </c>
      <c r="L11330" t="s">
        <v>20</v>
      </c>
      <c r="M11330" t="s">
        <v>21815</v>
      </c>
      <c r="N11330" t="s">
        <v>14</v>
      </c>
    </row>
    <row r="11331" x14ac:dyDescent="0.25">
      <c r="A11331" t="n">
        <v>24</v>
      </c>
      <c r="B11331" t="s">
        <v>14</v>
      </c>
      <c r="C11331" t="s">
        <v>22</v>
      </c>
      <c r="D11331" s="2" t="s">
        <f>=HYPERLINK("https://main.knesset.gov.il/APPS/legislation/main/bills/2156704", "הצעת חוק זכויות ושירותים לילדים ובני נוער עם קשיים נפשיים, התשפ""א-2021")</f>
        <v>19889</v>
      </c>
      <c r="E11331" t="s">
        <v>19889</v>
      </c>
      <c r="F11331" t="s">
        <v>21845</v>
      </c>
      <c r="G11331" t="s">
        <v>14</v>
      </c>
      <c r="H11331">
             </c>
      <c r="I11331" t="s">
        <v>14</v>
      </c>
      <c r="J11331" t="s">
        <v>141</v>
      </c>
      <c r="K11331" t="s">
        <v>14</v>
      </c>
      <c r="L11331" t="s">
        <v>20</v>
      </c>
      <c r="M11331" t="s">
        <v>21815</v>
      </c>
      <c r="N11331" t="s">
        <v>14</v>
      </c>
    </row>
    <row r="11332" x14ac:dyDescent="0.25">
      <c r="A11332" t="n">
        <v>24</v>
      </c>
      <c r="B11332" t="s">
        <v>14</v>
      </c>
      <c r="C11332" t="s">
        <v>22</v>
      </c>
      <c r="D11332" s="2" t="s">
        <f>=HYPERLINK("https://main.knesset.gov.il/APPS/legislation/main/bills/2156681", "הצעת חוק ביטוח בריאות ממלכתי (תיקון - תוספת קבועה לסל שירותי הבריאות לעדכון טכנולוגיות רפואיות חדשות, תרופות, מכשור ושיטות טיפול), התשפ""א-2021")</f>
        <v>21846</v>
      </c>
      <c r="E11332" t="s">
        <v>21846</v>
      </c>
      <c r="F11332" t="s">
        <v>21847</v>
      </c>
      <c r="G11332" t="s">
        <v>14</v>
      </c>
      <c r="H11332">
             </c>
      <c r="I11332" t="s">
        <v>14</v>
      </c>
      <c r="J11332" t="s">
        <v>141</v>
      </c>
      <c r="K11332" t="s">
        <v>14</v>
      </c>
      <c r="L11332" t="s">
        <v>20</v>
      </c>
      <c r="M11332" t="s">
        <v>21815</v>
      </c>
      <c r="N11332" t="s">
        <v>14</v>
      </c>
    </row>
    <row r="11333" x14ac:dyDescent="0.25">
      <c r="A11333" t="n">
        <v>24</v>
      </c>
      <c r="B11333" t="s">
        <v>14</v>
      </c>
      <c r="C11333" t="s">
        <v>22</v>
      </c>
      <c r="D11333" s="2" t="s">
        <f>=HYPERLINK("https://main.knesset.gov.il/APPS/legislation/main/bills/2156678", "הצעת חוק האזרחים הוותיקים (תיקון - סבסוד מלא של נסיעות בתחבורה ציבורית לניצולי שואה ולאסירי ציון), התשפ""א-2021")</f>
        <v>21848</v>
      </c>
      <c r="E11333" t="s">
        <v>21848</v>
      </c>
      <c r="F11333" t="s">
        <v>21849</v>
      </c>
      <c r="G11333" t="s">
        <v>14</v>
      </c>
      <c r="H11333">
             </c>
      <c r="I11333" t="s">
        <v>14</v>
      </c>
      <c r="J11333" t="s">
        <v>141</v>
      </c>
      <c r="K11333" t="s">
        <v>14</v>
      </c>
      <c r="L11333" t="s">
        <v>20</v>
      </c>
      <c r="M11333" t="s">
        <v>21815</v>
      </c>
      <c r="N11333" t="s">
        <v>14</v>
      </c>
    </row>
    <row r="11334" x14ac:dyDescent="0.25">
      <c r="A11334" t="n">
        <v>24</v>
      </c>
      <c r="B11334" t="s">
        <v>14</v>
      </c>
      <c r="C11334" t="s">
        <v>22</v>
      </c>
      <c r="D11334" s="2" t="s">
        <f>=HYPERLINK("https://main.knesset.gov.il/APPS/legislation/main/bills/2156577", "הצעת חוק מכירת זכויות שידור לאירוע ספורט משמעותי, התשפ""א-2021")</f>
        <v>21850</v>
      </c>
      <c r="E11334" t="s">
        <v>21850</v>
      </c>
      <c r="F11334" t="s">
        <v>21851</v>
      </c>
      <c r="G11334" t="s">
        <v>14</v>
      </c>
      <c r="H11334">
             </c>
      <c r="I11334" t="s">
        <v>14</v>
      </c>
      <c r="J11334" t="s">
        <v>141</v>
      </c>
      <c r="K11334" t="s">
        <v>14</v>
      </c>
      <c r="L11334" t="s">
        <v>20</v>
      </c>
      <c r="M11334" t="s">
        <v>21815</v>
      </c>
      <c r="N11334" t="s">
        <v>14</v>
      </c>
    </row>
    <row r="11335" x14ac:dyDescent="0.25">
      <c r="A11335" t="n">
        <v>24</v>
      </c>
      <c r="B11335" t="s">
        <v>14</v>
      </c>
      <c r="C11335" t="s">
        <v>22</v>
      </c>
      <c r="D11335" s="2" t="s">
        <f>=HYPERLINK("https://main.knesset.gov.il/APPS/legislation/main/bills/2156448", "הצעת חוק הביטוח הלאומי (תיקון - זכות המוסד לתביעה), התשפ""א-2021")</f>
        <v>21852</v>
      </c>
      <c r="E11335" t="s">
        <v>21852</v>
      </c>
      <c r="F11335" t="s">
        <v>21853</v>
      </c>
      <c r="G11335" t="s">
        <v>14</v>
      </c>
      <c r="H11335">
             </c>
      <c r="I11335" t="s">
        <v>14</v>
      </c>
      <c r="J11335" t="s">
        <v>141</v>
      </c>
      <c r="K11335" t="s">
        <v>14</v>
      </c>
      <c r="L11335" t="s">
        <v>20</v>
      </c>
      <c r="M11335" t="s">
        <v>21815</v>
      </c>
      <c r="N11335" t="s">
        <v>14</v>
      </c>
    </row>
    <row r="11336" x14ac:dyDescent="0.25">
      <c r="A11336" t="n">
        <v>24</v>
      </c>
      <c r="B11336" t="s">
        <v>14</v>
      </c>
      <c r="C11336" t="s">
        <v>22</v>
      </c>
      <c r="D11336" s="2" t="s">
        <f>=HYPERLINK("https://main.knesset.gov.il/APPS/legislation/main/bills/2156410", "הצעת חוק בתי המשפט (תיקון - חובת ביקור שופט בבתי סוהר), התשפ""א-2021")</f>
        <v>21854</v>
      </c>
      <c r="E11336" t="s">
        <v>21854</v>
      </c>
      <c r="F11336" t="s">
        <v>21855</v>
      </c>
      <c r="G11336" t="s">
        <v>14</v>
      </c>
      <c r="H11336">
             </c>
      <c r="I11336" t="s">
        <v>14</v>
      </c>
      <c r="J11336" t="s">
        <v>141</v>
      </c>
      <c r="K11336" t="s">
        <v>14</v>
      </c>
      <c r="L11336" t="s">
        <v>20</v>
      </c>
      <c r="M11336" t="s">
        <v>21815</v>
      </c>
      <c r="N11336" t="s">
        <v>14</v>
      </c>
    </row>
    <row r="11337" x14ac:dyDescent="0.25">
      <c r="A11337" t="n">
        <v>24</v>
      </c>
      <c r="B11337" t="s">
        <v>14</v>
      </c>
      <c r="C11337" t="s">
        <v>22</v>
      </c>
      <c r="D11337" s="2" t="s">
        <f>=HYPERLINK("https://main.knesset.gov.il/APPS/legislation/main/bills/2156390", "הצעת חוק בתי המשפט (תיקון - שקיפות הליכים משפטיים), התשפ""א-2021")</f>
        <v>21757</v>
      </c>
      <c r="E11337" t="s">
        <v>21757</v>
      </c>
      <c r="F11337" t="s">
        <v>21856</v>
      </c>
      <c r="G11337" t="s">
        <v>14</v>
      </c>
      <c r="H11337">
             </c>
      <c r="I11337" t="s">
        <v>14</v>
      </c>
      <c r="J11337" t="s">
        <v>141</v>
      </c>
      <c r="K11337" t="s">
        <v>14</v>
      </c>
      <c r="L11337" t="s">
        <v>20</v>
      </c>
      <c r="M11337" t="s">
        <v>21815</v>
      </c>
      <c r="N11337" t="s">
        <v>14</v>
      </c>
    </row>
    <row r="11338" x14ac:dyDescent="0.25">
      <c r="A11338" t="n">
        <v>24</v>
      </c>
      <c r="B11338" t="s">
        <v>14</v>
      </c>
      <c r="C11338" t="s">
        <v>22</v>
      </c>
      <c r="D11338" s="2" t="s">
        <f>=HYPERLINK("https://main.knesset.gov.il/APPS/legislation/main/bills/2156398", "הצעת חוק הגנה על הציבור מפני ביצוע עבירות מין (תיקון - הוצאת צו פיקוח חדש לאחר תום התקופה המרבית), התשפ""א-2021")</f>
        <v>21857</v>
      </c>
      <c r="E11338" t="s">
        <v>21857</v>
      </c>
      <c r="F11338" t="s">
        <v>21858</v>
      </c>
      <c r="G11338" t="s">
        <v>14</v>
      </c>
      <c r="H11338">
             </c>
      <c r="I11338" t="s">
        <v>14</v>
      </c>
      <c r="J11338" t="s">
        <v>141</v>
      </c>
      <c r="K11338" t="s">
        <v>14</v>
      </c>
      <c r="L11338" t="s">
        <v>20</v>
      </c>
      <c r="M11338" t="s">
        <v>21815</v>
      </c>
      <c r="N11338" t="s">
        <v>14</v>
      </c>
    </row>
    <row r="11339" x14ac:dyDescent="0.25">
      <c r="A11339" t="n">
        <v>24</v>
      </c>
      <c r="B11339" t="s">
        <v>14</v>
      </c>
      <c r="C11339" t="s">
        <v>22</v>
      </c>
      <c r="D11339" s="2" t="s">
        <f>=HYPERLINK("https://main.knesset.gov.il/APPS/legislation/main/bills/2156377", "הצעת חוק בית הדין לעבודה (תיקון - ערעור לפני בית המשפט העליון), התשפ""א-2021")</f>
        <v>21859</v>
      </c>
      <c r="E11339" t="s">
        <v>21859</v>
      </c>
      <c r="F11339" t="s">
        <v>21860</v>
      </c>
      <c r="G11339" t="s">
        <v>14</v>
      </c>
      <c r="H11339">
             </c>
      <c r="I11339" t="s">
        <v>14</v>
      </c>
      <c r="J11339" t="s">
        <v>141</v>
      </c>
      <c r="K11339" t="s">
        <v>14</v>
      </c>
      <c r="L11339" t="s">
        <v>20</v>
      </c>
      <c r="M11339" t="s">
        <v>21815</v>
      </c>
      <c r="N11339" t="s">
        <v>14</v>
      </c>
    </row>
    <row r="11340" x14ac:dyDescent="0.25">
      <c r="A11340" t="n">
        <v>24</v>
      </c>
      <c r="B11340" t="s">
        <v>14</v>
      </c>
      <c r="C11340" t="s">
        <v>22</v>
      </c>
      <c r="D11340" s="2" t="s">
        <f>=HYPERLINK("https://main.knesset.gov.il/APPS/legislation/main/bills/2156356", "הצעת חוק שירות המדינה (מינויים) (תיקון - מינוי יועצים משפטיים של משרדים), התשפ""א-2021")</f>
        <v>18723</v>
      </c>
      <c r="E11340" t="s">
        <v>18723</v>
      </c>
      <c r="F11340" t="s">
        <v>21861</v>
      </c>
      <c r="G11340" t="s">
        <v>14</v>
      </c>
      <c r="H11340">
             </c>
      <c r="I11340" t="s">
        <v>14</v>
      </c>
      <c r="J11340" t="s">
        <v>141</v>
      </c>
      <c r="K11340" t="s">
        <v>14</v>
      </c>
      <c r="L11340" t="s">
        <v>20</v>
      </c>
      <c r="M11340" t="s">
        <v>21815</v>
      </c>
      <c r="N11340" t="s">
        <v>14</v>
      </c>
    </row>
    <row r="11341" x14ac:dyDescent="0.25">
      <c r="A11341" t="n">
        <v>24</v>
      </c>
      <c r="B11341" t="s">
        <v>14</v>
      </c>
      <c r="C11341" t="s">
        <v>22</v>
      </c>
      <c r="D11341" s="2" t="s">
        <f>=HYPERLINK("https://main.knesset.gov.il/APPS/legislation/main/bills/2156351", "הצעת חוק-יסוד: ההגירה לישראל ")</f>
        <v>21862</v>
      </c>
      <c r="E11341" t="s">
        <v>21862</v>
      </c>
      <c r="F11341" t="s">
        <v>21863</v>
      </c>
      <c r="G11341" t="s">
        <v>14</v>
      </c>
      <c r="H11341">
             </c>
      <c r="I11341" t="s">
        <v>14</v>
      </c>
      <c r="J11341" t="s">
        <v>141</v>
      </c>
      <c r="K11341" t="s">
        <v>14</v>
      </c>
      <c r="L11341" t="s">
        <v>20</v>
      </c>
      <c r="M11341" t="s">
        <v>21815</v>
      </c>
      <c r="N11341" t="s">
        <v>14</v>
      </c>
    </row>
    <row r="11342" x14ac:dyDescent="0.25">
      <c r="A11342" t="n">
        <v>24</v>
      </c>
      <c r="B11342" t="s">
        <v>14</v>
      </c>
      <c r="C11342" t="s">
        <v>22</v>
      </c>
      <c r="D11342" s="2" t="s">
        <f>=HYPERLINK("https://main.knesset.gov.il/APPS/legislation/main/bills/2156342", "הצעת חוק החלפת המונח בתי אב (תיקוני חקיקה), התשפ""א-2021")</f>
        <v>21864</v>
      </c>
      <c r="E11342" t="s">
        <v>21864</v>
      </c>
      <c r="F11342" t="s">
        <v>21865</v>
      </c>
      <c r="G11342" t="s">
        <v>14</v>
      </c>
      <c r="H11342">
             </c>
      <c r="I11342" t="s">
        <v>14</v>
      </c>
      <c r="J11342" t="s">
        <v>141</v>
      </c>
      <c r="K11342" t="s">
        <v>14</v>
      </c>
      <c r="L11342" t="s">
        <v>20</v>
      </c>
      <c r="M11342" t="s">
        <v>21815</v>
      </c>
      <c r="N11342" t="s">
        <v>14</v>
      </c>
    </row>
    <row r="11343" x14ac:dyDescent="0.25">
      <c r="A11343" t="n">
        <v>24</v>
      </c>
      <c r="B11343" t="s">
        <v>14</v>
      </c>
      <c r="C11343" t="s">
        <v>22</v>
      </c>
      <c r="D11343" s="2" t="s">
        <f>=HYPERLINK("https://main.knesset.gov.il/APPS/legislation/main/bills/2156339", "הצעת חוק זכויות הדייר בדיור הציבורי (תיקון - סיוע ריאלי בשכר דירה), התשפ""א-2021")</f>
        <v>21866</v>
      </c>
      <c r="E11343" t="s">
        <v>21866</v>
      </c>
      <c r="F11343" t="s">
        <v>21867</v>
      </c>
      <c r="G11343" t="s">
        <v>14</v>
      </c>
      <c r="H11343">
             </c>
      <c r="I11343" t="s">
        <v>14</v>
      </c>
      <c r="J11343" t="s">
        <v>141</v>
      </c>
      <c r="K11343" t="s">
        <v>14</v>
      </c>
      <c r="L11343" t="s">
        <v>20</v>
      </c>
      <c r="M11343" t="s">
        <v>21815</v>
      </c>
      <c r="N11343" t="s">
        <v>14</v>
      </c>
    </row>
    <row r="11344" x14ac:dyDescent="0.25">
      <c r="A11344" t="n">
        <v>24</v>
      </c>
      <c r="B11344" t="s">
        <v>14</v>
      </c>
      <c r="C11344" t="s">
        <v>22</v>
      </c>
      <c r="D11344" s="2" t="s">
        <f>=HYPERLINK("https://main.knesset.gov.il/APPS/legislation/main/bills/2156336", "הצעת חוק זכויות החולה (תיקון - זכות מטופל לקבל רשומות רפואיות), התשפ""א-2021")</f>
        <v>21837</v>
      </c>
      <c r="E11344" t="s">
        <v>21837</v>
      </c>
      <c r="F11344" t="s">
        <v>21868</v>
      </c>
      <c r="G11344" t="s">
        <v>14</v>
      </c>
      <c r="H11344">
             </c>
      <c r="I11344" t="s">
        <v>14</v>
      </c>
      <c r="J11344" t="s">
        <v>141</v>
      </c>
      <c r="K11344" t="s">
        <v>14</v>
      </c>
      <c r="L11344" t="s">
        <v>20</v>
      </c>
      <c r="M11344" t="s">
        <v>21815</v>
      </c>
      <c r="N11344" t="s">
        <v>14</v>
      </c>
    </row>
    <row r="11345" x14ac:dyDescent="0.25">
      <c r="A11345" t="n">
        <v>24</v>
      </c>
      <c r="B11345" t="s">
        <v>14</v>
      </c>
      <c r="C11345" t="s">
        <v>22</v>
      </c>
      <c r="D11345" s="2" t="s">
        <f>=HYPERLINK("https://main.knesset.gov.il/APPS/legislation/main/bills/2156327", "הצעת חוק חוזה הביטוח (תיקון - מניעת כפל ביטוחים), התשפ""א-2021")</f>
        <v>21310</v>
      </c>
      <c r="E11345" t="s">
        <v>21310</v>
      </c>
      <c r="F11345" t="s">
        <v>21869</v>
      </c>
      <c r="G11345" t="s">
        <v>14</v>
      </c>
      <c r="H11345">
             </c>
      <c r="I11345" t="s">
        <v>14</v>
      </c>
      <c r="J11345" t="s">
        <v>141</v>
      </c>
      <c r="K11345" t="s">
        <v>14</v>
      </c>
      <c r="L11345" t="s">
        <v>20</v>
      </c>
      <c r="M11345" t="s">
        <v>21815</v>
      </c>
      <c r="N11345" t="s">
        <v>14</v>
      </c>
    </row>
    <row r="11346" x14ac:dyDescent="0.25">
      <c r="A11346" t="n">
        <v>24</v>
      </c>
      <c r="B11346" t="s">
        <v>14</v>
      </c>
      <c r="C11346" t="s">
        <v>22</v>
      </c>
      <c r="D11346" s="2" t="s">
        <f>=HYPERLINK("https://main.knesset.gov.il/APPS/legislation/main/bills/2156321", "הצעת חוק התקשורת (בזק ושידורים) (תיקון - הגנה על קטינים מפני תכנים פוגעניים באינטרנט), התשפ""א-2021")</f>
        <v>21870</v>
      </c>
      <c r="E11346" t="s">
        <v>21870</v>
      </c>
      <c r="F11346" t="s">
        <v>21871</v>
      </c>
      <c r="G11346" t="s">
        <v>14</v>
      </c>
      <c r="H11346">
             </c>
      <c r="I11346" t="s">
        <v>14</v>
      </c>
      <c r="J11346" t="s">
        <v>141</v>
      </c>
      <c r="K11346" t="s">
        <v>14</v>
      </c>
      <c r="L11346" t="s">
        <v>20</v>
      </c>
      <c r="M11346" t="s">
        <v>21815</v>
      </c>
      <c r="N11346" t="s">
        <v>14</v>
      </c>
    </row>
    <row r="11347" x14ac:dyDescent="0.25">
      <c r="A11347" t="n">
        <v>24</v>
      </c>
      <c r="B11347" t="s">
        <v>14</v>
      </c>
      <c r="C11347" t="s">
        <v>22</v>
      </c>
      <c r="D11347" s="2" t="s">
        <f>=HYPERLINK("https://main.knesset.gov.il/APPS/legislation/main/bills/2156311", "הצעת חוק-יסוד: משאל עם (תיקון - זכות הצבעה לתושבי קבע בשטח לגביו מתקיים משאל העם)")</f>
        <v>21872</v>
      </c>
      <c r="E11347" t="s">
        <v>21872</v>
      </c>
      <c r="F11347" t="s">
        <v>21873</v>
      </c>
      <c r="G11347" t="s">
        <v>14</v>
      </c>
      <c r="H11347">
             </c>
      <c r="I11347" t="s">
        <v>14</v>
      </c>
      <c r="J11347" t="s">
        <v>141</v>
      </c>
      <c r="K11347" t="s">
        <v>14</v>
      </c>
      <c r="L11347" t="s">
        <v>20</v>
      </c>
      <c r="M11347" t="s">
        <v>21815</v>
      </c>
      <c r="N11347" t="s">
        <v>14</v>
      </c>
    </row>
    <row r="11348" x14ac:dyDescent="0.25">
      <c r="A11348" t="n">
        <v>24</v>
      </c>
      <c r="B11348" t="s">
        <v>14</v>
      </c>
      <c r="C11348" t="s">
        <v>22</v>
      </c>
      <c r="D11348" s="2" t="s">
        <f>=HYPERLINK("https://main.knesset.gov.il/APPS/legislation/main/bills/2156288", "הצעת חוק חובת המכרזים (תיקון - שיתוף פעולה עסקי בין-לאומי ורכש גומלין בין-לאומי), התשפ""א-2021")</f>
        <v>21874</v>
      </c>
      <c r="E11348" t="s">
        <v>21874</v>
      </c>
      <c r="F11348" t="s">
        <v>21875</v>
      </c>
      <c r="G11348" t="s">
        <v>14</v>
      </c>
      <c r="H11348">
             </c>
      <c r="I11348" t="s">
        <v>14</v>
      </c>
      <c r="J11348" t="s">
        <v>141</v>
      </c>
      <c r="K11348" t="s">
        <v>14</v>
      </c>
      <c r="L11348" t="s">
        <v>20</v>
      </c>
      <c r="M11348" t="s">
        <v>21815</v>
      </c>
      <c r="N11348" t="s">
        <v>14</v>
      </c>
    </row>
    <row r="11349" x14ac:dyDescent="0.25">
      <c r="A11349" t="n">
        <v>24</v>
      </c>
      <c r="B11349" t="s">
        <v>14</v>
      </c>
      <c r="C11349" t="s">
        <v>22</v>
      </c>
      <c r="D11349" s="2" t="s">
        <f>=HYPERLINK("https://main.knesset.gov.il/APPS/legislation/main/bills/2156228", "הצעת חוק לימוד חובה (תיקון - חובת לימודי ליבה), התשפ""א-2021")</f>
        <v>21876</v>
      </c>
      <c r="E11349" t="s">
        <v>21876</v>
      </c>
      <c r="F11349" t="s">
        <v>21877</v>
      </c>
      <c r="G11349" t="s">
        <v>14</v>
      </c>
      <c r="H11349">
             </c>
      <c r="I11349" t="s">
        <v>14</v>
      </c>
      <c r="J11349" t="s">
        <v>141</v>
      </c>
      <c r="K11349" t="s">
        <v>14</v>
      </c>
      <c r="L11349" t="s">
        <v>20</v>
      </c>
      <c r="M11349" t="s">
        <v>21815</v>
      </c>
      <c r="N11349" t="s">
        <v>14</v>
      </c>
    </row>
    <row r="11350" x14ac:dyDescent="0.25">
      <c r="A11350" t="n">
        <v>24</v>
      </c>
      <c r="B11350" t="s">
        <v>14</v>
      </c>
      <c r="C11350" t="s">
        <v>22</v>
      </c>
      <c r="D11350" s="2" t="s">
        <f>=HYPERLINK("https://main.knesset.gov.il/APPS/legislation/main/bills/2156180", "הצעת חוק הבטחת הכנסה (תיקון - הגדלת הגמלה), התשפ""א-2021")</f>
        <v>21878</v>
      </c>
      <c r="E11350" t="s">
        <v>21878</v>
      </c>
      <c r="F11350" t="s">
        <v>21879</v>
      </c>
      <c r="G11350" t="s">
        <v>14</v>
      </c>
      <c r="H11350">
             </c>
      <c r="I11350" t="s">
        <v>14</v>
      </c>
      <c r="J11350" t="s">
        <v>141</v>
      </c>
      <c r="K11350" t="s">
        <v>14</v>
      </c>
      <c r="L11350" t="s">
        <v>20</v>
      </c>
      <c r="M11350" t="s">
        <v>21815</v>
      </c>
      <c r="N11350" t="s">
        <v>14</v>
      </c>
    </row>
    <row r="11351" x14ac:dyDescent="0.25">
      <c r="A11351" t="n">
        <v>24</v>
      </c>
      <c r="B11351" t="s">
        <v>14</v>
      </c>
      <c r="C11351" t="s">
        <v>22</v>
      </c>
      <c r="D11351" s="2" t="s">
        <f>=HYPERLINK("https://main.knesset.gov.il/APPS/legislation/main/bills/2156606", "הצעת חוק למניעת אלימות במשפחה (תיקון - מניעת אלימות כלכלית), התשפ""א-2021")</f>
        <v>19344</v>
      </c>
      <c r="E11351" t="s">
        <v>19344</v>
      </c>
      <c r="F11351" t="s">
        <v>21880</v>
      </c>
      <c r="G11351" t="s">
        <v>14</v>
      </c>
      <c r="H11351">
             </c>
      <c r="I11351" t="s">
        <v>14</v>
      </c>
      <c r="J11351" t="s">
        <v>141</v>
      </c>
      <c r="K11351" t="s">
        <v>14</v>
      </c>
      <c r="L11351" t="s">
        <v>20</v>
      </c>
      <c r="M11351" t="s">
        <v>21815</v>
      </c>
      <c r="N11351" t="s">
        <v>14</v>
      </c>
    </row>
    <row r="11352" x14ac:dyDescent="0.25">
      <c r="A11352" t="n">
        <v>24</v>
      </c>
      <c r="B11352" t="s">
        <v>14</v>
      </c>
      <c r="C11352" t="s">
        <v>22</v>
      </c>
      <c r="D11352" s="2" t="s">
        <f>=HYPERLINK("https://main.knesset.gov.il/APPS/legislation/main/bills/2156560", "הצעת חוק הכשרות המשפטית והאפוטרופסות (תיקון - קביעת בית המשפט באין הסכם בין ההורים), התשפ""א-2021")</f>
        <v>21881</v>
      </c>
      <c r="E11352" t="s">
        <v>21881</v>
      </c>
      <c r="F11352" t="s">
        <v>21882</v>
      </c>
      <c r="G11352" t="s">
        <v>14</v>
      </c>
      <c r="H11352">
             </c>
      <c r="I11352" t="s">
        <v>14</v>
      </c>
      <c r="J11352" t="s">
        <v>141</v>
      </c>
      <c r="K11352" t="s">
        <v>14</v>
      </c>
      <c r="L11352" t="s">
        <v>20</v>
      </c>
      <c r="M11352" t="s">
        <v>21815</v>
      </c>
      <c r="N11352" t="s">
        <v>14</v>
      </c>
    </row>
    <row r="11353" x14ac:dyDescent="0.25">
      <c r="A11353" t="n">
        <v>24</v>
      </c>
      <c r="B11353" t="s">
        <v>14</v>
      </c>
      <c r="C11353" t="s">
        <v>22</v>
      </c>
      <c r="D11353" s="2" t="s">
        <f>=HYPERLINK("https://main.knesset.gov.il/APPS/legislation/main/bills/2156535", "הצעת חוק שעות עבודה ומנוחה (תיקון - קיצור שבוע העבודה), התשפ""א-2021")</f>
        <v>20111</v>
      </c>
      <c r="E11353" t="s">
        <v>20111</v>
      </c>
      <c r="F11353" t="s">
        <v>21883</v>
      </c>
      <c r="G11353" t="s">
        <v>14</v>
      </c>
      <c r="H11353">
             </c>
      <c r="I11353" t="s">
        <v>14</v>
      </c>
      <c r="J11353" t="s">
        <v>141</v>
      </c>
      <c r="K11353" t="s">
        <v>14</v>
      </c>
      <c r="L11353" t="s">
        <v>20</v>
      </c>
      <c r="M11353" t="s">
        <v>21815</v>
      </c>
      <c r="N11353" t="s">
        <v>14</v>
      </c>
    </row>
    <row r="11354" x14ac:dyDescent="0.25">
      <c r="A11354" t="n">
        <v>24</v>
      </c>
      <c r="B11354" t="s">
        <v>14</v>
      </c>
      <c r="C11354" t="s">
        <v>22</v>
      </c>
      <c r="D11354" s="2" t="s">
        <f>=HYPERLINK("https://main.knesset.gov.il/APPS/legislation/main/bills/2156513", "הצעת חוק התכנון והבנייה (תיקון - מבנה מחוזק), התשפ""א-2021")</f>
        <v>21884</v>
      </c>
      <c r="E11354" t="s">
        <v>21884</v>
      </c>
      <c r="F11354" t="s">
        <v>21885</v>
      </c>
      <c r="G11354" t="s">
        <v>14</v>
      </c>
      <c r="H11354">
             </c>
      <c r="I11354" t="s">
        <v>14</v>
      </c>
      <c r="J11354" t="s">
        <v>141</v>
      </c>
      <c r="K11354" t="s">
        <v>14</v>
      </c>
      <c r="L11354" t="s">
        <v>20</v>
      </c>
      <c r="M11354" t="s">
        <v>21815</v>
      </c>
      <c r="N11354" t="s">
        <v>14</v>
      </c>
    </row>
    <row r="11355" x14ac:dyDescent="0.25">
      <c r="A11355" t="n">
        <v>24</v>
      </c>
      <c r="B11355" t="s">
        <v>14</v>
      </c>
      <c r="C11355" t="s">
        <v>22</v>
      </c>
      <c r="D11355" s="2" t="s">
        <f>=HYPERLINK("https://main.knesset.gov.il/APPS/legislation/main/bills/2156302", "הצעת חוק איסור שימוש ברכב ממשלתי לשר וסגן שר ביום המנוחה השבועי ובחג, התשפ""א-2021")</f>
        <v>21886</v>
      </c>
      <c r="E11355" t="s">
        <v>21886</v>
      </c>
      <c r="F11355" t="s">
        <v>21887</v>
      </c>
      <c r="G11355" t="s">
        <v>14</v>
      </c>
      <c r="H11355">
             </c>
      <c r="I11355" t="s">
        <v>14</v>
      </c>
      <c r="J11355" t="s">
        <v>141</v>
      </c>
      <c r="K11355" t="s">
        <v>14</v>
      </c>
      <c r="L11355" t="s">
        <v>20</v>
      </c>
      <c r="M11355" t="s">
        <v>21815</v>
      </c>
      <c r="N11355" t="s">
        <v>14</v>
      </c>
    </row>
    <row r="11356" x14ac:dyDescent="0.25">
      <c r="A11356" t="n">
        <v>24</v>
      </c>
      <c r="B11356" t="s">
        <v>14</v>
      </c>
      <c r="C11356" t="s">
        <v>22</v>
      </c>
      <c r="D11356" s="2" t="s">
        <f>=HYPERLINK("https://main.knesset.gov.il/APPS/legislation/main/bills/2156353", "הצעת חוק לתיקון פקודת מס הכנסה (חישוב שווי שימוש ברכב לשומרי שבת וחג), התשפ""א-2021")</f>
        <v>21888</v>
      </c>
      <c r="E11356" t="s">
        <v>21888</v>
      </c>
      <c r="F11356" t="s">
        <v>21889</v>
      </c>
      <c r="G11356" t="s">
        <v>14</v>
      </c>
      <c r="H11356">
             </c>
      <c r="I11356" t="s">
        <v>14</v>
      </c>
      <c r="J11356" t="s">
        <v>141</v>
      </c>
      <c r="K11356" t="s">
        <v>14</v>
      </c>
      <c r="L11356" t="s">
        <v>20</v>
      </c>
      <c r="M11356" t="s">
        <v>21815</v>
      </c>
      <c r="N11356" t="s">
        <v>14</v>
      </c>
    </row>
    <row r="11357" x14ac:dyDescent="0.25">
      <c r="A11357" t="n">
        <v>24</v>
      </c>
      <c r="B11357" t="s">
        <v>14</v>
      </c>
      <c r="C11357" t="s">
        <v>22</v>
      </c>
      <c r="D11357" s="2" t="s">
        <f>=HYPERLINK("https://main.knesset.gov.il/APPS/legislation/main/bills/2156296", "הצעת חוק העונשין (תיקון - ביטול העבירה על העלבת עובד ציבור), התשפ""א-2021")</f>
        <v>21890</v>
      </c>
      <c r="E11357" t="s">
        <v>21890</v>
      </c>
      <c r="F11357" t="s">
        <v>21891</v>
      </c>
      <c r="G11357" t="s">
        <v>14</v>
      </c>
      <c r="H11357">
             </c>
      <c r="I11357" t="s">
        <v>14</v>
      </c>
      <c r="J11357" t="s">
        <v>141</v>
      </c>
      <c r="K11357" t="s">
        <v>14</v>
      </c>
      <c r="L11357" t="s">
        <v>20</v>
      </c>
      <c r="M11357" t="s">
        <v>21815</v>
      </c>
      <c r="N11357" t="s">
        <v>14</v>
      </c>
    </row>
    <row r="11358" x14ac:dyDescent="0.25">
      <c r="A11358" t="n">
        <v>24</v>
      </c>
      <c r="B11358" t="s">
        <v>14</v>
      </c>
      <c r="C11358" t="s">
        <v>22</v>
      </c>
      <c r="D11358" s="2" t="s">
        <f>=HYPERLINK("https://main.knesset.gov.il/APPS/legislation/main/bills/2156279", "הצעת חוק לתיקון פקודת מס הכנסה (חישוב שווי שימוש ברכב לשומרי שבת וחג), התשפ""א-2021")</f>
        <v>21888</v>
      </c>
      <c r="E11358" t="s">
        <v>21888</v>
      </c>
      <c r="F11358" t="s">
        <v>21892</v>
      </c>
      <c r="G11358" t="s">
        <v>14</v>
      </c>
      <c r="H11358">
             </c>
      <c r="I11358" t="s">
        <v>14</v>
      </c>
      <c r="J11358" t="s">
        <v>141</v>
      </c>
      <c r="K11358" t="s">
        <v>14</v>
      </c>
      <c r="L11358" t="s">
        <v>20</v>
      </c>
      <c r="M11358" t="s">
        <v>21815</v>
      </c>
      <c r="N11358" t="s">
        <v>14</v>
      </c>
    </row>
    <row r="11359" x14ac:dyDescent="0.25">
      <c r="A11359" t="n">
        <v>24</v>
      </c>
      <c r="B11359" t="s">
        <v>14</v>
      </c>
      <c r="C11359" t="s">
        <v>22</v>
      </c>
      <c r="D11359" s="2" t="s">
        <f>=HYPERLINK("https://main.knesset.gov.il/APPS/legislation/main/bills/2156273", "הצעת חוק המים (תיקון - הנחות לאוכלוסיות זכאיות), התשפ""א-2021")</f>
        <v>21893</v>
      </c>
      <c r="E11359" t="s">
        <v>21893</v>
      </c>
      <c r="F11359" t="s">
        <v>21894</v>
      </c>
      <c r="G11359" t="s">
        <v>14</v>
      </c>
      <c r="H11359">
             </c>
      <c r="I11359" t="s">
        <v>14</v>
      </c>
      <c r="J11359" t="s">
        <v>141</v>
      </c>
      <c r="K11359" t="s">
        <v>14</v>
      </c>
      <c r="L11359" t="s">
        <v>20</v>
      </c>
      <c r="M11359" t="s">
        <v>21815</v>
      </c>
      <c r="N11359" t="s">
        <v>14</v>
      </c>
    </row>
    <row r="11360" x14ac:dyDescent="0.25">
      <c r="A11360" t="n">
        <v>24</v>
      </c>
      <c r="B11360" t="s">
        <v>14</v>
      </c>
      <c r="C11360" t="s">
        <v>22</v>
      </c>
      <c r="D11360" s="2" t="s">
        <f>=HYPERLINK("https://main.knesset.gov.il/APPS/legislation/main/bills/2156254", "הצעת חוק-יסוד: משאל עם (תיקון - ביטול החוק)")</f>
        <v>21895</v>
      </c>
      <c r="E11360" t="s">
        <v>21895</v>
      </c>
      <c r="F11360" t="s">
        <v>21896</v>
      </c>
      <c r="G11360" t="s">
        <v>14</v>
      </c>
      <c r="H11360">
             </c>
      <c r="I11360" t="s">
        <v>14</v>
      </c>
      <c r="J11360" t="s">
        <v>141</v>
      </c>
      <c r="K11360" t="s">
        <v>14</v>
      </c>
      <c r="L11360" t="s">
        <v>20</v>
      </c>
      <c r="M11360" t="s">
        <v>21815</v>
      </c>
      <c r="N11360" t="s">
        <v>14</v>
      </c>
    </row>
    <row r="11361" x14ac:dyDescent="0.25">
      <c r="A11361" t="n">
        <v>24</v>
      </c>
      <c r="B11361" t="s">
        <v>14</v>
      </c>
      <c r="C11361" t="s">
        <v>22</v>
      </c>
      <c r="D11361" s="2" t="s">
        <f>=HYPERLINK("https://main.knesset.gov.il/APPS/legislation/main/bills/2157239", "הצעת חוק איסור הפליה במוצרים, בשירותים ובכניסה למקומות בידור ולמקומות ציבוריים (תיקון - איסור הפרדה), התשפ""א-2021")</f>
        <v>21440</v>
      </c>
      <c r="E11361" t="s">
        <v>21440</v>
      </c>
      <c r="F11361" t="s">
        <v>21897</v>
      </c>
      <c r="G11361" t="s">
        <v>14</v>
      </c>
      <c r="H11361">
             </c>
      <c r="I11361" t="s">
        <v>14</v>
      </c>
      <c r="J11361" t="s">
        <v>141</v>
      </c>
      <c r="K11361" t="s">
        <v>14</v>
      </c>
      <c r="L11361" t="s">
        <v>20</v>
      </c>
      <c r="M11361" t="s">
        <v>21815</v>
      </c>
      <c r="N11361" t="s">
        <v>14</v>
      </c>
    </row>
    <row r="11362" x14ac:dyDescent="0.25">
      <c r="A11362" t="n">
        <v>24</v>
      </c>
      <c r="B11362" t="s">
        <v>14</v>
      </c>
      <c r="C11362" t="s">
        <v>22</v>
      </c>
      <c r="D11362" s="2" t="s">
        <f>=HYPERLINK("https://main.knesset.gov.il/APPS/legislation/main/bills/2157216", "הצעת חוק לתיקון פקודת מס הכנסה (משיכה מקרן השתלמות לאחר לידה או אימוץ), התשפ""א-2021")</f>
        <v>21898</v>
      </c>
      <c r="E11362" t="s">
        <v>21898</v>
      </c>
      <c r="F11362" t="s">
        <v>21899</v>
      </c>
      <c r="G11362" t="s">
        <v>14</v>
      </c>
      <c r="H11362">
             </c>
      <c r="I11362" t="s">
        <v>14</v>
      </c>
      <c r="J11362" t="s">
        <v>141</v>
      </c>
      <c r="K11362" t="s">
        <v>14</v>
      </c>
      <c r="L11362" t="s">
        <v>20</v>
      </c>
      <c r="M11362" t="s">
        <v>21815</v>
      </c>
      <c r="N11362" t="s">
        <v>14</v>
      </c>
    </row>
    <row r="11363" x14ac:dyDescent="0.25">
      <c r="A11363" t="n">
        <v>24</v>
      </c>
      <c r="B11363" t="s">
        <v>14</v>
      </c>
      <c r="C11363" t="s">
        <v>22</v>
      </c>
      <c r="D11363" s="2" t="s">
        <f>=HYPERLINK("https://main.knesset.gov.il/APPS/legislation/main/bills/2156236", "הצעת חוק זכויות הדייר בדיור הציבורי (תיקון - הארכת תוקף זכאות לדירה ציבורית), התשפ""א-2021")</f>
        <v>21900</v>
      </c>
      <c r="E11363" t="s">
        <v>21900</v>
      </c>
      <c r="F11363" t="s">
        <v>21901</v>
      </c>
      <c r="G11363" t="s">
        <v>14</v>
      </c>
      <c r="H11363">
             </c>
      <c r="I11363" t="s">
        <v>14</v>
      </c>
      <c r="J11363" t="s">
        <v>141</v>
      </c>
      <c r="K11363" t="s">
        <v>14</v>
      </c>
      <c r="L11363" t="s">
        <v>20</v>
      </c>
      <c r="M11363" t="s">
        <v>21815</v>
      </c>
      <c r="N11363" t="s">
        <v>14</v>
      </c>
    </row>
    <row r="11364" x14ac:dyDescent="0.25">
      <c r="A11364" t="n">
        <v>24</v>
      </c>
      <c r="B11364" t="s">
        <v>14</v>
      </c>
      <c r="C11364" t="s">
        <v>22</v>
      </c>
      <c r="D11364" s="2" t="s">
        <f>=HYPERLINK("https://main.knesset.gov.il/APPS/legislation/main/bills/2156205", "הצעת חוק לתיקון פקודת העיריות (מענק הבירה), התשפ""א-2021")</f>
        <v>21902</v>
      </c>
      <c r="E11364" t="s">
        <v>21902</v>
      </c>
      <c r="F11364" t="s">
        <v>21903</v>
      </c>
      <c r="G11364" t="s">
        <v>14</v>
      </c>
      <c r="H11364">
             </c>
      <c r="I11364" t="s">
        <v>14</v>
      </c>
      <c r="J11364" t="s">
        <v>141</v>
      </c>
      <c r="K11364" t="s">
        <v>14</v>
      </c>
      <c r="L11364" t="s">
        <v>20</v>
      </c>
      <c r="M11364" t="s">
        <v>21815</v>
      </c>
      <c r="N11364" t="s">
        <v>14</v>
      </c>
    </row>
    <row r="11365" x14ac:dyDescent="0.25">
      <c r="A11365" t="n">
        <v>24</v>
      </c>
      <c r="B11365" t="s">
        <v>14</v>
      </c>
      <c r="C11365" t="s">
        <v>22</v>
      </c>
      <c r="D11365" s="2" t="s">
        <f>=HYPERLINK("https://main.knesset.gov.il/APPS/legislation/main/bills/2156183", "הצעת חוק שמירת הקדושה של הכותל המערבי ורחבתו, התשפ""א-2021")</f>
        <v>21904</v>
      </c>
      <c r="E11365" t="s">
        <v>21904</v>
      </c>
      <c r="F11365" t="s">
        <v>21905</v>
      </c>
      <c r="G11365" t="s">
        <v>14</v>
      </c>
      <c r="H11365">
             </c>
      <c r="I11365" t="s">
        <v>14</v>
      </c>
      <c r="J11365" t="s">
        <v>141</v>
      </c>
      <c r="K11365" t="s">
        <v>14</v>
      </c>
      <c r="L11365" t="s">
        <v>20</v>
      </c>
      <c r="M11365" t="s">
        <v>21815</v>
      </c>
      <c r="N11365" t="s">
        <v>14</v>
      </c>
    </row>
    <row r="11366" x14ac:dyDescent="0.25">
      <c r="A11366" t="n">
        <v>24</v>
      </c>
      <c r="B11366" t="s">
        <v>14</v>
      </c>
      <c r="C11366" t="s">
        <v>22</v>
      </c>
      <c r="D11366" s="2" t="s">
        <f>=HYPERLINK("https://main.knesset.gov.il/APPS/legislation/main/bills/2157213", "הצעת חוק להגבלת העברת השליטה בתאגידים מרכזיים לגופים זרים, התשפ""א-2021")</f>
        <v>21906</v>
      </c>
      <c r="E11366" t="s">
        <v>21906</v>
      </c>
      <c r="F11366" t="s">
        <v>21907</v>
      </c>
      <c r="G11366" t="s">
        <v>14</v>
      </c>
      <c r="H11366">
             </c>
      <c r="I11366" t="s">
        <v>14</v>
      </c>
      <c r="J11366" t="s">
        <v>141</v>
      </c>
      <c r="K11366" t="s">
        <v>14</v>
      </c>
      <c r="L11366" t="s">
        <v>20</v>
      </c>
      <c r="M11366" t="s">
        <v>21815</v>
      </c>
      <c r="N11366" t="s">
        <v>14</v>
      </c>
    </row>
    <row r="11367" x14ac:dyDescent="0.25">
      <c r="A11367" t="n">
        <v>24</v>
      </c>
      <c r="B11367" t="s">
        <v>14</v>
      </c>
      <c r="C11367" t="s">
        <v>22</v>
      </c>
      <c r="D11367" s="2" t="s">
        <f>=HYPERLINK("https://main.knesset.gov.il/APPS/legislation/main/bills/2157159", "הצעת חוק איסור הפליה במוצרים, בשירותים ובכניסה למקומות בידור ולמקומות ציבוריים (תיקון - איסור הפליה בשל אי מסירת מידע אישי), התשפ""א-2021")</f>
        <v>21908</v>
      </c>
      <c r="E11367" t="s">
        <v>21908</v>
      </c>
      <c r="F11367" t="s">
        <v>21909</v>
      </c>
      <c r="G11367" t="s">
        <v>14</v>
      </c>
      <c r="H11367">
             </c>
      <c r="I11367" t="s">
        <v>14</v>
      </c>
      <c r="J11367" t="s">
        <v>141</v>
      </c>
      <c r="K11367" t="s">
        <v>14</v>
      </c>
      <c r="L11367" t="s">
        <v>20</v>
      </c>
      <c r="M11367" t="s">
        <v>21815</v>
      </c>
      <c r="N11367" t="s">
        <v>14</v>
      </c>
    </row>
    <row r="11368" x14ac:dyDescent="0.25">
      <c r="A11368" t="n">
        <v>24</v>
      </c>
      <c r="B11368" t="s">
        <v>14</v>
      </c>
      <c r="C11368" t="s">
        <v>22</v>
      </c>
      <c r="D11368" s="2" t="s">
        <f>=HYPERLINK("https://main.knesset.gov.il/APPS/legislation/main/bills/2157223", "הצעת חוק לתיקון פקודת התעבורה (ביטול קנס בשל רכישת מערכות בטיחות מתקדמות), התשפ""א-2021")</f>
        <v>21910</v>
      </c>
      <c r="E11368" t="s">
        <v>21910</v>
      </c>
      <c r="F11368" t="s">
        <v>21911</v>
      </c>
      <c r="G11368" t="s">
        <v>14</v>
      </c>
      <c r="H11368">
             </c>
      <c r="I11368" t="s">
        <v>14</v>
      </c>
      <c r="J11368" t="s">
        <v>141</v>
      </c>
      <c r="K11368" t="s">
        <v>14</v>
      </c>
      <c r="L11368" t="s">
        <v>20</v>
      </c>
      <c r="M11368" t="s">
        <v>21815</v>
      </c>
      <c r="N11368" t="s">
        <v>14</v>
      </c>
    </row>
    <row r="11369" x14ac:dyDescent="0.25">
      <c r="A11369" t="n">
        <v>24</v>
      </c>
      <c r="B11369" t="s">
        <v>14</v>
      </c>
      <c r="C11369" t="s">
        <v>22</v>
      </c>
      <c r="D11369" s="2" t="s">
        <f>=HYPERLINK("https://main.knesset.gov.il/APPS/legislation/main/bills/2156173", "הצעת חוק האגודות העותומניות (רישום ופיקוח), התשפ""א-2021")</f>
        <v>21912</v>
      </c>
      <c r="E11369" t="s">
        <v>21912</v>
      </c>
      <c r="F11369" t="s">
        <v>21913</v>
      </c>
      <c r="G11369" t="s">
        <v>14</v>
      </c>
      <c r="H11369">
             </c>
      <c r="I11369" t="s">
        <v>14</v>
      </c>
      <c r="J11369" t="s">
        <v>141</v>
      </c>
      <c r="K11369" t="s">
        <v>14</v>
      </c>
      <c r="L11369" t="s">
        <v>20</v>
      </c>
      <c r="M11369" t="s">
        <v>21815</v>
      </c>
      <c r="N11369" t="s">
        <v>14</v>
      </c>
    </row>
    <row r="11370" x14ac:dyDescent="0.25">
      <c r="A11370" t="n">
        <v>24</v>
      </c>
      <c r="B11370" t="s">
        <v>14</v>
      </c>
      <c r="C11370" t="s">
        <v>22</v>
      </c>
      <c r="D11370" s="2" t="s">
        <f>=HYPERLINK("https://main.knesset.gov.il/APPS/legislation/main/bills/2157211", "הצעת חוק לעידוד השקעות הון (תיקון - ביטול מסלול הטבות המס), התשפ""א-2021")</f>
        <v>21914</v>
      </c>
      <c r="E11370" t="s">
        <v>21914</v>
      </c>
      <c r="F11370" t="s">
        <v>21915</v>
      </c>
      <c r="G11370" t="s">
        <v>14</v>
      </c>
      <c r="H11370">
             </c>
      <c r="I11370" t="s">
        <v>14</v>
      </c>
      <c r="J11370" t="s">
        <v>141</v>
      </c>
      <c r="K11370" t="s">
        <v>14</v>
      </c>
      <c r="L11370" t="s">
        <v>20</v>
      </c>
      <c r="M11370" t="s">
        <v>21815</v>
      </c>
      <c r="N11370" t="s">
        <v>14</v>
      </c>
    </row>
    <row r="11371" x14ac:dyDescent="0.25">
      <c r="A11371" t="n">
        <v>24</v>
      </c>
      <c r="B11371" t="s">
        <v>14</v>
      </c>
      <c r="C11371" t="s">
        <v>22</v>
      </c>
      <c r="D11371" s="2" t="s">
        <f>=HYPERLINK("https://main.knesset.gov.il/APPS/legislation/main/bills/2157209", "הצעת חוק תגמול נושאי משרה בחברות ציבוריות, התשפ""א-2021")</f>
        <v>21916</v>
      </c>
      <c r="E11371" t="s">
        <v>21916</v>
      </c>
      <c r="F11371" t="s">
        <v>21917</v>
      </c>
      <c r="G11371" t="s">
        <v>14</v>
      </c>
      <c r="H11371">
             </c>
      <c r="I11371" t="s">
        <v>14</v>
      </c>
      <c r="J11371" t="s">
        <v>141</v>
      </c>
      <c r="K11371" t="s">
        <v>14</v>
      </c>
      <c r="L11371" t="s">
        <v>20</v>
      </c>
      <c r="M11371" t="s">
        <v>21815</v>
      </c>
      <c r="N11371" t="s">
        <v>14</v>
      </c>
    </row>
    <row r="11372" x14ac:dyDescent="0.25">
      <c r="A11372" t="n">
        <v>24</v>
      </c>
      <c r="B11372" t="s">
        <v>14</v>
      </c>
      <c r="C11372" t="s">
        <v>22</v>
      </c>
      <c r="D11372" s="2" t="s">
        <f>=HYPERLINK("https://main.knesset.gov.il/APPS/legislation/main/bills/2156960", "הצעת חוק לתיקון פקודת התעבורה (תשלום עבור נסיעה בתחבורה ציבורית בכרטיס אשראי), התשפ""א-2021")</f>
        <v>21918</v>
      </c>
      <c r="E11372" t="s">
        <v>21918</v>
      </c>
      <c r="F11372" t="s">
        <v>21919</v>
      </c>
      <c r="G11372" t="s">
        <v>14</v>
      </c>
      <c r="H11372">
             </c>
      <c r="I11372" t="s">
        <v>14</v>
      </c>
      <c r="J11372" t="s">
        <v>141</v>
      </c>
      <c r="K11372" t="s">
        <v>14</v>
      </c>
      <c r="L11372" t="s">
        <v>20</v>
      </c>
      <c r="M11372" t="s">
        <v>21815</v>
      </c>
      <c r="N11372" t="s">
        <v>14</v>
      </c>
    </row>
    <row r="11373" x14ac:dyDescent="0.25">
      <c r="A11373" t="n">
        <v>24</v>
      </c>
      <c r="B11373" t="s">
        <v>14</v>
      </c>
      <c r="C11373" t="s">
        <v>22</v>
      </c>
      <c r="D11373" s="2" t="s">
        <f>=HYPERLINK("https://main.knesset.gov.il/APPS/legislation/main/bills/2156959", "הצעת חוק הפיקדון על מכלי משקה (תיקון - ביטול החלת חובת פיקדון על מכלי משקה גדולים), התשפ""א-2021")</f>
        <v>21920</v>
      </c>
      <c r="E11373" t="s">
        <v>21920</v>
      </c>
      <c r="F11373" t="s">
        <v>21921</v>
      </c>
      <c r="G11373" t="s">
        <v>14</v>
      </c>
      <c r="H11373">
             </c>
      <c r="I11373" t="s">
        <v>14</v>
      </c>
      <c r="J11373" t="s">
        <v>141</v>
      </c>
      <c r="K11373" t="s">
        <v>14</v>
      </c>
      <c r="L11373" t="s">
        <v>20</v>
      </c>
      <c r="M11373" t="s">
        <v>21815</v>
      </c>
      <c r="N11373" t="s">
        <v>14</v>
      </c>
    </row>
    <row r="11374" x14ac:dyDescent="0.25">
      <c r="A11374" t="n">
        <v>24</v>
      </c>
      <c r="B11374" t="s">
        <v>14</v>
      </c>
      <c r="C11374" t="s">
        <v>22</v>
      </c>
      <c r="D11374" s="2" t="s">
        <f>=HYPERLINK("https://main.knesset.gov.il/APPS/legislation/main/bills/2156957", "הצעת חוק כביש אגרה (כביש ארצי לישראל) (תיקון - הפחתת ריבית פיגורים על חוב חלוט), התשפ""א-2021")</f>
        <v>19014</v>
      </c>
      <c r="E11374" t="s">
        <v>19014</v>
      </c>
      <c r="F11374" t="s">
        <v>21922</v>
      </c>
      <c r="G11374" t="s">
        <v>14</v>
      </c>
      <c r="H11374">
             </c>
      <c r="I11374" t="s">
        <v>14</v>
      </c>
      <c r="J11374" t="s">
        <v>141</v>
      </c>
      <c r="K11374" t="s">
        <v>14</v>
      </c>
      <c r="L11374" t="s">
        <v>20</v>
      </c>
      <c r="M11374" t="s">
        <v>21815</v>
      </c>
      <c r="N11374" t="s">
        <v>14</v>
      </c>
    </row>
    <row r="11375" x14ac:dyDescent="0.25">
      <c r="A11375" t="n">
        <v>24</v>
      </c>
      <c r="B11375" t="s">
        <v>14</v>
      </c>
      <c r="C11375" t="s">
        <v>22</v>
      </c>
      <c r="D11375" s="2" t="s">
        <f>=HYPERLINK("https://main.knesset.gov.il/APPS/legislation/main/bills/2157157", "הצעת חוק איסור פרסומת והגבלת השיווק של מוצרי טבק ועישון (תיקון - פרסומות מנע של חברות מוצרי טבק ועישון), התשפ""א-2021")</f>
        <v>19392</v>
      </c>
      <c r="E11375" t="s">
        <v>19392</v>
      </c>
      <c r="F11375" t="s">
        <v>21923</v>
      </c>
      <c r="G11375" t="s">
        <v>14</v>
      </c>
      <c r="H11375">
             </c>
      <c r="I11375" t="s">
        <v>14</v>
      </c>
      <c r="J11375" t="s">
        <v>141</v>
      </c>
      <c r="K11375" t="s">
        <v>14</v>
      </c>
      <c r="L11375" t="s">
        <v>20</v>
      </c>
      <c r="M11375" t="s">
        <v>21815</v>
      </c>
      <c r="N11375" t="s">
        <v>14</v>
      </c>
    </row>
    <row r="11376" x14ac:dyDescent="0.25">
      <c r="A11376" t="n">
        <v>24</v>
      </c>
      <c r="B11376" t="s">
        <v>14</v>
      </c>
      <c r="C11376" t="s">
        <v>22</v>
      </c>
      <c r="D11376" s="2" t="s">
        <f>=HYPERLINK("https://main.knesset.gov.il/APPS/legislation/main/bills/2157196", "הצעת חוק פטור מדמי נסיעה בתחבורה ציבורית למתנדבים לשנת שירות (תיקוני חקיקה), התשפ""א-2021")</f>
        <v>21924</v>
      </c>
      <c r="E11376" t="s">
        <v>21924</v>
      </c>
      <c r="F11376" t="s">
        <v>21925</v>
      </c>
      <c r="G11376" t="s">
        <v>14</v>
      </c>
      <c r="H11376">
             </c>
      <c r="I11376" t="s">
        <v>14</v>
      </c>
      <c r="J11376" t="s">
        <v>141</v>
      </c>
      <c r="K11376" t="s">
        <v>14</v>
      </c>
      <c r="L11376" t="s">
        <v>20</v>
      </c>
      <c r="M11376" t="s">
        <v>21815</v>
      </c>
      <c r="N11376" t="s">
        <v>14</v>
      </c>
    </row>
    <row r="11377" x14ac:dyDescent="0.25">
      <c r="A11377" t="n">
        <v>24</v>
      </c>
      <c r="B11377" t="s">
        <v>14</v>
      </c>
      <c r="C11377" t="s">
        <v>22</v>
      </c>
      <c r="D11377" s="2" t="s">
        <f>=HYPERLINK("https://main.knesset.gov.il/APPS/legislation/main/bills/2156942", "הצעת חוק צער בעלי חיים (הגנה על בעלי חיים) (תיקון - איסור משלוחים חיים לשחיטה), התשפ""א-2021")</f>
        <v>19324</v>
      </c>
      <c r="E11377" t="s">
        <v>19324</v>
      </c>
      <c r="F11377" t="s">
        <v>21926</v>
      </c>
      <c r="G11377" t="s">
        <v>14</v>
      </c>
      <c r="H11377">
             </c>
      <c r="I11377" t="s">
        <v>14</v>
      </c>
      <c r="J11377" t="s">
        <v>141</v>
      </c>
      <c r="K11377" t="s">
        <v>14</v>
      </c>
      <c r="L11377" t="s">
        <v>20</v>
      </c>
      <c r="M11377" t="s">
        <v>21815</v>
      </c>
      <c r="N11377" t="s">
        <v>14</v>
      </c>
    </row>
    <row r="11378" x14ac:dyDescent="0.25">
      <c r="A11378" t="n">
        <v>24</v>
      </c>
      <c r="B11378" t="s">
        <v>14</v>
      </c>
      <c r="C11378" t="s">
        <v>22</v>
      </c>
      <c r="D11378" s="2" t="s">
        <f>=HYPERLINK("https://main.knesset.gov.il/APPS/legislation/main/bills/2157194", "הצעת חוק השידור הציבורי הישראלי (תיקון - קציבת כהונה במינוי ממלא מקום), התשפ""א-2021")</f>
        <v>21927</v>
      </c>
      <c r="E11378" t="s">
        <v>21927</v>
      </c>
      <c r="F11378" t="s">
        <v>21928</v>
      </c>
      <c r="G11378" t="s">
        <v>14</v>
      </c>
      <c r="H11378">
             </c>
      <c r="I11378" t="s">
        <v>14</v>
      </c>
      <c r="J11378" t="s">
        <v>141</v>
      </c>
      <c r="K11378" t="s">
        <v>14</v>
      </c>
      <c r="L11378" t="s">
        <v>20</v>
      </c>
      <c r="M11378" t="s">
        <v>21815</v>
      </c>
      <c r="N11378" t="s">
        <v>14</v>
      </c>
    </row>
    <row r="11379" x14ac:dyDescent="0.25">
      <c r="A11379" t="n">
        <v>24</v>
      </c>
      <c r="B11379" t="s">
        <v>14</v>
      </c>
      <c r="C11379" t="s">
        <v>22</v>
      </c>
      <c r="D11379" s="2" t="s">
        <f>=HYPERLINK("https://main.knesset.gov.il/APPS/legislation/main/bills/2157186", "הצעת חוק לתיקון פקודת מסילות הברזל (העלאת אופניים לרכבת), התשפ""א-2021")</f>
        <v>21929</v>
      </c>
      <c r="E11379" t="s">
        <v>21929</v>
      </c>
      <c r="F11379" t="s">
        <v>21930</v>
      </c>
      <c r="G11379" t="s">
        <v>14</v>
      </c>
      <c r="H11379">
             </c>
      <c r="I11379" t="s">
        <v>14</v>
      </c>
      <c r="J11379" t="s">
        <v>141</v>
      </c>
      <c r="K11379" t="s">
        <v>14</v>
      </c>
      <c r="L11379" t="s">
        <v>20</v>
      </c>
      <c r="M11379" t="s">
        <v>21815</v>
      </c>
      <c r="N11379" t="s">
        <v>14</v>
      </c>
    </row>
    <row r="11380" x14ac:dyDescent="0.25">
      <c r="A11380" t="n">
        <v>24</v>
      </c>
      <c r="B11380" t="s">
        <v>14</v>
      </c>
      <c r="C11380" t="s">
        <v>22</v>
      </c>
      <c r="D11380" s="2" t="s">
        <f>=HYPERLINK("https://main.knesset.gov.il/APPS/legislation/main/bills/2156938", "הצעת חוק מתן סמכויות פיקוח והסמכת מפקחים ופקחים (תיקוני חקיקה), התשפ""א-2021")</f>
        <v>21931</v>
      </c>
      <c r="E11380" t="s">
        <v>21931</v>
      </c>
      <c r="F11380" t="s">
        <v>21932</v>
      </c>
      <c r="G11380" t="s">
        <v>14</v>
      </c>
      <c r="H11380">
             </c>
      <c r="I11380" t="s">
        <v>14</v>
      </c>
      <c r="J11380" t="s">
        <v>141</v>
      </c>
      <c r="K11380" t="s">
        <v>14</v>
      </c>
      <c r="L11380" t="s">
        <v>20</v>
      </c>
      <c r="M11380" t="s">
        <v>21815</v>
      </c>
      <c r="N11380" t="s">
        <v>14</v>
      </c>
    </row>
    <row r="11381" x14ac:dyDescent="0.25">
      <c r="A11381" t="n">
        <v>24</v>
      </c>
      <c r="B11381" t="s">
        <v>14</v>
      </c>
      <c r="C11381" t="s">
        <v>22</v>
      </c>
      <c r="D11381" s="2" t="s">
        <f>=HYPERLINK("https://main.knesset.gov.il/APPS/legislation/main/bills/2157156", "הצעת חוק איסור פרסומת והגבלת השיווק של מוצרי טבק ועישון (תיקון - סימון רכיבי מוצר טבק על גבי חפיסות או אריזות), התשפ""א-2021")</f>
        <v>21933</v>
      </c>
      <c r="E11381" t="s">
        <v>21933</v>
      </c>
      <c r="F11381" t="s">
        <v>21934</v>
      </c>
      <c r="G11381" t="s">
        <v>14</v>
      </c>
      <c r="H11381">
             </c>
      <c r="I11381" t="s">
        <v>14</v>
      </c>
      <c r="J11381" t="s">
        <v>141</v>
      </c>
      <c r="K11381" t="s">
        <v>14</v>
      </c>
      <c r="L11381" t="s">
        <v>20</v>
      </c>
      <c r="M11381" t="s">
        <v>21815</v>
      </c>
      <c r="N11381" t="s">
        <v>14</v>
      </c>
    </row>
    <row r="11382" x14ac:dyDescent="0.25">
      <c r="A11382" t="n">
        <v>24</v>
      </c>
      <c r="B11382" t="s">
        <v>14</v>
      </c>
      <c r="C11382" t="s">
        <v>22</v>
      </c>
      <c r="D11382" s="2" t="s">
        <f>=HYPERLINK("https://main.knesset.gov.il/APPS/legislation/main/bills/2156937", "הצעת חוק מס ערך מוסף (תיקון - פטור ממס על תשר), התשפ""א-2021")</f>
        <v>21935</v>
      </c>
      <c r="E11382" t="s">
        <v>21935</v>
      </c>
      <c r="F11382" t="s">
        <v>21936</v>
      </c>
      <c r="G11382" t="s">
        <v>14</v>
      </c>
      <c r="H11382">
             </c>
      <c r="I11382" t="s">
        <v>14</v>
      </c>
      <c r="J11382" t="s">
        <v>141</v>
      </c>
      <c r="K11382" t="s">
        <v>14</v>
      </c>
      <c r="L11382" t="s">
        <v>20</v>
      </c>
      <c r="M11382" t="s">
        <v>21815</v>
      </c>
      <c r="N11382" t="s">
        <v>14</v>
      </c>
    </row>
    <row r="11383" x14ac:dyDescent="0.25">
      <c r="A11383" t="n">
        <v>24</v>
      </c>
      <c r="B11383" t="s">
        <v>14</v>
      </c>
      <c r="C11383" t="s">
        <v>22</v>
      </c>
      <c r="D11383" s="2" t="s">
        <f>=HYPERLINK("https://main.knesset.gov.il/APPS/legislation/main/bills/2156882", "הצעת חוק הרשויות המקומיות (אכיפה סביבתית - סמכויות פקחים) (תיקון - הסמכת פקחים באיגוד ערים לווטרינריה), התשפ""א-2021")</f>
        <v>21937</v>
      </c>
      <c r="E11383" t="s">
        <v>21937</v>
      </c>
      <c r="F11383" t="s">
        <v>21938</v>
      </c>
      <c r="G11383" t="s">
        <v>14</v>
      </c>
      <c r="H11383">
             </c>
      <c r="I11383" t="s">
        <v>14</v>
      </c>
      <c r="J11383" t="s">
        <v>141</v>
      </c>
      <c r="K11383" t="s">
        <v>14</v>
      </c>
      <c r="L11383" t="s">
        <v>20</v>
      </c>
      <c r="M11383" t="s">
        <v>21815</v>
      </c>
      <c r="N11383" t="s">
        <v>14</v>
      </c>
    </row>
    <row r="11384" x14ac:dyDescent="0.25">
      <c r="A11384" t="n">
        <v>24</v>
      </c>
      <c r="B11384" t="s">
        <v>14</v>
      </c>
      <c r="C11384" t="s">
        <v>22</v>
      </c>
      <c r="D11384" s="2" t="s">
        <f>=HYPERLINK("https://main.knesset.gov.il/APPS/legislation/main/bills/2157184", "הצעת חוק לתיקון פקודת התעבורה (סימון אחיד להסדרי חניה), התשפ""א-2021")</f>
        <v>21939</v>
      </c>
      <c r="E11384" t="s">
        <v>21939</v>
      </c>
      <c r="F11384" t="s">
        <v>21940</v>
      </c>
      <c r="G11384" t="s">
        <v>14</v>
      </c>
      <c r="H11384">
             </c>
      <c r="I11384" t="s">
        <v>14</v>
      </c>
      <c r="J11384" t="s">
        <v>141</v>
      </c>
      <c r="K11384" t="s">
        <v>14</v>
      </c>
      <c r="L11384" t="s">
        <v>20</v>
      </c>
      <c r="M11384" t="s">
        <v>21815</v>
      </c>
      <c r="N11384" t="s">
        <v>14</v>
      </c>
    </row>
    <row r="11385" x14ac:dyDescent="0.25">
      <c r="A11385" t="n">
        <v>24</v>
      </c>
      <c r="B11385" t="s">
        <v>14</v>
      </c>
      <c r="C11385" t="s">
        <v>22</v>
      </c>
      <c r="D11385" s="2" t="s">
        <f>=HYPERLINK("https://main.knesset.gov.il/APPS/legislation/main/bills/2157180", "הצעת חוק למניעת תשדירי פרסומת פוגעניים (תיקוני חקיקה), התשפ""א-2021")</f>
        <v>21941</v>
      </c>
      <c r="E11385" t="s">
        <v>21941</v>
      </c>
      <c r="F11385" t="s">
        <v>21942</v>
      </c>
      <c r="G11385" t="s">
        <v>14</v>
      </c>
      <c r="H11385">
             </c>
      <c r="I11385" t="s">
        <v>14</v>
      </c>
      <c r="J11385" t="s">
        <v>141</v>
      </c>
      <c r="K11385" t="s">
        <v>14</v>
      </c>
      <c r="L11385" t="s">
        <v>20</v>
      </c>
      <c r="M11385" t="s">
        <v>21815</v>
      </c>
      <c r="N11385" t="s">
        <v>14</v>
      </c>
    </row>
    <row r="11386" x14ac:dyDescent="0.25">
      <c r="A11386" t="n">
        <v>24</v>
      </c>
      <c r="B11386" t="s">
        <v>14</v>
      </c>
      <c r="C11386" t="s">
        <v>22</v>
      </c>
      <c r="D11386" s="2" t="s">
        <f>=HYPERLINK("https://main.knesset.gov.il/APPS/legislation/main/bills/2157161", "הצעת חוק המים (תיקון - שקיפות פעילות הרשות הממשלתית), התשפ""א-2021")</f>
        <v>21943</v>
      </c>
      <c r="E11386" t="s">
        <v>21943</v>
      </c>
      <c r="F11386" t="s">
        <v>21944</v>
      </c>
      <c r="G11386" t="s">
        <v>14</v>
      </c>
      <c r="H11386">
             </c>
      <c r="I11386" t="s">
        <v>14</v>
      </c>
      <c r="J11386" t="s">
        <v>141</v>
      </c>
      <c r="K11386" t="s">
        <v>14</v>
      </c>
      <c r="L11386" t="s">
        <v>20</v>
      </c>
      <c r="M11386" t="s">
        <v>21815</v>
      </c>
      <c r="N11386" t="s">
        <v>14</v>
      </c>
    </row>
    <row r="11387" x14ac:dyDescent="0.25">
      <c r="A11387" t="n">
        <v>24</v>
      </c>
      <c r="B11387" t="s">
        <v>14</v>
      </c>
      <c r="C11387" t="s">
        <v>22</v>
      </c>
      <c r="D11387" s="2" t="s">
        <f>=HYPERLINK("https://main.knesset.gov.il/APPS/legislation/main/bills/2156764", "הצעת חוק הביטוח הלאומי (תיקון - זכאות לדמי אבטלה לעובד שהתפטר לשם טיפול בילדו), התשפ""א-2021")</f>
        <v>21945</v>
      </c>
      <c r="E11387" t="s">
        <v>21945</v>
      </c>
      <c r="F11387" t="s">
        <v>21946</v>
      </c>
      <c r="G11387" t="s">
        <v>14</v>
      </c>
      <c r="H11387">
             </c>
      <c r="I11387" t="s">
        <v>14</v>
      </c>
      <c r="J11387" t="s">
        <v>141</v>
      </c>
      <c r="K11387" t="s">
        <v>14</v>
      </c>
      <c r="L11387" t="s">
        <v>20</v>
      </c>
      <c r="M11387" t="s">
        <v>21815</v>
      </c>
      <c r="N11387" t="s">
        <v>14</v>
      </c>
    </row>
    <row r="11388" x14ac:dyDescent="0.25">
      <c r="A11388" t="n">
        <v>24</v>
      </c>
      <c r="B11388" t="s">
        <v>14</v>
      </c>
      <c r="C11388" t="s">
        <v>22</v>
      </c>
      <c r="D11388" s="2" t="s">
        <f>=HYPERLINK("https://main.knesset.gov.il/APPS/legislation/main/bills/2157120", "הצעת חוק הגנת הצרכן (תיקון - תיעוד שיחות בין צרכן לעוסק ומסירתו לצרכן), התשפ""א-2021")</f>
        <v>21947</v>
      </c>
      <c r="E11388" t="s">
        <v>21947</v>
      </c>
      <c r="F11388" t="s">
        <v>21948</v>
      </c>
      <c r="G11388" t="s">
        <v>14</v>
      </c>
      <c r="H11388">
             </c>
      <c r="I11388" t="s">
        <v>14</v>
      </c>
      <c r="J11388" t="s">
        <v>141</v>
      </c>
      <c r="K11388" t="s">
        <v>14</v>
      </c>
      <c r="L11388" t="s">
        <v>20</v>
      </c>
      <c r="M11388" t="s">
        <v>21815</v>
      </c>
      <c r="N11388" t="s">
        <v>14</v>
      </c>
    </row>
    <row r="11389" x14ac:dyDescent="0.25">
      <c r="A11389" t="n">
        <v>24</v>
      </c>
      <c r="B11389" t="s">
        <v>14</v>
      </c>
      <c r="C11389" t="s">
        <v>22</v>
      </c>
      <c r="D11389" s="2" t="s">
        <f>=HYPERLINK("https://main.knesset.gov.il/APPS/legislation/main/bills/2157119", "הצעת חוק הגנת הצרכן (תיקון - איסור גביית עמלה בעסקה שבוצעה באמצעות האינטרנט), התשפ""א-2021")</f>
        <v>19415</v>
      </c>
      <c r="E11389" t="s">
        <v>19415</v>
      </c>
      <c r="F11389" t="s">
        <v>21949</v>
      </c>
      <c r="G11389" t="s">
        <v>14</v>
      </c>
      <c r="H11389">
             </c>
      <c r="I11389" t="s">
        <v>14</v>
      </c>
      <c r="J11389" t="s">
        <v>141</v>
      </c>
      <c r="K11389" t="s">
        <v>14</v>
      </c>
      <c r="L11389" t="s">
        <v>20</v>
      </c>
      <c r="M11389" t="s">
        <v>21815</v>
      </c>
      <c r="N11389" t="s">
        <v>14</v>
      </c>
    </row>
    <row r="11390" x14ac:dyDescent="0.25">
      <c r="A11390" t="n">
        <v>24</v>
      </c>
      <c r="B11390" t="s">
        <v>14</v>
      </c>
      <c r="C11390" t="s">
        <v>22</v>
      </c>
      <c r="D11390" s="2" t="s">
        <f>=HYPERLINK("https://main.knesset.gov.il/APPS/legislation/main/bills/2156685", "הצעת חוק לתיקון פקודת מס הכנסה (זיכוי וניכוי בגין הוצאות טיפול בילדים), התשפ""א-2021")</f>
        <v>21950</v>
      </c>
      <c r="E11390" t="s">
        <v>21950</v>
      </c>
      <c r="F11390" t="s">
        <v>21951</v>
      </c>
      <c r="G11390" t="s">
        <v>14</v>
      </c>
      <c r="H11390">
             </c>
      <c r="I11390" t="s">
        <v>14</v>
      </c>
      <c r="J11390" t="s">
        <v>141</v>
      </c>
      <c r="K11390" t="s">
        <v>14</v>
      </c>
      <c r="L11390" t="s">
        <v>20</v>
      </c>
      <c r="M11390" t="s">
        <v>21815</v>
      </c>
      <c r="N11390" t="s">
        <v>14</v>
      </c>
    </row>
    <row r="11391" x14ac:dyDescent="0.25">
      <c r="A11391" t="n">
        <v>24</v>
      </c>
      <c r="B11391" t="s">
        <v>14</v>
      </c>
      <c r="C11391" t="s">
        <v>22</v>
      </c>
      <c r="D11391" s="2" t="s">
        <f>=HYPERLINK("https://main.knesset.gov.il/APPS/legislation/main/bills/2156684", "הצעת חוק פיצויים בעד נזק עקב אסון טבע, התשפ""א-2021")</f>
        <v>20469</v>
      </c>
      <c r="E11391" t="s">
        <v>20469</v>
      </c>
      <c r="F11391" t="s">
        <v>21952</v>
      </c>
      <c r="G11391" t="s">
        <v>14</v>
      </c>
      <c r="H11391">
             </c>
      <c r="I11391" t="s">
        <v>14</v>
      </c>
      <c r="J11391" t="s">
        <v>141</v>
      </c>
      <c r="K11391" t="s">
        <v>14</v>
      </c>
      <c r="L11391" t="s">
        <v>20</v>
      </c>
      <c r="M11391" t="s">
        <v>21815</v>
      </c>
      <c r="N11391" t="s">
        <v>14</v>
      </c>
    </row>
    <row r="11392" x14ac:dyDescent="0.25">
      <c r="A11392" t="n">
        <v>24</v>
      </c>
      <c r="B11392" t="s">
        <v>14</v>
      </c>
      <c r="C11392" t="s">
        <v>22</v>
      </c>
      <c r="D11392" s="2" t="s">
        <f>=HYPERLINK("https://main.knesset.gov.il/APPS/legislation/main/bills/2157074", "הצעת חוק התכנון והבנייה (תיקון - חובת שידור והקלטת ישיבות, ניהול פרוטוקול ופרסומו), התשפ""א-2021")</f>
        <v>21953</v>
      </c>
      <c r="E11392" t="s">
        <v>21953</v>
      </c>
      <c r="F11392" t="s">
        <v>21954</v>
      </c>
      <c r="G11392" t="s">
        <v>14</v>
      </c>
      <c r="H11392">
             </c>
      <c r="I11392" t="s">
        <v>14</v>
      </c>
      <c r="J11392" t="s">
        <v>141</v>
      </c>
      <c r="K11392" t="s">
        <v>14</v>
      </c>
      <c r="L11392" t="s">
        <v>20</v>
      </c>
      <c r="M11392" t="s">
        <v>21815</v>
      </c>
      <c r="N11392" t="s">
        <v>14</v>
      </c>
    </row>
    <row r="11393" x14ac:dyDescent="0.25">
      <c r="A11393" t="n">
        <v>24</v>
      </c>
      <c r="B11393" t="s">
        <v>14</v>
      </c>
      <c r="C11393" t="s">
        <v>22</v>
      </c>
      <c r="D11393" s="2" t="s">
        <f>=HYPERLINK("https://main.knesset.gov.il/APPS/legislation/main/bills/2156992", "הצעת חוק חינוך ממלכתי (תיקון - מעמד החינוך הממלכתי המשלב), התשפ""א-2021")</f>
        <v>21955</v>
      </c>
      <c r="E11393" t="s">
        <v>21955</v>
      </c>
      <c r="F11393" t="s">
        <v>21956</v>
      </c>
      <c r="G11393" t="s">
        <v>14</v>
      </c>
      <c r="H11393">
             </c>
      <c r="I11393" t="s">
        <v>14</v>
      </c>
      <c r="J11393" t="s">
        <v>141</v>
      </c>
      <c r="K11393" t="s">
        <v>14</v>
      </c>
      <c r="L11393" t="s">
        <v>20</v>
      </c>
      <c r="M11393" t="s">
        <v>21815</v>
      </c>
      <c r="N11393" t="s">
        <v>14</v>
      </c>
    </row>
    <row r="11394" x14ac:dyDescent="0.25">
      <c r="A11394" t="n">
        <v>24</v>
      </c>
      <c r="B11394" t="s">
        <v>14</v>
      </c>
      <c r="C11394" t="s">
        <v>22</v>
      </c>
      <c r="D11394" s="2" t="s">
        <f>=HYPERLINK("https://main.knesset.gov.il/APPS/legislation/main/bills/2156990", "הצעת חוק עסקאות גופים ציבוריים (תיקון - מעבר לרכבים ידידותיים לסביבה בגופים ציבוריים), התשפ""א-2021")</f>
        <v>21583</v>
      </c>
      <c r="E11394" t="s">
        <v>21583</v>
      </c>
      <c r="F11394" t="s">
        <v>21957</v>
      </c>
      <c r="G11394" t="s">
        <v>14</v>
      </c>
      <c r="H11394">
             </c>
      <c r="I11394" t="s">
        <v>14</v>
      </c>
      <c r="J11394" t="s">
        <v>141</v>
      </c>
      <c r="K11394" t="s">
        <v>14</v>
      </c>
      <c r="L11394" t="s">
        <v>20</v>
      </c>
      <c r="M11394" t="s">
        <v>21815</v>
      </c>
      <c r="N11394" t="s">
        <v>14</v>
      </c>
    </row>
    <row r="11395" x14ac:dyDescent="0.25">
      <c r="A11395" t="n">
        <v>24</v>
      </c>
      <c r="B11395" t="s">
        <v>14</v>
      </c>
      <c r="C11395" t="s">
        <v>22</v>
      </c>
      <c r="D11395" s="2" t="s">
        <f>=HYPERLINK("https://main.knesset.gov.il/APPS/legislation/main/bills/2156647", "הצעת חוק פיצוי לנפגעי פוליו (תיקון - הכרה באחוזי נכות של נפגע פוליו לצורך דינים אחרים), התשפ""א-2021")</f>
        <v>21958</v>
      </c>
      <c r="E11395" t="s">
        <v>21958</v>
      </c>
      <c r="F11395" t="s">
        <v>21959</v>
      </c>
      <c r="G11395" t="s">
        <v>14</v>
      </c>
      <c r="H11395">
             </c>
      <c r="I11395" t="s">
        <v>14</v>
      </c>
      <c r="J11395" t="s">
        <v>141</v>
      </c>
      <c r="K11395" t="s">
        <v>14</v>
      </c>
      <c r="L11395" t="s">
        <v>20</v>
      </c>
      <c r="M11395" t="s">
        <v>21815</v>
      </c>
      <c r="N11395" t="s">
        <v>14</v>
      </c>
    </row>
    <row r="11396" x14ac:dyDescent="0.25">
      <c r="A11396" t="n">
        <v>24</v>
      </c>
      <c r="B11396" t="s">
        <v>14</v>
      </c>
      <c r="C11396" t="s">
        <v>22</v>
      </c>
      <c r="D11396" s="2" t="s">
        <f>=HYPERLINK("https://main.knesset.gov.il/APPS/legislation/main/bills/2156646", "הצעת חוק מיסוי מקרקעין (שבח ורכישה) (תיקון - ייצוג נישום על ידי רואה חשבון), התשפ""א-2021")</f>
        <v>21960</v>
      </c>
      <c r="E11396" t="s">
        <v>21960</v>
      </c>
      <c r="F11396" t="s">
        <v>21961</v>
      </c>
      <c r="G11396" t="s">
        <v>14</v>
      </c>
      <c r="H11396">
             </c>
      <c r="I11396" t="s">
        <v>14</v>
      </c>
      <c r="J11396" t="s">
        <v>141</v>
      </c>
      <c r="K11396" t="s">
        <v>14</v>
      </c>
      <c r="L11396" t="s">
        <v>20</v>
      </c>
      <c r="M11396" t="s">
        <v>21815</v>
      </c>
      <c r="N11396" t="s">
        <v>14</v>
      </c>
    </row>
    <row r="11397" x14ac:dyDescent="0.25">
      <c r="A11397" t="n">
        <v>24</v>
      </c>
      <c r="B11397" t="s">
        <v>14</v>
      </c>
      <c r="C11397" t="s">
        <v>22</v>
      </c>
      <c r="D11397" s="2" t="s">
        <f>=HYPERLINK("https://main.knesset.gov.il/APPS/legislation/main/bills/2156986", "הצעת חוק הפעלת שירות רכבות בשבת ובמועדי ישראל, התשפ""א-2021")</f>
        <v>21962</v>
      </c>
      <c r="E11397" t="s">
        <v>21962</v>
      </c>
      <c r="F11397" t="s">
        <v>21963</v>
      </c>
      <c r="G11397" t="s">
        <v>14</v>
      </c>
      <c r="H11397">
             </c>
      <c r="I11397" t="s">
        <v>14</v>
      </c>
      <c r="J11397" t="s">
        <v>141</v>
      </c>
      <c r="K11397" t="s">
        <v>14</v>
      </c>
      <c r="L11397" t="s">
        <v>20</v>
      </c>
      <c r="M11397" t="s">
        <v>21815</v>
      </c>
      <c r="N11397" t="s">
        <v>14</v>
      </c>
    </row>
    <row r="11398" x14ac:dyDescent="0.25">
      <c r="A11398" t="n">
        <v>24</v>
      </c>
      <c r="B11398" t="s">
        <v>14</v>
      </c>
      <c r="C11398" t="s">
        <v>22</v>
      </c>
      <c r="D11398" s="2" t="s">
        <f>=HYPERLINK("https://main.knesset.gov.il/APPS/legislation/main/bills/2156637", "הצעת חוק לימוד חובה (תיקון - חינוך חינם לפעוטות ולילדים), התשפ""א-2021")</f>
        <v>19953</v>
      </c>
      <c r="E11398" t="s">
        <v>19953</v>
      </c>
      <c r="F11398" t="s">
        <v>21964</v>
      </c>
      <c r="G11398" t="s">
        <v>14</v>
      </c>
      <c r="H11398">
             </c>
      <c r="I11398" t="s">
        <v>14</v>
      </c>
      <c r="J11398" t="s">
        <v>141</v>
      </c>
      <c r="K11398" t="s">
        <v>14</v>
      </c>
      <c r="L11398" t="s">
        <v>20</v>
      </c>
      <c r="M11398" t="s">
        <v>21815</v>
      </c>
      <c r="N11398" t="s">
        <v>14</v>
      </c>
    </row>
    <row r="11399" x14ac:dyDescent="0.25">
      <c r="A11399" t="n">
        <v>24</v>
      </c>
      <c r="B11399" t="s">
        <v>14</v>
      </c>
      <c r="C11399" t="s">
        <v>22</v>
      </c>
      <c r="D11399" s="2" t="s">
        <f>=HYPERLINK("https://main.knesset.gov.il/APPS/legislation/main/bills/2156985", "הצעת חוק זכויות התלמיד (תיקון - שוויון בין תלמידים בציוני מגן), התשפ""א-2021")</f>
        <v>21965</v>
      </c>
      <c r="E11399" t="s">
        <v>21965</v>
      </c>
      <c r="F11399" t="s">
        <v>21966</v>
      </c>
      <c r="G11399" t="s">
        <v>14</v>
      </c>
      <c r="H11399">
             </c>
      <c r="I11399" t="s">
        <v>14</v>
      </c>
      <c r="J11399" t="s">
        <v>141</v>
      </c>
      <c r="K11399" t="s">
        <v>14</v>
      </c>
      <c r="L11399" t="s">
        <v>20</v>
      </c>
      <c r="M11399" t="s">
        <v>21815</v>
      </c>
      <c r="N11399" t="s">
        <v>14</v>
      </c>
    </row>
    <row r="11400" x14ac:dyDescent="0.25">
      <c r="A11400" t="n">
        <v>24</v>
      </c>
      <c r="B11400" t="s">
        <v>14</v>
      </c>
      <c r="C11400" t="s">
        <v>22</v>
      </c>
      <c r="D11400" s="2" t="s">
        <f>=HYPERLINK("https://main.knesset.gov.il/APPS/legislation/main/bills/2156984", "הצעת חוק זכויות הסטודנט (תיקון - פטור מתשלום עבור קורס חוזר בשל שירות מילואים), התשפ""א-2021 ")</f>
        <v>21967</v>
      </c>
      <c r="E11400" t="s">
        <v>21967</v>
      </c>
      <c r="F11400" t="s">
        <v>21968</v>
      </c>
      <c r="G11400" t="s">
        <v>14</v>
      </c>
      <c r="H11400">
             </c>
      <c r="I11400" t="s">
        <v>14</v>
      </c>
      <c r="J11400" t="s">
        <v>141</v>
      </c>
      <c r="K11400" t="s">
        <v>14</v>
      </c>
      <c r="L11400" t="s">
        <v>20</v>
      </c>
      <c r="M11400" t="s">
        <v>21815</v>
      </c>
      <c r="N11400" t="s">
        <v>14</v>
      </c>
    </row>
    <row r="11401" x14ac:dyDescent="0.25">
      <c r="A11401" t="n">
        <v>24</v>
      </c>
      <c r="B11401" t="s">
        <v>14</v>
      </c>
      <c r="C11401" t="s">
        <v>22</v>
      </c>
      <c r="D11401" s="2" t="s">
        <f>=HYPERLINK("https://main.knesset.gov.il/APPS/legislation/main/bills/2156620", "הצעת חוק-יסוד: פסקת ההתגברות (תיקוני חקיקה)")</f>
        <v>13730</v>
      </c>
      <c r="E11401" t="s">
        <v>13730</v>
      </c>
      <c r="F11401" t="s">
        <v>21969</v>
      </c>
      <c r="G11401" t="s">
        <v>14</v>
      </c>
      <c r="H11401">
             </c>
      <c r="I11401" t="s">
        <v>14</v>
      </c>
      <c r="J11401" t="s">
        <v>141</v>
      </c>
      <c r="K11401" t="s">
        <v>14</v>
      </c>
      <c r="L11401" t="s">
        <v>20</v>
      </c>
      <c r="M11401" t="s">
        <v>21815</v>
      </c>
      <c r="N11401" t="s">
        <v>14</v>
      </c>
    </row>
    <row r="11402" x14ac:dyDescent="0.25">
      <c r="A11402" t="n">
        <v>24</v>
      </c>
      <c r="B11402" t="s">
        <v>14</v>
      </c>
      <c r="C11402" t="s">
        <v>22</v>
      </c>
      <c r="D11402" s="2" t="s">
        <f>=HYPERLINK("https://main.knesset.gov.il/APPS/legislation/main/bills/2156599", "הצעת חוק-יסוד: כבוד האדם וחירותו (תיקון - הזכות לשוויון)")</f>
        <v>2676</v>
      </c>
      <c r="E11402" t="s">
        <v>2676</v>
      </c>
      <c r="F11402" t="s">
        <v>21970</v>
      </c>
      <c r="G11402" t="s">
        <v>14</v>
      </c>
      <c r="H11402">
             </c>
      <c r="I11402" t="s">
        <v>14</v>
      </c>
      <c r="J11402" t="s">
        <v>141</v>
      </c>
      <c r="K11402" t="s">
        <v>14</v>
      </c>
      <c r="L11402" t="s">
        <v>20</v>
      </c>
      <c r="M11402" t="s">
        <v>21815</v>
      </c>
      <c r="N11402" t="s">
        <v>14</v>
      </c>
    </row>
    <row r="11403" x14ac:dyDescent="0.25">
      <c r="A11403" t="n">
        <v>24</v>
      </c>
      <c r="B11403" t="s">
        <v>14</v>
      </c>
      <c r="C11403" t="s">
        <v>22</v>
      </c>
      <c r="D11403" s="2" t="s">
        <f>=HYPERLINK("https://main.knesset.gov.il/APPS/legislation/main/bills/2156967", "הצעת חוק הספורט (תיקון - זכויות ספורטאי בוגר), התשפ""א-2021")</f>
        <v>21971</v>
      </c>
      <c r="E11403" t="s">
        <v>21971</v>
      </c>
      <c r="F11403" t="s">
        <v>21972</v>
      </c>
      <c r="G11403" t="s">
        <v>14</v>
      </c>
      <c r="H11403">
             </c>
      <c r="I11403" t="s">
        <v>14</v>
      </c>
      <c r="J11403" t="s">
        <v>141</v>
      </c>
      <c r="K11403" t="s">
        <v>14</v>
      </c>
      <c r="L11403" t="s">
        <v>20</v>
      </c>
      <c r="M11403" t="s">
        <v>21815</v>
      </c>
      <c r="N11403" t="s">
        <v>14</v>
      </c>
    </row>
    <row r="11404" x14ac:dyDescent="0.25">
      <c r="A11404" t="n">
        <v>24</v>
      </c>
      <c r="B11404" t="s">
        <v>14</v>
      </c>
      <c r="C11404" t="s">
        <v>22</v>
      </c>
      <c r="D11404" s="2" t="s">
        <f>=HYPERLINK("https://main.knesset.gov.il/APPS/legislation/main/bills/2156965", "הצעת חוק זכויות הסטודנט (תיקון - מסלולי לימוד נפרדים), התשפ""א-2021")</f>
        <v>19533</v>
      </c>
      <c r="E11404" t="s">
        <v>19533</v>
      </c>
      <c r="F11404" t="s">
        <v>21973</v>
      </c>
      <c r="G11404" t="s">
        <v>14</v>
      </c>
      <c r="H11404">
             </c>
      <c r="I11404" t="s">
        <v>14</v>
      </c>
      <c r="J11404" t="s">
        <v>141</v>
      </c>
      <c r="K11404" t="s">
        <v>14</v>
      </c>
      <c r="L11404" t="s">
        <v>20</v>
      </c>
      <c r="M11404" t="s">
        <v>21815</v>
      </c>
      <c r="N11404" t="s">
        <v>14</v>
      </c>
    </row>
    <row r="11405" x14ac:dyDescent="0.25">
      <c r="A11405" t="n">
        <v>24</v>
      </c>
      <c r="B11405" t="s">
        <v>14</v>
      </c>
      <c r="C11405" t="s">
        <v>22</v>
      </c>
      <c r="D11405" s="2" t="s">
        <f>=HYPERLINK("https://main.knesset.gov.il/APPS/legislation/main/bills/2156596", "הצעת חוק-יסוד: השפיטה (תיקון - מינוי שופטים לבית המשפט העליון וקציבת כהונתם)")</f>
        <v>11368</v>
      </c>
      <c r="E11405" t="s">
        <v>11368</v>
      </c>
      <c r="F11405" t="s">
        <v>21974</v>
      </c>
      <c r="G11405" t="s">
        <v>14</v>
      </c>
      <c r="H11405">
             </c>
      <c r="I11405" t="s">
        <v>14</v>
      </c>
      <c r="J11405" t="s">
        <v>141</v>
      </c>
      <c r="K11405" t="s">
        <v>14</v>
      </c>
      <c r="L11405" t="s">
        <v>20</v>
      </c>
      <c r="M11405" t="s">
        <v>21815</v>
      </c>
      <c r="N11405" t="s">
        <v>14</v>
      </c>
    </row>
    <row r="11406" x14ac:dyDescent="0.25">
      <c r="A11406" t="n">
        <v>24</v>
      </c>
      <c r="B11406" t="s">
        <v>14</v>
      </c>
      <c r="C11406" t="s">
        <v>22</v>
      </c>
      <c r="D11406" s="2" t="s">
        <f>=HYPERLINK("https://main.knesset.gov.il/APPS/legislation/main/bills/2156946", "הצעת חוק הדרכונים (תיקון - מתן דרכון לעולה), התשפ""א-2021")</f>
        <v>21975</v>
      </c>
      <c r="E11406" t="s">
        <v>21975</v>
      </c>
      <c r="F11406" t="s">
        <v>21976</v>
      </c>
      <c r="G11406" t="s">
        <v>14</v>
      </c>
      <c r="H11406">
             </c>
      <c r="I11406" t="s">
        <v>14</v>
      </c>
      <c r="J11406" t="s">
        <v>141</v>
      </c>
      <c r="K11406" t="s">
        <v>14</v>
      </c>
      <c r="L11406" t="s">
        <v>20</v>
      </c>
      <c r="M11406" t="s">
        <v>21815</v>
      </c>
      <c r="N11406" t="s">
        <v>14</v>
      </c>
    </row>
    <row r="11407" x14ac:dyDescent="0.25">
      <c r="A11407" t="n">
        <v>24</v>
      </c>
      <c r="B11407" t="s">
        <v>14</v>
      </c>
      <c r="C11407" t="s">
        <v>22</v>
      </c>
      <c r="D11407" s="2" t="s">
        <f>=HYPERLINK("https://main.knesset.gov.il/APPS/legislation/main/bills/2156138", "הצעת חוק לתיקון פקודת הסמים המסוכנים (החזקה או שימוש לצריכה עצמית של סם מסוג קנבוס או שרף של קנבוס), התשפ""א-2021")</f>
        <v>19061</v>
      </c>
      <c r="E11407" t="s">
        <v>19061</v>
      </c>
      <c r="F11407" t="s">
        <v>21977</v>
      </c>
      <c r="G11407" t="s">
        <v>14</v>
      </c>
      <c r="H11407">
             </c>
      <c r="I11407" t="s">
        <v>14</v>
      </c>
      <c r="J11407" t="s">
        <v>141</v>
      </c>
      <c r="K11407" t="s">
        <v>14</v>
      </c>
      <c r="L11407" t="s">
        <v>20</v>
      </c>
      <c r="M11407" t="s">
        <v>21815</v>
      </c>
      <c r="N11407" t="s">
        <v>14</v>
      </c>
    </row>
    <row r="11408" x14ac:dyDescent="0.25">
      <c r="A11408" t="n">
        <v>24</v>
      </c>
      <c r="B11408" t="s">
        <v>14</v>
      </c>
      <c r="C11408" t="s">
        <v>22</v>
      </c>
      <c r="D11408" s="2" t="s">
        <f>=HYPERLINK("https://main.knesset.gov.il/APPS/legislation/main/bills/2156542", "הצעת חוק לימוד חובה (תיקון - חינוך חינם לפעוטות ולילדים), התשפ""א-2021")</f>
        <v>19953</v>
      </c>
      <c r="E11408" t="s">
        <v>19953</v>
      </c>
      <c r="F11408" t="s">
        <v>21978</v>
      </c>
      <c r="G11408" t="s">
        <v>14</v>
      </c>
      <c r="H11408">
             </c>
      <c r="I11408" t="s">
        <v>14</v>
      </c>
      <c r="J11408" t="s">
        <v>141</v>
      </c>
      <c r="K11408" t="s">
        <v>14</v>
      </c>
      <c r="L11408" t="s">
        <v>20</v>
      </c>
      <c r="M11408" t="s">
        <v>21815</v>
      </c>
      <c r="N11408" t="s">
        <v>14</v>
      </c>
    </row>
    <row r="11409" x14ac:dyDescent="0.25">
      <c r="A11409" t="n">
        <v>24</v>
      </c>
      <c r="B11409" t="s">
        <v>14</v>
      </c>
      <c r="C11409" t="s">
        <v>22</v>
      </c>
      <c r="D11409" s="2" t="s">
        <f>=HYPERLINK("https://main.knesset.gov.il/APPS/legislation/main/bills/2156104", "הצעת חוק צער בעלי חיים (הגנה על בעלי חיים) (תיקון - איסור משלוחים חיים לשחיטה), התשפ""א-2021")</f>
        <v>19324</v>
      </c>
      <c r="E11409" t="s">
        <v>19324</v>
      </c>
      <c r="F11409" t="s">
        <v>21979</v>
      </c>
      <c r="G11409" t="s">
        <v>14</v>
      </c>
      <c r="H11409">
             </c>
      <c r="I11409" t="s">
        <v>14</v>
      </c>
      <c r="J11409" t="s">
        <v>141</v>
      </c>
      <c r="K11409" t="s">
        <v>14</v>
      </c>
      <c r="L11409" t="s">
        <v>20</v>
      </c>
      <c r="M11409" t="s">
        <v>21815</v>
      </c>
      <c r="N11409" t="s">
        <v>14</v>
      </c>
    </row>
    <row r="11410" x14ac:dyDescent="0.25">
      <c r="A11410" t="n">
        <v>24</v>
      </c>
      <c r="B11410" t="s">
        <v>14</v>
      </c>
      <c r="C11410" t="s">
        <v>22</v>
      </c>
      <c r="D11410" s="2" t="s">
        <f>=HYPERLINK("https://main.knesset.gov.il/APPS/legislation/main/bills/2156930", "הצעת חוק למניעת אלימות כלכלית בין בני זוג ובני משפחה, התשפ""א-2021")</f>
        <v>21980</v>
      </c>
      <c r="E11410" t="s">
        <v>21980</v>
      </c>
      <c r="F11410" t="s">
        <v>21981</v>
      </c>
      <c r="G11410" t="s">
        <v>14</v>
      </c>
      <c r="H11410">
             </c>
      <c r="I11410" t="s">
        <v>14</v>
      </c>
      <c r="J11410" t="s">
        <v>141</v>
      </c>
      <c r="K11410" t="s">
        <v>14</v>
      </c>
      <c r="L11410" t="s">
        <v>20</v>
      </c>
      <c r="M11410" t="s">
        <v>21815</v>
      </c>
      <c r="N11410" t="s">
        <v>14</v>
      </c>
    </row>
    <row r="11411" x14ac:dyDescent="0.25">
      <c r="A11411" t="n">
        <v>24</v>
      </c>
      <c r="B11411" t="s">
        <v>14</v>
      </c>
      <c r="C11411" t="s">
        <v>22</v>
      </c>
      <c r="D11411" s="2" t="s">
        <f>=HYPERLINK("https://main.knesset.gov.il/APPS/legislation/main/bills/2156529", "הצעת חוק הביטוח הלאומי (תיקון - מענק לידה אחיד מילד שני ואילך), התשפ""א-2021")</f>
        <v>21982</v>
      </c>
      <c r="E11411" t="s">
        <v>21982</v>
      </c>
      <c r="F11411" t="s">
        <v>21983</v>
      </c>
      <c r="G11411" t="s">
        <v>14</v>
      </c>
      <c r="H11411">
             </c>
      <c r="I11411" t="s">
        <v>14</v>
      </c>
      <c r="J11411" t="s">
        <v>141</v>
      </c>
      <c r="K11411" t="s">
        <v>14</v>
      </c>
      <c r="L11411" t="s">
        <v>20</v>
      </c>
      <c r="M11411" t="s">
        <v>21815</v>
      </c>
      <c r="N11411" t="s">
        <v>14</v>
      </c>
    </row>
    <row r="11412" x14ac:dyDescent="0.25">
      <c r="A11412" t="n">
        <v>24</v>
      </c>
      <c r="B11412" t="s">
        <v>14</v>
      </c>
      <c r="C11412" t="s">
        <v>22</v>
      </c>
      <c r="D11412" s="2" t="s">
        <f>=HYPERLINK("https://main.knesset.gov.il/APPS/legislation/main/bills/2156503", "הצעת חוק הביטוח הלאומי (תיקון - התפטרות הורה על מנת לטפל בילדו), התשפ""א-2021")</f>
        <v>21984</v>
      </c>
      <c r="E11412" t="s">
        <v>21984</v>
      </c>
      <c r="F11412" t="s">
        <v>21985</v>
      </c>
      <c r="G11412" t="s">
        <v>14</v>
      </c>
      <c r="H11412">
             </c>
      <c r="I11412" t="s">
        <v>14</v>
      </c>
      <c r="J11412" t="s">
        <v>141</v>
      </c>
      <c r="K11412" t="s">
        <v>14</v>
      </c>
      <c r="L11412" t="s">
        <v>20</v>
      </c>
      <c r="M11412" t="s">
        <v>21815</v>
      </c>
      <c r="N11412" t="s">
        <v>14</v>
      </c>
    </row>
    <row r="11413" x14ac:dyDescent="0.25">
      <c r="A11413" t="n">
        <v>24</v>
      </c>
      <c r="B11413" t="s">
        <v>14</v>
      </c>
      <c r="C11413" t="s">
        <v>22</v>
      </c>
      <c r="D11413" s="2" t="s">
        <f>=HYPERLINK("https://main.knesset.gov.il/APPS/legislation/main/bills/2156757", "הצעת חוק זכויות הסטודנט (תיקון - חובת דיווח שנתית בדבר תלונות סטודנטים לוועדת החינוך, התרבות והספורט של הכנסת), התשפ""א-2021")</f>
        <v>21986</v>
      </c>
      <c r="E11413" t="s">
        <v>21986</v>
      </c>
      <c r="F11413" t="s">
        <v>21987</v>
      </c>
      <c r="G11413" t="s">
        <v>14</v>
      </c>
      <c r="H11413">
             </c>
      <c r="I11413" t="s">
        <v>14</v>
      </c>
      <c r="J11413" t="s">
        <v>141</v>
      </c>
      <c r="K11413" t="s">
        <v>14</v>
      </c>
      <c r="L11413" t="s">
        <v>20</v>
      </c>
      <c r="M11413" t="s">
        <v>21815</v>
      </c>
      <c r="N11413" t="s">
        <v>14</v>
      </c>
    </row>
    <row r="11414" x14ac:dyDescent="0.25">
      <c r="A11414" t="n">
        <v>24</v>
      </c>
      <c r="B11414" t="s">
        <v>14</v>
      </c>
      <c r="C11414" t="s">
        <v>22</v>
      </c>
      <c r="D11414" s="2" t="s">
        <f>=HYPERLINK("https://main.knesset.gov.il/APPS/legislation/main/bills/2156493", "הצעת חוק תקופת לידה והורות להורים (תיקוני חקיקה), התשפ""א-2021")</f>
        <v>21988</v>
      </c>
      <c r="E11414" t="s">
        <v>21988</v>
      </c>
      <c r="F11414" t="s">
        <v>21989</v>
      </c>
      <c r="G11414" t="s">
        <v>14</v>
      </c>
      <c r="H11414">
             </c>
      <c r="I11414" t="s">
        <v>14</v>
      </c>
      <c r="J11414" t="s">
        <v>141</v>
      </c>
      <c r="K11414" t="s">
        <v>14</v>
      </c>
      <c r="L11414" t="s">
        <v>20</v>
      </c>
      <c r="M11414" t="s">
        <v>21815</v>
      </c>
      <c r="N11414" t="s">
        <v>14</v>
      </c>
    </row>
    <row r="11415" x14ac:dyDescent="0.25">
      <c r="A11415" t="n">
        <v>24</v>
      </c>
      <c r="B11415" t="s">
        <v>14</v>
      </c>
      <c r="C11415" t="s">
        <v>22</v>
      </c>
      <c r="D11415" s="2" t="s">
        <f>=HYPERLINK("https://main.knesset.gov.il/APPS/legislation/main/bills/2156750", "הצעת חוק תקצוב מיוחד לרשויות חינוך מקומיות מרוחקות, התשפ""א-2021")</f>
        <v>21990</v>
      </c>
      <c r="E11415" t="s">
        <v>21990</v>
      </c>
      <c r="F11415" t="s">
        <v>21991</v>
      </c>
      <c r="G11415" t="s">
        <v>14</v>
      </c>
      <c r="H11415">
             </c>
      <c r="I11415" t="s">
        <v>14</v>
      </c>
      <c r="J11415" t="s">
        <v>141</v>
      </c>
      <c r="K11415" t="s">
        <v>14</v>
      </c>
      <c r="L11415" t="s">
        <v>20</v>
      </c>
      <c r="M11415" t="s">
        <v>21815</v>
      </c>
      <c r="N11415" t="s">
        <v>14</v>
      </c>
    </row>
    <row r="11416" x14ac:dyDescent="0.25">
      <c r="A11416" t="n">
        <v>24</v>
      </c>
      <c r="B11416" t="s">
        <v>14</v>
      </c>
      <c r="C11416" t="s">
        <v>22</v>
      </c>
      <c r="D11416" s="2" t="s">
        <f>=HYPERLINK("https://main.knesset.gov.il/APPS/legislation/main/bills/2156084", "הצעת חוק דמי מחלה (היעדרות בשל מחלת ילד) (תיקון - היעדרות בעקבות תקיפה או התעללות בילד), התשפ""א-2021")</f>
        <v>21992</v>
      </c>
      <c r="E11416" t="s">
        <v>21992</v>
      </c>
      <c r="F11416" t="s">
        <v>21993</v>
      </c>
      <c r="G11416" t="s">
        <v>14</v>
      </c>
      <c r="H11416">
             </c>
      <c r="I11416" t="s">
        <v>14</v>
      </c>
      <c r="J11416" t="s">
        <v>141</v>
      </c>
      <c r="K11416" t="s">
        <v>14</v>
      </c>
      <c r="L11416" t="s">
        <v>20</v>
      </c>
      <c r="M11416" t="s">
        <v>21815</v>
      </c>
      <c r="N11416" t="s">
        <v>14</v>
      </c>
    </row>
    <row r="11417" x14ac:dyDescent="0.25">
      <c r="A11417" t="n">
        <v>24</v>
      </c>
      <c r="B11417" t="s">
        <v>14</v>
      </c>
      <c r="C11417" t="s">
        <v>22</v>
      </c>
      <c r="D11417" s="2" t="s">
        <f>=HYPERLINK("https://main.knesset.gov.il/APPS/legislation/main/bills/2156065", "הצעת חוק-יסוד: הממשלה (תיקון - בחירה ישירה לראש הממשלה וחלוקת מנדטים לסיעות הקואליציה)")</f>
        <v>14184</v>
      </c>
      <c r="E11417" t="s">
        <v>14184</v>
      </c>
      <c r="F11417" t="s">
        <v>21994</v>
      </c>
      <c r="G11417" t="s">
        <v>14</v>
      </c>
      <c r="H11417">
             </c>
      <c r="I11417" t="s">
        <v>14</v>
      </c>
      <c r="J11417" t="s">
        <v>141</v>
      </c>
      <c r="K11417" t="s">
        <v>14</v>
      </c>
      <c r="L11417" t="s">
        <v>20</v>
      </c>
      <c r="M11417" t="s">
        <v>21815</v>
      </c>
      <c r="N11417" t="s">
        <v>14</v>
      </c>
    </row>
    <row r="11418" x14ac:dyDescent="0.25">
      <c r="A11418" t="n">
        <v>24</v>
      </c>
      <c r="B11418" t="s">
        <v>14</v>
      </c>
      <c r="C11418" t="s">
        <v>22</v>
      </c>
      <c r="D11418" s="2" t="s">
        <f>=HYPERLINK("https://main.knesset.gov.il/APPS/legislation/main/bills/2156747", "הצעת חוק העסקת עובדי הוראה, התשפ""א-2021")</f>
        <v>20281</v>
      </c>
      <c r="E11418" t="s">
        <v>20281</v>
      </c>
      <c r="F11418" t="s">
        <v>21995</v>
      </c>
      <c r="G11418" t="s">
        <v>14</v>
      </c>
      <c r="H11418">
             </c>
      <c r="I11418" t="s">
        <v>14</v>
      </c>
      <c r="J11418" t="s">
        <v>141</v>
      </c>
      <c r="K11418" t="s">
        <v>14</v>
      </c>
      <c r="L11418" t="s">
        <v>20</v>
      </c>
      <c r="M11418" t="s">
        <v>21815</v>
      </c>
      <c r="N11418" t="s">
        <v>14</v>
      </c>
    </row>
    <row r="11419" x14ac:dyDescent="0.25">
      <c r="A11419" t="n">
        <v>24</v>
      </c>
      <c r="B11419" t="s">
        <v>14</v>
      </c>
      <c r="C11419" t="s">
        <v>22</v>
      </c>
      <c r="D11419" s="2" t="s">
        <f>=HYPERLINK("https://main.knesset.gov.il/APPS/legislation/main/bills/2156491", "הצעת חוק התכנון והבנייה (תיקון - שומה מתוקנת מוסכמת), התשפ""א-2021")</f>
        <v>21996</v>
      </c>
      <c r="E11419" t="s">
        <v>21996</v>
      </c>
      <c r="F11419" t="s">
        <v>21997</v>
      </c>
      <c r="G11419" t="s">
        <v>14</v>
      </c>
      <c r="H11419">
             </c>
      <c r="I11419" t="s">
        <v>14</v>
      </c>
      <c r="J11419" t="s">
        <v>141</v>
      </c>
      <c r="K11419" t="s">
        <v>14</v>
      </c>
      <c r="L11419" t="s">
        <v>20</v>
      </c>
      <c r="M11419" t="s">
        <v>21815</v>
      </c>
      <c r="N11419" t="s">
        <v>14</v>
      </c>
    </row>
    <row r="11420" x14ac:dyDescent="0.25">
      <c r="A11420" t="n">
        <v>24</v>
      </c>
      <c r="B11420" t="s">
        <v>14</v>
      </c>
      <c r="C11420" t="s">
        <v>22</v>
      </c>
      <c r="D11420" s="2" t="s">
        <f>=HYPERLINK("https://main.knesset.gov.il/APPS/legislation/main/bills/2156746", "הצעת חוק זכויות תלמידים מחוננים ומצטיינים, התשפ""א-2021")</f>
        <v>21998</v>
      </c>
      <c r="E11420" t="s">
        <v>21998</v>
      </c>
      <c r="F11420" t="s">
        <v>21999</v>
      </c>
      <c r="G11420" t="s">
        <v>14</v>
      </c>
      <c r="H11420">
             </c>
      <c r="I11420" t="s">
        <v>14</v>
      </c>
      <c r="J11420" t="s">
        <v>141</v>
      </c>
      <c r="K11420" t="s">
        <v>14</v>
      </c>
      <c r="L11420" t="s">
        <v>20</v>
      </c>
      <c r="M11420" t="s">
        <v>21815</v>
      </c>
      <c r="N11420" t="s">
        <v>14</v>
      </c>
    </row>
    <row r="11421" x14ac:dyDescent="0.25">
      <c r="A11421" t="n">
        <v>24</v>
      </c>
      <c r="B11421" t="s">
        <v>14</v>
      </c>
      <c r="C11421" t="s">
        <v>22</v>
      </c>
      <c r="D11421" s="2" t="s">
        <f>=HYPERLINK("https://main.knesset.gov.il/APPS/legislation/main/bills/2156450", "הצעת חוק שירות הציבור (הגבלות לאחר פרישה) (תיקון - תקופת צינון לשוטרים בתפקידי חקירה ומודיעין), התשפ""א-2021")</f>
        <v>22000</v>
      </c>
      <c r="E11421" t="s">
        <v>22000</v>
      </c>
      <c r="F11421" t="s">
        <v>22001</v>
      </c>
      <c r="G11421" t="s">
        <v>14</v>
      </c>
      <c r="H11421">
             </c>
      <c r="I11421" t="s">
        <v>14</v>
      </c>
      <c r="J11421" t="s">
        <v>141</v>
      </c>
      <c r="K11421" t="s">
        <v>14</v>
      </c>
      <c r="L11421" t="s">
        <v>20</v>
      </c>
      <c r="M11421" t="s">
        <v>21815</v>
      </c>
      <c r="N11421" t="s">
        <v>14</v>
      </c>
    </row>
    <row r="11422" x14ac:dyDescent="0.25">
      <c r="A11422" t="n">
        <v>24</v>
      </c>
      <c r="B11422" t="s">
        <v>14</v>
      </c>
      <c r="C11422" t="s">
        <v>22</v>
      </c>
      <c r="D11422" s="2" t="s">
        <f>=HYPERLINK("https://main.knesset.gov.il/APPS/legislation/main/bills/2156055", "הצעת חוק שירות המדינה (מינויים) (תיקון - הכרה בלימודים תורניים גבוהים לעניין תנאי סף), התשפ""א-2021")</f>
        <v>22002</v>
      </c>
      <c r="E11422" t="s">
        <v>22002</v>
      </c>
      <c r="F11422" t="s">
        <v>22003</v>
      </c>
      <c r="G11422" t="s">
        <v>14</v>
      </c>
      <c r="H11422">
             </c>
      <c r="I11422" t="s">
        <v>14</v>
      </c>
      <c r="J11422" t="s">
        <v>141</v>
      </c>
      <c r="K11422" t="s">
        <v>14</v>
      </c>
      <c r="L11422" t="s">
        <v>20</v>
      </c>
      <c r="M11422" t="s">
        <v>21815</v>
      </c>
      <c r="N11422" t="s">
        <v>14</v>
      </c>
    </row>
    <row r="11423" x14ac:dyDescent="0.25">
      <c r="A11423" t="n">
        <v>24</v>
      </c>
      <c r="B11423" t="s">
        <v>14</v>
      </c>
      <c r="C11423" t="s">
        <v>22</v>
      </c>
      <c r="D11423" s="2" t="s">
        <f>=HYPERLINK("https://main.knesset.gov.il/APPS/legislation/main/bills/2156424", "הצעת חוק קליטת חיילים משוחררים (תיקון - הטבות לחיילים משוחררים בודדים), התשפ""א-2021")</f>
        <v>22004</v>
      </c>
      <c r="E11423" t="s">
        <v>22004</v>
      </c>
      <c r="F11423" t="s">
        <v>22005</v>
      </c>
      <c r="G11423" t="s">
        <v>14</v>
      </c>
      <c r="H11423">
             </c>
      <c r="I11423" t="s">
        <v>14</v>
      </c>
      <c r="J11423" t="s">
        <v>141</v>
      </c>
      <c r="K11423" t="s">
        <v>14</v>
      </c>
      <c r="L11423" t="s">
        <v>20</v>
      </c>
      <c r="M11423" t="s">
        <v>21815</v>
      </c>
      <c r="N11423" t="s">
        <v>14</v>
      </c>
    </row>
    <row r="11424" x14ac:dyDescent="0.25">
      <c r="A11424" t="n">
        <v>24</v>
      </c>
      <c r="B11424" t="s">
        <v>14</v>
      </c>
      <c r="C11424" t="s">
        <v>22</v>
      </c>
      <c r="D11424" s="2" t="s">
        <f>=HYPERLINK("https://main.knesset.gov.il/APPS/legislation/main/bills/2156418", "הצעת חוק הפרטת תאגיד השידור הציבורי הישראלי, התשפ""א-2021")</f>
        <v>22006</v>
      </c>
      <c r="E11424" t="s">
        <v>22006</v>
      </c>
      <c r="F11424" t="s">
        <v>22007</v>
      </c>
      <c r="G11424" t="s">
        <v>14</v>
      </c>
      <c r="H11424">
             </c>
      <c r="I11424" t="s">
        <v>14</v>
      </c>
      <c r="J11424" t="s">
        <v>141</v>
      </c>
      <c r="K11424" t="s">
        <v>14</v>
      </c>
      <c r="L11424" t="s">
        <v>20</v>
      </c>
      <c r="M11424" t="s">
        <v>21815</v>
      </c>
      <c r="N11424" t="s">
        <v>14</v>
      </c>
    </row>
    <row r="11425" x14ac:dyDescent="0.25">
      <c r="A11425" t="n">
        <v>24</v>
      </c>
      <c r="B11425" t="s">
        <v>14</v>
      </c>
      <c r="C11425" t="s">
        <v>22</v>
      </c>
      <c r="D11425" s="2" t="s">
        <f>=HYPERLINK("https://main.knesset.gov.il/APPS/legislation/main/bills/2156402", "הצעת חוק לתיקון פקודת מס הכנסה (ניכוי תשלומים לביטוח בריאות לעצמאים), התשפ״א-2021")</f>
        <v>22008</v>
      </c>
      <c r="E11425" t="s">
        <v>22008</v>
      </c>
      <c r="F11425" t="s">
        <v>22009</v>
      </c>
      <c r="G11425" t="s">
        <v>14</v>
      </c>
      <c r="H11425">
             </c>
      <c r="I11425" t="s">
        <v>14</v>
      </c>
      <c r="J11425" t="s">
        <v>141</v>
      </c>
      <c r="K11425" t="s">
        <v>14</v>
      </c>
      <c r="L11425" t="s">
        <v>20</v>
      </c>
      <c r="M11425" t="s">
        <v>21815</v>
      </c>
      <c r="N11425" t="s">
        <v>14</v>
      </c>
    </row>
    <row r="11426" x14ac:dyDescent="0.25">
      <c r="A11426" t="n">
        <v>24</v>
      </c>
      <c r="B11426" t="s">
        <v>14</v>
      </c>
      <c r="C11426" t="s">
        <v>22</v>
      </c>
      <c r="D11426" s="2" t="s">
        <f>=HYPERLINK("https://main.knesset.gov.il/APPS/legislation/main/bills/2157224", "הצעת חוק הביטוח הלאומי (תיקון - הארכת המועד להגשת תביעה לגמלה והתקופה שבעדה תשולם), התשפ""א-2021")</f>
        <v>22010</v>
      </c>
      <c r="E11426" t="s">
        <v>22010</v>
      </c>
      <c r="F11426" t="s">
        <v>22011</v>
      </c>
      <c r="G11426" t="s">
        <v>14</v>
      </c>
      <c r="H11426">
             </c>
      <c r="I11426" t="s">
        <v>14</v>
      </c>
      <c r="J11426" t="s">
        <v>141</v>
      </c>
      <c r="K11426" t="s">
        <v>14</v>
      </c>
      <c r="L11426" t="s">
        <v>20</v>
      </c>
      <c r="M11426" t="s">
        <v>21815</v>
      </c>
      <c r="N11426" t="s">
        <v>14</v>
      </c>
    </row>
    <row r="11427" x14ac:dyDescent="0.25">
      <c r="A11427" t="n">
        <v>24</v>
      </c>
      <c r="B11427" t="s">
        <v>14</v>
      </c>
      <c r="C11427" t="s">
        <v>22</v>
      </c>
      <c r="D11427" s="2" t="s">
        <f>=HYPERLINK("https://main.knesset.gov.il/APPS/legislation/main/bills/2157372", "הצעת חוק הביטוח הלאומי (תיקון - דמי אבטלה לעצמאים), התשפ""א-2021")</f>
        <v>18352</v>
      </c>
      <c r="E11427" t="s">
        <v>18352</v>
      </c>
      <c r="F11427" t="s">
        <v>22012</v>
      </c>
      <c r="G11427" t="s">
        <v>14</v>
      </c>
      <c r="H11427">
             </c>
      <c r="I11427" t="s">
        <v>14</v>
      </c>
      <c r="J11427" t="s">
        <v>141</v>
      </c>
      <c r="K11427" t="s">
        <v>14</v>
      </c>
      <c r="L11427" t="s">
        <v>20</v>
      </c>
      <c r="M11427" t="s">
        <v>21815</v>
      </c>
      <c r="N11427" t="s">
        <v>14</v>
      </c>
    </row>
    <row r="11428" x14ac:dyDescent="0.25">
      <c r="A11428" t="n">
        <v>24</v>
      </c>
      <c r="B11428" t="s">
        <v>14</v>
      </c>
      <c r="C11428" t="s">
        <v>22</v>
      </c>
      <c r="D11428" s="2" t="s">
        <f>=HYPERLINK("https://main.knesset.gov.il/APPS/legislation/main/bills/2157183", "הצעת חוק לתיקון פקודת התעבורה (הגבלת תשלום בעד חניה במוסד רפואי), התשפ""א-2021")</f>
        <v>16704</v>
      </c>
      <c r="E11428" t="s">
        <v>16704</v>
      </c>
      <c r="F11428" t="s">
        <v>22013</v>
      </c>
      <c r="G11428" t="s">
        <v>14</v>
      </c>
      <c r="H11428">
             </c>
      <c r="I11428" t="s">
        <v>14</v>
      </c>
      <c r="J11428" t="s">
        <v>141</v>
      </c>
      <c r="K11428" t="s">
        <v>14</v>
      </c>
      <c r="L11428" t="s">
        <v>20</v>
      </c>
      <c r="M11428" t="s">
        <v>21815</v>
      </c>
      <c r="N11428" t="s">
        <v>14</v>
      </c>
    </row>
    <row r="11429" x14ac:dyDescent="0.25">
      <c r="A11429" t="n">
        <v>24</v>
      </c>
      <c r="B11429" t="s">
        <v>14</v>
      </c>
      <c r="C11429" t="s">
        <v>22</v>
      </c>
      <c r="D11429" s="2" t="s">
        <f>=HYPERLINK("https://main.knesset.gov.il/APPS/legislation/main/bills/2156977", "הצעת חוק הגנת הצרכן (תיקון - השוואת תנאי צרכן ועוסק בעניין החזרת טובין), התשפ""א-2021")</f>
        <v>22014</v>
      </c>
      <c r="E11429" t="s">
        <v>22014</v>
      </c>
      <c r="F11429" t="s">
        <v>22015</v>
      </c>
      <c r="G11429" t="s">
        <v>14</v>
      </c>
      <c r="H11429">
             </c>
      <c r="I11429" t="s">
        <v>14</v>
      </c>
      <c r="J11429" t="s">
        <v>141</v>
      </c>
      <c r="K11429" t="s">
        <v>14</v>
      </c>
      <c r="L11429" t="s">
        <v>20</v>
      </c>
      <c r="M11429" t="s">
        <v>21815</v>
      </c>
      <c r="N11429" t="s">
        <v>14</v>
      </c>
    </row>
    <row r="11430" x14ac:dyDescent="0.25">
      <c r="A11430" t="n">
        <v>24</v>
      </c>
      <c r="B11430" t="s">
        <v>14</v>
      </c>
      <c r="C11430" t="s">
        <v>22</v>
      </c>
      <c r="D11430" s="2" t="s">
        <f>=HYPERLINK("https://main.knesset.gov.il/APPS/legislation/main/bills/2156894", "הצעת חוק הביטוח הלאומי (תיקון - ביטוח זכויות עצמאי שעיקר הכנסתו מעסק בהליכי חדלות פירעון), התשפ""א-2021")</f>
        <v>22016</v>
      </c>
      <c r="E11430" t="s">
        <v>22016</v>
      </c>
      <c r="F11430" t="s">
        <v>22017</v>
      </c>
      <c r="G11430" t="s">
        <v>14</v>
      </c>
      <c r="H11430">
             </c>
      <c r="I11430" t="s">
        <v>14</v>
      </c>
      <c r="J11430" t="s">
        <v>141</v>
      </c>
      <c r="K11430" t="s">
        <v>14</v>
      </c>
      <c r="L11430" t="s">
        <v>20</v>
      </c>
      <c r="M11430" t="s">
        <v>21815</v>
      </c>
      <c r="N11430" t="s">
        <v>14</v>
      </c>
    </row>
    <row r="11431" x14ac:dyDescent="0.25">
      <c r="A11431" t="n">
        <v>24</v>
      </c>
      <c r="B11431" t="s">
        <v>14</v>
      </c>
      <c r="C11431" t="s">
        <v>22</v>
      </c>
      <c r="D11431" s="2" t="s">
        <f>=HYPERLINK("https://main.knesset.gov.il/APPS/legislation/main/bills/2156876", "הצעת חוק הפרטת תחנת גלי צה""ל, התשפ""א-2021")</f>
        <v>22018</v>
      </c>
      <c r="E11431" t="s">
        <v>22018</v>
      </c>
      <c r="F11431" t="s">
        <v>22019</v>
      </c>
      <c r="G11431" t="s">
        <v>14</v>
      </c>
      <c r="H11431">
             </c>
      <c r="I11431" t="s">
        <v>14</v>
      </c>
      <c r="J11431" t="s">
        <v>141</v>
      </c>
      <c r="K11431" t="s">
        <v>14</v>
      </c>
      <c r="L11431" t="s">
        <v>20</v>
      </c>
      <c r="M11431" t="s">
        <v>21815</v>
      </c>
      <c r="N11431" t="s">
        <v>14</v>
      </c>
    </row>
    <row r="11432" x14ac:dyDescent="0.25">
      <c r="A11432" t="n">
        <v>24</v>
      </c>
      <c r="B11432" t="s">
        <v>14</v>
      </c>
      <c r="C11432" t="s">
        <v>22</v>
      </c>
      <c r="D11432" s="2" t="s">
        <f>=HYPERLINK("https://main.knesset.gov.il/APPS/legislation/main/bills/2156430", "הצעת חוק הפרטת תחנת גלי צה""ל, התשפ""א-2021")</f>
        <v>22018</v>
      </c>
      <c r="E11432" t="s">
        <v>22018</v>
      </c>
      <c r="F11432" t="s">
        <v>22020</v>
      </c>
      <c r="G11432" t="s">
        <v>14</v>
      </c>
      <c r="H11432">
             </c>
      <c r="I11432" t="s">
        <v>14</v>
      </c>
      <c r="J11432" t="s">
        <v>141</v>
      </c>
      <c r="K11432" t="s">
        <v>14</v>
      </c>
      <c r="L11432" t="s">
        <v>20</v>
      </c>
      <c r="M11432" t="s">
        <v>21815</v>
      </c>
      <c r="N11432" t="s">
        <v>14</v>
      </c>
    </row>
    <row r="11433" x14ac:dyDescent="0.25">
      <c r="A11433" t="n">
        <v>24</v>
      </c>
      <c r="B11433" t="s">
        <v>14</v>
      </c>
      <c r="C11433" t="s">
        <v>22</v>
      </c>
      <c r="D11433" s="2" t="s">
        <f>=HYPERLINK("https://main.knesset.gov.il/APPS/legislation/main/bills/2156459", "הצעת חוק חינוך מיוחד (תיקון - הרחבה לגבי מוסדות שאינם מוכרים), התשפ""א-2021")</f>
        <v>22021</v>
      </c>
      <c r="E11433" t="s">
        <v>22021</v>
      </c>
      <c r="F11433" t="s">
        <v>22022</v>
      </c>
      <c r="G11433" t="s">
        <v>14</v>
      </c>
      <c r="H11433">
             </c>
      <c r="I11433" t="s">
        <v>14</v>
      </c>
      <c r="J11433" t="s">
        <v>141</v>
      </c>
      <c r="K11433" t="s">
        <v>14</v>
      </c>
      <c r="L11433" t="s">
        <v>20</v>
      </c>
      <c r="M11433" t="s">
        <v>21815</v>
      </c>
      <c r="N11433" t="s">
        <v>14</v>
      </c>
    </row>
    <row r="11434" x14ac:dyDescent="0.25">
      <c r="A11434" t="n">
        <v>24</v>
      </c>
      <c r="B11434" t="s">
        <v>14</v>
      </c>
      <c r="C11434" t="s">
        <v>22</v>
      </c>
      <c r="D11434" s="2" t="s">
        <f>=HYPERLINK("https://main.knesset.gov.il/APPS/legislation/main/bills/2156583", "הצעת חוק הפיקוח על שירותים פיננסיים (קופות גמל) (תיקון - הגבלת דמי ניהול בקרנות הפנסיה), התשפ""א-2021")</f>
        <v>22023</v>
      </c>
      <c r="E11434" t="s">
        <v>22023</v>
      </c>
      <c r="F11434" t="s">
        <v>22024</v>
      </c>
      <c r="G11434" t="s">
        <v>14</v>
      </c>
      <c r="H11434">
             </c>
      <c r="I11434" t="s">
        <v>14</v>
      </c>
      <c r="J11434" t="s">
        <v>141</v>
      </c>
      <c r="K11434" t="s">
        <v>14</v>
      </c>
      <c r="L11434" t="s">
        <v>20</v>
      </c>
      <c r="M11434" t="s">
        <v>21815</v>
      </c>
      <c r="N11434" t="s">
        <v>14</v>
      </c>
    </row>
    <row r="11435" x14ac:dyDescent="0.25">
      <c r="A11435" t="n">
        <v>24</v>
      </c>
      <c r="B11435" t="s">
        <v>14</v>
      </c>
      <c r="C11435" t="s">
        <v>22</v>
      </c>
      <c r="D11435" s="2" t="s">
        <f>=HYPERLINK("https://main.knesset.gov.il/APPS/legislation/main/bills/2156712", "הצעת חוק לפיקוח על הפעלת צהרונים (תיקון - אמות המידה לקביעת מחיר חודשי מרבי ושיעור השתתפות המדינה), התשפ""א-2021")</f>
        <v>22025</v>
      </c>
      <c r="E11435" t="s">
        <v>22025</v>
      </c>
      <c r="F11435" t="s">
        <v>22026</v>
      </c>
      <c r="G11435" t="s">
        <v>14</v>
      </c>
      <c r="H11435">
             </c>
      <c r="I11435" t="s">
        <v>14</v>
      </c>
      <c r="J11435" t="s">
        <v>141</v>
      </c>
      <c r="K11435" t="s">
        <v>14</v>
      </c>
      <c r="L11435" t="s">
        <v>20</v>
      </c>
      <c r="M11435" t="s">
        <v>21815</v>
      </c>
      <c r="N11435" t="s">
        <v>14</v>
      </c>
    </row>
    <row r="11436" x14ac:dyDescent="0.25">
      <c r="A11436" t="n">
        <v>24</v>
      </c>
      <c r="B11436" t="s">
        <v>14</v>
      </c>
      <c r="C11436" t="s">
        <v>22</v>
      </c>
      <c r="D11436" s="2" t="s">
        <f>=HYPERLINK("https://main.knesset.gov.il/APPS/legislation/main/bills/2156727", "הצעת חוק המועצה להשכלה גבוהה (תיקון - הקמת מוסדות להשכלה גבוהה), התשפ""א-2021")</f>
        <v>20169</v>
      </c>
      <c r="E11436" t="s">
        <v>20169</v>
      </c>
      <c r="F11436" t="s">
        <v>22027</v>
      </c>
      <c r="G11436" t="s">
        <v>14</v>
      </c>
      <c r="H11436">
             </c>
      <c r="I11436" t="s">
        <v>14</v>
      </c>
      <c r="J11436" t="s">
        <v>141</v>
      </c>
      <c r="K11436" t="s">
        <v>14</v>
      </c>
      <c r="L11436" t="s">
        <v>20</v>
      </c>
      <c r="M11436" t="s">
        <v>21815</v>
      </c>
      <c r="N11436" t="s">
        <v>14</v>
      </c>
    </row>
    <row r="11437" x14ac:dyDescent="0.25">
      <c r="A11437" t="n">
        <v>24</v>
      </c>
      <c r="B11437" t="s">
        <v>14</v>
      </c>
      <c r="C11437" t="s">
        <v>22</v>
      </c>
      <c r="D11437" s="2" t="s">
        <f>=HYPERLINK("https://main.knesset.gov.il/APPS/legislation/main/bills/2157029", "הצעת חוק האפוטרופוס הכללי (תיקון - הקמת מאגר מידע לעניין כספים ללא דורש), התשפ""א-2021")</f>
        <v>20019</v>
      </c>
      <c r="E11437" t="s">
        <v>20019</v>
      </c>
      <c r="F11437" t="s">
        <v>22028</v>
      </c>
      <c r="G11437" t="s">
        <v>14</v>
      </c>
      <c r="H11437">
             </c>
      <c r="I11437" t="s">
        <v>14</v>
      </c>
      <c r="J11437" t="s">
        <v>141</v>
      </c>
      <c r="K11437" t="s">
        <v>14</v>
      </c>
      <c r="L11437" t="s">
        <v>20</v>
      </c>
      <c r="M11437" t="s">
        <v>21815</v>
      </c>
      <c r="N11437" t="s">
        <v>14</v>
      </c>
    </row>
    <row r="11438" x14ac:dyDescent="0.25">
      <c r="A11438" t="n">
        <v>24</v>
      </c>
      <c r="B11438" t="s">
        <v>14</v>
      </c>
      <c r="C11438" t="s">
        <v>22</v>
      </c>
      <c r="D11438" s="2" t="s">
        <f>=HYPERLINK("https://main.knesset.gov.il/APPS/legislation/main/bills/2156909", "הצעת חוק התובע הכללי, התשפ""א-2021")</f>
        <v>19577</v>
      </c>
      <c r="E11438" t="s">
        <v>19577</v>
      </c>
      <c r="F11438" t="s">
        <v>22029</v>
      </c>
      <c r="G11438" t="s">
        <v>14</v>
      </c>
      <c r="H11438">
             </c>
      <c r="I11438" t="s">
        <v>14</v>
      </c>
      <c r="J11438" t="s">
        <v>141</v>
      </c>
      <c r="K11438" t="s">
        <v>14</v>
      </c>
      <c r="L11438" t="s">
        <v>20</v>
      </c>
      <c r="M11438" t="s">
        <v>21815</v>
      </c>
      <c r="N11438" t="s">
        <v>14</v>
      </c>
    </row>
    <row r="11439" x14ac:dyDescent="0.25">
      <c r="A11439" t="n">
        <v>24</v>
      </c>
      <c r="B11439" t="s">
        <v>14</v>
      </c>
      <c r="C11439" t="s">
        <v>22</v>
      </c>
      <c r="D11439" s="2" t="s">
        <f>=HYPERLINK("https://main.knesset.gov.il/APPS/legislation/main/bills/2156456", "הצעת חוק הסדרת שוק הקנאביס לצריכה עצמית, התשפ""א-2021")</f>
        <v>19161</v>
      </c>
      <c r="E11439" t="s">
        <v>19161</v>
      </c>
      <c r="F11439" t="s">
        <v>22030</v>
      </c>
      <c r="G11439" t="s">
        <v>14</v>
      </c>
      <c r="H11439">
             </c>
      <c r="I11439" t="s">
        <v>14</v>
      </c>
      <c r="J11439" t="s">
        <v>141</v>
      </c>
      <c r="K11439" t="s">
        <v>14</v>
      </c>
      <c r="L11439" t="s">
        <v>20</v>
      </c>
      <c r="M11439" t="s">
        <v>21815</v>
      </c>
      <c r="N11439" t="s">
        <v>14</v>
      </c>
    </row>
    <row r="11440" x14ac:dyDescent="0.25">
      <c r="A11440" t="n">
        <v>24</v>
      </c>
      <c r="B11440" t="s">
        <v>14</v>
      </c>
      <c r="C11440" t="s">
        <v>22</v>
      </c>
      <c r="D11440" s="2" t="s">
        <f>=HYPERLINK("https://main.knesset.gov.il/APPS/legislation/main/bills/2157024", "הצעת חוק ניירות ערך (תיקון - קנס מוגדל בגין הרצת מניות), התשפ""א-2021")</f>
        <v>20291</v>
      </c>
      <c r="E11440" t="s">
        <v>20291</v>
      </c>
      <c r="F11440" t="s">
        <v>22031</v>
      </c>
      <c r="G11440" t="s">
        <v>14</v>
      </c>
      <c r="H11440">
             </c>
      <c r="I11440" t="s">
        <v>14</v>
      </c>
      <c r="J11440" t="s">
        <v>141</v>
      </c>
      <c r="K11440" t="s">
        <v>14</v>
      </c>
      <c r="L11440" t="s">
        <v>20</v>
      </c>
      <c r="M11440" t="s">
        <v>21815</v>
      </c>
      <c r="N11440" t="s">
        <v>14</v>
      </c>
    </row>
    <row r="11441" x14ac:dyDescent="0.25">
      <c r="A11441" t="n">
        <v>24</v>
      </c>
      <c r="B11441" t="s">
        <v>14</v>
      </c>
      <c r="C11441" t="s">
        <v>22</v>
      </c>
      <c r="D11441" s="2" t="s">
        <f>=HYPERLINK("https://main.knesset.gov.il/APPS/legislation/main/bills/2156375", "הצעת חוק בתי המשפט (תיקון - מחלקות לעבירות מין), התשפ""א-2021")</f>
        <v>21807</v>
      </c>
      <c r="E11441" t="s">
        <v>21807</v>
      </c>
      <c r="F11441" t="s">
        <v>22032</v>
      </c>
      <c r="G11441" t="s">
        <v>14</v>
      </c>
      <c r="H11441">
             </c>
      <c r="I11441" t="s">
        <v>14</v>
      </c>
      <c r="J11441" t="s">
        <v>141</v>
      </c>
      <c r="K11441" t="s">
        <v>14</v>
      </c>
      <c r="L11441" t="s">
        <v>20</v>
      </c>
      <c r="M11441" t="s">
        <v>21815</v>
      </c>
      <c r="N11441" t="s">
        <v>14</v>
      </c>
    </row>
    <row r="11442" x14ac:dyDescent="0.25">
      <c r="A11442" t="n">
        <v>24</v>
      </c>
      <c r="B11442" t="s">
        <v>14</v>
      </c>
      <c r="C11442" t="s">
        <v>22</v>
      </c>
      <c r="D11442" s="2" t="s">
        <f>=HYPERLINK("https://main.knesset.gov.il/APPS/legislation/main/bills/2157019", "הצעת חוק לתיקון פקודת מס הכנסה (ביטול הטבות מס לתושב חוזר ותיק), התשפ""א-2021")</f>
        <v>22033</v>
      </c>
      <c r="E11442" t="s">
        <v>22033</v>
      </c>
      <c r="F11442" t="s">
        <v>22034</v>
      </c>
      <c r="G11442" t="s">
        <v>14</v>
      </c>
      <c r="H11442">
             </c>
      <c r="I11442" t="s">
        <v>14</v>
      </c>
      <c r="J11442" t="s">
        <v>141</v>
      </c>
      <c r="K11442" t="s">
        <v>14</v>
      </c>
      <c r="L11442" t="s">
        <v>20</v>
      </c>
      <c r="M11442" t="s">
        <v>21815</v>
      </c>
      <c r="N11442" t="s">
        <v>14</v>
      </c>
    </row>
    <row r="11443" x14ac:dyDescent="0.25">
      <c r="A11443" t="n">
        <v>24</v>
      </c>
      <c r="B11443" t="s">
        <v>14</v>
      </c>
      <c r="C11443" t="s">
        <v>22</v>
      </c>
      <c r="D11443" s="2" t="s">
        <f>=HYPERLINK("https://main.knesset.gov.il/APPS/legislation/main/bills/2156387", "הצעת חוק-יסוד: נשיא המדינה (תיקון - איסור מועמדות וכהונה לנאשם או מורשע בפלילים)")</f>
        <v>11227</v>
      </c>
      <c r="E11443" t="s">
        <v>11227</v>
      </c>
      <c r="F11443" t="s">
        <v>22035</v>
      </c>
      <c r="G11443" t="s">
        <v>14</v>
      </c>
      <c r="H11443">
             </c>
      <c r="I11443" t="s">
        <v>14</v>
      </c>
      <c r="J11443" t="s">
        <v>141</v>
      </c>
      <c r="K11443" t="s">
        <v>14</v>
      </c>
      <c r="L11443" t="s">
        <v>20</v>
      </c>
      <c r="M11443" t="s">
        <v>21815</v>
      </c>
      <c r="N11443" t="s">
        <v>14</v>
      </c>
    </row>
    <row r="11444" x14ac:dyDescent="0.25">
      <c r="A11444" t="n">
        <v>24</v>
      </c>
      <c r="B11444" t="s">
        <v>14</v>
      </c>
      <c r="C11444" t="s">
        <v>22</v>
      </c>
      <c r="D11444" s="2" t="s">
        <f>=HYPERLINK("https://main.knesset.gov.il/APPS/legislation/main/bills/2157015", "הצעת חוק לאי מתן הטבות מס למוסד המקיים הפליה (תיקוני חקיקה), התשפ""א-2021")</f>
        <v>22036</v>
      </c>
      <c r="E11444" t="s">
        <v>22036</v>
      </c>
      <c r="F11444" t="s">
        <v>22037</v>
      </c>
      <c r="G11444" t="s">
        <v>14</v>
      </c>
      <c r="H11444">
             </c>
      <c r="I11444" t="s">
        <v>14</v>
      </c>
      <c r="J11444" t="s">
        <v>141</v>
      </c>
      <c r="K11444" t="s">
        <v>14</v>
      </c>
      <c r="L11444" t="s">
        <v>20</v>
      </c>
      <c r="M11444" t="s">
        <v>21815</v>
      </c>
      <c r="N11444" t="s">
        <v>14</v>
      </c>
    </row>
    <row r="11445" x14ac:dyDescent="0.25">
      <c r="A11445" t="n">
        <v>24</v>
      </c>
      <c r="B11445" t="s">
        <v>14</v>
      </c>
      <c r="C11445" t="s">
        <v>22</v>
      </c>
      <c r="D11445" s="2" t="s">
        <f>=HYPERLINK("https://main.knesset.gov.il/APPS/legislation/main/bills/2157009", "הצעת חוק לתיקון פקודת מסילות הברזל (פטור מתשלום דמי נסיעה לעגלת ילדים), התשפ""א-2021")</f>
        <v>21062</v>
      </c>
      <c r="E11445" t="s">
        <v>21062</v>
      </c>
      <c r="F11445" t="s">
        <v>22038</v>
      </c>
      <c r="G11445" t="s">
        <v>14</v>
      </c>
      <c r="H11445">
             </c>
      <c r="I11445" t="s">
        <v>14</v>
      </c>
      <c r="J11445" t="s">
        <v>141</v>
      </c>
      <c r="K11445" t="s">
        <v>14</v>
      </c>
      <c r="L11445" t="s">
        <v>20</v>
      </c>
      <c r="M11445" t="s">
        <v>21815</v>
      </c>
      <c r="N11445" t="s">
        <v>14</v>
      </c>
    </row>
    <row r="11446" x14ac:dyDescent="0.25">
      <c r="A11446" t="n">
        <v>24</v>
      </c>
      <c r="B11446" t="s">
        <v>14</v>
      </c>
      <c r="C11446" t="s">
        <v>22</v>
      </c>
      <c r="D11446" s="2" t="s">
        <f>=HYPERLINK("https://main.knesset.gov.il/APPS/legislation/main/bills/2156782", "הצעת חוק לתיקון פקודת הראיות (פסילת ראיה), התשפ""א-2021")</f>
        <v>17849</v>
      </c>
      <c r="E11446" t="s">
        <v>17849</v>
      </c>
      <c r="F11446" t="s">
        <v>22039</v>
      </c>
      <c r="G11446" t="s">
        <v>14</v>
      </c>
      <c r="H11446">
             </c>
      <c r="I11446" t="s">
        <v>14</v>
      </c>
      <c r="J11446" t="s">
        <v>141</v>
      </c>
      <c r="K11446" t="s">
        <v>14</v>
      </c>
      <c r="L11446" t="s">
        <v>20</v>
      </c>
      <c r="M11446" t="s">
        <v>21815</v>
      </c>
      <c r="N11446" t="s">
        <v>14</v>
      </c>
    </row>
    <row r="11447" x14ac:dyDescent="0.25">
      <c r="A11447" t="n">
        <v>24</v>
      </c>
      <c r="B11447" t="s">
        <v>14</v>
      </c>
      <c r="C11447" t="s">
        <v>22</v>
      </c>
      <c r="D11447" s="2" t="s">
        <f>=HYPERLINK("https://main.knesset.gov.il/APPS/legislation/main/bills/2157007", "הצעת חוק לעידוד הסעות שיתופיות (תיקוני חקיקה), התשפ""א-2021")</f>
        <v>22040</v>
      </c>
      <c r="E11447" t="s">
        <v>22040</v>
      </c>
      <c r="F11447" t="s">
        <v>22041</v>
      </c>
      <c r="G11447" t="s">
        <v>14</v>
      </c>
      <c r="H11447">
             </c>
      <c r="I11447" t="s">
        <v>14</v>
      </c>
      <c r="J11447" t="s">
        <v>141</v>
      </c>
      <c r="K11447" t="s">
        <v>14</v>
      </c>
      <c r="L11447" t="s">
        <v>20</v>
      </c>
      <c r="M11447" t="s">
        <v>21815</v>
      </c>
      <c r="N11447" t="s">
        <v>14</v>
      </c>
    </row>
    <row r="11448" x14ac:dyDescent="0.25">
      <c r="A11448" t="n">
        <v>24</v>
      </c>
      <c r="B11448" t="s">
        <v>14</v>
      </c>
      <c r="C11448" t="s">
        <v>22</v>
      </c>
      <c r="D11448" s="2" t="s">
        <f>=HYPERLINK("https://main.knesset.gov.il/APPS/legislation/main/bills/2157006", "הצעת חוק הבנקאות (שירות ללקוח) (תיקון - מרווח שיעורי הריבית), התשפ""א-2021")</f>
        <v>22042</v>
      </c>
      <c r="E11448" t="s">
        <v>22042</v>
      </c>
      <c r="F11448" t="s">
        <v>22043</v>
      </c>
      <c r="G11448" t="s">
        <v>14</v>
      </c>
      <c r="H11448">
             </c>
      <c r="I11448" t="s">
        <v>14</v>
      </c>
      <c r="J11448" t="s">
        <v>141</v>
      </c>
      <c r="K11448" t="s">
        <v>14</v>
      </c>
      <c r="L11448" t="s">
        <v>20</v>
      </c>
      <c r="M11448" t="s">
        <v>21815</v>
      </c>
      <c r="N11448" t="s">
        <v>14</v>
      </c>
    </row>
    <row r="11449" x14ac:dyDescent="0.25">
      <c r="A11449" t="n">
        <v>24</v>
      </c>
      <c r="B11449" t="s">
        <v>14</v>
      </c>
      <c r="C11449" t="s">
        <v>22</v>
      </c>
      <c r="D11449" s="2" t="s">
        <f>=HYPERLINK("https://main.knesset.gov.il/APPS/legislation/main/bills/2157005", "הצעת חוק גיל פרישה (תיקון - העלאת גיל הפרישה לנשים וקביעת צעדים תומכים לנשים בגילאי העבודה), התשפ""א-2021")</f>
        <v>19171</v>
      </c>
      <c r="E11449" t="s">
        <v>19171</v>
      </c>
      <c r="F11449" t="s">
        <v>22044</v>
      </c>
      <c r="G11449" t="s">
        <v>14</v>
      </c>
      <c r="H11449">
             </c>
      <c r="I11449" t="s">
        <v>14</v>
      </c>
      <c r="J11449" t="s">
        <v>141</v>
      </c>
      <c r="K11449" t="s">
        <v>14</v>
      </c>
      <c r="L11449" t="s">
        <v>20</v>
      </c>
      <c r="M11449" t="s">
        <v>21815</v>
      </c>
      <c r="N11449" t="s">
        <v>14</v>
      </c>
    </row>
    <row r="11450" x14ac:dyDescent="0.25">
      <c r="A11450" t="n">
        <v>24</v>
      </c>
      <c r="B11450" t="s">
        <v>14</v>
      </c>
      <c r="C11450" t="s">
        <v>22</v>
      </c>
      <c r="D11450" s="2" t="s">
        <f>=HYPERLINK("https://main.knesset.gov.il/APPS/legislation/main/bills/2156987", "הצעת חוק לתיקון פקודת מס הכנסה (טיפול נפשי כהוצאה מוכרת), התשפ""א-2021")</f>
        <v>22045</v>
      </c>
      <c r="E11450" t="s">
        <v>22045</v>
      </c>
      <c r="F11450" t="s">
        <v>22046</v>
      </c>
      <c r="G11450" t="s">
        <v>14</v>
      </c>
      <c r="H11450">
             </c>
      <c r="I11450" t="s">
        <v>14</v>
      </c>
      <c r="J11450" t="s">
        <v>141</v>
      </c>
      <c r="K11450" t="s">
        <v>14</v>
      </c>
      <c r="L11450" t="s">
        <v>20</v>
      </c>
      <c r="M11450" t="s">
        <v>21815</v>
      </c>
      <c r="N11450" t="s">
        <v>14</v>
      </c>
    </row>
    <row r="11451" x14ac:dyDescent="0.25">
      <c r="A11451" t="n">
        <v>24</v>
      </c>
      <c r="B11451" t="s">
        <v>14</v>
      </c>
      <c r="C11451" t="s">
        <v>22</v>
      </c>
      <c r="D11451" s="2" t="s">
        <f>=HYPERLINK("https://main.knesset.gov.il/APPS/legislation/main/bills/2156378", "הצעת חוק הבטחת הכנסה (תיקון - מענק קירור), התשפ""א-2021")</f>
        <v>22047</v>
      </c>
      <c r="E11451" t="s">
        <v>22047</v>
      </c>
      <c r="F11451" t="s">
        <v>22048</v>
      </c>
      <c r="G11451" t="s">
        <v>14</v>
      </c>
      <c r="H11451">
             </c>
      <c r="I11451" t="s">
        <v>14</v>
      </c>
      <c r="J11451" t="s">
        <v>141</v>
      </c>
      <c r="K11451" t="s">
        <v>14</v>
      </c>
      <c r="L11451" t="s">
        <v>20</v>
      </c>
      <c r="M11451" t="s">
        <v>21815</v>
      </c>
      <c r="N11451" t="s">
        <v>14</v>
      </c>
    </row>
    <row r="11452" x14ac:dyDescent="0.25">
      <c r="A11452" t="n">
        <v>24</v>
      </c>
      <c r="B11452" t="s">
        <v>14</v>
      </c>
      <c r="C11452" t="s">
        <v>22</v>
      </c>
      <c r="D11452" s="2" t="s">
        <f>=HYPERLINK("https://main.knesset.gov.il/APPS/legislation/main/bills/2156374", "הצעת חוק-יסוד: השפיטה (תיקון - פסקת התגברות)")</f>
        <v>13222</v>
      </c>
      <c r="E11452" t="s">
        <v>13222</v>
      </c>
      <c r="F11452" t="s">
        <v>22049</v>
      </c>
      <c r="G11452" t="s">
        <v>14</v>
      </c>
      <c r="H11452">
             </c>
      <c r="I11452" t="s">
        <v>14</v>
      </c>
      <c r="J11452" t="s">
        <v>141</v>
      </c>
      <c r="K11452" t="s">
        <v>14</v>
      </c>
      <c r="L11452" t="s">
        <v>20</v>
      </c>
      <c r="M11452" t="s">
        <v>21815</v>
      </c>
      <c r="N11452" t="s">
        <v>14</v>
      </c>
    </row>
    <row r="11453" x14ac:dyDescent="0.25">
      <c r="A11453" t="n">
        <v>24</v>
      </c>
      <c r="B11453" t="s">
        <v>14</v>
      </c>
      <c r="C11453" t="s">
        <v>22</v>
      </c>
      <c r="D11453" s="2" t="s">
        <f>=HYPERLINK("https://main.knesset.gov.il/APPS/legislation/main/bills/2156307", "הצעת חוק גירוש משפחות מחבלים, התשפ""א-2021")</f>
        <v>17951</v>
      </c>
      <c r="E11453" t="s">
        <v>17951</v>
      </c>
      <c r="F11453" t="s">
        <v>22050</v>
      </c>
      <c r="G11453" t="s">
        <v>14</v>
      </c>
      <c r="H11453">
             </c>
      <c r="I11453" t="s">
        <v>14</v>
      </c>
      <c r="J11453" t="s">
        <v>141</v>
      </c>
      <c r="K11453" t="s">
        <v>14</v>
      </c>
      <c r="L11453" t="s">
        <v>20</v>
      </c>
      <c r="M11453" t="s">
        <v>21815</v>
      </c>
      <c r="N11453" t="s">
        <v>14</v>
      </c>
    </row>
    <row r="11454" x14ac:dyDescent="0.25">
      <c r="A11454" t="n">
        <v>24</v>
      </c>
      <c r="B11454" t="s">
        <v>14</v>
      </c>
      <c r="C11454" t="s">
        <v>22</v>
      </c>
      <c r="D11454" s="2" t="s">
        <f>=HYPERLINK("https://main.knesset.gov.il/APPS/legislation/main/bills/2156282", "הצעת חוק החלת ריבונות על בקעת הירדן, גוש עציון, גבעת זאב, מעלה אדומים, ביתר עילית ועפרה, התשפ""א-2021")</f>
        <v>19183</v>
      </c>
      <c r="E11454" t="s">
        <v>19183</v>
      </c>
      <c r="F11454" t="s">
        <v>22051</v>
      </c>
      <c r="G11454" t="s">
        <v>14</v>
      </c>
      <c r="H11454">
             </c>
      <c r="I11454" t="s">
        <v>14</v>
      </c>
      <c r="J11454" t="s">
        <v>141</v>
      </c>
      <c r="K11454" t="s">
        <v>14</v>
      </c>
      <c r="L11454" t="s">
        <v>20</v>
      </c>
      <c r="M11454" t="s">
        <v>21815</v>
      </c>
      <c r="N11454" t="s">
        <v>14</v>
      </c>
    </row>
    <row r="11455" x14ac:dyDescent="0.25">
      <c r="A11455" t="n">
        <v>24</v>
      </c>
      <c r="B11455" t="s">
        <v>14</v>
      </c>
      <c r="C11455" t="s">
        <v>22</v>
      </c>
      <c r="D11455" s="2" t="s">
        <f>=HYPERLINK("https://main.knesset.gov.il/APPS/legislation/main/bills/2156174", "הצעת חוק הביטוח הלאומי (תיקון - דמי מחלה לעובד עצמאי), התשפ""א-2021")</f>
        <v>19515</v>
      </c>
      <c r="E11455" t="s">
        <v>19515</v>
      </c>
      <c r="F11455" t="s">
        <v>22052</v>
      </c>
      <c r="G11455" t="s">
        <v>14</v>
      </c>
      <c r="H11455">
             </c>
      <c r="I11455" t="s">
        <v>14</v>
      </c>
      <c r="J11455" t="s">
        <v>141</v>
      </c>
      <c r="K11455" t="s">
        <v>14</v>
      </c>
      <c r="L11455" t="s">
        <v>20</v>
      </c>
      <c r="M11455" t="s">
        <v>21815</v>
      </c>
      <c r="N11455" t="s">
        <v>14</v>
      </c>
    </row>
    <row r="11456" x14ac:dyDescent="0.25">
      <c r="A11456" t="n">
        <v>24</v>
      </c>
      <c r="B11456" t="s">
        <v>14</v>
      </c>
      <c r="C11456" t="s">
        <v>22</v>
      </c>
      <c r="D11456" s="2" t="s">
        <f>=HYPERLINK("https://main.knesset.gov.il/APPS/legislation/main/bills/2156926", "הצעת חוק הביטוח הלאומי (תיקון - דמי מחלה לעובד עצמאי), התשפ""א-2021")</f>
        <v>19515</v>
      </c>
      <c r="E11456" t="s">
        <v>19515</v>
      </c>
      <c r="F11456" t="s">
        <v>22053</v>
      </c>
      <c r="G11456" t="s">
        <v>14</v>
      </c>
      <c r="H11456">
             </c>
      <c r="I11456" t="s">
        <v>14</v>
      </c>
      <c r="J11456" t="s">
        <v>141</v>
      </c>
      <c r="K11456" t="s">
        <v>14</v>
      </c>
      <c r="L11456" t="s">
        <v>20</v>
      </c>
      <c r="M11456" t="s">
        <v>21815</v>
      </c>
      <c r="N11456" t="s">
        <v>14</v>
      </c>
    </row>
    <row r="11457" x14ac:dyDescent="0.25">
      <c r="A11457" t="n">
        <v>24</v>
      </c>
      <c r="B11457" t="s">
        <v>14</v>
      </c>
      <c r="C11457" t="s">
        <v>22</v>
      </c>
      <c r="D11457" s="2" t="s">
        <f>=HYPERLINK("https://main.knesset.gov.il/APPS/legislation/main/bills/2156194", "הצעת חוק-יסוד: נשיא המדינה (תיקון - כשירות מועמדים לכהונה כנשיא המדינה)")</f>
        <v>2549</v>
      </c>
      <c r="E11457" t="s">
        <v>2549</v>
      </c>
      <c r="F11457" t="s">
        <v>22054</v>
      </c>
      <c r="G11457" t="s">
        <v>14</v>
      </c>
      <c r="H11457">
             </c>
      <c r="I11457" t="s">
        <v>14</v>
      </c>
      <c r="J11457" t="s">
        <v>141</v>
      </c>
      <c r="K11457" t="s">
        <v>14</v>
      </c>
      <c r="L11457" t="s">
        <v>20</v>
      </c>
      <c r="M11457" t="s">
        <v>21815</v>
      </c>
      <c r="N11457" t="s">
        <v>14</v>
      </c>
    </row>
    <row r="11458" x14ac:dyDescent="0.25">
      <c r="A11458" t="n">
        <v>24</v>
      </c>
      <c r="B11458" t="s">
        <v>14</v>
      </c>
      <c r="C11458" t="s">
        <v>22</v>
      </c>
      <c r="D11458" s="2" t="s">
        <f>=HYPERLINK("https://main.knesset.gov.il/APPS/legislation/main/bills/2156911", "הצעת חוק זכויות הסטודנט (תיקון - ביטול ארגון סטודנטים יציג), התשפ""א-2021")</f>
        <v>22055</v>
      </c>
      <c r="E11458" t="s">
        <v>22055</v>
      </c>
      <c r="F11458" t="s">
        <v>22056</v>
      </c>
      <c r="G11458" t="s">
        <v>14</v>
      </c>
      <c r="H11458">
             </c>
      <c r="I11458" t="s">
        <v>14</v>
      </c>
      <c r="J11458" t="s">
        <v>141</v>
      </c>
      <c r="K11458" t="s">
        <v>14</v>
      </c>
      <c r="L11458" t="s">
        <v>20</v>
      </c>
      <c r="M11458" t="s">
        <v>21815</v>
      </c>
      <c r="N11458" t="s">
        <v>14</v>
      </c>
    </row>
    <row r="11459" x14ac:dyDescent="0.25">
      <c r="A11459" t="n">
        <v>24</v>
      </c>
      <c r="B11459" t="s">
        <v>14</v>
      </c>
      <c r="C11459" t="s">
        <v>22</v>
      </c>
      <c r="D11459" s="2" t="s">
        <f>=HYPERLINK("https://main.knesset.gov.il/APPS/legislation/main/bills/2156253", "הצעת חוק הסכמים קיבוציים (תיקון - יציגות ארגון עובדים והגנה על הפרט), התשפ""א-2021")</f>
        <v>19083</v>
      </c>
      <c r="E11459" t="s">
        <v>19083</v>
      </c>
      <c r="F11459" t="s">
        <v>22057</v>
      </c>
      <c r="G11459" t="s">
        <v>14</v>
      </c>
      <c r="H11459">
             </c>
      <c r="I11459" t="s">
        <v>14</v>
      </c>
      <c r="J11459" t="s">
        <v>141</v>
      </c>
      <c r="K11459" t="s">
        <v>14</v>
      </c>
      <c r="L11459" t="s">
        <v>20</v>
      </c>
      <c r="M11459" t="s">
        <v>21815</v>
      </c>
      <c r="N11459" t="s">
        <v>14</v>
      </c>
    </row>
    <row r="11460" x14ac:dyDescent="0.25">
      <c r="A11460" t="n">
        <v>24</v>
      </c>
      <c r="B11460" t="s">
        <v>14</v>
      </c>
      <c r="C11460" t="s">
        <v>22</v>
      </c>
      <c r="D11460" s="2" t="s">
        <f>=HYPERLINK("https://main.knesset.gov.il/APPS/legislation/main/bills/2156157", "הצעת חוק-יסוד: ישראל - מדינת הלאום של העם היהודי (תיקון - ביטול החוק)")</f>
        <v>4732</v>
      </c>
      <c r="E11460" t="s">
        <v>4732</v>
      </c>
      <c r="F11460" t="s">
        <v>22058</v>
      </c>
      <c r="G11460" t="s">
        <v>14</v>
      </c>
      <c r="H11460">
             </c>
      <c r="I11460" t="s">
        <v>14</v>
      </c>
      <c r="J11460" t="s">
        <v>141</v>
      </c>
      <c r="K11460" t="s">
        <v>14</v>
      </c>
      <c r="L11460" t="s">
        <v>20</v>
      </c>
      <c r="M11460" t="s">
        <v>21815</v>
      </c>
      <c r="N11460" t="s">
        <v>14</v>
      </c>
    </row>
    <row r="11461" x14ac:dyDescent="0.25">
      <c r="A11461" t="n">
        <v>24</v>
      </c>
      <c r="B11461" t="s">
        <v>14</v>
      </c>
      <c r="C11461" t="s">
        <v>22</v>
      </c>
      <c r="D11461" s="2" t="s">
        <f>=HYPERLINK("https://main.knesset.gov.il/APPS/legislation/main/bills/2156855", "הצעת חוק אסדרת שוק הקנאביס לצריכה עצמית, התשפ""א-2021")</f>
        <v>21003</v>
      </c>
      <c r="E11461" t="s">
        <v>21003</v>
      </c>
      <c r="F11461" t="s">
        <v>22059</v>
      </c>
      <c r="G11461" t="s">
        <v>14</v>
      </c>
      <c r="H11461">
             </c>
      <c r="I11461" t="s">
        <v>14</v>
      </c>
      <c r="J11461" t="s">
        <v>141</v>
      </c>
      <c r="K11461" t="s">
        <v>14</v>
      </c>
      <c r="L11461" t="s">
        <v>20</v>
      </c>
      <c r="M11461" t="s">
        <v>21815</v>
      </c>
      <c r="N11461" t="s">
        <v>14</v>
      </c>
    </row>
    <row r="11462" x14ac:dyDescent="0.25">
      <c r="A11462" t="n">
        <v>24</v>
      </c>
      <c r="B11462" t="s">
        <v>14</v>
      </c>
      <c r="C11462" t="s">
        <v>22</v>
      </c>
      <c r="D11462" s="2" t="s">
        <f>=HYPERLINK("https://main.knesset.gov.il/APPS/legislation/main/bills/2156139", "הצעת חוק-יסוד: נשיא המדינה (תיקון - כשירות)")</f>
        <v>22060</v>
      </c>
      <c r="E11462" t="s">
        <v>22060</v>
      </c>
      <c r="F11462" t="s">
        <v>22061</v>
      </c>
      <c r="G11462" t="s">
        <v>14</v>
      </c>
      <c r="H11462">
             </c>
      <c r="I11462" t="s">
        <v>14</v>
      </c>
      <c r="J11462" t="s">
        <v>141</v>
      </c>
      <c r="K11462" t="s">
        <v>14</v>
      </c>
      <c r="L11462" t="s">
        <v>20</v>
      </c>
      <c r="M11462" t="s">
        <v>21815</v>
      </c>
      <c r="N11462" t="s">
        <v>14</v>
      </c>
    </row>
    <row r="11463" x14ac:dyDescent="0.25">
      <c r="A11463" t="n">
        <v>24</v>
      </c>
      <c r="B11463" t="s">
        <v>14</v>
      </c>
      <c r="C11463" t="s">
        <v>22</v>
      </c>
      <c r="D11463" s="2" t="s">
        <f>=HYPERLINK("https://main.knesset.gov.il/APPS/legislation/main/bills/2156807", "הצעת חוק הגבלת מימון מפעלים מזהמים (תיקוני חקיקה), התשפ""א-2021")</f>
        <v>22062</v>
      </c>
      <c r="E11463" t="s">
        <v>22062</v>
      </c>
      <c r="F11463" t="s">
        <v>22063</v>
      </c>
      <c r="G11463" t="s">
        <v>14</v>
      </c>
      <c r="H11463">
             </c>
      <c r="I11463" t="s">
        <v>14</v>
      </c>
      <c r="J11463" t="s">
        <v>141</v>
      </c>
      <c r="K11463" t="s">
        <v>14</v>
      </c>
      <c r="L11463" t="s">
        <v>20</v>
      </c>
      <c r="M11463" t="s">
        <v>21815</v>
      </c>
      <c r="N11463" t="s">
        <v>14</v>
      </c>
    </row>
    <row r="11464" x14ac:dyDescent="0.25">
      <c r="A11464" t="n">
        <v>24</v>
      </c>
      <c r="B11464" t="s">
        <v>14</v>
      </c>
      <c r="C11464" t="s">
        <v>22</v>
      </c>
      <c r="D11464" s="2" t="s">
        <f>=HYPERLINK("https://main.knesset.gov.il/APPS/legislation/main/bills/2156116", "הצעת חוק הגנת הצרכן (תיקון - תאריך ייצור ומועד תפוגה בגודל גופן קריא), התשפ""א-2021")</f>
        <v>22064</v>
      </c>
      <c r="E11464" t="s">
        <v>22064</v>
      </c>
      <c r="F11464" t="s">
        <v>22065</v>
      </c>
      <c r="G11464" t="s">
        <v>14</v>
      </c>
      <c r="H11464">
             </c>
      <c r="I11464" t="s">
        <v>14</v>
      </c>
      <c r="J11464" t="s">
        <v>141</v>
      </c>
      <c r="K11464" t="s">
        <v>14</v>
      </c>
      <c r="L11464" t="s">
        <v>20</v>
      </c>
      <c r="M11464" t="s">
        <v>21815</v>
      </c>
      <c r="N11464" t="s">
        <v>14</v>
      </c>
    </row>
    <row r="11465" x14ac:dyDescent="0.25">
      <c r="A11465" t="n">
        <v>24</v>
      </c>
      <c r="B11465" t="s">
        <v>14</v>
      </c>
      <c r="C11465" t="s">
        <v>22</v>
      </c>
      <c r="D11465" s="2" t="s">
        <f>=HYPERLINK("https://main.knesset.gov.il/APPS/legislation/main/bills/2156672", "הצעת חוק האזרחים הוותיקים (תיקון - פטור מתשלום בתחבורה ציבורית), התשפ""א-2021")</f>
        <v>19544</v>
      </c>
      <c r="E11465" t="s">
        <v>19544</v>
      </c>
      <c r="F11465" t="s">
        <v>22066</v>
      </c>
      <c r="G11465" t="s">
        <v>14</v>
      </c>
      <c r="H11465">
             </c>
      <c r="I11465" t="s">
        <v>14</v>
      </c>
      <c r="J11465" t="s">
        <v>141</v>
      </c>
      <c r="K11465" t="s">
        <v>14</v>
      </c>
      <c r="L11465" t="s">
        <v>20</v>
      </c>
      <c r="M11465" t="s">
        <v>21815</v>
      </c>
      <c r="N11465" t="s">
        <v>14</v>
      </c>
    </row>
    <row r="11466" x14ac:dyDescent="0.25">
      <c r="A11466" t="n">
        <v>24</v>
      </c>
      <c r="B11466" t="s">
        <v>14</v>
      </c>
      <c r="C11466" t="s">
        <v>22</v>
      </c>
      <c r="D11466" s="2" t="s">
        <f>=HYPERLINK("https://main.knesset.gov.il/APPS/legislation/main/bills/2156111", "הצעת חוק ביטוח בריאות ממלכתי (תיקון - החזר הוצאות עבור נסיעה באמבולנס), התשפ""א-2021")</f>
        <v>14650</v>
      </c>
      <c r="E11466" t="s">
        <v>14650</v>
      </c>
      <c r="F11466" t="s">
        <v>22067</v>
      </c>
      <c r="G11466" t="s">
        <v>14</v>
      </c>
      <c r="H11466">
             </c>
      <c r="I11466" t="s">
        <v>14</v>
      </c>
      <c r="J11466" t="s">
        <v>141</v>
      </c>
      <c r="K11466" t="s">
        <v>14</v>
      </c>
      <c r="L11466" t="s">
        <v>20</v>
      </c>
      <c r="M11466" t="s">
        <v>21815</v>
      </c>
      <c r="N11466" t="s">
        <v>14</v>
      </c>
    </row>
    <row r="11467" x14ac:dyDescent="0.25">
      <c r="A11467" t="n">
        <v>24</v>
      </c>
      <c r="B11467" t="s">
        <v>14</v>
      </c>
      <c r="C11467" t="s">
        <v>22</v>
      </c>
      <c r="D11467" s="2" t="s">
        <f>=HYPERLINK("https://main.knesset.gov.il/APPS/legislation/main/bills/2156776", "הצעת חוק לתיקון פקודת מס הכנסה (עידוד הגירה ליישובי הפריפריה), התשפ""א-2021")</f>
        <v>22068</v>
      </c>
      <c r="E11467" t="s">
        <v>22068</v>
      </c>
      <c r="F11467" t="s">
        <v>22069</v>
      </c>
      <c r="G11467" t="s">
        <v>14</v>
      </c>
      <c r="H11467">
             </c>
      <c r="I11467" t="s">
        <v>14</v>
      </c>
      <c r="J11467" t="s">
        <v>141</v>
      </c>
      <c r="K11467" t="s">
        <v>14</v>
      </c>
      <c r="L11467" t="s">
        <v>20</v>
      </c>
      <c r="M11467" t="s">
        <v>21815</v>
      </c>
      <c r="N11467" t="s">
        <v>14</v>
      </c>
    </row>
    <row r="11468" x14ac:dyDescent="0.25">
      <c r="A11468" t="n">
        <v>24</v>
      </c>
      <c r="B11468" t="s">
        <v>14</v>
      </c>
      <c r="C11468" t="s">
        <v>22</v>
      </c>
      <c r="D11468" s="2" t="s">
        <f>=HYPERLINK("https://main.knesset.gov.il/APPS/legislation/main/bills/2156097", "הצעת חוק ביטוח בריאות ממלכתי (תיקון - הרחבת פטור מתשלום בחדר מיון), התשפ""א-2021")</f>
        <v>22070</v>
      </c>
      <c r="E11468" t="s">
        <v>22070</v>
      </c>
      <c r="F11468" t="s">
        <v>22071</v>
      </c>
      <c r="G11468" t="s">
        <v>14</v>
      </c>
      <c r="H11468">
             </c>
      <c r="I11468" t="s">
        <v>14</v>
      </c>
      <c r="J11468" t="s">
        <v>141</v>
      </c>
      <c r="K11468" t="s">
        <v>14</v>
      </c>
      <c r="L11468" t="s">
        <v>20</v>
      </c>
      <c r="M11468" t="s">
        <v>21815</v>
      </c>
      <c r="N11468" t="s">
        <v>14</v>
      </c>
    </row>
    <row r="11469" x14ac:dyDescent="0.25">
      <c r="A11469" t="n">
        <v>24</v>
      </c>
      <c r="B11469" t="s">
        <v>14</v>
      </c>
      <c r="C11469" t="s">
        <v>22</v>
      </c>
      <c r="D11469" s="2" t="s">
        <f>=HYPERLINK("https://main.knesset.gov.il/APPS/legislation/main/bills/2156751", "הצעת חוק הקמת האקדמיה הלאומית לשפת הסימנים, התשפ""א-2021")</f>
        <v>22072</v>
      </c>
      <c r="E11469" t="s">
        <v>22072</v>
      </c>
      <c r="F11469" t="s">
        <v>22073</v>
      </c>
      <c r="G11469" t="s">
        <v>14</v>
      </c>
      <c r="H11469">
             </c>
      <c r="I11469" t="s">
        <v>14</v>
      </c>
      <c r="J11469" t="s">
        <v>141</v>
      </c>
      <c r="K11469" t="s">
        <v>14</v>
      </c>
      <c r="L11469" t="s">
        <v>20</v>
      </c>
      <c r="M11469" t="s">
        <v>21815</v>
      </c>
      <c r="N11469" t="s">
        <v>14</v>
      </c>
    </row>
    <row r="11470" x14ac:dyDescent="0.25">
      <c r="A11470" t="n">
        <v>24</v>
      </c>
      <c r="B11470" t="s">
        <v>14</v>
      </c>
      <c r="C11470" t="s">
        <v>22</v>
      </c>
      <c r="D11470" s="2" t="s">
        <f>=HYPERLINK("https://main.knesset.gov.il/APPS/legislation/main/bills/2156666", "הצעת חוק הקמת חדרי מיון קדמיים, התשפ""א-2021")</f>
        <v>22074</v>
      </c>
      <c r="E11470" t="s">
        <v>22074</v>
      </c>
      <c r="F11470" t="s">
        <v>22075</v>
      </c>
      <c r="G11470" t="s">
        <v>14</v>
      </c>
      <c r="H11470">
             </c>
      <c r="I11470" t="s">
        <v>14</v>
      </c>
      <c r="J11470" t="s">
        <v>141</v>
      </c>
      <c r="K11470" t="s">
        <v>14</v>
      </c>
      <c r="L11470" t="s">
        <v>20</v>
      </c>
      <c r="M11470" t="s">
        <v>21815</v>
      </c>
      <c r="N11470" t="s">
        <v>14</v>
      </c>
    </row>
    <row r="11471" x14ac:dyDescent="0.25">
      <c r="A11471" t="n">
        <v>24</v>
      </c>
      <c r="B11471" t="s">
        <v>14</v>
      </c>
      <c r="C11471" t="s">
        <v>22</v>
      </c>
      <c r="D11471" s="2" t="s">
        <f>=HYPERLINK("https://main.knesset.gov.il/APPS/legislation/main/bills/2156080", "הצעת חוק ביטוח בריאות ממלכתי (תיקון - הפחתה בדמי ביטוח בריאות לתושבי הפריפריה), התשפ""א-2021")</f>
        <v>22076</v>
      </c>
      <c r="E11471" t="s">
        <v>22076</v>
      </c>
      <c r="F11471" t="s">
        <v>22077</v>
      </c>
      <c r="G11471" t="s">
        <v>14</v>
      </c>
      <c r="H11471">
             </c>
      <c r="I11471" t="s">
        <v>14</v>
      </c>
      <c r="J11471" t="s">
        <v>141</v>
      </c>
      <c r="K11471" t="s">
        <v>14</v>
      </c>
      <c r="L11471" t="s">
        <v>20</v>
      </c>
      <c r="M11471" t="s">
        <v>21815</v>
      </c>
      <c r="N11471" t="s">
        <v>14</v>
      </c>
    </row>
    <row r="11472" x14ac:dyDescent="0.25">
      <c r="A11472" t="n">
        <v>24</v>
      </c>
      <c r="B11472" t="s">
        <v>14</v>
      </c>
      <c r="C11472" t="s">
        <v>22</v>
      </c>
      <c r="D11472" s="2" t="s">
        <f>=HYPERLINK("https://main.knesset.gov.il/APPS/legislation/main/bills/2156739", "הצעת חוק החינוך המוזיקלי בישראל, התשפ""א-2021")</f>
        <v>22078</v>
      </c>
      <c r="E11472" t="s">
        <v>22078</v>
      </c>
      <c r="F11472" t="s">
        <v>22079</v>
      </c>
      <c r="G11472" t="s">
        <v>14</v>
      </c>
      <c r="H11472">
             </c>
      <c r="I11472" t="s">
        <v>14</v>
      </c>
      <c r="J11472" t="s">
        <v>141</v>
      </c>
      <c r="K11472" t="s">
        <v>14</v>
      </c>
      <c r="L11472" t="s">
        <v>20</v>
      </c>
      <c r="M11472" t="s">
        <v>21815</v>
      </c>
      <c r="N11472" t="s">
        <v>14</v>
      </c>
    </row>
    <row r="11473" x14ac:dyDescent="0.25">
      <c r="A11473" t="n">
        <v>24</v>
      </c>
      <c r="B11473" t="s">
        <v>14</v>
      </c>
      <c r="C11473" t="s">
        <v>22</v>
      </c>
      <c r="D11473" s="2" t="s">
        <f>=HYPERLINK("https://main.knesset.gov.il/APPS/legislation/main/bills/2156655", "הצעת חוק מס ערך מוסף (תיקון - מועד הוצאת חשבונית מס), התשפ""א-2021")</f>
        <v>21413</v>
      </c>
      <c r="E11473" t="s">
        <v>21413</v>
      </c>
      <c r="F11473" t="s">
        <v>22080</v>
      </c>
      <c r="G11473" t="s">
        <v>14</v>
      </c>
      <c r="H11473">
             </c>
      <c r="I11473" t="s">
        <v>14</v>
      </c>
      <c r="J11473" t="s">
        <v>141</v>
      </c>
      <c r="K11473" t="s">
        <v>14</v>
      </c>
      <c r="L11473" t="s">
        <v>20</v>
      </c>
      <c r="M11473" t="s">
        <v>21815</v>
      </c>
      <c r="N11473" t="s">
        <v>14</v>
      </c>
    </row>
    <row r="11474" x14ac:dyDescent="0.25">
      <c r="A11474" t="n">
        <v>24</v>
      </c>
      <c r="B11474" t="s">
        <v>14</v>
      </c>
      <c r="C11474" t="s">
        <v>22</v>
      </c>
      <c r="D11474" s="2" t="s">
        <f>=HYPERLINK("https://main.knesset.gov.il/APPS/legislation/main/bills/2156073", "הצעת חוק התניית יום שבתון בהצבעה בבחירות (תיקוני חקיקה), התשפ""א-2021")</f>
        <v>22081</v>
      </c>
      <c r="E11474" t="s">
        <v>22081</v>
      </c>
      <c r="F11474" t="s">
        <v>22082</v>
      </c>
      <c r="G11474" t="s">
        <v>14</v>
      </c>
      <c r="H11474">
             </c>
      <c r="I11474" t="s">
        <v>14</v>
      </c>
      <c r="J11474" t="s">
        <v>141</v>
      </c>
      <c r="K11474" t="s">
        <v>14</v>
      </c>
      <c r="L11474" t="s">
        <v>20</v>
      </c>
      <c r="M11474" t="s">
        <v>21815</v>
      </c>
      <c r="N11474" t="s">
        <v>14</v>
      </c>
    </row>
    <row r="11475" x14ac:dyDescent="0.25">
      <c r="A11475" t="n">
        <v>24</v>
      </c>
      <c r="B11475" t="s">
        <v>14</v>
      </c>
      <c r="C11475" t="s">
        <v>22</v>
      </c>
      <c r="D11475" s="2" t="s">
        <f>=HYPERLINK("https://main.knesset.gov.il/APPS/legislation/main/bills/2156652", "הצעת חוק לתיקון פקודת מס הכנסה (ניכוי תשלומים לעצמאים), התשפ""א-2021")</f>
        <v>22083</v>
      </c>
      <c r="E11475" t="s">
        <v>22083</v>
      </c>
      <c r="F11475" t="s">
        <v>22084</v>
      </c>
      <c r="G11475" t="s">
        <v>14</v>
      </c>
      <c r="H11475">
             </c>
      <c r="I11475" t="s">
        <v>14</v>
      </c>
      <c r="J11475" t="s">
        <v>141</v>
      </c>
      <c r="K11475" t="s">
        <v>14</v>
      </c>
      <c r="L11475" t="s">
        <v>20</v>
      </c>
      <c r="M11475" t="s">
        <v>21815</v>
      </c>
      <c r="N11475" t="s">
        <v>14</v>
      </c>
    </row>
    <row r="11476" x14ac:dyDescent="0.25">
      <c r="A11476" t="n">
        <v>24</v>
      </c>
      <c r="B11476" t="s">
        <v>14</v>
      </c>
      <c r="C11476" t="s">
        <v>22</v>
      </c>
      <c r="D11476" s="2" t="s">
        <f>=HYPERLINK("https://main.knesset.gov.il/APPS/legislation/main/bills/2156649", "הצעת חוק לתיקון פקודת בריאות העם (סמכות לקביעת כללים למתן רישיון למכשירים רפואיים מיוחדים) (הוראת שעה), התשפ""א-2021")</f>
        <v>22085</v>
      </c>
      <c r="E11476" t="s">
        <v>22085</v>
      </c>
      <c r="F11476" t="s">
        <v>22086</v>
      </c>
      <c r="G11476" t="s">
        <v>14</v>
      </c>
      <c r="H11476">
             </c>
      <c r="I11476" t="s">
        <v>14</v>
      </c>
      <c r="J11476" t="s">
        <v>141</v>
      </c>
      <c r="K11476" t="s">
        <v>14</v>
      </c>
      <c r="L11476" t="s">
        <v>20</v>
      </c>
      <c r="M11476" t="s">
        <v>21815</v>
      </c>
      <c r="N11476" t="s">
        <v>14</v>
      </c>
    </row>
    <row r="11477" x14ac:dyDescent="0.25">
      <c r="A11477" t="n">
        <v>24</v>
      </c>
      <c r="B11477" t="s">
        <v>14</v>
      </c>
      <c r="C11477" t="s">
        <v>22</v>
      </c>
      <c r="D11477" s="2" t="s">
        <f>=HYPERLINK("https://main.knesset.gov.il/APPS/legislation/main/bills/2156237", "הצעת חוק המרכז להנצחת מורשתו של הנשיא יצחק נבון, התשפ""א-2021")</f>
        <v>22087</v>
      </c>
      <c r="E11477" t="s">
        <v>22087</v>
      </c>
      <c r="F11477" t="s">
        <v>22088</v>
      </c>
      <c r="G11477" t="s">
        <v>14</v>
      </c>
      <c r="H11477">
             </c>
      <c r="I11477" t="s">
        <v>14</v>
      </c>
      <c r="J11477" t="s">
        <v>141</v>
      </c>
      <c r="K11477" t="s">
        <v>14</v>
      </c>
      <c r="L11477" t="s">
        <v>20</v>
      </c>
      <c r="M11477" t="s">
        <v>21815</v>
      </c>
      <c r="N11477" t="s">
        <v>14</v>
      </c>
    </row>
    <row r="11478" x14ac:dyDescent="0.25">
      <c r="A11478" t="n">
        <v>24</v>
      </c>
      <c r="B11478" t="s">
        <v>14</v>
      </c>
      <c r="C11478" t="s">
        <v>22</v>
      </c>
      <c r="D11478" s="2" t="s">
        <f>=HYPERLINK("https://main.knesset.gov.il/APPS/legislation/main/bills/2156225", "הצעת חוק הביטוח הלאומי (תיקון - שלילת קצבה בשל מעשה טרור), התשפ""א-2021")</f>
        <v>22089</v>
      </c>
      <c r="E11478" t="s">
        <v>22089</v>
      </c>
      <c r="F11478" t="s">
        <v>22090</v>
      </c>
      <c r="G11478" t="s">
        <v>14</v>
      </c>
      <c r="H11478">
             </c>
      <c r="I11478" t="s">
        <v>14</v>
      </c>
      <c r="J11478" t="s">
        <v>141</v>
      </c>
      <c r="K11478" t="s">
        <v>14</v>
      </c>
      <c r="L11478" t="s">
        <v>20</v>
      </c>
      <c r="M11478" t="s">
        <v>21815</v>
      </c>
      <c r="N11478" t="s">
        <v>14</v>
      </c>
    </row>
    <row r="11479" x14ac:dyDescent="0.25">
      <c r="A11479" t="n">
        <v>24</v>
      </c>
      <c r="B11479" t="s">
        <v>14</v>
      </c>
      <c r="C11479" t="s">
        <v>22</v>
      </c>
      <c r="D11479" s="2" t="s">
        <f>=HYPERLINK("https://main.knesset.gov.il/APPS/legislation/main/bills/2156645", "הצעת חוק הביטוח הלאומי (תיקון - הכרה בלקות שמיעה באחת האוזניים), התשפ""א-2021")</f>
        <v>22091</v>
      </c>
      <c r="E11479" t="s">
        <v>22091</v>
      </c>
      <c r="F11479" t="s">
        <v>22092</v>
      </c>
      <c r="G11479" t="s">
        <v>14</v>
      </c>
      <c r="H11479">
             </c>
      <c r="I11479" t="s">
        <v>14</v>
      </c>
      <c r="J11479" t="s">
        <v>141</v>
      </c>
      <c r="K11479" t="s">
        <v>14</v>
      </c>
      <c r="L11479" t="s">
        <v>20</v>
      </c>
      <c r="M11479" t="s">
        <v>21815</v>
      </c>
      <c r="N11479" t="s">
        <v>14</v>
      </c>
    </row>
    <row r="11480" x14ac:dyDescent="0.25">
      <c r="A11480" t="n">
        <v>24</v>
      </c>
      <c r="B11480" t="s">
        <v>14</v>
      </c>
      <c r="C11480" t="s">
        <v>22</v>
      </c>
      <c r="D11480" s="2" t="s">
        <f>=HYPERLINK("https://main.knesset.gov.il/APPS/legislation/main/bills/2156639", "הצעת חוק הביטוח הלאומי (תיקון - פטור מתשלום דמי ביטוח), התשפ""א-2021")</f>
        <v>22093</v>
      </c>
      <c r="E11480" t="s">
        <v>22093</v>
      </c>
      <c r="F11480" t="s">
        <v>22094</v>
      </c>
      <c r="G11480" t="s">
        <v>14</v>
      </c>
      <c r="H11480">
             </c>
      <c r="I11480" t="s">
        <v>14</v>
      </c>
      <c r="J11480" t="s">
        <v>141</v>
      </c>
      <c r="K11480" t="s">
        <v>14</v>
      </c>
      <c r="L11480" t="s">
        <v>20</v>
      </c>
      <c r="M11480" t="s">
        <v>21815</v>
      </c>
      <c r="N11480" t="s">
        <v>14</v>
      </c>
    </row>
    <row r="11481" x14ac:dyDescent="0.25">
      <c r="A11481" t="n">
        <v>24</v>
      </c>
      <c r="B11481" t="s">
        <v>14</v>
      </c>
      <c r="C11481" t="s">
        <v>22</v>
      </c>
      <c r="D11481" s="2" t="s">
        <f>=HYPERLINK("https://main.knesset.gov.il/APPS/legislation/main/bills/2156629", "הצעת חוק הכשרות לאנשי מקצוע בנושא זיהוי ודיווח על התעללות בילדים, התשפ""א-2021")</f>
        <v>22095</v>
      </c>
      <c r="E11481" t="s">
        <v>22095</v>
      </c>
      <c r="F11481" t="s">
        <v>22096</v>
      </c>
      <c r="G11481" t="s">
        <v>14</v>
      </c>
      <c r="H11481">
             </c>
      <c r="I11481" t="s">
        <v>14</v>
      </c>
      <c r="J11481" t="s">
        <v>141</v>
      </c>
      <c r="K11481" t="s">
        <v>14</v>
      </c>
      <c r="L11481" t="s">
        <v>20</v>
      </c>
      <c r="M11481" t="s">
        <v>21815</v>
      </c>
      <c r="N11481" t="s">
        <v>14</v>
      </c>
    </row>
    <row r="11482" x14ac:dyDescent="0.25">
      <c r="A11482" t="n">
        <v>24</v>
      </c>
      <c r="B11482" t="s">
        <v>14</v>
      </c>
      <c r="C11482" t="s">
        <v>22</v>
      </c>
      <c r="D11482" s="2" t="s">
        <f>=HYPERLINK("https://main.knesset.gov.il/APPS/legislation/main/bills/2156143", "הצעת חוק המשתתף החופשי, התשפ""א-2021")</f>
        <v>19667</v>
      </c>
      <c r="E11482" t="s">
        <v>19667</v>
      </c>
      <c r="F11482" t="s">
        <v>22097</v>
      </c>
      <c r="G11482" t="s">
        <v>14</v>
      </c>
      <c r="H11482">
             </c>
      <c r="I11482" t="s">
        <v>14</v>
      </c>
      <c r="J11482" t="s">
        <v>141</v>
      </c>
      <c r="K11482" t="s">
        <v>14</v>
      </c>
      <c r="L11482" t="s">
        <v>20</v>
      </c>
      <c r="M11482" t="s">
        <v>21815</v>
      </c>
      <c r="N11482" t="s">
        <v>14</v>
      </c>
    </row>
    <row r="11483" x14ac:dyDescent="0.25">
      <c r="A11483" t="n">
        <v>24</v>
      </c>
      <c r="B11483" t="s">
        <v>14</v>
      </c>
      <c r="C11483" t="s">
        <v>22</v>
      </c>
      <c r="D11483" s="2" t="s">
        <f>=HYPERLINK("https://main.knesset.gov.il/APPS/legislation/main/bills/2156127", "הצעת חוק הסדרת העיסוק במקצועות הבריאות (תיקון - מתן תעודה במקצועות הבריאות לבעלי הכשרה מקצועית), התשפ""א-2021")</f>
        <v>19870</v>
      </c>
      <c r="E11483" t="s">
        <v>19870</v>
      </c>
      <c r="F11483" t="s">
        <v>22098</v>
      </c>
      <c r="G11483" t="s">
        <v>14</v>
      </c>
      <c r="H11483">
             </c>
      <c r="I11483" t="s">
        <v>14</v>
      </c>
      <c r="J11483" t="s">
        <v>141</v>
      </c>
      <c r="K11483" t="s">
        <v>14</v>
      </c>
      <c r="L11483" t="s">
        <v>20</v>
      </c>
      <c r="M11483" t="s">
        <v>21815</v>
      </c>
      <c r="N11483" t="s">
        <v>14</v>
      </c>
    </row>
    <row r="11484" x14ac:dyDescent="0.25">
      <c r="A11484" t="n">
        <v>24</v>
      </c>
      <c r="B11484" t="s">
        <v>14</v>
      </c>
      <c r="C11484" t="s">
        <v>22</v>
      </c>
      <c r="D11484" s="2" t="s">
        <f>=HYPERLINK("https://main.knesset.gov.il/APPS/legislation/main/bills/2156114", "הצעת חוק זכויות החולה (תיקון - איסור הפליה בשל מקום מגורים), התשפ""א-2021")</f>
        <v>22099</v>
      </c>
      <c r="E11484" t="s">
        <v>22099</v>
      </c>
      <c r="F11484" t="s">
        <v>22100</v>
      </c>
      <c r="G11484" t="s">
        <v>14</v>
      </c>
      <c r="H11484">
             </c>
      <c r="I11484" t="s">
        <v>14</v>
      </c>
      <c r="J11484" t="s">
        <v>141</v>
      </c>
      <c r="K11484" t="s">
        <v>14</v>
      </c>
      <c r="L11484" t="s">
        <v>20</v>
      </c>
      <c r="M11484" t="s">
        <v>21815</v>
      </c>
      <c r="N11484" t="s">
        <v>14</v>
      </c>
    </row>
    <row r="11485" x14ac:dyDescent="0.25">
      <c r="A11485" t="n">
        <v>24</v>
      </c>
      <c r="B11485" t="s">
        <v>14</v>
      </c>
      <c r="C11485" t="s">
        <v>22</v>
      </c>
      <c r="D11485" s="2" t="s">
        <f>=HYPERLINK("https://main.knesset.gov.il/APPS/legislation/main/bills/2156091", "הצעת חוק ביטוח בריאות ממלכתי (תיקון - קציבת מועדים לקבלת טיפול רפואי או פארא-רפואי), התשפ""א-2021")</f>
        <v>22101</v>
      </c>
      <c r="E11485" t="s">
        <v>22101</v>
      </c>
      <c r="F11485" t="s">
        <v>22102</v>
      </c>
      <c r="G11485" t="s">
        <v>14</v>
      </c>
      <c r="H11485">
             </c>
      <c r="I11485" t="s">
        <v>14</v>
      </c>
      <c r="J11485" t="s">
        <v>141</v>
      </c>
      <c r="K11485" t="s">
        <v>14</v>
      </c>
      <c r="L11485" t="s">
        <v>20</v>
      </c>
      <c r="M11485" t="s">
        <v>21815</v>
      </c>
      <c r="N11485" t="s">
        <v>14</v>
      </c>
    </row>
    <row r="11486" x14ac:dyDescent="0.25">
      <c r="A11486" t="n">
        <v>24</v>
      </c>
      <c r="B11486" t="s">
        <v>14</v>
      </c>
      <c r="C11486" t="s">
        <v>22</v>
      </c>
      <c r="D11486" s="2" t="s">
        <f>=HYPERLINK("https://main.knesset.gov.il/APPS/legislation/main/bills/2156089", "הצעת חוק-יסוד: הממשלה (תיקון - סייג להטלת התפקיד להרכיב ממשלה)")</f>
        <v>13344</v>
      </c>
      <c r="E11486" t="s">
        <v>13344</v>
      </c>
      <c r="F11486" t="s">
        <v>22103</v>
      </c>
      <c r="G11486" t="s">
        <v>14</v>
      </c>
      <c r="H11486">
             </c>
      <c r="I11486" t="s">
        <v>14</v>
      </c>
      <c r="J11486" t="s">
        <v>141</v>
      </c>
      <c r="K11486" t="s">
        <v>14</v>
      </c>
      <c r="L11486" t="s">
        <v>20</v>
      </c>
      <c r="M11486" t="s">
        <v>21815</v>
      </c>
      <c r="N11486" t="s">
        <v>14</v>
      </c>
    </row>
    <row r="11487" x14ac:dyDescent="0.25">
      <c r="A11487" t="n">
        <v>24</v>
      </c>
      <c r="B11487" t="s">
        <v>14</v>
      </c>
      <c r="C11487" t="s">
        <v>22</v>
      </c>
      <c r="D11487" s="2" t="s">
        <f>=HYPERLINK("https://main.knesset.gov.il/APPS/legislation/main/bills/2156059", "הצעת חוק שלילת תקצוב מוסדות חינוך המפלים תלמידים ברישום אליהם (תיקוני חקיקה), התשפ""א-2021")</f>
        <v>22104</v>
      </c>
      <c r="E11487" t="s">
        <v>22104</v>
      </c>
      <c r="F11487" t="s">
        <v>22105</v>
      </c>
      <c r="G11487" t="s">
        <v>14</v>
      </c>
      <c r="H11487">
             </c>
      <c r="I11487" t="s">
        <v>14</v>
      </c>
      <c r="J11487" t="s">
        <v>141</v>
      </c>
      <c r="K11487" t="s">
        <v>14</v>
      </c>
      <c r="L11487" t="s">
        <v>20</v>
      </c>
      <c r="M11487" t="s">
        <v>21815</v>
      </c>
      <c r="N11487" t="s">
        <v>14</v>
      </c>
    </row>
    <row r="11488" x14ac:dyDescent="0.25">
      <c r="A11488" t="n">
        <v>24</v>
      </c>
      <c r="B11488" t="s">
        <v>14</v>
      </c>
      <c r="C11488" t="s">
        <v>22</v>
      </c>
      <c r="D11488" s="2" t="s">
        <f>=HYPERLINK("https://main.knesset.gov.il/APPS/legislation/main/bills/2156963", "הצעת חוק-יסוד: הממשלה (תיקון - ביטול ממשלת חילופים)")</f>
        <v>4432</v>
      </c>
      <c r="E11488" t="s">
        <v>4432</v>
      </c>
      <c r="F11488" t="s">
        <v>22106</v>
      </c>
      <c r="G11488" t="s">
        <v>14</v>
      </c>
      <c r="H11488">
             </c>
      <c r="I11488" t="s">
        <v>14</v>
      </c>
      <c r="J11488" t="s">
        <v>141</v>
      </c>
      <c r="K11488" t="s">
        <v>14</v>
      </c>
      <c r="L11488" t="s">
        <v>20</v>
      </c>
      <c r="M11488" t="s">
        <v>21815</v>
      </c>
      <c r="N11488" t="s">
        <v>14</v>
      </c>
    </row>
    <row r="11489" x14ac:dyDescent="0.25">
      <c r="A11489" t="n">
        <v>24</v>
      </c>
      <c r="B11489" t="s">
        <v>14</v>
      </c>
      <c r="C11489" t="s">
        <v>22</v>
      </c>
      <c r="D11489" s="2" t="s">
        <f>=HYPERLINK("https://main.knesset.gov.il/APPS/legislation/main/bills/2156563", "הצעת חוק-יסוד: הממשלה (תיקון - ביטול ממשלת חילופים)")</f>
        <v>4432</v>
      </c>
      <c r="E11489" t="s">
        <v>4432</v>
      </c>
      <c r="F11489" t="s">
        <v>22107</v>
      </c>
      <c r="G11489" t="s">
        <v>14</v>
      </c>
      <c r="H11489">
             </c>
      <c r="I11489" t="s">
        <v>14</v>
      </c>
      <c r="J11489" t="s">
        <v>141</v>
      </c>
      <c r="K11489" t="s">
        <v>14</v>
      </c>
      <c r="L11489" t="s">
        <v>20</v>
      </c>
      <c r="M11489" t="s">
        <v>21815</v>
      </c>
      <c r="N11489" t="s">
        <v>14</v>
      </c>
    </row>
    <row r="11490" x14ac:dyDescent="0.25">
      <c r="A11490" t="n">
        <v>24</v>
      </c>
      <c r="B11490" t="s">
        <v>14</v>
      </c>
      <c r="C11490" t="s">
        <v>22</v>
      </c>
      <c r="D11490" s="2" t="s">
        <f>=HYPERLINK("https://main.knesset.gov.il/APPS/legislation/main/bills/2156478", "הצעת חוק חג המצות (איסורי חמץ) (תיקון - איסור הצגת חמץ בפסח בבתי חולים), התשפ""א-2021")</f>
        <v>22108</v>
      </c>
      <c r="E11490" t="s">
        <v>22108</v>
      </c>
      <c r="F11490" t="s">
        <v>22109</v>
      </c>
      <c r="G11490" t="s">
        <v>14</v>
      </c>
      <c r="H11490">
             </c>
      <c r="I11490" t="s">
        <v>14</v>
      </c>
      <c r="J11490" t="s">
        <v>141</v>
      </c>
      <c r="K11490" t="s">
        <v>14</v>
      </c>
      <c r="L11490" t="s">
        <v>20</v>
      </c>
      <c r="M11490" t="s">
        <v>21815</v>
      </c>
      <c r="N11490" t="s">
        <v>14</v>
      </c>
    </row>
    <row r="11491" x14ac:dyDescent="0.25">
      <c r="A11491" t="n">
        <v>24</v>
      </c>
      <c r="B11491" t="s">
        <v>14</v>
      </c>
      <c r="C11491" t="s">
        <v>22</v>
      </c>
      <c r="D11491" s="2" t="s">
        <f>=HYPERLINK("https://main.knesset.gov.il/APPS/legislation/main/bills/2156432", "הצעת חוק חג המצות (איסורי חמץ) (תיקון - איסור מכירת חמץ גם שלא בפומבי), התשפ""א-2021")</f>
        <v>22110</v>
      </c>
      <c r="E11491" t="s">
        <v>22110</v>
      </c>
      <c r="F11491" t="s">
        <v>22111</v>
      </c>
      <c r="G11491" t="s">
        <v>14</v>
      </c>
      <c r="H11491">
             </c>
      <c r="I11491" t="s">
        <v>14</v>
      </c>
      <c r="J11491" t="s">
        <v>141</v>
      </c>
      <c r="K11491" t="s">
        <v>14</v>
      </c>
      <c r="L11491" t="s">
        <v>20</v>
      </c>
      <c r="M11491" t="s">
        <v>21815</v>
      </c>
      <c r="N11491" t="s">
        <v>14</v>
      </c>
    </row>
    <row r="11492" x14ac:dyDescent="0.25">
      <c r="A11492" t="n">
        <v>24</v>
      </c>
      <c r="B11492" t="s">
        <v>14</v>
      </c>
      <c r="C11492" t="s">
        <v>22</v>
      </c>
      <c r="D11492" s="2" t="s">
        <f>=HYPERLINK("https://main.knesset.gov.il/APPS/legislation/main/bills/2157486", "הצעת חוק-יסוד: לימוד תורה")</f>
        <v>86</v>
      </c>
      <c r="E11492" t="s">
        <v>86</v>
      </c>
      <c r="F11492" t="s">
        <v>22112</v>
      </c>
      <c r="G11492" t="s">
        <v>14</v>
      </c>
      <c r="H11492">
             </c>
      <c r="I11492" t="s">
        <v>14</v>
      </c>
      <c r="J11492" t="s">
        <v>141</v>
      </c>
      <c r="K11492" t="s">
        <v>14</v>
      </c>
      <c r="L11492" t="s">
        <v>20</v>
      </c>
      <c r="M11492" t="s">
        <v>21815</v>
      </c>
      <c r="N11492" t="s">
        <v>14</v>
      </c>
    </row>
    <row r="11493" x14ac:dyDescent="0.25">
      <c r="A11493" t="n">
        <v>24</v>
      </c>
      <c r="B11493" t="s">
        <v>14</v>
      </c>
      <c r="C11493" t="s">
        <v>22</v>
      </c>
      <c r="D11493" s="2" t="s">
        <f>=HYPERLINK("https://main.knesset.gov.il/APPS/legislation/main/bills/2156332", "הצעת חוק לתיקון פקודת הבנקאות (תקופת צינון למפקח על הבנקים), התשפ""א-2021")</f>
        <v>19303</v>
      </c>
      <c r="E11493" t="s">
        <v>19303</v>
      </c>
      <c r="F11493" t="s">
        <v>22113</v>
      </c>
      <c r="G11493" t="s">
        <v>14</v>
      </c>
      <c r="H11493">
             </c>
      <c r="I11493" t="s">
        <v>14</v>
      </c>
      <c r="J11493" t="s">
        <v>141</v>
      </c>
      <c r="K11493" t="s">
        <v>14</v>
      </c>
      <c r="L11493" t="s">
        <v>20</v>
      </c>
      <c r="M11493" t="s">
        <v>21815</v>
      </c>
      <c r="N11493" t="s">
        <v>14</v>
      </c>
    </row>
    <row r="11494" x14ac:dyDescent="0.25">
      <c r="A11494" t="n">
        <v>24</v>
      </c>
      <c r="B11494" t="s">
        <v>14</v>
      </c>
      <c r="C11494" t="s">
        <v>22</v>
      </c>
      <c r="D11494" s="2" t="s">
        <f>=HYPERLINK("https://main.knesset.gov.il/APPS/legislation/main/bills/2156315", "הצעת חוק להגברת השקיפות בפעילותם של גופים פיננסיים (תיקוני חקיקה), התשפ""א-2021")</f>
        <v>22114</v>
      </c>
      <c r="E11494" t="s">
        <v>22114</v>
      </c>
      <c r="F11494" t="s">
        <v>22115</v>
      </c>
      <c r="G11494" t="s">
        <v>14</v>
      </c>
      <c r="H11494">
             </c>
      <c r="I11494" t="s">
        <v>14</v>
      </c>
      <c r="J11494" t="s">
        <v>141</v>
      </c>
      <c r="K11494" t="s">
        <v>14</v>
      </c>
      <c r="L11494" t="s">
        <v>20</v>
      </c>
      <c r="M11494" t="s">
        <v>21815</v>
      </c>
      <c r="N11494" t="s">
        <v>14</v>
      </c>
    </row>
    <row r="11495" x14ac:dyDescent="0.25">
      <c r="A11495" t="n">
        <v>24</v>
      </c>
      <c r="B11495" t="s">
        <v>14</v>
      </c>
      <c r="C11495" t="s">
        <v>22</v>
      </c>
      <c r="D11495" s="2" t="s">
        <f>=HYPERLINK("https://main.knesset.gov.il/APPS/legislation/main/bills/2156626", "הצעת חוק שוויון זכויות לאנשים עם מוגבלות (תיקון - מידע בדבר עמידת מעסיקים פרטיים גדולים ביעד הייצוג ההולם), התשפ""א-2021")</f>
        <v>22116</v>
      </c>
      <c r="E11495" t="s">
        <v>22116</v>
      </c>
      <c r="F11495" t="s">
        <v>22117</v>
      </c>
      <c r="G11495" t="s">
        <v>14</v>
      </c>
      <c r="H11495">
             </c>
      <c r="I11495" t="s">
        <v>14</v>
      </c>
      <c r="J11495" t="s">
        <v>141</v>
      </c>
      <c r="K11495" t="s">
        <v>14</v>
      </c>
      <c r="L11495" t="s">
        <v>20</v>
      </c>
      <c r="M11495" t="s">
        <v>21815</v>
      </c>
      <c r="N11495" t="s">
        <v>14</v>
      </c>
    </row>
    <row r="11496" x14ac:dyDescent="0.25">
      <c r="A11496" t="n">
        <v>24</v>
      </c>
      <c r="B11496" t="s">
        <v>14</v>
      </c>
      <c r="C11496" t="s">
        <v>22</v>
      </c>
      <c r="D11496" s="2" t="s">
        <f>=HYPERLINK("https://main.knesset.gov.il/APPS/legislation/main/bills/2156255", "הצעת חוק הבנקאות (שירות ללקוח) (תיקון - הפחתת יוקר תשלומי הלוואה לדיור), התשפ""א-2021")</f>
        <v>22118</v>
      </c>
      <c r="E11496" t="s">
        <v>22118</v>
      </c>
      <c r="F11496" t="s">
        <v>22119</v>
      </c>
      <c r="G11496" t="s">
        <v>14</v>
      </c>
      <c r="H11496">
             </c>
      <c r="I11496" t="s">
        <v>14</v>
      </c>
      <c r="J11496" t="s">
        <v>141</v>
      </c>
      <c r="K11496" t="s">
        <v>14</v>
      </c>
      <c r="L11496" t="s">
        <v>20</v>
      </c>
      <c r="M11496" t="s">
        <v>21815</v>
      </c>
      <c r="N11496" t="s">
        <v>14</v>
      </c>
    </row>
    <row r="11497" x14ac:dyDescent="0.25">
      <c r="A11497" t="n">
        <v>24</v>
      </c>
      <c r="B11497" t="s">
        <v>14</v>
      </c>
      <c r="C11497" t="s">
        <v>22</v>
      </c>
      <c r="D11497" s="2" t="s">
        <f>=HYPERLINK("https://main.knesset.gov.il/APPS/legislation/main/bills/2156621", "הצעת חוק המשתתף החופשי, התשפ""א-2021")</f>
        <v>19667</v>
      </c>
      <c r="E11497" t="s">
        <v>19667</v>
      </c>
      <c r="F11497" t="s">
        <v>22120</v>
      </c>
      <c r="G11497" t="s">
        <v>14</v>
      </c>
      <c r="H11497">
             </c>
      <c r="I11497" t="s">
        <v>14</v>
      </c>
      <c r="J11497" t="s">
        <v>141</v>
      </c>
      <c r="K11497" t="s">
        <v>14</v>
      </c>
      <c r="L11497" t="s">
        <v>20</v>
      </c>
      <c r="M11497" t="s">
        <v>21815</v>
      </c>
      <c r="N11497" t="s">
        <v>14</v>
      </c>
    </row>
    <row r="11498" x14ac:dyDescent="0.25">
      <c r="A11498" t="n">
        <v>24</v>
      </c>
      <c r="B11498" t="s">
        <v>14</v>
      </c>
      <c r="C11498" t="s">
        <v>22</v>
      </c>
      <c r="D11498" s="2" t="s">
        <f>=HYPERLINK("https://main.knesset.gov.il/APPS/legislation/main/bills/2156470", "הצעת חוק לתיקון פקודת מס הכנסה (נקודות זיכוי לאפוטרופוס), התשפ""א-2021")</f>
        <v>22121</v>
      </c>
      <c r="E11498" t="s">
        <v>22121</v>
      </c>
      <c r="F11498" t="s">
        <v>22122</v>
      </c>
      <c r="G11498" t="s">
        <v>14</v>
      </c>
      <c r="H11498">
             </c>
      <c r="I11498" t="s">
        <v>14</v>
      </c>
      <c r="J11498" t="s">
        <v>141</v>
      </c>
      <c r="K11498" t="s">
        <v>14</v>
      </c>
      <c r="L11498" t="s">
        <v>20</v>
      </c>
      <c r="M11498" t="s">
        <v>21815</v>
      </c>
      <c r="N11498" t="s">
        <v>14</v>
      </c>
    </row>
    <row r="11499" x14ac:dyDescent="0.25">
      <c r="A11499" t="n">
        <v>24</v>
      </c>
      <c r="B11499" t="s">
        <v>14</v>
      </c>
      <c r="C11499" t="s">
        <v>22</v>
      </c>
      <c r="D11499" s="2" t="s">
        <f>=HYPERLINK("https://main.knesset.gov.il/APPS/legislation/main/bills/2156618", "הצעת חוק הביטוח הלאומי (תיקון - ביטול מבחן הכנסה לצורך קבלת גמלת סיעוד), התשפ""א-2021")</f>
        <v>22123</v>
      </c>
      <c r="E11499" t="s">
        <v>22123</v>
      </c>
      <c r="F11499" t="s">
        <v>22124</v>
      </c>
      <c r="G11499" t="s">
        <v>14</v>
      </c>
      <c r="H11499">
             </c>
      <c r="I11499" t="s">
        <v>14</v>
      </c>
      <c r="J11499" t="s">
        <v>141</v>
      </c>
      <c r="K11499" t="s">
        <v>14</v>
      </c>
      <c r="L11499" t="s">
        <v>20</v>
      </c>
      <c r="M11499" t="s">
        <v>21815</v>
      </c>
      <c r="N11499" t="s">
        <v>14</v>
      </c>
    </row>
    <row r="11500" x14ac:dyDescent="0.25">
      <c r="A11500" t="n">
        <v>24</v>
      </c>
      <c r="B11500" t="s">
        <v>14</v>
      </c>
      <c r="C11500" t="s">
        <v>22</v>
      </c>
      <c r="D11500" s="2" t="s">
        <f>=HYPERLINK("https://main.knesset.gov.il/APPS/legislation/main/bills/2156199", "הצעת חוק הביטוח הלאומי (תיקון - ביטול מבחן ההכנסה לצורך קבלת גמלת סיעוד), התשפ""א-2021")</f>
        <v>22125</v>
      </c>
      <c r="E11500" t="s">
        <v>22125</v>
      </c>
      <c r="F11500" t="s">
        <v>22126</v>
      </c>
      <c r="G11500" t="s">
        <v>14</v>
      </c>
      <c r="H11500">
             </c>
      <c r="I11500" t="s">
        <v>14</v>
      </c>
      <c r="J11500" t="s">
        <v>141</v>
      </c>
      <c r="K11500" t="s">
        <v>14</v>
      </c>
      <c r="L11500" t="s">
        <v>20</v>
      </c>
      <c r="M11500" t="s">
        <v>21815</v>
      </c>
      <c r="N11500" t="s">
        <v>14</v>
      </c>
    </row>
    <row r="11501" x14ac:dyDescent="0.25">
      <c r="A11501" t="n">
        <v>24</v>
      </c>
      <c r="B11501" t="s">
        <v>14</v>
      </c>
      <c r="C11501" t="s">
        <v>22</v>
      </c>
      <c r="D11501" s="2" t="s">
        <f>=HYPERLINK("https://main.knesset.gov.il/APPS/legislation/main/bills/2156617", "הצעת חוק הביטוח לאומי (תיקון - ביטוח זכויות עצמאי שעיקר הכנסתו מעסק בהליכי חדלות פירעון), התשפ""א-2021")</f>
        <v>22127</v>
      </c>
      <c r="E11501" t="s">
        <v>22127</v>
      </c>
      <c r="F11501" t="s">
        <v>22128</v>
      </c>
      <c r="G11501" t="s">
        <v>14</v>
      </c>
      <c r="H11501">
             </c>
      <c r="I11501" t="s">
        <v>14</v>
      </c>
      <c r="J11501" t="s">
        <v>141</v>
      </c>
      <c r="K11501" t="s">
        <v>14</v>
      </c>
      <c r="L11501" t="s">
        <v>20</v>
      </c>
      <c r="M11501" t="s">
        <v>21815</v>
      </c>
      <c r="N11501" t="s">
        <v>14</v>
      </c>
    </row>
    <row r="11502" x14ac:dyDescent="0.25">
      <c r="A11502" t="n">
        <v>24</v>
      </c>
      <c r="B11502" t="s">
        <v>14</v>
      </c>
      <c r="C11502" t="s">
        <v>22</v>
      </c>
      <c r="D11502" s="2" t="s">
        <f>=HYPERLINK("https://main.knesset.gov.il/APPS/legislation/main/bills/2156955", "הצעת חוק להגדלת שיעור ההשתתפות בכוח העבודה ולצמצום פערים חברתיים (מענק עבודה) (תיקון - גיל העובד), התשפ""א-2021")</f>
        <v>15210</v>
      </c>
      <c r="E11502" t="s">
        <v>15210</v>
      </c>
      <c r="F11502" t="s">
        <v>22129</v>
      </c>
      <c r="G11502" t="s">
        <v>14</v>
      </c>
      <c r="H11502">
             </c>
      <c r="I11502" t="s">
        <v>14</v>
      </c>
      <c r="J11502" t="s">
        <v>141</v>
      </c>
      <c r="K11502" t="s">
        <v>14</v>
      </c>
      <c r="L11502" t="s">
        <v>20</v>
      </c>
      <c r="M11502" t="s">
        <v>21815</v>
      </c>
      <c r="N11502" t="s">
        <v>14</v>
      </c>
    </row>
    <row r="11503" x14ac:dyDescent="0.25">
      <c r="A11503" t="n">
        <v>24</v>
      </c>
      <c r="B11503" t="s">
        <v>14</v>
      </c>
      <c r="C11503" t="s">
        <v>22</v>
      </c>
      <c r="D11503" s="2" t="s">
        <f>=HYPERLINK("https://main.knesset.gov.il/APPS/legislation/main/bills/2157594", "הצעת חוק שכר נושאי משרה ברשויות השלטון, התשפ""א-2021")</f>
        <v>22130</v>
      </c>
      <c r="E11503" t="s">
        <v>22130</v>
      </c>
      <c r="F11503" t="s">
        <v>22131</v>
      </c>
      <c r="G11503" t="s">
        <v>14</v>
      </c>
      <c r="H11503">
             </c>
      <c r="I11503" t="s">
        <v>14</v>
      </c>
      <c r="J11503" t="s">
        <v>141</v>
      </c>
      <c r="K11503" t="s">
        <v>14</v>
      </c>
      <c r="L11503" t="s">
        <v>20</v>
      </c>
      <c r="M11503" t="s">
        <v>21815</v>
      </c>
      <c r="N11503" t="s">
        <v>14</v>
      </c>
    </row>
    <row r="11504" x14ac:dyDescent="0.25">
      <c r="A11504" t="n">
        <v>24</v>
      </c>
      <c r="B11504" t="s">
        <v>14</v>
      </c>
      <c r="C11504" t="s">
        <v>22</v>
      </c>
      <c r="D11504" s="2" t="s">
        <f>=HYPERLINK("https://main.knesset.gov.il/APPS/legislation/main/bills/2156936", "הצעת חוק מכר סיטונאי חקלאי, התשפ""א-2021")</f>
        <v>22132</v>
      </c>
      <c r="E11504" t="s">
        <v>22132</v>
      </c>
      <c r="F11504" t="s">
        <v>22133</v>
      </c>
      <c r="G11504" t="s">
        <v>14</v>
      </c>
      <c r="H11504">
             </c>
      <c r="I11504" t="s">
        <v>14</v>
      </c>
      <c r="J11504" t="s">
        <v>141</v>
      </c>
      <c r="K11504" t="s">
        <v>14</v>
      </c>
      <c r="L11504" t="s">
        <v>20</v>
      </c>
      <c r="M11504" t="s">
        <v>21815</v>
      </c>
      <c r="N11504" t="s">
        <v>14</v>
      </c>
    </row>
    <row r="11505" x14ac:dyDescent="0.25">
      <c r="A11505" t="n">
        <v>24</v>
      </c>
      <c r="B11505" t="s">
        <v>14</v>
      </c>
      <c r="C11505" t="s">
        <v>22</v>
      </c>
      <c r="D11505" s="2" t="s">
        <f>=HYPERLINK("https://main.knesset.gov.il/APPS/legislation/main/bills/2156566", "הצעת חוק-יסוד: שכר נושאי משרה ברשויות השלטון (תיקוני חקיקה)")</f>
        <v>10175</v>
      </c>
      <c r="E11505" t="s">
        <v>10175</v>
      </c>
      <c r="F11505" t="s">
        <v>22134</v>
      </c>
      <c r="G11505" t="s">
        <v>14</v>
      </c>
      <c r="H11505">
             </c>
      <c r="I11505" t="s">
        <v>14</v>
      </c>
      <c r="J11505" t="s">
        <v>141</v>
      </c>
      <c r="K11505" t="s">
        <v>14</v>
      </c>
      <c r="L11505" t="s">
        <v>20</v>
      </c>
      <c r="M11505" t="s">
        <v>21815</v>
      </c>
      <c r="N11505" t="s">
        <v>14</v>
      </c>
    </row>
    <row r="11506" x14ac:dyDescent="0.25">
      <c r="A11506" t="n">
        <v>24</v>
      </c>
      <c r="B11506" t="s">
        <v>14</v>
      </c>
      <c r="C11506" t="s">
        <v>22</v>
      </c>
      <c r="D11506" s="2" t="s">
        <f>=HYPERLINK("https://main.knesset.gov.il/APPS/legislation/main/bills/2156935", "הצעת חוק להסדרת רעיית דבורים וייצור דבש, התשפ""א-2021")</f>
        <v>22135</v>
      </c>
      <c r="E11506" t="s">
        <v>22135</v>
      </c>
      <c r="F11506" t="s">
        <v>22136</v>
      </c>
      <c r="G11506" t="s">
        <v>14</v>
      </c>
      <c r="H11506">
             </c>
      <c r="I11506" t="s">
        <v>14</v>
      </c>
      <c r="J11506" t="s">
        <v>141</v>
      </c>
      <c r="K11506" t="s">
        <v>14</v>
      </c>
      <c r="L11506" t="s">
        <v>20</v>
      </c>
      <c r="M11506" t="s">
        <v>21815</v>
      </c>
      <c r="N11506" t="s">
        <v>14</v>
      </c>
    </row>
    <row r="11507" x14ac:dyDescent="0.25">
      <c r="A11507" t="n">
        <v>24</v>
      </c>
      <c r="B11507" t="s">
        <v>14</v>
      </c>
      <c r="C11507" t="s">
        <v>22</v>
      </c>
      <c r="D11507" s="2" t="s">
        <f>=HYPERLINK("https://main.knesset.gov.il/APPS/legislation/main/bills/2156457", "הצעת חוק לעידוד השקעות הון (תיקון - תחומי אזורי פיתוח א'), התשפ""א-2021")</f>
        <v>22137</v>
      </c>
      <c r="E11507" t="s">
        <v>22137</v>
      </c>
      <c r="F11507" t="s">
        <v>22138</v>
      </c>
      <c r="G11507" t="s">
        <v>14</v>
      </c>
      <c r="H11507">
             </c>
      <c r="I11507" t="s">
        <v>14</v>
      </c>
      <c r="J11507" t="s">
        <v>141</v>
      </c>
      <c r="K11507" t="s">
        <v>14</v>
      </c>
      <c r="L11507" t="s">
        <v>20</v>
      </c>
      <c r="M11507" t="s">
        <v>21815</v>
      </c>
      <c r="N11507" t="s">
        <v>14</v>
      </c>
    </row>
    <row r="11508" x14ac:dyDescent="0.25">
      <c r="A11508" t="n">
        <v>24</v>
      </c>
      <c r="B11508" t="s">
        <v>14</v>
      </c>
      <c r="C11508" t="s">
        <v>22</v>
      </c>
      <c r="D11508" s="2" t="s">
        <f>=HYPERLINK("https://main.knesset.gov.il/APPS/legislation/main/bills/2156452", "הצעת חוק עבודת נשים (תיקון - תגמול לעובדת עצמאית שבן זוגה משרת במילואים), התשפ""א-2021")</f>
        <v>22139</v>
      </c>
      <c r="E11508" t="s">
        <v>22139</v>
      </c>
      <c r="F11508" t="s">
        <v>22140</v>
      </c>
      <c r="G11508" t="s">
        <v>14</v>
      </c>
      <c r="H11508">
             </c>
      <c r="I11508" t="s">
        <v>14</v>
      </c>
      <c r="J11508" t="s">
        <v>141</v>
      </c>
      <c r="K11508" t="s">
        <v>14</v>
      </c>
      <c r="L11508" t="s">
        <v>20</v>
      </c>
      <c r="M11508" t="s">
        <v>21815</v>
      </c>
      <c r="N11508" t="s">
        <v>14</v>
      </c>
    </row>
    <row r="11509" x14ac:dyDescent="0.25">
      <c r="A11509" t="n">
        <v>24</v>
      </c>
      <c r="B11509" t="s">
        <v>14</v>
      </c>
      <c r="C11509" t="s">
        <v>22</v>
      </c>
      <c r="D11509" s="2" t="s">
        <f>=HYPERLINK("https://main.knesset.gov.il/APPS/legislation/main/bills/2156925", "הצעת חוק לתיקון פקודת מס הכנסה (תלוש שכר לעצמאי), התשפ""א-2021")</f>
        <v>22141</v>
      </c>
      <c r="E11509" t="s">
        <v>22141</v>
      </c>
      <c r="F11509" t="s">
        <v>22142</v>
      </c>
      <c r="G11509" t="s">
        <v>14</v>
      </c>
      <c r="H11509">
             </c>
      <c r="I11509" t="s">
        <v>14</v>
      </c>
      <c r="J11509" t="s">
        <v>141</v>
      </c>
      <c r="K11509" t="s">
        <v>14</v>
      </c>
      <c r="L11509" t="s">
        <v>20</v>
      </c>
      <c r="M11509" t="s">
        <v>21815</v>
      </c>
      <c r="N11509" t="s">
        <v>14</v>
      </c>
    </row>
    <row r="11510" x14ac:dyDescent="0.25">
      <c r="A11510" t="n">
        <v>24</v>
      </c>
      <c r="B11510" t="s">
        <v>14</v>
      </c>
      <c r="C11510" t="s">
        <v>22</v>
      </c>
      <c r="D11510" s="2" t="s">
        <f>=HYPERLINK("https://main.knesset.gov.il/APPS/legislation/main/bills/2156427", "הצעת חוק דמי מחלה (היעדרות בשל מחלת ילד) (תיקון - היעדרות בעקבות פגיעה בעבירת מין או אלימות חמורה), התשפ""א-2021")</f>
        <v>22143</v>
      </c>
      <c r="E11510" t="s">
        <v>22143</v>
      </c>
      <c r="F11510" t="s">
        <v>22144</v>
      </c>
      <c r="G11510" t="s">
        <v>14</v>
      </c>
      <c r="H11510">
             </c>
      <c r="I11510" t="s">
        <v>14</v>
      </c>
      <c r="J11510" t="s">
        <v>141</v>
      </c>
      <c r="K11510" t="s">
        <v>14</v>
      </c>
      <c r="L11510" t="s">
        <v>20</v>
      </c>
      <c r="M11510" t="s">
        <v>21815</v>
      </c>
      <c r="N11510" t="s">
        <v>14</v>
      </c>
    </row>
    <row r="11511" x14ac:dyDescent="0.25">
      <c r="A11511" t="n">
        <v>24</v>
      </c>
      <c r="B11511" t="s">
        <v>14</v>
      </c>
      <c r="C11511" t="s">
        <v>22</v>
      </c>
      <c r="D11511" s="2" t="s">
        <f>=HYPERLINK("https://main.knesset.gov.il/APPS/legislation/main/bills/2156923", "הצעת חוק הגנת הצרכן (תיקון - איסור הפליית מחירים בשל מגדר), התשפ""א-2021")</f>
        <v>19396</v>
      </c>
      <c r="E11511" t="s">
        <v>19396</v>
      </c>
      <c r="F11511" t="s">
        <v>22145</v>
      </c>
      <c r="G11511" t="s">
        <v>14</v>
      </c>
      <c r="H11511">
             </c>
      <c r="I11511" t="s">
        <v>14</v>
      </c>
      <c r="J11511" t="s">
        <v>141</v>
      </c>
      <c r="K11511" t="s">
        <v>14</v>
      </c>
      <c r="L11511" t="s">
        <v>20</v>
      </c>
      <c r="M11511" t="s">
        <v>21815</v>
      </c>
      <c r="N11511" t="s">
        <v>14</v>
      </c>
    </row>
    <row r="11512" x14ac:dyDescent="0.25">
      <c r="A11512" t="n">
        <v>24</v>
      </c>
      <c r="B11512" t="s">
        <v>14</v>
      </c>
      <c r="C11512" t="s">
        <v>22</v>
      </c>
      <c r="D11512" s="2" t="s">
        <f>=HYPERLINK("https://main.knesset.gov.il/APPS/legislation/main/bills/2156600", "הצעת חוק לתיקון פקודת מס הכנסה (מיסוי תרומה מישות מדינית זרה), התשפ""א-2021")</f>
        <v>16835</v>
      </c>
      <c r="E11512" t="s">
        <v>16835</v>
      </c>
      <c r="F11512" t="s">
        <v>22146</v>
      </c>
      <c r="G11512" t="s">
        <v>14</v>
      </c>
      <c r="H11512">
             </c>
      <c r="I11512" t="s">
        <v>14</v>
      </c>
      <c r="J11512" t="s">
        <v>141</v>
      </c>
      <c r="K11512" t="s">
        <v>14</v>
      </c>
      <c r="L11512" t="s">
        <v>20</v>
      </c>
      <c r="M11512" t="s">
        <v>21815</v>
      </c>
      <c r="N11512" t="s">
        <v>14</v>
      </c>
    </row>
    <row r="11513" x14ac:dyDescent="0.25">
      <c r="A11513" t="n">
        <v>24</v>
      </c>
      <c r="B11513" t="s">
        <v>14</v>
      </c>
      <c r="C11513" t="s">
        <v>22</v>
      </c>
      <c r="D11513" s="2" t="s">
        <f>=HYPERLINK("https://main.knesset.gov.il/APPS/legislation/main/bills/2156411", "הצעת חוק דיני העבודה (תיקוני חקיקה), התשפ""א-2021")</f>
        <v>22147</v>
      </c>
      <c r="E11513" t="s">
        <v>22147</v>
      </c>
      <c r="F11513" t="s">
        <v>22148</v>
      </c>
      <c r="G11513" t="s">
        <v>14</v>
      </c>
      <c r="H11513">
             </c>
      <c r="I11513" t="s">
        <v>14</v>
      </c>
      <c r="J11513" t="s">
        <v>141</v>
      </c>
      <c r="K11513" t="s">
        <v>14</v>
      </c>
      <c r="L11513" t="s">
        <v>20</v>
      </c>
      <c r="M11513" t="s">
        <v>21815</v>
      </c>
      <c r="N11513" t="s">
        <v>14</v>
      </c>
    </row>
    <row r="11514" x14ac:dyDescent="0.25">
      <c r="A11514" t="n">
        <v>24</v>
      </c>
      <c r="B11514" t="s">
        <v>14</v>
      </c>
      <c r="C11514" t="s">
        <v>22</v>
      </c>
      <c r="D11514" s="2" t="s">
        <f>=HYPERLINK("https://main.knesset.gov.il/APPS/legislation/main/bills/2157240", "הצעת חוק המים (תיקון - הוספת נציג ציבור לעניין איכות הסביבה למועצת רשות המים), התשפ""א-2021")</f>
        <v>22149</v>
      </c>
      <c r="E11514" t="s">
        <v>22149</v>
      </c>
      <c r="F11514" t="s">
        <v>22150</v>
      </c>
      <c r="G11514" t="s">
        <v>14</v>
      </c>
      <c r="H11514">
             </c>
      <c r="I11514" t="s">
        <v>14</v>
      </c>
      <c r="J11514" t="s">
        <v>141</v>
      </c>
      <c r="K11514" t="s">
        <v>14</v>
      </c>
      <c r="L11514" t="s">
        <v>20</v>
      </c>
      <c r="M11514" t="s">
        <v>21815</v>
      </c>
      <c r="N11514" t="s">
        <v>14</v>
      </c>
    </row>
    <row r="11515" x14ac:dyDescent="0.25">
      <c r="A11515" t="n">
        <v>24</v>
      </c>
      <c r="B11515" t="s">
        <v>14</v>
      </c>
      <c r="C11515" t="s">
        <v>22</v>
      </c>
      <c r="D11515" s="2" t="s">
        <f>=HYPERLINK("https://main.knesset.gov.il/APPS/legislation/main/bills/2156590", "הצעת חוק התובע הכללי, התשפ""א-2021")</f>
        <v>19577</v>
      </c>
      <c r="E11515" t="s">
        <v>19577</v>
      </c>
      <c r="F11515" t="s">
        <v>22151</v>
      </c>
      <c r="G11515" t="s">
        <v>14</v>
      </c>
      <c r="H11515">
             </c>
      <c r="I11515" t="s">
        <v>14</v>
      </c>
      <c r="J11515" t="s">
        <v>141</v>
      </c>
      <c r="K11515" t="s">
        <v>14</v>
      </c>
      <c r="L11515" t="s">
        <v>20</v>
      </c>
      <c r="M11515" t="s">
        <v>21815</v>
      </c>
      <c r="N11515" t="s">
        <v>14</v>
      </c>
    </row>
    <row r="11516" x14ac:dyDescent="0.25">
      <c r="A11516" t="n">
        <v>24</v>
      </c>
      <c r="B11516" t="s">
        <v>14</v>
      </c>
      <c r="C11516" t="s">
        <v>22</v>
      </c>
      <c r="D11516" s="2" t="s">
        <f>=HYPERLINK("https://main.knesset.gov.il/APPS/legislation/main/bills/2156235", "הצעת חוק מס ערך מוסף (תיקון - עידוד פתיחת עסקים חדשים), התשפ""א-2021")</f>
        <v>22152</v>
      </c>
      <c r="E11516" t="s">
        <v>22152</v>
      </c>
      <c r="F11516" t="s">
        <v>22153</v>
      </c>
      <c r="G11516" t="s">
        <v>14</v>
      </c>
      <c r="H11516">
             </c>
      <c r="I11516" t="s">
        <v>14</v>
      </c>
      <c r="J11516" t="s">
        <v>141</v>
      </c>
      <c r="K11516" t="s">
        <v>14</v>
      </c>
      <c r="L11516" t="s">
        <v>20</v>
      </c>
      <c r="M11516" t="s">
        <v>21815</v>
      </c>
      <c r="N11516" t="s">
        <v>14</v>
      </c>
    </row>
    <row r="11517" x14ac:dyDescent="0.25">
      <c r="A11517" t="n">
        <v>24</v>
      </c>
      <c r="B11517" t="s">
        <v>14</v>
      </c>
      <c r="C11517" t="s">
        <v>22</v>
      </c>
      <c r="D11517" s="2" t="s">
        <f>=HYPERLINK("https://main.knesset.gov.il/APPS/legislation/main/bills/2156541", "הצעת חוק לפיצוי עסקים בשל סגירת עסקיהם במצב חירום, התשפ""א-2021 ")</f>
        <v>22154</v>
      </c>
      <c r="E11517" t="s">
        <v>22154</v>
      </c>
      <c r="F11517" t="s">
        <v>22155</v>
      </c>
      <c r="G11517" t="s">
        <v>14</v>
      </c>
      <c r="H11517">
             </c>
      <c r="I11517" t="s">
        <v>14</v>
      </c>
      <c r="J11517" t="s">
        <v>141</v>
      </c>
      <c r="K11517" t="s">
        <v>14</v>
      </c>
      <c r="L11517" t="s">
        <v>20</v>
      </c>
      <c r="M11517" t="s">
        <v>21815</v>
      </c>
      <c r="N11517" t="s">
        <v>14</v>
      </c>
    </row>
    <row r="11518" x14ac:dyDescent="0.25">
      <c r="A11518" t="n">
        <v>24</v>
      </c>
      <c r="B11518" t="s">
        <v>14</v>
      </c>
      <c r="C11518" t="s">
        <v>22</v>
      </c>
      <c r="D11518" s="2" t="s">
        <f>=HYPERLINK("https://main.knesset.gov.il/APPS/legislation/main/bills/2156526", "הצעת חוק לתיקון פקודת התעבורה (ביטול מופע אור ירוק ברמזור פנייה ימינה בעת הופעת אור ירוק ברמזור להולכי רגל), התשפ""א-2021")</f>
        <v>19308</v>
      </c>
      <c r="E11518" t="s">
        <v>19308</v>
      </c>
      <c r="F11518" t="s">
        <v>22156</v>
      </c>
      <c r="G11518" t="s">
        <v>14</v>
      </c>
      <c r="H11518">
             </c>
      <c r="I11518" t="s">
        <v>14</v>
      </c>
      <c r="J11518" t="s">
        <v>141</v>
      </c>
      <c r="K11518" t="s">
        <v>14</v>
      </c>
      <c r="L11518" t="s">
        <v>20</v>
      </c>
      <c r="M11518" t="s">
        <v>21815</v>
      </c>
      <c r="N11518" t="s">
        <v>14</v>
      </c>
    </row>
    <row r="11519" x14ac:dyDescent="0.25">
      <c r="A11519" t="n">
        <v>24</v>
      </c>
      <c r="B11519" t="s">
        <v>14</v>
      </c>
      <c r="C11519" t="s">
        <v>22</v>
      </c>
      <c r="D11519" s="2" t="s">
        <f>=HYPERLINK("https://main.knesset.gov.il/APPS/legislation/main/bills/2156900", "הצעת חוק גנים לאומיים, שמורות טבע אתרים לאומיים ואתרי הנצחה (תיקון - הסדרת תחבורה ציבורית), התשפ""א-2021")</f>
        <v>22157</v>
      </c>
      <c r="E11519" t="s">
        <v>22157</v>
      </c>
      <c r="F11519" t="s">
        <v>22158</v>
      </c>
      <c r="G11519" t="s">
        <v>14</v>
      </c>
      <c r="H11519">
             </c>
      <c r="I11519" t="s">
        <v>14</v>
      </c>
      <c r="J11519" t="s">
        <v>141</v>
      </c>
      <c r="K11519" t="s">
        <v>14</v>
      </c>
      <c r="L11519" t="s">
        <v>20</v>
      </c>
      <c r="M11519" t="s">
        <v>21815</v>
      </c>
      <c r="N11519" t="s">
        <v>14</v>
      </c>
    </row>
    <row r="11520" x14ac:dyDescent="0.25">
      <c r="A11520" t="n">
        <v>24</v>
      </c>
      <c r="B11520" t="s">
        <v>14</v>
      </c>
      <c r="C11520" t="s">
        <v>22</v>
      </c>
      <c r="D11520" s="2" t="s">
        <f>=HYPERLINK("https://main.knesset.gov.il/APPS/legislation/main/bills/2156229", "הצעת חוק לתיקון פקודת התעבורה (החרגת בעלי רישיון שימוש בקנבוס רפואי), התשפ""א-2021")</f>
        <v>22159</v>
      </c>
      <c r="E11520" t="s">
        <v>22159</v>
      </c>
      <c r="F11520" t="s">
        <v>22160</v>
      </c>
      <c r="G11520" t="s">
        <v>14</v>
      </c>
      <c r="H11520">
             </c>
      <c r="I11520" t="s">
        <v>14</v>
      </c>
      <c r="J11520" t="s">
        <v>141</v>
      </c>
      <c r="K11520" t="s">
        <v>14</v>
      </c>
      <c r="L11520" t="s">
        <v>20</v>
      </c>
      <c r="M11520" t="s">
        <v>21815</v>
      </c>
      <c r="N11520" t="s">
        <v>14</v>
      </c>
    </row>
    <row r="11521" x14ac:dyDescent="0.25">
      <c r="A11521" t="n">
        <v>24</v>
      </c>
      <c r="B11521" t="s">
        <v>14</v>
      </c>
      <c r="C11521" t="s">
        <v>22</v>
      </c>
      <c r="D11521" s="2" t="s">
        <f>=HYPERLINK("https://main.knesset.gov.il/APPS/legislation/main/bills/2156653", "הצעת חוק הפרשנות (תיקון - הגדרת הפליה על רקע זהות מגדרית או נטייה מינית), התשפ""א-2021")</f>
        <v>19898</v>
      </c>
      <c r="E11521" t="s">
        <v>19898</v>
      </c>
      <c r="F11521" t="s">
        <v>22161</v>
      </c>
      <c r="G11521" t="s">
        <v>14</v>
      </c>
      <c r="H11521">
             </c>
      <c r="I11521" t="s">
        <v>14</v>
      </c>
      <c r="J11521" t="s">
        <v>141</v>
      </c>
      <c r="K11521" t="s">
        <v>14</v>
      </c>
      <c r="L11521" t="s">
        <v>20</v>
      </c>
      <c r="M11521" t="s">
        <v>21815</v>
      </c>
      <c r="N11521" t="s">
        <v>14</v>
      </c>
    </row>
    <row r="11522" x14ac:dyDescent="0.25">
      <c r="A11522" t="n">
        <v>24</v>
      </c>
      <c r="B11522" t="s">
        <v>14</v>
      </c>
      <c r="C11522" t="s">
        <v>22</v>
      </c>
      <c r="D11522" s="2" t="s">
        <f>=HYPERLINK("https://main.knesset.gov.il/APPS/legislation/main/bills/2156836", "הצעת חוק הנכים (תגמולים ושיקום) (תיקון - הכרה בחבלות נפש על רקע השתתפות בפעילות מבצעית וקביעת אחוזי נכות), התשפ""א-2021")</f>
        <v>22162</v>
      </c>
      <c r="E11522" t="s">
        <v>22162</v>
      </c>
      <c r="F11522" t="s">
        <v>22163</v>
      </c>
      <c r="G11522" t="s">
        <v>14</v>
      </c>
      <c r="H11522">
             </c>
      <c r="I11522" t="s">
        <v>14</v>
      </c>
      <c r="J11522" t="s">
        <v>141</v>
      </c>
      <c r="K11522" t="s">
        <v>14</v>
      </c>
      <c r="L11522" t="s">
        <v>20</v>
      </c>
      <c r="M11522" t="s">
        <v>21815</v>
      </c>
      <c r="N11522" t="s">
        <v>14</v>
      </c>
    </row>
    <row r="11523" x14ac:dyDescent="0.25">
      <c r="A11523" t="n">
        <v>24</v>
      </c>
      <c r="B11523" t="s">
        <v>14</v>
      </c>
      <c r="C11523" t="s">
        <v>22</v>
      </c>
      <c r="D11523" s="2" t="s">
        <f>=HYPERLINK("https://main.knesset.gov.il/APPS/legislation/main/bills/2156220", "הצעת חוק הפרטת תאגיד השידור הציבורי הישראלי, התשפ""א-2021")</f>
        <v>22006</v>
      </c>
      <c r="E11523" t="s">
        <v>22006</v>
      </c>
      <c r="F11523" t="s">
        <v>22164</v>
      </c>
      <c r="G11523" t="s">
        <v>14</v>
      </c>
      <c r="H11523">
             </c>
      <c r="I11523" t="s">
        <v>14</v>
      </c>
      <c r="J11523" t="s">
        <v>141</v>
      </c>
      <c r="K11523" t="s">
        <v>14</v>
      </c>
      <c r="L11523" t="s">
        <v>20</v>
      </c>
      <c r="M11523" t="s">
        <v>21815</v>
      </c>
      <c r="N11523" t="s">
        <v>14</v>
      </c>
    </row>
    <row r="11524" x14ac:dyDescent="0.25">
      <c r="A11524" t="n">
        <v>24</v>
      </c>
      <c r="B11524" t="s">
        <v>14</v>
      </c>
      <c r="C11524" t="s">
        <v>22</v>
      </c>
      <c r="D11524" s="2" t="s">
        <f>=HYPERLINK("https://main.knesset.gov.il/APPS/legislation/main/bills/2156226", "הצעת חוק הממשלה (תיקון - פרסום פרוטוקול ישיבות הממשלה), התשפ""א-2021")</f>
        <v>22165</v>
      </c>
      <c r="E11524" t="s">
        <v>22165</v>
      </c>
      <c r="F11524" t="s">
        <v>22166</v>
      </c>
      <c r="G11524" t="s">
        <v>14</v>
      </c>
      <c r="H11524">
             </c>
      <c r="I11524" t="s">
        <v>14</v>
      </c>
      <c r="J11524" t="s">
        <v>141</v>
      </c>
      <c r="K11524" t="s">
        <v>14</v>
      </c>
      <c r="L11524" t="s">
        <v>20</v>
      </c>
      <c r="M11524" t="s">
        <v>21815</v>
      </c>
      <c r="N11524" t="s">
        <v>14</v>
      </c>
    </row>
    <row r="11525" x14ac:dyDescent="0.25">
      <c r="A11525" t="n">
        <v>24</v>
      </c>
      <c r="B11525" t="s">
        <v>14</v>
      </c>
      <c r="C11525" t="s">
        <v>22</v>
      </c>
      <c r="D11525" s="2" t="s">
        <f>=HYPERLINK("https://main.knesset.gov.il/APPS/legislation/main/bills/2156869", "הצעת חוק המועצות האזוריות (בחירת ראש המועצה) (תיקון - הגשת רשימה על ידי סיעה או מפלגה), התשפ""א-2021")</f>
        <v>22167</v>
      </c>
      <c r="E11525" t="s">
        <v>22167</v>
      </c>
      <c r="F11525" t="s">
        <v>22168</v>
      </c>
      <c r="G11525" t="s">
        <v>14</v>
      </c>
      <c r="H11525">
             </c>
      <c r="I11525" t="s">
        <v>14</v>
      </c>
      <c r="J11525" t="s">
        <v>141</v>
      </c>
      <c r="K11525" t="s">
        <v>14</v>
      </c>
      <c r="L11525" t="s">
        <v>20</v>
      </c>
      <c r="M11525" t="s">
        <v>21815</v>
      </c>
      <c r="N11525" t="s">
        <v>14</v>
      </c>
    </row>
    <row r="11526" x14ac:dyDescent="0.25">
      <c r="A11526" t="n">
        <v>24</v>
      </c>
      <c r="B11526" t="s">
        <v>14</v>
      </c>
      <c r="C11526" t="s">
        <v>22</v>
      </c>
      <c r="D11526" s="2" t="s">
        <f>=HYPERLINK("https://main.knesset.gov.il/APPS/legislation/main/bills/2156793", "הצעת חוק איסור הפליה במוצרים, בשירותים ובכניסה למקומות בידור ולמקומות ציבוריים (תיקון - חובת הודעה מוקדמת על אירוע סגור), התשפ""א-2021")</f>
        <v>22169</v>
      </c>
      <c r="E11526" t="s">
        <v>22169</v>
      </c>
      <c r="F11526" t="s">
        <v>22170</v>
      </c>
      <c r="G11526" t="s">
        <v>14</v>
      </c>
      <c r="H11526">
             </c>
      <c r="I11526" t="s">
        <v>14</v>
      </c>
      <c r="J11526" t="s">
        <v>141</v>
      </c>
      <c r="K11526" t="s">
        <v>14</v>
      </c>
      <c r="L11526" t="s">
        <v>20</v>
      </c>
      <c r="M11526" t="s">
        <v>21815</v>
      </c>
      <c r="N11526" t="s">
        <v>14</v>
      </c>
    </row>
    <row r="11527" x14ac:dyDescent="0.25">
      <c r="A11527" t="n">
        <v>24</v>
      </c>
      <c r="B11527" t="s">
        <v>14</v>
      </c>
      <c r="C11527" t="s">
        <v>22</v>
      </c>
      <c r="D11527" s="2" t="s">
        <f>=HYPERLINK("https://main.knesset.gov.il/APPS/legislation/main/bills/2156648", "הצעת חוק לתיקון פקודת המשטרה (הצעת מועמדים לתפקיד המפקח הכללי של המשטרה בידי ועדת איתור מקצועית-ציבורית), התשפ""א-2021")</f>
        <v>19837</v>
      </c>
      <c r="E11527" t="s">
        <v>19837</v>
      </c>
      <c r="F11527" t="s">
        <v>22171</v>
      </c>
      <c r="G11527" t="s">
        <v>14</v>
      </c>
      <c r="H11527">
             </c>
      <c r="I11527" t="s">
        <v>14</v>
      </c>
      <c r="J11527" t="s">
        <v>141</v>
      </c>
      <c r="K11527" t="s">
        <v>14</v>
      </c>
      <c r="L11527" t="s">
        <v>20</v>
      </c>
      <c r="M11527" t="s">
        <v>21815</v>
      </c>
      <c r="N11527" t="s">
        <v>14</v>
      </c>
    </row>
    <row r="11528" x14ac:dyDescent="0.25">
      <c r="A11528" t="n">
        <v>24</v>
      </c>
      <c r="B11528" t="s">
        <v>14</v>
      </c>
      <c r="C11528" t="s">
        <v>22</v>
      </c>
      <c r="D11528" s="2" t="s">
        <f>=HYPERLINK("https://main.knesset.gov.il/APPS/legislation/main/bills/2156557", "הצעת חוק היטלי סחר ואמצעי הגנה (תיקון - אי פתיחת חקירה בשל יבוא בהיצף בשוק מונופוליסטי או ריכוזי), התשפ""א-2021")</f>
        <v>22172</v>
      </c>
      <c r="E11528" t="s">
        <v>22172</v>
      </c>
      <c r="F11528" t="s">
        <v>22173</v>
      </c>
      <c r="G11528" t="s">
        <v>14</v>
      </c>
      <c r="H11528">
             </c>
      <c r="I11528" t="s">
        <v>14</v>
      </c>
      <c r="J11528" t="s">
        <v>141</v>
      </c>
      <c r="K11528" t="s">
        <v>14</v>
      </c>
      <c r="L11528" t="s">
        <v>20</v>
      </c>
      <c r="M11528" t="s">
        <v>21815</v>
      </c>
      <c r="N11528" t="s">
        <v>14</v>
      </c>
    </row>
    <row r="11529" x14ac:dyDescent="0.25">
      <c r="A11529" t="n">
        <v>24</v>
      </c>
      <c r="B11529" t="s">
        <v>14</v>
      </c>
      <c r="C11529" t="s">
        <v>22</v>
      </c>
      <c r="D11529" s="2" t="s">
        <f>=HYPERLINK("https://main.knesset.gov.il/APPS/legislation/main/bills/2156200", "הצעת חוק הגנת הצרכן (תיקון - הגבלות על מכירה מיוחדת), התשפ""א-2021")</f>
        <v>22174</v>
      </c>
      <c r="E11529" t="s">
        <v>22174</v>
      </c>
      <c r="F11529" t="s">
        <v>22175</v>
      </c>
      <c r="G11529" t="s">
        <v>14</v>
      </c>
      <c r="H11529">
             </c>
      <c r="I11529" t="s">
        <v>14</v>
      </c>
      <c r="J11529" t="s">
        <v>141</v>
      </c>
      <c r="K11529" t="s">
        <v>14</v>
      </c>
      <c r="L11529" t="s">
        <v>20</v>
      </c>
      <c r="M11529" t="s">
        <v>21815</v>
      </c>
      <c r="N11529" t="s">
        <v>14</v>
      </c>
    </row>
    <row r="11530" x14ac:dyDescent="0.25">
      <c r="A11530" t="n">
        <v>24</v>
      </c>
      <c r="B11530" t="s">
        <v>14</v>
      </c>
      <c r="C11530" t="s">
        <v>22</v>
      </c>
      <c r="D11530" s="2" t="s">
        <f>=HYPERLINK("https://main.knesset.gov.il/APPS/legislation/main/bills/2156650", "הצעת חוק לתיקון פקודת בתי הסוהר (עתירות אסיר - ערעור בזכות), התשפ""א-2021")</f>
        <v>22176</v>
      </c>
      <c r="E11530" t="s">
        <v>22176</v>
      </c>
      <c r="F11530" t="s">
        <v>22177</v>
      </c>
      <c r="G11530" t="s">
        <v>14</v>
      </c>
      <c r="H11530">
             </c>
      <c r="I11530" t="s">
        <v>14</v>
      </c>
      <c r="J11530" t="s">
        <v>141</v>
      </c>
      <c r="K11530" t="s">
        <v>14</v>
      </c>
      <c r="L11530" t="s">
        <v>20</v>
      </c>
      <c r="M11530" t="s">
        <v>21815</v>
      </c>
      <c r="N11530" t="s">
        <v>14</v>
      </c>
    </row>
    <row r="11531" x14ac:dyDescent="0.25">
      <c r="A11531" t="n">
        <v>24</v>
      </c>
      <c r="B11531" t="s">
        <v>14</v>
      </c>
      <c r="C11531" t="s">
        <v>22</v>
      </c>
      <c r="D11531" s="2" t="s">
        <f>=HYPERLINK("https://main.knesset.gov.il/APPS/legislation/main/bills/2156549", "הצעת חוק הבנקאות (רישוי) (תיקון - הפרדה בין בנקים), התשפ""א-2021")</f>
        <v>22178</v>
      </c>
      <c r="E11531" t="s">
        <v>22178</v>
      </c>
      <c r="F11531" t="s">
        <v>22179</v>
      </c>
      <c r="G11531" t="s">
        <v>14</v>
      </c>
      <c r="H11531">
             </c>
      <c r="I11531" t="s">
        <v>14</v>
      </c>
      <c r="J11531" t="s">
        <v>141</v>
      </c>
      <c r="K11531" t="s">
        <v>14</v>
      </c>
      <c r="L11531" t="s">
        <v>20</v>
      </c>
      <c r="M11531" t="s">
        <v>21815</v>
      </c>
      <c r="N11531" t="s">
        <v>14</v>
      </c>
    </row>
    <row r="11532" x14ac:dyDescent="0.25">
      <c r="A11532" t="n">
        <v>24</v>
      </c>
      <c r="B11532" t="s">
        <v>14</v>
      </c>
      <c r="C11532" t="s">
        <v>22</v>
      </c>
      <c r="D11532" s="2" t="s">
        <f>=HYPERLINK("https://main.knesset.gov.il/APPS/legislation/main/bills/2156846", "הצעת חוק הרשויות המקומיות (בחירת ראש הרשות וסגניו וכהונתם) (תיקון - מינוי סגן ראש רשות תשיעי בעיריית ירושלים), התשפ""א-2021")</f>
        <v>22180</v>
      </c>
      <c r="E11532" t="s">
        <v>22180</v>
      </c>
      <c r="F11532" t="s">
        <v>22181</v>
      </c>
      <c r="G11532" t="s">
        <v>14</v>
      </c>
      <c r="H11532">
             </c>
      <c r="I11532" t="s">
        <v>14</v>
      </c>
      <c r="J11532" t="s">
        <v>141</v>
      </c>
      <c r="K11532" t="s">
        <v>14</v>
      </c>
      <c r="L11532" t="s">
        <v>20</v>
      </c>
      <c r="M11532" t="s">
        <v>21815</v>
      </c>
      <c r="N11532" t="s">
        <v>14</v>
      </c>
    </row>
    <row r="11533" x14ac:dyDescent="0.25">
      <c r="A11533" t="n">
        <v>24</v>
      </c>
      <c r="B11533" t="s">
        <v>14</v>
      </c>
      <c r="C11533" t="s">
        <v>22</v>
      </c>
      <c r="D11533" s="2" t="s">
        <f>=HYPERLINK("https://main.knesset.gov.il/APPS/legislation/main/bills/2156510", "הצעת חוק נציב תלונות הציבור על שופטים (תיקון - מינוי הנציב), התשפ""א-2021")</f>
        <v>22182</v>
      </c>
      <c r="E11533" t="s">
        <v>22182</v>
      </c>
      <c r="F11533" t="s">
        <v>22183</v>
      </c>
      <c r="G11533" t="s">
        <v>14</v>
      </c>
      <c r="H11533">
             </c>
      <c r="I11533" t="s">
        <v>14</v>
      </c>
      <c r="J11533" t="s">
        <v>141</v>
      </c>
      <c r="K11533" t="s">
        <v>14</v>
      </c>
      <c r="L11533" t="s">
        <v>20</v>
      </c>
      <c r="M11533" t="s">
        <v>21815</v>
      </c>
      <c r="N11533" t="s">
        <v>14</v>
      </c>
    </row>
    <row r="11534" x14ac:dyDescent="0.25">
      <c r="A11534" t="n">
        <v>24</v>
      </c>
      <c r="B11534" t="s">
        <v>14</v>
      </c>
      <c r="C11534" t="s">
        <v>22</v>
      </c>
      <c r="D11534" s="2" t="s">
        <f>=HYPERLINK("https://main.knesset.gov.il/APPS/legislation/main/bills/2156498", "הצעת חוק הביטוח הלאומי (תיקון - קצבת נכות לעקרת בית), התשפ""א-2021")</f>
        <v>22184</v>
      </c>
      <c r="E11534" t="s">
        <v>22184</v>
      </c>
      <c r="F11534" t="s">
        <v>22185</v>
      </c>
      <c r="G11534" t="s">
        <v>14</v>
      </c>
      <c r="H11534">
             </c>
      <c r="I11534" t="s">
        <v>14</v>
      </c>
      <c r="J11534" t="s">
        <v>141</v>
      </c>
      <c r="K11534" t="s">
        <v>14</v>
      </c>
      <c r="L11534" t="s">
        <v>20</v>
      </c>
      <c r="M11534" t="s">
        <v>21815</v>
      </c>
      <c r="N11534" t="s">
        <v>14</v>
      </c>
    </row>
    <row r="11535" x14ac:dyDescent="0.25">
      <c r="A11535" t="n">
        <v>24</v>
      </c>
      <c r="B11535" t="s">
        <v>14</v>
      </c>
      <c r="C11535" t="s">
        <v>22</v>
      </c>
      <c r="D11535" s="2" t="s">
        <f>=HYPERLINK("https://main.knesset.gov.il/APPS/legislation/main/bills/2156177", "הצעת חוק לתיקון פקודת מס הכנסה (פטור ממס על משיכה הונית מקופת גמל), התשפ""א-2021")</f>
        <v>19688</v>
      </c>
      <c r="E11535" t="s">
        <v>19688</v>
      </c>
      <c r="F11535" t="s">
        <v>22186</v>
      </c>
      <c r="G11535" t="s">
        <v>14</v>
      </c>
      <c r="H11535">
             </c>
      <c r="I11535" t="s">
        <v>14</v>
      </c>
      <c r="J11535" t="s">
        <v>141</v>
      </c>
      <c r="K11535" t="s">
        <v>14</v>
      </c>
      <c r="L11535" t="s">
        <v>20</v>
      </c>
      <c r="M11535" t="s">
        <v>21815</v>
      </c>
      <c r="N11535" t="s">
        <v>14</v>
      </c>
    </row>
    <row r="11536" x14ac:dyDescent="0.25">
      <c r="A11536" t="n">
        <v>24</v>
      </c>
      <c r="B11536" t="s">
        <v>14</v>
      </c>
      <c r="C11536" t="s">
        <v>22</v>
      </c>
      <c r="D11536" s="2" t="s">
        <f>=HYPERLINK("https://main.knesset.gov.il/APPS/legislation/main/bills/2156479", "הצעת חוק הביטוח הלאומי (תיקון - זכאות לדמי אבטלה לעובד שהתפטר לשם טיפול בילדו), התשפ""א-2021")</f>
        <v>21945</v>
      </c>
      <c r="E11536" t="s">
        <v>21945</v>
      </c>
      <c r="F11536" t="s">
        <v>22187</v>
      </c>
      <c r="G11536" t="s">
        <v>14</v>
      </c>
      <c r="H11536">
             </c>
      <c r="I11536" t="s">
        <v>14</v>
      </c>
      <c r="J11536" t="s">
        <v>141</v>
      </c>
      <c r="K11536" t="s">
        <v>14</v>
      </c>
      <c r="L11536" t="s">
        <v>20</v>
      </c>
      <c r="M11536" t="s">
        <v>21815</v>
      </c>
      <c r="N11536" t="s">
        <v>14</v>
      </c>
    </row>
    <row r="11537" x14ac:dyDescent="0.25">
      <c r="A11537" t="n">
        <v>24</v>
      </c>
      <c r="B11537" t="s">
        <v>14</v>
      </c>
      <c r="C11537" t="s">
        <v>22</v>
      </c>
      <c r="D11537" s="2" t="s">
        <f>=HYPERLINK("https://main.knesset.gov.il/APPS/legislation/main/bills/2156520", "הצעת חוק שיקום שכונות דרום תל-אביב (תמריצים לפיזור גיאוגרפי של מסתננים) (הוראת שעה), התשפ""א-2021")</f>
        <v>22188</v>
      </c>
      <c r="E11537" t="s">
        <v>22188</v>
      </c>
      <c r="F11537" t="s">
        <v>22189</v>
      </c>
      <c r="G11537" t="s">
        <v>14</v>
      </c>
      <c r="H11537">
             </c>
      <c r="I11537" t="s">
        <v>14</v>
      </c>
      <c r="J11537" t="s">
        <v>141</v>
      </c>
      <c r="K11537" t="s">
        <v>14</v>
      </c>
      <c r="L11537" t="s">
        <v>20</v>
      </c>
      <c r="M11537" t="s">
        <v>21815</v>
      </c>
      <c r="N11537" t="s">
        <v>14</v>
      </c>
    </row>
    <row r="11538" x14ac:dyDescent="0.25">
      <c r="A11538" t="n">
        <v>24</v>
      </c>
      <c r="B11538" t="s">
        <v>14</v>
      </c>
      <c r="C11538" t="s">
        <v>22</v>
      </c>
      <c r="D11538" s="2" t="s">
        <f>=HYPERLINK("https://main.knesset.gov.il/APPS/legislation/main/bills/2156475", "הצעת חוק התגמולים לנפגעי פעולות איבה (תיקון - פשע שנאה), התשפ""א-2021")</f>
        <v>22190</v>
      </c>
      <c r="E11538" t="s">
        <v>22190</v>
      </c>
      <c r="F11538" t="s">
        <v>22191</v>
      </c>
      <c r="G11538" t="s">
        <v>14</v>
      </c>
      <c r="H11538">
             </c>
      <c r="I11538" t="s">
        <v>14</v>
      </c>
      <c r="J11538" t="s">
        <v>141</v>
      </c>
      <c r="K11538" t="s">
        <v>14</v>
      </c>
      <c r="L11538" t="s">
        <v>20</v>
      </c>
      <c r="M11538" t="s">
        <v>21815</v>
      </c>
      <c r="N11538" t="s">
        <v>14</v>
      </c>
    </row>
    <row r="11539" x14ac:dyDescent="0.25">
      <c r="A11539" t="n">
        <v>24</v>
      </c>
      <c r="B11539" t="s">
        <v>14</v>
      </c>
      <c r="C11539" t="s">
        <v>22</v>
      </c>
      <c r="D11539" s="2" t="s">
        <f>=HYPERLINK("https://main.knesset.gov.il/APPS/legislation/main/bills/2156164", "הצעת חוק הגנת הצרכן (תיקון - סימון תאריך ייצור ומועד תפוגה עברי), התשפ""א-2021")</f>
        <v>22192</v>
      </c>
      <c r="E11539" t="s">
        <v>22192</v>
      </c>
      <c r="F11539" t="s">
        <v>22193</v>
      </c>
      <c r="G11539" t="s">
        <v>14</v>
      </c>
      <c r="H11539">
             </c>
      <c r="I11539" t="s">
        <v>14</v>
      </c>
      <c r="J11539" t="s">
        <v>141</v>
      </c>
      <c r="K11539" t="s">
        <v>14</v>
      </c>
      <c r="L11539" t="s">
        <v>20</v>
      </c>
      <c r="M11539" t="s">
        <v>21815</v>
      </c>
      <c r="N11539" t="s">
        <v>14</v>
      </c>
    </row>
    <row r="11540" x14ac:dyDescent="0.25">
      <c r="A11540" t="n">
        <v>24</v>
      </c>
      <c r="B11540" t="s">
        <v>14</v>
      </c>
      <c r="C11540" t="s">
        <v>22</v>
      </c>
      <c r="D11540" s="2" t="s">
        <f>=HYPERLINK("https://main.knesset.gov.il/APPS/legislation/main/bills/2156825", "הצעת חוק שידורי טלוויזיה (תיאור קולי), התשפ""א-2021")</f>
        <v>22194</v>
      </c>
      <c r="E11540" t="s">
        <v>22194</v>
      </c>
      <c r="F11540" t="s">
        <v>22195</v>
      </c>
      <c r="G11540" t="s">
        <v>14</v>
      </c>
      <c r="H11540">
             </c>
      <c r="I11540" t="s">
        <v>14</v>
      </c>
      <c r="J11540" t="s">
        <v>141</v>
      </c>
      <c r="K11540" t="s">
        <v>14</v>
      </c>
      <c r="L11540" t="s">
        <v>20</v>
      </c>
      <c r="M11540" t="s">
        <v>21815</v>
      </c>
      <c r="N11540" t="s">
        <v>14</v>
      </c>
    </row>
    <row r="11541" x14ac:dyDescent="0.25">
      <c r="A11541" t="n">
        <v>24</v>
      </c>
      <c r="B11541" t="s">
        <v>14</v>
      </c>
      <c r="C11541" t="s">
        <v>22</v>
      </c>
      <c r="D11541" s="2" t="s">
        <f>=HYPERLINK("https://main.knesset.gov.il/APPS/legislation/main/bills/2156471", "הצעת חוק הביטוח הלאומי (תיקון - הכרה בפגיעה מינית בעבודה כתאונת עבודה), התשפ""א-2021")</f>
        <v>22196</v>
      </c>
      <c r="E11541" t="s">
        <v>22196</v>
      </c>
      <c r="F11541" t="s">
        <v>22197</v>
      </c>
      <c r="G11541" t="s">
        <v>14</v>
      </c>
      <c r="H11541">
             </c>
      <c r="I11541" t="s">
        <v>14</v>
      </c>
      <c r="J11541" t="s">
        <v>141</v>
      </c>
      <c r="K11541" t="s">
        <v>14</v>
      </c>
      <c r="L11541" t="s">
        <v>20</v>
      </c>
      <c r="M11541" t="s">
        <v>21815</v>
      </c>
      <c r="N11541" t="s">
        <v>14</v>
      </c>
    </row>
    <row r="11542" x14ac:dyDescent="0.25">
      <c r="A11542" t="n">
        <v>24</v>
      </c>
      <c r="B11542" t="s">
        <v>14</v>
      </c>
      <c r="C11542" t="s">
        <v>22</v>
      </c>
      <c r="D11542" s="2" t="s">
        <f>=HYPERLINK("https://main.knesset.gov.il/APPS/legislation/main/bills/2156135", "הצעת חוק דמי נסיעה לסטודנטים בתחבורה ציבורית (תיקוני חקיקה), התשפ""א-2021")</f>
        <v>22198</v>
      </c>
      <c r="E11542" t="s">
        <v>22198</v>
      </c>
      <c r="F11542" t="s">
        <v>22199</v>
      </c>
      <c r="G11542" t="s">
        <v>14</v>
      </c>
      <c r="H11542">
             </c>
      <c r="I11542" t="s">
        <v>14</v>
      </c>
      <c r="J11542" t="s">
        <v>141</v>
      </c>
      <c r="K11542" t="s">
        <v>14</v>
      </c>
      <c r="L11542" t="s">
        <v>20</v>
      </c>
      <c r="M11542" t="s">
        <v>21815</v>
      </c>
      <c r="N11542" t="s">
        <v>14</v>
      </c>
    </row>
    <row r="11543" x14ac:dyDescent="0.25">
      <c r="A11543" t="n">
        <v>24</v>
      </c>
      <c r="B11543" t="s">
        <v>14</v>
      </c>
      <c r="C11543" t="s">
        <v>22</v>
      </c>
      <c r="D11543" s="2" t="s">
        <f>=HYPERLINK("https://main.knesset.gov.il/APPS/legislation/main/bills/2156121", "הצעת חוק לתיקון פקודת מס הכנסה (דחיית הגשת דיווח שנתי לעסק שהוקם ברבעון האחרון של השנה), התשפ""א-2021")</f>
        <v>21476</v>
      </c>
      <c r="E11543" t="s">
        <v>21476</v>
      </c>
      <c r="F11543" t="s">
        <v>22200</v>
      </c>
      <c r="G11543" t="s">
        <v>14</v>
      </c>
      <c r="H11543">
             </c>
      <c r="I11543" t="s">
        <v>14</v>
      </c>
      <c r="J11543" t="s">
        <v>141</v>
      </c>
      <c r="K11543" t="s">
        <v>14</v>
      </c>
      <c r="L11543" t="s">
        <v>20</v>
      </c>
      <c r="M11543" t="s">
        <v>21815</v>
      </c>
      <c r="N11543" t="s">
        <v>14</v>
      </c>
    </row>
    <row r="11544" x14ac:dyDescent="0.25">
      <c r="A11544" t="n">
        <v>24</v>
      </c>
      <c r="B11544" t="s">
        <v>14</v>
      </c>
      <c r="C11544" t="s">
        <v>22</v>
      </c>
      <c r="D11544" s="2" t="s">
        <f>=HYPERLINK("https://main.knesset.gov.il/APPS/legislation/main/bills/2156119", "הצעת חוק דחיית תשלומי מס לעסק חדש (תיקוני חקיקה), התשפ""א-2021")</f>
        <v>22201</v>
      </c>
      <c r="E11544" t="s">
        <v>22201</v>
      </c>
      <c r="F11544" t="s">
        <v>22202</v>
      </c>
      <c r="G11544" t="s">
        <v>14</v>
      </c>
      <c r="H11544">
             </c>
      <c r="I11544" t="s">
        <v>14</v>
      </c>
      <c r="J11544" t="s">
        <v>141</v>
      </c>
      <c r="K11544" t="s">
        <v>14</v>
      </c>
      <c r="L11544" t="s">
        <v>20</v>
      </c>
      <c r="M11544" t="s">
        <v>21815</v>
      </c>
      <c r="N11544" t="s">
        <v>14</v>
      </c>
    </row>
    <row r="11545" x14ac:dyDescent="0.25">
      <c r="A11545" t="n">
        <v>24</v>
      </c>
      <c r="B11545" t="s">
        <v>14</v>
      </c>
      <c r="C11545" t="s">
        <v>22</v>
      </c>
      <c r="D11545" s="2" t="s">
        <f>=HYPERLINK("https://main.knesset.gov.il/APPS/legislation/main/bills/2156512", "הצעת חוק מרשם האוכלוסין (תיקון - רישום בת זוג או בן זוג כהורה), התשפ""א-2021")</f>
        <v>19921</v>
      </c>
      <c r="E11545" t="s">
        <v>19921</v>
      </c>
      <c r="F11545" t="s">
        <v>22203</v>
      </c>
      <c r="G11545" t="s">
        <v>14</v>
      </c>
      <c r="H11545">
             </c>
      <c r="I11545" t="s">
        <v>14</v>
      </c>
      <c r="J11545" t="s">
        <v>141</v>
      </c>
      <c r="K11545" t="s">
        <v>14</v>
      </c>
      <c r="L11545" t="s">
        <v>20</v>
      </c>
      <c r="M11545" t="s">
        <v>21815</v>
      </c>
      <c r="N11545" t="s">
        <v>14</v>
      </c>
    </row>
    <row r="11546" x14ac:dyDescent="0.25">
      <c r="A11546" t="n">
        <v>24</v>
      </c>
      <c r="B11546" t="s">
        <v>14</v>
      </c>
      <c r="C11546" t="s">
        <v>22</v>
      </c>
      <c r="D11546" s="2" t="s">
        <f>=HYPERLINK("https://main.knesset.gov.il/APPS/legislation/main/bills/2156106", "הצעת חוק לתיקון פקודת מס הכנסה (ניכוי הוצאות כיבוד לפגישה מחוץ למקום העיסוק), התשפ""א-2021")</f>
        <v>22204</v>
      </c>
      <c r="E11546" t="s">
        <v>22204</v>
      </c>
      <c r="F11546" t="s">
        <v>22205</v>
      </c>
      <c r="G11546" t="s">
        <v>14</v>
      </c>
      <c r="H11546">
             </c>
      <c r="I11546" t="s">
        <v>14</v>
      </c>
      <c r="J11546" t="s">
        <v>141</v>
      </c>
      <c r="K11546" t="s">
        <v>14</v>
      </c>
      <c r="L11546" t="s">
        <v>20</v>
      </c>
      <c r="M11546" t="s">
        <v>21815</v>
      </c>
      <c r="N11546" t="s">
        <v>14</v>
      </c>
    </row>
    <row r="11547" x14ac:dyDescent="0.25">
      <c r="A11547" t="n">
        <v>24</v>
      </c>
      <c r="B11547" t="s">
        <v>14</v>
      </c>
      <c r="C11547" t="s">
        <v>22</v>
      </c>
      <c r="D11547" s="2" t="s">
        <f>=HYPERLINK("https://main.knesset.gov.il/APPS/legislation/main/bills/2156508", "הצעת חוק לתיקון פקודת התעבורה (הארכת משך האור הירוק ברמזור להולכי רגל בקרבת בתי ספר ובתי אבות), התשפ""א-2021")</f>
        <v>22206</v>
      </c>
      <c r="E11547" t="s">
        <v>22206</v>
      </c>
      <c r="F11547" t="s">
        <v>22207</v>
      </c>
      <c r="G11547" t="s">
        <v>14</v>
      </c>
      <c r="H11547">
             </c>
      <c r="I11547" t="s">
        <v>14</v>
      </c>
      <c r="J11547" t="s">
        <v>141</v>
      </c>
      <c r="K11547" t="s">
        <v>14</v>
      </c>
      <c r="L11547" t="s">
        <v>20</v>
      </c>
      <c r="M11547" t="s">
        <v>21815</v>
      </c>
      <c r="N11547" t="s">
        <v>14</v>
      </c>
    </row>
    <row r="11548" x14ac:dyDescent="0.25">
      <c r="A11548" t="n">
        <v>24</v>
      </c>
      <c r="B11548" t="s">
        <v>14</v>
      </c>
      <c r="C11548" t="s">
        <v>22</v>
      </c>
      <c r="D11548" s="2" t="s">
        <f>=HYPERLINK("https://main.knesset.gov.il/APPS/legislation/main/bills/2156790", "הצעת חוק לתיקון פקודת העיריות (הצבת דוכנים המשמשים לצרכי דת), התשפ""א-2021")</f>
        <v>22208</v>
      </c>
      <c r="E11548" t="s">
        <v>22208</v>
      </c>
      <c r="F11548" t="s">
        <v>22209</v>
      </c>
      <c r="G11548" t="s">
        <v>14</v>
      </c>
      <c r="H11548">
             </c>
      <c r="I11548" t="s">
        <v>14</v>
      </c>
      <c r="J11548" t="s">
        <v>141</v>
      </c>
      <c r="K11548" t="s">
        <v>14</v>
      </c>
      <c r="L11548" t="s">
        <v>20</v>
      </c>
      <c r="M11548" t="s">
        <v>21815</v>
      </c>
      <c r="N11548" t="s">
        <v>14</v>
      </c>
    </row>
    <row r="11549" x14ac:dyDescent="0.25">
      <c r="A11549" t="n">
        <v>24</v>
      </c>
      <c r="B11549" t="s">
        <v>14</v>
      </c>
      <c r="C11549" t="s">
        <v>22</v>
      </c>
      <c r="D11549" s="2" t="s">
        <f>=HYPERLINK("https://main.knesset.gov.il/APPS/legislation/main/bills/2156100", "הצעת חוק לצמצום רגולציה ושעורי אגרות לעסקים קטנים, התשפ""א-2021")</f>
        <v>21280</v>
      </c>
      <c r="E11549" t="s">
        <v>21280</v>
      </c>
      <c r="F11549" t="s">
        <v>22210</v>
      </c>
      <c r="G11549" t="s">
        <v>14</v>
      </c>
      <c r="H11549">
             </c>
      <c r="I11549" t="s">
        <v>14</v>
      </c>
      <c r="J11549" t="s">
        <v>141</v>
      </c>
      <c r="K11549" t="s">
        <v>14</v>
      </c>
      <c r="L11549" t="s">
        <v>20</v>
      </c>
      <c r="M11549" t="s">
        <v>21815</v>
      </c>
      <c r="N11549" t="s">
        <v>14</v>
      </c>
    </row>
    <row r="11550" x14ac:dyDescent="0.25">
      <c r="A11550" t="n">
        <v>24</v>
      </c>
      <c r="B11550" t="s">
        <v>14</v>
      </c>
      <c r="C11550" t="s">
        <v>22</v>
      </c>
      <c r="D11550" s="2" t="s">
        <f>=HYPERLINK("https://main.knesset.gov.il/APPS/legislation/main/bills/2156404", "הצעת חוק הרשויות המקומיות (הגבלת הזכות להיבחר) (תיקון - חזרת עובד רשות לעבודתו לאחר שהתמודד לראשות המועצה), התשפ""א-2021")</f>
        <v>22211</v>
      </c>
      <c r="E11550" t="s">
        <v>22211</v>
      </c>
      <c r="F11550" t="s">
        <v>22212</v>
      </c>
      <c r="G11550" t="s">
        <v>14</v>
      </c>
      <c r="H11550">
             </c>
      <c r="I11550" t="s">
        <v>14</v>
      </c>
      <c r="J11550" t="s">
        <v>141</v>
      </c>
      <c r="K11550" t="s">
        <v>14</v>
      </c>
      <c r="L11550" t="s">
        <v>20</v>
      </c>
      <c r="M11550" t="s">
        <v>21815</v>
      </c>
      <c r="N11550" t="s">
        <v>14</v>
      </c>
    </row>
    <row r="11551" x14ac:dyDescent="0.25">
      <c r="A11551" t="n">
        <v>24</v>
      </c>
      <c r="B11551" t="s">
        <v>14</v>
      </c>
      <c r="C11551" t="s">
        <v>22</v>
      </c>
      <c r="D11551" s="2" t="s">
        <f>=HYPERLINK("https://main.knesset.gov.il/APPS/legislation/main/bills/2156086", "הצעת חוק החזר גביית יתר (תיקוני חקיקה), התשפ""א-2021")</f>
        <v>22213</v>
      </c>
      <c r="E11551" t="s">
        <v>22213</v>
      </c>
      <c r="F11551" t="s">
        <v>22214</v>
      </c>
      <c r="G11551" t="s">
        <v>14</v>
      </c>
      <c r="H11551">
             </c>
      <c r="I11551" t="s">
        <v>14</v>
      </c>
      <c r="J11551" t="s">
        <v>141</v>
      </c>
      <c r="K11551" t="s">
        <v>14</v>
      </c>
      <c r="L11551" t="s">
        <v>20</v>
      </c>
      <c r="M11551" t="s">
        <v>21815</v>
      </c>
      <c r="N11551" t="s">
        <v>14</v>
      </c>
    </row>
    <row r="11552" x14ac:dyDescent="0.25">
      <c r="A11552" t="n">
        <v>24</v>
      </c>
      <c r="B11552" t="s">
        <v>14</v>
      </c>
      <c r="C11552" t="s">
        <v>22</v>
      </c>
      <c r="D11552" s="2" t="s">
        <f>=HYPERLINK("https://main.knesset.gov.il/APPS/legislation/main/bills/2156081", "הצעת חוק חובת תשלום בשוברים, התשפ""א-2021")</f>
        <v>22215</v>
      </c>
      <c r="E11552" t="s">
        <v>22215</v>
      </c>
      <c r="F11552" t="s">
        <v>22216</v>
      </c>
      <c r="G11552" t="s">
        <v>14</v>
      </c>
      <c r="H11552">
             </c>
      <c r="I11552" t="s">
        <v>14</v>
      </c>
      <c r="J11552" t="s">
        <v>141</v>
      </c>
      <c r="K11552" t="s">
        <v>14</v>
      </c>
      <c r="L11552" t="s">
        <v>20</v>
      </c>
      <c r="M11552" t="s">
        <v>21815</v>
      </c>
      <c r="N11552" t="s">
        <v>14</v>
      </c>
    </row>
    <row r="11553" x14ac:dyDescent="0.25">
      <c r="A11553" t="n">
        <v>24</v>
      </c>
      <c r="B11553" t="s">
        <v>14</v>
      </c>
      <c r="C11553" t="s">
        <v>22</v>
      </c>
      <c r="D11553" s="2" t="s">
        <f>=HYPERLINK("https://main.knesset.gov.il/APPS/legislation/main/bills/2156504", "הצעת חוק עבודת נשים (תיקון - תקופת לידה והורות להורה יחיד), התשפ""א-2021")</f>
        <v>22217</v>
      </c>
      <c r="E11553" t="s">
        <v>22217</v>
      </c>
      <c r="F11553" t="s">
        <v>22218</v>
      </c>
      <c r="G11553" t="s">
        <v>14</v>
      </c>
      <c r="H11553">
             </c>
      <c r="I11553" t="s">
        <v>14</v>
      </c>
      <c r="J11553" t="s">
        <v>141</v>
      </c>
      <c r="K11553" t="s">
        <v>14</v>
      </c>
      <c r="L11553" t="s">
        <v>20</v>
      </c>
      <c r="M11553" t="s">
        <v>21815</v>
      </c>
      <c r="N11553" t="s">
        <v>14</v>
      </c>
    </row>
    <row r="11554" x14ac:dyDescent="0.25">
      <c r="A11554" t="n">
        <v>24</v>
      </c>
      <c r="B11554" t="s">
        <v>14</v>
      </c>
      <c r="C11554" t="s">
        <v>22</v>
      </c>
      <c r="D11554" s="2" t="s">
        <f>=HYPERLINK("https://main.knesset.gov.il/APPS/legislation/main/bills/2156785", "הצעת חוק רשת ביטחון לעצמאים בעת אירוע חירום, התשפ""א-2021")</f>
        <v>22219</v>
      </c>
      <c r="E11554" t="s">
        <v>22219</v>
      </c>
      <c r="F11554" t="s">
        <v>22220</v>
      </c>
      <c r="G11554" t="s">
        <v>14</v>
      </c>
      <c r="H11554">
             </c>
      <c r="I11554" t="s">
        <v>14</v>
      </c>
      <c r="J11554" t="s">
        <v>141</v>
      </c>
      <c r="K11554" t="s">
        <v>14</v>
      </c>
      <c r="L11554" t="s">
        <v>20</v>
      </c>
      <c r="M11554" t="s">
        <v>21815</v>
      </c>
      <c r="N11554" t="s">
        <v>14</v>
      </c>
    </row>
    <row r="11555" x14ac:dyDescent="0.25">
      <c r="A11555" t="n">
        <v>24</v>
      </c>
      <c r="B11555" t="s">
        <v>14</v>
      </c>
      <c r="C11555" t="s">
        <v>22</v>
      </c>
      <c r="D11555" s="2" t="s">
        <f>=HYPERLINK("https://main.knesset.gov.il/APPS/legislation/main/bills/2156706", "הצעת חוק לפיקוח על ייצור הצמח ושיווקו (תיקון - חובת סימון ארץ הייצור של צמחים הנמכרים בתפזורת), התשפ""א-2021 ")</f>
        <v>22221</v>
      </c>
      <c r="E11555" t="s">
        <v>22221</v>
      </c>
      <c r="F11555" t="s">
        <v>22222</v>
      </c>
      <c r="G11555" t="s">
        <v>14</v>
      </c>
      <c r="H11555">
             </c>
      <c r="I11555" t="s">
        <v>14</v>
      </c>
      <c r="J11555" t="s">
        <v>141</v>
      </c>
      <c r="K11555" t="s">
        <v>14</v>
      </c>
      <c r="L11555" t="s">
        <v>20</v>
      </c>
      <c r="M11555" t="s">
        <v>21815</v>
      </c>
      <c r="N11555" t="s">
        <v>14</v>
      </c>
    </row>
    <row r="11556" x14ac:dyDescent="0.25">
      <c r="A11556" t="n">
        <v>24</v>
      </c>
      <c r="B11556" t="s">
        <v>14</v>
      </c>
      <c r="C11556" t="s">
        <v>22</v>
      </c>
      <c r="D11556" s="2" t="s">
        <f>=HYPERLINK("https://main.knesset.gov.il/APPS/legislation/main/bills/2156072", "הצעת חוק התכנון והבנייה (תיקון מס' 116) (תיקון - ביטול החוק), התשפ""א-2021")</f>
        <v>19451</v>
      </c>
      <c r="E11556" t="s">
        <v>19451</v>
      </c>
      <c r="F11556" t="s">
        <v>22223</v>
      </c>
      <c r="G11556" t="s">
        <v>14</v>
      </c>
      <c r="H11556">
             </c>
      <c r="I11556" t="s">
        <v>14</v>
      </c>
      <c r="J11556" t="s">
        <v>141</v>
      </c>
      <c r="K11556" t="s">
        <v>14</v>
      </c>
      <c r="L11556" t="s">
        <v>20</v>
      </c>
      <c r="M11556" t="s">
        <v>21815</v>
      </c>
      <c r="N11556" t="s">
        <v>14</v>
      </c>
    </row>
    <row r="11557" x14ac:dyDescent="0.25">
      <c r="A11557" t="n">
        <v>24</v>
      </c>
      <c r="B11557" t="s">
        <v>14</v>
      </c>
      <c r="C11557" t="s">
        <v>22</v>
      </c>
      <c r="D11557" s="2" t="s">
        <f>=HYPERLINK("https://main.knesset.gov.il/APPS/legislation/main/bills/2156481", "הצעת חוק מגן דוד אדום (תיקון - הענקת שירותי רפואה מרחוק), התשפ""א-2021")</f>
        <v>22224</v>
      </c>
      <c r="E11557" t="s">
        <v>22224</v>
      </c>
      <c r="F11557" t="s">
        <v>22225</v>
      </c>
      <c r="G11557" t="s">
        <v>14</v>
      </c>
      <c r="H11557">
             </c>
      <c r="I11557" t="s">
        <v>14</v>
      </c>
      <c r="J11557" t="s">
        <v>141</v>
      </c>
      <c r="K11557" t="s">
        <v>14</v>
      </c>
      <c r="L11557" t="s">
        <v>20</v>
      </c>
      <c r="M11557" t="s">
        <v>21815</v>
      </c>
      <c r="N11557" t="s">
        <v>14</v>
      </c>
    </row>
    <row r="11558" x14ac:dyDescent="0.25">
      <c r="A11558" t="n">
        <v>24</v>
      </c>
      <c r="B11558" t="s">
        <v>14</v>
      </c>
      <c r="C11558" t="s">
        <v>22</v>
      </c>
      <c r="D11558" s="2" t="s">
        <f>=HYPERLINK("https://main.knesset.gov.il/APPS/legislation/main/bills/2156066", "הצעת חוק להסדרת שירותי ההשגחה על הכשרות, התשפ""א-2021")</f>
        <v>22226</v>
      </c>
      <c r="E11558" t="s">
        <v>22226</v>
      </c>
      <c r="F11558" t="s">
        <v>22227</v>
      </c>
      <c r="G11558" t="s">
        <v>14</v>
      </c>
      <c r="H11558">
             </c>
      <c r="I11558" t="s">
        <v>14</v>
      </c>
      <c r="J11558" t="s">
        <v>141</v>
      </c>
      <c r="K11558" t="s">
        <v>14</v>
      </c>
      <c r="L11558" t="s">
        <v>20</v>
      </c>
      <c r="M11558" t="s">
        <v>21815</v>
      </c>
      <c r="N11558" t="s">
        <v>14</v>
      </c>
    </row>
    <row r="11559" x14ac:dyDescent="0.25">
      <c r="A11559" t="n">
        <v>24</v>
      </c>
      <c r="B11559" t="s">
        <v>14</v>
      </c>
      <c r="C11559" t="s">
        <v>22</v>
      </c>
      <c r="D11559" s="2" t="s">
        <f>=HYPERLINK("https://main.knesset.gov.il/APPS/legislation/main/bills/2156679", "הצעת חוק הגנת הצרכן (תיקון - ביטול עסקה במסרון ומסירת אישור על קבלת הודעת ביטול), התשפ""א-2021")</f>
        <v>22228</v>
      </c>
      <c r="E11559" t="s">
        <v>22228</v>
      </c>
      <c r="F11559" t="s">
        <v>22229</v>
      </c>
      <c r="G11559" t="s">
        <v>14</v>
      </c>
      <c r="H11559">
             </c>
      <c r="I11559" t="s">
        <v>14</v>
      </c>
      <c r="J11559" t="s">
        <v>141</v>
      </c>
      <c r="K11559" t="s">
        <v>14</v>
      </c>
      <c r="L11559" t="s">
        <v>20</v>
      </c>
      <c r="M11559" t="s">
        <v>21815</v>
      </c>
      <c r="N11559" t="s">
        <v>14</v>
      </c>
    </row>
    <row r="11560" x14ac:dyDescent="0.25">
      <c r="A11560" t="n">
        <v>24</v>
      </c>
      <c r="B11560" t="s">
        <v>14</v>
      </c>
      <c r="C11560" t="s">
        <v>22</v>
      </c>
      <c r="D11560" s="2" t="s">
        <f>=HYPERLINK("https://main.knesset.gov.il/APPS/legislation/main/bills/2156613", "הצעת חוק הגנת הצרכן (תיקון - אחריות מנהל כללי ונושא משרה בשל הפרת הוראות החוק), התשפ""א-2021 ")</f>
        <v>22230</v>
      </c>
      <c r="E11560" t="s">
        <v>22230</v>
      </c>
      <c r="F11560" t="s">
        <v>22231</v>
      </c>
      <c r="G11560" t="s">
        <v>14</v>
      </c>
      <c r="H11560">
             </c>
      <c r="I11560" t="s">
        <v>14</v>
      </c>
      <c r="J11560" t="s">
        <v>141</v>
      </c>
      <c r="K11560" t="s">
        <v>14</v>
      </c>
      <c r="L11560" t="s">
        <v>20</v>
      </c>
      <c r="M11560" t="s">
        <v>21815</v>
      </c>
      <c r="N11560" t="s">
        <v>14</v>
      </c>
    </row>
    <row r="11561" x14ac:dyDescent="0.25">
      <c r="A11561" t="n">
        <v>24</v>
      </c>
      <c r="B11561" t="s">
        <v>14</v>
      </c>
      <c r="C11561" t="s">
        <v>22</v>
      </c>
      <c r="D11561" s="2" t="s">
        <f>=HYPERLINK("https://main.knesset.gov.il/APPS/legislation/main/bills/2156546", "הצעת חוק איסור הונאה בכשרות (תיקון - מתן תעודת הכשר על ידי רב מקומי), התשפ""א-2021")</f>
        <v>19071</v>
      </c>
      <c r="E11561" t="s">
        <v>19071</v>
      </c>
      <c r="F11561" t="s">
        <v>22232</v>
      </c>
      <c r="G11561" t="s">
        <v>14</v>
      </c>
      <c r="H11561">
             </c>
      <c r="I11561" t="s">
        <v>14</v>
      </c>
      <c r="J11561" t="s">
        <v>141</v>
      </c>
      <c r="K11561" t="s">
        <v>14</v>
      </c>
      <c r="L11561" t="s">
        <v>20</v>
      </c>
      <c r="M11561" t="s">
        <v>21815</v>
      </c>
      <c r="N11561" t="s">
        <v>14</v>
      </c>
    </row>
    <row r="11562" x14ac:dyDescent="0.25">
      <c r="A11562" t="n">
        <v>24</v>
      </c>
      <c r="B11562" t="s">
        <v>14</v>
      </c>
      <c r="C11562" t="s">
        <v>22</v>
      </c>
      <c r="D11562" s="2" t="s">
        <f>=HYPERLINK("https://main.knesset.gov.il/APPS/legislation/main/bills/2156783", "הצעת חוק היטל על דירת מגורים ריקה באזור היצע דירות מגורים נמוך, התשפ""א-2021")</f>
        <v>22233</v>
      </c>
      <c r="E11562" t="s">
        <v>22233</v>
      </c>
      <c r="F11562" t="s">
        <v>22234</v>
      </c>
      <c r="G11562" t="s">
        <v>14</v>
      </c>
      <c r="H11562">
             </c>
      <c r="I11562" t="s">
        <v>14</v>
      </c>
      <c r="J11562" t="s">
        <v>141</v>
      </c>
      <c r="K11562" t="s">
        <v>14</v>
      </c>
      <c r="L11562" t="s">
        <v>20</v>
      </c>
      <c r="M11562" t="s">
        <v>21815</v>
      </c>
      <c r="N11562" t="s">
        <v>14</v>
      </c>
    </row>
    <row r="11563" x14ac:dyDescent="0.25">
      <c r="A11563" t="n">
        <v>24</v>
      </c>
      <c r="B11563" t="s">
        <v>14</v>
      </c>
      <c r="C11563" t="s">
        <v>22</v>
      </c>
      <c r="D11563" s="2" t="s">
        <f>=HYPERLINK("https://main.knesset.gov.il/APPS/legislation/main/bills/2156454", "הצעת חוק לתיקון פקודת התעבורה (פטור מתשלום דמי חניה לרכב של כונן רפואת חירום עם ציוד), התשפ""א-2021")</f>
        <v>22235</v>
      </c>
      <c r="E11563" t="s">
        <v>22235</v>
      </c>
      <c r="F11563" t="s">
        <v>22236</v>
      </c>
      <c r="G11563" t="s">
        <v>14</v>
      </c>
      <c r="H11563">
             </c>
      <c r="I11563" t="s">
        <v>14</v>
      </c>
      <c r="J11563" t="s">
        <v>141</v>
      </c>
      <c r="K11563" t="s">
        <v>14</v>
      </c>
      <c r="L11563" t="s">
        <v>20</v>
      </c>
      <c r="M11563" t="s">
        <v>21815</v>
      </c>
      <c r="N11563" t="s">
        <v>14</v>
      </c>
    </row>
    <row r="11564" x14ac:dyDescent="0.25">
      <c r="A11564" t="n">
        <v>24</v>
      </c>
      <c r="B11564" t="s">
        <v>14</v>
      </c>
      <c r="C11564" t="s">
        <v>22</v>
      </c>
      <c r="D11564" s="2" t="s">
        <f>=HYPERLINK("https://main.knesset.gov.il/APPS/legislation/main/bills/2156771", "הצעת חוק התכנון והבנייה (תיקון - פרסום הודעת הפקדה בשפה שאינה עברית), התשפ""א-2021")</f>
        <v>22237</v>
      </c>
      <c r="E11564" t="s">
        <v>22237</v>
      </c>
      <c r="F11564" t="s">
        <v>22238</v>
      </c>
      <c r="G11564" t="s">
        <v>14</v>
      </c>
      <c r="H11564">
             </c>
      <c r="I11564" t="s">
        <v>14</v>
      </c>
      <c r="J11564" t="s">
        <v>141</v>
      </c>
      <c r="K11564" t="s">
        <v>14</v>
      </c>
      <c r="L11564" t="s">
        <v>20</v>
      </c>
      <c r="M11564" t="s">
        <v>21815</v>
      </c>
      <c r="N11564" t="s">
        <v>14</v>
      </c>
    </row>
    <row r="11565" x14ac:dyDescent="0.25">
      <c r="A11565" t="n">
        <v>24</v>
      </c>
      <c r="B11565" t="s">
        <v>14</v>
      </c>
      <c r="C11565" t="s">
        <v>22</v>
      </c>
      <c r="D11565" s="2" t="s">
        <f>=HYPERLINK("https://main.knesset.gov.il/APPS/legislation/main/bills/2156451", "הצעת חוק הגנת הצרכן (תיקון - הארכת תקופת האחריות), התשפ""א-2021")</f>
        <v>22239</v>
      </c>
      <c r="E11565" t="s">
        <v>22239</v>
      </c>
      <c r="F11565" t="s">
        <v>22240</v>
      </c>
      <c r="G11565" t="s">
        <v>14</v>
      </c>
      <c r="H11565">
             </c>
      <c r="I11565" t="s">
        <v>14</v>
      </c>
      <c r="J11565" t="s">
        <v>141</v>
      </c>
      <c r="K11565" t="s">
        <v>14</v>
      </c>
      <c r="L11565" t="s">
        <v>20</v>
      </c>
      <c r="M11565" t="s">
        <v>21815</v>
      </c>
      <c r="N11565" t="s">
        <v>14</v>
      </c>
    </row>
    <row r="11566" x14ac:dyDescent="0.25">
      <c r="A11566" t="n">
        <v>24</v>
      </c>
      <c r="B11566" t="s">
        <v>14</v>
      </c>
      <c r="C11566" t="s">
        <v>22</v>
      </c>
      <c r="D11566" s="2" t="s">
        <f>=HYPERLINK("https://main.knesset.gov.il/APPS/legislation/main/bills/2156310", "הצעת חוק פקודת הסמים המסוכנים (תיקון - שידול לייבוא או ייצוא חומר הנחשב לסם בחו""ל), התשפ""א-2021")</f>
        <v>22241</v>
      </c>
      <c r="E11566" t="s">
        <v>22241</v>
      </c>
      <c r="F11566" t="s">
        <v>22242</v>
      </c>
      <c r="G11566" t="s">
        <v>14</v>
      </c>
      <c r="H11566">
             </c>
      <c r="I11566" t="s">
        <v>14</v>
      </c>
      <c r="J11566" t="s">
        <v>141</v>
      </c>
      <c r="K11566" t="s">
        <v>14</v>
      </c>
      <c r="L11566" t="s">
        <v>20</v>
      </c>
      <c r="M11566" t="s">
        <v>21815</v>
      </c>
      <c r="N11566" t="s">
        <v>14</v>
      </c>
    </row>
    <row r="11567" x14ac:dyDescent="0.25">
      <c r="A11567" t="n">
        <v>24</v>
      </c>
      <c r="B11567" t="s">
        <v>14</v>
      </c>
      <c r="C11567" t="s">
        <v>22</v>
      </c>
      <c r="D11567" s="2" t="s">
        <f>=HYPERLINK("https://main.knesset.gov.il/APPS/legislation/main/bills/2156409", "הצעת חוק הבנקאות (שירות ללקוח) (תיקון - מועדי החזר של הלוואה לדיור), התשפ""א-2021")</f>
        <v>22243</v>
      </c>
      <c r="E11567" t="s">
        <v>22243</v>
      </c>
      <c r="F11567" t="s">
        <v>22244</v>
      </c>
      <c r="G11567" t="s">
        <v>14</v>
      </c>
      <c r="H11567">
             </c>
      <c r="I11567" t="s">
        <v>14</v>
      </c>
      <c r="J11567" t="s">
        <v>141</v>
      </c>
      <c r="K11567" t="s">
        <v>14</v>
      </c>
      <c r="L11567" t="s">
        <v>20</v>
      </c>
      <c r="M11567" t="s">
        <v>21815</v>
      </c>
      <c r="N11567" t="s">
        <v>14</v>
      </c>
    </row>
    <row r="11568" x14ac:dyDescent="0.25">
      <c r="A11568" t="n">
        <v>24</v>
      </c>
      <c r="B11568" t="s">
        <v>14</v>
      </c>
      <c r="C11568" t="s">
        <v>22</v>
      </c>
      <c r="D11568" s="2" t="s">
        <f>=HYPERLINK("https://main.knesset.gov.il/APPS/legislation/main/bills/2156376", "הצעת חוק הבנקאות (שירות ללקוח) (תיקון - שירות מקוון ללקוח), התשפ""א-2021")</f>
        <v>22245</v>
      </c>
      <c r="E11568" t="s">
        <v>22245</v>
      </c>
      <c r="F11568" t="s">
        <v>22246</v>
      </c>
      <c r="G11568" t="s">
        <v>14</v>
      </c>
      <c r="H11568">
             </c>
      <c r="I11568" t="s">
        <v>14</v>
      </c>
      <c r="J11568" t="s">
        <v>141</v>
      </c>
      <c r="K11568" t="s">
        <v>14</v>
      </c>
      <c r="L11568" t="s">
        <v>20</v>
      </c>
      <c r="M11568" t="s">
        <v>21815</v>
      </c>
      <c r="N11568" t="s">
        <v>14</v>
      </c>
    </row>
    <row r="11569" x14ac:dyDescent="0.25">
      <c r="A11569" t="n">
        <v>24</v>
      </c>
      <c r="B11569" t="s">
        <v>14</v>
      </c>
      <c r="C11569" t="s">
        <v>22</v>
      </c>
      <c r="D11569" s="2" t="s">
        <f>=HYPERLINK("https://main.knesset.gov.il/APPS/legislation/main/bills/2156335", "הצעת חוק התכנון והבנייה (תיקון - חדרי הנקה בבניינים ציבוריים), התשפ""א-2021")</f>
        <v>22247</v>
      </c>
      <c r="E11569" t="s">
        <v>22247</v>
      </c>
      <c r="F11569" t="s">
        <v>22248</v>
      </c>
      <c r="G11569" t="s">
        <v>14</v>
      </c>
      <c r="H11569">
             </c>
      <c r="I11569" t="s">
        <v>14</v>
      </c>
      <c r="J11569" t="s">
        <v>141</v>
      </c>
      <c r="K11569" t="s">
        <v>14</v>
      </c>
      <c r="L11569" t="s">
        <v>20</v>
      </c>
      <c r="M11569" t="s">
        <v>21815</v>
      </c>
      <c r="N11569" t="s">
        <v>14</v>
      </c>
    </row>
    <row r="11570" x14ac:dyDescent="0.25">
      <c r="A11570" t="n">
        <v>24</v>
      </c>
      <c r="B11570" t="s">
        <v>14</v>
      </c>
      <c r="C11570" t="s">
        <v>22</v>
      </c>
      <c r="D11570" s="2" t="s">
        <f>=HYPERLINK("https://main.knesset.gov.il/APPS/legislation/main/bills/2156465", "הצעת חוק הפסקת היריון, התשפ""א-2021")</f>
        <v>20205</v>
      </c>
      <c r="E11570" t="s">
        <v>20205</v>
      </c>
      <c r="F11570" t="s">
        <v>22249</v>
      </c>
      <c r="G11570" t="s">
        <v>14</v>
      </c>
      <c r="H11570">
             </c>
      <c r="I11570" t="s">
        <v>14</v>
      </c>
      <c r="J11570" t="s">
        <v>141</v>
      </c>
      <c r="K11570" t="s">
        <v>14</v>
      </c>
      <c r="L11570" t="s">
        <v>20</v>
      </c>
      <c r="M11570" t="s">
        <v>21815</v>
      </c>
      <c r="N11570" t="s">
        <v>14</v>
      </c>
    </row>
    <row r="11571" x14ac:dyDescent="0.25">
      <c r="A11571" t="n">
        <v>24</v>
      </c>
      <c r="B11571" t="s">
        <v>14</v>
      </c>
      <c r="C11571" t="s">
        <v>22</v>
      </c>
      <c r="D11571" s="2" t="s">
        <f>=HYPERLINK("https://main.knesset.gov.il/APPS/legislation/main/bills/2156364", "הצעת חוק לעידוד השקעות הון (תיקון - תחולה על מפעל תעשייתי ביישובים הסמוכים לגבול העימות בצפון, שדרות ויישובי עוטף עזה), התשפ""א-2021")</f>
        <v>22250</v>
      </c>
      <c r="E11571" t="s">
        <v>22250</v>
      </c>
      <c r="F11571" t="s">
        <v>22251</v>
      </c>
      <c r="G11571" t="s">
        <v>14</v>
      </c>
      <c r="H11571">
             </c>
      <c r="I11571" t="s">
        <v>14</v>
      </c>
      <c r="J11571" t="s">
        <v>141</v>
      </c>
      <c r="K11571" t="s">
        <v>14</v>
      </c>
      <c r="L11571" t="s">
        <v>20</v>
      </c>
      <c r="M11571" t="s">
        <v>21815</v>
      </c>
      <c r="N11571" t="s">
        <v>14</v>
      </c>
    </row>
    <row r="11572" x14ac:dyDescent="0.25">
      <c r="A11572" t="n">
        <v>24</v>
      </c>
      <c r="B11572" t="s">
        <v>14</v>
      </c>
      <c r="C11572" t="s">
        <v>22</v>
      </c>
      <c r="D11572" s="2" t="s">
        <f>=HYPERLINK("https://main.knesset.gov.il/APPS/legislation/main/bills/2156186", "הצעת חוק העונשין (תיקון - החמרת ענישה בגין ירי מנשק חם שלא כדין), התשפ""א-2021")</f>
        <v>22252</v>
      </c>
      <c r="E11572" t="s">
        <v>22252</v>
      </c>
      <c r="F11572" t="s">
        <v>22253</v>
      </c>
      <c r="G11572" t="s">
        <v>14</v>
      </c>
      <c r="H11572">
             </c>
      <c r="I11572" t="s">
        <v>14</v>
      </c>
      <c r="J11572" t="s">
        <v>343</v>
      </c>
      <c r="K11572" t="s">
        <v>14</v>
      </c>
      <c r="L11572" t="s">
        <v>20</v>
      </c>
      <c r="M11572" t="s">
        <v>21815</v>
      </c>
      <c r="N11572" t="s">
        <v>14</v>
      </c>
    </row>
    <row r="11573" x14ac:dyDescent="0.25">
      <c r="A11573" t="n">
        <v>24</v>
      </c>
      <c r="B11573" t="s">
        <v>14</v>
      </c>
      <c r="C11573" t="s">
        <v>22</v>
      </c>
      <c r="D11573" s="2" t="s">
        <f>=HYPERLINK("https://main.knesset.gov.il/APPS/legislation/main/bills/2156247", "הצעת חוק-יסוד: מגילת העצמאות")</f>
        <v>7662</v>
      </c>
      <c r="E11573" t="s">
        <v>7662</v>
      </c>
      <c r="F11573" t="s">
        <v>22254</v>
      </c>
      <c r="G11573" t="s">
        <v>14</v>
      </c>
      <c r="H11573">
             </c>
      <c r="I11573" t="s">
        <v>14</v>
      </c>
      <c r="J11573" t="s">
        <v>141</v>
      </c>
      <c r="K11573" t="s">
        <v>14</v>
      </c>
      <c r="L11573" t="s">
        <v>20</v>
      </c>
      <c r="M11573" t="s">
        <v>21815</v>
      </c>
      <c r="N11573" t="s">
        <v>14</v>
      </c>
    </row>
    <row r="11574" x14ac:dyDescent="0.25">
      <c r="A11574" t="n">
        <v>24</v>
      </c>
      <c r="B11574" t="s">
        <v>14</v>
      </c>
      <c r="C11574" t="s">
        <v>22</v>
      </c>
      <c r="D11574" s="2" t="s">
        <f>=HYPERLINK("https://main.knesset.gov.il/APPS/legislation/main/bills/2156125", "הצעת חוק פיצוי נפגעי אסון טבע (פיצוי לנפגעי שריפה), התשפ""א-2021")</f>
        <v>22255</v>
      </c>
      <c r="E11574" t="s">
        <v>22255</v>
      </c>
      <c r="F11574" t="s">
        <v>22256</v>
      </c>
      <c r="G11574" t="s">
        <v>14</v>
      </c>
      <c r="H11574">
             </c>
      <c r="I11574" t="s">
        <v>14</v>
      </c>
      <c r="J11574" t="s">
        <v>141</v>
      </c>
      <c r="K11574" t="s">
        <v>14</v>
      </c>
      <c r="L11574" t="s">
        <v>20</v>
      </c>
      <c r="M11574" t="s">
        <v>21815</v>
      </c>
      <c r="N11574" t="s">
        <v>14</v>
      </c>
    </row>
    <row r="11575" x14ac:dyDescent="0.25">
      <c r="A11575" t="n">
        <v>24</v>
      </c>
      <c r="B11575" t="s">
        <v>14</v>
      </c>
      <c r="C11575" t="s">
        <v>22</v>
      </c>
      <c r="D11575" s="2" t="s">
        <f>=HYPERLINK("https://main.knesset.gov.il/APPS/legislation/main/bills/2156243", "הצעת חוק העונשין (תיקון - הגנה עצמית בנסיבות של אלימות במשפחה), התשפ""א-2021")</f>
        <v>22257</v>
      </c>
      <c r="E11575" t="s">
        <v>22257</v>
      </c>
      <c r="F11575" t="s">
        <v>22258</v>
      </c>
      <c r="G11575" t="s">
        <v>14</v>
      </c>
      <c r="H11575">
             </c>
      <c r="I11575" t="s">
        <v>14</v>
      </c>
      <c r="J11575" t="s">
        <v>141</v>
      </c>
      <c r="K11575" t="s">
        <v>14</v>
      </c>
      <c r="L11575" t="s">
        <v>20</v>
      </c>
      <c r="M11575" t="s">
        <v>21815</v>
      </c>
      <c r="N11575" t="s">
        <v>14</v>
      </c>
    </row>
    <row r="11576" x14ac:dyDescent="0.25">
      <c r="A11576" t="n">
        <v>24</v>
      </c>
      <c r="B11576" t="s">
        <v>14</v>
      </c>
      <c r="C11576" t="s">
        <v>22</v>
      </c>
      <c r="D11576" s="2" t="s">
        <f>=HYPERLINK("https://main.knesset.gov.il/APPS/legislation/main/bills/2156191", "הצעת חוק שקיפות הצהרות הון של נבחרי ציבור, התשפ""א-2021")</f>
        <v>22259</v>
      </c>
      <c r="E11576" t="s">
        <v>22259</v>
      </c>
      <c r="F11576" t="s">
        <v>22260</v>
      </c>
      <c r="G11576" t="s">
        <v>14</v>
      </c>
      <c r="H11576">
             </c>
      <c r="I11576" t="s">
        <v>14</v>
      </c>
      <c r="J11576" t="s">
        <v>141</v>
      </c>
      <c r="K11576" t="s">
        <v>14</v>
      </c>
      <c r="L11576" t="s">
        <v>20</v>
      </c>
      <c r="M11576" t="s">
        <v>21815</v>
      </c>
      <c r="N11576" t="s">
        <v>14</v>
      </c>
    </row>
    <row r="11577" x14ac:dyDescent="0.25">
      <c r="A11577" t="n">
        <v>24</v>
      </c>
      <c r="B11577" t="s">
        <v>14</v>
      </c>
      <c r="C11577" t="s">
        <v>22</v>
      </c>
      <c r="D11577" s="2" t="s">
        <f>=HYPERLINK("https://main.knesset.gov.il/APPS/legislation/main/bills/2156122", "הצעת חוק הטבות לנפגעי התנכלות אנטישמית וגזענות בתקופת מלחמת העולם השניה, התשפ""א-2021")</f>
        <v>22261</v>
      </c>
      <c r="E11577" t="s">
        <v>22261</v>
      </c>
      <c r="F11577" t="s">
        <v>22262</v>
      </c>
      <c r="G11577" t="s">
        <v>14</v>
      </c>
      <c r="H11577">
             </c>
      <c r="I11577" t="s">
        <v>14</v>
      </c>
      <c r="J11577" t="s">
        <v>141</v>
      </c>
      <c r="K11577" t="s">
        <v>14</v>
      </c>
      <c r="L11577" t="s">
        <v>20</v>
      </c>
      <c r="M11577" t="s">
        <v>21815</v>
      </c>
      <c r="N11577" t="s">
        <v>14</v>
      </c>
    </row>
    <row r="11578" x14ac:dyDescent="0.25">
      <c r="A11578" t="n">
        <v>24</v>
      </c>
      <c r="B11578" t="s">
        <v>14</v>
      </c>
      <c r="C11578" t="s">
        <v>22</v>
      </c>
      <c r="D11578" s="2" t="s">
        <f>=HYPERLINK("https://main.knesset.gov.il/APPS/legislation/main/bills/2156064", "הצעת חוק ביטוח בריאות ממלכתי (תיקון - החזר דמי נסיעות והסעות לטיפולי אונקולוגיה ודיאליזה), התשפ""א-2021")</f>
        <v>22263</v>
      </c>
      <c r="E11578" t="s">
        <v>22263</v>
      </c>
      <c r="F11578" t="s">
        <v>22264</v>
      </c>
      <c r="G11578" t="s">
        <v>14</v>
      </c>
      <c r="H11578">
             </c>
      <c r="I11578" t="s">
        <v>14</v>
      </c>
      <c r="J11578" t="s">
        <v>141</v>
      </c>
      <c r="K11578" t="s">
        <v>14</v>
      </c>
      <c r="L11578" t="s">
        <v>20</v>
      </c>
      <c r="M11578" t="s">
        <v>21815</v>
      </c>
      <c r="N11578" t="s">
        <v>14</v>
      </c>
    </row>
    <row r="11579" x14ac:dyDescent="0.25">
      <c r="A11579" t="n">
        <v>24</v>
      </c>
      <c r="B11579" t="s">
        <v>14</v>
      </c>
      <c r="C11579" t="s">
        <v>22</v>
      </c>
      <c r="D11579" s="2" t="s">
        <f>=HYPERLINK("https://main.knesset.gov.il/APPS/legislation/main/bills/2156661", "הצעת חוק התכנון והבנייה (תיקון - הגדרת חדר מחוזק כמרחב מוגן), התשפ""א-2021")</f>
        <v>22265</v>
      </c>
      <c r="E11579" t="s">
        <v>22265</v>
      </c>
      <c r="F11579" t="s">
        <v>22266</v>
      </c>
      <c r="G11579" t="s">
        <v>14</v>
      </c>
      <c r="H11579">
             </c>
      <c r="I11579" t="s">
        <v>14</v>
      </c>
      <c r="J11579" t="s">
        <v>141</v>
      </c>
      <c r="K11579" t="s">
        <v>14</v>
      </c>
      <c r="L11579" t="s">
        <v>20</v>
      </c>
      <c r="M11579" t="s">
        <v>21815</v>
      </c>
      <c r="N11579" t="s">
        <v>14</v>
      </c>
    </row>
    <row r="11580" x14ac:dyDescent="0.25">
      <c r="A11580" t="n">
        <v>24</v>
      </c>
      <c r="B11580" t="s">
        <v>14</v>
      </c>
      <c r="C11580" t="s">
        <v>22</v>
      </c>
      <c r="D11580" s="2" t="s">
        <f>=HYPERLINK("https://main.knesset.gov.il/APPS/legislation/main/bills/2156154", "הצעת חוק למניעת אלימות במשפחה (תיקון - מניעת אלימות כלכלית) (הוראת שעה), התשפ""א-2021")</f>
        <v>21792</v>
      </c>
      <c r="E11580" t="s">
        <v>21792</v>
      </c>
      <c r="F11580" t="s">
        <v>22267</v>
      </c>
      <c r="G11580" t="s">
        <v>14</v>
      </c>
      <c r="H11580">
             </c>
      <c r="I11580" t="s">
        <v>14</v>
      </c>
      <c r="J11580" t="s">
        <v>141</v>
      </c>
      <c r="K11580" t="s">
        <v>14</v>
      </c>
      <c r="L11580" t="s">
        <v>20</v>
      </c>
      <c r="M11580" t="s">
        <v>21815</v>
      </c>
      <c r="N11580" t="s">
        <v>14</v>
      </c>
    </row>
    <row r="11581" x14ac:dyDescent="0.25">
      <c r="A11581" t="n">
        <v>24</v>
      </c>
      <c r="B11581" t="s">
        <v>14</v>
      </c>
      <c r="C11581" t="s">
        <v>22</v>
      </c>
      <c r="D11581" s="2" t="s">
        <f>=HYPERLINK("https://main.knesset.gov.il/APPS/legislation/main/bills/2156163", "הצעת חוק מרשם האוכלוסין (תיקון - אי חובת ציון שם הורה בתעודת זהות), התשפ""א-2021")</f>
        <v>22268</v>
      </c>
      <c r="E11581" t="s">
        <v>22268</v>
      </c>
      <c r="F11581" t="s">
        <v>22269</v>
      </c>
      <c r="G11581" t="s">
        <v>14</v>
      </c>
      <c r="H11581">
             </c>
      <c r="I11581" t="s">
        <v>14</v>
      </c>
      <c r="J11581" t="s">
        <v>141</v>
      </c>
      <c r="K11581" t="s">
        <v>14</v>
      </c>
      <c r="L11581" t="s">
        <v>20</v>
      </c>
      <c r="M11581" t="s">
        <v>21815</v>
      </c>
      <c r="N11581" t="s">
        <v>14</v>
      </c>
    </row>
    <row r="11582" x14ac:dyDescent="0.25">
      <c r="A11582" t="n">
        <v>24</v>
      </c>
      <c r="B11582" t="s">
        <v>14</v>
      </c>
      <c r="C11582" t="s">
        <v>22</v>
      </c>
      <c r="D11582" s="2" t="s">
        <f>=HYPERLINK("https://main.knesset.gov.il/APPS/legislation/main/bills/2156202", "הצעת חוק קביעת הזמן (תיקון - ביטול שעון חורף), התשפ""א-2021")</f>
        <v>22270</v>
      </c>
      <c r="E11582" t="s">
        <v>22270</v>
      </c>
      <c r="F11582" t="s">
        <v>22271</v>
      </c>
      <c r="G11582" t="s">
        <v>14</v>
      </c>
      <c r="H11582">
             </c>
      <c r="I11582" t="s">
        <v>14</v>
      </c>
      <c r="J11582" t="s">
        <v>141</v>
      </c>
      <c r="K11582" t="s">
        <v>14</v>
      </c>
      <c r="L11582" t="s">
        <v>20</v>
      </c>
      <c r="M11582" t="s">
        <v>21815</v>
      </c>
      <c r="N11582" t="s">
        <v>14</v>
      </c>
    </row>
    <row r="11583" x14ac:dyDescent="0.25">
      <c r="A11583" t="n">
        <v>24</v>
      </c>
      <c r="B11583" t="s">
        <v>14</v>
      </c>
      <c r="C11583" t="s">
        <v>22</v>
      </c>
      <c r="D11583" s="2" t="s">
        <f>=HYPERLINK("https://main.knesset.gov.il/APPS/legislation/main/bills/2156439", "הצעת חוק הרבנות הראשית (תיקון - בחירת נציגים מהאזור), התשפ""א-2021")</f>
        <v>22272</v>
      </c>
      <c r="E11583" t="s">
        <v>22272</v>
      </c>
      <c r="F11583" t="s">
        <v>22273</v>
      </c>
      <c r="G11583" t="s">
        <v>14</v>
      </c>
      <c r="H11583">
             </c>
      <c r="I11583" t="s">
        <v>14</v>
      </c>
      <c r="J11583" t="s">
        <v>141</v>
      </c>
      <c r="K11583" t="s">
        <v>14</v>
      </c>
      <c r="L11583" t="s">
        <v>20</v>
      </c>
      <c r="M11583" t="s">
        <v>21815</v>
      </c>
      <c r="N11583" t="s">
        <v>14</v>
      </c>
    </row>
    <row r="11584" x14ac:dyDescent="0.25">
      <c r="A11584" t="n">
        <v>24</v>
      </c>
      <c r="B11584" t="s">
        <v>14</v>
      </c>
      <c r="C11584" t="s">
        <v>22</v>
      </c>
      <c r="D11584" s="2" t="s">
        <f>=HYPERLINK("https://main.knesset.gov.il/APPS/legislation/main/bills/2156373", "הצעת חוק חופש הבחירה במזון מן הצומח, התשפ""א-2021")</f>
        <v>19093</v>
      </c>
      <c r="E11584" t="s">
        <v>19093</v>
      </c>
      <c r="F11584" t="s">
        <v>22274</v>
      </c>
      <c r="G11584" t="s">
        <v>14</v>
      </c>
      <c r="H11584">
             </c>
      <c r="I11584" t="s">
        <v>14</v>
      </c>
      <c r="J11584" t="s">
        <v>141</v>
      </c>
      <c r="K11584" t="s">
        <v>14</v>
      </c>
      <c r="L11584" t="s">
        <v>20</v>
      </c>
      <c r="M11584" t="s">
        <v>21815</v>
      </c>
      <c r="N11584" t="s">
        <v>14</v>
      </c>
    </row>
    <row r="11585" x14ac:dyDescent="0.25">
      <c r="A11585" t="n">
        <v>24</v>
      </c>
      <c r="B11585" t="s">
        <v>14</v>
      </c>
      <c r="C11585" t="s">
        <v>22</v>
      </c>
      <c r="D11585" s="2" t="s">
        <f>=HYPERLINK("https://main.knesset.gov.il/APPS/legislation/main/bills/2156446", "הצעת חוק שירותי הדת היהודיים (תיקון - כהונת רבני עיר), התשפ""א-2021")</f>
        <v>22275</v>
      </c>
      <c r="E11585" t="s">
        <v>22275</v>
      </c>
      <c r="F11585" t="s">
        <v>22276</v>
      </c>
      <c r="G11585" t="s">
        <v>14</v>
      </c>
      <c r="H11585">
             </c>
      <c r="I11585" t="s">
        <v>14</v>
      </c>
      <c r="J11585" t="s">
        <v>141</v>
      </c>
      <c r="K11585" t="s">
        <v>14</v>
      </c>
      <c r="L11585" t="s">
        <v>20</v>
      </c>
      <c r="M11585" t="s">
        <v>21815</v>
      </c>
      <c r="N11585" t="s">
        <v>14</v>
      </c>
    </row>
    <row r="11586" x14ac:dyDescent="0.25">
      <c r="A11586" t="n">
        <v>24</v>
      </c>
      <c r="B11586" t="s">
        <v>14</v>
      </c>
      <c r="C11586" t="s">
        <v>22</v>
      </c>
      <c r="D11586" s="2" t="s">
        <f>=HYPERLINK("https://main.knesset.gov.il/APPS/legislation/main/bills/2156436", "הצעת חוק יום לציון רצח העם הארמני, התשפ""א-2021")</f>
        <v>22277</v>
      </c>
      <c r="E11586" t="s">
        <v>22277</v>
      </c>
      <c r="F11586" t="s">
        <v>22278</v>
      </c>
      <c r="G11586" t="s">
        <v>14</v>
      </c>
      <c r="H11586">
             </c>
      <c r="I11586" t="s">
        <v>14</v>
      </c>
      <c r="J11586" t="s">
        <v>141</v>
      </c>
      <c r="K11586" t="s">
        <v>14</v>
      </c>
      <c r="L11586" t="s">
        <v>20</v>
      </c>
      <c r="M11586" t="s">
        <v>21815</v>
      </c>
      <c r="N11586" t="s">
        <v>14</v>
      </c>
    </row>
    <row r="11587" x14ac:dyDescent="0.25">
      <c r="A11587" t="n">
        <v>24</v>
      </c>
      <c r="B11587" t="s">
        <v>14</v>
      </c>
      <c r="C11587" t="s">
        <v>22</v>
      </c>
      <c r="D11587" s="2" t="s">
        <f>=HYPERLINK("https://main.knesset.gov.il/APPS/legislation/main/bills/2156425", "הצעת חוק הכרה ברצח העם הארמני וציון יום זיכרון, התשפ""א-2021")</f>
        <v>22279</v>
      </c>
      <c r="E11587" t="s">
        <v>22279</v>
      </c>
      <c r="F11587" t="s">
        <v>22280</v>
      </c>
      <c r="G11587" t="s">
        <v>14</v>
      </c>
      <c r="H11587">
             </c>
      <c r="I11587" t="s">
        <v>14</v>
      </c>
      <c r="J11587" t="s">
        <v>141</v>
      </c>
      <c r="K11587" t="s">
        <v>14</v>
      </c>
      <c r="L11587" t="s">
        <v>20</v>
      </c>
      <c r="M11587" t="s">
        <v>21815</v>
      </c>
      <c r="N11587" t="s">
        <v>14</v>
      </c>
    </row>
    <row r="11588" x14ac:dyDescent="0.25">
      <c r="A11588" t="n">
        <v>24</v>
      </c>
      <c r="B11588" t="s">
        <v>14</v>
      </c>
      <c r="C11588" t="s">
        <v>22</v>
      </c>
      <c r="D11588" s="2" t="s">
        <f>=HYPERLINK("https://main.knesset.gov.il/APPS/legislation/main/bills/2156421", "הצעת חוק העונשין (תיקון - החמרת הענישה על עבירות כלפי אנשי צוות רפואי), התשפ""א-2021 ")</f>
        <v>22281</v>
      </c>
      <c r="E11588" t="s">
        <v>22281</v>
      </c>
      <c r="F11588" t="s">
        <v>22282</v>
      </c>
      <c r="G11588" t="s">
        <v>14</v>
      </c>
      <c r="H11588">
             </c>
      <c r="I11588" t="s">
        <v>14</v>
      </c>
      <c r="J11588" t="s">
        <v>141</v>
      </c>
      <c r="K11588" t="s">
        <v>14</v>
      </c>
      <c r="L11588" t="s">
        <v>20</v>
      </c>
      <c r="M11588" t="s">
        <v>21815</v>
      </c>
      <c r="N11588" t="s">
        <v>14</v>
      </c>
    </row>
    <row r="11589" x14ac:dyDescent="0.25">
      <c r="A11589" t="n">
        <v>24</v>
      </c>
      <c r="B11589" t="s">
        <v>14</v>
      </c>
      <c r="C11589" t="s">
        <v>22</v>
      </c>
      <c r="D11589" s="2" t="s">
        <f>=HYPERLINK("https://main.knesset.gov.il/APPS/legislation/main/bills/2156408", "הצעת חוק הגבלת אשראי למקבלי שירות מאמנים, עיתונאים ומרצים, התשפ""א-2021")</f>
        <v>22283</v>
      </c>
      <c r="E11589" t="s">
        <v>22283</v>
      </c>
      <c r="F11589" t="s">
        <v>22284</v>
      </c>
      <c r="G11589" t="s">
        <v>14</v>
      </c>
      <c r="H11589">
             </c>
      <c r="I11589" t="s">
        <v>14</v>
      </c>
      <c r="J11589" t="s">
        <v>141</v>
      </c>
      <c r="K11589" t="s">
        <v>14</v>
      </c>
      <c r="L11589" t="s">
        <v>20</v>
      </c>
      <c r="M11589" t="s">
        <v>21815</v>
      </c>
      <c r="N11589" t="s">
        <v>14</v>
      </c>
    </row>
    <row r="11590" x14ac:dyDescent="0.25">
      <c r="A11590" t="n">
        <v>24</v>
      </c>
      <c r="B11590" t="s">
        <v>14</v>
      </c>
      <c r="C11590" t="s">
        <v>22</v>
      </c>
      <c r="D11590" s="2" t="s">
        <f>=HYPERLINK("https://main.knesset.gov.il/APPS/legislation/main/bills/2156389", "הצעת חוק הוועדה למינוי בכירים (תיקוני חקיקה), התשפ""א-2021")</f>
        <v>22285</v>
      </c>
      <c r="E11590" t="s">
        <v>22285</v>
      </c>
      <c r="F11590" t="s">
        <v>22286</v>
      </c>
      <c r="G11590" t="s">
        <v>14</v>
      </c>
      <c r="H11590">
             </c>
      <c r="I11590" t="s">
        <v>14</v>
      </c>
      <c r="J11590" t="s">
        <v>141</v>
      </c>
      <c r="K11590" t="s">
        <v>14</v>
      </c>
      <c r="L11590" t="s">
        <v>20</v>
      </c>
      <c r="M11590" t="s">
        <v>21815</v>
      </c>
      <c r="N11590" t="s">
        <v>14</v>
      </c>
    </row>
    <row r="11591" x14ac:dyDescent="0.25">
      <c r="A11591" t="n">
        <v>24</v>
      </c>
      <c r="B11591" t="s">
        <v>14</v>
      </c>
      <c r="C11591" t="s">
        <v>22</v>
      </c>
      <c r="D11591" s="2" t="s">
        <f>=HYPERLINK("https://main.knesset.gov.il/APPS/legislation/main/bills/2156396", "הצעת חוק לתיקון פקודת הרופאים (רופא שהורשע בעבירת מין), התשפ""א-2021")</f>
        <v>22287</v>
      </c>
      <c r="E11591" t="s">
        <v>22287</v>
      </c>
      <c r="F11591" t="s">
        <v>22288</v>
      </c>
      <c r="G11591" t="s">
        <v>14</v>
      </c>
      <c r="H11591">
             </c>
      <c r="I11591" t="s">
        <v>14</v>
      </c>
      <c r="J11591" t="s">
        <v>141</v>
      </c>
      <c r="K11591" t="s">
        <v>14</v>
      </c>
      <c r="L11591" t="s">
        <v>20</v>
      </c>
      <c r="M11591" t="s">
        <v>21815</v>
      </c>
      <c r="N11591" t="s">
        <v>14</v>
      </c>
    </row>
    <row r="11592" x14ac:dyDescent="0.25">
      <c r="A11592" t="n">
        <v>24</v>
      </c>
      <c r="B11592" t="s">
        <v>14</v>
      </c>
      <c r="C11592" t="s">
        <v>22</v>
      </c>
      <c r="D11592" s="2" t="s">
        <f>=HYPERLINK("https://main.knesset.gov.il/APPS/legislation/main/bills/2156354", "הצעת חוק המכינות הקדם-צבאיות (תיקון - שלילת הכרה ממכינות המעודדות סירוב פקודה והסתה), התשפ""א-2021")</f>
        <v>22289</v>
      </c>
      <c r="E11592" t="s">
        <v>22289</v>
      </c>
      <c r="F11592" t="s">
        <v>22290</v>
      </c>
      <c r="G11592" t="s">
        <v>14</v>
      </c>
      <c r="H11592">
             </c>
      <c r="I11592" t="s">
        <v>14</v>
      </c>
      <c r="J11592" t="s">
        <v>141</v>
      </c>
      <c r="K11592" t="s">
        <v>14</v>
      </c>
      <c r="L11592" t="s">
        <v>20</v>
      </c>
      <c r="M11592" t="s">
        <v>21815</v>
      </c>
      <c r="N11592" t="s">
        <v>14</v>
      </c>
    </row>
    <row r="11593" x14ac:dyDescent="0.25">
      <c r="A11593" t="n">
        <v>24</v>
      </c>
      <c r="B11593" t="s">
        <v>14</v>
      </c>
      <c r="C11593" t="s">
        <v>22</v>
      </c>
      <c r="D11593" s="2" t="s">
        <f>=HYPERLINK("https://main.knesset.gov.il/APPS/legislation/main/bills/2156658", "הצעת חוק הסדרת הטיפול בחופי הכנרת (תיקון - מועצת איגוד ערים כנרת), התשפ""א-2021")</f>
        <v>22291</v>
      </c>
      <c r="E11593" t="s">
        <v>22291</v>
      </c>
      <c r="F11593" t="s">
        <v>22292</v>
      </c>
      <c r="G11593" t="s">
        <v>14</v>
      </c>
      <c r="H11593">
             </c>
      <c r="I11593" t="s">
        <v>14</v>
      </c>
      <c r="J11593" t="s">
        <v>141</v>
      </c>
      <c r="K11593" t="s">
        <v>14</v>
      </c>
      <c r="L11593" t="s">
        <v>20</v>
      </c>
      <c r="M11593" t="s">
        <v>21815</v>
      </c>
      <c r="N11593" t="s">
        <v>14</v>
      </c>
    </row>
    <row r="11594" x14ac:dyDescent="0.25">
      <c r="A11594" t="n">
        <v>24</v>
      </c>
      <c r="B11594" t="s">
        <v>14</v>
      </c>
      <c r="C11594" t="s">
        <v>22</v>
      </c>
      <c r="D11594" s="2" t="s">
        <f>=HYPERLINK("https://main.knesset.gov.il/APPS/legislation/main/bills/2156340", "הצעת חוק התכנון והבנייה (תיקון - שימוש חורג בקרקע חקלאית), התשפ""א-2021")</f>
        <v>22293</v>
      </c>
      <c r="E11594" t="s">
        <v>22293</v>
      </c>
      <c r="F11594" t="s">
        <v>22294</v>
      </c>
      <c r="G11594" t="s">
        <v>14</v>
      </c>
      <c r="H11594">
             </c>
      <c r="I11594" t="s">
        <v>14</v>
      </c>
      <c r="J11594" t="s">
        <v>141</v>
      </c>
      <c r="K11594" t="s">
        <v>14</v>
      </c>
      <c r="L11594" t="s">
        <v>20</v>
      </c>
      <c r="M11594" t="s">
        <v>21815</v>
      </c>
      <c r="N11594" t="s">
        <v>14</v>
      </c>
    </row>
    <row r="11595" x14ac:dyDescent="0.25">
      <c r="A11595" t="n">
        <v>24</v>
      </c>
      <c r="B11595" t="s">
        <v>14</v>
      </c>
      <c r="C11595" t="s">
        <v>22</v>
      </c>
      <c r="D11595" s="2" t="s">
        <f>=HYPERLINK("https://main.knesset.gov.il/APPS/legislation/main/bills/2156657", "הצעת חוק שירותי הדת היהודיים (תיקון - מינוי רבני התיישבות, רבנים אזוריים ורבני שכונות), התשפ""א-2021")</f>
        <v>22295</v>
      </c>
      <c r="E11595" t="s">
        <v>22295</v>
      </c>
      <c r="F11595" t="s">
        <v>22296</v>
      </c>
      <c r="G11595" t="s">
        <v>14</v>
      </c>
      <c r="H11595">
             </c>
      <c r="I11595" t="s">
        <v>14</v>
      </c>
      <c r="J11595" t="s">
        <v>141</v>
      </c>
      <c r="K11595" t="s">
        <v>14</v>
      </c>
      <c r="L11595" t="s">
        <v>20</v>
      </c>
      <c r="M11595" t="s">
        <v>21815</v>
      </c>
      <c r="N11595" t="s">
        <v>14</v>
      </c>
    </row>
    <row r="11596" x14ac:dyDescent="0.25">
      <c r="A11596" t="n">
        <v>24</v>
      </c>
      <c r="B11596" t="s">
        <v>14</v>
      </c>
      <c r="C11596" t="s">
        <v>22</v>
      </c>
      <c r="D11596" s="2" t="s">
        <f>=HYPERLINK("https://main.knesset.gov.il/APPS/legislation/main/bills/2156147", "הצעת חוק זכויות נפגעי עבירה (תיקון - מתן זכות הבעת עמדה לנפגעי או נפגעות עבירה במעמד פסק הדין או גזר הדין), התשפ""א-2021")</f>
        <v>22297</v>
      </c>
      <c r="E11596" t="s">
        <v>22297</v>
      </c>
      <c r="F11596" t="s">
        <v>22298</v>
      </c>
      <c r="G11596" t="s">
        <v>14</v>
      </c>
      <c r="H11596">
             </c>
      <c r="I11596" t="s">
        <v>14</v>
      </c>
      <c r="J11596" t="s">
        <v>141</v>
      </c>
      <c r="K11596" t="s">
        <v>14</v>
      </c>
      <c r="L11596" t="s">
        <v>20</v>
      </c>
      <c r="M11596" t="s">
        <v>21815</v>
      </c>
      <c r="N11596" t="s">
        <v>14</v>
      </c>
    </row>
    <row r="11597" x14ac:dyDescent="0.25">
      <c r="A11597" t="n">
        <v>24</v>
      </c>
      <c r="B11597" t="s">
        <v>14</v>
      </c>
      <c r="C11597" t="s">
        <v>22</v>
      </c>
      <c r="D11597" s="2" t="s">
        <f>=HYPERLINK("https://main.knesset.gov.il/APPS/legislation/main/bills/2157417", "הצעת חוק לתיקון פקודת התעבורה (פטור מאגרת רישיון לרכב חשמלי), התשפ""א-2021")</f>
        <v>19399</v>
      </c>
      <c r="E11597" t="s">
        <v>19399</v>
      </c>
      <c r="F11597" t="s">
        <v>22299</v>
      </c>
      <c r="G11597" t="s">
        <v>14</v>
      </c>
      <c r="H11597">
             </c>
      <c r="I11597" t="s">
        <v>14</v>
      </c>
      <c r="J11597" t="s">
        <v>141</v>
      </c>
      <c r="K11597" t="s">
        <v>14</v>
      </c>
      <c r="L11597" t="s">
        <v>20</v>
      </c>
      <c r="M11597" t="s">
        <v>21815</v>
      </c>
      <c r="N11597" t="s">
        <v>14</v>
      </c>
    </row>
    <row r="11598" x14ac:dyDescent="0.25">
      <c r="A11598" t="n">
        <v>24</v>
      </c>
      <c r="B11598" t="s">
        <v>14</v>
      </c>
      <c r="C11598" t="s">
        <v>22</v>
      </c>
      <c r="D11598" s="2" t="s">
        <f>=HYPERLINK("https://main.knesset.gov.il/APPS/legislation/main/bills/2157133", "הצעת חוק המים (תיקון - הוספת נציג ציבור לעניין איכות הסביבה למועצת רשות המים), התשפ""א-2021")</f>
        <v>22149</v>
      </c>
      <c r="E11598" t="s">
        <v>22149</v>
      </c>
      <c r="F11598" t="s">
        <v>22300</v>
      </c>
      <c r="G11598" t="s">
        <v>14</v>
      </c>
      <c r="H11598">
             </c>
      <c r="I11598" t="s">
        <v>14</v>
      </c>
      <c r="J11598" t="s">
        <v>141</v>
      </c>
      <c r="K11598" t="s">
        <v>14</v>
      </c>
      <c r="L11598" t="s">
        <v>20</v>
      </c>
      <c r="M11598" t="s">
        <v>21815</v>
      </c>
      <c r="N11598" t="s">
        <v>14</v>
      </c>
    </row>
    <row r="11599" x14ac:dyDescent="0.25">
      <c r="A11599" t="n">
        <v>24</v>
      </c>
      <c r="B11599" t="s">
        <v>14</v>
      </c>
      <c r="C11599" t="s">
        <v>22</v>
      </c>
      <c r="D11599" s="2" t="s">
        <f>=HYPERLINK("https://main.knesset.gov.il/APPS/legislation/main/bills/2156858", "הצעת חוק הביטוח הלאומי (תיקון - הארכת המועד להגשת תביעה לגמלה והתקופה שבעדה תשולם), התשפ""א-2021")</f>
        <v>22010</v>
      </c>
      <c r="E11599" t="s">
        <v>22010</v>
      </c>
      <c r="F11599" t="s">
        <v>22301</v>
      </c>
      <c r="G11599" t="s">
        <v>14</v>
      </c>
      <c r="H11599">
             </c>
      <c r="I11599" t="s">
        <v>14</v>
      </c>
      <c r="J11599" t="s">
        <v>141</v>
      </c>
      <c r="K11599" t="s">
        <v>14</v>
      </c>
      <c r="L11599" t="s">
        <v>20</v>
      </c>
      <c r="M11599" t="s">
        <v>21815</v>
      </c>
      <c r="N11599" t="s">
        <v>14</v>
      </c>
    </row>
    <row r="11600" x14ac:dyDescent="0.25">
      <c r="A11600" t="n">
        <v>24</v>
      </c>
      <c r="B11600" t="s">
        <v>14</v>
      </c>
      <c r="C11600" t="s">
        <v>22</v>
      </c>
      <c r="D11600" s="2" t="s">
        <f>=HYPERLINK("https://main.knesset.gov.il/APPS/legislation/main/bills/2156670", "הצעת חוק הגנת הצרכן (תיקון - חובת הקלטה של עסקה טלפונית), התשפ""א-2021")</f>
        <v>15464</v>
      </c>
      <c r="E11600" t="s">
        <v>15464</v>
      </c>
      <c r="F11600" t="s">
        <v>22302</v>
      </c>
      <c r="G11600" t="s">
        <v>14</v>
      </c>
      <c r="H11600">
             </c>
      <c r="I11600" t="s">
        <v>14</v>
      </c>
      <c r="J11600" t="s">
        <v>141</v>
      </c>
      <c r="K11600" t="s">
        <v>14</v>
      </c>
      <c r="L11600" t="s">
        <v>20</v>
      </c>
      <c r="M11600" t="s">
        <v>21815</v>
      </c>
      <c r="N11600" t="s">
        <v>14</v>
      </c>
    </row>
    <row r="11601" x14ac:dyDescent="0.25">
      <c r="A11601" t="n">
        <v>24</v>
      </c>
      <c r="B11601" t="s">
        <v>14</v>
      </c>
      <c r="C11601" t="s">
        <v>22</v>
      </c>
      <c r="D11601" s="2" t="s">
        <f>=HYPERLINK("https://main.knesset.gov.il/APPS/legislation/main/bills/2156640", "הצעת חוק הגנת הצרכן (תיקון - השוואת תנאי צרכן ונותן שירות בעניין החזרת טובין), התשפ""א-2021")</f>
        <v>22303</v>
      </c>
      <c r="E11601" t="s">
        <v>22303</v>
      </c>
      <c r="F11601" t="s">
        <v>22304</v>
      </c>
      <c r="G11601" t="s">
        <v>14</v>
      </c>
      <c r="H11601">
             </c>
      <c r="I11601" t="s">
        <v>14</v>
      </c>
      <c r="J11601" t="s">
        <v>141</v>
      </c>
      <c r="K11601" t="s">
        <v>14</v>
      </c>
      <c r="L11601" t="s">
        <v>20</v>
      </c>
      <c r="M11601" t="s">
        <v>21815</v>
      </c>
      <c r="N11601" t="s">
        <v>14</v>
      </c>
    </row>
    <row r="11602" x14ac:dyDescent="0.25">
      <c r="A11602" t="n">
        <v>24</v>
      </c>
      <c r="B11602" t="s">
        <v>14</v>
      </c>
      <c r="C11602" t="s">
        <v>22</v>
      </c>
      <c r="D11602" s="2" t="s">
        <f>=HYPERLINK("https://main.knesset.gov.il/APPS/legislation/main/bills/2156379", "הצעת חוק הקמת מאגר מידע דיגיטלי בנושא הכשרות מקצועיות, התשפ""א-2021")</f>
        <v>22305</v>
      </c>
      <c r="E11602" t="s">
        <v>22305</v>
      </c>
      <c r="F11602" t="s">
        <v>22306</v>
      </c>
      <c r="G11602" t="s">
        <v>14</v>
      </c>
      <c r="H11602">
             </c>
      <c r="I11602" t="s">
        <v>14</v>
      </c>
      <c r="J11602" t="s">
        <v>141</v>
      </c>
      <c r="K11602" t="s">
        <v>14</v>
      </c>
      <c r="L11602" t="s">
        <v>20</v>
      </c>
      <c r="M11602" t="s">
        <v>21815</v>
      </c>
      <c r="N11602" t="s">
        <v>14</v>
      </c>
    </row>
    <row r="11603" x14ac:dyDescent="0.25">
      <c r="A11603" t="n">
        <v>24</v>
      </c>
      <c r="B11603" t="s">
        <v>14</v>
      </c>
      <c r="C11603" t="s">
        <v>22</v>
      </c>
      <c r="D11603" s="2" t="s">
        <f>=HYPERLINK("https://main.knesset.gov.il/APPS/legislation/main/bills/2156176", "הצעת חוק מרשם האוכלוסין (תיקון - ביטול סעיף המין בתעודת הזהות), התשפ""א-2021")</f>
        <v>22307</v>
      </c>
      <c r="E11603" t="s">
        <v>22307</v>
      </c>
      <c r="F11603" t="s">
        <v>22308</v>
      </c>
      <c r="G11603" t="s">
        <v>14</v>
      </c>
      <c r="H11603">
             </c>
      <c r="I11603" t="s">
        <v>14</v>
      </c>
      <c r="J11603" t="s">
        <v>141</v>
      </c>
      <c r="K11603" t="s">
        <v>14</v>
      </c>
      <c r="L11603" t="s">
        <v>20</v>
      </c>
      <c r="M11603" t="s">
        <v>21815</v>
      </c>
      <c r="N11603" t="s">
        <v>14</v>
      </c>
    </row>
    <row r="11604" x14ac:dyDescent="0.25">
      <c r="A11604" t="n">
        <v>24</v>
      </c>
      <c r="B11604" t="s">
        <v>14</v>
      </c>
      <c r="C11604" t="s">
        <v>22</v>
      </c>
      <c r="D11604" s="2" t="s">
        <f>=HYPERLINK("https://main.knesset.gov.il/APPS/legislation/main/bills/2156576", "הצעת חוק סדר הדין הפלילי (תיקון - הגבלת משך זמן החקירה המשטרתית), התשפ""א-2021")</f>
        <v>22309</v>
      </c>
      <c r="E11604" t="s">
        <v>22309</v>
      </c>
      <c r="F11604" t="s">
        <v>22310</v>
      </c>
      <c r="G11604" t="s">
        <v>14</v>
      </c>
      <c r="H11604">
             </c>
      <c r="I11604" t="s">
        <v>14</v>
      </c>
      <c r="J11604" t="s">
        <v>141</v>
      </c>
      <c r="K11604" t="s">
        <v>14</v>
      </c>
      <c r="L11604" t="s">
        <v>20</v>
      </c>
      <c r="M11604" t="s">
        <v>21815</v>
      </c>
      <c r="N11604" t="s">
        <v>14</v>
      </c>
    </row>
    <row r="11605" x14ac:dyDescent="0.25">
      <c r="A11605" t="n">
        <v>24</v>
      </c>
      <c r="B11605" t="s">
        <v>14</v>
      </c>
      <c r="C11605" t="s">
        <v>22</v>
      </c>
      <c r="D11605" s="2" t="s">
        <f>=HYPERLINK("https://main.knesset.gov.il/APPS/legislation/main/bills/2156171", "הצעת חוק ביטוח בריאות ממלכתי (תיקון - קביעת זמני המתנה ומרחקי נסיעה מירביים לקבלת טיפול רפואי), התשפ""א-2021")</f>
        <v>22311</v>
      </c>
      <c r="E11605" t="s">
        <v>22311</v>
      </c>
      <c r="F11605" t="s">
        <v>22312</v>
      </c>
      <c r="G11605" t="s">
        <v>14</v>
      </c>
      <c r="H11605">
             </c>
      <c r="I11605" t="s">
        <v>14</v>
      </c>
      <c r="J11605" t="s">
        <v>141</v>
      </c>
      <c r="K11605" t="s">
        <v>14</v>
      </c>
      <c r="L11605" t="s">
        <v>20</v>
      </c>
      <c r="M11605" t="s">
        <v>21815</v>
      </c>
      <c r="N11605" t="s">
        <v>14</v>
      </c>
    </row>
    <row r="11606" x14ac:dyDescent="0.25">
      <c r="A11606" t="n">
        <v>24</v>
      </c>
      <c r="B11606" t="s">
        <v>14</v>
      </c>
      <c r="C11606" t="s">
        <v>22</v>
      </c>
      <c r="D11606" s="2" t="s">
        <f>=HYPERLINK("https://main.knesset.gov.il/APPS/legislation/main/bills/2156707", "הצעת חוק הכנסת (תיקון - פיקוח על רשויות פיקוח פיננסיות), התשפ""א-2021")</f>
        <v>22313</v>
      </c>
      <c r="E11606" t="s">
        <v>22313</v>
      </c>
      <c r="F11606" t="s">
        <v>22314</v>
      </c>
      <c r="G11606" t="s">
        <v>14</v>
      </c>
      <c r="H11606">
             </c>
      <c r="I11606" t="s">
        <v>14</v>
      </c>
      <c r="J11606" t="s">
        <v>141</v>
      </c>
      <c r="K11606" t="s">
        <v>14</v>
      </c>
      <c r="L11606" t="s">
        <v>20</v>
      </c>
      <c r="M11606" t="s">
        <v>21815</v>
      </c>
      <c r="N11606" t="s">
        <v>14</v>
      </c>
    </row>
    <row r="11607" x14ac:dyDescent="0.25">
      <c r="A11607" t="n">
        <v>24</v>
      </c>
      <c r="B11607" t="s">
        <v>14</v>
      </c>
      <c r="C11607" t="s">
        <v>22</v>
      </c>
      <c r="D11607" s="2" t="s">
        <f>=HYPERLINK("https://main.knesset.gov.il/APPS/legislation/main/bills/2156365", "הצעת חוק התובע הכללי, התשפ""א-2021")</f>
        <v>19577</v>
      </c>
      <c r="E11607" t="s">
        <v>19577</v>
      </c>
      <c r="F11607" t="s">
        <v>22315</v>
      </c>
      <c r="G11607" t="s">
        <v>14</v>
      </c>
      <c r="H11607">
             </c>
      <c r="I11607" t="s">
        <v>14</v>
      </c>
      <c r="J11607" t="s">
        <v>141</v>
      </c>
      <c r="K11607" t="s">
        <v>14</v>
      </c>
      <c r="L11607" t="s">
        <v>20</v>
      </c>
      <c r="M11607" t="s">
        <v>21815</v>
      </c>
      <c r="N11607" t="s">
        <v>14</v>
      </c>
    </row>
    <row r="11608" x14ac:dyDescent="0.25">
      <c r="A11608" t="n">
        <v>24</v>
      </c>
      <c r="B11608" t="s">
        <v>14</v>
      </c>
      <c r="C11608" t="s">
        <v>22</v>
      </c>
      <c r="D11608" s="2" t="s">
        <f>=HYPERLINK("https://main.knesset.gov.il/APPS/legislation/main/bills/2156331", "הצעת חוק הדחת נציג ציבור התומך במאבק מזוין נגד מדינת ישראל (תיקוני חקיקה), התשפ""א-2021")</f>
        <v>18501</v>
      </c>
      <c r="E11608" t="s">
        <v>18501</v>
      </c>
      <c r="F11608" t="s">
        <v>22316</v>
      </c>
      <c r="G11608" t="s">
        <v>14</v>
      </c>
      <c r="H11608">
             </c>
      <c r="I11608" t="s">
        <v>14</v>
      </c>
      <c r="J11608" t="s">
        <v>141</v>
      </c>
      <c r="K11608" t="s">
        <v>14</v>
      </c>
      <c r="L11608" t="s">
        <v>20</v>
      </c>
      <c r="M11608" t="s">
        <v>21815</v>
      </c>
      <c r="N11608" t="s">
        <v>14</v>
      </c>
    </row>
    <row r="11609" x14ac:dyDescent="0.25">
      <c r="A11609" t="n">
        <v>24</v>
      </c>
      <c r="B11609" t="s">
        <v>14</v>
      </c>
      <c r="C11609" t="s">
        <v>22</v>
      </c>
      <c r="D11609" s="2" t="s">
        <f>=HYPERLINK("https://main.knesset.gov.il/APPS/legislation/main/bills/2156516", "הצעת חוק הכניסה לישראל (תיקון - רישיון מיוחד לישיבת ביקור), התשפ""א-2021")</f>
        <v>22317</v>
      </c>
      <c r="E11609" t="s">
        <v>22317</v>
      </c>
      <c r="F11609" t="s">
        <v>22318</v>
      </c>
      <c r="G11609" t="s">
        <v>14</v>
      </c>
      <c r="H11609">
             </c>
      <c r="I11609" t="s">
        <v>14</v>
      </c>
      <c r="J11609" t="s">
        <v>141</v>
      </c>
      <c r="K11609" t="s">
        <v>14</v>
      </c>
      <c r="L11609" t="s">
        <v>20</v>
      </c>
      <c r="M11609" t="s">
        <v>21815</v>
      </c>
      <c r="N11609" t="s">
        <v>14</v>
      </c>
    </row>
    <row r="11610" x14ac:dyDescent="0.25">
      <c r="A11610" t="n">
        <v>24</v>
      </c>
      <c r="B11610" t="s">
        <v>14</v>
      </c>
      <c r="C11610" t="s">
        <v>22</v>
      </c>
      <c r="D11610" s="2" t="s">
        <f>=HYPERLINK("https://main.knesset.gov.il/APPS/legislation/main/bills/2156150", "הצעת חוק לתיקון פקודת הסמים המסוכנים (זנים תעשייתיים של קנבוס), התשפ""א-2021")</f>
        <v>22319</v>
      </c>
      <c r="E11610" t="s">
        <v>22319</v>
      </c>
      <c r="F11610" t="s">
        <v>22320</v>
      </c>
      <c r="G11610" t="s">
        <v>14</v>
      </c>
      <c r="H11610">
             </c>
      <c r="I11610" t="s">
        <v>14</v>
      </c>
      <c r="J11610" t="s">
        <v>141</v>
      </c>
      <c r="K11610" t="s">
        <v>14</v>
      </c>
      <c r="L11610" t="s">
        <v>20</v>
      </c>
      <c r="M11610" t="s">
        <v>21815</v>
      </c>
      <c r="N11610" t="s">
        <v>14</v>
      </c>
    </row>
    <row r="11611" x14ac:dyDescent="0.25">
      <c r="A11611" t="n">
        <v>24</v>
      </c>
      <c r="B11611" t="s">
        <v>14</v>
      </c>
      <c r="C11611" t="s">
        <v>22</v>
      </c>
      <c r="D11611" s="2" t="s">
        <f>=HYPERLINK("https://main.knesset.gov.il/APPS/legislation/main/bills/2156322", "הצעת חוק הכנסת (תיקון - ועדה לפיקוח על רשויות פיקוח פיננסיות), התשפ""א-2021")</f>
        <v>22321</v>
      </c>
      <c r="E11611" t="s">
        <v>22321</v>
      </c>
      <c r="F11611" t="s">
        <v>22322</v>
      </c>
      <c r="G11611" t="s">
        <v>14</v>
      </c>
      <c r="H11611">
             </c>
      <c r="I11611" t="s">
        <v>14</v>
      </c>
      <c r="J11611" t="s">
        <v>141</v>
      </c>
      <c r="K11611" t="s">
        <v>14</v>
      </c>
      <c r="L11611" t="s">
        <v>20</v>
      </c>
      <c r="M11611" t="s">
        <v>21815</v>
      </c>
      <c r="N11611" t="s">
        <v>14</v>
      </c>
    </row>
    <row r="11612" x14ac:dyDescent="0.25">
      <c r="A11612" t="n">
        <v>24</v>
      </c>
      <c r="B11612" t="s">
        <v>14</v>
      </c>
      <c r="C11612" t="s">
        <v>22</v>
      </c>
      <c r="D11612" s="2" t="s">
        <f>=HYPERLINK("https://main.knesset.gov.il/APPS/legislation/main/bills/2156198", "הצעת חוק הסדרת שוק הקנאביס לצריכה עצמית, התשפ""א-2021")</f>
        <v>19161</v>
      </c>
      <c r="E11612" t="s">
        <v>19161</v>
      </c>
      <c r="F11612" t="s">
        <v>22323</v>
      </c>
      <c r="G11612" t="s">
        <v>14</v>
      </c>
      <c r="H11612">
             </c>
      <c r="I11612" t="s">
        <v>14</v>
      </c>
      <c r="J11612" t="s">
        <v>141</v>
      </c>
      <c r="K11612" t="s">
        <v>14</v>
      </c>
      <c r="L11612" t="s">
        <v>20</v>
      </c>
      <c r="M11612" t="s">
        <v>21815</v>
      </c>
      <c r="N11612" t="s">
        <v>14</v>
      </c>
    </row>
    <row r="11613" x14ac:dyDescent="0.25">
      <c r="A11613" t="n">
        <v>24</v>
      </c>
      <c r="B11613" t="s">
        <v>14</v>
      </c>
      <c r="C11613" t="s">
        <v>22</v>
      </c>
      <c r="D11613" s="2" t="s">
        <f>=HYPERLINK("https://main.knesset.gov.il/APPS/legislation/main/bills/2156151", "הצעת חוק הביטוח לאומי (תיקון - ביטוח זכויות עצמאי שעיקר הכנסתו מעסק בהליכי חדלות פירעון), התשפ""א-2021")</f>
        <v>22127</v>
      </c>
      <c r="E11613" t="s">
        <v>22127</v>
      </c>
      <c r="F11613" t="s">
        <v>22324</v>
      </c>
      <c r="G11613" t="s">
        <v>14</v>
      </c>
      <c r="H11613">
             </c>
      <c r="I11613" t="s">
        <v>14</v>
      </c>
      <c r="J11613" t="s">
        <v>141</v>
      </c>
      <c r="K11613" t="s">
        <v>14</v>
      </c>
      <c r="L11613" t="s">
        <v>20</v>
      </c>
      <c r="M11613" t="s">
        <v>21815</v>
      </c>
      <c r="N11613" t="s">
        <v>14</v>
      </c>
    </row>
    <row r="11614" x14ac:dyDescent="0.25">
      <c r="A11614" t="n">
        <v>24</v>
      </c>
      <c r="B11614" t="s">
        <v>14</v>
      </c>
      <c r="C11614" t="s">
        <v>22</v>
      </c>
      <c r="D11614" s="2" t="s">
        <f>=HYPERLINK("https://main.knesset.gov.il/APPS/legislation/main/bills/2156142", "הצעת חוק-יסוד: נשיא המדינה (תיקון - כשירות מועמדים לכהונה כנשיא המדינה)")</f>
        <v>2549</v>
      </c>
      <c r="E11614" t="s">
        <v>2549</v>
      </c>
      <c r="F11614" t="s">
        <v>22325</v>
      </c>
      <c r="G11614" t="s">
        <v>14</v>
      </c>
      <c r="H11614">
             </c>
      <c r="I11614" t="s">
        <v>14</v>
      </c>
      <c r="J11614" t="s">
        <v>141</v>
      </c>
      <c r="K11614" t="s">
        <v>14</v>
      </c>
      <c r="L11614" t="s">
        <v>20</v>
      </c>
      <c r="M11614" t="s">
        <v>21815</v>
      </c>
      <c r="N11614" t="s">
        <v>14</v>
      </c>
    </row>
    <row r="11615" x14ac:dyDescent="0.25">
      <c r="A11615" t="n">
        <v>24</v>
      </c>
      <c r="B11615" t="s">
        <v>14</v>
      </c>
      <c r="C11615" t="s">
        <v>22</v>
      </c>
      <c r="D11615" s="2" t="s">
        <f>=HYPERLINK("https://main.knesset.gov.il/APPS/legislation/main/bills/2156120", "הצעת חוק לתיקון פקודת התעבורה (הגבלת תשלום בעד חניה במוסד רפואי), התשפ""א-2021")</f>
        <v>16704</v>
      </c>
      <c r="E11615" t="s">
        <v>16704</v>
      </c>
      <c r="F11615" t="s">
        <v>22326</v>
      </c>
      <c r="G11615" t="s">
        <v>14</v>
      </c>
      <c r="H11615">
             </c>
      <c r="I11615" t="s">
        <v>14</v>
      </c>
      <c r="J11615" t="s">
        <v>141</v>
      </c>
      <c r="K11615" t="s">
        <v>14</v>
      </c>
      <c r="L11615" t="s">
        <v>20</v>
      </c>
      <c r="M11615" t="s">
        <v>21815</v>
      </c>
      <c r="N11615" t="s">
        <v>14</v>
      </c>
    </row>
    <row r="11616" x14ac:dyDescent="0.25">
      <c r="A11616" t="n">
        <v>24</v>
      </c>
      <c r="B11616" t="s">
        <v>14</v>
      </c>
      <c r="C11616" t="s">
        <v>22</v>
      </c>
      <c r="D11616" s="2" t="s">
        <f>=HYPERLINK("https://main.knesset.gov.il/APPS/legislation/main/bills/2156589", "הצעת חוק-יסוד: בחירות אזוריות וארציות (תיקוני חקיקה)")</f>
        <v>13073</v>
      </c>
      <c r="E11616" t="s">
        <v>13073</v>
      </c>
      <c r="F11616" t="s">
        <v>22327</v>
      </c>
      <c r="G11616" t="s">
        <v>14</v>
      </c>
      <c r="H11616">
             </c>
      <c r="I11616" t="s">
        <v>14</v>
      </c>
      <c r="J11616" t="s">
        <v>141</v>
      </c>
      <c r="K11616" t="s">
        <v>14</v>
      </c>
      <c r="L11616" t="s">
        <v>20</v>
      </c>
      <c r="M11616" t="s">
        <v>21815</v>
      </c>
      <c r="N11616" t="s">
        <v>14</v>
      </c>
    </row>
    <row r="11617" x14ac:dyDescent="0.25">
      <c r="A11617" t="n">
        <v>24</v>
      </c>
      <c r="B11617" t="s">
        <v>14</v>
      </c>
      <c r="C11617" t="s">
        <v>22</v>
      </c>
      <c r="D11617" s="2" t="s">
        <f>=HYPERLINK("https://main.knesset.gov.il/APPS/legislation/main/bills/2157614", "הצעת חוק-יסוד: הממשלה (תיקון - בחירות ישירות לראשות הממשלה) (הוראת שעה)")</f>
        <v>22328</v>
      </c>
      <c r="E11617" t="s">
        <v>22328</v>
      </c>
      <c r="F11617" t="s">
        <v>22329</v>
      </c>
      <c r="G11617" t="s">
        <v>14</v>
      </c>
      <c r="H11617">
             </c>
      <c r="I11617" t="s">
        <v>14</v>
      </c>
      <c r="J11617" t="s">
        <v>141</v>
      </c>
      <c r="K11617" t="s">
        <v>14</v>
      </c>
      <c r="L11617" t="s">
        <v>20</v>
      </c>
      <c r="M11617" t="s">
        <v>21815</v>
      </c>
      <c r="N11617" t="s">
        <v>14</v>
      </c>
    </row>
    <row r="11618" x14ac:dyDescent="0.25">
      <c r="A11618" t="n">
        <v>24</v>
      </c>
      <c r="B11618" t="s">
        <v>14</v>
      </c>
      <c r="C11618" t="s">
        <v>22</v>
      </c>
      <c r="D11618" s="2" t="s">
        <f>=HYPERLINK("https://main.knesset.gov.il/APPS/legislation/main/bills/2156397", "הצעת חוק המרכז למורשת הערבית, התשפ""א-2021")</f>
        <v>22330</v>
      </c>
      <c r="E11618" t="s">
        <v>22330</v>
      </c>
      <c r="F11618" t="s">
        <v>22331</v>
      </c>
      <c r="G11618" t="s">
        <v>14</v>
      </c>
      <c r="H11618">
             </c>
      <c r="I11618" t="s">
        <v>14</v>
      </c>
      <c r="J11618" t="s">
        <v>141</v>
      </c>
      <c r="K11618" t="s">
        <v>14</v>
      </c>
      <c r="L11618" t="s">
        <v>20</v>
      </c>
      <c r="M11618" t="s">
        <v>21815</v>
      </c>
      <c r="N11618" t="s">
        <v>14</v>
      </c>
    </row>
    <row r="11619" x14ac:dyDescent="0.25">
      <c r="A11619" t="n">
        <v>24</v>
      </c>
      <c r="B11619" t="s">
        <v>14</v>
      </c>
      <c r="C11619" t="s">
        <v>22</v>
      </c>
      <c r="D11619" s="2" t="s">
        <f>=HYPERLINK("https://main.knesset.gov.il/APPS/legislation/main/bills/2156292", "הצעת חוק לתיקון פקודת התעבורה (הקמת מערך מידע וניתוח נתונים לשיפור התחבורה הציבורית), התשפ""א-2021")</f>
        <v>22332</v>
      </c>
      <c r="E11619" t="s">
        <v>22332</v>
      </c>
      <c r="F11619" t="s">
        <v>22333</v>
      </c>
      <c r="G11619" t="s">
        <v>14</v>
      </c>
      <c r="H11619">
             </c>
      <c r="I11619" t="s">
        <v>14</v>
      </c>
      <c r="J11619" t="s">
        <v>141</v>
      </c>
      <c r="K11619" t="s">
        <v>14</v>
      </c>
      <c r="L11619" t="s">
        <v>20</v>
      </c>
      <c r="M11619" t="s">
        <v>21815</v>
      </c>
      <c r="N11619" t="s">
        <v>14</v>
      </c>
    </row>
    <row r="11620" x14ac:dyDescent="0.25">
      <c r="A11620" t="n">
        <v>24</v>
      </c>
      <c r="B11620" t="s">
        <v>14</v>
      </c>
      <c r="C11620" t="s">
        <v>22</v>
      </c>
      <c r="D11620" s="2" t="s">
        <f>=HYPERLINK("https://main.knesset.gov.il/APPS/legislation/main/bills/2156660", "הצעת חוק התכנון והבנייה (תיקון - שומה מתוקנת מוסכמת), התשפ""א-2021")</f>
        <v>21996</v>
      </c>
      <c r="E11620" t="s">
        <v>21996</v>
      </c>
      <c r="F11620" t="s">
        <v>22334</v>
      </c>
      <c r="G11620" t="s">
        <v>14</v>
      </c>
      <c r="H11620">
             </c>
      <c r="I11620" t="s">
        <v>14</v>
      </c>
      <c r="J11620" t="s">
        <v>141</v>
      </c>
      <c r="K11620" t="s">
        <v>14</v>
      </c>
      <c r="L11620" t="s">
        <v>20</v>
      </c>
      <c r="M11620" t="s">
        <v>21815</v>
      </c>
      <c r="N11620" t="s">
        <v>14</v>
      </c>
    </row>
    <row r="11621" x14ac:dyDescent="0.25">
      <c r="A11621" t="n">
        <v>24</v>
      </c>
      <c r="B11621" t="s">
        <v>14</v>
      </c>
      <c r="C11621" t="s">
        <v>22</v>
      </c>
      <c r="D11621" s="2" t="s">
        <f>=HYPERLINK("https://main.knesset.gov.il/APPS/legislation/main/bills/2156945", "הצעת חוק-יסוד: הכנסת (תיקון - מניין חברי הכנסת במליאה)")</f>
        <v>3333</v>
      </c>
      <c r="E11621" t="s">
        <v>3333</v>
      </c>
      <c r="F11621" t="s">
        <v>22335</v>
      </c>
      <c r="G11621" t="s">
        <v>14</v>
      </c>
      <c r="H11621">
             </c>
      <c r="I11621" t="s">
        <v>14</v>
      </c>
      <c r="J11621" t="s">
        <v>141</v>
      </c>
      <c r="K11621" t="s">
        <v>14</v>
      </c>
      <c r="L11621" t="s">
        <v>20</v>
      </c>
      <c r="M11621" t="s">
        <v>21815</v>
      </c>
      <c r="N11621" t="s">
        <v>14</v>
      </c>
    </row>
    <row r="11622" x14ac:dyDescent="0.25">
      <c r="A11622" t="n">
        <v>24</v>
      </c>
      <c r="B11622" t="s">
        <v>14</v>
      </c>
      <c r="C11622" t="s">
        <v>22</v>
      </c>
      <c r="D11622" s="2" t="s">
        <f>=HYPERLINK("https://main.knesset.gov.il/APPS/legislation/main/bills/2156287", "הצעת חוק הסעה בטיחותית לילדים ולפעוטות עם מוגבלות (תיקון - הרחבת ההגדרה מוסד חינוך), התשפ""א-2021")</f>
        <v>22336</v>
      </c>
      <c r="E11622" t="s">
        <v>22336</v>
      </c>
      <c r="F11622" t="s">
        <v>22337</v>
      </c>
      <c r="G11622" t="s">
        <v>14</v>
      </c>
      <c r="H11622">
             </c>
      <c r="I11622" t="s">
        <v>14</v>
      </c>
      <c r="J11622" t="s">
        <v>141</v>
      </c>
      <c r="K11622" t="s">
        <v>14</v>
      </c>
      <c r="L11622" t="s">
        <v>20</v>
      </c>
      <c r="M11622" t="s">
        <v>21815</v>
      </c>
      <c r="N11622" t="s">
        <v>14</v>
      </c>
    </row>
    <row r="11623" x14ac:dyDescent="0.25">
      <c r="A11623" t="n">
        <v>24</v>
      </c>
      <c r="B11623" t="s">
        <v>14</v>
      </c>
      <c r="C11623" t="s">
        <v>22</v>
      </c>
      <c r="D11623" s="2" t="s">
        <f>=HYPERLINK("https://main.knesset.gov.il/APPS/legislation/main/bills/2156941", "הצעת חוק צער בעלי חיים (הגנה על בעלי חיים) (תיקון - איחוד סמכויות), התשפ""א-2021")</f>
        <v>22338</v>
      </c>
      <c r="E11623" t="s">
        <v>22338</v>
      </c>
      <c r="F11623" t="s">
        <v>22339</v>
      </c>
      <c r="G11623" t="s">
        <v>14</v>
      </c>
      <c r="H11623">
             </c>
      <c r="I11623" t="s">
        <v>14</v>
      </c>
      <c r="J11623" t="s">
        <v>141</v>
      </c>
      <c r="K11623" t="s">
        <v>14</v>
      </c>
      <c r="L11623" t="s">
        <v>20</v>
      </c>
      <c r="M11623" t="s">
        <v>21815</v>
      </c>
      <c r="N11623" t="s">
        <v>14</v>
      </c>
    </row>
    <row r="11624" x14ac:dyDescent="0.25">
      <c r="A11624" t="n">
        <v>24</v>
      </c>
      <c r="B11624" t="s">
        <v>14</v>
      </c>
      <c r="C11624" t="s">
        <v>22</v>
      </c>
      <c r="D11624" s="2" t="s">
        <f>=HYPERLINK("https://main.knesset.gov.il/APPS/legislation/main/bills/2156604", "הצעת חוק העונשין (תיקון - גזר דין עונש מוות למורשע ברצח בנסיבות טרור), התשפ""א-2021")</f>
        <v>18732</v>
      </c>
      <c r="E11624" t="s">
        <v>18732</v>
      </c>
      <c r="F11624" t="s">
        <v>22340</v>
      </c>
      <c r="G11624" t="s">
        <v>14</v>
      </c>
      <c r="H11624">
             </c>
      <c r="I11624" t="s">
        <v>14</v>
      </c>
      <c r="J11624" t="s">
        <v>141</v>
      </c>
      <c r="K11624" t="s">
        <v>14</v>
      </c>
      <c r="L11624" t="s">
        <v>20</v>
      </c>
      <c r="M11624" t="s">
        <v>21815</v>
      </c>
      <c r="N11624" t="s">
        <v>14</v>
      </c>
    </row>
    <row r="11625" x14ac:dyDescent="0.25">
      <c r="A11625" t="n">
        <v>24</v>
      </c>
      <c r="B11625" t="s">
        <v>14</v>
      </c>
      <c r="C11625" t="s">
        <v>22</v>
      </c>
      <c r="D11625" s="2" t="s">
        <f>=HYPERLINK("https://main.knesset.gov.il/APPS/legislation/main/bills/2156768", "הצעת חוק התכנון והבנייה (תיקון - פרסום נאות), התשפ""א-2021")</f>
        <v>22341</v>
      </c>
      <c r="E11625" t="s">
        <v>22341</v>
      </c>
      <c r="F11625" t="s">
        <v>22342</v>
      </c>
      <c r="G11625" t="s">
        <v>14</v>
      </c>
      <c r="H11625">
             </c>
      <c r="I11625" t="s">
        <v>14</v>
      </c>
      <c r="J11625" t="s">
        <v>141</v>
      </c>
      <c r="K11625" t="s">
        <v>14</v>
      </c>
      <c r="L11625" t="s">
        <v>20</v>
      </c>
      <c r="M11625" t="s">
        <v>21815</v>
      </c>
      <c r="N11625" t="s">
        <v>14</v>
      </c>
    </row>
    <row r="11626" x14ac:dyDescent="0.25">
      <c r="A11626" t="n">
        <v>24</v>
      </c>
      <c r="B11626" t="s">
        <v>14</v>
      </c>
      <c r="C11626" t="s">
        <v>22</v>
      </c>
      <c r="D11626" s="2" t="s">
        <f>=HYPERLINK("https://main.knesset.gov.il/APPS/legislation/main/bills/2156319", "הצעת חוק שירות ביטחון (תיקון - הזדמנות שווה לנשים בצה""ל), התשפ""א-2021")</f>
        <v>21181</v>
      </c>
      <c r="E11626" t="s">
        <v>21181</v>
      </c>
      <c r="F11626" t="s">
        <v>22343</v>
      </c>
      <c r="G11626" t="s">
        <v>14</v>
      </c>
      <c r="H11626">
             </c>
      <c r="I11626" t="s">
        <v>14</v>
      </c>
      <c r="J11626" t="s">
        <v>141</v>
      </c>
      <c r="K11626" t="s">
        <v>14</v>
      </c>
      <c r="L11626" t="s">
        <v>20</v>
      </c>
      <c r="M11626" t="s">
        <v>21815</v>
      </c>
      <c r="N11626" t="s">
        <v>14</v>
      </c>
    </row>
    <row r="11627" x14ac:dyDescent="0.25">
      <c r="A11627" t="n">
        <v>24</v>
      </c>
      <c r="B11627" t="s">
        <v>14</v>
      </c>
      <c r="C11627" t="s">
        <v>22</v>
      </c>
      <c r="D11627" s="2" t="s">
        <f>=HYPERLINK("https://main.knesset.gov.il/APPS/legislation/main/bills/2156555", "הצעת חוק-יסוד: הכנסת (תיקון - סמכויות ועדת חקירה פרלמנטרית)")</f>
        <v>4864</v>
      </c>
      <c r="E11627" t="s">
        <v>4864</v>
      </c>
      <c r="F11627" t="s">
        <v>22344</v>
      </c>
      <c r="G11627" t="s">
        <v>14</v>
      </c>
      <c r="H11627">
             </c>
      <c r="I11627" t="s">
        <v>14</v>
      </c>
      <c r="J11627" t="s">
        <v>141</v>
      </c>
      <c r="K11627" t="s">
        <v>14</v>
      </c>
      <c r="L11627" t="s">
        <v>20</v>
      </c>
      <c r="M11627" t="s">
        <v>21815</v>
      </c>
      <c r="N11627" t="s">
        <v>14</v>
      </c>
    </row>
    <row r="11628" x14ac:dyDescent="0.25">
      <c r="A11628" t="n">
        <v>24</v>
      </c>
      <c r="B11628" t="s">
        <v>14</v>
      </c>
      <c r="C11628" t="s">
        <v>22</v>
      </c>
      <c r="D11628" s="2" t="s">
        <f>=HYPERLINK("https://main.knesset.gov.il/APPS/legislation/main/bills/2156232", "הצעת חוק המועצה להשכלה גבוהה (תיקון - עידוד הנגשה להשכלה גבוהה), התשפ""א-2021")</f>
        <v>22345</v>
      </c>
      <c r="E11628" t="s">
        <v>22345</v>
      </c>
      <c r="F11628" t="s">
        <v>22346</v>
      </c>
      <c r="G11628" t="s">
        <v>14</v>
      </c>
      <c r="H11628">
             </c>
      <c r="I11628" t="s">
        <v>14</v>
      </c>
      <c r="J11628" t="s">
        <v>141</v>
      </c>
      <c r="K11628" t="s">
        <v>14</v>
      </c>
      <c r="L11628" t="s">
        <v>20</v>
      </c>
      <c r="M11628" t="s">
        <v>21815</v>
      </c>
      <c r="N11628" t="s">
        <v>14</v>
      </c>
    </row>
    <row r="11629" x14ac:dyDescent="0.25">
      <c r="A11629" t="n">
        <v>24</v>
      </c>
      <c r="B11629" t="s">
        <v>14</v>
      </c>
      <c r="C11629" t="s">
        <v>22</v>
      </c>
      <c r="D11629" s="2" t="s">
        <f>=HYPERLINK("https://main.knesset.gov.il/APPS/legislation/main/bills/2156631", "הצעת חוק-יסוד: משאל עם - שוויון בנישואין וגירושין")</f>
        <v>22347</v>
      </c>
      <c r="E11629" t="s">
        <v>22347</v>
      </c>
      <c r="F11629" t="s">
        <v>22348</v>
      </c>
      <c r="G11629" t="s">
        <v>14</v>
      </c>
      <c r="H11629">
             </c>
      <c r="I11629" t="s">
        <v>14</v>
      </c>
      <c r="J11629" t="s">
        <v>141</v>
      </c>
      <c r="K11629" t="s">
        <v>14</v>
      </c>
      <c r="L11629" t="s">
        <v>20</v>
      </c>
      <c r="M11629" t="s">
        <v>21815</v>
      </c>
      <c r="N11629" t="s">
        <v>14</v>
      </c>
    </row>
    <row r="11630" x14ac:dyDescent="0.25">
      <c r="A11630" t="n">
        <v>24</v>
      </c>
      <c r="B11630" t="s">
        <v>14</v>
      </c>
      <c r="C11630" t="s">
        <v>22</v>
      </c>
      <c r="D11630" s="2" t="s">
        <f>=HYPERLINK("https://main.knesset.gov.il/APPS/legislation/main/bills/2156603", "הצעת חוק רישוי עסקים (תיקון - פטור מהגשת מסמכים), התשפ""א-2021 ")</f>
        <v>22349</v>
      </c>
      <c r="E11630" t="s">
        <v>22349</v>
      </c>
      <c r="F11630" t="s">
        <v>22350</v>
      </c>
      <c r="G11630" t="s">
        <v>14</v>
      </c>
      <c r="H11630">
             </c>
      <c r="I11630" t="s">
        <v>14</v>
      </c>
      <c r="J11630" t="s">
        <v>141</v>
      </c>
      <c r="K11630" t="s">
        <v>14</v>
      </c>
      <c r="L11630" t="s">
        <v>20</v>
      </c>
      <c r="M11630" t="s">
        <v>21815</v>
      </c>
      <c r="N11630" t="s">
        <v>14</v>
      </c>
    </row>
    <row r="11631" x14ac:dyDescent="0.25">
      <c r="A11631" t="n">
        <v>24</v>
      </c>
      <c r="B11631" t="s">
        <v>14</v>
      </c>
      <c r="C11631" t="s">
        <v>22</v>
      </c>
      <c r="D11631" s="2" t="s">
        <f>=HYPERLINK("https://main.knesset.gov.il/APPS/legislation/main/bills/2156551", "הצעת חוק מבקר המדינה (תיקון - תקופת צינון למועמדים לכנסת, חברי כנסת ושרים), התשפ""א-2021")</f>
        <v>22351</v>
      </c>
      <c r="E11631" t="s">
        <v>22351</v>
      </c>
      <c r="F11631" t="s">
        <v>22352</v>
      </c>
      <c r="G11631" t="s">
        <v>14</v>
      </c>
      <c r="H11631">
             </c>
      <c r="I11631" t="s">
        <v>14</v>
      </c>
      <c r="J11631" t="s">
        <v>141</v>
      </c>
      <c r="K11631" t="s">
        <v>14</v>
      </c>
      <c r="L11631" t="s">
        <v>20</v>
      </c>
      <c r="M11631" t="s">
        <v>21815</v>
      </c>
      <c r="N11631" t="s">
        <v>14</v>
      </c>
    </row>
    <row r="11632" x14ac:dyDescent="0.25">
      <c r="A11632" t="n">
        <v>24</v>
      </c>
      <c r="B11632" t="s">
        <v>14</v>
      </c>
      <c r="C11632" t="s">
        <v>22</v>
      </c>
      <c r="D11632" s="2" t="s">
        <f>=HYPERLINK("https://main.knesset.gov.il/APPS/legislation/main/bills/2156203", "הצעת חוק לתיקון פקודות הדיג (איכון ספינות דיג), התשפ""א-2021")</f>
        <v>22353</v>
      </c>
      <c r="E11632" t="s">
        <v>22353</v>
      </c>
      <c r="F11632" t="s">
        <v>22354</v>
      </c>
      <c r="G11632" t="s">
        <v>14</v>
      </c>
      <c r="H11632">
             </c>
      <c r="I11632" t="s">
        <v>14</v>
      </c>
      <c r="J11632" t="s">
        <v>141</v>
      </c>
      <c r="K11632" t="s">
        <v>14</v>
      </c>
      <c r="L11632" t="s">
        <v>20</v>
      </c>
      <c r="M11632" t="s">
        <v>21815</v>
      </c>
      <c r="N11632" t="s">
        <v>14</v>
      </c>
    </row>
    <row r="11633" x14ac:dyDescent="0.25">
      <c r="A11633" t="n">
        <v>24</v>
      </c>
      <c r="B11633" t="s">
        <v>14</v>
      </c>
      <c r="C11633" t="s">
        <v>22</v>
      </c>
      <c r="D11633" s="2" t="s">
        <f>=HYPERLINK("https://main.knesset.gov.il/APPS/legislation/main/bills/2156528", "הצעת חוק בתי המשפט (תיקון - תקופת צינון לפני מינוי), התשפ""א-2021")</f>
        <v>22355</v>
      </c>
      <c r="E11633" t="s">
        <v>22355</v>
      </c>
      <c r="F11633" t="s">
        <v>22356</v>
      </c>
      <c r="G11633" t="s">
        <v>14</v>
      </c>
      <c r="H11633">
             </c>
      <c r="I11633" t="s">
        <v>14</v>
      </c>
      <c r="J11633" t="s">
        <v>141</v>
      </c>
      <c r="K11633" t="s">
        <v>14</v>
      </c>
      <c r="L11633" t="s">
        <v>20</v>
      </c>
      <c r="M11633" t="s">
        <v>21815</v>
      </c>
      <c r="N11633" t="s">
        <v>14</v>
      </c>
    </row>
    <row r="11634" x14ac:dyDescent="0.25">
      <c r="A11634" t="n">
        <v>24</v>
      </c>
      <c r="B11634" t="s">
        <v>14</v>
      </c>
      <c r="C11634" t="s">
        <v>22</v>
      </c>
      <c r="D11634" s="2" t="s">
        <f>=HYPERLINK("https://main.knesset.gov.il/APPS/legislation/main/bills/2156132", "הצעת חוק הפעלת תחבורה ציבורית ביום המנוחה השבועי, התשפ""א-2021")</f>
        <v>22357</v>
      </c>
      <c r="E11634" t="s">
        <v>22357</v>
      </c>
      <c r="F11634" t="s">
        <v>22358</v>
      </c>
      <c r="G11634" t="s">
        <v>14</v>
      </c>
      <c r="H11634">
             </c>
      <c r="I11634" t="s">
        <v>14</v>
      </c>
      <c r="J11634" t="s">
        <v>141</v>
      </c>
      <c r="K11634" t="s">
        <v>14</v>
      </c>
      <c r="L11634" t="s">
        <v>20</v>
      </c>
      <c r="M11634" t="s">
        <v>21815</v>
      </c>
      <c r="N11634" t="s">
        <v>14</v>
      </c>
    </row>
    <row r="11635" x14ac:dyDescent="0.25">
      <c r="A11635" t="n">
        <v>24</v>
      </c>
      <c r="B11635" t="s">
        <v>14</v>
      </c>
      <c r="C11635" t="s">
        <v>22</v>
      </c>
      <c r="D11635" s="2" t="s">
        <f>=HYPERLINK("https://main.knesset.gov.il/APPS/legislation/main/bills/2156113", "הצעת חוק העונשין (תיקון - החמרת ענישה בגין תקיפת סתם), התשפ""א-2021")</f>
        <v>22359</v>
      </c>
      <c r="E11635" t="s">
        <v>22359</v>
      </c>
      <c r="F11635" t="s">
        <v>22360</v>
      </c>
      <c r="G11635" t="s">
        <v>14</v>
      </c>
      <c r="H11635">
             </c>
      <c r="I11635" t="s">
        <v>14</v>
      </c>
      <c r="J11635" t="s">
        <v>141</v>
      </c>
      <c r="K11635" t="s">
        <v>14</v>
      </c>
      <c r="L11635" t="s">
        <v>20</v>
      </c>
      <c r="M11635" t="s">
        <v>21815</v>
      </c>
      <c r="N11635" t="s">
        <v>14</v>
      </c>
    </row>
    <row r="11636" x14ac:dyDescent="0.25">
      <c r="A11636" t="n">
        <v>24</v>
      </c>
      <c r="B11636" t="s">
        <v>14</v>
      </c>
      <c r="C11636" t="s">
        <v>22</v>
      </c>
      <c r="D11636" s="2" t="s">
        <f>=HYPERLINK("https://main.knesset.gov.il/APPS/legislation/main/bills/2156170", "הצעת חוק לתיקון פקודת בריאות העם (העדפות מתן רשיון למכשור רפואי בפריפריה), התשפ""א-2021")</f>
        <v>22361</v>
      </c>
      <c r="E11636" t="s">
        <v>22361</v>
      </c>
      <c r="F11636" t="s">
        <v>22362</v>
      </c>
      <c r="G11636" t="s">
        <v>14</v>
      </c>
      <c r="H11636">
             </c>
      <c r="I11636" t="s">
        <v>14</v>
      </c>
      <c r="J11636" t="s">
        <v>141</v>
      </c>
      <c r="K11636" t="s">
        <v>14</v>
      </c>
      <c r="L11636" t="s">
        <v>20</v>
      </c>
      <c r="M11636" t="s">
        <v>21815</v>
      </c>
      <c r="N11636" t="s">
        <v>14</v>
      </c>
    </row>
    <row r="11637" x14ac:dyDescent="0.25">
      <c r="A11637" t="n">
        <v>24</v>
      </c>
      <c r="B11637" t="s">
        <v>14</v>
      </c>
      <c r="C11637" t="s">
        <v>22</v>
      </c>
      <c r="D11637" s="2" t="s">
        <f>=HYPERLINK("https://main.knesset.gov.il/APPS/legislation/main/bills/2156168", "הצעת חוק עסקאות למכירת נשק או ציוד צבאי של מדינה זרה, התשפ""א-2021")</f>
        <v>22363</v>
      </c>
      <c r="E11637" t="s">
        <v>22363</v>
      </c>
      <c r="F11637" t="s">
        <v>22364</v>
      </c>
      <c r="G11637" t="s">
        <v>14</v>
      </c>
      <c r="H11637">
             </c>
      <c r="I11637" t="s">
        <v>14</v>
      </c>
      <c r="J11637" t="s">
        <v>141</v>
      </c>
      <c r="K11637" t="s">
        <v>14</v>
      </c>
      <c r="L11637" t="s">
        <v>20</v>
      </c>
      <c r="M11637" t="s">
        <v>21815</v>
      </c>
      <c r="N11637" t="s">
        <v>14</v>
      </c>
    </row>
    <row r="11638" x14ac:dyDescent="0.25">
      <c r="A11638" t="n">
        <v>24</v>
      </c>
      <c r="B11638" t="s">
        <v>14</v>
      </c>
      <c r="C11638" t="s">
        <v>22</v>
      </c>
      <c r="D11638" s="2" t="s">
        <f>=HYPERLINK("https://main.knesset.gov.il/APPS/legislation/main/bills/2156166", "הצעת חוק להנצחת הרב עובדיה יוסף (ציון זכרו ופועלו), התשפ""א-2021")</f>
        <v>22365</v>
      </c>
      <c r="E11638" t="s">
        <v>22365</v>
      </c>
      <c r="F11638" t="s">
        <v>22366</v>
      </c>
      <c r="G11638" t="s">
        <v>14</v>
      </c>
      <c r="H11638">
             </c>
      <c r="I11638" t="s">
        <v>14</v>
      </c>
      <c r="J11638" t="s">
        <v>141</v>
      </c>
      <c r="K11638" t="s">
        <v>14</v>
      </c>
      <c r="L11638" t="s">
        <v>20</v>
      </c>
      <c r="M11638" t="s">
        <v>21815</v>
      </c>
      <c r="N11638" t="s">
        <v>14</v>
      </c>
    </row>
    <row r="11639" x14ac:dyDescent="0.25">
      <c r="A11639" t="n">
        <v>24</v>
      </c>
      <c r="B11639" t="s">
        <v>14</v>
      </c>
      <c r="C11639" t="s">
        <v>22</v>
      </c>
      <c r="D11639" s="2" t="s">
        <f>=HYPERLINK("https://main.knesset.gov.il/APPS/legislation/main/bills/2156643", "הצעת חוק סדר הדין הפלילי (סמכויות אכיפה – מעצרים) (תיקון–הגדרת מסוכנות של פוגעים בבעלי חיים), התשפ""א-2021")</f>
        <v>22367</v>
      </c>
      <c r="E11639" t="s">
        <v>22367</v>
      </c>
      <c r="F11639" t="s">
        <v>22368</v>
      </c>
      <c r="G11639" t="s">
        <v>14</v>
      </c>
      <c r="H11639">
             </c>
      <c r="I11639" t="s">
        <v>14</v>
      </c>
      <c r="J11639" t="s">
        <v>141</v>
      </c>
      <c r="K11639" t="s">
        <v>14</v>
      </c>
      <c r="L11639" t="s">
        <v>20</v>
      </c>
      <c r="M11639" t="s">
        <v>21815</v>
      </c>
      <c r="N11639" t="s">
        <v>14</v>
      </c>
    </row>
    <row r="11640" x14ac:dyDescent="0.25">
      <c r="A11640" t="n">
        <v>24</v>
      </c>
      <c r="B11640" t="s">
        <v>14</v>
      </c>
      <c r="C11640" t="s">
        <v>22</v>
      </c>
      <c r="D11640" s="2" t="s">
        <f>=HYPERLINK("https://main.knesset.gov.il/APPS/legislation/main/bills/2156115", "הצעת חוק לתיקון פקודת הסמים המסוכנים (הוספת חומר קנבוס כחומר בעל תועלת רפואית), התשפ""א-2021")</f>
        <v>22369</v>
      </c>
      <c r="E11640" t="s">
        <v>22369</v>
      </c>
      <c r="F11640" t="s">
        <v>22370</v>
      </c>
      <c r="G11640" t="s">
        <v>14</v>
      </c>
      <c r="H11640">
             </c>
      <c r="I11640" t="s">
        <v>14</v>
      </c>
      <c r="J11640" t="s">
        <v>141</v>
      </c>
      <c r="K11640" t="s">
        <v>14</v>
      </c>
      <c r="L11640" t="s">
        <v>20</v>
      </c>
      <c r="M11640" t="s">
        <v>21815</v>
      </c>
      <c r="N11640" t="s">
        <v>14</v>
      </c>
    </row>
    <row r="11641" x14ac:dyDescent="0.25">
      <c r="A11641" t="n">
        <v>24</v>
      </c>
      <c r="B11641" t="s">
        <v>14</v>
      </c>
      <c r="C11641" t="s">
        <v>22</v>
      </c>
      <c r="D11641" s="2" t="s">
        <f>=HYPERLINK("https://main.knesset.gov.il/APPS/legislation/main/bills/2156480", "הצעת חוק התכנון והבנייה (תיקון - חדרי הנקה בבניינים ציבוריים), התשפ""א-2021")</f>
        <v>22247</v>
      </c>
      <c r="E11641" t="s">
        <v>22247</v>
      </c>
      <c r="F11641" t="s">
        <v>22371</v>
      </c>
      <c r="G11641" t="s">
        <v>14</v>
      </c>
      <c r="H11641">
             </c>
      <c r="I11641" t="s">
        <v>14</v>
      </c>
      <c r="J11641" t="s">
        <v>141</v>
      </c>
      <c r="K11641" t="s">
        <v>14</v>
      </c>
      <c r="L11641" t="s">
        <v>20</v>
      </c>
      <c r="M11641" t="s">
        <v>21815</v>
      </c>
      <c r="N11641" t="s">
        <v>14</v>
      </c>
    </row>
    <row r="11642" x14ac:dyDescent="0.25">
      <c r="A11642" t="n">
        <v>24</v>
      </c>
      <c r="B11642" t="s">
        <v>14</v>
      </c>
      <c r="C11642" t="s">
        <v>22</v>
      </c>
      <c r="D11642" s="2" t="s">
        <f>=HYPERLINK("https://main.knesset.gov.il/APPS/legislation/main/bills/2156096", "הצעת חוק הגנה על ישראלים מפני מוסדות בין-לאומיים עוינים, התשפ""א-2021")</f>
        <v>21713</v>
      </c>
      <c r="E11642" t="s">
        <v>21713</v>
      </c>
      <c r="F11642" t="s">
        <v>22372</v>
      </c>
      <c r="G11642" t="s">
        <v>14</v>
      </c>
      <c r="H11642">
             </c>
      <c r="I11642" t="s">
        <v>14</v>
      </c>
      <c r="J11642" t="s">
        <v>141</v>
      </c>
      <c r="K11642" t="s">
        <v>14</v>
      </c>
      <c r="L11642" t="s">
        <v>20</v>
      </c>
      <c r="M11642" t="s">
        <v>21815</v>
      </c>
      <c r="N11642" t="s">
        <v>14</v>
      </c>
    </row>
    <row r="11643" x14ac:dyDescent="0.25">
      <c r="A11643" t="n">
        <v>24</v>
      </c>
      <c r="B11643" t="s">
        <v>14</v>
      </c>
      <c r="C11643" t="s">
        <v>22</v>
      </c>
      <c r="D11643" s="2" t="s">
        <f>=HYPERLINK("https://main.knesset.gov.il/APPS/legislation/main/bills/2156085", "הצעת חוק זכויות הסטודנט (תיקון - ביטול ארגון סטודנטים יציג), התשפ""א-2021")</f>
        <v>22055</v>
      </c>
      <c r="E11643" t="s">
        <v>22055</v>
      </c>
      <c r="F11643" t="s">
        <v>22373</v>
      </c>
      <c r="G11643" t="s">
        <v>14</v>
      </c>
      <c r="H11643">
             </c>
      <c r="I11643" t="s">
        <v>14</v>
      </c>
      <c r="J11643" t="s">
        <v>141</v>
      </c>
      <c r="K11643" t="s">
        <v>14</v>
      </c>
      <c r="L11643" t="s">
        <v>20</v>
      </c>
      <c r="M11643" t="s">
        <v>21815</v>
      </c>
      <c r="N11643" t="s">
        <v>14</v>
      </c>
    </row>
    <row r="11644" x14ac:dyDescent="0.25">
      <c r="A11644" t="n">
        <v>24</v>
      </c>
      <c r="B11644" t="s">
        <v>14</v>
      </c>
      <c r="C11644" t="s">
        <v>22</v>
      </c>
      <c r="D11644" s="2" t="s">
        <f>=HYPERLINK("https://main.knesset.gov.il/APPS/legislation/main/bills/2156056", "הצעת חוק הסכמים לנשיאת עוברים (אישור הסכם ומעמד היילוד) (תיקון - הרחבת הזכאות להליכי נשיאת עוברים), התשפ""א-2021")</f>
        <v>19173</v>
      </c>
      <c r="E11644" t="s">
        <v>19173</v>
      </c>
      <c r="F11644" t="s">
        <v>22374</v>
      </c>
      <c r="G11644" t="s">
        <v>14</v>
      </c>
      <c r="H11644">
             </c>
      <c r="I11644" t="s">
        <v>14</v>
      </c>
      <c r="J11644" t="s">
        <v>141</v>
      </c>
      <c r="K11644" t="s">
        <v>14</v>
      </c>
      <c r="L11644" t="s">
        <v>20</v>
      </c>
      <c r="M11644" t="s">
        <v>21815</v>
      </c>
      <c r="N11644" t="s">
        <v>14</v>
      </c>
    </row>
    <row r="11645" x14ac:dyDescent="0.25">
      <c r="A11645" t="n">
        <v>24</v>
      </c>
      <c r="B11645" t="s">
        <v>14</v>
      </c>
      <c r="C11645" t="s">
        <v>22</v>
      </c>
      <c r="D11645" s="2" t="s">
        <f>=HYPERLINK("https://main.knesset.gov.il/APPS/legislation/main/bills/2156054", "הצעת חוק לתיקון דיני הרשויות המקומיות (ביטול סמכות שר הפנים לעניין חוקי עזר בדבר פתיחתם וסגירתם של עסקים בימי מנוחה), התשפ""א-2021")</f>
        <v>21813</v>
      </c>
      <c r="E11645" t="s">
        <v>21813</v>
      </c>
      <c r="F11645" t="s">
        <v>22375</v>
      </c>
      <c r="G11645" t="s">
        <v>14</v>
      </c>
      <c r="H11645">
             </c>
      <c r="I11645" t="s">
        <v>14</v>
      </c>
      <c r="J11645" t="s">
        <v>141</v>
      </c>
      <c r="K11645" t="s">
        <v>14</v>
      </c>
      <c r="L11645" t="s">
        <v>20</v>
      </c>
      <c r="M11645" t="s">
        <v>21815</v>
      </c>
      <c r="N11645" t="s">
        <v>14</v>
      </c>
    </row>
    <row r="11646" x14ac:dyDescent="0.25">
      <c r="A11646" t="n">
        <v>23</v>
      </c>
      <c r="B11646" t="s">
        <v>14</v>
      </c>
      <c r="C11646" t="s">
        <v>15</v>
      </c>
      <c r="D11646" s="2" t="s">
        <f>=HYPERLINK("https://main.knesset.gov.il/APPS/legislation/main/bills/2155604", "חוק אנשי צבא דרום לבנון ומשפחותיהם (תיקון), התשפ""א-2021")</f>
        <v>22376</v>
      </c>
      <c r="E11646" t="s">
        <v>22376</v>
      </c>
      <c r="F11646" t="s">
        <v>14</v>
      </c>
      <c r="G11646" t="s">
        <v>22377</v>
      </c>
      <c r="H11646" t="n">
        <v>2907</v>
      </c>
      <c r="I11646" t="s">
        <v>14</v>
      </c>
      <c r="J11646" t="s">
        <v>91</v>
      </c>
      <c r="K11646" t="s">
        <v>85</v>
      </c>
      <c r="L11646" t="s">
        <v>20</v>
      </c>
      <c r="M11646" t="s">
        <v>22378</v>
      </c>
      <c r="N11646" t="s">
        <v>22379</v>
      </c>
    </row>
    <row r="11647" x14ac:dyDescent="0.25">
      <c r="A11647" t="n">
        <v>23</v>
      </c>
      <c r="B11647" t="s">
        <v>14</v>
      </c>
      <c r="C11647" t="s">
        <v>15</v>
      </c>
      <c r="D11647" s="2" t="s">
        <f>=HYPERLINK("https://main.knesset.gov.il/APPS/legislation/main/bills/2155641", "חוק סמכויות מיוחדות להתמודדות עם נגיף הקורונה החדש (הוראת שעה) (תיקון מס' 7), התשפ""א-2021 ")</f>
        <v>22380</v>
      </c>
      <c r="E11647" t="s">
        <v>22380</v>
      </c>
      <c r="F11647" t="s">
        <v>14</v>
      </c>
      <c r="G11647" t="s">
        <v>22381</v>
      </c>
      <c r="H11647" t="n">
        <v>2908</v>
      </c>
      <c r="I11647" t="s">
        <v>14</v>
      </c>
      <c r="J11647" t="s">
        <v>91</v>
      </c>
      <c r="K11647" t="s">
        <v>27</v>
      </c>
      <c r="L11647" t="s">
        <v>20</v>
      </c>
      <c r="M11647" t="s">
        <v>22378</v>
      </c>
      <c r="N11647" t="s">
        <v>22382</v>
      </c>
    </row>
    <row r="11648" x14ac:dyDescent="0.25">
      <c r="A11648" t="n">
        <v>23</v>
      </c>
      <c r="B11648" t="s">
        <v>14</v>
      </c>
      <c r="C11648" t="s">
        <v>15</v>
      </c>
      <c r="D11648" s="2" t="s">
        <f>=HYPERLINK("https://main.knesset.gov.il/APPS/legislation/main/bills/2155640", "חוק הביטוח הלאומי (תיקון מס' 224 והוראת שעה), התשפ""א-2021")</f>
        <v>22383</v>
      </c>
      <c r="E11648" t="s">
        <v>22383</v>
      </c>
      <c r="F11648" t="s">
        <v>14</v>
      </c>
      <c r="G11648" t="s">
        <v>22384</v>
      </c>
      <c r="H11648" t="n">
        <v>2906</v>
      </c>
      <c r="I11648" t="s">
        <v>14</v>
      </c>
      <c r="J11648" t="s">
        <v>91</v>
      </c>
      <c r="K11648" t="s">
        <v>15147</v>
      </c>
      <c r="L11648" t="s">
        <v>20</v>
      </c>
      <c r="M11648" t="s">
        <v>22385</v>
      </c>
      <c r="N11648" t="s">
        <v>22386</v>
      </c>
    </row>
    <row r="11649" x14ac:dyDescent="0.25">
      <c r="A11649" t="n">
        <v>23</v>
      </c>
      <c r="B11649" t="s">
        <v>14</v>
      </c>
      <c r="C11649" t="s">
        <v>15</v>
      </c>
      <c r="D11649" s="2" t="s">
        <f>=HYPERLINK("https://main.knesset.gov.il/APPS/legislation/main/bills/2155584", "חוק הביטוח הלאומי (תיקון מס' 218 - הוראת שעה) (מענק חד-פעמי חלף הגדלת קצבאות הנכות לשנת 2020) (תיקון), התשפ""א-2021")</f>
        <v>22387</v>
      </c>
      <c r="E11649" t="s">
        <v>22387</v>
      </c>
      <c r="F11649" t="s">
        <v>14</v>
      </c>
      <c r="G11649" t="s">
        <v>22388</v>
      </c>
      <c r="H11649" t="n">
        <v>2905</v>
      </c>
      <c r="I11649" t="s">
        <v>14</v>
      </c>
      <c r="J11649" t="s">
        <v>91</v>
      </c>
      <c r="K11649" t="s">
        <v>15147</v>
      </c>
      <c r="L11649" t="s">
        <v>20</v>
      </c>
      <c r="M11649" t="s">
        <v>22389</v>
      </c>
      <c r="N11649" t="s">
        <v>22390</v>
      </c>
    </row>
    <row r="11650" x14ac:dyDescent="0.25">
      <c r="A11650" t="n">
        <v>23</v>
      </c>
      <c r="B11650" t="s">
        <v>14</v>
      </c>
      <c r="C11650" t="s">
        <v>15</v>
      </c>
      <c r="D11650" s="2" t="s">
        <f>=HYPERLINK("https://main.knesset.gov.il/APPS/legislation/main/bills/2155595", "הצעת חוק העונשין (תיקון מס' 140 והוראת שעה) (החמרת הענישה בעבירות אלימות נגד קטין או חסר ישע), התשפ""א-2021")</f>
        <v>22391</v>
      </c>
      <c r="E11650" t="s">
        <v>22391</v>
      </c>
      <c r="F11650" t="s">
        <v>14</v>
      </c>
      <c r="G11650" t="s">
        <v>22392</v>
      </c>
      <c r="H11650">
             </c>
      <c r="I11650" t="s">
        <v>14</v>
      </c>
      <c r="J11650" t="s">
        <v>69</v>
      </c>
      <c r="K11650" t="s">
        <v>14</v>
      </c>
      <c r="L11650" t="s">
        <v>20</v>
      </c>
      <c r="M11650" t="s">
        <v>22389</v>
      </c>
      <c r="N11650" t="s">
        <v>14</v>
      </c>
    </row>
    <row r="11651" x14ac:dyDescent="0.25">
      <c r="A11651" t="n">
        <v>23</v>
      </c>
      <c r="B11651" t="s">
        <v>14</v>
      </c>
      <c r="C11651" t="s">
        <v>15</v>
      </c>
      <c r="D11651" s="2" t="s">
        <f>=HYPERLINK("https://main.knesset.gov.il/APPS/legislation/main/bills/2155596", "הצעת חוק התקשורת (בזק ושידורים) (תיקון מס' 75) (שינוי מתכונת האסדרה בתחום הבזק), התשפ""א-2021")</f>
        <v>22393</v>
      </c>
      <c r="E11651" t="s">
        <v>22393</v>
      </c>
      <c r="F11651" t="s">
        <v>14</v>
      </c>
      <c r="G11651" t="s">
        <v>22394</v>
      </c>
      <c r="H11651">
             </c>
      <c r="I11651" t="s">
        <v>14</v>
      </c>
      <c r="J11651" t="s">
        <v>69</v>
      </c>
      <c r="K11651" t="s">
        <v>14</v>
      </c>
      <c r="L11651" t="s">
        <v>20</v>
      </c>
      <c r="M11651" t="s">
        <v>22389</v>
      </c>
      <c r="N11651" t="s">
        <v>14</v>
      </c>
    </row>
    <row r="11652" x14ac:dyDescent="0.25">
      <c r="A11652" t="n">
        <v>23</v>
      </c>
      <c r="B11652" t="s">
        <v>14</v>
      </c>
      <c r="C11652" t="s">
        <v>15</v>
      </c>
      <c r="D11652" s="2" t="s">
        <f>=HYPERLINK("https://main.knesset.gov.il/APPS/legislation/main/bills/2152002", "חוק חדלות פירעון ושיקום כלכלי (תיקון מס' 4 – הוראת שעה – נגיף הקורונה החדש), התשפ""א-2021 ")</f>
        <v>22395</v>
      </c>
      <c r="E11652" t="s">
        <v>22395</v>
      </c>
      <c r="F11652" t="s">
        <v>14</v>
      </c>
      <c r="G11652" t="s">
        <v>22396</v>
      </c>
      <c r="H11652" t="n">
        <v>2904</v>
      </c>
      <c r="I11652" t="s">
        <v>14</v>
      </c>
      <c r="J11652" t="s">
        <v>91</v>
      </c>
      <c r="K11652" t="s">
        <v>27</v>
      </c>
      <c r="L11652" t="s">
        <v>20</v>
      </c>
      <c r="M11652" t="s">
        <v>22397</v>
      </c>
      <c r="N11652" t="s">
        <v>22398</v>
      </c>
    </row>
    <row r="11653" x14ac:dyDescent="0.25">
      <c r="A11653" t="n">
        <v>23</v>
      </c>
      <c r="B11653" t="s">
        <v>14</v>
      </c>
      <c r="C11653" t="s">
        <v>15</v>
      </c>
      <c r="D11653" s="2" t="s">
        <f>=HYPERLINK("https://main.knesset.gov.il/APPS/legislation/main/bills/2155506", "חוק לתיקון פקודת בריאות העם (מס' 36 – הוראת שעה – נגיף הקורונה החדש), התשפ""א–2021")</f>
        <v>22399</v>
      </c>
      <c r="E11653" t="s">
        <v>22399</v>
      </c>
      <c r="F11653" t="s">
        <v>14</v>
      </c>
      <c r="G11653" t="s">
        <v>22400</v>
      </c>
      <c r="H11653" t="n">
        <v>2903</v>
      </c>
      <c r="I11653" t="s">
        <v>14</v>
      </c>
      <c r="J11653" t="s">
        <v>91</v>
      </c>
      <c r="K11653" t="s">
        <v>15147</v>
      </c>
      <c r="L11653" t="s">
        <v>20</v>
      </c>
      <c r="M11653" t="s">
        <v>22401</v>
      </c>
      <c r="N11653" t="s">
        <v>22402</v>
      </c>
    </row>
    <row r="11654" x14ac:dyDescent="0.25">
      <c r="A11654" t="n">
        <v>23</v>
      </c>
      <c r="B11654" t="s">
        <v>14</v>
      </c>
      <c r="C11654" t="s">
        <v>15</v>
      </c>
      <c r="D11654" s="2" t="s">
        <f>=HYPERLINK("https://main.knesset.gov.il/APPS/legislation/main/bills/2151996", "חוק סליקת שיקים ושיקים ללא כיסוי (תיקוני חקיקה), התשפ""א-2021")</f>
        <v>22403</v>
      </c>
      <c r="E11654" t="s">
        <v>22403</v>
      </c>
      <c r="F11654" t="s">
        <v>14</v>
      </c>
      <c r="G11654" t="s">
        <v>22404</v>
      </c>
      <c r="H11654" t="n">
        <v>2902</v>
      </c>
      <c r="I11654" t="s">
        <v>14</v>
      </c>
      <c r="J11654" t="s">
        <v>91</v>
      </c>
      <c r="K11654" t="s">
        <v>19</v>
      </c>
      <c r="L11654" t="s">
        <v>20</v>
      </c>
      <c r="M11654" t="s">
        <v>22405</v>
      </c>
      <c r="N11654" t="s">
        <v>22406</v>
      </c>
    </row>
    <row r="11655" x14ac:dyDescent="0.25">
      <c r="A11655" t="n">
        <v>23</v>
      </c>
      <c r="B11655" t="s">
        <v>14</v>
      </c>
      <c r="C11655" t="s">
        <v>15</v>
      </c>
      <c r="D11655" s="2" t="s">
        <f>=HYPERLINK("https://main.knesset.gov.il/APPS/legislation/main/bills/2155338", "חוק סמכויות מיוחדות להתמודדות עם נגיף הקורונה החדש (הוראת שעה) (תיקון מס' 6), התשפ""א-2021 ")</f>
        <v>22407</v>
      </c>
      <c r="E11655" t="s">
        <v>22407</v>
      </c>
      <c r="F11655" t="s">
        <v>14</v>
      </c>
      <c r="G11655" t="s">
        <v>22408</v>
      </c>
      <c r="H11655" t="n">
        <v>2901</v>
      </c>
      <c r="I11655" t="s">
        <v>14</v>
      </c>
      <c r="J11655" t="s">
        <v>91</v>
      </c>
      <c r="K11655" t="s">
        <v>27</v>
      </c>
      <c r="L11655" t="s">
        <v>20</v>
      </c>
      <c r="M11655" t="s">
        <v>22409</v>
      </c>
      <c r="N11655" t="s">
        <v>22410</v>
      </c>
    </row>
    <row r="11656" x14ac:dyDescent="0.25">
      <c r="A11656" t="n">
        <v>23</v>
      </c>
      <c r="B11656" t="s">
        <v>14</v>
      </c>
      <c r="C11656" t="s">
        <v>15</v>
      </c>
      <c r="D11656" s="2" t="s">
        <f>=HYPERLINK("https://main.knesset.gov.il/APPS/legislation/main/bills/2148343", "חוק סמכויות מיוחדות להתמודדות עם נגיף הקורונה החדש (הוראת שעה) (תיקון מס' 5), התשפ""א-2021")</f>
        <v>22411</v>
      </c>
      <c r="E11656" t="s">
        <v>22411</v>
      </c>
      <c r="F11656" t="s">
        <v>14</v>
      </c>
      <c r="G11656" t="s">
        <v>22412</v>
      </c>
      <c r="H11656" t="n">
        <v>2900</v>
      </c>
      <c r="I11656" t="s">
        <v>14</v>
      </c>
      <c r="J11656" t="s">
        <v>91</v>
      </c>
      <c r="K11656" t="s">
        <v>27</v>
      </c>
      <c r="L11656" t="s">
        <v>20</v>
      </c>
      <c r="M11656" t="s">
        <v>22413</v>
      </c>
      <c r="N11656" t="s">
        <v>22414</v>
      </c>
    </row>
    <row r="11657" x14ac:dyDescent="0.25">
      <c r="A11657" t="n">
        <v>23</v>
      </c>
      <c r="B11657" t="s">
        <v>14</v>
      </c>
      <c r="C11657" t="s">
        <v>15</v>
      </c>
      <c r="D11657" s="2" t="s">
        <f>=HYPERLINK("https://main.knesset.gov.il/APPS/legislation/main/bills/2152003", "הצעת חוק המידע הפלילי ותקנת השבים (תיקון והוראת שעה), התשפ""א-2020 - החלק הנותר")</f>
        <v>22415</v>
      </c>
      <c r="E11657" t="s">
        <v>22415</v>
      </c>
      <c r="F11657" t="s">
        <v>14</v>
      </c>
      <c r="G11657" t="s">
        <v>22416</v>
      </c>
      <c r="H11657">
             </c>
      <c r="I11657" t="s">
        <v>14</v>
      </c>
      <c r="J11657" t="s">
        <v>18</v>
      </c>
      <c r="K11657" t="s">
        <v>27</v>
      </c>
      <c r="L11657" t="s">
        <v>20</v>
      </c>
      <c r="M11657" t="s">
        <v>22417</v>
      </c>
      <c r="N11657" t="s">
        <v>14</v>
      </c>
    </row>
    <row r="11658" x14ac:dyDescent="0.25">
      <c r="A11658" t="n">
        <v>23</v>
      </c>
      <c r="B11658" t="s">
        <v>14</v>
      </c>
      <c r="C11658" t="s">
        <v>15</v>
      </c>
      <c r="D11658" s="2" t="s">
        <f>=HYPERLINK("https://main.knesset.gov.il/APPS/legislation/main/bills/2151953", "חוק הביטוח הלאומי (תיקון מס' 223 - הוראת שעה), התשפ""א-2021")</f>
        <v>22418</v>
      </c>
      <c r="E11658" t="s">
        <v>22418</v>
      </c>
      <c r="F11658" t="s">
        <v>14</v>
      </c>
      <c r="G11658" t="s">
        <v>22419</v>
      </c>
      <c r="H11658" t="n">
        <v>2895</v>
      </c>
      <c r="I11658" t="s">
        <v>14</v>
      </c>
      <c r="J11658" t="s">
        <v>91</v>
      </c>
      <c r="K11658" t="s">
        <v>15147</v>
      </c>
      <c r="L11658" t="s">
        <v>20</v>
      </c>
      <c r="M11658" t="s">
        <v>22420</v>
      </c>
      <c r="N11658" t="s">
        <v>22421</v>
      </c>
    </row>
    <row r="11659" x14ac:dyDescent="0.25">
      <c r="A11659" t="n">
        <v>23</v>
      </c>
      <c r="B11659" t="s">
        <v>14</v>
      </c>
      <c r="C11659" t="s">
        <v>15</v>
      </c>
      <c r="D11659" s="2" t="s">
        <f>=HYPERLINK("https://main.knesset.gov.il/APPS/legislation/main/bills/2151923", "חוק התכנית לסיוע כלכלי (נגיף הקורונה החדש) (הוראת שעה) (תיקון מס' 4), התשפ""א-2021")</f>
        <v>22422</v>
      </c>
      <c r="E11659" t="s">
        <v>22422</v>
      </c>
      <c r="F11659" t="s">
        <v>14</v>
      </c>
      <c r="G11659" t="s">
        <v>22423</v>
      </c>
      <c r="H11659" t="n">
        <v>2896</v>
      </c>
      <c r="I11659" t="s">
        <v>14</v>
      </c>
      <c r="J11659" t="s">
        <v>91</v>
      </c>
      <c r="K11659" t="s">
        <v>85</v>
      </c>
      <c r="L11659" t="s">
        <v>20</v>
      </c>
      <c r="M11659" t="s">
        <v>22420</v>
      </c>
      <c r="N11659" t="s">
        <v>22424</v>
      </c>
    </row>
    <row r="11660" x14ac:dyDescent="0.25">
      <c r="A11660" t="n">
        <v>23</v>
      </c>
      <c r="B11660" t="s">
        <v>14</v>
      </c>
      <c r="C11660" t="s">
        <v>15</v>
      </c>
      <c r="D11660" s="2" t="s">
        <f>=HYPERLINK("https://main.knesset.gov.il/APPS/legislation/main/bills/2151843", "חוק המידע הפלילי ותקנת השבים (תיקון), התשפ""א–2021")</f>
        <v>22425</v>
      </c>
      <c r="E11660" t="s">
        <v>22425</v>
      </c>
      <c r="F11660" t="s">
        <v>14</v>
      </c>
      <c r="G11660" t="s">
        <v>22416</v>
      </c>
      <c r="H11660" t="n">
        <v>2899</v>
      </c>
      <c r="I11660" t="s">
        <v>14</v>
      </c>
      <c r="J11660" t="s">
        <v>91</v>
      </c>
      <c r="K11660" t="s">
        <v>27</v>
      </c>
      <c r="L11660" t="s">
        <v>20</v>
      </c>
      <c r="M11660" t="s">
        <v>22420</v>
      </c>
      <c r="N11660" t="s">
        <v>22426</v>
      </c>
    </row>
    <row r="11661" x14ac:dyDescent="0.25">
      <c r="A11661" t="n">
        <v>23</v>
      </c>
      <c r="B11661" t="s">
        <v>14</v>
      </c>
      <c r="C11661" t="s">
        <v>15</v>
      </c>
      <c r="D11661" s="2" t="s">
        <f>=HYPERLINK("https://main.knesset.gov.il/APPS/legislation/main/bills/2151922", "חוק התכנית להבראת כלכלת ישראל (תיקוני חקיקה להשגת יעדי התקציב והמדיניות הכלכלית לשנות הכספים 2003 ו-2004) (תיקון מס' 19 - הוראת שעה), התשפ""א-2021")</f>
        <v>22427</v>
      </c>
      <c r="E11661" t="s">
        <v>22427</v>
      </c>
      <c r="F11661" t="s">
        <v>14</v>
      </c>
      <c r="G11661" t="s">
        <v>22428</v>
      </c>
      <c r="H11661" t="n">
        <v>2898</v>
      </c>
      <c r="I11661" t="s">
        <v>14</v>
      </c>
      <c r="J11661" t="s">
        <v>91</v>
      </c>
      <c r="K11661" t="s">
        <v>85</v>
      </c>
      <c r="L11661" t="s">
        <v>20</v>
      </c>
      <c r="M11661" t="s">
        <v>22420</v>
      </c>
      <c r="N11661" t="s">
        <v>22429</v>
      </c>
    </row>
    <row r="11662" x14ac:dyDescent="0.25">
      <c r="A11662" t="n">
        <v>23</v>
      </c>
      <c r="B11662" t="s">
        <v>14</v>
      </c>
      <c r="C11662" t="s">
        <v>15</v>
      </c>
      <c r="D11662" s="2" t="s">
        <f>=HYPERLINK("https://main.knesset.gov.il/APPS/legislation/main/bills/2151842", "חוק הארכת תקופות (הוראת שעה - נגיף הקורונה החדש) (אישורים רגולטוריים) (תיקון), התשפ""א-2021")</f>
        <v>22430</v>
      </c>
      <c r="E11662" t="s">
        <v>22430</v>
      </c>
      <c r="F11662" t="s">
        <v>14</v>
      </c>
      <c r="G11662" t="s">
        <v>22431</v>
      </c>
      <c r="H11662" t="n">
        <v>2897</v>
      </c>
      <c r="I11662" t="s">
        <v>14</v>
      </c>
      <c r="J11662" t="s">
        <v>91</v>
      </c>
      <c r="K11662" t="s">
        <v>27</v>
      </c>
      <c r="L11662" t="s">
        <v>20</v>
      </c>
      <c r="M11662" t="s">
        <v>22420</v>
      </c>
      <c r="N11662" t="s">
        <v>22432</v>
      </c>
    </row>
    <row r="11663" x14ac:dyDescent="0.25">
      <c r="A11663" t="n">
        <v>23</v>
      </c>
      <c r="B11663" t="s">
        <v>14</v>
      </c>
      <c r="C11663" t="s">
        <v>22</v>
      </c>
      <c r="D11663" s="2" t="s">
        <f>=HYPERLINK("https://main.knesset.gov.il/APPS/legislation/main/bills/2146503", "הצעת חוק התכנית להבראת כלכלת ישראל (תיקוני חקיקה להשגת יעדי התקציב והמדיניות הכלכלית לשנות הכספים 2003 ו-2004) (תיקון מס' 18 והוראת שעה) (תיקון), התשפ""א-2020")</f>
        <v>22433</v>
      </c>
      <c r="E11663" t="s">
        <v>22433</v>
      </c>
      <c r="F11663" t="s">
        <v>22434</v>
      </c>
      <c r="G11663" t="s">
        <v>14</v>
      </c>
      <c r="H11663">
             </c>
      <c r="I11663" t="s">
        <v>14</v>
      </c>
      <c r="J11663" t="s">
        <v>99</v>
      </c>
      <c r="K11663" t="s">
        <v>85</v>
      </c>
      <c r="L11663" t="s">
        <v>20</v>
      </c>
      <c r="M11663" t="s">
        <v>22435</v>
      </c>
      <c r="N11663" t="s">
        <v>14</v>
      </c>
    </row>
    <row r="11664" x14ac:dyDescent="0.25">
      <c r="A11664" t="n">
        <v>23</v>
      </c>
      <c r="B11664" t="s">
        <v>14</v>
      </c>
      <c r="C11664" t="s">
        <v>15</v>
      </c>
      <c r="D11664" s="2" t="s">
        <f>=HYPERLINK("https://main.knesset.gov.il/APPS/legislation/main/bills/2149085", "חוק דחיית מועדים לביצוע בדיקות של מיתקני גז (נגיף הקורונה החדש) (הוראת שעה), התשפ""א-2021")</f>
        <v>22436</v>
      </c>
      <c r="E11664" t="s">
        <v>22436</v>
      </c>
      <c r="F11664" t="s">
        <v>14</v>
      </c>
      <c r="G11664" t="s">
        <v>22437</v>
      </c>
      <c r="H11664" t="n">
        <v>2893</v>
      </c>
      <c r="I11664" t="s">
        <v>14</v>
      </c>
      <c r="J11664" t="s">
        <v>91</v>
      </c>
      <c r="K11664" t="s">
        <v>19</v>
      </c>
      <c r="L11664" t="s">
        <v>20</v>
      </c>
      <c r="M11664" t="s">
        <v>22438</v>
      </c>
      <c r="N11664" t="s">
        <v>22439</v>
      </c>
    </row>
    <row r="11665" x14ac:dyDescent="0.25">
      <c r="A11665" t="n">
        <v>23</v>
      </c>
      <c r="B11665" t="s">
        <v>14</v>
      </c>
      <c r="C11665" t="s">
        <v>22</v>
      </c>
      <c r="D11665" s="2" t="s">
        <f>=HYPERLINK("https://main.knesset.gov.il/APPS/legislation/main/bills/2143400", "חוק הביטוח הלאומי (תיקון מס' 222), התשפ""א-2021")</f>
        <v>22440</v>
      </c>
      <c r="E11665" t="s">
        <v>22440</v>
      </c>
      <c r="F11665" t="s">
        <v>22441</v>
      </c>
      <c r="G11665" t="s">
        <v>22442</v>
      </c>
      <c r="H11665" t="n">
        <v>2894</v>
      </c>
      <c r="I11665" t="s">
        <v>14</v>
      </c>
      <c r="J11665" t="s">
        <v>91</v>
      </c>
      <c r="K11665" t="s">
        <v>15147</v>
      </c>
      <c r="L11665" t="s">
        <v>20</v>
      </c>
      <c r="M11665" t="s">
        <v>22438</v>
      </c>
      <c r="N11665" t="s">
        <v>22443</v>
      </c>
    </row>
    <row r="11666" x14ac:dyDescent="0.25">
      <c r="A11666" t="n">
        <v>23</v>
      </c>
      <c r="B11666" t="s">
        <v>14</v>
      </c>
      <c r="C11666" t="s">
        <v>15</v>
      </c>
      <c r="D11666" s="2" t="s">
        <f>=HYPERLINK("https://main.knesset.gov.il/APPS/legislation/main/bills/2151573", "חוק יסודות התקציב (תיקון מס' 53), התשפ""א–2020")</f>
        <v>22444</v>
      </c>
      <c r="E11666" t="s">
        <v>22444</v>
      </c>
      <c r="F11666" t="s">
        <v>14</v>
      </c>
      <c r="G11666" t="s">
        <v>22445</v>
      </c>
      <c r="H11666" t="n">
        <v>2890</v>
      </c>
      <c r="I11666" t="s">
        <v>14</v>
      </c>
      <c r="J11666" t="s">
        <v>91</v>
      </c>
      <c r="K11666" t="s">
        <v>85</v>
      </c>
      <c r="L11666" t="s">
        <v>20</v>
      </c>
      <c r="M11666" t="s">
        <v>22446</v>
      </c>
      <c r="N11666" t="s">
        <v>22447</v>
      </c>
    </row>
    <row r="11667" x14ac:dyDescent="0.25">
      <c r="A11667" t="n">
        <v>23</v>
      </c>
      <c r="B11667" t="s">
        <v>14</v>
      </c>
      <c r="C11667" t="s">
        <v>15</v>
      </c>
      <c r="D11667" s="2" t="s">
        <f>=HYPERLINK("https://main.knesset.gov.il/APPS/legislation/main/bills/2151572", "חוק-יסוד: משק המדינה (תיקון מס' 11 והוראת שעה לשנת 2021)")</f>
        <v>22448</v>
      </c>
      <c r="E11667" t="s">
        <v>22448</v>
      </c>
      <c r="F11667" t="s">
        <v>14</v>
      </c>
      <c r="G11667" t="s">
        <v>22449</v>
      </c>
      <c r="H11667" t="n">
        <v>2889</v>
      </c>
      <c r="I11667" t="s">
        <v>14</v>
      </c>
      <c r="J11667" t="s">
        <v>91</v>
      </c>
      <c r="K11667" t="s">
        <v>85</v>
      </c>
      <c r="L11667" t="s">
        <v>20</v>
      </c>
      <c r="M11667" t="s">
        <v>22446</v>
      </c>
      <c r="N11667" t="s">
        <v>22450</v>
      </c>
    </row>
    <row r="11668" x14ac:dyDescent="0.25">
      <c r="A11668" t="n">
        <v>23</v>
      </c>
      <c r="B11668" t="s">
        <v>14</v>
      </c>
      <c r="C11668" t="s">
        <v>22</v>
      </c>
      <c r="D11668" s="2" t="s">
        <f>=HYPERLINK("https://main.knesset.gov.il/APPS/legislation/main/bills/2088300", "חוק לדחיית מועדי תשלומי מסים והוראות לעניין מענקים בשל נגיף הקורונה החדש (תיקוני חקיקה), התשפ""א-2020")</f>
        <v>22451</v>
      </c>
      <c r="E11668" t="s">
        <v>22451</v>
      </c>
      <c r="F11668" t="s">
        <v>22452</v>
      </c>
      <c r="G11668" t="s">
        <v>22453</v>
      </c>
      <c r="H11668" t="n">
        <v>2892</v>
      </c>
      <c r="I11668" t="s">
        <v>14</v>
      </c>
      <c r="J11668" t="s">
        <v>91</v>
      </c>
      <c r="K11668" t="s">
        <v>85</v>
      </c>
      <c r="L11668" t="s">
        <v>20</v>
      </c>
      <c r="M11668" t="s">
        <v>22446</v>
      </c>
      <c r="N11668" t="s">
        <v>22454</v>
      </c>
    </row>
    <row r="11669" x14ac:dyDescent="0.25">
      <c r="A11669" t="n">
        <v>23</v>
      </c>
      <c r="B11669" t="s">
        <v>14</v>
      </c>
      <c r="C11669" t="s">
        <v>15</v>
      </c>
      <c r="D11669" s="2" t="s">
        <f>=HYPERLINK("https://main.knesset.gov.il/APPS/legislation/main/bills/2151574", "חוק השכר הממוצע (הוראת שעה - נגיף הקורונה החדש), התשפ""א-2020")</f>
        <v>22455</v>
      </c>
      <c r="E11669" t="s">
        <v>22455</v>
      </c>
      <c r="F11669" t="s">
        <v>14</v>
      </c>
      <c r="G11669" t="s">
        <v>22456</v>
      </c>
      <c r="H11669" t="n">
        <v>2891</v>
      </c>
      <c r="I11669" t="s">
        <v>14</v>
      </c>
      <c r="J11669" t="s">
        <v>91</v>
      </c>
      <c r="K11669" t="s">
        <v>85</v>
      </c>
      <c r="L11669" t="s">
        <v>20</v>
      </c>
      <c r="M11669" t="s">
        <v>22446</v>
      </c>
      <c r="N11669" t="s">
        <v>14</v>
      </c>
    </row>
    <row r="11670" x14ac:dyDescent="0.25">
      <c r="A11670" t="n">
        <v>23</v>
      </c>
      <c r="B11670" t="s">
        <v>14</v>
      </c>
      <c r="C11670" t="s">
        <v>20</v>
      </c>
      <c r="D11670" s="2" t="s">
        <f>=HYPERLINK("https://main.knesset.gov.il/APPS/legislation/main/bills/2150934", "חוק הבחירות לכנסת העשרים וארבע (הוראות מיוחדות ותיקוני חקיקה), התשפ""א-2020")</f>
        <v>22457</v>
      </c>
      <c r="E11670" t="s">
        <v>22457</v>
      </c>
      <c r="F11670" t="s">
        <v>14</v>
      </c>
      <c r="G11670" t="s">
        <v>22458</v>
      </c>
      <c r="H11670" t="n">
        <v>2881</v>
      </c>
      <c r="I11670" t="s">
        <v>14</v>
      </c>
      <c r="J11670" t="s">
        <v>91</v>
      </c>
      <c r="K11670" t="s">
        <v>27</v>
      </c>
      <c r="L11670" t="s">
        <v>20</v>
      </c>
      <c r="M11670" t="s">
        <v>22459</v>
      </c>
      <c r="N11670" t="s">
        <v>22460</v>
      </c>
    </row>
    <row r="11671" x14ac:dyDescent="0.25">
      <c r="A11671" t="n">
        <v>23</v>
      </c>
      <c r="B11671" t="s">
        <v>14</v>
      </c>
      <c r="C11671" t="s">
        <v>15</v>
      </c>
      <c r="D11671" s="2" t="s">
        <f>=HYPERLINK("https://main.knesset.gov.il/APPS/legislation/main/bills/2150293", "חוק המקרקעין (תיקון מס' 34), התשפ""א-2020 ")</f>
        <v>22461</v>
      </c>
      <c r="E11671" t="s">
        <v>22461</v>
      </c>
      <c r="F11671" t="s">
        <v>14</v>
      </c>
      <c r="G11671" t="s">
        <v>22462</v>
      </c>
      <c r="H11671" t="n">
        <v>2888</v>
      </c>
      <c r="I11671" t="s">
        <v>14</v>
      </c>
      <c r="J11671" t="s">
        <v>91</v>
      </c>
      <c r="K11671" t="s">
        <v>14</v>
      </c>
      <c r="L11671" t="s">
        <v>20</v>
      </c>
      <c r="M11671" t="s">
        <v>22459</v>
      </c>
      <c r="N11671" t="s">
        <v>22463</v>
      </c>
    </row>
    <row r="11672" x14ac:dyDescent="0.25">
      <c r="A11672" t="n">
        <v>23</v>
      </c>
      <c r="B11672" t="s">
        <v>14</v>
      </c>
      <c r="C11672" t="s">
        <v>22</v>
      </c>
      <c r="D11672" s="2" t="s">
        <f>=HYPERLINK("https://main.knesset.gov.il/APPS/legislation/main/bills/2143784", "חוק החזר מקדמה בשל ביטול אירוע (נגיף הקורונה החדש), התשפ""א–2020")</f>
        <v>22464</v>
      </c>
      <c r="E11672" t="s">
        <v>22464</v>
      </c>
      <c r="F11672" t="s">
        <v>22465</v>
      </c>
      <c r="G11672" t="s">
        <v>22466</v>
      </c>
      <c r="H11672" t="n">
        <v>2887</v>
      </c>
      <c r="I11672" t="s">
        <v>14</v>
      </c>
      <c r="J11672" t="s">
        <v>91</v>
      </c>
      <c r="K11672" t="s">
        <v>19</v>
      </c>
      <c r="L11672" t="s">
        <v>20</v>
      </c>
      <c r="M11672" t="s">
        <v>22459</v>
      </c>
      <c r="N11672" t="s">
        <v>22467</v>
      </c>
    </row>
    <row r="11673" x14ac:dyDescent="0.25">
      <c r="A11673" t="n">
        <v>23</v>
      </c>
      <c r="B11673" t="s">
        <v>14</v>
      </c>
      <c r="C11673" t="s">
        <v>22</v>
      </c>
      <c r="D11673" s="2" t="s">
        <f>=HYPERLINK("https://main.knesset.gov.il/APPS/legislation/main/bills/2088304", "הצעת חוק להרחבת הייצוג ההולם של בני האוכלוסייה החרדית בתאגידים ציבוריים וברשויות מקומיות (תיקוני חקיקה), התשפ""א–2020")</f>
        <v>22468</v>
      </c>
      <c r="E11673" t="s">
        <v>22468</v>
      </c>
      <c r="F11673" t="s">
        <v>22469</v>
      </c>
      <c r="G11673" t="s">
        <v>22470</v>
      </c>
      <c r="H11673">
             </c>
      <c r="I11673" t="s">
        <v>14</v>
      </c>
      <c r="J11673" t="s">
        <v>14517</v>
      </c>
      <c r="K11673" t="s">
        <v>14</v>
      </c>
      <c r="L11673" t="s">
        <v>20</v>
      </c>
      <c r="M11673" t="s">
        <v>22459</v>
      </c>
      <c r="N11673" t="s">
        <v>14</v>
      </c>
    </row>
    <row r="11674" x14ac:dyDescent="0.25">
      <c r="A11674" t="n">
        <v>23</v>
      </c>
      <c r="B11674" t="s">
        <v>14</v>
      </c>
      <c r="C11674" t="s">
        <v>20</v>
      </c>
      <c r="D11674" s="2" t="s">
        <f>=HYPERLINK("https://main.knesset.gov.il/APPS/legislation/main/bills/2151453", "הצעת חוק-יסוד: הכנסת (תיקון מס' 51 - הוראת שעה) (התפזרות בשל אי-קבלת חוק תקציב והמועד להגשתו לכנסת)")</f>
        <v>22471</v>
      </c>
      <c r="E11674" t="s">
        <v>22471</v>
      </c>
      <c r="F11674" t="s">
        <v>14</v>
      </c>
      <c r="G11674" t="s">
        <v>22472</v>
      </c>
      <c r="H11674">
             </c>
      <c r="I11674" t="s">
        <v>14</v>
      </c>
      <c r="J11674" t="s">
        <v>5516</v>
      </c>
      <c r="K11674" t="s">
        <v>121</v>
      </c>
      <c r="L11674" t="s">
        <v>20</v>
      </c>
      <c r="M11674" t="s">
        <v>22473</v>
      </c>
      <c r="N11674" t="s">
        <v>14</v>
      </c>
    </row>
    <row r="11675" x14ac:dyDescent="0.25">
      <c r="A11675" t="n">
        <v>23</v>
      </c>
      <c r="B11675" t="s">
        <v>14</v>
      </c>
      <c r="C11675" t="s">
        <v>22</v>
      </c>
      <c r="D11675" s="2" t="s">
        <f>=HYPERLINK("https://main.knesset.gov.il/APPS/legislation/main/bills/2140383", "הצעת חוק לימוד חובה (תיקון - חינוך חינם לגיל הרך), התש""ף-2020")</f>
        <v>22474</v>
      </c>
      <c r="E11675" t="s">
        <v>22474</v>
      </c>
      <c r="F11675" t="s">
        <v>22475</v>
      </c>
      <c r="G11675" t="s">
        <v>14</v>
      </c>
      <c r="H11675">
             </c>
      <c r="I11675" t="s">
        <v>14</v>
      </c>
      <c r="J11675" t="s">
        <v>31</v>
      </c>
      <c r="K11675" t="s">
        <v>34</v>
      </c>
      <c r="L11675" t="s">
        <v>20</v>
      </c>
      <c r="M11675" t="s">
        <v>22473</v>
      </c>
      <c r="N11675" t="s">
        <v>14</v>
      </c>
    </row>
    <row r="11676" x14ac:dyDescent="0.25">
      <c r="A11676" t="n">
        <v>23</v>
      </c>
      <c r="B11676" t="s">
        <v>14</v>
      </c>
      <c r="C11676" t="s">
        <v>22</v>
      </c>
      <c r="D11676" s="2" t="s">
        <f>=HYPERLINK("https://main.knesset.gov.il/APPS/legislation/main/bills/2086557", "הצעת חוק לימוד חובה (תיקון - חינוך חינם לפעוטות ולילדים), התש""ף-2020")</f>
        <v>22476</v>
      </c>
      <c r="E11676" t="s">
        <v>22476</v>
      </c>
      <c r="F11676" t="s">
        <v>22477</v>
      </c>
      <c r="G11676" t="s">
        <v>14</v>
      </c>
      <c r="H11676">
             </c>
      <c r="I11676" t="s">
        <v>14</v>
      </c>
      <c r="J11676" t="s">
        <v>31</v>
      </c>
      <c r="K11676" t="s">
        <v>34</v>
      </c>
      <c r="L11676" t="s">
        <v>20</v>
      </c>
      <c r="M11676" t="s">
        <v>22473</v>
      </c>
      <c r="N11676" t="s">
        <v>14</v>
      </c>
    </row>
    <row r="11677" x14ac:dyDescent="0.25">
      <c r="A11677" t="n">
        <v>23</v>
      </c>
      <c r="B11677" t="s">
        <v>14</v>
      </c>
      <c r="C11677" t="s">
        <v>22</v>
      </c>
      <c r="D11677" s="2" t="s">
        <f>=HYPERLINK("https://main.knesset.gov.il/APPS/legislation/main/bills/2085980", "הצעת חוק לימוד חובה (תיקון - חינוך חינם לפעוטות ולילדים), התש""ף-2020")</f>
        <v>22476</v>
      </c>
      <c r="E11677" t="s">
        <v>22476</v>
      </c>
      <c r="F11677" t="s">
        <v>22478</v>
      </c>
      <c r="G11677" t="s">
        <v>14</v>
      </c>
      <c r="H11677">
             </c>
      <c r="I11677" t="s">
        <v>14</v>
      </c>
      <c r="J11677" t="s">
        <v>31</v>
      </c>
      <c r="K11677" t="s">
        <v>34</v>
      </c>
      <c r="L11677" t="s">
        <v>20</v>
      </c>
      <c r="M11677" t="s">
        <v>22473</v>
      </c>
      <c r="N11677" t="s">
        <v>14</v>
      </c>
    </row>
    <row r="11678" x14ac:dyDescent="0.25">
      <c r="A11678" t="n">
        <v>23</v>
      </c>
      <c r="B11678" t="s">
        <v>14</v>
      </c>
      <c r="C11678" t="s">
        <v>22</v>
      </c>
      <c r="D11678" s="2" t="s">
        <f>=HYPERLINK("https://main.knesset.gov.il/APPS/legislation/main/bills/2139622", "חוק עבודת נשים (תיקון מס' 62), התשפ""א-2020")</f>
        <v>22479</v>
      </c>
      <c r="E11678" t="s">
        <v>22479</v>
      </c>
      <c r="F11678" t="s">
        <v>22480</v>
      </c>
      <c r="G11678" t="s">
        <v>22481</v>
      </c>
      <c r="H11678" t="n">
        <v>2886</v>
      </c>
      <c r="I11678" t="s">
        <v>14</v>
      </c>
      <c r="J11678" t="s">
        <v>91</v>
      </c>
      <c r="K11678" t="s">
        <v>5735</v>
      </c>
      <c r="L11678" t="s">
        <v>20</v>
      </c>
      <c r="M11678" t="s">
        <v>22473</v>
      </c>
      <c r="N11678" t="s">
        <v>14</v>
      </c>
    </row>
    <row r="11679" x14ac:dyDescent="0.25">
      <c r="A11679" t="n">
        <v>23</v>
      </c>
      <c r="B11679" t="s">
        <v>14</v>
      </c>
      <c r="C11679" t="s">
        <v>15</v>
      </c>
      <c r="D11679" s="2" t="s">
        <f>=HYPERLINK("https://main.knesset.gov.il/APPS/legislation/main/bills/2150383", "חוק הרשות למאבק באלימות, בסמים ובאלכוהול (תיקון), התשפ""א-2020")</f>
        <v>22482</v>
      </c>
      <c r="E11679" t="s">
        <v>22482</v>
      </c>
      <c r="F11679" t="s">
        <v>14</v>
      </c>
      <c r="G11679" t="s">
        <v>22483</v>
      </c>
      <c r="H11679" t="n">
        <v>2884</v>
      </c>
      <c r="I11679" t="s">
        <v>14</v>
      </c>
      <c r="J11679" t="s">
        <v>91</v>
      </c>
      <c r="K11679" t="s">
        <v>46</v>
      </c>
      <c r="L11679" t="s">
        <v>20</v>
      </c>
      <c r="M11679" t="s">
        <v>22473</v>
      </c>
      <c r="N11679" t="s">
        <v>22484</v>
      </c>
    </row>
    <row r="11680" x14ac:dyDescent="0.25">
      <c r="A11680" t="n">
        <v>23</v>
      </c>
      <c r="B11680" t="s">
        <v>14</v>
      </c>
      <c r="C11680" t="s">
        <v>15</v>
      </c>
      <c r="D11680" s="2" t="s">
        <f>=HYPERLINK("https://main.knesset.gov.il/APPS/legislation/main/bills/2150328", "חוק התקשורת (בזק ושידורים) (תיקון מס' 74), התשפ""א-2020")</f>
        <v>22485</v>
      </c>
      <c r="E11680" t="s">
        <v>22485</v>
      </c>
      <c r="F11680" t="s">
        <v>14</v>
      </c>
      <c r="G11680" t="s">
        <v>22486</v>
      </c>
      <c r="H11680" t="n">
        <v>2883</v>
      </c>
      <c r="I11680" t="s">
        <v>14</v>
      </c>
      <c r="J11680" t="s">
        <v>91</v>
      </c>
      <c r="K11680" t="s">
        <v>19</v>
      </c>
      <c r="L11680" t="s">
        <v>20</v>
      </c>
      <c r="M11680" t="s">
        <v>22473</v>
      </c>
      <c r="N11680" t="s">
        <v>22487</v>
      </c>
    </row>
    <row r="11681" x14ac:dyDescent="0.25">
      <c r="A11681" t="n">
        <v>23</v>
      </c>
      <c r="B11681" t="s">
        <v>14</v>
      </c>
      <c r="C11681" t="s">
        <v>15</v>
      </c>
      <c r="D11681" s="2" t="s">
        <f>=HYPERLINK("https://main.knesset.gov.il/APPS/legislation/main/bills/2150150", "חוק קליטת חיילים משוחררים (תיקון מס' 23), התשפ""א-2020 ")</f>
        <v>22488</v>
      </c>
      <c r="E11681" t="s">
        <v>22488</v>
      </c>
      <c r="F11681" t="s">
        <v>14</v>
      </c>
      <c r="G11681" t="s">
        <v>22489</v>
      </c>
      <c r="H11681" t="n">
        <v>2882</v>
      </c>
      <c r="I11681" t="s">
        <v>14</v>
      </c>
      <c r="J11681" t="s">
        <v>91</v>
      </c>
      <c r="K11681" t="s">
        <v>14</v>
      </c>
      <c r="L11681" t="s">
        <v>20</v>
      </c>
      <c r="M11681" t="s">
        <v>22473</v>
      </c>
      <c r="N11681" t="s">
        <v>14</v>
      </c>
    </row>
    <row r="11682" x14ac:dyDescent="0.25">
      <c r="A11682" t="n">
        <v>23</v>
      </c>
      <c r="B11682" t="s">
        <v>14</v>
      </c>
      <c r="C11682" t="s">
        <v>22</v>
      </c>
      <c r="D11682" s="2" t="s">
        <f>=HYPERLINK("https://main.knesset.gov.il/APPS/legislation/main/bills/2150274", "הצעת חוק לעידוד השקעות הון (תיקון - תחומי אזורי פיתוח א'), התשפ""א-2020")</f>
        <v>22490</v>
      </c>
      <c r="E11682" t="s">
        <v>22490</v>
      </c>
      <c r="F11682" t="s">
        <v>22491</v>
      </c>
      <c r="G11682" t="s">
        <v>14</v>
      </c>
      <c r="H11682">
             </c>
      <c r="I11682" t="s">
        <v>14</v>
      </c>
      <c r="J11682" t="s">
        <v>141</v>
      </c>
      <c r="K11682" t="s">
        <v>14</v>
      </c>
      <c r="L11682" t="s">
        <v>20</v>
      </c>
      <c r="M11682" t="s">
        <v>22473</v>
      </c>
      <c r="N11682" t="s">
        <v>14</v>
      </c>
    </row>
    <row r="11683" x14ac:dyDescent="0.25">
      <c r="A11683" t="n">
        <v>23</v>
      </c>
      <c r="B11683" t="s">
        <v>14</v>
      </c>
      <c r="C11683" t="s">
        <v>22</v>
      </c>
      <c r="D11683" s="2" t="s">
        <f>=HYPERLINK("https://main.knesset.gov.il/APPS/legislation/main/bills/2143858", "הצעת חוק מרכזי צעירים, התשפ""א-2020")</f>
        <v>22492</v>
      </c>
      <c r="E11683" t="s">
        <v>22492</v>
      </c>
      <c r="F11683" t="s">
        <v>22493</v>
      </c>
      <c r="G11683" t="s">
        <v>14</v>
      </c>
      <c r="H11683">
             </c>
      <c r="I11683" t="s">
        <v>14</v>
      </c>
      <c r="J11683" t="s">
        <v>141</v>
      </c>
      <c r="K11683" t="s">
        <v>14</v>
      </c>
      <c r="L11683" t="s">
        <v>20</v>
      </c>
      <c r="M11683" t="s">
        <v>22473</v>
      </c>
      <c r="N11683" t="s">
        <v>14</v>
      </c>
    </row>
    <row r="11684" x14ac:dyDescent="0.25">
      <c r="A11684" t="n">
        <v>23</v>
      </c>
      <c r="B11684" t="s">
        <v>14</v>
      </c>
      <c r="C11684" t="s">
        <v>22</v>
      </c>
      <c r="D11684" s="2" t="s">
        <f>=HYPERLINK("https://main.knesset.gov.il/APPS/legislation/main/bills/2149673", "הצעת חוק ביטוח בריאות ממלכתי (תיקון - שמירת זכאות לביטוח בריאות לשוהים מחוץ לישראל), התשפ""א-2020")</f>
        <v>22494</v>
      </c>
      <c r="E11684" t="s">
        <v>22494</v>
      </c>
      <c r="F11684" t="s">
        <v>22495</v>
      </c>
      <c r="G11684" t="s">
        <v>14</v>
      </c>
      <c r="H11684">
             </c>
      <c r="I11684" t="s">
        <v>14</v>
      </c>
      <c r="J11684" t="s">
        <v>141</v>
      </c>
      <c r="K11684" t="s">
        <v>14</v>
      </c>
      <c r="L11684" t="s">
        <v>20</v>
      </c>
      <c r="M11684" t="s">
        <v>22473</v>
      </c>
      <c r="N11684" t="s">
        <v>14</v>
      </c>
    </row>
    <row r="11685" x14ac:dyDescent="0.25">
      <c r="A11685" t="n">
        <v>23</v>
      </c>
      <c r="B11685" t="s">
        <v>14</v>
      </c>
      <c r="C11685" t="s">
        <v>22</v>
      </c>
      <c r="D11685" s="2" t="s">
        <f>=HYPERLINK("https://main.knesset.gov.il/APPS/legislation/main/bills/2149743", "הצעת חוק הכשרות המשפטית והאפוטרופסות (תיקון - שלילת אפוטרופסות להורה פוגע), התשפ""א-2020")</f>
        <v>22496</v>
      </c>
      <c r="E11685" t="s">
        <v>22496</v>
      </c>
      <c r="F11685" t="s">
        <v>22497</v>
      </c>
      <c r="G11685" t="s">
        <v>14</v>
      </c>
      <c r="H11685">
             </c>
      <c r="I11685" t="s">
        <v>14</v>
      </c>
      <c r="J11685" t="s">
        <v>141</v>
      </c>
      <c r="K11685" t="s">
        <v>14</v>
      </c>
      <c r="L11685" t="s">
        <v>20</v>
      </c>
      <c r="M11685" t="s">
        <v>22473</v>
      </c>
      <c r="N11685" t="s">
        <v>14</v>
      </c>
    </row>
    <row r="11686" x14ac:dyDescent="0.25">
      <c r="A11686" t="n">
        <v>23</v>
      </c>
      <c r="B11686" t="s">
        <v>14</v>
      </c>
      <c r="C11686" t="s">
        <v>22</v>
      </c>
      <c r="D11686" s="2" t="s">
        <f>=HYPERLINK("https://main.knesset.gov.il/APPS/legislation/main/bills/2150264", "הצעת חוק בתי המשפט (תיקון - רישום פרוטוקול בוועדה לבחירת שופטים), התשפ""א-2020")</f>
        <v>22498</v>
      </c>
      <c r="E11686" t="s">
        <v>22498</v>
      </c>
      <c r="F11686" t="s">
        <v>22499</v>
      </c>
      <c r="G11686" t="s">
        <v>14</v>
      </c>
      <c r="H11686">
             </c>
      <c r="I11686" t="s">
        <v>14</v>
      </c>
      <c r="J11686" t="s">
        <v>141</v>
      </c>
      <c r="K11686" t="s">
        <v>14</v>
      </c>
      <c r="L11686" t="s">
        <v>20</v>
      </c>
      <c r="M11686" t="s">
        <v>22473</v>
      </c>
      <c r="N11686" t="s">
        <v>14</v>
      </c>
    </row>
    <row r="11687" x14ac:dyDescent="0.25">
      <c r="A11687" t="n">
        <v>23</v>
      </c>
      <c r="B11687" t="s">
        <v>14</v>
      </c>
      <c r="C11687" t="s">
        <v>22</v>
      </c>
      <c r="D11687" s="2" t="s">
        <f>=HYPERLINK("https://main.knesset.gov.il/APPS/legislation/main/bills/2150265", "הצעת חוק בתי המשפט (תיקון - ראיון עם אדם הרואה עצמו מועמד לשפיטה), התשפ""א-2020")</f>
        <v>22500</v>
      </c>
      <c r="E11687" t="s">
        <v>22500</v>
      </c>
      <c r="F11687" t="s">
        <v>22501</v>
      </c>
      <c r="G11687" t="s">
        <v>14</v>
      </c>
      <c r="H11687">
             </c>
      <c r="I11687" t="s">
        <v>14</v>
      </c>
      <c r="J11687" t="s">
        <v>141</v>
      </c>
      <c r="K11687" t="s">
        <v>14</v>
      </c>
      <c r="L11687" t="s">
        <v>20</v>
      </c>
      <c r="M11687" t="s">
        <v>22473</v>
      </c>
      <c r="N11687" t="s">
        <v>14</v>
      </c>
    </row>
    <row r="11688" x14ac:dyDescent="0.25">
      <c r="A11688" t="n">
        <v>23</v>
      </c>
      <c r="B11688" t="s">
        <v>14</v>
      </c>
      <c r="C11688" t="s">
        <v>22</v>
      </c>
      <c r="D11688" s="2" t="s">
        <f>=HYPERLINK("https://main.knesset.gov.il/APPS/legislation/main/bills/2149646", "הצעת חוק זכויות נפגעי עבירה (תיקון - הקמת נציבות זכויות נפגעי עבירה), התשפ""א-2020")</f>
        <v>22502</v>
      </c>
      <c r="E11688" t="s">
        <v>22502</v>
      </c>
      <c r="F11688" t="s">
        <v>22503</v>
      </c>
      <c r="G11688" t="s">
        <v>14</v>
      </c>
      <c r="H11688">
             </c>
      <c r="I11688" t="s">
        <v>14</v>
      </c>
      <c r="J11688" t="s">
        <v>141</v>
      </c>
      <c r="K11688" t="s">
        <v>14</v>
      </c>
      <c r="L11688" t="s">
        <v>20</v>
      </c>
      <c r="M11688" t="s">
        <v>22473</v>
      </c>
      <c r="N11688" t="s">
        <v>14</v>
      </c>
    </row>
    <row r="11689" x14ac:dyDescent="0.25">
      <c r="A11689" t="n">
        <v>23</v>
      </c>
      <c r="B11689" t="s">
        <v>14</v>
      </c>
      <c r="C11689" t="s">
        <v>22</v>
      </c>
      <c r="D11689" s="2" t="s">
        <f>=HYPERLINK("https://main.knesset.gov.il/APPS/legislation/main/bills/2149950", "הצעת חוק העונשין (תיקון - עבירות מין על ידי בן משפחה פונקציונאלי), התשפ""א-2020")</f>
        <v>22504</v>
      </c>
      <c r="E11689" t="s">
        <v>22504</v>
      </c>
      <c r="F11689" t="s">
        <v>22505</v>
      </c>
      <c r="G11689" t="s">
        <v>14</v>
      </c>
      <c r="H11689">
             </c>
      <c r="I11689" t="s">
        <v>14</v>
      </c>
      <c r="J11689" t="s">
        <v>141</v>
      </c>
      <c r="K11689" t="s">
        <v>14</v>
      </c>
      <c r="L11689" t="s">
        <v>20</v>
      </c>
      <c r="M11689" t="s">
        <v>22473</v>
      </c>
      <c r="N11689" t="s">
        <v>14</v>
      </c>
    </row>
    <row r="11690" x14ac:dyDescent="0.25">
      <c r="A11690" t="n">
        <v>23</v>
      </c>
      <c r="B11690" t="s">
        <v>14</v>
      </c>
      <c r="C11690" t="s">
        <v>22</v>
      </c>
      <c r="D11690" s="2" t="s">
        <f>=HYPERLINK("https://main.knesset.gov.il/APPS/legislation/main/bills/2149977", "הצעת חוק-יסוד: כבוד האדם וחירותו (תיקון - הוראת שריון)")</f>
        <v>22506</v>
      </c>
      <c r="E11690" t="s">
        <v>22506</v>
      </c>
      <c r="F11690" t="s">
        <v>22507</v>
      </c>
      <c r="G11690" t="s">
        <v>14</v>
      </c>
      <c r="H11690">
             </c>
      <c r="I11690" t="s">
        <v>14</v>
      </c>
      <c r="J11690" t="s">
        <v>141</v>
      </c>
      <c r="K11690" t="s">
        <v>14</v>
      </c>
      <c r="L11690" t="s">
        <v>20</v>
      </c>
      <c r="M11690" t="s">
        <v>22473</v>
      </c>
      <c r="N11690" t="s">
        <v>14</v>
      </c>
    </row>
    <row r="11691" x14ac:dyDescent="0.25">
      <c r="A11691" t="n">
        <v>23</v>
      </c>
      <c r="B11691" t="s">
        <v>14</v>
      </c>
      <c r="C11691" t="s">
        <v>22</v>
      </c>
      <c r="D11691" s="2" t="s">
        <f>=HYPERLINK("https://main.knesset.gov.il/APPS/legislation/main/bills/2149865", "הצעת חוק-יסוד: כבוד האדם וחירותו (תיקון - זכויות חברתיות)")</f>
        <v>12388</v>
      </c>
      <c r="E11691" t="s">
        <v>12388</v>
      </c>
      <c r="F11691" t="s">
        <v>22508</v>
      </c>
      <c r="G11691" t="s">
        <v>14</v>
      </c>
      <c r="H11691">
             </c>
      <c r="I11691" t="s">
        <v>14</v>
      </c>
      <c r="J11691" t="s">
        <v>141</v>
      </c>
      <c r="K11691" t="s">
        <v>14</v>
      </c>
      <c r="L11691" t="s">
        <v>20</v>
      </c>
      <c r="M11691" t="s">
        <v>22473</v>
      </c>
      <c r="N11691" t="s">
        <v>14</v>
      </c>
    </row>
    <row r="11692" x14ac:dyDescent="0.25">
      <c r="A11692" t="n">
        <v>23</v>
      </c>
      <c r="B11692" t="s">
        <v>14</v>
      </c>
      <c r="C11692" t="s">
        <v>22</v>
      </c>
      <c r="D11692" s="2" t="s">
        <f>=HYPERLINK("https://main.knesset.gov.il/APPS/legislation/main/bills/2150585", "הצעת חוק הבחירות לכנסת (תיקון - הצבעה בבתי אבות, בתי דיור מוגן ומוסדות לאנשים עם מוגבלויות), התשפ""א-2020")</f>
        <v>22509</v>
      </c>
      <c r="E11692" t="s">
        <v>22509</v>
      </c>
      <c r="F11692" t="s">
        <v>22510</v>
      </c>
      <c r="G11692" t="s">
        <v>14</v>
      </c>
      <c r="H11692">
             </c>
      <c r="I11692" t="s">
        <v>14</v>
      </c>
      <c r="J11692" t="s">
        <v>141</v>
      </c>
      <c r="K11692" t="s">
        <v>14</v>
      </c>
      <c r="L11692" t="s">
        <v>20</v>
      </c>
      <c r="M11692" t="s">
        <v>22473</v>
      </c>
      <c r="N11692" t="s">
        <v>14</v>
      </c>
    </row>
    <row r="11693" x14ac:dyDescent="0.25">
      <c r="A11693" t="n">
        <v>23</v>
      </c>
      <c r="B11693" t="s">
        <v>14</v>
      </c>
      <c r="C11693" t="s">
        <v>22</v>
      </c>
      <c r="D11693" s="2" t="s">
        <f>=HYPERLINK("https://main.knesset.gov.il/APPS/legislation/main/bills/2149358", "הצעת חוק הירושה (תיקון - פסלות לרשת ומניעת פעולות בנכסי העיזבון), התשפ""א-2020")</f>
        <v>22511</v>
      </c>
      <c r="E11693" t="s">
        <v>22511</v>
      </c>
      <c r="F11693" t="s">
        <v>22512</v>
      </c>
      <c r="G11693" t="s">
        <v>14</v>
      </c>
      <c r="H11693">
             </c>
      <c r="I11693" t="s">
        <v>14</v>
      </c>
      <c r="J11693" t="s">
        <v>141</v>
      </c>
      <c r="K11693" t="s">
        <v>14</v>
      </c>
      <c r="L11693" t="s">
        <v>20</v>
      </c>
      <c r="M11693" t="s">
        <v>22473</v>
      </c>
      <c r="N11693" t="s">
        <v>14</v>
      </c>
    </row>
    <row r="11694" x14ac:dyDescent="0.25">
      <c r="A11694" t="n">
        <v>23</v>
      </c>
      <c r="B11694" t="s">
        <v>14</v>
      </c>
      <c r="C11694" t="s">
        <v>22</v>
      </c>
      <c r="D11694" s="2" t="s">
        <f>=HYPERLINK("https://main.knesset.gov.il/APPS/legislation/main/bills/2150399", "הצעת חוק התפזרות הכנסת העשרים ושלוש, התשפ""א-2020")</f>
        <v>22513</v>
      </c>
      <c r="E11694" t="s">
        <v>22513</v>
      </c>
      <c r="F11694" t="s">
        <v>22514</v>
      </c>
      <c r="G11694" t="s">
        <v>14</v>
      </c>
      <c r="H11694">
             </c>
      <c r="I11694" t="s">
        <v>14</v>
      </c>
      <c r="J11694" t="s">
        <v>141</v>
      </c>
      <c r="K11694" t="s">
        <v>14</v>
      </c>
      <c r="L11694" t="s">
        <v>20</v>
      </c>
      <c r="M11694" t="s">
        <v>22473</v>
      </c>
      <c r="N11694" t="s">
        <v>14</v>
      </c>
    </row>
    <row r="11695" x14ac:dyDescent="0.25">
      <c r="A11695" t="n">
        <v>23</v>
      </c>
      <c r="B11695" t="s">
        <v>14</v>
      </c>
      <c r="C11695" t="s">
        <v>22</v>
      </c>
      <c r="D11695" s="2" t="s">
        <f>=HYPERLINK("https://main.knesset.gov.il/APPS/legislation/main/bills/2149643", "הצעת חוק החברות (תיקון - צמצום פערי השכר במשק), התשפ""א-2020")</f>
        <v>22515</v>
      </c>
      <c r="E11695" t="s">
        <v>22515</v>
      </c>
      <c r="F11695" t="s">
        <v>22516</v>
      </c>
      <c r="G11695" t="s">
        <v>14</v>
      </c>
      <c r="H11695">
             </c>
      <c r="I11695" t="s">
        <v>14</v>
      </c>
      <c r="J11695" t="s">
        <v>141</v>
      </c>
      <c r="K11695" t="s">
        <v>14</v>
      </c>
      <c r="L11695" t="s">
        <v>20</v>
      </c>
      <c r="M11695" t="s">
        <v>22473</v>
      </c>
      <c r="N11695" t="s">
        <v>14</v>
      </c>
    </row>
    <row r="11696" x14ac:dyDescent="0.25">
      <c r="A11696" t="n">
        <v>23</v>
      </c>
      <c r="B11696" t="s">
        <v>14</v>
      </c>
      <c r="C11696" t="s">
        <v>22</v>
      </c>
      <c r="D11696" s="2" t="s">
        <f>=HYPERLINK("https://main.knesset.gov.il/APPS/legislation/main/bills/2085830", "הצעת חוק-יסוד: מגילת העצמאות")</f>
        <v>7662</v>
      </c>
      <c r="E11696" t="s">
        <v>7662</v>
      </c>
      <c r="F11696" t="s">
        <v>22517</v>
      </c>
      <c r="G11696" t="s">
        <v>14</v>
      </c>
      <c r="H11696">
             </c>
      <c r="I11696" t="s">
        <v>14</v>
      </c>
      <c r="J11696" t="s">
        <v>141</v>
      </c>
      <c r="K11696" t="s">
        <v>14</v>
      </c>
      <c r="L11696" t="s">
        <v>20</v>
      </c>
      <c r="M11696" t="s">
        <v>22473</v>
      </c>
      <c r="N11696" t="s">
        <v>14</v>
      </c>
    </row>
    <row r="11697" x14ac:dyDescent="0.25">
      <c r="A11697" t="n">
        <v>23</v>
      </c>
      <c r="B11697" t="s">
        <v>14</v>
      </c>
      <c r="C11697" t="s">
        <v>22</v>
      </c>
      <c r="D11697" s="2" t="s">
        <f>=HYPERLINK("https://main.knesset.gov.il/APPS/legislation/main/bills/2149644", "הצעת חוק חוזה הביטוח (תיקון - התיישנות תביעת השתתפות עצמית), התשפ""א-2020")</f>
        <v>22518</v>
      </c>
      <c r="E11697" t="s">
        <v>22518</v>
      </c>
      <c r="F11697" t="s">
        <v>22519</v>
      </c>
      <c r="G11697" t="s">
        <v>14</v>
      </c>
      <c r="H11697">
             </c>
      <c r="I11697" t="s">
        <v>14</v>
      </c>
      <c r="J11697" t="s">
        <v>141</v>
      </c>
      <c r="K11697" t="s">
        <v>14</v>
      </c>
      <c r="L11697" t="s">
        <v>20</v>
      </c>
      <c r="M11697" t="s">
        <v>22473</v>
      </c>
      <c r="N11697" t="s">
        <v>14</v>
      </c>
    </row>
    <row r="11698" x14ac:dyDescent="0.25">
      <c r="A11698" t="n">
        <v>23</v>
      </c>
      <c r="B11698" t="s">
        <v>14</v>
      </c>
      <c r="C11698" t="s">
        <v>22</v>
      </c>
      <c r="D11698" s="2" t="s">
        <f>=HYPERLINK("https://main.knesset.gov.il/APPS/legislation/main/bills/2149946", "הצעת חוק התפזרות הכנסת העשרים ושלוש, התשפ""א-2020")</f>
        <v>22513</v>
      </c>
      <c r="E11698" t="s">
        <v>22513</v>
      </c>
      <c r="F11698" t="s">
        <v>22520</v>
      </c>
      <c r="G11698" t="s">
        <v>14</v>
      </c>
      <c r="H11698">
             </c>
      <c r="I11698" t="s">
        <v>14</v>
      </c>
      <c r="J11698" t="s">
        <v>141</v>
      </c>
      <c r="K11698" t="s">
        <v>14</v>
      </c>
      <c r="L11698" t="s">
        <v>20</v>
      </c>
      <c r="M11698" t="s">
        <v>22473</v>
      </c>
      <c r="N11698" t="s">
        <v>14</v>
      </c>
    </row>
    <row r="11699" x14ac:dyDescent="0.25">
      <c r="A11699" t="n">
        <v>23</v>
      </c>
      <c r="B11699" t="s">
        <v>14</v>
      </c>
      <c r="C11699" t="s">
        <v>22</v>
      </c>
      <c r="D11699" s="2" t="s">
        <f>=HYPERLINK("https://main.knesset.gov.il/APPS/legislation/main/bills/2150263", "הצעת חוק בתי המשפט (תיקון - ביטול הסמכות למינוי לכהונה בפועל), התשפ""א-2020")</f>
        <v>22521</v>
      </c>
      <c r="E11699" t="s">
        <v>22521</v>
      </c>
      <c r="F11699" t="s">
        <v>22522</v>
      </c>
      <c r="G11699" t="s">
        <v>14</v>
      </c>
      <c r="H11699">
             </c>
      <c r="I11699" t="s">
        <v>14</v>
      </c>
      <c r="J11699" t="s">
        <v>141</v>
      </c>
      <c r="K11699" t="s">
        <v>14</v>
      </c>
      <c r="L11699" t="s">
        <v>20</v>
      </c>
      <c r="M11699" t="s">
        <v>22473</v>
      </c>
      <c r="N11699" t="s">
        <v>14</v>
      </c>
    </row>
    <row r="11700" x14ac:dyDescent="0.25">
      <c r="A11700" t="n">
        <v>23</v>
      </c>
      <c r="B11700" t="s">
        <v>14</v>
      </c>
      <c r="C11700" t="s">
        <v>22</v>
      </c>
      <c r="D11700" s="2" t="s">
        <f>=HYPERLINK("https://main.knesset.gov.il/APPS/legislation/main/bills/2150707", "הצעת חוק לתיקון דיני הראיות (הגנת ילדים) (תיקון - הרחבת ההסדרים הקבועים בחוק לילדים אשר עברו את גיל 14 במועד העדות), התשפ""א-2020")</f>
        <v>22523</v>
      </c>
      <c r="E11700" t="s">
        <v>22523</v>
      </c>
      <c r="F11700" t="s">
        <v>22524</v>
      </c>
      <c r="G11700" t="s">
        <v>14</v>
      </c>
      <c r="H11700">
             </c>
      <c r="I11700" t="s">
        <v>14</v>
      </c>
      <c r="J11700" t="s">
        <v>141</v>
      </c>
      <c r="K11700" t="s">
        <v>14</v>
      </c>
      <c r="L11700" t="s">
        <v>20</v>
      </c>
      <c r="M11700" t="s">
        <v>22473</v>
      </c>
      <c r="N11700" t="s">
        <v>14</v>
      </c>
    </row>
    <row r="11701" x14ac:dyDescent="0.25">
      <c r="A11701" t="n">
        <v>23</v>
      </c>
      <c r="B11701" t="s">
        <v>14</v>
      </c>
      <c r="C11701" t="s">
        <v>22</v>
      </c>
      <c r="D11701" s="2" t="s">
        <f>=HYPERLINK("https://main.knesset.gov.il/APPS/legislation/main/bills/2149107", "הצעת חוק להסדרת הטיפול באריזות (תיקון - יעדי איסוף על מכלי משקה גדולים), התשפ""א-2020")</f>
        <v>22525</v>
      </c>
      <c r="E11701" t="s">
        <v>22525</v>
      </c>
      <c r="F11701" t="s">
        <v>22526</v>
      </c>
      <c r="G11701" t="s">
        <v>14</v>
      </c>
      <c r="H11701">
             </c>
      <c r="I11701" t="s">
        <v>14</v>
      </c>
      <c r="J11701" t="s">
        <v>141</v>
      </c>
      <c r="K11701" t="s">
        <v>14</v>
      </c>
      <c r="L11701" t="s">
        <v>20</v>
      </c>
      <c r="M11701" t="s">
        <v>22473</v>
      </c>
      <c r="N11701" t="s">
        <v>14</v>
      </c>
    </row>
    <row r="11702" x14ac:dyDescent="0.25">
      <c r="A11702" t="n">
        <v>23</v>
      </c>
      <c r="B11702" t="s">
        <v>14</v>
      </c>
      <c r="C11702" t="s">
        <v>22</v>
      </c>
      <c r="D11702" s="2" t="s">
        <f>=HYPERLINK("https://main.knesset.gov.il/APPS/legislation/main/bills/2150770", "הצעת חוק הרשויות המקומיות (בחירת ראש הרשות וסגניו וכהונתם) (תיקון - מינוי סגן ראש רשות תשיעי בעיריית ירושלים), התשפ""א-2020")</f>
        <v>22527</v>
      </c>
      <c r="E11702" t="s">
        <v>22527</v>
      </c>
      <c r="F11702" t="s">
        <v>22528</v>
      </c>
      <c r="G11702" t="s">
        <v>14</v>
      </c>
      <c r="H11702">
             </c>
      <c r="I11702" t="s">
        <v>14</v>
      </c>
      <c r="J11702" t="s">
        <v>141</v>
      </c>
      <c r="K11702" t="s">
        <v>14</v>
      </c>
      <c r="L11702" t="s">
        <v>20</v>
      </c>
      <c r="M11702" t="s">
        <v>22473</v>
      </c>
      <c r="N11702" t="s">
        <v>14</v>
      </c>
    </row>
    <row r="11703" x14ac:dyDescent="0.25">
      <c r="A11703" t="n">
        <v>23</v>
      </c>
      <c r="B11703" t="s">
        <v>14</v>
      </c>
      <c r="C11703" t="s">
        <v>22</v>
      </c>
      <c r="D11703" s="2" t="s">
        <f>=HYPERLINK("https://main.knesset.gov.il/APPS/legislation/main/bills/2148851", "הצעת חוק הכניסה לישראל (תיקון - הארכת היתר ישיבה ומתן רישיון לישיבת קבע לקורבנות סחר בבני אדם), התשפ""א-2020")</f>
        <v>22529</v>
      </c>
      <c r="E11703" t="s">
        <v>22529</v>
      </c>
      <c r="F11703" t="s">
        <v>22530</v>
      </c>
      <c r="G11703" t="s">
        <v>14</v>
      </c>
      <c r="H11703">
             </c>
      <c r="I11703" t="s">
        <v>14</v>
      </c>
      <c r="J11703" t="s">
        <v>141</v>
      </c>
      <c r="K11703" t="s">
        <v>14</v>
      </c>
      <c r="L11703" t="s">
        <v>20</v>
      </c>
      <c r="M11703" t="s">
        <v>22473</v>
      </c>
      <c r="N11703" t="s">
        <v>14</v>
      </c>
    </row>
    <row r="11704" x14ac:dyDescent="0.25">
      <c r="A11704" t="n">
        <v>23</v>
      </c>
      <c r="B11704" t="s">
        <v>14</v>
      </c>
      <c r="C11704" t="s">
        <v>22</v>
      </c>
      <c r="D11704" s="2" t="s">
        <f>=HYPERLINK("https://main.knesset.gov.il/APPS/legislation/main/bills/2150628", "הצעת חוק ביטוח בריאות ממלכתי (תיקון - זכויות תושב חוזר), התשפ""א-2020")</f>
        <v>22531</v>
      </c>
      <c r="E11704" t="s">
        <v>22531</v>
      </c>
      <c r="F11704" t="s">
        <v>22532</v>
      </c>
      <c r="G11704" t="s">
        <v>14</v>
      </c>
      <c r="H11704">
             </c>
      <c r="I11704" t="s">
        <v>14</v>
      </c>
      <c r="J11704" t="s">
        <v>141</v>
      </c>
      <c r="K11704" t="s">
        <v>14</v>
      </c>
      <c r="L11704" t="s">
        <v>20</v>
      </c>
      <c r="M11704" t="s">
        <v>22473</v>
      </c>
      <c r="N11704" t="s">
        <v>14</v>
      </c>
    </row>
    <row r="11705" x14ac:dyDescent="0.25">
      <c r="A11705" t="n">
        <v>23</v>
      </c>
      <c r="B11705" t="s">
        <v>14</v>
      </c>
      <c r="C11705" t="s">
        <v>22</v>
      </c>
      <c r="D11705" s="2" t="s">
        <f>=HYPERLINK("https://main.knesset.gov.il/APPS/legislation/main/bills/2150247", "הצעת חוק הביטוח הלאומי (תיקון - שכר הוגן לחיילי מילואים שעובדים במשרה חלקית), התשפ""א-2020")</f>
        <v>22533</v>
      </c>
      <c r="E11705" t="s">
        <v>22533</v>
      </c>
      <c r="F11705" t="s">
        <v>22534</v>
      </c>
      <c r="G11705" t="s">
        <v>14</v>
      </c>
      <c r="H11705">
             </c>
      <c r="I11705" t="s">
        <v>14</v>
      </c>
      <c r="J11705" t="s">
        <v>141</v>
      </c>
      <c r="K11705" t="s">
        <v>14</v>
      </c>
      <c r="L11705" t="s">
        <v>20</v>
      </c>
      <c r="M11705" t="s">
        <v>22473</v>
      </c>
      <c r="N11705" t="s">
        <v>14</v>
      </c>
    </row>
    <row r="11706" x14ac:dyDescent="0.25">
      <c r="A11706" t="n">
        <v>23</v>
      </c>
      <c r="B11706" t="s">
        <v>14</v>
      </c>
      <c r="C11706" t="s">
        <v>22</v>
      </c>
      <c r="D11706" s="2" t="s">
        <f>=HYPERLINK("https://main.knesset.gov.il/APPS/legislation/main/bills/2149663", "הצעת חוק השוואת תנאי שכר לקבוצות שאסור להפלותן (תיקוני חקיקה), התשפ""א-2020")</f>
        <v>22535</v>
      </c>
      <c r="E11706" t="s">
        <v>22535</v>
      </c>
      <c r="F11706" t="s">
        <v>22536</v>
      </c>
      <c r="G11706" t="s">
        <v>14</v>
      </c>
      <c r="H11706">
             </c>
      <c r="I11706" t="s">
        <v>14</v>
      </c>
      <c r="J11706" t="s">
        <v>141</v>
      </c>
      <c r="K11706" t="s">
        <v>14</v>
      </c>
      <c r="L11706" t="s">
        <v>20</v>
      </c>
      <c r="M11706" t="s">
        <v>22473</v>
      </c>
      <c r="N11706" t="s">
        <v>14</v>
      </c>
    </row>
    <row r="11707" x14ac:dyDescent="0.25">
      <c r="A11707" t="n">
        <v>23</v>
      </c>
      <c r="B11707" t="s">
        <v>14</v>
      </c>
      <c r="C11707" t="s">
        <v>22</v>
      </c>
      <c r="D11707" s="2" t="s">
        <f>=HYPERLINK("https://main.knesset.gov.il/APPS/legislation/main/bills/2140244", "הצעת חוק שעות עבודה ומנוחה (תיקון - תשלום בעד שעות המנוחה השבועית), התשפ""א-2020")</f>
        <v>22537</v>
      </c>
      <c r="E11707" t="s">
        <v>22537</v>
      </c>
      <c r="F11707" t="s">
        <v>22538</v>
      </c>
      <c r="G11707" t="s">
        <v>14</v>
      </c>
      <c r="H11707">
             </c>
      <c r="I11707" t="s">
        <v>14</v>
      </c>
      <c r="J11707" t="s">
        <v>141</v>
      </c>
      <c r="K11707" t="s">
        <v>14</v>
      </c>
      <c r="L11707" t="s">
        <v>20</v>
      </c>
      <c r="M11707" t="s">
        <v>22473</v>
      </c>
      <c r="N11707" t="s">
        <v>14</v>
      </c>
    </row>
    <row r="11708" x14ac:dyDescent="0.25">
      <c r="A11708" t="n">
        <v>23</v>
      </c>
      <c r="B11708" t="s">
        <v>14</v>
      </c>
      <c r="C11708" t="s">
        <v>22</v>
      </c>
      <c r="D11708" s="2" t="s">
        <f>=HYPERLINK("https://main.knesset.gov.il/APPS/legislation/main/bills/2148804", "הצעת חוק להגדלת שיעור ההשתתפות בכוח העבודה ולצמצום פערים חברתיים (מענק עבודה) (תיקון - גילו של עצמאי), התשפ""א-2020")</f>
        <v>22539</v>
      </c>
      <c r="E11708" t="s">
        <v>22539</v>
      </c>
      <c r="F11708" t="s">
        <v>22540</v>
      </c>
      <c r="G11708" t="s">
        <v>14</v>
      </c>
      <c r="H11708">
             </c>
      <c r="I11708" t="s">
        <v>14</v>
      </c>
      <c r="J11708" t="s">
        <v>141</v>
      </c>
      <c r="K11708" t="s">
        <v>14</v>
      </c>
      <c r="L11708" t="s">
        <v>20</v>
      </c>
      <c r="M11708" t="s">
        <v>22473</v>
      </c>
      <c r="N11708" t="s">
        <v>14</v>
      </c>
    </row>
    <row r="11709" x14ac:dyDescent="0.25">
      <c r="A11709" t="n">
        <v>23</v>
      </c>
      <c r="B11709" t="s">
        <v>14</v>
      </c>
      <c r="C11709" t="s">
        <v>22</v>
      </c>
      <c r="D11709" s="2" t="s">
        <f>=HYPERLINK("https://main.knesset.gov.il/APPS/legislation/main/bills/2149365", "הצעת חוק הביטוח הלאומי (תיקון - קצבת ילדים כפולה בלידת תאומים או יותר), התשפ""א-2020")</f>
        <v>22541</v>
      </c>
      <c r="E11709" t="s">
        <v>22541</v>
      </c>
      <c r="F11709" t="s">
        <v>22542</v>
      </c>
      <c r="G11709" t="s">
        <v>14</v>
      </c>
      <c r="H11709">
             </c>
      <c r="I11709" t="s">
        <v>14</v>
      </c>
      <c r="J11709" t="s">
        <v>141</v>
      </c>
      <c r="K11709" t="s">
        <v>14</v>
      </c>
      <c r="L11709" t="s">
        <v>20</v>
      </c>
      <c r="M11709" t="s">
        <v>22473</v>
      </c>
      <c r="N11709" t="s">
        <v>14</v>
      </c>
    </row>
    <row r="11710" x14ac:dyDescent="0.25">
      <c r="A11710" t="n">
        <v>23</v>
      </c>
      <c r="B11710" t="s">
        <v>14</v>
      </c>
      <c r="C11710" t="s">
        <v>22</v>
      </c>
      <c r="D11710" s="2" t="s">
        <f>=HYPERLINK("https://main.knesset.gov.il/APPS/legislation/main/bills/2148253", "הצעת חוק הביטוח הלאומי (תיקון - אי ניכוי מלוא ההכנסה מדמי האבטלה), התשפ""א-2020")</f>
        <v>22543</v>
      </c>
      <c r="E11710" t="s">
        <v>22543</v>
      </c>
      <c r="F11710" t="s">
        <v>22544</v>
      </c>
      <c r="G11710" t="s">
        <v>14</v>
      </c>
      <c r="H11710">
             </c>
      <c r="I11710" t="s">
        <v>14</v>
      </c>
      <c r="J11710" t="s">
        <v>141</v>
      </c>
      <c r="K11710" t="s">
        <v>14</v>
      </c>
      <c r="L11710" t="s">
        <v>20</v>
      </c>
      <c r="M11710" t="s">
        <v>22473</v>
      </c>
      <c r="N11710" t="s">
        <v>14</v>
      </c>
    </row>
    <row r="11711" x14ac:dyDescent="0.25">
      <c r="A11711" t="n">
        <v>23</v>
      </c>
      <c r="B11711" t="s">
        <v>14</v>
      </c>
      <c r="C11711" t="s">
        <v>22</v>
      </c>
      <c r="D11711" s="2" t="s">
        <f>=HYPERLINK("https://main.knesset.gov.il/APPS/legislation/main/bills/2150708", "הצעת חוק-יסוד: נשיא המדינה (תיקון - ייחוד כהונה)")</f>
        <v>20826</v>
      </c>
      <c r="E11711" t="s">
        <v>20826</v>
      </c>
      <c r="F11711" t="s">
        <v>22545</v>
      </c>
      <c r="G11711" t="s">
        <v>14</v>
      </c>
      <c r="H11711">
             </c>
      <c r="I11711" t="s">
        <v>14</v>
      </c>
      <c r="J11711" t="s">
        <v>141</v>
      </c>
      <c r="K11711" t="s">
        <v>14</v>
      </c>
      <c r="L11711" t="s">
        <v>20</v>
      </c>
      <c r="M11711" t="s">
        <v>22473</v>
      </c>
      <c r="N11711" t="s">
        <v>14</v>
      </c>
    </row>
    <row r="11712" x14ac:dyDescent="0.25">
      <c r="A11712" t="n">
        <v>23</v>
      </c>
      <c r="B11712" t="s">
        <v>14</v>
      </c>
      <c r="C11712" t="s">
        <v>22</v>
      </c>
      <c r="D11712" s="2" t="s">
        <f>=HYPERLINK("https://main.knesset.gov.il/APPS/legislation/main/bills/2150620", "הצעת חוק הוקרת שירות הלוחם והלוחמת (תיקוני חקיקה), התשפ""א-2020")</f>
        <v>22546</v>
      </c>
      <c r="E11712" t="s">
        <v>22546</v>
      </c>
      <c r="F11712" t="s">
        <v>22547</v>
      </c>
      <c r="G11712" t="s">
        <v>14</v>
      </c>
      <c r="H11712">
             </c>
      <c r="I11712" t="s">
        <v>14</v>
      </c>
      <c r="J11712" t="s">
        <v>141</v>
      </c>
      <c r="K11712" t="s">
        <v>14</v>
      </c>
      <c r="L11712" t="s">
        <v>20</v>
      </c>
      <c r="M11712" t="s">
        <v>22473</v>
      </c>
      <c r="N11712" t="s">
        <v>14</v>
      </c>
    </row>
    <row r="11713" x14ac:dyDescent="0.25">
      <c r="A11713" t="n">
        <v>23</v>
      </c>
      <c r="B11713" t="s">
        <v>14</v>
      </c>
      <c r="C11713" t="s">
        <v>22</v>
      </c>
      <c r="D11713" s="2" t="s">
        <f>=HYPERLINK("https://main.knesset.gov.il/APPS/legislation/main/bills/2149662", "הצעת חוק עסקאות גופים ציבוריים (תיקון - מעבר לרכבים ידידותיים לסביבה בגופים ציבוריים), התשפ""א-2020")</f>
        <v>22548</v>
      </c>
      <c r="E11713" t="s">
        <v>22548</v>
      </c>
      <c r="F11713" t="s">
        <v>22549</v>
      </c>
      <c r="G11713" t="s">
        <v>14</v>
      </c>
      <c r="H11713">
             </c>
      <c r="I11713" t="s">
        <v>14</v>
      </c>
      <c r="J11713" t="s">
        <v>141</v>
      </c>
      <c r="K11713" t="s">
        <v>14</v>
      </c>
      <c r="L11713" t="s">
        <v>20</v>
      </c>
      <c r="M11713" t="s">
        <v>22473</v>
      </c>
      <c r="N11713" t="s">
        <v>14</v>
      </c>
    </row>
    <row r="11714" x14ac:dyDescent="0.25">
      <c r="A11714" t="n">
        <v>23</v>
      </c>
      <c r="B11714" t="s">
        <v>14</v>
      </c>
      <c r="C11714" t="s">
        <v>22</v>
      </c>
      <c r="D11714" s="2" t="s">
        <f>=HYPERLINK("https://main.knesset.gov.il/APPS/legislation/main/bills/2150070", "הצעת חוק לתיקון פקודת מס הכנסה (מיסוי תרומה מישות מדינית זרה), התשפ""א-2020")</f>
        <v>22550</v>
      </c>
      <c r="E11714" t="s">
        <v>22550</v>
      </c>
      <c r="F11714" t="s">
        <v>22551</v>
      </c>
      <c r="G11714" t="s">
        <v>14</v>
      </c>
      <c r="H11714">
             </c>
      <c r="I11714" t="s">
        <v>14</v>
      </c>
      <c r="J11714" t="s">
        <v>141</v>
      </c>
      <c r="K11714" t="s">
        <v>14</v>
      </c>
      <c r="L11714" t="s">
        <v>20</v>
      </c>
      <c r="M11714" t="s">
        <v>22473</v>
      </c>
      <c r="N11714" t="s">
        <v>14</v>
      </c>
    </row>
    <row r="11715" x14ac:dyDescent="0.25">
      <c r="A11715" t="n">
        <v>23</v>
      </c>
      <c r="B11715" t="s">
        <v>14</v>
      </c>
      <c r="C11715" t="s">
        <v>22</v>
      </c>
      <c r="D11715" s="2" t="s">
        <f>=HYPERLINK("https://main.knesset.gov.il/APPS/legislation/main/bills/2149913", "הצעת חוק הסדרים במשק המדינה (תיקוני חקיקה להשגת יעדי התקציב) (תיקון - שיעור ארנונה לעסק זעיר), התשפ""א-2020")</f>
        <v>22552</v>
      </c>
      <c r="E11715" t="s">
        <v>22552</v>
      </c>
      <c r="F11715" t="s">
        <v>22553</v>
      </c>
      <c r="G11715" t="s">
        <v>14</v>
      </c>
      <c r="H11715">
             </c>
      <c r="I11715" t="s">
        <v>14</v>
      </c>
      <c r="J11715" t="s">
        <v>141</v>
      </c>
      <c r="K11715" t="s">
        <v>14</v>
      </c>
      <c r="L11715" t="s">
        <v>20</v>
      </c>
      <c r="M11715" t="s">
        <v>22473</v>
      </c>
      <c r="N11715" t="s">
        <v>14</v>
      </c>
    </row>
    <row r="11716" x14ac:dyDescent="0.25">
      <c r="A11716" t="n">
        <v>23</v>
      </c>
      <c r="B11716" t="s">
        <v>14</v>
      </c>
      <c r="C11716" t="s">
        <v>22</v>
      </c>
      <c r="D11716" s="2" t="s">
        <f>=HYPERLINK("https://main.knesset.gov.il/APPS/legislation/main/bills/2142526", "הצעת חוק חוזה העבודה (הסדרי עבודה מרחוק), התשפ""א-2020")</f>
        <v>22554</v>
      </c>
      <c r="E11716" t="s">
        <v>22554</v>
      </c>
      <c r="F11716" t="s">
        <v>22555</v>
      </c>
      <c r="G11716" t="s">
        <v>14</v>
      </c>
      <c r="H11716">
             </c>
      <c r="I11716" t="s">
        <v>14</v>
      </c>
      <c r="J11716" t="s">
        <v>141</v>
      </c>
      <c r="K11716" t="s">
        <v>14</v>
      </c>
      <c r="L11716" t="s">
        <v>20</v>
      </c>
      <c r="M11716" t="s">
        <v>22473</v>
      </c>
      <c r="N11716" t="s">
        <v>14</v>
      </c>
    </row>
    <row r="11717" x14ac:dyDescent="0.25">
      <c r="A11717" t="n">
        <v>23</v>
      </c>
      <c r="B11717" t="s">
        <v>14</v>
      </c>
      <c r="C11717" t="s">
        <v>22</v>
      </c>
      <c r="D11717" s="2" t="s">
        <f>=HYPERLINK("https://main.knesset.gov.il/APPS/legislation/main/bills/2147802", "הצעת חוק שידורי טלוויזיה (תיאור קולי), התשפ""א-2020")</f>
        <v>22556</v>
      </c>
      <c r="E11717" t="s">
        <v>22556</v>
      </c>
      <c r="F11717" t="s">
        <v>22557</v>
      </c>
      <c r="G11717" t="s">
        <v>14</v>
      </c>
      <c r="H11717">
             </c>
      <c r="I11717" t="s">
        <v>14</v>
      </c>
      <c r="J11717" t="s">
        <v>141</v>
      </c>
      <c r="K11717" t="s">
        <v>14</v>
      </c>
      <c r="L11717" t="s">
        <v>20</v>
      </c>
      <c r="M11717" t="s">
        <v>22473</v>
      </c>
      <c r="N11717" t="s">
        <v>14</v>
      </c>
    </row>
    <row r="11718" x14ac:dyDescent="0.25">
      <c r="A11718" t="n">
        <v>23</v>
      </c>
      <c r="B11718" t="s">
        <v>14</v>
      </c>
      <c r="C11718" t="s">
        <v>22</v>
      </c>
      <c r="D11718" s="2" t="s">
        <f>=HYPERLINK("https://main.knesset.gov.il/APPS/legislation/main/bills/2150144", "הצעת חוק שידורי טלוויזיה (כתוביות ושפת סימנים) (תיקון - חובת ליווי בכתוביות תכנית ותשדיר פרסומת), התשפ""א-2020")</f>
        <v>22558</v>
      </c>
      <c r="E11718" t="s">
        <v>22558</v>
      </c>
      <c r="F11718" t="s">
        <v>22559</v>
      </c>
      <c r="G11718" t="s">
        <v>14</v>
      </c>
      <c r="H11718">
             </c>
      <c r="I11718" t="s">
        <v>14</v>
      </c>
      <c r="J11718" t="s">
        <v>141</v>
      </c>
      <c r="K11718" t="s">
        <v>14</v>
      </c>
      <c r="L11718" t="s">
        <v>20</v>
      </c>
      <c r="M11718" t="s">
        <v>22473</v>
      </c>
      <c r="N11718" t="s">
        <v>14</v>
      </c>
    </row>
    <row r="11719" x14ac:dyDescent="0.25">
      <c r="A11719" t="n">
        <v>23</v>
      </c>
      <c r="B11719" t="s">
        <v>14</v>
      </c>
      <c r="C11719" t="s">
        <v>22</v>
      </c>
      <c r="D11719" s="2" t="s">
        <f>=HYPERLINK("https://main.knesset.gov.il/APPS/legislation/main/bills/2149498", "הצעת חוק הגנת הצרכן (תיקון - הגבלות על מכירה מיוחדת), התשפ""א-2020")</f>
        <v>22560</v>
      </c>
      <c r="E11719" t="s">
        <v>22560</v>
      </c>
      <c r="F11719" t="s">
        <v>22561</v>
      </c>
      <c r="G11719" t="s">
        <v>14</v>
      </c>
      <c r="H11719">
             </c>
      <c r="I11719" t="s">
        <v>14</v>
      </c>
      <c r="J11719" t="s">
        <v>141</v>
      </c>
      <c r="K11719" t="s">
        <v>14</v>
      </c>
      <c r="L11719" t="s">
        <v>20</v>
      </c>
      <c r="M11719" t="s">
        <v>22473</v>
      </c>
      <c r="N11719" t="s">
        <v>14</v>
      </c>
    </row>
    <row r="11720" x14ac:dyDescent="0.25">
      <c r="A11720" t="n">
        <v>23</v>
      </c>
      <c r="B11720" t="s">
        <v>14</v>
      </c>
      <c r="C11720" t="s">
        <v>22</v>
      </c>
      <c r="D11720" s="2" t="s">
        <f>=HYPERLINK("https://main.knesset.gov.il/APPS/legislation/main/bills/2149959", "הצעת חוק התקשורת (בזק ושידורים) (תיקון - הרחבת החובה לציין פרטים בדבר פרסומת והרחבת אחריות לעניין דבר פרסומת ששוגר באמצעות מיתקן בזק), התשפ""א-2020")</f>
        <v>22562</v>
      </c>
      <c r="E11720" t="s">
        <v>22562</v>
      </c>
      <c r="F11720" t="s">
        <v>22563</v>
      </c>
      <c r="G11720" t="s">
        <v>14</v>
      </c>
      <c r="H11720">
             </c>
      <c r="I11720" t="s">
        <v>14</v>
      </c>
      <c r="J11720" t="s">
        <v>141</v>
      </c>
      <c r="K11720" t="s">
        <v>14</v>
      </c>
      <c r="L11720" t="s">
        <v>20</v>
      </c>
      <c r="M11720" t="s">
        <v>22473</v>
      </c>
      <c r="N11720" t="s">
        <v>14</v>
      </c>
    </row>
    <row r="11721" x14ac:dyDescent="0.25">
      <c r="A11721" t="n">
        <v>23</v>
      </c>
      <c r="B11721" t="s">
        <v>14</v>
      </c>
      <c r="C11721" t="s">
        <v>22</v>
      </c>
      <c r="D11721" s="2" t="s">
        <f>=HYPERLINK("https://main.knesset.gov.il/APPS/legislation/main/bills/2148502", "הצעת חוק איסור פרסומת והגבלת השיווק של מוצרי טבק ועישון (תיקון - איסור על ייצור ושיווק של מוצר עישון בטעם או בריח מובחן), התשפ""א-2020")</f>
        <v>22564</v>
      </c>
      <c r="E11721" t="s">
        <v>22564</v>
      </c>
      <c r="F11721" t="s">
        <v>22565</v>
      </c>
      <c r="G11721" t="s">
        <v>14</v>
      </c>
      <c r="H11721">
             </c>
      <c r="I11721" t="s">
        <v>14</v>
      </c>
      <c r="J11721" t="s">
        <v>141</v>
      </c>
      <c r="K11721" t="s">
        <v>14</v>
      </c>
      <c r="L11721" t="s">
        <v>20</v>
      </c>
      <c r="M11721" t="s">
        <v>22473</v>
      </c>
      <c r="N11721" t="s">
        <v>14</v>
      </c>
    </row>
    <row r="11722" x14ac:dyDescent="0.25">
      <c r="A11722" t="n">
        <v>23</v>
      </c>
      <c r="B11722" t="s">
        <v>14</v>
      </c>
      <c r="C11722" t="s">
        <v>22</v>
      </c>
      <c r="D11722" s="2" t="s">
        <f>=HYPERLINK("https://main.knesset.gov.il/APPS/legislation/main/bills/2149729", "הצעת חוק תאגידי מים וביוב (תיקון - הקמת ועדת הנחות), התשפ""א-2020")</f>
        <v>22566</v>
      </c>
      <c r="E11722" t="s">
        <v>22566</v>
      </c>
      <c r="F11722" t="s">
        <v>22567</v>
      </c>
      <c r="G11722" t="s">
        <v>14</v>
      </c>
      <c r="H11722">
             </c>
      <c r="I11722" t="s">
        <v>14</v>
      </c>
      <c r="J11722" t="s">
        <v>141</v>
      </c>
      <c r="K11722" t="s">
        <v>14</v>
      </c>
      <c r="L11722" t="s">
        <v>20</v>
      </c>
      <c r="M11722" t="s">
        <v>22473</v>
      </c>
      <c r="N11722" t="s">
        <v>14</v>
      </c>
    </row>
    <row r="11723" x14ac:dyDescent="0.25">
      <c r="A11723" t="n">
        <v>23</v>
      </c>
      <c r="B11723" t="s">
        <v>14</v>
      </c>
      <c r="C11723" t="s">
        <v>22</v>
      </c>
      <c r="D11723" s="2" t="s">
        <f>=HYPERLINK("https://main.knesset.gov.il/APPS/legislation/main/bills/2149789", "הצעת חוק לתיקון פקודת התעבורה (ריבית פיגורים בשל אי תשלום קנס על עבירת חניה), התשפ""א-2020")</f>
        <v>22568</v>
      </c>
      <c r="E11723" t="s">
        <v>22568</v>
      </c>
      <c r="F11723" t="s">
        <v>22569</v>
      </c>
      <c r="G11723" t="s">
        <v>14</v>
      </c>
      <c r="H11723">
             </c>
      <c r="I11723" t="s">
        <v>14</v>
      </c>
      <c r="J11723" t="s">
        <v>141</v>
      </c>
      <c r="K11723" t="s">
        <v>14</v>
      </c>
      <c r="L11723" t="s">
        <v>20</v>
      </c>
      <c r="M11723" t="s">
        <v>22473</v>
      </c>
      <c r="N11723" t="s">
        <v>14</v>
      </c>
    </row>
    <row r="11724" x14ac:dyDescent="0.25">
      <c r="A11724" t="n">
        <v>23</v>
      </c>
      <c r="B11724" t="s">
        <v>14</v>
      </c>
      <c r="C11724" t="s">
        <v>22</v>
      </c>
      <c r="D11724" s="2" t="s">
        <f>=HYPERLINK("https://main.knesset.gov.il/APPS/legislation/main/bills/2149738", "הצעת חוק התכנון והבנייה (תיקון - שיעור היטל השבחה), התשפ""א-2020")</f>
        <v>22570</v>
      </c>
      <c r="E11724" t="s">
        <v>22570</v>
      </c>
      <c r="F11724" t="s">
        <v>22571</v>
      </c>
      <c r="G11724" t="s">
        <v>14</v>
      </c>
      <c r="H11724">
             </c>
      <c r="I11724" t="s">
        <v>14</v>
      </c>
      <c r="J11724" t="s">
        <v>141</v>
      </c>
      <c r="K11724" t="s">
        <v>14</v>
      </c>
      <c r="L11724" t="s">
        <v>20</v>
      </c>
      <c r="M11724" t="s">
        <v>22473</v>
      </c>
      <c r="N11724" t="s">
        <v>14</v>
      </c>
    </row>
    <row r="11725" x14ac:dyDescent="0.25">
      <c r="A11725" t="n">
        <v>23</v>
      </c>
      <c r="B11725" t="s">
        <v>14</v>
      </c>
      <c r="C11725" t="s">
        <v>22</v>
      </c>
      <c r="D11725" s="2" t="s">
        <f>=HYPERLINK("https://main.knesset.gov.il/APPS/legislation/main/bills/2146494", "הצעת חוק רשות העתיקות (תיקון - הגנה על עתיקות), התשפ""א-2020")</f>
        <v>22572</v>
      </c>
      <c r="E11725" t="s">
        <v>22572</v>
      </c>
      <c r="F11725" t="s">
        <v>22573</v>
      </c>
      <c r="G11725" t="s">
        <v>14</v>
      </c>
      <c r="H11725">
             </c>
      <c r="I11725" t="s">
        <v>14</v>
      </c>
      <c r="J11725" t="s">
        <v>141</v>
      </c>
      <c r="K11725" t="s">
        <v>14</v>
      </c>
      <c r="L11725" t="s">
        <v>20</v>
      </c>
      <c r="M11725" t="s">
        <v>22473</v>
      </c>
      <c r="N11725" t="s">
        <v>14</v>
      </c>
    </row>
    <row r="11726" x14ac:dyDescent="0.25">
      <c r="A11726" t="n">
        <v>23</v>
      </c>
      <c r="B11726" t="s">
        <v>14</v>
      </c>
      <c r="C11726" t="s">
        <v>22</v>
      </c>
      <c r="D11726" s="2" t="s">
        <f>=HYPERLINK("https://main.knesset.gov.il/APPS/legislation/main/bills/2149845", "הצעת חוק המועצה להשכלה גבוהה (תיקון - הקמת מוסדות להשכלה גבוהה בפריפריה), התשפ""א-2020")</f>
        <v>22574</v>
      </c>
      <c r="E11726" t="s">
        <v>22574</v>
      </c>
      <c r="F11726" t="s">
        <v>22575</v>
      </c>
      <c r="G11726" t="s">
        <v>14</v>
      </c>
      <c r="H11726">
             </c>
      <c r="I11726" t="s">
        <v>14</v>
      </c>
      <c r="J11726" t="s">
        <v>141</v>
      </c>
      <c r="K11726" t="s">
        <v>14</v>
      </c>
      <c r="L11726" t="s">
        <v>20</v>
      </c>
      <c r="M11726" t="s">
        <v>22473</v>
      </c>
      <c r="N11726" t="s">
        <v>14</v>
      </c>
    </row>
    <row r="11727" x14ac:dyDescent="0.25">
      <c r="A11727" t="n">
        <v>23</v>
      </c>
      <c r="B11727" t="s">
        <v>14</v>
      </c>
      <c r="C11727" t="s">
        <v>22</v>
      </c>
      <c r="D11727" s="2" t="s">
        <f>=HYPERLINK("https://main.knesset.gov.il/APPS/legislation/main/bills/2146682", "הצעת חוק יום לציון זכר קורבנות האינקוויזיציה בספרד ובפורטוגל, התשפ""א-2020")</f>
        <v>22576</v>
      </c>
      <c r="E11727" t="s">
        <v>22576</v>
      </c>
      <c r="F11727" t="s">
        <v>22577</v>
      </c>
      <c r="G11727" t="s">
        <v>14</v>
      </c>
      <c r="H11727">
             </c>
      <c r="I11727" t="s">
        <v>14</v>
      </c>
      <c r="J11727" t="s">
        <v>141</v>
      </c>
      <c r="K11727" t="s">
        <v>14</v>
      </c>
      <c r="L11727" t="s">
        <v>20</v>
      </c>
      <c r="M11727" t="s">
        <v>22473</v>
      </c>
      <c r="N11727" t="s">
        <v>14</v>
      </c>
    </row>
    <row r="11728" x14ac:dyDescent="0.25">
      <c r="A11728" t="n">
        <v>23</v>
      </c>
      <c r="B11728" t="s">
        <v>14</v>
      </c>
      <c r="C11728" t="s">
        <v>22</v>
      </c>
      <c r="D11728" s="2" t="s">
        <f>=HYPERLINK("https://main.knesset.gov.il/APPS/legislation/main/bills/2150025", "הצעת חוק הספריה הלאומית (תיקון - פטור ממס והשתתפות המדינה בתקציב), התשפ""א-2020")</f>
        <v>22578</v>
      </c>
      <c r="E11728" t="s">
        <v>22578</v>
      </c>
      <c r="F11728" t="s">
        <v>22579</v>
      </c>
      <c r="G11728" t="s">
        <v>14</v>
      </c>
      <c r="H11728">
             </c>
      <c r="I11728" t="s">
        <v>14</v>
      </c>
      <c r="J11728" t="s">
        <v>141</v>
      </c>
      <c r="K11728" t="s">
        <v>14</v>
      </c>
      <c r="L11728" t="s">
        <v>20</v>
      </c>
      <c r="M11728" t="s">
        <v>22473</v>
      </c>
      <c r="N11728" t="s">
        <v>14</v>
      </c>
    </row>
    <row r="11729" x14ac:dyDescent="0.25">
      <c r="A11729" t="n">
        <v>23</v>
      </c>
      <c r="B11729" t="s">
        <v>14</v>
      </c>
      <c r="C11729" t="s">
        <v>22</v>
      </c>
      <c r="D11729" s="2" t="s">
        <f>=HYPERLINK("https://main.knesset.gov.il/APPS/legislation/main/bills/2149745", "הצעת חוק ארוחה יומית לתלמיד (תיקון - ארוחת כריך יומית בבית ספר על יסודי), התשפ""א-2020")</f>
        <v>22580</v>
      </c>
      <c r="E11729" t="s">
        <v>22580</v>
      </c>
      <c r="F11729" t="s">
        <v>22581</v>
      </c>
      <c r="G11729" t="s">
        <v>14</v>
      </c>
      <c r="H11729">
             </c>
      <c r="I11729" t="s">
        <v>14</v>
      </c>
      <c r="J11729" t="s">
        <v>141</v>
      </c>
      <c r="K11729" t="s">
        <v>14</v>
      </c>
      <c r="L11729" t="s">
        <v>20</v>
      </c>
      <c r="M11729" t="s">
        <v>22473</v>
      </c>
      <c r="N11729" t="s">
        <v>14</v>
      </c>
    </row>
    <row r="11730" x14ac:dyDescent="0.25">
      <c r="A11730" t="n">
        <v>23</v>
      </c>
      <c r="B11730" t="s">
        <v>14</v>
      </c>
      <c r="C11730" t="s">
        <v>22</v>
      </c>
      <c r="D11730" s="2" t="s">
        <f>=HYPERLINK("https://main.knesset.gov.il/APPS/legislation/main/bills/2150769", "הצעת חוק חינוך ממלכתי (תיקון - חינוך ממלכתי ערבי), התשפ""א-2020")</f>
        <v>22582</v>
      </c>
      <c r="E11730" t="s">
        <v>22582</v>
      </c>
      <c r="F11730" t="s">
        <v>22583</v>
      </c>
      <c r="G11730" t="s">
        <v>14</v>
      </c>
      <c r="H11730">
             </c>
      <c r="I11730" t="s">
        <v>14</v>
      </c>
      <c r="J11730" t="s">
        <v>141</v>
      </c>
      <c r="K11730" t="s">
        <v>14</v>
      </c>
      <c r="L11730" t="s">
        <v>20</v>
      </c>
      <c r="M11730" t="s">
        <v>22473</v>
      </c>
      <c r="N11730" t="s">
        <v>14</v>
      </c>
    </row>
    <row r="11731" x14ac:dyDescent="0.25">
      <c r="A11731" t="n">
        <v>23</v>
      </c>
      <c r="B11731" t="s">
        <v>14</v>
      </c>
      <c r="C11731" t="s">
        <v>22</v>
      </c>
      <c r="D11731" s="2" t="s">
        <f>=HYPERLINK("https://main.knesset.gov.il/APPS/legislation/main/bills/2149292", "הצעת חוק זכויות הסטודנט (תיקון - הגבלת דמי רישום), התשפ""א-2020")</f>
        <v>22584</v>
      </c>
      <c r="E11731" t="s">
        <v>22584</v>
      </c>
      <c r="F11731" t="s">
        <v>22585</v>
      </c>
      <c r="G11731" t="s">
        <v>14</v>
      </c>
      <c r="H11731">
             </c>
      <c r="I11731" t="s">
        <v>14</v>
      </c>
      <c r="J11731" t="s">
        <v>141</v>
      </c>
      <c r="K11731" t="s">
        <v>14</v>
      </c>
      <c r="L11731" t="s">
        <v>20</v>
      </c>
      <c r="M11731" t="s">
        <v>22473</v>
      </c>
      <c r="N11731" t="s">
        <v>14</v>
      </c>
    </row>
    <row r="11732" x14ac:dyDescent="0.25">
      <c r="A11732" t="n">
        <v>23</v>
      </c>
      <c r="B11732" t="s">
        <v>14</v>
      </c>
      <c r="C11732" t="s">
        <v>22</v>
      </c>
      <c r="D11732" s="2" t="s">
        <f>=HYPERLINK("https://main.knesset.gov.il/APPS/legislation/main/bills/2150389", "הצעת חוק ההתייעלות הכלכלית (תיקוני חקיקה להשגת יעדי התקציב לשנות התקציב 2017 ו-2018) (תיקון - דחיית קיצור שירות הגברים בצה""ל), התשפ""א-2020")</f>
        <v>22586</v>
      </c>
      <c r="E11732" t="s">
        <v>22586</v>
      </c>
      <c r="F11732" t="s">
        <v>22587</v>
      </c>
      <c r="G11732" t="s">
        <v>14</v>
      </c>
      <c r="H11732">
             </c>
      <c r="I11732" t="s">
        <v>14</v>
      </c>
      <c r="J11732" t="s">
        <v>141</v>
      </c>
      <c r="K11732" t="s">
        <v>14</v>
      </c>
      <c r="L11732" t="s">
        <v>20</v>
      </c>
      <c r="M11732" t="s">
        <v>22473</v>
      </c>
      <c r="N11732" t="s">
        <v>14</v>
      </c>
    </row>
    <row r="11733" x14ac:dyDescent="0.25">
      <c r="A11733" t="n">
        <v>23</v>
      </c>
      <c r="B11733" t="s">
        <v>14</v>
      </c>
      <c r="C11733" t="s">
        <v>22</v>
      </c>
      <c r="D11733" s="2" t="s">
        <f>=HYPERLINK("https://main.knesset.gov.il/APPS/legislation/main/bills/2150375", "הצעת חוק לתיקון פקודת המשטרה (חובת לבישת מדים בהפגנות), התשפ""א-2020")</f>
        <v>22588</v>
      </c>
      <c r="E11733" t="s">
        <v>22588</v>
      </c>
      <c r="F11733" t="s">
        <v>22589</v>
      </c>
      <c r="G11733" t="s">
        <v>14</v>
      </c>
      <c r="H11733">
             </c>
      <c r="I11733" t="s">
        <v>14</v>
      </c>
      <c r="J11733" t="s">
        <v>141</v>
      </c>
      <c r="K11733" t="s">
        <v>14</v>
      </c>
      <c r="L11733" t="s">
        <v>20</v>
      </c>
      <c r="M11733" t="s">
        <v>22473</v>
      </c>
      <c r="N11733" t="s">
        <v>14</v>
      </c>
    </row>
    <row r="11734" x14ac:dyDescent="0.25">
      <c r="A11734" t="n">
        <v>23</v>
      </c>
      <c r="B11734" t="s">
        <v>14</v>
      </c>
      <c r="C11734" t="s">
        <v>22</v>
      </c>
      <c r="D11734" s="2" t="s">
        <f>=HYPERLINK("https://main.knesset.gov.il/APPS/legislation/main/bills/2143822", "הצעת חוק-יסוד: כבוד האדם וחירותו (תיקון מס' 2) (הזכות לשוויון)")</f>
        <v>22590</v>
      </c>
      <c r="E11734" t="s">
        <v>22590</v>
      </c>
      <c r="F11734" t="s">
        <v>22591</v>
      </c>
      <c r="G11734" t="s">
        <v>22592</v>
      </c>
      <c r="H11734">
             </c>
      <c r="I11734" t="s">
        <v>14</v>
      </c>
      <c r="J11734" t="s">
        <v>1141</v>
      </c>
      <c r="K11734" t="s">
        <v>121</v>
      </c>
      <c r="L11734" t="s">
        <v>20</v>
      </c>
      <c r="M11734" t="s">
        <v>22473</v>
      </c>
      <c r="N11734" t="s">
        <v>14</v>
      </c>
    </row>
    <row r="11735" x14ac:dyDescent="0.25">
      <c r="A11735" t="n">
        <v>23</v>
      </c>
      <c r="B11735" t="s">
        <v>14</v>
      </c>
      <c r="C11735" t="s">
        <v>22</v>
      </c>
      <c r="D11735" s="2" t="s">
        <f>=HYPERLINK("https://main.knesset.gov.il/APPS/legislation/main/bills/2142204", "הצעת חוק לתיקון סדרי המינהל (החלטות והנמקות) (תיקון מס' 5) (קיצור זמן התשובה לפניות ציבור), התשפ""א-2020")</f>
        <v>22593</v>
      </c>
      <c r="E11735" t="s">
        <v>22593</v>
      </c>
      <c r="F11735" t="s">
        <v>22594</v>
      </c>
      <c r="G11735" t="s">
        <v>22595</v>
      </c>
      <c r="H11735">
             </c>
      <c r="I11735" t="s">
        <v>14</v>
      </c>
      <c r="J11735" t="s">
        <v>18</v>
      </c>
      <c r="K11735" t="s">
        <v>27</v>
      </c>
      <c r="L11735" t="s">
        <v>20</v>
      </c>
      <c r="M11735" t="s">
        <v>22473</v>
      </c>
      <c r="N11735" t="s">
        <v>14</v>
      </c>
    </row>
    <row r="11736" x14ac:dyDescent="0.25">
      <c r="A11736" t="n">
        <v>23</v>
      </c>
      <c r="B11736" t="s">
        <v>14</v>
      </c>
      <c r="C11736" t="s">
        <v>22</v>
      </c>
      <c r="D11736" s="2" t="s">
        <f>=HYPERLINK("https://main.knesset.gov.il/APPS/legislation/main/bills/2085780", "הצעת חוק הרשות לפיתוח הנגב (תיקון מס' 5) (שינוי ההגדרה ""הנגב"" ותפקידי הרשות וסמכויותיה), התשפ""א-2020")</f>
        <v>22596</v>
      </c>
      <c r="E11736" t="s">
        <v>22596</v>
      </c>
      <c r="F11736" t="s">
        <v>22597</v>
      </c>
      <c r="G11736" t="s">
        <v>22598</v>
      </c>
      <c r="H11736">
             </c>
      <c r="I11736" t="s">
        <v>14</v>
      </c>
      <c r="J11736" t="s">
        <v>18</v>
      </c>
      <c r="K11736" t="s">
        <v>85</v>
      </c>
      <c r="L11736" t="s">
        <v>20</v>
      </c>
      <c r="M11736" t="s">
        <v>22473</v>
      </c>
      <c r="N11736" t="s">
        <v>14</v>
      </c>
    </row>
    <row r="11737" x14ac:dyDescent="0.25">
      <c r="A11737" t="n">
        <v>23</v>
      </c>
      <c r="B11737" t="s">
        <v>14</v>
      </c>
      <c r="C11737" t="s">
        <v>22</v>
      </c>
      <c r="D11737" s="2" t="s">
        <f>=HYPERLINK("https://main.knesset.gov.il/APPS/legislation/main/bills/2146938", "הצעת חוק יישובים ושכונות בהליכי הסדרה, התשפ""א-2020")</f>
        <v>22599</v>
      </c>
      <c r="E11737" t="s">
        <v>22599</v>
      </c>
      <c r="F11737" t="s">
        <v>22600</v>
      </c>
      <c r="G11737" t="s">
        <v>14</v>
      </c>
      <c r="H11737">
             </c>
      <c r="I11737" t="s">
        <v>14</v>
      </c>
      <c r="J11737" t="s">
        <v>60</v>
      </c>
      <c r="K11737" t="s">
        <v>14</v>
      </c>
      <c r="L11737" t="s">
        <v>20</v>
      </c>
      <c r="M11737" t="s">
        <v>22601</v>
      </c>
      <c r="N11737" t="s">
        <v>14</v>
      </c>
    </row>
    <row r="11738" x14ac:dyDescent="0.25">
      <c r="A11738" t="n">
        <v>23</v>
      </c>
      <c r="B11738" t="s">
        <v>14</v>
      </c>
      <c r="C11738" t="s">
        <v>22</v>
      </c>
      <c r="D11738" s="2" t="s">
        <f>=HYPERLINK("https://main.knesset.gov.il/APPS/legislation/main/bills/2141995", "הצעת חוק חוזה העבודה (הסדרי עבודה מרחוק), התש""ף-2020")</f>
        <v>22602</v>
      </c>
      <c r="E11738" t="s">
        <v>22602</v>
      </c>
      <c r="F11738" t="s">
        <v>22603</v>
      </c>
      <c r="G11738" t="s">
        <v>14</v>
      </c>
      <c r="H11738">
             </c>
      <c r="I11738" t="s">
        <v>14</v>
      </c>
      <c r="J11738" t="s">
        <v>60</v>
      </c>
      <c r="K11738" t="s">
        <v>14</v>
      </c>
      <c r="L11738" t="s">
        <v>20</v>
      </c>
      <c r="M11738" t="s">
        <v>22601</v>
      </c>
      <c r="N11738" t="s">
        <v>14</v>
      </c>
    </row>
    <row r="11739" x14ac:dyDescent="0.25">
      <c r="A11739" t="n">
        <v>23</v>
      </c>
      <c r="B11739" t="s">
        <v>14</v>
      </c>
      <c r="C11739" t="s">
        <v>22</v>
      </c>
      <c r="D11739" s="2" t="s">
        <f>=HYPERLINK("https://main.knesset.gov.il/APPS/legislation/main/bills/2086070", "הצעת חוק העונשין (תיקון - עבירה כלפי קשיש או חסר ישע), התש""ף-2020")</f>
        <v>22604</v>
      </c>
      <c r="E11739" t="s">
        <v>22604</v>
      </c>
      <c r="F11739" t="s">
        <v>22605</v>
      </c>
      <c r="G11739" t="s">
        <v>14</v>
      </c>
      <c r="H11739">
             </c>
      <c r="I11739" t="s">
        <v>14</v>
      </c>
      <c r="J11739" t="s">
        <v>60</v>
      </c>
      <c r="K11739" t="s">
        <v>14</v>
      </c>
      <c r="L11739" t="s">
        <v>20</v>
      </c>
      <c r="M11739" t="s">
        <v>22601</v>
      </c>
      <c r="N11739" t="s">
        <v>14</v>
      </c>
    </row>
    <row r="11740" x14ac:dyDescent="0.25">
      <c r="A11740" t="n">
        <v>23</v>
      </c>
      <c r="B11740" t="s">
        <v>14</v>
      </c>
      <c r="C11740" t="s">
        <v>22</v>
      </c>
      <c r="D11740" s="2" t="s">
        <f>=HYPERLINK("https://main.knesset.gov.il/APPS/legislation/main/bills/2142569", "הצעת חוק המקרקעין (תיקון - התקנת מתקן פוטו וולטאי), התש""ף-2020")</f>
        <v>22606</v>
      </c>
      <c r="E11740" t="s">
        <v>22606</v>
      </c>
      <c r="F11740" t="s">
        <v>22607</v>
      </c>
      <c r="G11740" t="s">
        <v>14</v>
      </c>
      <c r="H11740">
             </c>
      <c r="I11740" t="s">
        <v>14</v>
      </c>
      <c r="J11740" t="s">
        <v>99</v>
      </c>
      <c r="K11740" t="s">
        <v>14</v>
      </c>
      <c r="L11740" t="s">
        <v>20</v>
      </c>
      <c r="M11740" t="s">
        <v>22608</v>
      </c>
      <c r="N11740" t="s">
        <v>14</v>
      </c>
    </row>
    <row r="11741" x14ac:dyDescent="0.25">
      <c r="A11741" t="n">
        <v>23</v>
      </c>
      <c r="B11741" t="s">
        <v>14</v>
      </c>
      <c r="C11741" t="s">
        <v>22</v>
      </c>
      <c r="D11741" s="2" t="s">
        <f>=HYPERLINK("https://main.knesset.gov.il/APPS/legislation/main/bills/2085886", "הצעת חוק-יסוד: משאל עם (תיקון - יישובים באזור יהודה ושומרון)")</f>
        <v>19800</v>
      </c>
      <c r="E11741" t="s">
        <v>19800</v>
      </c>
      <c r="F11741" t="s">
        <v>22609</v>
      </c>
      <c r="G11741" t="s">
        <v>14</v>
      </c>
      <c r="H11741">
             </c>
      <c r="I11741" t="s">
        <v>14</v>
      </c>
      <c r="J11741" t="s">
        <v>60</v>
      </c>
      <c r="K11741" t="s">
        <v>14</v>
      </c>
      <c r="L11741" t="s">
        <v>20</v>
      </c>
      <c r="M11741" t="s">
        <v>22610</v>
      </c>
      <c r="N11741" t="s">
        <v>14</v>
      </c>
    </row>
    <row r="11742" x14ac:dyDescent="0.25">
      <c r="A11742" t="n">
        <v>23</v>
      </c>
      <c r="B11742" t="s">
        <v>14</v>
      </c>
      <c r="C11742" t="s">
        <v>22</v>
      </c>
      <c r="D11742" s="2" t="s">
        <f>=HYPERLINK("https://main.knesset.gov.il/APPS/legislation/main/bills/2140959", "הצעת חוק המרכז לגביית קנסות, אגרות והוצאות (תיקון - פיצויים שהוטלו על ידי בית משפט צבאי), התש""ף-2020")</f>
        <v>22611</v>
      </c>
      <c r="E11742" t="s">
        <v>22611</v>
      </c>
      <c r="F11742" t="s">
        <v>22612</v>
      </c>
      <c r="G11742" t="s">
        <v>14</v>
      </c>
      <c r="H11742">
             </c>
      <c r="I11742" t="s">
        <v>14</v>
      </c>
      <c r="J11742" t="s">
        <v>31</v>
      </c>
      <c r="K11742" t="s">
        <v>27</v>
      </c>
      <c r="L11742" t="s">
        <v>20</v>
      </c>
      <c r="M11742" t="s">
        <v>22610</v>
      </c>
      <c r="N11742" t="s">
        <v>14</v>
      </c>
    </row>
    <row r="11743" x14ac:dyDescent="0.25">
      <c r="A11743" t="n">
        <v>23</v>
      </c>
      <c r="B11743" t="s">
        <v>14</v>
      </c>
      <c r="C11743" t="s">
        <v>22</v>
      </c>
      <c r="D11743" s="2" t="s">
        <f>=HYPERLINK("https://main.knesset.gov.il/APPS/legislation/main/bills/2086219", "הצעת חוק ציון יום לאומי לתרומתה ולפועלה של העדה הדרוזית (תיקון - עיגון מעמדה של העדה הדרוזית כשוות זכויות במדינת ישראל), התש""ף-2020")</f>
        <v>22613</v>
      </c>
      <c r="E11743" t="s">
        <v>22613</v>
      </c>
      <c r="F11743" t="s">
        <v>22614</v>
      </c>
      <c r="G11743" t="s">
        <v>14</v>
      </c>
      <c r="H11743">
             </c>
      <c r="I11743" t="s">
        <v>14</v>
      </c>
      <c r="J11743" t="s">
        <v>31</v>
      </c>
      <c r="K11743" t="s">
        <v>34</v>
      </c>
      <c r="L11743" t="s">
        <v>20</v>
      </c>
      <c r="M11743" t="s">
        <v>22610</v>
      </c>
      <c r="N11743" t="s">
        <v>14</v>
      </c>
    </row>
    <row r="11744" x14ac:dyDescent="0.25">
      <c r="A11744" t="n">
        <v>23</v>
      </c>
      <c r="B11744" t="s">
        <v>14</v>
      </c>
      <c r="C11744" t="s">
        <v>22</v>
      </c>
      <c r="D11744" s="2" t="s">
        <f>=HYPERLINK("https://main.knesset.gov.il/APPS/legislation/main/bills/2148547", "חוק הכשרות המשפטית והאפוטרופסות (תיקון מס' 19), התשפ""א-2020")</f>
        <v>22615</v>
      </c>
      <c r="E11744" t="s">
        <v>22615</v>
      </c>
      <c r="F11744" t="s">
        <v>22616</v>
      </c>
      <c r="G11744" t="s">
        <v>22617</v>
      </c>
      <c r="H11744" t="n">
        <v>2879</v>
      </c>
      <c r="I11744" t="s">
        <v>14</v>
      </c>
      <c r="J11744" t="s">
        <v>91</v>
      </c>
      <c r="K11744" t="s">
        <v>5735</v>
      </c>
      <c r="L11744" t="s">
        <v>20</v>
      </c>
      <c r="M11744" t="s">
        <v>22610</v>
      </c>
      <c r="N11744" t="s">
        <v>14</v>
      </c>
    </row>
    <row r="11745" x14ac:dyDescent="0.25">
      <c r="A11745" t="n">
        <v>23</v>
      </c>
      <c r="B11745" t="s">
        <v>14</v>
      </c>
      <c r="C11745" t="s">
        <v>15</v>
      </c>
      <c r="D11745" s="2" t="s">
        <f>=HYPERLINK("https://main.knesset.gov.il/APPS/legislation/main/bills/2150292", "חוק המכינות הקדם-צבאיות (תיקון מס' 2), התשפ""א-2020 ")</f>
        <v>22618</v>
      </c>
      <c r="E11745" t="s">
        <v>22618</v>
      </c>
      <c r="F11745" t="s">
        <v>14</v>
      </c>
      <c r="G11745" t="s">
        <v>22619</v>
      </c>
      <c r="H11745" t="n">
        <v>2878</v>
      </c>
      <c r="I11745" t="s">
        <v>14</v>
      </c>
      <c r="J11745" t="s">
        <v>91</v>
      </c>
      <c r="K11745" t="s">
        <v>34</v>
      </c>
      <c r="L11745" t="s">
        <v>20</v>
      </c>
      <c r="M11745" t="s">
        <v>22610</v>
      </c>
      <c r="N11745" t="s">
        <v>14</v>
      </c>
    </row>
    <row r="11746" x14ac:dyDescent="0.25">
      <c r="A11746" t="n">
        <v>23</v>
      </c>
      <c r="B11746" t="s">
        <v>14</v>
      </c>
      <c r="C11746" t="s">
        <v>15</v>
      </c>
      <c r="D11746" s="2" t="s">
        <f>=HYPERLINK("https://main.knesset.gov.il/APPS/legislation/main/bills/2150149", "חוק שירותי תעופה (פיצוי וסיוע בשל ביטול טיסה או שינוי בתנאיה) (נגיף הקורונה החדש – הוראת שעה – תיקון) (תיקון מס' 2), התשפ""א-2020 ")</f>
        <v>22620</v>
      </c>
      <c r="E11746" t="s">
        <v>22620</v>
      </c>
      <c r="F11746" t="s">
        <v>14</v>
      </c>
      <c r="G11746" t="s">
        <v>22621</v>
      </c>
      <c r="H11746" t="n">
        <v>2877</v>
      </c>
      <c r="I11746" t="s">
        <v>14</v>
      </c>
      <c r="J11746" t="s">
        <v>91</v>
      </c>
      <c r="K11746" t="s">
        <v>19</v>
      </c>
      <c r="L11746" t="s">
        <v>20</v>
      </c>
      <c r="M11746" t="s">
        <v>22610</v>
      </c>
      <c r="N11746" t="s">
        <v>22622</v>
      </c>
    </row>
    <row r="11747" x14ac:dyDescent="0.25">
      <c r="A11747" t="n">
        <v>23</v>
      </c>
      <c r="B11747" t="s">
        <v>14</v>
      </c>
      <c r="C11747" t="s">
        <v>22</v>
      </c>
      <c r="D11747" s="2" t="s">
        <f>=HYPERLINK("https://main.knesset.gov.il/APPS/legislation/main/bills/2149787", "הצעת חוק להגדלת שיעור ההשתתפות בכוח העבודה ולצמצום פערים חברתיים (מענק עבודה) (תיקון - גיל העובד), התשפ""א-2020")</f>
        <v>22623</v>
      </c>
      <c r="E11747" t="s">
        <v>22623</v>
      </c>
      <c r="F11747" t="s">
        <v>22624</v>
      </c>
      <c r="G11747" t="s">
        <v>14</v>
      </c>
      <c r="H11747">
             </c>
      <c r="I11747" t="s">
        <v>14</v>
      </c>
      <c r="J11747" t="s">
        <v>141</v>
      </c>
      <c r="K11747" t="s">
        <v>14</v>
      </c>
      <c r="L11747" t="s">
        <v>20</v>
      </c>
      <c r="M11747" t="s">
        <v>22610</v>
      </c>
      <c r="N11747" t="s">
        <v>14</v>
      </c>
    </row>
    <row r="11748" x14ac:dyDescent="0.25">
      <c r="A11748" t="n">
        <v>23</v>
      </c>
      <c r="B11748" t="s">
        <v>14</v>
      </c>
      <c r="C11748" t="s">
        <v>22</v>
      </c>
      <c r="D11748" s="2" t="s">
        <f>=HYPERLINK("https://main.knesset.gov.il/APPS/legislation/main/bills/2149948", "הצעת חוק הביטוח הלאומי (תיקון - דמי מחלה לעובד עצמאי), התשפ""א-2020")</f>
        <v>22625</v>
      </c>
      <c r="E11748" t="s">
        <v>22625</v>
      </c>
      <c r="F11748" t="s">
        <v>22626</v>
      </c>
      <c r="G11748" t="s">
        <v>14</v>
      </c>
      <c r="H11748">
             </c>
      <c r="I11748" t="s">
        <v>14</v>
      </c>
      <c r="J11748" t="s">
        <v>141</v>
      </c>
      <c r="K11748" t="s">
        <v>14</v>
      </c>
      <c r="L11748" t="s">
        <v>20</v>
      </c>
      <c r="M11748" t="s">
        <v>22610</v>
      </c>
      <c r="N11748" t="s">
        <v>14</v>
      </c>
    </row>
    <row r="11749" x14ac:dyDescent="0.25">
      <c r="A11749" t="n">
        <v>23</v>
      </c>
      <c r="B11749" t="s">
        <v>14</v>
      </c>
      <c r="C11749" t="s">
        <v>22</v>
      </c>
      <c r="D11749" s="2" t="s">
        <f>=HYPERLINK("https://main.knesset.gov.il/APPS/legislation/main/bills/2146459", "הצעת חוק בחינת השקעות זרות, התשפ""א-2020")</f>
        <v>22627</v>
      </c>
      <c r="E11749" t="s">
        <v>22627</v>
      </c>
      <c r="F11749" t="s">
        <v>22628</v>
      </c>
      <c r="G11749" t="s">
        <v>14</v>
      </c>
      <c r="H11749">
             </c>
      <c r="I11749" t="s">
        <v>14</v>
      </c>
      <c r="J11749" t="s">
        <v>141</v>
      </c>
      <c r="K11749" t="s">
        <v>14</v>
      </c>
      <c r="L11749" t="s">
        <v>20</v>
      </c>
      <c r="M11749" t="s">
        <v>22610</v>
      </c>
      <c r="N11749" t="s">
        <v>14</v>
      </c>
    </row>
    <row r="11750" x14ac:dyDescent="0.25">
      <c r="A11750" t="n">
        <v>23</v>
      </c>
      <c r="B11750" t="s">
        <v>14</v>
      </c>
      <c r="C11750" t="s">
        <v>22</v>
      </c>
      <c r="D11750" s="2" t="s">
        <f>=HYPERLINK("https://main.knesset.gov.il/APPS/legislation/main/bills/2149634", "הצעת חוק-יסוד: משק המדינה (תיקון - איסור על סעיפים שאינם תקציביים בנושאי בריאות בחוק ההסדרים)")</f>
        <v>22629</v>
      </c>
      <c r="E11750" t="s">
        <v>22629</v>
      </c>
      <c r="F11750" t="s">
        <v>22630</v>
      </c>
      <c r="G11750" t="s">
        <v>14</v>
      </c>
      <c r="H11750">
             </c>
      <c r="I11750" t="s">
        <v>14</v>
      </c>
      <c r="J11750" t="s">
        <v>141</v>
      </c>
      <c r="K11750" t="s">
        <v>14</v>
      </c>
      <c r="L11750" t="s">
        <v>20</v>
      </c>
      <c r="M11750" t="s">
        <v>22610</v>
      </c>
      <c r="N11750" t="s">
        <v>14</v>
      </c>
    </row>
    <row r="11751" x14ac:dyDescent="0.25">
      <c r="A11751" t="n">
        <v>23</v>
      </c>
      <c r="B11751" t="s">
        <v>14</v>
      </c>
      <c r="C11751" t="s">
        <v>22</v>
      </c>
      <c r="D11751" s="2" t="s">
        <f>=HYPERLINK("https://main.knesset.gov.il/APPS/legislation/main/bills/2149639", "הצעת חוק חובת המכרזים (תיקון - חובת עריכת מכרז סגור בחלוקת מגרשים), התשפ""א-2020")</f>
        <v>22631</v>
      </c>
      <c r="E11751" t="s">
        <v>22631</v>
      </c>
      <c r="F11751" t="s">
        <v>22632</v>
      </c>
      <c r="G11751" t="s">
        <v>14</v>
      </c>
      <c r="H11751">
             </c>
      <c r="I11751" t="s">
        <v>14</v>
      </c>
      <c r="J11751" t="s">
        <v>141</v>
      </c>
      <c r="K11751" t="s">
        <v>14</v>
      </c>
      <c r="L11751" t="s">
        <v>20</v>
      </c>
      <c r="M11751" t="s">
        <v>22610</v>
      </c>
      <c r="N11751" t="s">
        <v>14</v>
      </c>
    </row>
    <row r="11752" x14ac:dyDescent="0.25">
      <c r="A11752" t="n">
        <v>23</v>
      </c>
      <c r="B11752" t="s">
        <v>14</v>
      </c>
      <c r="C11752" t="s">
        <v>22</v>
      </c>
      <c r="D11752" s="2" t="s">
        <f>=HYPERLINK("https://main.knesset.gov.il/APPS/legislation/main/bills/2150255", "הצעת חוק חיסיון על טיפול נפשי בהליכים משפטיים שעניינם עבירות מין (תיקוני חקיקה), התשפ""א-2020")</f>
        <v>22633</v>
      </c>
      <c r="E11752" t="s">
        <v>22633</v>
      </c>
      <c r="F11752" t="s">
        <v>22634</v>
      </c>
      <c r="G11752" t="s">
        <v>14</v>
      </c>
      <c r="H11752">
             </c>
      <c r="I11752" t="s">
        <v>14</v>
      </c>
      <c r="J11752" t="s">
        <v>141</v>
      </c>
      <c r="K11752" t="s">
        <v>14</v>
      </c>
      <c r="L11752" t="s">
        <v>20</v>
      </c>
      <c r="M11752" t="s">
        <v>22610</v>
      </c>
      <c r="N11752" t="s">
        <v>14</v>
      </c>
    </row>
    <row r="11753" x14ac:dyDescent="0.25">
      <c r="A11753" t="n">
        <v>23</v>
      </c>
      <c r="B11753" t="s">
        <v>14</v>
      </c>
      <c r="C11753" t="s">
        <v>22</v>
      </c>
      <c r="D11753" s="2" t="s">
        <f>=HYPERLINK("https://main.knesset.gov.il/APPS/legislation/main/bills/2149648", "הצעת חוק לתיקון פקודת סדרי השלטון והמשפט (ימי מנוחה), התשפ""א-2020")</f>
        <v>22635</v>
      </c>
      <c r="E11753" t="s">
        <v>22635</v>
      </c>
      <c r="F11753" t="s">
        <v>22636</v>
      </c>
      <c r="G11753" t="s">
        <v>14</v>
      </c>
      <c r="H11753">
             </c>
      <c r="I11753" t="s">
        <v>14</v>
      </c>
      <c r="J11753" t="s">
        <v>141</v>
      </c>
      <c r="K11753" t="s">
        <v>14</v>
      </c>
      <c r="L11753" t="s">
        <v>20</v>
      </c>
      <c r="M11753" t="s">
        <v>22610</v>
      </c>
      <c r="N11753" t="s">
        <v>14</v>
      </c>
    </row>
    <row r="11754" x14ac:dyDescent="0.25">
      <c r="A11754" t="n">
        <v>23</v>
      </c>
      <c r="B11754" t="s">
        <v>14</v>
      </c>
      <c r="C11754" t="s">
        <v>22</v>
      </c>
      <c r="D11754" s="2" t="s">
        <f>=HYPERLINK("https://main.knesset.gov.il/APPS/legislation/main/bills/2145389", "הצעת חוק חובת המכרזים (תיקון - עידוד עסקים להעסקת בני החברה הערבית והחרדית), התשפ""א-2020")</f>
        <v>22637</v>
      </c>
      <c r="E11754" t="s">
        <v>22637</v>
      </c>
      <c r="F11754" t="s">
        <v>22638</v>
      </c>
      <c r="G11754" t="s">
        <v>14</v>
      </c>
      <c r="H11754">
             </c>
      <c r="I11754" t="s">
        <v>14</v>
      </c>
      <c r="J11754" t="s">
        <v>141</v>
      </c>
      <c r="K11754" t="s">
        <v>14</v>
      </c>
      <c r="L11754" t="s">
        <v>20</v>
      </c>
      <c r="M11754" t="s">
        <v>22610</v>
      </c>
      <c r="N11754" t="s">
        <v>14</v>
      </c>
    </row>
    <row r="11755" x14ac:dyDescent="0.25">
      <c r="A11755" t="n">
        <v>23</v>
      </c>
      <c r="B11755" t="s">
        <v>14</v>
      </c>
      <c r="C11755" t="s">
        <v>22</v>
      </c>
      <c r="D11755" s="2" t="s">
        <f>=HYPERLINK("https://main.knesset.gov.il/APPS/legislation/main/bills/2147794", "הצעת חוק העונשין (תיקון – החמרת ענישה בפשיעה חקלאית), התשפ""א–2020")</f>
        <v>22639</v>
      </c>
      <c r="E11755" t="s">
        <v>22639</v>
      </c>
      <c r="F11755" t="s">
        <v>22640</v>
      </c>
      <c r="G11755" t="s">
        <v>14</v>
      </c>
      <c r="H11755">
             </c>
      <c r="I11755" t="s">
        <v>14</v>
      </c>
      <c r="J11755" t="s">
        <v>141</v>
      </c>
      <c r="K11755" t="s">
        <v>14</v>
      </c>
      <c r="L11755" t="s">
        <v>20</v>
      </c>
      <c r="M11755" t="s">
        <v>22610</v>
      </c>
      <c r="N11755" t="s">
        <v>14</v>
      </c>
    </row>
    <row r="11756" x14ac:dyDescent="0.25">
      <c r="A11756" t="n">
        <v>23</v>
      </c>
      <c r="B11756" t="s">
        <v>14</v>
      </c>
      <c r="C11756" t="s">
        <v>22</v>
      </c>
      <c r="D11756" s="2" t="s">
        <f>=HYPERLINK("https://main.knesset.gov.il/APPS/legislation/main/bills/2148713", "הצעת חוק היתר כניסה לעסקים בתקופת הקורונה (הוראת שעה), התשפ""א-2020")</f>
        <v>22641</v>
      </c>
      <c r="E11756" t="s">
        <v>22641</v>
      </c>
      <c r="F11756" t="s">
        <v>22642</v>
      </c>
      <c r="G11756" t="s">
        <v>14</v>
      </c>
      <c r="H11756">
             </c>
      <c r="I11756" t="s">
        <v>14</v>
      </c>
      <c r="J11756" t="s">
        <v>141</v>
      </c>
      <c r="K11756" t="s">
        <v>14</v>
      </c>
      <c r="L11756" t="s">
        <v>20</v>
      </c>
      <c r="M11756" t="s">
        <v>22610</v>
      </c>
      <c r="N11756" t="s">
        <v>14</v>
      </c>
    </row>
    <row r="11757" x14ac:dyDescent="0.25">
      <c r="A11757" t="n">
        <v>23</v>
      </c>
      <c r="B11757" t="s">
        <v>14</v>
      </c>
      <c r="C11757" t="s">
        <v>22</v>
      </c>
      <c r="D11757" s="2" t="s">
        <f>=HYPERLINK("https://main.knesset.gov.il/APPS/legislation/main/bills/2150633", "הצעת חוק הנכים (תגמולים ושיקום) (תיקון - ביטול מבחן הכנסה), התשפ""א-2020")</f>
        <v>22643</v>
      </c>
      <c r="E11757" t="s">
        <v>22643</v>
      </c>
      <c r="F11757" t="s">
        <v>22644</v>
      </c>
      <c r="G11757" t="s">
        <v>14</v>
      </c>
      <c r="H11757">
             </c>
      <c r="I11757" t="s">
        <v>14</v>
      </c>
      <c r="J11757" t="s">
        <v>141</v>
      </c>
      <c r="K11757" t="s">
        <v>14</v>
      </c>
      <c r="L11757" t="s">
        <v>20</v>
      </c>
      <c r="M11757" t="s">
        <v>22610</v>
      </c>
      <c r="N11757" t="s">
        <v>14</v>
      </c>
    </row>
    <row r="11758" x14ac:dyDescent="0.25">
      <c r="A11758" t="n">
        <v>23</v>
      </c>
      <c r="B11758" t="s">
        <v>14</v>
      </c>
      <c r="C11758" t="s">
        <v>22</v>
      </c>
      <c r="D11758" s="2" t="s">
        <f>=HYPERLINK("https://main.knesset.gov.il/APPS/legislation/main/bills/2149979", "הצעת חוק הרשות הלאומית למאבק בעוני, התשפ""א-2020")</f>
        <v>22645</v>
      </c>
      <c r="E11758" t="s">
        <v>22645</v>
      </c>
      <c r="F11758" t="s">
        <v>22646</v>
      </c>
      <c r="G11758" t="s">
        <v>14</v>
      </c>
      <c r="H11758">
             </c>
      <c r="I11758" t="s">
        <v>14</v>
      </c>
      <c r="J11758" t="s">
        <v>141</v>
      </c>
      <c r="K11758" t="s">
        <v>14</v>
      </c>
      <c r="L11758" t="s">
        <v>20</v>
      </c>
      <c r="M11758" t="s">
        <v>22610</v>
      </c>
      <c r="N11758" t="s">
        <v>14</v>
      </c>
    </row>
    <row r="11759" x14ac:dyDescent="0.25">
      <c r="A11759" t="n">
        <v>23</v>
      </c>
      <c r="B11759" t="s">
        <v>14</v>
      </c>
      <c r="C11759" t="s">
        <v>22</v>
      </c>
      <c r="D11759" s="2" t="s">
        <f>=HYPERLINK("https://main.knesset.gov.il/APPS/legislation/main/bills/2149967", "הצעת חוק הביטוח הלאומי (תיקון - שיתוף פעולה מצד המעסיק), התשפ""א-2020")</f>
        <v>22647</v>
      </c>
      <c r="E11759" t="s">
        <v>22647</v>
      </c>
      <c r="F11759" t="s">
        <v>22648</v>
      </c>
      <c r="G11759" t="s">
        <v>14</v>
      </c>
      <c r="H11759">
             </c>
      <c r="I11759" t="s">
        <v>14</v>
      </c>
      <c r="J11759" t="s">
        <v>141</v>
      </c>
      <c r="K11759" t="s">
        <v>14</v>
      </c>
      <c r="L11759" t="s">
        <v>20</v>
      </c>
      <c r="M11759" t="s">
        <v>22610</v>
      </c>
      <c r="N11759" t="s">
        <v>14</v>
      </c>
    </row>
    <row r="11760" x14ac:dyDescent="0.25">
      <c r="A11760" t="n">
        <v>23</v>
      </c>
      <c r="B11760" t="s">
        <v>14</v>
      </c>
      <c r="C11760" t="s">
        <v>22</v>
      </c>
      <c r="D11760" s="2" t="s">
        <f>=HYPERLINK("https://main.knesset.gov.il/APPS/legislation/main/bills/2149949", "הצעת חוק הביטוח הלאומי (תיקון - דמי פגיעה לעצמאי), התשפ""א-2020")</f>
        <v>22649</v>
      </c>
      <c r="E11760" t="s">
        <v>22649</v>
      </c>
      <c r="F11760" t="s">
        <v>22650</v>
      </c>
      <c r="G11760" t="s">
        <v>14</v>
      </c>
      <c r="H11760">
             </c>
      <c r="I11760" t="s">
        <v>14</v>
      </c>
      <c r="J11760" t="s">
        <v>141</v>
      </c>
      <c r="K11760" t="s">
        <v>14</v>
      </c>
      <c r="L11760" t="s">
        <v>20</v>
      </c>
      <c r="M11760" t="s">
        <v>22610</v>
      </c>
      <c r="N11760" t="s">
        <v>14</v>
      </c>
    </row>
    <row r="11761" x14ac:dyDescent="0.25">
      <c r="A11761" t="n">
        <v>23</v>
      </c>
      <c r="B11761" t="s">
        <v>14</v>
      </c>
      <c r="C11761" t="s">
        <v>22</v>
      </c>
      <c r="D11761" s="2" t="s">
        <f>=HYPERLINK("https://main.knesset.gov.il/APPS/legislation/main/bills/2149897", "הצעת חוק ביטוח בריאות ממלכתי (תיקון - מימוש מרשם בכל בית מרקחת), התשפ""א-2020")</f>
        <v>22651</v>
      </c>
      <c r="E11761" t="s">
        <v>22651</v>
      </c>
      <c r="F11761" t="s">
        <v>22652</v>
      </c>
      <c r="G11761" t="s">
        <v>14</v>
      </c>
      <c r="H11761">
             </c>
      <c r="I11761" t="s">
        <v>14</v>
      </c>
      <c r="J11761" t="s">
        <v>141</v>
      </c>
      <c r="K11761" t="s">
        <v>14</v>
      </c>
      <c r="L11761" t="s">
        <v>20</v>
      </c>
      <c r="M11761" t="s">
        <v>22610</v>
      </c>
      <c r="N11761" t="s">
        <v>14</v>
      </c>
    </row>
    <row r="11762" x14ac:dyDescent="0.25">
      <c r="A11762" t="n">
        <v>23</v>
      </c>
      <c r="B11762" t="s">
        <v>14</v>
      </c>
      <c r="C11762" t="s">
        <v>22</v>
      </c>
      <c r="D11762" s="2" t="s">
        <f>=HYPERLINK("https://main.knesset.gov.il/APPS/legislation/main/bills/2149894", "הצעת חוק הביטוח הלאומי (תיקון - ביטוח זכויות עצמאי שעיקר הכנסתו מעסק בהליכי חדלות פירעון), התשפ""א-2020")</f>
        <v>22653</v>
      </c>
      <c r="E11762" t="s">
        <v>22653</v>
      </c>
      <c r="F11762" t="s">
        <v>22654</v>
      </c>
      <c r="G11762" t="s">
        <v>14</v>
      </c>
      <c r="H11762">
             </c>
      <c r="I11762" t="s">
        <v>14</v>
      </c>
      <c r="J11762" t="s">
        <v>141</v>
      </c>
      <c r="K11762" t="s">
        <v>14</v>
      </c>
      <c r="L11762" t="s">
        <v>20</v>
      </c>
      <c r="M11762" t="s">
        <v>22610</v>
      </c>
      <c r="N11762" t="s">
        <v>14</v>
      </c>
    </row>
    <row r="11763" x14ac:dyDescent="0.25">
      <c r="A11763" t="n">
        <v>23</v>
      </c>
      <c r="B11763" t="s">
        <v>14</v>
      </c>
      <c r="C11763" t="s">
        <v>22</v>
      </c>
      <c r="D11763" s="2" t="s">
        <f>=HYPERLINK("https://main.knesset.gov.il/APPS/legislation/main/bills/2150252", "הצעת חוק זכויות הסטודנט (תיקון - התאמות לבני זוג של משרתי מילואים), התשפ""א-2020")</f>
        <v>22655</v>
      </c>
      <c r="E11763" t="s">
        <v>22655</v>
      </c>
      <c r="F11763" t="s">
        <v>22656</v>
      </c>
      <c r="G11763" t="s">
        <v>14</v>
      </c>
      <c r="H11763">
             </c>
      <c r="I11763" t="s">
        <v>14</v>
      </c>
      <c r="J11763" t="s">
        <v>141</v>
      </c>
      <c r="K11763" t="s">
        <v>14</v>
      </c>
      <c r="L11763" t="s">
        <v>20</v>
      </c>
      <c r="M11763" t="s">
        <v>22610</v>
      </c>
      <c r="N11763" t="s">
        <v>14</v>
      </c>
    </row>
    <row r="11764" x14ac:dyDescent="0.25">
      <c r="A11764" t="n">
        <v>23</v>
      </c>
      <c r="B11764" t="s">
        <v>14</v>
      </c>
      <c r="C11764" t="s">
        <v>22</v>
      </c>
      <c r="D11764" s="2" t="s">
        <f>=HYPERLINK("https://main.knesset.gov.il/APPS/legislation/main/bills/2144495", "הצעת חוק להגדלת היצע מעונות סטודנטים, התשפ""א-2020")</f>
        <v>22657</v>
      </c>
      <c r="E11764" t="s">
        <v>22657</v>
      </c>
      <c r="F11764" t="s">
        <v>22658</v>
      </c>
      <c r="G11764" t="s">
        <v>14</v>
      </c>
      <c r="H11764">
             </c>
      <c r="I11764" t="s">
        <v>14</v>
      </c>
      <c r="J11764" t="s">
        <v>141</v>
      </c>
      <c r="K11764" t="s">
        <v>14</v>
      </c>
      <c r="L11764" t="s">
        <v>20</v>
      </c>
      <c r="M11764" t="s">
        <v>22610</v>
      </c>
      <c r="N11764" t="s">
        <v>14</v>
      </c>
    </row>
    <row r="11765" x14ac:dyDescent="0.25">
      <c r="A11765" t="n">
        <v>23</v>
      </c>
      <c r="B11765" t="s">
        <v>14</v>
      </c>
      <c r="C11765" t="s">
        <v>22</v>
      </c>
      <c r="D11765" s="2" t="s">
        <f>=HYPERLINK("https://main.knesset.gov.il/APPS/legislation/main/bills/2149903", "הצעת חוק הביטוח הלאומי (תיקון - הצמדת קצבת אזרח ותיק לשכר הממוצע במשק), התשפ""א-2020")</f>
        <v>22659</v>
      </c>
      <c r="E11765" t="s">
        <v>22659</v>
      </c>
      <c r="F11765" t="s">
        <v>22660</v>
      </c>
      <c r="G11765" t="s">
        <v>14</v>
      </c>
      <c r="H11765">
             </c>
      <c r="I11765" t="s">
        <v>14</v>
      </c>
      <c r="J11765" t="s">
        <v>141</v>
      </c>
      <c r="K11765" t="s">
        <v>14</v>
      </c>
      <c r="L11765" t="s">
        <v>20</v>
      </c>
      <c r="M11765" t="s">
        <v>22610</v>
      </c>
      <c r="N11765" t="s">
        <v>14</v>
      </c>
    </row>
    <row r="11766" x14ac:dyDescent="0.25">
      <c r="A11766" t="n">
        <v>23</v>
      </c>
      <c r="B11766" t="s">
        <v>14</v>
      </c>
      <c r="C11766" t="s">
        <v>22</v>
      </c>
      <c r="D11766" s="2" t="s">
        <f>=HYPERLINK("https://main.knesset.gov.il/APPS/legislation/main/bills/2149883", "הצעת חוק הביטוח הלאומי (תיקון - הארכת תקופת הזכאות לדמי אבטלה לצעירים), התשפ""א-2020")</f>
        <v>22661</v>
      </c>
      <c r="E11766" t="s">
        <v>22661</v>
      </c>
      <c r="F11766" t="s">
        <v>22662</v>
      </c>
      <c r="G11766" t="s">
        <v>14</v>
      </c>
      <c r="H11766">
             </c>
      <c r="I11766" t="s">
        <v>14</v>
      </c>
      <c r="J11766" t="s">
        <v>141</v>
      </c>
      <c r="K11766" t="s">
        <v>14</v>
      </c>
      <c r="L11766" t="s">
        <v>20</v>
      </c>
      <c r="M11766" t="s">
        <v>22610</v>
      </c>
      <c r="N11766" t="s">
        <v>14</v>
      </c>
    </row>
    <row r="11767" x14ac:dyDescent="0.25">
      <c r="A11767" t="n">
        <v>23</v>
      </c>
      <c r="B11767" t="s">
        <v>14</v>
      </c>
      <c r="C11767" t="s">
        <v>22</v>
      </c>
      <c r="D11767" s="2" t="s">
        <f>=HYPERLINK("https://main.knesset.gov.il/APPS/legislation/main/bills/2148674", "הצעת חוק שכר מינימום (תיקון - הצמדת שכר המינימום למדד המחירים לצרכן), התשפ""א-2020")</f>
        <v>22663</v>
      </c>
      <c r="E11767" t="s">
        <v>22663</v>
      </c>
      <c r="F11767" t="s">
        <v>22664</v>
      </c>
      <c r="G11767" t="s">
        <v>14</v>
      </c>
      <c r="H11767">
             </c>
      <c r="I11767" t="s">
        <v>14</v>
      </c>
      <c r="J11767" t="s">
        <v>141</v>
      </c>
      <c r="K11767" t="s">
        <v>14</v>
      </c>
      <c r="L11767" t="s">
        <v>20</v>
      </c>
      <c r="M11767" t="s">
        <v>22610</v>
      </c>
      <c r="N11767" t="s">
        <v>14</v>
      </c>
    </row>
    <row r="11768" x14ac:dyDescent="0.25">
      <c r="A11768" t="n">
        <v>23</v>
      </c>
      <c r="B11768" t="s">
        <v>14</v>
      </c>
      <c r="C11768" t="s">
        <v>22</v>
      </c>
      <c r="D11768" s="2" t="s">
        <f>=HYPERLINK("https://main.knesset.gov.il/APPS/legislation/main/bills/2148895", "הצעת חוק דוד בן-גוריון (תיקון - מרכז בן-גוריון), התשפ""א-2020")</f>
        <v>22665</v>
      </c>
      <c r="E11768" t="s">
        <v>22665</v>
      </c>
      <c r="F11768" t="s">
        <v>22666</v>
      </c>
      <c r="G11768" t="s">
        <v>14</v>
      </c>
      <c r="H11768">
             </c>
      <c r="I11768" t="s">
        <v>14</v>
      </c>
      <c r="J11768" t="s">
        <v>141</v>
      </c>
      <c r="K11768" t="s">
        <v>14</v>
      </c>
      <c r="L11768" t="s">
        <v>20</v>
      </c>
      <c r="M11768" t="s">
        <v>22610</v>
      </c>
      <c r="N11768" t="s">
        <v>14</v>
      </c>
    </row>
    <row r="11769" x14ac:dyDescent="0.25">
      <c r="A11769" t="n">
        <v>23</v>
      </c>
      <c r="B11769" t="s">
        <v>14</v>
      </c>
      <c r="C11769" t="s">
        <v>22</v>
      </c>
      <c r="D11769" s="2" t="s">
        <f>=HYPERLINK("https://main.knesset.gov.il/APPS/legislation/main/bills/2150436", "הצעת חוק הכניסה לישראל (תיקון - הארכת רישיונות עובדים זרים בתחום הסיעוד מטעמים הומניטריים מיוחדים וחריגים)(הוראת שעה), התשפ""א-2020")</f>
        <v>22667</v>
      </c>
      <c r="E11769" t="s">
        <v>22667</v>
      </c>
      <c r="F11769" t="s">
        <v>22668</v>
      </c>
      <c r="G11769" t="s">
        <v>14</v>
      </c>
      <c r="H11769">
             </c>
      <c r="I11769" t="s">
        <v>14</v>
      </c>
      <c r="J11769" t="s">
        <v>141</v>
      </c>
      <c r="K11769" t="s">
        <v>14</v>
      </c>
      <c r="L11769" t="s">
        <v>20</v>
      </c>
      <c r="M11769" t="s">
        <v>22610</v>
      </c>
      <c r="N11769" t="s">
        <v>14</v>
      </c>
    </row>
    <row r="11770" x14ac:dyDescent="0.25">
      <c r="A11770" t="n">
        <v>23</v>
      </c>
      <c r="B11770" t="s">
        <v>14</v>
      </c>
      <c r="C11770" t="s">
        <v>22</v>
      </c>
      <c r="D11770" s="2" t="s">
        <f>=HYPERLINK("https://main.knesset.gov.il/APPS/legislation/main/bills/2149672", "הצעת חוק לתיקון פקודת העיריות (הגבלת התקשרות בחוזה של נושאי משרה ועובדים בכירים), התשפ""א-2020")</f>
        <v>22669</v>
      </c>
      <c r="E11770" t="s">
        <v>22669</v>
      </c>
      <c r="F11770" t="s">
        <v>22670</v>
      </c>
      <c r="G11770" t="s">
        <v>14</v>
      </c>
      <c r="H11770">
             </c>
      <c r="I11770" t="s">
        <v>14</v>
      </c>
      <c r="J11770" t="s">
        <v>141</v>
      </c>
      <c r="K11770" t="s">
        <v>14</v>
      </c>
      <c r="L11770" t="s">
        <v>20</v>
      </c>
      <c r="M11770" t="s">
        <v>22610</v>
      </c>
      <c r="N11770" t="s">
        <v>14</v>
      </c>
    </row>
    <row r="11771" x14ac:dyDescent="0.25">
      <c r="A11771" t="n">
        <v>23</v>
      </c>
      <c r="B11771" t="s">
        <v>14</v>
      </c>
      <c r="C11771" t="s">
        <v>22</v>
      </c>
      <c r="D11771" s="2" t="s">
        <f>=HYPERLINK("https://main.knesset.gov.il/APPS/legislation/main/bills/2149345", "הצעת חוק רמת הגולן (תיקון - ביטול החוק), התשפ""א-2020")</f>
        <v>22671</v>
      </c>
      <c r="E11771" t="s">
        <v>22671</v>
      </c>
      <c r="F11771" t="s">
        <v>22672</v>
      </c>
      <c r="G11771" t="s">
        <v>14</v>
      </c>
      <c r="H11771">
             </c>
      <c r="I11771" t="s">
        <v>14</v>
      </c>
      <c r="J11771" t="s">
        <v>141</v>
      </c>
      <c r="K11771" t="s">
        <v>14</v>
      </c>
      <c r="L11771" t="s">
        <v>20</v>
      </c>
      <c r="M11771" t="s">
        <v>22610</v>
      </c>
      <c r="N11771" t="s">
        <v>14</v>
      </c>
    </row>
    <row r="11772" x14ac:dyDescent="0.25">
      <c r="A11772" t="n">
        <v>23</v>
      </c>
      <c r="B11772" t="s">
        <v>14</v>
      </c>
      <c r="C11772" t="s">
        <v>22</v>
      </c>
      <c r="D11772" s="2" t="s">
        <f>=HYPERLINK("https://main.knesset.gov.il/APPS/legislation/main/bills/2149971", "הצעת חוק שוויון זכויות לאנשים עם מוגבלות (תיקון - כרטיס קדימות), התשפ""א-2020")</f>
        <v>22673</v>
      </c>
      <c r="E11772" t="s">
        <v>22673</v>
      </c>
      <c r="F11772" t="s">
        <v>22674</v>
      </c>
      <c r="G11772" t="s">
        <v>14</v>
      </c>
      <c r="H11772">
             </c>
      <c r="I11772" t="s">
        <v>14</v>
      </c>
      <c r="J11772" t="s">
        <v>141</v>
      </c>
      <c r="K11772" t="s">
        <v>14</v>
      </c>
      <c r="L11772" t="s">
        <v>20</v>
      </c>
      <c r="M11772" t="s">
        <v>22610</v>
      </c>
      <c r="N11772" t="s">
        <v>14</v>
      </c>
    </row>
    <row r="11773" x14ac:dyDescent="0.25">
      <c r="A11773" t="n">
        <v>23</v>
      </c>
      <c r="B11773" t="s">
        <v>14</v>
      </c>
      <c r="C11773" t="s">
        <v>22</v>
      </c>
      <c r="D11773" s="2" t="s">
        <f>=HYPERLINK("https://main.knesset.gov.il/APPS/legislation/main/bills/2148658", "הצעת חוק עסקאות גופים ציבוריים (תיקון - מניעת העסקה במיקור חוץ בשירות הציבורי), התשפ""א-2020")</f>
        <v>22675</v>
      </c>
      <c r="E11773" t="s">
        <v>22675</v>
      </c>
      <c r="F11773" t="s">
        <v>22676</v>
      </c>
      <c r="G11773" t="s">
        <v>14</v>
      </c>
      <c r="H11773">
             </c>
      <c r="I11773" t="s">
        <v>14</v>
      </c>
      <c r="J11773" t="s">
        <v>141</v>
      </c>
      <c r="K11773" t="s">
        <v>14</v>
      </c>
      <c r="L11773" t="s">
        <v>20</v>
      </c>
      <c r="M11773" t="s">
        <v>22610</v>
      </c>
      <c r="N11773" t="s">
        <v>14</v>
      </c>
    </row>
    <row r="11774" x14ac:dyDescent="0.25">
      <c r="A11774" t="n">
        <v>23</v>
      </c>
      <c r="B11774" t="s">
        <v>14</v>
      </c>
      <c r="C11774" t="s">
        <v>22</v>
      </c>
      <c r="D11774" s="2" t="s">
        <f>=HYPERLINK("https://main.knesset.gov.il/APPS/legislation/main/bills/2148758", "הצעת חוק ביטוח בריאות ממלכתי (תיקון - חובת יידוע מבוטח בדבר ביצוע בדיקה לגילוי מוקדם של מחלה ממאירה), התשפ""א-2020")</f>
        <v>22677</v>
      </c>
      <c r="E11774" t="s">
        <v>22677</v>
      </c>
      <c r="F11774" t="s">
        <v>22678</v>
      </c>
      <c r="G11774" t="s">
        <v>14</v>
      </c>
      <c r="H11774">
             </c>
      <c r="I11774" t="s">
        <v>14</v>
      </c>
      <c r="J11774" t="s">
        <v>141</v>
      </c>
      <c r="K11774" t="s">
        <v>14</v>
      </c>
      <c r="L11774" t="s">
        <v>20</v>
      </c>
      <c r="M11774" t="s">
        <v>22610</v>
      </c>
      <c r="N11774" t="s">
        <v>14</v>
      </c>
    </row>
    <row r="11775" x14ac:dyDescent="0.25">
      <c r="A11775" t="n">
        <v>23</v>
      </c>
      <c r="B11775" t="s">
        <v>14</v>
      </c>
      <c r="C11775" t="s">
        <v>22</v>
      </c>
      <c r="D11775" s="2" t="s">
        <f>=HYPERLINK("https://main.knesset.gov.il/APPS/legislation/main/bills/2149983", "הצעת חוק לתיקון פקודת מס הכנסה (זיכוי בשל הוצאות אלזכא), התשפ""א-2020")</f>
        <v>22679</v>
      </c>
      <c r="E11775" t="s">
        <v>22679</v>
      </c>
      <c r="F11775" t="s">
        <v>22680</v>
      </c>
      <c r="G11775" t="s">
        <v>14</v>
      </c>
      <c r="H11775">
             </c>
      <c r="I11775" t="s">
        <v>14</v>
      </c>
      <c r="J11775" t="s">
        <v>141</v>
      </c>
      <c r="K11775" t="s">
        <v>14</v>
      </c>
      <c r="L11775" t="s">
        <v>20</v>
      </c>
      <c r="M11775" t="s">
        <v>22610</v>
      </c>
      <c r="N11775" t="s">
        <v>14</v>
      </c>
    </row>
    <row r="11776" x14ac:dyDescent="0.25">
      <c r="A11776" t="n">
        <v>23</v>
      </c>
      <c r="B11776" t="s">
        <v>14</v>
      </c>
      <c r="C11776" t="s">
        <v>22</v>
      </c>
      <c r="D11776" s="2" t="s">
        <f>=HYPERLINK("https://main.knesset.gov.il/APPS/legislation/main/bills/2149942", "הצעת חוק יסודות התקציב (תיקון - אישור נוהל הגשת בקשות תמיכה), התשפ""א-2020")</f>
        <v>22681</v>
      </c>
      <c r="E11776" t="s">
        <v>22681</v>
      </c>
      <c r="F11776" t="s">
        <v>22682</v>
      </c>
      <c r="G11776" t="s">
        <v>14</v>
      </c>
      <c r="H11776">
             </c>
      <c r="I11776" t="s">
        <v>14</v>
      </c>
      <c r="J11776" t="s">
        <v>141</v>
      </c>
      <c r="K11776" t="s">
        <v>14</v>
      </c>
      <c r="L11776" t="s">
        <v>20</v>
      </c>
      <c r="M11776" t="s">
        <v>22610</v>
      </c>
      <c r="N11776" t="s">
        <v>14</v>
      </c>
    </row>
    <row r="11777" x14ac:dyDescent="0.25">
      <c r="A11777" t="n">
        <v>23</v>
      </c>
      <c r="B11777" t="s">
        <v>14</v>
      </c>
      <c r="C11777" t="s">
        <v>22</v>
      </c>
      <c r="D11777" s="2" t="s">
        <f>=HYPERLINK("https://main.knesset.gov.il/APPS/legislation/main/bills/2148650", "הצעת חוק לתיקון פקודת בריאות העם (חובת החזרת גופות), התשפ""א-2020")</f>
        <v>22683</v>
      </c>
      <c r="E11777" t="s">
        <v>22683</v>
      </c>
      <c r="F11777" t="s">
        <v>22684</v>
      </c>
      <c r="G11777" t="s">
        <v>14</v>
      </c>
      <c r="H11777">
             </c>
      <c r="I11777" t="s">
        <v>14</v>
      </c>
      <c r="J11777" t="s">
        <v>141</v>
      </c>
      <c r="K11777" t="s">
        <v>14</v>
      </c>
      <c r="L11777" t="s">
        <v>20</v>
      </c>
      <c r="M11777" t="s">
        <v>22610</v>
      </c>
      <c r="N11777" t="s">
        <v>14</v>
      </c>
    </row>
    <row r="11778" x14ac:dyDescent="0.25">
      <c r="A11778" t="n">
        <v>23</v>
      </c>
      <c r="B11778" t="s">
        <v>14</v>
      </c>
      <c r="C11778" t="s">
        <v>22</v>
      </c>
      <c r="D11778" s="2" t="s">
        <f>=HYPERLINK("https://main.knesset.gov.il/APPS/legislation/main/bills/2149920", "הצעת חוק הבטחת הכנסה (תיקון - זכויות נשים ששהו במקלט לנשים מוכות), התשפ""א-2020")</f>
        <v>22685</v>
      </c>
      <c r="E11778" t="s">
        <v>22685</v>
      </c>
      <c r="F11778" t="s">
        <v>22686</v>
      </c>
      <c r="G11778" t="s">
        <v>14</v>
      </c>
      <c r="H11778">
             </c>
      <c r="I11778" t="s">
        <v>14</v>
      </c>
      <c r="J11778" t="s">
        <v>141</v>
      </c>
      <c r="K11778" t="s">
        <v>14</v>
      </c>
      <c r="L11778" t="s">
        <v>20</v>
      </c>
      <c r="M11778" t="s">
        <v>22610</v>
      </c>
      <c r="N11778" t="s">
        <v>14</v>
      </c>
    </row>
    <row r="11779" x14ac:dyDescent="0.25">
      <c r="A11779" t="n">
        <v>23</v>
      </c>
      <c r="B11779" t="s">
        <v>14</v>
      </c>
      <c r="C11779" t="s">
        <v>22</v>
      </c>
      <c r="D11779" s="2" t="s">
        <f>=HYPERLINK("https://main.knesset.gov.il/APPS/legislation/main/bills/2150438", "הצעת חוק הנכים (תגמולים ושיקום) (תיקון - ביטול מבחן הכנסה), התשפ""א-2020")</f>
        <v>22643</v>
      </c>
      <c r="E11779" t="s">
        <v>22643</v>
      </c>
      <c r="F11779" t="s">
        <v>22687</v>
      </c>
      <c r="G11779" t="s">
        <v>14</v>
      </c>
      <c r="H11779">
             </c>
      <c r="I11779" t="s">
        <v>14</v>
      </c>
      <c r="J11779" t="s">
        <v>141</v>
      </c>
      <c r="K11779" t="s">
        <v>14</v>
      </c>
      <c r="L11779" t="s">
        <v>20</v>
      </c>
      <c r="M11779" t="s">
        <v>22610</v>
      </c>
      <c r="N11779" t="s">
        <v>14</v>
      </c>
    </row>
    <row r="11780" x14ac:dyDescent="0.25">
      <c r="A11780" t="n">
        <v>23</v>
      </c>
      <c r="B11780" t="s">
        <v>14</v>
      </c>
      <c r="C11780" t="s">
        <v>22</v>
      </c>
      <c r="D11780" s="2" t="s">
        <f>=HYPERLINK("https://main.knesset.gov.il/APPS/legislation/main/bills/2148792", "הצעת חוק תגמולים לאסירי ציון ולבני משפחותיהם (תיקון - שינוי מועד יום ציון פועלם של אסירי ציון וקביעת פעולות לציונו), התשפ""א-2020")</f>
        <v>22688</v>
      </c>
      <c r="E11780" t="s">
        <v>22688</v>
      </c>
      <c r="F11780" t="s">
        <v>22689</v>
      </c>
      <c r="G11780" t="s">
        <v>14</v>
      </c>
      <c r="H11780">
             </c>
      <c r="I11780" t="s">
        <v>14</v>
      </c>
      <c r="J11780" t="s">
        <v>141</v>
      </c>
      <c r="K11780" t="s">
        <v>14</v>
      </c>
      <c r="L11780" t="s">
        <v>20</v>
      </c>
      <c r="M11780" t="s">
        <v>22610</v>
      </c>
      <c r="N11780" t="s">
        <v>14</v>
      </c>
    </row>
    <row r="11781" x14ac:dyDescent="0.25">
      <c r="A11781" t="n">
        <v>23</v>
      </c>
      <c r="B11781" t="s">
        <v>14</v>
      </c>
      <c r="C11781" t="s">
        <v>22</v>
      </c>
      <c r="D11781" s="2" t="s">
        <f>=HYPERLINK("https://main.knesset.gov.il/APPS/legislation/main/bills/2147976", "הצעת חוק הטבות לניצולי שואה (תיקון - זכאות למענק הטבות שנתי לבן זוג של ניצול שואה שנפטר), התשפ""א-2020")</f>
        <v>22690</v>
      </c>
      <c r="E11781" t="s">
        <v>22690</v>
      </c>
      <c r="F11781" t="s">
        <v>22691</v>
      </c>
      <c r="G11781" t="s">
        <v>14</v>
      </c>
      <c r="H11781">
             </c>
      <c r="I11781" t="s">
        <v>14</v>
      </c>
      <c r="J11781" t="s">
        <v>141</v>
      </c>
      <c r="K11781" t="s">
        <v>14</v>
      </c>
      <c r="L11781" t="s">
        <v>20</v>
      </c>
      <c r="M11781" t="s">
        <v>22610</v>
      </c>
      <c r="N11781" t="s">
        <v>14</v>
      </c>
    </row>
    <row r="11782" x14ac:dyDescent="0.25">
      <c r="A11782" t="n">
        <v>23</v>
      </c>
      <c r="B11782" t="s">
        <v>14</v>
      </c>
      <c r="C11782" t="s">
        <v>22</v>
      </c>
      <c r="D11782" s="2" t="s">
        <f>=HYPERLINK("https://main.knesset.gov.il/APPS/legislation/main/bills/2147990", "הצעת חוק הטבות לניצולי שואה (תיקון - הגדלת מענק שנתי), התשפ""א-2020")</f>
        <v>22692</v>
      </c>
      <c r="E11782" t="s">
        <v>22692</v>
      </c>
      <c r="F11782" t="s">
        <v>22693</v>
      </c>
      <c r="G11782" t="s">
        <v>14</v>
      </c>
      <c r="H11782">
             </c>
      <c r="I11782" t="s">
        <v>14</v>
      </c>
      <c r="J11782" t="s">
        <v>141</v>
      </c>
      <c r="K11782" t="s">
        <v>14</v>
      </c>
      <c r="L11782" t="s">
        <v>20</v>
      </c>
      <c r="M11782" t="s">
        <v>22610</v>
      </c>
      <c r="N11782" t="s">
        <v>14</v>
      </c>
    </row>
    <row r="11783" x14ac:dyDescent="0.25">
      <c r="A11783" t="n">
        <v>23</v>
      </c>
      <c r="B11783" t="s">
        <v>14</v>
      </c>
      <c r="C11783" t="s">
        <v>22</v>
      </c>
      <c r="D11783" s="2" t="s">
        <f>=HYPERLINK("https://main.knesset.gov.il/APPS/legislation/main/bills/2148001", "הצעת חוק מעמד ותיקי מלחמת העולם השנייה (תיקון - מענק הטבות לוותיק מלחמה), התשפ""א-2020")</f>
        <v>22694</v>
      </c>
      <c r="E11783" t="s">
        <v>22694</v>
      </c>
      <c r="F11783" t="s">
        <v>22695</v>
      </c>
      <c r="G11783" t="s">
        <v>14</v>
      </c>
      <c r="H11783">
             </c>
      <c r="I11783" t="s">
        <v>14</v>
      </c>
      <c r="J11783" t="s">
        <v>141</v>
      </c>
      <c r="K11783" t="s">
        <v>14</v>
      </c>
      <c r="L11783" t="s">
        <v>20</v>
      </c>
      <c r="M11783" t="s">
        <v>22610</v>
      </c>
      <c r="N11783" t="s">
        <v>14</v>
      </c>
    </row>
    <row r="11784" x14ac:dyDescent="0.25">
      <c r="A11784" t="n">
        <v>23</v>
      </c>
      <c r="B11784" t="s">
        <v>14</v>
      </c>
      <c r="C11784" t="s">
        <v>22</v>
      </c>
      <c r="D11784" s="2" t="s">
        <f>=HYPERLINK("https://main.knesset.gov.il/APPS/legislation/main/bills/2149731", "הצעת חוק הרשויות המקומיות (ממונה על בטיחות ילדים), התשפ""א-2020 ")</f>
        <v>22696</v>
      </c>
      <c r="E11784" t="s">
        <v>22696</v>
      </c>
      <c r="F11784" t="s">
        <v>22697</v>
      </c>
      <c r="G11784" t="s">
        <v>14</v>
      </c>
      <c r="H11784">
             </c>
      <c r="I11784" t="s">
        <v>14</v>
      </c>
      <c r="J11784" t="s">
        <v>141</v>
      </c>
      <c r="K11784" t="s">
        <v>14</v>
      </c>
      <c r="L11784" t="s">
        <v>20</v>
      </c>
      <c r="M11784" t="s">
        <v>22610</v>
      </c>
      <c r="N11784" t="s">
        <v>14</v>
      </c>
    </row>
    <row r="11785" x14ac:dyDescent="0.25">
      <c r="A11785" t="n">
        <v>23</v>
      </c>
      <c r="B11785" t="s">
        <v>14</v>
      </c>
      <c r="C11785" t="s">
        <v>22</v>
      </c>
      <c r="D11785" s="2" t="s">
        <f>=HYPERLINK("https://main.knesset.gov.il/APPS/legislation/main/bills/2147776", "הצעת חוק הכשרות המשפטית והאפוטרופסות (תיקון מס' 19) (שלילת אפוטרופסות מהורה בשל עבירה פלילית חמורה), התשפ""א-2020")</f>
        <v>22698</v>
      </c>
      <c r="E11785" t="s">
        <v>22698</v>
      </c>
      <c r="F11785" t="s">
        <v>22699</v>
      </c>
      <c r="G11785" t="s">
        <v>22617</v>
      </c>
      <c r="H11785">
             </c>
      <c r="I11785" t="s">
        <v>14</v>
      </c>
      <c r="J11785" t="s">
        <v>18</v>
      </c>
      <c r="K11785" t="s">
        <v>5735</v>
      </c>
      <c r="L11785" t="s">
        <v>20</v>
      </c>
      <c r="M11785" t="s">
        <v>22700</v>
      </c>
      <c r="N11785" t="s">
        <v>14</v>
      </c>
    </row>
    <row r="11786" x14ac:dyDescent="0.25">
      <c r="A11786" t="n">
        <v>23</v>
      </c>
      <c r="B11786" t="s">
        <v>14</v>
      </c>
      <c r="C11786" t="s">
        <v>22</v>
      </c>
      <c r="D11786" s="2" t="s">
        <f>=HYPERLINK("https://main.knesset.gov.il/APPS/legislation/main/bills/2088334", "הצעת חוק התפזרות הכנסת העשרים ושלוש, התשפ""א-2020")</f>
        <v>22513</v>
      </c>
      <c r="E11786" t="s">
        <v>22513</v>
      </c>
      <c r="F11786" t="s">
        <v>22701</v>
      </c>
      <c r="G11786" t="s">
        <v>22702</v>
      </c>
      <c r="H11786">
             </c>
      <c r="I11786" t="s">
        <v>26</v>
      </c>
      <c r="J11786" t="s">
        <v>1141</v>
      </c>
      <c r="K11786" t="s">
        <v>121</v>
      </c>
      <c r="L11786" t="s">
        <v>20</v>
      </c>
      <c r="M11786" t="s">
        <v>22703</v>
      </c>
      <c r="N11786" t="s">
        <v>14</v>
      </c>
    </row>
    <row r="11787" x14ac:dyDescent="0.25">
      <c r="A11787" t="n">
        <v>23</v>
      </c>
      <c r="B11787" t="s">
        <v>14</v>
      </c>
      <c r="C11787" t="s">
        <v>15</v>
      </c>
      <c r="D11787" s="2" t="s">
        <f>=HYPERLINK("https://main.knesset.gov.il/APPS/legislation/main/bills/2150216", "חוק למניעת הסתננות (עבירות ושיפוט) (הוראות שעה - הארכת תוקף), התשפ""א-2020")</f>
        <v>22704</v>
      </c>
      <c r="E11787" t="s">
        <v>22704</v>
      </c>
      <c r="F11787" t="s">
        <v>14</v>
      </c>
      <c r="G11787" t="s">
        <v>22705</v>
      </c>
      <c r="H11787" t="n">
        <v>2876</v>
      </c>
      <c r="I11787" t="s">
        <v>14</v>
      </c>
      <c r="J11787" t="s">
        <v>91</v>
      </c>
      <c r="K11787" t="s">
        <v>46</v>
      </c>
      <c r="L11787" t="s">
        <v>20</v>
      </c>
      <c r="M11787" t="s">
        <v>22703</v>
      </c>
      <c r="N11787" t="s">
        <v>22706</v>
      </c>
    </row>
    <row r="11788" x14ac:dyDescent="0.25">
      <c r="A11788" t="n">
        <v>23</v>
      </c>
      <c r="B11788" t="s">
        <v>14</v>
      </c>
      <c r="C11788" t="s">
        <v>22</v>
      </c>
      <c r="D11788" s="2" t="s">
        <f>=HYPERLINK("https://main.knesset.gov.il/APPS/legislation/main/bills/2148052", "הצעת חוק-יסוד: כבוד האדם וחירותו (תיקון - הזכות לשוויון)")</f>
        <v>2676</v>
      </c>
      <c r="E11788" t="s">
        <v>2676</v>
      </c>
      <c r="F11788" t="s">
        <v>22707</v>
      </c>
      <c r="G11788" t="s">
        <v>14</v>
      </c>
      <c r="H11788">
             </c>
      <c r="I11788" t="s">
        <v>14</v>
      </c>
      <c r="J11788" t="s">
        <v>55</v>
      </c>
      <c r="K11788" t="s">
        <v>14</v>
      </c>
      <c r="L11788" t="s">
        <v>20</v>
      </c>
      <c r="M11788" t="s">
        <v>22703</v>
      </c>
      <c r="N11788" t="s">
        <v>14</v>
      </c>
    </row>
    <row r="11789" x14ac:dyDescent="0.25">
      <c r="A11789" t="n">
        <v>23</v>
      </c>
      <c r="B11789" t="s">
        <v>14</v>
      </c>
      <c r="C11789" t="s">
        <v>22</v>
      </c>
      <c r="D11789" s="2" t="s">
        <f>=HYPERLINK("https://main.knesset.gov.il/APPS/legislation/main/bills/2147253", "הצעת חוק הסכמים לנשיאת עוברים (אישור הסכם ומעמד היילוד) (תיקון - ביצוע הסכם מחוץ לישראל), התשפ""א-2020")</f>
        <v>22708</v>
      </c>
      <c r="E11789" t="s">
        <v>22708</v>
      </c>
      <c r="F11789" t="s">
        <v>22709</v>
      </c>
      <c r="G11789" t="s">
        <v>14</v>
      </c>
      <c r="H11789">
             </c>
      <c r="I11789" t="s">
        <v>14</v>
      </c>
      <c r="J11789" t="s">
        <v>55</v>
      </c>
      <c r="K11789" t="s">
        <v>14</v>
      </c>
      <c r="L11789" t="s">
        <v>20</v>
      </c>
      <c r="M11789" t="s">
        <v>22703</v>
      </c>
      <c r="N11789" t="s">
        <v>14</v>
      </c>
    </row>
    <row r="11790" x14ac:dyDescent="0.25">
      <c r="A11790" t="n">
        <v>23</v>
      </c>
      <c r="B11790" t="s">
        <v>14</v>
      </c>
      <c r="C11790" t="s">
        <v>22</v>
      </c>
      <c r="D11790" s="2" t="s">
        <f>=HYPERLINK("https://main.knesset.gov.il/APPS/legislation/main/bills/2087775", "הצעת חוק-יסוד: כבוד האדם וחירותו (תיקון - הוספת סעיף שוויון)")</f>
        <v>2086</v>
      </c>
      <c r="E11790" t="s">
        <v>2086</v>
      </c>
      <c r="F11790" t="s">
        <v>22710</v>
      </c>
      <c r="G11790" t="s">
        <v>14</v>
      </c>
      <c r="H11790">
             </c>
      <c r="I11790" t="s">
        <v>14</v>
      </c>
      <c r="J11790" t="s">
        <v>55</v>
      </c>
      <c r="K11790" t="s">
        <v>14</v>
      </c>
      <c r="L11790" t="s">
        <v>20</v>
      </c>
      <c r="M11790" t="s">
        <v>22703</v>
      </c>
      <c r="N11790" t="s">
        <v>14</v>
      </c>
    </row>
    <row r="11791" x14ac:dyDescent="0.25">
      <c r="A11791" t="n">
        <v>23</v>
      </c>
      <c r="B11791" t="s">
        <v>14</v>
      </c>
      <c r="C11791" t="s">
        <v>22</v>
      </c>
      <c r="D11791" s="2" t="s">
        <f>=HYPERLINK("https://main.knesset.gov.il/APPS/legislation/main/bills/2145529", "הצעת חוק שיפוט בתי דין רבניים (נישואין וגירושין) (תיקון - נישואין אזרחיים בשטח שגרירות בישראל עקב נגיף הקורונה החדש), התשפ""א-2020")</f>
        <v>22711</v>
      </c>
      <c r="E11791" t="s">
        <v>22711</v>
      </c>
      <c r="F11791" t="s">
        <v>22712</v>
      </c>
      <c r="G11791" t="s">
        <v>14</v>
      </c>
      <c r="H11791">
             </c>
      <c r="I11791" t="s">
        <v>14</v>
      </c>
      <c r="J11791" t="s">
        <v>55</v>
      </c>
      <c r="K11791" t="s">
        <v>14</v>
      </c>
      <c r="L11791" t="s">
        <v>20</v>
      </c>
      <c r="M11791" t="s">
        <v>22703</v>
      </c>
      <c r="N11791" t="s">
        <v>14</v>
      </c>
    </row>
    <row r="11792" x14ac:dyDescent="0.25">
      <c r="A11792" t="n">
        <v>23</v>
      </c>
      <c r="B11792" t="s">
        <v>14</v>
      </c>
      <c r="C11792" t="s">
        <v>22</v>
      </c>
      <c r="D11792" s="2" t="s">
        <f>=HYPERLINK("https://main.knesset.gov.il/APPS/legislation/main/bills/2145482", "הצעת חוק שיפוט בתי דין רבניים (נישואין וגירושין) (תיקון - נישואין בנציגויות זרות בשטח ישראל) (הוראת שעה), התשפ""א-2020")</f>
        <v>22713</v>
      </c>
      <c r="E11792" t="s">
        <v>22713</v>
      </c>
      <c r="F11792" t="s">
        <v>22714</v>
      </c>
      <c r="G11792" t="s">
        <v>14</v>
      </c>
      <c r="H11792">
             </c>
      <c r="I11792" t="s">
        <v>14</v>
      </c>
      <c r="J11792" t="s">
        <v>55</v>
      </c>
      <c r="K11792" t="s">
        <v>14</v>
      </c>
      <c r="L11792" t="s">
        <v>20</v>
      </c>
      <c r="M11792" t="s">
        <v>22703</v>
      </c>
      <c r="N11792" t="s">
        <v>14</v>
      </c>
    </row>
    <row r="11793" x14ac:dyDescent="0.25">
      <c r="A11793" t="n">
        <v>23</v>
      </c>
      <c r="B11793" t="s">
        <v>14</v>
      </c>
      <c r="C11793" t="s">
        <v>22</v>
      </c>
      <c r="D11793" s="2" t="s">
        <f>=HYPERLINK("https://main.knesset.gov.il/APPS/legislation/main/bills/2145576", "הצעת חוק הכשרות המשפטית והאפוטרופסות (תיקון - ביטול חזקת הגיל הרך), התשפ""א-2020")</f>
        <v>22715</v>
      </c>
      <c r="E11793" t="s">
        <v>22715</v>
      </c>
      <c r="F11793" t="s">
        <v>22716</v>
      </c>
      <c r="G11793" t="s">
        <v>14</v>
      </c>
      <c r="H11793">
             </c>
      <c r="I11793" t="s">
        <v>14</v>
      </c>
      <c r="J11793" t="s">
        <v>55</v>
      </c>
      <c r="K11793" t="s">
        <v>14</v>
      </c>
      <c r="L11793" t="s">
        <v>20</v>
      </c>
      <c r="M11793" t="s">
        <v>22703</v>
      </c>
      <c r="N11793" t="s">
        <v>14</v>
      </c>
    </row>
    <row r="11794" x14ac:dyDescent="0.25">
      <c r="A11794" t="n">
        <v>23</v>
      </c>
      <c r="B11794" t="s">
        <v>14</v>
      </c>
      <c r="C11794" t="s">
        <v>22</v>
      </c>
      <c r="D11794" s="2" t="s">
        <f>=HYPERLINK("https://main.knesset.gov.il/APPS/legislation/main/bills/2140988", "הצעת חוק שיקים ללא כיסוי (תיקון - מצב חירום בשל מגפה עולמית), התש""ף-2020")</f>
        <v>22717</v>
      </c>
      <c r="E11794" t="s">
        <v>22717</v>
      </c>
      <c r="F11794" t="s">
        <v>22718</v>
      </c>
      <c r="G11794" t="s">
        <v>14</v>
      </c>
      <c r="H11794">
             </c>
      <c r="I11794" t="s">
        <v>14</v>
      </c>
      <c r="J11794" t="s">
        <v>343</v>
      </c>
      <c r="K11794" t="s">
        <v>14</v>
      </c>
      <c r="L11794" t="s">
        <v>20</v>
      </c>
      <c r="M11794" t="s">
        <v>22703</v>
      </c>
      <c r="N11794" t="s">
        <v>14</v>
      </c>
    </row>
    <row r="11795" x14ac:dyDescent="0.25">
      <c r="A11795" t="n">
        <v>23</v>
      </c>
      <c r="B11795" t="s">
        <v>14</v>
      </c>
      <c r="C11795" t="s">
        <v>22</v>
      </c>
      <c r="D11795" s="2" t="s">
        <f>=HYPERLINK("https://main.knesset.gov.il/APPS/legislation/main/bills/2086676", "הצעת חוק בטיחות בתעסוקה ובריאות תעסוקתית, התש""ף-2020")</f>
        <v>22719</v>
      </c>
      <c r="E11795" t="s">
        <v>22719</v>
      </c>
      <c r="F11795" t="s">
        <v>22720</v>
      </c>
      <c r="G11795" t="s">
        <v>14</v>
      </c>
      <c r="H11795">
             </c>
      <c r="I11795" t="s">
        <v>14</v>
      </c>
      <c r="J11795" t="s">
        <v>343</v>
      </c>
      <c r="K11795" t="s">
        <v>14</v>
      </c>
      <c r="L11795" t="s">
        <v>20</v>
      </c>
      <c r="M11795" t="s">
        <v>22703</v>
      </c>
      <c r="N11795" t="s">
        <v>14</v>
      </c>
    </row>
    <row r="11796" x14ac:dyDescent="0.25">
      <c r="A11796" t="n">
        <v>23</v>
      </c>
      <c r="B11796" t="s">
        <v>14</v>
      </c>
      <c r="C11796" t="s">
        <v>22</v>
      </c>
      <c r="D11796" s="2" t="s">
        <f>=HYPERLINK("https://main.knesset.gov.il/APPS/legislation/main/bills/2086491", "הצעת חוק אימוץ ילדים (תיקון - אימוץ על ידי הורה יחיד), התש""ף-2020")</f>
        <v>22721</v>
      </c>
      <c r="E11796" t="s">
        <v>22721</v>
      </c>
      <c r="F11796" t="s">
        <v>22722</v>
      </c>
      <c r="G11796" t="s">
        <v>14</v>
      </c>
      <c r="H11796">
             </c>
      <c r="I11796" t="s">
        <v>14</v>
      </c>
      <c r="J11796" t="s">
        <v>55</v>
      </c>
      <c r="K11796" t="s">
        <v>14</v>
      </c>
      <c r="L11796" t="s">
        <v>20</v>
      </c>
      <c r="M11796" t="s">
        <v>22703</v>
      </c>
      <c r="N11796" t="s">
        <v>14</v>
      </c>
    </row>
    <row r="11797" x14ac:dyDescent="0.25">
      <c r="A11797" t="n">
        <v>23</v>
      </c>
      <c r="B11797" t="s">
        <v>14</v>
      </c>
      <c r="C11797" t="s">
        <v>22</v>
      </c>
      <c r="D11797" s="2" t="s">
        <f>=HYPERLINK("https://main.knesset.gov.il/APPS/legislation/main/bills/2087023", "הצעת חוק הסכמים לנשיאת עוברים (אישור הסכם ומעמד היילוד) (תיקון - הגדרת הורים מיועדים וביצוע הסכם מחוץ לישראל), התש""ף-2020")</f>
        <v>22723</v>
      </c>
      <c r="E11797" t="s">
        <v>22723</v>
      </c>
      <c r="F11797" t="s">
        <v>22724</v>
      </c>
      <c r="G11797" t="s">
        <v>14</v>
      </c>
      <c r="H11797">
             </c>
      <c r="I11797" t="s">
        <v>14</v>
      </c>
      <c r="J11797" t="s">
        <v>55</v>
      </c>
      <c r="K11797" t="s">
        <v>14</v>
      </c>
      <c r="L11797" t="s">
        <v>20</v>
      </c>
      <c r="M11797" t="s">
        <v>22703</v>
      </c>
      <c r="N11797" t="s">
        <v>14</v>
      </c>
    </row>
    <row r="11798" x14ac:dyDescent="0.25">
      <c r="A11798" t="n">
        <v>23</v>
      </c>
      <c r="B11798" t="s">
        <v>14</v>
      </c>
      <c r="C11798" t="s">
        <v>22</v>
      </c>
      <c r="D11798" s="2" t="s">
        <f>=HYPERLINK("https://main.knesset.gov.il/APPS/legislation/main/bills/2085963", "הצעת חוק הסכמים לנשיאת עוברים (אישור הסכם ומעמד היילוד) (תיקון - הרחבת הזכאות להליכי נשיאת עוברים והרחבת ההגנה על האם הנושאת), התש""ף-2020")</f>
        <v>22725</v>
      </c>
      <c r="E11798" t="s">
        <v>22725</v>
      </c>
      <c r="F11798" t="s">
        <v>22726</v>
      </c>
      <c r="G11798" t="s">
        <v>14</v>
      </c>
      <c r="H11798">
             </c>
      <c r="I11798" t="s">
        <v>14</v>
      </c>
      <c r="J11798" t="s">
        <v>55</v>
      </c>
      <c r="K11798" t="s">
        <v>14</v>
      </c>
      <c r="L11798" t="s">
        <v>20</v>
      </c>
      <c r="M11798" t="s">
        <v>22703</v>
      </c>
      <c r="N11798" t="s">
        <v>14</v>
      </c>
    </row>
    <row r="11799" x14ac:dyDescent="0.25">
      <c r="A11799" t="n">
        <v>23</v>
      </c>
      <c r="B11799" t="s">
        <v>14</v>
      </c>
      <c r="C11799" t="s">
        <v>22</v>
      </c>
      <c r="D11799" s="2" t="s">
        <f>=HYPERLINK("https://main.knesset.gov.il/APPS/legislation/main/bills/2086179", "הצעת חוק חובת שקיפות להסדר ניגוד עניינים של שר או ראש הממשלה, התש""ף-2020")</f>
        <v>22727</v>
      </c>
      <c r="E11799" t="s">
        <v>22727</v>
      </c>
      <c r="F11799" t="s">
        <v>22728</v>
      </c>
      <c r="G11799" t="s">
        <v>14</v>
      </c>
      <c r="H11799">
             </c>
      <c r="I11799" t="s">
        <v>14</v>
      </c>
      <c r="J11799" t="s">
        <v>55</v>
      </c>
      <c r="K11799" t="s">
        <v>14</v>
      </c>
      <c r="L11799" t="s">
        <v>20</v>
      </c>
      <c r="M11799" t="s">
        <v>22703</v>
      </c>
      <c r="N11799" t="s">
        <v>14</v>
      </c>
    </row>
    <row r="11800" x14ac:dyDescent="0.25">
      <c r="A11800" t="n">
        <v>23</v>
      </c>
      <c r="B11800" t="s">
        <v>14</v>
      </c>
      <c r="C11800" t="s">
        <v>22</v>
      </c>
      <c r="D11800" s="2" t="s">
        <f>=HYPERLINK("https://main.knesset.gov.il/APPS/legislation/main/bills/2139704", "הצעת חוק התפזרות הכנסת העשרים ושלוש, התש""ף-2020")</f>
        <v>22729</v>
      </c>
      <c r="E11800" t="s">
        <v>22729</v>
      </c>
      <c r="F11800" t="s">
        <v>22730</v>
      </c>
      <c r="G11800" t="s">
        <v>14</v>
      </c>
      <c r="H11800">
             </c>
      <c r="I11800" t="s">
        <v>14</v>
      </c>
      <c r="J11800" t="s">
        <v>99</v>
      </c>
      <c r="K11800" t="s">
        <v>121</v>
      </c>
      <c r="L11800" t="s">
        <v>20</v>
      </c>
      <c r="M11800" t="s">
        <v>22731</v>
      </c>
      <c r="N11800" t="s">
        <v>14</v>
      </c>
    </row>
    <row r="11801" x14ac:dyDescent="0.25">
      <c r="A11801" t="n">
        <v>23</v>
      </c>
      <c r="B11801" t="s">
        <v>14</v>
      </c>
      <c r="C11801" t="s">
        <v>22</v>
      </c>
      <c r="D11801" s="2" t="s">
        <f>=HYPERLINK("https://main.knesset.gov.il/APPS/legislation/main/bills/2140184", "הצעת חוק עבודת נשים (תיקון - הגבלת פיטורים של אישה השוהה במקלט לנשים מוכות), התש""ף-2020")</f>
        <v>22732</v>
      </c>
      <c r="E11801" t="s">
        <v>22732</v>
      </c>
      <c r="F11801" t="s">
        <v>22733</v>
      </c>
      <c r="G11801" t="s">
        <v>14</v>
      </c>
      <c r="H11801">
             </c>
      <c r="I11801" t="s">
        <v>14</v>
      </c>
      <c r="J11801" t="s">
        <v>99</v>
      </c>
      <c r="K11801" t="s">
        <v>5735</v>
      </c>
      <c r="L11801" t="s">
        <v>20</v>
      </c>
      <c r="M11801" t="s">
        <v>22734</v>
      </c>
      <c r="N11801" t="s">
        <v>14</v>
      </c>
    </row>
    <row r="11802" x14ac:dyDescent="0.25">
      <c r="A11802" t="n">
        <v>23</v>
      </c>
      <c r="B11802" t="s">
        <v>14</v>
      </c>
      <c r="C11802" t="s">
        <v>22</v>
      </c>
      <c r="D11802" s="2" t="s">
        <f>=HYPERLINK("https://main.knesset.gov.il/APPS/legislation/main/bills/2147677", "הצעת חוק שירותי תעופה (פיצוי וסיוע בשל ביטול טיסה או שינוי בתנאיה) (הוראת שעה - נגיף הקורונה החדש - תיקון) (תיקון - קיצור המועד להשבת התמורה), התשפ""א-2020")</f>
        <v>22735</v>
      </c>
      <c r="E11802" t="s">
        <v>22735</v>
      </c>
      <c r="F11802" t="s">
        <v>22736</v>
      </c>
      <c r="G11802" t="s">
        <v>14</v>
      </c>
      <c r="H11802">
             </c>
      <c r="I11802" t="s">
        <v>14</v>
      </c>
      <c r="J11802" t="s">
        <v>99</v>
      </c>
      <c r="K11802" t="s">
        <v>19</v>
      </c>
      <c r="L11802" t="s">
        <v>20</v>
      </c>
      <c r="M11802" t="s">
        <v>22734</v>
      </c>
      <c r="N11802" t="s">
        <v>14</v>
      </c>
    </row>
    <row r="11803" x14ac:dyDescent="0.25">
      <c r="A11803" t="n">
        <v>23</v>
      </c>
      <c r="B11803" t="s">
        <v>14</v>
      </c>
      <c r="C11803" t="s">
        <v>15</v>
      </c>
      <c r="D11803" s="2" t="s">
        <f>=HYPERLINK("https://main.knesset.gov.il/APPS/legislation/main/bills/2143991", "חוק רשות הספנות והנמלים (תיקון מס' 7), התשפ""א-2020")</f>
        <v>22737</v>
      </c>
      <c r="E11803" t="s">
        <v>22737</v>
      </c>
      <c r="F11803" t="s">
        <v>14</v>
      </c>
      <c r="G11803" t="s">
        <v>22738</v>
      </c>
      <c r="H11803" t="n">
        <v>2875</v>
      </c>
      <c r="I11803" t="s">
        <v>14</v>
      </c>
      <c r="J11803" t="s">
        <v>91</v>
      </c>
      <c r="K11803" t="s">
        <v>85</v>
      </c>
      <c r="L11803" t="s">
        <v>20</v>
      </c>
      <c r="M11803" t="s">
        <v>22734</v>
      </c>
      <c r="N11803" t="s">
        <v>22739</v>
      </c>
    </row>
    <row r="11804" x14ac:dyDescent="0.25">
      <c r="A11804" t="n">
        <v>23</v>
      </c>
      <c r="B11804" t="s">
        <v>14</v>
      </c>
      <c r="C11804" t="s">
        <v>22</v>
      </c>
      <c r="D11804" s="2" t="s">
        <f>=HYPERLINK("https://main.knesset.gov.il/APPS/legislation/main/bills/2085639", "חוק הבטחת הכנסה (תיקון מס' 55), התשפ""א-2020")</f>
        <v>22740</v>
      </c>
      <c r="E11804" t="s">
        <v>22740</v>
      </c>
      <c r="F11804" t="s">
        <v>22741</v>
      </c>
      <c r="G11804" t="s">
        <v>22742</v>
      </c>
      <c r="H11804" t="n">
        <v>2874</v>
      </c>
      <c r="I11804" t="s">
        <v>14</v>
      </c>
      <c r="J11804" t="s">
        <v>91</v>
      </c>
      <c r="K11804" t="s">
        <v>15147</v>
      </c>
      <c r="L11804" t="s">
        <v>20</v>
      </c>
      <c r="M11804" t="s">
        <v>22734</v>
      </c>
      <c r="N11804" t="s">
        <v>22743</v>
      </c>
    </row>
    <row r="11805" x14ac:dyDescent="0.25">
      <c r="A11805" t="n">
        <v>23</v>
      </c>
      <c r="B11805" t="s">
        <v>14</v>
      </c>
      <c r="C11805" t="s">
        <v>22</v>
      </c>
      <c r="D11805" s="2" t="s">
        <f>=HYPERLINK("https://main.knesset.gov.il/APPS/legislation/main/bills/2150537", "הצעת חוק-יסוד: כבוד האדם וחירותו (תיקון - הזכות לשוויון)")</f>
        <v>2676</v>
      </c>
      <c r="E11805" t="s">
        <v>2676</v>
      </c>
      <c r="F11805" t="s">
        <v>22744</v>
      </c>
      <c r="G11805" t="s">
        <v>14</v>
      </c>
      <c r="H11805">
             </c>
      <c r="I11805" t="s">
        <v>14</v>
      </c>
      <c r="J11805" t="s">
        <v>141</v>
      </c>
      <c r="K11805" t="s">
        <v>14</v>
      </c>
      <c r="L11805" t="s">
        <v>20</v>
      </c>
      <c r="M11805" t="s">
        <v>22734</v>
      </c>
      <c r="N11805" t="s">
        <v>14</v>
      </c>
    </row>
    <row r="11806" x14ac:dyDescent="0.25">
      <c r="A11806" t="n">
        <v>23</v>
      </c>
      <c r="B11806" t="s">
        <v>14</v>
      </c>
      <c r="C11806" t="s">
        <v>22</v>
      </c>
      <c r="D11806" s="2" t="s">
        <f>=HYPERLINK("https://main.knesset.gov.il/APPS/legislation/main/bills/2150514", "הצעת חוק מימון מפלגות (תיקון - הגבלת מימון בבחירות לכנסת העשרים וארבע) (הוראת שעה), התשפ""א-2020")</f>
        <v>22745</v>
      </c>
      <c r="E11806" t="s">
        <v>22745</v>
      </c>
      <c r="F11806" t="s">
        <v>22746</v>
      </c>
      <c r="G11806" t="s">
        <v>14</v>
      </c>
      <c r="H11806">
             </c>
      <c r="I11806" t="s">
        <v>14</v>
      </c>
      <c r="J11806" t="s">
        <v>141</v>
      </c>
      <c r="K11806" t="s">
        <v>14</v>
      </c>
      <c r="L11806" t="s">
        <v>20</v>
      </c>
      <c r="M11806" t="s">
        <v>22734</v>
      </c>
      <c r="N11806" t="s">
        <v>14</v>
      </c>
    </row>
    <row r="11807" x14ac:dyDescent="0.25">
      <c r="A11807" t="n">
        <v>23</v>
      </c>
      <c r="B11807" t="s">
        <v>14</v>
      </c>
      <c r="C11807" t="s">
        <v>22</v>
      </c>
      <c r="D11807" s="2" t="s">
        <f>=HYPERLINK("https://main.knesset.gov.il/APPS/legislation/main/bills/2150505", "הצעת חוק רשת ביטחון לעצמאים בעת אירוע חירום, התשפ""א-2020")</f>
        <v>22747</v>
      </c>
      <c r="E11807" t="s">
        <v>22747</v>
      </c>
      <c r="F11807" t="s">
        <v>22748</v>
      </c>
      <c r="G11807" t="s">
        <v>14</v>
      </c>
      <c r="H11807">
             </c>
      <c r="I11807" t="s">
        <v>14</v>
      </c>
      <c r="J11807" t="s">
        <v>141</v>
      </c>
      <c r="K11807" t="s">
        <v>14</v>
      </c>
      <c r="L11807" t="s">
        <v>20</v>
      </c>
      <c r="M11807" t="s">
        <v>22734</v>
      </c>
      <c r="N11807" t="s">
        <v>14</v>
      </c>
    </row>
    <row r="11808" x14ac:dyDescent="0.25">
      <c r="A11808" t="n">
        <v>23</v>
      </c>
      <c r="B11808" t="s">
        <v>14</v>
      </c>
      <c r="C11808" t="s">
        <v>22</v>
      </c>
      <c r="D11808" s="2" t="s">
        <f>=HYPERLINK("https://main.knesset.gov.il/APPS/legislation/main/bills/2149816", "הצעת חוק הבחירות (דרכי תעמולה) (תיקון - תעמולה דיגטלית), התשפ""א-2020")</f>
        <v>22749</v>
      </c>
      <c r="E11808" t="s">
        <v>22749</v>
      </c>
      <c r="F11808" t="s">
        <v>22750</v>
      </c>
      <c r="G11808" t="s">
        <v>14</v>
      </c>
      <c r="H11808">
             </c>
      <c r="I11808" t="s">
        <v>14</v>
      </c>
      <c r="J11808" t="s">
        <v>141</v>
      </c>
      <c r="K11808" t="s">
        <v>14</v>
      </c>
      <c r="L11808" t="s">
        <v>20</v>
      </c>
      <c r="M11808" t="s">
        <v>22734</v>
      </c>
      <c r="N11808" t="s">
        <v>14</v>
      </c>
    </row>
    <row r="11809" x14ac:dyDescent="0.25">
      <c r="A11809" t="n">
        <v>23</v>
      </c>
      <c r="B11809" t="s">
        <v>14</v>
      </c>
      <c r="C11809" t="s">
        <v>22</v>
      </c>
      <c r="D11809" s="2" t="s">
        <f>=HYPERLINK("https://main.knesset.gov.il/APPS/legislation/main/bills/2148966", "הצעת חוק לתיקון פקודת מס הכנסה (שווי השימוש ברכב או ברדיו טלפון נייד), התשפ""א-2020")</f>
        <v>22751</v>
      </c>
      <c r="E11809" t="s">
        <v>22751</v>
      </c>
      <c r="F11809" t="s">
        <v>22752</v>
      </c>
      <c r="G11809" t="s">
        <v>14</v>
      </c>
      <c r="H11809">
             </c>
      <c r="I11809" t="s">
        <v>14</v>
      </c>
      <c r="J11809" t="s">
        <v>141</v>
      </c>
      <c r="K11809" t="s">
        <v>14</v>
      </c>
      <c r="L11809" t="s">
        <v>20</v>
      </c>
      <c r="M11809" t="s">
        <v>22734</v>
      </c>
      <c r="N11809" t="s">
        <v>14</v>
      </c>
    </row>
    <row r="11810" x14ac:dyDescent="0.25">
      <c r="A11810" t="n">
        <v>23</v>
      </c>
      <c r="B11810" t="s">
        <v>14</v>
      </c>
      <c r="C11810" t="s">
        <v>22</v>
      </c>
      <c r="D11810" s="2" t="s">
        <f>=HYPERLINK("https://main.knesset.gov.il/APPS/legislation/main/bills/2148943", "הצעת חוק לתיקון פקודת מס הכנסה (שווי השימוש ברכב או ברדיו טלפון נייד), התשפ""א-2020")</f>
        <v>22751</v>
      </c>
      <c r="E11810" t="s">
        <v>22751</v>
      </c>
      <c r="F11810" t="s">
        <v>22753</v>
      </c>
      <c r="G11810" t="s">
        <v>14</v>
      </c>
      <c r="H11810">
             </c>
      <c r="I11810" t="s">
        <v>14</v>
      </c>
      <c r="J11810" t="s">
        <v>141</v>
      </c>
      <c r="K11810" t="s">
        <v>14</v>
      </c>
      <c r="L11810" t="s">
        <v>20</v>
      </c>
      <c r="M11810" t="s">
        <v>22734</v>
      </c>
      <c r="N11810" t="s">
        <v>14</v>
      </c>
    </row>
    <row r="11811" x14ac:dyDescent="0.25">
      <c r="A11811" t="n">
        <v>23</v>
      </c>
      <c r="B11811" t="s">
        <v>14</v>
      </c>
      <c r="C11811" t="s">
        <v>22</v>
      </c>
      <c r="D11811" s="2" t="s">
        <f>=HYPERLINK("https://main.knesset.gov.il/APPS/legislation/main/bills/2149269", "הצעת חוק התכנית לסיוע כלכלי (נגיף הקורונה החדש) (הוראת שעה) (תיקון - מענק נוסף לעסקים), התשפ""א-2020")</f>
        <v>22754</v>
      </c>
      <c r="E11811" t="s">
        <v>22754</v>
      </c>
      <c r="F11811" t="s">
        <v>22755</v>
      </c>
      <c r="G11811" t="s">
        <v>14</v>
      </c>
      <c r="H11811">
             </c>
      <c r="I11811" t="s">
        <v>14</v>
      </c>
      <c r="J11811" t="s">
        <v>141</v>
      </c>
      <c r="K11811" t="s">
        <v>14</v>
      </c>
      <c r="L11811" t="s">
        <v>20</v>
      </c>
      <c r="M11811" t="s">
        <v>22734</v>
      </c>
      <c r="N11811" t="s">
        <v>14</v>
      </c>
    </row>
    <row r="11812" x14ac:dyDescent="0.25">
      <c r="A11812" t="n">
        <v>23</v>
      </c>
      <c r="B11812" t="s">
        <v>14</v>
      </c>
      <c r="C11812" t="s">
        <v>22</v>
      </c>
      <c r="D11812" s="2" t="s">
        <f>=HYPERLINK("https://main.knesset.gov.il/APPS/legislation/main/bills/2146785", "הצעת חוק חופש המידע (תיקון - החלת חופש המידע על תאגידים בנקאיים, גופים פיננסיים ונותני אשראי ובורסה לניירות ערך), התשפ""א-2020")</f>
        <v>22756</v>
      </c>
      <c r="E11812" t="s">
        <v>22756</v>
      </c>
      <c r="F11812" t="s">
        <v>22757</v>
      </c>
      <c r="G11812" t="s">
        <v>14</v>
      </c>
      <c r="H11812">
             </c>
      <c r="I11812" t="s">
        <v>14</v>
      </c>
      <c r="J11812" t="s">
        <v>141</v>
      </c>
      <c r="K11812" t="s">
        <v>14</v>
      </c>
      <c r="L11812" t="s">
        <v>20</v>
      </c>
      <c r="M11812" t="s">
        <v>22734</v>
      </c>
      <c r="N11812" t="s">
        <v>14</v>
      </c>
    </row>
    <row r="11813" x14ac:dyDescent="0.25">
      <c r="A11813" t="n">
        <v>23</v>
      </c>
      <c r="B11813" t="s">
        <v>14</v>
      </c>
      <c r="C11813" t="s">
        <v>22</v>
      </c>
      <c r="D11813" s="2" t="s">
        <f>=HYPERLINK("https://main.knesset.gov.il/APPS/legislation/main/bills/2149342", "הצעת חוק-יסוד: ישראל - מדינת הלאום של העם היהודי (תיקון - ביטול החוק)")</f>
        <v>4732</v>
      </c>
      <c r="E11813" t="s">
        <v>4732</v>
      </c>
      <c r="F11813" t="s">
        <v>22758</v>
      </c>
      <c r="G11813" t="s">
        <v>14</v>
      </c>
      <c r="H11813">
             </c>
      <c r="I11813" t="s">
        <v>14</v>
      </c>
      <c r="J11813" t="s">
        <v>141</v>
      </c>
      <c r="K11813" t="s">
        <v>14</v>
      </c>
      <c r="L11813" t="s">
        <v>20</v>
      </c>
      <c r="M11813" t="s">
        <v>22734</v>
      </c>
      <c r="N11813" t="s">
        <v>14</v>
      </c>
    </row>
    <row r="11814" x14ac:dyDescent="0.25">
      <c r="A11814" t="n">
        <v>23</v>
      </c>
      <c r="B11814" t="s">
        <v>14</v>
      </c>
      <c r="C11814" t="s">
        <v>22</v>
      </c>
      <c r="D11814" s="2" t="s">
        <f>=HYPERLINK("https://main.knesset.gov.il/APPS/legislation/main/bills/2149355", "הצעת חוק חובת גילוי לגבי מי שנתמך על ידי ישות מדינית זרה (תיקון - ביטול החוק), התשפ""א-2020")</f>
        <v>22759</v>
      </c>
      <c r="E11814" t="s">
        <v>22759</v>
      </c>
      <c r="F11814" t="s">
        <v>22760</v>
      </c>
      <c r="G11814" t="s">
        <v>14</v>
      </c>
      <c r="H11814">
             </c>
      <c r="I11814" t="s">
        <v>14</v>
      </c>
      <c r="J11814" t="s">
        <v>141</v>
      </c>
      <c r="K11814" t="s">
        <v>14</v>
      </c>
      <c r="L11814" t="s">
        <v>20</v>
      </c>
      <c r="M11814" t="s">
        <v>22734</v>
      </c>
      <c r="N11814" t="s">
        <v>14</v>
      </c>
    </row>
    <row r="11815" x14ac:dyDescent="0.25">
      <c r="A11815" t="n">
        <v>23</v>
      </c>
      <c r="B11815" t="s">
        <v>14</v>
      </c>
      <c r="C11815" t="s">
        <v>22</v>
      </c>
      <c r="D11815" s="2" t="s">
        <f>=HYPERLINK("https://main.knesset.gov.il/APPS/legislation/main/bills/2149621", "הצעת חוק-יסוד: הממשלה (תיקון - הפסקת כהונה של ראש הממשלה, שר או סגן שר מחמת הגשת כתב אישום)")</f>
        <v>11734</v>
      </c>
      <c r="E11815" t="s">
        <v>11734</v>
      </c>
      <c r="F11815" t="s">
        <v>22761</v>
      </c>
      <c r="G11815" t="s">
        <v>14</v>
      </c>
      <c r="H11815">
             </c>
      <c r="I11815" t="s">
        <v>14</v>
      </c>
      <c r="J11815" t="s">
        <v>141</v>
      </c>
      <c r="K11815" t="s">
        <v>14</v>
      </c>
      <c r="L11815" t="s">
        <v>20</v>
      </c>
      <c r="M11815" t="s">
        <v>22734</v>
      </c>
      <c r="N11815" t="s">
        <v>14</v>
      </c>
    </row>
    <row r="11816" x14ac:dyDescent="0.25">
      <c r="A11816" t="n">
        <v>23</v>
      </c>
      <c r="B11816" t="s">
        <v>14</v>
      </c>
      <c r="C11816" t="s">
        <v>22</v>
      </c>
      <c r="D11816" s="2" t="s">
        <f>=HYPERLINK("https://main.knesset.gov.il/APPS/legislation/main/bills/2149815", "הצעת חוק שירות ביטחון (תיקון - שירות שוויוני לנשים), התשפ""א-2020")</f>
        <v>22762</v>
      </c>
      <c r="E11816" t="s">
        <v>22762</v>
      </c>
      <c r="F11816" t="s">
        <v>22763</v>
      </c>
      <c r="G11816" t="s">
        <v>14</v>
      </c>
      <c r="H11816">
             </c>
      <c r="I11816" t="s">
        <v>14</v>
      </c>
      <c r="J11816" t="s">
        <v>141</v>
      </c>
      <c r="K11816" t="s">
        <v>14</v>
      </c>
      <c r="L11816" t="s">
        <v>20</v>
      </c>
      <c r="M11816" t="s">
        <v>22734</v>
      </c>
      <c r="N11816" t="s">
        <v>14</v>
      </c>
    </row>
    <row r="11817" x14ac:dyDescent="0.25">
      <c r="A11817" t="n">
        <v>23</v>
      </c>
      <c r="B11817" t="s">
        <v>14</v>
      </c>
      <c r="C11817" t="s">
        <v>22</v>
      </c>
      <c r="D11817" s="2" t="s">
        <f>=HYPERLINK("https://main.knesset.gov.il/APPS/legislation/main/bills/2149730", "הצעת חוק-יסוד: נשיא המדינה (תיקון - כשירות מועמדים לכהונה כנשיא המדינה)")</f>
        <v>2549</v>
      </c>
      <c r="E11817" t="s">
        <v>2549</v>
      </c>
      <c r="F11817" t="s">
        <v>22764</v>
      </c>
      <c r="G11817" t="s">
        <v>14</v>
      </c>
      <c r="H11817">
             </c>
      <c r="I11817" t="s">
        <v>14</v>
      </c>
      <c r="J11817" t="s">
        <v>141</v>
      </c>
      <c r="K11817" t="s">
        <v>14</v>
      </c>
      <c r="L11817" t="s">
        <v>20</v>
      </c>
      <c r="M11817" t="s">
        <v>22734</v>
      </c>
      <c r="N11817" t="s">
        <v>14</v>
      </c>
    </row>
    <row r="11818" x14ac:dyDescent="0.25">
      <c r="A11818" t="n">
        <v>23</v>
      </c>
      <c r="B11818" t="s">
        <v>14</v>
      </c>
      <c r="C11818" t="s">
        <v>22</v>
      </c>
      <c r="D11818" s="2" t="s">
        <f>=HYPERLINK("https://main.knesset.gov.il/APPS/legislation/main/bills/2149348", "הצעת חוק-יסוד: כבוד האדם וחירותו (תיקון - הזכות לשוויון)")</f>
        <v>2676</v>
      </c>
      <c r="E11818" t="s">
        <v>2676</v>
      </c>
      <c r="F11818" t="s">
        <v>22765</v>
      </c>
      <c r="G11818" t="s">
        <v>14</v>
      </c>
      <c r="H11818">
             </c>
      <c r="I11818" t="s">
        <v>14</v>
      </c>
      <c r="J11818" t="s">
        <v>141</v>
      </c>
      <c r="K11818" t="s">
        <v>14</v>
      </c>
      <c r="L11818" t="s">
        <v>20</v>
      </c>
      <c r="M11818" t="s">
        <v>22734</v>
      </c>
      <c r="N11818" t="s">
        <v>14</v>
      </c>
    </row>
    <row r="11819" x14ac:dyDescent="0.25">
      <c r="A11819" t="n">
        <v>23</v>
      </c>
      <c r="B11819" t="s">
        <v>14</v>
      </c>
      <c r="C11819" t="s">
        <v>22</v>
      </c>
      <c r="D11819" s="2" t="s">
        <f>=HYPERLINK("https://main.knesset.gov.il/APPS/legislation/main/bills/2149559", "הצעת חוק הכשרות המשפטית והאפוטרופסות (תיקון - שלילת אפוטרופסות מהורה שהורשע ברצח או בנסיון לרצח), התשפ""א-2020")</f>
        <v>22766</v>
      </c>
      <c r="E11819" t="s">
        <v>22766</v>
      </c>
      <c r="F11819" t="s">
        <v>22767</v>
      </c>
      <c r="G11819" t="s">
        <v>14</v>
      </c>
      <c r="H11819">
             </c>
      <c r="I11819" t="s">
        <v>14</v>
      </c>
      <c r="J11819" t="s">
        <v>141</v>
      </c>
      <c r="K11819" t="s">
        <v>14</v>
      </c>
      <c r="L11819" t="s">
        <v>20</v>
      </c>
      <c r="M11819" t="s">
        <v>22734</v>
      </c>
      <c r="N11819" t="s">
        <v>14</v>
      </c>
    </row>
    <row r="11820" x14ac:dyDescent="0.25">
      <c r="A11820" t="n">
        <v>23</v>
      </c>
      <c r="B11820" t="s">
        <v>14</v>
      </c>
      <c r="C11820" t="s">
        <v>22</v>
      </c>
      <c r="D11820" s="2" t="s">
        <f>=HYPERLINK("https://main.knesset.gov.il/APPS/legislation/main/bills/2149278", "הצעת חוק מימון מפלגות (תיקון - ייצוג הולם לנשים בבחירות לכנסת), התשפ""א-2020")</f>
        <v>22768</v>
      </c>
      <c r="E11820" t="s">
        <v>22768</v>
      </c>
      <c r="F11820" t="s">
        <v>22769</v>
      </c>
      <c r="G11820" t="s">
        <v>14</v>
      </c>
      <c r="H11820">
             </c>
      <c r="I11820" t="s">
        <v>14</v>
      </c>
      <c r="J11820" t="s">
        <v>141</v>
      </c>
      <c r="K11820" t="s">
        <v>14</v>
      </c>
      <c r="L11820" t="s">
        <v>20</v>
      </c>
      <c r="M11820" t="s">
        <v>22734</v>
      </c>
      <c r="N11820" t="s">
        <v>14</v>
      </c>
    </row>
    <row r="11821" x14ac:dyDescent="0.25">
      <c r="A11821" t="n">
        <v>23</v>
      </c>
      <c r="B11821" t="s">
        <v>14</v>
      </c>
      <c r="C11821" t="s">
        <v>22</v>
      </c>
      <c r="D11821" s="2" t="s">
        <f>=HYPERLINK("https://main.knesset.gov.il/APPS/legislation/main/bills/2149851", "הצעת חוק הכשרות המשפטית והאפוטרופסות (תיקון - מניעת פגיעה בקטין על ידי חשיפתו להורה אלים), התשפ""א-2020")</f>
        <v>22770</v>
      </c>
      <c r="E11821" t="s">
        <v>22770</v>
      </c>
      <c r="F11821" t="s">
        <v>22771</v>
      </c>
      <c r="G11821" t="s">
        <v>14</v>
      </c>
      <c r="H11821">
             </c>
      <c r="I11821" t="s">
        <v>14</v>
      </c>
      <c r="J11821" t="s">
        <v>141</v>
      </c>
      <c r="K11821" t="s">
        <v>14</v>
      </c>
      <c r="L11821" t="s">
        <v>20</v>
      </c>
      <c r="M11821" t="s">
        <v>22734</v>
      </c>
      <c r="N11821" t="s">
        <v>14</v>
      </c>
    </row>
    <row r="11822" x14ac:dyDescent="0.25">
      <c r="A11822" t="n">
        <v>23</v>
      </c>
      <c r="B11822" t="s">
        <v>14</v>
      </c>
      <c r="C11822" t="s">
        <v>22</v>
      </c>
      <c r="D11822" s="2" t="s">
        <f>=HYPERLINK("https://main.knesset.gov.il/APPS/legislation/main/bills/2149886", "הצעת חוק השכירות והשאילה (תיקון - הארכת תקופת השכירות בעת מצב חירום), התשפ""א-2020")</f>
        <v>22772</v>
      </c>
      <c r="E11822" t="s">
        <v>22772</v>
      </c>
      <c r="F11822" t="s">
        <v>22773</v>
      </c>
      <c r="G11822" t="s">
        <v>14</v>
      </c>
      <c r="H11822">
             </c>
      <c r="I11822" t="s">
        <v>14</v>
      </c>
      <c r="J11822" t="s">
        <v>141</v>
      </c>
      <c r="K11822" t="s">
        <v>14</v>
      </c>
      <c r="L11822" t="s">
        <v>20</v>
      </c>
      <c r="M11822" t="s">
        <v>22734</v>
      </c>
      <c r="N11822" t="s">
        <v>14</v>
      </c>
    </row>
    <row r="11823" x14ac:dyDescent="0.25">
      <c r="A11823" t="n">
        <v>23</v>
      </c>
      <c r="B11823" t="s">
        <v>14</v>
      </c>
      <c r="C11823" t="s">
        <v>22</v>
      </c>
      <c r="D11823" s="2" t="s">
        <f>=HYPERLINK("https://main.knesset.gov.il/APPS/legislation/main/bills/2148683", "הצעת חוק הביטוח הלאומי (תיקון - בדיקת תלות בידי רופא מומחה למבוטח מגיל 75), התשפ""א-2020")</f>
        <v>22774</v>
      </c>
      <c r="E11823" t="s">
        <v>22774</v>
      </c>
      <c r="F11823" t="s">
        <v>22775</v>
      </c>
      <c r="G11823" t="s">
        <v>14</v>
      </c>
      <c r="H11823">
             </c>
      <c r="I11823" t="s">
        <v>14</v>
      </c>
      <c r="J11823" t="s">
        <v>141</v>
      </c>
      <c r="K11823" t="s">
        <v>14</v>
      </c>
      <c r="L11823" t="s">
        <v>20</v>
      </c>
      <c r="M11823" t="s">
        <v>22734</v>
      </c>
      <c r="N11823" t="s">
        <v>14</v>
      </c>
    </row>
    <row r="11824" x14ac:dyDescent="0.25">
      <c r="A11824" t="n">
        <v>23</v>
      </c>
      <c r="B11824" t="s">
        <v>14</v>
      </c>
      <c r="C11824" t="s">
        <v>22</v>
      </c>
      <c r="D11824" s="2" t="s">
        <f>=HYPERLINK("https://main.knesset.gov.il/APPS/legislation/main/bills/2148660", "הצעת חוק הביטוח הלאומי (תיקון - איסור קיזוז קצבת ילדים כנגד חוב לביטוח הלאומי), התשפ""א-2020")</f>
        <v>22776</v>
      </c>
      <c r="E11824" t="s">
        <v>22776</v>
      </c>
      <c r="F11824" t="s">
        <v>22777</v>
      </c>
      <c r="G11824" t="s">
        <v>14</v>
      </c>
      <c r="H11824">
             </c>
      <c r="I11824" t="s">
        <v>14</v>
      </c>
      <c r="J11824" t="s">
        <v>141</v>
      </c>
      <c r="K11824" t="s">
        <v>14</v>
      </c>
      <c r="L11824" t="s">
        <v>20</v>
      </c>
      <c r="M11824" t="s">
        <v>22734</v>
      </c>
      <c r="N11824" t="s">
        <v>14</v>
      </c>
    </row>
    <row r="11825" x14ac:dyDescent="0.25">
      <c r="A11825" t="n">
        <v>23</v>
      </c>
      <c r="B11825" t="s">
        <v>14</v>
      </c>
      <c r="C11825" t="s">
        <v>22</v>
      </c>
      <c r="D11825" s="2" t="s">
        <f>=HYPERLINK("https://main.knesset.gov.il/APPS/legislation/main/bills/2148685", "הצעת חוק הביטוח הלאומי (תיקון - אי שלילת זכאות לגמלת סיעוד מקשיש לאחר פטירת בן הזוג), התשפ""א-2020")</f>
        <v>22778</v>
      </c>
      <c r="E11825" t="s">
        <v>22778</v>
      </c>
      <c r="F11825" t="s">
        <v>22779</v>
      </c>
      <c r="G11825" t="s">
        <v>14</v>
      </c>
      <c r="H11825">
             </c>
      <c r="I11825" t="s">
        <v>14</v>
      </c>
      <c r="J11825" t="s">
        <v>141</v>
      </c>
      <c r="K11825" t="s">
        <v>14</v>
      </c>
      <c r="L11825" t="s">
        <v>20</v>
      </c>
      <c r="M11825" t="s">
        <v>22734</v>
      </c>
      <c r="N11825" t="s">
        <v>14</v>
      </c>
    </row>
    <row r="11826" x14ac:dyDescent="0.25">
      <c r="A11826" t="n">
        <v>23</v>
      </c>
      <c r="B11826" t="s">
        <v>14</v>
      </c>
      <c r="C11826" t="s">
        <v>22</v>
      </c>
      <c r="D11826" s="2" t="s">
        <f>=HYPERLINK("https://main.knesset.gov.il/APPS/legislation/main/bills/2148849", "הצעת חוק משפחות חיילים שנספו במערכה (תגמולים ושיקום) (תיקון - הכרה בארוסות חיילים שנספו במערכה), התשפ""א-2020")</f>
        <v>22780</v>
      </c>
      <c r="E11826" t="s">
        <v>22780</v>
      </c>
      <c r="F11826" t="s">
        <v>22781</v>
      </c>
      <c r="G11826" t="s">
        <v>14</v>
      </c>
      <c r="H11826">
             </c>
      <c r="I11826" t="s">
        <v>14</v>
      </c>
      <c r="J11826" t="s">
        <v>141</v>
      </c>
      <c r="K11826" t="s">
        <v>14</v>
      </c>
      <c r="L11826" t="s">
        <v>20</v>
      </c>
      <c r="M11826" t="s">
        <v>22734</v>
      </c>
      <c r="N11826" t="s">
        <v>14</v>
      </c>
    </row>
    <row r="11827" x14ac:dyDescent="0.25">
      <c r="A11827" t="n">
        <v>23</v>
      </c>
      <c r="B11827" t="s">
        <v>14</v>
      </c>
      <c r="C11827" t="s">
        <v>22</v>
      </c>
      <c r="D11827" s="2" t="s">
        <f>=HYPERLINK("https://main.knesset.gov.il/APPS/legislation/main/bills/2148687", "הצעת חוק חופשה שנתית (תיקון - פדיון חופשה במהלך ההעסקה) (הוראת שעה), התשפ""א-2020")</f>
        <v>22782</v>
      </c>
      <c r="E11827" t="s">
        <v>22782</v>
      </c>
      <c r="F11827" t="s">
        <v>22783</v>
      </c>
      <c r="G11827" t="s">
        <v>14</v>
      </c>
      <c r="H11827">
             </c>
      <c r="I11827" t="s">
        <v>14</v>
      </c>
      <c r="J11827" t="s">
        <v>141</v>
      </c>
      <c r="K11827" t="s">
        <v>14</v>
      </c>
      <c r="L11827" t="s">
        <v>20</v>
      </c>
      <c r="M11827" t="s">
        <v>22734</v>
      </c>
      <c r="N11827" t="s">
        <v>14</v>
      </c>
    </row>
    <row r="11828" x14ac:dyDescent="0.25">
      <c r="A11828" t="n">
        <v>23</v>
      </c>
      <c r="B11828" t="s">
        <v>14</v>
      </c>
      <c r="C11828" t="s">
        <v>22</v>
      </c>
      <c r="D11828" s="2" t="s">
        <f>=HYPERLINK("https://main.knesset.gov.il/APPS/legislation/main/bills/2085671", "הצעת חוק שלילת זכויות למעורב בטרור ולבני משפחתו (תיקוני חקיקה), התשפ""א-2020")</f>
        <v>22784</v>
      </c>
      <c r="E11828" t="s">
        <v>22784</v>
      </c>
      <c r="F11828" t="s">
        <v>22785</v>
      </c>
      <c r="G11828" t="s">
        <v>14</v>
      </c>
      <c r="H11828">
             </c>
      <c r="I11828" t="s">
        <v>14</v>
      </c>
      <c r="J11828" t="s">
        <v>141</v>
      </c>
      <c r="K11828" t="s">
        <v>14</v>
      </c>
      <c r="L11828" t="s">
        <v>20</v>
      </c>
      <c r="M11828" t="s">
        <v>22734</v>
      </c>
      <c r="N11828" t="s">
        <v>14</v>
      </c>
    </row>
    <row r="11829" x14ac:dyDescent="0.25">
      <c r="A11829" t="n">
        <v>23</v>
      </c>
      <c r="B11829" t="s">
        <v>14</v>
      </c>
      <c r="C11829" t="s">
        <v>22</v>
      </c>
      <c r="D11829" s="2" t="s">
        <f>=HYPERLINK("https://main.knesset.gov.il/APPS/legislation/main/bills/2149972", "הצעת חוק קרן לאזרחי ישראל (תיקון - הרכב ועדת האיתור ומועד תחילת החוק), התשפ""א-2020")</f>
        <v>22786</v>
      </c>
      <c r="E11829" t="s">
        <v>22786</v>
      </c>
      <c r="F11829" t="s">
        <v>22787</v>
      </c>
      <c r="G11829" t="s">
        <v>14</v>
      </c>
      <c r="H11829">
             </c>
      <c r="I11829" t="s">
        <v>14</v>
      </c>
      <c r="J11829" t="s">
        <v>343</v>
      </c>
      <c r="K11829" t="s">
        <v>14</v>
      </c>
      <c r="L11829" t="s">
        <v>20</v>
      </c>
      <c r="M11829" t="s">
        <v>22734</v>
      </c>
      <c r="N11829" t="s">
        <v>14</v>
      </c>
    </row>
    <row r="11830" x14ac:dyDescent="0.25">
      <c r="A11830" t="n">
        <v>23</v>
      </c>
      <c r="B11830" t="s">
        <v>14</v>
      </c>
      <c r="C11830" t="s">
        <v>22</v>
      </c>
      <c r="D11830" s="2" t="s">
        <f>=HYPERLINK("https://main.knesset.gov.il/APPS/legislation/main/bills/2148662", "הצעת חוק הביטוח הלאומי (תיקון - קביעת דרגת נכות לנפגעי עבודה), התשפ""א-2020")</f>
        <v>22788</v>
      </c>
      <c r="E11830" t="s">
        <v>22788</v>
      </c>
      <c r="F11830" t="s">
        <v>22789</v>
      </c>
      <c r="G11830" t="s">
        <v>14</v>
      </c>
      <c r="H11830">
             </c>
      <c r="I11830" t="s">
        <v>14</v>
      </c>
      <c r="J11830" t="s">
        <v>141</v>
      </c>
      <c r="K11830" t="s">
        <v>14</v>
      </c>
      <c r="L11830" t="s">
        <v>20</v>
      </c>
      <c r="M11830" t="s">
        <v>22734</v>
      </c>
      <c r="N11830" t="s">
        <v>14</v>
      </c>
    </row>
    <row r="11831" x14ac:dyDescent="0.25">
      <c r="A11831" t="n">
        <v>23</v>
      </c>
      <c r="B11831" t="s">
        <v>14</v>
      </c>
      <c r="C11831" t="s">
        <v>22</v>
      </c>
      <c r="D11831" s="2" t="s">
        <f>=HYPERLINK("https://main.knesset.gov.il/APPS/legislation/main/bills/2149932", "הצעת חוק לתיקון פקודת בתי הסוהר (עתירות אסיר - ערעור בזכות), התשפ""א-2020")</f>
        <v>22790</v>
      </c>
      <c r="E11831" t="s">
        <v>22790</v>
      </c>
      <c r="F11831" t="s">
        <v>22791</v>
      </c>
      <c r="G11831" t="s">
        <v>14</v>
      </c>
      <c r="H11831">
             </c>
      <c r="I11831" t="s">
        <v>14</v>
      </c>
      <c r="J11831" t="s">
        <v>141</v>
      </c>
      <c r="K11831" t="s">
        <v>14</v>
      </c>
      <c r="L11831" t="s">
        <v>20</v>
      </c>
      <c r="M11831" t="s">
        <v>22734</v>
      </c>
      <c r="N11831" t="s">
        <v>14</v>
      </c>
    </row>
    <row r="11832" x14ac:dyDescent="0.25">
      <c r="A11832" t="n">
        <v>23</v>
      </c>
      <c r="B11832" t="s">
        <v>14</v>
      </c>
      <c r="C11832" t="s">
        <v>22</v>
      </c>
      <c r="D11832" s="2" t="s">
        <f>=HYPERLINK("https://main.knesset.gov.il/APPS/legislation/main/bills/2149650", "הצעת חוק שירות ביטחון (תיקון - הזדמנות שווה לנשים בצה""ל), התשפ""א-2020")</f>
        <v>22792</v>
      </c>
      <c r="E11832" t="s">
        <v>22792</v>
      </c>
      <c r="F11832" t="s">
        <v>22793</v>
      </c>
      <c r="G11832" t="s">
        <v>14</v>
      </c>
      <c r="H11832">
             </c>
      <c r="I11832" t="s">
        <v>14</v>
      </c>
      <c r="J11832" t="s">
        <v>141</v>
      </c>
      <c r="K11832" t="s">
        <v>14</v>
      </c>
      <c r="L11832" t="s">
        <v>20</v>
      </c>
      <c r="M11832" t="s">
        <v>22734</v>
      </c>
      <c r="N11832" t="s">
        <v>14</v>
      </c>
    </row>
    <row r="11833" x14ac:dyDescent="0.25">
      <c r="A11833" t="n">
        <v>23</v>
      </c>
      <c r="B11833" t="s">
        <v>14</v>
      </c>
      <c r="C11833" t="s">
        <v>22</v>
      </c>
      <c r="D11833" s="2" t="s">
        <f>=HYPERLINK("https://main.knesset.gov.il/APPS/legislation/main/bills/2149702", "הצעת חוק הגנת הצרכן (תיקון - החלת חובת ההודעה על סיום עסקה מתמשכת על תאגידים בנקאיים ופיננסיים), התשפ""א-2020")</f>
        <v>22794</v>
      </c>
      <c r="E11833" t="s">
        <v>22794</v>
      </c>
      <c r="F11833" t="s">
        <v>22795</v>
      </c>
      <c r="G11833" t="s">
        <v>14</v>
      </c>
      <c r="H11833">
             </c>
      <c r="I11833" t="s">
        <v>14</v>
      </c>
      <c r="J11833" t="s">
        <v>141</v>
      </c>
      <c r="K11833" t="s">
        <v>14</v>
      </c>
      <c r="L11833" t="s">
        <v>20</v>
      </c>
      <c r="M11833" t="s">
        <v>22734</v>
      </c>
      <c r="N11833" t="s">
        <v>14</v>
      </c>
    </row>
    <row r="11834" x14ac:dyDescent="0.25">
      <c r="A11834" t="n">
        <v>23</v>
      </c>
      <c r="B11834" t="s">
        <v>14</v>
      </c>
      <c r="C11834" t="s">
        <v>22</v>
      </c>
      <c r="D11834" s="2" t="s">
        <f>=HYPERLINK("https://main.knesset.gov.il/APPS/legislation/main/bills/2148339", "הצעת חוק חובת יידוע והפסקת חיוב של מנוי לא פעיל (תיקוני חקיקה), התשפ""א-2020")</f>
        <v>22796</v>
      </c>
      <c r="E11834" t="s">
        <v>22796</v>
      </c>
      <c r="F11834" t="s">
        <v>22797</v>
      </c>
      <c r="G11834" t="s">
        <v>14</v>
      </c>
      <c r="H11834">
             </c>
      <c r="I11834" t="s">
        <v>14</v>
      </c>
      <c r="J11834" t="s">
        <v>141</v>
      </c>
      <c r="K11834" t="s">
        <v>14</v>
      </c>
      <c r="L11834" t="s">
        <v>20</v>
      </c>
      <c r="M11834" t="s">
        <v>22734</v>
      </c>
      <c r="N11834" t="s">
        <v>14</v>
      </c>
    </row>
    <row r="11835" x14ac:dyDescent="0.25">
      <c r="A11835" t="n">
        <v>23</v>
      </c>
      <c r="B11835" t="s">
        <v>14</v>
      </c>
      <c r="C11835" t="s">
        <v>22</v>
      </c>
      <c r="D11835" s="2" t="s">
        <f>=HYPERLINK("https://main.knesset.gov.il/APPS/legislation/main/bills/2148856", "הצעת חוק שירותי תעופה (פיצוי וסיוע בשל ביטול טיסה או שינוי בתנאיה) (נגיף הקורונה החדש - הוראת שעה - תיקון) (תיקון - השבת תשלום על ידי נותן שירותי סוכנות נסיעות), התשפ""א-2020 ")</f>
        <v>22798</v>
      </c>
      <c r="E11835" t="s">
        <v>22798</v>
      </c>
      <c r="F11835" t="s">
        <v>22799</v>
      </c>
      <c r="G11835" t="s">
        <v>14</v>
      </c>
      <c r="H11835">
             </c>
      <c r="I11835" t="s">
        <v>14</v>
      </c>
      <c r="J11835" t="s">
        <v>141</v>
      </c>
      <c r="K11835" t="s">
        <v>14</v>
      </c>
      <c r="L11835" t="s">
        <v>20</v>
      </c>
      <c r="M11835" t="s">
        <v>22734</v>
      </c>
      <c r="N11835" t="s">
        <v>14</v>
      </c>
    </row>
    <row r="11836" x14ac:dyDescent="0.25">
      <c r="A11836" t="n">
        <v>23</v>
      </c>
      <c r="B11836" t="s">
        <v>14</v>
      </c>
      <c r="C11836" t="s">
        <v>22</v>
      </c>
      <c r="D11836" s="2" t="s">
        <f>=HYPERLINK("https://main.knesset.gov.il/APPS/legislation/main/bills/2149869", "הצעת חוק לתיקון פקודת בתי הסוהר (עתירות אסיר - ערעור בזכות), התשפ""א-2020")</f>
        <v>22790</v>
      </c>
      <c r="E11836" t="s">
        <v>22790</v>
      </c>
      <c r="F11836" t="s">
        <v>22800</v>
      </c>
      <c r="G11836" t="s">
        <v>14</v>
      </c>
      <c r="H11836">
             </c>
      <c r="I11836" t="s">
        <v>14</v>
      </c>
      <c r="J11836" t="s">
        <v>141</v>
      </c>
      <c r="K11836" t="s">
        <v>14</v>
      </c>
      <c r="L11836" t="s">
        <v>20</v>
      </c>
      <c r="M11836" t="s">
        <v>22734</v>
      </c>
      <c r="N11836" t="s">
        <v>14</v>
      </c>
    </row>
    <row r="11837" x14ac:dyDescent="0.25">
      <c r="A11837" t="n">
        <v>23</v>
      </c>
      <c r="B11837" t="s">
        <v>14</v>
      </c>
      <c r="C11837" t="s">
        <v>22</v>
      </c>
      <c r="D11837" s="2" t="s">
        <f>=HYPERLINK("https://main.knesset.gov.il/APPS/legislation/main/bills/2149726", "הצעת חוק הצמדת תשלומים לחיילים בודדים למדד המחירים לצרכן, התשפ""א-2020")</f>
        <v>22801</v>
      </c>
      <c r="E11837" t="s">
        <v>22801</v>
      </c>
      <c r="F11837" t="s">
        <v>22802</v>
      </c>
      <c r="G11837" t="s">
        <v>14</v>
      </c>
      <c r="H11837">
             </c>
      <c r="I11837" t="s">
        <v>14</v>
      </c>
      <c r="J11837" t="s">
        <v>141</v>
      </c>
      <c r="K11837" t="s">
        <v>14</v>
      </c>
      <c r="L11837" t="s">
        <v>20</v>
      </c>
      <c r="M11837" t="s">
        <v>22734</v>
      </c>
      <c r="N11837" t="s">
        <v>14</v>
      </c>
    </row>
    <row r="11838" x14ac:dyDescent="0.25">
      <c r="A11838" t="n">
        <v>23</v>
      </c>
      <c r="B11838" t="s">
        <v>14</v>
      </c>
      <c r="C11838" t="s">
        <v>22</v>
      </c>
      <c r="D11838" s="2" t="s">
        <f>=HYPERLINK("https://main.knesset.gov.il/APPS/legislation/main/bills/2148054", "הצעת חוק שירותי תעופה (פיצוי וסיוע בשל ביטול טיסה או שינוי בתנאיה) (נגיף הקורונה החדש - הוראת שעה - תיקון) (תיקון - השבת תשלום על ידי נותן שירותי סוכנות נסיעות), התשפ""א-2020 ")</f>
        <v>22798</v>
      </c>
      <c r="E11838" t="s">
        <v>22798</v>
      </c>
      <c r="F11838" t="s">
        <v>22803</v>
      </c>
      <c r="G11838" t="s">
        <v>14</v>
      </c>
      <c r="H11838">
             </c>
      <c r="I11838" t="s">
        <v>14</v>
      </c>
      <c r="J11838" t="s">
        <v>141</v>
      </c>
      <c r="K11838" t="s">
        <v>14</v>
      </c>
      <c r="L11838" t="s">
        <v>20</v>
      </c>
      <c r="M11838" t="s">
        <v>22734</v>
      </c>
      <c r="N11838" t="s">
        <v>14</v>
      </c>
    </row>
    <row r="11839" x14ac:dyDescent="0.25">
      <c r="A11839" t="n">
        <v>23</v>
      </c>
      <c r="B11839" t="s">
        <v>14</v>
      </c>
      <c r="C11839" t="s">
        <v>22</v>
      </c>
      <c r="D11839" s="2" t="s">
        <f>=HYPERLINK("https://main.knesset.gov.il/APPS/legislation/main/bills/2148725", "הצעת חוק יום העצמאיות והעצמאיים, התשפ""א-2020")</f>
        <v>22804</v>
      </c>
      <c r="E11839" t="s">
        <v>22804</v>
      </c>
      <c r="F11839" t="s">
        <v>22805</v>
      </c>
      <c r="G11839" t="s">
        <v>14</v>
      </c>
      <c r="H11839">
             </c>
      <c r="I11839" t="s">
        <v>14</v>
      </c>
      <c r="J11839" t="s">
        <v>141</v>
      </c>
      <c r="K11839" t="s">
        <v>14</v>
      </c>
      <c r="L11839" t="s">
        <v>20</v>
      </c>
      <c r="M11839" t="s">
        <v>22734</v>
      </c>
      <c r="N11839" t="s">
        <v>14</v>
      </c>
    </row>
    <row r="11840" x14ac:dyDescent="0.25">
      <c r="A11840" t="n">
        <v>23</v>
      </c>
      <c r="B11840" t="s">
        <v>14</v>
      </c>
      <c r="C11840" t="s">
        <v>22</v>
      </c>
      <c r="D11840" s="2" t="s">
        <f>=HYPERLINK("https://main.knesset.gov.il/APPS/legislation/main/bills/2149879", "הצעת חוק התכנית להבראת כלכלת ישראל (תיקוני חקיקה להשגת יעדי התקציב והמדיניות הכלכלית לשנות הכספים 2003 ו-2004) (תיקון מס' 18 והוראת שעה) (תיקון - הארכת הפחתת היטל על העסקת עובד זר בענף החקלאות), התשפ""א-2020")</f>
        <v>22806</v>
      </c>
      <c r="E11840" t="s">
        <v>22806</v>
      </c>
      <c r="F11840" t="s">
        <v>22807</v>
      </c>
      <c r="G11840" t="s">
        <v>14</v>
      </c>
      <c r="H11840">
             </c>
      <c r="I11840" t="s">
        <v>14</v>
      </c>
      <c r="J11840" t="s">
        <v>141</v>
      </c>
      <c r="K11840" t="s">
        <v>14</v>
      </c>
      <c r="L11840" t="s">
        <v>20</v>
      </c>
      <c r="M11840" t="s">
        <v>22734</v>
      </c>
      <c r="N11840" t="s">
        <v>14</v>
      </c>
    </row>
    <row r="11841" x14ac:dyDescent="0.25">
      <c r="A11841" t="n">
        <v>23</v>
      </c>
      <c r="B11841" t="s">
        <v>14</v>
      </c>
      <c r="C11841" t="s">
        <v>22</v>
      </c>
      <c r="D11841" s="2" t="s">
        <f>=HYPERLINK("https://main.knesset.gov.il/APPS/legislation/main/bills/2149890", "הצעת חוק מס ערך מוסף (תיקון - דחיית תשלום בתקופת חירום) (הוראת שעה), התשפ""א-2020")</f>
        <v>22808</v>
      </c>
      <c r="E11841" t="s">
        <v>22808</v>
      </c>
      <c r="F11841" t="s">
        <v>22809</v>
      </c>
      <c r="G11841" t="s">
        <v>14</v>
      </c>
      <c r="H11841">
             </c>
      <c r="I11841" t="s">
        <v>14</v>
      </c>
      <c r="J11841" t="s">
        <v>141</v>
      </c>
      <c r="K11841" t="s">
        <v>14</v>
      </c>
      <c r="L11841" t="s">
        <v>20</v>
      </c>
      <c r="M11841" t="s">
        <v>22734</v>
      </c>
      <c r="N11841" t="s">
        <v>14</v>
      </c>
    </row>
    <row r="11842" x14ac:dyDescent="0.25">
      <c r="A11842" t="n">
        <v>23</v>
      </c>
      <c r="B11842" t="s">
        <v>14</v>
      </c>
      <c r="C11842" t="s">
        <v>22</v>
      </c>
      <c r="D11842" s="2" t="s">
        <f>=HYPERLINK("https://main.knesset.gov.il/APPS/legislation/main/bills/2144503", "הצעת חוק לביטול אזרחותו או תושבותו של פעיל טרור שמקבל תגמול עבור ביצוע מעשה הטרור (תיקוני חקיקה), התשפ""א-2020")</f>
        <v>22810</v>
      </c>
      <c r="E11842" t="s">
        <v>22810</v>
      </c>
      <c r="F11842" t="s">
        <v>22811</v>
      </c>
      <c r="G11842" t="s">
        <v>14</v>
      </c>
      <c r="H11842">
             </c>
      <c r="I11842" t="s">
        <v>14</v>
      </c>
      <c r="J11842" t="s">
        <v>141</v>
      </c>
      <c r="K11842" t="s">
        <v>14</v>
      </c>
      <c r="L11842" t="s">
        <v>20</v>
      </c>
      <c r="M11842" t="s">
        <v>22734</v>
      </c>
      <c r="N11842" t="s">
        <v>14</v>
      </c>
    </row>
    <row r="11843" x14ac:dyDescent="0.25">
      <c r="A11843" t="n">
        <v>23</v>
      </c>
      <c r="B11843" t="s">
        <v>14</v>
      </c>
      <c r="C11843" t="s">
        <v>22</v>
      </c>
      <c r="D11843" s="2" t="s">
        <f>=HYPERLINK("https://main.knesset.gov.il/APPS/legislation/main/bills/2147975", "הצעת חוק הדרכונים (תיקון - מתן דרכון לעולה), התשפ""א-2020")</f>
        <v>22812</v>
      </c>
      <c r="E11843" t="s">
        <v>22812</v>
      </c>
      <c r="F11843" t="s">
        <v>22813</v>
      </c>
      <c r="G11843" t="s">
        <v>14</v>
      </c>
      <c r="H11843">
             </c>
      <c r="I11843" t="s">
        <v>14</v>
      </c>
      <c r="J11843" t="s">
        <v>141</v>
      </c>
      <c r="K11843" t="s">
        <v>14</v>
      </c>
      <c r="L11843" t="s">
        <v>20</v>
      </c>
      <c r="M11843" t="s">
        <v>22734</v>
      </c>
      <c r="N11843" t="s">
        <v>14</v>
      </c>
    </row>
    <row r="11844" x14ac:dyDescent="0.25">
      <c r="A11844" t="n">
        <v>23</v>
      </c>
      <c r="B11844" t="s">
        <v>14</v>
      </c>
      <c r="C11844" t="s">
        <v>22</v>
      </c>
      <c r="D11844" s="2" t="s">
        <f>=HYPERLINK("https://main.knesset.gov.il/APPS/legislation/main/bills/2149976", "הצעת חוק לימוד חובה (תיקון - איסור תשלומים נלווים), התשפ""א-2020")</f>
        <v>22814</v>
      </c>
      <c r="E11844" t="s">
        <v>22814</v>
      </c>
      <c r="F11844" t="s">
        <v>22815</v>
      </c>
      <c r="G11844" t="s">
        <v>14</v>
      </c>
      <c r="H11844">
             </c>
      <c r="I11844" t="s">
        <v>14</v>
      </c>
      <c r="J11844" t="s">
        <v>141</v>
      </c>
      <c r="K11844" t="s">
        <v>14</v>
      </c>
      <c r="L11844" t="s">
        <v>20</v>
      </c>
      <c r="M11844" t="s">
        <v>22734</v>
      </c>
      <c r="N11844" t="s">
        <v>14</v>
      </c>
    </row>
    <row r="11845" x14ac:dyDescent="0.25">
      <c r="A11845" t="n">
        <v>23</v>
      </c>
      <c r="B11845" t="s">
        <v>14</v>
      </c>
      <c r="C11845" t="s">
        <v>22</v>
      </c>
      <c r="D11845" s="2" t="s">
        <f>=HYPERLINK("https://main.knesset.gov.il/APPS/legislation/main/bills/2149982", "הצעת חוק סייעות במוסדות חינוך, התשפ""א-2020")</f>
        <v>22816</v>
      </c>
      <c r="E11845" t="s">
        <v>22816</v>
      </c>
      <c r="F11845" t="s">
        <v>22817</v>
      </c>
      <c r="G11845" t="s">
        <v>14</v>
      </c>
      <c r="H11845">
             </c>
      <c r="I11845" t="s">
        <v>14</v>
      </c>
      <c r="J11845" t="s">
        <v>141</v>
      </c>
      <c r="K11845" t="s">
        <v>14</v>
      </c>
      <c r="L11845" t="s">
        <v>20</v>
      </c>
      <c r="M11845" t="s">
        <v>22734</v>
      </c>
      <c r="N11845" t="s">
        <v>14</v>
      </c>
    </row>
    <row r="11846" x14ac:dyDescent="0.25">
      <c r="A11846" t="n">
        <v>23</v>
      </c>
      <c r="B11846" t="s">
        <v>14</v>
      </c>
      <c r="C11846" t="s">
        <v>22</v>
      </c>
      <c r="D11846" s="2" t="s">
        <f>=HYPERLINK("https://main.knesset.gov.il/APPS/legislation/main/bills/2149969", "הצעת חוק חינוך ממלכתי (תיקון - חובת לימוד מאבק באלימות), התשפ""א-2020")</f>
        <v>22818</v>
      </c>
      <c r="E11846" t="s">
        <v>22818</v>
      </c>
      <c r="F11846" t="s">
        <v>22819</v>
      </c>
      <c r="G11846" t="s">
        <v>14</v>
      </c>
      <c r="H11846">
             </c>
      <c r="I11846" t="s">
        <v>14</v>
      </c>
      <c r="J11846" t="s">
        <v>141</v>
      </c>
      <c r="K11846" t="s">
        <v>14</v>
      </c>
      <c r="L11846" t="s">
        <v>20</v>
      </c>
      <c r="M11846" t="s">
        <v>22734</v>
      </c>
      <c r="N11846" t="s">
        <v>14</v>
      </c>
    </row>
    <row r="11847" x14ac:dyDescent="0.25">
      <c r="A11847" t="n">
        <v>23</v>
      </c>
      <c r="B11847" t="s">
        <v>14</v>
      </c>
      <c r="C11847" t="s">
        <v>22</v>
      </c>
      <c r="D11847" s="2" t="s">
        <f>=HYPERLINK("https://main.knesset.gov.il/APPS/legislation/main/bills/2149805", "הצעת חוק חינוך ממלכתי (תיקון - מעמד החינוך הממלכתי המשלב), התשפ""א-2020")</f>
        <v>22820</v>
      </c>
      <c r="E11847" t="s">
        <v>22820</v>
      </c>
      <c r="F11847" t="s">
        <v>22821</v>
      </c>
      <c r="G11847" t="s">
        <v>14</v>
      </c>
      <c r="H11847">
             </c>
      <c r="I11847" t="s">
        <v>14</v>
      </c>
      <c r="J11847" t="s">
        <v>141</v>
      </c>
      <c r="K11847" t="s">
        <v>14</v>
      </c>
      <c r="L11847" t="s">
        <v>20</v>
      </c>
      <c r="M11847" t="s">
        <v>22734</v>
      </c>
      <c r="N11847" t="s">
        <v>14</v>
      </c>
    </row>
    <row r="11848" x14ac:dyDescent="0.25">
      <c r="A11848" t="n">
        <v>23</v>
      </c>
      <c r="B11848" t="s">
        <v>14</v>
      </c>
      <c r="C11848" t="s">
        <v>22</v>
      </c>
      <c r="D11848" s="2" t="s">
        <f>=HYPERLINK("https://main.knesset.gov.il/APPS/legislation/main/bills/2149964", "הצעת חוק זכויות התלמיד (תיקון - הזכות להיבחן בבחינות בגרות), התשפ""א-2020")</f>
        <v>22822</v>
      </c>
      <c r="E11848" t="s">
        <v>22822</v>
      </c>
      <c r="F11848" t="s">
        <v>22823</v>
      </c>
      <c r="G11848" t="s">
        <v>14</v>
      </c>
      <c r="H11848">
             </c>
      <c r="I11848" t="s">
        <v>14</v>
      </c>
      <c r="J11848" t="s">
        <v>141</v>
      </c>
      <c r="K11848" t="s">
        <v>14</v>
      </c>
      <c r="L11848" t="s">
        <v>20</v>
      </c>
      <c r="M11848" t="s">
        <v>22734</v>
      </c>
      <c r="N11848" t="s">
        <v>14</v>
      </c>
    </row>
    <row r="11849" x14ac:dyDescent="0.25">
      <c r="A11849" t="n">
        <v>23</v>
      </c>
      <c r="B11849" t="s">
        <v>14</v>
      </c>
      <c r="C11849" t="s">
        <v>22</v>
      </c>
      <c r="D11849" s="2" t="s">
        <f>=HYPERLINK("https://main.knesset.gov.il/APPS/legislation/main/bills/2149880", "הצעת חוק המועצה להשכלה גבוהה (תיקון - ביטול דרישת מבחני כניסה וציון פסיכומטרי), התשפ""א-2020")</f>
        <v>22824</v>
      </c>
      <c r="E11849" t="s">
        <v>22824</v>
      </c>
      <c r="F11849" t="s">
        <v>22825</v>
      </c>
      <c r="G11849" t="s">
        <v>14</v>
      </c>
      <c r="H11849">
             </c>
      <c r="I11849" t="s">
        <v>14</v>
      </c>
      <c r="J11849" t="s">
        <v>141</v>
      </c>
      <c r="K11849" t="s">
        <v>14</v>
      </c>
      <c r="L11849" t="s">
        <v>20</v>
      </c>
      <c r="M11849" t="s">
        <v>22734</v>
      </c>
      <c r="N11849" t="s">
        <v>14</v>
      </c>
    </row>
    <row r="11850" x14ac:dyDescent="0.25">
      <c r="A11850" t="n">
        <v>23</v>
      </c>
      <c r="B11850" t="s">
        <v>14</v>
      </c>
      <c r="C11850" t="s">
        <v>22</v>
      </c>
      <c r="D11850" s="2" t="s">
        <f>=HYPERLINK("https://main.knesset.gov.il/APPS/legislation/main/bills/2147610", "הצעת חוק התקשורת (בזק ושידורים) (תיקון - הוראות לעניין פריסת רשת מתקדמת), התשפ""א-2020")</f>
        <v>22826</v>
      </c>
      <c r="E11850" t="s">
        <v>22826</v>
      </c>
      <c r="F11850" t="s">
        <v>22827</v>
      </c>
      <c r="G11850" t="s">
        <v>14</v>
      </c>
      <c r="H11850">
             </c>
      <c r="I11850" t="s">
        <v>14</v>
      </c>
      <c r="J11850" t="s">
        <v>99</v>
      </c>
      <c r="K11850" t="s">
        <v>19</v>
      </c>
      <c r="L11850" t="s">
        <v>20</v>
      </c>
      <c r="M11850" t="s">
        <v>22828</v>
      </c>
      <c r="N11850" t="s">
        <v>14</v>
      </c>
    </row>
    <row r="11851" x14ac:dyDescent="0.25">
      <c r="A11851" t="n">
        <v>23</v>
      </c>
      <c r="B11851" t="s">
        <v>14</v>
      </c>
      <c r="C11851" t="s">
        <v>22</v>
      </c>
      <c r="D11851" s="2" t="s">
        <f>=HYPERLINK("https://main.knesset.gov.il/APPS/legislation/main/bills/2088401", "הצעת חוק התפזרות הכנסת העשרים ושלוש, התשפ""א-2020")</f>
        <v>22513</v>
      </c>
      <c r="E11851" t="s">
        <v>22513</v>
      </c>
      <c r="F11851" t="s">
        <v>22829</v>
      </c>
      <c r="G11851" t="s">
        <v>14</v>
      </c>
      <c r="H11851">
             </c>
      <c r="I11851" t="s">
        <v>14</v>
      </c>
      <c r="J11851" t="s">
        <v>55</v>
      </c>
      <c r="K11851" t="s">
        <v>14</v>
      </c>
      <c r="L11851" t="s">
        <v>20</v>
      </c>
      <c r="M11851" t="s">
        <v>22830</v>
      </c>
      <c r="N11851" t="s">
        <v>14</v>
      </c>
    </row>
    <row r="11852" x14ac:dyDescent="0.25">
      <c r="A11852" t="n">
        <v>23</v>
      </c>
      <c r="B11852" t="s">
        <v>14</v>
      </c>
      <c r="C11852" t="s">
        <v>22</v>
      </c>
      <c r="D11852" s="2" t="s">
        <f>=HYPERLINK("https://main.knesset.gov.il/APPS/legislation/main/bills/2147365", "הצעת חוק התפזרות הכנסת העשרים ושלוש, התשפ""א-2020")</f>
        <v>22513</v>
      </c>
      <c r="E11852" t="s">
        <v>22513</v>
      </c>
      <c r="F11852" t="s">
        <v>22831</v>
      </c>
      <c r="G11852" t="s">
        <v>14</v>
      </c>
      <c r="H11852">
             </c>
      <c r="I11852" t="s">
        <v>14</v>
      </c>
      <c r="J11852" t="s">
        <v>55</v>
      </c>
      <c r="K11852" t="s">
        <v>14</v>
      </c>
      <c r="L11852" t="s">
        <v>20</v>
      </c>
      <c r="M11852" t="s">
        <v>22830</v>
      </c>
      <c r="N11852" t="s">
        <v>14</v>
      </c>
    </row>
    <row r="11853" x14ac:dyDescent="0.25">
      <c r="A11853" t="n">
        <v>23</v>
      </c>
      <c r="B11853" t="s">
        <v>14</v>
      </c>
      <c r="C11853" t="s">
        <v>22</v>
      </c>
      <c r="D11853" s="2" t="s">
        <f>=HYPERLINK("https://main.knesset.gov.il/APPS/legislation/main/bills/2143569", "הצעת חוק לתיקון פקודת מס הכנסה (נקודת זיכוי לסטודנטים ומממני שכר לימוד), התשפ""א-2020")</f>
        <v>22832</v>
      </c>
      <c r="E11853" t="s">
        <v>22832</v>
      </c>
      <c r="F11853" t="s">
        <v>22833</v>
      </c>
      <c r="G11853" t="s">
        <v>14</v>
      </c>
      <c r="H11853">
             </c>
      <c r="I11853" t="s">
        <v>14</v>
      </c>
      <c r="J11853" t="s">
        <v>343</v>
      </c>
      <c r="K11853" t="s">
        <v>14</v>
      </c>
      <c r="L11853" t="s">
        <v>20</v>
      </c>
      <c r="M11853" t="s">
        <v>22830</v>
      </c>
      <c r="N11853" t="s">
        <v>14</v>
      </c>
    </row>
    <row r="11854" x14ac:dyDescent="0.25">
      <c r="A11854" t="n">
        <v>23</v>
      </c>
      <c r="B11854" t="s">
        <v>14</v>
      </c>
      <c r="C11854" t="s">
        <v>22</v>
      </c>
      <c r="D11854" s="2" t="s">
        <f>=HYPERLINK("https://main.knesset.gov.il/APPS/legislation/main/bills/2145061", "הצעת חוק ביטוח בריאות ממלכתי (הוראת שעה לקביעת תקציב לשם הוספת תרופות, מכשור וטכנולוגיות רפואיות חדשות לסל שירותי הבריאות לשנת 2021), התש""ף-2020")</f>
        <v>22834</v>
      </c>
      <c r="E11854" t="s">
        <v>22834</v>
      </c>
      <c r="F11854" t="s">
        <v>22835</v>
      </c>
      <c r="G11854" t="s">
        <v>14</v>
      </c>
      <c r="H11854">
             </c>
      <c r="I11854" t="s">
        <v>14</v>
      </c>
      <c r="J11854" t="s">
        <v>55</v>
      </c>
      <c r="K11854" t="s">
        <v>14</v>
      </c>
      <c r="L11854" t="s">
        <v>20</v>
      </c>
      <c r="M11854" t="s">
        <v>22830</v>
      </c>
      <c r="N11854" t="s">
        <v>14</v>
      </c>
    </row>
    <row r="11855" x14ac:dyDescent="0.25">
      <c r="A11855" t="n">
        <v>23</v>
      </c>
      <c r="B11855" t="s">
        <v>14</v>
      </c>
      <c r="C11855" t="s">
        <v>22</v>
      </c>
      <c r="D11855" s="2" t="s">
        <f>=HYPERLINK("https://main.knesset.gov.il/APPS/legislation/main/bills/2144106", "הצעת חוק שירות המדינה (תנאי עבודה של עובדי המדינה) (עבודה מרחוק), התש""ף-2020")</f>
        <v>22836</v>
      </c>
      <c r="E11855" t="s">
        <v>22836</v>
      </c>
      <c r="F11855" t="s">
        <v>22837</v>
      </c>
      <c r="G11855" t="s">
        <v>14</v>
      </c>
      <c r="H11855">
             </c>
      <c r="I11855" t="s">
        <v>14</v>
      </c>
      <c r="J11855" t="s">
        <v>343</v>
      </c>
      <c r="K11855" t="s">
        <v>14</v>
      </c>
      <c r="L11855" t="s">
        <v>20</v>
      </c>
      <c r="M11855" t="s">
        <v>22830</v>
      </c>
      <c r="N11855" t="s">
        <v>14</v>
      </c>
    </row>
    <row r="11856" x14ac:dyDescent="0.25">
      <c r="A11856" t="n">
        <v>23</v>
      </c>
      <c r="B11856" t="s">
        <v>14</v>
      </c>
      <c r="C11856" t="s">
        <v>22</v>
      </c>
      <c r="D11856" s="2" t="s">
        <f>=HYPERLINK("https://main.knesset.gov.il/APPS/legislation/main/bills/2144630", "הצעת חוק איסור חקירה בדבר עברו המיני של נפגע עבירה (תיקוני חקיקה), התש""ף-2020")</f>
        <v>22838</v>
      </c>
      <c r="E11856" t="s">
        <v>22838</v>
      </c>
      <c r="F11856" t="s">
        <v>22839</v>
      </c>
      <c r="G11856" t="s">
        <v>14</v>
      </c>
      <c r="H11856">
             </c>
      <c r="I11856" t="s">
        <v>14</v>
      </c>
      <c r="J11856" t="s">
        <v>55</v>
      </c>
      <c r="K11856" t="s">
        <v>14</v>
      </c>
      <c r="L11856" t="s">
        <v>20</v>
      </c>
      <c r="M11856" t="s">
        <v>22830</v>
      </c>
      <c r="N11856" t="s">
        <v>14</v>
      </c>
    </row>
    <row r="11857" x14ac:dyDescent="0.25">
      <c r="A11857" t="n">
        <v>23</v>
      </c>
      <c r="B11857" t="s">
        <v>14</v>
      </c>
      <c r="C11857" t="s">
        <v>22</v>
      </c>
      <c r="D11857" s="2" t="s">
        <f>=HYPERLINK("https://main.knesset.gov.il/APPS/legislation/main/bills/2087803", "הצעת חוק משק החשמל (תיקון - ועדה מיוחדת), התש""ף-2020")</f>
        <v>22840</v>
      </c>
      <c r="E11857" t="s">
        <v>22840</v>
      </c>
      <c r="F11857" t="s">
        <v>22841</v>
      </c>
      <c r="G11857" t="s">
        <v>14</v>
      </c>
      <c r="H11857">
             </c>
      <c r="I11857" t="s">
        <v>14</v>
      </c>
      <c r="J11857" t="s">
        <v>343</v>
      </c>
      <c r="K11857" t="s">
        <v>14</v>
      </c>
      <c r="L11857" t="s">
        <v>20</v>
      </c>
      <c r="M11857" t="s">
        <v>22830</v>
      </c>
      <c r="N11857" t="s">
        <v>14</v>
      </c>
    </row>
    <row r="11858" x14ac:dyDescent="0.25">
      <c r="A11858" t="n">
        <v>23</v>
      </c>
      <c r="B11858" t="s">
        <v>14</v>
      </c>
      <c r="C11858" t="s">
        <v>22</v>
      </c>
      <c r="D11858" s="2" t="s">
        <f>=HYPERLINK("https://main.knesset.gov.il/APPS/legislation/main/bills/2088530", "הצעת חוק התפזרות הכנסת העשרים ושלוש, התש""ף-2020")</f>
        <v>22729</v>
      </c>
      <c r="E11858" t="s">
        <v>22729</v>
      </c>
      <c r="F11858" t="s">
        <v>22842</v>
      </c>
      <c r="G11858" t="s">
        <v>14</v>
      </c>
      <c r="H11858">
             </c>
      <c r="I11858" t="s">
        <v>14</v>
      </c>
      <c r="J11858" t="s">
        <v>55</v>
      </c>
      <c r="K11858" t="s">
        <v>14</v>
      </c>
      <c r="L11858" t="s">
        <v>20</v>
      </c>
      <c r="M11858" t="s">
        <v>22830</v>
      </c>
      <c r="N11858" t="s">
        <v>14</v>
      </c>
    </row>
    <row r="11859" x14ac:dyDescent="0.25">
      <c r="A11859" t="n">
        <v>23</v>
      </c>
      <c r="B11859" t="s">
        <v>14</v>
      </c>
      <c r="C11859" t="s">
        <v>22</v>
      </c>
      <c r="D11859" s="2" t="s">
        <f>=HYPERLINK("https://main.knesset.gov.il/APPS/legislation/main/bills/2142511", "הצעת חוק הנכים (תגמולים ושיקום) (תיקון - ביטול מבחן הכנסה), התש""ף-2020")</f>
        <v>22843</v>
      </c>
      <c r="E11859" t="s">
        <v>22843</v>
      </c>
      <c r="F11859" t="s">
        <v>22844</v>
      </c>
      <c r="G11859" t="s">
        <v>14</v>
      </c>
      <c r="H11859">
             </c>
      <c r="I11859" t="s">
        <v>14</v>
      </c>
      <c r="J11859" t="s">
        <v>55</v>
      </c>
      <c r="K11859" t="s">
        <v>14</v>
      </c>
      <c r="L11859" t="s">
        <v>20</v>
      </c>
      <c r="M11859" t="s">
        <v>22830</v>
      </c>
      <c r="N11859" t="s">
        <v>14</v>
      </c>
    </row>
    <row r="11860" x14ac:dyDescent="0.25">
      <c r="A11860" t="n">
        <v>23</v>
      </c>
      <c r="B11860" t="s">
        <v>14</v>
      </c>
      <c r="C11860" t="s">
        <v>22</v>
      </c>
      <c r="D11860" s="2" t="s">
        <f>=HYPERLINK("https://main.knesset.gov.il/APPS/legislation/main/bills/2087378", "הצעת חוק התפזרות הכנסת העשרים ושלוש, התש""ף-2020")</f>
        <v>22729</v>
      </c>
      <c r="E11860" t="s">
        <v>22729</v>
      </c>
      <c r="F11860" t="s">
        <v>22845</v>
      </c>
      <c r="G11860" t="s">
        <v>14</v>
      </c>
      <c r="H11860">
             </c>
      <c r="I11860" t="s">
        <v>14</v>
      </c>
      <c r="J11860" t="s">
        <v>55</v>
      </c>
      <c r="K11860" t="s">
        <v>14</v>
      </c>
      <c r="L11860" t="s">
        <v>20</v>
      </c>
      <c r="M11860" t="s">
        <v>22830</v>
      </c>
      <c r="N11860" t="s">
        <v>14</v>
      </c>
    </row>
    <row r="11861" x14ac:dyDescent="0.25">
      <c r="A11861" t="n">
        <v>23</v>
      </c>
      <c r="B11861" t="s">
        <v>14</v>
      </c>
      <c r="C11861" t="s">
        <v>15</v>
      </c>
      <c r="D11861" s="2" t="s">
        <f>=HYPERLINK("https://main.knesset.gov.il/APPS/legislation/main/bills/2143628", "חוק מקורות אנרגיה (תיקון מס' 2), התשפ""א-2020 ")</f>
        <v>22846</v>
      </c>
      <c r="E11861" t="s">
        <v>22846</v>
      </c>
      <c r="F11861" t="s">
        <v>14</v>
      </c>
      <c r="G11861" t="s">
        <v>22847</v>
      </c>
      <c r="H11861" t="n">
        <v>2873</v>
      </c>
      <c r="I11861" t="s">
        <v>14</v>
      </c>
      <c r="J11861" t="s">
        <v>91</v>
      </c>
      <c r="K11861" t="s">
        <v>19</v>
      </c>
      <c r="L11861" t="s">
        <v>20</v>
      </c>
      <c r="M11861" t="s">
        <v>22848</v>
      </c>
      <c r="N11861" t="s">
        <v>22849</v>
      </c>
    </row>
    <row r="11862" x14ac:dyDescent="0.25">
      <c r="A11862" t="n">
        <v>23</v>
      </c>
      <c r="B11862" t="s">
        <v>14</v>
      </c>
      <c r="C11862" t="s">
        <v>22</v>
      </c>
      <c r="D11862" s="2" t="s">
        <f>=HYPERLINK("https://main.knesset.gov.il/APPS/legislation/main/bills/2141751", "הצעת חוק שוויון זכויות לאנשים עם מוגבלות (תיקון - מידע בדבר עמידת מעסיקים פרטיים גדולים ביעד הייצוג ההולם), התש""ף-2020")</f>
        <v>22850</v>
      </c>
      <c r="E11862" t="s">
        <v>22850</v>
      </c>
      <c r="F11862" t="s">
        <v>22851</v>
      </c>
      <c r="G11862" t="s">
        <v>14</v>
      </c>
      <c r="H11862">
             </c>
      <c r="I11862" t="s">
        <v>14</v>
      </c>
      <c r="J11862" t="s">
        <v>31</v>
      </c>
      <c r="K11862" t="s">
        <v>15147</v>
      </c>
      <c r="L11862" t="s">
        <v>20</v>
      </c>
      <c r="M11862" t="s">
        <v>22848</v>
      </c>
      <c r="N11862" t="s">
        <v>14</v>
      </c>
    </row>
    <row r="11863" x14ac:dyDescent="0.25">
      <c r="A11863" t="n">
        <v>23</v>
      </c>
      <c r="B11863" t="s">
        <v>14</v>
      </c>
      <c r="C11863" t="s">
        <v>22</v>
      </c>
      <c r="D11863" s="2" t="s">
        <f>=HYPERLINK("https://main.knesset.gov.il/APPS/legislation/main/bills/2148011", "הצעת חוק הבטחת הכנסה (תיקון - גמלת הבטחת הכנסה לקשיש), התשפ""א-2020")</f>
        <v>22852</v>
      </c>
      <c r="E11863" t="s">
        <v>22852</v>
      </c>
      <c r="F11863" t="s">
        <v>22853</v>
      </c>
      <c r="G11863" t="s">
        <v>14</v>
      </c>
      <c r="H11863">
             </c>
      <c r="I11863" t="s">
        <v>14</v>
      </c>
      <c r="J11863" t="s">
        <v>141</v>
      </c>
      <c r="K11863" t="s">
        <v>14</v>
      </c>
      <c r="L11863" t="s">
        <v>20</v>
      </c>
      <c r="M11863" t="s">
        <v>22848</v>
      </c>
      <c r="N11863" t="s">
        <v>14</v>
      </c>
    </row>
    <row r="11864" x14ac:dyDescent="0.25">
      <c r="A11864" t="n">
        <v>23</v>
      </c>
      <c r="B11864" t="s">
        <v>14</v>
      </c>
      <c r="C11864" t="s">
        <v>22</v>
      </c>
      <c r="D11864" s="2" t="s">
        <f>=HYPERLINK("https://main.knesset.gov.il/APPS/legislation/main/bills/2147971", "הצעת חוק הבטחת הכנסה (תיקון - הגדלת הסכום להשתכרות בנוסף לקיצבה), התשפ""א-2020")</f>
        <v>22854</v>
      </c>
      <c r="E11864" t="s">
        <v>22854</v>
      </c>
      <c r="F11864" t="s">
        <v>22855</v>
      </c>
      <c r="G11864" t="s">
        <v>14</v>
      </c>
      <c r="H11864">
             </c>
      <c r="I11864" t="s">
        <v>14</v>
      </c>
      <c r="J11864" t="s">
        <v>141</v>
      </c>
      <c r="K11864" t="s">
        <v>14</v>
      </c>
      <c r="L11864" t="s">
        <v>20</v>
      </c>
      <c r="M11864" t="s">
        <v>22848</v>
      </c>
      <c r="N11864" t="s">
        <v>14</v>
      </c>
    </row>
    <row r="11865" x14ac:dyDescent="0.25">
      <c r="A11865" t="n">
        <v>23</v>
      </c>
      <c r="B11865" t="s">
        <v>14</v>
      </c>
      <c r="C11865" t="s">
        <v>22</v>
      </c>
      <c r="D11865" s="2" t="s">
        <f>=HYPERLINK("https://main.knesset.gov.il/APPS/legislation/main/bills/2149677", "הצעת חוק הכשרות המשפטית והאפוטרופסות (תיקון - שלילת אפוטרופסות מהורה שהורשע ברצח הורה נוסף של הקטין או של הקטין), התשפ""א-2020")</f>
        <v>22856</v>
      </c>
      <c r="E11865" t="s">
        <v>22856</v>
      </c>
      <c r="F11865" t="s">
        <v>22857</v>
      </c>
      <c r="G11865" t="s">
        <v>14</v>
      </c>
      <c r="H11865">
             </c>
      <c r="I11865" t="s">
        <v>14</v>
      </c>
      <c r="J11865" t="s">
        <v>141</v>
      </c>
      <c r="K11865" t="s">
        <v>14</v>
      </c>
      <c r="L11865" t="s">
        <v>20</v>
      </c>
      <c r="M11865" t="s">
        <v>22848</v>
      </c>
      <c r="N11865" t="s">
        <v>14</v>
      </c>
    </row>
    <row r="11866" x14ac:dyDescent="0.25">
      <c r="A11866" t="n">
        <v>23</v>
      </c>
      <c r="B11866" t="s">
        <v>14</v>
      </c>
      <c r="C11866" t="s">
        <v>22</v>
      </c>
      <c r="D11866" s="2" t="s">
        <f>=HYPERLINK("https://main.knesset.gov.il/APPS/legislation/main/bills/2148297", "הצעת חוק הנכים (תגמולים ושיקום) (תיקון - הכרה בחבלות נפש על רקע השתתפות בפעילות מבצעית וקביעת אחוזי נכות), התשפ""א-2020")</f>
        <v>22858</v>
      </c>
      <c r="E11866" t="s">
        <v>22858</v>
      </c>
      <c r="F11866" t="s">
        <v>22859</v>
      </c>
      <c r="G11866" t="s">
        <v>14</v>
      </c>
      <c r="H11866">
             </c>
      <c r="I11866" t="s">
        <v>14</v>
      </c>
      <c r="J11866" t="s">
        <v>141</v>
      </c>
      <c r="K11866" t="s">
        <v>14</v>
      </c>
      <c r="L11866" t="s">
        <v>20</v>
      </c>
      <c r="M11866" t="s">
        <v>22848</v>
      </c>
      <c r="N11866" t="s">
        <v>14</v>
      </c>
    </row>
    <row r="11867" x14ac:dyDescent="0.25">
      <c r="A11867" t="n">
        <v>23</v>
      </c>
      <c r="B11867" t="s">
        <v>14</v>
      </c>
      <c r="C11867" t="s">
        <v>22</v>
      </c>
      <c r="D11867" s="2" t="s">
        <f>=HYPERLINK("https://main.knesset.gov.il/APPS/legislation/main/bills/2148656", "הצעת חוק ביטוח בריאות ממלכתי (תיקון - קביעת זמני המתנה ומרחקי נסיעה מרביים לקבלת טיפול רפואי), התשפ""א-2020")</f>
        <v>22860</v>
      </c>
      <c r="E11867" t="s">
        <v>22860</v>
      </c>
      <c r="F11867" t="s">
        <v>22861</v>
      </c>
      <c r="G11867" t="s">
        <v>14</v>
      </c>
      <c r="H11867">
             </c>
      <c r="I11867" t="s">
        <v>14</v>
      </c>
      <c r="J11867" t="s">
        <v>141</v>
      </c>
      <c r="K11867" t="s">
        <v>14</v>
      </c>
      <c r="L11867" t="s">
        <v>20</v>
      </c>
      <c r="M11867" t="s">
        <v>22848</v>
      </c>
      <c r="N11867" t="s">
        <v>14</v>
      </c>
    </row>
    <row r="11868" x14ac:dyDescent="0.25">
      <c r="A11868" t="n">
        <v>23</v>
      </c>
      <c r="B11868" t="s">
        <v>14</v>
      </c>
      <c r="C11868" t="s">
        <v>22</v>
      </c>
      <c r="D11868" s="2" t="s">
        <f>=HYPERLINK("https://main.knesset.gov.il/APPS/legislation/main/bills/2148657", "הצעת חוק ביטוח בריאות ממלכתי (תיקון - רפואת שיניים לאנשים שמלאו להם 65 שנים), התשפ""א-2020")</f>
        <v>22862</v>
      </c>
      <c r="E11868" t="s">
        <v>22862</v>
      </c>
      <c r="F11868" t="s">
        <v>22863</v>
      </c>
      <c r="G11868" t="s">
        <v>14</v>
      </c>
      <c r="H11868">
             </c>
      <c r="I11868" t="s">
        <v>14</v>
      </c>
      <c r="J11868" t="s">
        <v>141</v>
      </c>
      <c r="K11868" t="s">
        <v>14</v>
      </c>
      <c r="L11868" t="s">
        <v>20</v>
      </c>
      <c r="M11868" t="s">
        <v>22848</v>
      </c>
      <c r="N11868" t="s">
        <v>14</v>
      </c>
    </row>
    <row r="11869" x14ac:dyDescent="0.25">
      <c r="A11869" t="n">
        <v>23</v>
      </c>
      <c r="B11869" t="s">
        <v>14</v>
      </c>
      <c r="C11869" t="s">
        <v>22</v>
      </c>
      <c r="D11869" s="2" t="s">
        <f>=HYPERLINK("https://main.knesset.gov.il/APPS/legislation/main/bills/2149142", "הצעת חוק ביטוח בריאות ממלכתי (תיקון - אשפוז בית), התשפ""א-2020")</f>
        <v>22864</v>
      </c>
      <c r="E11869" t="s">
        <v>22864</v>
      </c>
      <c r="F11869" t="s">
        <v>22865</v>
      </c>
      <c r="G11869" t="s">
        <v>14</v>
      </c>
      <c r="H11869">
             </c>
      <c r="I11869" t="s">
        <v>14</v>
      </c>
      <c r="J11869" t="s">
        <v>141</v>
      </c>
      <c r="K11869" t="s">
        <v>14</v>
      </c>
      <c r="L11869" t="s">
        <v>20</v>
      </c>
      <c r="M11869" t="s">
        <v>22848</v>
      </c>
      <c r="N11869" t="s">
        <v>14</v>
      </c>
    </row>
    <row r="11870" x14ac:dyDescent="0.25">
      <c r="A11870" t="n">
        <v>23</v>
      </c>
      <c r="B11870" t="s">
        <v>14</v>
      </c>
      <c r="C11870" t="s">
        <v>22</v>
      </c>
      <c r="D11870" s="2" t="s">
        <f>=HYPERLINK("https://main.knesset.gov.il/APPS/legislation/main/bills/2147992", "הצעת חוק הביטוח הלאומי (תיקון - הצמדת קצבת אזרח ותיק לשכר הממוצע לפחות), התשפ""א-2020")</f>
        <v>22866</v>
      </c>
      <c r="E11870" t="s">
        <v>22866</v>
      </c>
      <c r="F11870" t="s">
        <v>22867</v>
      </c>
      <c r="G11870" t="s">
        <v>14</v>
      </c>
      <c r="H11870">
             </c>
      <c r="I11870" t="s">
        <v>14</v>
      </c>
      <c r="J11870" t="s">
        <v>141</v>
      </c>
      <c r="K11870" t="s">
        <v>14</v>
      </c>
      <c r="L11870" t="s">
        <v>20</v>
      </c>
      <c r="M11870" t="s">
        <v>22848</v>
      </c>
      <c r="N11870" t="s">
        <v>14</v>
      </c>
    </row>
    <row r="11871" x14ac:dyDescent="0.25">
      <c r="A11871" t="n">
        <v>23</v>
      </c>
      <c r="B11871" t="s">
        <v>14</v>
      </c>
      <c r="C11871" t="s">
        <v>22</v>
      </c>
      <c r="D11871" s="2" t="s">
        <f>=HYPERLINK("https://main.knesset.gov.il/APPS/legislation/main/bills/2148442", "הצעת חוק משפחות חיילים שנספו במערכה (תגמולים ושיקום) (תיקון - סיוע בהחלפת דירה), התשפ""א-2020")</f>
        <v>22868</v>
      </c>
      <c r="E11871" t="s">
        <v>22868</v>
      </c>
      <c r="F11871" t="s">
        <v>22869</v>
      </c>
      <c r="G11871" t="s">
        <v>14</v>
      </c>
      <c r="H11871">
             </c>
      <c r="I11871" t="s">
        <v>14</v>
      </c>
      <c r="J11871" t="s">
        <v>141</v>
      </c>
      <c r="K11871" t="s">
        <v>14</v>
      </c>
      <c r="L11871" t="s">
        <v>20</v>
      </c>
      <c r="M11871" t="s">
        <v>22848</v>
      </c>
      <c r="N11871" t="s">
        <v>14</v>
      </c>
    </row>
    <row r="11872" x14ac:dyDescent="0.25">
      <c r="A11872" t="n">
        <v>23</v>
      </c>
      <c r="B11872" t="s">
        <v>14</v>
      </c>
      <c r="C11872" t="s">
        <v>22</v>
      </c>
      <c r="D11872" s="2" t="s">
        <f>=HYPERLINK("https://main.knesset.gov.il/APPS/legislation/main/bills/2148201", "הצעת חוק ביטוח בריאות ממלכתי (תיקון - רפואת שיניים למי שמלאו להם 60 שנים), התשפ""א-2020")</f>
        <v>22870</v>
      </c>
      <c r="E11872" t="s">
        <v>22870</v>
      </c>
      <c r="F11872" t="s">
        <v>22871</v>
      </c>
      <c r="G11872" t="s">
        <v>14</v>
      </c>
      <c r="H11872">
             </c>
      <c r="I11872" t="s">
        <v>14</v>
      </c>
      <c r="J11872" t="s">
        <v>141</v>
      </c>
      <c r="K11872" t="s">
        <v>14</v>
      </c>
      <c r="L11872" t="s">
        <v>20</v>
      </c>
      <c r="M11872" t="s">
        <v>22848</v>
      </c>
      <c r="N11872" t="s">
        <v>14</v>
      </c>
    </row>
    <row r="11873" x14ac:dyDescent="0.25">
      <c r="A11873" t="n">
        <v>23</v>
      </c>
      <c r="B11873" t="s">
        <v>14</v>
      </c>
      <c r="C11873" t="s">
        <v>22</v>
      </c>
      <c r="D11873" s="2" t="s">
        <f>=HYPERLINK("https://main.knesset.gov.il/APPS/legislation/main/bills/2147995", "הצעת חוק הבטחת הכנסה (תיקון - הכנסת מינימום לאזרח ותיק), התשפ""א-2020")</f>
        <v>22872</v>
      </c>
      <c r="E11873" t="s">
        <v>22872</v>
      </c>
      <c r="F11873" t="s">
        <v>22873</v>
      </c>
      <c r="G11873" t="s">
        <v>14</v>
      </c>
      <c r="H11873">
             </c>
      <c r="I11873" t="s">
        <v>14</v>
      </c>
      <c r="J11873" t="s">
        <v>141</v>
      </c>
      <c r="K11873" t="s">
        <v>14</v>
      </c>
      <c r="L11873" t="s">
        <v>20</v>
      </c>
      <c r="M11873" t="s">
        <v>22848</v>
      </c>
      <c r="N11873" t="s">
        <v>14</v>
      </c>
    </row>
    <row r="11874" x14ac:dyDescent="0.25">
      <c r="A11874" t="n">
        <v>23</v>
      </c>
      <c r="B11874" t="s">
        <v>14</v>
      </c>
      <c r="C11874" t="s">
        <v>22</v>
      </c>
      <c r="D11874" s="2" t="s">
        <f>=HYPERLINK("https://main.knesset.gov.il/APPS/legislation/main/bills/2148004", "הצעת חוק ביטוח בריאות ממלכתי (תיקון - תרופות בסבסוד מלא לוותיקי מלחמת העולם השנייה), התשפ""א-2020")</f>
        <v>22874</v>
      </c>
      <c r="E11874" t="s">
        <v>22874</v>
      </c>
      <c r="F11874" t="s">
        <v>22875</v>
      </c>
      <c r="G11874" t="s">
        <v>14</v>
      </c>
      <c r="H11874">
             </c>
      <c r="I11874" t="s">
        <v>14</v>
      </c>
      <c r="J11874" t="s">
        <v>141</v>
      </c>
      <c r="K11874" t="s">
        <v>14</v>
      </c>
      <c r="L11874" t="s">
        <v>20</v>
      </c>
      <c r="M11874" t="s">
        <v>22848</v>
      </c>
      <c r="N11874" t="s">
        <v>14</v>
      </c>
    </row>
    <row r="11875" x14ac:dyDescent="0.25">
      <c r="A11875" t="n">
        <v>23</v>
      </c>
      <c r="B11875" t="s">
        <v>14</v>
      </c>
      <c r="C11875" t="s">
        <v>22</v>
      </c>
      <c r="D11875" s="2" t="s">
        <f>=HYPERLINK("https://main.knesset.gov.il/APPS/legislation/main/bills/2148021", "הצעת חוק האזרחים הוותיקים (תיקון - פטור מתשלום עבור שמירת מקום ישיבה בתחבורה ציבורית), התשפ""א-2020")</f>
        <v>22876</v>
      </c>
      <c r="E11875" t="s">
        <v>22876</v>
      </c>
      <c r="F11875" t="s">
        <v>22877</v>
      </c>
      <c r="G11875" t="s">
        <v>14</v>
      </c>
      <c r="H11875">
             </c>
      <c r="I11875" t="s">
        <v>14</v>
      </c>
      <c r="J11875" t="s">
        <v>141</v>
      </c>
      <c r="K11875" t="s">
        <v>14</v>
      </c>
      <c r="L11875" t="s">
        <v>20</v>
      </c>
      <c r="M11875" t="s">
        <v>22848</v>
      </c>
      <c r="N11875" t="s">
        <v>14</v>
      </c>
    </row>
    <row r="11876" x14ac:dyDescent="0.25">
      <c r="A11876" t="n">
        <v>23</v>
      </c>
      <c r="B11876" t="s">
        <v>14</v>
      </c>
      <c r="C11876" t="s">
        <v>22</v>
      </c>
      <c r="D11876" s="2" t="s">
        <f>=HYPERLINK("https://main.knesset.gov.il/APPS/legislation/main/bills/2148534", "הצעת חוק שוויון זכויות לאנשים עם מוגבלות (תיקון - חברות ממשלתיות כמעסיק ציבורי גדול), התשפ""א-2020")</f>
        <v>22878</v>
      </c>
      <c r="E11876" t="s">
        <v>22878</v>
      </c>
      <c r="F11876" t="s">
        <v>22879</v>
      </c>
      <c r="G11876" t="s">
        <v>14</v>
      </c>
      <c r="H11876">
             </c>
      <c r="I11876" t="s">
        <v>14</v>
      </c>
      <c r="J11876" t="s">
        <v>141</v>
      </c>
      <c r="K11876" t="s">
        <v>14</v>
      </c>
      <c r="L11876" t="s">
        <v>20</v>
      </c>
      <c r="M11876" t="s">
        <v>22848</v>
      </c>
      <c r="N11876" t="s">
        <v>14</v>
      </c>
    </row>
    <row r="11877" x14ac:dyDescent="0.25">
      <c r="A11877" t="n">
        <v>23</v>
      </c>
      <c r="B11877" t="s">
        <v>14</v>
      </c>
      <c r="C11877" t="s">
        <v>22</v>
      </c>
      <c r="D11877" s="2" t="s">
        <f>=HYPERLINK("https://main.knesset.gov.il/APPS/legislation/main/bills/2147583", "הצעת חוק הביטוח הלאומי (תיקון - חישוב תגמול מילואים למי שהופסקה עבודתו בשל נגיף הקורונה) (הוראת שעה), התשפ""א-2020")</f>
        <v>22880</v>
      </c>
      <c r="E11877" t="s">
        <v>22880</v>
      </c>
      <c r="F11877" t="s">
        <v>22881</v>
      </c>
      <c r="G11877" t="s">
        <v>14</v>
      </c>
      <c r="H11877">
             </c>
      <c r="I11877" t="s">
        <v>14</v>
      </c>
      <c r="J11877" t="s">
        <v>141</v>
      </c>
      <c r="K11877" t="s">
        <v>14</v>
      </c>
      <c r="L11877" t="s">
        <v>20</v>
      </c>
      <c r="M11877" t="s">
        <v>22848</v>
      </c>
      <c r="N11877" t="s">
        <v>14</v>
      </c>
    </row>
    <row r="11878" x14ac:dyDescent="0.25">
      <c r="A11878" t="n">
        <v>23</v>
      </c>
      <c r="B11878" t="s">
        <v>14</v>
      </c>
      <c r="C11878" t="s">
        <v>22</v>
      </c>
      <c r="D11878" s="2" t="s">
        <f>=HYPERLINK("https://main.knesset.gov.il/APPS/legislation/main/bills/2147375", "הצעת חוק הביטוח הלאומי (תיקון - פטור מתקופת אכשרה לחיילים משוחררים), התשפ""א-2020")</f>
        <v>22882</v>
      </c>
      <c r="E11878" t="s">
        <v>22882</v>
      </c>
      <c r="F11878" t="s">
        <v>22883</v>
      </c>
      <c r="G11878" t="s">
        <v>14</v>
      </c>
      <c r="H11878">
             </c>
      <c r="I11878" t="s">
        <v>14</v>
      </c>
      <c r="J11878" t="s">
        <v>141</v>
      </c>
      <c r="K11878" t="s">
        <v>14</v>
      </c>
      <c r="L11878" t="s">
        <v>20</v>
      </c>
      <c r="M11878" t="s">
        <v>22848</v>
      </c>
      <c r="N11878" t="s">
        <v>14</v>
      </c>
    </row>
    <row r="11879" x14ac:dyDescent="0.25">
      <c r="A11879" t="n">
        <v>23</v>
      </c>
      <c r="B11879" t="s">
        <v>14</v>
      </c>
      <c r="C11879" t="s">
        <v>22</v>
      </c>
      <c r="D11879" s="2" t="s">
        <f>=HYPERLINK("https://main.knesset.gov.il/APPS/legislation/main/bills/2148528", "הצעת חוק התכנון והבנייה (תיקון - איסור שימוש ברכב או ציוד מכני הנדסי), התשפ""א-2020")</f>
        <v>22884</v>
      </c>
      <c r="E11879" t="s">
        <v>22884</v>
      </c>
      <c r="F11879" t="s">
        <v>22885</v>
      </c>
      <c r="G11879" t="s">
        <v>14</v>
      </c>
      <c r="H11879">
             </c>
      <c r="I11879" t="s">
        <v>14</v>
      </c>
      <c r="J11879" t="s">
        <v>141</v>
      </c>
      <c r="K11879" t="s">
        <v>14</v>
      </c>
      <c r="L11879" t="s">
        <v>20</v>
      </c>
      <c r="M11879" t="s">
        <v>22848</v>
      </c>
      <c r="N11879" t="s">
        <v>14</v>
      </c>
    </row>
    <row r="11880" x14ac:dyDescent="0.25">
      <c r="A11880" t="n">
        <v>23</v>
      </c>
      <c r="B11880" t="s">
        <v>14</v>
      </c>
      <c r="C11880" t="s">
        <v>22</v>
      </c>
      <c r="D11880" s="2" t="s">
        <f>=HYPERLINK("https://main.knesset.gov.il/APPS/legislation/main/bills/2148003", "הצעת חוק הפיקדון על מכלי משקה (תיקון - ביטול החלת חובת פיקדון על מכלי משקה גדולים), התשפ""א-2020")</f>
        <v>22886</v>
      </c>
      <c r="E11880" t="s">
        <v>22886</v>
      </c>
      <c r="F11880" t="s">
        <v>22887</v>
      </c>
      <c r="G11880" t="s">
        <v>14</v>
      </c>
      <c r="H11880">
             </c>
      <c r="I11880" t="s">
        <v>14</v>
      </c>
      <c r="J11880" t="s">
        <v>141</v>
      </c>
      <c r="K11880" t="s">
        <v>14</v>
      </c>
      <c r="L11880" t="s">
        <v>20</v>
      </c>
      <c r="M11880" t="s">
        <v>22848</v>
      </c>
      <c r="N11880" t="s">
        <v>14</v>
      </c>
    </row>
    <row r="11881" x14ac:dyDescent="0.25">
      <c r="A11881" t="n">
        <v>23</v>
      </c>
      <c r="B11881" t="s">
        <v>14</v>
      </c>
      <c r="C11881" t="s">
        <v>22</v>
      </c>
      <c r="D11881" s="2" t="s">
        <f>=HYPERLINK("https://main.knesset.gov.il/APPS/legislation/main/bills/2144565", "הצעת חוק הבנקאות (רישוי) (תיקון - ועדה לבחינת סגירת סניפי בנק), התשפ""א-2020")</f>
        <v>22888</v>
      </c>
      <c r="E11881" t="s">
        <v>22888</v>
      </c>
      <c r="F11881" t="s">
        <v>22889</v>
      </c>
      <c r="G11881" t="s">
        <v>14</v>
      </c>
      <c r="H11881">
             </c>
      <c r="I11881" t="s">
        <v>14</v>
      </c>
      <c r="J11881" t="s">
        <v>141</v>
      </c>
      <c r="K11881" t="s">
        <v>14</v>
      </c>
      <c r="L11881" t="s">
        <v>20</v>
      </c>
      <c r="M11881" t="s">
        <v>22848</v>
      </c>
      <c r="N11881" t="s">
        <v>14</v>
      </c>
    </row>
    <row r="11882" x14ac:dyDescent="0.25">
      <c r="A11882" t="n">
        <v>23</v>
      </c>
      <c r="B11882" t="s">
        <v>14</v>
      </c>
      <c r="C11882" t="s">
        <v>22</v>
      </c>
      <c r="D11882" s="2" t="s">
        <f>=HYPERLINK("https://main.knesset.gov.il/APPS/legislation/main/bills/2147120", "הצעת חוק איסור לשון הרע (תיקון - הליכים אזרחיים או פליליים לענין לשון הרע על מת), התשפ""א-2020")</f>
        <v>22890</v>
      </c>
      <c r="E11882" t="s">
        <v>22890</v>
      </c>
      <c r="F11882" t="s">
        <v>22891</v>
      </c>
      <c r="G11882" t="s">
        <v>14</v>
      </c>
      <c r="H11882">
             </c>
      <c r="I11882" t="s">
        <v>14</v>
      </c>
      <c r="J11882" t="s">
        <v>141</v>
      </c>
      <c r="K11882" t="s">
        <v>14</v>
      </c>
      <c r="L11882" t="s">
        <v>20</v>
      </c>
      <c r="M11882" t="s">
        <v>22848</v>
      </c>
      <c r="N11882" t="s">
        <v>14</v>
      </c>
    </row>
    <row r="11883" x14ac:dyDescent="0.25">
      <c r="A11883" t="n">
        <v>23</v>
      </c>
      <c r="B11883" t="s">
        <v>14</v>
      </c>
      <c r="C11883" t="s">
        <v>22</v>
      </c>
      <c r="D11883" s="2" t="s">
        <f>=HYPERLINK("https://main.knesset.gov.il/APPS/legislation/main/bills/2149753", "הצעת חוק הסיוע המשפטי (תיקון - נפגעי עבירות מין), התשפ""א-2020")</f>
        <v>22892</v>
      </c>
      <c r="E11883" t="s">
        <v>22892</v>
      </c>
      <c r="F11883" t="s">
        <v>22893</v>
      </c>
      <c r="G11883" t="s">
        <v>14</v>
      </c>
      <c r="H11883">
             </c>
      <c r="I11883" t="s">
        <v>14</v>
      </c>
      <c r="J11883" t="s">
        <v>141</v>
      </c>
      <c r="K11883" t="s">
        <v>14</v>
      </c>
      <c r="L11883" t="s">
        <v>20</v>
      </c>
      <c r="M11883" t="s">
        <v>22848</v>
      </c>
      <c r="N11883" t="s">
        <v>14</v>
      </c>
    </row>
    <row r="11884" x14ac:dyDescent="0.25">
      <c r="A11884" t="n">
        <v>23</v>
      </c>
      <c r="B11884" t="s">
        <v>14</v>
      </c>
      <c r="C11884" t="s">
        <v>22</v>
      </c>
      <c r="D11884" s="2" t="s">
        <f>=HYPERLINK("https://main.knesset.gov.il/APPS/legislation/main/bills/2149722", "הצעת חוק זכויות נפגעי עבירה (תיקון - הרחבת זכויות נפגעי עבירה בהליכים משפטיים), התשפ""א-2020")</f>
        <v>22894</v>
      </c>
      <c r="E11884" t="s">
        <v>22894</v>
      </c>
      <c r="F11884" t="s">
        <v>22895</v>
      </c>
      <c r="G11884" t="s">
        <v>14</v>
      </c>
      <c r="H11884">
             </c>
      <c r="I11884" t="s">
        <v>14</v>
      </c>
      <c r="J11884" t="s">
        <v>141</v>
      </c>
      <c r="K11884" t="s">
        <v>14</v>
      </c>
      <c r="L11884" t="s">
        <v>20</v>
      </c>
      <c r="M11884" t="s">
        <v>22848</v>
      </c>
      <c r="N11884" t="s">
        <v>14</v>
      </c>
    </row>
    <row r="11885" x14ac:dyDescent="0.25">
      <c r="A11885" t="n">
        <v>23</v>
      </c>
      <c r="B11885" t="s">
        <v>14</v>
      </c>
      <c r="C11885" t="s">
        <v>22</v>
      </c>
      <c r="D11885" s="2" t="s">
        <f>=HYPERLINK("https://main.knesset.gov.il/APPS/legislation/main/bills/2148799", "הצעת חוק מימון מפלגות (תיקון - ייצוג לנשים ברשימות המועמדים), התשפ""א-2020")</f>
        <v>22896</v>
      </c>
      <c r="E11885" t="s">
        <v>22896</v>
      </c>
      <c r="F11885" t="s">
        <v>22897</v>
      </c>
      <c r="G11885" t="s">
        <v>14</v>
      </c>
      <c r="H11885">
             </c>
      <c r="I11885" t="s">
        <v>14</v>
      </c>
      <c r="J11885" t="s">
        <v>141</v>
      </c>
      <c r="K11885" t="s">
        <v>14</v>
      </c>
      <c r="L11885" t="s">
        <v>20</v>
      </c>
      <c r="M11885" t="s">
        <v>22848</v>
      </c>
      <c r="N11885" t="s">
        <v>14</v>
      </c>
    </row>
    <row r="11886" x14ac:dyDescent="0.25">
      <c r="A11886" t="n">
        <v>23</v>
      </c>
      <c r="B11886" t="s">
        <v>14</v>
      </c>
      <c r="C11886" t="s">
        <v>22</v>
      </c>
      <c r="D11886" s="2" t="s">
        <f>=HYPERLINK("https://main.knesset.gov.il/APPS/legislation/main/bills/2149222", "הצעת חוק-יסוד: כבוד האדם וחירותו (תיקון - הוספת סעיף שוויון)")</f>
        <v>2086</v>
      </c>
      <c r="E11886" t="s">
        <v>2086</v>
      </c>
      <c r="F11886" t="s">
        <v>22898</v>
      </c>
      <c r="G11886" t="s">
        <v>14</v>
      </c>
      <c r="H11886">
             </c>
      <c r="I11886" t="s">
        <v>14</v>
      </c>
      <c r="J11886" t="s">
        <v>141</v>
      </c>
      <c r="K11886" t="s">
        <v>14</v>
      </c>
      <c r="L11886" t="s">
        <v>20</v>
      </c>
      <c r="M11886" t="s">
        <v>22848</v>
      </c>
      <c r="N11886" t="s">
        <v>14</v>
      </c>
    </row>
    <row r="11887" x14ac:dyDescent="0.25">
      <c r="A11887" t="n">
        <v>23</v>
      </c>
      <c r="B11887" t="s">
        <v>14</v>
      </c>
      <c r="C11887" t="s">
        <v>22</v>
      </c>
      <c r="D11887" s="2" t="s">
        <f>=HYPERLINK("https://main.knesset.gov.il/APPS/legislation/main/bills/2149923", "הצעת חוק הכשרות המשפטית והאפוטרופסות (תיקון - שלילת האפוטרופסות הטבעית עבור נאשמים ומורשעים בעבירות אלימות במשפחה), התשפ""א-2020")</f>
        <v>22899</v>
      </c>
      <c r="E11887" t="s">
        <v>22899</v>
      </c>
      <c r="F11887" t="s">
        <v>22900</v>
      </c>
      <c r="G11887" t="s">
        <v>14</v>
      </c>
      <c r="H11887">
             </c>
      <c r="I11887" t="s">
        <v>14</v>
      </c>
      <c r="J11887" t="s">
        <v>141</v>
      </c>
      <c r="K11887" t="s">
        <v>14</v>
      </c>
      <c r="L11887" t="s">
        <v>20</v>
      </c>
      <c r="M11887" t="s">
        <v>22848</v>
      </c>
      <c r="N11887" t="s">
        <v>14</v>
      </c>
    </row>
    <row r="11888" x14ac:dyDescent="0.25">
      <c r="A11888" t="n">
        <v>23</v>
      </c>
      <c r="B11888" t="s">
        <v>14</v>
      </c>
      <c r="C11888" t="s">
        <v>22</v>
      </c>
      <c r="D11888" s="2" t="s">
        <f>=HYPERLINK("https://main.knesset.gov.il/APPS/legislation/main/bills/2149371", "הצעת חוק חופש המידע (תיקון - שקיפות בקבלת החלטות בתקופת התפשטות נגיף הקורונה), התשפ""א-2020")</f>
        <v>22901</v>
      </c>
      <c r="E11888" t="s">
        <v>22901</v>
      </c>
      <c r="F11888" t="s">
        <v>22902</v>
      </c>
      <c r="G11888" t="s">
        <v>14</v>
      </c>
      <c r="H11888">
             </c>
      <c r="I11888" t="s">
        <v>14</v>
      </c>
      <c r="J11888" t="s">
        <v>141</v>
      </c>
      <c r="K11888" t="s">
        <v>14</v>
      </c>
      <c r="L11888" t="s">
        <v>20</v>
      </c>
      <c r="M11888" t="s">
        <v>22848</v>
      </c>
      <c r="N11888" t="s">
        <v>14</v>
      </c>
    </row>
    <row r="11889" x14ac:dyDescent="0.25">
      <c r="A11889" t="n">
        <v>23</v>
      </c>
      <c r="B11889" t="s">
        <v>14</v>
      </c>
      <c r="C11889" t="s">
        <v>22</v>
      </c>
      <c r="D11889" s="2" t="s">
        <f>=HYPERLINK("https://main.knesset.gov.il/APPS/legislation/main/bills/2148866", "הצעת חוק החברות הממשלתיות (תיקון - כשירות לכהונה כדירקטור בחברה ממשלתית), התשפ""א-2020")</f>
        <v>22903</v>
      </c>
      <c r="E11889" t="s">
        <v>22903</v>
      </c>
      <c r="F11889" t="s">
        <v>22904</v>
      </c>
      <c r="G11889" t="s">
        <v>14</v>
      </c>
      <c r="H11889">
             </c>
      <c r="I11889" t="s">
        <v>14</v>
      </c>
      <c r="J11889" t="s">
        <v>141</v>
      </c>
      <c r="K11889" t="s">
        <v>14</v>
      </c>
      <c r="L11889" t="s">
        <v>20</v>
      </c>
      <c r="M11889" t="s">
        <v>22848</v>
      </c>
      <c r="N11889" t="s">
        <v>14</v>
      </c>
    </row>
    <row r="11890" x14ac:dyDescent="0.25">
      <c r="A11890" t="n">
        <v>23</v>
      </c>
      <c r="B11890" t="s">
        <v>14</v>
      </c>
      <c r="C11890" t="s">
        <v>22</v>
      </c>
      <c r="D11890" s="2" t="s">
        <f>=HYPERLINK("https://main.knesset.gov.il/APPS/legislation/main/bills/2147111", "הצעת חוק-יסוד: ירושלים בירת ישראל (תיקון - ירושלים המערבית)")</f>
        <v>22905</v>
      </c>
      <c r="E11890" t="s">
        <v>22905</v>
      </c>
      <c r="F11890" t="s">
        <v>22906</v>
      </c>
      <c r="G11890" t="s">
        <v>14</v>
      </c>
      <c r="H11890">
             </c>
      <c r="I11890" t="s">
        <v>14</v>
      </c>
      <c r="J11890" t="s">
        <v>141</v>
      </c>
      <c r="K11890" t="s">
        <v>14</v>
      </c>
      <c r="L11890" t="s">
        <v>20</v>
      </c>
      <c r="M11890" t="s">
        <v>22848</v>
      </c>
      <c r="N11890" t="s">
        <v>14</v>
      </c>
    </row>
    <row r="11891" x14ac:dyDescent="0.25">
      <c r="A11891" t="n">
        <v>23</v>
      </c>
      <c r="B11891" t="s">
        <v>14</v>
      </c>
      <c r="C11891" t="s">
        <v>22</v>
      </c>
      <c r="D11891" s="2" t="s">
        <f>=HYPERLINK("https://main.knesset.gov.il/APPS/legislation/main/bills/2148242", "הצעת חוק גיל פרישה (תיקון - העלאת גיל הפרישה לנשים וקביעת צעדים תומכים לנשים בגילאי העבודה), התשפ""א-2020")</f>
        <v>22907</v>
      </c>
      <c r="E11891" t="s">
        <v>22907</v>
      </c>
      <c r="F11891" t="s">
        <v>22908</v>
      </c>
      <c r="G11891" t="s">
        <v>14</v>
      </c>
      <c r="H11891">
             </c>
      <c r="I11891" t="s">
        <v>14</v>
      </c>
      <c r="J11891" t="s">
        <v>141</v>
      </c>
      <c r="K11891" t="s">
        <v>14</v>
      </c>
      <c r="L11891" t="s">
        <v>20</v>
      </c>
      <c r="M11891" t="s">
        <v>22848</v>
      </c>
      <c r="N11891" t="s">
        <v>14</v>
      </c>
    </row>
    <row r="11892" x14ac:dyDescent="0.25">
      <c r="A11892" t="n">
        <v>23</v>
      </c>
      <c r="B11892" t="s">
        <v>14</v>
      </c>
      <c r="C11892" t="s">
        <v>22</v>
      </c>
      <c r="D11892" s="2" t="s">
        <f>=HYPERLINK("https://main.knesset.gov.il/APPS/legislation/main/bills/2149147", "הצעת חוק מס ערך מוסף (תיקון - פטור ממס ערך מוסף במכירת תרופות לחולים סופניים), התשפ""א-2020")</f>
        <v>22909</v>
      </c>
      <c r="E11892" t="s">
        <v>22909</v>
      </c>
      <c r="F11892" t="s">
        <v>22910</v>
      </c>
      <c r="G11892" t="s">
        <v>14</v>
      </c>
      <c r="H11892">
             </c>
      <c r="I11892" t="s">
        <v>14</v>
      </c>
      <c r="J11892" t="s">
        <v>141</v>
      </c>
      <c r="K11892" t="s">
        <v>14</v>
      </c>
      <c r="L11892" t="s">
        <v>20</v>
      </c>
      <c r="M11892" t="s">
        <v>22848</v>
      </c>
      <c r="N11892" t="s">
        <v>14</v>
      </c>
    </row>
    <row r="11893" x14ac:dyDescent="0.25">
      <c r="A11893" t="n">
        <v>23</v>
      </c>
      <c r="B11893" t="s">
        <v>14</v>
      </c>
      <c r="C11893" t="s">
        <v>22</v>
      </c>
      <c r="D11893" s="2" t="s">
        <f>=HYPERLINK("https://main.knesset.gov.il/APPS/legislation/main/bills/2148238", "הצעת חוק גיל פרישה (תיקון - העלאת גיל הפרישה לנשים וקביעת צעדים תומכים לנשים בגילאי העבודה), התשפ""א-2020")</f>
        <v>22907</v>
      </c>
      <c r="E11893" t="s">
        <v>22907</v>
      </c>
      <c r="F11893" t="s">
        <v>22911</v>
      </c>
      <c r="G11893" t="s">
        <v>14</v>
      </c>
      <c r="H11893">
             </c>
      <c r="I11893" t="s">
        <v>14</v>
      </c>
      <c r="J11893" t="s">
        <v>141</v>
      </c>
      <c r="K11893" t="s">
        <v>14</v>
      </c>
      <c r="L11893" t="s">
        <v>20</v>
      </c>
      <c r="M11893" t="s">
        <v>22848</v>
      </c>
      <c r="N11893" t="s">
        <v>14</v>
      </c>
    </row>
    <row r="11894" x14ac:dyDescent="0.25">
      <c r="A11894" t="n">
        <v>23</v>
      </c>
      <c r="B11894" t="s">
        <v>14</v>
      </c>
      <c r="C11894" t="s">
        <v>22</v>
      </c>
      <c r="D11894" s="2" t="s">
        <f>=HYPERLINK("https://main.knesset.gov.il/APPS/legislation/main/bills/2139857", "הצעת חוק רישוי עסקים (תיקון - מתן רישיון עסק על סמך תצהיר), התשפ""א-2020")</f>
        <v>22912</v>
      </c>
      <c r="E11894" t="s">
        <v>22912</v>
      </c>
      <c r="F11894" t="s">
        <v>22913</v>
      </c>
      <c r="G11894" t="s">
        <v>14</v>
      </c>
      <c r="H11894">
             </c>
      <c r="I11894" t="s">
        <v>14</v>
      </c>
      <c r="J11894" t="s">
        <v>141</v>
      </c>
      <c r="K11894" t="s">
        <v>14</v>
      </c>
      <c r="L11894" t="s">
        <v>20</v>
      </c>
      <c r="M11894" t="s">
        <v>22848</v>
      </c>
      <c r="N11894" t="s">
        <v>14</v>
      </c>
    </row>
    <row r="11895" x14ac:dyDescent="0.25">
      <c r="A11895" t="n">
        <v>23</v>
      </c>
      <c r="B11895" t="s">
        <v>14</v>
      </c>
      <c r="C11895" t="s">
        <v>22</v>
      </c>
      <c r="D11895" s="2" t="s">
        <f>=HYPERLINK("https://main.knesset.gov.il/APPS/legislation/main/bills/2146685", "הצעת חוק יסודות התקציב (תיקון - שלילת תמיכה ותקצוב ממוסד חינוך שאינו ממלא אחר הנחיות הממשלה לצמצום התפשטות נגיף הקורונה החדש או מסית לאי מילוי ההנחיות) (הוראת שעה), התשפ""א-2020")</f>
        <v>22914</v>
      </c>
      <c r="E11895" t="s">
        <v>22914</v>
      </c>
      <c r="F11895" t="s">
        <v>22915</v>
      </c>
      <c r="G11895" t="s">
        <v>14</v>
      </c>
      <c r="H11895">
             </c>
      <c r="I11895" t="s">
        <v>14</v>
      </c>
      <c r="J11895" t="s">
        <v>141</v>
      </c>
      <c r="K11895" t="s">
        <v>14</v>
      </c>
      <c r="L11895" t="s">
        <v>20</v>
      </c>
      <c r="M11895" t="s">
        <v>22848</v>
      </c>
      <c r="N11895" t="s">
        <v>14</v>
      </c>
    </row>
    <row r="11896" x14ac:dyDescent="0.25">
      <c r="A11896" t="n">
        <v>23</v>
      </c>
      <c r="B11896" t="s">
        <v>14</v>
      </c>
      <c r="C11896" t="s">
        <v>22</v>
      </c>
      <c r="D11896" s="2" t="s">
        <f>=HYPERLINK("https://main.knesset.gov.il/APPS/legislation/main/bills/2147326", "הצעת חוק מרשם האוכלוסין (תיקון - הגנה על פרטי תעודת זהות ודרכון), התשפ""א-2020")</f>
        <v>22916</v>
      </c>
      <c r="E11896" t="s">
        <v>22916</v>
      </c>
      <c r="F11896" t="s">
        <v>22917</v>
      </c>
      <c r="G11896" t="s">
        <v>14</v>
      </c>
      <c r="H11896">
             </c>
      <c r="I11896" t="s">
        <v>14</v>
      </c>
      <c r="J11896" t="s">
        <v>141</v>
      </c>
      <c r="K11896" t="s">
        <v>14</v>
      </c>
      <c r="L11896" t="s">
        <v>20</v>
      </c>
      <c r="M11896" t="s">
        <v>22848</v>
      </c>
      <c r="N11896" t="s">
        <v>14</v>
      </c>
    </row>
    <row r="11897" x14ac:dyDescent="0.25">
      <c r="A11897" t="n">
        <v>23</v>
      </c>
      <c r="B11897" t="s">
        <v>14</v>
      </c>
      <c r="C11897" t="s">
        <v>22</v>
      </c>
      <c r="D11897" s="2" t="s">
        <f>=HYPERLINK("https://main.knesset.gov.il/APPS/legislation/main/bills/2149174", "הצעת חוק התכנון והבנייה (תיקון - ייצוג הולם לאוכלוסייה הערבית במוסדות התכנון), התשפ""א-2020")</f>
        <v>22918</v>
      </c>
      <c r="E11897" t="s">
        <v>22918</v>
      </c>
      <c r="F11897" t="s">
        <v>22919</v>
      </c>
      <c r="G11897" t="s">
        <v>14</v>
      </c>
      <c r="H11897">
             </c>
      <c r="I11897" t="s">
        <v>14</v>
      </c>
      <c r="J11897" t="s">
        <v>141</v>
      </c>
      <c r="K11897" t="s">
        <v>14</v>
      </c>
      <c r="L11897" t="s">
        <v>20</v>
      </c>
      <c r="M11897" t="s">
        <v>22848</v>
      </c>
      <c r="N11897" t="s">
        <v>14</v>
      </c>
    </row>
    <row r="11898" x14ac:dyDescent="0.25">
      <c r="A11898" t="n">
        <v>23</v>
      </c>
      <c r="B11898" t="s">
        <v>14</v>
      </c>
      <c r="C11898" t="s">
        <v>22</v>
      </c>
      <c r="D11898" s="2" t="s">
        <f>=HYPERLINK("https://main.knesset.gov.il/APPS/legislation/main/bills/2144546", "הצעת חוק לתיקון פקודת מס הכנסה (שווי שימוש ברכב), התשפ""א-2020")</f>
        <v>22920</v>
      </c>
      <c r="E11898" t="s">
        <v>22920</v>
      </c>
      <c r="F11898" t="s">
        <v>22921</v>
      </c>
      <c r="G11898" t="s">
        <v>14</v>
      </c>
      <c r="H11898">
             </c>
      <c r="I11898" t="s">
        <v>14</v>
      </c>
      <c r="J11898" t="s">
        <v>141</v>
      </c>
      <c r="K11898" t="s">
        <v>14</v>
      </c>
      <c r="L11898" t="s">
        <v>20</v>
      </c>
      <c r="M11898" t="s">
        <v>22848</v>
      </c>
      <c r="N11898" t="s">
        <v>14</v>
      </c>
    </row>
    <row r="11899" x14ac:dyDescent="0.25">
      <c r="A11899" t="n">
        <v>23</v>
      </c>
      <c r="B11899" t="s">
        <v>14</v>
      </c>
      <c r="C11899" t="s">
        <v>22</v>
      </c>
      <c r="D11899" s="2" t="s">
        <f>=HYPERLINK("https://main.knesset.gov.il/APPS/legislation/main/bills/2148717", "הצעת חוק בינוי ופינוי של אזורי שיקום (כפר שלם), התשפ""א-2020")</f>
        <v>22922</v>
      </c>
      <c r="E11899" t="s">
        <v>22922</v>
      </c>
      <c r="F11899" t="s">
        <v>22923</v>
      </c>
      <c r="G11899" t="s">
        <v>14</v>
      </c>
      <c r="H11899">
             </c>
      <c r="I11899" t="s">
        <v>14</v>
      </c>
      <c r="J11899" t="s">
        <v>141</v>
      </c>
      <c r="K11899" t="s">
        <v>14</v>
      </c>
      <c r="L11899" t="s">
        <v>20</v>
      </c>
      <c r="M11899" t="s">
        <v>22848</v>
      </c>
      <c r="N11899" t="s">
        <v>14</v>
      </c>
    </row>
    <row r="11900" x14ac:dyDescent="0.25">
      <c r="A11900" t="n">
        <v>23</v>
      </c>
      <c r="B11900" t="s">
        <v>14</v>
      </c>
      <c r="C11900" t="s">
        <v>22</v>
      </c>
      <c r="D11900" s="2" t="s">
        <f>=HYPERLINK("https://main.knesset.gov.il/APPS/legislation/main/bills/2148220", "הצעת חוק לתיקון פקודת התעבורה (חובת התקנת לחצן מצוקה באוטובוס), התשפ""א-2020")</f>
        <v>22924</v>
      </c>
      <c r="E11900" t="s">
        <v>22924</v>
      </c>
      <c r="F11900" t="s">
        <v>22925</v>
      </c>
      <c r="G11900" t="s">
        <v>14</v>
      </c>
      <c r="H11900">
             </c>
      <c r="I11900" t="s">
        <v>14</v>
      </c>
      <c r="J11900" t="s">
        <v>141</v>
      </c>
      <c r="K11900" t="s">
        <v>14</v>
      </c>
      <c r="L11900" t="s">
        <v>20</v>
      </c>
      <c r="M11900" t="s">
        <v>22848</v>
      </c>
      <c r="N11900" t="s">
        <v>14</v>
      </c>
    </row>
    <row r="11901" x14ac:dyDescent="0.25">
      <c r="A11901" t="n">
        <v>23</v>
      </c>
      <c r="B11901" t="s">
        <v>14</v>
      </c>
      <c r="C11901" t="s">
        <v>22</v>
      </c>
      <c r="D11901" s="2" t="s">
        <f>=HYPERLINK("https://main.knesset.gov.il/APPS/legislation/main/bills/2149433", "הצעת חוק רכזי ביטחון שוטפים צבאיים, התשפ""א-2020")</f>
        <v>22926</v>
      </c>
      <c r="E11901" t="s">
        <v>22926</v>
      </c>
      <c r="F11901" t="s">
        <v>22927</v>
      </c>
      <c r="G11901" t="s">
        <v>14</v>
      </c>
      <c r="H11901">
             </c>
      <c r="I11901" t="s">
        <v>14</v>
      </c>
      <c r="J11901" t="s">
        <v>141</v>
      </c>
      <c r="K11901" t="s">
        <v>14</v>
      </c>
      <c r="L11901" t="s">
        <v>20</v>
      </c>
      <c r="M11901" t="s">
        <v>22848</v>
      </c>
      <c r="N11901" t="s">
        <v>14</v>
      </c>
    </row>
    <row r="11902" x14ac:dyDescent="0.25">
      <c r="A11902" t="n">
        <v>23</v>
      </c>
      <c r="B11902" t="s">
        <v>14</v>
      </c>
      <c r="C11902" t="s">
        <v>22</v>
      </c>
      <c r="D11902" s="2" t="s">
        <f>=HYPERLINK("https://main.knesset.gov.il/APPS/legislation/main/bills/2148773", "הצעת חוק לימוד חובה (תיקון - חובת לימודי ליבה), התשפ""א-2020")</f>
        <v>22928</v>
      </c>
      <c r="E11902" t="s">
        <v>22928</v>
      </c>
      <c r="F11902" t="s">
        <v>22929</v>
      </c>
      <c r="G11902" t="s">
        <v>14</v>
      </c>
      <c r="H11902">
             </c>
      <c r="I11902" t="s">
        <v>14</v>
      </c>
      <c r="J11902" t="s">
        <v>141</v>
      </c>
      <c r="K11902" t="s">
        <v>14</v>
      </c>
      <c r="L11902" t="s">
        <v>20</v>
      </c>
      <c r="M11902" t="s">
        <v>22848</v>
      </c>
      <c r="N11902" t="s">
        <v>14</v>
      </c>
    </row>
    <row r="11903" x14ac:dyDescent="0.25">
      <c r="A11903" t="n">
        <v>23</v>
      </c>
      <c r="B11903" t="s">
        <v>14</v>
      </c>
      <c r="C11903" t="s">
        <v>22</v>
      </c>
      <c r="D11903" s="2" t="s">
        <f>=HYPERLINK("https://main.knesset.gov.il/APPS/legislation/main/bills/2086225", "חוק חוזה הביטוח (תיקון מס' 11), התשפ""א-2020")</f>
        <v>22930</v>
      </c>
      <c r="E11903" t="s">
        <v>22930</v>
      </c>
      <c r="F11903" t="s">
        <v>22931</v>
      </c>
      <c r="G11903" t="s">
        <v>22932</v>
      </c>
      <c r="H11903" t="n">
        <v>2872</v>
      </c>
      <c r="I11903" t="s">
        <v>14</v>
      </c>
      <c r="J11903" t="s">
        <v>91</v>
      </c>
      <c r="K11903" t="s">
        <v>85</v>
      </c>
      <c r="L11903" t="s">
        <v>20</v>
      </c>
      <c r="M11903" t="s">
        <v>22933</v>
      </c>
      <c r="N11903" t="s">
        <v>22934</v>
      </c>
    </row>
    <row r="11904" x14ac:dyDescent="0.25">
      <c r="A11904" t="n">
        <v>23</v>
      </c>
      <c r="B11904" t="s">
        <v>14</v>
      </c>
      <c r="C11904" t="s">
        <v>22</v>
      </c>
      <c r="D11904" s="2" t="s">
        <f>=HYPERLINK("https://main.knesset.gov.il/APPS/legislation/main/bills/2145735", "הצעת חוק עסקאות למכירת נשק או ציוד צבאי של מדינה זרה, התשפ""א-2020")</f>
        <v>22935</v>
      </c>
      <c r="E11904" t="s">
        <v>22935</v>
      </c>
      <c r="F11904" t="s">
        <v>22936</v>
      </c>
      <c r="G11904" t="s">
        <v>14</v>
      </c>
      <c r="H11904">
             </c>
      <c r="I11904" t="s">
        <v>14</v>
      </c>
      <c r="J11904" t="s">
        <v>55</v>
      </c>
      <c r="K11904" t="s">
        <v>14</v>
      </c>
      <c r="L11904" t="s">
        <v>20</v>
      </c>
      <c r="M11904" t="s">
        <v>22933</v>
      </c>
      <c r="N11904" t="s">
        <v>14</v>
      </c>
    </row>
    <row r="11905" x14ac:dyDescent="0.25">
      <c r="A11905" t="n">
        <v>23</v>
      </c>
      <c r="B11905" t="s">
        <v>14</v>
      </c>
      <c r="C11905" t="s">
        <v>22</v>
      </c>
      <c r="D11905" s="2" t="s">
        <f>=HYPERLINK("https://main.knesset.gov.il/APPS/legislation/main/bills/2143812", "הצעת חוק לתיקון פקודת המשטרה (הוראות בדבר פיזור אסיפה או תהלוכה), התש""ף-2020")</f>
        <v>22937</v>
      </c>
      <c r="E11905" t="s">
        <v>22937</v>
      </c>
      <c r="F11905" t="s">
        <v>22938</v>
      </c>
      <c r="G11905" t="s">
        <v>14</v>
      </c>
      <c r="H11905">
             </c>
      <c r="I11905" t="s">
        <v>14</v>
      </c>
      <c r="J11905" t="s">
        <v>343</v>
      </c>
      <c r="K11905" t="s">
        <v>14</v>
      </c>
      <c r="L11905" t="s">
        <v>20</v>
      </c>
      <c r="M11905" t="s">
        <v>22933</v>
      </c>
      <c r="N11905" t="s">
        <v>14</v>
      </c>
    </row>
    <row r="11906" x14ac:dyDescent="0.25">
      <c r="A11906" t="n">
        <v>23</v>
      </c>
      <c r="B11906" t="s">
        <v>14</v>
      </c>
      <c r="C11906" t="s">
        <v>22</v>
      </c>
      <c r="D11906" s="2" t="s">
        <f>=HYPERLINK("https://main.knesset.gov.il/APPS/legislation/main/bills/2139862", "הצעת חוק בתי המשפט (תיקון - תקופת צינון למינוי היועץ המשפטי לממשלה או פרקליט המדינה כשופטים בבית המשפט העליון), התש""ף-2020")</f>
        <v>22939</v>
      </c>
      <c r="E11906" t="s">
        <v>22939</v>
      </c>
      <c r="F11906" t="s">
        <v>22940</v>
      </c>
      <c r="G11906" t="s">
        <v>14</v>
      </c>
      <c r="H11906">
             </c>
      <c r="I11906" t="s">
        <v>14</v>
      </c>
      <c r="J11906" t="s">
        <v>55</v>
      </c>
      <c r="K11906" t="s">
        <v>14</v>
      </c>
      <c r="L11906" t="s">
        <v>20</v>
      </c>
      <c r="M11906" t="s">
        <v>22933</v>
      </c>
      <c r="N11906" t="s">
        <v>14</v>
      </c>
    </row>
    <row r="11907" x14ac:dyDescent="0.25">
      <c r="A11907" t="n">
        <v>23</v>
      </c>
      <c r="B11907" t="s">
        <v>14</v>
      </c>
      <c r="C11907" t="s">
        <v>22</v>
      </c>
      <c r="D11907" s="2" t="s">
        <f>=HYPERLINK("https://main.knesset.gov.il/APPS/legislation/main/bills/2087174", "הצעת חוק חדלות פירעון ושיקום כלכלי (תיקון - מתן דין קדימה לבעלי עסקים קטנים כנושים), התש""ף-2020")</f>
        <v>22941</v>
      </c>
      <c r="E11907" t="s">
        <v>22941</v>
      </c>
      <c r="F11907" t="s">
        <v>22942</v>
      </c>
      <c r="G11907" t="s">
        <v>14</v>
      </c>
      <c r="H11907">
             </c>
      <c r="I11907" t="s">
        <v>14</v>
      </c>
      <c r="J11907" t="s">
        <v>343</v>
      </c>
      <c r="K11907" t="s">
        <v>14</v>
      </c>
      <c r="L11907" t="s">
        <v>20</v>
      </c>
      <c r="M11907" t="s">
        <v>22933</v>
      </c>
      <c r="N11907" t="s">
        <v>14</v>
      </c>
    </row>
    <row r="11908" x14ac:dyDescent="0.25">
      <c r="A11908" t="n">
        <v>23</v>
      </c>
      <c r="B11908" t="s">
        <v>14</v>
      </c>
      <c r="C11908" t="s">
        <v>15</v>
      </c>
      <c r="D11908" s="2" t="s">
        <f>=HYPERLINK("https://main.knesset.gov.il/APPS/legislation/main/bills/2146049", "חוק הגנת הצרכן (תיקון מס' 61), התשפ""א-2020")</f>
        <v>22943</v>
      </c>
      <c r="E11908" t="s">
        <v>22943</v>
      </c>
      <c r="F11908" t="s">
        <v>14</v>
      </c>
      <c r="G11908" t="s">
        <v>22944</v>
      </c>
      <c r="H11908" t="n">
        <v>2871</v>
      </c>
      <c r="I11908" t="s">
        <v>14</v>
      </c>
      <c r="J11908" t="s">
        <v>91</v>
      </c>
      <c r="K11908" t="s">
        <v>19</v>
      </c>
      <c r="L11908" t="s">
        <v>20</v>
      </c>
      <c r="M11908" t="s">
        <v>22945</v>
      </c>
      <c r="N11908" t="s">
        <v>22946</v>
      </c>
    </row>
    <row r="11909" x14ac:dyDescent="0.25">
      <c r="A11909" t="n">
        <v>23</v>
      </c>
      <c r="B11909" t="s">
        <v>14</v>
      </c>
      <c r="C11909" t="s">
        <v>22</v>
      </c>
      <c r="D11909" s="2" t="s">
        <f>=HYPERLINK("https://main.knesset.gov.il/APPS/legislation/main/bills/2087321", "חוק לתיקון פקודת מס הכנסה (מס' 256), התשפ""א-2020")</f>
        <v>22947</v>
      </c>
      <c r="E11909" t="s">
        <v>22947</v>
      </c>
      <c r="F11909" t="s">
        <v>22948</v>
      </c>
      <c r="G11909" t="s">
        <v>22949</v>
      </c>
      <c r="H11909" t="n">
        <v>2870</v>
      </c>
      <c r="I11909" t="s">
        <v>14</v>
      </c>
      <c r="J11909" t="s">
        <v>91</v>
      </c>
      <c r="K11909" t="s">
        <v>85</v>
      </c>
      <c r="L11909" t="s">
        <v>20</v>
      </c>
      <c r="M11909" t="s">
        <v>22945</v>
      </c>
      <c r="N11909" t="s">
        <v>22950</v>
      </c>
    </row>
    <row r="11910" x14ac:dyDescent="0.25">
      <c r="A11910" t="n">
        <v>23</v>
      </c>
      <c r="B11910" t="s">
        <v>14</v>
      </c>
      <c r="C11910" t="s">
        <v>20</v>
      </c>
      <c r="D11910" s="2" t="s">
        <f>=HYPERLINK("https://main.knesset.gov.il/APPS/legislation/main/bills/2148548", "חוק לביטול העדכון של שכר חברי הכנסת בשנת 2021 (הוראת שעה), התשפ""א-2020")</f>
        <v>22951</v>
      </c>
      <c r="E11910" t="s">
        <v>22951</v>
      </c>
      <c r="F11910" t="s">
        <v>14</v>
      </c>
      <c r="G11910" t="s">
        <v>22952</v>
      </c>
      <c r="H11910" t="n">
        <v>2869</v>
      </c>
      <c r="I11910" t="s">
        <v>14</v>
      </c>
      <c r="J11910" t="s">
        <v>91</v>
      </c>
      <c r="K11910" t="s">
        <v>121</v>
      </c>
      <c r="L11910" t="s">
        <v>20</v>
      </c>
      <c r="M11910" t="s">
        <v>22945</v>
      </c>
      <c r="N11910" t="s">
        <v>22953</v>
      </c>
    </row>
    <row r="11911" x14ac:dyDescent="0.25">
      <c r="A11911" t="n">
        <v>23</v>
      </c>
      <c r="B11911" t="s">
        <v>14</v>
      </c>
      <c r="C11911" t="s">
        <v>22</v>
      </c>
      <c r="D11911" s="2" t="s">
        <f>=HYPERLINK("https://main.knesset.gov.il/APPS/legislation/main/bills/2149537", "הצעת חוק הטבות במס ליישובים (תיקוני חקיקה והוראת שעה), התשפ""א-2020")</f>
        <v>22954</v>
      </c>
      <c r="E11911" t="s">
        <v>22954</v>
      </c>
      <c r="F11911" t="s">
        <v>22955</v>
      </c>
      <c r="G11911" t="s">
        <v>14</v>
      </c>
      <c r="H11911">
             </c>
      <c r="I11911" t="s">
        <v>14</v>
      </c>
      <c r="J11911" t="s">
        <v>141</v>
      </c>
      <c r="K11911" t="s">
        <v>14</v>
      </c>
      <c r="L11911" t="s">
        <v>20</v>
      </c>
      <c r="M11911" t="s">
        <v>22945</v>
      </c>
      <c r="N11911" t="s">
        <v>14</v>
      </c>
    </row>
    <row r="11912" x14ac:dyDescent="0.25">
      <c r="A11912" t="n">
        <v>23</v>
      </c>
      <c r="B11912" t="s">
        <v>14</v>
      </c>
      <c r="C11912" t="s">
        <v>22</v>
      </c>
      <c r="D11912" s="2" t="s">
        <f>=HYPERLINK("https://main.knesset.gov.il/APPS/legislation/main/bills/2148962", "הצעת חוק הפקדות וזכויות סוציאליות לעצמאים (תיקוני חקיקה), התשפ""א-2020")</f>
        <v>22956</v>
      </c>
      <c r="E11912" t="s">
        <v>22956</v>
      </c>
      <c r="F11912" t="s">
        <v>22957</v>
      </c>
      <c r="G11912" t="s">
        <v>14</v>
      </c>
      <c r="H11912">
             </c>
      <c r="I11912" t="s">
        <v>14</v>
      </c>
      <c r="J11912" t="s">
        <v>141</v>
      </c>
      <c r="K11912" t="s">
        <v>14</v>
      </c>
      <c r="L11912" t="s">
        <v>20</v>
      </c>
      <c r="M11912" t="s">
        <v>22945</v>
      </c>
      <c r="N11912" t="s">
        <v>14</v>
      </c>
    </row>
    <row r="11913" x14ac:dyDescent="0.25">
      <c r="A11913" t="n">
        <v>23</v>
      </c>
      <c r="B11913" t="s">
        <v>14</v>
      </c>
      <c r="C11913" t="s">
        <v>22</v>
      </c>
      <c r="D11913" s="2" t="s">
        <f>=HYPERLINK("https://main.knesset.gov.il/APPS/legislation/main/bills/2148944", "הצעת חוק הפקדות וזכויות סוציאליות לעצמאים (תיקוני חקיקה), התשפ""א-2020")</f>
        <v>22956</v>
      </c>
      <c r="E11913" t="s">
        <v>22956</v>
      </c>
      <c r="F11913" t="s">
        <v>22958</v>
      </c>
      <c r="G11913" t="s">
        <v>14</v>
      </c>
      <c r="H11913">
             </c>
      <c r="I11913" t="s">
        <v>14</v>
      </c>
      <c r="J11913" t="s">
        <v>141</v>
      </c>
      <c r="K11913" t="s">
        <v>14</v>
      </c>
      <c r="L11913" t="s">
        <v>20</v>
      </c>
      <c r="M11913" t="s">
        <v>22945</v>
      </c>
      <c r="N11913" t="s">
        <v>14</v>
      </c>
    </row>
    <row r="11914" x14ac:dyDescent="0.25">
      <c r="A11914" t="n">
        <v>23</v>
      </c>
      <c r="B11914" t="s">
        <v>14</v>
      </c>
      <c r="C11914" t="s">
        <v>22</v>
      </c>
      <c r="D11914" s="2" t="s">
        <f>=HYPERLINK("https://main.knesset.gov.il/APPS/legislation/main/bills/2147572", "הצעת חוק הרשתות החברתיות, התשפ""א-2020")</f>
        <v>22959</v>
      </c>
      <c r="E11914" t="s">
        <v>22959</v>
      </c>
      <c r="F11914" t="s">
        <v>22960</v>
      </c>
      <c r="G11914" t="s">
        <v>14</v>
      </c>
      <c r="H11914">
             </c>
      <c r="I11914" t="s">
        <v>14</v>
      </c>
      <c r="J11914" t="s">
        <v>141</v>
      </c>
      <c r="K11914" t="s">
        <v>14</v>
      </c>
      <c r="L11914" t="s">
        <v>20</v>
      </c>
      <c r="M11914" t="s">
        <v>22945</v>
      </c>
      <c r="N11914" t="s">
        <v>14</v>
      </c>
    </row>
    <row r="11915" x14ac:dyDescent="0.25">
      <c r="A11915" t="n">
        <v>23</v>
      </c>
      <c r="B11915" t="s">
        <v>14</v>
      </c>
      <c r="C11915" t="s">
        <v>22</v>
      </c>
      <c r="D11915" s="2" t="s">
        <f>=HYPERLINK("https://main.knesset.gov.il/APPS/legislation/main/bills/2148638", "הצעת חוק העונשין (תיקון - החמרת ענישה במקרי אונס ותקיפה מינית), התשפ""א-2020")</f>
        <v>22961</v>
      </c>
      <c r="E11915" t="s">
        <v>22961</v>
      </c>
      <c r="F11915" t="s">
        <v>22962</v>
      </c>
      <c r="G11915" t="s">
        <v>14</v>
      </c>
      <c r="H11915">
             </c>
      <c r="I11915" t="s">
        <v>14</v>
      </c>
      <c r="J11915" t="s">
        <v>141</v>
      </c>
      <c r="K11915" t="s">
        <v>14</v>
      </c>
      <c r="L11915" t="s">
        <v>20</v>
      </c>
      <c r="M11915" t="s">
        <v>22945</v>
      </c>
      <c r="N11915" t="s">
        <v>14</v>
      </c>
    </row>
    <row r="11916" x14ac:dyDescent="0.25">
      <c r="A11916" t="n">
        <v>23</v>
      </c>
      <c r="B11916" t="s">
        <v>14</v>
      </c>
      <c r="C11916" t="s">
        <v>22</v>
      </c>
      <c r="D11916" s="2" t="s">
        <f>=HYPERLINK("https://main.knesset.gov.il/APPS/legislation/main/bills/2147067", "הצעת חוק נישואין וגירושין, התשפ""א-2020")</f>
        <v>22963</v>
      </c>
      <c r="E11916" t="s">
        <v>22963</v>
      </c>
      <c r="F11916" t="s">
        <v>22964</v>
      </c>
      <c r="G11916" t="s">
        <v>14</v>
      </c>
      <c r="H11916">
             </c>
      <c r="I11916" t="s">
        <v>14</v>
      </c>
      <c r="J11916" t="s">
        <v>141</v>
      </c>
      <c r="K11916" t="s">
        <v>14</v>
      </c>
      <c r="L11916" t="s">
        <v>20</v>
      </c>
      <c r="M11916" t="s">
        <v>22945</v>
      </c>
      <c r="N11916" t="s">
        <v>14</v>
      </c>
    </row>
    <row r="11917" x14ac:dyDescent="0.25">
      <c r="A11917" t="n">
        <v>23</v>
      </c>
      <c r="B11917" t="s">
        <v>14</v>
      </c>
      <c r="C11917" t="s">
        <v>22</v>
      </c>
      <c r="D11917" s="2" t="s">
        <f>=HYPERLINK("https://main.knesset.gov.il/APPS/legislation/main/bills/2148933", "הצעת חוק-יסוד: כבוד האדם וחירותו (תיקון - הזכות לשוויון)")</f>
        <v>2676</v>
      </c>
      <c r="E11917" t="s">
        <v>2676</v>
      </c>
      <c r="F11917" t="s">
        <v>22965</v>
      </c>
      <c r="G11917" t="s">
        <v>14</v>
      </c>
      <c r="H11917">
             </c>
      <c r="I11917" t="s">
        <v>14</v>
      </c>
      <c r="J11917" t="s">
        <v>141</v>
      </c>
      <c r="K11917" t="s">
        <v>14</v>
      </c>
      <c r="L11917" t="s">
        <v>20</v>
      </c>
      <c r="M11917" t="s">
        <v>22945</v>
      </c>
      <c r="N11917" t="s">
        <v>14</v>
      </c>
    </row>
    <row r="11918" x14ac:dyDescent="0.25">
      <c r="A11918" t="n">
        <v>23</v>
      </c>
      <c r="B11918" t="s">
        <v>14</v>
      </c>
      <c r="C11918" t="s">
        <v>22</v>
      </c>
      <c r="D11918" s="2" t="s">
        <f>=HYPERLINK("https://main.knesset.gov.il/APPS/legislation/main/bills/2148216", "הצעת חוק העונשין (תיקון - תקיפת נהג אוטובוס), התשפ""א-2020")</f>
        <v>22966</v>
      </c>
      <c r="E11918" t="s">
        <v>22966</v>
      </c>
      <c r="F11918" t="s">
        <v>22967</v>
      </c>
      <c r="G11918" t="s">
        <v>14</v>
      </c>
      <c r="H11918">
             </c>
      <c r="I11918" t="s">
        <v>14</v>
      </c>
      <c r="J11918" t="s">
        <v>141</v>
      </c>
      <c r="K11918" t="s">
        <v>14</v>
      </c>
      <c r="L11918" t="s">
        <v>20</v>
      </c>
      <c r="M11918" t="s">
        <v>22945</v>
      </c>
      <c r="N11918" t="s">
        <v>14</v>
      </c>
    </row>
    <row r="11919" x14ac:dyDescent="0.25">
      <c r="A11919" t="n">
        <v>23</v>
      </c>
      <c r="B11919" t="s">
        <v>14</v>
      </c>
      <c r="C11919" t="s">
        <v>22</v>
      </c>
      <c r="D11919" s="2" t="s">
        <f>=HYPERLINK("https://main.knesset.gov.il/APPS/legislation/main/bills/2148072", "הצעת חוק התאמת טפסים ממשלתיים (פרטי הורים), התשפ""א-2020 ")</f>
        <v>22968</v>
      </c>
      <c r="E11919" t="s">
        <v>22968</v>
      </c>
      <c r="F11919" t="s">
        <v>22969</v>
      </c>
      <c r="G11919" t="s">
        <v>14</v>
      </c>
      <c r="H11919">
             </c>
      <c r="I11919" t="s">
        <v>14</v>
      </c>
      <c r="J11919" t="s">
        <v>141</v>
      </c>
      <c r="K11919" t="s">
        <v>14</v>
      </c>
      <c r="L11919" t="s">
        <v>20</v>
      </c>
      <c r="M11919" t="s">
        <v>22945</v>
      </c>
      <c r="N11919" t="s">
        <v>14</v>
      </c>
    </row>
    <row r="11920" x14ac:dyDescent="0.25">
      <c r="A11920" t="n">
        <v>23</v>
      </c>
      <c r="B11920" t="s">
        <v>14</v>
      </c>
      <c r="C11920" t="s">
        <v>22</v>
      </c>
      <c r="D11920" s="2" t="s">
        <f>=HYPERLINK("https://main.knesset.gov.il/APPS/legislation/main/bills/2148663", "הצעת חוק-יסוד: הכנסת (תיקון - שלילת סמכותו של בית המשפט העליון מלהתערב בהחלטות ועדת הבחירות המרכזית)")</f>
        <v>22970</v>
      </c>
      <c r="E11920" t="s">
        <v>22970</v>
      </c>
      <c r="F11920" t="s">
        <v>22971</v>
      </c>
      <c r="G11920" t="s">
        <v>14</v>
      </c>
      <c r="H11920">
             </c>
      <c r="I11920" t="s">
        <v>14</v>
      </c>
      <c r="J11920" t="s">
        <v>141</v>
      </c>
      <c r="K11920" t="s">
        <v>14</v>
      </c>
      <c r="L11920" t="s">
        <v>20</v>
      </c>
      <c r="M11920" t="s">
        <v>22945</v>
      </c>
      <c r="N11920" t="s">
        <v>14</v>
      </c>
    </row>
    <row r="11921" x14ac:dyDescent="0.25">
      <c r="A11921" t="n">
        <v>23</v>
      </c>
      <c r="B11921" t="s">
        <v>14</v>
      </c>
      <c r="C11921" t="s">
        <v>22</v>
      </c>
      <c r="D11921" s="2" t="s">
        <f>=HYPERLINK("https://main.knesset.gov.il/APPS/legislation/main/bills/2148706", "הצעת חוק-יסוד: הממשלה (תיקון - הפסקת כהונה של ראש הממשלה, שר או סגן שר מחמת הגשת כתב אישום)")</f>
        <v>11734</v>
      </c>
      <c r="E11921" t="s">
        <v>11734</v>
      </c>
      <c r="F11921" t="s">
        <v>22972</v>
      </c>
      <c r="G11921" t="s">
        <v>14</v>
      </c>
      <c r="H11921">
             </c>
      <c r="I11921" t="s">
        <v>14</v>
      </c>
      <c r="J11921" t="s">
        <v>141</v>
      </c>
      <c r="K11921" t="s">
        <v>14</v>
      </c>
      <c r="L11921" t="s">
        <v>20</v>
      </c>
      <c r="M11921" t="s">
        <v>22945</v>
      </c>
      <c r="N11921" t="s">
        <v>14</v>
      </c>
    </row>
    <row r="11922" x14ac:dyDescent="0.25">
      <c r="A11922" t="n">
        <v>23</v>
      </c>
      <c r="B11922" t="s">
        <v>14</v>
      </c>
      <c r="C11922" t="s">
        <v>22</v>
      </c>
      <c r="D11922" s="2" t="s">
        <f>=HYPERLINK("https://main.knesset.gov.il/APPS/legislation/main/bills/2148278", "הצעת חוק הביטוח הלאומי (תיקון - פטור מתקופת אכשרה לחיילים משוחררים), התשפ""א-2020")</f>
        <v>22882</v>
      </c>
      <c r="E11922" t="s">
        <v>22882</v>
      </c>
      <c r="F11922" t="s">
        <v>22973</v>
      </c>
      <c r="G11922" t="s">
        <v>14</v>
      </c>
      <c r="H11922">
             </c>
      <c r="I11922" t="s">
        <v>14</v>
      </c>
      <c r="J11922" t="s">
        <v>141</v>
      </c>
      <c r="K11922" t="s">
        <v>14</v>
      </c>
      <c r="L11922" t="s">
        <v>20</v>
      </c>
      <c r="M11922" t="s">
        <v>22945</v>
      </c>
      <c r="N11922" t="s">
        <v>14</v>
      </c>
    </row>
    <row r="11923" x14ac:dyDescent="0.25">
      <c r="A11923" t="n">
        <v>23</v>
      </c>
      <c r="B11923" t="s">
        <v>14</v>
      </c>
      <c r="C11923" t="s">
        <v>22</v>
      </c>
      <c r="D11923" s="2" t="s">
        <f>=HYPERLINK("https://main.knesset.gov.il/APPS/legislation/main/bills/2145968", "הצעת חוק הסדרת העיסוק במקצועות הבריאות (תיקון - הסדרת העיסוק בפודולוגיה), התשפ""א-2020")</f>
        <v>22974</v>
      </c>
      <c r="E11923" t="s">
        <v>22974</v>
      </c>
      <c r="F11923" t="s">
        <v>22975</v>
      </c>
      <c r="G11923" t="s">
        <v>14</v>
      </c>
      <c r="H11923">
             </c>
      <c r="I11923" t="s">
        <v>14</v>
      </c>
      <c r="J11923" t="s">
        <v>141</v>
      </c>
      <c r="K11923" t="s">
        <v>14</v>
      </c>
      <c r="L11923" t="s">
        <v>20</v>
      </c>
      <c r="M11923" t="s">
        <v>22945</v>
      </c>
      <c r="N11923" t="s">
        <v>14</v>
      </c>
    </row>
    <row r="11924" x14ac:dyDescent="0.25">
      <c r="A11924" t="n">
        <v>23</v>
      </c>
      <c r="B11924" t="s">
        <v>14</v>
      </c>
      <c r="C11924" t="s">
        <v>22</v>
      </c>
      <c r="D11924" s="2" t="s">
        <f>=HYPERLINK("https://main.knesset.gov.il/APPS/legislation/main/bills/2147818", "הצעת חוק צער בעלי חיים (הגנה על בעלי חיים) (תיקון - המעמד המשפטי של בעלי חיים), התשפ""א-2020")</f>
        <v>22976</v>
      </c>
      <c r="E11924" t="s">
        <v>22976</v>
      </c>
      <c r="F11924" t="s">
        <v>22977</v>
      </c>
      <c r="G11924" t="s">
        <v>14</v>
      </c>
      <c r="H11924">
             </c>
      <c r="I11924" t="s">
        <v>14</v>
      </c>
      <c r="J11924" t="s">
        <v>141</v>
      </c>
      <c r="K11924" t="s">
        <v>14</v>
      </c>
      <c r="L11924" t="s">
        <v>20</v>
      </c>
      <c r="M11924" t="s">
        <v>22945</v>
      </c>
      <c r="N11924" t="s">
        <v>14</v>
      </c>
    </row>
    <row r="11925" x14ac:dyDescent="0.25">
      <c r="A11925" t="n">
        <v>23</v>
      </c>
      <c r="B11925" t="s">
        <v>14</v>
      </c>
      <c r="C11925" t="s">
        <v>22</v>
      </c>
      <c r="D11925" s="2" t="s">
        <f>=HYPERLINK("https://main.knesset.gov.il/APPS/legislation/main/bills/2147125", "הצעת חוק משק המים (תיקוני חקיקה), התשפ""א-2020")</f>
        <v>22978</v>
      </c>
      <c r="E11925" t="s">
        <v>22978</v>
      </c>
      <c r="F11925" t="s">
        <v>22979</v>
      </c>
      <c r="G11925" t="s">
        <v>14</v>
      </c>
      <c r="H11925">
             </c>
      <c r="I11925" t="s">
        <v>14</v>
      </c>
      <c r="J11925" t="s">
        <v>141</v>
      </c>
      <c r="K11925" t="s">
        <v>14</v>
      </c>
      <c r="L11925" t="s">
        <v>20</v>
      </c>
      <c r="M11925" t="s">
        <v>22945</v>
      </c>
      <c r="N11925" t="s">
        <v>14</v>
      </c>
    </row>
    <row r="11926" x14ac:dyDescent="0.25">
      <c r="A11926" t="n">
        <v>23</v>
      </c>
      <c r="B11926" t="s">
        <v>14</v>
      </c>
      <c r="C11926" t="s">
        <v>22</v>
      </c>
      <c r="D11926" s="2" t="s">
        <f>=HYPERLINK("https://main.knesset.gov.il/APPS/legislation/main/bills/2148648", "הצעת חוק לתיקון פקודת התעבורה (הגבלת סכום אגרת רישיון רכב), התשפ""א-2020")</f>
        <v>22980</v>
      </c>
      <c r="E11926" t="s">
        <v>22980</v>
      </c>
      <c r="F11926" t="s">
        <v>22981</v>
      </c>
      <c r="G11926" t="s">
        <v>14</v>
      </c>
      <c r="H11926">
             </c>
      <c r="I11926" t="s">
        <v>14</v>
      </c>
      <c r="J11926" t="s">
        <v>141</v>
      </c>
      <c r="K11926" t="s">
        <v>14</v>
      </c>
      <c r="L11926" t="s">
        <v>20</v>
      </c>
      <c r="M11926" t="s">
        <v>22945</v>
      </c>
      <c r="N11926" t="s">
        <v>14</v>
      </c>
    </row>
    <row r="11927" x14ac:dyDescent="0.25">
      <c r="A11927" t="n">
        <v>23</v>
      </c>
      <c r="B11927" t="s">
        <v>14</v>
      </c>
      <c r="C11927" t="s">
        <v>22</v>
      </c>
      <c r="D11927" s="2" t="s">
        <f>=HYPERLINK("https://main.knesset.gov.il/APPS/legislation/main/bills/2146792", "הצעת חוק הגנת הצרכן (תיקון - סימון תוצרת חקלאית שאינה ארוזה מראש), התשפ""א-2020")</f>
        <v>22982</v>
      </c>
      <c r="E11927" t="s">
        <v>22982</v>
      </c>
      <c r="F11927" t="s">
        <v>22983</v>
      </c>
      <c r="G11927" t="s">
        <v>14</v>
      </c>
      <c r="H11927">
             </c>
      <c r="I11927" t="s">
        <v>14</v>
      </c>
      <c r="J11927" t="s">
        <v>141</v>
      </c>
      <c r="K11927" t="s">
        <v>14</v>
      </c>
      <c r="L11927" t="s">
        <v>20</v>
      </c>
      <c r="M11927" t="s">
        <v>22945</v>
      </c>
      <c r="N11927" t="s">
        <v>14</v>
      </c>
    </row>
    <row r="11928" x14ac:dyDescent="0.25">
      <c r="A11928" t="n">
        <v>23</v>
      </c>
      <c r="B11928" t="s">
        <v>14</v>
      </c>
      <c r="C11928" t="s">
        <v>22</v>
      </c>
      <c r="D11928" s="2" t="s">
        <f>=HYPERLINK("https://main.knesset.gov.il/APPS/legislation/main/bills/2147989", "הצעת חוק הגנת הצרכן (תיקון - צירוף הוראות שימוש בשפה העברית למוצרי חשמל), התשפ""א-2020")</f>
        <v>22984</v>
      </c>
      <c r="E11928" t="s">
        <v>22984</v>
      </c>
      <c r="F11928" t="s">
        <v>22985</v>
      </c>
      <c r="G11928" t="s">
        <v>14</v>
      </c>
      <c r="H11928">
             </c>
      <c r="I11928" t="s">
        <v>14</v>
      </c>
      <c r="J11928" t="s">
        <v>141</v>
      </c>
      <c r="K11928" t="s">
        <v>14</v>
      </c>
      <c r="L11928" t="s">
        <v>20</v>
      </c>
      <c r="M11928" t="s">
        <v>22945</v>
      </c>
      <c r="N11928" t="s">
        <v>14</v>
      </c>
    </row>
    <row r="11929" x14ac:dyDescent="0.25">
      <c r="A11929" t="n">
        <v>23</v>
      </c>
      <c r="B11929" t="s">
        <v>14</v>
      </c>
      <c r="C11929" t="s">
        <v>22</v>
      </c>
      <c r="D11929" s="2" t="s">
        <f>=HYPERLINK("https://main.knesset.gov.il/APPS/legislation/main/bills/2140977", "הצעת חוק לתיקון פקודת התעבורה (הגבלת דמי חניה במוסד רפואי), התשפ""א-2020")</f>
        <v>22986</v>
      </c>
      <c r="E11929" t="s">
        <v>22986</v>
      </c>
      <c r="F11929" t="s">
        <v>22987</v>
      </c>
      <c r="G11929" t="s">
        <v>14</v>
      </c>
      <c r="H11929">
             </c>
      <c r="I11929" t="s">
        <v>14</v>
      </c>
      <c r="J11929" t="s">
        <v>141</v>
      </c>
      <c r="K11929" t="s">
        <v>14</v>
      </c>
      <c r="L11929" t="s">
        <v>20</v>
      </c>
      <c r="M11929" t="s">
        <v>22945</v>
      </c>
      <c r="N11929" t="s">
        <v>14</v>
      </c>
    </row>
    <row r="11930" x14ac:dyDescent="0.25">
      <c r="A11930" t="n">
        <v>23</v>
      </c>
      <c r="B11930" t="s">
        <v>14</v>
      </c>
      <c r="C11930" t="s">
        <v>22</v>
      </c>
      <c r="D11930" s="2" t="s">
        <f>=HYPERLINK("https://main.knesset.gov.il/APPS/legislation/main/bills/2148325", "הצעת חוק התכנון והבנייה (תיקון - חובת הקמת מערכת סולארית לייצור חשמל במבנים), התשפ""א-2020")</f>
        <v>22988</v>
      </c>
      <c r="E11930" t="s">
        <v>22988</v>
      </c>
      <c r="F11930" t="s">
        <v>22989</v>
      </c>
      <c r="G11930" t="s">
        <v>14</v>
      </c>
      <c r="H11930">
             </c>
      <c r="I11930" t="s">
        <v>14</v>
      </c>
      <c r="J11930" t="s">
        <v>141</v>
      </c>
      <c r="K11930" t="s">
        <v>14</v>
      </c>
      <c r="L11930" t="s">
        <v>20</v>
      </c>
      <c r="M11930" t="s">
        <v>22945</v>
      </c>
      <c r="N11930" t="s">
        <v>14</v>
      </c>
    </row>
    <row r="11931" x14ac:dyDescent="0.25">
      <c r="A11931" t="n">
        <v>23</v>
      </c>
      <c r="B11931" t="s">
        <v>14</v>
      </c>
      <c r="C11931" t="s">
        <v>22</v>
      </c>
      <c r="D11931" s="2" t="s">
        <f>=HYPERLINK("https://main.knesset.gov.il/APPS/legislation/main/bills/2148655", "הצעת חוק השמירה על המקומות הקדושים (תיקון - המועצה הציבורית והגבלת כהונת הממונה), התשפ""א-2020")</f>
        <v>22990</v>
      </c>
      <c r="E11931" t="s">
        <v>22990</v>
      </c>
      <c r="F11931" t="s">
        <v>22991</v>
      </c>
      <c r="G11931" t="s">
        <v>14</v>
      </c>
      <c r="H11931">
             </c>
      <c r="I11931" t="s">
        <v>14</v>
      </c>
      <c r="J11931" t="s">
        <v>141</v>
      </c>
      <c r="K11931" t="s">
        <v>14</v>
      </c>
      <c r="L11931" t="s">
        <v>20</v>
      </c>
      <c r="M11931" t="s">
        <v>22945</v>
      </c>
      <c r="N11931" t="s">
        <v>14</v>
      </c>
    </row>
    <row r="11932" x14ac:dyDescent="0.25">
      <c r="A11932" t="n">
        <v>23</v>
      </c>
      <c r="B11932" t="s">
        <v>14</v>
      </c>
      <c r="C11932" t="s">
        <v>22</v>
      </c>
      <c r="D11932" s="2" t="s">
        <f>=HYPERLINK("https://main.knesset.gov.il/APPS/legislation/main/bills/2147777", "הצעת חוק לתיקון דיני הרשויות המקומיות (ביטול סמכות שר הפנים לעניין חוקי עזר בדבר פתיחתם וסגירתם של עסקים בימי מנוחה), התשפ""א-2020")</f>
        <v>22992</v>
      </c>
      <c r="E11932" t="s">
        <v>22992</v>
      </c>
      <c r="F11932" t="s">
        <v>22993</v>
      </c>
      <c r="G11932" t="s">
        <v>14</v>
      </c>
      <c r="H11932">
             </c>
      <c r="I11932" t="s">
        <v>14</v>
      </c>
      <c r="J11932" t="s">
        <v>141</v>
      </c>
      <c r="K11932" t="s">
        <v>14</v>
      </c>
      <c r="L11932" t="s">
        <v>20</v>
      </c>
      <c r="M11932" t="s">
        <v>22945</v>
      </c>
      <c r="N11932" t="s">
        <v>14</v>
      </c>
    </row>
    <row r="11933" x14ac:dyDescent="0.25">
      <c r="A11933" t="n">
        <v>23</v>
      </c>
      <c r="B11933" t="s">
        <v>14</v>
      </c>
      <c r="C11933" t="s">
        <v>22</v>
      </c>
      <c r="D11933" s="2" t="s">
        <f>=HYPERLINK("https://main.knesset.gov.il/APPS/legislation/main/bills/2147887", "הצעת חוק לתיקון פקודת התעבורה (פטור מתשלום דמי חניה באזורי מגורים במהלך שבתות ומועדי ישראל), התשפ""א-2020")</f>
        <v>22994</v>
      </c>
      <c r="E11933" t="s">
        <v>22994</v>
      </c>
      <c r="F11933" t="s">
        <v>22995</v>
      </c>
      <c r="G11933" t="s">
        <v>14</v>
      </c>
      <c r="H11933">
             </c>
      <c r="I11933" t="s">
        <v>14</v>
      </c>
      <c r="J11933" t="s">
        <v>141</v>
      </c>
      <c r="K11933" t="s">
        <v>14</v>
      </c>
      <c r="L11933" t="s">
        <v>20</v>
      </c>
      <c r="M11933" t="s">
        <v>22945</v>
      </c>
      <c r="N11933" t="s">
        <v>14</v>
      </c>
    </row>
    <row r="11934" x14ac:dyDescent="0.25">
      <c r="A11934" t="n">
        <v>23</v>
      </c>
      <c r="B11934" t="s">
        <v>14</v>
      </c>
      <c r="C11934" t="s">
        <v>22</v>
      </c>
      <c r="D11934" s="2" t="s">
        <f>=HYPERLINK("https://main.knesset.gov.il/APPS/legislation/main/bills/2144207", "הצעת חוק לסימון סוסים, חמורים ופרדים ולהגנתם, התשפ""א-2020")</f>
        <v>22996</v>
      </c>
      <c r="E11934" t="s">
        <v>22996</v>
      </c>
      <c r="F11934" t="s">
        <v>22997</v>
      </c>
      <c r="G11934" t="s">
        <v>14</v>
      </c>
      <c r="H11934">
             </c>
      <c r="I11934" t="s">
        <v>14</v>
      </c>
      <c r="J11934" t="s">
        <v>141</v>
      </c>
      <c r="K11934" t="s">
        <v>14</v>
      </c>
      <c r="L11934" t="s">
        <v>20</v>
      </c>
      <c r="M11934" t="s">
        <v>22945</v>
      </c>
      <c r="N11934" t="s">
        <v>14</v>
      </c>
    </row>
    <row r="11935" x14ac:dyDescent="0.25">
      <c r="A11935" t="n">
        <v>23</v>
      </c>
      <c r="B11935" t="s">
        <v>14</v>
      </c>
      <c r="C11935" t="s">
        <v>22</v>
      </c>
      <c r="D11935" s="2" t="s">
        <f>=HYPERLINK("https://main.knesset.gov.il/APPS/legislation/main/bills/2147952", "הצעת חוק הנכים (תגמולים ושיקום) (תיקון - ביטול מבחן הכנסה), התשפ""א-2020")</f>
        <v>22643</v>
      </c>
      <c r="E11935" t="s">
        <v>22643</v>
      </c>
      <c r="F11935" t="s">
        <v>22998</v>
      </c>
      <c r="G11935" t="s">
        <v>14</v>
      </c>
      <c r="H11935">
             </c>
      <c r="I11935" t="s">
        <v>14</v>
      </c>
      <c r="J11935" t="s">
        <v>141</v>
      </c>
      <c r="K11935" t="s">
        <v>14</v>
      </c>
      <c r="L11935" t="s">
        <v>20</v>
      </c>
      <c r="M11935" t="s">
        <v>22945</v>
      </c>
      <c r="N11935" t="s">
        <v>14</v>
      </c>
    </row>
    <row r="11936" x14ac:dyDescent="0.25">
      <c r="A11936" t="n">
        <v>23</v>
      </c>
      <c r="B11936" t="s">
        <v>14</v>
      </c>
      <c r="C11936" t="s">
        <v>22</v>
      </c>
      <c r="D11936" s="2" t="s">
        <f>=HYPERLINK("https://main.knesset.gov.il/APPS/legislation/main/bills/2148769", "הצעת חוק הביטוח הלאומי (תיקון - דמי פגיעה לעצמאי), התשפ""א-2020")</f>
        <v>22649</v>
      </c>
      <c r="E11936" t="s">
        <v>22649</v>
      </c>
      <c r="F11936" t="s">
        <v>22999</v>
      </c>
      <c r="G11936" t="s">
        <v>14</v>
      </c>
      <c r="H11936">
             </c>
      <c r="I11936" t="s">
        <v>14</v>
      </c>
      <c r="J11936" t="s">
        <v>141</v>
      </c>
      <c r="K11936" t="s">
        <v>14</v>
      </c>
      <c r="L11936" t="s">
        <v>20</v>
      </c>
      <c r="M11936" t="s">
        <v>22945</v>
      </c>
      <c r="N11936" t="s">
        <v>14</v>
      </c>
    </row>
    <row r="11937" x14ac:dyDescent="0.25">
      <c r="A11937" t="n">
        <v>23</v>
      </c>
      <c r="B11937" t="s">
        <v>14</v>
      </c>
      <c r="C11937" t="s">
        <v>22</v>
      </c>
      <c r="D11937" s="2" t="s">
        <f>=HYPERLINK("https://main.knesset.gov.il/APPS/legislation/main/bills/2148694", "הצעת חוק הביטוח הלאומי (תיקון - דמי פגיעה לעצמאי), התשפ""א-2020")</f>
        <v>22649</v>
      </c>
      <c r="E11937" t="s">
        <v>22649</v>
      </c>
      <c r="F11937" t="s">
        <v>23000</v>
      </c>
      <c r="G11937" t="s">
        <v>14</v>
      </c>
      <c r="H11937">
             </c>
      <c r="I11937" t="s">
        <v>14</v>
      </c>
      <c r="J11937" t="s">
        <v>141</v>
      </c>
      <c r="K11937" t="s">
        <v>14</v>
      </c>
      <c r="L11937" t="s">
        <v>20</v>
      </c>
      <c r="M11937" t="s">
        <v>22945</v>
      </c>
      <c r="N11937" t="s">
        <v>14</v>
      </c>
    </row>
    <row r="11938" x14ac:dyDescent="0.25">
      <c r="A11938" t="n">
        <v>23</v>
      </c>
      <c r="B11938" t="s">
        <v>14</v>
      </c>
      <c r="C11938" t="s">
        <v>22</v>
      </c>
      <c r="D11938" s="2" t="s">
        <f>=HYPERLINK("https://main.knesset.gov.il/APPS/legislation/main/bills/2147964", "הצעת חוק הביטוח הלאומי (תיקון - קצבת נכות וקצבת שאירים), התשפ""א-2020")</f>
        <v>23001</v>
      </c>
      <c r="E11938" t="s">
        <v>23001</v>
      </c>
      <c r="F11938" t="s">
        <v>23002</v>
      </c>
      <c r="G11938" t="s">
        <v>14</v>
      </c>
      <c r="H11938">
             </c>
      <c r="I11938" t="s">
        <v>14</v>
      </c>
      <c r="J11938" t="s">
        <v>141</v>
      </c>
      <c r="K11938" t="s">
        <v>14</v>
      </c>
      <c r="L11938" t="s">
        <v>20</v>
      </c>
      <c r="M11938" t="s">
        <v>22945</v>
      </c>
      <c r="N11938" t="s">
        <v>14</v>
      </c>
    </row>
    <row r="11939" x14ac:dyDescent="0.25">
      <c r="A11939" t="n">
        <v>23</v>
      </c>
      <c r="B11939" t="s">
        <v>14</v>
      </c>
      <c r="C11939" t="s">
        <v>22</v>
      </c>
      <c r="D11939" s="2" t="s">
        <f>=HYPERLINK("https://main.knesset.gov.il/APPS/legislation/main/bills/2147961", "הצעת חוק הביטוח הלאומי (תיקון - הטבות למי שמקבל גמלה לפי חוק הביטוח הלאומי וקיבל גמלת הבטחת הכנסה), התשפ""א-2020")</f>
        <v>23003</v>
      </c>
      <c r="E11939" t="s">
        <v>23003</v>
      </c>
      <c r="F11939" t="s">
        <v>23004</v>
      </c>
      <c r="G11939" t="s">
        <v>14</v>
      </c>
      <c r="H11939">
             </c>
      <c r="I11939" t="s">
        <v>14</v>
      </c>
      <c r="J11939" t="s">
        <v>141</v>
      </c>
      <c r="K11939" t="s">
        <v>14</v>
      </c>
      <c r="L11939" t="s">
        <v>20</v>
      </c>
      <c r="M11939" t="s">
        <v>22945</v>
      </c>
      <c r="N11939" t="s">
        <v>14</v>
      </c>
    </row>
    <row r="11940" x14ac:dyDescent="0.25">
      <c r="A11940" t="n">
        <v>23</v>
      </c>
      <c r="B11940" t="s">
        <v>14</v>
      </c>
      <c r="C11940" t="s">
        <v>22</v>
      </c>
      <c r="D11940" s="2" t="s">
        <f>=HYPERLINK("https://main.knesset.gov.il/APPS/legislation/main/bills/2142989", "הצעת חוק הסדרת שוק הקנאביס לצריכה עצמית, התשפ""א-2020")</f>
        <v>23005</v>
      </c>
      <c r="E11940" t="s">
        <v>23005</v>
      </c>
      <c r="F11940" t="s">
        <v>23006</v>
      </c>
      <c r="G11940" t="s">
        <v>14</v>
      </c>
      <c r="H11940">
             </c>
      <c r="I11940" t="s">
        <v>14</v>
      </c>
      <c r="J11940" t="s">
        <v>141</v>
      </c>
      <c r="K11940" t="s">
        <v>14</v>
      </c>
      <c r="L11940" t="s">
        <v>20</v>
      </c>
      <c r="M11940" t="s">
        <v>22945</v>
      </c>
      <c r="N11940" t="s">
        <v>14</v>
      </c>
    </row>
    <row r="11941" x14ac:dyDescent="0.25">
      <c r="A11941" t="n">
        <v>23</v>
      </c>
      <c r="B11941" t="s">
        <v>14</v>
      </c>
      <c r="C11941" t="s">
        <v>22</v>
      </c>
      <c r="D11941" s="2" t="s">
        <f>=HYPERLINK("https://main.knesset.gov.il/APPS/legislation/main/bills/2148649", "הצעת חוק מס ערך מוסף (תיקון - מס בשיעור אפס לחצי שנה) (הוראת שעה), התשפ""א-2020")</f>
        <v>23007</v>
      </c>
      <c r="E11941" t="s">
        <v>23007</v>
      </c>
      <c r="F11941" t="s">
        <v>23008</v>
      </c>
      <c r="G11941" t="s">
        <v>14</v>
      </c>
      <c r="H11941">
             </c>
      <c r="I11941" t="s">
        <v>14</v>
      </c>
      <c r="J11941" t="s">
        <v>141</v>
      </c>
      <c r="K11941" t="s">
        <v>14</v>
      </c>
      <c r="L11941" t="s">
        <v>20</v>
      </c>
      <c r="M11941" t="s">
        <v>22945</v>
      </c>
      <c r="N11941" t="s">
        <v>14</v>
      </c>
    </row>
    <row r="11942" x14ac:dyDescent="0.25">
      <c r="A11942" t="n">
        <v>23</v>
      </c>
      <c r="B11942" t="s">
        <v>14</v>
      </c>
      <c r="C11942" t="s">
        <v>22</v>
      </c>
      <c r="D11942" s="2" t="s">
        <f>=HYPERLINK("https://main.knesset.gov.il/APPS/legislation/main/bills/2148453", "הצעת חוק לתיקון פקודת מס הכנסה (ביטול הפטור ממס לתשלומים ושירותים הניתנים לראש הממשלה), התשפ""א-2020")</f>
        <v>23009</v>
      </c>
      <c r="E11942" t="s">
        <v>23009</v>
      </c>
      <c r="F11942" t="s">
        <v>23010</v>
      </c>
      <c r="G11942" t="s">
        <v>14</v>
      </c>
      <c r="H11942">
             </c>
      <c r="I11942" t="s">
        <v>14</v>
      </c>
      <c r="J11942" t="s">
        <v>141</v>
      </c>
      <c r="K11942" t="s">
        <v>14</v>
      </c>
      <c r="L11942" t="s">
        <v>20</v>
      </c>
      <c r="M11942" t="s">
        <v>22945</v>
      </c>
      <c r="N11942" t="s">
        <v>14</v>
      </c>
    </row>
    <row r="11943" x14ac:dyDescent="0.25">
      <c r="A11943" t="n">
        <v>23</v>
      </c>
      <c r="B11943" t="s">
        <v>14</v>
      </c>
      <c r="C11943" t="s">
        <v>22</v>
      </c>
      <c r="D11943" s="2" t="s">
        <f>=HYPERLINK("https://main.knesset.gov.il/APPS/legislation/main/bills/2148214", "הצעת חוק מעון ראש הממשלה, התשפ""א-2020")</f>
        <v>23011</v>
      </c>
      <c r="E11943" t="s">
        <v>23011</v>
      </c>
      <c r="F11943" t="s">
        <v>23012</v>
      </c>
      <c r="G11943" t="s">
        <v>14</v>
      </c>
      <c r="H11943">
             </c>
      <c r="I11943" t="s">
        <v>14</v>
      </c>
      <c r="J11943" t="s">
        <v>141</v>
      </c>
      <c r="K11943" t="s">
        <v>14</v>
      </c>
      <c r="L11943" t="s">
        <v>20</v>
      </c>
      <c r="M11943" t="s">
        <v>22945</v>
      </c>
      <c r="N11943" t="s">
        <v>14</v>
      </c>
    </row>
    <row r="11944" x14ac:dyDescent="0.25">
      <c r="A11944" t="n">
        <v>23</v>
      </c>
      <c r="B11944" t="s">
        <v>14</v>
      </c>
      <c r="C11944" t="s">
        <v>22</v>
      </c>
      <c r="D11944" s="2" t="s">
        <f>=HYPERLINK("https://main.knesset.gov.il/APPS/legislation/main/bills/2147870", "הצעת חוק הטבות מס ליישוב מעורב, התשפ""א-2020")</f>
        <v>23013</v>
      </c>
      <c r="E11944" t="s">
        <v>23013</v>
      </c>
      <c r="F11944" t="s">
        <v>23014</v>
      </c>
      <c r="G11944" t="s">
        <v>14</v>
      </c>
      <c r="H11944">
             </c>
      <c r="I11944" t="s">
        <v>14</v>
      </c>
      <c r="J11944" t="s">
        <v>141</v>
      </c>
      <c r="K11944" t="s">
        <v>14</v>
      </c>
      <c r="L11944" t="s">
        <v>20</v>
      </c>
      <c r="M11944" t="s">
        <v>22945</v>
      </c>
      <c r="N11944" t="s">
        <v>14</v>
      </c>
    </row>
    <row r="11945" x14ac:dyDescent="0.25">
      <c r="A11945" t="n">
        <v>23</v>
      </c>
      <c r="B11945" t="s">
        <v>14</v>
      </c>
      <c r="C11945" t="s">
        <v>22</v>
      </c>
      <c r="D11945" s="2" t="s">
        <f>=HYPERLINK("https://main.knesset.gov.il/APPS/legislation/main/bills/2146937", "הצעת חוק לתיקון פקודת מס הכנסה (טיפול נפשי כהוצאה מוכרת), התשפ""א-2020")</f>
        <v>23015</v>
      </c>
      <c r="E11945" t="s">
        <v>23015</v>
      </c>
      <c r="F11945" t="s">
        <v>23016</v>
      </c>
      <c r="G11945" t="s">
        <v>14</v>
      </c>
      <c r="H11945">
             </c>
      <c r="I11945" t="s">
        <v>14</v>
      </c>
      <c r="J11945" t="s">
        <v>141</v>
      </c>
      <c r="K11945" t="s">
        <v>14</v>
      </c>
      <c r="L11945" t="s">
        <v>20</v>
      </c>
      <c r="M11945" t="s">
        <v>22945</v>
      </c>
      <c r="N11945" t="s">
        <v>14</v>
      </c>
    </row>
    <row r="11946" x14ac:dyDescent="0.25">
      <c r="A11946" t="n">
        <v>23</v>
      </c>
      <c r="B11946" t="s">
        <v>14</v>
      </c>
      <c r="C11946" t="s">
        <v>22</v>
      </c>
      <c r="D11946" s="2" t="s">
        <f>=HYPERLINK("https://main.knesset.gov.il/APPS/legislation/main/bills/2146716", "הצעת חוק לתיקון פקודת מס הכנסה (דחיית הגשת דיווח שנתי לעסק שהוקם ברבעון האחרון של השנה), התשפ""א-2020")</f>
        <v>23017</v>
      </c>
      <c r="E11946" t="s">
        <v>23017</v>
      </c>
      <c r="F11946" t="s">
        <v>23018</v>
      </c>
      <c r="G11946" t="s">
        <v>14</v>
      </c>
      <c r="H11946">
             </c>
      <c r="I11946" t="s">
        <v>14</v>
      </c>
      <c r="J11946" t="s">
        <v>141</v>
      </c>
      <c r="K11946" t="s">
        <v>14</v>
      </c>
      <c r="L11946" t="s">
        <v>20</v>
      </c>
      <c r="M11946" t="s">
        <v>22945</v>
      </c>
      <c r="N11946" t="s">
        <v>14</v>
      </c>
    </row>
    <row r="11947" x14ac:dyDescent="0.25">
      <c r="A11947" t="n">
        <v>23</v>
      </c>
      <c r="B11947" t="s">
        <v>14</v>
      </c>
      <c r="C11947" t="s">
        <v>22</v>
      </c>
      <c r="D11947" s="2" t="s">
        <f>=HYPERLINK("https://main.knesset.gov.il/APPS/legislation/main/bills/2146715", "הצעת חוק לתיקון פקודת מס הכנסה (ניכוי הוצאות כיבוד לפגישה מחוץ למקום העיסוק), התשפ""א-2020")</f>
        <v>23019</v>
      </c>
      <c r="E11947" t="s">
        <v>23019</v>
      </c>
      <c r="F11947" t="s">
        <v>23020</v>
      </c>
      <c r="G11947" t="s">
        <v>14</v>
      </c>
      <c r="H11947">
             </c>
      <c r="I11947" t="s">
        <v>14</v>
      </c>
      <c r="J11947" t="s">
        <v>141</v>
      </c>
      <c r="K11947" t="s">
        <v>14</v>
      </c>
      <c r="L11947" t="s">
        <v>20</v>
      </c>
      <c r="M11947" t="s">
        <v>22945</v>
      </c>
      <c r="N11947" t="s">
        <v>14</v>
      </c>
    </row>
    <row r="11948" x14ac:dyDescent="0.25">
      <c r="A11948" t="n">
        <v>23</v>
      </c>
      <c r="B11948" t="s">
        <v>14</v>
      </c>
      <c r="C11948" t="s">
        <v>22</v>
      </c>
      <c r="D11948" s="2" t="s">
        <f>=HYPERLINK("https://main.knesset.gov.il/APPS/legislation/main/bills/2148002", "הצעת חוק שיווי זכויות האישה (תיקון - תחולה על תפקידים דתיים), התשפ""א-2020")</f>
        <v>23021</v>
      </c>
      <c r="E11948" t="s">
        <v>23021</v>
      </c>
      <c r="F11948" t="s">
        <v>23022</v>
      </c>
      <c r="G11948" t="s">
        <v>14</v>
      </c>
      <c r="H11948">
             </c>
      <c r="I11948" t="s">
        <v>14</v>
      </c>
      <c r="J11948" t="s">
        <v>141</v>
      </c>
      <c r="K11948" t="s">
        <v>14</v>
      </c>
      <c r="L11948" t="s">
        <v>20</v>
      </c>
      <c r="M11948" t="s">
        <v>22945</v>
      </c>
      <c r="N11948" t="s">
        <v>14</v>
      </c>
    </row>
    <row r="11949" x14ac:dyDescent="0.25">
      <c r="A11949" t="n">
        <v>23</v>
      </c>
      <c r="B11949" t="s">
        <v>14</v>
      </c>
      <c r="C11949" t="s">
        <v>22</v>
      </c>
      <c r="D11949" s="2" t="s">
        <f>=HYPERLINK("https://main.knesset.gov.il/APPS/legislation/main/bills/2148900", "הצעת חוק הכנסת (תיקון - דיווח מנהלים כלליים חדשים לוועדות הכנסת), התשפ""א-2020")</f>
        <v>23023</v>
      </c>
      <c r="E11949" t="s">
        <v>23023</v>
      </c>
      <c r="F11949" t="s">
        <v>23024</v>
      </c>
      <c r="G11949" t="s">
        <v>14</v>
      </c>
      <c r="H11949">
             </c>
      <c r="I11949" t="s">
        <v>14</v>
      </c>
      <c r="J11949" t="s">
        <v>141</v>
      </c>
      <c r="K11949" t="s">
        <v>14</v>
      </c>
      <c r="L11949" t="s">
        <v>20</v>
      </c>
      <c r="M11949" t="s">
        <v>22945</v>
      </c>
      <c r="N11949" t="s">
        <v>14</v>
      </c>
    </row>
    <row r="11950" x14ac:dyDescent="0.25">
      <c r="A11950" t="n">
        <v>23</v>
      </c>
      <c r="B11950" t="s">
        <v>14</v>
      </c>
      <c r="C11950" t="s">
        <v>22</v>
      </c>
      <c r="D11950" s="2" t="s">
        <f>=HYPERLINK("https://main.knesset.gov.il/APPS/legislation/main/bills/2146135", "הצעת חוק התקנת מצלמות לשם פיקוח והגנה בחינוך המיוחד, התשפ""א-2020")</f>
        <v>23025</v>
      </c>
      <c r="E11950" t="s">
        <v>23025</v>
      </c>
      <c r="F11950" t="s">
        <v>23026</v>
      </c>
      <c r="G11950" t="s">
        <v>14</v>
      </c>
      <c r="H11950">
             </c>
      <c r="I11950" t="s">
        <v>14</v>
      </c>
      <c r="J11950" t="s">
        <v>141</v>
      </c>
      <c r="K11950" t="s">
        <v>14</v>
      </c>
      <c r="L11950" t="s">
        <v>20</v>
      </c>
      <c r="M11950" t="s">
        <v>22945</v>
      </c>
      <c r="N11950" t="s">
        <v>14</v>
      </c>
    </row>
    <row r="11951" x14ac:dyDescent="0.25">
      <c r="A11951" t="n">
        <v>23</v>
      </c>
      <c r="B11951" t="s">
        <v>14</v>
      </c>
      <c r="C11951" t="s">
        <v>15</v>
      </c>
      <c r="D11951" s="2" t="s">
        <f>=HYPERLINK("https://main.knesset.gov.il/APPS/legislation/main/bills/2147317", "חוק התכנית לסיוע כלכלי (נגיף הקורונה החדש) (הוראת שעה) (תיקון מס' 3), התשפ""א-2020")</f>
        <v>23027</v>
      </c>
      <c r="E11951" t="s">
        <v>23027</v>
      </c>
      <c r="F11951" t="s">
        <v>14</v>
      </c>
      <c r="G11951" t="s">
        <v>23028</v>
      </c>
      <c r="H11951" t="n">
        <v>2868</v>
      </c>
      <c r="I11951" t="s">
        <v>14</v>
      </c>
      <c r="J11951" t="s">
        <v>91</v>
      </c>
      <c r="K11951" t="s">
        <v>15147</v>
      </c>
      <c r="L11951" t="s">
        <v>20</v>
      </c>
      <c r="M11951" t="s">
        <v>23029</v>
      </c>
      <c r="N11951" t="s">
        <v>23030</v>
      </c>
    </row>
    <row r="11952" x14ac:dyDescent="0.25">
      <c r="A11952" t="n">
        <v>23</v>
      </c>
      <c r="B11952" t="s">
        <v>14</v>
      </c>
      <c r="C11952" t="s">
        <v>15</v>
      </c>
      <c r="D11952" s="2" t="s">
        <f>=HYPERLINK("https://main.knesset.gov.il/APPS/legislation/main/bills/2147788", "חוק הרשויות המקומיות (בחירות) (תיקון מס' 52 - הוראת שעה - נגיף הקורונה החדש), התשפ""א-2020")</f>
        <v>23031</v>
      </c>
      <c r="E11952" t="s">
        <v>23031</v>
      </c>
      <c r="F11952" t="s">
        <v>14</v>
      </c>
      <c r="G11952" t="s">
        <v>23032</v>
      </c>
      <c r="H11952" t="n">
        <v>2867</v>
      </c>
      <c r="I11952" t="s">
        <v>14</v>
      </c>
      <c r="J11952" t="s">
        <v>91</v>
      </c>
      <c r="K11952" t="s">
        <v>46</v>
      </c>
      <c r="L11952" t="s">
        <v>20</v>
      </c>
      <c r="M11952" t="s">
        <v>23029</v>
      </c>
      <c r="N11952" t="s">
        <v>23033</v>
      </c>
    </row>
    <row r="11953" x14ac:dyDescent="0.25">
      <c r="A11953" t="n">
        <v>23</v>
      </c>
      <c r="B11953" t="s">
        <v>14</v>
      </c>
      <c r="C11953" t="s">
        <v>22</v>
      </c>
      <c r="D11953" s="2" t="s">
        <f>=HYPERLINK("https://main.knesset.gov.il/APPS/legislation/main/bills/2144496", "הצעת חוק העונשין (תיקון - קביעת עונש מזערי והוראת שעה לעבירת החזקת נשק בלא רשות על פי דין), התש""ף-2020")</f>
        <v>23034</v>
      </c>
      <c r="E11953" t="s">
        <v>23034</v>
      </c>
      <c r="F11953" t="s">
        <v>23035</v>
      </c>
      <c r="G11953" t="s">
        <v>14</v>
      </c>
      <c r="H11953">
             </c>
      <c r="I11953" t="s">
        <v>14</v>
      </c>
      <c r="J11953" t="s">
        <v>343</v>
      </c>
      <c r="K11953" t="s">
        <v>14</v>
      </c>
      <c r="L11953" t="s">
        <v>20</v>
      </c>
      <c r="M11953" t="s">
        <v>23029</v>
      </c>
      <c r="N11953" t="s">
        <v>14</v>
      </c>
    </row>
    <row r="11954" x14ac:dyDescent="0.25">
      <c r="A11954" t="n">
        <v>23</v>
      </c>
      <c r="B11954" t="s">
        <v>14</v>
      </c>
      <c r="C11954" t="s">
        <v>22</v>
      </c>
      <c r="D11954" s="2" t="s">
        <f>=HYPERLINK("https://main.knesset.gov.il/APPS/legislation/main/bills/2143307", "הצעת חוק לתיקון פקודת מס הכנסה (ניכוי בגין הוצאות טיפול בילדים), התש""ף-2020")</f>
        <v>23036</v>
      </c>
      <c r="E11954" t="s">
        <v>23036</v>
      </c>
      <c r="F11954" t="s">
        <v>23037</v>
      </c>
      <c r="G11954" t="s">
        <v>14</v>
      </c>
      <c r="H11954">
             </c>
      <c r="I11954" t="s">
        <v>14</v>
      </c>
      <c r="J11954" t="s">
        <v>55</v>
      </c>
      <c r="K11954" t="s">
        <v>14</v>
      </c>
      <c r="L11954" t="s">
        <v>20</v>
      </c>
      <c r="M11954" t="s">
        <v>23029</v>
      </c>
      <c r="N11954" t="s">
        <v>14</v>
      </c>
    </row>
    <row r="11955" x14ac:dyDescent="0.25">
      <c r="A11955" t="n">
        <v>23</v>
      </c>
      <c r="B11955" t="s">
        <v>14</v>
      </c>
      <c r="C11955" t="s">
        <v>22</v>
      </c>
      <c r="D11955" s="2" t="s">
        <f>=HYPERLINK("https://main.knesset.gov.il/APPS/legislation/main/bills/2143362", "הצעת חוק העונשין (תיקון - עונש מינימום על החזקת נשק בלתי חוקי), התש""ף-2020 ")</f>
        <v>23038</v>
      </c>
      <c r="E11955" t="s">
        <v>23038</v>
      </c>
      <c r="F11955" t="s">
        <v>23039</v>
      </c>
      <c r="G11955" t="s">
        <v>14</v>
      </c>
      <c r="H11955">
             </c>
      <c r="I11955" t="s">
        <v>14</v>
      </c>
      <c r="J11955" t="s">
        <v>343</v>
      </c>
      <c r="K11955" t="s">
        <v>14</v>
      </c>
      <c r="L11955" t="s">
        <v>20</v>
      </c>
      <c r="M11955" t="s">
        <v>23029</v>
      </c>
      <c r="N11955" t="s">
        <v>14</v>
      </c>
    </row>
    <row r="11956" x14ac:dyDescent="0.25">
      <c r="A11956" t="n">
        <v>23</v>
      </c>
      <c r="B11956" t="s">
        <v>14</v>
      </c>
      <c r="C11956" t="s">
        <v>22</v>
      </c>
      <c r="D11956" s="2" t="s">
        <f>=HYPERLINK("https://main.knesset.gov.il/APPS/legislation/main/bills/2088391", "הצעת חוק לתיקון פקודת מס הכנסה (ניכוי בגין הוצאות טיפול בילדים), התש""ף-2020")</f>
        <v>23036</v>
      </c>
      <c r="E11956" t="s">
        <v>23036</v>
      </c>
      <c r="F11956" t="s">
        <v>23040</v>
      </c>
      <c r="G11956" t="s">
        <v>14</v>
      </c>
      <c r="H11956">
             </c>
      <c r="I11956" t="s">
        <v>14</v>
      </c>
      <c r="J11956" t="s">
        <v>55</v>
      </c>
      <c r="K11956" t="s">
        <v>14</v>
      </c>
      <c r="L11956" t="s">
        <v>20</v>
      </c>
      <c r="M11956" t="s">
        <v>23029</v>
      </c>
      <c r="N11956" t="s">
        <v>14</v>
      </c>
    </row>
    <row r="11957" x14ac:dyDescent="0.25">
      <c r="A11957" t="n">
        <v>23</v>
      </c>
      <c r="B11957" t="s">
        <v>14</v>
      </c>
      <c r="C11957" t="s">
        <v>22</v>
      </c>
      <c r="D11957" s="2" t="s">
        <f>=HYPERLINK("https://main.knesset.gov.il/APPS/legislation/main/bills/2086292", "הצעת חוק לתיקון פקודת הדיג (איכון ספינות דיג), התש""ף-2020")</f>
        <v>23041</v>
      </c>
      <c r="E11957" t="s">
        <v>23041</v>
      </c>
      <c r="F11957" t="s">
        <v>23042</v>
      </c>
      <c r="G11957" t="s">
        <v>14</v>
      </c>
      <c r="H11957">
             </c>
      <c r="I11957" t="s">
        <v>14</v>
      </c>
      <c r="J11957" t="s">
        <v>55</v>
      </c>
      <c r="K11957" t="s">
        <v>14</v>
      </c>
      <c r="L11957" t="s">
        <v>20</v>
      </c>
      <c r="M11957" t="s">
        <v>23029</v>
      </c>
      <c r="N11957" t="s">
        <v>14</v>
      </c>
    </row>
    <row r="11958" x14ac:dyDescent="0.25">
      <c r="A11958" t="n">
        <v>23</v>
      </c>
      <c r="B11958" t="s">
        <v>14</v>
      </c>
      <c r="C11958" t="s">
        <v>22</v>
      </c>
      <c r="D11958" s="2" t="s">
        <f>=HYPERLINK("https://main.knesset.gov.il/APPS/legislation/main/bills/2085959", "הצעת חוק-יסוד: הממשלה (תיקון - הפסקת כהונה של ראש הממשלה, שר או סגן שר מחמת הגשת כתב אישום)")</f>
        <v>11734</v>
      </c>
      <c r="E11958" t="s">
        <v>11734</v>
      </c>
      <c r="F11958" t="s">
        <v>23043</v>
      </c>
      <c r="G11958" t="s">
        <v>14</v>
      </c>
      <c r="H11958">
             </c>
      <c r="I11958" t="s">
        <v>14</v>
      </c>
      <c r="J11958" t="s">
        <v>55</v>
      </c>
      <c r="K11958" t="s">
        <v>14</v>
      </c>
      <c r="L11958" t="s">
        <v>20</v>
      </c>
      <c r="M11958" t="s">
        <v>23029</v>
      </c>
      <c r="N11958" t="s">
        <v>14</v>
      </c>
    </row>
    <row r="11959" x14ac:dyDescent="0.25">
      <c r="A11959" t="n">
        <v>23</v>
      </c>
      <c r="B11959" t="s">
        <v>14</v>
      </c>
      <c r="C11959" t="s">
        <v>22</v>
      </c>
      <c r="D11959" s="2" t="s">
        <f>=HYPERLINK("https://main.knesset.gov.il/APPS/legislation/main/bills/2086185", "הצעת חוק למניעת אלימות במשפחה (תיקון - מניעת אלימות כלכלית), התש""ף-2020")</f>
        <v>23044</v>
      </c>
      <c r="E11959" t="s">
        <v>23044</v>
      </c>
      <c r="F11959" t="s">
        <v>23045</v>
      </c>
      <c r="G11959" t="s">
        <v>14</v>
      </c>
      <c r="H11959">
             </c>
      <c r="I11959" t="s">
        <v>14</v>
      </c>
      <c r="J11959" t="s">
        <v>31</v>
      </c>
      <c r="K11959" t="s">
        <v>27</v>
      </c>
      <c r="L11959" t="s">
        <v>20</v>
      </c>
      <c r="M11959" t="s">
        <v>23046</v>
      </c>
      <c r="N11959" t="s">
        <v>14</v>
      </c>
    </row>
    <row r="11960" x14ac:dyDescent="0.25">
      <c r="A11960" t="n">
        <v>23</v>
      </c>
      <c r="B11960" t="s">
        <v>14</v>
      </c>
      <c r="C11960" t="s">
        <v>15</v>
      </c>
      <c r="D11960" s="2" t="s">
        <f>=HYPERLINK("https://main.knesset.gov.il/APPS/legislation/main/bills/2144330", "הצעת חוק למניעת אלימות במשפחה (תיקון מס' 18 והוראת שעה) (מניעת אלימות כלכלית), התש""ף-2020")</f>
        <v>23047</v>
      </c>
      <c r="E11960" t="s">
        <v>23047</v>
      </c>
      <c r="F11960" t="s">
        <v>14</v>
      </c>
      <c r="G11960" t="s">
        <v>23048</v>
      </c>
      <c r="H11960">
             </c>
      <c r="I11960" t="s">
        <v>14</v>
      </c>
      <c r="J11960" t="s">
        <v>18</v>
      </c>
      <c r="K11960" t="s">
        <v>27</v>
      </c>
      <c r="L11960" t="s">
        <v>20</v>
      </c>
      <c r="M11960" t="s">
        <v>23046</v>
      </c>
      <c r="N11960" t="s">
        <v>14</v>
      </c>
    </row>
    <row r="11961" x14ac:dyDescent="0.25">
      <c r="A11961" t="n">
        <v>23</v>
      </c>
      <c r="B11961" t="s">
        <v>14</v>
      </c>
      <c r="C11961" t="s">
        <v>22</v>
      </c>
      <c r="D11961" s="2" t="s">
        <f>=HYPERLINK("https://main.knesset.gov.il/APPS/legislation/main/bills/2141099", "הצעת חוק חוזה הביטוח (תיקון - הארכת תקופת ההתיישנות), התש""ף-2020")</f>
        <v>23049</v>
      </c>
      <c r="E11961" t="s">
        <v>23049</v>
      </c>
      <c r="F11961" t="s">
        <v>23050</v>
      </c>
      <c r="G11961" t="s">
        <v>14</v>
      </c>
      <c r="H11961">
             </c>
      <c r="I11961" t="s">
        <v>14</v>
      </c>
      <c r="J11961" t="s">
        <v>99</v>
      </c>
      <c r="K11961" t="s">
        <v>85</v>
      </c>
      <c r="L11961" t="s">
        <v>20</v>
      </c>
      <c r="M11961" t="s">
        <v>23046</v>
      </c>
      <c r="N11961" t="s">
        <v>14</v>
      </c>
    </row>
    <row r="11962" x14ac:dyDescent="0.25">
      <c r="A11962" t="n">
        <v>23</v>
      </c>
      <c r="B11962" t="s">
        <v>14</v>
      </c>
      <c r="C11962" t="s">
        <v>22</v>
      </c>
      <c r="D11962" s="2" t="s">
        <f>=HYPERLINK("https://main.knesset.gov.il/APPS/legislation/main/bills/2148487", "הצעת חוק הקפאת שכר חברי הכנסת (הוראת שעה), התשפ""א-2020")</f>
        <v>23051</v>
      </c>
      <c r="E11962" t="s">
        <v>23051</v>
      </c>
      <c r="F11962" t="s">
        <v>23052</v>
      </c>
      <c r="G11962" t="s">
        <v>14</v>
      </c>
      <c r="H11962">
             </c>
      <c r="I11962" t="s">
        <v>14</v>
      </c>
      <c r="J11962" t="s">
        <v>99</v>
      </c>
      <c r="K11962" t="s">
        <v>121</v>
      </c>
      <c r="L11962" t="s">
        <v>20</v>
      </c>
      <c r="M11962" t="s">
        <v>23046</v>
      </c>
      <c r="N11962" t="s">
        <v>14</v>
      </c>
    </row>
    <row r="11963" x14ac:dyDescent="0.25">
      <c r="A11963" t="n">
        <v>23</v>
      </c>
      <c r="B11963" t="s">
        <v>14</v>
      </c>
      <c r="C11963" t="s">
        <v>22</v>
      </c>
      <c r="D11963" s="2" t="s">
        <f>=HYPERLINK("https://main.knesset.gov.il/APPS/legislation/main/bills/2148696", "הצעת חוק התכנית להבראת כלכלת ישראל (תיקוני חקיקה להשגת יעדי התקציב והמדיניות הכלכלית לשנות הכספים 2003 ו-2004) (תיקון - ביטול הדרגתי של היטל על העסקת עובד זר) (הוראת שעה), התשפ""א-2020")</f>
        <v>23053</v>
      </c>
      <c r="E11963" t="s">
        <v>23053</v>
      </c>
      <c r="F11963" t="s">
        <v>23054</v>
      </c>
      <c r="G11963" t="s">
        <v>14</v>
      </c>
      <c r="H11963">
             </c>
      <c r="I11963" t="s">
        <v>14</v>
      </c>
      <c r="J11963" t="s">
        <v>141</v>
      </c>
      <c r="K11963" t="s">
        <v>14</v>
      </c>
      <c r="L11963" t="s">
        <v>20</v>
      </c>
      <c r="M11963" t="s">
        <v>23055</v>
      </c>
      <c r="N11963" t="s">
        <v>14</v>
      </c>
    </row>
    <row r="11964" x14ac:dyDescent="0.25">
      <c r="A11964" t="n">
        <v>23</v>
      </c>
      <c r="B11964" t="s">
        <v>14</v>
      </c>
      <c r="C11964" t="s">
        <v>22</v>
      </c>
      <c r="D11964" s="2" t="s">
        <f>=HYPERLINK("https://main.knesset.gov.il/APPS/legislation/main/bills/2148876", "הצעת חוק התכנית להבראת כלכלת ישראל (תיקוני חקיקה להשגת יעדי התקציב והמדיניות הכלכלית לשנות הכספים 2003 ו-2004) (תיקון - ביטול ההיטל על העסקת עובד זר בענף החקלאות), התשפ""א-2020")</f>
        <v>23056</v>
      </c>
      <c r="E11964" t="s">
        <v>23056</v>
      </c>
      <c r="F11964" t="s">
        <v>23057</v>
      </c>
      <c r="G11964" t="s">
        <v>14</v>
      </c>
      <c r="H11964">
             </c>
      <c r="I11964" t="s">
        <v>14</v>
      </c>
      <c r="J11964" t="s">
        <v>141</v>
      </c>
      <c r="K11964" t="s">
        <v>14</v>
      </c>
      <c r="L11964" t="s">
        <v>20</v>
      </c>
      <c r="M11964" t="s">
        <v>23055</v>
      </c>
      <c r="N11964" t="s">
        <v>14</v>
      </c>
    </row>
    <row r="11965" x14ac:dyDescent="0.25">
      <c r="A11965" t="n">
        <v>23</v>
      </c>
      <c r="B11965" t="s">
        <v>14</v>
      </c>
      <c r="C11965" t="s">
        <v>22</v>
      </c>
      <c r="D11965" s="2" t="s">
        <f>=HYPERLINK("https://main.knesset.gov.il/APPS/legislation/main/bills/2149086", "הצעת חוק גיור ממלכתי בישראל, התשפ""א-2020")</f>
        <v>23058</v>
      </c>
      <c r="E11965" t="s">
        <v>23058</v>
      </c>
      <c r="F11965" t="s">
        <v>23059</v>
      </c>
      <c r="G11965" t="s">
        <v>14</v>
      </c>
      <c r="H11965">
             </c>
      <c r="I11965" t="s">
        <v>14</v>
      </c>
      <c r="J11965" t="s">
        <v>141</v>
      </c>
      <c r="K11965" t="s">
        <v>14</v>
      </c>
      <c r="L11965" t="s">
        <v>20</v>
      </c>
      <c r="M11965" t="s">
        <v>23055</v>
      </c>
      <c r="N11965" t="s">
        <v>14</v>
      </c>
    </row>
    <row r="11966" x14ac:dyDescent="0.25">
      <c r="A11966" t="n">
        <v>23</v>
      </c>
      <c r="B11966" t="s">
        <v>14</v>
      </c>
      <c r="C11966" t="s">
        <v>22</v>
      </c>
      <c r="D11966" s="2" t="s">
        <f>=HYPERLINK("https://main.knesset.gov.il/APPS/legislation/main/bills/2148406", "הצעת חוק סמכויות מיוחדות להתמודדות עם נגיף הקורונה החדש (הוראת שעה) (תיקון - עסקים המקיימים פעילות חיונית), התשפ""א-2020")</f>
        <v>23060</v>
      </c>
      <c r="E11966" t="s">
        <v>23060</v>
      </c>
      <c r="F11966" t="s">
        <v>23061</v>
      </c>
      <c r="G11966" t="s">
        <v>14</v>
      </c>
      <c r="H11966">
             </c>
      <c r="I11966" t="s">
        <v>14</v>
      </c>
      <c r="J11966" t="s">
        <v>141</v>
      </c>
      <c r="K11966" t="s">
        <v>14</v>
      </c>
      <c r="L11966" t="s">
        <v>20</v>
      </c>
      <c r="M11966" t="s">
        <v>23055</v>
      </c>
      <c r="N11966" t="s">
        <v>14</v>
      </c>
    </row>
    <row r="11967" x14ac:dyDescent="0.25">
      <c r="A11967" t="n">
        <v>23</v>
      </c>
      <c r="B11967" t="s">
        <v>14</v>
      </c>
      <c r="C11967" t="s">
        <v>22</v>
      </c>
      <c r="D11967" s="2" t="s">
        <f>=HYPERLINK("https://main.knesset.gov.il/APPS/legislation/main/bills/2148999", "הצעת חוק להתמודדות עם נגיף הקורונה החדש (הוראת שעה) (תיקון - הסמכת הרשויות המקומיות), התשפ""א-2020")</f>
        <v>23062</v>
      </c>
      <c r="E11967" t="s">
        <v>23062</v>
      </c>
      <c r="F11967" t="s">
        <v>23063</v>
      </c>
      <c r="G11967" t="s">
        <v>14</v>
      </c>
      <c r="H11967">
             </c>
      <c r="I11967" t="s">
        <v>14</v>
      </c>
      <c r="J11967" t="s">
        <v>141</v>
      </c>
      <c r="K11967" t="s">
        <v>14</v>
      </c>
      <c r="L11967" t="s">
        <v>20</v>
      </c>
      <c r="M11967" t="s">
        <v>23055</v>
      </c>
      <c r="N11967" t="s">
        <v>14</v>
      </c>
    </row>
    <row r="11968" x14ac:dyDescent="0.25">
      <c r="A11968" t="n">
        <v>23</v>
      </c>
      <c r="B11968" t="s">
        <v>14</v>
      </c>
      <c r="C11968" t="s">
        <v>22</v>
      </c>
      <c r="D11968" s="2" t="s">
        <f>=HYPERLINK("https://main.knesset.gov.il/APPS/legislation/main/bills/2148202", "הצעת חוק פיצוי נפגעי אסון טבע (פיצוי לנפגעי שריפה), התשפ""א-2020")</f>
        <v>23064</v>
      </c>
      <c r="E11968" t="s">
        <v>23064</v>
      </c>
      <c r="F11968" t="s">
        <v>23065</v>
      </c>
      <c r="G11968" t="s">
        <v>14</v>
      </c>
      <c r="H11968">
             </c>
      <c r="I11968" t="s">
        <v>14</v>
      </c>
      <c r="J11968" t="s">
        <v>141</v>
      </c>
      <c r="K11968" t="s">
        <v>14</v>
      </c>
      <c r="L11968" t="s">
        <v>20</v>
      </c>
      <c r="M11968" t="s">
        <v>23055</v>
      </c>
      <c r="N11968" t="s">
        <v>14</v>
      </c>
    </row>
    <row r="11969" x14ac:dyDescent="0.25">
      <c r="A11969" t="n">
        <v>23</v>
      </c>
      <c r="B11969" t="s">
        <v>14</v>
      </c>
      <c r="C11969" t="s">
        <v>22</v>
      </c>
      <c r="D11969" s="2" t="s">
        <f>=HYPERLINK("https://main.knesset.gov.il/APPS/legislation/main/bills/2148491", "הצעת חוק למניעת העסקה בתחום החינוך והטיפול של אדם שהורשע או שמואשם בתקיפה או בהתעללות בחסר ישע, התשפ""א-2020")</f>
        <v>23066</v>
      </c>
      <c r="E11969" t="s">
        <v>23066</v>
      </c>
      <c r="F11969" t="s">
        <v>23067</v>
      </c>
      <c r="G11969" t="s">
        <v>14</v>
      </c>
      <c r="H11969">
             </c>
      <c r="I11969" t="s">
        <v>14</v>
      </c>
      <c r="J11969" t="s">
        <v>141</v>
      </c>
      <c r="K11969" t="s">
        <v>14</v>
      </c>
      <c r="L11969" t="s">
        <v>20</v>
      </c>
      <c r="M11969" t="s">
        <v>23055</v>
      </c>
      <c r="N11969" t="s">
        <v>14</v>
      </c>
    </row>
    <row r="11970" x14ac:dyDescent="0.25">
      <c r="A11970" t="n">
        <v>23</v>
      </c>
      <c r="B11970" t="s">
        <v>14</v>
      </c>
      <c r="C11970" t="s">
        <v>22</v>
      </c>
      <c r="D11970" s="2" t="s">
        <f>=HYPERLINK("https://main.knesset.gov.il/APPS/legislation/main/bills/2148276", "הצעת חוק-יסוד: הכנסת (תיקון - מועד לבחירות בשל פיזור מוקדם של הכנסת)")</f>
        <v>23068</v>
      </c>
      <c r="E11970" t="s">
        <v>23068</v>
      </c>
      <c r="F11970" t="s">
        <v>23069</v>
      </c>
      <c r="G11970" t="s">
        <v>14</v>
      </c>
      <c r="H11970">
             </c>
      <c r="I11970" t="s">
        <v>14</v>
      </c>
      <c r="J11970" t="s">
        <v>141</v>
      </c>
      <c r="K11970" t="s">
        <v>14</v>
      </c>
      <c r="L11970" t="s">
        <v>20</v>
      </c>
      <c r="M11970" t="s">
        <v>23055</v>
      </c>
      <c r="N11970" t="s">
        <v>14</v>
      </c>
    </row>
    <row r="11971" x14ac:dyDescent="0.25">
      <c r="A11971" t="n">
        <v>23</v>
      </c>
      <c r="B11971" t="s">
        <v>14</v>
      </c>
      <c r="C11971" t="s">
        <v>22</v>
      </c>
      <c r="D11971" s="2" t="s">
        <f>=HYPERLINK("https://main.knesset.gov.il/APPS/legislation/main/bills/2088399", "הצעת חוק הביטוח הלאומי (תיקון - הצמדת קצבת אזרח ותיק לשכר מינימום), התשפ""א-2020")</f>
        <v>23070</v>
      </c>
      <c r="E11971" t="s">
        <v>23070</v>
      </c>
      <c r="F11971" t="s">
        <v>23071</v>
      </c>
      <c r="G11971" t="s">
        <v>14</v>
      </c>
      <c r="H11971">
             </c>
      <c r="I11971" t="s">
        <v>14</v>
      </c>
      <c r="J11971" t="s">
        <v>141</v>
      </c>
      <c r="K11971" t="s">
        <v>14</v>
      </c>
      <c r="L11971" t="s">
        <v>20</v>
      </c>
      <c r="M11971" t="s">
        <v>23055</v>
      </c>
      <c r="N11971" t="s">
        <v>14</v>
      </c>
    </row>
    <row r="11972" x14ac:dyDescent="0.25">
      <c r="A11972" t="n">
        <v>23</v>
      </c>
      <c r="B11972" t="s">
        <v>14</v>
      </c>
      <c r="C11972" t="s">
        <v>22</v>
      </c>
      <c r="D11972" s="2" t="s">
        <f>=HYPERLINK("https://main.knesset.gov.il/APPS/legislation/main/bills/2148167", "הצעת חוק לחיזוק הקשר בין יהודי התפוצות ומדינת ישראל, התשפ""א-2020")</f>
        <v>23072</v>
      </c>
      <c r="E11972" t="s">
        <v>23072</v>
      </c>
      <c r="F11972" t="s">
        <v>23073</v>
      </c>
      <c r="G11972" t="s">
        <v>14</v>
      </c>
      <c r="H11972">
             </c>
      <c r="I11972" t="s">
        <v>14</v>
      </c>
      <c r="J11972" t="s">
        <v>141</v>
      </c>
      <c r="K11972" t="s">
        <v>14</v>
      </c>
      <c r="L11972" t="s">
        <v>20</v>
      </c>
      <c r="M11972" t="s">
        <v>23055</v>
      </c>
      <c r="N11972" t="s">
        <v>14</v>
      </c>
    </row>
    <row r="11973" x14ac:dyDescent="0.25">
      <c r="A11973" t="n">
        <v>23</v>
      </c>
      <c r="B11973" t="s">
        <v>14</v>
      </c>
      <c r="C11973" t="s">
        <v>22</v>
      </c>
      <c r="D11973" s="2" t="s">
        <f>=HYPERLINK("https://main.knesset.gov.il/APPS/legislation/main/bills/2147320", "הצעת חוק העונשין (תיקון - הקטנת תוספת פיגור לקנס), התשפ""א-2020")</f>
        <v>23074</v>
      </c>
      <c r="E11973" t="s">
        <v>23074</v>
      </c>
      <c r="F11973" t="s">
        <v>23075</v>
      </c>
      <c r="G11973" t="s">
        <v>14</v>
      </c>
      <c r="H11973">
             </c>
      <c r="I11973" t="s">
        <v>14</v>
      </c>
      <c r="J11973" t="s">
        <v>141</v>
      </c>
      <c r="K11973" t="s">
        <v>14</v>
      </c>
      <c r="L11973" t="s">
        <v>20</v>
      </c>
      <c r="M11973" t="s">
        <v>23055</v>
      </c>
      <c r="N11973" t="s">
        <v>14</v>
      </c>
    </row>
    <row r="11974" x14ac:dyDescent="0.25">
      <c r="A11974" t="n">
        <v>23</v>
      </c>
      <c r="B11974" t="s">
        <v>14</v>
      </c>
      <c r="C11974" t="s">
        <v>22</v>
      </c>
      <c r="D11974" s="2" t="s">
        <f>=HYPERLINK("https://main.knesset.gov.il/APPS/legislation/main/bills/2147793", "הצעת חוק-יסוד: הכנסת (תיקון - ייצוג הולם לנשים ברשימת מועמדים לכנסת)")</f>
        <v>1047</v>
      </c>
      <c r="E11974" t="s">
        <v>1047</v>
      </c>
      <c r="F11974" t="s">
        <v>23076</v>
      </c>
      <c r="G11974" t="s">
        <v>14</v>
      </c>
      <c r="H11974">
             </c>
      <c r="I11974" t="s">
        <v>14</v>
      </c>
      <c r="J11974" t="s">
        <v>141</v>
      </c>
      <c r="K11974" t="s">
        <v>14</v>
      </c>
      <c r="L11974" t="s">
        <v>20</v>
      </c>
      <c r="M11974" t="s">
        <v>23055</v>
      </c>
      <c r="N11974" t="s">
        <v>14</v>
      </c>
    </row>
    <row r="11975" x14ac:dyDescent="0.25">
      <c r="A11975" t="n">
        <v>23</v>
      </c>
      <c r="B11975" t="s">
        <v>14</v>
      </c>
      <c r="C11975" t="s">
        <v>22</v>
      </c>
      <c r="D11975" s="2" t="s">
        <f>=HYPERLINK("https://main.knesset.gov.il/APPS/legislation/main/bills/2146238", "הצעת חוק מגבלות על חזרתו של עבריין מין לסביבת נפגע העבירה (תיקון - הרחבת סמכות בית המשפט להטלת מגבלות), התשפ""א-2020")</f>
        <v>23077</v>
      </c>
      <c r="E11975" t="s">
        <v>23077</v>
      </c>
      <c r="F11975" t="s">
        <v>23078</v>
      </c>
      <c r="G11975" t="s">
        <v>14</v>
      </c>
      <c r="H11975">
             </c>
      <c r="I11975" t="s">
        <v>14</v>
      </c>
      <c r="J11975" t="s">
        <v>141</v>
      </c>
      <c r="K11975" t="s">
        <v>14</v>
      </c>
      <c r="L11975" t="s">
        <v>20</v>
      </c>
      <c r="M11975" t="s">
        <v>23055</v>
      </c>
      <c r="N11975" t="s">
        <v>14</v>
      </c>
    </row>
    <row r="11976" x14ac:dyDescent="0.25">
      <c r="A11976" t="n">
        <v>23</v>
      </c>
      <c r="B11976" t="s">
        <v>14</v>
      </c>
      <c r="C11976" t="s">
        <v>22</v>
      </c>
      <c r="D11976" s="2" t="s">
        <f>=HYPERLINK("https://main.knesset.gov.il/APPS/legislation/main/bills/2148255", "הצעת חוק לשכת עורכי הדין (תיקון - הכשרה למקצוע), התשפ""א-2020")</f>
        <v>23079</v>
      </c>
      <c r="E11976" t="s">
        <v>23079</v>
      </c>
      <c r="F11976" t="s">
        <v>23080</v>
      </c>
      <c r="G11976" t="s">
        <v>14</v>
      </c>
      <c r="H11976">
             </c>
      <c r="I11976" t="s">
        <v>14</v>
      </c>
      <c r="J11976" t="s">
        <v>141</v>
      </c>
      <c r="K11976" t="s">
        <v>14</v>
      </c>
      <c r="L11976" t="s">
        <v>20</v>
      </c>
      <c r="M11976" t="s">
        <v>23055</v>
      </c>
      <c r="N11976" t="s">
        <v>14</v>
      </c>
    </row>
    <row r="11977" x14ac:dyDescent="0.25">
      <c r="A11977" t="n">
        <v>23</v>
      </c>
      <c r="B11977" t="s">
        <v>14</v>
      </c>
      <c r="C11977" t="s">
        <v>22</v>
      </c>
      <c r="D11977" s="2" t="s">
        <f>=HYPERLINK("https://main.knesset.gov.il/APPS/legislation/main/bills/2145670", "הצעת חוק זכויות נפגעי עבירה (תיקון - חובת בית המשפט לשמוע נפגעי עבירה כולל נפגעי מעשי טרור), התשפ""א-2020")</f>
        <v>23081</v>
      </c>
      <c r="E11977" t="s">
        <v>23081</v>
      </c>
      <c r="F11977" t="s">
        <v>23082</v>
      </c>
      <c r="G11977" t="s">
        <v>14</v>
      </c>
      <c r="H11977">
             </c>
      <c r="I11977" t="s">
        <v>14</v>
      </c>
      <c r="J11977" t="s">
        <v>141</v>
      </c>
      <c r="K11977" t="s">
        <v>14</v>
      </c>
      <c r="L11977" t="s">
        <v>20</v>
      </c>
      <c r="M11977" t="s">
        <v>23055</v>
      </c>
      <c r="N11977" t="s">
        <v>14</v>
      </c>
    </row>
    <row r="11978" x14ac:dyDescent="0.25">
      <c r="A11978" t="n">
        <v>23</v>
      </c>
      <c r="B11978" t="s">
        <v>14</v>
      </c>
      <c r="C11978" t="s">
        <v>22</v>
      </c>
      <c r="D11978" s="2" t="s">
        <f>=HYPERLINK("https://main.knesset.gov.il/APPS/legislation/main/bills/2145512", "הצעת חוק הגנה על עיתונאים (תיקוני חקיקה), התשפ""א-2020")</f>
        <v>23083</v>
      </c>
      <c r="E11978" t="s">
        <v>23083</v>
      </c>
      <c r="F11978" t="s">
        <v>23084</v>
      </c>
      <c r="G11978" t="s">
        <v>14</v>
      </c>
      <c r="H11978">
             </c>
      <c r="I11978" t="s">
        <v>14</v>
      </c>
      <c r="J11978" t="s">
        <v>141</v>
      </c>
      <c r="K11978" t="s">
        <v>14</v>
      </c>
      <c r="L11978" t="s">
        <v>20</v>
      </c>
      <c r="M11978" t="s">
        <v>23055</v>
      </c>
      <c r="N11978" t="s">
        <v>14</v>
      </c>
    </row>
    <row r="11979" x14ac:dyDescent="0.25">
      <c r="A11979" t="n">
        <v>23</v>
      </c>
      <c r="B11979" t="s">
        <v>14</v>
      </c>
      <c r="C11979" t="s">
        <v>22</v>
      </c>
      <c r="D11979" s="2" t="s">
        <f>=HYPERLINK("https://main.knesset.gov.il/APPS/legislation/main/bills/2143281", "הצעת חוק-יסוד: הממשלה (תיקון - הגבלת מספר שרים וסגני שרים)")</f>
        <v>3098</v>
      </c>
      <c r="E11979" t="s">
        <v>3098</v>
      </c>
      <c r="F11979" t="s">
        <v>23085</v>
      </c>
      <c r="G11979" t="s">
        <v>14</v>
      </c>
      <c r="H11979">
             </c>
      <c r="I11979" t="s">
        <v>14</v>
      </c>
      <c r="J11979" t="s">
        <v>141</v>
      </c>
      <c r="K11979" t="s">
        <v>14</v>
      </c>
      <c r="L11979" t="s">
        <v>20</v>
      </c>
      <c r="M11979" t="s">
        <v>23055</v>
      </c>
      <c r="N11979" t="s">
        <v>14</v>
      </c>
    </row>
    <row r="11980" x14ac:dyDescent="0.25">
      <c r="A11980" t="n">
        <v>23</v>
      </c>
      <c r="B11980" t="s">
        <v>14</v>
      </c>
      <c r="C11980" t="s">
        <v>22</v>
      </c>
      <c r="D11980" s="2" t="s">
        <f>=HYPERLINK("https://main.knesset.gov.il/APPS/legislation/main/bills/2145282", "הצעת חוק-יסוד: הממשלה (תיקון - הגבלת כהונת ראש הממשלה)")</f>
        <v>19405</v>
      </c>
      <c r="E11980" t="s">
        <v>19405</v>
      </c>
      <c r="F11980" t="s">
        <v>23086</v>
      </c>
      <c r="G11980" t="s">
        <v>14</v>
      </c>
      <c r="H11980">
             </c>
      <c r="I11980" t="s">
        <v>14</v>
      </c>
      <c r="J11980" t="s">
        <v>141</v>
      </c>
      <c r="K11980" t="s">
        <v>14</v>
      </c>
      <c r="L11980" t="s">
        <v>20</v>
      </c>
      <c r="M11980" t="s">
        <v>23055</v>
      </c>
      <c r="N11980" t="s">
        <v>14</v>
      </c>
    </row>
    <row r="11981" x14ac:dyDescent="0.25">
      <c r="A11981" t="n">
        <v>23</v>
      </c>
      <c r="B11981" t="s">
        <v>14</v>
      </c>
      <c r="C11981" t="s">
        <v>22</v>
      </c>
      <c r="D11981" s="2" t="s">
        <f>=HYPERLINK("https://main.knesset.gov.il/APPS/legislation/main/bills/2146718", "הצעת חוק ביטוח בריאות ממלכתי (תיקון - תוספת שנתית קבועה לסל שירותי הבריאות לצורך הוספת תרופות, מכשור וטכנולוגיות רפואיות חדשות), התשפ""א-2020")</f>
        <v>23087</v>
      </c>
      <c r="E11981" t="s">
        <v>23087</v>
      </c>
      <c r="F11981" t="s">
        <v>23088</v>
      </c>
      <c r="G11981" t="s">
        <v>14</v>
      </c>
      <c r="H11981">
             </c>
      <c r="I11981" t="s">
        <v>14</v>
      </c>
      <c r="J11981" t="s">
        <v>141</v>
      </c>
      <c r="K11981" t="s">
        <v>14</v>
      </c>
      <c r="L11981" t="s">
        <v>20</v>
      </c>
      <c r="M11981" t="s">
        <v>23055</v>
      </c>
      <c r="N11981" t="s">
        <v>14</v>
      </c>
    </row>
    <row r="11982" x14ac:dyDescent="0.25">
      <c r="A11982" t="n">
        <v>23</v>
      </c>
      <c r="B11982" t="s">
        <v>14</v>
      </c>
      <c r="C11982" t="s">
        <v>22</v>
      </c>
      <c r="D11982" s="2" t="s">
        <f>=HYPERLINK("https://main.knesset.gov.il/APPS/legislation/main/bills/2148714", "הצעת חוק הנכים (תגמולים ושיקום) (תיקון - הגבלת משך זמן הטיפול בתביעה בשל הפרעה בתר חבלתית בעקבות אירוע לחימה), התשפ""א-2020")</f>
        <v>23089</v>
      </c>
      <c r="E11982" t="s">
        <v>23089</v>
      </c>
      <c r="F11982" t="s">
        <v>23090</v>
      </c>
      <c r="G11982" t="s">
        <v>14</v>
      </c>
      <c r="H11982">
             </c>
      <c r="I11982" t="s">
        <v>14</v>
      </c>
      <c r="J11982" t="s">
        <v>141</v>
      </c>
      <c r="K11982" t="s">
        <v>14</v>
      </c>
      <c r="L11982" t="s">
        <v>20</v>
      </c>
      <c r="M11982" t="s">
        <v>23055</v>
      </c>
      <c r="N11982" t="s">
        <v>14</v>
      </c>
    </row>
    <row r="11983" x14ac:dyDescent="0.25">
      <c r="A11983" t="n">
        <v>23</v>
      </c>
      <c r="B11983" t="s">
        <v>14</v>
      </c>
      <c r="C11983" t="s">
        <v>22</v>
      </c>
      <c r="D11983" s="2" t="s">
        <f>=HYPERLINK("https://main.knesset.gov.il/APPS/legislation/main/bills/2147696", "הצעת חוק הביטוח הלאומי (תיקון - קיצור תקופת אכשרה לחיילים משוחררים), התשפ""א-2020")</f>
        <v>23091</v>
      </c>
      <c r="E11983" t="s">
        <v>23091</v>
      </c>
      <c r="F11983" t="s">
        <v>23092</v>
      </c>
      <c r="G11983" t="s">
        <v>14</v>
      </c>
      <c r="H11983">
             </c>
      <c r="I11983" t="s">
        <v>14</v>
      </c>
      <c r="J11983" t="s">
        <v>141</v>
      </c>
      <c r="K11983" t="s">
        <v>14</v>
      </c>
      <c r="L11983" t="s">
        <v>20</v>
      </c>
      <c r="M11983" t="s">
        <v>23055</v>
      </c>
      <c r="N11983" t="s">
        <v>14</v>
      </c>
    </row>
    <row r="11984" x14ac:dyDescent="0.25">
      <c r="A11984" t="n">
        <v>23</v>
      </c>
      <c r="B11984" t="s">
        <v>14</v>
      </c>
      <c r="C11984" t="s">
        <v>22</v>
      </c>
      <c r="D11984" s="2" t="s">
        <f>=HYPERLINK("https://main.knesset.gov.il/APPS/legislation/main/bills/2144700", "הצעת חוק עוסק זעיר, התשפ""א-2020")</f>
        <v>23093</v>
      </c>
      <c r="E11984" t="s">
        <v>23093</v>
      </c>
      <c r="F11984" t="s">
        <v>23094</v>
      </c>
      <c r="G11984" t="s">
        <v>14</v>
      </c>
      <c r="H11984">
             </c>
      <c r="I11984" t="s">
        <v>14</v>
      </c>
      <c r="J11984" t="s">
        <v>141</v>
      </c>
      <c r="K11984" t="s">
        <v>14</v>
      </c>
      <c r="L11984" t="s">
        <v>20</v>
      </c>
      <c r="M11984" t="s">
        <v>23055</v>
      </c>
      <c r="N11984" t="s">
        <v>14</v>
      </c>
    </row>
    <row r="11985" x14ac:dyDescent="0.25">
      <c r="A11985" t="n">
        <v>23</v>
      </c>
      <c r="B11985" t="s">
        <v>14</v>
      </c>
      <c r="C11985" t="s">
        <v>22</v>
      </c>
      <c r="D11985" s="2" t="s">
        <f>=HYPERLINK("https://main.knesset.gov.il/APPS/legislation/main/bills/2147884", "הצעת חוק לתיקון פקודת הרוקחים (חיוב רישום רכיבי תמרוקים ומוצרי ניקיון), התשפ""א-2020")</f>
        <v>23095</v>
      </c>
      <c r="E11985" t="s">
        <v>23095</v>
      </c>
      <c r="F11985" t="s">
        <v>23096</v>
      </c>
      <c r="G11985" t="s">
        <v>14</v>
      </c>
      <c r="H11985">
             </c>
      <c r="I11985" t="s">
        <v>14</v>
      </c>
      <c r="J11985" t="s">
        <v>141</v>
      </c>
      <c r="K11985" t="s">
        <v>14</v>
      </c>
      <c r="L11985" t="s">
        <v>20</v>
      </c>
      <c r="M11985" t="s">
        <v>23055</v>
      </c>
      <c r="N11985" t="s">
        <v>14</v>
      </c>
    </row>
    <row r="11986" x14ac:dyDescent="0.25">
      <c r="A11986" t="n">
        <v>23</v>
      </c>
      <c r="B11986" t="s">
        <v>14</v>
      </c>
      <c r="C11986" t="s">
        <v>22</v>
      </c>
      <c r="D11986" s="2" t="s">
        <f>=HYPERLINK("https://main.knesset.gov.il/APPS/legislation/main/bills/2147823", "הצעת חוק הביטוח הלאומי (תיקון - דמי אבטלה לחיילים, מתנדבים ומשרתים בשירות לאומי-אזרחי), התשפ""א-2020")</f>
        <v>23097</v>
      </c>
      <c r="E11986" t="s">
        <v>23097</v>
      </c>
      <c r="F11986" t="s">
        <v>23098</v>
      </c>
      <c r="G11986" t="s">
        <v>14</v>
      </c>
      <c r="H11986">
             </c>
      <c r="I11986" t="s">
        <v>14</v>
      </c>
      <c r="J11986" t="s">
        <v>141</v>
      </c>
      <c r="K11986" t="s">
        <v>14</v>
      </c>
      <c r="L11986" t="s">
        <v>20</v>
      </c>
      <c r="M11986" t="s">
        <v>23055</v>
      </c>
      <c r="N11986" t="s">
        <v>14</v>
      </c>
    </row>
    <row r="11987" x14ac:dyDescent="0.25">
      <c r="A11987" t="n">
        <v>23</v>
      </c>
      <c r="B11987" t="s">
        <v>14</v>
      </c>
      <c r="C11987" t="s">
        <v>22</v>
      </c>
      <c r="D11987" s="2" t="s">
        <f>=HYPERLINK("https://main.knesset.gov.il/APPS/legislation/main/bills/2148455", "הצעת חוק הפחתת שכר חברי הכנסת (הוראת שעה), התשפ""א-2020")</f>
        <v>23099</v>
      </c>
      <c r="E11987" t="s">
        <v>23099</v>
      </c>
      <c r="F11987" t="s">
        <v>23100</v>
      </c>
      <c r="G11987" t="s">
        <v>14</v>
      </c>
      <c r="H11987">
             </c>
      <c r="I11987" t="s">
        <v>14</v>
      </c>
      <c r="J11987" t="s">
        <v>141</v>
      </c>
      <c r="K11987" t="s">
        <v>14</v>
      </c>
      <c r="L11987" t="s">
        <v>20</v>
      </c>
      <c r="M11987" t="s">
        <v>23055</v>
      </c>
      <c r="N11987" t="s">
        <v>14</v>
      </c>
    </row>
    <row r="11988" x14ac:dyDescent="0.25">
      <c r="A11988" t="n">
        <v>23</v>
      </c>
      <c r="B11988" t="s">
        <v>14</v>
      </c>
      <c r="C11988" t="s">
        <v>22</v>
      </c>
      <c r="D11988" s="2" t="s">
        <f>=HYPERLINK("https://main.knesset.gov.il/APPS/legislation/main/bills/2143209", "הצעת חוק לתיקון פקודת התעבורה (איסור עישון ברכב בקרבת קטין שטרם מלאו לו 16 שנים), התשפ""א-2020")</f>
        <v>23101</v>
      </c>
      <c r="E11988" t="s">
        <v>23101</v>
      </c>
      <c r="F11988" t="s">
        <v>23102</v>
      </c>
      <c r="G11988" t="s">
        <v>14</v>
      </c>
      <c r="H11988">
             </c>
      <c r="I11988" t="s">
        <v>14</v>
      </c>
      <c r="J11988" t="s">
        <v>141</v>
      </c>
      <c r="K11988" t="s">
        <v>14</v>
      </c>
      <c r="L11988" t="s">
        <v>20</v>
      </c>
      <c r="M11988" t="s">
        <v>23055</v>
      </c>
      <c r="N11988" t="s">
        <v>14</v>
      </c>
    </row>
    <row r="11989" x14ac:dyDescent="0.25">
      <c r="A11989" t="n">
        <v>23</v>
      </c>
      <c r="B11989" t="s">
        <v>14</v>
      </c>
      <c r="C11989" t="s">
        <v>22</v>
      </c>
      <c r="D11989" s="2" t="s">
        <f>=HYPERLINK("https://main.knesset.gov.il/APPS/legislation/main/bills/2148073", "הצעת חוק איסור שימוש בסוסים לשם פיזור התקהלויות, התשפ""א-2020")</f>
        <v>23103</v>
      </c>
      <c r="E11989" t="s">
        <v>23103</v>
      </c>
      <c r="F11989" t="s">
        <v>23104</v>
      </c>
      <c r="G11989" t="s">
        <v>14</v>
      </c>
      <c r="H11989">
             </c>
      <c r="I11989" t="s">
        <v>14</v>
      </c>
      <c r="J11989" t="s">
        <v>141</v>
      </c>
      <c r="K11989" t="s">
        <v>14</v>
      </c>
      <c r="L11989" t="s">
        <v>20</v>
      </c>
      <c r="M11989" t="s">
        <v>23055</v>
      </c>
      <c r="N11989" t="s">
        <v>14</v>
      </c>
    </row>
    <row r="11990" x14ac:dyDescent="0.25">
      <c r="A11990" t="n">
        <v>23</v>
      </c>
      <c r="B11990" t="s">
        <v>14</v>
      </c>
      <c r="C11990" t="s">
        <v>22</v>
      </c>
      <c r="D11990" s="2" t="s">
        <f>=HYPERLINK("https://main.knesset.gov.il/APPS/legislation/main/bills/2147102", "הצעת חוק החזרתם של תושבי גאבסיה, איקרית ובירעם לכפריהם, התשפ""א-2020")</f>
        <v>23105</v>
      </c>
      <c r="E11990" t="s">
        <v>23105</v>
      </c>
      <c r="F11990" t="s">
        <v>23106</v>
      </c>
      <c r="G11990" t="s">
        <v>14</v>
      </c>
      <c r="H11990">
             </c>
      <c r="I11990" t="s">
        <v>14</v>
      </c>
      <c r="J11990" t="s">
        <v>141</v>
      </c>
      <c r="K11990" t="s">
        <v>14</v>
      </c>
      <c r="L11990" t="s">
        <v>20</v>
      </c>
      <c r="M11990" t="s">
        <v>23055</v>
      </c>
      <c r="N11990" t="s">
        <v>14</v>
      </c>
    </row>
    <row r="11991" x14ac:dyDescent="0.25">
      <c r="A11991" t="n">
        <v>23</v>
      </c>
      <c r="B11991" t="s">
        <v>14</v>
      </c>
      <c r="C11991" t="s">
        <v>22</v>
      </c>
      <c r="D11991" s="2" t="s">
        <f>=HYPERLINK("https://main.knesset.gov.il/APPS/legislation/main/bills/2146451", "הצעת חוק ליישוב תחת איום מיידי (הוראת שעה), התשפ""א-2020")</f>
        <v>23107</v>
      </c>
      <c r="E11991" t="s">
        <v>23107</v>
      </c>
      <c r="F11991" t="s">
        <v>23108</v>
      </c>
      <c r="G11991" t="s">
        <v>14</v>
      </c>
      <c r="H11991">
             </c>
      <c r="I11991" t="s">
        <v>14</v>
      </c>
      <c r="J11991" t="s">
        <v>141</v>
      </c>
      <c r="K11991" t="s">
        <v>14</v>
      </c>
      <c r="L11991" t="s">
        <v>20</v>
      </c>
      <c r="M11991" t="s">
        <v>23055</v>
      </c>
      <c r="N11991" t="s">
        <v>14</v>
      </c>
    </row>
    <row r="11992" x14ac:dyDescent="0.25">
      <c r="A11992" t="n">
        <v>23</v>
      </c>
      <c r="B11992" t="s">
        <v>14</v>
      </c>
      <c r="C11992" t="s">
        <v>22</v>
      </c>
      <c r="D11992" s="2" t="s">
        <f>=HYPERLINK("https://main.knesset.gov.il/APPS/legislation/main/bills/2144216", "הצעת חוק מס ערך מוסף (תיקון - שיעור מס מופחת על מוצרי מזון בסיסיים), התשפ""א-2020")</f>
        <v>23109</v>
      </c>
      <c r="E11992" t="s">
        <v>23109</v>
      </c>
      <c r="F11992" t="s">
        <v>23110</v>
      </c>
      <c r="G11992" t="s">
        <v>14</v>
      </c>
      <c r="H11992">
             </c>
      <c r="I11992" t="s">
        <v>14</v>
      </c>
      <c r="J11992" t="s">
        <v>141</v>
      </c>
      <c r="K11992" t="s">
        <v>14</v>
      </c>
      <c r="L11992" t="s">
        <v>20</v>
      </c>
      <c r="M11992" t="s">
        <v>23055</v>
      </c>
      <c r="N11992" t="s">
        <v>14</v>
      </c>
    </row>
    <row r="11993" x14ac:dyDescent="0.25">
      <c r="A11993" t="n">
        <v>23</v>
      </c>
      <c r="B11993" t="s">
        <v>14</v>
      </c>
      <c r="C11993" t="s">
        <v>22</v>
      </c>
      <c r="D11993" s="2" t="s">
        <f>=HYPERLINK("https://main.knesset.gov.il/APPS/legislation/main/bills/2147129", "הצעת חוק מס קניה (טובין ושירותים) (תיקון - הפחתת מס על רכב), התשפ""א-2020")</f>
        <v>23111</v>
      </c>
      <c r="E11993" t="s">
        <v>23111</v>
      </c>
      <c r="F11993" t="s">
        <v>23112</v>
      </c>
      <c r="G11993" t="s">
        <v>14</v>
      </c>
      <c r="H11993">
             </c>
      <c r="I11993" t="s">
        <v>14</v>
      </c>
      <c r="J11993" t="s">
        <v>141</v>
      </c>
      <c r="K11993" t="s">
        <v>14</v>
      </c>
      <c r="L11993" t="s">
        <v>20</v>
      </c>
      <c r="M11993" t="s">
        <v>23055</v>
      </c>
      <c r="N11993" t="s">
        <v>14</v>
      </c>
    </row>
    <row r="11994" x14ac:dyDescent="0.25">
      <c r="A11994" t="n">
        <v>23</v>
      </c>
      <c r="B11994" t="s">
        <v>14</v>
      </c>
      <c r="C11994" t="s">
        <v>22</v>
      </c>
      <c r="D11994" s="2" t="s">
        <f>=HYPERLINK("https://main.knesset.gov.il/APPS/legislation/main/bills/2147127", "הצעת חוק קביעת אזורי עדיפות, התשפ""א-2020")</f>
        <v>23113</v>
      </c>
      <c r="E11994" t="s">
        <v>23113</v>
      </c>
      <c r="F11994" t="s">
        <v>23114</v>
      </c>
      <c r="G11994" t="s">
        <v>14</v>
      </c>
      <c r="H11994">
             </c>
      <c r="I11994" t="s">
        <v>14</v>
      </c>
      <c r="J11994" t="s">
        <v>141</v>
      </c>
      <c r="K11994" t="s">
        <v>14</v>
      </c>
      <c r="L11994" t="s">
        <v>20</v>
      </c>
      <c r="M11994" t="s">
        <v>23055</v>
      </c>
      <c r="N11994" t="s">
        <v>14</v>
      </c>
    </row>
    <row r="11995" x14ac:dyDescent="0.25">
      <c r="A11995" t="n">
        <v>23</v>
      </c>
      <c r="B11995" t="s">
        <v>14</v>
      </c>
      <c r="C11995" t="s">
        <v>22</v>
      </c>
      <c r="D11995" s="2" t="s">
        <f>=HYPERLINK("https://main.knesset.gov.il/APPS/legislation/main/bills/2140985", "הצעת חוק לתיקון פקודת מס הכנסה (משיכה מקרן השתלמות) (הוראת שעה), התשפ""א-2020")</f>
        <v>23115</v>
      </c>
      <c r="E11995" t="s">
        <v>23115</v>
      </c>
      <c r="F11995" t="s">
        <v>23116</v>
      </c>
      <c r="G11995" t="s">
        <v>14</v>
      </c>
      <c r="H11995">
             </c>
      <c r="I11995" t="s">
        <v>14</v>
      </c>
      <c r="J11995" t="s">
        <v>141</v>
      </c>
      <c r="K11995" t="s">
        <v>14</v>
      </c>
      <c r="L11995" t="s">
        <v>20</v>
      </c>
      <c r="M11995" t="s">
        <v>23055</v>
      </c>
      <c r="N11995" t="s">
        <v>14</v>
      </c>
    </row>
    <row r="11996" x14ac:dyDescent="0.25">
      <c r="A11996" t="n">
        <v>23</v>
      </c>
      <c r="B11996" t="s">
        <v>14</v>
      </c>
      <c r="C11996" t="s">
        <v>22</v>
      </c>
      <c r="D11996" s="2" t="s">
        <f>=HYPERLINK("https://main.knesset.gov.il/APPS/legislation/main/bills/2144481", "הצעת חוק לתיקון פקודת מס הכנסה (הכרה בהוצאות עבודה מהבית בתקופת התפשטות נגיף הקורונה החדש) (הוראת שעה), התשפ""א-2020")</f>
        <v>23117</v>
      </c>
      <c r="E11996" t="s">
        <v>23117</v>
      </c>
      <c r="F11996" t="s">
        <v>23118</v>
      </c>
      <c r="G11996" t="s">
        <v>14</v>
      </c>
      <c r="H11996">
             </c>
      <c r="I11996" t="s">
        <v>14</v>
      </c>
      <c r="J11996" t="s">
        <v>141</v>
      </c>
      <c r="K11996" t="s">
        <v>14</v>
      </c>
      <c r="L11996" t="s">
        <v>20</v>
      </c>
      <c r="M11996" t="s">
        <v>23055</v>
      </c>
      <c r="N11996" t="s">
        <v>14</v>
      </c>
    </row>
    <row r="11997" x14ac:dyDescent="0.25">
      <c r="A11997" t="n">
        <v>23</v>
      </c>
      <c r="B11997" t="s">
        <v>14</v>
      </c>
      <c r="C11997" t="s">
        <v>22</v>
      </c>
      <c r="D11997" s="2" t="s">
        <f>=HYPERLINK("https://main.knesset.gov.il/APPS/legislation/main/bills/2141526", "הצעת חוק המועצה לענף הלול (ייצור ושיווק) (תיקון - תוספת מכסה אישית לגדל בלול בלא כלובים), התשפ""א-2020")</f>
        <v>23119</v>
      </c>
      <c r="E11997" t="s">
        <v>23119</v>
      </c>
      <c r="F11997" t="s">
        <v>23120</v>
      </c>
      <c r="G11997" t="s">
        <v>14</v>
      </c>
      <c r="H11997">
             </c>
      <c r="I11997" t="s">
        <v>14</v>
      </c>
      <c r="J11997" t="s">
        <v>141</v>
      </c>
      <c r="K11997" t="s">
        <v>14</v>
      </c>
      <c r="L11997" t="s">
        <v>20</v>
      </c>
      <c r="M11997" t="s">
        <v>23055</v>
      </c>
      <c r="N11997" t="s">
        <v>14</v>
      </c>
    </row>
    <row r="11998" x14ac:dyDescent="0.25">
      <c r="A11998" t="n">
        <v>23</v>
      </c>
      <c r="B11998" t="s">
        <v>14</v>
      </c>
      <c r="C11998" t="s">
        <v>22</v>
      </c>
      <c r="D11998" s="2" t="s">
        <f>=HYPERLINK("https://main.knesset.gov.il/APPS/legislation/main/bills/2147173", "הצעת חוק הפעלת שירות רכבות בשבת ובמועדי ישראל, התשפ""א-2020")</f>
        <v>23121</v>
      </c>
      <c r="E11998" t="s">
        <v>23121</v>
      </c>
      <c r="F11998" t="s">
        <v>23122</v>
      </c>
      <c r="G11998" t="s">
        <v>14</v>
      </c>
      <c r="H11998">
             </c>
      <c r="I11998" t="s">
        <v>14</v>
      </c>
      <c r="J11998" t="s">
        <v>141</v>
      </c>
      <c r="K11998" t="s">
        <v>14</v>
      </c>
      <c r="L11998" t="s">
        <v>20</v>
      </c>
      <c r="M11998" t="s">
        <v>23055</v>
      </c>
      <c r="N11998" t="s">
        <v>14</v>
      </c>
    </row>
    <row r="11999" x14ac:dyDescent="0.25">
      <c r="A11999" t="n">
        <v>23</v>
      </c>
      <c r="B11999" t="s">
        <v>14</v>
      </c>
      <c r="C11999" t="s">
        <v>22</v>
      </c>
      <c r="D11999" s="2" t="s">
        <f>=HYPERLINK("https://main.knesset.gov.il/APPS/legislation/main/bills/2147827", "הצעת חוק להגברת התחרות ולצמצום הריכוזיות בשוק הבנקאות בישראל (תיקוני חקיקה) (תיקון - מניעת מצוקת אשראי של משקי הבית והשכבות המוחלשות בשל נגיף הקורונה החדש), התשפ""א-2020")</f>
        <v>23123</v>
      </c>
      <c r="E11999" t="s">
        <v>23123</v>
      </c>
      <c r="F11999" t="s">
        <v>23124</v>
      </c>
      <c r="G11999" t="s">
        <v>14</v>
      </c>
      <c r="H11999">
             </c>
      <c r="I11999" t="s">
        <v>14</v>
      </c>
      <c r="J11999" t="s">
        <v>141</v>
      </c>
      <c r="K11999" t="s">
        <v>14</v>
      </c>
      <c r="L11999" t="s">
        <v>20</v>
      </c>
      <c r="M11999" t="s">
        <v>23055</v>
      </c>
      <c r="N11999" t="s">
        <v>14</v>
      </c>
    </row>
    <row r="12000" x14ac:dyDescent="0.25">
      <c r="A12000" t="n">
        <v>23</v>
      </c>
      <c r="B12000" t="s">
        <v>14</v>
      </c>
      <c r="C12000" t="s">
        <v>22</v>
      </c>
      <c r="D12000" s="2" t="s">
        <f>=HYPERLINK("https://main.knesset.gov.il/APPS/legislation/main/bills/2142494", "הצעת חוק לתיקון פקודת התעבורה (הבחינה העיונית לשם מתן רישיון נהיגה), התשפ""א-2020")</f>
        <v>23125</v>
      </c>
      <c r="E12000" t="s">
        <v>23125</v>
      </c>
      <c r="F12000" t="s">
        <v>23126</v>
      </c>
      <c r="G12000" t="s">
        <v>14</v>
      </c>
      <c r="H12000">
             </c>
      <c r="I12000" t="s">
        <v>14</v>
      </c>
      <c r="J12000" t="s">
        <v>141</v>
      </c>
      <c r="K12000" t="s">
        <v>14</v>
      </c>
      <c r="L12000" t="s">
        <v>20</v>
      </c>
      <c r="M12000" t="s">
        <v>23055</v>
      </c>
      <c r="N12000" t="s">
        <v>14</v>
      </c>
    </row>
    <row r="12001" x14ac:dyDescent="0.25">
      <c r="A12001" t="n">
        <v>23</v>
      </c>
      <c r="B12001" t="s">
        <v>14</v>
      </c>
      <c r="C12001" t="s">
        <v>22</v>
      </c>
      <c r="D12001" s="2" t="s">
        <f>=HYPERLINK("https://main.knesset.gov.il/APPS/legislation/main/bills/2146239", "הצעת חוק רישוי עסקים (תיקון - שינוי מדיניות הביטוח במכוני כושר), התשפ""א-2020")</f>
        <v>23127</v>
      </c>
      <c r="E12001" t="s">
        <v>23127</v>
      </c>
      <c r="F12001" t="s">
        <v>23128</v>
      </c>
      <c r="G12001" t="s">
        <v>14</v>
      </c>
      <c r="H12001">
             </c>
      <c r="I12001" t="s">
        <v>14</v>
      </c>
      <c r="J12001" t="s">
        <v>141</v>
      </c>
      <c r="K12001" t="s">
        <v>14</v>
      </c>
      <c r="L12001" t="s">
        <v>20</v>
      </c>
      <c r="M12001" t="s">
        <v>23055</v>
      </c>
      <c r="N12001" t="s">
        <v>14</v>
      </c>
    </row>
    <row r="12002" x14ac:dyDescent="0.25">
      <c r="A12002" t="n">
        <v>23</v>
      </c>
      <c r="B12002" t="s">
        <v>14</v>
      </c>
      <c r="C12002" t="s">
        <v>22</v>
      </c>
      <c r="D12002" s="2" t="s">
        <f>=HYPERLINK("https://main.knesset.gov.il/APPS/legislation/main/bills/2148302", "הצעת חוק זכויות הסטודנט (תיקון - סיוע כלכלי בשעת חירום), התשפ""א-2020")</f>
        <v>23129</v>
      </c>
      <c r="E12002" t="s">
        <v>23129</v>
      </c>
      <c r="F12002" t="s">
        <v>23130</v>
      </c>
      <c r="G12002" t="s">
        <v>14</v>
      </c>
      <c r="H12002">
             </c>
      <c r="I12002" t="s">
        <v>14</v>
      </c>
      <c r="J12002" t="s">
        <v>141</v>
      </c>
      <c r="K12002" t="s">
        <v>14</v>
      </c>
      <c r="L12002" t="s">
        <v>20</v>
      </c>
      <c r="M12002" t="s">
        <v>23055</v>
      </c>
      <c r="N12002" t="s">
        <v>14</v>
      </c>
    </row>
    <row r="12003" x14ac:dyDescent="0.25">
      <c r="A12003" t="n">
        <v>23</v>
      </c>
      <c r="B12003" t="s">
        <v>14</v>
      </c>
      <c r="C12003" t="s">
        <v>22</v>
      </c>
      <c r="D12003" s="2" t="s">
        <f>=HYPERLINK("https://main.knesset.gov.il/APPS/legislation/main/bills/2146893", "חוק סמכויות מיוחדות להתמודדות עם נגיף הקורונה החדש (הוראת שעה) (תיקון מס' 3), התשפ""א-2020")</f>
        <v>23131</v>
      </c>
      <c r="E12003" t="s">
        <v>23131</v>
      </c>
      <c r="F12003" t="s">
        <v>23132</v>
      </c>
      <c r="G12003" t="s">
        <v>23133</v>
      </c>
      <c r="H12003" t="n">
        <v>2865</v>
      </c>
      <c r="I12003" t="s">
        <v>14</v>
      </c>
      <c r="J12003" t="s">
        <v>91</v>
      </c>
      <c r="K12003" t="s">
        <v>27</v>
      </c>
      <c r="L12003" t="s">
        <v>20</v>
      </c>
      <c r="M12003" t="s">
        <v>23134</v>
      </c>
      <c r="N12003" t="s">
        <v>23135</v>
      </c>
    </row>
    <row r="12004" x14ac:dyDescent="0.25">
      <c r="A12004" t="n">
        <v>23</v>
      </c>
      <c r="B12004" t="s">
        <v>14</v>
      </c>
      <c r="C12004" t="s">
        <v>22</v>
      </c>
      <c r="D12004" s="2" t="s">
        <f>=HYPERLINK("https://main.knesset.gov.il/APPS/legislation/main/bills/2085870", "חוק לתיקון פקודת הכלבת (מס' 6), התשפ""א-2020")</f>
        <v>23136</v>
      </c>
      <c r="E12004" t="s">
        <v>23136</v>
      </c>
      <c r="F12004" t="s">
        <v>23137</v>
      </c>
      <c r="G12004" t="s">
        <v>23138</v>
      </c>
      <c r="H12004" t="n">
        <v>2866</v>
      </c>
      <c r="I12004" t="s">
        <v>14</v>
      </c>
      <c r="J12004" t="s">
        <v>91</v>
      </c>
      <c r="K12004" t="s">
        <v>19</v>
      </c>
      <c r="L12004" t="s">
        <v>20</v>
      </c>
      <c r="M12004" t="s">
        <v>23134</v>
      </c>
      <c r="N12004" t="s">
        <v>23139</v>
      </c>
    </row>
    <row r="12005" x14ac:dyDescent="0.25">
      <c r="A12005" t="n">
        <v>23</v>
      </c>
      <c r="B12005" t="s">
        <v>14</v>
      </c>
      <c r="C12005" t="s">
        <v>22</v>
      </c>
      <c r="D12005" s="2" t="s">
        <f>=HYPERLINK("https://main.knesset.gov.il/APPS/legislation/main/bills/2088400", "הצעת חוק הביטוח הלאומי (תיקון - העלאת קצבת אזרח ותיק), התש""ף-2020")</f>
        <v>23140</v>
      </c>
      <c r="E12005" t="s">
        <v>23140</v>
      </c>
      <c r="F12005" t="s">
        <v>23141</v>
      </c>
      <c r="G12005" t="s">
        <v>14</v>
      </c>
      <c r="H12005">
             </c>
      <c r="I12005" t="s">
        <v>14</v>
      </c>
      <c r="J12005" t="s">
        <v>65</v>
      </c>
      <c r="K12005" t="s">
        <v>14</v>
      </c>
      <c r="L12005" t="s">
        <v>20</v>
      </c>
      <c r="M12005" t="s">
        <v>23134</v>
      </c>
      <c r="N12005" t="s">
        <v>14</v>
      </c>
    </row>
    <row r="12006" x14ac:dyDescent="0.25">
      <c r="A12006" t="n">
        <v>23</v>
      </c>
      <c r="B12006" t="s">
        <v>14</v>
      </c>
      <c r="C12006" t="s">
        <v>22</v>
      </c>
      <c r="D12006" s="2" t="s">
        <f>=HYPERLINK("https://main.knesset.gov.il/APPS/legislation/main/bills/2087484", "הצעת חוק הביטוח הלאומי (תיקון - השוואת קצבת אזרח ותיק לשכר המינימום), התש""ף-2020")</f>
        <v>23142</v>
      </c>
      <c r="E12006" t="s">
        <v>23142</v>
      </c>
      <c r="F12006" t="s">
        <v>23143</v>
      </c>
      <c r="G12006" t="s">
        <v>14</v>
      </c>
      <c r="H12006">
             </c>
      <c r="I12006" t="s">
        <v>14</v>
      </c>
      <c r="J12006" t="s">
        <v>65</v>
      </c>
      <c r="K12006" t="s">
        <v>14</v>
      </c>
      <c r="L12006" t="s">
        <v>20</v>
      </c>
      <c r="M12006" t="s">
        <v>23134</v>
      </c>
      <c r="N12006" t="s">
        <v>14</v>
      </c>
    </row>
    <row r="12007" x14ac:dyDescent="0.25">
      <c r="A12007" t="n">
        <v>23</v>
      </c>
      <c r="B12007" t="s">
        <v>14</v>
      </c>
      <c r="C12007" t="s">
        <v>22</v>
      </c>
      <c r="D12007" s="2" t="s">
        <f>=HYPERLINK("https://main.knesset.gov.il/APPS/legislation/main/bills/2087131", "הצעת חוק הביטוח הלאומי (תיקון - השוואת קצבת אזרח ותיק לשכר המינימום), התש""ף-2020")</f>
        <v>23142</v>
      </c>
      <c r="E12007" t="s">
        <v>23142</v>
      </c>
      <c r="F12007" t="s">
        <v>23144</v>
      </c>
      <c r="G12007" t="s">
        <v>14</v>
      </c>
      <c r="H12007">
             </c>
      <c r="I12007" t="s">
        <v>14</v>
      </c>
      <c r="J12007" t="s">
        <v>65</v>
      </c>
      <c r="K12007" t="s">
        <v>14</v>
      </c>
      <c r="L12007" t="s">
        <v>20</v>
      </c>
      <c r="M12007" t="s">
        <v>23134</v>
      </c>
      <c r="N12007" t="s">
        <v>14</v>
      </c>
    </row>
    <row r="12008" x14ac:dyDescent="0.25">
      <c r="A12008" t="n">
        <v>23</v>
      </c>
      <c r="B12008" t="s">
        <v>14</v>
      </c>
      <c r="C12008" t="s">
        <v>22</v>
      </c>
      <c r="D12008" s="2" t="s">
        <f>=HYPERLINK("https://main.knesset.gov.il/APPS/legislation/main/bills/2086302", "הצעת חוק התכנון והבנייה (תיקון - ייצוג הולם לאוכלוסייה הערבית במוסדות התכנון), התש""ף-2020")</f>
        <v>23145</v>
      </c>
      <c r="E12008" t="s">
        <v>23145</v>
      </c>
      <c r="F12008" t="s">
        <v>23146</v>
      </c>
      <c r="G12008" t="s">
        <v>14</v>
      </c>
      <c r="H12008">
             </c>
      <c r="I12008" t="s">
        <v>14</v>
      </c>
      <c r="J12008" t="s">
        <v>55</v>
      </c>
      <c r="K12008" t="s">
        <v>14</v>
      </c>
      <c r="L12008" t="s">
        <v>20</v>
      </c>
      <c r="M12008" t="s">
        <v>23134</v>
      </c>
      <c r="N12008" t="s">
        <v>14</v>
      </c>
    </row>
    <row r="12009" x14ac:dyDescent="0.25">
      <c r="A12009" t="n">
        <v>23</v>
      </c>
      <c r="B12009" t="s">
        <v>14</v>
      </c>
      <c r="C12009" t="s">
        <v>22</v>
      </c>
      <c r="D12009" s="2" t="s">
        <f>=HYPERLINK("https://main.knesset.gov.il/APPS/legislation/main/bills/2086970", "הצעת חוק מרשם האוכלוסין (תיקון - רישום חסר דת), התש""ף-2020")</f>
        <v>23147</v>
      </c>
      <c r="E12009" t="s">
        <v>23147</v>
      </c>
      <c r="F12009" t="s">
        <v>23148</v>
      </c>
      <c r="G12009" t="s">
        <v>14</v>
      </c>
      <c r="H12009">
             </c>
      <c r="I12009" t="s">
        <v>14</v>
      </c>
      <c r="J12009" t="s">
        <v>55</v>
      </c>
      <c r="K12009" t="s">
        <v>14</v>
      </c>
      <c r="L12009" t="s">
        <v>20</v>
      </c>
      <c r="M12009" t="s">
        <v>23134</v>
      </c>
      <c r="N12009" t="s">
        <v>14</v>
      </c>
    </row>
    <row r="12010" x14ac:dyDescent="0.25">
      <c r="A12010" t="n">
        <v>23</v>
      </c>
      <c r="B12010" t="s">
        <v>14</v>
      </c>
      <c r="C12010" t="s">
        <v>22</v>
      </c>
      <c r="D12010" s="2" t="s">
        <f>=HYPERLINK("https://main.knesset.gov.il/APPS/legislation/main/bills/2085602", "הצעת חוק התכנון והבנייה (הוראות מיוחדות לעניין יישובי מיעוטים) (הוראת שעה), התש""ף-2020")</f>
        <v>23149</v>
      </c>
      <c r="E12010" t="s">
        <v>23149</v>
      </c>
      <c r="F12010" t="s">
        <v>23150</v>
      </c>
      <c r="G12010" t="s">
        <v>14</v>
      </c>
      <c r="H12010">
             </c>
      <c r="I12010" t="s">
        <v>14</v>
      </c>
      <c r="J12010" t="s">
        <v>55</v>
      </c>
      <c r="K12010" t="s">
        <v>14</v>
      </c>
      <c r="L12010" t="s">
        <v>20</v>
      </c>
      <c r="M12010" t="s">
        <v>23134</v>
      </c>
      <c r="N12010" t="s">
        <v>14</v>
      </c>
    </row>
    <row r="12011" x14ac:dyDescent="0.25">
      <c r="A12011" t="n">
        <v>23</v>
      </c>
      <c r="B12011" t="s">
        <v>14</v>
      </c>
      <c r="C12011" t="s">
        <v>20</v>
      </c>
      <c r="D12011" s="2" t="s">
        <f>=HYPERLINK("https://main.knesset.gov.il/APPS/legislation/main/bills/2147919", "חוק יד יצחק בן-צבי (תיקון מס' 3), התשפ""א–2020 ")</f>
        <v>23151</v>
      </c>
      <c r="E12011" t="s">
        <v>23151</v>
      </c>
      <c r="F12011" t="s">
        <v>14</v>
      </c>
      <c r="G12011" t="s">
        <v>23152</v>
      </c>
      <c r="H12011" t="n">
        <v>2864</v>
      </c>
      <c r="I12011" t="s">
        <v>14</v>
      </c>
      <c r="J12011" t="s">
        <v>91</v>
      </c>
      <c r="K12011" t="s">
        <v>121</v>
      </c>
      <c r="L12011" t="s">
        <v>20</v>
      </c>
      <c r="M12011" t="s">
        <v>23153</v>
      </c>
      <c r="N12011" t="s">
        <v>23154</v>
      </c>
    </row>
    <row r="12012" x14ac:dyDescent="0.25">
      <c r="A12012" t="n">
        <v>23</v>
      </c>
      <c r="B12012" t="s">
        <v>14</v>
      </c>
      <c r="C12012" t="s">
        <v>22</v>
      </c>
      <c r="D12012" s="2" t="s">
        <f>=HYPERLINK("https://main.knesset.gov.il/APPS/legislation/main/bills/2146957", "הצעת חוק-יסוד: ההגירה לישראל")</f>
        <v>2252</v>
      </c>
      <c r="E12012" t="s">
        <v>2252</v>
      </c>
      <c r="F12012" t="s">
        <v>23155</v>
      </c>
      <c r="G12012" t="s">
        <v>14</v>
      </c>
      <c r="H12012">
             </c>
      <c r="I12012" t="s">
        <v>14</v>
      </c>
      <c r="J12012" t="s">
        <v>141</v>
      </c>
      <c r="K12012" t="s">
        <v>14</v>
      </c>
      <c r="L12012" t="s">
        <v>20</v>
      </c>
      <c r="M12012" t="s">
        <v>23153</v>
      </c>
      <c r="N12012" t="s">
        <v>14</v>
      </c>
    </row>
    <row r="12013" x14ac:dyDescent="0.25">
      <c r="A12013" t="n">
        <v>23</v>
      </c>
      <c r="B12013" t="s">
        <v>14</v>
      </c>
      <c r="C12013" t="s">
        <v>22</v>
      </c>
      <c r="D12013" s="2" t="s">
        <f>=HYPERLINK("https://main.knesset.gov.il/APPS/legislation/main/bills/2148569", "הצעת חוק הבחירות לכנסת (תיקון - תיעוד חזותי או קולי בקלפיות), התשפ""א-2020")</f>
        <v>23156</v>
      </c>
      <c r="E12013" t="s">
        <v>23156</v>
      </c>
      <c r="F12013" t="s">
        <v>23157</v>
      </c>
      <c r="G12013" t="s">
        <v>14</v>
      </c>
      <c r="H12013">
             </c>
      <c r="I12013" t="s">
        <v>14</v>
      </c>
      <c r="J12013" t="s">
        <v>141</v>
      </c>
      <c r="K12013" t="s">
        <v>14</v>
      </c>
      <c r="L12013" t="s">
        <v>20</v>
      </c>
      <c r="M12013" t="s">
        <v>23153</v>
      </c>
      <c r="N12013" t="s">
        <v>14</v>
      </c>
    </row>
    <row r="12014" x14ac:dyDescent="0.25">
      <c r="A12014" t="n">
        <v>23</v>
      </c>
      <c r="B12014" t="s">
        <v>14</v>
      </c>
      <c r="C12014" t="s">
        <v>22</v>
      </c>
      <c r="D12014" s="2" t="s">
        <f>=HYPERLINK("https://main.knesset.gov.il/APPS/legislation/main/bills/2148564", "הצעת חוק הבחירות לכנסת (תיקון - תיעוד חזותי או קולי בקלפיות), תשפ""א-2020")</f>
        <v>23158</v>
      </c>
      <c r="E12014" t="s">
        <v>23158</v>
      </c>
      <c r="F12014" t="s">
        <v>23159</v>
      </c>
      <c r="G12014" t="s">
        <v>14</v>
      </c>
      <c r="H12014">
             </c>
      <c r="I12014" t="s">
        <v>14</v>
      </c>
      <c r="J12014" t="s">
        <v>141</v>
      </c>
      <c r="K12014" t="s">
        <v>14</v>
      </c>
      <c r="L12014" t="s">
        <v>20</v>
      </c>
      <c r="M12014" t="s">
        <v>23153</v>
      </c>
      <c r="N12014" t="s">
        <v>14</v>
      </c>
    </row>
    <row r="12015" x14ac:dyDescent="0.25">
      <c r="A12015" t="n">
        <v>23</v>
      </c>
      <c r="B12015" t="s">
        <v>14</v>
      </c>
      <c r="C12015" t="s">
        <v>22</v>
      </c>
      <c r="D12015" s="2" t="s">
        <f>=HYPERLINK("https://main.knesset.gov.il/APPS/legislation/main/bills/2146909", "הצעת חוק-יסוד: השפיטה (תיקון - מינוי שופטים לבית המשפט העליון וקציבת כהונתם)")</f>
        <v>11368</v>
      </c>
      <c r="E12015" t="s">
        <v>11368</v>
      </c>
      <c r="F12015" t="s">
        <v>23160</v>
      </c>
      <c r="G12015" t="s">
        <v>14</v>
      </c>
      <c r="H12015">
             </c>
      <c r="I12015" t="s">
        <v>14</v>
      </c>
      <c r="J12015" t="s">
        <v>141</v>
      </c>
      <c r="K12015" t="s">
        <v>14</v>
      </c>
      <c r="L12015" t="s">
        <v>20</v>
      </c>
      <c r="M12015" t="s">
        <v>23153</v>
      </c>
      <c r="N12015" t="s">
        <v>14</v>
      </c>
    </row>
    <row r="12016" x14ac:dyDescent="0.25">
      <c r="A12016" t="n">
        <v>23</v>
      </c>
      <c r="B12016" t="s">
        <v>14</v>
      </c>
      <c r="C12016" t="s">
        <v>22</v>
      </c>
      <c r="D12016" s="2" t="s">
        <f>=HYPERLINK("https://main.knesset.gov.il/APPS/legislation/main/bills/2147759", "הצעת חוק לסיוע משלים בעקבות התפשטות נגיף הקורונה החדש (תיקוני חקיקה), התשפ""א-2020")</f>
        <v>23161</v>
      </c>
      <c r="E12016" t="s">
        <v>23161</v>
      </c>
      <c r="F12016" t="s">
        <v>23162</v>
      </c>
      <c r="G12016" t="s">
        <v>14</v>
      </c>
      <c r="H12016">
             </c>
      <c r="I12016" t="s">
        <v>14</v>
      </c>
      <c r="J12016" t="s">
        <v>141</v>
      </c>
      <c r="K12016" t="s">
        <v>14</v>
      </c>
      <c r="L12016" t="s">
        <v>20</v>
      </c>
      <c r="M12016" t="s">
        <v>23153</v>
      </c>
      <c r="N12016" t="s">
        <v>14</v>
      </c>
    </row>
    <row r="12017" x14ac:dyDescent="0.25">
      <c r="A12017" t="n">
        <v>23</v>
      </c>
      <c r="B12017" t="s">
        <v>14</v>
      </c>
      <c r="C12017" t="s">
        <v>22</v>
      </c>
      <c r="D12017" s="2" t="s">
        <f>=HYPERLINK("https://main.knesset.gov.il/APPS/legislation/main/bills/2143450", "הצעת חוק שחרור על תנאי ממאסר (תיקון - שחרור אסיר הנושא מאסר בשל עבירת אלימות חמורה הנשקפת ממנו מסוכנות גבוהה), התשפ""א-2020")</f>
        <v>23163</v>
      </c>
      <c r="E12017" t="s">
        <v>23163</v>
      </c>
      <c r="F12017" t="s">
        <v>23164</v>
      </c>
      <c r="G12017" t="s">
        <v>14</v>
      </c>
      <c r="H12017">
             </c>
      <c r="I12017" t="s">
        <v>14</v>
      </c>
      <c r="J12017" t="s">
        <v>141</v>
      </c>
      <c r="K12017" t="s">
        <v>14</v>
      </c>
      <c r="L12017" t="s">
        <v>20</v>
      </c>
      <c r="M12017" t="s">
        <v>23153</v>
      </c>
      <c r="N12017" t="s">
        <v>14</v>
      </c>
    </row>
    <row r="12018" x14ac:dyDescent="0.25">
      <c r="A12018" t="n">
        <v>23</v>
      </c>
      <c r="B12018" t="s">
        <v>14</v>
      </c>
      <c r="C12018" t="s">
        <v>22</v>
      </c>
      <c r="D12018" s="2" t="s">
        <f>=HYPERLINK("https://main.knesset.gov.il/APPS/legislation/main/bills/2143448", "הצעת חוק-יסוד: משאל עם (תיקון - החלת ריבונות)")</f>
        <v>23165</v>
      </c>
      <c r="E12018" t="s">
        <v>23165</v>
      </c>
      <c r="F12018" t="s">
        <v>23166</v>
      </c>
      <c r="G12018" t="s">
        <v>14</v>
      </c>
      <c r="H12018">
             </c>
      <c r="I12018" t="s">
        <v>14</v>
      </c>
      <c r="J12018" t="s">
        <v>141</v>
      </c>
      <c r="K12018" t="s">
        <v>14</v>
      </c>
      <c r="L12018" t="s">
        <v>20</v>
      </c>
      <c r="M12018" t="s">
        <v>23153</v>
      </c>
      <c r="N12018" t="s">
        <v>14</v>
      </c>
    </row>
    <row r="12019" x14ac:dyDescent="0.25">
      <c r="A12019" t="n">
        <v>23</v>
      </c>
      <c r="B12019" t="s">
        <v>14</v>
      </c>
      <c r="C12019" t="s">
        <v>22</v>
      </c>
      <c r="D12019" s="2" t="s">
        <f>=HYPERLINK("https://main.knesset.gov.il/APPS/legislation/main/bills/2148249", "הצעת חוק הרבנות הראשית לישראל (תיקון - הרחבת האסיפה הבוחרת), התשפ""א-2020")</f>
        <v>23167</v>
      </c>
      <c r="E12019" t="s">
        <v>23167</v>
      </c>
      <c r="F12019" t="s">
        <v>23168</v>
      </c>
      <c r="G12019" t="s">
        <v>14</v>
      </c>
      <c r="H12019">
             </c>
      <c r="I12019" t="s">
        <v>14</v>
      </c>
      <c r="J12019" t="s">
        <v>141</v>
      </c>
      <c r="K12019" t="s">
        <v>14</v>
      </c>
      <c r="L12019" t="s">
        <v>20</v>
      </c>
      <c r="M12019" t="s">
        <v>23153</v>
      </c>
      <c r="N12019" t="s">
        <v>14</v>
      </c>
    </row>
    <row r="12020" x14ac:dyDescent="0.25">
      <c r="A12020" t="n">
        <v>23</v>
      </c>
      <c r="B12020" t="s">
        <v>14</v>
      </c>
      <c r="C12020" t="s">
        <v>22</v>
      </c>
      <c r="D12020" s="2" t="s">
        <f>=HYPERLINK("https://main.knesset.gov.il/APPS/legislation/main/bills/2148210", "הצעת חוק התפזרות הכנסת העשרים ושלוש, התשפ""א-2020")</f>
        <v>22513</v>
      </c>
      <c r="E12020" t="s">
        <v>22513</v>
      </c>
      <c r="F12020" t="s">
        <v>23169</v>
      </c>
      <c r="G12020" t="s">
        <v>14</v>
      </c>
      <c r="H12020">
             </c>
      <c r="I12020" t="s">
        <v>14</v>
      </c>
      <c r="J12020" t="s">
        <v>141</v>
      </c>
      <c r="K12020" t="s">
        <v>14</v>
      </c>
      <c r="L12020" t="s">
        <v>20</v>
      </c>
      <c r="M12020" t="s">
        <v>23153</v>
      </c>
      <c r="N12020" t="s">
        <v>14</v>
      </c>
    </row>
    <row r="12021" x14ac:dyDescent="0.25">
      <c r="A12021" t="n">
        <v>23</v>
      </c>
      <c r="B12021" t="s">
        <v>14</v>
      </c>
      <c r="C12021" t="s">
        <v>22</v>
      </c>
      <c r="D12021" s="2" t="s">
        <f>=HYPERLINK("https://main.knesset.gov.il/APPS/legislation/main/bills/2147798", "הצעת חוק הבחירות (דרכי תעמולה) (תיקון - ביטול האיסור על שימוש בכלי טיס ובכלי שיט), התשפ""א-2020")</f>
        <v>23170</v>
      </c>
      <c r="E12021" t="s">
        <v>23170</v>
      </c>
      <c r="F12021" t="s">
        <v>23171</v>
      </c>
      <c r="G12021" t="s">
        <v>14</v>
      </c>
      <c r="H12021">
             </c>
      <c r="I12021" t="s">
        <v>14</v>
      </c>
      <c r="J12021" t="s">
        <v>141</v>
      </c>
      <c r="K12021" t="s">
        <v>14</v>
      </c>
      <c r="L12021" t="s">
        <v>20</v>
      </c>
      <c r="M12021" t="s">
        <v>23153</v>
      </c>
      <c r="N12021" t="s">
        <v>14</v>
      </c>
    </row>
    <row r="12022" x14ac:dyDescent="0.25">
      <c r="A12022" t="n">
        <v>23</v>
      </c>
      <c r="B12022" t="s">
        <v>14</v>
      </c>
      <c r="C12022" t="s">
        <v>22</v>
      </c>
      <c r="D12022" s="2" t="s">
        <f>=HYPERLINK("https://main.knesset.gov.il/APPS/legislation/main/bills/2147800", "הצעת חוק בתי המשפט (תיקון - מספר השופטים בבית המשפט העליון), התשפ""א-2020")</f>
        <v>23172</v>
      </c>
      <c r="E12022" t="s">
        <v>23172</v>
      </c>
      <c r="F12022" t="s">
        <v>23173</v>
      </c>
      <c r="G12022" t="s">
        <v>14</v>
      </c>
      <c r="H12022">
             </c>
      <c r="I12022" t="s">
        <v>14</v>
      </c>
      <c r="J12022" t="s">
        <v>141</v>
      </c>
      <c r="K12022" t="s">
        <v>14</v>
      </c>
      <c r="L12022" t="s">
        <v>20</v>
      </c>
      <c r="M12022" t="s">
        <v>23153</v>
      </c>
      <c r="N12022" t="s">
        <v>14</v>
      </c>
    </row>
    <row r="12023" x14ac:dyDescent="0.25">
      <c r="A12023" t="n">
        <v>23</v>
      </c>
      <c r="B12023" t="s">
        <v>14</v>
      </c>
      <c r="C12023" t="s">
        <v>22</v>
      </c>
      <c r="D12023" s="2" t="s">
        <f>=HYPERLINK("https://main.knesset.gov.il/APPS/legislation/main/bills/2147891", "הצעת חוק חישוב דרגת הזכאות של מורה להשתתפות המדינה בדמי ההחזקה לילד במעונות יום ובמשפחתונים, התשפ""א-2020")</f>
        <v>23174</v>
      </c>
      <c r="E12023" t="s">
        <v>23174</v>
      </c>
      <c r="F12023" t="s">
        <v>23175</v>
      </c>
      <c r="G12023" t="s">
        <v>14</v>
      </c>
      <c r="H12023">
             </c>
      <c r="I12023" t="s">
        <v>14</v>
      </c>
      <c r="J12023" t="s">
        <v>141</v>
      </c>
      <c r="K12023" t="s">
        <v>14</v>
      </c>
      <c r="L12023" t="s">
        <v>20</v>
      </c>
      <c r="M12023" t="s">
        <v>23153</v>
      </c>
      <c r="N12023" t="s">
        <v>14</v>
      </c>
    </row>
    <row r="12024" x14ac:dyDescent="0.25">
      <c r="A12024" t="n">
        <v>23</v>
      </c>
      <c r="B12024" t="s">
        <v>14</v>
      </c>
      <c r="C12024" t="s">
        <v>22</v>
      </c>
      <c r="D12024" s="2" t="s">
        <f>=HYPERLINK("https://main.knesset.gov.il/APPS/legislation/main/bills/2147066", "הצעת חוק לתיקון פקודת התעבורה (תשלום עבור נסיעה בתחבורה ציבורית בכרטיס אשראי), התשפ""א-2020")</f>
        <v>23176</v>
      </c>
      <c r="E12024" t="s">
        <v>23176</v>
      </c>
      <c r="F12024" t="s">
        <v>23177</v>
      </c>
      <c r="G12024" t="s">
        <v>14</v>
      </c>
      <c r="H12024">
             </c>
      <c r="I12024" t="s">
        <v>14</v>
      </c>
      <c r="J12024" t="s">
        <v>141</v>
      </c>
      <c r="K12024" t="s">
        <v>14</v>
      </c>
      <c r="L12024" t="s">
        <v>20</v>
      </c>
      <c r="M12024" t="s">
        <v>23153</v>
      </c>
      <c r="N12024" t="s">
        <v>14</v>
      </c>
    </row>
    <row r="12025" x14ac:dyDescent="0.25">
      <c r="A12025" t="n">
        <v>23</v>
      </c>
      <c r="B12025" t="s">
        <v>14</v>
      </c>
      <c r="C12025" t="s">
        <v>22</v>
      </c>
      <c r="D12025" s="2" t="s">
        <f>=HYPERLINK("https://main.knesset.gov.il/APPS/legislation/main/bills/2145488", "הצעת חוק המועצה לענף הלול (ייצור ושיווק) (תיקון - סימון ביצים), התשפ""א-2020")</f>
        <v>23178</v>
      </c>
      <c r="E12025" t="s">
        <v>23178</v>
      </c>
      <c r="F12025" t="s">
        <v>23179</v>
      </c>
      <c r="G12025" t="s">
        <v>14</v>
      </c>
      <c r="H12025">
             </c>
      <c r="I12025" t="s">
        <v>14</v>
      </c>
      <c r="J12025" t="s">
        <v>141</v>
      </c>
      <c r="K12025" t="s">
        <v>14</v>
      </c>
      <c r="L12025" t="s">
        <v>20</v>
      </c>
      <c r="M12025" t="s">
        <v>23153</v>
      </c>
      <c r="N12025" t="s">
        <v>14</v>
      </c>
    </row>
    <row r="12026" x14ac:dyDescent="0.25">
      <c r="A12026" t="n">
        <v>23</v>
      </c>
      <c r="B12026" t="s">
        <v>14</v>
      </c>
      <c r="C12026" t="s">
        <v>22</v>
      </c>
      <c r="D12026" s="2" t="s">
        <f>=HYPERLINK("https://main.knesset.gov.il/APPS/legislation/main/bills/2146175", "הצעת חוק איסור פרסומת והגבלת השיווק של מוצרי טבק ועישון (תיקון - תמונה בדבר נזקי העישון), התשפ""א-2020")</f>
        <v>23180</v>
      </c>
      <c r="E12026" t="s">
        <v>23180</v>
      </c>
      <c r="F12026" t="s">
        <v>23181</v>
      </c>
      <c r="G12026" t="s">
        <v>14</v>
      </c>
      <c r="H12026">
             </c>
      <c r="I12026" t="s">
        <v>14</v>
      </c>
      <c r="J12026" t="s">
        <v>141</v>
      </c>
      <c r="K12026" t="s">
        <v>14</v>
      </c>
      <c r="L12026" t="s">
        <v>20</v>
      </c>
      <c r="M12026" t="s">
        <v>23153</v>
      </c>
      <c r="N12026" t="s">
        <v>14</v>
      </c>
    </row>
    <row r="12027" x14ac:dyDescent="0.25">
      <c r="A12027" t="n">
        <v>23</v>
      </c>
      <c r="B12027" t="s">
        <v>14</v>
      </c>
      <c r="C12027" t="s">
        <v>22</v>
      </c>
      <c r="D12027" s="2" t="s">
        <f>=HYPERLINK("https://main.knesset.gov.il/APPS/legislation/main/bills/2147525", "הצעת חוק זכויות הסטודנט (תיקון - סיוע כלכלי בשעת חירום), התשפ""א-2020")</f>
        <v>23129</v>
      </c>
      <c r="E12027" t="s">
        <v>23129</v>
      </c>
      <c r="F12027" t="s">
        <v>23182</v>
      </c>
      <c r="G12027" t="s">
        <v>14</v>
      </c>
      <c r="H12027">
             </c>
      <c r="I12027" t="s">
        <v>14</v>
      </c>
      <c r="J12027" t="s">
        <v>141</v>
      </c>
      <c r="K12027" t="s">
        <v>14</v>
      </c>
      <c r="L12027" t="s">
        <v>20</v>
      </c>
      <c r="M12027" t="s">
        <v>23153</v>
      </c>
      <c r="N12027" t="s">
        <v>14</v>
      </c>
    </row>
    <row r="12028" x14ac:dyDescent="0.25">
      <c r="A12028" t="n">
        <v>23</v>
      </c>
      <c r="B12028" t="s">
        <v>14</v>
      </c>
      <c r="C12028" t="s">
        <v>22</v>
      </c>
      <c r="D12028" s="2" t="s">
        <f>=HYPERLINK("https://main.knesset.gov.il/APPS/legislation/main/bills/2144661", "הצעת חוק להפחתת השימוש ברכב פרטי ולעידוד שימוש בתחבורה הציבורית, התש""ף-2020 ")</f>
        <v>23183</v>
      </c>
      <c r="E12028" t="s">
        <v>23183</v>
      </c>
      <c r="F12028" t="s">
        <v>23184</v>
      </c>
      <c r="G12028" t="s">
        <v>14</v>
      </c>
      <c r="H12028">
             </c>
      <c r="I12028" t="s">
        <v>14</v>
      </c>
      <c r="J12028" t="s">
        <v>141</v>
      </c>
      <c r="K12028" t="s">
        <v>14</v>
      </c>
      <c r="L12028" t="s">
        <v>20</v>
      </c>
      <c r="M12028" t="s">
        <v>23153</v>
      </c>
      <c r="N12028" t="s">
        <v>14</v>
      </c>
    </row>
    <row r="12029" x14ac:dyDescent="0.25">
      <c r="A12029" t="n">
        <v>23</v>
      </c>
      <c r="B12029" t="s">
        <v>14</v>
      </c>
      <c r="C12029" t="s">
        <v>22</v>
      </c>
      <c r="D12029" s="2" t="s">
        <f>=HYPERLINK("https://main.knesset.gov.il/APPS/legislation/main/bills/2146236", "הצעת חוק לתיקון פקודת התעבורה (רישום רכב), התשפ""א-2020")</f>
        <v>23185</v>
      </c>
      <c r="E12029" t="s">
        <v>23185</v>
      </c>
      <c r="F12029" t="s">
        <v>23186</v>
      </c>
      <c r="G12029" t="s">
        <v>14</v>
      </c>
      <c r="H12029">
             </c>
      <c r="I12029" t="s">
        <v>14</v>
      </c>
      <c r="J12029" t="s">
        <v>141</v>
      </c>
      <c r="K12029" t="s">
        <v>14</v>
      </c>
      <c r="L12029" t="s">
        <v>20</v>
      </c>
      <c r="M12029" t="s">
        <v>23153</v>
      </c>
      <c r="N12029" t="s">
        <v>14</v>
      </c>
    </row>
    <row r="12030" x14ac:dyDescent="0.25">
      <c r="A12030" t="n">
        <v>23</v>
      </c>
      <c r="B12030" t="s">
        <v>14</v>
      </c>
      <c r="C12030" t="s">
        <v>22</v>
      </c>
      <c r="D12030" s="2" t="s">
        <f>=HYPERLINK("https://main.knesset.gov.il/APPS/legislation/main/bills/2087017", "הצעת חוק הבנקאות (שירות ללקוח) (תיקון - מרווח שיעורי הריבית), התשפ""א-2020")</f>
        <v>23187</v>
      </c>
      <c r="E12030" t="s">
        <v>23187</v>
      </c>
      <c r="F12030" t="s">
        <v>23188</v>
      </c>
      <c r="G12030" t="s">
        <v>14</v>
      </c>
      <c r="H12030">
             </c>
      <c r="I12030" t="s">
        <v>14</v>
      </c>
      <c r="J12030" t="s">
        <v>141</v>
      </c>
      <c r="K12030" t="s">
        <v>14</v>
      </c>
      <c r="L12030" t="s">
        <v>20</v>
      </c>
      <c r="M12030" t="s">
        <v>23153</v>
      </c>
      <c r="N12030" t="s">
        <v>14</v>
      </c>
    </row>
    <row r="12031" x14ac:dyDescent="0.25">
      <c r="A12031" t="n">
        <v>23</v>
      </c>
      <c r="B12031" t="s">
        <v>14</v>
      </c>
      <c r="C12031" t="s">
        <v>22</v>
      </c>
      <c r="D12031" s="2" t="s">
        <f>=HYPERLINK("https://main.knesset.gov.il/APPS/legislation/main/bills/2086880", "הצעת חוק לעידוד הסעות שיתופיות (תיקוני חקיקה), התשפ""א-2020")</f>
        <v>23189</v>
      </c>
      <c r="E12031" t="s">
        <v>23189</v>
      </c>
      <c r="F12031" t="s">
        <v>23190</v>
      </c>
      <c r="G12031" t="s">
        <v>14</v>
      </c>
      <c r="H12031">
             </c>
      <c r="I12031" t="s">
        <v>14</v>
      </c>
      <c r="J12031" t="s">
        <v>141</v>
      </c>
      <c r="K12031" t="s">
        <v>14</v>
      </c>
      <c r="L12031" t="s">
        <v>20</v>
      </c>
      <c r="M12031" t="s">
        <v>23153</v>
      </c>
      <c r="N12031" t="s">
        <v>14</v>
      </c>
    </row>
    <row r="12032" x14ac:dyDescent="0.25">
      <c r="A12032" t="n">
        <v>23</v>
      </c>
      <c r="B12032" t="s">
        <v>14</v>
      </c>
      <c r="C12032" t="s">
        <v>22</v>
      </c>
      <c r="D12032" s="2" t="s">
        <f>=HYPERLINK("https://main.knesset.gov.il/APPS/legislation/main/bills/2086857", "הצעת חוק לתיקון פקודת מסילות הברזל (פטור מתשלום דמי נסיעה לעגלת ילדים), התשפ""א-2020")</f>
        <v>23191</v>
      </c>
      <c r="E12032" t="s">
        <v>23191</v>
      </c>
      <c r="F12032" t="s">
        <v>23192</v>
      </c>
      <c r="G12032" t="s">
        <v>14</v>
      </c>
      <c r="H12032">
             </c>
      <c r="I12032" t="s">
        <v>14</v>
      </c>
      <c r="J12032" t="s">
        <v>141</v>
      </c>
      <c r="K12032" t="s">
        <v>14</v>
      </c>
      <c r="L12032" t="s">
        <v>20</v>
      </c>
      <c r="M12032" t="s">
        <v>23153</v>
      </c>
      <c r="N12032" t="s">
        <v>14</v>
      </c>
    </row>
    <row r="12033" x14ac:dyDescent="0.25">
      <c r="A12033" t="n">
        <v>23</v>
      </c>
      <c r="B12033" t="s">
        <v>14</v>
      </c>
      <c r="C12033" t="s">
        <v>22</v>
      </c>
      <c r="D12033" s="2" t="s">
        <f>=HYPERLINK("https://main.knesset.gov.il/APPS/legislation/main/bills/2148463", "הצעת חוק הנכים (תגמולים ושיקום) (תיקון - הגבלת משך זמן הטיפול בתביעה בשל הפרעה בתר חבלתית), התשפ""א-2020")</f>
        <v>23193</v>
      </c>
      <c r="E12033" t="s">
        <v>23193</v>
      </c>
      <c r="F12033" t="s">
        <v>23194</v>
      </c>
      <c r="G12033" t="s">
        <v>14</v>
      </c>
      <c r="H12033">
             </c>
      <c r="I12033" t="s">
        <v>14</v>
      </c>
      <c r="J12033" t="s">
        <v>141</v>
      </c>
      <c r="K12033" t="s">
        <v>14</v>
      </c>
      <c r="L12033" t="s">
        <v>20</v>
      </c>
      <c r="M12033" t="s">
        <v>23153</v>
      </c>
      <c r="N12033" t="s">
        <v>14</v>
      </c>
    </row>
    <row r="12034" x14ac:dyDescent="0.25">
      <c r="A12034" t="n">
        <v>23</v>
      </c>
      <c r="B12034" t="s">
        <v>14</v>
      </c>
      <c r="C12034" t="s">
        <v>22</v>
      </c>
      <c r="D12034" s="2" t="s">
        <f>=HYPERLINK("https://main.knesset.gov.il/APPS/legislation/main/bills/2147997", "הצעת חוק שיווי זכויות האישה (תיקון - תחולה), התשפ""א-2020")</f>
        <v>23195</v>
      </c>
      <c r="E12034" t="s">
        <v>23195</v>
      </c>
      <c r="F12034" t="s">
        <v>23196</v>
      </c>
      <c r="G12034" t="s">
        <v>14</v>
      </c>
      <c r="H12034">
             </c>
      <c r="I12034" t="s">
        <v>14</v>
      </c>
      <c r="J12034" t="s">
        <v>141</v>
      </c>
      <c r="K12034" t="s">
        <v>14</v>
      </c>
      <c r="L12034" t="s">
        <v>20</v>
      </c>
      <c r="M12034" t="s">
        <v>23153</v>
      </c>
      <c r="N12034" t="s">
        <v>14</v>
      </c>
    </row>
    <row r="12035" x14ac:dyDescent="0.25">
      <c r="A12035" t="n">
        <v>23</v>
      </c>
      <c r="B12035" t="s">
        <v>14</v>
      </c>
      <c r="C12035" t="s">
        <v>22</v>
      </c>
      <c r="D12035" s="2" t="s">
        <f>=HYPERLINK("https://main.knesset.gov.il/APPS/legislation/main/bills/2147832", "הצעת חוק ביטוח בריאות ממלכתי (תיקון - זכאות לבדיקת ממוגרפיה מגיל 40 לגילוי מוקדם של סרטן השד), התשפ""א-2020")</f>
        <v>23197</v>
      </c>
      <c r="E12035" t="s">
        <v>23197</v>
      </c>
      <c r="F12035" t="s">
        <v>23198</v>
      </c>
      <c r="G12035" t="s">
        <v>14</v>
      </c>
      <c r="H12035">
             </c>
      <c r="I12035" t="s">
        <v>14</v>
      </c>
      <c r="J12035" t="s">
        <v>141</v>
      </c>
      <c r="K12035" t="s">
        <v>14</v>
      </c>
      <c r="L12035" t="s">
        <v>20</v>
      </c>
      <c r="M12035" t="s">
        <v>23153</v>
      </c>
      <c r="N12035" t="s">
        <v>14</v>
      </c>
    </row>
    <row r="12036" x14ac:dyDescent="0.25">
      <c r="A12036" t="n">
        <v>23</v>
      </c>
      <c r="B12036" t="s">
        <v>14</v>
      </c>
      <c r="C12036" t="s">
        <v>22</v>
      </c>
      <c r="D12036" s="2" t="s">
        <f>=HYPERLINK("https://main.knesset.gov.il/APPS/legislation/main/bills/2145373", "הצעת חוק גנים לאומיים, שמורות טבע, אתרים לאומיים ואתרי הנצחה (תיקון - פטור מתשלומי חובה עבור התקנת תשתיות ציבוריות), התשפ""א-2020")</f>
        <v>23199</v>
      </c>
      <c r="E12036" t="s">
        <v>23199</v>
      </c>
      <c r="F12036" t="s">
        <v>23200</v>
      </c>
      <c r="G12036" t="s">
        <v>14</v>
      </c>
      <c r="H12036">
             </c>
      <c r="I12036" t="s">
        <v>14</v>
      </c>
      <c r="J12036" t="s">
        <v>141</v>
      </c>
      <c r="K12036" t="s">
        <v>14</v>
      </c>
      <c r="L12036" t="s">
        <v>20</v>
      </c>
      <c r="M12036" t="s">
        <v>23153</v>
      </c>
      <c r="N12036" t="s">
        <v>14</v>
      </c>
    </row>
    <row r="12037" x14ac:dyDescent="0.25">
      <c r="A12037" t="n">
        <v>23</v>
      </c>
      <c r="B12037" t="s">
        <v>14</v>
      </c>
      <c r="C12037" t="s">
        <v>22</v>
      </c>
      <c r="D12037" s="2" t="s">
        <f>=HYPERLINK("https://main.knesset.gov.il/APPS/legislation/main/bills/2086602", "הצעת חוק צער בעלי חיים (הגנה על בעלי חיים) (תיקון - איסור ניצול בעלי חיים למטרות הימורים), התשפ""א-2020")</f>
        <v>23201</v>
      </c>
      <c r="E12037" t="s">
        <v>23201</v>
      </c>
      <c r="F12037" t="s">
        <v>23202</v>
      </c>
      <c r="G12037" t="s">
        <v>14</v>
      </c>
      <c r="H12037">
             </c>
      <c r="I12037" t="s">
        <v>14</v>
      </c>
      <c r="J12037" t="s">
        <v>141</v>
      </c>
      <c r="K12037" t="s">
        <v>14</v>
      </c>
      <c r="L12037" t="s">
        <v>20</v>
      </c>
      <c r="M12037" t="s">
        <v>23153</v>
      </c>
      <c r="N12037" t="s">
        <v>14</v>
      </c>
    </row>
    <row r="12038" x14ac:dyDescent="0.25">
      <c r="A12038" t="n">
        <v>23</v>
      </c>
      <c r="B12038" t="s">
        <v>14</v>
      </c>
      <c r="C12038" t="s">
        <v>22</v>
      </c>
      <c r="D12038" s="2" t="s">
        <f>=HYPERLINK("https://main.knesset.gov.il/APPS/legislation/main/bills/2146936", "הצעת חוק הביטוח הלאומי (תיקון - זכאות פדיון סכום החיסכון הצבור הכולל לחייל בודד), התשפ""א-2020")</f>
        <v>23203</v>
      </c>
      <c r="E12038" t="s">
        <v>23203</v>
      </c>
      <c r="F12038" t="s">
        <v>23204</v>
      </c>
      <c r="G12038" t="s">
        <v>14</v>
      </c>
      <c r="H12038">
             </c>
      <c r="I12038" t="s">
        <v>14</v>
      </c>
      <c r="J12038" t="s">
        <v>141</v>
      </c>
      <c r="K12038" t="s">
        <v>14</v>
      </c>
      <c r="L12038" t="s">
        <v>20</v>
      </c>
      <c r="M12038" t="s">
        <v>23153</v>
      </c>
      <c r="N12038" t="s">
        <v>14</v>
      </c>
    </row>
    <row r="12039" x14ac:dyDescent="0.25">
      <c r="A12039" t="n">
        <v>23</v>
      </c>
      <c r="B12039" t="s">
        <v>14</v>
      </c>
      <c r="C12039" t="s">
        <v>22</v>
      </c>
      <c r="D12039" s="2" t="s">
        <f>=HYPERLINK("https://main.knesset.gov.il/APPS/legislation/main/bills/2146717", "הצעת חוק עובדים זרים (תיקון - הפחתת הפרשת מעסיק לפיקדון עבור עובד זר שהוא מסתנן), התשפ""א-2020")</f>
        <v>23205</v>
      </c>
      <c r="E12039" t="s">
        <v>23205</v>
      </c>
      <c r="F12039" t="s">
        <v>23206</v>
      </c>
      <c r="G12039" t="s">
        <v>14</v>
      </c>
      <c r="H12039">
             </c>
      <c r="I12039" t="s">
        <v>14</v>
      </c>
      <c r="J12039" t="s">
        <v>141</v>
      </c>
      <c r="K12039" t="s">
        <v>14</v>
      </c>
      <c r="L12039" t="s">
        <v>20</v>
      </c>
      <c r="M12039" t="s">
        <v>23153</v>
      </c>
      <c r="N12039" t="s">
        <v>14</v>
      </c>
    </row>
    <row r="12040" x14ac:dyDescent="0.25">
      <c r="A12040" t="n">
        <v>23</v>
      </c>
      <c r="B12040" t="s">
        <v>14</v>
      </c>
      <c r="C12040" t="s">
        <v>22</v>
      </c>
      <c r="D12040" s="2" t="s">
        <f>=HYPERLINK("https://main.knesset.gov.il/APPS/legislation/main/bills/2147494", "הצעת חוק לתיקון פקודת מס הכנסה (חישוב שווי שימוש ברכב לשומרי שבת וחג), התשפ""א-2020")</f>
        <v>23207</v>
      </c>
      <c r="E12040" t="s">
        <v>23207</v>
      </c>
      <c r="F12040" t="s">
        <v>23208</v>
      </c>
      <c r="G12040" t="s">
        <v>14</v>
      </c>
      <c r="H12040">
             </c>
      <c r="I12040" t="s">
        <v>14</v>
      </c>
      <c r="J12040" t="s">
        <v>141</v>
      </c>
      <c r="K12040" t="s">
        <v>14</v>
      </c>
      <c r="L12040" t="s">
        <v>20</v>
      </c>
      <c r="M12040" t="s">
        <v>23153</v>
      </c>
      <c r="N12040" t="s">
        <v>14</v>
      </c>
    </row>
    <row r="12041" x14ac:dyDescent="0.25">
      <c r="A12041" t="n">
        <v>23</v>
      </c>
      <c r="B12041" t="s">
        <v>14</v>
      </c>
      <c r="C12041" t="s">
        <v>22</v>
      </c>
      <c r="D12041" s="2" t="s">
        <f>=HYPERLINK("https://main.knesset.gov.il/APPS/legislation/main/bills/2146889", "הצעת חוק מס רכוש וקרן פיצויים (תיקון - תשלום פיצויים ומקדמות לנפגעי התפרצות נגיף הקורונה החדש), התשפ""א-2020")</f>
        <v>23209</v>
      </c>
      <c r="E12041" t="s">
        <v>23209</v>
      </c>
      <c r="F12041" t="s">
        <v>23210</v>
      </c>
      <c r="G12041" t="s">
        <v>14</v>
      </c>
      <c r="H12041">
             </c>
      <c r="I12041" t="s">
        <v>14</v>
      </c>
      <c r="J12041" t="s">
        <v>141</v>
      </c>
      <c r="K12041" t="s">
        <v>14</v>
      </c>
      <c r="L12041" t="s">
        <v>20</v>
      </c>
      <c r="M12041" t="s">
        <v>23153</v>
      </c>
      <c r="N12041" t="s">
        <v>14</v>
      </c>
    </row>
    <row r="12042" x14ac:dyDescent="0.25">
      <c r="A12042" t="n">
        <v>23</v>
      </c>
      <c r="B12042" t="s">
        <v>14</v>
      </c>
      <c r="C12042" t="s">
        <v>22</v>
      </c>
      <c r="D12042" s="2" t="s">
        <f>=HYPERLINK("https://main.knesset.gov.il/APPS/legislation/main/bills/2145839", "הצעת חוק תוכנית למניעת אלימות מינית וקידום מיניות בריאה, התשפ""א-2020")</f>
        <v>23211</v>
      </c>
      <c r="E12042" t="s">
        <v>23211</v>
      </c>
      <c r="F12042" t="s">
        <v>23212</v>
      </c>
      <c r="G12042" t="s">
        <v>14</v>
      </c>
      <c r="H12042">
             </c>
      <c r="I12042" t="s">
        <v>14</v>
      </c>
      <c r="J12042" t="s">
        <v>141</v>
      </c>
      <c r="K12042" t="s">
        <v>14</v>
      </c>
      <c r="L12042" t="s">
        <v>20</v>
      </c>
      <c r="M12042" t="s">
        <v>23153</v>
      </c>
      <c r="N12042" t="s">
        <v>14</v>
      </c>
    </row>
    <row r="12043" x14ac:dyDescent="0.25">
      <c r="A12043" t="n">
        <v>23</v>
      </c>
      <c r="B12043" t="s">
        <v>14</v>
      </c>
      <c r="C12043" t="s">
        <v>22</v>
      </c>
      <c r="D12043" s="2" t="s">
        <f>=HYPERLINK("https://main.knesset.gov.il/APPS/legislation/main/bills/2147552", "הצעת חוק ארוחה יומית לתלמיד (תיקון - אספקת ארוחות לתלמידים בזמן הגבלת פעילות של מוסד חינוך)(הוראת שעה), התשפ""א-2020")</f>
        <v>23213</v>
      </c>
      <c r="E12043" t="s">
        <v>23213</v>
      </c>
      <c r="F12043" t="s">
        <v>23214</v>
      </c>
      <c r="G12043" t="s">
        <v>14</v>
      </c>
      <c r="H12043">
             </c>
      <c r="I12043" t="s">
        <v>14</v>
      </c>
      <c r="J12043" t="s">
        <v>141</v>
      </c>
      <c r="K12043" t="s">
        <v>14</v>
      </c>
      <c r="L12043" t="s">
        <v>20</v>
      </c>
      <c r="M12043" t="s">
        <v>23153</v>
      </c>
      <c r="N12043" t="s">
        <v>14</v>
      </c>
    </row>
    <row r="12044" x14ac:dyDescent="0.25">
      <c r="A12044" t="n">
        <v>23</v>
      </c>
      <c r="B12044" t="s">
        <v>14</v>
      </c>
      <c r="C12044" t="s">
        <v>22</v>
      </c>
      <c r="D12044" s="2" t="s">
        <f>=HYPERLINK("https://main.knesset.gov.il/APPS/legislation/main/bills/2143453", "הצעת חוק עסקאות גופים ציבוריים (תיקון - מעבר לרכבים ידידותיים לסביבה בגופים ציבוריים), התשפ""א-2020")</f>
        <v>22548</v>
      </c>
      <c r="E12044" t="s">
        <v>22548</v>
      </c>
      <c r="F12044" t="s">
        <v>23215</v>
      </c>
      <c r="G12044" t="s">
        <v>14</v>
      </c>
      <c r="H12044">
             </c>
      <c r="I12044" t="s">
        <v>14</v>
      </c>
      <c r="J12044" t="s">
        <v>141</v>
      </c>
      <c r="K12044" t="s">
        <v>14</v>
      </c>
      <c r="L12044" t="s">
        <v>20</v>
      </c>
      <c r="M12044" t="s">
        <v>23153</v>
      </c>
      <c r="N12044" t="s">
        <v>14</v>
      </c>
    </row>
    <row r="12045" x14ac:dyDescent="0.25">
      <c r="A12045" t="n">
        <v>23</v>
      </c>
      <c r="B12045" t="s">
        <v>14</v>
      </c>
      <c r="C12045" t="s">
        <v>22</v>
      </c>
      <c r="D12045" s="2" t="s">
        <f>=HYPERLINK("https://main.knesset.gov.il/APPS/legislation/main/bills/2148077", "הצעת חוק הנצחת זכרם של קורבנות הטבח בכפר קאסם, התשפ""א-2020")</f>
        <v>23216</v>
      </c>
      <c r="E12045" t="s">
        <v>23216</v>
      </c>
      <c r="F12045" t="s">
        <v>23217</v>
      </c>
      <c r="G12045" t="s">
        <v>14</v>
      </c>
      <c r="H12045">
             </c>
      <c r="I12045" t="s">
        <v>14</v>
      </c>
      <c r="J12045" t="s">
        <v>141</v>
      </c>
      <c r="K12045" t="s">
        <v>14</v>
      </c>
      <c r="L12045" t="s">
        <v>20</v>
      </c>
      <c r="M12045" t="s">
        <v>23153</v>
      </c>
      <c r="N12045" t="s">
        <v>14</v>
      </c>
    </row>
    <row r="12046" x14ac:dyDescent="0.25">
      <c r="A12046" t="n">
        <v>23</v>
      </c>
      <c r="B12046" t="s">
        <v>14</v>
      </c>
      <c r="C12046" t="s">
        <v>22</v>
      </c>
      <c r="D12046" s="2" t="s">
        <f>=HYPERLINK("https://main.knesset.gov.il/APPS/legislation/main/bills/2140980", "הצעת חוק התוכנית להבראת כלכלת ישראל (תיקוני חקיקה להשגת יעדי התקציב והמדיניות הכלכלית לשנות הכספים 2003 ו-2004) (תיקון - ביטול ההיטל על עובד זר העוסק בסיעוד בבית חולים גריאטרי), התשפ""א-2020 ")</f>
        <v>23218</v>
      </c>
      <c r="E12046" t="s">
        <v>23218</v>
      </c>
      <c r="F12046" t="s">
        <v>23219</v>
      </c>
      <c r="G12046" t="s">
        <v>14</v>
      </c>
      <c r="H12046">
             </c>
      <c r="I12046" t="s">
        <v>14</v>
      </c>
      <c r="J12046" t="s">
        <v>141</v>
      </c>
      <c r="K12046" t="s">
        <v>14</v>
      </c>
      <c r="L12046" t="s">
        <v>20</v>
      </c>
      <c r="M12046" t="s">
        <v>23153</v>
      </c>
      <c r="N12046" t="s">
        <v>14</v>
      </c>
    </row>
    <row r="12047" x14ac:dyDescent="0.25">
      <c r="A12047" t="n">
        <v>23</v>
      </c>
      <c r="B12047" t="s">
        <v>14</v>
      </c>
      <c r="C12047" t="s">
        <v>22</v>
      </c>
      <c r="D12047" s="2" t="s">
        <f>=HYPERLINK("https://main.knesset.gov.il/APPS/legislation/main/bills/2148018", "הצעת חוק הנצחת זכרם של קורבנות הטבח בכפר קאסם, התשפ""א-2020")</f>
        <v>23216</v>
      </c>
      <c r="E12047" t="s">
        <v>23216</v>
      </c>
      <c r="F12047" t="s">
        <v>23220</v>
      </c>
      <c r="G12047" t="s">
        <v>14</v>
      </c>
      <c r="H12047">
             </c>
      <c r="I12047" t="s">
        <v>14</v>
      </c>
      <c r="J12047" t="s">
        <v>141</v>
      </c>
      <c r="K12047" t="s">
        <v>14</v>
      </c>
      <c r="L12047" t="s">
        <v>20</v>
      </c>
      <c r="M12047" t="s">
        <v>23153</v>
      </c>
      <c r="N12047" t="s">
        <v>14</v>
      </c>
    </row>
    <row r="12048" x14ac:dyDescent="0.25">
      <c r="A12048" t="n">
        <v>23</v>
      </c>
      <c r="B12048" t="s">
        <v>14</v>
      </c>
      <c r="C12048" t="s">
        <v>22</v>
      </c>
      <c r="D12048" s="2" t="s">
        <f>=HYPERLINK("https://main.knesset.gov.il/APPS/legislation/main/bills/2085795", "הצעת חוק חסינות חברי הכנסת, זכויותיהם וחובותיהם (תיקון - חובת גילוי של מסחר בניירות ערך לחבר בוועדת הכספים או הכלכלה של הכנסת), התשפ""א-2020")</f>
        <v>23221</v>
      </c>
      <c r="E12048" t="s">
        <v>23221</v>
      </c>
      <c r="F12048" t="s">
        <v>23222</v>
      </c>
      <c r="G12048" t="s">
        <v>14</v>
      </c>
      <c r="H12048">
             </c>
      <c r="I12048" t="s">
        <v>14</v>
      </c>
      <c r="J12048" t="s">
        <v>141</v>
      </c>
      <c r="K12048" t="s">
        <v>14</v>
      </c>
      <c r="L12048" t="s">
        <v>20</v>
      </c>
      <c r="M12048" t="s">
        <v>23153</v>
      </c>
      <c r="N12048" t="s">
        <v>14</v>
      </c>
    </row>
    <row r="12049" x14ac:dyDescent="0.25">
      <c r="A12049" t="n">
        <v>23</v>
      </c>
      <c r="B12049" t="s">
        <v>14</v>
      </c>
      <c r="C12049" t="s">
        <v>15</v>
      </c>
      <c r="D12049" s="2" t="s">
        <f>=HYPERLINK("https://main.knesset.gov.il/APPS/legislation/main/bills/2147791", "הצעת חוק סמכויות מיוחדות להתמודדות עם נגיף הקורונה החדש (הוראת שעה) (תיקון מס' 3), התשפ""א-2020")</f>
        <v>23223</v>
      </c>
      <c r="E12049" t="s">
        <v>23223</v>
      </c>
      <c r="F12049" t="s">
        <v>14</v>
      </c>
      <c r="G12049" t="s">
        <v>23224</v>
      </c>
      <c r="H12049">
             </c>
      <c r="I12049" t="s">
        <v>14</v>
      </c>
      <c r="J12049" t="s">
        <v>289</v>
      </c>
      <c r="K12049" t="s">
        <v>27</v>
      </c>
      <c r="L12049" t="s">
        <v>20</v>
      </c>
      <c r="M12049" t="s">
        <v>23153</v>
      </c>
      <c r="N12049" t="s">
        <v>14</v>
      </c>
    </row>
    <row r="12050" x14ac:dyDescent="0.25">
      <c r="A12050" t="n">
        <v>23</v>
      </c>
      <c r="B12050" t="s">
        <v>14</v>
      </c>
      <c r="C12050" t="s">
        <v>22</v>
      </c>
      <c r="D12050" s="2" t="s">
        <f>=HYPERLINK("https://main.knesset.gov.il/APPS/legislation/main/bills/2139847", "הצעת חוק הביטוח הלאומי (תיקון - דמי פגיעה לעצמאי), התש""ף-2020")</f>
        <v>23225</v>
      </c>
      <c r="E12050" t="s">
        <v>23225</v>
      </c>
      <c r="F12050" t="s">
        <v>23226</v>
      </c>
      <c r="G12050" t="s">
        <v>14</v>
      </c>
      <c r="H12050">
             </c>
      <c r="I12050" t="s">
        <v>14</v>
      </c>
      <c r="J12050" t="s">
        <v>55</v>
      </c>
      <c r="K12050" t="s">
        <v>14</v>
      </c>
      <c r="L12050" t="s">
        <v>20</v>
      </c>
      <c r="M12050" t="s">
        <v>23227</v>
      </c>
      <c r="N12050" t="s">
        <v>14</v>
      </c>
    </row>
    <row r="12051" x14ac:dyDescent="0.25">
      <c r="A12051" t="n">
        <v>23</v>
      </c>
      <c r="B12051" t="s">
        <v>14</v>
      </c>
      <c r="C12051" t="s">
        <v>22</v>
      </c>
      <c r="D12051" s="2" t="s">
        <f>=HYPERLINK("https://main.knesset.gov.il/APPS/legislation/main/bills/2088413", "הצעת חוק הביטוח הלאומי (תיקון - תשלום דמי ביטוח לאומי מופחתים לסטודנט במוסד להשכלה גבוהה מחוץ לישראל), התש""ף-2020")</f>
        <v>23228</v>
      </c>
      <c r="E12051" t="s">
        <v>23228</v>
      </c>
      <c r="F12051" t="s">
        <v>23229</v>
      </c>
      <c r="G12051" t="s">
        <v>14</v>
      </c>
      <c r="H12051">
             </c>
      <c r="I12051" t="s">
        <v>14</v>
      </c>
      <c r="J12051" t="s">
        <v>55</v>
      </c>
      <c r="K12051" t="s">
        <v>14</v>
      </c>
      <c r="L12051" t="s">
        <v>20</v>
      </c>
      <c r="M12051" t="s">
        <v>23227</v>
      </c>
      <c r="N12051" t="s">
        <v>14</v>
      </c>
    </row>
    <row r="12052" x14ac:dyDescent="0.25">
      <c r="A12052" t="n">
        <v>23</v>
      </c>
      <c r="B12052" t="s">
        <v>14</v>
      </c>
      <c r="C12052" t="s">
        <v>22</v>
      </c>
      <c r="D12052" s="2" t="s">
        <f>=HYPERLINK("https://main.knesset.gov.il/APPS/legislation/main/bills/2140387", "הצעת חוק זכויות הסטודנט (תיקון - פטור מתשלום עבור קורס חוזר בשל שירות מילואים), התש""ף-2020")</f>
        <v>23230</v>
      </c>
      <c r="E12052" t="s">
        <v>23230</v>
      </c>
      <c r="F12052" t="s">
        <v>23231</v>
      </c>
      <c r="G12052" t="s">
        <v>14</v>
      </c>
      <c r="H12052">
             </c>
      <c r="I12052" t="s">
        <v>14</v>
      </c>
      <c r="J12052" t="s">
        <v>55</v>
      </c>
      <c r="K12052" t="s">
        <v>14</v>
      </c>
      <c r="L12052" t="s">
        <v>20</v>
      </c>
      <c r="M12052" t="s">
        <v>23227</v>
      </c>
      <c r="N12052" t="s">
        <v>14</v>
      </c>
    </row>
    <row r="12053" x14ac:dyDescent="0.25">
      <c r="A12053" t="n">
        <v>23</v>
      </c>
      <c r="B12053" t="s">
        <v>14</v>
      </c>
      <c r="C12053" t="s">
        <v>22</v>
      </c>
      <c r="D12053" s="2" t="s">
        <f>=HYPERLINK("https://main.knesset.gov.il/APPS/legislation/main/bills/2087761", "הצעת חוק החברות הממשלתיות (תיקון - ייצוג הולם לאוכלוסייה הערבית), התש""ף-2020")</f>
        <v>23232</v>
      </c>
      <c r="E12053" t="s">
        <v>23232</v>
      </c>
      <c r="F12053" t="s">
        <v>23233</v>
      </c>
      <c r="G12053" t="s">
        <v>14</v>
      </c>
      <c r="H12053">
             </c>
      <c r="I12053" t="s">
        <v>14</v>
      </c>
      <c r="J12053" t="s">
        <v>343</v>
      </c>
      <c r="K12053" t="s">
        <v>14</v>
      </c>
      <c r="L12053" t="s">
        <v>20</v>
      </c>
      <c r="M12053" t="s">
        <v>23227</v>
      </c>
      <c r="N12053" t="s">
        <v>14</v>
      </c>
    </row>
    <row r="12054" x14ac:dyDescent="0.25">
      <c r="A12054" t="n">
        <v>23</v>
      </c>
      <c r="B12054" t="s">
        <v>14</v>
      </c>
      <c r="C12054" t="s">
        <v>22</v>
      </c>
      <c r="D12054" s="2" t="s">
        <f>=HYPERLINK("https://main.knesset.gov.il/APPS/legislation/main/bills/2086184", "הצעת חוק הגנת הצרכן (תיקון - סימון תוצרת חקלאית שאינה ארוזה מראש), התש""ף-2020 ")</f>
        <v>23234</v>
      </c>
      <c r="E12054" t="s">
        <v>23234</v>
      </c>
      <c r="F12054" t="s">
        <v>23235</v>
      </c>
      <c r="G12054" t="s">
        <v>14</v>
      </c>
      <c r="H12054">
             </c>
      <c r="I12054" t="s">
        <v>14</v>
      </c>
      <c r="J12054" t="s">
        <v>343</v>
      </c>
      <c r="K12054" t="s">
        <v>14</v>
      </c>
      <c r="L12054" t="s">
        <v>20</v>
      </c>
      <c r="M12054" t="s">
        <v>23227</v>
      </c>
      <c r="N12054" t="s">
        <v>14</v>
      </c>
    </row>
    <row r="12055" x14ac:dyDescent="0.25">
      <c r="A12055" t="n">
        <v>23</v>
      </c>
      <c r="B12055" t="s">
        <v>14</v>
      </c>
      <c r="C12055" t="s">
        <v>22</v>
      </c>
      <c r="D12055" s="2" t="s">
        <f>=HYPERLINK("https://main.knesset.gov.il/APPS/legislation/main/bills/2087376", "הצעת חוק הביטוח הלאומי (תיקון - פטור לסטודנטים מתשלום דמי ביטוח לאומי), התש""ף-2020")</f>
        <v>23236</v>
      </c>
      <c r="E12055" t="s">
        <v>23236</v>
      </c>
      <c r="F12055" t="s">
        <v>23237</v>
      </c>
      <c r="G12055" t="s">
        <v>14</v>
      </c>
      <c r="H12055">
             </c>
      <c r="I12055" t="s">
        <v>14</v>
      </c>
      <c r="J12055" t="s">
        <v>55</v>
      </c>
      <c r="K12055" t="s">
        <v>14</v>
      </c>
      <c r="L12055" t="s">
        <v>20</v>
      </c>
      <c r="M12055" t="s">
        <v>23227</v>
      </c>
      <c r="N12055" t="s">
        <v>14</v>
      </c>
    </row>
    <row r="12056" x14ac:dyDescent="0.25">
      <c r="A12056" t="n">
        <v>23</v>
      </c>
      <c r="B12056" t="s">
        <v>14</v>
      </c>
      <c r="C12056" t="s">
        <v>22</v>
      </c>
      <c r="D12056" s="2" t="s">
        <f>=HYPERLINK("https://main.knesset.gov.il/APPS/legislation/main/bills/2087327", "הצעת חוק לתיקון פקודת מס הכנסה (ביטול הפטור ממס לתשלומים ושירותים הניתנים לראש הממשלה), התש""ף-2020")</f>
        <v>23238</v>
      </c>
      <c r="E12056" t="s">
        <v>23238</v>
      </c>
      <c r="F12056" t="s">
        <v>23239</v>
      </c>
      <c r="G12056" t="s">
        <v>14</v>
      </c>
      <c r="H12056">
             </c>
      <c r="I12056" t="s">
        <v>14</v>
      </c>
      <c r="J12056" t="s">
        <v>55</v>
      </c>
      <c r="K12056" t="s">
        <v>14</v>
      </c>
      <c r="L12056" t="s">
        <v>20</v>
      </c>
      <c r="M12056" t="s">
        <v>23227</v>
      </c>
      <c r="N12056" t="s">
        <v>14</v>
      </c>
    </row>
    <row r="12057" x14ac:dyDescent="0.25">
      <c r="A12057" t="n">
        <v>23</v>
      </c>
      <c r="B12057" t="s">
        <v>14</v>
      </c>
      <c r="C12057" t="s">
        <v>22</v>
      </c>
      <c r="D12057" s="2" t="s">
        <f>=HYPERLINK("https://main.knesset.gov.il/APPS/legislation/main/bills/2085608", "הצעת חוק הביטוח הלאומי (תיקון - דמי פגיעה לעצמאי), התש""ף-2020")</f>
        <v>23225</v>
      </c>
      <c r="E12057" t="s">
        <v>23225</v>
      </c>
      <c r="F12057" t="s">
        <v>23240</v>
      </c>
      <c r="G12057" t="s">
        <v>14</v>
      </c>
      <c r="H12057">
             </c>
      <c r="I12057" t="s">
        <v>14</v>
      </c>
      <c r="J12057" t="s">
        <v>55</v>
      </c>
      <c r="K12057" t="s">
        <v>14</v>
      </c>
      <c r="L12057" t="s">
        <v>20</v>
      </c>
      <c r="M12057" t="s">
        <v>23227</v>
      </c>
      <c r="N12057" t="s">
        <v>14</v>
      </c>
    </row>
    <row r="12058" x14ac:dyDescent="0.25">
      <c r="A12058" t="n">
        <v>23</v>
      </c>
      <c r="B12058" t="s">
        <v>14</v>
      </c>
      <c r="C12058" t="s">
        <v>15</v>
      </c>
      <c r="D12058" s="2" t="s">
        <f>=HYPERLINK("https://main.knesset.gov.il/APPS/legislation/main/bills/2142860", "חוק קיום דיונים בהיוועדות חזותית בהשתתפות עצורים, אסירים וכלואים בתקופת התפשטות נגיף הקורונה החדש (הוראת שעה), התש""ף-2020")</f>
        <v>23241</v>
      </c>
      <c r="E12058" t="s">
        <v>23241</v>
      </c>
      <c r="F12058" t="s">
        <v>14</v>
      </c>
      <c r="G12058" t="s">
        <v>23242</v>
      </c>
      <c r="H12058" t="n">
        <v>2839</v>
      </c>
      <c r="I12058" t="s">
        <v>14</v>
      </c>
      <c r="J12058" t="s">
        <v>91</v>
      </c>
      <c r="K12058" t="s">
        <v>27</v>
      </c>
      <c r="L12058" t="s">
        <v>20</v>
      </c>
      <c r="M12058" t="s">
        <v>23243</v>
      </c>
      <c r="N12058" t="s">
        <v>23244</v>
      </c>
    </row>
    <row r="12059" x14ac:dyDescent="0.25">
      <c r="A12059" t="n">
        <v>23</v>
      </c>
      <c r="B12059" t="s">
        <v>14</v>
      </c>
      <c r="C12059" t="s">
        <v>22</v>
      </c>
      <c r="D12059" s="2" t="s">
        <f>=HYPERLINK("https://main.knesset.gov.il/APPS/legislation/main/bills/2086693", "הצעת חוק הפסיכולוגים (תיקון - איסור טיפולי המרה), התש""ף-2020")</f>
        <v>23245</v>
      </c>
      <c r="E12059" t="s">
        <v>23245</v>
      </c>
      <c r="F12059" t="s">
        <v>23246</v>
      </c>
      <c r="G12059" t="s">
        <v>14</v>
      </c>
      <c r="H12059">
             </c>
      <c r="I12059" t="s">
        <v>14</v>
      </c>
      <c r="J12059" t="s">
        <v>31</v>
      </c>
      <c r="K12059" t="s">
        <v>15147</v>
      </c>
      <c r="L12059" t="s">
        <v>20</v>
      </c>
      <c r="M12059" t="s">
        <v>23243</v>
      </c>
      <c r="N12059" t="s">
        <v>14</v>
      </c>
    </row>
    <row r="12060" x14ac:dyDescent="0.25">
      <c r="A12060" t="n">
        <v>23</v>
      </c>
      <c r="B12060" t="s">
        <v>14</v>
      </c>
      <c r="C12060" t="s">
        <v>22</v>
      </c>
      <c r="D12060" s="2" t="s">
        <f>=HYPERLINK("https://main.knesset.gov.il/APPS/legislation/main/bills/2085868", "הצעת חוק הפסיכולוגים (תיקון - איסור טיפולי המרה), התש""ף-2020")</f>
        <v>23245</v>
      </c>
      <c r="E12060" t="s">
        <v>23245</v>
      </c>
      <c r="F12060" t="s">
        <v>23247</v>
      </c>
      <c r="G12060" t="s">
        <v>14</v>
      </c>
      <c r="H12060">
             </c>
      <c r="I12060" t="s">
        <v>14</v>
      </c>
      <c r="J12060" t="s">
        <v>31</v>
      </c>
      <c r="K12060" t="s">
        <v>15147</v>
      </c>
      <c r="L12060" t="s">
        <v>20</v>
      </c>
      <c r="M12060" t="s">
        <v>23243</v>
      </c>
      <c r="N12060" t="s">
        <v>14</v>
      </c>
    </row>
    <row r="12061" x14ac:dyDescent="0.25">
      <c r="A12061" t="n">
        <v>23</v>
      </c>
      <c r="B12061" t="s">
        <v>14</v>
      </c>
      <c r="C12061" t="s">
        <v>22</v>
      </c>
      <c r="D12061" s="2" t="s">
        <f>=HYPERLINK("https://main.knesset.gov.il/APPS/legislation/main/bills/2148069", "הצעת חוק-יסוד: הממשלה (תיקון - ביטול ממשלת חילופים)")</f>
        <v>4432</v>
      </c>
      <c r="E12061" t="s">
        <v>4432</v>
      </c>
      <c r="F12061" t="s">
        <v>23248</v>
      </c>
      <c r="G12061" t="s">
        <v>14</v>
      </c>
      <c r="H12061">
             </c>
      <c r="I12061" t="s">
        <v>14</v>
      </c>
      <c r="J12061" t="s">
        <v>141</v>
      </c>
      <c r="K12061" t="s">
        <v>14</v>
      </c>
      <c r="L12061" t="s">
        <v>20</v>
      </c>
      <c r="M12061" t="s">
        <v>23243</v>
      </c>
      <c r="N12061" t="s">
        <v>14</v>
      </c>
    </row>
    <row r="12062" x14ac:dyDescent="0.25">
      <c r="A12062" t="n">
        <v>23</v>
      </c>
      <c r="B12062" t="s">
        <v>14</v>
      </c>
      <c r="C12062" t="s">
        <v>22</v>
      </c>
      <c r="D12062" s="2" t="s">
        <f>=HYPERLINK("https://main.knesset.gov.il/APPS/legislation/main/bills/2146784", "הצעת חוק המועצה הארצית לביטחון תזונתי (תיקון - חיזוק מעמדה של המועצה), התשפ""א-2020")</f>
        <v>23249</v>
      </c>
      <c r="E12062" t="s">
        <v>23249</v>
      </c>
      <c r="F12062" t="s">
        <v>23250</v>
      </c>
      <c r="G12062" t="s">
        <v>14</v>
      </c>
      <c r="H12062">
             </c>
      <c r="I12062" t="s">
        <v>14</v>
      </c>
      <c r="J12062" t="s">
        <v>141</v>
      </c>
      <c r="K12062" t="s">
        <v>14</v>
      </c>
      <c r="L12062" t="s">
        <v>20</v>
      </c>
      <c r="M12062" t="s">
        <v>23243</v>
      </c>
      <c r="N12062" t="s">
        <v>14</v>
      </c>
    </row>
    <row r="12063" x14ac:dyDescent="0.25">
      <c r="A12063" t="n">
        <v>23</v>
      </c>
      <c r="B12063" t="s">
        <v>14</v>
      </c>
      <c r="C12063" t="s">
        <v>22</v>
      </c>
      <c r="D12063" s="2" t="s">
        <f>=HYPERLINK("https://main.knesset.gov.il/APPS/legislation/main/bills/2146769", "הצעת חוק-יסוד: השפיטה (תיקון - הגבלת זכות העמידה)")</f>
        <v>4330</v>
      </c>
      <c r="E12063" t="s">
        <v>4330</v>
      </c>
      <c r="F12063" t="s">
        <v>23251</v>
      </c>
      <c r="G12063" t="s">
        <v>14</v>
      </c>
      <c r="H12063">
             </c>
      <c r="I12063" t="s">
        <v>14</v>
      </c>
      <c r="J12063" t="s">
        <v>141</v>
      </c>
      <c r="K12063" t="s">
        <v>14</v>
      </c>
      <c r="L12063" t="s">
        <v>20</v>
      </c>
      <c r="M12063" t="s">
        <v>23243</v>
      </c>
      <c r="N12063" t="s">
        <v>14</v>
      </c>
    </row>
    <row r="12064" x14ac:dyDescent="0.25">
      <c r="A12064" t="n">
        <v>23</v>
      </c>
      <c r="B12064" t="s">
        <v>14</v>
      </c>
      <c r="C12064" t="s">
        <v>22</v>
      </c>
      <c r="D12064" s="2" t="s">
        <f>=HYPERLINK("https://main.knesset.gov.il/APPS/legislation/main/bills/2147303", "הצעת חוק החולה הנוטה למות (תיקון - מוות במרשם רופא), התשפ""א-2020")</f>
        <v>23252</v>
      </c>
      <c r="E12064" t="s">
        <v>23252</v>
      </c>
      <c r="F12064" t="s">
        <v>23253</v>
      </c>
      <c r="G12064" t="s">
        <v>14</v>
      </c>
      <c r="H12064">
             </c>
      <c r="I12064" t="s">
        <v>14</v>
      </c>
      <c r="J12064" t="s">
        <v>141</v>
      </c>
      <c r="K12064" t="s">
        <v>14</v>
      </c>
      <c r="L12064" t="s">
        <v>20</v>
      </c>
      <c r="M12064" t="s">
        <v>23243</v>
      </c>
      <c r="N12064" t="s">
        <v>14</v>
      </c>
    </row>
    <row r="12065" x14ac:dyDescent="0.25">
      <c r="A12065" t="n">
        <v>23</v>
      </c>
      <c r="B12065" t="s">
        <v>14</v>
      </c>
      <c r="C12065" t="s">
        <v>22</v>
      </c>
      <c r="D12065" s="2" t="s">
        <f>=HYPERLINK("https://main.knesset.gov.il/APPS/legislation/main/bills/2147070", "הצעת חוק חופשה שנתית (תיקון - ימי חופשה להורים שילדם נפטר), התשפ""א-2020")</f>
        <v>23254</v>
      </c>
      <c r="E12065" t="s">
        <v>23254</v>
      </c>
      <c r="F12065" t="s">
        <v>23255</v>
      </c>
      <c r="G12065" t="s">
        <v>14</v>
      </c>
      <c r="H12065">
             </c>
      <c r="I12065" t="s">
        <v>14</v>
      </c>
      <c r="J12065" t="s">
        <v>141</v>
      </c>
      <c r="K12065" t="s">
        <v>14</v>
      </c>
      <c r="L12065" t="s">
        <v>20</v>
      </c>
      <c r="M12065" t="s">
        <v>23243</v>
      </c>
      <c r="N12065" t="s">
        <v>14</v>
      </c>
    </row>
    <row r="12066" x14ac:dyDescent="0.25">
      <c r="A12066" t="n">
        <v>23</v>
      </c>
      <c r="B12066" t="s">
        <v>14</v>
      </c>
      <c r="C12066" t="s">
        <v>22</v>
      </c>
      <c r="D12066" s="2" t="s">
        <f>=HYPERLINK("https://main.knesset.gov.il/APPS/legislation/main/bills/2147522", "הצעת חוק לשכת עורכי הדין (תיקון - בחינת ההתמחות בעידן הקורונה), התשפ""א־2020 ")</f>
        <v>23256</v>
      </c>
      <c r="E12066" t="s">
        <v>23256</v>
      </c>
      <c r="F12066" t="s">
        <v>23257</v>
      </c>
      <c r="G12066" t="s">
        <v>14</v>
      </c>
      <c r="H12066">
             </c>
      <c r="I12066" t="s">
        <v>14</v>
      </c>
      <c r="J12066" t="s">
        <v>343</v>
      </c>
      <c r="K12066" t="s">
        <v>14</v>
      </c>
      <c r="L12066" t="s">
        <v>20</v>
      </c>
      <c r="M12066" t="s">
        <v>23243</v>
      </c>
      <c r="N12066" t="s">
        <v>14</v>
      </c>
    </row>
    <row r="12067" x14ac:dyDescent="0.25">
      <c r="A12067" t="n">
        <v>23</v>
      </c>
      <c r="B12067" t="s">
        <v>14</v>
      </c>
      <c r="C12067" t="s">
        <v>22</v>
      </c>
      <c r="D12067" s="2" t="s">
        <f>=HYPERLINK("https://main.knesset.gov.il/APPS/legislation/main/bills/2144493", "הצעת חוק המחאת חיובים (תיקון - המחאת חיובים לגוף מפוקח), התשפ""א-2020")</f>
        <v>23258</v>
      </c>
      <c r="E12067" t="s">
        <v>23258</v>
      </c>
      <c r="F12067" t="s">
        <v>23259</v>
      </c>
      <c r="G12067" t="s">
        <v>14</v>
      </c>
      <c r="H12067">
             </c>
      <c r="I12067" t="s">
        <v>14</v>
      </c>
      <c r="J12067" t="s">
        <v>141</v>
      </c>
      <c r="K12067" t="s">
        <v>14</v>
      </c>
      <c r="L12067" t="s">
        <v>20</v>
      </c>
      <c r="M12067" t="s">
        <v>23243</v>
      </c>
      <c r="N12067" t="s">
        <v>14</v>
      </c>
    </row>
    <row r="12068" x14ac:dyDescent="0.25">
      <c r="A12068" t="n">
        <v>23</v>
      </c>
      <c r="B12068" t="s">
        <v>14</v>
      </c>
      <c r="C12068" t="s">
        <v>22</v>
      </c>
      <c r="D12068" s="2" t="s">
        <f>=HYPERLINK("https://main.knesset.gov.il/APPS/legislation/main/bills/2147313", "הצעת חוק סדר הדין הפלילי (סמכויות אכיפה - מעצרים) (תיקון - מעצר אדם שנאשם בסיכון בטחונו של בעל חיים), התשפ""א-2020")</f>
        <v>23260</v>
      </c>
      <c r="E12068" t="s">
        <v>23260</v>
      </c>
      <c r="F12068" t="s">
        <v>23261</v>
      </c>
      <c r="G12068" t="s">
        <v>14</v>
      </c>
      <c r="H12068">
             </c>
      <c r="I12068" t="s">
        <v>14</v>
      </c>
      <c r="J12068" t="s">
        <v>141</v>
      </c>
      <c r="K12068" t="s">
        <v>14</v>
      </c>
      <c r="L12068" t="s">
        <v>20</v>
      </c>
      <c r="M12068" t="s">
        <v>23243</v>
      </c>
      <c r="N12068" t="s">
        <v>14</v>
      </c>
    </row>
    <row r="12069" x14ac:dyDescent="0.25">
      <c r="A12069" t="n">
        <v>23</v>
      </c>
      <c r="B12069" t="s">
        <v>14</v>
      </c>
      <c r="C12069" t="s">
        <v>22</v>
      </c>
      <c r="D12069" s="2" t="s">
        <f>=HYPERLINK("https://main.knesset.gov.il/APPS/legislation/main/bills/2147157", "הצעת חוק סדר הדין הפלילי (סמכויות אכיפה - מעצרים) (תיקון - הגדרת מסוכנות של פוגעים בבעלי חיים), התשפ""א-2020")</f>
        <v>23262</v>
      </c>
      <c r="E12069" t="s">
        <v>23262</v>
      </c>
      <c r="F12069" t="s">
        <v>23263</v>
      </c>
      <c r="G12069" t="s">
        <v>14</v>
      </c>
      <c r="H12069">
             </c>
      <c r="I12069" t="s">
        <v>14</v>
      </c>
      <c r="J12069" t="s">
        <v>141</v>
      </c>
      <c r="K12069" t="s">
        <v>14</v>
      </c>
      <c r="L12069" t="s">
        <v>20</v>
      </c>
      <c r="M12069" t="s">
        <v>23243</v>
      </c>
      <c r="N12069" t="s">
        <v>14</v>
      </c>
    </row>
    <row r="12070" x14ac:dyDescent="0.25">
      <c r="A12070" t="n">
        <v>23</v>
      </c>
      <c r="B12070" t="s">
        <v>14</v>
      </c>
      <c r="C12070" t="s">
        <v>22</v>
      </c>
      <c r="D12070" s="2" t="s">
        <f>=HYPERLINK("https://main.knesset.gov.il/APPS/legislation/main/bills/2147018", "הצעת חוק הפחתת תוספות פיגור שנוספו על קנסות הנגבים בידי המרכז לגביית קנסות, אגרות והוצאות (הוראת שעה), התשפ""א-2020")</f>
        <v>23264</v>
      </c>
      <c r="E12070" t="s">
        <v>23264</v>
      </c>
      <c r="F12070" t="s">
        <v>23265</v>
      </c>
      <c r="G12070" t="s">
        <v>14</v>
      </c>
      <c r="H12070">
             </c>
      <c r="I12070" t="s">
        <v>14</v>
      </c>
      <c r="J12070" t="s">
        <v>141</v>
      </c>
      <c r="K12070" t="s">
        <v>14</v>
      </c>
      <c r="L12070" t="s">
        <v>20</v>
      </c>
      <c r="M12070" t="s">
        <v>23243</v>
      </c>
      <c r="N12070" t="s">
        <v>14</v>
      </c>
    </row>
    <row r="12071" x14ac:dyDescent="0.25">
      <c r="A12071" t="n">
        <v>23</v>
      </c>
      <c r="B12071" t="s">
        <v>14</v>
      </c>
      <c r="C12071" t="s">
        <v>22</v>
      </c>
      <c r="D12071" s="2" t="s">
        <f>=HYPERLINK("https://main.knesset.gov.il/APPS/legislation/main/bills/2147464", "הצעת חוק העונשין (תיקון - הרחבת הגדרת הגזענות), התשפ""א-2020")</f>
        <v>23266</v>
      </c>
      <c r="E12071" t="s">
        <v>23266</v>
      </c>
      <c r="F12071" t="s">
        <v>23267</v>
      </c>
      <c r="G12071" t="s">
        <v>14</v>
      </c>
      <c r="H12071">
             </c>
      <c r="I12071" t="s">
        <v>14</v>
      </c>
      <c r="J12071" t="s">
        <v>141</v>
      </c>
      <c r="K12071" t="s">
        <v>14</v>
      </c>
      <c r="L12071" t="s">
        <v>20</v>
      </c>
      <c r="M12071" t="s">
        <v>23243</v>
      </c>
      <c r="N12071" t="s">
        <v>14</v>
      </c>
    </row>
    <row r="12072" x14ac:dyDescent="0.25">
      <c r="A12072" t="n">
        <v>23</v>
      </c>
      <c r="B12072" t="s">
        <v>14</v>
      </c>
      <c r="C12072" t="s">
        <v>22</v>
      </c>
      <c r="D12072" s="2" t="s">
        <f>=HYPERLINK("https://main.knesset.gov.il/APPS/legislation/main/bills/2147489", "הצעת חוק-יסוד: כבוד האדם וחירותו (תיקון - תוקפו של חוק חורג)")</f>
        <v>11944</v>
      </c>
      <c r="E12072" t="s">
        <v>11944</v>
      </c>
      <c r="F12072" t="s">
        <v>23268</v>
      </c>
      <c r="G12072" t="s">
        <v>14</v>
      </c>
      <c r="H12072">
             </c>
      <c r="I12072" t="s">
        <v>14</v>
      </c>
      <c r="J12072" t="s">
        <v>141</v>
      </c>
      <c r="K12072" t="s">
        <v>14</v>
      </c>
      <c r="L12072" t="s">
        <v>20</v>
      </c>
      <c r="M12072" t="s">
        <v>23243</v>
      </c>
      <c r="N12072" t="s">
        <v>14</v>
      </c>
    </row>
    <row r="12073" x14ac:dyDescent="0.25">
      <c r="A12073" t="n">
        <v>23</v>
      </c>
      <c r="B12073" t="s">
        <v>14</v>
      </c>
      <c r="C12073" t="s">
        <v>22</v>
      </c>
      <c r="D12073" s="2" t="s">
        <f>=HYPERLINK("https://main.knesset.gov.il/APPS/legislation/main/bills/2147112", "הצעת חוק-יסוד: השפיטה (תיקון - מינוי שופטים)")</f>
        <v>23269</v>
      </c>
      <c r="E12073" t="s">
        <v>23269</v>
      </c>
      <c r="F12073" t="s">
        <v>23270</v>
      </c>
      <c r="G12073" t="s">
        <v>14</v>
      </c>
      <c r="H12073">
             </c>
      <c r="I12073" t="s">
        <v>14</v>
      </c>
      <c r="J12073" t="s">
        <v>141</v>
      </c>
      <c r="K12073" t="s">
        <v>14</v>
      </c>
      <c r="L12073" t="s">
        <v>20</v>
      </c>
      <c r="M12073" t="s">
        <v>23243</v>
      </c>
      <c r="N12073" t="s">
        <v>14</v>
      </c>
    </row>
    <row r="12074" x14ac:dyDescent="0.25">
      <c r="A12074" t="n">
        <v>23</v>
      </c>
      <c r="B12074" t="s">
        <v>14</v>
      </c>
      <c r="C12074" t="s">
        <v>22</v>
      </c>
      <c r="D12074" s="2" t="s">
        <f>=HYPERLINK("https://main.knesset.gov.il/APPS/legislation/main/bills/2147467", "הצעת חוק-יסוד: בחירות אזוריות וארציות (תיקוני חקיקה)")</f>
        <v>13073</v>
      </c>
      <c r="E12074" t="s">
        <v>13073</v>
      </c>
      <c r="F12074" t="s">
        <v>23271</v>
      </c>
      <c r="G12074" t="s">
        <v>14</v>
      </c>
      <c r="H12074">
             </c>
      <c r="I12074" t="s">
        <v>14</v>
      </c>
      <c r="J12074" t="s">
        <v>141</v>
      </c>
      <c r="K12074" t="s">
        <v>14</v>
      </c>
      <c r="L12074" t="s">
        <v>20</v>
      </c>
      <c r="M12074" t="s">
        <v>23243</v>
      </c>
      <c r="N12074" t="s">
        <v>14</v>
      </c>
    </row>
    <row r="12075" x14ac:dyDescent="0.25">
      <c r="A12075" t="n">
        <v>23</v>
      </c>
      <c r="B12075" t="s">
        <v>14</v>
      </c>
      <c r="C12075" t="s">
        <v>22</v>
      </c>
      <c r="D12075" s="2" t="s">
        <f>=HYPERLINK("https://main.knesset.gov.il/APPS/legislation/main/bills/2145286", "הצעת חוק ועדת חקירה מיוחדת לרכש ספינות השיט והצוללות לחיל הים, התשפ""א-2020")</f>
        <v>23272</v>
      </c>
      <c r="E12075" t="s">
        <v>23272</v>
      </c>
      <c r="F12075" t="s">
        <v>23273</v>
      </c>
      <c r="G12075" t="s">
        <v>14</v>
      </c>
      <c r="H12075">
             </c>
      <c r="I12075" t="s">
        <v>14</v>
      </c>
      <c r="J12075" t="s">
        <v>141</v>
      </c>
      <c r="K12075" t="s">
        <v>14</v>
      </c>
      <c r="L12075" t="s">
        <v>20</v>
      </c>
      <c r="M12075" t="s">
        <v>23243</v>
      </c>
      <c r="N12075" t="s">
        <v>14</v>
      </c>
    </row>
    <row r="12076" x14ac:dyDescent="0.25">
      <c r="A12076" t="n">
        <v>23</v>
      </c>
      <c r="B12076" t="s">
        <v>14</v>
      </c>
      <c r="C12076" t="s">
        <v>22</v>
      </c>
      <c r="D12076" s="2" t="s">
        <f>=HYPERLINK("https://main.knesset.gov.il/APPS/legislation/main/bills/2145285", "הצעת חוק איסור כספים קואליציוניים, התשפ""א-2020")</f>
        <v>23274</v>
      </c>
      <c r="E12076" t="s">
        <v>23274</v>
      </c>
      <c r="F12076" t="s">
        <v>23275</v>
      </c>
      <c r="G12076" t="s">
        <v>14</v>
      </c>
      <c r="H12076">
             </c>
      <c r="I12076" t="s">
        <v>14</v>
      </c>
      <c r="J12076" t="s">
        <v>141</v>
      </c>
      <c r="K12076" t="s">
        <v>14</v>
      </c>
      <c r="L12076" t="s">
        <v>20</v>
      </c>
      <c r="M12076" t="s">
        <v>23243</v>
      </c>
      <c r="N12076" t="s">
        <v>14</v>
      </c>
    </row>
    <row r="12077" x14ac:dyDescent="0.25">
      <c r="A12077" t="n">
        <v>23</v>
      </c>
      <c r="B12077" t="s">
        <v>14</v>
      </c>
      <c r="C12077" t="s">
        <v>22</v>
      </c>
      <c r="D12077" s="2" t="s">
        <f>=HYPERLINK("https://main.knesset.gov.il/APPS/legislation/main/bills/2087672", "הצעת חוק סדר הדין הפלילי (תיקון - ביטול האיסור המוטל על המשטרה למסור לפרקליטות עמדה בכתב לעניין מכלול התשתית הראייתית), התשפ""א-2020")</f>
        <v>23276</v>
      </c>
      <c r="E12077" t="s">
        <v>23276</v>
      </c>
      <c r="F12077" t="s">
        <v>23277</v>
      </c>
      <c r="G12077" t="s">
        <v>14</v>
      </c>
      <c r="H12077">
             </c>
      <c r="I12077" t="s">
        <v>14</v>
      </c>
      <c r="J12077" t="s">
        <v>141</v>
      </c>
      <c r="K12077" t="s">
        <v>14</v>
      </c>
      <c r="L12077" t="s">
        <v>20</v>
      </c>
      <c r="M12077" t="s">
        <v>23243</v>
      </c>
      <c r="N12077" t="s">
        <v>14</v>
      </c>
    </row>
    <row r="12078" x14ac:dyDescent="0.25">
      <c r="A12078" t="n">
        <v>23</v>
      </c>
      <c r="B12078" t="s">
        <v>14</v>
      </c>
      <c r="C12078" t="s">
        <v>22</v>
      </c>
      <c r="D12078" s="2" t="s">
        <f>=HYPERLINK("https://main.knesset.gov.il/APPS/legislation/main/bills/2146304", "הצעת חוק לשכת עורכי הדין (תיקון - הנחיות למתן ציונים במבחני הסמכה) (הוראת שעה), התשפ""א-2020")</f>
        <v>23278</v>
      </c>
      <c r="E12078" t="s">
        <v>23278</v>
      </c>
      <c r="F12078" t="s">
        <v>23279</v>
      </c>
      <c r="G12078" t="s">
        <v>14</v>
      </c>
      <c r="H12078">
             </c>
      <c r="I12078" t="s">
        <v>14</v>
      </c>
      <c r="J12078" t="s">
        <v>343</v>
      </c>
      <c r="K12078" t="s">
        <v>14</v>
      </c>
      <c r="L12078" t="s">
        <v>20</v>
      </c>
      <c r="M12078" t="s">
        <v>23243</v>
      </c>
      <c r="N12078" t="s">
        <v>14</v>
      </c>
    </row>
    <row r="12079" x14ac:dyDescent="0.25">
      <c r="A12079" t="n">
        <v>23</v>
      </c>
      <c r="B12079" t="s">
        <v>14</v>
      </c>
      <c r="C12079" t="s">
        <v>22</v>
      </c>
      <c r="D12079" s="2" t="s">
        <f>=HYPERLINK("https://main.knesset.gov.il/APPS/legislation/main/bills/2145284", "הצעת חוק הנציבות לצמצום הרגולציה והבירוקרטיה הממשלתית, התשפ""א-2020")</f>
        <v>23280</v>
      </c>
      <c r="E12079" t="s">
        <v>23280</v>
      </c>
      <c r="F12079" t="s">
        <v>23281</v>
      </c>
      <c r="G12079" t="s">
        <v>14</v>
      </c>
      <c r="H12079">
             </c>
      <c r="I12079" t="s">
        <v>14</v>
      </c>
      <c r="J12079" t="s">
        <v>141</v>
      </c>
      <c r="K12079" t="s">
        <v>14</v>
      </c>
      <c r="L12079" t="s">
        <v>20</v>
      </c>
      <c r="M12079" t="s">
        <v>23243</v>
      </c>
      <c r="N12079" t="s">
        <v>14</v>
      </c>
    </row>
    <row r="12080" x14ac:dyDescent="0.25">
      <c r="A12080" t="n">
        <v>23</v>
      </c>
      <c r="B12080" t="s">
        <v>14</v>
      </c>
      <c r="C12080" t="s">
        <v>22</v>
      </c>
      <c r="D12080" s="2" t="s">
        <f>=HYPERLINK("https://main.knesset.gov.il/APPS/legislation/main/bills/2145637", "הצעת חוק שנת שירות, התשפ""א-2020")</f>
        <v>23282</v>
      </c>
      <c r="E12080" t="s">
        <v>23282</v>
      </c>
      <c r="F12080" t="s">
        <v>23283</v>
      </c>
      <c r="G12080" t="s">
        <v>14</v>
      </c>
      <c r="H12080">
             </c>
      <c r="I12080" t="s">
        <v>14</v>
      </c>
      <c r="J12080" t="s">
        <v>141</v>
      </c>
      <c r="K12080" t="s">
        <v>14</v>
      </c>
      <c r="L12080" t="s">
        <v>20</v>
      </c>
      <c r="M12080" t="s">
        <v>23243</v>
      </c>
      <c r="N12080" t="s">
        <v>14</v>
      </c>
    </row>
    <row r="12081" x14ac:dyDescent="0.25">
      <c r="A12081" t="n">
        <v>23</v>
      </c>
      <c r="B12081" t="s">
        <v>14</v>
      </c>
      <c r="C12081" t="s">
        <v>22</v>
      </c>
      <c r="D12081" s="2" t="s">
        <f>=HYPERLINK("https://main.knesset.gov.il/APPS/legislation/main/bills/2145622", "הצעת חוק הסדרים במשק המדינה (תיקוני חקיקה להשגת יעדי התקציב) (תיקון - הנחה בארנונה לסטודנטים בעבור התנדבות), התשפ""א-2020")</f>
        <v>23284</v>
      </c>
      <c r="E12081" t="s">
        <v>23284</v>
      </c>
      <c r="F12081" t="s">
        <v>23285</v>
      </c>
      <c r="G12081" t="s">
        <v>14</v>
      </c>
      <c r="H12081">
             </c>
      <c r="I12081" t="s">
        <v>14</v>
      </c>
      <c r="J12081" t="s">
        <v>141</v>
      </c>
      <c r="K12081" t="s">
        <v>14</v>
      </c>
      <c r="L12081" t="s">
        <v>20</v>
      </c>
      <c r="M12081" t="s">
        <v>23243</v>
      </c>
      <c r="N12081" t="s">
        <v>14</v>
      </c>
    </row>
    <row r="12082" x14ac:dyDescent="0.25">
      <c r="A12082" t="n">
        <v>23</v>
      </c>
      <c r="B12082" t="s">
        <v>14</v>
      </c>
      <c r="C12082" t="s">
        <v>22</v>
      </c>
      <c r="D12082" s="2" t="s">
        <f>=HYPERLINK("https://main.knesset.gov.il/APPS/legislation/main/bills/2145883", "הצעת חוק אסדרת שוק הקנאביס לצריכה עצמית, התשפ""א-2020")</f>
        <v>23286</v>
      </c>
      <c r="E12082" t="s">
        <v>23286</v>
      </c>
      <c r="F12082" t="s">
        <v>23287</v>
      </c>
      <c r="G12082" t="s">
        <v>14</v>
      </c>
      <c r="H12082">
             </c>
      <c r="I12082" t="s">
        <v>14</v>
      </c>
      <c r="J12082" t="s">
        <v>343</v>
      </c>
      <c r="K12082" t="s">
        <v>14</v>
      </c>
      <c r="L12082" t="s">
        <v>20</v>
      </c>
      <c r="M12082" t="s">
        <v>23243</v>
      </c>
      <c r="N12082" t="s">
        <v>14</v>
      </c>
    </row>
    <row r="12083" x14ac:dyDescent="0.25">
      <c r="A12083" t="n">
        <v>23</v>
      </c>
      <c r="B12083" t="s">
        <v>14</v>
      </c>
      <c r="C12083" t="s">
        <v>22</v>
      </c>
      <c r="D12083" s="2" t="s">
        <f>=HYPERLINK("https://main.knesset.gov.il/APPS/legislation/main/bills/2146242", "הצעת חוק להקפאת קצבאות שמשולמות לפעיל טרור ומשפחתו מקופת המדינה, התשפ""א-2020")</f>
        <v>23288</v>
      </c>
      <c r="E12083" t="s">
        <v>23288</v>
      </c>
      <c r="F12083" t="s">
        <v>23289</v>
      </c>
      <c r="G12083" t="s">
        <v>14</v>
      </c>
      <c r="H12083">
             </c>
      <c r="I12083" t="s">
        <v>14</v>
      </c>
      <c r="J12083" t="s">
        <v>141</v>
      </c>
      <c r="K12083" t="s">
        <v>14</v>
      </c>
      <c r="L12083" t="s">
        <v>20</v>
      </c>
      <c r="M12083" t="s">
        <v>23243</v>
      </c>
      <c r="N12083" t="s">
        <v>14</v>
      </c>
    </row>
    <row r="12084" x14ac:dyDescent="0.25">
      <c r="A12084" t="n">
        <v>23</v>
      </c>
      <c r="B12084" t="s">
        <v>14</v>
      </c>
      <c r="C12084" t="s">
        <v>22</v>
      </c>
      <c r="D12084" s="2" t="s">
        <f>=HYPERLINK("https://main.knesset.gov.il/APPS/legislation/main/bills/2142205", "הצעת חוק הביטוח הלאומי (תיקון - גמלת סיעוד מטעמים הומניטריים להורה שילדו עלה לפי חוק השבות), התשפ""א-2020")</f>
        <v>23290</v>
      </c>
      <c r="E12084" t="s">
        <v>23290</v>
      </c>
      <c r="F12084" t="s">
        <v>23291</v>
      </c>
      <c r="G12084" t="s">
        <v>14</v>
      </c>
      <c r="H12084">
             </c>
      <c r="I12084" t="s">
        <v>14</v>
      </c>
      <c r="J12084" t="s">
        <v>141</v>
      </c>
      <c r="K12084" t="s">
        <v>14</v>
      </c>
      <c r="L12084" t="s">
        <v>20</v>
      </c>
      <c r="M12084" t="s">
        <v>23243</v>
      </c>
      <c r="N12084" t="s">
        <v>14</v>
      </c>
    </row>
    <row r="12085" x14ac:dyDescent="0.25">
      <c r="A12085" t="n">
        <v>23</v>
      </c>
      <c r="B12085" t="s">
        <v>14</v>
      </c>
      <c r="C12085" t="s">
        <v>22</v>
      </c>
      <c r="D12085" s="2" t="s">
        <f>=HYPERLINK("https://main.knesset.gov.il/APPS/legislation/main/bills/2147530", "הצעת חוק זכויות החולה (תיקון - הכנסת מזון למוסדות רפואיים בחג הפסח), התשפ""א-2020")</f>
        <v>23292</v>
      </c>
      <c r="E12085" t="s">
        <v>23292</v>
      </c>
      <c r="F12085" t="s">
        <v>23293</v>
      </c>
      <c r="G12085" t="s">
        <v>14</v>
      </c>
      <c r="H12085">
             </c>
      <c r="I12085" t="s">
        <v>14</v>
      </c>
      <c r="J12085" t="s">
        <v>141</v>
      </c>
      <c r="K12085" t="s">
        <v>14</v>
      </c>
      <c r="L12085" t="s">
        <v>20</v>
      </c>
      <c r="M12085" t="s">
        <v>23243</v>
      </c>
      <c r="N12085" t="s">
        <v>14</v>
      </c>
    </row>
    <row r="12086" x14ac:dyDescent="0.25">
      <c r="A12086" t="n">
        <v>23</v>
      </c>
      <c r="B12086" t="s">
        <v>14</v>
      </c>
      <c r="C12086" t="s">
        <v>22</v>
      </c>
      <c r="D12086" s="2" t="s">
        <f>=HYPERLINK("https://main.knesset.gov.il/APPS/legislation/main/bills/2147384", "הצעת חוק הביטוח הלאומי (תיקון - דמי אבטלה למתמחים), התשפ""א-2020")</f>
        <v>23294</v>
      </c>
      <c r="E12086" t="s">
        <v>23294</v>
      </c>
      <c r="F12086" t="s">
        <v>23295</v>
      </c>
      <c r="G12086" t="s">
        <v>14</v>
      </c>
      <c r="H12086">
             </c>
      <c r="I12086" t="s">
        <v>14</v>
      </c>
      <c r="J12086" t="s">
        <v>141</v>
      </c>
      <c r="K12086" t="s">
        <v>14</v>
      </c>
      <c r="L12086" t="s">
        <v>20</v>
      </c>
      <c r="M12086" t="s">
        <v>23243</v>
      </c>
      <c r="N12086" t="s">
        <v>14</v>
      </c>
    </row>
    <row r="12087" x14ac:dyDescent="0.25">
      <c r="A12087" t="n">
        <v>23</v>
      </c>
      <c r="B12087" t="s">
        <v>14</v>
      </c>
      <c r="C12087" t="s">
        <v>22</v>
      </c>
      <c r="D12087" s="2" t="s">
        <f>=HYPERLINK("https://main.knesset.gov.il/APPS/legislation/main/bills/2146452", "הצעת חוק הבטחת הכנסה (תיקון - הגדלת הגמלה), התשפ""א-2020")</f>
        <v>23296</v>
      </c>
      <c r="E12087" t="s">
        <v>23296</v>
      </c>
      <c r="F12087" t="s">
        <v>23297</v>
      </c>
      <c r="G12087" t="s">
        <v>14</v>
      </c>
      <c r="H12087">
             </c>
      <c r="I12087" t="s">
        <v>14</v>
      </c>
      <c r="J12087" t="s">
        <v>141</v>
      </c>
      <c r="K12087" t="s">
        <v>14</v>
      </c>
      <c r="L12087" t="s">
        <v>20</v>
      </c>
      <c r="M12087" t="s">
        <v>23243</v>
      </c>
      <c r="N12087" t="s">
        <v>14</v>
      </c>
    </row>
    <row r="12088" x14ac:dyDescent="0.25">
      <c r="A12088" t="n">
        <v>23</v>
      </c>
      <c r="B12088" t="s">
        <v>14</v>
      </c>
      <c r="C12088" t="s">
        <v>22</v>
      </c>
      <c r="D12088" s="2" t="s">
        <f>=HYPERLINK("https://main.knesset.gov.il/APPS/legislation/main/bills/2140955", "הצעת חוק ערבויות מטעם המדינה בשעת חירום (תיקוני חקיקה), התשפ""א-2020")</f>
        <v>23298</v>
      </c>
      <c r="E12088" t="s">
        <v>23298</v>
      </c>
      <c r="F12088" t="s">
        <v>23299</v>
      </c>
      <c r="G12088" t="s">
        <v>14</v>
      </c>
      <c r="H12088">
             </c>
      <c r="I12088" t="s">
        <v>14</v>
      </c>
      <c r="J12088" t="s">
        <v>141</v>
      </c>
      <c r="K12088" t="s">
        <v>14</v>
      </c>
      <c r="L12088" t="s">
        <v>20</v>
      </c>
      <c r="M12088" t="s">
        <v>23243</v>
      </c>
      <c r="N12088" t="s">
        <v>14</v>
      </c>
    </row>
    <row r="12089" x14ac:dyDescent="0.25">
      <c r="A12089" t="n">
        <v>23</v>
      </c>
      <c r="B12089" t="s">
        <v>14</v>
      </c>
      <c r="C12089" t="s">
        <v>22</v>
      </c>
      <c r="D12089" s="2" t="s">
        <f>=HYPERLINK("https://main.knesset.gov.il/APPS/legislation/main/bills/2146885", "הצעת חוק הביטוח הלאומי (תיקון - הארכת מועד הזכות למענק בשל עבודה מועדפת) (הוראת שעה), התשפ""א-2020")</f>
        <v>23300</v>
      </c>
      <c r="E12089" t="s">
        <v>23300</v>
      </c>
      <c r="F12089" t="s">
        <v>23301</v>
      </c>
      <c r="G12089" t="s">
        <v>14</v>
      </c>
      <c r="H12089">
             </c>
      <c r="I12089" t="s">
        <v>14</v>
      </c>
      <c r="J12089" t="s">
        <v>141</v>
      </c>
      <c r="K12089" t="s">
        <v>14</v>
      </c>
      <c r="L12089" t="s">
        <v>20</v>
      </c>
      <c r="M12089" t="s">
        <v>23243</v>
      </c>
      <c r="N12089" t="s">
        <v>14</v>
      </c>
    </row>
    <row r="12090" x14ac:dyDescent="0.25">
      <c r="A12090" t="n">
        <v>23</v>
      </c>
      <c r="B12090" t="s">
        <v>14</v>
      </c>
      <c r="C12090" t="s">
        <v>22</v>
      </c>
      <c r="D12090" s="2" t="s">
        <f>=HYPERLINK("https://main.knesset.gov.il/APPS/legislation/main/bills/2147306", "הצעת חוק צער בעלי חיים (הגנה על בעלי חיים) (תיקון - החמרת ענישה בגין התעללות בבעלי חיים), התשפ""א-2020")</f>
        <v>23302</v>
      </c>
      <c r="E12090" t="s">
        <v>23302</v>
      </c>
      <c r="F12090" t="s">
        <v>23303</v>
      </c>
      <c r="G12090" t="s">
        <v>14</v>
      </c>
      <c r="H12090">
             </c>
      <c r="I12090" t="s">
        <v>14</v>
      </c>
      <c r="J12090" t="s">
        <v>141</v>
      </c>
      <c r="K12090" t="s">
        <v>14</v>
      </c>
      <c r="L12090" t="s">
        <v>20</v>
      </c>
      <c r="M12090" t="s">
        <v>23243</v>
      </c>
      <c r="N12090" t="s">
        <v>14</v>
      </c>
    </row>
    <row r="12091" x14ac:dyDescent="0.25">
      <c r="A12091" t="n">
        <v>23</v>
      </c>
      <c r="B12091" t="s">
        <v>14</v>
      </c>
      <c r="C12091" t="s">
        <v>22</v>
      </c>
      <c r="D12091" s="2" t="s">
        <f>=HYPERLINK("https://main.knesset.gov.il/APPS/legislation/main/bills/2147485", "הצעת חוק חיזוק מעמד חברי המועצה מקרב סיעות האופוזיציה (תיקוני חקיקה), התשפ""א-2020")</f>
        <v>23304</v>
      </c>
      <c r="E12091" t="s">
        <v>23304</v>
      </c>
      <c r="F12091" t="s">
        <v>23305</v>
      </c>
      <c r="G12091" t="s">
        <v>14</v>
      </c>
      <c r="H12091">
             </c>
      <c r="I12091" t="s">
        <v>14</v>
      </c>
      <c r="J12091" t="s">
        <v>141</v>
      </c>
      <c r="K12091" t="s">
        <v>14</v>
      </c>
      <c r="L12091" t="s">
        <v>20</v>
      </c>
      <c r="M12091" t="s">
        <v>23243</v>
      </c>
      <c r="N12091" t="s">
        <v>14</v>
      </c>
    </row>
    <row r="12092" x14ac:dyDescent="0.25">
      <c r="A12092" t="n">
        <v>23</v>
      </c>
      <c r="B12092" t="s">
        <v>14</v>
      </c>
      <c r="C12092" t="s">
        <v>22</v>
      </c>
      <c r="D12092" s="2" t="s">
        <f>=HYPERLINK("https://main.knesset.gov.il/APPS/legislation/main/bills/2146720", "הצעת חוק צער בעלי חיים (הגנה על בעלי חיים) (תיקון - קביעת עונש מינימום בגין התעללות בבעלי חיים), התשפ""א-2020")</f>
        <v>23306</v>
      </c>
      <c r="E12092" t="s">
        <v>23306</v>
      </c>
      <c r="F12092" t="s">
        <v>23307</v>
      </c>
      <c r="G12092" t="s">
        <v>14</v>
      </c>
      <c r="H12092">
             </c>
      <c r="I12092" t="s">
        <v>14</v>
      </c>
      <c r="J12092" t="s">
        <v>141</v>
      </c>
      <c r="K12092" t="s">
        <v>14</v>
      </c>
      <c r="L12092" t="s">
        <v>20</v>
      </c>
      <c r="M12092" t="s">
        <v>23243</v>
      </c>
      <c r="N12092" t="s">
        <v>14</v>
      </c>
    </row>
    <row r="12093" x14ac:dyDescent="0.25">
      <c r="A12093" t="n">
        <v>23</v>
      </c>
      <c r="B12093" t="s">
        <v>14</v>
      </c>
      <c r="C12093" t="s">
        <v>22</v>
      </c>
      <c r="D12093" s="2" t="s">
        <f>=HYPERLINK("https://main.knesset.gov.il/APPS/legislation/main/bills/2147307", "הצעת חוק צער בעלי חיים (הגנה על בעלי חיים) (תיקון - קביעת עונש מינימום בגין התעללות בבעלי חיים), התשפ""א-2020")</f>
        <v>23306</v>
      </c>
      <c r="E12093" t="s">
        <v>23306</v>
      </c>
      <c r="F12093" t="s">
        <v>23308</v>
      </c>
      <c r="G12093" t="s">
        <v>14</v>
      </c>
      <c r="H12093">
             </c>
      <c r="I12093" t="s">
        <v>14</v>
      </c>
      <c r="J12093" t="s">
        <v>141</v>
      </c>
      <c r="K12093" t="s">
        <v>14</v>
      </c>
      <c r="L12093" t="s">
        <v>20</v>
      </c>
      <c r="M12093" t="s">
        <v>23243</v>
      </c>
      <c r="N12093" t="s">
        <v>14</v>
      </c>
    </row>
    <row r="12094" x14ac:dyDescent="0.25">
      <c r="A12094" t="n">
        <v>23</v>
      </c>
      <c r="B12094" t="s">
        <v>14</v>
      </c>
      <c r="C12094" t="s">
        <v>22</v>
      </c>
      <c r="D12094" s="2" t="s">
        <f>=HYPERLINK("https://main.knesset.gov.il/APPS/legislation/main/bills/2147523", "הצעת חוק לתיקון דיני הרשויות המקומיות (ביטול סמכות שר הפנים לעניין חוקי עזר בדבר פתיחתם וסגירתם של עסקים בימי מנוחה), התשפ""א-2020")</f>
        <v>22992</v>
      </c>
      <c r="E12094" t="s">
        <v>22992</v>
      </c>
      <c r="F12094" t="s">
        <v>23309</v>
      </c>
      <c r="G12094" t="s">
        <v>14</v>
      </c>
      <c r="H12094">
             </c>
      <c r="I12094" t="s">
        <v>14</v>
      </c>
      <c r="J12094" t="s">
        <v>141</v>
      </c>
      <c r="K12094" t="s">
        <v>14</v>
      </c>
      <c r="L12094" t="s">
        <v>20</v>
      </c>
      <c r="M12094" t="s">
        <v>23243</v>
      </c>
      <c r="N12094" t="s">
        <v>14</v>
      </c>
    </row>
    <row r="12095" x14ac:dyDescent="0.25">
      <c r="A12095" t="n">
        <v>23</v>
      </c>
      <c r="B12095" t="s">
        <v>14</v>
      </c>
      <c r="C12095" t="s">
        <v>22</v>
      </c>
      <c r="D12095" s="2" t="s">
        <f>=HYPERLINK("https://main.knesset.gov.il/APPS/legislation/main/bills/2147479", "הצעת חוק הגנת הצרכן (תיקון - סימון תוצרת חקלאית שיוצרה במדינת ישראל), התשפ""א-2020")</f>
        <v>23310</v>
      </c>
      <c r="E12095" t="s">
        <v>23310</v>
      </c>
      <c r="F12095" t="s">
        <v>23311</v>
      </c>
      <c r="G12095" t="s">
        <v>14</v>
      </c>
      <c r="H12095">
             </c>
      <c r="I12095" t="s">
        <v>14</v>
      </c>
      <c r="J12095" t="s">
        <v>141</v>
      </c>
      <c r="K12095" t="s">
        <v>14</v>
      </c>
      <c r="L12095" t="s">
        <v>20</v>
      </c>
      <c r="M12095" t="s">
        <v>23243</v>
      </c>
      <c r="N12095" t="s">
        <v>14</v>
      </c>
    </row>
    <row r="12096" x14ac:dyDescent="0.25">
      <c r="A12096" t="n">
        <v>23</v>
      </c>
      <c r="B12096" t="s">
        <v>14</v>
      </c>
      <c r="C12096" t="s">
        <v>22</v>
      </c>
      <c r="D12096" s="2" t="s">
        <f>=HYPERLINK("https://main.knesset.gov.il/APPS/legislation/main/bills/2147434", "הצעת חוק הנחות בתעריפי מים וחשמל לבתי תפילה (תיקוני חקיקה) (הוראת שעה), התשפ""א-2020")</f>
        <v>23312</v>
      </c>
      <c r="E12096" t="s">
        <v>23312</v>
      </c>
      <c r="F12096" t="s">
        <v>23313</v>
      </c>
      <c r="G12096" t="s">
        <v>14</v>
      </c>
      <c r="H12096">
             </c>
      <c r="I12096" t="s">
        <v>14</v>
      </c>
      <c r="J12096" t="s">
        <v>141</v>
      </c>
      <c r="K12096" t="s">
        <v>14</v>
      </c>
      <c r="L12096" t="s">
        <v>20</v>
      </c>
      <c r="M12096" t="s">
        <v>23243</v>
      </c>
      <c r="N12096" t="s">
        <v>14</v>
      </c>
    </row>
    <row r="12097" x14ac:dyDescent="0.25">
      <c r="A12097" t="n">
        <v>23</v>
      </c>
      <c r="B12097" t="s">
        <v>14</v>
      </c>
      <c r="C12097" t="s">
        <v>22</v>
      </c>
      <c r="D12097" s="2" t="s">
        <f>=HYPERLINK("https://main.knesset.gov.il/APPS/legislation/main/bills/2146546", "הצעת חוק היטלי סחר ואמצעי הגנה (תיקון - אי פתיחת חקירה בשל יבוא בהיצף בשוק מונופוליסטי או ריכוזי), התשפ""א-2020")</f>
        <v>23314</v>
      </c>
      <c r="E12097" t="s">
        <v>23314</v>
      </c>
      <c r="F12097" t="s">
        <v>23315</v>
      </c>
      <c r="G12097" t="s">
        <v>14</v>
      </c>
      <c r="H12097">
             </c>
      <c r="I12097" t="s">
        <v>14</v>
      </c>
      <c r="J12097" t="s">
        <v>141</v>
      </c>
      <c r="K12097" t="s">
        <v>14</v>
      </c>
      <c r="L12097" t="s">
        <v>20</v>
      </c>
      <c r="M12097" t="s">
        <v>23243</v>
      </c>
      <c r="N12097" t="s">
        <v>14</v>
      </c>
    </row>
    <row r="12098" x14ac:dyDescent="0.25">
      <c r="A12098" t="n">
        <v>23</v>
      </c>
      <c r="B12098" t="s">
        <v>14</v>
      </c>
      <c r="C12098" t="s">
        <v>22</v>
      </c>
      <c r="D12098" s="2" t="s">
        <f>=HYPERLINK("https://main.knesset.gov.il/APPS/legislation/main/bills/2146180", "הצעת חוק איסור פרסומת והגבלת השיווק של מוצרי טבק ועישון (תיקון - איסור מכירה), התשפ""א-2020")</f>
        <v>23316</v>
      </c>
      <c r="E12098" t="s">
        <v>23316</v>
      </c>
      <c r="F12098" t="s">
        <v>23317</v>
      </c>
      <c r="G12098" t="s">
        <v>14</v>
      </c>
      <c r="H12098">
             </c>
      <c r="I12098" t="s">
        <v>14</v>
      </c>
      <c r="J12098" t="s">
        <v>141</v>
      </c>
      <c r="K12098" t="s">
        <v>14</v>
      </c>
      <c r="L12098" t="s">
        <v>20</v>
      </c>
      <c r="M12098" t="s">
        <v>23243</v>
      </c>
      <c r="N12098" t="s">
        <v>14</v>
      </c>
    </row>
    <row r="12099" x14ac:dyDescent="0.25">
      <c r="A12099" t="n">
        <v>23</v>
      </c>
      <c r="B12099" t="s">
        <v>14</v>
      </c>
      <c r="C12099" t="s">
        <v>22</v>
      </c>
      <c r="D12099" s="2" t="s">
        <f>=HYPERLINK("https://main.knesset.gov.il/APPS/legislation/main/bills/2145945", "הצעת חוק הגנת הצרכן (תיקון - תאריך ייצור ומועד תפוגה בגודל גופן קריא), התשפ""א-2020")</f>
        <v>23318</v>
      </c>
      <c r="E12099" t="s">
        <v>23318</v>
      </c>
      <c r="F12099" t="s">
        <v>23319</v>
      </c>
      <c r="G12099" t="s">
        <v>14</v>
      </c>
      <c r="H12099">
             </c>
      <c r="I12099" t="s">
        <v>14</v>
      </c>
      <c r="J12099" t="s">
        <v>141</v>
      </c>
      <c r="K12099" t="s">
        <v>14</v>
      </c>
      <c r="L12099" t="s">
        <v>20</v>
      </c>
      <c r="M12099" t="s">
        <v>23243</v>
      </c>
      <c r="N12099" t="s">
        <v>14</v>
      </c>
    </row>
    <row r="12100" x14ac:dyDescent="0.25">
      <c r="A12100" t="n">
        <v>23</v>
      </c>
      <c r="B12100" t="s">
        <v>14</v>
      </c>
      <c r="C12100" t="s">
        <v>22</v>
      </c>
      <c r="D12100" s="2" t="s">
        <f>=HYPERLINK("https://main.knesset.gov.il/APPS/legislation/main/bills/2087607", "הצעת חוק הספקת חשמל (הוראת שעה) (תיקון - הארכת תוקף), התשפ""א-2020")</f>
        <v>23320</v>
      </c>
      <c r="E12100" t="s">
        <v>23320</v>
      </c>
      <c r="F12100" t="s">
        <v>23321</v>
      </c>
      <c r="G12100" t="s">
        <v>14</v>
      </c>
      <c r="H12100">
             </c>
      <c r="I12100" t="s">
        <v>14</v>
      </c>
      <c r="J12100" t="s">
        <v>141</v>
      </c>
      <c r="K12100" t="s">
        <v>14</v>
      </c>
      <c r="L12100" t="s">
        <v>20</v>
      </c>
      <c r="M12100" t="s">
        <v>23243</v>
      </c>
      <c r="N12100" t="s">
        <v>14</v>
      </c>
    </row>
    <row r="12101" x14ac:dyDescent="0.25">
      <c r="A12101" t="n">
        <v>23</v>
      </c>
      <c r="B12101" t="s">
        <v>14</v>
      </c>
      <c r="C12101" t="s">
        <v>22</v>
      </c>
      <c r="D12101" s="2" t="s">
        <f>=HYPERLINK("https://main.knesset.gov.il/APPS/legislation/main/bills/2147032", "הצעת חוק השכלה גבוהה חינם, התשפ""א-2020")</f>
        <v>23322</v>
      </c>
      <c r="E12101" t="s">
        <v>23322</v>
      </c>
      <c r="F12101" t="s">
        <v>23323</v>
      </c>
      <c r="G12101" t="s">
        <v>14</v>
      </c>
      <c r="H12101">
             </c>
      <c r="I12101" t="s">
        <v>14</v>
      </c>
      <c r="J12101" t="s">
        <v>141</v>
      </c>
      <c r="K12101" t="s">
        <v>14</v>
      </c>
      <c r="L12101" t="s">
        <v>20</v>
      </c>
      <c r="M12101" t="s">
        <v>23243</v>
      </c>
      <c r="N12101" t="s">
        <v>14</v>
      </c>
    </row>
    <row r="12102" x14ac:dyDescent="0.25">
      <c r="A12102" t="n">
        <v>23</v>
      </c>
      <c r="B12102" t="s">
        <v>14</v>
      </c>
      <c r="C12102" t="s">
        <v>22</v>
      </c>
      <c r="D12102" s="2" t="s">
        <f>=HYPERLINK("https://main.knesset.gov.il/APPS/legislation/main/bills/2147248", "הצעת חוק צער בעלי חיים (ניסויים בבעלי חיים) (תיקון - נציג ציבור בוועדה פנימית), התשפ""א-2020")</f>
        <v>23324</v>
      </c>
      <c r="E12102" t="s">
        <v>23324</v>
      </c>
      <c r="F12102" t="s">
        <v>23325</v>
      </c>
      <c r="G12102" t="s">
        <v>14</v>
      </c>
      <c r="H12102">
             </c>
      <c r="I12102" t="s">
        <v>14</v>
      </c>
      <c r="J12102" t="s">
        <v>141</v>
      </c>
      <c r="K12102" t="s">
        <v>14</v>
      </c>
      <c r="L12102" t="s">
        <v>20</v>
      </c>
      <c r="M12102" t="s">
        <v>23243</v>
      </c>
      <c r="N12102" t="s">
        <v>14</v>
      </c>
    </row>
    <row r="12103" x14ac:dyDescent="0.25">
      <c r="A12103" t="n">
        <v>23</v>
      </c>
      <c r="B12103" t="s">
        <v>14</v>
      </c>
      <c r="C12103" t="s">
        <v>22</v>
      </c>
      <c r="D12103" s="2" t="s">
        <f>=HYPERLINK("https://main.knesset.gov.il/APPS/legislation/main/bills/2140831", "הצעת חוק מוסדות חינוך עצמאיים, התשפ""א-2020")</f>
        <v>23326</v>
      </c>
      <c r="E12103" t="s">
        <v>23326</v>
      </c>
      <c r="F12103" t="s">
        <v>23327</v>
      </c>
      <c r="G12103" t="s">
        <v>14</v>
      </c>
      <c r="H12103">
             </c>
      <c r="I12103" t="s">
        <v>14</v>
      </c>
      <c r="J12103" t="s">
        <v>141</v>
      </c>
      <c r="K12103" t="s">
        <v>14</v>
      </c>
      <c r="L12103" t="s">
        <v>20</v>
      </c>
      <c r="M12103" t="s">
        <v>23243</v>
      </c>
      <c r="N12103" t="s">
        <v>14</v>
      </c>
    </row>
    <row r="12104" x14ac:dyDescent="0.25">
      <c r="A12104" t="n">
        <v>23</v>
      </c>
      <c r="B12104" t="s">
        <v>14</v>
      </c>
      <c r="C12104" t="s">
        <v>22</v>
      </c>
      <c r="D12104" s="2" t="s">
        <f>=HYPERLINK("https://main.knesset.gov.il/APPS/legislation/main/bills/2145374", "הצעת חוק פיקוח על בתי ספר (תיקון - איסור התחזות לגננת), התשפ""א-2020")</f>
        <v>23328</v>
      </c>
      <c r="E12104" t="s">
        <v>23328</v>
      </c>
      <c r="F12104" t="s">
        <v>23329</v>
      </c>
      <c r="G12104" t="s">
        <v>14</v>
      </c>
      <c r="H12104">
             </c>
      <c r="I12104" t="s">
        <v>14</v>
      </c>
      <c r="J12104" t="s">
        <v>141</v>
      </c>
      <c r="K12104" t="s">
        <v>14</v>
      </c>
      <c r="L12104" t="s">
        <v>20</v>
      </c>
      <c r="M12104" t="s">
        <v>23243</v>
      </c>
      <c r="N12104" t="s">
        <v>14</v>
      </c>
    </row>
    <row r="12105" x14ac:dyDescent="0.25">
      <c r="A12105" t="n">
        <v>23</v>
      </c>
      <c r="B12105" t="s">
        <v>14</v>
      </c>
      <c r="C12105" t="s">
        <v>22</v>
      </c>
      <c r="D12105" s="2" t="s">
        <f>=HYPERLINK("https://main.knesset.gov.il/APPS/legislation/main/bills/2087971", "הצעת חוק מידע גנטי (תיקון - עריכת בדיקה גנטית לאיתור בן משפחה שעלתה בין השנים 1948 ו-1959), התשפ""א-2020")</f>
        <v>23330</v>
      </c>
      <c r="E12105" t="s">
        <v>23330</v>
      </c>
      <c r="F12105" t="s">
        <v>23331</v>
      </c>
      <c r="G12105" t="s">
        <v>14</v>
      </c>
      <c r="H12105">
             </c>
      <c r="I12105" t="s">
        <v>14</v>
      </c>
      <c r="J12105" t="s">
        <v>141</v>
      </c>
      <c r="K12105" t="s">
        <v>14</v>
      </c>
      <c r="L12105" t="s">
        <v>20</v>
      </c>
      <c r="M12105" t="s">
        <v>23243</v>
      </c>
      <c r="N12105" t="s">
        <v>14</v>
      </c>
    </row>
    <row r="12106" x14ac:dyDescent="0.25">
      <c r="A12106" t="n">
        <v>23</v>
      </c>
      <c r="B12106" t="s">
        <v>14</v>
      </c>
      <c r="C12106" t="s">
        <v>22</v>
      </c>
      <c r="D12106" s="2" t="s">
        <f>=HYPERLINK("https://main.knesset.gov.il/APPS/legislation/main/bills/2144079", "הצעת חוק הגנה על עובד הנעדר מעבודתו עקב התפשטות נגיף הקורונה, התש""ף-2020")</f>
        <v>23332</v>
      </c>
      <c r="E12106" t="s">
        <v>23332</v>
      </c>
      <c r="F12106" t="s">
        <v>23333</v>
      </c>
      <c r="G12106" t="s">
        <v>14</v>
      </c>
      <c r="H12106">
             </c>
      <c r="I12106" t="s">
        <v>14</v>
      </c>
      <c r="J12106" t="s">
        <v>99</v>
      </c>
      <c r="K12106" t="s">
        <v>15147</v>
      </c>
      <c r="L12106" t="s">
        <v>20</v>
      </c>
      <c r="M12106" t="s">
        <v>23334</v>
      </c>
      <c r="N12106" t="s">
        <v>14</v>
      </c>
    </row>
    <row r="12107" x14ac:dyDescent="0.25">
      <c r="A12107" t="n">
        <v>23</v>
      </c>
      <c r="B12107" t="s">
        <v>14</v>
      </c>
      <c r="C12107" t="s">
        <v>22</v>
      </c>
      <c r="D12107" s="2" t="s">
        <f>=HYPERLINK("https://main.knesset.gov.il/APPS/legislation/main/bills/2143727", "הצעת חוק דמי מחלה (תיקון - הגדרת שוהה בבידוד כחולה) (נגיף הקורונה החדש) (הוראת שעה), התש""ף-2020")</f>
        <v>23335</v>
      </c>
      <c r="E12107" t="s">
        <v>23335</v>
      </c>
      <c r="F12107" t="s">
        <v>23336</v>
      </c>
      <c r="G12107" t="s">
        <v>14</v>
      </c>
      <c r="H12107">
             </c>
      <c r="I12107" t="s">
        <v>14</v>
      </c>
      <c r="J12107" t="s">
        <v>99</v>
      </c>
      <c r="K12107" t="s">
        <v>15147</v>
      </c>
      <c r="L12107" t="s">
        <v>20</v>
      </c>
      <c r="M12107" t="s">
        <v>23334</v>
      </c>
      <c r="N12107" t="s">
        <v>14</v>
      </c>
    </row>
    <row r="12108" x14ac:dyDescent="0.25">
      <c r="A12108" t="n">
        <v>23</v>
      </c>
      <c r="B12108" t="s">
        <v>14</v>
      </c>
      <c r="C12108" t="s">
        <v>22</v>
      </c>
      <c r="D12108" s="2" t="s">
        <f>=HYPERLINK("https://main.knesset.gov.il/APPS/legislation/main/bills/2143782", "הצעת חוק דמי מחלה (תיקון - הגדרת שוהה בבידוד כחולה), התש""ף-2020")</f>
        <v>23337</v>
      </c>
      <c r="E12108" t="s">
        <v>23337</v>
      </c>
      <c r="F12108" t="s">
        <v>23338</v>
      </c>
      <c r="G12108" t="s">
        <v>14</v>
      </c>
      <c r="H12108">
             </c>
      <c r="I12108" t="s">
        <v>14</v>
      </c>
      <c r="J12108" t="s">
        <v>99</v>
      </c>
      <c r="K12108" t="s">
        <v>15147</v>
      </c>
      <c r="L12108" t="s">
        <v>20</v>
      </c>
      <c r="M12108" t="s">
        <v>23334</v>
      </c>
      <c r="N12108" t="s">
        <v>14</v>
      </c>
    </row>
    <row r="12109" x14ac:dyDescent="0.25">
      <c r="A12109" t="n">
        <v>23</v>
      </c>
      <c r="B12109" t="s">
        <v>14</v>
      </c>
      <c r="C12109" t="s">
        <v>22</v>
      </c>
      <c r="D12109" s="2" t="s">
        <f>=HYPERLINK("https://main.knesset.gov.il/APPS/legislation/main/bills/2144164", "הצעת חוק סיוע לצעירים חסרי עורף משפחתי, התש""ף-2020")</f>
        <v>23339</v>
      </c>
      <c r="E12109" t="s">
        <v>23339</v>
      </c>
      <c r="F12109" t="s">
        <v>23340</v>
      </c>
      <c r="G12109" t="s">
        <v>14</v>
      </c>
      <c r="H12109">
             </c>
      <c r="I12109" t="s">
        <v>14</v>
      </c>
      <c r="J12109" t="s">
        <v>55</v>
      </c>
      <c r="K12109" t="s">
        <v>14</v>
      </c>
      <c r="L12109" t="s">
        <v>20</v>
      </c>
      <c r="M12109" t="s">
        <v>23334</v>
      </c>
      <c r="N12109" t="s">
        <v>14</v>
      </c>
    </row>
    <row r="12110" x14ac:dyDescent="0.25">
      <c r="A12110" t="n">
        <v>23</v>
      </c>
      <c r="B12110" t="s">
        <v>14</v>
      </c>
      <c r="C12110" t="s">
        <v>22</v>
      </c>
      <c r="D12110" s="2" t="s">
        <f>=HYPERLINK("https://main.knesset.gov.il/APPS/legislation/main/bills/2142756", "הצעת חוק התאמת טפסים ממשלתיים (פרטי הורים), התש""ף-2020")</f>
        <v>23341</v>
      </c>
      <c r="E12110" t="s">
        <v>23341</v>
      </c>
      <c r="F12110" t="s">
        <v>23342</v>
      </c>
      <c r="G12110" t="s">
        <v>14</v>
      </c>
      <c r="H12110">
             </c>
      <c r="I12110" t="s">
        <v>14</v>
      </c>
      <c r="J12110" t="s">
        <v>55</v>
      </c>
      <c r="K12110" t="s">
        <v>14</v>
      </c>
      <c r="L12110" t="s">
        <v>20</v>
      </c>
      <c r="M12110" t="s">
        <v>23334</v>
      </c>
      <c r="N12110" t="s">
        <v>14</v>
      </c>
    </row>
    <row r="12111" x14ac:dyDescent="0.25">
      <c r="A12111" t="n">
        <v>23</v>
      </c>
      <c r="B12111" t="s">
        <v>14</v>
      </c>
      <c r="C12111" t="s">
        <v>22</v>
      </c>
      <c r="D12111" s="2" t="s">
        <f>=HYPERLINK("https://main.knesset.gov.il/APPS/legislation/main/bills/2086669", "הצעת חוק הפיקוח על ייצוא ביטחוני (תיקון - הגבלות על ייצוא ביטחוני לכוחות ביטחון שביצעו הפרות חמורות של זכויות אדם), התש""ף-2020")</f>
        <v>23343</v>
      </c>
      <c r="E12111" t="s">
        <v>23343</v>
      </c>
      <c r="F12111" t="s">
        <v>23344</v>
      </c>
      <c r="G12111" t="s">
        <v>14</v>
      </c>
      <c r="H12111">
             </c>
      <c r="I12111" t="s">
        <v>14</v>
      </c>
      <c r="J12111" t="s">
        <v>55</v>
      </c>
      <c r="K12111" t="s">
        <v>14</v>
      </c>
      <c r="L12111" t="s">
        <v>20</v>
      </c>
      <c r="M12111" t="s">
        <v>23334</v>
      </c>
      <c r="N12111" t="s">
        <v>14</v>
      </c>
    </row>
    <row r="12112" x14ac:dyDescent="0.25">
      <c r="A12112" t="n">
        <v>23</v>
      </c>
      <c r="B12112" t="s">
        <v>14</v>
      </c>
      <c r="C12112" t="s">
        <v>22</v>
      </c>
      <c r="D12112" s="2" t="s">
        <f>=HYPERLINK("https://main.knesset.gov.il/APPS/legislation/main/bills/2087215", "הצעת חוק הנצחת זכרם של קורבנות הטבח בכפר קאסם, התש""ף-2020")</f>
        <v>23345</v>
      </c>
      <c r="E12112" t="s">
        <v>23345</v>
      </c>
      <c r="F12112" t="s">
        <v>23346</v>
      </c>
      <c r="G12112" t="s">
        <v>14</v>
      </c>
      <c r="H12112">
             </c>
      <c r="I12112" t="s">
        <v>14</v>
      </c>
      <c r="J12112" t="s">
        <v>55</v>
      </c>
      <c r="K12112" t="s">
        <v>14</v>
      </c>
      <c r="L12112" t="s">
        <v>20</v>
      </c>
      <c r="M12112" t="s">
        <v>23334</v>
      </c>
      <c r="N12112" t="s">
        <v>14</v>
      </c>
    </row>
    <row r="12113" x14ac:dyDescent="0.25">
      <c r="A12113" t="n">
        <v>23</v>
      </c>
      <c r="B12113" t="s">
        <v>14</v>
      </c>
      <c r="C12113" t="s">
        <v>22</v>
      </c>
      <c r="D12113" s="2" t="s">
        <f>=HYPERLINK("https://main.knesset.gov.il/APPS/legislation/main/bills/2087066", "הצעת חוק הרבנות הראשית לישראל (תיקון - הרחבת האסיפה הבוחרת), התש""ף-2020")</f>
        <v>23347</v>
      </c>
      <c r="E12113" t="s">
        <v>23347</v>
      </c>
      <c r="F12113" t="s">
        <v>23348</v>
      </c>
      <c r="G12113" t="s">
        <v>14</v>
      </c>
      <c r="H12113">
             </c>
      <c r="I12113" t="s">
        <v>14</v>
      </c>
      <c r="J12113" t="s">
        <v>55</v>
      </c>
      <c r="K12113" t="s">
        <v>14</v>
      </c>
      <c r="L12113" t="s">
        <v>20</v>
      </c>
      <c r="M12113" t="s">
        <v>23334</v>
      </c>
      <c r="N12113" t="s">
        <v>14</v>
      </c>
    </row>
    <row r="12114" x14ac:dyDescent="0.25">
      <c r="A12114" t="n">
        <v>23</v>
      </c>
      <c r="B12114" t="s">
        <v>14</v>
      </c>
      <c r="C12114" t="s">
        <v>22</v>
      </c>
      <c r="D12114" s="2" t="s">
        <f>=HYPERLINK("https://main.knesset.gov.il/APPS/legislation/main/bills/2086156", "הצעת חוק הנצחת זכרם של קורבנות הטבח בכפר קאסם, התש""ף-2020")</f>
        <v>23345</v>
      </c>
      <c r="E12114" t="s">
        <v>23345</v>
      </c>
      <c r="F12114" t="s">
        <v>23349</v>
      </c>
      <c r="G12114" t="s">
        <v>14</v>
      </c>
      <c r="H12114">
             </c>
      <c r="I12114" t="s">
        <v>14</v>
      </c>
      <c r="J12114" t="s">
        <v>55</v>
      </c>
      <c r="K12114" t="s">
        <v>14</v>
      </c>
      <c r="L12114" t="s">
        <v>20</v>
      </c>
      <c r="M12114" t="s">
        <v>23334</v>
      </c>
      <c r="N12114" t="s">
        <v>14</v>
      </c>
    </row>
    <row r="12115" x14ac:dyDescent="0.25">
      <c r="A12115" t="n">
        <v>23</v>
      </c>
      <c r="B12115" t="s">
        <v>14</v>
      </c>
      <c r="C12115" t="s">
        <v>22</v>
      </c>
      <c r="D12115" s="2" t="s">
        <f>=HYPERLINK("https://main.knesset.gov.il/APPS/legislation/main/bills/2086056", "הצעת חוק הרבנות הראשית לישראל (תיקון - הסרת הרב הצבאי הראשי וסגנו מהאסיפה הבוחרת), התש""ף-2020")</f>
        <v>23350</v>
      </c>
      <c r="E12115" t="s">
        <v>23350</v>
      </c>
      <c r="F12115" t="s">
        <v>23351</v>
      </c>
      <c r="G12115" t="s">
        <v>14</v>
      </c>
      <c r="H12115">
             </c>
      <c r="I12115" t="s">
        <v>14</v>
      </c>
      <c r="J12115" t="s">
        <v>343</v>
      </c>
      <c r="K12115" t="s">
        <v>14</v>
      </c>
      <c r="L12115" t="s">
        <v>20</v>
      </c>
      <c r="M12115" t="s">
        <v>23334</v>
      </c>
      <c r="N12115" t="s">
        <v>14</v>
      </c>
    </row>
    <row r="12116" x14ac:dyDescent="0.25">
      <c r="A12116" t="n">
        <v>23</v>
      </c>
      <c r="B12116" t="s">
        <v>14</v>
      </c>
      <c r="C12116" t="s">
        <v>15</v>
      </c>
      <c r="D12116" s="2" t="s">
        <f>=HYPERLINK("https://main.knesset.gov.il/APPS/legislation/main/bills/2145239", "חוק רשות שדות התעופה (תיקון מס' 12 - הוראת שעה), התשפ""א-2020")</f>
        <v>23352</v>
      </c>
      <c r="E12116" t="s">
        <v>23352</v>
      </c>
      <c r="F12116" t="s">
        <v>14</v>
      </c>
      <c r="G12116" t="s">
        <v>23353</v>
      </c>
      <c r="H12116" t="n">
        <v>2863</v>
      </c>
      <c r="I12116" t="s">
        <v>14</v>
      </c>
      <c r="J12116" t="s">
        <v>91</v>
      </c>
      <c r="K12116" t="s">
        <v>85</v>
      </c>
      <c r="L12116" t="s">
        <v>20</v>
      </c>
      <c r="M12116" t="s">
        <v>23354</v>
      </c>
      <c r="N12116" t="s">
        <v>23355</v>
      </c>
    </row>
    <row r="12117" x14ac:dyDescent="0.25">
      <c r="A12117" t="n">
        <v>23</v>
      </c>
      <c r="B12117" t="s">
        <v>14</v>
      </c>
      <c r="C12117" t="s">
        <v>22</v>
      </c>
      <c r="D12117" s="2" t="s">
        <f>=HYPERLINK("https://main.knesset.gov.il/APPS/legislation/main/bills/2141216", "הצעת חוק למניעת אלימות כלכלית בין בני זוג ובני משפחה, התשפ""א-2020")</f>
        <v>23356</v>
      </c>
      <c r="E12117" t="s">
        <v>23356</v>
      </c>
      <c r="F12117" t="s">
        <v>23357</v>
      </c>
      <c r="G12117" t="s">
        <v>14</v>
      </c>
      <c r="H12117">
             </c>
      <c r="I12117" t="s">
        <v>14</v>
      </c>
      <c r="J12117" t="s">
        <v>141</v>
      </c>
      <c r="K12117" t="s">
        <v>14</v>
      </c>
      <c r="L12117" t="s">
        <v>20</v>
      </c>
      <c r="M12117" t="s">
        <v>23354</v>
      </c>
      <c r="N12117" t="s">
        <v>14</v>
      </c>
    </row>
    <row r="12118" x14ac:dyDescent="0.25">
      <c r="A12118" t="n">
        <v>23</v>
      </c>
      <c r="B12118" t="s">
        <v>14</v>
      </c>
      <c r="C12118" t="s">
        <v>22</v>
      </c>
      <c r="D12118" s="2" t="s">
        <f>=HYPERLINK("https://main.knesset.gov.il/APPS/legislation/main/bills/2086695", "הצעת חוק בית המשפט לענייני משפחה (תיקון - מימון ניהול ההליך המשפטי), התשפ""א-2020")</f>
        <v>23358</v>
      </c>
      <c r="E12118" t="s">
        <v>23358</v>
      </c>
      <c r="F12118" t="s">
        <v>23359</v>
      </c>
      <c r="G12118" t="s">
        <v>14</v>
      </c>
      <c r="H12118">
             </c>
      <c r="I12118" t="s">
        <v>14</v>
      </c>
      <c r="J12118" t="s">
        <v>141</v>
      </c>
      <c r="K12118" t="s">
        <v>14</v>
      </c>
      <c r="L12118" t="s">
        <v>20</v>
      </c>
      <c r="M12118" t="s">
        <v>23354</v>
      </c>
      <c r="N12118" t="s">
        <v>14</v>
      </c>
    </row>
    <row r="12119" x14ac:dyDescent="0.25">
      <c r="A12119" t="n">
        <v>23</v>
      </c>
      <c r="B12119" t="s">
        <v>14</v>
      </c>
      <c r="C12119" t="s">
        <v>22</v>
      </c>
      <c r="D12119" s="2" t="s">
        <f>=HYPERLINK("https://main.knesset.gov.il/APPS/legislation/main/bills/2146505", "הצעת חוק רישום נישואין אזרחיים באילת (תיקוני חקיקה), התשפ""א-2020")</f>
        <v>23360</v>
      </c>
      <c r="E12119" t="s">
        <v>23360</v>
      </c>
      <c r="F12119" t="s">
        <v>23361</v>
      </c>
      <c r="G12119" t="s">
        <v>14</v>
      </c>
      <c r="H12119">
             </c>
      <c r="I12119" t="s">
        <v>14</v>
      </c>
      <c r="J12119" t="s">
        <v>141</v>
      </c>
      <c r="K12119" t="s">
        <v>14</v>
      </c>
      <c r="L12119" t="s">
        <v>20</v>
      </c>
      <c r="M12119" t="s">
        <v>23354</v>
      </c>
      <c r="N12119" t="s">
        <v>14</v>
      </c>
    </row>
    <row r="12120" x14ac:dyDescent="0.25">
      <c r="A12120" t="n">
        <v>23</v>
      </c>
      <c r="B12120" t="s">
        <v>14</v>
      </c>
      <c r="C12120" t="s">
        <v>22</v>
      </c>
      <c r="D12120" s="2" t="s">
        <f>=HYPERLINK("https://main.knesset.gov.il/APPS/legislation/main/bills/2145281", "הצעת חוק-יסוד: הממשלה (תיקון - סייג להטלת התפקיד להרכיב ממשלה)")</f>
        <v>13344</v>
      </c>
      <c r="E12120" t="s">
        <v>13344</v>
      </c>
      <c r="F12120" t="s">
        <v>23362</v>
      </c>
      <c r="G12120" t="s">
        <v>14</v>
      </c>
      <c r="H12120">
             </c>
      <c r="I12120" t="s">
        <v>14</v>
      </c>
      <c r="J12120" t="s">
        <v>141</v>
      </c>
      <c r="K12120" t="s">
        <v>14</v>
      </c>
      <c r="L12120" t="s">
        <v>20</v>
      </c>
      <c r="M12120" t="s">
        <v>23354</v>
      </c>
      <c r="N12120" t="s">
        <v>14</v>
      </c>
    </row>
    <row r="12121" x14ac:dyDescent="0.25">
      <c r="A12121" t="n">
        <v>23</v>
      </c>
      <c r="B12121" t="s">
        <v>14</v>
      </c>
      <c r="C12121" t="s">
        <v>22</v>
      </c>
      <c r="D12121" s="2" t="s">
        <f>=HYPERLINK("https://main.knesset.gov.il/APPS/legislation/main/bills/2146902", "הצעת חוק-יסוד: הממשלה (תיקון - התפטרות ראש הממשלה או שר עקב הגשת כתב אישום)")</f>
        <v>4962</v>
      </c>
      <c r="E12121" t="s">
        <v>4962</v>
      </c>
      <c r="F12121" t="s">
        <v>23363</v>
      </c>
      <c r="G12121" t="s">
        <v>14</v>
      </c>
      <c r="H12121">
             </c>
      <c r="I12121" t="s">
        <v>14</v>
      </c>
      <c r="J12121" t="s">
        <v>141</v>
      </c>
      <c r="K12121" t="s">
        <v>14</v>
      </c>
      <c r="L12121" t="s">
        <v>20</v>
      </c>
      <c r="M12121" t="s">
        <v>23354</v>
      </c>
      <c r="N12121" t="s">
        <v>14</v>
      </c>
    </row>
    <row r="12122" x14ac:dyDescent="0.25">
      <c r="A12122" t="n">
        <v>23</v>
      </c>
      <c r="B12122" t="s">
        <v>14</v>
      </c>
      <c r="C12122" t="s">
        <v>22</v>
      </c>
      <c r="D12122" s="2" t="s">
        <f>=HYPERLINK("https://main.knesset.gov.il/APPS/legislation/main/bills/2147181", "הצעת חוק סדר הדין הפלילי (תיקון - הגבלת משך זמן החקירה המשטרתית), התשפ""א-2020")</f>
        <v>23364</v>
      </c>
      <c r="E12122" t="s">
        <v>23364</v>
      </c>
      <c r="F12122" t="s">
        <v>23365</v>
      </c>
      <c r="G12122" t="s">
        <v>14</v>
      </c>
      <c r="H12122">
             </c>
      <c r="I12122" t="s">
        <v>14</v>
      </c>
      <c r="J12122" t="s">
        <v>141</v>
      </c>
      <c r="K12122" t="s">
        <v>14</v>
      </c>
      <c r="L12122" t="s">
        <v>20</v>
      </c>
      <c r="M12122" t="s">
        <v>23354</v>
      </c>
      <c r="N12122" t="s">
        <v>14</v>
      </c>
    </row>
    <row r="12123" x14ac:dyDescent="0.25">
      <c r="A12123" t="n">
        <v>23</v>
      </c>
      <c r="B12123" t="s">
        <v>14</v>
      </c>
      <c r="C12123" t="s">
        <v>22</v>
      </c>
      <c r="D12123" s="2" t="s">
        <f>=HYPERLINK("https://main.knesset.gov.il/APPS/legislation/main/bills/2145485", "הצעת חוק בתי המשפט (תיקון - הרכב מלא בדיון בתיקי בג""ץ), התשפ""א-2020")</f>
        <v>23366</v>
      </c>
      <c r="E12123" t="s">
        <v>23366</v>
      </c>
      <c r="F12123" t="s">
        <v>23367</v>
      </c>
      <c r="G12123" t="s">
        <v>14</v>
      </c>
      <c r="H12123">
             </c>
      <c r="I12123" t="s">
        <v>14</v>
      </c>
      <c r="J12123" t="s">
        <v>141</v>
      </c>
      <c r="K12123" t="s">
        <v>14</v>
      </c>
      <c r="L12123" t="s">
        <v>20</v>
      </c>
      <c r="M12123" t="s">
        <v>23354</v>
      </c>
      <c r="N12123" t="s">
        <v>14</v>
      </c>
    </row>
    <row r="12124" x14ac:dyDescent="0.25">
      <c r="A12124" t="n">
        <v>23</v>
      </c>
      <c r="B12124" t="s">
        <v>14</v>
      </c>
      <c r="C12124" t="s">
        <v>22</v>
      </c>
      <c r="D12124" s="2" t="s">
        <f>=HYPERLINK("https://main.knesset.gov.il/APPS/legislation/main/bills/2147106", "הצעת חוק יסודות התקציב (תיקון - הכחשת הנכבה), התשפ""א-2020")</f>
        <v>23368</v>
      </c>
      <c r="E12124" t="s">
        <v>23368</v>
      </c>
      <c r="F12124" t="s">
        <v>23369</v>
      </c>
      <c r="G12124" t="s">
        <v>14</v>
      </c>
      <c r="H12124">
             </c>
      <c r="I12124" t="s">
        <v>14</v>
      </c>
      <c r="J12124" t="s">
        <v>141</v>
      </c>
      <c r="K12124" t="s">
        <v>14</v>
      </c>
      <c r="L12124" t="s">
        <v>20</v>
      </c>
      <c r="M12124" t="s">
        <v>23354</v>
      </c>
      <c r="N12124" t="s">
        <v>14</v>
      </c>
    </row>
    <row r="12125" x14ac:dyDescent="0.25">
      <c r="A12125" t="n">
        <v>23</v>
      </c>
      <c r="B12125" t="s">
        <v>14</v>
      </c>
      <c r="C12125" t="s">
        <v>22</v>
      </c>
      <c r="D12125" s="2" t="s">
        <f>=HYPERLINK("https://main.knesset.gov.il/APPS/legislation/main/bills/2146837", "הצעת חוק העונשין (תיקון - ביטול האפשרות למאסר במקום קנס) (הוראת שעה), התשפ""א-2020")</f>
        <v>23370</v>
      </c>
      <c r="E12125" t="s">
        <v>23370</v>
      </c>
      <c r="F12125" t="s">
        <v>23371</v>
      </c>
      <c r="G12125" t="s">
        <v>14</v>
      </c>
      <c r="H12125">
             </c>
      <c r="I12125" t="s">
        <v>14</v>
      </c>
      <c r="J12125" t="s">
        <v>141</v>
      </c>
      <c r="K12125" t="s">
        <v>14</v>
      </c>
      <c r="L12125" t="s">
        <v>20</v>
      </c>
      <c r="M12125" t="s">
        <v>23354</v>
      </c>
      <c r="N12125" t="s">
        <v>14</v>
      </c>
    </row>
    <row r="12126" x14ac:dyDescent="0.25">
      <c r="A12126" t="n">
        <v>23</v>
      </c>
      <c r="B12126" t="s">
        <v>14</v>
      </c>
      <c r="C12126" t="s">
        <v>22</v>
      </c>
      <c r="D12126" s="2" t="s">
        <f>=HYPERLINK("https://main.knesset.gov.il/APPS/legislation/main/bills/2146275", "הצעת חוק חיסיון על טיפול נפשי בהליכים משפטיים שעניינם עבירות מין (תיקוני חקיקה), התשפ""א-2020")</f>
        <v>22633</v>
      </c>
      <c r="E12126" t="s">
        <v>22633</v>
      </c>
      <c r="F12126" t="s">
        <v>23372</v>
      </c>
      <c r="G12126" t="s">
        <v>14</v>
      </c>
      <c r="H12126">
             </c>
      <c r="I12126" t="s">
        <v>14</v>
      </c>
      <c r="J12126" t="s">
        <v>141</v>
      </c>
      <c r="K12126" t="s">
        <v>14</v>
      </c>
      <c r="L12126" t="s">
        <v>20</v>
      </c>
      <c r="M12126" t="s">
        <v>23354</v>
      </c>
      <c r="N12126" t="s">
        <v>14</v>
      </c>
    </row>
    <row r="12127" x14ac:dyDescent="0.25">
      <c r="A12127" t="n">
        <v>23</v>
      </c>
      <c r="B12127" t="s">
        <v>14</v>
      </c>
      <c r="C12127" t="s">
        <v>22</v>
      </c>
      <c r="D12127" s="2" t="s">
        <f>=HYPERLINK("https://main.knesset.gov.il/APPS/legislation/main/bills/2141701", "הצעת חוק הממשלה (תיקון - היוועצות ועדת השרים לענייני חקיקה בנציגי העם היהודי בתפוצות), התשפ""א-2020")</f>
        <v>23373</v>
      </c>
      <c r="E12127" t="s">
        <v>23373</v>
      </c>
      <c r="F12127" t="s">
        <v>23374</v>
      </c>
      <c r="G12127" t="s">
        <v>14</v>
      </c>
      <c r="H12127">
             </c>
      <c r="I12127" t="s">
        <v>14</v>
      </c>
      <c r="J12127" t="s">
        <v>141</v>
      </c>
      <c r="K12127" t="s">
        <v>14</v>
      </c>
      <c r="L12127" t="s">
        <v>20</v>
      </c>
      <c r="M12127" t="s">
        <v>23354</v>
      </c>
      <c r="N12127" t="s">
        <v>14</v>
      </c>
    </row>
    <row r="12128" x14ac:dyDescent="0.25">
      <c r="A12128" t="n">
        <v>23</v>
      </c>
      <c r="B12128" t="s">
        <v>14</v>
      </c>
      <c r="C12128" t="s">
        <v>22</v>
      </c>
      <c r="D12128" s="2" t="s">
        <f>=HYPERLINK("https://main.knesset.gov.il/APPS/legislation/main/bills/2086574", "הצעת חוק האזרחות והכניסה לישראל (הוראת שעה) (תיקון - איסור הארכת החוק באמצעות צו ושינוי קריטריונים), התשפ""א-2020")</f>
        <v>23375</v>
      </c>
      <c r="E12128" t="s">
        <v>23375</v>
      </c>
      <c r="F12128" t="s">
        <v>23376</v>
      </c>
      <c r="G12128" t="s">
        <v>14</v>
      </c>
      <c r="H12128">
             </c>
      <c r="I12128" t="s">
        <v>14</v>
      </c>
      <c r="J12128" t="s">
        <v>141</v>
      </c>
      <c r="K12128" t="s">
        <v>14</v>
      </c>
      <c r="L12128" t="s">
        <v>20</v>
      </c>
      <c r="M12128" t="s">
        <v>23354</v>
      </c>
      <c r="N12128" t="s">
        <v>14</v>
      </c>
    </row>
    <row r="12129" x14ac:dyDescent="0.25">
      <c r="A12129" t="n">
        <v>23</v>
      </c>
      <c r="B12129" t="s">
        <v>14</v>
      </c>
      <c r="C12129" t="s">
        <v>22</v>
      </c>
      <c r="D12129" s="2" t="s">
        <f>=HYPERLINK("https://main.knesset.gov.il/APPS/legislation/main/bills/2146349", "הצעת חוק הפיקוח על תכולת מוצרי עישון, התשפ""א-2020")</f>
        <v>23377</v>
      </c>
      <c r="E12129" t="s">
        <v>23377</v>
      </c>
      <c r="F12129" t="s">
        <v>23378</v>
      </c>
      <c r="G12129" t="s">
        <v>14</v>
      </c>
      <c r="H12129">
             </c>
      <c r="I12129" t="s">
        <v>14</v>
      </c>
      <c r="J12129" t="s">
        <v>141</v>
      </c>
      <c r="K12129" t="s">
        <v>14</v>
      </c>
      <c r="L12129" t="s">
        <v>20</v>
      </c>
      <c r="M12129" t="s">
        <v>23354</v>
      </c>
      <c r="N12129" t="s">
        <v>14</v>
      </c>
    </row>
    <row r="12130" x14ac:dyDescent="0.25">
      <c r="A12130" t="n">
        <v>23</v>
      </c>
      <c r="B12130" t="s">
        <v>14</v>
      </c>
      <c r="C12130" t="s">
        <v>22</v>
      </c>
      <c r="D12130" s="2" t="s">
        <f>=HYPERLINK("https://main.knesset.gov.il/APPS/legislation/main/bills/2147088", "הצעת חוק ביטוח בריאות ממלכתי (תיקון - החזר הוצאות עבור נסיעה באמבולנס), התשפ""א-2020")</f>
        <v>23379</v>
      </c>
      <c r="E12130" t="s">
        <v>23379</v>
      </c>
      <c r="F12130" t="s">
        <v>23380</v>
      </c>
      <c r="G12130" t="s">
        <v>14</v>
      </c>
      <c r="H12130">
             </c>
      <c r="I12130" t="s">
        <v>14</v>
      </c>
      <c r="J12130" t="s">
        <v>141</v>
      </c>
      <c r="K12130" t="s">
        <v>14</v>
      </c>
      <c r="L12130" t="s">
        <v>20</v>
      </c>
      <c r="M12130" t="s">
        <v>23354</v>
      </c>
      <c r="N12130" t="s">
        <v>14</v>
      </c>
    </row>
    <row r="12131" x14ac:dyDescent="0.25">
      <c r="A12131" t="n">
        <v>23</v>
      </c>
      <c r="B12131" t="s">
        <v>14</v>
      </c>
      <c r="C12131" t="s">
        <v>22</v>
      </c>
      <c r="D12131" s="2" t="s">
        <f>=HYPERLINK("https://main.knesset.gov.il/APPS/legislation/main/bills/2146910", "הצעת חוק צער בעלי חיים (הגנה על בעלי חיים) (תיקון - ענישה מזערית), התשפ""א-2020")</f>
        <v>23381</v>
      </c>
      <c r="E12131" t="s">
        <v>23381</v>
      </c>
      <c r="F12131" t="s">
        <v>23382</v>
      </c>
      <c r="G12131" t="s">
        <v>14</v>
      </c>
      <c r="H12131">
             </c>
      <c r="I12131" t="s">
        <v>14</v>
      </c>
      <c r="J12131" t="s">
        <v>141</v>
      </c>
      <c r="K12131" t="s">
        <v>14</v>
      </c>
      <c r="L12131" t="s">
        <v>20</v>
      </c>
      <c r="M12131" t="s">
        <v>23354</v>
      </c>
      <c r="N12131" t="s">
        <v>14</v>
      </c>
    </row>
    <row r="12132" x14ac:dyDescent="0.25">
      <c r="A12132" t="n">
        <v>23</v>
      </c>
      <c r="B12132" t="s">
        <v>14</v>
      </c>
      <c r="C12132" t="s">
        <v>22</v>
      </c>
      <c r="D12132" s="2" t="s">
        <f>=HYPERLINK("https://main.knesset.gov.il/APPS/legislation/main/bills/2147445", "הצעת חוק הסדרת מקומות רחצה (תיקון - קביעת מקומות לרחצה נפרדת), התשפ""א-2020")</f>
        <v>23383</v>
      </c>
      <c r="E12132" t="s">
        <v>23383</v>
      </c>
      <c r="F12132" t="s">
        <v>23384</v>
      </c>
      <c r="G12132" t="s">
        <v>14</v>
      </c>
      <c r="H12132">
             </c>
      <c r="I12132" t="s">
        <v>14</v>
      </c>
      <c r="J12132" t="s">
        <v>141</v>
      </c>
      <c r="K12132" t="s">
        <v>14</v>
      </c>
      <c r="L12132" t="s">
        <v>20</v>
      </c>
      <c r="M12132" t="s">
        <v>23354</v>
      </c>
      <c r="N12132" t="s">
        <v>14</v>
      </c>
    </row>
    <row r="12133" x14ac:dyDescent="0.25">
      <c r="A12133" t="n">
        <v>23</v>
      </c>
      <c r="B12133" t="s">
        <v>14</v>
      </c>
      <c r="C12133" t="s">
        <v>22</v>
      </c>
      <c r="D12133" s="2" t="s">
        <f>=HYPERLINK("https://main.knesset.gov.il/APPS/legislation/main/bills/2147130", "הצעת חוק להגבלת הריסה וענישה על בנייה בלתי חוקית במגזר הערבי (הוראת שעה), התשפ""א-2020")</f>
        <v>23385</v>
      </c>
      <c r="E12133" t="s">
        <v>23385</v>
      </c>
      <c r="F12133" t="s">
        <v>23386</v>
      </c>
      <c r="G12133" t="s">
        <v>14</v>
      </c>
      <c r="H12133">
             </c>
      <c r="I12133" t="s">
        <v>14</v>
      </c>
      <c r="J12133" t="s">
        <v>141</v>
      </c>
      <c r="K12133" t="s">
        <v>14</v>
      </c>
      <c r="L12133" t="s">
        <v>20</v>
      </c>
      <c r="M12133" t="s">
        <v>23354</v>
      </c>
      <c r="N12133" t="s">
        <v>14</v>
      </c>
    </row>
    <row r="12134" x14ac:dyDescent="0.25">
      <c r="A12134" t="n">
        <v>23</v>
      </c>
      <c r="B12134" t="s">
        <v>14</v>
      </c>
      <c r="C12134" t="s">
        <v>22</v>
      </c>
      <c r="D12134" s="2" t="s">
        <f>=HYPERLINK("https://main.knesset.gov.il/APPS/legislation/main/bills/2146071", "הצעת חוק התקשורת (בזק ושידורים) (תיקון - הגנה על קטינים מפני תכנים פוגעניים באינטרנט), התשפ""א-2020")</f>
        <v>23387</v>
      </c>
      <c r="E12134" t="s">
        <v>23387</v>
      </c>
      <c r="F12134" t="s">
        <v>23388</v>
      </c>
      <c r="G12134" t="s">
        <v>14</v>
      </c>
      <c r="H12134">
             </c>
      <c r="I12134" t="s">
        <v>14</v>
      </c>
      <c r="J12134" t="s">
        <v>141</v>
      </c>
      <c r="K12134" t="s">
        <v>14</v>
      </c>
      <c r="L12134" t="s">
        <v>20</v>
      </c>
      <c r="M12134" t="s">
        <v>23354</v>
      </c>
      <c r="N12134" t="s">
        <v>14</v>
      </c>
    </row>
    <row r="12135" x14ac:dyDescent="0.25">
      <c r="A12135" t="n">
        <v>23</v>
      </c>
      <c r="B12135" t="s">
        <v>14</v>
      </c>
      <c r="C12135" t="s">
        <v>22</v>
      </c>
      <c r="D12135" s="2" t="s">
        <f>=HYPERLINK("https://main.knesset.gov.il/APPS/legislation/main/bills/2146989", "הצעת חוק שיווי זכויות האישה (תיקון - תחולה), התשפ""א-2020")</f>
        <v>23195</v>
      </c>
      <c r="E12135" t="s">
        <v>23195</v>
      </c>
      <c r="F12135" t="s">
        <v>23389</v>
      </c>
      <c r="G12135" t="s">
        <v>14</v>
      </c>
      <c r="H12135">
             </c>
      <c r="I12135" t="s">
        <v>14</v>
      </c>
      <c r="J12135" t="s">
        <v>141</v>
      </c>
      <c r="K12135" t="s">
        <v>14</v>
      </c>
      <c r="L12135" t="s">
        <v>20</v>
      </c>
      <c r="M12135" t="s">
        <v>23354</v>
      </c>
      <c r="N12135" t="s">
        <v>14</v>
      </c>
    </row>
    <row r="12136" x14ac:dyDescent="0.25">
      <c r="A12136" t="n">
        <v>23</v>
      </c>
      <c r="B12136" t="s">
        <v>14</v>
      </c>
      <c r="C12136" t="s">
        <v>22</v>
      </c>
      <c r="D12136" s="2" t="s">
        <f>=HYPERLINK("https://main.knesset.gov.il/APPS/legislation/main/bills/2146653", "הצעת חוק איסור לשון הרע (תיקון - פרסום לשון הרע ברשת האינטרנט), התשפ""א-2020 ")</f>
        <v>23390</v>
      </c>
      <c r="E12136" t="s">
        <v>23390</v>
      </c>
      <c r="F12136" t="s">
        <v>23391</v>
      </c>
      <c r="G12136" t="s">
        <v>14</v>
      </c>
      <c r="H12136">
             </c>
      <c r="I12136" t="s">
        <v>14</v>
      </c>
      <c r="J12136" t="s">
        <v>141</v>
      </c>
      <c r="K12136" t="s">
        <v>14</v>
      </c>
      <c r="L12136" t="s">
        <v>20</v>
      </c>
      <c r="M12136" t="s">
        <v>23354</v>
      </c>
      <c r="N12136" t="s">
        <v>14</v>
      </c>
    </row>
    <row r="12137" x14ac:dyDescent="0.25">
      <c r="A12137" t="n">
        <v>23</v>
      </c>
      <c r="B12137" t="s">
        <v>14</v>
      </c>
      <c r="C12137" t="s">
        <v>22</v>
      </c>
      <c r="D12137" s="2" t="s">
        <f>=HYPERLINK("https://main.knesset.gov.il/APPS/legislation/main/bills/2147315", "הצעת חוק הביטוח הלאומי (תיקון - תשלום דמי אבטלה בעת שירות), התשפ""א-2020")</f>
        <v>23392</v>
      </c>
      <c r="E12137" t="s">
        <v>23392</v>
      </c>
      <c r="F12137" t="s">
        <v>23393</v>
      </c>
      <c r="G12137" t="s">
        <v>14</v>
      </c>
      <c r="H12137">
             </c>
      <c r="I12137" t="s">
        <v>14</v>
      </c>
      <c r="J12137" t="s">
        <v>141</v>
      </c>
      <c r="K12137" t="s">
        <v>14</v>
      </c>
      <c r="L12137" t="s">
        <v>20</v>
      </c>
      <c r="M12137" t="s">
        <v>23354</v>
      </c>
      <c r="N12137" t="s">
        <v>14</v>
      </c>
    </row>
    <row r="12138" x14ac:dyDescent="0.25">
      <c r="A12138" t="n">
        <v>23</v>
      </c>
      <c r="B12138" t="s">
        <v>14</v>
      </c>
      <c r="C12138" t="s">
        <v>22</v>
      </c>
      <c r="D12138" s="2" t="s">
        <f>=HYPERLINK("https://main.knesset.gov.il/APPS/legislation/main/bills/2146901", "הצעת חוק הביטוח הלאומי (תיקון - תשלום דמי אבטלה החל מיום האבטלה הראשון) (הוראת שעה), התשפ""א-2020")</f>
        <v>23394</v>
      </c>
      <c r="E12138" t="s">
        <v>23394</v>
      </c>
      <c r="F12138" t="s">
        <v>23395</v>
      </c>
      <c r="G12138" t="s">
        <v>14</v>
      </c>
      <c r="H12138">
             </c>
      <c r="I12138" t="s">
        <v>14</v>
      </c>
      <c r="J12138" t="s">
        <v>141</v>
      </c>
      <c r="K12138" t="s">
        <v>14</v>
      </c>
      <c r="L12138" t="s">
        <v>20</v>
      </c>
      <c r="M12138" t="s">
        <v>23354</v>
      </c>
      <c r="N12138" t="s">
        <v>14</v>
      </c>
    </row>
    <row r="12139" x14ac:dyDescent="0.25">
      <c r="A12139" t="n">
        <v>23</v>
      </c>
      <c r="B12139" t="s">
        <v>14</v>
      </c>
      <c r="C12139" t="s">
        <v>22</v>
      </c>
      <c r="D12139" s="2" t="s">
        <f>=HYPERLINK("https://main.knesset.gov.il/APPS/legislation/main/bills/2147105", "הצעת חוק מתן שירות בשפה הערבית בגופים ציבוריים ובגופים מסחריים, התשפ""א-2020")</f>
        <v>23396</v>
      </c>
      <c r="E12139" t="s">
        <v>23396</v>
      </c>
      <c r="F12139" t="s">
        <v>23397</v>
      </c>
      <c r="G12139" t="s">
        <v>14</v>
      </c>
      <c r="H12139">
             </c>
      <c r="I12139" t="s">
        <v>14</v>
      </c>
      <c r="J12139" t="s">
        <v>141</v>
      </c>
      <c r="K12139" t="s">
        <v>14</v>
      </c>
      <c r="L12139" t="s">
        <v>20</v>
      </c>
      <c r="M12139" t="s">
        <v>23354</v>
      </c>
      <c r="N12139" t="s">
        <v>14</v>
      </c>
    </row>
    <row r="12140" x14ac:dyDescent="0.25">
      <c r="A12140" t="n">
        <v>23</v>
      </c>
      <c r="B12140" t="s">
        <v>14</v>
      </c>
      <c r="C12140" t="s">
        <v>22</v>
      </c>
      <c r="D12140" s="2" t="s">
        <f>=HYPERLINK("https://main.knesset.gov.il/APPS/legislation/main/bills/2147165", "הצעת חוק רשות מקרקעי ישראל (תיקון - הקצאה שוויונית לאוכלוסייה הערבית), התשפ""א-2020")</f>
        <v>23398</v>
      </c>
      <c r="E12140" t="s">
        <v>23398</v>
      </c>
      <c r="F12140" t="s">
        <v>23399</v>
      </c>
      <c r="G12140" t="s">
        <v>14</v>
      </c>
      <c r="H12140">
             </c>
      <c r="I12140" t="s">
        <v>14</v>
      </c>
      <c r="J12140" t="s">
        <v>141</v>
      </c>
      <c r="K12140" t="s">
        <v>14</v>
      </c>
      <c r="L12140" t="s">
        <v>20</v>
      </c>
      <c r="M12140" t="s">
        <v>23354</v>
      </c>
      <c r="N12140" t="s">
        <v>14</v>
      </c>
    </row>
    <row r="12141" x14ac:dyDescent="0.25">
      <c r="A12141" t="n">
        <v>23</v>
      </c>
      <c r="B12141" t="s">
        <v>14</v>
      </c>
      <c r="C12141" t="s">
        <v>22</v>
      </c>
      <c r="D12141" s="2" t="s">
        <f>=HYPERLINK("https://main.knesset.gov.il/APPS/legislation/main/bills/2143360", "הצעת חוק שבת יום המנוחה, התשפ""א-2020")</f>
        <v>23400</v>
      </c>
      <c r="E12141" t="s">
        <v>23400</v>
      </c>
      <c r="F12141" t="s">
        <v>23401</v>
      </c>
      <c r="G12141" t="s">
        <v>14</v>
      </c>
      <c r="H12141">
             </c>
      <c r="I12141" t="s">
        <v>14</v>
      </c>
      <c r="J12141" t="s">
        <v>141</v>
      </c>
      <c r="K12141" t="s">
        <v>14</v>
      </c>
      <c r="L12141" t="s">
        <v>20</v>
      </c>
      <c r="M12141" t="s">
        <v>23354</v>
      </c>
      <c r="N12141" t="s">
        <v>14</v>
      </c>
    </row>
    <row r="12142" x14ac:dyDescent="0.25">
      <c r="A12142" t="n">
        <v>23</v>
      </c>
      <c r="B12142" t="s">
        <v>14</v>
      </c>
      <c r="C12142" t="s">
        <v>22</v>
      </c>
      <c r="D12142" s="2" t="s">
        <f>=HYPERLINK("https://main.knesset.gov.il/APPS/legislation/main/bills/2147164", "הצעת חוק לתיקון פקודת התעבורה (התראה מפני מצלמות ומכמונות מהירות), התשפ""א-2020")</f>
        <v>23402</v>
      </c>
      <c r="E12142" t="s">
        <v>23402</v>
      </c>
      <c r="F12142" t="s">
        <v>23403</v>
      </c>
      <c r="G12142" t="s">
        <v>14</v>
      </c>
      <c r="H12142">
             </c>
      <c r="I12142" t="s">
        <v>14</v>
      </c>
      <c r="J12142" t="s">
        <v>141</v>
      </c>
      <c r="K12142" t="s">
        <v>14</v>
      </c>
      <c r="L12142" t="s">
        <v>20</v>
      </c>
      <c r="M12142" t="s">
        <v>23354</v>
      </c>
      <c r="N12142" t="s">
        <v>14</v>
      </c>
    </row>
    <row r="12143" x14ac:dyDescent="0.25">
      <c r="A12143" t="n">
        <v>23</v>
      </c>
      <c r="B12143" t="s">
        <v>14</v>
      </c>
      <c r="C12143" t="s">
        <v>22</v>
      </c>
      <c r="D12143" s="2" t="s">
        <f>=HYPERLINK("https://main.knesset.gov.il/APPS/legislation/main/bills/2141461", "הצעת חוק מס ערך מוסף (תיקון - דחיית תשלום עד לאחר קבלת התמורה) (הוראת שעה), התשפ""א-2020")</f>
        <v>23404</v>
      </c>
      <c r="E12143" t="s">
        <v>23404</v>
      </c>
      <c r="F12143" t="s">
        <v>23405</v>
      </c>
      <c r="G12143" t="s">
        <v>14</v>
      </c>
      <c r="H12143">
             </c>
      <c r="I12143" t="s">
        <v>14</v>
      </c>
      <c r="J12143" t="s">
        <v>141</v>
      </c>
      <c r="K12143" t="s">
        <v>14</v>
      </c>
      <c r="L12143" t="s">
        <v>20</v>
      </c>
      <c r="M12143" t="s">
        <v>23354</v>
      </c>
      <c r="N12143" t="s">
        <v>14</v>
      </c>
    </row>
    <row r="12144" x14ac:dyDescent="0.25">
      <c r="A12144" t="n">
        <v>23</v>
      </c>
      <c r="B12144" t="s">
        <v>14</v>
      </c>
      <c r="C12144" t="s">
        <v>22</v>
      </c>
      <c r="D12144" s="2" t="s">
        <f>=HYPERLINK("https://main.knesset.gov.il/APPS/legislation/main/bills/2141456", "הצעת חוק מס ערך מוסף (תיקון - דחיית תשלום עד לאחר קבלת התמורה), התשפ""א-2020")</f>
        <v>23406</v>
      </c>
      <c r="E12144" t="s">
        <v>23406</v>
      </c>
      <c r="F12144" t="s">
        <v>23407</v>
      </c>
      <c r="G12144" t="s">
        <v>14</v>
      </c>
      <c r="H12144">
             </c>
      <c r="I12144" t="s">
        <v>14</v>
      </c>
      <c r="J12144" t="s">
        <v>141</v>
      </c>
      <c r="K12144" t="s">
        <v>14</v>
      </c>
      <c r="L12144" t="s">
        <v>20</v>
      </c>
      <c r="M12144" t="s">
        <v>23354</v>
      </c>
      <c r="N12144" t="s">
        <v>14</v>
      </c>
    </row>
    <row r="12145" x14ac:dyDescent="0.25">
      <c r="A12145" t="n">
        <v>23</v>
      </c>
      <c r="B12145" t="s">
        <v>14</v>
      </c>
      <c r="C12145" t="s">
        <v>22</v>
      </c>
      <c r="D12145" s="2" t="s">
        <f>=HYPERLINK("https://main.knesset.gov.il/APPS/legislation/main/bills/2147249", "הצעת חוק הסדרים במשק המדינה (תיקוני חקיקה להשגת יעדי התקציב) (תיקון - חובת הענקת הנחה בארנונה לאדם בעל מוגבלות), התשפ""א-2020")</f>
        <v>23408</v>
      </c>
      <c r="E12145" t="s">
        <v>23408</v>
      </c>
      <c r="F12145" t="s">
        <v>23409</v>
      </c>
      <c r="G12145" t="s">
        <v>14</v>
      </c>
      <c r="H12145">
             </c>
      <c r="I12145" t="s">
        <v>14</v>
      </c>
      <c r="J12145" t="s">
        <v>141</v>
      </c>
      <c r="K12145" t="s">
        <v>14</v>
      </c>
      <c r="L12145" t="s">
        <v>20</v>
      </c>
      <c r="M12145" t="s">
        <v>23354</v>
      </c>
      <c r="N12145" t="s">
        <v>14</v>
      </c>
    </row>
    <row r="12146" x14ac:dyDescent="0.25">
      <c r="A12146" t="n">
        <v>23</v>
      </c>
      <c r="B12146" t="s">
        <v>14</v>
      </c>
      <c r="C12146" t="s">
        <v>22</v>
      </c>
      <c r="D12146" s="2" t="s">
        <f>=HYPERLINK("https://main.knesset.gov.il/APPS/legislation/main/bills/2146992", "הצעת חוק השיפוט הצבאי (תיקון - קביעת ערובה חלף מעצר), התשפ""א-2020")</f>
        <v>23410</v>
      </c>
      <c r="E12146" t="s">
        <v>23410</v>
      </c>
      <c r="F12146" t="s">
        <v>23411</v>
      </c>
      <c r="G12146" t="s">
        <v>14</v>
      </c>
      <c r="H12146">
             </c>
      <c r="I12146" t="s">
        <v>14</v>
      </c>
      <c r="J12146" t="s">
        <v>141</v>
      </c>
      <c r="K12146" t="s">
        <v>14</v>
      </c>
      <c r="L12146" t="s">
        <v>20</v>
      </c>
      <c r="M12146" t="s">
        <v>23354</v>
      </c>
      <c r="N12146" t="s">
        <v>14</v>
      </c>
    </row>
    <row r="12147" x14ac:dyDescent="0.25">
      <c r="A12147" t="n">
        <v>23</v>
      </c>
      <c r="B12147" t="s">
        <v>14</v>
      </c>
      <c r="C12147" t="s">
        <v>22</v>
      </c>
      <c r="D12147" s="2" t="s">
        <f>=HYPERLINK("https://main.knesset.gov.il/APPS/legislation/main/bills/2146358", "הצעת חוק לתיקון פקודת בתי הסוהר (עתירות אסיר - ערעור בזכות), התשפ""א-2020")</f>
        <v>22790</v>
      </c>
      <c r="E12147" t="s">
        <v>22790</v>
      </c>
      <c r="F12147" t="s">
        <v>23412</v>
      </c>
      <c r="G12147" t="s">
        <v>14</v>
      </c>
      <c r="H12147">
             </c>
      <c r="I12147" t="s">
        <v>14</v>
      </c>
      <c r="J12147" t="s">
        <v>141</v>
      </c>
      <c r="K12147" t="s">
        <v>14</v>
      </c>
      <c r="L12147" t="s">
        <v>20</v>
      </c>
      <c r="M12147" t="s">
        <v>23354</v>
      </c>
      <c r="N12147" t="s">
        <v>14</v>
      </c>
    </row>
    <row r="12148" x14ac:dyDescent="0.25">
      <c r="A12148" t="n">
        <v>23</v>
      </c>
      <c r="B12148" t="s">
        <v>14</v>
      </c>
      <c r="C12148" t="s">
        <v>22</v>
      </c>
      <c r="D12148" s="2" t="s">
        <f>=HYPERLINK("https://main.knesset.gov.il/APPS/legislation/main/bills/2146965", "הצעת חוק ההתייעלות הכלכלית (תיקוני חקיקה להשגת יעדי התקציב לשנות התקציב 2017 ו-2018) (תיקון - הקצאת סכום לרשויות המקומיות הסמוכות לנמל התעופה בן-גוריון), התשפ""א-2020")</f>
        <v>23413</v>
      </c>
      <c r="E12148" t="s">
        <v>23413</v>
      </c>
      <c r="F12148" t="s">
        <v>23414</v>
      </c>
      <c r="G12148" t="s">
        <v>14</v>
      </c>
      <c r="H12148">
             </c>
      <c r="I12148" t="s">
        <v>14</v>
      </c>
      <c r="J12148" t="s">
        <v>141</v>
      </c>
      <c r="K12148" t="s">
        <v>14</v>
      </c>
      <c r="L12148" t="s">
        <v>20</v>
      </c>
      <c r="M12148" t="s">
        <v>23354</v>
      </c>
      <c r="N12148" t="s">
        <v>14</v>
      </c>
    </row>
    <row r="12149" x14ac:dyDescent="0.25">
      <c r="A12149" t="n">
        <v>23</v>
      </c>
      <c r="B12149" t="s">
        <v>14</v>
      </c>
      <c r="C12149" t="s">
        <v>22</v>
      </c>
      <c r="D12149" s="2" t="s">
        <f>=HYPERLINK("https://main.knesset.gov.il/APPS/legislation/main/bills/2144652", "הצעת חוק לעידוד השקעות הון (תיקון - עידוד חברות ממשלתיות הפועלות בסביבה בינלאומית תחרותית), התשפ""א-2020")</f>
        <v>23415</v>
      </c>
      <c r="E12149" t="s">
        <v>23415</v>
      </c>
      <c r="F12149" t="s">
        <v>23416</v>
      </c>
      <c r="G12149" t="s">
        <v>14</v>
      </c>
      <c r="H12149">
             </c>
      <c r="I12149" t="s">
        <v>14</v>
      </c>
      <c r="J12149" t="s">
        <v>141</v>
      </c>
      <c r="K12149" t="s">
        <v>14</v>
      </c>
      <c r="L12149" t="s">
        <v>20</v>
      </c>
      <c r="M12149" t="s">
        <v>23354</v>
      </c>
      <c r="N12149" t="s">
        <v>14</v>
      </c>
    </row>
    <row r="12150" x14ac:dyDescent="0.25">
      <c r="A12150" t="n">
        <v>23</v>
      </c>
      <c r="B12150" t="s">
        <v>14</v>
      </c>
      <c r="C12150" t="s">
        <v>22</v>
      </c>
      <c r="D12150" s="2" t="s">
        <f>=HYPERLINK("https://main.knesset.gov.il/APPS/legislation/main/bills/2145491", "הצעת חוק הטבת מס ליישובים הסמוכים לגבולות ונמצאים תחת איום מיידי (הוראת שעה), התשפ""א-2020")</f>
        <v>23417</v>
      </c>
      <c r="E12150" t="s">
        <v>23417</v>
      </c>
      <c r="F12150" t="s">
        <v>23418</v>
      </c>
      <c r="G12150" t="s">
        <v>14</v>
      </c>
      <c r="H12150">
             </c>
      <c r="I12150" t="s">
        <v>14</v>
      </c>
      <c r="J12150" t="s">
        <v>141</v>
      </c>
      <c r="K12150" t="s">
        <v>14</v>
      </c>
      <c r="L12150" t="s">
        <v>20</v>
      </c>
      <c r="M12150" t="s">
        <v>23354</v>
      </c>
      <c r="N12150" t="s">
        <v>14</v>
      </c>
    </row>
    <row r="12151" x14ac:dyDescent="0.25">
      <c r="A12151" t="n">
        <v>23</v>
      </c>
      <c r="B12151" t="s">
        <v>14</v>
      </c>
      <c r="C12151" t="s">
        <v>22</v>
      </c>
      <c r="D12151" s="2" t="s">
        <f>=HYPERLINK("https://main.knesset.gov.il/APPS/legislation/main/bills/2085747", "הצעת חוק הגנת הצרכן (תיקון - איסור על שיווק טלפוני למספר הרשום במאגר ""אל תתקשרו אלי""), התש""ף-2020")</f>
        <v>23419</v>
      </c>
      <c r="E12151" t="s">
        <v>23419</v>
      </c>
      <c r="F12151" t="s">
        <v>23420</v>
      </c>
      <c r="G12151" t="s">
        <v>14</v>
      </c>
      <c r="H12151">
             </c>
      <c r="I12151" t="s">
        <v>14</v>
      </c>
      <c r="J12151" t="s">
        <v>99</v>
      </c>
      <c r="K12151" t="s">
        <v>19</v>
      </c>
      <c r="L12151" t="s">
        <v>20</v>
      </c>
      <c r="M12151" t="s">
        <v>23421</v>
      </c>
      <c r="N12151" t="s">
        <v>14</v>
      </c>
    </row>
    <row r="12152" x14ac:dyDescent="0.25">
      <c r="A12152" t="n">
        <v>23</v>
      </c>
      <c r="B12152" t="s">
        <v>14</v>
      </c>
      <c r="C12152" t="s">
        <v>15</v>
      </c>
      <c r="D12152" s="2" t="s">
        <f>=HYPERLINK("https://main.knesset.gov.il/APPS/legislation/main/bills/2146987", "חוק הביטוח הלאומי (תיקון מס' 218 - הוראת שעה) (מענק חד-פעמי חלף הגדלת קצבאות הנכות לשנת 2020), התשפ""א-2020")</f>
        <v>23422</v>
      </c>
      <c r="E12152" t="s">
        <v>23422</v>
      </c>
      <c r="F12152" t="s">
        <v>14</v>
      </c>
      <c r="G12152" t="s">
        <v>23423</v>
      </c>
      <c r="H12152" t="n">
        <v>2862</v>
      </c>
      <c r="I12152" t="s">
        <v>14</v>
      </c>
      <c r="J12152" t="s">
        <v>91</v>
      </c>
      <c r="K12152" t="s">
        <v>15147</v>
      </c>
      <c r="L12152" t="s">
        <v>20</v>
      </c>
      <c r="M12152" t="s">
        <v>23421</v>
      </c>
      <c r="N12152" t="s">
        <v>14</v>
      </c>
    </row>
    <row r="12153" x14ac:dyDescent="0.25">
      <c r="A12153" t="n">
        <v>23</v>
      </c>
      <c r="B12153" t="s">
        <v>14</v>
      </c>
      <c r="C12153" t="s">
        <v>22</v>
      </c>
      <c r="D12153" s="2" t="s">
        <f>=HYPERLINK("https://main.knesset.gov.il/APPS/legislation/main/bills/2142987", "הצעת חוק לתיקון דיני הרשויות המקומיות (ביטול סמכות שר הפנים לעניין חוקי עזר בדבר פתיחתם וסגירתם של עסקים בימי מנוחה), התש""ף-2020")</f>
        <v>23424</v>
      </c>
      <c r="E12153" t="s">
        <v>23424</v>
      </c>
      <c r="F12153" t="s">
        <v>23425</v>
      </c>
      <c r="G12153" t="s">
        <v>14</v>
      </c>
      <c r="H12153">
             </c>
      <c r="I12153" t="s">
        <v>14</v>
      </c>
      <c r="J12153" t="s">
        <v>55</v>
      </c>
      <c r="K12153" t="s">
        <v>14</v>
      </c>
      <c r="L12153" t="s">
        <v>20</v>
      </c>
      <c r="M12153" t="s">
        <v>23421</v>
      </c>
      <c r="N12153" t="s">
        <v>14</v>
      </c>
    </row>
    <row r="12154" x14ac:dyDescent="0.25">
      <c r="A12154" t="n">
        <v>23</v>
      </c>
      <c r="B12154" t="s">
        <v>14</v>
      </c>
      <c r="C12154" t="s">
        <v>22</v>
      </c>
      <c r="D12154" s="2" t="s">
        <f>=HYPERLINK("https://main.knesset.gov.il/APPS/legislation/main/bills/2142397", "הצעת חוק הקמת מאגר מידע דיגיטלי בנושא הכשרות מקצועיות, התש""ף-2020")</f>
        <v>23426</v>
      </c>
      <c r="E12154" t="s">
        <v>23426</v>
      </c>
      <c r="F12154" t="s">
        <v>23427</v>
      </c>
      <c r="G12154" t="s">
        <v>14</v>
      </c>
      <c r="H12154">
             </c>
      <c r="I12154" t="s">
        <v>14</v>
      </c>
      <c r="J12154" t="s">
        <v>55</v>
      </c>
      <c r="K12154" t="s">
        <v>14</v>
      </c>
      <c r="L12154" t="s">
        <v>20</v>
      </c>
      <c r="M12154" t="s">
        <v>23421</v>
      </c>
      <c r="N12154" t="s">
        <v>14</v>
      </c>
    </row>
    <row r="12155" x14ac:dyDescent="0.25">
      <c r="A12155" t="n">
        <v>23</v>
      </c>
      <c r="B12155" t="s">
        <v>14</v>
      </c>
      <c r="C12155" t="s">
        <v>22</v>
      </c>
      <c r="D12155" s="2" t="s">
        <f>=HYPERLINK("https://main.knesset.gov.il/APPS/legislation/main/bills/2140589", "הצעת חוק הכנסת (תיקון - ייצוג נשים בקרב יושבי ראש ועדות הכנסת), התש""ף-2020")</f>
        <v>23428</v>
      </c>
      <c r="E12155" t="s">
        <v>23428</v>
      </c>
      <c r="F12155" t="s">
        <v>23429</v>
      </c>
      <c r="G12155" t="s">
        <v>14</v>
      </c>
      <c r="H12155">
             </c>
      <c r="I12155" t="s">
        <v>14</v>
      </c>
      <c r="J12155" t="s">
        <v>343</v>
      </c>
      <c r="K12155" t="s">
        <v>14</v>
      </c>
      <c r="L12155" t="s">
        <v>20</v>
      </c>
      <c r="M12155" t="s">
        <v>23421</v>
      </c>
      <c r="N12155" t="s">
        <v>14</v>
      </c>
    </row>
    <row r="12156" x14ac:dyDescent="0.25">
      <c r="A12156" t="n">
        <v>23</v>
      </c>
      <c r="B12156" t="s">
        <v>14</v>
      </c>
      <c r="C12156" t="s">
        <v>22</v>
      </c>
      <c r="D12156" s="2" t="s">
        <f>=HYPERLINK("https://main.knesset.gov.il/APPS/legislation/main/bills/2086329", "הצעת חוק חובת המכרזים (תיקון - מתן עדיפות לשירותים מתוצרת הארץ), התש""ף-2020")</f>
        <v>23430</v>
      </c>
      <c r="E12156" t="s">
        <v>23430</v>
      </c>
      <c r="F12156" t="s">
        <v>23431</v>
      </c>
      <c r="G12156" t="s">
        <v>14</v>
      </c>
      <c r="H12156">
             </c>
      <c r="I12156" t="s">
        <v>14</v>
      </c>
      <c r="J12156" t="s">
        <v>55</v>
      </c>
      <c r="K12156" t="s">
        <v>14</v>
      </c>
      <c r="L12156" t="s">
        <v>20</v>
      </c>
      <c r="M12156" t="s">
        <v>23421</v>
      </c>
      <c r="N12156" t="s">
        <v>14</v>
      </c>
    </row>
    <row r="12157" x14ac:dyDescent="0.25">
      <c r="A12157" t="n">
        <v>23</v>
      </c>
      <c r="B12157" t="s">
        <v>14</v>
      </c>
      <c r="C12157" t="s">
        <v>22</v>
      </c>
      <c r="D12157" s="2" t="s">
        <f>=HYPERLINK("https://main.knesset.gov.il/APPS/legislation/main/bills/2087166", "הצעת חוק הסדרים במשק המדינה (תיקוני חקיקה להשגת יעדי התקציב) (תיקון - חישוב עליית מחירי הארנונה), התש""ף-2020")</f>
        <v>23432</v>
      </c>
      <c r="E12157" t="s">
        <v>23432</v>
      </c>
      <c r="F12157" t="s">
        <v>23433</v>
      </c>
      <c r="G12157" t="s">
        <v>14</v>
      </c>
      <c r="H12157">
             </c>
      <c r="I12157" t="s">
        <v>14</v>
      </c>
      <c r="J12157" t="s">
        <v>343</v>
      </c>
      <c r="K12157" t="s">
        <v>14</v>
      </c>
      <c r="L12157" t="s">
        <v>20</v>
      </c>
      <c r="M12157" t="s">
        <v>23421</v>
      </c>
      <c r="N12157" t="s">
        <v>14</v>
      </c>
    </row>
    <row r="12158" x14ac:dyDescent="0.25">
      <c r="A12158" t="n">
        <v>23</v>
      </c>
      <c r="B12158" t="s">
        <v>14</v>
      </c>
      <c r="C12158" t="s">
        <v>22</v>
      </c>
      <c r="D12158" s="2" t="s">
        <f>=HYPERLINK("https://main.knesset.gov.il/APPS/legislation/main/bills/2086006", "הצעת חוק לתיקון דיני הרשויות המקומיות (ביטול סמכות שר הפנים לעניין חוקי עזר בדבר פתיחתם וסגירתם של עסקים בימי מנוחה), התש""ף-2020")</f>
        <v>23424</v>
      </c>
      <c r="E12158" t="s">
        <v>23424</v>
      </c>
      <c r="F12158" t="s">
        <v>23434</v>
      </c>
      <c r="G12158" t="s">
        <v>14</v>
      </c>
      <c r="H12158">
             </c>
      <c r="I12158" t="s">
        <v>14</v>
      </c>
      <c r="J12158" t="s">
        <v>55</v>
      </c>
      <c r="K12158" t="s">
        <v>14</v>
      </c>
      <c r="L12158" t="s">
        <v>20</v>
      </c>
      <c r="M12158" t="s">
        <v>23421</v>
      </c>
      <c r="N12158" t="s">
        <v>14</v>
      </c>
    </row>
    <row r="12159" x14ac:dyDescent="0.25">
      <c r="A12159" t="n">
        <v>23</v>
      </c>
      <c r="B12159" t="s">
        <v>14</v>
      </c>
      <c r="C12159" t="s">
        <v>22</v>
      </c>
      <c r="D12159" s="2" t="s">
        <f>=HYPERLINK("https://main.knesset.gov.il/APPS/legislation/main/bills/2085677", "הצעת חוק לתיקון דיני הרשויות המקומיות (ביטול סמכות שר הפנים לעניין חוקי עזר בדבר פתיחתם וסגירתם של עסקים בימי מנוחה), התש""ף-2020")</f>
        <v>23424</v>
      </c>
      <c r="E12159" t="s">
        <v>23424</v>
      </c>
      <c r="F12159" t="s">
        <v>23435</v>
      </c>
      <c r="G12159" t="s">
        <v>14</v>
      </c>
      <c r="H12159">
             </c>
      <c r="I12159" t="s">
        <v>14</v>
      </c>
      <c r="J12159" t="s">
        <v>55</v>
      </c>
      <c r="K12159" t="s">
        <v>14</v>
      </c>
      <c r="L12159" t="s">
        <v>20</v>
      </c>
      <c r="M12159" t="s">
        <v>23421</v>
      </c>
      <c r="N12159" t="s">
        <v>14</v>
      </c>
    </row>
    <row r="12160" x14ac:dyDescent="0.25">
      <c r="A12160" t="n">
        <v>23</v>
      </c>
      <c r="B12160" t="s">
        <v>14</v>
      </c>
      <c r="C12160" t="s">
        <v>22</v>
      </c>
      <c r="D12160" s="2" t="s">
        <f>=HYPERLINK("https://main.knesset.gov.il/APPS/legislation/main/bills/2147176", "הצעת חוק-יסוד: משק המדינה (תיקון - תקציב דו שנתי בשנת כספים שהתקיימו בה בחירות)")</f>
        <v>23436</v>
      </c>
      <c r="E12160" t="s">
        <v>23436</v>
      </c>
      <c r="F12160" t="s">
        <v>23437</v>
      </c>
      <c r="G12160" t="s">
        <v>14</v>
      </c>
      <c r="H12160">
             </c>
      <c r="I12160" t="s">
        <v>14</v>
      </c>
      <c r="J12160" t="s">
        <v>141</v>
      </c>
      <c r="K12160" t="s">
        <v>14</v>
      </c>
      <c r="L12160" t="s">
        <v>20</v>
      </c>
      <c r="M12160" t="s">
        <v>23438</v>
      </c>
      <c r="N12160" t="s">
        <v>14</v>
      </c>
    </row>
    <row r="12161" x14ac:dyDescent="0.25">
      <c r="A12161" t="n">
        <v>23</v>
      </c>
      <c r="B12161" t="s">
        <v>14</v>
      </c>
      <c r="C12161" t="s">
        <v>22</v>
      </c>
      <c r="D12161" s="2" t="s">
        <f>=HYPERLINK("https://main.knesset.gov.il/APPS/legislation/main/bills/2144209", "הצעת חוק שירות הקבע בצבא הגנה לישראל (גימלאות) (תיקון - ביטול ניכוי מקצבה), התשפ""א-2020")</f>
        <v>23439</v>
      </c>
      <c r="E12161" t="s">
        <v>23439</v>
      </c>
      <c r="F12161" t="s">
        <v>23440</v>
      </c>
      <c r="G12161" t="s">
        <v>14</v>
      </c>
      <c r="H12161">
             </c>
      <c r="I12161" t="s">
        <v>14</v>
      </c>
      <c r="J12161" t="s">
        <v>141</v>
      </c>
      <c r="K12161" t="s">
        <v>14</v>
      </c>
      <c r="L12161" t="s">
        <v>20</v>
      </c>
      <c r="M12161" t="s">
        <v>23438</v>
      </c>
      <c r="N12161" t="s">
        <v>14</v>
      </c>
    </row>
    <row r="12162" x14ac:dyDescent="0.25">
      <c r="A12162" t="n">
        <v>23</v>
      </c>
      <c r="B12162" t="s">
        <v>14</v>
      </c>
      <c r="C12162" t="s">
        <v>22</v>
      </c>
      <c r="D12162" s="2" t="s">
        <f>=HYPERLINK("https://main.knesset.gov.il/APPS/legislation/main/bills/2146891", "הצעת חוק-יסוד: הממשלה (תיקון - הגבלת כהונת ראש הממשלה לשתי תקופות כהונה רצופות)")</f>
        <v>1247</v>
      </c>
      <c r="E12162" t="s">
        <v>1247</v>
      </c>
      <c r="F12162" t="s">
        <v>23441</v>
      </c>
      <c r="G12162" t="s">
        <v>14</v>
      </c>
      <c r="H12162">
             </c>
      <c r="I12162" t="s">
        <v>14</v>
      </c>
      <c r="J12162" t="s">
        <v>141</v>
      </c>
      <c r="K12162" t="s">
        <v>14</v>
      </c>
      <c r="L12162" t="s">
        <v>20</v>
      </c>
      <c r="M12162" t="s">
        <v>23438</v>
      </c>
      <c r="N12162" t="s">
        <v>14</v>
      </c>
    </row>
    <row r="12163" x14ac:dyDescent="0.25">
      <c r="A12163" t="n">
        <v>23</v>
      </c>
      <c r="B12163" t="s">
        <v>14</v>
      </c>
      <c r="C12163" t="s">
        <v>22</v>
      </c>
      <c r="D12163" s="2" t="s">
        <f>=HYPERLINK("https://main.knesset.gov.il/APPS/legislation/main/bills/2145782", "הצעת חוק-יסוד: הכנסת (תיקון - ביטול מניעת ההשתתפות בבחירות)")</f>
        <v>23442</v>
      </c>
      <c r="E12163" t="s">
        <v>23442</v>
      </c>
      <c r="F12163" t="s">
        <v>23443</v>
      </c>
      <c r="G12163" t="s">
        <v>14</v>
      </c>
      <c r="H12163">
             </c>
      <c r="I12163" t="s">
        <v>14</v>
      </c>
      <c r="J12163" t="s">
        <v>141</v>
      </c>
      <c r="K12163" t="s">
        <v>14</v>
      </c>
      <c r="L12163" t="s">
        <v>20</v>
      </c>
      <c r="M12163" t="s">
        <v>23438</v>
      </c>
      <c r="N12163" t="s">
        <v>14</v>
      </c>
    </row>
    <row r="12164" x14ac:dyDescent="0.25">
      <c r="A12164" t="n">
        <v>23</v>
      </c>
      <c r="B12164" t="s">
        <v>14</v>
      </c>
      <c r="C12164" t="s">
        <v>22</v>
      </c>
      <c r="D12164" s="2" t="s">
        <f>=HYPERLINK("https://main.knesset.gov.il/APPS/legislation/main/bills/2146112", "הצעת חוק העונשין (תיקון - השחתת מודעות על רקע מגדר), התשפ""א-2020")</f>
        <v>23444</v>
      </c>
      <c r="E12164" t="s">
        <v>23444</v>
      </c>
      <c r="F12164" t="s">
        <v>23445</v>
      </c>
      <c r="G12164" t="s">
        <v>14</v>
      </c>
      <c r="H12164">
             </c>
      <c r="I12164" t="s">
        <v>14</v>
      </c>
      <c r="J12164" t="s">
        <v>141</v>
      </c>
      <c r="K12164" t="s">
        <v>14</v>
      </c>
      <c r="L12164" t="s">
        <v>20</v>
      </c>
      <c r="M12164" t="s">
        <v>23438</v>
      </c>
      <c r="N12164" t="s">
        <v>14</v>
      </c>
    </row>
    <row r="12165" x14ac:dyDescent="0.25">
      <c r="A12165" t="n">
        <v>23</v>
      </c>
      <c r="B12165" t="s">
        <v>14</v>
      </c>
      <c r="C12165" t="s">
        <v>22</v>
      </c>
      <c r="D12165" s="2" t="s">
        <f>=HYPERLINK("https://main.knesset.gov.il/APPS/legislation/main/bills/2146626", "הצעת חוק הבחירות לכנסת (תיקון - הפחתת אחוז החסימה), התשפ""א-2020")</f>
        <v>23446</v>
      </c>
      <c r="E12165" t="s">
        <v>23446</v>
      </c>
      <c r="F12165" t="s">
        <v>23447</v>
      </c>
      <c r="G12165" t="s">
        <v>14</v>
      </c>
      <c r="H12165">
             </c>
      <c r="I12165" t="s">
        <v>14</v>
      </c>
      <c r="J12165" t="s">
        <v>343</v>
      </c>
      <c r="K12165" t="s">
        <v>14</v>
      </c>
      <c r="L12165" t="s">
        <v>20</v>
      </c>
      <c r="M12165" t="s">
        <v>23438</v>
      </c>
      <c r="N12165" t="s">
        <v>14</v>
      </c>
    </row>
    <row r="12166" x14ac:dyDescent="0.25">
      <c r="A12166" t="n">
        <v>23</v>
      </c>
      <c r="B12166" t="s">
        <v>14</v>
      </c>
      <c r="C12166" t="s">
        <v>22</v>
      </c>
      <c r="D12166" s="2" t="s">
        <f>=HYPERLINK("https://main.knesset.gov.il/APPS/legislation/main/bills/2146849", "הצעת חוק פיזור הכנסת העשרים ושלוש, התשפ""א-2020")</f>
        <v>23448</v>
      </c>
      <c r="E12166" t="s">
        <v>23448</v>
      </c>
      <c r="F12166" t="s">
        <v>23449</v>
      </c>
      <c r="G12166" t="s">
        <v>14</v>
      </c>
      <c r="H12166">
             </c>
      <c r="I12166" t="s">
        <v>14</v>
      </c>
      <c r="J12166" t="s">
        <v>141</v>
      </c>
      <c r="K12166" t="s">
        <v>14</v>
      </c>
      <c r="L12166" t="s">
        <v>20</v>
      </c>
      <c r="M12166" t="s">
        <v>23438</v>
      </c>
      <c r="N12166" t="s">
        <v>14</v>
      </c>
    </row>
    <row r="12167" x14ac:dyDescent="0.25">
      <c r="A12167" t="n">
        <v>23</v>
      </c>
      <c r="B12167" t="s">
        <v>14</v>
      </c>
      <c r="C12167" t="s">
        <v>22</v>
      </c>
      <c r="D12167" s="2" t="s">
        <f>=HYPERLINK("https://main.knesset.gov.il/APPS/legislation/main/bills/2146214", "הצעת חוק-יסוד: נשיא המדינה (תיקון - כשירות מועמדים לכהונה כנשיא המדינה)")</f>
        <v>2549</v>
      </c>
      <c r="E12167" t="s">
        <v>2549</v>
      </c>
      <c r="F12167" t="s">
        <v>23450</v>
      </c>
      <c r="G12167" t="s">
        <v>14</v>
      </c>
      <c r="H12167">
             </c>
      <c r="I12167" t="s">
        <v>14</v>
      </c>
      <c r="J12167" t="s">
        <v>141</v>
      </c>
      <c r="K12167" t="s">
        <v>14</v>
      </c>
      <c r="L12167" t="s">
        <v>20</v>
      </c>
      <c r="M12167" t="s">
        <v>23438</v>
      </c>
      <c r="N12167" t="s">
        <v>14</v>
      </c>
    </row>
    <row r="12168" x14ac:dyDescent="0.25">
      <c r="A12168" t="n">
        <v>23</v>
      </c>
      <c r="B12168" t="s">
        <v>14</v>
      </c>
      <c r="C12168" t="s">
        <v>22</v>
      </c>
      <c r="D12168" s="2" t="s">
        <f>=HYPERLINK("https://main.knesset.gov.il/APPS/legislation/main/bills/2145022", "הצעת חוק-יסוד: משאל עם (תיקון - ביטול החוק)")</f>
        <v>21895</v>
      </c>
      <c r="E12168" t="s">
        <v>21895</v>
      </c>
      <c r="F12168" t="s">
        <v>23451</v>
      </c>
      <c r="G12168" t="s">
        <v>14</v>
      </c>
      <c r="H12168">
             </c>
      <c r="I12168" t="s">
        <v>14</v>
      </c>
      <c r="J12168" t="s">
        <v>141</v>
      </c>
      <c r="K12168" t="s">
        <v>14</v>
      </c>
      <c r="L12168" t="s">
        <v>20</v>
      </c>
      <c r="M12168" t="s">
        <v>23438</v>
      </c>
      <c r="N12168" t="s">
        <v>14</v>
      </c>
    </row>
    <row r="12169" x14ac:dyDescent="0.25">
      <c r="A12169" t="n">
        <v>23</v>
      </c>
      <c r="B12169" t="s">
        <v>14</v>
      </c>
      <c r="C12169" t="s">
        <v>22</v>
      </c>
      <c r="D12169" s="2" t="s">
        <f>=HYPERLINK("https://main.knesset.gov.il/APPS/legislation/main/bills/2145025", "הצעת חוק יסוד: משאל עם (תיקון - זכות הצבעה לתושבי קבע בשטח לגביו מתקיים משאל העם)")</f>
        <v>23452</v>
      </c>
      <c r="E12169" t="s">
        <v>23452</v>
      </c>
      <c r="F12169" t="s">
        <v>23453</v>
      </c>
      <c r="G12169" t="s">
        <v>14</v>
      </c>
      <c r="H12169">
             </c>
      <c r="I12169" t="s">
        <v>14</v>
      </c>
      <c r="J12169" t="s">
        <v>343</v>
      </c>
      <c r="K12169" t="s">
        <v>14</v>
      </c>
      <c r="L12169" t="s">
        <v>20</v>
      </c>
      <c r="M12169" t="s">
        <v>23438</v>
      </c>
      <c r="N12169" t="s">
        <v>14</v>
      </c>
    </row>
    <row r="12170" x14ac:dyDescent="0.25">
      <c r="A12170" t="n">
        <v>23</v>
      </c>
      <c r="B12170" t="s">
        <v>14</v>
      </c>
      <c r="C12170" t="s">
        <v>22</v>
      </c>
      <c r="D12170" s="2" t="s">
        <f>=HYPERLINK("https://main.knesset.gov.il/APPS/legislation/main/bills/2142759", "הצעת חוק דמי מחלה (היעדרות בשל מחלת קרוב משפחה בודד), התשפ""א-2020")</f>
        <v>23454</v>
      </c>
      <c r="E12170" t="s">
        <v>23454</v>
      </c>
      <c r="F12170" t="s">
        <v>23455</v>
      </c>
      <c r="G12170" t="s">
        <v>14</v>
      </c>
      <c r="H12170">
             </c>
      <c r="I12170" t="s">
        <v>14</v>
      </c>
      <c r="J12170" t="s">
        <v>141</v>
      </c>
      <c r="K12170" t="s">
        <v>14</v>
      </c>
      <c r="L12170" t="s">
        <v>20</v>
      </c>
      <c r="M12170" t="s">
        <v>23438</v>
      </c>
      <c r="N12170" t="s">
        <v>14</v>
      </c>
    </row>
    <row r="12171" x14ac:dyDescent="0.25">
      <c r="A12171" t="n">
        <v>23</v>
      </c>
      <c r="B12171" t="s">
        <v>14</v>
      </c>
      <c r="C12171" t="s">
        <v>22</v>
      </c>
      <c r="D12171" s="2" t="s">
        <f>=HYPERLINK("https://main.knesset.gov.il/APPS/legislation/main/bills/2145966", "הצעת חוק נציבות תלונות הציבור על מייצגי המדינה בערכאות (תיקון - הסדרת מעמד הנציבות כגוף ביקורת עצמאי), התשפ""א-2020")</f>
        <v>23456</v>
      </c>
      <c r="E12171" t="s">
        <v>23456</v>
      </c>
      <c r="F12171" t="s">
        <v>23457</v>
      </c>
      <c r="G12171" t="s">
        <v>14</v>
      </c>
      <c r="H12171">
             </c>
      <c r="I12171" t="s">
        <v>14</v>
      </c>
      <c r="J12171" t="s">
        <v>343</v>
      </c>
      <c r="K12171" t="s">
        <v>14</v>
      </c>
      <c r="L12171" t="s">
        <v>20</v>
      </c>
      <c r="M12171" t="s">
        <v>23438</v>
      </c>
      <c r="N12171" t="s">
        <v>14</v>
      </c>
    </row>
    <row r="12172" x14ac:dyDescent="0.25">
      <c r="A12172" t="n">
        <v>23</v>
      </c>
      <c r="B12172" t="s">
        <v>14</v>
      </c>
      <c r="C12172" t="s">
        <v>22</v>
      </c>
      <c r="D12172" s="2" t="s">
        <f>=HYPERLINK("https://main.knesset.gov.il/APPS/legislation/main/bills/2144187", "הצעת חוק לחלוקה צודקת של הנטל הכלכלי עקב נגיף הקורונה החדש (תיקוני חקיקה), התשפ""א-2020")</f>
        <v>23458</v>
      </c>
      <c r="E12172" t="s">
        <v>23458</v>
      </c>
      <c r="F12172" t="s">
        <v>23459</v>
      </c>
      <c r="G12172" t="s">
        <v>14</v>
      </c>
      <c r="H12172">
             </c>
      <c r="I12172" t="s">
        <v>14</v>
      </c>
      <c r="J12172" t="s">
        <v>141</v>
      </c>
      <c r="K12172" t="s">
        <v>14</v>
      </c>
      <c r="L12172" t="s">
        <v>20</v>
      </c>
      <c r="M12172" t="s">
        <v>23438</v>
      </c>
      <c r="N12172" t="s">
        <v>14</v>
      </c>
    </row>
    <row r="12173" x14ac:dyDescent="0.25">
      <c r="A12173" t="n">
        <v>23</v>
      </c>
      <c r="B12173" t="s">
        <v>14</v>
      </c>
      <c r="C12173" t="s">
        <v>22</v>
      </c>
      <c r="D12173" s="2" t="s">
        <f>=HYPERLINK("https://main.knesset.gov.il/APPS/legislation/main/bills/2145453", "הצעת חוק החזר הוצאות כספיות בגין עריכת נישואין אזרחיים בחוץ לארץ למי שאינם רשאים להינשא בישראל על פי דיני המדינה, התשפ""א-2020")</f>
        <v>23460</v>
      </c>
      <c r="E12173" t="s">
        <v>23460</v>
      </c>
      <c r="F12173" t="s">
        <v>23461</v>
      </c>
      <c r="G12173" t="s">
        <v>14</v>
      </c>
      <c r="H12173">
             </c>
      <c r="I12173" t="s">
        <v>14</v>
      </c>
      <c r="J12173" t="s">
        <v>141</v>
      </c>
      <c r="K12173" t="s">
        <v>14</v>
      </c>
      <c r="L12173" t="s">
        <v>20</v>
      </c>
      <c r="M12173" t="s">
        <v>23438</v>
      </c>
      <c r="N12173" t="s">
        <v>14</v>
      </c>
    </row>
    <row r="12174" x14ac:dyDescent="0.25">
      <c r="A12174" t="n">
        <v>23</v>
      </c>
      <c r="B12174" t="s">
        <v>14</v>
      </c>
      <c r="C12174" t="s">
        <v>22</v>
      </c>
      <c r="D12174" s="2" t="s">
        <f>=HYPERLINK("https://main.knesset.gov.il/APPS/legislation/main/bills/2145077", "הצעת חוק יחסי ממון בין בני זוג (תיקון - הפקעת זכות האיזון מבן זוג שהורשע ברצח בן הזוג השני), התשפ""א-2020")</f>
        <v>23462</v>
      </c>
      <c r="E12174" t="s">
        <v>23462</v>
      </c>
      <c r="F12174" t="s">
        <v>23463</v>
      </c>
      <c r="G12174" t="s">
        <v>14</v>
      </c>
      <c r="H12174">
             </c>
      <c r="I12174" t="s">
        <v>14</v>
      </c>
      <c r="J12174" t="s">
        <v>141</v>
      </c>
      <c r="K12174" t="s">
        <v>14</v>
      </c>
      <c r="L12174" t="s">
        <v>20</v>
      </c>
      <c r="M12174" t="s">
        <v>23438</v>
      </c>
      <c r="N12174" t="s">
        <v>14</v>
      </c>
    </row>
    <row r="12175" x14ac:dyDescent="0.25">
      <c r="A12175" t="n">
        <v>23</v>
      </c>
      <c r="B12175" t="s">
        <v>14</v>
      </c>
      <c r="C12175" t="s">
        <v>22</v>
      </c>
      <c r="D12175" s="2" t="s">
        <f>=HYPERLINK("https://main.knesset.gov.il/APPS/legislation/main/bills/2142763", "הצעת חוק התכנון והבנייה (תיקון - ייצוג הולם לאוכלוסייה הערבית במוסדות התכנון), התשפ""א-2020 ")</f>
        <v>23464</v>
      </c>
      <c r="E12175" t="s">
        <v>23464</v>
      </c>
      <c r="F12175" t="s">
        <v>23465</v>
      </c>
      <c r="G12175" t="s">
        <v>14</v>
      </c>
      <c r="H12175">
             </c>
      <c r="I12175" t="s">
        <v>14</v>
      </c>
      <c r="J12175" t="s">
        <v>141</v>
      </c>
      <c r="K12175" t="s">
        <v>14</v>
      </c>
      <c r="L12175" t="s">
        <v>20</v>
      </c>
      <c r="M12175" t="s">
        <v>23438</v>
      </c>
      <c r="N12175" t="s">
        <v>14</v>
      </c>
    </row>
    <row r="12176" x14ac:dyDescent="0.25">
      <c r="A12176" t="n">
        <v>23</v>
      </c>
      <c r="B12176" t="s">
        <v>14</v>
      </c>
      <c r="C12176" t="s">
        <v>22</v>
      </c>
      <c r="D12176" s="2" t="s">
        <f>=HYPERLINK("https://main.knesset.gov.il/APPS/legislation/main/bills/2142807", "הצעת חוק התכנון והבנייה (תיקון - פטור מהיטל השבחה על בניית דירת מגורים חדשה), התשפ""א-2020 ")</f>
        <v>23466</v>
      </c>
      <c r="E12176" t="s">
        <v>23466</v>
      </c>
      <c r="F12176" t="s">
        <v>23467</v>
      </c>
      <c r="G12176" t="s">
        <v>14</v>
      </c>
      <c r="H12176">
             </c>
      <c r="I12176" t="s">
        <v>14</v>
      </c>
      <c r="J12176" t="s">
        <v>141</v>
      </c>
      <c r="K12176" t="s">
        <v>14</v>
      </c>
      <c r="L12176" t="s">
        <v>20</v>
      </c>
      <c r="M12176" t="s">
        <v>23438</v>
      </c>
      <c r="N12176" t="s">
        <v>14</v>
      </c>
    </row>
    <row r="12177" x14ac:dyDescent="0.25">
      <c r="A12177" t="n">
        <v>23</v>
      </c>
      <c r="B12177" t="s">
        <v>14</v>
      </c>
      <c r="C12177" t="s">
        <v>22</v>
      </c>
      <c r="D12177" s="2" t="s">
        <f>=HYPERLINK("https://main.knesset.gov.il/APPS/legislation/main/bills/2145771", "הצעת חוק הטבות לניצולי שואה (תיקון - הטבות לניצולים שעלו לאחר שנת 1953), התשפ""א-2020")</f>
        <v>23468</v>
      </c>
      <c r="E12177" t="s">
        <v>23468</v>
      </c>
      <c r="F12177" t="s">
        <v>23469</v>
      </c>
      <c r="G12177" t="s">
        <v>14</v>
      </c>
      <c r="H12177">
             </c>
      <c r="I12177" t="s">
        <v>14</v>
      </c>
      <c r="J12177" t="s">
        <v>141</v>
      </c>
      <c r="K12177" t="s">
        <v>14</v>
      </c>
      <c r="L12177" t="s">
        <v>20</v>
      </c>
      <c r="M12177" t="s">
        <v>23438</v>
      </c>
      <c r="N12177" t="s">
        <v>14</v>
      </c>
    </row>
    <row r="12178" x14ac:dyDescent="0.25">
      <c r="A12178" t="n">
        <v>23</v>
      </c>
      <c r="B12178" t="s">
        <v>14</v>
      </c>
      <c r="C12178" t="s">
        <v>22</v>
      </c>
      <c r="D12178" s="2" t="s">
        <f>=HYPERLINK("https://main.knesset.gov.il/APPS/legislation/main/bills/2142209", "הצעת חוק הטבות לניצולי שואה (תיקון - תשלום קצבה חודשית במקום מענק שנתי), התשפ""א-2020")</f>
        <v>23470</v>
      </c>
      <c r="E12178" t="s">
        <v>23470</v>
      </c>
      <c r="F12178" t="s">
        <v>23471</v>
      </c>
      <c r="G12178" t="s">
        <v>14</v>
      </c>
      <c r="H12178">
             </c>
      <c r="I12178" t="s">
        <v>14</v>
      </c>
      <c r="J12178" t="s">
        <v>141</v>
      </c>
      <c r="K12178" t="s">
        <v>14</v>
      </c>
      <c r="L12178" t="s">
        <v>20</v>
      </c>
      <c r="M12178" t="s">
        <v>23438</v>
      </c>
      <c r="N12178" t="s">
        <v>14</v>
      </c>
    </row>
    <row r="12179" x14ac:dyDescent="0.25">
      <c r="A12179" t="n">
        <v>23</v>
      </c>
      <c r="B12179" t="s">
        <v>14</v>
      </c>
      <c r="C12179" t="s">
        <v>22</v>
      </c>
      <c r="D12179" s="2" t="s">
        <f>=HYPERLINK("https://main.knesset.gov.il/APPS/legislation/main/bills/2145878", "הצעת חוק תרומת זרע, התשפ""א-2020")</f>
        <v>23472</v>
      </c>
      <c r="E12179" t="s">
        <v>23472</v>
      </c>
      <c r="F12179" t="s">
        <v>23473</v>
      </c>
      <c r="G12179" t="s">
        <v>14</v>
      </c>
      <c r="H12179">
             </c>
      <c r="I12179" t="s">
        <v>14</v>
      </c>
      <c r="J12179" t="s">
        <v>141</v>
      </c>
      <c r="K12179" t="s">
        <v>14</v>
      </c>
      <c r="L12179" t="s">
        <v>20</v>
      </c>
      <c r="M12179" t="s">
        <v>23438</v>
      </c>
      <c r="N12179" t="s">
        <v>14</v>
      </c>
    </row>
    <row r="12180" x14ac:dyDescent="0.25">
      <c r="A12180" t="n">
        <v>23</v>
      </c>
      <c r="B12180" t="s">
        <v>14</v>
      </c>
      <c r="C12180" t="s">
        <v>22</v>
      </c>
      <c r="D12180" s="2" t="s">
        <f>=HYPERLINK("https://main.knesset.gov.il/APPS/legislation/main/bills/2142809", "הצעת חוק התכנון והבנייה (תיקון - אישור על הגבלת הספקת חשמל, מים וטלפון), התשפ""א-2020")</f>
        <v>23474</v>
      </c>
      <c r="E12180" t="s">
        <v>23474</v>
      </c>
      <c r="F12180" t="s">
        <v>23475</v>
      </c>
      <c r="G12180" t="s">
        <v>14</v>
      </c>
      <c r="H12180">
             </c>
      <c r="I12180" t="s">
        <v>14</v>
      </c>
      <c r="J12180" t="s">
        <v>141</v>
      </c>
      <c r="K12180" t="s">
        <v>14</v>
      </c>
      <c r="L12180" t="s">
        <v>20</v>
      </c>
      <c r="M12180" t="s">
        <v>23438</v>
      </c>
      <c r="N12180" t="s">
        <v>14</v>
      </c>
    </row>
    <row r="12181" x14ac:dyDescent="0.25">
      <c r="A12181" t="n">
        <v>23</v>
      </c>
      <c r="B12181" t="s">
        <v>14</v>
      </c>
      <c r="C12181" t="s">
        <v>22</v>
      </c>
      <c r="D12181" s="2" t="s">
        <f>=HYPERLINK("https://main.knesset.gov.il/APPS/legislation/main/bills/2142812", "הצעת חוק התכנון והבנייה (תיקון - הגבלת תקופת ההפקעה לייעוד ציבורי), התשפ""א-2020 ")</f>
        <v>23476</v>
      </c>
      <c r="E12181" t="s">
        <v>23476</v>
      </c>
      <c r="F12181" t="s">
        <v>23477</v>
      </c>
      <c r="G12181" t="s">
        <v>14</v>
      </c>
      <c r="H12181">
             </c>
      <c r="I12181" t="s">
        <v>14</v>
      </c>
      <c r="J12181" t="s">
        <v>141</v>
      </c>
      <c r="K12181" t="s">
        <v>14</v>
      </c>
      <c r="L12181" t="s">
        <v>20</v>
      </c>
      <c r="M12181" t="s">
        <v>23438</v>
      </c>
      <c r="N12181" t="s">
        <v>14</v>
      </c>
    </row>
    <row r="12182" x14ac:dyDescent="0.25">
      <c r="A12182" t="n">
        <v>23</v>
      </c>
      <c r="B12182" t="s">
        <v>14</v>
      </c>
      <c r="C12182" t="s">
        <v>22</v>
      </c>
      <c r="D12182" s="2" t="s">
        <f>=HYPERLINK("https://main.knesset.gov.il/APPS/legislation/main/bills/2142810", "הצעת חוק ביטוח בריאות ממלכתי (תיקון - פטור מתשלום לקשיש מעל גיל 80 שמשתלמת לו גמלה להבטחת הכנסה), התשפ""א-2020")</f>
        <v>23478</v>
      </c>
      <c r="E12182" t="s">
        <v>23478</v>
      </c>
      <c r="F12182" t="s">
        <v>23479</v>
      </c>
      <c r="G12182" t="s">
        <v>14</v>
      </c>
      <c r="H12182">
             </c>
      <c r="I12182" t="s">
        <v>14</v>
      </c>
      <c r="J12182" t="s">
        <v>141</v>
      </c>
      <c r="K12182" t="s">
        <v>14</v>
      </c>
      <c r="L12182" t="s">
        <v>20</v>
      </c>
      <c r="M12182" t="s">
        <v>23438</v>
      </c>
      <c r="N12182" t="s">
        <v>14</v>
      </c>
    </row>
    <row r="12183" x14ac:dyDescent="0.25">
      <c r="A12183" t="n">
        <v>23</v>
      </c>
      <c r="B12183" t="s">
        <v>14</v>
      </c>
      <c r="C12183" t="s">
        <v>22</v>
      </c>
      <c r="D12183" s="2" t="s">
        <f>=HYPERLINK("https://main.knesset.gov.il/APPS/legislation/main/bills/2142764", "הצעת חוק הביטוח הלאומי (תיקון - הגדלת התוספת לקצבת אזרח ותיק בעד ילדים), התשפ""א-2020")</f>
        <v>23480</v>
      </c>
      <c r="E12183" t="s">
        <v>23480</v>
      </c>
      <c r="F12183" t="s">
        <v>23481</v>
      </c>
      <c r="G12183" t="s">
        <v>14</v>
      </c>
      <c r="H12183">
             </c>
      <c r="I12183" t="s">
        <v>14</v>
      </c>
      <c r="J12183" t="s">
        <v>141</v>
      </c>
      <c r="K12183" t="s">
        <v>14</v>
      </c>
      <c r="L12183" t="s">
        <v>20</v>
      </c>
      <c r="M12183" t="s">
        <v>23438</v>
      </c>
      <c r="N12183" t="s">
        <v>14</v>
      </c>
    </row>
    <row r="12184" x14ac:dyDescent="0.25">
      <c r="A12184" t="n">
        <v>23</v>
      </c>
      <c r="B12184" t="s">
        <v>14</v>
      </c>
      <c r="C12184" t="s">
        <v>22</v>
      </c>
      <c r="D12184" s="2" t="s">
        <f>=HYPERLINK("https://main.knesset.gov.il/APPS/legislation/main/bills/2146056", "הצעת חוק קליטת חיילים משוחררים (תיקון - הטבות לחיילים משוחררים בודדים), התשפ""א-2020")</f>
        <v>23482</v>
      </c>
      <c r="E12184" t="s">
        <v>23482</v>
      </c>
      <c r="F12184" t="s">
        <v>23483</v>
      </c>
      <c r="G12184" t="s">
        <v>14</v>
      </c>
      <c r="H12184">
             </c>
      <c r="I12184" t="s">
        <v>14</v>
      </c>
      <c r="J12184" t="s">
        <v>141</v>
      </c>
      <c r="K12184" t="s">
        <v>14</v>
      </c>
      <c r="L12184" t="s">
        <v>20</v>
      </c>
      <c r="M12184" t="s">
        <v>23438</v>
      </c>
      <c r="N12184" t="s">
        <v>14</v>
      </c>
    </row>
    <row r="12185" x14ac:dyDescent="0.25">
      <c r="A12185" t="n">
        <v>23</v>
      </c>
      <c r="B12185" t="s">
        <v>14</v>
      </c>
      <c r="C12185" t="s">
        <v>22</v>
      </c>
      <c r="D12185" s="2" t="s">
        <f>=HYPERLINK("https://main.knesset.gov.il/APPS/legislation/main/bills/2140275", "הצעת חוק תאגידי מים וביוב (תיקון - ועדת חריגים), התשפ""א-2020")</f>
        <v>23484</v>
      </c>
      <c r="E12185" t="s">
        <v>23484</v>
      </c>
      <c r="F12185" t="s">
        <v>23485</v>
      </c>
      <c r="G12185" t="s">
        <v>14</v>
      </c>
      <c r="H12185">
             </c>
      <c r="I12185" t="s">
        <v>14</v>
      </c>
      <c r="J12185" t="s">
        <v>141</v>
      </c>
      <c r="K12185" t="s">
        <v>14</v>
      </c>
      <c r="L12185" t="s">
        <v>20</v>
      </c>
      <c r="M12185" t="s">
        <v>23438</v>
      </c>
      <c r="N12185" t="s">
        <v>14</v>
      </c>
    </row>
    <row r="12186" x14ac:dyDescent="0.25">
      <c r="A12186" t="n">
        <v>23</v>
      </c>
      <c r="B12186" t="s">
        <v>14</v>
      </c>
      <c r="C12186" t="s">
        <v>22</v>
      </c>
      <c r="D12186" s="2" t="s">
        <f>=HYPERLINK("https://main.knesset.gov.il/APPS/legislation/main/bills/2146363", "הצעת חוק הגנת הצרכן (תיקון - סימון תוצרת חקלאית שיוצרה במדינת ישראל), התשפ""א-2020")</f>
        <v>23310</v>
      </c>
      <c r="E12186" t="s">
        <v>23310</v>
      </c>
      <c r="F12186" t="s">
        <v>23486</v>
      </c>
      <c r="G12186" t="s">
        <v>14</v>
      </c>
      <c r="H12186">
             </c>
      <c r="I12186" t="s">
        <v>14</v>
      </c>
      <c r="J12186" t="s">
        <v>141</v>
      </c>
      <c r="K12186" t="s">
        <v>14</v>
      </c>
      <c r="L12186" t="s">
        <v>20</v>
      </c>
      <c r="M12186" t="s">
        <v>23438</v>
      </c>
      <c r="N12186" t="s">
        <v>14</v>
      </c>
    </row>
    <row r="12187" x14ac:dyDescent="0.25">
      <c r="A12187" t="n">
        <v>23</v>
      </c>
      <c r="B12187" t="s">
        <v>14</v>
      </c>
      <c r="C12187" t="s">
        <v>22</v>
      </c>
      <c r="D12187" s="2" t="s">
        <f>=HYPERLINK("https://main.knesset.gov.il/APPS/legislation/main/bills/2146473", "הצעת חוק זכויות לעובד עצמאי, התשפ""א-2020")</f>
        <v>23487</v>
      </c>
      <c r="E12187" t="s">
        <v>23487</v>
      </c>
      <c r="F12187" t="s">
        <v>23488</v>
      </c>
      <c r="G12187" t="s">
        <v>14</v>
      </c>
      <c r="H12187">
             </c>
      <c r="I12187" t="s">
        <v>14</v>
      </c>
      <c r="J12187" t="s">
        <v>141</v>
      </c>
      <c r="K12187" t="s">
        <v>14</v>
      </c>
      <c r="L12187" t="s">
        <v>20</v>
      </c>
      <c r="M12187" t="s">
        <v>23438</v>
      </c>
      <c r="N12187" t="s">
        <v>14</v>
      </c>
    </row>
    <row r="12188" x14ac:dyDescent="0.25">
      <c r="A12188" t="n">
        <v>23</v>
      </c>
      <c r="B12188" t="s">
        <v>14</v>
      </c>
      <c r="C12188" t="s">
        <v>22</v>
      </c>
      <c r="D12188" s="2" t="s">
        <f>=HYPERLINK("https://main.knesset.gov.il/APPS/legislation/main/bills/2146441", "הצעת חוק להסדרת הפיקוח על כלבים (תיקון – חובת עיקור של כלבות), התשפ""א–2020")</f>
        <v>23489</v>
      </c>
      <c r="E12188" t="s">
        <v>23489</v>
      </c>
      <c r="F12188" t="s">
        <v>23490</v>
      </c>
      <c r="G12188" t="s">
        <v>14</v>
      </c>
      <c r="H12188">
             </c>
      <c r="I12188" t="s">
        <v>14</v>
      </c>
      <c r="J12188" t="s">
        <v>141</v>
      </c>
      <c r="K12188" t="s">
        <v>14</v>
      </c>
      <c r="L12188" t="s">
        <v>20</v>
      </c>
      <c r="M12188" t="s">
        <v>23438</v>
      </c>
      <c r="N12188" t="s">
        <v>14</v>
      </c>
    </row>
    <row r="12189" x14ac:dyDescent="0.25">
      <c r="A12189" t="n">
        <v>23</v>
      </c>
      <c r="B12189" t="s">
        <v>14</v>
      </c>
      <c r="C12189" t="s">
        <v>22</v>
      </c>
      <c r="D12189" s="2" t="s">
        <f>=HYPERLINK("https://main.knesset.gov.il/APPS/legislation/main/bills/2140233", "הצעת חוק הגנת הצרכן (תיקון - פריסת תשלומים בעסקה מתמשכת), התשפ""א-2020")</f>
        <v>23491</v>
      </c>
      <c r="E12189" t="s">
        <v>23491</v>
      </c>
      <c r="F12189" t="s">
        <v>23492</v>
      </c>
      <c r="G12189" t="s">
        <v>14</v>
      </c>
      <c r="H12189">
             </c>
      <c r="I12189" t="s">
        <v>14</v>
      </c>
      <c r="J12189" t="s">
        <v>141</v>
      </c>
      <c r="K12189" t="s">
        <v>14</v>
      </c>
      <c r="L12189" t="s">
        <v>20</v>
      </c>
      <c r="M12189" t="s">
        <v>23438</v>
      </c>
      <c r="N12189" t="s">
        <v>14</v>
      </c>
    </row>
    <row r="12190" x14ac:dyDescent="0.25">
      <c r="A12190" t="n">
        <v>23</v>
      </c>
      <c r="B12190" t="s">
        <v>14</v>
      </c>
      <c r="C12190" t="s">
        <v>22</v>
      </c>
      <c r="D12190" s="2" t="s">
        <f>=HYPERLINK("https://main.knesset.gov.il/APPS/legislation/main/bills/2140270", "הצעת חוק לתיקון פקודת התעבורה (ריבית פיגורים בגין אי תשלום קנס על עבירת חניה), התשפ""א-2020")</f>
        <v>23493</v>
      </c>
      <c r="E12190" t="s">
        <v>23493</v>
      </c>
      <c r="F12190" t="s">
        <v>23494</v>
      </c>
      <c r="G12190" t="s">
        <v>14</v>
      </c>
      <c r="H12190">
             </c>
      <c r="I12190" t="s">
        <v>14</v>
      </c>
      <c r="J12190" t="s">
        <v>141</v>
      </c>
      <c r="K12190" t="s">
        <v>14</v>
      </c>
      <c r="L12190" t="s">
        <v>20</v>
      </c>
      <c r="M12190" t="s">
        <v>23438</v>
      </c>
      <c r="N12190" t="s">
        <v>14</v>
      </c>
    </row>
    <row r="12191" x14ac:dyDescent="0.25">
      <c r="A12191" t="n">
        <v>23</v>
      </c>
      <c r="B12191" t="s">
        <v>14</v>
      </c>
      <c r="C12191" t="s">
        <v>22</v>
      </c>
      <c r="D12191" s="2" t="s">
        <f>=HYPERLINK("https://main.knesset.gov.il/APPS/legislation/main/bills/2145779", "הצעת חוק להסדרת הפיקוח על כלבים (תיקון - חובת עיקור של כלבות), התשפ""א-2020")</f>
        <v>23495</v>
      </c>
      <c r="E12191" t="s">
        <v>23495</v>
      </c>
      <c r="F12191" t="s">
        <v>23496</v>
      </c>
      <c r="G12191" t="s">
        <v>14</v>
      </c>
      <c r="H12191">
             </c>
      <c r="I12191" t="s">
        <v>14</v>
      </c>
      <c r="J12191" t="s">
        <v>141</v>
      </c>
      <c r="K12191" t="s">
        <v>14</v>
      </c>
      <c r="L12191" t="s">
        <v>20</v>
      </c>
      <c r="M12191" t="s">
        <v>23438</v>
      </c>
      <c r="N12191" t="s">
        <v>14</v>
      </c>
    </row>
    <row r="12192" x14ac:dyDescent="0.25">
      <c r="A12192" t="n">
        <v>23</v>
      </c>
      <c r="B12192" t="s">
        <v>14</v>
      </c>
      <c r="C12192" t="s">
        <v>22</v>
      </c>
      <c r="D12192" s="2" t="s">
        <f>=HYPERLINK("https://main.knesset.gov.il/APPS/legislation/main/bills/2140246", "הצעת חוק לתיקון פקודת התעבורה (פיצוי כספי בגין איחור אוטובוס), התשפ""א-2020")</f>
        <v>23497</v>
      </c>
      <c r="E12192" t="s">
        <v>23497</v>
      </c>
      <c r="F12192" t="s">
        <v>23498</v>
      </c>
      <c r="G12192" t="s">
        <v>14</v>
      </c>
      <c r="H12192">
             </c>
      <c r="I12192" t="s">
        <v>14</v>
      </c>
      <c r="J12192" t="s">
        <v>141</v>
      </c>
      <c r="K12192" t="s">
        <v>14</v>
      </c>
      <c r="L12192" t="s">
        <v>20</v>
      </c>
      <c r="M12192" t="s">
        <v>23438</v>
      </c>
      <c r="N12192" t="s">
        <v>14</v>
      </c>
    </row>
    <row r="12193" x14ac:dyDescent="0.25">
      <c r="A12193" t="n">
        <v>23</v>
      </c>
      <c r="B12193" t="s">
        <v>14</v>
      </c>
      <c r="C12193" t="s">
        <v>22</v>
      </c>
      <c r="D12193" s="2" t="s">
        <f>=HYPERLINK("https://main.knesset.gov.il/APPS/legislation/main/bills/2140242", "הצעת חוק התקשורת (בזק ושידורים) (תיקון - התראת חיוב בהתקשרות לחוץ לארץ), התשפ""א-2020")</f>
        <v>23499</v>
      </c>
      <c r="E12193" t="s">
        <v>23499</v>
      </c>
      <c r="F12193" t="s">
        <v>23500</v>
      </c>
      <c r="G12193" t="s">
        <v>14</v>
      </c>
      <c r="H12193">
             </c>
      <c r="I12193" t="s">
        <v>14</v>
      </c>
      <c r="J12193" t="s">
        <v>141</v>
      </c>
      <c r="K12193" t="s">
        <v>14</v>
      </c>
      <c r="L12193" t="s">
        <v>20</v>
      </c>
      <c r="M12193" t="s">
        <v>23438</v>
      </c>
      <c r="N12193" t="s">
        <v>14</v>
      </c>
    </row>
    <row r="12194" x14ac:dyDescent="0.25">
      <c r="A12194" t="n">
        <v>23</v>
      </c>
      <c r="B12194" t="s">
        <v>14</v>
      </c>
      <c r="C12194" t="s">
        <v>22</v>
      </c>
      <c r="D12194" s="2" t="s">
        <f>=HYPERLINK("https://main.knesset.gov.il/APPS/legislation/main/bills/2142605", "הצעת חוק הגנה על ישראלים מפני מוסדות בין-לאומיים עוינים, התשפ""א-2020")</f>
        <v>23501</v>
      </c>
      <c r="E12194" t="s">
        <v>23501</v>
      </c>
      <c r="F12194" t="s">
        <v>23502</v>
      </c>
      <c r="G12194" t="s">
        <v>14</v>
      </c>
      <c r="H12194">
             </c>
      <c r="I12194" t="s">
        <v>14</v>
      </c>
      <c r="J12194" t="s">
        <v>141</v>
      </c>
      <c r="K12194" t="s">
        <v>14</v>
      </c>
      <c r="L12194" t="s">
        <v>20</v>
      </c>
      <c r="M12194" t="s">
        <v>23438</v>
      </c>
      <c r="N12194" t="s">
        <v>14</v>
      </c>
    </row>
    <row r="12195" x14ac:dyDescent="0.25">
      <c r="A12195" t="n">
        <v>23</v>
      </c>
      <c r="B12195" t="s">
        <v>14</v>
      </c>
      <c r="C12195" t="s">
        <v>22</v>
      </c>
      <c r="D12195" s="2" t="s">
        <f>=HYPERLINK("https://main.knesset.gov.il/APPS/legislation/main/bills/2142715", "הצעת חוק הקמת המוסד העליון לשפת הסימנים הישראלית, התשפ""א-2020")</f>
        <v>23503</v>
      </c>
      <c r="E12195" t="s">
        <v>23503</v>
      </c>
      <c r="F12195" t="s">
        <v>23504</v>
      </c>
      <c r="G12195" t="s">
        <v>14</v>
      </c>
      <c r="H12195">
             </c>
      <c r="I12195" t="s">
        <v>14</v>
      </c>
      <c r="J12195" t="s">
        <v>141</v>
      </c>
      <c r="K12195" t="s">
        <v>14</v>
      </c>
      <c r="L12195" t="s">
        <v>20</v>
      </c>
      <c r="M12195" t="s">
        <v>23438</v>
      </c>
      <c r="N12195" t="s">
        <v>14</v>
      </c>
    </row>
    <row r="12196" x14ac:dyDescent="0.25">
      <c r="A12196" t="n">
        <v>23</v>
      </c>
      <c r="B12196" t="s">
        <v>14</v>
      </c>
      <c r="C12196" t="s">
        <v>22</v>
      </c>
      <c r="D12196" s="2" t="s">
        <f>=HYPERLINK("https://main.knesset.gov.il/APPS/legislation/main/bills/2145336", "הצעת חוק לפיקוח על הפעלת צהרונים (תיקון - אמות המידה לקביעת מחיר חודשי מירבי ושיעור השתתפות המדינה), התשפ""א-2020")</f>
        <v>23505</v>
      </c>
      <c r="E12196" t="s">
        <v>23505</v>
      </c>
      <c r="F12196" t="s">
        <v>23506</v>
      </c>
      <c r="G12196" t="s">
        <v>14</v>
      </c>
      <c r="H12196">
             </c>
      <c r="I12196" t="s">
        <v>14</v>
      </c>
      <c r="J12196" t="s">
        <v>141</v>
      </c>
      <c r="K12196" t="s">
        <v>14</v>
      </c>
      <c r="L12196" t="s">
        <v>20</v>
      </c>
      <c r="M12196" t="s">
        <v>23438</v>
      </c>
      <c r="N12196" t="s">
        <v>14</v>
      </c>
    </row>
    <row r="12197" x14ac:dyDescent="0.25">
      <c r="A12197" t="n">
        <v>23</v>
      </c>
      <c r="B12197" t="s">
        <v>14</v>
      </c>
      <c r="C12197" t="s">
        <v>22</v>
      </c>
      <c r="D12197" s="2" t="s">
        <f>=HYPERLINK("https://main.knesset.gov.il/APPS/legislation/main/bills/2145289", "הצעת חוק לתיקון פקודת מס הכנסה (ניכוי הוצאות בשל ארוחה עסקית לעצמאיים), התשפ""א-2020")</f>
        <v>23507</v>
      </c>
      <c r="E12197" t="s">
        <v>23507</v>
      </c>
      <c r="F12197" t="s">
        <v>23508</v>
      </c>
      <c r="G12197" t="s">
        <v>14</v>
      </c>
      <c r="H12197">
             </c>
      <c r="I12197" t="s">
        <v>14</v>
      </c>
      <c r="J12197" t="s">
        <v>141</v>
      </c>
      <c r="K12197" t="s">
        <v>14</v>
      </c>
      <c r="L12197" t="s">
        <v>20</v>
      </c>
      <c r="M12197" t="s">
        <v>23438</v>
      </c>
      <c r="N12197" t="s">
        <v>14</v>
      </c>
    </row>
    <row r="12198" x14ac:dyDescent="0.25">
      <c r="A12198" t="n">
        <v>23</v>
      </c>
      <c r="B12198" t="s">
        <v>14</v>
      </c>
      <c r="C12198" t="s">
        <v>22</v>
      </c>
      <c r="D12198" s="2" t="s">
        <f>=HYPERLINK("https://main.knesset.gov.il/APPS/legislation/main/bills/2143705", "הצעת חוק החקלאות, התשפ""א-2020")</f>
        <v>23509</v>
      </c>
      <c r="E12198" t="s">
        <v>23509</v>
      </c>
      <c r="F12198" t="s">
        <v>23510</v>
      </c>
      <c r="G12198" t="s">
        <v>14</v>
      </c>
      <c r="H12198">
             </c>
      <c r="I12198" t="s">
        <v>14</v>
      </c>
      <c r="J12198" t="s">
        <v>141</v>
      </c>
      <c r="K12198" t="s">
        <v>14</v>
      </c>
      <c r="L12198" t="s">
        <v>20</v>
      </c>
      <c r="M12198" t="s">
        <v>23438</v>
      </c>
      <c r="N12198" t="s">
        <v>14</v>
      </c>
    </row>
    <row r="12199" x14ac:dyDescent="0.25">
      <c r="A12199" t="n">
        <v>23</v>
      </c>
      <c r="B12199" t="s">
        <v>14</v>
      </c>
      <c r="C12199" t="s">
        <v>22</v>
      </c>
      <c r="D12199" s="2" t="s">
        <f>=HYPERLINK("https://main.knesset.gov.il/APPS/legislation/main/bills/2145283", "הצעת חוק לתיקון פקודת מס הכנסה (הכרה בהוצאות אש""ל לעצמאיים), התשפ""א-2020")</f>
        <v>23511</v>
      </c>
      <c r="E12199" t="s">
        <v>23511</v>
      </c>
      <c r="F12199" t="s">
        <v>23512</v>
      </c>
      <c r="G12199" t="s">
        <v>14</v>
      </c>
      <c r="H12199">
             </c>
      <c r="I12199" t="s">
        <v>14</v>
      </c>
      <c r="J12199" t="s">
        <v>141</v>
      </c>
      <c r="K12199" t="s">
        <v>14</v>
      </c>
      <c r="L12199" t="s">
        <v>20</v>
      </c>
      <c r="M12199" t="s">
        <v>23438</v>
      </c>
      <c r="N12199" t="s">
        <v>14</v>
      </c>
    </row>
    <row r="12200" x14ac:dyDescent="0.25">
      <c r="A12200" t="n">
        <v>23</v>
      </c>
      <c r="B12200" t="s">
        <v>14</v>
      </c>
      <c r="C12200" t="s">
        <v>22</v>
      </c>
      <c r="D12200" s="2" t="s">
        <f>=HYPERLINK("https://main.knesset.gov.il/APPS/legislation/main/bills/2143714", "הצעת חוק דחיית תשלומי מס לעסק חדש (תיקוני חקיקה), התשפ""א-2020")</f>
        <v>23513</v>
      </c>
      <c r="E12200" t="s">
        <v>23513</v>
      </c>
      <c r="F12200" t="s">
        <v>23514</v>
      </c>
      <c r="G12200" t="s">
        <v>14</v>
      </c>
      <c r="H12200">
             </c>
      <c r="I12200" t="s">
        <v>14</v>
      </c>
      <c r="J12200" t="s">
        <v>141</v>
      </c>
      <c r="K12200" t="s">
        <v>14</v>
      </c>
      <c r="L12200" t="s">
        <v>20</v>
      </c>
      <c r="M12200" t="s">
        <v>23438</v>
      </c>
      <c r="N12200" t="s">
        <v>14</v>
      </c>
    </row>
    <row r="12201" x14ac:dyDescent="0.25">
      <c r="A12201" t="n">
        <v>23</v>
      </c>
      <c r="B12201" t="s">
        <v>14</v>
      </c>
      <c r="C12201" t="s">
        <v>22</v>
      </c>
      <c r="D12201" s="2" t="s">
        <f>=HYPERLINK("https://main.knesset.gov.il/APPS/legislation/main/bills/2143206", "הצעת חוק זכויות הסטודנט (תיקון - סיוע כלכלי בשעת חירום), התש""ף-2020")</f>
        <v>23515</v>
      </c>
      <c r="E12201" t="s">
        <v>23515</v>
      </c>
      <c r="F12201" t="s">
        <v>23516</v>
      </c>
      <c r="G12201" t="s">
        <v>14</v>
      </c>
      <c r="H12201">
             </c>
      <c r="I12201" t="s">
        <v>14</v>
      </c>
      <c r="J12201" t="s">
        <v>55</v>
      </c>
      <c r="K12201" t="s">
        <v>14</v>
      </c>
      <c r="L12201" t="s">
        <v>20</v>
      </c>
      <c r="M12201" t="s">
        <v>23517</v>
      </c>
      <c r="N12201" t="s">
        <v>14</v>
      </c>
    </row>
    <row r="12202" x14ac:dyDescent="0.25">
      <c r="A12202" t="n">
        <v>23</v>
      </c>
      <c r="B12202" t="s">
        <v>14</v>
      </c>
      <c r="C12202" t="s">
        <v>22</v>
      </c>
      <c r="D12202" s="2" t="s">
        <f>=HYPERLINK("https://main.knesset.gov.il/APPS/legislation/main/bills/2142529", "הצעת חוק להתמודדות כלכלית עם משבר נגיף הקורונה החדש (תיקון - חישוב מס מאוחד לשנים 2020-2019), התש""ף-2020")</f>
        <v>23518</v>
      </c>
      <c r="E12202" t="s">
        <v>23518</v>
      </c>
      <c r="F12202" t="s">
        <v>23519</v>
      </c>
      <c r="G12202" t="s">
        <v>14</v>
      </c>
      <c r="H12202">
             </c>
      <c r="I12202" t="s">
        <v>14</v>
      </c>
      <c r="J12202" t="s">
        <v>55</v>
      </c>
      <c r="K12202" t="s">
        <v>14</v>
      </c>
      <c r="L12202" t="s">
        <v>20</v>
      </c>
      <c r="M12202" t="s">
        <v>23517</v>
      </c>
      <c r="N12202" t="s">
        <v>14</v>
      </c>
    </row>
    <row r="12203" x14ac:dyDescent="0.25">
      <c r="A12203" t="n">
        <v>23</v>
      </c>
      <c r="B12203" t="s">
        <v>14</v>
      </c>
      <c r="C12203" t="s">
        <v>22</v>
      </c>
      <c r="D12203" s="2" t="s">
        <f>=HYPERLINK("https://main.knesset.gov.il/APPS/legislation/main/bills/2141372", "הצעת חוק הביטוח הלאומי (תיקון - פטור מתקופת אכשרה לחיילים משוחררים), התש""ף-2020")</f>
        <v>23520</v>
      </c>
      <c r="E12203" t="s">
        <v>23520</v>
      </c>
      <c r="F12203" t="s">
        <v>23521</v>
      </c>
      <c r="G12203" t="s">
        <v>14</v>
      </c>
      <c r="H12203">
             </c>
      <c r="I12203" t="s">
        <v>14</v>
      </c>
      <c r="J12203" t="s">
        <v>55</v>
      </c>
      <c r="K12203" t="s">
        <v>14</v>
      </c>
      <c r="L12203" t="s">
        <v>20</v>
      </c>
      <c r="M12203" t="s">
        <v>23517</v>
      </c>
      <c r="N12203" t="s">
        <v>14</v>
      </c>
    </row>
    <row r="12204" x14ac:dyDescent="0.25">
      <c r="A12204" t="n">
        <v>23</v>
      </c>
      <c r="B12204" t="s">
        <v>14</v>
      </c>
      <c r="C12204" t="s">
        <v>22</v>
      </c>
      <c r="D12204" s="2" t="s">
        <f>=HYPERLINK("https://main.knesset.gov.il/APPS/legislation/main/bills/2086893", "הצעת חוק הנישואין ופירוקם, התש""ף-2020")</f>
        <v>23522</v>
      </c>
      <c r="E12204" t="s">
        <v>23522</v>
      </c>
      <c r="F12204" t="s">
        <v>23523</v>
      </c>
      <c r="G12204" t="s">
        <v>14</v>
      </c>
      <c r="H12204">
             </c>
      <c r="I12204" t="s">
        <v>14</v>
      </c>
      <c r="J12204" t="s">
        <v>55</v>
      </c>
      <c r="K12204" t="s">
        <v>14</v>
      </c>
      <c r="L12204" t="s">
        <v>20</v>
      </c>
      <c r="M12204" t="s">
        <v>23517</v>
      </c>
      <c r="N12204" t="s">
        <v>14</v>
      </c>
    </row>
    <row r="12205" x14ac:dyDescent="0.25">
      <c r="A12205" t="n">
        <v>23</v>
      </c>
      <c r="B12205" t="s">
        <v>14</v>
      </c>
      <c r="C12205" t="s">
        <v>22</v>
      </c>
      <c r="D12205" s="2" t="s">
        <f>=HYPERLINK("https://main.knesset.gov.il/APPS/legislation/main/bills/2085624", "הצעת חוק נישואין וגירושין, התש""ף-2020")</f>
        <v>23524</v>
      </c>
      <c r="E12205" t="s">
        <v>23524</v>
      </c>
      <c r="F12205" t="s">
        <v>23525</v>
      </c>
      <c r="G12205" t="s">
        <v>14</v>
      </c>
      <c r="H12205">
             </c>
      <c r="I12205" t="s">
        <v>14</v>
      </c>
      <c r="J12205" t="s">
        <v>55</v>
      </c>
      <c r="K12205" t="s">
        <v>14</v>
      </c>
      <c r="L12205" t="s">
        <v>20</v>
      </c>
      <c r="M12205" t="s">
        <v>23517</v>
      </c>
      <c r="N12205" t="s">
        <v>14</v>
      </c>
    </row>
    <row r="12206" x14ac:dyDescent="0.25">
      <c r="A12206" t="n">
        <v>23</v>
      </c>
      <c r="B12206" t="s">
        <v>14</v>
      </c>
      <c r="C12206" t="s">
        <v>22</v>
      </c>
      <c r="D12206" s="2" t="s">
        <f>=HYPERLINK("https://main.knesset.gov.il/APPS/legislation/main/bills/2086364", "הצעת חוק צער בעלי חיים (הגנה על בעלי חיים) (תיקון - החמרת ענישה בגין התעללות בבעלי חיים), התש""ף-2020")</f>
        <v>23526</v>
      </c>
      <c r="E12206" t="s">
        <v>23526</v>
      </c>
      <c r="F12206" t="s">
        <v>23527</v>
      </c>
      <c r="G12206" t="s">
        <v>14</v>
      </c>
      <c r="H12206">
             </c>
      <c r="I12206" t="s">
        <v>14</v>
      </c>
      <c r="J12206" t="s">
        <v>55</v>
      </c>
      <c r="K12206" t="s">
        <v>14</v>
      </c>
      <c r="L12206" t="s">
        <v>20</v>
      </c>
      <c r="M12206" t="s">
        <v>23517</v>
      </c>
      <c r="N12206" t="s">
        <v>14</v>
      </c>
    </row>
    <row r="12207" x14ac:dyDescent="0.25">
      <c r="A12207" t="n">
        <v>23</v>
      </c>
      <c r="B12207" t="s">
        <v>14</v>
      </c>
      <c r="C12207" t="s">
        <v>22</v>
      </c>
      <c r="D12207" s="2" t="s">
        <f>=HYPERLINK("https://main.knesset.gov.il/APPS/legislation/main/bills/2085649", "הצעת חוק החולה הנוטה למות (תיקון - מוות במרשם רופא), התש""ף-2020")</f>
        <v>23528</v>
      </c>
      <c r="E12207" t="s">
        <v>23528</v>
      </c>
      <c r="F12207" t="s">
        <v>23529</v>
      </c>
      <c r="G12207" t="s">
        <v>14</v>
      </c>
      <c r="H12207">
             </c>
      <c r="I12207" t="s">
        <v>14</v>
      </c>
      <c r="J12207" t="s">
        <v>55</v>
      </c>
      <c r="K12207" t="s">
        <v>14</v>
      </c>
      <c r="L12207" t="s">
        <v>20</v>
      </c>
      <c r="M12207" t="s">
        <v>23517</v>
      </c>
      <c r="N12207" t="s">
        <v>14</v>
      </c>
    </row>
    <row r="12208" x14ac:dyDescent="0.25">
      <c r="A12208" t="n">
        <v>23</v>
      </c>
      <c r="B12208" t="s">
        <v>14</v>
      </c>
      <c r="C12208" t="s">
        <v>22</v>
      </c>
      <c r="D12208" s="2" t="s">
        <f>=HYPERLINK("https://main.knesset.gov.il/APPS/legislation/main/bills/2146440", "הצעת חוק-יסוד: השפיטה (תיקון - סמכויות שיפוט ותקנות סדרי דין באישור ועדה)")</f>
        <v>1901</v>
      </c>
      <c r="E12208" t="s">
        <v>1901</v>
      </c>
      <c r="F12208" t="s">
        <v>23530</v>
      </c>
      <c r="G12208" t="s">
        <v>14</v>
      </c>
      <c r="H12208">
             </c>
      <c r="I12208" t="s">
        <v>14</v>
      </c>
      <c r="J12208" t="s">
        <v>343</v>
      </c>
      <c r="K12208" t="s">
        <v>14</v>
      </c>
      <c r="L12208" t="s">
        <v>20</v>
      </c>
      <c r="M12208" t="s">
        <v>23531</v>
      </c>
      <c r="N12208" t="s">
        <v>14</v>
      </c>
    </row>
    <row r="12209" x14ac:dyDescent="0.25">
      <c r="A12209" t="n">
        <v>23</v>
      </c>
      <c r="B12209" t="s">
        <v>14</v>
      </c>
      <c r="C12209" t="s">
        <v>22</v>
      </c>
      <c r="D12209" s="2" t="s">
        <f>=HYPERLINK("https://main.knesset.gov.il/APPS/legislation/main/bills/2144528", "הצעת חוק הביטוח הלאומי (תיקון - שלילת קצבת ילדים ממשפחות פוליגמיות), התשפ""א-2020")</f>
        <v>23532</v>
      </c>
      <c r="E12209" t="s">
        <v>23532</v>
      </c>
      <c r="F12209" t="s">
        <v>23533</v>
      </c>
      <c r="G12209" t="s">
        <v>14</v>
      </c>
      <c r="H12209">
             </c>
      <c r="I12209" t="s">
        <v>14</v>
      </c>
      <c r="J12209" t="s">
        <v>141</v>
      </c>
      <c r="K12209" t="s">
        <v>14</v>
      </c>
      <c r="L12209" t="s">
        <v>20</v>
      </c>
      <c r="M12209" t="s">
        <v>23531</v>
      </c>
      <c r="N12209" t="s">
        <v>14</v>
      </c>
    </row>
    <row r="12210" x14ac:dyDescent="0.25">
      <c r="A12210" t="n">
        <v>23</v>
      </c>
      <c r="B12210" t="s">
        <v>14</v>
      </c>
      <c r="C12210" t="s">
        <v>22</v>
      </c>
      <c r="D12210" s="2" t="s">
        <f>=HYPERLINK("https://main.knesset.gov.il/APPS/legislation/main/bills/2145920", "הצעת חוק ברית הזוגיות לחסרי דת (תיקון - ברית זוגיות למנועי חיתון בישראל), התשפ""א-2020")</f>
        <v>23534</v>
      </c>
      <c r="E12210" t="s">
        <v>23534</v>
      </c>
      <c r="F12210" t="s">
        <v>23535</v>
      </c>
      <c r="G12210" t="s">
        <v>14</v>
      </c>
      <c r="H12210">
             </c>
      <c r="I12210" t="s">
        <v>14</v>
      </c>
      <c r="J12210" t="s">
        <v>141</v>
      </c>
      <c r="K12210" t="s">
        <v>14</v>
      </c>
      <c r="L12210" t="s">
        <v>20</v>
      </c>
      <c r="M12210" t="s">
        <v>23531</v>
      </c>
      <c r="N12210" t="s">
        <v>14</v>
      </c>
    </row>
    <row r="12211" x14ac:dyDescent="0.25">
      <c r="A12211" t="n">
        <v>23</v>
      </c>
      <c r="B12211" t="s">
        <v>14</v>
      </c>
      <c r="C12211" t="s">
        <v>22</v>
      </c>
      <c r="D12211" s="2" t="s">
        <f>=HYPERLINK("https://main.knesset.gov.il/APPS/legislation/main/bills/2145636", "הצעת חוק החברות (תיקון - ייצוג הולם לבני שני המינים בדירקטוריונים של חברות ציבוריות), התשפ""א-2020")</f>
        <v>23536</v>
      </c>
      <c r="E12211" t="s">
        <v>23536</v>
      </c>
      <c r="F12211" t="s">
        <v>23537</v>
      </c>
      <c r="G12211" t="s">
        <v>14</v>
      </c>
      <c r="H12211">
             </c>
      <c r="I12211" t="s">
        <v>14</v>
      </c>
      <c r="J12211" t="s">
        <v>141</v>
      </c>
      <c r="K12211" t="s">
        <v>14</v>
      </c>
      <c r="L12211" t="s">
        <v>20</v>
      </c>
      <c r="M12211" t="s">
        <v>23531</v>
      </c>
      <c r="N12211" t="s">
        <v>14</v>
      </c>
    </row>
    <row r="12212" x14ac:dyDescent="0.25">
      <c r="A12212" t="n">
        <v>23</v>
      </c>
      <c r="B12212" t="s">
        <v>14</v>
      </c>
      <c r="C12212" t="s">
        <v>22</v>
      </c>
      <c r="D12212" s="2" t="s">
        <f>=HYPERLINK("https://main.knesset.gov.il/APPS/legislation/main/bills/2145937", "הצעת חוק-יסוד: נשיא המדינה (תיקון - כשירות)")</f>
        <v>22060</v>
      </c>
      <c r="E12212" t="s">
        <v>22060</v>
      </c>
      <c r="F12212" t="s">
        <v>23538</v>
      </c>
      <c r="G12212" t="s">
        <v>14</v>
      </c>
      <c r="H12212">
             </c>
      <c r="I12212" t="s">
        <v>14</v>
      </c>
      <c r="J12212" t="s">
        <v>141</v>
      </c>
      <c r="K12212" t="s">
        <v>14</v>
      </c>
      <c r="L12212" t="s">
        <v>20</v>
      </c>
      <c r="M12212" t="s">
        <v>23531</v>
      </c>
      <c r="N12212" t="s">
        <v>14</v>
      </c>
    </row>
    <row r="12213" x14ac:dyDescent="0.25">
      <c r="A12213" t="n">
        <v>23</v>
      </c>
      <c r="B12213" t="s">
        <v>14</v>
      </c>
      <c r="C12213" t="s">
        <v>22</v>
      </c>
      <c r="D12213" s="2" t="s">
        <f>=HYPERLINK("https://main.knesset.gov.il/APPS/legislation/main/bills/2087763", "הצעת חוק שיווי זכויות האישה (תיקון - ייצוג הולם לנשים במקום העבודה), התשפ""א-2020")</f>
        <v>23539</v>
      </c>
      <c r="E12213" t="s">
        <v>23539</v>
      </c>
      <c r="F12213" t="s">
        <v>23540</v>
      </c>
      <c r="G12213" t="s">
        <v>14</v>
      </c>
      <c r="H12213">
             </c>
      <c r="I12213" t="s">
        <v>14</v>
      </c>
      <c r="J12213" t="s">
        <v>141</v>
      </c>
      <c r="K12213" t="s">
        <v>14</v>
      </c>
      <c r="L12213" t="s">
        <v>20</v>
      </c>
      <c r="M12213" t="s">
        <v>23531</v>
      </c>
      <c r="N12213" t="s">
        <v>14</v>
      </c>
    </row>
    <row r="12214" x14ac:dyDescent="0.25">
      <c r="A12214" t="n">
        <v>23</v>
      </c>
      <c r="B12214" t="s">
        <v>14</v>
      </c>
      <c r="C12214" t="s">
        <v>22</v>
      </c>
      <c r="D12214" s="2" t="s">
        <f>=HYPERLINK("https://main.knesset.gov.il/APPS/legislation/main/bills/2146127", "הצעת חוק לתיקון דיני הראיות (הגנת ילדים) (תיקון - ביצוע חקירה תוך 48 שעות), התשפ""א-2020")</f>
        <v>23541</v>
      </c>
      <c r="E12214" t="s">
        <v>23541</v>
      </c>
      <c r="F12214" t="s">
        <v>23542</v>
      </c>
      <c r="G12214" t="s">
        <v>14</v>
      </c>
      <c r="H12214">
             </c>
      <c r="I12214" t="s">
        <v>14</v>
      </c>
      <c r="J12214" t="s">
        <v>141</v>
      </c>
      <c r="K12214" t="s">
        <v>14</v>
      </c>
      <c r="L12214" t="s">
        <v>20</v>
      </c>
      <c r="M12214" t="s">
        <v>23531</v>
      </c>
      <c r="N12214" t="s">
        <v>14</v>
      </c>
    </row>
    <row r="12215" x14ac:dyDescent="0.25">
      <c r="A12215" t="n">
        <v>23</v>
      </c>
      <c r="B12215" t="s">
        <v>14</v>
      </c>
      <c r="C12215" t="s">
        <v>22</v>
      </c>
      <c r="D12215" s="2" t="s">
        <f>=HYPERLINK("https://main.knesset.gov.il/APPS/legislation/main/bills/2142782", "הצעת חוק העונשין (תיקון - שינוי הגדרת הגזענות), התשפ""א-2020")</f>
        <v>23543</v>
      </c>
      <c r="E12215" t="s">
        <v>23543</v>
      </c>
      <c r="F12215" t="s">
        <v>23544</v>
      </c>
      <c r="G12215" t="s">
        <v>14</v>
      </c>
      <c r="H12215">
             </c>
      <c r="I12215" t="s">
        <v>14</v>
      </c>
      <c r="J12215" t="s">
        <v>141</v>
      </c>
      <c r="K12215" t="s">
        <v>14</v>
      </c>
      <c r="L12215" t="s">
        <v>20</v>
      </c>
      <c r="M12215" t="s">
        <v>23531</v>
      </c>
      <c r="N12215" t="s">
        <v>14</v>
      </c>
    </row>
    <row r="12216" x14ac:dyDescent="0.25">
      <c r="A12216" t="n">
        <v>23</v>
      </c>
      <c r="B12216" t="s">
        <v>14</v>
      </c>
      <c r="C12216" t="s">
        <v>22</v>
      </c>
      <c r="D12216" s="2" t="s">
        <f>=HYPERLINK("https://main.knesset.gov.il/APPS/legislation/main/bills/2145549", "הצעת חוק המרכז לגביית קנסות, אגרות והוצאות (תיקון - גביית תשלום בעד חוב שטרם חלף המועד לתשלומו), התשפ""א-2020")</f>
        <v>23545</v>
      </c>
      <c r="E12216" t="s">
        <v>23545</v>
      </c>
      <c r="F12216" t="s">
        <v>23546</v>
      </c>
      <c r="G12216" t="s">
        <v>14</v>
      </c>
      <c r="H12216">
             </c>
      <c r="I12216" t="s">
        <v>14</v>
      </c>
      <c r="J12216" t="s">
        <v>141</v>
      </c>
      <c r="K12216" t="s">
        <v>14</v>
      </c>
      <c r="L12216" t="s">
        <v>20</v>
      </c>
      <c r="M12216" t="s">
        <v>23531</v>
      </c>
      <c r="N12216" t="s">
        <v>14</v>
      </c>
    </row>
    <row r="12217" x14ac:dyDescent="0.25">
      <c r="A12217" t="n">
        <v>23</v>
      </c>
      <c r="B12217" t="s">
        <v>14</v>
      </c>
      <c r="C12217" t="s">
        <v>22</v>
      </c>
      <c r="D12217" s="2" t="s">
        <f>=HYPERLINK("https://main.knesset.gov.il/APPS/legislation/main/bills/2144884", "הצעת חוק השכירות והשאילה (תיקון - פטור מתשלומים על נכס המשמש כמקום עבודה בשל נגיף הקורונה), התשפ""א-2020")</f>
        <v>23547</v>
      </c>
      <c r="E12217" t="s">
        <v>23547</v>
      </c>
      <c r="F12217" t="s">
        <v>23548</v>
      </c>
      <c r="G12217" t="s">
        <v>14</v>
      </c>
      <c r="H12217">
             </c>
      <c r="I12217" t="s">
        <v>14</v>
      </c>
      <c r="J12217" t="s">
        <v>141</v>
      </c>
      <c r="K12217" t="s">
        <v>14</v>
      </c>
      <c r="L12217" t="s">
        <v>20</v>
      </c>
      <c r="M12217" t="s">
        <v>23531</v>
      </c>
      <c r="N12217" t="s">
        <v>14</v>
      </c>
    </row>
    <row r="12218" x14ac:dyDescent="0.25">
      <c r="A12218" t="n">
        <v>23</v>
      </c>
      <c r="B12218" t="s">
        <v>14</v>
      </c>
      <c r="C12218" t="s">
        <v>22</v>
      </c>
      <c r="D12218" s="2" t="s">
        <f>=HYPERLINK("https://main.knesset.gov.il/APPS/legislation/main/bills/2143571", "הצעת חוק בתי המשפט (תיקון - שימוש בתסקיר קורבן עבירה), התשפ""א-2020")</f>
        <v>23549</v>
      </c>
      <c r="E12218" t="s">
        <v>23549</v>
      </c>
      <c r="F12218" t="s">
        <v>23550</v>
      </c>
      <c r="G12218" t="s">
        <v>14</v>
      </c>
      <c r="H12218">
             </c>
      <c r="I12218" t="s">
        <v>14</v>
      </c>
      <c r="J12218" t="s">
        <v>141</v>
      </c>
      <c r="K12218" t="s">
        <v>14</v>
      </c>
      <c r="L12218" t="s">
        <v>20</v>
      </c>
      <c r="M12218" t="s">
        <v>23531</v>
      </c>
      <c r="N12218" t="s">
        <v>14</v>
      </c>
    </row>
    <row r="12219" x14ac:dyDescent="0.25">
      <c r="A12219" t="n">
        <v>23</v>
      </c>
      <c r="B12219" t="s">
        <v>14</v>
      </c>
      <c r="C12219" t="s">
        <v>22</v>
      </c>
      <c r="D12219" s="2" t="s">
        <f>=HYPERLINK("https://main.knesset.gov.il/APPS/legislation/main/bills/2143572", "הצעת חוק הסיוע המשפטי (תיקון - הוצאות מומחים), התשפ""א-2020")</f>
        <v>23551</v>
      </c>
      <c r="E12219" t="s">
        <v>23551</v>
      </c>
      <c r="F12219" t="s">
        <v>23552</v>
      </c>
      <c r="G12219" t="s">
        <v>14</v>
      </c>
      <c r="H12219">
             </c>
      <c r="I12219" t="s">
        <v>14</v>
      </c>
      <c r="J12219" t="s">
        <v>141</v>
      </c>
      <c r="K12219" t="s">
        <v>14</v>
      </c>
      <c r="L12219" t="s">
        <v>20</v>
      </c>
      <c r="M12219" t="s">
        <v>23531</v>
      </c>
      <c r="N12219" t="s">
        <v>14</v>
      </c>
    </row>
    <row r="12220" x14ac:dyDescent="0.25">
      <c r="A12220" t="n">
        <v>23</v>
      </c>
      <c r="B12220" t="s">
        <v>14</v>
      </c>
      <c r="C12220" t="s">
        <v>22</v>
      </c>
      <c r="D12220" s="2" t="s">
        <f>=HYPERLINK("https://main.knesset.gov.il/APPS/legislation/main/bills/2144533", "הצעת חוק זכות לשכר ביום הבחירות (תיקוני חקיקה), התשפ""א-2020")</f>
        <v>23553</v>
      </c>
      <c r="E12220" t="s">
        <v>23553</v>
      </c>
      <c r="F12220" t="s">
        <v>23554</v>
      </c>
      <c r="G12220" t="s">
        <v>14</v>
      </c>
      <c r="H12220">
             </c>
      <c r="I12220" t="s">
        <v>14</v>
      </c>
      <c r="J12220" t="s">
        <v>141</v>
      </c>
      <c r="K12220" t="s">
        <v>14</v>
      </c>
      <c r="L12220" t="s">
        <v>20</v>
      </c>
      <c r="M12220" t="s">
        <v>23531</v>
      </c>
      <c r="N12220" t="s">
        <v>14</v>
      </c>
    </row>
    <row r="12221" x14ac:dyDescent="0.25">
      <c r="A12221" t="n">
        <v>23</v>
      </c>
      <c r="B12221" t="s">
        <v>14</v>
      </c>
      <c r="C12221" t="s">
        <v>22</v>
      </c>
      <c r="D12221" s="2" t="s">
        <f>=HYPERLINK("https://main.knesset.gov.il/APPS/legislation/main/bills/2144566", "הצעת חוק חסינות חברי הכנסת, זכויותיהם וחובותיהם (תיקון - חיפוש בחומר מחשב וסמכות יושב ראש הכנסת), התשפ""א-2020")</f>
        <v>23555</v>
      </c>
      <c r="E12221" t="s">
        <v>23555</v>
      </c>
      <c r="F12221" t="s">
        <v>23556</v>
      </c>
      <c r="G12221" t="s">
        <v>14</v>
      </c>
      <c r="H12221">
             </c>
      <c r="I12221" t="s">
        <v>14</v>
      </c>
      <c r="J12221" t="s">
        <v>141</v>
      </c>
      <c r="K12221" t="s">
        <v>14</v>
      </c>
      <c r="L12221" t="s">
        <v>20</v>
      </c>
      <c r="M12221" t="s">
        <v>23531</v>
      </c>
      <c r="N12221" t="s">
        <v>14</v>
      </c>
    </row>
    <row r="12222" x14ac:dyDescent="0.25">
      <c r="A12222" t="n">
        <v>23</v>
      </c>
      <c r="B12222" t="s">
        <v>14</v>
      </c>
      <c r="C12222" t="s">
        <v>22</v>
      </c>
      <c r="D12222" s="2" t="s">
        <f>=HYPERLINK("https://main.knesset.gov.il/APPS/legislation/main/bills/2144889", "הצעת חוק למניעת הטרדה מינית (תיקון - פרסום מיני מבזה או משפיל כלפי בעל תפקיד ציבורי), התשפ""א-2020")</f>
        <v>23557</v>
      </c>
      <c r="E12222" t="s">
        <v>23557</v>
      </c>
      <c r="F12222" t="s">
        <v>23558</v>
      </c>
      <c r="G12222" t="s">
        <v>14</v>
      </c>
      <c r="H12222">
             </c>
      <c r="I12222" t="s">
        <v>14</v>
      </c>
      <c r="J12222" t="s">
        <v>141</v>
      </c>
      <c r="K12222" t="s">
        <v>14</v>
      </c>
      <c r="L12222" t="s">
        <v>20</v>
      </c>
      <c r="M12222" t="s">
        <v>23531</v>
      </c>
      <c r="N12222" t="s">
        <v>14</v>
      </c>
    </row>
    <row r="12223" x14ac:dyDescent="0.25">
      <c r="A12223" t="n">
        <v>23</v>
      </c>
      <c r="B12223" t="s">
        <v>14</v>
      </c>
      <c r="C12223" t="s">
        <v>22</v>
      </c>
      <c r="D12223" s="2" t="s">
        <f>=HYPERLINK("https://main.knesset.gov.il/APPS/legislation/main/bills/2144699", "הצעת חוק שירותי הדת היהודיים (תיקון - כהונת רבני עיר), התשפ""א-2020")</f>
        <v>23559</v>
      </c>
      <c r="E12223" t="s">
        <v>23559</v>
      </c>
      <c r="F12223" t="s">
        <v>23560</v>
      </c>
      <c r="G12223" t="s">
        <v>14</v>
      </c>
      <c r="H12223">
             </c>
      <c r="I12223" t="s">
        <v>14</v>
      </c>
      <c r="J12223" t="s">
        <v>141</v>
      </c>
      <c r="K12223" t="s">
        <v>14</v>
      </c>
      <c r="L12223" t="s">
        <v>20</v>
      </c>
      <c r="M12223" t="s">
        <v>23531</v>
      </c>
      <c r="N12223" t="s">
        <v>14</v>
      </c>
    </row>
    <row r="12224" x14ac:dyDescent="0.25">
      <c r="A12224" t="n">
        <v>23</v>
      </c>
      <c r="B12224" t="s">
        <v>14</v>
      </c>
      <c r="C12224" t="s">
        <v>22</v>
      </c>
      <c r="D12224" s="2" t="s">
        <f>=HYPERLINK("https://main.knesset.gov.il/APPS/legislation/main/bills/2142738", "הצעת חוק הקמת המועצה הלאומית לשפת הסימנים, התשפ""א-2020")</f>
        <v>23561</v>
      </c>
      <c r="E12224" t="s">
        <v>23561</v>
      </c>
      <c r="F12224" t="s">
        <v>23562</v>
      </c>
      <c r="G12224" t="s">
        <v>14</v>
      </c>
      <c r="H12224">
             </c>
      <c r="I12224" t="s">
        <v>14</v>
      </c>
      <c r="J12224" t="s">
        <v>141</v>
      </c>
      <c r="K12224" t="s">
        <v>14</v>
      </c>
      <c r="L12224" t="s">
        <v>20</v>
      </c>
      <c r="M12224" t="s">
        <v>23531</v>
      </c>
      <c r="N12224" t="s">
        <v>14</v>
      </c>
    </row>
    <row r="12225" x14ac:dyDescent="0.25">
      <c r="A12225" t="n">
        <v>23</v>
      </c>
      <c r="B12225" t="s">
        <v>14</v>
      </c>
      <c r="C12225" t="s">
        <v>22</v>
      </c>
      <c r="D12225" s="2" t="s">
        <f>=HYPERLINK("https://main.knesset.gov.il/APPS/legislation/main/bills/2142755", "הצעת חוק הקמת המוסד העליון לשפת הסימנים, התשפ""א-2020")</f>
        <v>23563</v>
      </c>
      <c r="E12225" t="s">
        <v>23563</v>
      </c>
      <c r="F12225" t="s">
        <v>23564</v>
      </c>
      <c r="G12225" t="s">
        <v>14</v>
      </c>
      <c r="H12225">
             </c>
      <c r="I12225" t="s">
        <v>14</v>
      </c>
      <c r="J12225" t="s">
        <v>141</v>
      </c>
      <c r="K12225" t="s">
        <v>14</v>
      </c>
      <c r="L12225" t="s">
        <v>20</v>
      </c>
      <c r="M12225" t="s">
        <v>23531</v>
      </c>
      <c r="N12225" t="s">
        <v>14</v>
      </c>
    </row>
    <row r="12226" x14ac:dyDescent="0.25">
      <c r="A12226" t="n">
        <v>23</v>
      </c>
      <c r="B12226" t="s">
        <v>14</v>
      </c>
      <c r="C12226" t="s">
        <v>22</v>
      </c>
      <c r="D12226" s="2" t="s">
        <f>=HYPERLINK("https://main.knesset.gov.il/APPS/legislation/main/bills/2145905", "הצעת חוק הספורט (תיקון - הסדרת מקצוע מאמן ספורט), התשפ""א-2020")</f>
        <v>23565</v>
      </c>
      <c r="E12226" t="s">
        <v>23565</v>
      </c>
      <c r="F12226" t="s">
        <v>23566</v>
      </c>
      <c r="G12226" t="s">
        <v>14</v>
      </c>
      <c r="H12226">
             </c>
      <c r="I12226" t="s">
        <v>14</v>
      </c>
      <c r="J12226" t="s">
        <v>141</v>
      </c>
      <c r="K12226" t="s">
        <v>14</v>
      </c>
      <c r="L12226" t="s">
        <v>20</v>
      </c>
      <c r="M12226" t="s">
        <v>23531</v>
      </c>
      <c r="N12226" t="s">
        <v>14</v>
      </c>
    </row>
    <row r="12227" x14ac:dyDescent="0.25">
      <c r="A12227" t="n">
        <v>23</v>
      </c>
      <c r="B12227" t="s">
        <v>14</v>
      </c>
      <c r="C12227" t="s">
        <v>22</v>
      </c>
      <c r="D12227" s="2" t="s">
        <f>=HYPERLINK("https://main.knesset.gov.il/APPS/legislation/main/bills/2146122", "הצעת חוק זכויות התלמיד (תיקון - חשד להפרת טוהר הבחינות), התשפ""א-2020")</f>
        <v>23567</v>
      </c>
      <c r="E12227" t="s">
        <v>23567</v>
      </c>
      <c r="F12227" t="s">
        <v>23568</v>
      </c>
      <c r="G12227" t="s">
        <v>14</v>
      </c>
      <c r="H12227">
             </c>
      <c r="I12227" t="s">
        <v>14</v>
      </c>
      <c r="J12227" t="s">
        <v>141</v>
      </c>
      <c r="K12227" t="s">
        <v>14</v>
      </c>
      <c r="L12227" t="s">
        <v>20</v>
      </c>
      <c r="M12227" t="s">
        <v>23531</v>
      </c>
      <c r="N12227" t="s">
        <v>14</v>
      </c>
    </row>
    <row r="12228" x14ac:dyDescent="0.25">
      <c r="A12228" t="n">
        <v>23</v>
      </c>
      <c r="B12228" t="s">
        <v>14</v>
      </c>
      <c r="C12228" t="s">
        <v>22</v>
      </c>
      <c r="D12228" s="2" t="s">
        <f>=HYPERLINK("https://main.knesset.gov.il/APPS/legislation/main/bills/2146124", "הצעת חוק פיקוח על בתי ספר (תיקון - השעיית עובד שירות), התשפ""א-2020")</f>
        <v>23569</v>
      </c>
      <c r="E12228" t="s">
        <v>23569</v>
      </c>
      <c r="F12228" t="s">
        <v>23570</v>
      </c>
      <c r="G12228" t="s">
        <v>14</v>
      </c>
      <c r="H12228">
             </c>
      <c r="I12228" t="s">
        <v>14</v>
      </c>
      <c r="J12228" t="s">
        <v>141</v>
      </c>
      <c r="K12228" t="s">
        <v>14</v>
      </c>
      <c r="L12228" t="s">
        <v>20</v>
      </c>
      <c r="M12228" t="s">
        <v>23531</v>
      </c>
      <c r="N12228" t="s">
        <v>14</v>
      </c>
    </row>
    <row r="12229" x14ac:dyDescent="0.25">
      <c r="A12229" t="n">
        <v>23</v>
      </c>
      <c r="B12229" t="s">
        <v>14</v>
      </c>
      <c r="C12229" t="s">
        <v>22</v>
      </c>
      <c r="D12229" s="2" t="s">
        <f>=HYPERLINK("https://main.knesset.gov.il/APPS/legislation/main/bills/2142762", "הצעת חוק קביעת מועדי בחינות (אי קיום בחינות במועדים מסוימים) (תיקוני חקיקה), התשפ""א-2020")</f>
        <v>23571</v>
      </c>
      <c r="E12229" t="s">
        <v>23571</v>
      </c>
      <c r="F12229" t="s">
        <v>23572</v>
      </c>
      <c r="G12229" t="s">
        <v>14</v>
      </c>
      <c r="H12229">
             </c>
      <c r="I12229" t="s">
        <v>14</v>
      </c>
      <c r="J12229" t="s">
        <v>141</v>
      </c>
      <c r="K12229" t="s">
        <v>14</v>
      </c>
      <c r="L12229" t="s">
        <v>20</v>
      </c>
      <c r="M12229" t="s">
        <v>23531</v>
      </c>
      <c r="N12229" t="s">
        <v>14</v>
      </c>
    </row>
    <row r="12230" x14ac:dyDescent="0.25">
      <c r="A12230" t="n">
        <v>23</v>
      </c>
      <c r="B12230" t="s">
        <v>14</v>
      </c>
      <c r="C12230" t="s">
        <v>22</v>
      </c>
      <c r="D12230" s="2" t="s">
        <f>=HYPERLINK("https://main.knesset.gov.il/APPS/legislation/main/bills/2146117", "הצעת חוק לתיקון פקודת העיריות (חלוקת הכנסות ממתחם הגורם למפגעים סביבתיים בין רשויות מקומיות), התשפ""א-2020 ")</f>
        <v>23573</v>
      </c>
      <c r="E12230" t="s">
        <v>23573</v>
      </c>
      <c r="F12230" t="s">
        <v>23574</v>
      </c>
      <c r="G12230" t="s">
        <v>14</v>
      </c>
      <c r="H12230">
             </c>
      <c r="I12230" t="s">
        <v>14</v>
      </c>
      <c r="J12230" t="s">
        <v>141</v>
      </c>
      <c r="K12230" t="s">
        <v>14</v>
      </c>
      <c r="L12230" t="s">
        <v>20</v>
      </c>
      <c r="M12230" t="s">
        <v>23531</v>
      </c>
      <c r="N12230" t="s">
        <v>14</v>
      </c>
    </row>
    <row r="12231" x14ac:dyDescent="0.25">
      <c r="A12231" t="n">
        <v>23</v>
      </c>
      <c r="B12231" t="s">
        <v>14</v>
      </c>
      <c r="C12231" t="s">
        <v>22</v>
      </c>
      <c r="D12231" s="2" t="s">
        <f>=HYPERLINK("https://main.knesset.gov.il/APPS/legislation/main/bills/2142783", "הצעת חוק הקמת יישוב עירוני חדש, התשפ""א-2020 ")</f>
        <v>23575</v>
      </c>
      <c r="E12231" t="s">
        <v>23575</v>
      </c>
      <c r="F12231" t="s">
        <v>23576</v>
      </c>
      <c r="G12231" t="s">
        <v>14</v>
      </c>
      <c r="H12231">
             </c>
      <c r="I12231" t="s">
        <v>14</v>
      </c>
      <c r="J12231" t="s">
        <v>141</v>
      </c>
      <c r="K12231" t="s">
        <v>14</v>
      </c>
      <c r="L12231" t="s">
        <v>20</v>
      </c>
      <c r="M12231" t="s">
        <v>23531</v>
      </c>
      <c r="N12231" t="s">
        <v>14</v>
      </c>
    </row>
    <row r="12232" x14ac:dyDescent="0.25">
      <c r="A12232" t="n">
        <v>23</v>
      </c>
      <c r="B12232" t="s">
        <v>14</v>
      </c>
      <c r="C12232" t="s">
        <v>22</v>
      </c>
      <c r="D12232" s="2" t="s">
        <f>=HYPERLINK("https://main.knesset.gov.il/APPS/legislation/main/bills/2143888", "הצעת חוק הכניסה לישראל (תיקון - זכות הגישה לערכאות), התשפ""א-2020 ")</f>
        <v>23577</v>
      </c>
      <c r="E12232" t="s">
        <v>23577</v>
      </c>
      <c r="F12232" t="s">
        <v>23578</v>
      </c>
      <c r="G12232" t="s">
        <v>14</v>
      </c>
      <c r="H12232">
             </c>
      <c r="I12232" t="s">
        <v>14</v>
      </c>
      <c r="J12232" t="s">
        <v>141</v>
      </c>
      <c r="K12232" t="s">
        <v>14</v>
      </c>
      <c r="L12232" t="s">
        <v>20</v>
      </c>
      <c r="M12232" t="s">
        <v>23531</v>
      </c>
      <c r="N12232" t="s">
        <v>14</v>
      </c>
    </row>
    <row r="12233" x14ac:dyDescent="0.25">
      <c r="A12233" t="n">
        <v>23</v>
      </c>
      <c r="B12233" t="s">
        <v>14</v>
      </c>
      <c r="C12233" t="s">
        <v>22</v>
      </c>
      <c r="D12233" s="2" t="s">
        <f>=HYPERLINK("https://main.knesset.gov.il/APPS/legislation/main/bills/2145780", "הצעת חוק לתיקון פקודת המועצות המקומיות (קבלת עובדים לעבודה), התשפ""א-2020 ")</f>
        <v>23579</v>
      </c>
      <c r="E12233" t="s">
        <v>23579</v>
      </c>
      <c r="F12233" t="s">
        <v>23580</v>
      </c>
      <c r="G12233" t="s">
        <v>14</v>
      </c>
      <c r="H12233">
             </c>
      <c r="I12233" t="s">
        <v>14</v>
      </c>
      <c r="J12233" t="s">
        <v>141</v>
      </c>
      <c r="K12233" t="s">
        <v>14</v>
      </c>
      <c r="L12233" t="s">
        <v>20</v>
      </c>
      <c r="M12233" t="s">
        <v>23531</v>
      </c>
      <c r="N12233" t="s">
        <v>14</v>
      </c>
    </row>
    <row r="12234" x14ac:dyDescent="0.25">
      <c r="A12234" t="n">
        <v>23</v>
      </c>
      <c r="B12234" t="s">
        <v>14</v>
      </c>
      <c r="C12234" t="s">
        <v>22</v>
      </c>
      <c r="D12234" s="2" t="s">
        <f>=HYPERLINK("https://main.knesset.gov.il/APPS/legislation/main/bills/2144030", "הצעת חוק להגנת חיית הבר (תיקון - ביטול רשיונות ציד), התשפ""א-2020 ")</f>
        <v>23581</v>
      </c>
      <c r="E12234" t="s">
        <v>23581</v>
      </c>
      <c r="F12234" t="s">
        <v>23582</v>
      </c>
      <c r="G12234" t="s">
        <v>14</v>
      </c>
      <c r="H12234">
             </c>
      <c r="I12234" t="s">
        <v>14</v>
      </c>
      <c r="J12234" t="s">
        <v>141</v>
      </c>
      <c r="K12234" t="s">
        <v>14</v>
      </c>
      <c r="L12234" t="s">
        <v>20</v>
      </c>
      <c r="M12234" t="s">
        <v>23531</v>
      </c>
      <c r="N12234" t="s">
        <v>14</v>
      </c>
    </row>
    <row r="12235" x14ac:dyDescent="0.25">
      <c r="A12235" t="n">
        <v>23</v>
      </c>
      <c r="B12235" t="s">
        <v>14</v>
      </c>
      <c r="C12235" t="s">
        <v>22</v>
      </c>
      <c r="D12235" s="2" t="s">
        <f>=HYPERLINK("https://main.knesset.gov.il/APPS/legislation/main/bills/2145842", "הצעת חוק הביטוח הלאומי (תיקון - פטור מכפל תשלום דמי ביטוח לאומי), התשפ""א-2020")</f>
        <v>23583</v>
      </c>
      <c r="E12235" t="s">
        <v>23583</v>
      </c>
      <c r="F12235" t="s">
        <v>23584</v>
      </c>
      <c r="G12235" t="s">
        <v>14</v>
      </c>
      <c r="H12235">
             </c>
      <c r="I12235" t="s">
        <v>14</v>
      </c>
      <c r="J12235" t="s">
        <v>141</v>
      </c>
      <c r="K12235" t="s">
        <v>14</v>
      </c>
      <c r="L12235" t="s">
        <v>20</v>
      </c>
      <c r="M12235" t="s">
        <v>23531</v>
      </c>
      <c r="N12235" t="s">
        <v>14</v>
      </c>
    </row>
    <row r="12236" x14ac:dyDescent="0.25">
      <c r="A12236" t="n">
        <v>23</v>
      </c>
      <c r="B12236" t="s">
        <v>14</v>
      </c>
      <c r="C12236" t="s">
        <v>22</v>
      </c>
      <c r="D12236" s="2" t="s">
        <f>=HYPERLINK("https://main.knesset.gov.il/APPS/legislation/main/bills/2144924", "הצעת חוק ביטוח בריאות ממלכתי (תיקון - פטור מתשלום עבור הטיפול הרפואי הניתן בחדרי מיון), התשפ""א-2020")</f>
        <v>23585</v>
      </c>
      <c r="E12236" t="s">
        <v>23585</v>
      </c>
      <c r="F12236" t="s">
        <v>23586</v>
      </c>
      <c r="G12236" t="s">
        <v>14</v>
      </c>
      <c r="H12236">
             </c>
      <c r="I12236" t="s">
        <v>14</v>
      </c>
      <c r="J12236" t="s">
        <v>141</v>
      </c>
      <c r="K12236" t="s">
        <v>14</v>
      </c>
      <c r="L12236" t="s">
        <v>20</v>
      </c>
      <c r="M12236" t="s">
        <v>23531</v>
      </c>
      <c r="N12236" t="s">
        <v>14</v>
      </c>
    </row>
    <row r="12237" x14ac:dyDescent="0.25">
      <c r="A12237" t="n">
        <v>23</v>
      </c>
      <c r="B12237" t="s">
        <v>14</v>
      </c>
      <c r="C12237" t="s">
        <v>22</v>
      </c>
      <c r="D12237" s="2" t="s">
        <f>=HYPERLINK("https://main.knesset.gov.il/APPS/legislation/main/bills/2145269", "הצעת חוק הביטוח הלאומי (תיקון - ביטול תקופת הזכאות הראשונה), התשפ""א-2020")</f>
        <v>23587</v>
      </c>
      <c r="E12237" t="s">
        <v>23587</v>
      </c>
      <c r="F12237" t="s">
        <v>23588</v>
      </c>
      <c r="G12237" t="s">
        <v>14</v>
      </c>
      <c r="H12237">
             </c>
      <c r="I12237" t="s">
        <v>14</v>
      </c>
      <c r="J12237" t="s">
        <v>141</v>
      </c>
      <c r="K12237" t="s">
        <v>14</v>
      </c>
      <c r="L12237" t="s">
        <v>20</v>
      </c>
      <c r="M12237" t="s">
        <v>23531</v>
      </c>
      <c r="N12237" t="s">
        <v>14</v>
      </c>
    </row>
    <row r="12238" x14ac:dyDescent="0.25">
      <c r="A12238" t="n">
        <v>23</v>
      </c>
      <c r="B12238" t="s">
        <v>14</v>
      </c>
      <c r="C12238" t="s">
        <v>22</v>
      </c>
      <c r="D12238" s="2" t="s">
        <f>=HYPERLINK("https://main.knesset.gov.il/APPS/legislation/main/bills/2145620", "הצעת חוק קליטת חיילים משוחררים (תיקון - ביטוח פנסיוני לחייל משוחרר), התשפ""א-2020")</f>
        <v>23589</v>
      </c>
      <c r="E12238" t="s">
        <v>23589</v>
      </c>
      <c r="F12238" t="s">
        <v>23590</v>
      </c>
      <c r="G12238" t="s">
        <v>14</v>
      </c>
      <c r="H12238">
             </c>
      <c r="I12238" t="s">
        <v>14</v>
      </c>
      <c r="J12238" t="s">
        <v>141</v>
      </c>
      <c r="K12238" t="s">
        <v>14</v>
      </c>
      <c r="L12238" t="s">
        <v>20</v>
      </c>
      <c r="M12238" t="s">
        <v>23531</v>
      </c>
      <c r="N12238" t="s">
        <v>14</v>
      </c>
    </row>
    <row r="12239" x14ac:dyDescent="0.25">
      <c r="A12239" t="n">
        <v>23</v>
      </c>
      <c r="B12239" t="s">
        <v>14</v>
      </c>
      <c r="C12239" t="s">
        <v>22</v>
      </c>
      <c r="D12239" s="2" t="s">
        <f>=HYPERLINK("https://main.knesset.gov.il/APPS/legislation/main/bills/2142037", "הצעת חוק התגמולים לנפגעי פעולות שנאה, התשפ""א-2020")</f>
        <v>23591</v>
      </c>
      <c r="E12239" t="s">
        <v>23591</v>
      </c>
      <c r="F12239" t="s">
        <v>23592</v>
      </c>
      <c r="G12239" t="s">
        <v>14</v>
      </c>
      <c r="H12239">
             </c>
      <c r="I12239" t="s">
        <v>14</v>
      </c>
      <c r="J12239" t="s">
        <v>141</v>
      </c>
      <c r="K12239" t="s">
        <v>14</v>
      </c>
      <c r="L12239" t="s">
        <v>20</v>
      </c>
      <c r="M12239" t="s">
        <v>23531</v>
      </c>
      <c r="N12239" t="s">
        <v>14</v>
      </c>
    </row>
    <row r="12240" x14ac:dyDescent="0.25">
      <c r="A12240" t="n">
        <v>23</v>
      </c>
      <c r="B12240" t="s">
        <v>14</v>
      </c>
      <c r="C12240" t="s">
        <v>22</v>
      </c>
      <c r="D12240" s="2" t="s">
        <f>=HYPERLINK("https://main.knesset.gov.il/APPS/legislation/main/bills/2145259", "הצעת חוק לתיקון פקודת מס הכנסה (הכרה בהוצאות הקמה של פעילות עסקית), התשפ""א-2020")</f>
        <v>23593</v>
      </c>
      <c r="E12240" t="s">
        <v>23593</v>
      </c>
      <c r="F12240" t="s">
        <v>23594</v>
      </c>
      <c r="G12240" t="s">
        <v>14</v>
      </c>
      <c r="H12240">
             </c>
      <c r="I12240" t="s">
        <v>14</v>
      </c>
      <c r="J12240" t="s">
        <v>141</v>
      </c>
      <c r="K12240" t="s">
        <v>14</v>
      </c>
      <c r="L12240" t="s">
        <v>20</v>
      </c>
      <c r="M12240" t="s">
        <v>23531</v>
      </c>
      <c r="N12240" t="s">
        <v>14</v>
      </c>
    </row>
    <row r="12241" x14ac:dyDescent="0.25">
      <c r="A12241" t="n">
        <v>23</v>
      </c>
      <c r="B12241" t="s">
        <v>14</v>
      </c>
      <c r="C12241" t="s">
        <v>22</v>
      </c>
      <c r="D12241" s="2" t="s">
        <f>=HYPERLINK("https://main.knesset.gov.il/APPS/legislation/main/bills/2143682", "הצעת חוק הביטוח הלאומי (תיקון - תגמול בעד ימי בידוד - נגיף קורונה החדש), התשפ""א-2020")</f>
        <v>23595</v>
      </c>
      <c r="E12241" t="s">
        <v>23595</v>
      </c>
      <c r="F12241" t="s">
        <v>23596</v>
      </c>
      <c r="G12241" t="s">
        <v>14</v>
      </c>
      <c r="H12241">
             </c>
      <c r="I12241" t="s">
        <v>14</v>
      </c>
      <c r="J12241" t="s">
        <v>141</v>
      </c>
      <c r="K12241" t="s">
        <v>14</v>
      </c>
      <c r="L12241" t="s">
        <v>20</v>
      </c>
      <c r="M12241" t="s">
        <v>23531</v>
      </c>
      <c r="N12241" t="s">
        <v>14</v>
      </c>
    </row>
    <row r="12242" x14ac:dyDescent="0.25">
      <c r="A12242" t="n">
        <v>23</v>
      </c>
      <c r="B12242" t="s">
        <v>14</v>
      </c>
      <c r="C12242" t="s">
        <v>22</v>
      </c>
      <c r="D12242" s="2" t="s">
        <f>=HYPERLINK("https://main.knesset.gov.il/APPS/legislation/main/bills/2145257", "הצעת חוק לתיקון פקודת מס הכנסה (קיזוז הפסד כנגד הכנסה חייבת), התשפ""א-2020")</f>
        <v>23597</v>
      </c>
      <c r="E12242" t="s">
        <v>23597</v>
      </c>
      <c r="F12242" t="s">
        <v>23598</v>
      </c>
      <c r="G12242" t="s">
        <v>14</v>
      </c>
      <c r="H12242">
             </c>
      <c r="I12242" t="s">
        <v>14</v>
      </c>
      <c r="J12242" t="s">
        <v>343</v>
      </c>
      <c r="K12242" t="s">
        <v>14</v>
      </c>
      <c r="L12242" t="s">
        <v>20</v>
      </c>
      <c r="M12242" t="s">
        <v>23531</v>
      </c>
      <c r="N12242" t="s">
        <v>14</v>
      </c>
    </row>
    <row r="12243" x14ac:dyDescent="0.25">
      <c r="A12243" t="n">
        <v>23</v>
      </c>
      <c r="B12243" t="s">
        <v>14</v>
      </c>
      <c r="C12243" t="s">
        <v>22</v>
      </c>
      <c r="D12243" s="2" t="s">
        <f>=HYPERLINK("https://main.knesset.gov.il/APPS/legislation/main/bills/2146120", "הצעת חוק למניעת הטרדה מינית (תיקון - הטרדת קטין), התשפ""א-2020")</f>
        <v>23599</v>
      </c>
      <c r="E12243" t="s">
        <v>23599</v>
      </c>
      <c r="F12243" t="s">
        <v>23600</v>
      </c>
      <c r="G12243" t="s">
        <v>14</v>
      </c>
      <c r="H12243">
             </c>
      <c r="I12243" t="s">
        <v>14</v>
      </c>
      <c r="J12243" t="s">
        <v>141</v>
      </c>
      <c r="K12243" t="s">
        <v>14</v>
      </c>
      <c r="L12243" t="s">
        <v>20</v>
      </c>
      <c r="M12243" t="s">
        <v>23531</v>
      </c>
      <c r="N12243" t="s">
        <v>14</v>
      </c>
    </row>
    <row r="12244" x14ac:dyDescent="0.25">
      <c r="A12244" t="n">
        <v>23</v>
      </c>
      <c r="B12244" t="s">
        <v>14</v>
      </c>
      <c r="C12244" t="s">
        <v>15</v>
      </c>
      <c r="D12244" s="2" t="s">
        <f>=HYPERLINK("https://main.knesset.gov.il/APPS/legislation/main/bills/2146530", "חוק סמכויות מיוחדות להתמודדות עם נגיף הקורונה החדש (הוראת שעה) (תיקון מס' 2), התשפ""א-2020 ")</f>
        <v>23601</v>
      </c>
      <c r="E12244" t="s">
        <v>23601</v>
      </c>
      <c r="F12244" t="s">
        <v>14</v>
      </c>
      <c r="G12244" t="s">
        <v>23602</v>
      </c>
      <c r="H12244" t="n">
        <v>2860</v>
      </c>
      <c r="I12244" t="s">
        <v>14</v>
      </c>
      <c r="J12244" t="s">
        <v>91</v>
      </c>
      <c r="K12244" t="s">
        <v>27</v>
      </c>
      <c r="L12244" t="s">
        <v>20</v>
      </c>
      <c r="M12244" t="s">
        <v>23603</v>
      </c>
      <c r="N12244" t="s">
        <v>23604</v>
      </c>
    </row>
    <row r="12245" x14ac:dyDescent="0.25">
      <c r="A12245" t="n">
        <v>23</v>
      </c>
      <c r="B12245" t="s">
        <v>14</v>
      </c>
      <c r="C12245" t="s">
        <v>15</v>
      </c>
      <c r="D12245" s="2" t="s">
        <f>=HYPERLINK("https://main.knesset.gov.il/APPS/legislation/main/bills/2146047", "חוק להגדלת שיעור ההשתתפות בכוח העבודה ולצמצום פערים חברתיים (מענק עבודה) (תיקון מס' 15 - הוראת שעה - נגיף הקורונה החדש), התשפ""א-2020")</f>
        <v>23605</v>
      </c>
      <c r="E12245" t="s">
        <v>23605</v>
      </c>
      <c r="F12245" t="s">
        <v>14</v>
      </c>
      <c r="G12245" t="s">
        <v>23606</v>
      </c>
      <c r="H12245" t="n">
        <v>2861</v>
      </c>
      <c r="I12245" t="s">
        <v>14</v>
      </c>
      <c r="J12245" t="s">
        <v>91</v>
      </c>
      <c r="K12245" t="s">
        <v>85</v>
      </c>
      <c r="L12245" t="s">
        <v>20</v>
      </c>
      <c r="M12245" t="s">
        <v>23603</v>
      </c>
      <c r="N12245" t="s">
        <v>23607</v>
      </c>
    </row>
    <row r="12246" x14ac:dyDescent="0.25">
      <c r="A12246" t="n">
        <v>23</v>
      </c>
      <c r="B12246" t="s">
        <v>14</v>
      </c>
      <c r="C12246" t="s">
        <v>15</v>
      </c>
      <c r="D12246" s="2" t="s">
        <f>=HYPERLINK("https://main.knesset.gov.il/APPS/legislation/main/bills/2146354", "חוק-יסוד: משק המדינה (תיקון מס' 10 והוראת שעה לשנת 2020) (תיקון מס' 6)")</f>
        <v>23608</v>
      </c>
      <c r="E12246" t="s">
        <v>23608</v>
      </c>
      <c r="F12246" t="s">
        <v>14</v>
      </c>
      <c r="G12246" t="s">
        <v>23609</v>
      </c>
      <c r="H12246" t="n">
        <v>2858</v>
      </c>
      <c r="I12246" t="s">
        <v>14</v>
      </c>
      <c r="J12246" t="s">
        <v>91</v>
      </c>
      <c r="K12246" t="s">
        <v>85</v>
      </c>
      <c r="L12246" t="s">
        <v>20</v>
      </c>
      <c r="M12246" t="s">
        <v>23603</v>
      </c>
      <c r="N12246" t="s">
        <v>23610</v>
      </c>
    </row>
    <row r="12247" x14ac:dyDescent="0.25">
      <c r="A12247" t="n">
        <v>23</v>
      </c>
      <c r="B12247" t="s">
        <v>14</v>
      </c>
      <c r="C12247" t="s">
        <v>15</v>
      </c>
      <c r="D12247" s="2" t="s">
        <f>=HYPERLINK("https://main.knesset.gov.il/APPS/legislation/main/bills/2146370", "חוק התכנית לסיוע כלכלי (נגיף הקורונה החדש) (הוראת שעה) (תיקון), התשפ""א-2020")</f>
        <v>23611</v>
      </c>
      <c r="E12247" t="s">
        <v>23611</v>
      </c>
      <c r="F12247" t="s">
        <v>14</v>
      </c>
      <c r="G12247" t="s">
        <v>23612</v>
      </c>
      <c r="H12247" t="n">
        <v>2859</v>
      </c>
      <c r="I12247" t="s">
        <v>14</v>
      </c>
      <c r="J12247" t="s">
        <v>91</v>
      </c>
      <c r="K12247" t="s">
        <v>85</v>
      </c>
      <c r="L12247" t="s">
        <v>20</v>
      </c>
      <c r="M12247" t="s">
        <v>23603</v>
      </c>
      <c r="N12247" t="s">
        <v>23613</v>
      </c>
    </row>
    <row r="12248" x14ac:dyDescent="0.25">
      <c r="A12248" t="n">
        <v>23</v>
      </c>
      <c r="B12248" t="s">
        <v>14</v>
      </c>
      <c r="C12248" t="s">
        <v>15</v>
      </c>
      <c r="D12248" s="2" t="s">
        <f>=HYPERLINK("https://main.knesset.gov.il/APPS/legislation/main/bills/2146048", "חוק ההתייעלות הכלכלית (תיקוני חקיקה להשגת יעדי התקציב לשנות התקציב 2017 ו-2018) (תיקון מס' 6), התשפ""א-2020")</f>
        <v>23614</v>
      </c>
      <c r="E12248" t="s">
        <v>23614</v>
      </c>
      <c r="F12248" t="s">
        <v>14</v>
      </c>
      <c r="G12248" t="s">
        <v>23615</v>
      </c>
      <c r="H12248" t="n">
        <v>2857</v>
      </c>
      <c r="I12248" t="s">
        <v>14</v>
      </c>
      <c r="J12248" t="s">
        <v>91</v>
      </c>
      <c r="K12248" t="s">
        <v>15147</v>
      </c>
      <c r="L12248" t="s">
        <v>20</v>
      </c>
      <c r="M12248" t="s">
        <v>23616</v>
      </c>
      <c r="N12248" t="s">
        <v>23617</v>
      </c>
    </row>
    <row r="12249" x14ac:dyDescent="0.25">
      <c r="A12249" t="n">
        <v>23</v>
      </c>
      <c r="B12249" t="s">
        <v>14</v>
      </c>
      <c r="C12249" t="s">
        <v>22</v>
      </c>
      <c r="D12249" s="2" t="s">
        <f>=HYPERLINK("https://main.knesset.gov.il/APPS/legislation/main/bills/2085944", "חוק פנייה לגופים ציבוריים באמצעי קשר דיגיטליים (תיקון), התשפ""א-2020")</f>
        <v>23618</v>
      </c>
      <c r="E12249" t="s">
        <v>23618</v>
      </c>
      <c r="F12249" t="s">
        <v>23619</v>
      </c>
      <c r="G12249" t="s">
        <v>23620</v>
      </c>
      <c r="H12249" t="n">
        <v>2856</v>
      </c>
      <c r="I12249" t="s">
        <v>14</v>
      </c>
      <c r="J12249" t="s">
        <v>91</v>
      </c>
      <c r="K12249" t="s">
        <v>1292</v>
      </c>
      <c r="L12249" t="s">
        <v>20</v>
      </c>
      <c r="M12249" t="s">
        <v>23616</v>
      </c>
      <c r="N12249" t="s">
        <v>23621</v>
      </c>
    </row>
    <row r="12250" x14ac:dyDescent="0.25">
      <c r="A12250" t="n">
        <v>23</v>
      </c>
      <c r="B12250" t="s">
        <v>14</v>
      </c>
      <c r="C12250" t="s">
        <v>20</v>
      </c>
      <c r="D12250" s="2" t="s">
        <f>=HYPERLINK("https://main.knesset.gov.il/APPS/legislation/main/bills/2145649", "חוק הכנסת (תיקון מס' 48), התשפ""א-2020")</f>
        <v>23622</v>
      </c>
      <c r="E12250" t="s">
        <v>23622</v>
      </c>
      <c r="F12250" t="s">
        <v>14</v>
      </c>
      <c r="G12250" t="s">
        <v>23623</v>
      </c>
      <c r="H12250" t="n">
        <v>2855</v>
      </c>
      <c r="I12250" t="s">
        <v>14</v>
      </c>
      <c r="J12250" t="s">
        <v>91</v>
      </c>
      <c r="K12250" t="s">
        <v>121</v>
      </c>
      <c r="L12250" t="s">
        <v>20</v>
      </c>
      <c r="M12250" t="s">
        <v>23624</v>
      </c>
      <c r="N12250" t="s">
        <v>23625</v>
      </c>
    </row>
    <row r="12251" x14ac:dyDescent="0.25">
      <c r="A12251" t="n">
        <v>23</v>
      </c>
      <c r="B12251" t="s">
        <v>14</v>
      </c>
      <c r="C12251" t="s">
        <v>15</v>
      </c>
      <c r="D12251" s="2" t="s">
        <f>=HYPERLINK("https://main.knesset.gov.il/APPS/legislation/main/bills/2143629", "חוק ההוצאה לפועל (נגיף הקורונה החדש – תיקון מס' 68 והוראת שעה), התשפ""א-2020")</f>
        <v>23626</v>
      </c>
      <c r="E12251" t="s">
        <v>23626</v>
      </c>
      <c r="F12251" t="s">
        <v>14</v>
      </c>
      <c r="G12251" t="s">
        <v>23627</v>
      </c>
      <c r="H12251" t="n">
        <v>2854</v>
      </c>
      <c r="I12251" t="s">
        <v>14</v>
      </c>
      <c r="J12251" t="s">
        <v>91</v>
      </c>
      <c r="K12251" t="s">
        <v>27</v>
      </c>
      <c r="L12251" t="s">
        <v>20</v>
      </c>
      <c r="M12251" t="s">
        <v>23624</v>
      </c>
      <c r="N12251" t="s">
        <v>23628</v>
      </c>
    </row>
    <row r="12252" x14ac:dyDescent="0.25">
      <c r="A12252" t="n">
        <v>23</v>
      </c>
      <c r="B12252" t="s">
        <v>14</v>
      </c>
      <c r="C12252" t="s">
        <v>22</v>
      </c>
      <c r="D12252" s="2" t="s">
        <f>=HYPERLINK("https://main.knesset.gov.il/APPS/legislation/main/bills/2144868", "הצעת חוק המפלגות (תיקון - הגבלת מימון עצמי של נבחרי ציבור), התשפ""א-2020")</f>
        <v>23629</v>
      </c>
      <c r="E12252" t="s">
        <v>23629</v>
      </c>
      <c r="F12252" t="s">
        <v>23630</v>
      </c>
      <c r="G12252" t="s">
        <v>14</v>
      </c>
      <c r="H12252">
             </c>
      <c r="I12252" t="s">
        <v>14</v>
      </c>
      <c r="J12252" t="s">
        <v>141</v>
      </c>
      <c r="K12252" t="s">
        <v>14</v>
      </c>
      <c r="L12252" t="s">
        <v>20</v>
      </c>
      <c r="M12252" t="s">
        <v>23624</v>
      </c>
      <c r="N12252" t="s">
        <v>14</v>
      </c>
    </row>
    <row r="12253" x14ac:dyDescent="0.25">
      <c r="A12253" t="n">
        <v>23</v>
      </c>
      <c r="B12253" t="s">
        <v>14</v>
      </c>
      <c r="C12253" t="s">
        <v>22</v>
      </c>
      <c r="D12253" s="2" t="s">
        <f>=HYPERLINK("https://main.knesset.gov.il/APPS/legislation/main/bills/2087717", "הצעת חוק-יסוד: חופש העיסוק (תיקון - החלת חוק היסוד על אזרחי ישראל ותושבי קבע בלבד)")</f>
        <v>13048</v>
      </c>
      <c r="E12253" t="s">
        <v>13048</v>
      </c>
      <c r="F12253" t="s">
        <v>23631</v>
      </c>
      <c r="G12253" t="s">
        <v>14</v>
      </c>
      <c r="H12253">
             </c>
      <c r="I12253" t="s">
        <v>14</v>
      </c>
      <c r="J12253" t="s">
        <v>141</v>
      </c>
      <c r="K12253" t="s">
        <v>14</v>
      </c>
      <c r="L12253" t="s">
        <v>20</v>
      </c>
      <c r="M12253" t="s">
        <v>23624</v>
      </c>
      <c r="N12253" t="s">
        <v>14</v>
      </c>
    </row>
    <row r="12254" x14ac:dyDescent="0.25">
      <c r="A12254" t="n">
        <v>23</v>
      </c>
      <c r="B12254" t="s">
        <v>14</v>
      </c>
      <c r="C12254" t="s">
        <v>22</v>
      </c>
      <c r="D12254" s="2" t="s">
        <f>=HYPERLINK("https://main.knesset.gov.il/APPS/legislation/main/bills/2145004", "הצעת חוק הירושה (תיקון - בטלות צוואה ישנה), התשפ""א-2020")</f>
        <v>23632</v>
      </c>
      <c r="E12254" t="s">
        <v>23632</v>
      </c>
      <c r="F12254" t="s">
        <v>23633</v>
      </c>
      <c r="G12254" t="s">
        <v>14</v>
      </c>
      <c r="H12254">
             </c>
      <c r="I12254" t="s">
        <v>14</v>
      </c>
      <c r="J12254" t="s">
        <v>141</v>
      </c>
      <c r="K12254" t="s">
        <v>14</v>
      </c>
      <c r="L12254" t="s">
        <v>20</v>
      </c>
      <c r="M12254" t="s">
        <v>23624</v>
      </c>
      <c r="N12254" t="s">
        <v>14</v>
      </c>
    </row>
    <row r="12255" x14ac:dyDescent="0.25">
      <c r="A12255" t="n">
        <v>23</v>
      </c>
      <c r="B12255" t="s">
        <v>14</v>
      </c>
      <c r="C12255" t="s">
        <v>22</v>
      </c>
      <c r="D12255" s="2" t="s">
        <f>=HYPERLINK("https://main.knesset.gov.il/APPS/legislation/main/bills/2145489", "הצעת חוק הכשרות המשפטית והאפוטרופסות (תיקון - קביעת בית המשפט באין הסכם בין ההורים), התשפ""א-2020")</f>
        <v>23634</v>
      </c>
      <c r="E12255" t="s">
        <v>23634</v>
      </c>
      <c r="F12255" t="s">
        <v>23635</v>
      </c>
      <c r="G12255" t="s">
        <v>14</v>
      </c>
      <c r="H12255">
             </c>
      <c r="I12255" t="s">
        <v>14</v>
      </c>
      <c r="J12255" t="s">
        <v>141</v>
      </c>
      <c r="K12255" t="s">
        <v>14</v>
      </c>
      <c r="L12255" t="s">
        <v>20</v>
      </c>
      <c r="M12255" t="s">
        <v>23624</v>
      </c>
      <c r="N12255" t="s">
        <v>14</v>
      </c>
    </row>
    <row r="12256" x14ac:dyDescent="0.25">
      <c r="A12256" t="n">
        <v>23</v>
      </c>
      <c r="B12256" t="s">
        <v>14</v>
      </c>
      <c r="C12256" t="s">
        <v>22</v>
      </c>
      <c r="D12256" s="2" t="s">
        <f>=HYPERLINK("https://main.knesset.gov.il/APPS/legislation/main/bills/2144048", "הצעת חוק הסדרת העיסוק במקצועות הבריאות (תיקון - טיפול באמצעות אמנויות), התשפ""א-2020")</f>
        <v>23636</v>
      </c>
      <c r="E12256" t="s">
        <v>23636</v>
      </c>
      <c r="F12256" t="s">
        <v>23637</v>
      </c>
      <c r="G12256" t="s">
        <v>14</v>
      </c>
      <c r="H12256">
             </c>
      <c r="I12256" t="s">
        <v>14</v>
      </c>
      <c r="J12256" t="s">
        <v>141</v>
      </c>
      <c r="K12256" t="s">
        <v>14</v>
      </c>
      <c r="L12256" t="s">
        <v>20</v>
      </c>
      <c r="M12256" t="s">
        <v>23624</v>
      </c>
      <c r="N12256" t="s">
        <v>14</v>
      </c>
    </row>
    <row r="12257" x14ac:dyDescent="0.25">
      <c r="A12257" t="n">
        <v>23</v>
      </c>
      <c r="B12257" t="s">
        <v>14</v>
      </c>
      <c r="C12257" t="s">
        <v>22</v>
      </c>
      <c r="D12257" s="2" t="s">
        <f>=HYPERLINK("https://main.knesset.gov.il/APPS/legislation/main/bills/2145302", "הצעת חוק הביטוח הלאומי (תיקון - הרחבת הזכאות למענק לימודים), התשפ""א-2020")</f>
        <v>23638</v>
      </c>
      <c r="E12257" t="s">
        <v>23638</v>
      </c>
      <c r="F12257" t="s">
        <v>23639</v>
      </c>
      <c r="G12257" t="s">
        <v>14</v>
      </c>
      <c r="H12257">
             </c>
      <c r="I12257" t="s">
        <v>14</v>
      </c>
      <c r="J12257" t="s">
        <v>141</v>
      </c>
      <c r="K12257" t="s">
        <v>14</v>
      </c>
      <c r="L12257" t="s">
        <v>20</v>
      </c>
      <c r="M12257" t="s">
        <v>23624</v>
      </c>
      <c r="N12257" t="s">
        <v>14</v>
      </c>
    </row>
    <row r="12258" x14ac:dyDescent="0.25">
      <c r="A12258" t="n">
        <v>23</v>
      </c>
      <c r="B12258" t="s">
        <v>14</v>
      </c>
      <c r="C12258" t="s">
        <v>22</v>
      </c>
      <c r="D12258" s="2" t="s">
        <f>=HYPERLINK("https://main.knesset.gov.il/APPS/legislation/main/bills/2145128", "הצעת חוק דמי מחלה (תיקון - אופן חישוב דמי מחלה לעובד יומי או שעתי), התשפ""א-2020")</f>
        <v>23640</v>
      </c>
      <c r="E12258" t="s">
        <v>23640</v>
      </c>
      <c r="F12258" t="s">
        <v>23641</v>
      </c>
      <c r="G12258" t="s">
        <v>14</v>
      </c>
      <c r="H12258">
             </c>
      <c r="I12258" t="s">
        <v>14</v>
      </c>
      <c r="J12258" t="s">
        <v>141</v>
      </c>
      <c r="K12258" t="s">
        <v>14</v>
      </c>
      <c r="L12258" t="s">
        <v>20</v>
      </c>
      <c r="M12258" t="s">
        <v>23624</v>
      </c>
      <c r="N12258" t="s">
        <v>14</v>
      </c>
    </row>
    <row r="12259" x14ac:dyDescent="0.25">
      <c r="A12259" t="n">
        <v>23</v>
      </c>
      <c r="B12259" t="s">
        <v>14</v>
      </c>
      <c r="C12259" t="s">
        <v>22</v>
      </c>
      <c r="D12259" s="2" t="s">
        <f>=HYPERLINK("https://main.knesset.gov.il/APPS/legislation/main/bills/2144419", "הצעת חוק ביטוח בריאות ממלכתי (תיקון - תוספת שנתית לסל שירותי הבריאות), התשפ""א-2020")</f>
        <v>23642</v>
      </c>
      <c r="E12259" t="s">
        <v>23642</v>
      </c>
      <c r="F12259" t="s">
        <v>23643</v>
      </c>
      <c r="G12259" t="s">
        <v>14</v>
      </c>
      <c r="H12259">
             </c>
      <c r="I12259" t="s">
        <v>14</v>
      </c>
      <c r="J12259" t="s">
        <v>141</v>
      </c>
      <c r="K12259" t="s">
        <v>14</v>
      </c>
      <c r="L12259" t="s">
        <v>20</v>
      </c>
      <c r="M12259" t="s">
        <v>23624</v>
      </c>
      <c r="N12259" t="s">
        <v>14</v>
      </c>
    </row>
    <row r="12260" x14ac:dyDescent="0.25">
      <c r="A12260" t="n">
        <v>23</v>
      </c>
      <c r="B12260" t="s">
        <v>14</v>
      </c>
      <c r="C12260" t="s">
        <v>22</v>
      </c>
      <c r="D12260" s="2" t="s">
        <f>=HYPERLINK("https://main.knesset.gov.il/APPS/legislation/main/bills/2145069", "הצעת חוק הביטוח הלאומי (תיקון - הכרה בפגיעה מתוך מניע גזעני בעבודה כתאונת עבודה), התשפ""א-2020")</f>
        <v>23644</v>
      </c>
      <c r="E12260" t="s">
        <v>23644</v>
      </c>
      <c r="F12260" t="s">
        <v>23645</v>
      </c>
      <c r="G12260" t="s">
        <v>14</v>
      </c>
      <c r="H12260">
             </c>
      <c r="I12260" t="s">
        <v>14</v>
      </c>
      <c r="J12260" t="s">
        <v>141</v>
      </c>
      <c r="K12260" t="s">
        <v>14</v>
      </c>
      <c r="L12260" t="s">
        <v>20</v>
      </c>
      <c r="M12260" t="s">
        <v>23624</v>
      </c>
      <c r="N12260" t="s">
        <v>14</v>
      </c>
    </row>
    <row r="12261" x14ac:dyDescent="0.25">
      <c r="A12261" t="n">
        <v>23</v>
      </c>
      <c r="B12261" t="s">
        <v>14</v>
      </c>
      <c r="C12261" t="s">
        <v>22</v>
      </c>
      <c r="D12261" s="2" t="s">
        <f>=HYPERLINK("https://main.knesset.gov.il/APPS/legislation/main/bills/2144140", "הצעת חוק האזרחים הוותיקים (תיקון - לחצן מצוקה לקשיש), התשפ""א-2020")</f>
        <v>23646</v>
      </c>
      <c r="E12261" t="s">
        <v>23646</v>
      </c>
      <c r="F12261" t="s">
        <v>23647</v>
      </c>
      <c r="G12261" t="s">
        <v>14</v>
      </c>
      <c r="H12261">
             </c>
      <c r="I12261" t="s">
        <v>14</v>
      </c>
      <c r="J12261" t="s">
        <v>141</v>
      </c>
      <c r="K12261" t="s">
        <v>14</v>
      </c>
      <c r="L12261" t="s">
        <v>20</v>
      </c>
      <c r="M12261" t="s">
        <v>23624</v>
      </c>
      <c r="N12261" t="s">
        <v>14</v>
      </c>
    </row>
    <row r="12262" x14ac:dyDescent="0.25">
      <c r="A12262" t="n">
        <v>23</v>
      </c>
      <c r="B12262" t="s">
        <v>14</v>
      </c>
      <c r="C12262" t="s">
        <v>22</v>
      </c>
      <c r="D12262" s="2" t="s">
        <f>=HYPERLINK("https://main.knesset.gov.il/APPS/legislation/main/bills/2088425", "הצעת חוק ביטוח בריאות ממלכתי (תיקון - הפחתה בדמי ביטוח בריאות לתושבי הפריפריה), התשפ""א-2020")</f>
        <v>23648</v>
      </c>
      <c r="E12262" t="s">
        <v>23648</v>
      </c>
      <c r="F12262" t="s">
        <v>23649</v>
      </c>
      <c r="G12262" t="s">
        <v>14</v>
      </c>
      <c r="H12262">
             </c>
      <c r="I12262" t="s">
        <v>14</v>
      </c>
      <c r="J12262" t="s">
        <v>141</v>
      </c>
      <c r="K12262" t="s">
        <v>14</v>
      </c>
      <c r="L12262" t="s">
        <v>20</v>
      </c>
      <c r="M12262" t="s">
        <v>23624</v>
      </c>
      <c r="N12262" t="s">
        <v>14</v>
      </c>
    </row>
    <row r="12263" x14ac:dyDescent="0.25">
      <c r="A12263" t="n">
        <v>23</v>
      </c>
      <c r="B12263" t="s">
        <v>14</v>
      </c>
      <c r="C12263" t="s">
        <v>22</v>
      </c>
      <c r="D12263" s="2" t="s">
        <f>=HYPERLINK("https://main.knesset.gov.il/APPS/legislation/main/bills/2144527", "הצעת חוק מענה טלפוני אנושי לאזרח ותיק (תיקוני חקיקה), התשפ""א-2020 ")</f>
        <v>23650</v>
      </c>
      <c r="E12263" t="s">
        <v>23650</v>
      </c>
      <c r="F12263" t="s">
        <v>23651</v>
      </c>
      <c r="G12263" t="s">
        <v>14</v>
      </c>
      <c r="H12263">
             </c>
      <c r="I12263" t="s">
        <v>14</v>
      </c>
      <c r="J12263" t="s">
        <v>141</v>
      </c>
      <c r="K12263" t="s">
        <v>14</v>
      </c>
      <c r="L12263" t="s">
        <v>20</v>
      </c>
      <c r="M12263" t="s">
        <v>23624</v>
      </c>
      <c r="N12263" t="s">
        <v>14</v>
      </c>
    </row>
    <row r="12264" x14ac:dyDescent="0.25">
      <c r="A12264" t="n">
        <v>23</v>
      </c>
      <c r="B12264" t="s">
        <v>14</v>
      </c>
      <c r="C12264" t="s">
        <v>22</v>
      </c>
      <c r="D12264" s="2" t="s">
        <f>=HYPERLINK("https://main.knesset.gov.il/APPS/legislation/main/bills/2141325", "הצעת חוק שירותי תעופה (פיצוי וסיוע בשל ביטול טיסה או שינוי בתנאיה) (תיקון - הוראות שונות), התשפ""א-2020")</f>
        <v>23652</v>
      </c>
      <c r="E12264" t="s">
        <v>23652</v>
      </c>
      <c r="F12264" t="s">
        <v>23653</v>
      </c>
      <c r="G12264" t="s">
        <v>14</v>
      </c>
      <c r="H12264">
             </c>
      <c r="I12264" t="s">
        <v>14</v>
      </c>
      <c r="J12264" t="s">
        <v>141</v>
      </c>
      <c r="K12264" t="s">
        <v>14</v>
      </c>
      <c r="L12264" t="s">
        <v>20</v>
      </c>
      <c r="M12264" t="s">
        <v>23624</v>
      </c>
      <c r="N12264" t="s">
        <v>14</v>
      </c>
    </row>
    <row r="12265" x14ac:dyDescent="0.25">
      <c r="A12265" t="n">
        <v>23</v>
      </c>
      <c r="B12265" t="s">
        <v>14</v>
      </c>
      <c r="C12265" t="s">
        <v>22</v>
      </c>
      <c r="D12265" s="2" t="s">
        <f>=HYPERLINK("https://main.knesset.gov.il/APPS/legislation/main/bills/2144874", "הצעת חוק לתיקון פקודת מס הכנסה (פטור ממס בעד דמי הבראה והחזרי הוצאות נסיעה), התשפ""א-2020")</f>
        <v>23654</v>
      </c>
      <c r="E12265" t="s">
        <v>23654</v>
      </c>
      <c r="F12265" t="s">
        <v>23655</v>
      </c>
      <c r="G12265" t="s">
        <v>14</v>
      </c>
      <c r="H12265">
             </c>
      <c r="I12265" t="s">
        <v>14</v>
      </c>
      <c r="J12265" t="s">
        <v>141</v>
      </c>
      <c r="K12265" t="s">
        <v>14</v>
      </c>
      <c r="L12265" t="s">
        <v>20</v>
      </c>
      <c r="M12265" t="s">
        <v>23624</v>
      </c>
      <c r="N12265" t="s">
        <v>14</v>
      </c>
    </row>
    <row r="12266" x14ac:dyDescent="0.25">
      <c r="A12266" t="n">
        <v>23</v>
      </c>
      <c r="B12266" t="s">
        <v>14</v>
      </c>
      <c r="C12266" t="s">
        <v>22</v>
      </c>
      <c r="D12266" s="2" t="s">
        <f>=HYPERLINK("https://main.knesset.gov.il/APPS/legislation/main/bills/2144445", "הצעת חוק-יסוד: משק המדינה (תיקון - הוספת מחצית התקציב)")</f>
        <v>23656</v>
      </c>
      <c r="E12266" t="s">
        <v>23656</v>
      </c>
      <c r="F12266" t="s">
        <v>23657</v>
      </c>
      <c r="G12266" t="s">
        <v>14</v>
      </c>
      <c r="H12266">
             </c>
      <c r="I12266" t="s">
        <v>14</v>
      </c>
      <c r="J12266" t="s">
        <v>141</v>
      </c>
      <c r="K12266" t="s">
        <v>14</v>
      </c>
      <c r="L12266" t="s">
        <v>20</v>
      </c>
      <c r="M12266" t="s">
        <v>23624</v>
      </c>
      <c r="N12266" t="s">
        <v>14</v>
      </c>
    </row>
    <row r="12267" x14ac:dyDescent="0.25">
      <c r="A12267" t="n">
        <v>23</v>
      </c>
      <c r="B12267" t="s">
        <v>14</v>
      </c>
      <c r="C12267" t="s">
        <v>22</v>
      </c>
      <c r="D12267" s="2" t="s">
        <f>=HYPERLINK("https://main.knesset.gov.il/APPS/legislation/main/bills/2139860", "הצעת חוק לתיקון פקודת מס הכנסה (דיווח שנתי או חצי שנתי לסוגי נכסים), התשפ""א-2020")</f>
        <v>23658</v>
      </c>
      <c r="E12267" t="s">
        <v>23658</v>
      </c>
      <c r="F12267" t="s">
        <v>23659</v>
      </c>
      <c r="G12267" t="s">
        <v>14</v>
      </c>
      <c r="H12267">
             </c>
      <c r="I12267" t="s">
        <v>14</v>
      </c>
      <c r="J12267" t="s">
        <v>141</v>
      </c>
      <c r="K12267" t="s">
        <v>14</v>
      </c>
      <c r="L12267" t="s">
        <v>20</v>
      </c>
      <c r="M12267" t="s">
        <v>23624</v>
      </c>
      <c r="N12267" t="s">
        <v>14</v>
      </c>
    </row>
    <row r="12268" x14ac:dyDescent="0.25">
      <c r="A12268" t="n">
        <v>23</v>
      </c>
      <c r="B12268" t="s">
        <v>14</v>
      </c>
      <c r="C12268" t="s">
        <v>22</v>
      </c>
      <c r="D12268" s="2" t="s">
        <f>=HYPERLINK("https://main.knesset.gov.il/APPS/legislation/main/bills/2144869", "הצעת חוק פיקוח פרלמנטרי על התקנת תקנות במצב חירום במערכת המשפט (תיקוני חקיקה), התשפ""א-2020")</f>
        <v>23660</v>
      </c>
      <c r="E12268" t="s">
        <v>23660</v>
      </c>
      <c r="F12268" t="s">
        <v>23661</v>
      </c>
      <c r="G12268" t="s">
        <v>14</v>
      </c>
      <c r="H12268">
             </c>
      <c r="I12268" t="s">
        <v>14</v>
      </c>
      <c r="J12268" t="s">
        <v>141</v>
      </c>
      <c r="K12268" t="s">
        <v>14</v>
      </c>
      <c r="L12268" t="s">
        <v>20</v>
      </c>
      <c r="M12268" t="s">
        <v>23624</v>
      </c>
      <c r="N12268" t="s">
        <v>14</v>
      </c>
    </row>
    <row r="12269" x14ac:dyDescent="0.25">
      <c r="A12269" t="n">
        <v>23</v>
      </c>
      <c r="B12269" t="s">
        <v>14</v>
      </c>
      <c r="C12269" t="s">
        <v>22</v>
      </c>
      <c r="D12269" s="2" t="s">
        <f>=HYPERLINK("https://main.knesset.gov.il/APPS/legislation/main/bills/2143352", "הצעת חוק בתי המשפט (תיקון - פסלות שופט בשל כללי ניגוד עניינים), התשפ""א-2020")</f>
        <v>23662</v>
      </c>
      <c r="E12269" t="s">
        <v>23662</v>
      </c>
      <c r="F12269" t="s">
        <v>23663</v>
      </c>
      <c r="G12269" t="s">
        <v>14</v>
      </c>
      <c r="H12269">
             </c>
      <c r="I12269" t="s">
        <v>14</v>
      </c>
      <c r="J12269" t="s">
        <v>141</v>
      </c>
      <c r="K12269" t="s">
        <v>14</v>
      </c>
      <c r="L12269" t="s">
        <v>20</v>
      </c>
      <c r="M12269" t="s">
        <v>23624</v>
      </c>
      <c r="N12269" t="s">
        <v>14</v>
      </c>
    </row>
    <row r="12270" x14ac:dyDescent="0.25">
      <c r="A12270" t="n">
        <v>23</v>
      </c>
      <c r="B12270" t="s">
        <v>14</v>
      </c>
      <c r="C12270" t="s">
        <v>22</v>
      </c>
      <c r="D12270" s="2" t="s">
        <f>=HYPERLINK("https://main.knesset.gov.il/APPS/legislation/main/bills/2145800", "הצעת חוק שירותי הדת היהודיים (תיקון - מינוי רבני התיישבות, רבנים אזוריים ורבני שכונות), התשפ""א-2020")</f>
        <v>23664</v>
      </c>
      <c r="E12270" t="s">
        <v>23664</v>
      </c>
      <c r="F12270" t="s">
        <v>23665</v>
      </c>
      <c r="G12270" t="s">
        <v>14</v>
      </c>
      <c r="H12270">
             </c>
      <c r="I12270" t="s">
        <v>14</v>
      </c>
      <c r="J12270" t="s">
        <v>141</v>
      </c>
      <c r="K12270" t="s">
        <v>14</v>
      </c>
      <c r="L12270" t="s">
        <v>20</v>
      </c>
      <c r="M12270" t="s">
        <v>23624</v>
      </c>
      <c r="N12270" t="s">
        <v>14</v>
      </c>
    </row>
    <row r="12271" x14ac:dyDescent="0.25">
      <c r="A12271" t="n">
        <v>23</v>
      </c>
      <c r="B12271" t="s">
        <v>14</v>
      </c>
      <c r="C12271" t="s">
        <v>22</v>
      </c>
      <c r="D12271" s="2" t="s">
        <f>=HYPERLINK("https://main.knesset.gov.il/APPS/legislation/main/bills/2142258", "הצעת חוק התכנון והבנייה (תיקון - מבנה מחוזק), התשפ""א-2020")</f>
        <v>23666</v>
      </c>
      <c r="E12271" t="s">
        <v>23666</v>
      </c>
      <c r="F12271" t="s">
        <v>23667</v>
      </c>
      <c r="G12271" t="s">
        <v>14</v>
      </c>
      <c r="H12271">
             </c>
      <c r="I12271" t="s">
        <v>14</v>
      </c>
      <c r="J12271" t="s">
        <v>141</v>
      </c>
      <c r="K12271" t="s">
        <v>14</v>
      </c>
      <c r="L12271" t="s">
        <v>20</v>
      </c>
      <c r="M12271" t="s">
        <v>23624</v>
      </c>
      <c r="N12271" t="s">
        <v>14</v>
      </c>
    </row>
    <row r="12272" x14ac:dyDescent="0.25">
      <c r="A12272" t="n">
        <v>23</v>
      </c>
      <c r="B12272" t="s">
        <v>14</v>
      </c>
      <c r="C12272" t="s">
        <v>22</v>
      </c>
      <c r="D12272" s="2" t="s">
        <f>=HYPERLINK("https://main.knesset.gov.il/APPS/legislation/main/bills/2142262", "הצעת חוק נתוני אשראי (תיקון - איסור שימוש בנתוני אשראי שנאספו בתקופת משבר הקורונה), התשפ""א-2020")</f>
        <v>23668</v>
      </c>
      <c r="E12272" t="s">
        <v>23668</v>
      </c>
      <c r="F12272" t="s">
        <v>23669</v>
      </c>
      <c r="G12272" t="s">
        <v>14</v>
      </c>
      <c r="H12272">
             </c>
      <c r="I12272" t="s">
        <v>14</v>
      </c>
      <c r="J12272" t="s">
        <v>141</v>
      </c>
      <c r="K12272" t="s">
        <v>14</v>
      </c>
      <c r="L12272" t="s">
        <v>20</v>
      </c>
      <c r="M12272" t="s">
        <v>23624</v>
      </c>
      <c r="N12272" t="s">
        <v>14</v>
      </c>
    </row>
    <row r="12273" x14ac:dyDescent="0.25">
      <c r="A12273" t="n">
        <v>23</v>
      </c>
      <c r="B12273" t="s">
        <v>14</v>
      </c>
      <c r="C12273" t="s">
        <v>22</v>
      </c>
      <c r="D12273" s="2" t="s">
        <f>=HYPERLINK("https://main.knesset.gov.il/APPS/legislation/main/bills/2145902", "הצעת חוק הבחירות לכנסת (תיקון - שינויים בפעילות ועדת הבחירות המרכזית והרכבה), התשפ""א-2020")</f>
        <v>23670</v>
      </c>
      <c r="E12273" t="s">
        <v>23670</v>
      </c>
      <c r="F12273" t="s">
        <v>23671</v>
      </c>
      <c r="G12273" t="s">
        <v>14</v>
      </c>
      <c r="H12273">
             </c>
      <c r="I12273" t="s">
        <v>14</v>
      </c>
      <c r="J12273" t="s">
        <v>141</v>
      </c>
      <c r="K12273" t="s">
        <v>14</v>
      </c>
      <c r="L12273" t="s">
        <v>20</v>
      </c>
      <c r="M12273" t="s">
        <v>23624</v>
      </c>
      <c r="N12273" t="s">
        <v>14</v>
      </c>
    </row>
    <row r="12274" x14ac:dyDescent="0.25">
      <c r="A12274" t="n">
        <v>23</v>
      </c>
      <c r="B12274" t="s">
        <v>14</v>
      </c>
      <c r="C12274" t="s">
        <v>22</v>
      </c>
      <c r="D12274" s="2" t="s">
        <f>=HYPERLINK("https://main.knesset.gov.il/APPS/legislation/main/bills/2144567", "הצעת חוק לתיקון פקודת סדר הדין הפלילי (מעצר וחיפוש)(שלילת הסכמה כהיתר לחיפוש בחומר מחשב), התשפ""א-2020")</f>
        <v>23672</v>
      </c>
      <c r="E12274" t="s">
        <v>23672</v>
      </c>
      <c r="F12274" t="s">
        <v>23673</v>
      </c>
      <c r="G12274" t="s">
        <v>14</v>
      </c>
      <c r="H12274">
             </c>
      <c r="I12274" t="s">
        <v>14</v>
      </c>
      <c r="J12274" t="s">
        <v>141</v>
      </c>
      <c r="K12274" t="s">
        <v>14</v>
      </c>
      <c r="L12274" t="s">
        <v>20</v>
      </c>
      <c r="M12274" t="s">
        <v>23624</v>
      </c>
      <c r="N12274" t="s">
        <v>14</v>
      </c>
    </row>
    <row r="12275" x14ac:dyDescent="0.25">
      <c r="A12275" t="n">
        <v>23</v>
      </c>
      <c r="B12275" t="s">
        <v>14</v>
      </c>
      <c r="C12275" t="s">
        <v>22</v>
      </c>
      <c r="D12275" s="2" t="s">
        <f>=HYPERLINK("https://main.knesset.gov.il/APPS/legislation/main/bills/2142711", "הצעת חוק איסור לשון הרע (תיקון - הגבלת סעד לאישי ציבור), התשפ""א-2020")</f>
        <v>23674</v>
      </c>
      <c r="E12275" t="s">
        <v>23674</v>
      </c>
      <c r="F12275" t="s">
        <v>23675</v>
      </c>
      <c r="G12275" t="s">
        <v>14</v>
      </c>
      <c r="H12275">
             </c>
      <c r="I12275" t="s">
        <v>14</v>
      </c>
      <c r="J12275" t="s">
        <v>141</v>
      </c>
      <c r="K12275" t="s">
        <v>14</v>
      </c>
      <c r="L12275" t="s">
        <v>20</v>
      </c>
      <c r="M12275" t="s">
        <v>23624</v>
      </c>
      <c r="N12275" t="s">
        <v>14</v>
      </c>
    </row>
    <row r="12276" x14ac:dyDescent="0.25">
      <c r="A12276" t="n">
        <v>23</v>
      </c>
      <c r="B12276" t="s">
        <v>14</v>
      </c>
      <c r="C12276" t="s">
        <v>22</v>
      </c>
      <c r="D12276" s="2" t="s">
        <f>=HYPERLINK("https://main.knesset.gov.il/APPS/legislation/main/bills/2145675", "הצעת חוק-יסוד: השפיטה (תיקון - תיעוד מצולם של דיוני בתי המשפט)")</f>
        <v>13817</v>
      </c>
      <c r="E12276" t="s">
        <v>13817</v>
      </c>
      <c r="F12276" t="s">
        <v>23676</v>
      </c>
      <c r="G12276" t="s">
        <v>14</v>
      </c>
      <c r="H12276">
             </c>
      <c r="I12276" t="s">
        <v>14</v>
      </c>
      <c r="J12276" t="s">
        <v>141</v>
      </c>
      <c r="K12276" t="s">
        <v>14</v>
      </c>
      <c r="L12276" t="s">
        <v>20</v>
      </c>
      <c r="M12276" t="s">
        <v>23624</v>
      </c>
      <c r="N12276" t="s">
        <v>14</v>
      </c>
    </row>
    <row r="12277" x14ac:dyDescent="0.25">
      <c r="A12277" t="n">
        <v>23</v>
      </c>
      <c r="B12277" t="s">
        <v>14</v>
      </c>
      <c r="C12277" t="s">
        <v>22</v>
      </c>
      <c r="D12277" s="2" t="s">
        <f>=HYPERLINK("https://main.knesset.gov.il/APPS/legislation/main/bills/2145556", "הצעת חוק החברות הממשלתיות (תיקון - כשירות מיוחדת), התשפ""א-2020")</f>
        <v>23677</v>
      </c>
      <c r="E12277" t="s">
        <v>23677</v>
      </c>
      <c r="F12277" t="s">
        <v>23678</v>
      </c>
      <c r="G12277" t="s">
        <v>14</v>
      </c>
      <c r="H12277">
             </c>
      <c r="I12277" t="s">
        <v>14</v>
      </c>
      <c r="J12277" t="s">
        <v>141</v>
      </c>
      <c r="K12277" t="s">
        <v>14</v>
      </c>
      <c r="L12277" t="s">
        <v>20</v>
      </c>
      <c r="M12277" t="s">
        <v>23624</v>
      </c>
      <c r="N12277" t="s">
        <v>14</v>
      </c>
    </row>
    <row r="12278" x14ac:dyDescent="0.25">
      <c r="A12278" t="n">
        <v>23</v>
      </c>
      <c r="B12278" t="s">
        <v>14</v>
      </c>
      <c r="C12278" t="s">
        <v>22</v>
      </c>
      <c r="D12278" s="2" t="s">
        <f>=HYPERLINK("https://main.knesset.gov.il/APPS/legislation/main/bills/2145398", "הצעת חוק החברות הממשלתיות (תיקון - כשירות מיוחדת), התשפ""א-2020")</f>
        <v>23677</v>
      </c>
      <c r="E12278" t="s">
        <v>23677</v>
      </c>
      <c r="F12278" t="s">
        <v>23679</v>
      </c>
      <c r="G12278" t="s">
        <v>14</v>
      </c>
      <c r="H12278">
             </c>
      <c r="I12278" t="s">
        <v>14</v>
      </c>
      <c r="J12278" t="s">
        <v>141</v>
      </c>
      <c r="K12278" t="s">
        <v>14</v>
      </c>
      <c r="L12278" t="s">
        <v>20</v>
      </c>
      <c r="M12278" t="s">
        <v>23624</v>
      </c>
      <c r="N12278" t="s">
        <v>14</v>
      </c>
    </row>
    <row r="12279" x14ac:dyDescent="0.25">
      <c r="A12279" t="n">
        <v>23</v>
      </c>
      <c r="B12279" t="s">
        <v>14</v>
      </c>
      <c r="C12279" t="s">
        <v>22</v>
      </c>
      <c r="D12279" s="2" t="s">
        <f>=HYPERLINK("https://main.knesset.gov.il/APPS/legislation/main/bills/2145531", "הצעת חוק העונשין (תיקון - החמרת ענישה בגין ירי מנשק חם שלא כדין), התשפ""א-2020")</f>
        <v>23680</v>
      </c>
      <c r="E12279" t="s">
        <v>23680</v>
      </c>
      <c r="F12279" t="s">
        <v>23681</v>
      </c>
      <c r="G12279" t="s">
        <v>14</v>
      </c>
      <c r="H12279">
             </c>
      <c r="I12279" t="s">
        <v>14</v>
      </c>
      <c r="J12279" t="s">
        <v>141</v>
      </c>
      <c r="K12279" t="s">
        <v>14</v>
      </c>
      <c r="L12279" t="s">
        <v>20</v>
      </c>
      <c r="M12279" t="s">
        <v>23624</v>
      </c>
      <c r="N12279" t="s">
        <v>14</v>
      </c>
    </row>
    <row r="12280" x14ac:dyDescent="0.25">
      <c r="A12280" t="n">
        <v>23</v>
      </c>
      <c r="B12280" t="s">
        <v>14</v>
      </c>
      <c r="C12280" t="s">
        <v>22</v>
      </c>
      <c r="D12280" s="2" t="s">
        <f>=HYPERLINK("https://main.knesset.gov.il/APPS/legislation/main/bills/2144108", "הצעת חוק העונשין (תיקון - הגדרת סוכן חוץ), התשפ""א-2020")</f>
        <v>23682</v>
      </c>
      <c r="E12280" t="s">
        <v>23682</v>
      </c>
      <c r="F12280" t="s">
        <v>23683</v>
      </c>
      <c r="G12280" t="s">
        <v>14</v>
      </c>
      <c r="H12280">
             </c>
      <c r="I12280" t="s">
        <v>14</v>
      </c>
      <c r="J12280" t="s">
        <v>141</v>
      </c>
      <c r="K12280" t="s">
        <v>14</v>
      </c>
      <c r="L12280" t="s">
        <v>20</v>
      </c>
      <c r="M12280" t="s">
        <v>23624</v>
      </c>
      <c r="N12280" t="s">
        <v>14</v>
      </c>
    </row>
    <row r="12281" x14ac:dyDescent="0.25">
      <c r="A12281" t="n">
        <v>23</v>
      </c>
      <c r="B12281" t="s">
        <v>14</v>
      </c>
      <c r="C12281" t="s">
        <v>22</v>
      </c>
      <c r="D12281" s="2" t="s">
        <f>=HYPERLINK("https://main.knesset.gov.il/APPS/legislation/main/bills/2146152", "הצעת חוק הדיינים (תיקון - כשירות הרבנים הראשיים לישראל), התשפ""א-2020")</f>
        <v>23684</v>
      </c>
      <c r="E12281" t="s">
        <v>23684</v>
      </c>
      <c r="F12281" t="s">
        <v>23685</v>
      </c>
      <c r="G12281" t="s">
        <v>14</v>
      </c>
      <c r="H12281">
             </c>
      <c r="I12281" t="s">
        <v>14</v>
      </c>
      <c r="J12281" t="s">
        <v>141</v>
      </c>
      <c r="K12281" t="s">
        <v>14</v>
      </c>
      <c r="L12281" t="s">
        <v>20</v>
      </c>
      <c r="M12281" t="s">
        <v>23624</v>
      </c>
      <c r="N12281" t="s">
        <v>14</v>
      </c>
    </row>
    <row r="12282" x14ac:dyDescent="0.25">
      <c r="A12282" t="n">
        <v>23</v>
      </c>
      <c r="B12282" t="s">
        <v>14</v>
      </c>
      <c r="C12282" t="s">
        <v>22</v>
      </c>
      <c r="D12282" s="2" t="s">
        <f>=HYPERLINK("https://main.knesset.gov.il/APPS/legislation/main/bills/2145806", "הצעת חוק תמיכה בקבוצות כדורגל עקב התפשטות נגיף הקורונה (הוראת שעה), התשפ""א-2020")</f>
        <v>23686</v>
      </c>
      <c r="E12282" t="s">
        <v>23686</v>
      </c>
      <c r="F12282" t="s">
        <v>23687</v>
      </c>
      <c r="G12282" t="s">
        <v>14</v>
      </c>
      <c r="H12282">
             </c>
      <c r="I12282" t="s">
        <v>14</v>
      </c>
      <c r="J12282" t="s">
        <v>141</v>
      </c>
      <c r="K12282" t="s">
        <v>14</v>
      </c>
      <c r="L12282" t="s">
        <v>20</v>
      </c>
      <c r="M12282" t="s">
        <v>23624</v>
      </c>
      <c r="N12282" t="s">
        <v>14</v>
      </c>
    </row>
    <row r="12283" x14ac:dyDescent="0.25">
      <c r="A12283" t="n">
        <v>23</v>
      </c>
      <c r="B12283" t="s">
        <v>14</v>
      </c>
      <c r="C12283" t="s">
        <v>22</v>
      </c>
      <c r="D12283" s="2" t="s">
        <f>=HYPERLINK("https://main.knesset.gov.il/APPS/legislation/main/bills/2088200", "הצעת חוק יסודות התקציב (תיקון - תאגיד בריאות המפעיל מעון יום שיקומי), התשפ""א-2020")</f>
        <v>23688</v>
      </c>
      <c r="E12283" t="s">
        <v>23688</v>
      </c>
      <c r="F12283" t="s">
        <v>23689</v>
      </c>
      <c r="G12283" t="s">
        <v>14</v>
      </c>
      <c r="H12283">
             </c>
      <c r="I12283" t="s">
        <v>14</v>
      </c>
      <c r="J12283" t="s">
        <v>141</v>
      </c>
      <c r="K12283" t="s">
        <v>14</v>
      </c>
      <c r="L12283" t="s">
        <v>20</v>
      </c>
      <c r="M12283" t="s">
        <v>23624</v>
      </c>
      <c r="N12283" t="s">
        <v>14</v>
      </c>
    </row>
    <row r="12284" x14ac:dyDescent="0.25">
      <c r="A12284" t="n">
        <v>23</v>
      </c>
      <c r="B12284" t="s">
        <v>14</v>
      </c>
      <c r="C12284" t="s">
        <v>22</v>
      </c>
      <c r="D12284" s="2" t="s">
        <f>=HYPERLINK("https://main.knesset.gov.il/APPS/legislation/main/bills/2088196", "הצעת חוק הפיקוח על שירותים פיננסיים (ביטוח) (תיקון - איסור הפליה במתן שירותי ביטוח), התשפ""א-2020")</f>
        <v>23690</v>
      </c>
      <c r="E12284" t="s">
        <v>23690</v>
      </c>
      <c r="F12284" t="s">
        <v>23691</v>
      </c>
      <c r="G12284" t="s">
        <v>14</v>
      </c>
      <c r="H12284">
             </c>
      <c r="I12284" t="s">
        <v>14</v>
      </c>
      <c r="J12284" t="s">
        <v>141</v>
      </c>
      <c r="K12284" t="s">
        <v>14</v>
      </c>
      <c r="L12284" t="s">
        <v>20</v>
      </c>
      <c r="M12284" t="s">
        <v>23624</v>
      </c>
      <c r="N12284" t="s">
        <v>14</v>
      </c>
    </row>
    <row r="12285" x14ac:dyDescent="0.25">
      <c r="A12285" t="n">
        <v>23</v>
      </c>
      <c r="B12285" t="s">
        <v>14</v>
      </c>
      <c r="C12285" t="s">
        <v>22</v>
      </c>
      <c r="D12285" s="2" t="s">
        <f>=HYPERLINK("https://main.knesset.gov.il/APPS/legislation/main/bills/2144601", "הצעת חוק הכשרות המשפטית והאפוטרופסות (תיקון - שינוי חזקת הגיל הרך), התשפ""א-2020")</f>
        <v>23692</v>
      </c>
      <c r="E12285" t="s">
        <v>23692</v>
      </c>
      <c r="F12285" t="s">
        <v>23693</v>
      </c>
      <c r="G12285" t="s">
        <v>14</v>
      </c>
      <c r="H12285">
             </c>
      <c r="I12285" t="s">
        <v>14</v>
      </c>
      <c r="J12285" t="s">
        <v>141</v>
      </c>
      <c r="K12285" t="s">
        <v>14</v>
      </c>
      <c r="L12285" t="s">
        <v>20</v>
      </c>
      <c r="M12285" t="s">
        <v>23624</v>
      </c>
      <c r="N12285" t="s">
        <v>14</v>
      </c>
    </row>
    <row r="12286" x14ac:dyDescent="0.25">
      <c r="A12286" t="n">
        <v>23</v>
      </c>
      <c r="B12286" t="s">
        <v>14</v>
      </c>
      <c r="C12286" t="s">
        <v>22</v>
      </c>
      <c r="D12286" s="2" t="s">
        <f>=HYPERLINK("https://main.knesset.gov.il/APPS/legislation/main/bills/2140939", "הצעת חוק הפיקוח על שירותים פיננסיים (קופות גמל) (תיקון - היוון קצבה על ידי שאיר הזכאי לפנסיה תקציבית או לקצבה מקופה אחרת), התשפ""א-2020")</f>
        <v>23694</v>
      </c>
      <c r="E12286" t="s">
        <v>23694</v>
      </c>
      <c r="F12286" t="s">
        <v>23695</v>
      </c>
      <c r="G12286" t="s">
        <v>14</v>
      </c>
      <c r="H12286">
             </c>
      <c r="I12286" t="s">
        <v>14</v>
      </c>
      <c r="J12286" t="s">
        <v>141</v>
      </c>
      <c r="K12286" t="s">
        <v>14</v>
      </c>
      <c r="L12286" t="s">
        <v>20</v>
      </c>
      <c r="M12286" t="s">
        <v>23624</v>
      </c>
      <c r="N12286" t="s">
        <v>14</v>
      </c>
    </row>
    <row r="12287" x14ac:dyDescent="0.25">
      <c r="A12287" t="n">
        <v>23</v>
      </c>
      <c r="B12287" t="s">
        <v>14</v>
      </c>
      <c r="C12287" t="s">
        <v>22</v>
      </c>
      <c r="D12287" s="2" t="s">
        <f>=HYPERLINK("https://main.knesset.gov.il/APPS/legislation/main/bills/2139859", "הצעת חוק לתיקון פקודת מס הכנסה (מיסוי מכירת מטבעות דיגיטליים), התשפ""א-2020")</f>
        <v>23696</v>
      </c>
      <c r="E12287" t="s">
        <v>23696</v>
      </c>
      <c r="F12287" t="s">
        <v>23697</v>
      </c>
      <c r="G12287" t="s">
        <v>14</v>
      </c>
      <c r="H12287">
             </c>
      <c r="I12287" t="s">
        <v>14</v>
      </c>
      <c r="J12287" t="s">
        <v>141</v>
      </c>
      <c r="K12287" t="s">
        <v>14</v>
      </c>
      <c r="L12287" t="s">
        <v>20</v>
      </c>
      <c r="M12287" t="s">
        <v>23624</v>
      </c>
      <c r="N12287" t="s">
        <v>14</v>
      </c>
    </row>
    <row r="12288" x14ac:dyDescent="0.25">
      <c r="A12288" t="n">
        <v>23</v>
      </c>
      <c r="B12288" t="s">
        <v>14</v>
      </c>
      <c r="C12288" t="s">
        <v>22</v>
      </c>
      <c r="D12288" s="2" t="s">
        <f>=HYPERLINK("https://main.knesset.gov.il/APPS/legislation/main/bills/2142999", "הצעת חוק חופש המידע (תיקון - שקיפות בקבלת החלטות בתקופת התפשטות נגיף הקורונה), התש""ף-2020")</f>
        <v>23698</v>
      </c>
      <c r="E12288" t="s">
        <v>23698</v>
      </c>
      <c r="F12288" t="s">
        <v>23699</v>
      </c>
      <c r="G12288" t="s">
        <v>14</v>
      </c>
      <c r="H12288">
             </c>
      <c r="I12288" t="s">
        <v>14</v>
      </c>
      <c r="J12288" t="s">
        <v>55</v>
      </c>
      <c r="K12288" t="s">
        <v>14</v>
      </c>
      <c r="L12288" t="s">
        <v>20</v>
      </c>
      <c r="M12288" t="s">
        <v>23700</v>
      </c>
      <c r="N12288" t="s">
        <v>14</v>
      </c>
    </row>
    <row r="12289" x14ac:dyDescent="0.25">
      <c r="A12289" t="n">
        <v>23</v>
      </c>
      <c r="B12289" t="s">
        <v>14</v>
      </c>
      <c r="C12289" t="s">
        <v>22</v>
      </c>
      <c r="D12289" s="2" t="s">
        <f>=HYPERLINK("https://main.knesset.gov.il/APPS/legislation/main/bills/2086263", "הצעת חוק שעות עבודה ומנוחה (תיקון - הגבלת שעות העסקה של מתמחה ברפואה), התש""ף-2020")</f>
        <v>23701</v>
      </c>
      <c r="E12289" t="s">
        <v>23701</v>
      </c>
      <c r="F12289" t="s">
        <v>23702</v>
      </c>
      <c r="G12289" t="s">
        <v>14</v>
      </c>
      <c r="H12289">
             </c>
      <c r="I12289" t="s">
        <v>14</v>
      </c>
      <c r="J12289" t="s">
        <v>343</v>
      </c>
      <c r="K12289" t="s">
        <v>14</v>
      </c>
      <c r="L12289" t="s">
        <v>20</v>
      </c>
      <c r="M12289" t="s">
        <v>23700</v>
      </c>
      <c r="N12289" t="s">
        <v>14</v>
      </c>
    </row>
    <row r="12290" x14ac:dyDescent="0.25">
      <c r="A12290" t="n">
        <v>23</v>
      </c>
      <c r="B12290" t="s">
        <v>14</v>
      </c>
      <c r="C12290" t="s">
        <v>22</v>
      </c>
      <c r="D12290" s="2" t="s">
        <f>=HYPERLINK("https://main.knesset.gov.il/APPS/legislation/main/bills/2141408", "הצעת חוק ייעוד כספי קנסות על עבירות שנקבעו לצורך התמודדות עם משבר נגיף הקורונה, התש""ף-2020 ")</f>
        <v>23703</v>
      </c>
      <c r="E12290" t="s">
        <v>23703</v>
      </c>
      <c r="F12290" t="s">
        <v>23704</v>
      </c>
      <c r="G12290" t="s">
        <v>14</v>
      </c>
      <c r="H12290">
             </c>
      <c r="I12290" t="s">
        <v>14</v>
      </c>
      <c r="J12290" t="s">
        <v>55</v>
      </c>
      <c r="K12290" t="s">
        <v>14</v>
      </c>
      <c r="L12290" t="s">
        <v>20</v>
      </c>
      <c r="M12290" t="s">
        <v>23700</v>
      </c>
      <c r="N12290" t="s">
        <v>14</v>
      </c>
    </row>
    <row r="12291" x14ac:dyDescent="0.25">
      <c r="A12291" t="n">
        <v>23</v>
      </c>
      <c r="B12291" t="s">
        <v>14</v>
      </c>
      <c r="C12291" t="s">
        <v>22</v>
      </c>
      <c r="D12291" s="2" t="s">
        <f>=HYPERLINK("https://main.knesset.gov.il/APPS/legislation/main/bills/2139997", "הצעת חוק הספקת החשמל (הוראת שעה) (תיקון - הארכת תוקף), התש""ף-2020")</f>
        <v>23705</v>
      </c>
      <c r="E12291" t="s">
        <v>23705</v>
      </c>
      <c r="F12291" t="s">
        <v>23706</v>
      </c>
      <c r="G12291" t="s">
        <v>14</v>
      </c>
      <c r="H12291">
             </c>
      <c r="I12291" t="s">
        <v>14</v>
      </c>
      <c r="J12291" t="s">
        <v>343</v>
      </c>
      <c r="K12291" t="s">
        <v>14</v>
      </c>
      <c r="L12291" t="s">
        <v>20</v>
      </c>
      <c r="M12291" t="s">
        <v>23700</v>
      </c>
      <c r="N12291" t="s">
        <v>14</v>
      </c>
    </row>
    <row r="12292" x14ac:dyDescent="0.25">
      <c r="A12292" t="n">
        <v>23</v>
      </c>
      <c r="B12292" t="s">
        <v>14</v>
      </c>
      <c r="C12292" t="s">
        <v>22</v>
      </c>
      <c r="D12292" s="2" t="s">
        <f>=HYPERLINK("https://main.knesset.gov.il/APPS/legislation/main/bills/2140826", "הצעת חוק-יסוד: מדינה דמוקרטית, שוויונית ומשותפת")</f>
        <v>23707</v>
      </c>
      <c r="E12292" t="s">
        <v>23707</v>
      </c>
      <c r="F12292" t="s">
        <v>23708</v>
      </c>
      <c r="G12292" t="s">
        <v>14</v>
      </c>
      <c r="H12292">
             </c>
      <c r="I12292" t="s">
        <v>14</v>
      </c>
      <c r="J12292" t="s">
        <v>55</v>
      </c>
      <c r="K12292" t="s">
        <v>14</v>
      </c>
      <c r="L12292" t="s">
        <v>20</v>
      </c>
      <c r="M12292" t="s">
        <v>23700</v>
      </c>
      <c r="N12292" t="s">
        <v>14</v>
      </c>
    </row>
    <row r="12293" x14ac:dyDescent="0.25">
      <c r="A12293" t="n">
        <v>23</v>
      </c>
      <c r="B12293" t="s">
        <v>14</v>
      </c>
      <c r="C12293" t="s">
        <v>15</v>
      </c>
      <c r="D12293" s="2" t="s">
        <f>=HYPERLINK("https://main.knesset.gov.il/APPS/legislation/main/bills/2143985", "חוק החברות (תיקון מס' 34), התש""ף-2020")</f>
        <v>23709</v>
      </c>
      <c r="E12293" t="s">
        <v>23709</v>
      </c>
      <c r="F12293" t="s">
        <v>14</v>
      </c>
      <c r="G12293" t="s">
        <v>23710</v>
      </c>
      <c r="H12293" t="n">
        <v>2853</v>
      </c>
      <c r="I12293" t="s">
        <v>14</v>
      </c>
      <c r="J12293" t="s">
        <v>91</v>
      </c>
      <c r="K12293" t="s">
        <v>27</v>
      </c>
      <c r="L12293" t="s">
        <v>20</v>
      </c>
      <c r="M12293" t="s">
        <v>23711</v>
      </c>
      <c r="N12293" t="s">
        <v>23712</v>
      </c>
    </row>
    <row r="12294" x14ac:dyDescent="0.25">
      <c r="A12294" t="n">
        <v>23</v>
      </c>
      <c r="B12294" t="s">
        <v>14</v>
      </c>
      <c r="C12294" t="s">
        <v>22</v>
      </c>
      <c r="D12294" s="2" t="s">
        <f>=HYPERLINK("https://main.knesset.gov.il/APPS/legislation/main/bills/2085995", "חוק חוזה הביטוח (תיקון מס' 10), התש""ף-2020")</f>
        <v>23713</v>
      </c>
      <c r="E12294" t="s">
        <v>23713</v>
      </c>
      <c r="F12294" t="s">
        <v>23714</v>
      </c>
      <c r="G12294" t="s">
        <v>23715</v>
      </c>
      <c r="H12294" t="n">
        <v>2852</v>
      </c>
      <c r="I12294" t="s">
        <v>14</v>
      </c>
      <c r="J12294" t="s">
        <v>91</v>
      </c>
      <c r="K12294" t="s">
        <v>27</v>
      </c>
      <c r="L12294" t="s">
        <v>20</v>
      </c>
      <c r="M12294" t="s">
        <v>23711</v>
      </c>
      <c r="N12294" t="s">
        <v>23716</v>
      </c>
    </row>
    <row r="12295" x14ac:dyDescent="0.25">
      <c r="A12295" t="n">
        <v>23</v>
      </c>
      <c r="B12295" t="s">
        <v>14</v>
      </c>
      <c r="C12295" t="s">
        <v>22</v>
      </c>
      <c r="D12295" s="2" t="s">
        <f>=HYPERLINK("https://main.knesset.gov.il/APPS/legislation/main/bills/2143587", "הצעת חוק מועצת עורכי הדין בישראל, התש""ף-2020")</f>
        <v>23717</v>
      </c>
      <c r="E12295" t="s">
        <v>23717</v>
      </c>
      <c r="F12295" t="s">
        <v>23718</v>
      </c>
      <c r="G12295" t="s">
        <v>14</v>
      </c>
      <c r="H12295">
             </c>
      <c r="I12295" t="s">
        <v>14</v>
      </c>
      <c r="J12295" t="s">
        <v>141</v>
      </c>
      <c r="K12295" t="s">
        <v>14</v>
      </c>
      <c r="L12295" t="s">
        <v>20</v>
      </c>
      <c r="M12295" t="s">
        <v>23711</v>
      </c>
      <c r="N12295" t="s">
        <v>14</v>
      </c>
    </row>
    <row r="12296" x14ac:dyDescent="0.25">
      <c r="A12296" t="n">
        <v>23</v>
      </c>
      <c r="B12296" t="s">
        <v>14</v>
      </c>
      <c r="C12296" t="s">
        <v>22</v>
      </c>
      <c r="D12296" s="2" t="s">
        <f>=HYPERLINK("https://main.knesset.gov.il/APPS/legislation/main/bills/2139890", "הצעת חוק לתיקון פקודת מס הכנסה (נקודות זיכוי לסטודנטים), התש""ף-2020")</f>
        <v>23719</v>
      </c>
      <c r="E12296" t="s">
        <v>23719</v>
      </c>
      <c r="F12296" t="s">
        <v>23720</v>
      </c>
      <c r="G12296" t="s">
        <v>14</v>
      </c>
      <c r="H12296">
             </c>
      <c r="I12296" t="s">
        <v>14</v>
      </c>
      <c r="J12296" t="s">
        <v>141</v>
      </c>
      <c r="K12296" t="s">
        <v>14</v>
      </c>
      <c r="L12296" t="s">
        <v>20</v>
      </c>
      <c r="M12296" t="s">
        <v>23711</v>
      </c>
      <c r="N12296" t="s">
        <v>14</v>
      </c>
    </row>
    <row r="12297" x14ac:dyDescent="0.25">
      <c r="A12297" t="n">
        <v>23</v>
      </c>
      <c r="B12297" t="s">
        <v>14</v>
      </c>
      <c r="C12297" t="s">
        <v>22</v>
      </c>
      <c r="D12297" s="2" t="s">
        <f>=HYPERLINK("https://main.knesset.gov.il/APPS/legislation/main/bills/2141085", "הצעת חוק יסודות התקציב (תיקון - פיקוח אחיד על שימוש בתמיכה), התש""ף-2020")</f>
        <v>23721</v>
      </c>
      <c r="E12297" t="s">
        <v>23721</v>
      </c>
      <c r="F12297" t="s">
        <v>23722</v>
      </c>
      <c r="G12297" t="s">
        <v>14</v>
      </c>
      <c r="H12297">
             </c>
      <c r="I12297" t="s">
        <v>14</v>
      </c>
      <c r="J12297" t="s">
        <v>141</v>
      </c>
      <c r="K12297" t="s">
        <v>14</v>
      </c>
      <c r="L12297" t="s">
        <v>20</v>
      </c>
      <c r="M12297" t="s">
        <v>23711</v>
      </c>
      <c r="N12297" t="s">
        <v>14</v>
      </c>
    </row>
    <row r="12298" x14ac:dyDescent="0.25">
      <c r="A12298" t="n">
        <v>23</v>
      </c>
      <c r="B12298" t="s">
        <v>14</v>
      </c>
      <c r="C12298" t="s">
        <v>22</v>
      </c>
      <c r="D12298" s="2" t="s">
        <f>=HYPERLINK("https://main.knesset.gov.il/APPS/legislation/main/bills/2142022", "הצעת חוק מיסוי מקרקעין (שבח ורכישה) (תיקון - הרחבת הקלה לרוכשים דירה מקבלן), התש""ף-2020")</f>
        <v>23723</v>
      </c>
      <c r="E12298" t="s">
        <v>23723</v>
      </c>
      <c r="F12298" t="s">
        <v>23724</v>
      </c>
      <c r="G12298" t="s">
        <v>14</v>
      </c>
      <c r="H12298">
             </c>
      <c r="I12298" t="s">
        <v>14</v>
      </c>
      <c r="J12298" t="s">
        <v>141</v>
      </c>
      <c r="K12298" t="s">
        <v>14</v>
      </c>
      <c r="L12298" t="s">
        <v>20</v>
      </c>
      <c r="M12298" t="s">
        <v>23711</v>
      </c>
      <c r="N12298" t="s">
        <v>14</v>
      </c>
    </row>
    <row r="12299" x14ac:dyDescent="0.25">
      <c r="A12299" t="n">
        <v>23</v>
      </c>
      <c r="B12299" t="s">
        <v>14</v>
      </c>
      <c r="C12299" t="s">
        <v>22</v>
      </c>
      <c r="D12299" s="2" t="s">
        <f>=HYPERLINK("https://main.knesset.gov.il/APPS/legislation/main/bills/2143418", "הצעת חוק המסים (קנס פיגורים) (תיקון - ביטול פיגורים בתקופת משבר הקורונה) (הוראת שעה), התש""ף-2020")</f>
        <v>23725</v>
      </c>
      <c r="E12299" t="s">
        <v>23725</v>
      </c>
      <c r="F12299" t="s">
        <v>23726</v>
      </c>
      <c r="G12299" t="s">
        <v>14</v>
      </c>
      <c r="H12299">
             </c>
      <c r="I12299" t="s">
        <v>14</v>
      </c>
      <c r="J12299" t="s">
        <v>141</v>
      </c>
      <c r="K12299" t="s">
        <v>14</v>
      </c>
      <c r="L12299" t="s">
        <v>20</v>
      </c>
      <c r="M12299" t="s">
        <v>23711</v>
      </c>
      <c r="N12299" t="s">
        <v>14</v>
      </c>
    </row>
    <row r="12300" x14ac:dyDescent="0.25">
      <c r="A12300" t="n">
        <v>23</v>
      </c>
      <c r="B12300" t="s">
        <v>14</v>
      </c>
      <c r="C12300" t="s">
        <v>22</v>
      </c>
      <c r="D12300" s="2" t="s">
        <f>=HYPERLINK("https://main.knesset.gov.il/APPS/legislation/main/bills/2143432", "הצעת חוק הסדרים במשק המדינה (תיקוני חקיקה להשגת יעדי התקציב) (תיקון - דחיית הנחה בארנונה לעולים חדשים), התש""ף-2020")</f>
        <v>23727</v>
      </c>
      <c r="E12300" t="s">
        <v>23727</v>
      </c>
      <c r="F12300" t="s">
        <v>23728</v>
      </c>
      <c r="G12300" t="s">
        <v>14</v>
      </c>
      <c r="H12300">
             </c>
      <c r="I12300" t="s">
        <v>14</v>
      </c>
      <c r="J12300" t="s">
        <v>141</v>
      </c>
      <c r="K12300" t="s">
        <v>14</v>
      </c>
      <c r="L12300" t="s">
        <v>20</v>
      </c>
      <c r="M12300" t="s">
        <v>23711</v>
      </c>
      <c r="N12300" t="s">
        <v>14</v>
      </c>
    </row>
    <row r="12301" x14ac:dyDescent="0.25">
      <c r="A12301" t="n">
        <v>23</v>
      </c>
      <c r="B12301" t="s">
        <v>14</v>
      </c>
      <c r="C12301" t="s">
        <v>22</v>
      </c>
      <c r="D12301" s="2" t="s">
        <f>=HYPERLINK("https://main.knesset.gov.il/APPS/legislation/main/bills/2143439", "הצעת חוק הסדרים במשק המדינה (תיקוני חקיקה להשגת יעדי התקציב) (תיקון - הארכת תקופת הנחה בארנונה לחיילים עולים), התש""ף-2020")</f>
        <v>23729</v>
      </c>
      <c r="E12301" t="s">
        <v>23729</v>
      </c>
      <c r="F12301" t="s">
        <v>23730</v>
      </c>
      <c r="G12301" t="s">
        <v>14</v>
      </c>
      <c r="H12301">
             </c>
      <c r="I12301" t="s">
        <v>14</v>
      </c>
      <c r="J12301" t="s">
        <v>141</v>
      </c>
      <c r="K12301" t="s">
        <v>14</v>
      </c>
      <c r="L12301" t="s">
        <v>20</v>
      </c>
      <c r="M12301" t="s">
        <v>23711</v>
      </c>
      <c r="N12301" t="s">
        <v>14</v>
      </c>
    </row>
    <row r="12302" x14ac:dyDescent="0.25">
      <c r="A12302" t="n">
        <v>23</v>
      </c>
      <c r="B12302" t="s">
        <v>14</v>
      </c>
      <c r="C12302" t="s">
        <v>22</v>
      </c>
      <c r="D12302" s="2" t="s">
        <f>=HYPERLINK("https://main.knesset.gov.il/APPS/legislation/main/bills/2140582", "הצעת חוק פיצוי לעסקים קטנים עקב אסון טבע, התש""ף-2020")</f>
        <v>23731</v>
      </c>
      <c r="E12302" t="s">
        <v>23731</v>
      </c>
      <c r="F12302" t="s">
        <v>23732</v>
      </c>
      <c r="G12302" t="s">
        <v>14</v>
      </c>
      <c r="H12302">
             </c>
      <c r="I12302" t="s">
        <v>14</v>
      </c>
      <c r="J12302" t="s">
        <v>141</v>
      </c>
      <c r="K12302" t="s">
        <v>14</v>
      </c>
      <c r="L12302" t="s">
        <v>20</v>
      </c>
      <c r="M12302" t="s">
        <v>23711</v>
      </c>
      <c r="N12302" t="s">
        <v>14</v>
      </c>
    </row>
    <row r="12303" x14ac:dyDescent="0.25">
      <c r="A12303" t="n">
        <v>23</v>
      </c>
      <c r="B12303" t="s">
        <v>14</v>
      </c>
      <c r="C12303" t="s">
        <v>22</v>
      </c>
      <c r="D12303" s="2" t="s">
        <f>=HYPERLINK("https://main.knesset.gov.il/APPS/legislation/main/bills/2143259", "הצעת חוק לתיקון פקודת מס הכנסה (הטבות מס ליישובים), התש""ף-2020")</f>
        <v>23733</v>
      </c>
      <c r="E12303" t="s">
        <v>23733</v>
      </c>
      <c r="F12303" t="s">
        <v>23734</v>
      </c>
      <c r="G12303" t="s">
        <v>14</v>
      </c>
      <c r="H12303">
             </c>
      <c r="I12303" t="s">
        <v>14</v>
      </c>
      <c r="J12303" t="s">
        <v>343</v>
      </c>
      <c r="K12303" t="s">
        <v>14</v>
      </c>
      <c r="L12303" t="s">
        <v>20</v>
      </c>
      <c r="M12303" t="s">
        <v>23711</v>
      </c>
      <c r="N12303" t="s">
        <v>14</v>
      </c>
    </row>
    <row r="12304" x14ac:dyDescent="0.25">
      <c r="A12304" t="n">
        <v>23</v>
      </c>
      <c r="B12304" t="s">
        <v>14</v>
      </c>
      <c r="C12304" t="s">
        <v>22</v>
      </c>
      <c r="D12304" s="2" t="s">
        <f>=HYPERLINK("https://main.knesset.gov.il/APPS/legislation/main/bills/2143050", "הצעת חוק הסדרים במשק המדינה (תיקוני חקיקה להשגת יעדי התקציב) (תיקון - פטור מארנונה לנשים ששהו במקלט לנשים מוכות), התש""ף-2020")</f>
        <v>23735</v>
      </c>
      <c r="E12304" t="s">
        <v>23735</v>
      </c>
      <c r="F12304" t="s">
        <v>23736</v>
      </c>
      <c r="G12304" t="s">
        <v>14</v>
      </c>
      <c r="H12304">
             </c>
      <c r="I12304" t="s">
        <v>14</v>
      </c>
      <c r="J12304" t="s">
        <v>141</v>
      </c>
      <c r="K12304" t="s">
        <v>14</v>
      </c>
      <c r="L12304" t="s">
        <v>20</v>
      </c>
      <c r="M12304" t="s">
        <v>23711</v>
      </c>
      <c r="N12304" t="s">
        <v>14</v>
      </c>
    </row>
    <row r="12305" x14ac:dyDescent="0.25">
      <c r="A12305" t="n">
        <v>23</v>
      </c>
      <c r="B12305" t="s">
        <v>14</v>
      </c>
      <c r="C12305" t="s">
        <v>22</v>
      </c>
      <c r="D12305" s="2" t="s">
        <f>=HYPERLINK("https://main.knesset.gov.il/APPS/legislation/main/bills/2142824", "הצעת חוק לתיקון פקודת מס הכנסה (פריסת תשלומי מס הכנסה בעקבות משבר הקורונה), התש""ף-2020")</f>
        <v>23737</v>
      </c>
      <c r="E12305" t="s">
        <v>23737</v>
      </c>
      <c r="F12305" t="s">
        <v>23738</v>
      </c>
      <c r="G12305" t="s">
        <v>14</v>
      </c>
      <c r="H12305">
             </c>
      <c r="I12305" t="s">
        <v>14</v>
      </c>
      <c r="J12305" t="s">
        <v>141</v>
      </c>
      <c r="K12305" t="s">
        <v>14</v>
      </c>
      <c r="L12305" t="s">
        <v>20</v>
      </c>
      <c r="M12305" t="s">
        <v>23711</v>
      </c>
      <c r="N12305" t="s">
        <v>14</v>
      </c>
    </row>
    <row r="12306" x14ac:dyDescent="0.25">
      <c r="A12306" t="n">
        <v>23</v>
      </c>
      <c r="B12306" t="s">
        <v>14</v>
      </c>
      <c r="C12306" t="s">
        <v>22</v>
      </c>
      <c r="D12306" s="2" t="s">
        <f>=HYPERLINK("https://main.knesset.gov.il/APPS/legislation/main/bills/2140535", "הצעת חוק מיסוי מקרקעין (שבח ורכישה) (תיקון - שחלוף דירה ומיסוי מכירת דירה), התש""ף‏-2020")</f>
        <v>23739</v>
      </c>
      <c r="E12306" t="s">
        <v>23739</v>
      </c>
      <c r="F12306" t="s">
        <v>23740</v>
      </c>
      <c r="G12306" t="s">
        <v>14</v>
      </c>
      <c r="H12306">
             </c>
      <c r="I12306" t="s">
        <v>14</v>
      </c>
      <c r="J12306" t="s">
        <v>141</v>
      </c>
      <c r="K12306" t="s">
        <v>14</v>
      </c>
      <c r="L12306" t="s">
        <v>20</v>
      </c>
      <c r="M12306" t="s">
        <v>23711</v>
      </c>
      <c r="N12306" t="s">
        <v>14</v>
      </c>
    </row>
    <row r="12307" x14ac:dyDescent="0.25">
      <c r="A12307" t="n">
        <v>23</v>
      </c>
      <c r="B12307" t="s">
        <v>14</v>
      </c>
      <c r="C12307" t="s">
        <v>22</v>
      </c>
      <c r="D12307" s="2" t="s">
        <f>=HYPERLINK("https://main.knesset.gov.il/APPS/legislation/main/bills/2145365", "הצעת חוק לתיקון פקודת הסמים המסוכנים (החזקה או שימוש לצריכה עצמית של סם מסוג קנבוס או שרף של קנבוס), התש""ף-2020")</f>
        <v>23741</v>
      </c>
      <c r="E12307" t="s">
        <v>23741</v>
      </c>
      <c r="F12307" t="s">
        <v>23742</v>
      </c>
      <c r="G12307" t="s">
        <v>14</v>
      </c>
      <c r="H12307">
             </c>
      <c r="I12307" t="s">
        <v>14</v>
      </c>
      <c r="J12307" t="s">
        <v>141</v>
      </c>
      <c r="K12307" t="s">
        <v>14</v>
      </c>
      <c r="L12307" t="s">
        <v>20</v>
      </c>
      <c r="M12307" t="s">
        <v>23711</v>
      </c>
      <c r="N12307" t="s">
        <v>14</v>
      </c>
    </row>
    <row r="12308" x14ac:dyDescent="0.25">
      <c r="A12308" t="n">
        <v>23</v>
      </c>
      <c r="B12308" t="s">
        <v>14</v>
      </c>
      <c r="C12308" t="s">
        <v>22</v>
      </c>
      <c r="D12308" s="2" t="s">
        <f>=HYPERLINK("https://main.knesset.gov.il/APPS/legislation/main/bills/2144497", "הצעת חוק שכירות הוגנת (רשם השכירויות), התש""ף-2020")</f>
        <v>23743</v>
      </c>
      <c r="E12308" t="s">
        <v>23743</v>
      </c>
      <c r="F12308" t="s">
        <v>23744</v>
      </c>
      <c r="G12308" t="s">
        <v>14</v>
      </c>
      <c r="H12308">
             </c>
      <c r="I12308" t="s">
        <v>14</v>
      </c>
      <c r="J12308" t="s">
        <v>141</v>
      </c>
      <c r="K12308" t="s">
        <v>14</v>
      </c>
      <c r="L12308" t="s">
        <v>20</v>
      </c>
      <c r="M12308" t="s">
        <v>23711</v>
      </c>
      <c r="N12308" t="s">
        <v>14</v>
      </c>
    </row>
    <row r="12309" x14ac:dyDescent="0.25">
      <c r="A12309" t="n">
        <v>23</v>
      </c>
      <c r="B12309" t="s">
        <v>14</v>
      </c>
      <c r="C12309" t="s">
        <v>22</v>
      </c>
      <c r="D12309" s="2" t="s">
        <f>=HYPERLINK("https://main.knesset.gov.il/APPS/legislation/main/bills/2145454", "הצעת חוק לטיפול בכתות פוגעניות, התש""ף-2020")</f>
        <v>23745</v>
      </c>
      <c r="E12309" t="s">
        <v>23745</v>
      </c>
      <c r="F12309" t="s">
        <v>23746</v>
      </c>
      <c r="G12309" t="s">
        <v>14</v>
      </c>
      <c r="H12309">
             </c>
      <c r="I12309" t="s">
        <v>14</v>
      </c>
      <c r="J12309" t="s">
        <v>343</v>
      </c>
      <c r="K12309" t="s">
        <v>14</v>
      </c>
      <c r="L12309" t="s">
        <v>20</v>
      </c>
      <c r="M12309" t="s">
        <v>23711</v>
      </c>
      <c r="N12309" t="s">
        <v>14</v>
      </c>
    </row>
    <row r="12310" x14ac:dyDescent="0.25">
      <c r="A12310" t="n">
        <v>23</v>
      </c>
      <c r="B12310" t="s">
        <v>14</v>
      </c>
      <c r="C12310" t="s">
        <v>22</v>
      </c>
      <c r="D12310" s="2" t="s">
        <f>=HYPERLINK("https://main.knesset.gov.il/APPS/legislation/main/bills/2145243", "הצעת חוק העונשין (תיקון - הרחבת הגדרת הגזענות), התש""ף-2020")</f>
        <v>23747</v>
      </c>
      <c r="E12310" t="s">
        <v>23747</v>
      </c>
      <c r="F12310" t="s">
        <v>23748</v>
      </c>
      <c r="G12310" t="s">
        <v>14</v>
      </c>
      <c r="H12310">
             </c>
      <c r="I12310" t="s">
        <v>14</v>
      </c>
      <c r="J12310" t="s">
        <v>141</v>
      </c>
      <c r="K12310" t="s">
        <v>14</v>
      </c>
      <c r="L12310" t="s">
        <v>20</v>
      </c>
      <c r="M12310" t="s">
        <v>23711</v>
      </c>
      <c r="N12310" t="s">
        <v>14</v>
      </c>
    </row>
    <row r="12311" x14ac:dyDescent="0.25">
      <c r="A12311" t="n">
        <v>23</v>
      </c>
      <c r="B12311" t="s">
        <v>14</v>
      </c>
      <c r="C12311" t="s">
        <v>22</v>
      </c>
      <c r="D12311" s="2" t="s">
        <f>=HYPERLINK("https://main.knesset.gov.il/APPS/legislation/main/bills/2143411", "הצעת חוק לתיקון פקודת סדר הדין הפלילי (מעצר וחיפוש) (תנאים למסירת התפוס לפי צו), התש""ף-2020")</f>
        <v>23749</v>
      </c>
      <c r="E12311" t="s">
        <v>23749</v>
      </c>
      <c r="F12311" t="s">
        <v>23750</v>
      </c>
      <c r="G12311" t="s">
        <v>14</v>
      </c>
      <c r="H12311">
             </c>
      <c r="I12311" t="s">
        <v>14</v>
      </c>
      <c r="J12311" t="s">
        <v>141</v>
      </c>
      <c r="K12311" t="s">
        <v>14</v>
      </c>
      <c r="L12311" t="s">
        <v>20</v>
      </c>
      <c r="M12311" t="s">
        <v>23711</v>
      </c>
      <c r="N12311" t="s">
        <v>14</v>
      </c>
    </row>
    <row r="12312" x14ac:dyDescent="0.25">
      <c r="A12312" t="n">
        <v>23</v>
      </c>
      <c r="B12312" t="s">
        <v>14</v>
      </c>
      <c r="C12312" t="s">
        <v>22</v>
      </c>
      <c r="D12312" s="2" t="s">
        <f>=HYPERLINK("https://main.knesset.gov.il/APPS/legislation/main/bills/2143725", "הצעת חוק הדיינים (תיקון - כשירות הרבנים הראשיים לישראל), התש""ף-2020")</f>
        <v>23751</v>
      </c>
      <c r="E12312" t="s">
        <v>23751</v>
      </c>
      <c r="F12312" t="s">
        <v>23752</v>
      </c>
      <c r="G12312" t="s">
        <v>14</v>
      </c>
      <c r="H12312">
             </c>
      <c r="I12312" t="s">
        <v>14</v>
      </c>
      <c r="J12312" t="s">
        <v>141</v>
      </c>
      <c r="K12312" t="s">
        <v>14</v>
      </c>
      <c r="L12312" t="s">
        <v>20</v>
      </c>
      <c r="M12312" t="s">
        <v>23711</v>
      </c>
      <c r="N12312" t="s">
        <v>14</v>
      </c>
    </row>
    <row r="12313" x14ac:dyDescent="0.25">
      <c r="A12313" t="n">
        <v>23</v>
      </c>
      <c r="B12313" t="s">
        <v>14</v>
      </c>
      <c r="C12313" t="s">
        <v>22</v>
      </c>
      <c r="D12313" s="2" t="s">
        <f>=HYPERLINK("https://main.knesset.gov.il/APPS/legislation/main/bills/2140268", "הצעת חוק לימוד חובה (תיקון - הסעת תלמידים), התש""ף-2020")</f>
        <v>23753</v>
      </c>
      <c r="E12313" t="s">
        <v>23753</v>
      </c>
      <c r="F12313" t="s">
        <v>23754</v>
      </c>
      <c r="G12313" t="s">
        <v>14</v>
      </c>
      <c r="H12313">
             </c>
      <c r="I12313" t="s">
        <v>14</v>
      </c>
      <c r="J12313" t="s">
        <v>141</v>
      </c>
      <c r="K12313" t="s">
        <v>14</v>
      </c>
      <c r="L12313" t="s">
        <v>20</v>
      </c>
      <c r="M12313" t="s">
        <v>23711</v>
      </c>
      <c r="N12313" t="s">
        <v>14</v>
      </c>
    </row>
    <row r="12314" x14ac:dyDescent="0.25">
      <c r="A12314" t="n">
        <v>23</v>
      </c>
      <c r="B12314" t="s">
        <v>14</v>
      </c>
      <c r="C12314" t="s">
        <v>22</v>
      </c>
      <c r="D12314" s="2" t="s">
        <f>=HYPERLINK("https://main.knesset.gov.il/APPS/legislation/main/bills/2145352", "הצעת חוק הרשות הלאומית למאבק בעוני, התש""ף-2020")</f>
        <v>23755</v>
      </c>
      <c r="E12314" t="s">
        <v>23755</v>
      </c>
      <c r="F12314" t="s">
        <v>23756</v>
      </c>
      <c r="G12314" t="s">
        <v>14</v>
      </c>
      <c r="H12314">
             </c>
      <c r="I12314" t="s">
        <v>14</v>
      </c>
      <c r="J12314" t="s">
        <v>141</v>
      </c>
      <c r="K12314" t="s">
        <v>14</v>
      </c>
      <c r="L12314" t="s">
        <v>20</v>
      </c>
      <c r="M12314" t="s">
        <v>23711</v>
      </c>
      <c r="N12314" t="s">
        <v>14</v>
      </c>
    </row>
    <row r="12315" x14ac:dyDescent="0.25">
      <c r="A12315" t="n">
        <v>23</v>
      </c>
      <c r="B12315" t="s">
        <v>14</v>
      </c>
      <c r="C12315" t="s">
        <v>22</v>
      </c>
      <c r="D12315" s="2" t="s">
        <f>=HYPERLINK("https://main.knesset.gov.il/APPS/legislation/main/bills/2144196", "הצעת חוק משפחות חיילים שנספו במערכה (תגמולים ושיקום) (תיקון - סיוע במימון שכר לימוד ליתום לאחר גיל 30), התש""ף-2020")</f>
        <v>23757</v>
      </c>
      <c r="E12315" t="s">
        <v>23757</v>
      </c>
      <c r="F12315" t="s">
        <v>23758</v>
      </c>
      <c r="G12315" t="s">
        <v>14</v>
      </c>
      <c r="H12315">
             </c>
      <c r="I12315" t="s">
        <v>14</v>
      </c>
      <c r="J12315" t="s">
        <v>141</v>
      </c>
      <c r="K12315" t="s">
        <v>14</v>
      </c>
      <c r="L12315" t="s">
        <v>20</v>
      </c>
      <c r="M12315" t="s">
        <v>23711</v>
      </c>
      <c r="N12315" t="s">
        <v>14</v>
      </c>
    </row>
    <row r="12316" x14ac:dyDescent="0.25">
      <c r="A12316" t="n">
        <v>23</v>
      </c>
      <c r="B12316" t="s">
        <v>14</v>
      </c>
      <c r="C12316" t="s">
        <v>22</v>
      </c>
      <c r="D12316" s="2" t="s">
        <f>=HYPERLINK("https://main.knesset.gov.il/APPS/legislation/main/bills/2142329", "הצעת חוק הביטוח הלאומי (תיקון - חישוב דמי לידה לפי ממוצע שנת עבודה), התש""ף-2020")</f>
        <v>23759</v>
      </c>
      <c r="E12316" t="s">
        <v>23759</v>
      </c>
      <c r="F12316" t="s">
        <v>23760</v>
      </c>
      <c r="G12316" t="s">
        <v>14</v>
      </c>
      <c r="H12316">
             </c>
      <c r="I12316" t="s">
        <v>14</v>
      </c>
      <c r="J12316" t="s">
        <v>141</v>
      </c>
      <c r="K12316" t="s">
        <v>14</v>
      </c>
      <c r="L12316" t="s">
        <v>20</v>
      </c>
      <c r="M12316" t="s">
        <v>23711</v>
      </c>
      <c r="N12316" t="s">
        <v>14</v>
      </c>
    </row>
    <row r="12317" x14ac:dyDescent="0.25">
      <c r="A12317" t="n">
        <v>23</v>
      </c>
      <c r="B12317" t="s">
        <v>14</v>
      </c>
      <c r="C12317" t="s">
        <v>22</v>
      </c>
      <c r="D12317" s="2" t="s">
        <f>=HYPERLINK("https://main.knesset.gov.il/APPS/legislation/main/bills/2145683", "הצעת חוק לתיקון פקודת המשטרה (חובת שימוש במצלמות גוף בעת הפגנה), התש""ף-2020")</f>
        <v>23761</v>
      </c>
      <c r="E12317" t="s">
        <v>23761</v>
      </c>
      <c r="F12317" t="s">
        <v>23762</v>
      </c>
      <c r="G12317" t="s">
        <v>14</v>
      </c>
      <c r="H12317">
             </c>
      <c r="I12317" t="s">
        <v>14</v>
      </c>
      <c r="J12317" t="s">
        <v>141</v>
      </c>
      <c r="K12317" t="s">
        <v>14</v>
      </c>
      <c r="L12317" t="s">
        <v>20</v>
      </c>
      <c r="M12317" t="s">
        <v>23711</v>
      </c>
      <c r="N12317" t="s">
        <v>14</v>
      </c>
    </row>
    <row r="12318" x14ac:dyDescent="0.25">
      <c r="A12318" t="n">
        <v>23</v>
      </c>
      <c r="B12318" t="s">
        <v>14</v>
      </c>
      <c r="C12318" t="s">
        <v>22</v>
      </c>
      <c r="D12318" s="2" t="s">
        <f>=HYPERLINK("https://main.knesset.gov.il/APPS/legislation/main/bills/2142930", "הצעת חוק האזרחות והכניסה לישראל (הוראת שעה) (תיקון - היתר לגבי בני זוג), התש""ף-2020")</f>
        <v>23763</v>
      </c>
      <c r="E12318" t="s">
        <v>23763</v>
      </c>
      <c r="F12318" t="s">
        <v>23764</v>
      </c>
      <c r="G12318" t="s">
        <v>14</v>
      </c>
      <c r="H12318">
             </c>
      <c r="I12318" t="s">
        <v>14</v>
      </c>
      <c r="J12318" t="s">
        <v>141</v>
      </c>
      <c r="K12318" t="s">
        <v>14</v>
      </c>
      <c r="L12318" t="s">
        <v>20</v>
      </c>
      <c r="M12318" t="s">
        <v>23711</v>
      </c>
      <c r="N12318" t="s">
        <v>14</v>
      </c>
    </row>
    <row r="12319" x14ac:dyDescent="0.25">
      <c r="A12319" t="n">
        <v>23</v>
      </c>
      <c r="B12319" t="s">
        <v>14</v>
      </c>
      <c r="C12319" t="s">
        <v>22</v>
      </c>
      <c r="D12319" s="2" t="s">
        <f>=HYPERLINK("https://main.knesset.gov.il/APPS/legislation/main/bills/2140536", "הצעת חוק מס הכנסה (פטור ממס על הכנסה מהשכרת דירת מגורים) (תיקון - ניכוי דמי שכירות), התש""ף-2020")</f>
        <v>23765</v>
      </c>
      <c r="E12319" t="s">
        <v>23765</v>
      </c>
      <c r="F12319" t="s">
        <v>23766</v>
      </c>
      <c r="G12319" t="s">
        <v>14</v>
      </c>
      <c r="H12319">
             </c>
      <c r="I12319" t="s">
        <v>14</v>
      </c>
      <c r="J12319" t="s">
        <v>141</v>
      </c>
      <c r="K12319" t="s">
        <v>14</v>
      </c>
      <c r="L12319" t="s">
        <v>20</v>
      </c>
      <c r="M12319" t="s">
        <v>23711</v>
      </c>
      <c r="N12319" t="s">
        <v>14</v>
      </c>
    </row>
    <row r="12320" x14ac:dyDescent="0.25">
      <c r="A12320" t="n">
        <v>23</v>
      </c>
      <c r="B12320" t="s">
        <v>14</v>
      </c>
      <c r="C12320" t="s">
        <v>22</v>
      </c>
      <c r="D12320" s="2" t="s">
        <f>=HYPERLINK("https://main.knesset.gov.il/APPS/legislation/main/bills/2086946", "הצעת חוק לתיקון פקודת מס הכנסה (תלוש שכר לעצמאי), התש""ף-2020")</f>
        <v>23767</v>
      </c>
      <c r="E12320" t="s">
        <v>23767</v>
      </c>
      <c r="F12320" t="s">
        <v>23768</v>
      </c>
      <c r="G12320" t="s">
        <v>14</v>
      </c>
      <c r="H12320">
             </c>
      <c r="I12320" t="s">
        <v>14</v>
      </c>
      <c r="J12320" t="s">
        <v>141</v>
      </c>
      <c r="K12320" t="s">
        <v>14</v>
      </c>
      <c r="L12320" t="s">
        <v>20</v>
      </c>
      <c r="M12320" t="s">
        <v>23711</v>
      </c>
      <c r="N12320" t="s">
        <v>14</v>
      </c>
    </row>
    <row r="12321" x14ac:dyDescent="0.25">
      <c r="A12321" t="n">
        <v>23</v>
      </c>
      <c r="B12321" t="s">
        <v>14</v>
      </c>
      <c r="C12321" t="s">
        <v>22</v>
      </c>
      <c r="D12321" s="2" t="s">
        <f>=HYPERLINK("https://main.knesset.gov.il/APPS/legislation/main/bills/2145350", "הצעת חוק הדרכונים (תיקון - סמכות השר באי-מתן דרכון לעולה), התש""ף-2020")</f>
        <v>23769</v>
      </c>
      <c r="E12321" t="s">
        <v>23769</v>
      </c>
      <c r="F12321" t="s">
        <v>23770</v>
      </c>
      <c r="G12321" t="s">
        <v>14</v>
      </c>
      <c r="H12321">
             </c>
      <c r="I12321" t="s">
        <v>14</v>
      </c>
      <c r="J12321" t="s">
        <v>141</v>
      </c>
      <c r="K12321" t="s">
        <v>14</v>
      </c>
      <c r="L12321" t="s">
        <v>20</v>
      </c>
      <c r="M12321" t="s">
        <v>23711</v>
      </c>
      <c r="N12321" t="s">
        <v>14</v>
      </c>
    </row>
    <row r="12322" x14ac:dyDescent="0.25">
      <c r="A12322" t="n">
        <v>23</v>
      </c>
      <c r="B12322" t="s">
        <v>14</v>
      </c>
      <c r="C12322" t="s">
        <v>22</v>
      </c>
      <c r="D12322" s="2" t="s">
        <f>=HYPERLINK("https://main.knesset.gov.il/APPS/legislation/main/bills/2145316", "הצעת חוק הדרכונים (תיקון - מתן דרכון לעולה), התש""ף-2020")</f>
        <v>23771</v>
      </c>
      <c r="E12322" t="s">
        <v>23771</v>
      </c>
      <c r="F12322" t="s">
        <v>23772</v>
      </c>
      <c r="G12322" t="s">
        <v>14</v>
      </c>
      <c r="H12322">
             </c>
      <c r="I12322" t="s">
        <v>14</v>
      </c>
      <c r="J12322" t="s">
        <v>141</v>
      </c>
      <c r="K12322" t="s">
        <v>14</v>
      </c>
      <c r="L12322" t="s">
        <v>20</v>
      </c>
      <c r="M12322" t="s">
        <v>23711</v>
      </c>
      <c r="N12322" t="s">
        <v>14</v>
      </c>
    </row>
    <row r="12323" x14ac:dyDescent="0.25">
      <c r="A12323" t="n">
        <v>23</v>
      </c>
      <c r="B12323" t="s">
        <v>14</v>
      </c>
      <c r="C12323" t="s">
        <v>22</v>
      </c>
      <c r="D12323" s="2" t="s">
        <f>=HYPERLINK("https://main.knesset.gov.il/APPS/legislation/main/bills/2144491", "הצעת חוק חיזוק מעמד חברי המועצה מקרב סיעות האופוזיציה (תיקוני חקיקה), התש""ף-2020")</f>
        <v>23773</v>
      </c>
      <c r="E12323" t="s">
        <v>23773</v>
      </c>
      <c r="F12323" t="s">
        <v>23774</v>
      </c>
      <c r="G12323" t="s">
        <v>14</v>
      </c>
      <c r="H12323">
             </c>
      <c r="I12323" t="s">
        <v>14</v>
      </c>
      <c r="J12323" t="s">
        <v>141</v>
      </c>
      <c r="K12323" t="s">
        <v>14</v>
      </c>
      <c r="L12323" t="s">
        <v>20</v>
      </c>
      <c r="M12323" t="s">
        <v>23711</v>
      </c>
      <c r="N12323" t="s">
        <v>14</v>
      </c>
    </row>
    <row r="12324" x14ac:dyDescent="0.25">
      <c r="A12324" t="n">
        <v>23</v>
      </c>
      <c r="B12324" t="s">
        <v>14</v>
      </c>
      <c r="C12324" t="s">
        <v>22</v>
      </c>
      <c r="D12324" s="2" t="s">
        <f>=HYPERLINK("https://main.knesset.gov.il/APPS/legislation/main/bills/2143467", "הצעת חוק שירותי הדת היהודיים (תיקון - כהונת רבני עיר), התש""ף-2020")</f>
        <v>23775</v>
      </c>
      <c r="E12324" t="s">
        <v>23775</v>
      </c>
      <c r="F12324" t="s">
        <v>23776</v>
      </c>
      <c r="G12324" t="s">
        <v>14</v>
      </c>
      <c r="H12324">
             </c>
      <c r="I12324" t="s">
        <v>14</v>
      </c>
      <c r="J12324" t="s">
        <v>141</v>
      </c>
      <c r="K12324" t="s">
        <v>14</v>
      </c>
      <c r="L12324" t="s">
        <v>20</v>
      </c>
      <c r="M12324" t="s">
        <v>23711</v>
      </c>
      <c r="N12324" t="s">
        <v>14</v>
      </c>
    </row>
    <row r="12325" x14ac:dyDescent="0.25">
      <c r="A12325" t="n">
        <v>23</v>
      </c>
      <c r="B12325" t="s">
        <v>14</v>
      </c>
      <c r="C12325" t="s">
        <v>22</v>
      </c>
      <c r="D12325" s="2" t="s">
        <f>=HYPERLINK("https://main.knesset.gov.il/APPS/legislation/main/bills/2143793", "הצעת חוק רישוי עסקים (תיקון - פטור מהגשת מסמכים), התש""ף-2020 ")</f>
        <v>23777</v>
      </c>
      <c r="E12325" t="s">
        <v>23777</v>
      </c>
      <c r="F12325" t="s">
        <v>23778</v>
      </c>
      <c r="G12325" t="s">
        <v>14</v>
      </c>
      <c r="H12325">
             </c>
      <c r="I12325" t="s">
        <v>14</v>
      </c>
      <c r="J12325" t="s">
        <v>141</v>
      </c>
      <c r="K12325" t="s">
        <v>14</v>
      </c>
      <c r="L12325" t="s">
        <v>20</v>
      </c>
      <c r="M12325" t="s">
        <v>23711</v>
      </c>
      <c r="N12325" t="s">
        <v>14</v>
      </c>
    </row>
    <row r="12326" x14ac:dyDescent="0.25">
      <c r="A12326" t="n">
        <v>23</v>
      </c>
      <c r="B12326" t="s">
        <v>14</v>
      </c>
      <c r="C12326" t="s">
        <v>22</v>
      </c>
      <c r="D12326" s="2" t="s">
        <f>=HYPERLINK("https://main.knesset.gov.il/APPS/legislation/main/bills/2145297", "הצעת חוק הרשות הלאומית לשעת משבר, התש""ף-2020")</f>
        <v>23779</v>
      </c>
      <c r="E12326" t="s">
        <v>23779</v>
      </c>
      <c r="F12326" t="s">
        <v>23780</v>
      </c>
      <c r="G12326" t="s">
        <v>14</v>
      </c>
      <c r="H12326">
             </c>
      <c r="I12326" t="s">
        <v>14</v>
      </c>
      <c r="J12326" t="s">
        <v>141</v>
      </c>
      <c r="K12326" t="s">
        <v>14</v>
      </c>
      <c r="L12326" t="s">
        <v>20</v>
      </c>
      <c r="M12326" t="s">
        <v>23711</v>
      </c>
      <c r="N12326" t="s">
        <v>14</v>
      </c>
    </row>
    <row r="12327" x14ac:dyDescent="0.25">
      <c r="A12327" t="n">
        <v>23</v>
      </c>
      <c r="B12327" t="s">
        <v>14</v>
      </c>
      <c r="C12327" t="s">
        <v>22</v>
      </c>
      <c r="D12327" s="2" t="s">
        <f>=HYPERLINK("https://main.knesset.gov.il/APPS/legislation/main/bills/2143830", "הצעת חוק הסדרים במשק המדינה (תיקוני חקיקה להשגת יעדי התקציב) (תיקון - חובת הענקת הנחה בארנונה לנכים), התש""ף-2020")</f>
        <v>23781</v>
      </c>
      <c r="E12327" t="s">
        <v>23781</v>
      </c>
      <c r="F12327" t="s">
        <v>23782</v>
      </c>
      <c r="G12327" t="s">
        <v>14</v>
      </c>
      <c r="H12327">
             </c>
      <c r="I12327" t="s">
        <v>14</v>
      </c>
      <c r="J12327" t="s">
        <v>141</v>
      </c>
      <c r="K12327" t="s">
        <v>14</v>
      </c>
      <c r="L12327" t="s">
        <v>20</v>
      </c>
      <c r="M12327" t="s">
        <v>23711</v>
      </c>
      <c r="N12327" t="s">
        <v>14</v>
      </c>
    </row>
    <row r="12328" x14ac:dyDescent="0.25">
      <c r="A12328" t="n">
        <v>23</v>
      </c>
      <c r="B12328" t="s">
        <v>14</v>
      </c>
      <c r="C12328" t="s">
        <v>22</v>
      </c>
      <c r="D12328" s="2" t="s">
        <f>=HYPERLINK("https://main.knesset.gov.il/APPS/legislation/main/bills/2144016", "הצעת חוק לתיקון פקודת מס הכנסה (הגדלת שיעור הזיכוי ממס בתרומה למוסד ציבורי) (הוראת שעה), התש""ף-2020")</f>
        <v>23783</v>
      </c>
      <c r="E12328" t="s">
        <v>23783</v>
      </c>
      <c r="F12328" t="s">
        <v>23784</v>
      </c>
      <c r="G12328" t="s">
        <v>14</v>
      </c>
      <c r="H12328">
             </c>
      <c r="I12328" t="s">
        <v>14</v>
      </c>
      <c r="J12328" t="s">
        <v>141</v>
      </c>
      <c r="K12328" t="s">
        <v>14</v>
      </c>
      <c r="L12328" t="s">
        <v>20</v>
      </c>
      <c r="M12328" t="s">
        <v>23711</v>
      </c>
      <c r="N12328" t="s">
        <v>14</v>
      </c>
    </row>
    <row r="12329" x14ac:dyDescent="0.25">
      <c r="A12329" t="n">
        <v>23</v>
      </c>
      <c r="B12329" t="s">
        <v>14</v>
      </c>
      <c r="C12329" t="s">
        <v>22</v>
      </c>
      <c r="D12329" s="2" t="s">
        <f>=HYPERLINK("https://main.knesset.gov.il/APPS/legislation/main/bills/2087353", "הצעת חוק-יסוד: נשיא המדינה (תיקון - איסור מועמדות וכהונה לנאשם או למורשע בפלילים)")</f>
        <v>23785</v>
      </c>
      <c r="E12329" t="s">
        <v>23785</v>
      </c>
      <c r="F12329" t="s">
        <v>23786</v>
      </c>
      <c r="G12329" t="s">
        <v>14</v>
      </c>
      <c r="H12329">
             </c>
      <c r="I12329" t="s">
        <v>14</v>
      </c>
      <c r="J12329" t="s">
        <v>55</v>
      </c>
      <c r="K12329" t="s">
        <v>14</v>
      </c>
      <c r="L12329" t="s">
        <v>20</v>
      </c>
      <c r="M12329" t="s">
        <v>23787</v>
      </c>
      <c r="N12329" t="s">
        <v>14</v>
      </c>
    </row>
    <row r="12330" x14ac:dyDescent="0.25">
      <c r="A12330" t="n">
        <v>23</v>
      </c>
      <c r="B12330" t="s">
        <v>14</v>
      </c>
      <c r="C12330" t="s">
        <v>22</v>
      </c>
      <c r="D12330" s="2" t="s">
        <f>=HYPERLINK("https://main.knesset.gov.il/APPS/legislation/main/bills/2142672", "הצעת חוק הביטוח הלאומי (תיקון - ביטול הפחתת דמי אבטלה למי שנמצא בהכשרה מקצועית), התש""ף-2020")</f>
        <v>23788</v>
      </c>
      <c r="E12330" t="s">
        <v>23788</v>
      </c>
      <c r="F12330" t="s">
        <v>23789</v>
      </c>
      <c r="G12330" t="s">
        <v>14</v>
      </c>
      <c r="H12330">
             </c>
      <c r="I12330" t="s">
        <v>14</v>
      </c>
      <c r="J12330" t="s">
        <v>343</v>
      </c>
      <c r="K12330" t="s">
        <v>14</v>
      </c>
      <c r="L12330" t="s">
        <v>20</v>
      </c>
      <c r="M12330" t="s">
        <v>23787</v>
      </c>
      <c r="N12330" t="s">
        <v>14</v>
      </c>
    </row>
    <row r="12331" x14ac:dyDescent="0.25">
      <c r="A12331" t="n">
        <v>23</v>
      </c>
      <c r="B12331" t="s">
        <v>14</v>
      </c>
      <c r="C12331" t="s">
        <v>22</v>
      </c>
      <c r="D12331" s="2" t="s">
        <f>=HYPERLINK("https://main.knesset.gov.il/APPS/legislation/main/bills/2141583", "הצעת חוק הביטוח הלאומי (תיקון - דמי ביטוח מופחתים בעד עובד בעבודה מהבית), התש""ף-2020")</f>
        <v>23790</v>
      </c>
      <c r="E12331" t="s">
        <v>23790</v>
      </c>
      <c r="F12331" t="s">
        <v>23791</v>
      </c>
      <c r="G12331" t="s">
        <v>14</v>
      </c>
      <c r="H12331">
             </c>
      <c r="I12331" t="s">
        <v>14</v>
      </c>
      <c r="J12331" t="s">
        <v>55</v>
      </c>
      <c r="K12331" t="s">
        <v>14</v>
      </c>
      <c r="L12331" t="s">
        <v>20</v>
      </c>
      <c r="M12331" t="s">
        <v>23787</v>
      </c>
      <c r="N12331" t="s">
        <v>14</v>
      </c>
    </row>
    <row r="12332" x14ac:dyDescent="0.25">
      <c r="A12332" t="n">
        <v>23</v>
      </c>
      <c r="B12332" t="s">
        <v>14</v>
      </c>
      <c r="C12332" t="s">
        <v>22</v>
      </c>
      <c r="D12332" s="2" t="s">
        <f>=HYPERLINK("https://main.knesset.gov.il/APPS/legislation/main/bills/2139760", "הצעת חוק-יסוד: נשיא המדינה (תיקון - כשירות מועמדים לכהונה כנשיא המדינה)")</f>
        <v>2549</v>
      </c>
      <c r="E12332" t="s">
        <v>2549</v>
      </c>
      <c r="F12332" t="s">
        <v>23792</v>
      </c>
      <c r="G12332" t="s">
        <v>14</v>
      </c>
      <c r="H12332">
             </c>
      <c r="I12332" t="s">
        <v>14</v>
      </c>
      <c r="J12332" t="s">
        <v>55</v>
      </c>
      <c r="K12332" t="s">
        <v>14</v>
      </c>
      <c r="L12332" t="s">
        <v>20</v>
      </c>
      <c r="M12332" t="s">
        <v>23787</v>
      </c>
      <c r="N12332" t="s">
        <v>14</v>
      </c>
    </row>
    <row r="12333" x14ac:dyDescent="0.25">
      <c r="A12333" t="n">
        <v>23</v>
      </c>
      <c r="B12333" t="s">
        <v>14</v>
      </c>
      <c r="C12333" t="s">
        <v>22</v>
      </c>
      <c r="D12333" s="2" t="s">
        <f>=HYPERLINK("https://main.knesset.gov.il/APPS/legislation/main/bills/2086672", "הצעת חוק הבטחת פיצויים לתושבי מתחם פארק חורשות (אבו-כביר), התש""ף-2020")</f>
        <v>23793</v>
      </c>
      <c r="E12333" t="s">
        <v>23793</v>
      </c>
      <c r="F12333" t="s">
        <v>23794</v>
      </c>
      <c r="G12333" t="s">
        <v>14</v>
      </c>
      <c r="H12333">
             </c>
      <c r="I12333" t="s">
        <v>14</v>
      </c>
      <c r="J12333" t="s">
        <v>343</v>
      </c>
      <c r="K12333" t="s">
        <v>14</v>
      </c>
      <c r="L12333" t="s">
        <v>20</v>
      </c>
      <c r="M12333" t="s">
        <v>23787</v>
      </c>
      <c r="N12333" t="s">
        <v>14</v>
      </c>
    </row>
    <row r="12334" x14ac:dyDescent="0.25">
      <c r="A12334" t="n">
        <v>23</v>
      </c>
      <c r="B12334" t="s">
        <v>14</v>
      </c>
      <c r="C12334" t="s">
        <v>22</v>
      </c>
      <c r="D12334" s="2" t="s">
        <f>=HYPERLINK("https://main.knesset.gov.il/APPS/legislation/main/bills/2087670", "הצעת חוק סיוע לקטינים נפגעי עבירות מין או אלימות (תיקון - טיפול נפשי לילדים), התש""ף-2020 ")</f>
        <v>23795</v>
      </c>
      <c r="E12334" t="s">
        <v>23795</v>
      </c>
      <c r="F12334" t="s">
        <v>23796</v>
      </c>
      <c r="G12334" t="s">
        <v>14</v>
      </c>
      <c r="H12334">
             </c>
      <c r="I12334" t="s">
        <v>14</v>
      </c>
      <c r="J12334" t="s">
        <v>343</v>
      </c>
      <c r="K12334" t="s">
        <v>14</v>
      </c>
      <c r="L12334" t="s">
        <v>20</v>
      </c>
      <c r="M12334" t="s">
        <v>23787</v>
      </c>
      <c r="N12334" t="s">
        <v>14</v>
      </c>
    </row>
    <row r="12335" x14ac:dyDescent="0.25">
      <c r="A12335" t="n">
        <v>23</v>
      </c>
      <c r="B12335" t="s">
        <v>14</v>
      </c>
      <c r="C12335" t="s">
        <v>22</v>
      </c>
      <c r="D12335" s="2" t="s">
        <f>=HYPERLINK("https://main.knesset.gov.il/APPS/legislation/main/bills/2086662", "הצעת חוק-יסוד: נשיא המדינה (תיקון - כשירות) ")</f>
        <v>23797</v>
      </c>
      <c r="E12335" t="s">
        <v>23797</v>
      </c>
      <c r="F12335" t="s">
        <v>23798</v>
      </c>
      <c r="G12335" t="s">
        <v>14</v>
      </c>
      <c r="H12335">
             </c>
      <c r="I12335" t="s">
        <v>14</v>
      </c>
      <c r="J12335" t="s">
        <v>55</v>
      </c>
      <c r="K12335" t="s">
        <v>14</v>
      </c>
      <c r="L12335" t="s">
        <v>20</v>
      </c>
      <c r="M12335" t="s">
        <v>23787</v>
      </c>
      <c r="N12335" t="s">
        <v>14</v>
      </c>
    </row>
    <row r="12336" x14ac:dyDescent="0.25">
      <c r="A12336" t="n">
        <v>23</v>
      </c>
      <c r="B12336" t="s">
        <v>14</v>
      </c>
      <c r="C12336" t="s">
        <v>22</v>
      </c>
      <c r="D12336" s="2" t="s">
        <f>=HYPERLINK("https://main.knesset.gov.il/APPS/legislation/main/bills/2087379", "הצעת חוק נכסי נפקדים (תיקון - החזרת נכסים לנפקד שהפך לאזרח), התש""ף-2020")</f>
        <v>23799</v>
      </c>
      <c r="E12336" t="s">
        <v>23799</v>
      </c>
      <c r="F12336" t="s">
        <v>23800</v>
      </c>
      <c r="G12336" t="s">
        <v>14</v>
      </c>
      <c r="H12336">
             </c>
      <c r="I12336" t="s">
        <v>14</v>
      </c>
      <c r="J12336" t="s">
        <v>55</v>
      </c>
      <c r="K12336" t="s">
        <v>14</v>
      </c>
      <c r="L12336" t="s">
        <v>20</v>
      </c>
      <c r="M12336" t="s">
        <v>23787</v>
      </c>
      <c r="N12336" t="s">
        <v>14</v>
      </c>
    </row>
    <row r="12337" x14ac:dyDescent="0.25">
      <c r="A12337" t="n">
        <v>23</v>
      </c>
      <c r="B12337" t="s">
        <v>14</v>
      </c>
      <c r="C12337" t="s">
        <v>15</v>
      </c>
      <c r="D12337" s="2" t="s">
        <f>=HYPERLINK("https://main.knesset.gov.il/APPS/legislation/main/bills/2140952", "חוק להסדר התדיינויות בסכסוכי משפחה (הוראת שעה) (תיקון מס' 3), התש""ף-2020")</f>
        <v>23801</v>
      </c>
      <c r="E12337" t="s">
        <v>23801</v>
      </c>
      <c r="F12337" t="s">
        <v>14</v>
      </c>
      <c r="G12337" t="s">
        <v>23802</v>
      </c>
      <c r="H12337" t="n">
        <v>2851</v>
      </c>
      <c r="I12337" t="s">
        <v>14</v>
      </c>
      <c r="J12337" t="s">
        <v>91</v>
      </c>
      <c r="K12337" t="s">
        <v>27</v>
      </c>
      <c r="L12337" t="s">
        <v>20</v>
      </c>
      <c r="M12337" t="s">
        <v>23803</v>
      </c>
      <c r="N12337" t="s">
        <v>23804</v>
      </c>
    </row>
    <row r="12338" x14ac:dyDescent="0.25">
      <c r="A12338" t="n">
        <v>23</v>
      </c>
      <c r="B12338" t="s">
        <v>14</v>
      </c>
      <c r="C12338" t="s">
        <v>15</v>
      </c>
      <c r="D12338" s="2" t="s">
        <f>=HYPERLINK("https://main.knesset.gov.il/APPS/legislation/main/bills/2143988", "חוק הפחתת הגירעון והגבלת ההוצאה התקציבית (תיקון מס' 20), התש""ף-2020")</f>
        <v>23805</v>
      </c>
      <c r="E12338" t="s">
        <v>23805</v>
      </c>
      <c r="F12338" t="s">
        <v>14</v>
      </c>
      <c r="G12338" t="s">
        <v>23806</v>
      </c>
      <c r="H12338" t="n">
        <v>2850</v>
      </c>
      <c r="I12338" t="s">
        <v>14</v>
      </c>
      <c r="J12338" t="s">
        <v>91</v>
      </c>
      <c r="K12338" t="s">
        <v>85</v>
      </c>
      <c r="L12338" t="s">
        <v>20</v>
      </c>
      <c r="M12338" t="s">
        <v>23803</v>
      </c>
      <c r="N12338" t="s">
        <v>23807</v>
      </c>
    </row>
    <row r="12339" x14ac:dyDescent="0.25">
      <c r="A12339" t="n">
        <v>23</v>
      </c>
      <c r="B12339" t="s">
        <v>14</v>
      </c>
      <c r="C12339" t="s">
        <v>15</v>
      </c>
      <c r="D12339" s="2" t="s">
        <f>=HYPERLINK("https://main.knesset.gov.il/APPS/legislation/main/bills/2143986", "חוק־יסוד: משק המדינה (תיקון מס' 10 והוראת שעה לשנת 2020) (תיקון מס' 5)")</f>
        <v>23808</v>
      </c>
      <c r="E12339" t="s">
        <v>23808</v>
      </c>
      <c r="F12339" t="s">
        <v>14</v>
      </c>
      <c r="G12339" t="s">
        <v>23809</v>
      </c>
      <c r="H12339" t="n">
        <v>2849</v>
      </c>
      <c r="I12339" t="s">
        <v>14</v>
      </c>
      <c r="J12339" t="s">
        <v>91</v>
      </c>
      <c r="K12339" t="s">
        <v>85</v>
      </c>
      <c r="L12339" t="s">
        <v>20</v>
      </c>
      <c r="M12339" t="s">
        <v>23803</v>
      </c>
      <c r="N12339" t="s">
        <v>23810</v>
      </c>
    </row>
    <row r="12340" x14ac:dyDescent="0.25">
      <c r="A12340" t="n">
        <v>23</v>
      </c>
      <c r="B12340" t="s">
        <v>14</v>
      </c>
      <c r="C12340" t="s">
        <v>22</v>
      </c>
      <c r="D12340" s="2" t="s">
        <f>=HYPERLINK("https://main.knesset.gov.il/APPS/legislation/main/bills/2145560", "הצעת חוק הכניסה לישראל (תיקון - הארכת רישיון לעובד זר בענף הסיעוד), התש""ף-2020")</f>
        <v>23811</v>
      </c>
      <c r="E12340" t="s">
        <v>23811</v>
      </c>
      <c r="F12340" t="s">
        <v>23812</v>
      </c>
      <c r="G12340" t="s">
        <v>14</v>
      </c>
      <c r="H12340">
             </c>
      <c r="I12340" t="s">
        <v>14</v>
      </c>
      <c r="J12340" t="s">
        <v>141</v>
      </c>
      <c r="K12340" t="s">
        <v>14</v>
      </c>
      <c r="L12340" t="s">
        <v>20</v>
      </c>
      <c r="M12340" t="s">
        <v>23803</v>
      </c>
      <c r="N12340" t="s">
        <v>14</v>
      </c>
    </row>
    <row r="12341" x14ac:dyDescent="0.25">
      <c r="A12341" t="n">
        <v>23</v>
      </c>
      <c r="B12341" t="s">
        <v>14</v>
      </c>
      <c r="C12341" t="s">
        <v>22</v>
      </c>
      <c r="D12341" s="2" t="s">
        <f>=HYPERLINK("https://main.knesset.gov.il/APPS/legislation/main/bills/2143672", "הצעת חוק חוזה הביטוח (תיקון - מניעת כפל ביטוחים), התש""ף-2020")</f>
        <v>23813</v>
      </c>
      <c r="E12341" t="s">
        <v>23813</v>
      </c>
      <c r="F12341" t="s">
        <v>23814</v>
      </c>
      <c r="G12341" t="s">
        <v>14</v>
      </c>
      <c r="H12341">
             </c>
      <c r="I12341" t="s">
        <v>14</v>
      </c>
      <c r="J12341" t="s">
        <v>141</v>
      </c>
      <c r="K12341" t="s">
        <v>14</v>
      </c>
      <c r="L12341" t="s">
        <v>20</v>
      </c>
      <c r="M12341" t="s">
        <v>23803</v>
      </c>
      <c r="N12341" t="s">
        <v>14</v>
      </c>
    </row>
    <row r="12342" x14ac:dyDescent="0.25">
      <c r="A12342" t="n">
        <v>23</v>
      </c>
      <c r="B12342" t="s">
        <v>14</v>
      </c>
      <c r="C12342" t="s">
        <v>22</v>
      </c>
      <c r="D12342" s="2" t="s">
        <f>=HYPERLINK("https://main.knesset.gov.il/APPS/legislation/main/bills/2142199", "הצעת חוק שירות המדינה (תיקון - העברת דין וחשבון נציב שירות המדינה בדבר ייצוג הולם של עולים בשירות המדינה לוועדת העלייה, הקליטה והתפוצות), התש""ף-2020")</f>
        <v>23815</v>
      </c>
      <c r="E12342" t="s">
        <v>23815</v>
      </c>
      <c r="F12342" t="s">
        <v>23816</v>
      </c>
      <c r="G12342" t="s">
        <v>14</v>
      </c>
      <c r="H12342">
             </c>
      <c r="I12342" t="s">
        <v>14</v>
      </c>
      <c r="J12342" t="s">
        <v>141</v>
      </c>
      <c r="K12342" t="s">
        <v>14</v>
      </c>
      <c r="L12342" t="s">
        <v>20</v>
      </c>
      <c r="M12342" t="s">
        <v>23803</v>
      </c>
      <c r="N12342" t="s">
        <v>14</v>
      </c>
    </row>
    <row r="12343" x14ac:dyDescent="0.25">
      <c r="A12343" t="n">
        <v>23</v>
      </c>
      <c r="B12343" t="s">
        <v>14</v>
      </c>
      <c r="C12343" t="s">
        <v>22</v>
      </c>
      <c r="D12343" s="2" t="s">
        <f>=HYPERLINK("https://main.knesset.gov.il/APPS/legislation/main/bills/2145071", "הצעת חוק העונשין (תיקון - החמרת ענישה לתוקף או מתעלל בקטין או חסר ישע), התש""ף-2020")</f>
        <v>23817</v>
      </c>
      <c r="E12343" t="s">
        <v>23817</v>
      </c>
      <c r="F12343" t="s">
        <v>23818</v>
      </c>
      <c r="G12343" t="s">
        <v>14</v>
      </c>
      <c r="H12343">
             </c>
      <c r="I12343" t="s">
        <v>14</v>
      </c>
      <c r="J12343" t="s">
        <v>141</v>
      </c>
      <c r="K12343" t="s">
        <v>14</v>
      </c>
      <c r="L12343" t="s">
        <v>20</v>
      </c>
      <c r="M12343" t="s">
        <v>23803</v>
      </c>
      <c r="N12343" t="s">
        <v>14</v>
      </c>
    </row>
    <row r="12344" x14ac:dyDescent="0.25">
      <c r="A12344" t="n">
        <v>23</v>
      </c>
      <c r="B12344" t="s">
        <v>14</v>
      </c>
      <c r="C12344" t="s">
        <v>22</v>
      </c>
      <c r="D12344" s="2" t="s">
        <f>=HYPERLINK("https://main.knesset.gov.il/APPS/legislation/main/bills/2144580", "הצעת חוק בתי המשפט (תיקון - תקופת כהונה של נשיא וסגן נשיא בית המשפט העליון), התש""ף-2020")</f>
        <v>23819</v>
      </c>
      <c r="E12344" t="s">
        <v>23819</v>
      </c>
      <c r="F12344" t="s">
        <v>23820</v>
      </c>
      <c r="G12344" t="s">
        <v>14</v>
      </c>
      <c r="H12344">
             </c>
      <c r="I12344" t="s">
        <v>14</v>
      </c>
      <c r="J12344" t="s">
        <v>141</v>
      </c>
      <c r="K12344" t="s">
        <v>14</v>
      </c>
      <c r="L12344" t="s">
        <v>20</v>
      </c>
      <c r="M12344" t="s">
        <v>23803</v>
      </c>
      <c r="N12344" t="s">
        <v>14</v>
      </c>
    </row>
    <row r="12345" x14ac:dyDescent="0.25">
      <c r="A12345" t="n">
        <v>23</v>
      </c>
      <c r="B12345" t="s">
        <v>14</v>
      </c>
      <c r="C12345" t="s">
        <v>22</v>
      </c>
      <c r="D12345" s="2" t="s">
        <f>=HYPERLINK("https://main.knesset.gov.il/APPS/legislation/main/bills/2144865", "הצעת חוק העונשין (תיקון - עבירת תקיפה בנסיבות מחמירות על ידי אחראי על קטין), התש""ף-2020")</f>
        <v>23821</v>
      </c>
      <c r="E12345" t="s">
        <v>23821</v>
      </c>
      <c r="F12345" t="s">
        <v>23822</v>
      </c>
      <c r="G12345" t="s">
        <v>14</v>
      </c>
      <c r="H12345">
             </c>
      <c r="I12345" t="s">
        <v>14</v>
      </c>
      <c r="J12345" t="s">
        <v>141</v>
      </c>
      <c r="K12345" t="s">
        <v>14</v>
      </c>
      <c r="L12345" t="s">
        <v>20</v>
      </c>
      <c r="M12345" t="s">
        <v>23803</v>
      </c>
      <c r="N12345" t="s">
        <v>14</v>
      </c>
    </row>
    <row r="12346" x14ac:dyDescent="0.25">
      <c r="A12346" t="n">
        <v>23</v>
      </c>
      <c r="B12346" t="s">
        <v>14</v>
      </c>
      <c r="C12346" t="s">
        <v>22</v>
      </c>
      <c r="D12346" s="2" t="s">
        <f>=HYPERLINK("https://main.knesset.gov.il/APPS/legislation/main/bills/2142996", "הצעת חוק העונשין (תיקון - הגנה עצמית בנסיבות של אלימות במשפחה), התש""ף-2020")</f>
        <v>23823</v>
      </c>
      <c r="E12346" t="s">
        <v>23823</v>
      </c>
      <c r="F12346" t="s">
        <v>23824</v>
      </c>
      <c r="G12346" t="s">
        <v>14</v>
      </c>
      <c r="H12346">
             </c>
      <c r="I12346" t="s">
        <v>14</v>
      </c>
      <c r="J12346" t="s">
        <v>141</v>
      </c>
      <c r="K12346" t="s">
        <v>14</v>
      </c>
      <c r="L12346" t="s">
        <v>20</v>
      </c>
      <c r="M12346" t="s">
        <v>23803</v>
      </c>
      <c r="N12346" t="s">
        <v>14</v>
      </c>
    </row>
    <row r="12347" x14ac:dyDescent="0.25">
      <c r="A12347" t="n">
        <v>23</v>
      </c>
      <c r="B12347" t="s">
        <v>14</v>
      </c>
      <c r="C12347" t="s">
        <v>22</v>
      </c>
      <c r="D12347" s="2" t="s">
        <f>=HYPERLINK("https://main.knesset.gov.il/APPS/legislation/main/bills/2144823", "הצעת חוק דמי מחלה (תיקון - יתרה שלילית של ימי מחלה), התש""ף-2020")</f>
        <v>23825</v>
      </c>
      <c r="E12347" t="s">
        <v>23825</v>
      </c>
      <c r="F12347" t="s">
        <v>23826</v>
      </c>
      <c r="G12347" t="s">
        <v>14</v>
      </c>
      <c r="H12347">
             </c>
      <c r="I12347" t="s">
        <v>14</v>
      </c>
      <c r="J12347" t="s">
        <v>141</v>
      </c>
      <c r="K12347" t="s">
        <v>14</v>
      </c>
      <c r="L12347" t="s">
        <v>20</v>
      </c>
      <c r="M12347" t="s">
        <v>23803</v>
      </c>
      <c r="N12347" t="s">
        <v>14</v>
      </c>
    </row>
    <row r="12348" x14ac:dyDescent="0.25">
      <c r="A12348" t="n">
        <v>23</v>
      </c>
      <c r="B12348" t="s">
        <v>14</v>
      </c>
      <c r="C12348" t="s">
        <v>22</v>
      </c>
      <c r="D12348" s="2" t="s">
        <f>=HYPERLINK("https://main.knesset.gov.il/APPS/legislation/main/bills/2142793", "הצעת חוק הביטוח הלאומי (תיקון - ביטוח זכויות בהליכי חדלות פירעון לעובד עצמאי שעיקר הכנסתו ממקור אחד), התש""ף-2020")</f>
        <v>23827</v>
      </c>
      <c r="E12348" t="s">
        <v>23827</v>
      </c>
      <c r="F12348" t="s">
        <v>23828</v>
      </c>
      <c r="G12348" t="s">
        <v>14</v>
      </c>
      <c r="H12348">
             </c>
      <c r="I12348" t="s">
        <v>14</v>
      </c>
      <c r="J12348" t="s">
        <v>141</v>
      </c>
      <c r="K12348" t="s">
        <v>14</v>
      </c>
      <c r="L12348" t="s">
        <v>20</v>
      </c>
      <c r="M12348" t="s">
        <v>23803</v>
      </c>
      <c r="N12348" t="s">
        <v>14</v>
      </c>
    </row>
    <row r="12349" x14ac:dyDescent="0.25">
      <c r="A12349" t="n">
        <v>23</v>
      </c>
      <c r="B12349" t="s">
        <v>14</v>
      </c>
      <c r="C12349" t="s">
        <v>22</v>
      </c>
      <c r="D12349" s="2" t="s">
        <f>=HYPERLINK("https://main.knesset.gov.il/APPS/legislation/main/bills/2144275", "הצעת חוק הביטוח הלאומי (תיקון - ביטוח שאירים לאלמן), התש""ף-2020")</f>
        <v>23829</v>
      </c>
      <c r="E12349" t="s">
        <v>23829</v>
      </c>
      <c r="F12349" t="s">
        <v>23830</v>
      </c>
      <c r="G12349" t="s">
        <v>14</v>
      </c>
      <c r="H12349">
             </c>
      <c r="I12349" t="s">
        <v>14</v>
      </c>
      <c r="J12349" t="s">
        <v>141</v>
      </c>
      <c r="K12349" t="s">
        <v>14</v>
      </c>
      <c r="L12349" t="s">
        <v>20</v>
      </c>
      <c r="M12349" t="s">
        <v>23803</v>
      </c>
      <c r="N12349" t="s">
        <v>14</v>
      </c>
    </row>
    <row r="12350" x14ac:dyDescent="0.25">
      <c r="A12350" t="n">
        <v>23</v>
      </c>
      <c r="B12350" t="s">
        <v>14</v>
      </c>
      <c r="C12350" t="s">
        <v>22</v>
      </c>
      <c r="D12350" s="2" t="s">
        <f>=HYPERLINK("https://main.knesset.gov.il/APPS/legislation/main/bills/2144139", "הצעת חוק חלוקת מסכות לכל אזרח (הוראת שעה), התש""ף-2020")</f>
        <v>23831</v>
      </c>
      <c r="E12350" t="s">
        <v>23831</v>
      </c>
      <c r="F12350" t="s">
        <v>23832</v>
      </c>
      <c r="G12350" t="s">
        <v>14</v>
      </c>
      <c r="H12350">
             </c>
      <c r="I12350" t="s">
        <v>14</v>
      </c>
      <c r="J12350" t="s">
        <v>141</v>
      </c>
      <c r="K12350" t="s">
        <v>14</v>
      </c>
      <c r="L12350" t="s">
        <v>20</v>
      </c>
      <c r="M12350" t="s">
        <v>23803</v>
      </c>
      <c r="N12350" t="s">
        <v>14</v>
      </c>
    </row>
    <row r="12351" x14ac:dyDescent="0.25">
      <c r="A12351" t="n">
        <v>23</v>
      </c>
      <c r="B12351" t="s">
        <v>14</v>
      </c>
      <c r="C12351" t="s">
        <v>22</v>
      </c>
      <c r="D12351" s="2" t="s">
        <f>=HYPERLINK("https://main.knesset.gov.il/APPS/legislation/main/bills/2144398", "הצעת חוק הגנה על רופא הנעדר מעבודתו עקב התפשטות נגיף הקורונה, התש""ף-2020")</f>
        <v>23833</v>
      </c>
      <c r="E12351" t="s">
        <v>23833</v>
      </c>
      <c r="F12351" t="s">
        <v>23834</v>
      </c>
      <c r="G12351" t="s">
        <v>14</v>
      </c>
      <c r="H12351">
             </c>
      <c r="I12351" t="s">
        <v>14</v>
      </c>
      <c r="J12351" t="s">
        <v>141</v>
      </c>
      <c r="K12351" t="s">
        <v>14</v>
      </c>
      <c r="L12351" t="s">
        <v>20</v>
      </c>
      <c r="M12351" t="s">
        <v>23803</v>
      </c>
      <c r="N12351" t="s">
        <v>14</v>
      </c>
    </row>
    <row r="12352" x14ac:dyDescent="0.25">
      <c r="A12352" t="n">
        <v>23</v>
      </c>
      <c r="B12352" t="s">
        <v>14</v>
      </c>
      <c r="C12352" t="s">
        <v>22</v>
      </c>
      <c r="D12352" s="2" t="s">
        <f>=HYPERLINK("https://main.knesset.gov.il/APPS/legislation/main/bills/2144919", "הצעת חוק העונשין (תיקון - החמרת ענישה בשל אי קיום חובת דיווח), התש""ף-2020")</f>
        <v>23835</v>
      </c>
      <c r="E12352" t="s">
        <v>23835</v>
      </c>
      <c r="F12352" t="s">
        <v>23836</v>
      </c>
      <c r="G12352" t="s">
        <v>14</v>
      </c>
      <c r="H12352">
             </c>
      <c r="I12352" t="s">
        <v>14</v>
      </c>
      <c r="J12352" t="s">
        <v>141</v>
      </c>
      <c r="K12352" t="s">
        <v>14</v>
      </c>
      <c r="L12352" t="s">
        <v>20</v>
      </c>
      <c r="M12352" t="s">
        <v>23803</v>
      </c>
      <c r="N12352" t="s">
        <v>14</v>
      </c>
    </row>
    <row r="12353" x14ac:dyDescent="0.25">
      <c r="A12353" t="n">
        <v>23</v>
      </c>
      <c r="B12353" t="s">
        <v>14</v>
      </c>
      <c r="C12353" t="s">
        <v>22</v>
      </c>
      <c r="D12353" s="2" t="s">
        <f>=HYPERLINK("https://main.knesset.gov.il/APPS/legislation/main/bills/2144611", "הצעת חוק מימון מפלגות (תיקון - הפחתת מימון למפלגה בהיעדר ייצוג לבני שני המינים), התש""ף-2020")</f>
        <v>23837</v>
      </c>
      <c r="E12353" t="s">
        <v>23837</v>
      </c>
      <c r="F12353" t="s">
        <v>23838</v>
      </c>
      <c r="G12353" t="s">
        <v>14</v>
      </c>
      <c r="H12353">
             </c>
      <c r="I12353" t="s">
        <v>14</v>
      </c>
      <c r="J12353" t="s">
        <v>141</v>
      </c>
      <c r="K12353" t="s">
        <v>14</v>
      </c>
      <c r="L12353" t="s">
        <v>20</v>
      </c>
      <c r="M12353" t="s">
        <v>23803</v>
      </c>
      <c r="N12353" t="s">
        <v>14</v>
      </c>
    </row>
    <row r="12354" x14ac:dyDescent="0.25">
      <c r="A12354" t="n">
        <v>23</v>
      </c>
      <c r="B12354" t="s">
        <v>14</v>
      </c>
      <c r="C12354" t="s">
        <v>22</v>
      </c>
      <c r="D12354" s="2" t="s">
        <f>=HYPERLINK("https://main.knesset.gov.il/APPS/legislation/main/bills/2144418", "הצעת חוק סדר הדין הפלילי (תיקון - ביטול האיסור המוטל על המשטרה למסור לפרקליטות עמדה בכתב לעניין מכלול התשתית הראייתית לביסוס אשמה נגד חשודים בחקירה), התש""ף-2020")</f>
        <v>23839</v>
      </c>
      <c r="E12354" t="s">
        <v>23839</v>
      </c>
      <c r="F12354" t="s">
        <v>23840</v>
      </c>
      <c r="G12354" t="s">
        <v>14</v>
      </c>
      <c r="H12354">
             </c>
      <c r="I12354" t="s">
        <v>14</v>
      </c>
      <c r="J12354" t="s">
        <v>141</v>
      </c>
      <c r="K12354" t="s">
        <v>14</v>
      </c>
      <c r="L12354" t="s">
        <v>20</v>
      </c>
      <c r="M12354" t="s">
        <v>23803</v>
      </c>
      <c r="N12354" t="s">
        <v>14</v>
      </c>
    </row>
    <row r="12355" x14ac:dyDescent="0.25">
      <c r="A12355" t="n">
        <v>23</v>
      </c>
      <c r="B12355" t="s">
        <v>14</v>
      </c>
      <c r="C12355" t="s">
        <v>22</v>
      </c>
      <c r="D12355" s="2" t="s">
        <f>=HYPERLINK("https://main.knesset.gov.il/APPS/legislation/main/bills/2144415", "הצעת חוק איסור פרסום גזעני, הסתה לגזענות ורישום גזעני במסמכי תאגיד, התש""ף-2020")</f>
        <v>23841</v>
      </c>
      <c r="E12355" t="s">
        <v>23841</v>
      </c>
      <c r="F12355" t="s">
        <v>23842</v>
      </c>
      <c r="G12355" t="s">
        <v>14</v>
      </c>
      <c r="H12355">
             </c>
      <c r="I12355" t="s">
        <v>14</v>
      </c>
      <c r="J12355" t="s">
        <v>141</v>
      </c>
      <c r="K12355" t="s">
        <v>14</v>
      </c>
      <c r="L12355" t="s">
        <v>20</v>
      </c>
      <c r="M12355" t="s">
        <v>23803</v>
      </c>
      <c r="N12355" t="s">
        <v>14</v>
      </c>
    </row>
    <row r="12356" x14ac:dyDescent="0.25">
      <c r="A12356" t="n">
        <v>23</v>
      </c>
      <c r="B12356" t="s">
        <v>14</v>
      </c>
      <c r="C12356" t="s">
        <v>22</v>
      </c>
      <c r="D12356" s="2" t="s">
        <f>=HYPERLINK("https://main.knesset.gov.il/APPS/legislation/main/bills/2142017", "הצעת חוק חובת המכרזים (תיקון - שיתוף פעולה עסקי בין-לאומי ורכש גומלין בין-לאומי), התש""ף-2020 ")</f>
        <v>23843</v>
      </c>
      <c r="E12356" t="s">
        <v>23843</v>
      </c>
      <c r="F12356" t="s">
        <v>23844</v>
      </c>
      <c r="G12356" t="s">
        <v>14</v>
      </c>
      <c r="H12356">
             </c>
      <c r="I12356" t="s">
        <v>14</v>
      </c>
      <c r="J12356" t="s">
        <v>141</v>
      </c>
      <c r="K12356" t="s">
        <v>14</v>
      </c>
      <c r="L12356" t="s">
        <v>20</v>
      </c>
      <c r="M12356" t="s">
        <v>23803</v>
      </c>
      <c r="N12356" t="s">
        <v>14</v>
      </c>
    </row>
    <row r="12357" x14ac:dyDescent="0.25">
      <c r="A12357" t="n">
        <v>23</v>
      </c>
      <c r="B12357" t="s">
        <v>14</v>
      </c>
      <c r="C12357" t="s">
        <v>22</v>
      </c>
      <c r="D12357" s="2" t="s">
        <f>=HYPERLINK("https://main.knesset.gov.il/APPS/legislation/main/bills/2144417", "הצעת חוק-יסוד: הזכות לדיור")</f>
        <v>11919</v>
      </c>
      <c r="E12357" t="s">
        <v>11919</v>
      </c>
      <c r="F12357" t="s">
        <v>23845</v>
      </c>
      <c r="G12357" t="s">
        <v>14</v>
      </c>
      <c r="H12357">
             </c>
      <c r="I12357" t="s">
        <v>14</v>
      </c>
      <c r="J12357" t="s">
        <v>141</v>
      </c>
      <c r="K12357" t="s">
        <v>14</v>
      </c>
      <c r="L12357" t="s">
        <v>20</v>
      </c>
      <c r="M12357" t="s">
        <v>23803</v>
      </c>
      <c r="N12357" t="s">
        <v>14</v>
      </c>
    </row>
    <row r="12358" x14ac:dyDescent="0.25">
      <c r="A12358" t="n">
        <v>23</v>
      </c>
      <c r="B12358" t="s">
        <v>14</v>
      </c>
      <c r="C12358" t="s">
        <v>22</v>
      </c>
      <c r="D12358" s="2" t="s">
        <f>=HYPERLINK("https://main.knesset.gov.il/APPS/legislation/main/bills/2142712", "הצעת חוק הגנת הצרכן (תיקון - איסור פרסום כפוי במענה טלפוני), התש""ף-2020")</f>
        <v>23846</v>
      </c>
      <c r="E12358" t="s">
        <v>23846</v>
      </c>
      <c r="F12358" t="s">
        <v>23847</v>
      </c>
      <c r="G12358" t="s">
        <v>14</v>
      </c>
      <c r="H12358">
             </c>
      <c r="I12358" t="s">
        <v>14</v>
      </c>
      <c r="J12358" t="s">
        <v>141</v>
      </c>
      <c r="K12358" t="s">
        <v>14</v>
      </c>
      <c r="L12358" t="s">
        <v>20</v>
      </c>
      <c r="M12358" t="s">
        <v>23803</v>
      </c>
      <c r="N12358" t="s">
        <v>14</v>
      </c>
    </row>
    <row r="12359" x14ac:dyDescent="0.25">
      <c r="A12359" t="n">
        <v>23</v>
      </c>
      <c r="B12359" t="s">
        <v>14</v>
      </c>
      <c r="C12359" t="s">
        <v>22</v>
      </c>
      <c r="D12359" s="2" t="s">
        <f>=HYPERLINK("https://main.knesset.gov.il/APPS/legislation/main/bills/2144414", "הצעת חוק העונשין (תיקון - הוספת עילות לעבירות הסתה ופשע שנאה), התש""ף-2020")</f>
        <v>23848</v>
      </c>
      <c r="E12359" t="s">
        <v>23848</v>
      </c>
      <c r="F12359" t="s">
        <v>23849</v>
      </c>
      <c r="G12359" t="s">
        <v>14</v>
      </c>
      <c r="H12359">
             </c>
      <c r="I12359" t="s">
        <v>14</v>
      </c>
      <c r="J12359" t="s">
        <v>141</v>
      </c>
      <c r="K12359" t="s">
        <v>14</v>
      </c>
      <c r="L12359" t="s">
        <v>20</v>
      </c>
      <c r="M12359" t="s">
        <v>23803</v>
      </c>
      <c r="N12359" t="s">
        <v>14</v>
      </c>
    </row>
    <row r="12360" x14ac:dyDescent="0.25">
      <c r="A12360" t="n">
        <v>23</v>
      </c>
      <c r="B12360" t="s">
        <v>14</v>
      </c>
      <c r="C12360" t="s">
        <v>22</v>
      </c>
      <c r="D12360" s="2" t="s">
        <f>=HYPERLINK("https://main.knesset.gov.il/APPS/legislation/main/bills/2143698", "הצעת חוק הפחתת תשלומים לבעלי מקצועות מוסדרים (הוראת שעה), התש""ף-2020")</f>
        <v>23850</v>
      </c>
      <c r="E12360" t="s">
        <v>23850</v>
      </c>
      <c r="F12360" t="s">
        <v>23851</v>
      </c>
      <c r="G12360" t="s">
        <v>14</v>
      </c>
      <c r="H12360">
             </c>
      <c r="I12360" t="s">
        <v>14</v>
      </c>
      <c r="J12360" t="s">
        <v>141</v>
      </c>
      <c r="K12360" t="s">
        <v>14</v>
      </c>
      <c r="L12360" t="s">
        <v>20</v>
      </c>
      <c r="M12360" t="s">
        <v>23803</v>
      </c>
      <c r="N12360" t="s">
        <v>14</v>
      </c>
    </row>
    <row r="12361" x14ac:dyDescent="0.25">
      <c r="A12361" t="n">
        <v>23</v>
      </c>
      <c r="B12361" t="s">
        <v>14</v>
      </c>
      <c r="C12361" t="s">
        <v>22</v>
      </c>
      <c r="D12361" s="2" t="s">
        <f>=HYPERLINK("https://main.knesset.gov.il/APPS/legislation/main/bills/2087610", "הצעת חוק העונשין (תיקון - נשיאת מאסר בעבודת שירות), התש""ף-2020")</f>
        <v>23852</v>
      </c>
      <c r="E12361" t="s">
        <v>23852</v>
      </c>
      <c r="F12361" t="s">
        <v>23853</v>
      </c>
      <c r="G12361" t="s">
        <v>14</v>
      </c>
      <c r="H12361">
             </c>
      <c r="I12361" t="s">
        <v>14</v>
      </c>
      <c r="J12361" t="s">
        <v>141</v>
      </c>
      <c r="K12361" t="s">
        <v>14</v>
      </c>
      <c r="L12361" t="s">
        <v>20</v>
      </c>
      <c r="M12361" t="s">
        <v>23803</v>
      </c>
      <c r="N12361" t="s">
        <v>14</v>
      </c>
    </row>
    <row r="12362" x14ac:dyDescent="0.25">
      <c r="A12362" t="n">
        <v>23</v>
      </c>
      <c r="B12362" t="s">
        <v>14</v>
      </c>
      <c r="C12362" t="s">
        <v>22</v>
      </c>
      <c r="D12362" s="2" t="s">
        <f>=HYPERLINK("https://main.knesset.gov.il/APPS/legislation/main/bills/2144885", "הצעת חוק מרשם האוכלוסין (תיקון - רישום הורה נוסף), התש""ף-2020")</f>
        <v>23854</v>
      </c>
      <c r="E12362" t="s">
        <v>23854</v>
      </c>
      <c r="F12362" t="s">
        <v>23855</v>
      </c>
      <c r="G12362" t="s">
        <v>14</v>
      </c>
      <c r="H12362">
             </c>
      <c r="I12362" t="s">
        <v>14</v>
      </c>
      <c r="J12362" t="s">
        <v>141</v>
      </c>
      <c r="K12362" t="s">
        <v>14</v>
      </c>
      <c r="L12362" t="s">
        <v>20</v>
      </c>
      <c r="M12362" t="s">
        <v>23803</v>
      </c>
      <c r="N12362" t="s">
        <v>14</v>
      </c>
    </row>
    <row r="12363" x14ac:dyDescent="0.25">
      <c r="A12363" t="n">
        <v>23</v>
      </c>
      <c r="B12363" t="s">
        <v>14</v>
      </c>
      <c r="C12363" t="s">
        <v>22</v>
      </c>
      <c r="D12363" s="2" t="s">
        <f>=HYPERLINK("https://main.knesset.gov.il/APPS/legislation/main/bills/2144033", "הצעת חוק שירותי הדת היהודיים (תיקון - פיזור מועצה דתית בידי מועצת הרשות המקומית), התש""פ-2020")</f>
        <v>23856</v>
      </c>
      <c r="E12363" t="s">
        <v>23856</v>
      </c>
      <c r="F12363" t="s">
        <v>23857</v>
      </c>
      <c r="G12363" t="s">
        <v>14</v>
      </c>
      <c r="H12363">
             </c>
      <c r="I12363" t="s">
        <v>14</v>
      </c>
      <c r="J12363" t="s">
        <v>141</v>
      </c>
      <c r="K12363" t="s">
        <v>14</v>
      </c>
      <c r="L12363" t="s">
        <v>20</v>
      </c>
      <c r="M12363" t="s">
        <v>23803</v>
      </c>
      <c r="N12363" t="s">
        <v>14</v>
      </c>
    </row>
    <row r="12364" x14ac:dyDescent="0.25">
      <c r="A12364" t="n">
        <v>23</v>
      </c>
      <c r="B12364" t="s">
        <v>14</v>
      </c>
      <c r="C12364" t="s">
        <v>22</v>
      </c>
      <c r="D12364" s="2" t="s">
        <f>=HYPERLINK("https://main.knesset.gov.il/APPS/legislation/main/bills/2144831", "הצעת חוק תאגידי מים וביוב (תיקון - הפסקת הפעלת שירותי מים וביוב באמצעות חברה), התש""ף-2020")</f>
        <v>23858</v>
      </c>
      <c r="E12364" t="s">
        <v>23858</v>
      </c>
      <c r="F12364" t="s">
        <v>23859</v>
      </c>
      <c r="G12364" t="s">
        <v>14</v>
      </c>
      <c r="H12364">
             </c>
      <c r="I12364" t="s">
        <v>14</v>
      </c>
      <c r="J12364" t="s">
        <v>141</v>
      </c>
      <c r="K12364" t="s">
        <v>14</v>
      </c>
      <c r="L12364" t="s">
        <v>20</v>
      </c>
      <c r="M12364" t="s">
        <v>23803</v>
      </c>
      <c r="N12364" t="s">
        <v>14</v>
      </c>
    </row>
    <row r="12365" x14ac:dyDescent="0.25">
      <c r="A12365" t="n">
        <v>23</v>
      </c>
      <c r="B12365" t="s">
        <v>14</v>
      </c>
      <c r="C12365" t="s">
        <v>22</v>
      </c>
      <c r="D12365" s="2" t="s">
        <f>=HYPERLINK("https://main.knesset.gov.il/APPS/legislation/main/bills/2144529", "הצעת חוק הגנת הצרכן (תיקון - מאגר צרכנים להגבלת שיחות שיווק מרחוק), התש""ף-2020")</f>
        <v>23860</v>
      </c>
      <c r="E12365" t="s">
        <v>23860</v>
      </c>
      <c r="F12365" t="s">
        <v>23861</v>
      </c>
      <c r="G12365" t="s">
        <v>14</v>
      </c>
      <c r="H12365">
             </c>
      <c r="I12365" t="s">
        <v>14</v>
      </c>
      <c r="J12365" t="s">
        <v>141</v>
      </c>
      <c r="K12365" t="s">
        <v>14</v>
      </c>
      <c r="L12365" t="s">
        <v>20</v>
      </c>
      <c r="M12365" t="s">
        <v>23803</v>
      </c>
      <c r="N12365" t="s">
        <v>14</v>
      </c>
    </row>
    <row r="12366" x14ac:dyDescent="0.25">
      <c r="A12366" t="n">
        <v>23</v>
      </c>
      <c r="B12366" t="s">
        <v>14</v>
      </c>
      <c r="C12366" t="s">
        <v>22</v>
      </c>
      <c r="D12366" s="2" t="s">
        <f>=HYPERLINK("https://main.knesset.gov.il/APPS/legislation/main/bills/2144478", "הצעת חוק הגנת הצרכן (תיקון - איסור על שיווק טלפוני למספר הרשום במאגר ""אל תתקשרו אלי""), התש""ף-2020")</f>
        <v>23419</v>
      </c>
      <c r="E12366" t="s">
        <v>23419</v>
      </c>
      <c r="F12366" t="s">
        <v>23862</v>
      </c>
      <c r="G12366" t="s">
        <v>14</v>
      </c>
      <c r="H12366">
             </c>
      <c r="I12366" t="s">
        <v>14</v>
      </c>
      <c r="J12366" t="s">
        <v>141</v>
      </c>
      <c r="K12366" t="s">
        <v>14</v>
      </c>
      <c r="L12366" t="s">
        <v>20</v>
      </c>
      <c r="M12366" t="s">
        <v>23803</v>
      </c>
      <c r="N12366" t="s">
        <v>14</v>
      </c>
    </row>
    <row r="12367" x14ac:dyDescent="0.25">
      <c r="A12367" t="n">
        <v>23</v>
      </c>
      <c r="B12367" t="s">
        <v>14</v>
      </c>
      <c r="C12367" t="s">
        <v>22</v>
      </c>
      <c r="D12367" s="2" t="s">
        <f>=HYPERLINK("https://main.knesset.gov.il/APPS/legislation/main/bills/2143935", "הצעת חוק הפרטת תאגיד השידור הציבורי הישראלי, התש""ף-2020")</f>
        <v>23863</v>
      </c>
      <c r="E12367" t="s">
        <v>23863</v>
      </c>
      <c r="F12367" t="s">
        <v>23864</v>
      </c>
      <c r="G12367" t="s">
        <v>14</v>
      </c>
      <c r="H12367">
             </c>
      <c r="I12367" t="s">
        <v>14</v>
      </c>
      <c r="J12367" t="s">
        <v>141</v>
      </c>
      <c r="K12367" t="s">
        <v>14</v>
      </c>
      <c r="L12367" t="s">
        <v>20</v>
      </c>
      <c r="M12367" t="s">
        <v>23803</v>
      </c>
      <c r="N12367" t="s">
        <v>14</v>
      </c>
    </row>
    <row r="12368" x14ac:dyDescent="0.25">
      <c r="A12368" t="n">
        <v>23</v>
      </c>
      <c r="B12368" t="s">
        <v>14</v>
      </c>
      <c r="C12368" t="s">
        <v>22</v>
      </c>
      <c r="D12368" s="2" t="s">
        <f>=HYPERLINK("https://main.knesset.gov.il/APPS/legislation/main/bills/2143269", "הצעת חוק השבת כספים בשל ביטול אירוע פרטי (נגיף הקורונה החדש), התש""ף-2020")</f>
        <v>23865</v>
      </c>
      <c r="E12368" t="s">
        <v>23865</v>
      </c>
      <c r="F12368" t="s">
        <v>23866</v>
      </c>
      <c r="G12368" t="s">
        <v>14</v>
      </c>
      <c r="H12368">
             </c>
      <c r="I12368" t="s">
        <v>14</v>
      </c>
      <c r="J12368" t="s">
        <v>141</v>
      </c>
      <c r="K12368" t="s">
        <v>14</v>
      </c>
      <c r="L12368" t="s">
        <v>20</v>
      </c>
      <c r="M12368" t="s">
        <v>23803</v>
      </c>
      <c r="N12368" t="s">
        <v>14</v>
      </c>
    </row>
    <row r="12369" x14ac:dyDescent="0.25">
      <c r="A12369" t="n">
        <v>23</v>
      </c>
      <c r="B12369" t="s">
        <v>14</v>
      </c>
      <c r="C12369" t="s">
        <v>22</v>
      </c>
      <c r="D12369" s="2" t="s">
        <f>=HYPERLINK("https://main.knesset.gov.il/APPS/legislation/main/bills/2142957", "הצעת חוק לתיקון פקודת התעבורה (הקמת מאגר אופניים ממונעים), התש""ף-2020")</f>
        <v>23867</v>
      </c>
      <c r="E12369" t="s">
        <v>23867</v>
      </c>
      <c r="F12369" t="s">
        <v>23868</v>
      </c>
      <c r="G12369" t="s">
        <v>14</v>
      </c>
      <c r="H12369">
             </c>
      <c r="I12369" t="s">
        <v>14</v>
      </c>
      <c r="J12369" t="s">
        <v>141</v>
      </c>
      <c r="K12369" t="s">
        <v>14</v>
      </c>
      <c r="L12369" t="s">
        <v>20</v>
      </c>
      <c r="M12369" t="s">
        <v>23803</v>
      </c>
      <c r="N12369" t="s">
        <v>14</v>
      </c>
    </row>
    <row r="12370" x14ac:dyDescent="0.25">
      <c r="A12370" t="n">
        <v>23</v>
      </c>
      <c r="B12370" t="s">
        <v>14</v>
      </c>
      <c r="C12370" t="s">
        <v>22</v>
      </c>
      <c r="D12370" s="2" t="s">
        <f>=HYPERLINK("https://main.knesset.gov.il/APPS/legislation/main/bills/2143187", "הצעת חוק המים (תיקון - הנחות לבתי תפילה), התש""ף-2020")</f>
        <v>23869</v>
      </c>
      <c r="E12370" t="s">
        <v>23869</v>
      </c>
      <c r="F12370" t="s">
        <v>23870</v>
      </c>
      <c r="G12370" t="s">
        <v>14</v>
      </c>
      <c r="H12370">
             </c>
      <c r="I12370" t="s">
        <v>14</v>
      </c>
      <c r="J12370" t="s">
        <v>141</v>
      </c>
      <c r="K12370" t="s">
        <v>14</v>
      </c>
      <c r="L12370" t="s">
        <v>20</v>
      </c>
      <c r="M12370" t="s">
        <v>23803</v>
      </c>
      <c r="N12370" t="s">
        <v>14</v>
      </c>
    </row>
    <row r="12371" x14ac:dyDescent="0.25">
      <c r="A12371" t="n">
        <v>23</v>
      </c>
      <c r="B12371" t="s">
        <v>14</v>
      </c>
      <c r="C12371" t="s">
        <v>22</v>
      </c>
      <c r="D12371" s="2" t="s">
        <f>=HYPERLINK("https://main.knesset.gov.il/APPS/legislation/main/bills/2142274", "הצעת חוק תהליך קבלת החלטות בעניין הסכמי סחר בין-לאומיים, התש""ף-2020")</f>
        <v>23871</v>
      </c>
      <c r="E12371" t="s">
        <v>23871</v>
      </c>
      <c r="F12371" t="s">
        <v>23872</v>
      </c>
      <c r="G12371" t="s">
        <v>14</v>
      </c>
      <c r="H12371">
             </c>
      <c r="I12371" t="s">
        <v>14</v>
      </c>
      <c r="J12371" t="s">
        <v>141</v>
      </c>
      <c r="K12371" t="s">
        <v>14</v>
      </c>
      <c r="L12371" t="s">
        <v>20</v>
      </c>
      <c r="M12371" t="s">
        <v>23803</v>
      </c>
      <c r="N12371" t="s">
        <v>14</v>
      </c>
    </row>
    <row r="12372" x14ac:dyDescent="0.25">
      <c r="A12372" t="n">
        <v>23</v>
      </c>
      <c r="B12372" t="s">
        <v>14</v>
      </c>
      <c r="C12372" t="s">
        <v>22</v>
      </c>
      <c r="D12372" s="2" t="s">
        <f>=HYPERLINK("https://main.knesset.gov.il/APPS/legislation/main/bills/2144554", "הצעת חוק חינוך ממלכתי (תיקון - איסור פעילות שיש בה הדתה, שנאה בשל נטייה מינית, גזענות והדרת נשים במוסדות חינוך ממלכתיים), התש""ף-2020")</f>
        <v>23873</v>
      </c>
      <c r="E12372" t="s">
        <v>23873</v>
      </c>
      <c r="F12372" t="s">
        <v>23874</v>
      </c>
      <c r="G12372" t="s">
        <v>14</v>
      </c>
      <c r="H12372">
             </c>
      <c r="I12372" t="s">
        <v>14</v>
      </c>
      <c r="J12372" t="s">
        <v>141</v>
      </c>
      <c r="K12372" t="s">
        <v>14</v>
      </c>
      <c r="L12372" t="s">
        <v>20</v>
      </c>
      <c r="M12372" t="s">
        <v>23803</v>
      </c>
      <c r="N12372" t="s">
        <v>14</v>
      </c>
    </row>
    <row r="12373" x14ac:dyDescent="0.25">
      <c r="A12373" t="n">
        <v>23</v>
      </c>
      <c r="B12373" t="s">
        <v>14</v>
      </c>
      <c r="C12373" t="s">
        <v>22</v>
      </c>
      <c r="D12373" s="2" t="s">
        <f>=HYPERLINK("https://main.knesset.gov.il/APPS/legislation/main/bills/2144412", "הצעת חוק האזרחות והכניסה לישראל (הוראת שעה) (תיקון - ביטול החוק), התש""ף-2020")</f>
        <v>23875</v>
      </c>
      <c r="E12373" t="s">
        <v>23875</v>
      </c>
      <c r="F12373" t="s">
        <v>23876</v>
      </c>
      <c r="G12373" t="s">
        <v>14</v>
      </c>
      <c r="H12373">
             </c>
      <c r="I12373" t="s">
        <v>14</v>
      </c>
      <c r="J12373" t="s">
        <v>141</v>
      </c>
      <c r="K12373" t="s">
        <v>14</v>
      </c>
      <c r="L12373" t="s">
        <v>20</v>
      </c>
      <c r="M12373" t="s">
        <v>23803</v>
      </c>
      <c r="N12373" t="s">
        <v>14</v>
      </c>
    </row>
    <row r="12374" x14ac:dyDescent="0.25">
      <c r="A12374" t="n">
        <v>23</v>
      </c>
      <c r="B12374" t="s">
        <v>14</v>
      </c>
      <c r="C12374" t="s">
        <v>22</v>
      </c>
      <c r="D12374" s="2" t="s">
        <f>=HYPERLINK("https://main.knesset.gov.il/APPS/legislation/main/bills/2143815", "הצעת חוק לתיקון פקודת המשטרה (הצעת מועמדים לתפקיד המפקח הכללי של המשטרה בידי ועדת איתור מקצועית-ציבורית), התש""ף-2020")</f>
        <v>23877</v>
      </c>
      <c r="E12374" t="s">
        <v>23877</v>
      </c>
      <c r="F12374" t="s">
        <v>23878</v>
      </c>
      <c r="G12374" t="s">
        <v>14</v>
      </c>
      <c r="H12374">
             </c>
      <c r="I12374" t="s">
        <v>14</v>
      </c>
      <c r="J12374" t="s">
        <v>141</v>
      </c>
      <c r="K12374" t="s">
        <v>14</v>
      </c>
      <c r="L12374" t="s">
        <v>20</v>
      </c>
      <c r="M12374" t="s">
        <v>23803</v>
      </c>
      <c r="N12374" t="s">
        <v>14</v>
      </c>
    </row>
    <row r="12375" x14ac:dyDescent="0.25">
      <c r="A12375" t="n">
        <v>23</v>
      </c>
      <c r="B12375" t="s">
        <v>14</v>
      </c>
      <c r="C12375" t="s">
        <v>22</v>
      </c>
      <c r="D12375" s="2" t="s">
        <f>=HYPERLINK("https://main.knesset.gov.il/APPS/legislation/main/bills/2143889", "הצעת חוק פינוי ההתנחלויות, התש""ף-2020")</f>
        <v>23879</v>
      </c>
      <c r="E12375" t="s">
        <v>23879</v>
      </c>
      <c r="F12375" t="s">
        <v>23880</v>
      </c>
      <c r="G12375" t="s">
        <v>14</v>
      </c>
      <c r="H12375">
             </c>
      <c r="I12375" t="s">
        <v>14</v>
      </c>
      <c r="J12375" t="s">
        <v>141</v>
      </c>
      <c r="K12375" t="s">
        <v>14</v>
      </c>
      <c r="L12375" t="s">
        <v>20</v>
      </c>
      <c r="M12375" t="s">
        <v>23803</v>
      </c>
      <c r="N12375" t="s">
        <v>14</v>
      </c>
    </row>
    <row r="12376" x14ac:dyDescent="0.25">
      <c r="A12376" t="n">
        <v>23</v>
      </c>
      <c r="B12376" t="s">
        <v>14</v>
      </c>
      <c r="C12376" t="s">
        <v>22</v>
      </c>
      <c r="D12376" s="2" t="s">
        <f>=HYPERLINK("https://main.knesset.gov.il/APPS/legislation/main/bills/2144949", "הצעת חוק הסרת גדר ההפרדה, התש""ף-2020")</f>
        <v>23881</v>
      </c>
      <c r="E12376" t="s">
        <v>23881</v>
      </c>
      <c r="F12376" t="s">
        <v>23882</v>
      </c>
      <c r="G12376" t="s">
        <v>14</v>
      </c>
      <c r="H12376">
             </c>
      <c r="I12376" t="s">
        <v>14</v>
      </c>
      <c r="J12376" t="s">
        <v>141</v>
      </c>
      <c r="K12376" t="s">
        <v>14</v>
      </c>
      <c r="L12376" t="s">
        <v>20</v>
      </c>
      <c r="M12376" t="s">
        <v>23803</v>
      </c>
      <c r="N12376" t="s">
        <v>14</v>
      </c>
    </row>
    <row r="12377" x14ac:dyDescent="0.25">
      <c r="A12377" t="n">
        <v>23</v>
      </c>
      <c r="B12377" t="s">
        <v>14</v>
      </c>
      <c r="C12377" t="s">
        <v>22</v>
      </c>
      <c r="D12377" s="2" t="s">
        <f>=HYPERLINK("https://main.knesset.gov.il/APPS/legislation/main/bills/2144886", "הצעת חוק ביטול המינהל האזרחי, התש""ף-2020")</f>
        <v>23883</v>
      </c>
      <c r="E12377" t="s">
        <v>23883</v>
      </c>
      <c r="F12377" t="s">
        <v>23884</v>
      </c>
      <c r="G12377" t="s">
        <v>14</v>
      </c>
      <c r="H12377">
             </c>
      <c r="I12377" t="s">
        <v>14</v>
      </c>
      <c r="J12377" t="s">
        <v>141</v>
      </c>
      <c r="K12377" t="s">
        <v>14</v>
      </c>
      <c r="L12377" t="s">
        <v>20</v>
      </c>
      <c r="M12377" t="s">
        <v>23803</v>
      </c>
      <c r="N12377" t="s">
        <v>14</v>
      </c>
    </row>
    <row r="12378" x14ac:dyDescent="0.25">
      <c r="A12378" t="n">
        <v>23</v>
      </c>
      <c r="B12378" t="s">
        <v>14</v>
      </c>
      <c r="C12378" t="s">
        <v>22</v>
      </c>
      <c r="D12378" s="2" t="s">
        <f>=HYPERLINK("https://main.knesset.gov.il/APPS/legislation/main/bills/2142900", "הצעת חוק התובע הכללי, התש""ף-2020")</f>
        <v>23885</v>
      </c>
      <c r="E12378" t="s">
        <v>23885</v>
      </c>
      <c r="F12378" t="s">
        <v>23886</v>
      </c>
      <c r="G12378" t="s">
        <v>14</v>
      </c>
      <c r="H12378">
             </c>
      <c r="I12378" t="s">
        <v>14</v>
      </c>
      <c r="J12378" t="s">
        <v>141</v>
      </c>
      <c r="K12378" t="s">
        <v>14</v>
      </c>
      <c r="L12378" t="s">
        <v>20</v>
      </c>
      <c r="M12378" t="s">
        <v>23803</v>
      </c>
      <c r="N12378" t="s">
        <v>14</v>
      </c>
    </row>
    <row r="12379" x14ac:dyDescent="0.25">
      <c r="A12379" t="n">
        <v>23</v>
      </c>
      <c r="B12379" t="s">
        <v>14</v>
      </c>
      <c r="C12379" t="s">
        <v>15</v>
      </c>
      <c r="D12379" s="2" t="s">
        <f>=HYPERLINK("https://main.knesset.gov.il/APPS/legislation/main/bills/2144925", "חוק ההוצאה לפועל (הקפאת הגבלת רישיונות נהיגה) (נגיף הקורונה החדש - הוראת שעה), התש""ף-2020")</f>
        <v>23887</v>
      </c>
      <c r="E12379" t="s">
        <v>23887</v>
      </c>
      <c r="F12379" t="s">
        <v>14</v>
      </c>
      <c r="G12379" t="s">
        <v>23888</v>
      </c>
      <c r="H12379" t="n">
        <v>2847</v>
      </c>
      <c r="I12379" t="s">
        <v>14</v>
      </c>
      <c r="J12379" t="s">
        <v>91</v>
      </c>
      <c r="K12379" t="s">
        <v>27</v>
      </c>
      <c r="L12379" t="s">
        <v>20</v>
      </c>
      <c r="M12379" t="s">
        <v>23889</v>
      </c>
      <c r="N12379" t="s">
        <v>23890</v>
      </c>
    </row>
    <row r="12380" x14ac:dyDescent="0.25">
      <c r="A12380" t="n">
        <v>23</v>
      </c>
      <c r="B12380" t="s">
        <v>14</v>
      </c>
      <c r="C12380" t="s">
        <v>15</v>
      </c>
      <c r="D12380" s="2" t="s">
        <f>=HYPERLINK("https://main.knesset.gov.il/APPS/legislation/main/bills/2144779", "חוק לתיקון פקודת בריאות העם (מס' 34), התש""ף-2020")</f>
        <v>23891</v>
      </c>
      <c r="E12380" t="s">
        <v>23891</v>
      </c>
      <c r="F12380" t="s">
        <v>14</v>
      </c>
      <c r="G12380" t="s">
        <v>23892</v>
      </c>
      <c r="H12380" t="n">
        <v>2848</v>
      </c>
      <c r="I12380" t="s">
        <v>14</v>
      </c>
      <c r="J12380" t="s">
        <v>91</v>
      </c>
      <c r="K12380" t="s">
        <v>15147</v>
      </c>
      <c r="L12380" t="s">
        <v>20</v>
      </c>
      <c r="M12380" t="s">
        <v>23889</v>
      </c>
      <c r="N12380" t="s">
        <v>23893</v>
      </c>
    </row>
    <row r="12381" x14ac:dyDescent="0.25">
      <c r="A12381" t="n">
        <v>23</v>
      </c>
      <c r="B12381" t="s">
        <v>14</v>
      </c>
      <c r="C12381" t="s">
        <v>22</v>
      </c>
      <c r="D12381" s="2" t="s">
        <f>=HYPERLINK("https://main.knesset.gov.il/APPS/legislation/main/bills/2139701", "הצעת חוק השבות (תיקון - זכויות בני משפחה), התש""ף-2020")</f>
        <v>23894</v>
      </c>
      <c r="E12381" t="s">
        <v>23894</v>
      </c>
      <c r="F12381" t="s">
        <v>23895</v>
      </c>
      <c r="G12381" t="s">
        <v>14</v>
      </c>
      <c r="H12381">
             </c>
      <c r="I12381" t="s">
        <v>14</v>
      </c>
      <c r="J12381" t="s">
        <v>343</v>
      </c>
      <c r="K12381" t="s">
        <v>14</v>
      </c>
      <c r="L12381" t="s">
        <v>20</v>
      </c>
      <c r="M12381" t="s">
        <v>23889</v>
      </c>
      <c r="N12381" t="s">
        <v>14</v>
      </c>
    </row>
    <row r="12382" x14ac:dyDescent="0.25">
      <c r="A12382" t="n">
        <v>23</v>
      </c>
      <c r="B12382" t="s">
        <v>14</v>
      </c>
      <c r="C12382" t="s">
        <v>22</v>
      </c>
      <c r="D12382" s="2" t="s">
        <f>=HYPERLINK("https://main.knesset.gov.il/APPS/legislation/main/bills/2088470", "הצעת חוק הביטוח הלאומי (תיקון - תשלום דמי אבטלה החל מיום האבטלה הראשון) (הוראת שעה), התש""ף-2020")</f>
        <v>23896</v>
      </c>
      <c r="E12382" t="s">
        <v>23896</v>
      </c>
      <c r="F12382" t="s">
        <v>23897</v>
      </c>
      <c r="G12382" t="s">
        <v>14</v>
      </c>
      <c r="H12382">
             </c>
      <c r="I12382" t="s">
        <v>14</v>
      </c>
      <c r="J12382" t="s">
        <v>55</v>
      </c>
      <c r="K12382" t="s">
        <v>14</v>
      </c>
      <c r="L12382" t="s">
        <v>20</v>
      </c>
      <c r="M12382" t="s">
        <v>23889</v>
      </c>
      <c r="N12382" t="s">
        <v>14</v>
      </c>
    </row>
    <row r="12383" x14ac:dyDescent="0.25">
      <c r="A12383" t="n">
        <v>23</v>
      </c>
      <c r="B12383" t="s">
        <v>14</v>
      </c>
      <c r="C12383" t="s">
        <v>22</v>
      </c>
      <c r="D12383" s="2" t="s">
        <f>=HYPERLINK("https://main.knesset.gov.il/APPS/legislation/main/bills/2086965", "הצעת חוק השחתת מודעות על רקע מגדר, התש""ף-2020")</f>
        <v>23898</v>
      </c>
      <c r="E12383" t="s">
        <v>23898</v>
      </c>
      <c r="F12383" t="s">
        <v>23899</v>
      </c>
      <c r="G12383" t="s">
        <v>14</v>
      </c>
      <c r="H12383">
             </c>
      <c r="I12383" t="s">
        <v>14</v>
      </c>
      <c r="J12383" t="s">
        <v>55</v>
      </c>
      <c r="K12383" t="s">
        <v>14</v>
      </c>
      <c r="L12383" t="s">
        <v>20</v>
      </c>
      <c r="M12383" t="s">
        <v>23889</v>
      </c>
      <c r="N12383" t="s">
        <v>14</v>
      </c>
    </row>
    <row r="12384" x14ac:dyDescent="0.25">
      <c r="A12384" t="n">
        <v>23</v>
      </c>
      <c r="B12384" t="s">
        <v>14</v>
      </c>
      <c r="C12384" t="s">
        <v>22</v>
      </c>
      <c r="D12384" s="2" t="s">
        <f>=HYPERLINK("https://main.knesset.gov.il/APPS/legislation/main/bills/2088099", "הצעת חוק הביטוח הלאומי (תיקון - ביטוח שאירים לאלמן), התש""ף-2020")</f>
        <v>23829</v>
      </c>
      <c r="E12384" t="s">
        <v>23829</v>
      </c>
      <c r="F12384" t="s">
        <v>23900</v>
      </c>
      <c r="G12384" t="s">
        <v>14</v>
      </c>
      <c r="H12384">
             </c>
      <c r="I12384" t="s">
        <v>14</v>
      </c>
      <c r="J12384" t="s">
        <v>343</v>
      </c>
      <c r="K12384" t="s">
        <v>14</v>
      </c>
      <c r="L12384" t="s">
        <v>20</v>
      </c>
      <c r="M12384" t="s">
        <v>23889</v>
      </c>
      <c r="N12384" t="s">
        <v>14</v>
      </c>
    </row>
    <row r="12385" x14ac:dyDescent="0.25">
      <c r="A12385" t="n">
        <v>23</v>
      </c>
      <c r="B12385" t="s">
        <v>14</v>
      </c>
      <c r="C12385" t="s">
        <v>22</v>
      </c>
      <c r="D12385" s="2" t="s">
        <f>=HYPERLINK("https://main.knesset.gov.il/APPS/legislation/main/bills/2085779", "הצעת חוק זכויות לעובד עצמאי, התש""ף-2020")</f>
        <v>23901</v>
      </c>
      <c r="E12385" t="s">
        <v>23901</v>
      </c>
      <c r="F12385" t="s">
        <v>23902</v>
      </c>
      <c r="G12385" t="s">
        <v>14</v>
      </c>
      <c r="H12385">
             </c>
      <c r="I12385" t="s">
        <v>14</v>
      </c>
      <c r="J12385" t="s">
        <v>55</v>
      </c>
      <c r="K12385" t="s">
        <v>14</v>
      </c>
      <c r="L12385" t="s">
        <v>20</v>
      </c>
      <c r="M12385" t="s">
        <v>23889</v>
      </c>
      <c r="N12385" t="s">
        <v>14</v>
      </c>
    </row>
    <row r="12386" x14ac:dyDescent="0.25">
      <c r="A12386" t="n">
        <v>23</v>
      </c>
      <c r="B12386" t="s">
        <v>14</v>
      </c>
      <c r="C12386" t="s">
        <v>22</v>
      </c>
      <c r="D12386" s="2" t="s">
        <f>=HYPERLINK("https://main.knesset.gov.il/APPS/legislation/main/bills/2085978", "הצעת חוק החזר הוצאות כספיות בגין עריכת נישואין אזרחיים בחוץ לארץ למי שאינם רשאים להינשא בישראל על פי דיני המדינה, התש""ף-2020")</f>
        <v>23903</v>
      </c>
      <c r="E12386" t="s">
        <v>23903</v>
      </c>
      <c r="F12386" t="s">
        <v>23904</v>
      </c>
      <c r="G12386" t="s">
        <v>14</v>
      </c>
      <c r="H12386">
             </c>
      <c r="I12386" t="s">
        <v>14</v>
      </c>
      <c r="J12386" t="s">
        <v>55</v>
      </c>
      <c r="K12386" t="s">
        <v>14</v>
      </c>
      <c r="L12386" t="s">
        <v>20</v>
      </c>
      <c r="M12386" t="s">
        <v>23889</v>
      </c>
      <c r="N12386" t="s">
        <v>14</v>
      </c>
    </row>
    <row r="12387" x14ac:dyDescent="0.25">
      <c r="A12387" t="n">
        <v>23</v>
      </c>
      <c r="B12387" t="s">
        <v>14</v>
      </c>
      <c r="C12387" t="s">
        <v>22</v>
      </c>
      <c r="D12387" s="2" t="s">
        <f>=HYPERLINK("https://main.knesset.gov.il/APPS/legislation/main/bills/2087639", "הצעת חוק ההוצאה לפועל (תיקון - ביטול הגבלת רישיון נהיגה) (הוראת שעה), התש""ף-2020")</f>
        <v>23905</v>
      </c>
      <c r="E12387" t="s">
        <v>23905</v>
      </c>
      <c r="F12387" t="s">
        <v>23906</v>
      </c>
      <c r="G12387" t="s">
        <v>14</v>
      </c>
      <c r="H12387">
             </c>
      <c r="I12387" t="s">
        <v>14</v>
      </c>
      <c r="J12387" t="s">
        <v>99</v>
      </c>
      <c r="K12387" t="s">
        <v>27</v>
      </c>
      <c r="L12387" t="s">
        <v>20</v>
      </c>
      <c r="M12387" t="s">
        <v>23907</v>
      </c>
      <c r="N12387" t="s">
        <v>14</v>
      </c>
    </row>
    <row r="12388" x14ac:dyDescent="0.25">
      <c r="A12388" t="n">
        <v>23</v>
      </c>
      <c r="B12388" t="s">
        <v>14</v>
      </c>
      <c r="C12388" t="s">
        <v>22</v>
      </c>
      <c r="D12388" s="2" t="s">
        <f>=HYPERLINK("https://main.knesset.gov.il/APPS/legislation/main/bills/2086343", "הצעת חוק ההוצאה לפועל (תיקון - הגבלת רישיון נהיגה), התש""ף-2020")</f>
        <v>23908</v>
      </c>
      <c r="E12388" t="s">
        <v>23908</v>
      </c>
      <c r="F12388" t="s">
        <v>23909</v>
      </c>
      <c r="G12388" t="s">
        <v>14</v>
      </c>
      <c r="H12388">
             </c>
      <c r="I12388" t="s">
        <v>14</v>
      </c>
      <c r="J12388" t="s">
        <v>99</v>
      </c>
      <c r="K12388" t="s">
        <v>27</v>
      </c>
      <c r="L12388" t="s">
        <v>20</v>
      </c>
      <c r="M12388" t="s">
        <v>23907</v>
      </c>
      <c r="N12388" t="s">
        <v>14</v>
      </c>
    </row>
    <row r="12389" x14ac:dyDescent="0.25">
      <c r="A12389" t="n">
        <v>23</v>
      </c>
      <c r="B12389" t="s">
        <v>14</v>
      </c>
      <c r="C12389" t="s">
        <v>22</v>
      </c>
      <c r="D12389" s="2" t="s">
        <f>=HYPERLINK("https://main.knesset.gov.il/APPS/legislation/main/bills/2086998", "הצעת חוק ההוצאה לפועל (תיקון - מגבלת רישיון נהיגה), התש""ף-2020")</f>
        <v>23910</v>
      </c>
      <c r="E12389" t="s">
        <v>23910</v>
      </c>
      <c r="F12389" t="s">
        <v>23911</v>
      </c>
      <c r="G12389" t="s">
        <v>14</v>
      </c>
      <c r="H12389">
             </c>
      <c r="I12389" t="s">
        <v>14</v>
      </c>
      <c r="J12389" t="s">
        <v>99</v>
      </c>
      <c r="K12389" t="s">
        <v>27</v>
      </c>
      <c r="L12389" t="s">
        <v>20</v>
      </c>
      <c r="M12389" t="s">
        <v>23907</v>
      </c>
      <c r="N12389" t="s">
        <v>14</v>
      </c>
    </row>
    <row r="12390" x14ac:dyDescent="0.25">
      <c r="A12390" t="n">
        <v>23</v>
      </c>
      <c r="B12390" t="s">
        <v>14</v>
      </c>
      <c r="C12390" t="s">
        <v>22</v>
      </c>
      <c r="D12390" s="2" t="s">
        <f>=HYPERLINK("https://main.knesset.gov.il/APPS/legislation/main/bills/2085949", "הצעת חוק ההוצאה לפועל (תיקון - ביטול הגבלת רישיון נהיגה), התש""ף-2020")</f>
        <v>23912</v>
      </c>
      <c r="E12390" t="s">
        <v>23912</v>
      </c>
      <c r="F12390" t="s">
        <v>23913</v>
      </c>
      <c r="G12390" t="s">
        <v>14</v>
      </c>
      <c r="H12390">
             </c>
      <c r="I12390" t="s">
        <v>14</v>
      </c>
      <c r="J12390" t="s">
        <v>99</v>
      </c>
      <c r="K12390" t="s">
        <v>27</v>
      </c>
      <c r="L12390" t="s">
        <v>20</v>
      </c>
      <c r="M12390" t="s">
        <v>23907</v>
      </c>
      <c r="N12390" t="s">
        <v>14</v>
      </c>
    </row>
    <row r="12391" x14ac:dyDescent="0.25">
      <c r="A12391" t="n">
        <v>23</v>
      </c>
      <c r="B12391" t="s">
        <v>14</v>
      </c>
      <c r="C12391" t="s">
        <v>22</v>
      </c>
      <c r="D12391" s="2" t="s">
        <f>=HYPERLINK("https://main.knesset.gov.il/APPS/legislation/main/bills/2085730", "הצעת חוק ההוצאה לפועל (תיקון - ביטול הגבלת רישיון נהיגה), התש""ף-2020")</f>
        <v>23912</v>
      </c>
      <c r="E12391" t="s">
        <v>23912</v>
      </c>
      <c r="F12391" t="s">
        <v>23914</v>
      </c>
      <c r="G12391" t="s">
        <v>14</v>
      </c>
      <c r="H12391">
             </c>
      <c r="I12391" t="s">
        <v>14</v>
      </c>
      <c r="J12391" t="s">
        <v>99</v>
      </c>
      <c r="K12391" t="s">
        <v>27</v>
      </c>
      <c r="L12391" t="s">
        <v>20</v>
      </c>
      <c r="M12391" t="s">
        <v>23907</v>
      </c>
      <c r="N12391" t="s">
        <v>14</v>
      </c>
    </row>
    <row r="12392" x14ac:dyDescent="0.25">
      <c r="A12392" t="n">
        <v>23</v>
      </c>
      <c r="B12392" t="s">
        <v>14</v>
      </c>
      <c r="C12392" t="s">
        <v>22</v>
      </c>
      <c r="D12392" s="2" t="s">
        <f>=HYPERLINK("https://main.knesset.gov.il/APPS/legislation/main/bills/2143677", "חוק-יסוד: הכנסת (תיקון מס' 50 - הוראת שעה) ")</f>
        <v>23915</v>
      </c>
      <c r="E12392" t="s">
        <v>23915</v>
      </c>
      <c r="F12392" t="s">
        <v>23916</v>
      </c>
      <c r="G12392" t="s">
        <v>23917</v>
      </c>
      <c r="H12392" t="n">
        <v>2845</v>
      </c>
      <c r="I12392" t="s">
        <v>14</v>
      </c>
      <c r="J12392" t="s">
        <v>91</v>
      </c>
      <c r="K12392" t="s">
        <v>85</v>
      </c>
      <c r="L12392" t="s">
        <v>20</v>
      </c>
      <c r="M12392" t="s">
        <v>23918</v>
      </c>
      <c r="N12392" t="s">
        <v>23919</v>
      </c>
    </row>
    <row r="12393" x14ac:dyDescent="0.25">
      <c r="A12393" t="n">
        <v>23</v>
      </c>
      <c r="B12393" t="s">
        <v>14</v>
      </c>
      <c r="C12393" t="s">
        <v>22</v>
      </c>
      <c r="D12393" s="2" t="s">
        <f>=HYPERLINK("https://main.knesset.gov.il/APPS/legislation/main/bills/2085992", "חוק שכר שווה לעובדת ולעובד (תיקון מס' 6), התש""ף-2020")</f>
        <v>23920</v>
      </c>
      <c r="E12393" t="s">
        <v>23920</v>
      </c>
      <c r="F12393" t="s">
        <v>23921</v>
      </c>
      <c r="G12393" t="s">
        <v>23922</v>
      </c>
      <c r="H12393" t="n">
        <v>2846</v>
      </c>
      <c r="I12393" t="s">
        <v>14</v>
      </c>
      <c r="J12393" t="s">
        <v>91</v>
      </c>
      <c r="K12393" t="s">
        <v>15147</v>
      </c>
      <c r="L12393" t="s">
        <v>20</v>
      </c>
      <c r="M12393" t="s">
        <v>23918</v>
      </c>
      <c r="N12393" t="s">
        <v>23923</v>
      </c>
    </row>
    <row r="12394" x14ac:dyDescent="0.25">
      <c r="A12394" t="n">
        <v>23</v>
      </c>
      <c r="B12394" t="s">
        <v>14</v>
      </c>
      <c r="C12394" t="s">
        <v>22</v>
      </c>
      <c r="D12394" s="2" t="s">
        <f>=HYPERLINK("https://main.knesset.gov.il/APPS/legislation/main/bills/2144550", "הצעת חוק לתיקון פקודת המשטרה (רישוי הפגנות), התש""ף-2020")</f>
        <v>23924</v>
      </c>
      <c r="E12394" t="s">
        <v>23924</v>
      </c>
      <c r="F12394" t="s">
        <v>23925</v>
      </c>
      <c r="G12394" t="s">
        <v>14</v>
      </c>
      <c r="H12394">
             </c>
      <c r="I12394" t="s">
        <v>14</v>
      </c>
      <c r="J12394" t="s">
        <v>141</v>
      </c>
      <c r="K12394" t="s">
        <v>14</v>
      </c>
      <c r="L12394" t="s">
        <v>20</v>
      </c>
      <c r="M12394" t="s">
        <v>23918</v>
      </c>
      <c r="N12394" t="s">
        <v>14</v>
      </c>
    </row>
    <row r="12395" x14ac:dyDescent="0.25">
      <c r="A12395" t="n">
        <v>23</v>
      </c>
      <c r="B12395" t="s">
        <v>14</v>
      </c>
      <c r="C12395" t="s">
        <v>22</v>
      </c>
      <c r="D12395" s="2" t="s">
        <f>=HYPERLINK("https://main.knesset.gov.il/APPS/legislation/main/bills/2142908", "הצעת חוק הגנת הצרכן (תיקון - תווי קנייה בעסקת מכר מרחוק והארכת תוקף תווי קנייה), התש""ף-2020")</f>
        <v>23926</v>
      </c>
      <c r="E12395" t="s">
        <v>23926</v>
      </c>
      <c r="F12395" t="s">
        <v>23927</v>
      </c>
      <c r="G12395" t="s">
        <v>14</v>
      </c>
      <c r="H12395">
             </c>
      <c r="I12395" t="s">
        <v>14</v>
      </c>
      <c r="J12395" t="s">
        <v>141</v>
      </c>
      <c r="K12395" t="s">
        <v>14</v>
      </c>
      <c r="L12395" t="s">
        <v>20</v>
      </c>
      <c r="M12395" t="s">
        <v>23918</v>
      </c>
      <c r="N12395" t="s">
        <v>14</v>
      </c>
    </row>
    <row r="12396" x14ac:dyDescent="0.25">
      <c r="A12396" t="n">
        <v>23</v>
      </c>
      <c r="B12396" t="s">
        <v>14</v>
      </c>
      <c r="C12396" t="s">
        <v>22</v>
      </c>
      <c r="D12396" s="2" t="s">
        <f>=HYPERLINK("https://main.knesset.gov.il/APPS/legislation/main/bills/2144037", "הצעת חוק יישוב סכסוכי עבודה (תיקון - הוספת שירות לשינוע מזומנים ומעות להגדרה ""שירות ציבורי""), התש""ף-2020")</f>
        <v>23928</v>
      </c>
      <c r="E12396" t="s">
        <v>23928</v>
      </c>
      <c r="F12396" t="s">
        <v>23929</v>
      </c>
      <c r="G12396" t="s">
        <v>14</v>
      </c>
      <c r="H12396">
             </c>
      <c r="I12396" t="s">
        <v>14</v>
      </c>
      <c r="J12396" t="s">
        <v>141</v>
      </c>
      <c r="K12396" t="s">
        <v>14</v>
      </c>
      <c r="L12396" t="s">
        <v>20</v>
      </c>
      <c r="M12396" t="s">
        <v>23918</v>
      </c>
      <c r="N12396" t="s">
        <v>14</v>
      </c>
    </row>
    <row r="12397" x14ac:dyDescent="0.25">
      <c r="A12397" t="n">
        <v>23</v>
      </c>
      <c r="B12397" t="s">
        <v>14</v>
      </c>
      <c r="C12397" t="s">
        <v>22</v>
      </c>
      <c r="D12397" s="2" t="s">
        <f>=HYPERLINK("https://main.knesset.gov.il/APPS/legislation/main/bills/2141365", "הצעת חוק פיצוי לנפגעי פוליו (תיקון - הרחבת הזכאות לחולים שנותחו לפני שנת 1980), התש""ף-2020")</f>
        <v>23930</v>
      </c>
      <c r="E12397" t="s">
        <v>23930</v>
      </c>
      <c r="F12397" t="s">
        <v>23931</v>
      </c>
      <c r="G12397" t="s">
        <v>14</v>
      </c>
      <c r="H12397">
             </c>
      <c r="I12397" t="s">
        <v>14</v>
      </c>
      <c r="J12397" t="s">
        <v>141</v>
      </c>
      <c r="K12397" t="s">
        <v>14</v>
      </c>
      <c r="L12397" t="s">
        <v>20</v>
      </c>
      <c r="M12397" t="s">
        <v>23918</v>
      </c>
      <c r="N12397" t="s">
        <v>14</v>
      </c>
    </row>
    <row r="12398" x14ac:dyDescent="0.25">
      <c r="A12398" t="n">
        <v>23</v>
      </c>
      <c r="B12398" t="s">
        <v>14</v>
      </c>
      <c r="C12398" t="s">
        <v>22</v>
      </c>
      <c r="D12398" s="2" t="s">
        <f>=HYPERLINK("https://main.knesset.gov.il/APPS/legislation/main/bills/2144327", "הצעת חוק החברות הממשלתיות (תיקון - קווי פעולה של חברה ממשלתית), התש""ף-2020")</f>
        <v>23932</v>
      </c>
      <c r="E12398" t="s">
        <v>23932</v>
      </c>
      <c r="F12398" t="s">
        <v>23933</v>
      </c>
      <c r="G12398" t="s">
        <v>14</v>
      </c>
      <c r="H12398">
             </c>
      <c r="I12398" t="s">
        <v>14</v>
      </c>
      <c r="J12398" t="s">
        <v>141</v>
      </c>
      <c r="K12398" t="s">
        <v>14</v>
      </c>
      <c r="L12398" t="s">
        <v>20</v>
      </c>
      <c r="M12398" t="s">
        <v>23918</v>
      </c>
      <c r="N12398" t="s">
        <v>14</v>
      </c>
    </row>
    <row r="12399" x14ac:dyDescent="0.25">
      <c r="A12399" t="n">
        <v>23</v>
      </c>
      <c r="B12399" t="s">
        <v>14</v>
      </c>
      <c r="C12399" t="s">
        <v>22</v>
      </c>
      <c r="D12399" s="2" t="s">
        <f>=HYPERLINK("https://main.knesset.gov.il/APPS/legislation/main/bills/2143041", "הצעת חוק בתי המשפט (תיקון - מחלקות לעבירות מין), התש""ף-2020")</f>
        <v>23934</v>
      </c>
      <c r="E12399" t="s">
        <v>23934</v>
      </c>
      <c r="F12399" t="s">
        <v>23935</v>
      </c>
      <c r="G12399" t="s">
        <v>14</v>
      </c>
      <c r="H12399">
             </c>
      <c r="I12399" t="s">
        <v>14</v>
      </c>
      <c r="J12399" t="s">
        <v>141</v>
      </c>
      <c r="K12399" t="s">
        <v>14</v>
      </c>
      <c r="L12399" t="s">
        <v>20</v>
      </c>
      <c r="M12399" t="s">
        <v>23918</v>
      </c>
      <c r="N12399" t="s">
        <v>14</v>
      </c>
    </row>
    <row r="12400" x14ac:dyDescent="0.25">
      <c r="A12400" t="n">
        <v>23</v>
      </c>
      <c r="B12400" t="s">
        <v>14</v>
      </c>
      <c r="C12400" t="s">
        <v>22</v>
      </c>
      <c r="D12400" s="2" t="s">
        <f>=HYPERLINK("https://main.knesset.gov.il/APPS/legislation/main/bills/2143397", "הצעת חוק הדיינים (תיקון - כשירות למנהל בתי הדין הרבניים), התש""ף-2020")</f>
        <v>23936</v>
      </c>
      <c r="E12400" t="s">
        <v>23936</v>
      </c>
      <c r="F12400" t="s">
        <v>23937</v>
      </c>
      <c r="G12400" t="s">
        <v>14</v>
      </c>
      <c r="H12400">
             </c>
      <c r="I12400" t="s">
        <v>14</v>
      </c>
      <c r="J12400" t="s">
        <v>141</v>
      </c>
      <c r="K12400" t="s">
        <v>14</v>
      </c>
      <c r="L12400" t="s">
        <v>20</v>
      </c>
      <c r="M12400" t="s">
        <v>23918</v>
      </c>
      <c r="N12400" t="s">
        <v>14</v>
      </c>
    </row>
    <row r="12401" x14ac:dyDescent="0.25">
      <c r="A12401" t="n">
        <v>23</v>
      </c>
      <c r="B12401" t="s">
        <v>14</v>
      </c>
      <c r="C12401" t="s">
        <v>22</v>
      </c>
      <c r="D12401" s="2" t="s">
        <f>=HYPERLINK("https://main.knesset.gov.il/APPS/legislation/main/bills/2141790", "הצעת חוק החברות (תיקון - ייצוג הולם לאוכלוסייה הערבית בדירקטוריונים של חברות ציבוריות), התש""ף-2020")</f>
        <v>23938</v>
      </c>
      <c r="E12401" t="s">
        <v>23938</v>
      </c>
      <c r="F12401" t="s">
        <v>23939</v>
      </c>
      <c r="G12401" t="s">
        <v>14</v>
      </c>
      <c r="H12401">
             </c>
      <c r="I12401" t="s">
        <v>14</v>
      </c>
      <c r="J12401" t="s">
        <v>141</v>
      </c>
      <c r="K12401" t="s">
        <v>14</v>
      </c>
      <c r="L12401" t="s">
        <v>20</v>
      </c>
      <c r="M12401" t="s">
        <v>23918</v>
      </c>
      <c r="N12401" t="s">
        <v>14</v>
      </c>
    </row>
    <row r="12402" x14ac:dyDescent="0.25">
      <c r="A12402" t="n">
        <v>23</v>
      </c>
      <c r="B12402" t="s">
        <v>14</v>
      </c>
      <c r="C12402" t="s">
        <v>22</v>
      </c>
      <c r="D12402" s="2" t="s">
        <f>=HYPERLINK("https://main.knesset.gov.il/APPS/legislation/main/bills/2144036", "הצעת חוק יישום תכנית ההתנתקות (תיקון - ביטול סעיפי הפינוי ושינוי שם החוק), התש""ף-2020")</f>
        <v>23940</v>
      </c>
      <c r="E12402" t="s">
        <v>23940</v>
      </c>
      <c r="F12402" t="s">
        <v>23941</v>
      </c>
      <c r="G12402" t="s">
        <v>14</v>
      </c>
      <c r="H12402">
             </c>
      <c r="I12402" t="s">
        <v>14</v>
      </c>
      <c r="J12402" t="s">
        <v>141</v>
      </c>
      <c r="K12402" t="s">
        <v>14</v>
      </c>
      <c r="L12402" t="s">
        <v>20</v>
      </c>
      <c r="M12402" t="s">
        <v>23918</v>
      </c>
      <c r="N12402" t="s">
        <v>14</v>
      </c>
    </row>
    <row r="12403" x14ac:dyDescent="0.25">
      <c r="A12403" t="n">
        <v>23</v>
      </c>
      <c r="B12403" t="s">
        <v>14</v>
      </c>
      <c r="C12403" t="s">
        <v>22</v>
      </c>
      <c r="D12403" s="2" t="s">
        <f>=HYPERLINK("https://main.knesset.gov.il/APPS/legislation/main/bills/2144325", "הצעת חוק שיפוט בתי דין רבניים (נישואין וגירושין) (תיקון - מינוי נציגות ציבור), התש""ף-2020")</f>
        <v>23942</v>
      </c>
      <c r="E12403" t="s">
        <v>23942</v>
      </c>
      <c r="F12403" t="s">
        <v>23943</v>
      </c>
      <c r="G12403" t="s">
        <v>14</v>
      </c>
      <c r="H12403">
             </c>
      <c r="I12403" t="s">
        <v>14</v>
      </c>
      <c r="J12403" t="s">
        <v>141</v>
      </c>
      <c r="K12403" t="s">
        <v>14</v>
      </c>
      <c r="L12403" t="s">
        <v>20</v>
      </c>
      <c r="M12403" t="s">
        <v>23918</v>
      </c>
      <c r="N12403" t="s">
        <v>14</v>
      </c>
    </row>
    <row r="12404" x14ac:dyDescent="0.25">
      <c r="A12404" t="n">
        <v>23</v>
      </c>
      <c r="B12404" t="s">
        <v>14</v>
      </c>
      <c r="C12404" t="s">
        <v>22</v>
      </c>
      <c r="D12404" s="2" t="s">
        <f>=HYPERLINK("https://main.knesset.gov.il/APPS/legislation/main/bills/2144159", "הצעת חוק-יסוד: השפיטה (תיקון - מינוי חברי הכנסת לוועדה לבחירת שופטים)")</f>
        <v>20865</v>
      </c>
      <c r="E12404" t="s">
        <v>20865</v>
      </c>
      <c r="F12404" t="s">
        <v>23944</v>
      </c>
      <c r="G12404" t="s">
        <v>14</v>
      </c>
      <c r="H12404">
             </c>
      <c r="I12404" t="s">
        <v>14</v>
      </c>
      <c r="J12404" t="s">
        <v>141</v>
      </c>
      <c r="K12404" t="s">
        <v>14</v>
      </c>
      <c r="L12404" t="s">
        <v>20</v>
      </c>
      <c r="M12404" t="s">
        <v>23918</v>
      </c>
      <c r="N12404" t="s">
        <v>14</v>
      </c>
    </row>
    <row r="12405" x14ac:dyDescent="0.25">
      <c r="A12405" t="n">
        <v>23</v>
      </c>
      <c r="B12405" t="s">
        <v>14</v>
      </c>
      <c r="C12405" t="s">
        <v>22</v>
      </c>
      <c r="D12405" s="2" t="s">
        <f>=HYPERLINK("https://main.knesset.gov.il/APPS/legislation/main/bills/2088364", "הצעת חוק דמי מחלה (תיקון - הוספת ימי בידוד בעקבות נגיף הקורונה לימי המחלה) (הוראת שעה), התש""ף-2020")</f>
        <v>23945</v>
      </c>
      <c r="E12405" t="s">
        <v>23945</v>
      </c>
      <c r="F12405" t="s">
        <v>23946</v>
      </c>
      <c r="G12405" t="s">
        <v>14</v>
      </c>
      <c r="H12405">
             </c>
      <c r="I12405" t="s">
        <v>14</v>
      </c>
      <c r="J12405" t="s">
        <v>141</v>
      </c>
      <c r="K12405" t="s">
        <v>14</v>
      </c>
      <c r="L12405" t="s">
        <v>20</v>
      </c>
      <c r="M12405" t="s">
        <v>23918</v>
      </c>
      <c r="N12405" t="s">
        <v>14</v>
      </c>
    </row>
    <row r="12406" x14ac:dyDescent="0.25">
      <c r="A12406" t="n">
        <v>23</v>
      </c>
      <c r="B12406" t="s">
        <v>14</v>
      </c>
      <c r="C12406" t="s">
        <v>22</v>
      </c>
      <c r="D12406" s="2" t="s">
        <f>=HYPERLINK("https://main.knesset.gov.il/APPS/legislation/main/bills/2140235", "הצעת חוק תיעוד הדבקה של כתבי בית דין (תיקוני חקיקה), התש""ף-2020")</f>
        <v>23947</v>
      </c>
      <c r="E12406" t="s">
        <v>23947</v>
      </c>
      <c r="F12406" t="s">
        <v>23948</v>
      </c>
      <c r="G12406" t="s">
        <v>14</v>
      </c>
      <c r="H12406">
             </c>
      <c r="I12406" t="s">
        <v>14</v>
      </c>
      <c r="J12406" t="s">
        <v>141</v>
      </c>
      <c r="K12406" t="s">
        <v>14</v>
      </c>
      <c r="L12406" t="s">
        <v>20</v>
      </c>
      <c r="M12406" t="s">
        <v>23918</v>
      </c>
      <c r="N12406" t="s">
        <v>14</v>
      </c>
    </row>
    <row r="12407" x14ac:dyDescent="0.25">
      <c r="A12407" t="n">
        <v>23</v>
      </c>
      <c r="B12407" t="s">
        <v>14</v>
      </c>
      <c r="C12407" t="s">
        <v>22</v>
      </c>
      <c r="D12407" s="2" t="s">
        <f>=HYPERLINK("https://main.knesset.gov.il/APPS/legislation/main/bills/2143474", "הצעת חוק הרבנות הראשית לישראל (תיקון - ייצוג הולם לנשים בהרכב האסיפה הבוחרת), התש""ף-2020")</f>
        <v>23949</v>
      </c>
      <c r="E12407" t="s">
        <v>23949</v>
      </c>
      <c r="F12407" t="s">
        <v>23950</v>
      </c>
      <c r="G12407" t="s">
        <v>14</v>
      </c>
      <c r="H12407">
             </c>
      <c r="I12407" t="s">
        <v>14</v>
      </c>
      <c r="J12407" t="s">
        <v>141</v>
      </c>
      <c r="K12407" t="s">
        <v>14</v>
      </c>
      <c r="L12407" t="s">
        <v>20</v>
      </c>
      <c r="M12407" t="s">
        <v>23918</v>
      </c>
      <c r="N12407" t="s">
        <v>14</v>
      </c>
    </row>
    <row r="12408" x14ac:dyDescent="0.25">
      <c r="A12408" t="n">
        <v>23</v>
      </c>
      <c r="B12408" t="s">
        <v>14</v>
      </c>
      <c r="C12408" t="s">
        <v>22</v>
      </c>
      <c r="D12408" s="2" t="s">
        <f>=HYPERLINK("https://main.knesset.gov.il/APPS/legislation/main/bills/2143039", "הצעת חוק העונשין (תיקון - חילוט רווחי סרסרות), התש""ף-2020")</f>
        <v>23951</v>
      </c>
      <c r="E12408" t="s">
        <v>23951</v>
      </c>
      <c r="F12408" t="s">
        <v>23952</v>
      </c>
      <c r="G12408" t="s">
        <v>14</v>
      </c>
      <c r="H12408">
             </c>
      <c r="I12408" t="s">
        <v>14</v>
      </c>
      <c r="J12408" t="s">
        <v>141</v>
      </c>
      <c r="K12408" t="s">
        <v>14</v>
      </c>
      <c r="L12408" t="s">
        <v>20</v>
      </c>
      <c r="M12408" t="s">
        <v>23918</v>
      </c>
      <c r="N12408" t="s">
        <v>14</v>
      </c>
    </row>
    <row r="12409" x14ac:dyDescent="0.25">
      <c r="A12409" t="n">
        <v>23</v>
      </c>
      <c r="B12409" t="s">
        <v>14</v>
      </c>
      <c r="C12409" t="s">
        <v>22</v>
      </c>
      <c r="D12409" s="2" t="s">
        <f>=HYPERLINK("https://main.knesset.gov.il/APPS/legislation/main/bills/2144361", "הצעת חוק-יסוד: הממשלה (תיקון - סייג להטלת התפקיד להרכיב ממשלה)")</f>
        <v>13344</v>
      </c>
      <c r="E12409" t="s">
        <v>13344</v>
      </c>
      <c r="F12409" t="s">
        <v>23953</v>
      </c>
      <c r="G12409" t="s">
        <v>14</v>
      </c>
      <c r="H12409">
             </c>
      <c r="I12409" t="s">
        <v>14</v>
      </c>
      <c r="J12409" t="s">
        <v>141</v>
      </c>
      <c r="K12409" t="s">
        <v>14</v>
      </c>
      <c r="L12409" t="s">
        <v>20</v>
      </c>
      <c r="M12409" t="s">
        <v>23918</v>
      </c>
      <c r="N12409" t="s">
        <v>14</v>
      </c>
    </row>
    <row r="12410" x14ac:dyDescent="0.25">
      <c r="A12410" t="n">
        <v>23</v>
      </c>
      <c r="B12410" t="s">
        <v>14</v>
      </c>
      <c r="C12410" t="s">
        <v>22</v>
      </c>
      <c r="D12410" s="2" t="s">
        <f>=HYPERLINK("https://main.knesset.gov.il/APPS/legislation/main/bills/2144010", "הצעת חוק תמיכה במימון פעילות ארגון נכי צה""ל ובתי הלוחם, התש""ף-2020")</f>
        <v>23954</v>
      </c>
      <c r="E12410" t="s">
        <v>23954</v>
      </c>
      <c r="F12410" t="s">
        <v>23955</v>
      </c>
      <c r="G12410" t="s">
        <v>14</v>
      </c>
      <c r="H12410">
             </c>
      <c r="I12410" t="s">
        <v>14</v>
      </c>
      <c r="J12410" t="s">
        <v>141</v>
      </c>
      <c r="K12410" t="s">
        <v>14</v>
      </c>
      <c r="L12410" t="s">
        <v>20</v>
      </c>
      <c r="M12410" t="s">
        <v>23918</v>
      </c>
      <c r="N12410" t="s">
        <v>14</v>
      </c>
    </row>
    <row r="12411" x14ac:dyDescent="0.25">
      <c r="A12411" t="n">
        <v>23</v>
      </c>
      <c r="B12411" t="s">
        <v>14</v>
      </c>
      <c r="C12411" t="s">
        <v>22</v>
      </c>
      <c r="D12411" s="2" t="s">
        <f>=HYPERLINK("https://main.knesset.gov.il/APPS/legislation/main/bills/2087859", "הצעת חוק הכרה באחים שכולים ובזכויותיהם, התש""ף-2020")</f>
        <v>23956</v>
      </c>
      <c r="E12411" t="s">
        <v>23956</v>
      </c>
      <c r="F12411" t="s">
        <v>23957</v>
      </c>
      <c r="G12411" t="s">
        <v>14</v>
      </c>
      <c r="H12411">
             </c>
      <c r="I12411" t="s">
        <v>14</v>
      </c>
      <c r="J12411" t="s">
        <v>141</v>
      </c>
      <c r="K12411" t="s">
        <v>14</v>
      </c>
      <c r="L12411" t="s">
        <v>20</v>
      </c>
      <c r="M12411" t="s">
        <v>23918</v>
      </c>
      <c r="N12411" t="s">
        <v>14</v>
      </c>
    </row>
    <row r="12412" x14ac:dyDescent="0.25">
      <c r="A12412" t="n">
        <v>23</v>
      </c>
      <c r="B12412" t="s">
        <v>14</v>
      </c>
      <c r="C12412" t="s">
        <v>22</v>
      </c>
      <c r="D12412" s="2" t="s">
        <f>=HYPERLINK("https://main.knesset.gov.il/APPS/legislation/main/bills/2144420", "הצעת חוק השתלת אברים (תיקון - שינוי ברירת המחדל), התש""ף-2020")</f>
        <v>23958</v>
      </c>
      <c r="E12412" t="s">
        <v>23958</v>
      </c>
      <c r="F12412" t="s">
        <v>23959</v>
      </c>
      <c r="G12412" t="s">
        <v>14</v>
      </c>
      <c r="H12412">
             </c>
      <c r="I12412" t="s">
        <v>14</v>
      </c>
      <c r="J12412" t="s">
        <v>141</v>
      </c>
      <c r="K12412" t="s">
        <v>14</v>
      </c>
      <c r="L12412" t="s">
        <v>20</v>
      </c>
      <c r="M12412" t="s">
        <v>23918</v>
      </c>
      <c r="N12412" t="s">
        <v>14</v>
      </c>
    </row>
    <row r="12413" x14ac:dyDescent="0.25">
      <c r="A12413" t="n">
        <v>23</v>
      </c>
      <c r="B12413" t="s">
        <v>14</v>
      </c>
      <c r="C12413" t="s">
        <v>22</v>
      </c>
      <c r="D12413" s="2" t="s">
        <f>=HYPERLINK("https://main.knesset.gov.il/APPS/legislation/main/bills/2142517", "הצעת חוק הטבות מס ליישוב מעורב, התש""ף-2020")</f>
        <v>23960</v>
      </c>
      <c r="E12413" t="s">
        <v>23960</v>
      </c>
      <c r="F12413" t="s">
        <v>23961</v>
      </c>
      <c r="G12413" t="s">
        <v>14</v>
      </c>
      <c r="H12413">
             </c>
      <c r="I12413" t="s">
        <v>14</v>
      </c>
      <c r="J12413" t="s">
        <v>141</v>
      </c>
      <c r="K12413" t="s">
        <v>14</v>
      </c>
      <c r="L12413" t="s">
        <v>20</v>
      </c>
      <c r="M12413" t="s">
        <v>23918</v>
      </c>
      <c r="N12413" t="s">
        <v>14</v>
      </c>
    </row>
    <row r="12414" x14ac:dyDescent="0.25">
      <c r="A12414" t="n">
        <v>23</v>
      </c>
      <c r="B12414" t="s">
        <v>14</v>
      </c>
      <c r="C12414" t="s">
        <v>22</v>
      </c>
      <c r="D12414" s="2" t="s">
        <f>=HYPERLINK("https://main.knesset.gov.il/APPS/legislation/main/bills/2141445", "הצעת חוק להפסקת פעילות סוכנות הסעד והתעסוקה של האו""ם לפליטי פלסטין במזרח הקרוב (אונר""א), התש""ף-2020")</f>
        <v>23962</v>
      </c>
      <c r="E12414" t="s">
        <v>23962</v>
      </c>
      <c r="F12414" t="s">
        <v>23963</v>
      </c>
      <c r="G12414" t="s">
        <v>14</v>
      </c>
      <c r="H12414">
             </c>
      <c r="I12414" t="s">
        <v>14</v>
      </c>
      <c r="J12414" t="s">
        <v>141</v>
      </c>
      <c r="K12414" t="s">
        <v>14</v>
      </c>
      <c r="L12414" t="s">
        <v>20</v>
      </c>
      <c r="M12414" t="s">
        <v>23918</v>
      </c>
      <c r="N12414" t="s">
        <v>14</v>
      </c>
    </row>
    <row r="12415" x14ac:dyDescent="0.25">
      <c r="A12415" t="n">
        <v>23</v>
      </c>
      <c r="B12415" t="s">
        <v>14</v>
      </c>
      <c r="C12415" t="s">
        <v>22</v>
      </c>
      <c r="D12415" s="2" t="s">
        <f>=HYPERLINK("https://main.knesset.gov.il/APPS/legislation/main/bills/2142984", "הצעת חוק המים (תיקון - הוספת נציג ציבור לעניין איכות הסביבה למועצת רשות המים), התש""ף-2020")</f>
        <v>23964</v>
      </c>
      <c r="E12415" t="s">
        <v>23964</v>
      </c>
      <c r="F12415" t="s">
        <v>23965</v>
      </c>
      <c r="G12415" t="s">
        <v>14</v>
      </c>
      <c r="H12415">
             </c>
      <c r="I12415" t="s">
        <v>14</v>
      </c>
      <c r="J12415" t="s">
        <v>141</v>
      </c>
      <c r="K12415" t="s">
        <v>14</v>
      </c>
      <c r="L12415" t="s">
        <v>20</v>
      </c>
      <c r="M12415" t="s">
        <v>23918</v>
      </c>
      <c r="N12415" t="s">
        <v>14</v>
      </c>
    </row>
    <row r="12416" x14ac:dyDescent="0.25">
      <c r="A12416" t="n">
        <v>23</v>
      </c>
      <c r="B12416" t="s">
        <v>14</v>
      </c>
      <c r="C12416" t="s">
        <v>22</v>
      </c>
      <c r="D12416" s="2" t="s">
        <f>=HYPERLINK("https://main.knesset.gov.il/APPS/legislation/main/bills/2139763", "הצעת חוק רשות מקרקעי ישראל (תיקון - הקצאת קרקעות בנגב ובגליל לחיילים משוחררים), התש""ף-2020")</f>
        <v>23966</v>
      </c>
      <c r="E12416" t="s">
        <v>23966</v>
      </c>
      <c r="F12416" t="s">
        <v>23967</v>
      </c>
      <c r="G12416" t="s">
        <v>14</v>
      </c>
      <c r="H12416">
             </c>
      <c r="I12416" t="s">
        <v>14</v>
      </c>
      <c r="J12416" t="s">
        <v>141</v>
      </c>
      <c r="K12416" t="s">
        <v>14</v>
      </c>
      <c r="L12416" t="s">
        <v>20</v>
      </c>
      <c r="M12416" t="s">
        <v>23918</v>
      </c>
      <c r="N12416" t="s">
        <v>14</v>
      </c>
    </row>
    <row r="12417" x14ac:dyDescent="0.25">
      <c r="A12417" t="n">
        <v>23</v>
      </c>
      <c r="B12417" t="s">
        <v>14</v>
      </c>
      <c r="C12417" t="s">
        <v>22</v>
      </c>
      <c r="D12417" s="2" t="s">
        <f>=HYPERLINK("https://main.knesset.gov.il/APPS/legislation/main/bills/2143198", "הצעת חוק איסור ניתוק משירותי חשמל, מים וגז (הוראת שעה - נגיף הקורונה החדש) (תיקוני חקיקה), התש""ף-2020")</f>
        <v>23968</v>
      </c>
      <c r="E12417" t="s">
        <v>23968</v>
      </c>
      <c r="F12417" t="s">
        <v>23969</v>
      </c>
      <c r="G12417" t="s">
        <v>14</v>
      </c>
      <c r="H12417">
             </c>
      <c r="I12417" t="s">
        <v>14</v>
      </c>
      <c r="J12417" t="s">
        <v>141</v>
      </c>
      <c r="K12417" t="s">
        <v>14</v>
      </c>
      <c r="L12417" t="s">
        <v>20</v>
      </c>
      <c r="M12417" t="s">
        <v>23918</v>
      </c>
      <c r="N12417" t="s">
        <v>14</v>
      </c>
    </row>
    <row r="12418" x14ac:dyDescent="0.25">
      <c r="A12418" t="n">
        <v>23</v>
      </c>
      <c r="B12418" t="s">
        <v>14</v>
      </c>
      <c r="C12418" t="s">
        <v>22</v>
      </c>
      <c r="D12418" s="2" t="s">
        <f>=HYPERLINK("https://main.knesset.gov.il/APPS/legislation/main/bills/2143020", "הצעת חוק איסור הפליה במוצרים, בשירותים ובכניסה למקומות בידור ולמקומות ציבוריים (תיקון - איסור הפרדה), התש""ף-2020")</f>
        <v>23970</v>
      </c>
      <c r="E12418" t="s">
        <v>23970</v>
      </c>
      <c r="F12418" t="s">
        <v>23971</v>
      </c>
      <c r="G12418" t="s">
        <v>14</v>
      </c>
      <c r="H12418">
             </c>
      <c r="I12418" t="s">
        <v>14</v>
      </c>
      <c r="J12418" t="s">
        <v>141</v>
      </c>
      <c r="K12418" t="s">
        <v>14</v>
      </c>
      <c r="L12418" t="s">
        <v>20</v>
      </c>
      <c r="M12418" t="s">
        <v>23918</v>
      </c>
      <c r="N12418" t="s">
        <v>14</v>
      </c>
    </row>
    <row r="12419" x14ac:dyDescent="0.25">
      <c r="A12419" t="n">
        <v>23</v>
      </c>
      <c r="B12419" t="s">
        <v>14</v>
      </c>
      <c r="C12419" t="s">
        <v>22</v>
      </c>
      <c r="D12419" s="2" t="s">
        <f>=HYPERLINK("https://main.knesset.gov.il/APPS/legislation/main/bills/2139906", "הצעת חוק תאגידי מים וביוב (תיקון - ביטול החוק והוראות מעבר), התש""ף-2020")</f>
        <v>23972</v>
      </c>
      <c r="E12419" t="s">
        <v>23972</v>
      </c>
      <c r="F12419" t="s">
        <v>23973</v>
      </c>
      <c r="G12419" t="s">
        <v>14</v>
      </c>
      <c r="H12419">
             </c>
      <c r="I12419" t="s">
        <v>14</v>
      </c>
      <c r="J12419" t="s">
        <v>141</v>
      </c>
      <c r="K12419" t="s">
        <v>14</v>
      </c>
      <c r="L12419" t="s">
        <v>20</v>
      </c>
      <c r="M12419" t="s">
        <v>23918</v>
      </c>
      <c r="N12419" t="s">
        <v>14</v>
      </c>
    </row>
    <row r="12420" x14ac:dyDescent="0.25">
      <c r="A12420" t="n">
        <v>23</v>
      </c>
      <c r="B12420" t="s">
        <v>14</v>
      </c>
      <c r="C12420" t="s">
        <v>22</v>
      </c>
      <c r="D12420" s="2" t="s">
        <f>=HYPERLINK("https://main.knesset.gov.il/APPS/legislation/main/bills/2143328", "הצעת חוק לתיקון פקודת הנמלים (פרק הזמן המרבי למתן שירות מקדים לפריקת מטען מאוניות), התש""ף-2020")</f>
        <v>23974</v>
      </c>
      <c r="E12420" t="s">
        <v>23974</v>
      </c>
      <c r="F12420" t="s">
        <v>23975</v>
      </c>
      <c r="G12420" t="s">
        <v>14</v>
      </c>
      <c r="H12420">
             </c>
      <c r="I12420" t="s">
        <v>14</v>
      </c>
      <c r="J12420" t="s">
        <v>141</v>
      </c>
      <c r="K12420" t="s">
        <v>14</v>
      </c>
      <c r="L12420" t="s">
        <v>20</v>
      </c>
      <c r="M12420" t="s">
        <v>23918</v>
      </c>
      <c r="N12420" t="s">
        <v>14</v>
      </c>
    </row>
    <row r="12421" x14ac:dyDescent="0.25">
      <c r="A12421" t="n">
        <v>23</v>
      </c>
      <c r="B12421" t="s">
        <v>14</v>
      </c>
      <c r="C12421" t="s">
        <v>22</v>
      </c>
      <c r="D12421" s="2" t="s">
        <f>=HYPERLINK("https://main.knesset.gov.il/APPS/legislation/main/bills/2143021", "הצעת חוק איסור פרסומת והגבלת השיווק של מוצרי טבק ועישון (תיקון - הגבלת כמויות חומרים רעילים בסיגריות), התש""ף-2020")</f>
        <v>23976</v>
      </c>
      <c r="E12421" t="s">
        <v>23976</v>
      </c>
      <c r="F12421" t="s">
        <v>23977</v>
      </c>
      <c r="G12421" t="s">
        <v>14</v>
      </c>
      <c r="H12421">
             </c>
      <c r="I12421" t="s">
        <v>14</v>
      </c>
      <c r="J12421" t="s">
        <v>141</v>
      </c>
      <c r="K12421" t="s">
        <v>14</v>
      </c>
      <c r="L12421" t="s">
        <v>20</v>
      </c>
      <c r="M12421" t="s">
        <v>23918</v>
      </c>
      <c r="N12421" t="s">
        <v>14</v>
      </c>
    </row>
    <row r="12422" x14ac:dyDescent="0.25">
      <c r="A12422" t="n">
        <v>23</v>
      </c>
      <c r="B12422" t="s">
        <v>14</v>
      </c>
      <c r="C12422" t="s">
        <v>22</v>
      </c>
      <c r="D12422" s="2" t="s">
        <f>=HYPERLINK("https://main.knesset.gov.il/APPS/legislation/main/bills/2143024", "הצעת חוק איסור הפליה במוצרים, בשירותים ובכניסה למקומות בידור ולמקומות ציבוריים (תיקון - איסור הפליה במוסדות חינוך, החלת אחריות אישית על מנהלי בתי ספר והגדלת סכום הפיצוי ללא הוכחת נזק), התש""ף-2020")</f>
        <v>23978</v>
      </c>
      <c r="E12422" t="s">
        <v>23978</v>
      </c>
      <c r="F12422" t="s">
        <v>23979</v>
      </c>
      <c r="G12422" t="s">
        <v>14</v>
      </c>
      <c r="H12422">
             </c>
      <c r="I12422" t="s">
        <v>14</v>
      </c>
      <c r="J12422" t="s">
        <v>141</v>
      </c>
      <c r="K12422" t="s">
        <v>14</v>
      </c>
      <c r="L12422" t="s">
        <v>20</v>
      </c>
      <c r="M12422" t="s">
        <v>23918</v>
      </c>
      <c r="N12422" t="s">
        <v>14</v>
      </c>
    </row>
    <row r="12423" x14ac:dyDescent="0.25">
      <c r="A12423" t="n">
        <v>23</v>
      </c>
      <c r="B12423" t="s">
        <v>14</v>
      </c>
      <c r="C12423" t="s">
        <v>22</v>
      </c>
      <c r="D12423" s="2" t="s">
        <f>=HYPERLINK("https://main.knesset.gov.il/APPS/legislation/main/bills/2143326", "הצעת חוק פיצוי עסקים קטנים בשל אירועי איבה מתמשכים או מצב חירום כלכלי, התש""ף-2020")</f>
        <v>23980</v>
      </c>
      <c r="E12423" t="s">
        <v>23980</v>
      </c>
      <c r="F12423" t="s">
        <v>23981</v>
      </c>
      <c r="G12423" t="s">
        <v>14</v>
      </c>
      <c r="H12423">
             </c>
      <c r="I12423" t="s">
        <v>14</v>
      </c>
      <c r="J12423" t="s">
        <v>141</v>
      </c>
      <c r="K12423" t="s">
        <v>14</v>
      </c>
      <c r="L12423" t="s">
        <v>20</v>
      </c>
      <c r="M12423" t="s">
        <v>23918</v>
      </c>
      <c r="N12423" t="s">
        <v>14</v>
      </c>
    </row>
    <row r="12424" x14ac:dyDescent="0.25">
      <c r="A12424" t="n">
        <v>23</v>
      </c>
      <c r="B12424" t="s">
        <v>14</v>
      </c>
      <c r="C12424" t="s">
        <v>22</v>
      </c>
      <c r="D12424" s="2" t="s">
        <f>=HYPERLINK("https://main.knesset.gov.il/APPS/legislation/main/bills/2140239", "הצעת חוק לתיקון פקודת המכס (ביטול חיוב בעד בדיקת טובין), התש""ף-2020")</f>
        <v>23982</v>
      </c>
      <c r="E12424" t="s">
        <v>23982</v>
      </c>
      <c r="F12424" t="s">
        <v>23983</v>
      </c>
      <c r="G12424" t="s">
        <v>14</v>
      </c>
      <c r="H12424">
             </c>
      <c r="I12424" t="s">
        <v>14</v>
      </c>
      <c r="J12424" t="s">
        <v>141</v>
      </c>
      <c r="K12424" t="s">
        <v>14</v>
      </c>
      <c r="L12424" t="s">
        <v>20</v>
      </c>
      <c r="M12424" t="s">
        <v>23918</v>
      </c>
      <c r="N12424" t="s">
        <v>14</v>
      </c>
    </row>
    <row r="12425" x14ac:dyDescent="0.25">
      <c r="A12425" t="n">
        <v>23</v>
      </c>
      <c r="B12425" t="s">
        <v>14</v>
      </c>
      <c r="C12425" t="s">
        <v>22</v>
      </c>
      <c r="D12425" s="2" t="s">
        <f>=HYPERLINK("https://main.knesset.gov.il/APPS/legislation/main/bills/2140126", "הצעת חוק לעידוד מחקר, פיתוח וחדשנות טכנולוגית בתעשייה (תיקון - תקציב הרשות הלאומית לחדשנות טכנולוגית), התש""ף-2020")</f>
        <v>23984</v>
      </c>
      <c r="E12425" t="s">
        <v>23984</v>
      </c>
      <c r="F12425" t="s">
        <v>23985</v>
      </c>
      <c r="G12425" t="s">
        <v>14</v>
      </c>
      <c r="H12425">
             </c>
      <c r="I12425" t="s">
        <v>14</v>
      </c>
      <c r="J12425" t="s">
        <v>141</v>
      </c>
      <c r="K12425" t="s">
        <v>14</v>
      </c>
      <c r="L12425" t="s">
        <v>20</v>
      </c>
      <c r="M12425" t="s">
        <v>23918</v>
      </c>
      <c r="N12425" t="s">
        <v>14</v>
      </c>
    </row>
    <row r="12426" x14ac:dyDescent="0.25">
      <c r="A12426" t="n">
        <v>23</v>
      </c>
      <c r="B12426" t="s">
        <v>14</v>
      </c>
      <c r="C12426" t="s">
        <v>22</v>
      </c>
      <c r="D12426" s="2" t="s">
        <f>=HYPERLINK("https://main.knesset.gov.il/APPS/legislation/main/bills/2141060", "הצעת חוק מס ערך מוסף (תיקון - פטור בעת קניית דירה ראשונה לזוגות צעירים), התש""ף-2020")</f>
        <v>23986</v>
      </c>
      <c r="E12426" t="s">
        <v>23986</v>
      </c>
      <c r="F12426" t="s">
        <v>23987</v>
      </c>
      <c r="G12426" t="s">
        <v>14</v>
      </c>
      <c r="H12426">
             </c>
      <c r="I12426" t="s">
        <v>14</v>
      </c>
      <c r="J12426" t="s">
        <v>141</v>
      </c>
      <c r="K12426" t="s">
        <v>14</v>
      </c>
      <c r="L12426" t="s">
        <v>20</v>
      </c>
      <c r="M12426" t="s">
        <v>23918</v>
      </c>
      <c r="N12426" t="s">
        <v>14</v>
      </c>
    </row>
    <row r="12427" x14ac:dyDescent="0.25">
      <c r="A12427" t="n">
        <v>23</v>
      </c>
      <c r="B12427" t="s">
        <v>14</v>
      </c>
      <c r="C12427" t="s">
        <v>22</v>
      </c>
      <c r="D12427" s="2" t="s">
        <f>=HYPERLINK("https://main.knesset.gov.il/APPS/legislation/main/bills/2139909", "הצעת חוק לתיקון פקודת מס הכנסה (ביטול מס בגין זקיפה סלולרית), התש""ף-2020")</f>
        <v>23988</v>
      </c>
      <c r="E12427" t="s">
        <v>23988</v>
      </c>
      <c r="F12427" t="s">
        <v>23989</v>
      </c>
      <c r="G12427" t="s">
        <v>14</v>
      </c>
      <c r="H12427">
             </c>
      <c r="I12427" t="s">
        <v>14</v>
      </c>
      <c r="J12427" t="s">
        <v>141</v>
      </c>
      <c r="K12427" t="s">
        <v>14</v>
      </c>
      <c r="L12427" t="s">
        <v>20</v>
      </c>
      <c r="M12427" t="s">
        <v>23918</v>
      </c>
      <c r="N12427" t="s">
        <v>14</v>
      </c>
    </row>
    <row r="12428" x14ac:dyDescent="0.25">
      <c r="A12428" t="n">
        <v>23</v>
      </c>
      <c r="B12428" t="s">
        <v>14</v>
      </c>
      <c r="C12428" t="s">
        <v>22</v>
      </c>
      <c r="D12428" s="2" t="s">
        <f>=HYPERLINK("https://main.knesset.gov.il/APPS/legislation/main/bills/2088194", "הצעת חוק הגבלת מימון מפעלים מזהמים (תיקוני חקיקה), התש""ף-2020")</f>
        <v>23990</v>
      </c>
      <c r="E12428" t="s">
        <v>23990</v>
      </c>
      <c r="F12428" t="s">
        <v>23991</v>
      </c>
      <c r="G12428" t="s">
        <v>14</v>
      </c>
      <c r="H12428">
             </c>
      <c r="I12428" t="s">
        <v>14</v>
      </c>
      <c r="J12428" t="s">
        <v>141</v>
      </c>
      <c r="K12428" t="s">
        <v>14</v>
      </c>
      <c r="L12428" t="s">
        <v>20</v>
      </c>
      <c r="M12428" t="s">
        <v>23918</v>
      </c>
      <c r="N12428" t="s">
        <v>14</v>
      </c>
    </row>
    <row r="12429" x14ac:dyDescent="0.25">
      <c r="A12429" t="n">
        <v>23</v>
      </c>
      <c r="B12429" t="s">
        <v>14</v>
      </c>
      <c r="C12429" t="s">
        <v>22</v>
      </c>
      <c r="D12429" s="2" t="s">
        <f>=HYPERLINK("https://main.knesset.gov.il/APPS/legislation/main/bills/2139910", "הצעת חוק מס ערך מוסף (תיקון - העברת מס בין עוסקים מורשים), התש""ף-2020")</f>
        <v>23992</v>
      </c>
      <c r="E12429" t="s">
        <v>23992</v>
      </c>
      <c r="F12429" t="s">
        <v>23993</v>
      </c>
      <c r="G12429" t="s">
        <v>14</v>
      </c>
      <c r="H12429">
             </c>
      <c r="I12429" t="s">
        <v>14</v>
      </c>
      <c r="J12429" t="s">
        <v>141</v>
      </c>
      <c r="K12429" t="s">
        <v>14</v>
      </c>
      <c r="L12429" t="s">
        <v>20</v>
      </c>
      <c r="M12429" t="s">
        <v>23918</v>
      </c>
      <c r="N12429" t="s">
        <v>14</v>
      </c>
    </row>
    <row r="12430" x14ac:dyDescent="0.25">
      <c r="A12430" t="n">
        <v>23</v>
      </c>
      <c r="B12430" t="s">
        <v>14</v>
      </c>
      <c r="C12430" t="s">
        <v>22</v>
      </c>
      <c r="D12430" s="2" t="s">
        <f>=HYPERLINK("https://main.knesset.gov.il/APPS/legislation/main/bills/2142531", "הצעת חוק מס רכוש וקרן פיצויים (תיקון - פיצוי בעד נזקי מגפת הקורונה) (הוראת שעה), התש""ף-2020")</f>
        <v>23994</v>
      </c>
      <c r="E12430" t="s">
        <v>23994</v>
      </c>
      <c r="F12430" t="s">
        <v>23995</v>
      </c>
      <c r="G12430" t="s">
        <v>14</v>
      </c>
      <c r="H12430">
             </c>
      <c r="I12430" t="s">
        <v>14</v>
      </c>
      <c r="J12430" t="s">
        <v>141</v>
      </c>
      <c r="K12430" t="s">
        <v>14</v>
      </c>
      <c r="L12430" t="s">
        <v>20</v>
      </c>
      <c r="M12430" t="s">
        <v>23918</v>
      </c>
      <c r="N12430" t="s">
        <v>14</v>
      </c>
    </row>
    <row r="12431" x14ac:dyDescent="0.25">
      <c r="A12431" t="n">
        <v>23</v>
      </c>
      <c r="B12431" t="s">
        <v>14</v>
      </c>
      <c r="C12431" t="s">
        <v>22</v>
      </c>
      <c r="D12431" s="2" t="s">
        <f>=HYPERLINK("https://main.knesset.gov.il/APPS/legislation/main/bills/2139770", "הצעת חוק פיצוי עסקים קטנים בשל אירועי איבה מתמשכים, התש""ף-2020")</f>
        <v>23996</v>
      </c>
      <c r="E12431" t="s">
        <v>23996</v>
      </c>
      <c r="F12431" t="s">
        <v>23997</v>
      </c>
      <c r="G12431" t="s">
        <v>14</v>
      </c>
      <c r="H12431">
             </c>
      <c r="I12431" t="s">
        <v>14</v>
      </c>
      <c r="J12431" t="s">
        <v>141</v>
      </c>
      <c r="K12431" t="s">
        <v>14</v>
      </c>
      <c r="L12431" t="s">
        <v>20</v>
      </c>
      <c r="M12431" t="s">
        <v>23918</v>
      </c>
      <c r="N12431" t="s">
        <v>14</v>
      </c>
    </row>
    <row r="12432" x14ac:dyDescent="0.25">
      <c r="A12432" t="n">
        <v>23</v>
      </c>
      <c r="B12432" t="s">
        <v>14</v>
      </c>
      <c r="C12432" t="s">
        <v>22</v>
      </c>
      <c r="D12432" s="2" t="s">
        <f>=HYPERLINK("https://main.knesset.gov.il/APPS/legislation/main/bills/2142743", "הצעת חוק שעות עבודה ומנוחה (תיקון - הסדרת סוף שבוע ארוך), התש''ף-2020")</f>
        <v>23998</v>
      </c>
      <c r="E12432" t="s">
        <v>23998</v>
      </c>
      <c r="F12432" t="s">
        <v>23999</v>
      </c>
      <c r="G12432" t="s">
        <v>14</v>
      </c>
      <c r="H12432">
             </c>
      <c r="I12432" t="s">
        <v>14</v>
      </c>
      <c r="J12432" t="s">
        <v>141</v>
      </c>
      <c r="K12432" t="s">
        <v>14</v>
      </c>
      <c r="L12432" t="s">
        <v>20</v>
      </c>
      <c r="M12432" t="s">
        <v>23918</v>
      </c>
      <c r="N12432" t="s">
        <v>14</v>
      </c>
    </row>
    <row r="12433" x14ac:dyDescent="0.25">
      <c r="A12433" t="n">
        <v>23</v>
      </c>
      <c r="B12433" t="s">
        <v>14</v>
      </c>
      <c r="C12433" t="s">
        <v>22</v>
      </c>
      <c r="D12433" s="2" t="s">
        <f>=HYPERLINK("https://main.knesset.gov.il/APPS/legislation/main/bills/2143868", "הצעת חוק ביטוח בריאות ממלכתי (תיקון - החזר דמי נסיעות עבור חולה סיעודי וחולה שנפטר), התש""ף-2020 ")</f>
        <v>24000</v>
      </c>
      <c r="E12433" t="s">
        <v>24000</v>
      </c>
      <c r="F12433" t="s">
        <v>24001</v>
      </c>
      <c r="G12433" t="s">
        <v>14</v>
      </c>
      <c r="H12433">
             </c>
      <c r="I12433" t="s">
        <v>14</v>
      </c>
      <c r="J12433" t="s">
        <v>141</v>
      </c>
      <c r="K12433" t="s">
        <v>14</v>
      </c>
      <c r="L12433" t="s">
        <v>20</v>
      </c>
      <c r="M12433" t="s">
        <v>23918</v>
      </c>
      <c r="N12433" t="s">
        <v>14</v>
      </c>
    </row>
    <row r="12434" x14ac:dyDescent="0.25">
      <c r="A12434" t="n">
        <v>23</v>
      </c>
      <c r="B12434" t="s">
        <v>14</v>
      </c>
      <c r="C12434" t="s">
        <v>22</v>
      </c>
      <c r="D12434" s="2" t="s">
        <f>=HYPERLINK("https://main.knesset.gov.il/APPS/legislation/main/bills/2139648", "הצעת חוק לתיקון פקודת האגודות השיתופיות (מספר בתי אב ביישוב קהילתי), התש""ף-2020")</f>
        <v>24002</v>
      </c>
      <c r="E12434" t="s">
        <v>24002</v>
      </c>
      <c r="F12434" t="s">
        <v>24003</v>
      </c>
      <c r="G12434" t="s">
        <v>14</v>
      </c>
      <c r="H12434">
             </c>
      <c r="I12434" t="s">
        <v>14</v>
      </c>
      <c r="J12434" t="s">
        <v>141</v>
      </c>
      <c r="K12434" t="s">
        <v>14</v>
      </c>
      <c r="L12434" t="s">
        <v>20</v>
      </c>
      <c r="M12434" t="s">
        <v>23918</v>
      </c>
      <c r="N12434" t="s">
        <v>14</v>
      </c>
    </row>
    <row r="12435" x14ac:dyDescent="0.25">
      <c r="A12435" t="n">
        <v>23</v>
      </c>
      <c r="B12435" t="s">
        <v>14</v>
      </c>
      <c r="C12435" t="s">
        <v>22</v>
      </c>
      <c r="D12435" s="2" t="s">
        <f>=HYPERLINK("https://main.knesset.gov.il/APPS/legislation/main/bills/2140667", "הצעת חוק המיזם הלאומי לביטחון תזונתי, התש""ף-2020 ")</f>
        <v>24004</v>
      </c>
      <c r="E12435" t="s">
        <v>24004</v>
      </c>
      <c r="F12435" t="s">
        <v>24005</v>
      </c>
      <c r="G12435" t="s">
        <v>14</v>
      </c>
      <c r="H12435">
             </c>
      <c r="I12435" t="s">
        <v>14</v>
      </c>
      <c r="J12435" t="s">
        <v>141</v>
      </c>
      <c r="K12435" t="s">
        <v>14</v>
      </c>
      <c r="L12435" t="s">
        <v>20</v>
      </c>
      <c r="M12435" t="s">
        <v>23918</v>
      </c>
      <c r="N12435" t="s">
        <v>14</v>
      </c>
    </row>
    <row r="12436" x14ac:dyDescent="0.25">
      <c r="A12436" t="n">
        <v>23</v>
      </c>
      <c r="B12436" t="s">
        <v>14</v>
      </c>
      <c r="C12436" t="s">
        <v>22</v>
      </c>
      <c r="D12436" s="2" t="s">
        <f>=HYPERLINK("https://main.knesset.gov.il/APPS/legislation/main/bills/2144134", "הצעת חוק סדר הדין הפלילי (תיקון - החרגת עובד מערכת אכיפת החוק מתקופת ההתיישנות), התש""ף-2020")</f>
        <v>24006</v>
      </c>
      <c r="E12436" t="s">
        <v>24006</v>
      </c>
      <c r="F12436" t="s">
        <v>24007</v>
      </c>
      <c r="G12436" t="s">
        <v>14</v>
      </c>
      <c r="H12436">
             </c>
      <c r="I12436" t="s">
        <v>14</v>
      </c>
      <c r="J12436" t="s">
        <v>141</v>
      </c>
      <c r="K12436" t="s">
        <v>14</v>
      </c>
      <c r="L12436" t="s">
        <v>20</v>
      </c>
      <c r="M12436" t="s">
        <v>23918</v>
      </c>
      <c r="N12436" t="s">
        <v>14</v>
      </c>
    </row>
    <row r="12437" x14ac:dyDescent="0.25">
      <c r="A12437" t="n">
        <v>23</v>
      </c>
      <c r="B12437" t="s">
        <v>14</v>
      </c>
      <c r="C12437" t="s">
        <v>22</v>
      </c>
      <c r="D12437" s="2" t="s">
        <f>=HYPERLINK("https://main.knesset.gov.il/APPS/legislation/main/bills/2144416", "הצעת חוק עבודת נשים (תיקון - תקופת לידה והורות להורה יחיד), התש""ף-2020 ")</f>
        <v>24008</v>
      </c>
      <c r="E12437" t="s">
        <v>24008</v>
      </c>
      <c r="F12437" t="s">
        <v>24009</v>
      </c>
      <c r="G12437" t="s">
        <v>14</v>
      </c>
      <c r="H12437">
             </c>
      <c r="I12437" t="s">
        <v>14</v>
      </c>
      <c r="J12437" t="s">
        <v>141</v>
      </c>
      <c r="K12437" t="s">
        <v>14</v>
      </c>
      <c r="L12437" t="s">
        <v>20</v>
      </c>
      <c r="M12437" t="s">
        <v>23918</v>
      </c>
      <c r="N12437" t="s">
        <v>14</v>
      </c>
    </row>
    <row r="12438" x14ac:dyDescent="0.25">
      <c r="A12438" t="n">
        <v>23</v>
      </c>
      <c r="B12438" t="s">
        <v>14</v>
      </c>
      <c r="C12438" t="s">
        <v>22</v>
      </c>
      <c r="D12438" s="2" t="s">
        <f>=HYPERLINK("https://main.knesset.gov.il/APPS/legislation/main/bills/2142446", "הצעת חוק זכויות הסטודנט (תיקון - ייצוג הולם במוסדות אגודת הסטודנטים), התש""ף-2020")</f>
        <v>24010</v>
      </c>
      <c r="E12438" t="s">
        <v>24010</v>
      </c>
      <c r="F12438" t="s">
        <v>24011</v>
      </c>
      <c r="G12438" t="s">
        <v>14</v>
      </c>
      <c r="H12438">
             </c>
      <c r="I12438" t="s">
        <v>14</v>
      </c>
      <c r="J12438" t="s">
        <v>141</v>
      </c>
      <c r="K12438" t="s">
        <v>14</v>
      </c>
      <c r="L12438" t="s">
        <v>20</v>
      </c>
      <c r="M12438" t="s">
        <v>23918</v>
      </c>
      <c r="N12438" t="s">
        <v>14</v>
      </c>
    </row>
    <row r="12439" x14ac:dyDescent="0.25">
      <c r="A12439" t="n">
        <v>23</v>
      </c>
      <c r="B12439" t="s">
        <v>14</v>
      </c>
      <c r="C12439" t="s">
        <v>22</v>
      </c>
      <c r="D12439" s="2" t="s">
        <f>=HYPERLINK("https://main.knesset.gov.il/APPS/legislation/main/bills/2142441", "הצעת חוק זכויות הסטודנט (תיקון - פרסום ושילוט בשפה הערבית), התש""ף-2020")</f>
        <v>24012</v>
      </c>
      <c r="E12439" t="s">
        <v>24012</v>
      </c>
      <c r="F12439" t="s">
        <v>24013</v>
      </c>
      <c r="G12439" t="s">
        <v>14</v>
      </c>
      <c r="H12439">
             </c>
      <c r="I12439" t="s">
        <v>14</v>
      </c>
      <c r="J12439" t="s">
        <v>141</v>
      </c>
      <c r="K12439" t="s">
        <v>14</v>
      </c>
      <c r="L12439" t="s">
        <v>20</v>
      </c>
      <c r="M12439" t="s">
        <v>23918</v>
      </c>
      <c r="N12439" t="s">
        <v>14</v>
      </c>
    </row>
    <row r="12440" x14ac:dyDescent="0.25">
      <c r="A12440" t="n">
        <v>23</v>
      </c>
      <c r="B12440" t="s">
        <v>14</v>
      </c>
      <c r="C12440" t="s">
        <v>22</v>
      </c>
      <c r="D12440" s="2" t="s">
        <f>=HYPERLINK("https://main.knesset.gov.il/APPS/legislation/main/bills/2142434", "הצעת חוק זכויות הסטודנט (תיקון - התאמות לאוכלוסייה הערבית - חגים), התש""ף-2020")</f>
        <v>24014</v>
      </c>
      <c r="E12440" t="s">
        <v>24014</v>
      </c>
      <c r="F12440" t="s">
        <v>24015</v>
      </c>
      <c r="G12440" t="s">
        <v>14</v>
      </c>
      <c r="H12440">
             </c>
      <c r="I12440" t="s">
        <v>14</v>
      </c>
      <c r="J12440" t="s">
        <v>141</v>
      </c>
      <c r="K12440" t="s">
        <v>14</v>
      </c>
      <c r="L12440" t="s">
        <v>20</v>
      </c>
      <c r="M12440" t="s">
        <v>23918</v>
      </c>
      <c r="N12440" t="s">
        <v>14</v>
      </c>
    </row>
    <row r="12441" x14ac:dyDescent="0.25">
      <c r="A12441" t="n">
        <v>23</v>
      </c>
      <c r="B12441" t="s">
        <v>14</v>
      </c>
      <c r="C12441" t="s">
        <v>22</v>
      </c>
      <c r="D12441" s="2" t="s">
        <f>=HYPERLINK("https://main.knesset.gov.il/APPS/legislation/main/bills/2142426", "הצעת חוק המועצה להשכלה גבוה (תיקון - ייצוג הולם), התש""ף-2020")</f>
        <v>24016</v>
      </c>
      <c r="E12441" t="s">
        <v>24016</v>
      </c>
      <c r="F12441" t="s">
        <v>24017</v>
      </c>
      <c r="G12441" t="s">
        <v>14</v>
      </c>
      <c r="H12441">
             </c>
      <c r="I12441" t="s">
        <v>14</v>
      </c>
      <c r="J12441" t="s">
        <v>141</v>
      </c>
      <c r="K12441" t="s">
        <v>14</v>
      </c>
      <c r="L12441" t="s">
        <v>20</v>
      </c>
      <c r="M12441" t="s">
        <v>23918</v>
      </c>
      <c r="N12441" t="s">
        <v>14</v>
      </c>
    </row>
    <row r="12442" x14ac:dyDescent="0.25">
      <c r="A12442" t="n">
        <v>23</v>
      </c>
      <c r="B12442" t="s">
        <v>14</v>
      </c>
      <c r="C12442" t="s">
        <v>22</v>
      </c>
      <c r="D12442" s="2" t="s">
        <f>=HYPERLINK("https://main.knesset.gov.il/APPS/legislation/main/bills/2144200", "הצעת חוק משפחות חיילים שנספו במערכה (תגמולים ושיקום) (תיקון - הטבות רפואיות לאלמנה), התש""ף-2020")</f>
        <v>24018</v>
      </c>
      <c r="E12442" t="s">
        <v>24018</v>
      </c>
      <c r="F12442" t="s">
        <v>24019</v>
      </c>
      <c r="G12442" t="s">
        <v>14</v>
      </c>
      <c r="H12442">
             </c>
      <c r="I12442" t="s">
        <v>14</v>
      </c>
      <c r="J12442" t="s">
        <v>141</v>
      </c>
      <c r="K12442" t="s">
        <v>14</v>
      </c>
      <c r="L12442" t="s">
        <v>20</v>
      </c>
      <c r="M12442" t="s">
        <v>23918</v>
      </c>
      <c r="N12442" t="s">
        <v>14</v>
      </c>
    </row>
    <row r="12443" x14ac:dyDescent="0.25">
      <c r="A12443" t="n">
        <v>23</v>
      </c>
      <c r="B12443" t="s">
        <v>14</v>
      </c>
      <c r="C12443" t="s">
        <v>22</v>
      </c>
      <c r="D12443" s="2" t="s">
        <f>=HYPERLINK("https://main.knesset.gov.il/APPS/legislation/main/bills/2140232", "הצעת חוק התאמת אופן ההעסקה של מטפלות במשפחתונים המפוקחים על ידי האגף למעונות יום ומשפחתונים במשרד העבודה, הרווחה והשירותים החברתיים, התש""ף-2020")</f>
        <v>24020</v>
      </c>
      <c r="E12443" t="s">
        <v>24020</v>
      </c>
      <c r="F12443" t="s">
        <v>24021</v>
      </c>
      <c r="G12443" t="s">
        <v>14</v>
      </c>
      <c r="H12443">
             </c>
      <c r="I12443" t="s">
        <v>14</v>
      </c>
      <c r="J12443" t="s">
        <v>141</v>
      </c>
      <c r="K12443" t="s">
        <v>14</v>
      </c>
      <c r="L12443" t="s">
        <v>20</v>
      </c>
      <c r="M12443" t="s">
        <v>23918</v>
      </c>
      <c r="N12443" t="s">
        <v>14</v>
      </c>
    </row>
    <row r="12444" x14ac:dyDescent="0.25">
      <c r="A12444" t="n">
        <v>23</v>
      </c>
      <c r="B12444" t="s">
        <v>14</v>
      </c>
      <c r="C12444" t="s">
        <v>22</v>
      </c>
      <c r="D12444" s="2" t="s">
        <f>=HYPERLINK("https://main.knesset.gov.il/APPS/legislation/main/bills/2143948", "הצעת חוק הגנה על עובדים בשעת חירום (תיקון - היעדרות הורה מחמת הגבלת לימודים מכוח פקודת בריאות העם), התש""ף-2020")</f>
        <v>24022</v>
      </c>
      <c r="E12444" t="s">
        <v>24022</v>
      </c>
      <c r="F12444" t="s">
        <v>24023</v>
      </c>
      <c r="G12444" t="s">
        <v>14</v>
      </c>
      <c r="H12444">
             </c>
      <c r="I12444" t="s">
        <v>14</v>
      </c>
      <c r="J12444" t="s">
        <v>141</v>
      </c>
      <c r="K12444" t="s">
        <v>14</v>
      </c>
      <c r="L12444" t="s">
        <v>20</v>
      </c>
      <c r="M12444" t="s">
        <v>23918</v>
      </c>
      <c r="N12444" t="s">
        <v>14</v>
      </c>
    </row>
    <row r="12445" x14ac:dyDescent="0.25">
      <c r="A12445" t="n">
        <v>23</v>
      </c>
      <c r="B12445" t="s">
        <v>14</v>
      </c>
      <c r="C12445" t="s">
        <v>22</v>
      </c>
      <c r="D12445" s="2" t="s">
        <f>=HYPERLINK("https://main.knesset.gov.il/APPS/legislation/main/bills/2141825", "הצעת חוק התרבות והאמנות (תיקון - הקצאה שוויונית בתקציב לחברה הערבית), התש""ף-2020")</f>
        <v>24024</v>
      </c>
      <c r="E12445" t="s">
        <v>24024</v>
      </c>
      <c r="F12445" t="s">
        <v>24025</v>
      </c>
      <c r="G12445" t="s">
        <v>14</v>
      </c>
      <c r="H12445">
             </c>
      <c r="I12445" t="s">
        <v>14</v>
      </c>
      <c r="J12445" t="s">
        <v>141</v>
      </c>
      <c r="K12445" t="s">
        <v>14</v>
      </c>
      <c r="L12445" t="s">
        <v>20</v>
      </c>
      <c r="M12445" t="s">
        <v>23918</v>
      </c>
      <c r="N12445" t="s">
        <v>14</v>
      </c>
    </row>
    <row r="12446" x14ac:dyDescent="0.25">
      <c r="A12446" t="n">
        <v>23</v>
      </c>
      <c r="B12446" t="s">
        <v>14</v>
      </c>
      <c r="C12446" t="s">
        <v>22</v>
      </c>
      <c r="D12446" s="2" t="s">
        <f>=HYPERLINK("https://main.knesset.gov.il/APPS/legislation/main/bills/2141821", "הצעת חוק חינוך ממלכתי (תיקון - חובת הטמעת ערכי הסובלנות ומיגור האלימות), התש""ף-2020")</f>
        <v>24026</v>
      </c>
      <c r="E12446" t="s">
        <v>24026</v>
      </c>
      <c r="F12446" t="s">
        <v>24027</v>
      </c>
      <c r="G12446" t="s">
        <v>14</v>
      </c>
      <c r="H12446">
             </c>
      <c r="I12446" t="s">
        <v>14</v>
      </c>
      <c r="J12446" t="s">
        <v>141</v>
      </c>
      <c r="K12446" t="s">
        <v>14</v>
      </c>
      <c r="L12446" t="s">
        <v>20</v>
      </c>
      <c r="M12446" t="s">
        <v>23918</v>
      </c>
      <c r="N12446" t="s">
        <v>14</v>
      </c>
    </row>
    <row r="12447" x14ac:dyDescent="0.25">
      <c r="A12447" t="n">
        <v>23</v>
      </c>
      <c r="B12447" t="s">
        <v>14</v>
      </c>
      <c r="C12447" t="s">
        <v>22</v>
      </c>
      <c r="D12447" s="2" t="s">
        <f>=HYPERLINK("https://main.knesset.gov.il/APPS/legislation/main/bills/2144049", "הצעת חוק דמי מחלה (תיקון - קרן ימי מחלה), התש""ף-2020")</f>
        <v>24028</v>
      </c>
      <c r="E12447" t="s">
        <v>24028</v>
      </c>
      <c r="F12447" t="s">
        <v>24029</v>
      </c>
      <c r="G12447" t="s">
        <v>14</v>
      </c>
      <c r="H12447">
             </c>
      <c r="I12447" t="s">
        <v>14</v>
      </c>
      <c r="J12447" t="s">
        <v>141</v>
      </c>
      <c r="K12447" t="s">
        <v>14</v>
      </c>
      <c r="L12447" t="s">
        <v>20</v>
      </c>
      <c r="M12447" t="s">
        <v>23918</v>
      </c>
      <c r="N12447" t="s">
        <v>14</v>
      </c>
    </row>
    <row r="12448" x14ac:dyDescent="0.25">
      <c r="A12448" t="n">
        <v>23</v>
      </c>
      <c r="B12448" t="s">
        <v>14</v>
      </c>
      <c r="C12448" t="s">
        <v>22</v>
      </c>
      <c r="D12448" s="2" t="s">
        <f>=HYPERLINK("https://main.knesset.gov.il/APPS/legislation/main/bills/2141820", "הצעת חוק זכויות הסטודנט (תיקון - ייעוץ אקדמי בערבית), התש""ף-2020 ")</f>
        <v>24030</v>
      </c>
      <c r="E12448" t="s">
        <v>24030</v>
      </c>
      <c r="F12448" t="s">
        <v>24031</v>
      </c>
      <c r="G12448" t="s">
        <v>14</v>
      </c>
      <c r="H12448">
             </c>
      <c r="I12448" t="s">
        <v>14</v>
      </c>
      <c r="J12448" t="s">
        <v>141</v>
      </c>
      <c r="K12448" t="s">
        <v>14</v>
      </c>
      <c r="L12448" t="s">
        <v>20</v>
      </c>
      <c r="M12448" t="s">
        <v>23918</v>
      </c>
      <c r="N12448" t="s">
        <v>14</v>
      </c>
    </row>
    <row r="12449" x14ac:dyDescent="0.25">
      <c r="A12449" t="n">
        <v>23</v>
      </c>
      <c r="B12449" t="s">
        <v>14</v>
      </c>
      <c r="C12449" t="s">
        <v>22</v>
      </c>
      <c r="D12449" s="2" t="s">
        <f>=HYPERLINK("https://main.knesset.gov.il/APPS/legislation/main/bills/2141817", "הצעת חוק זכויות הסטודנט (תיקון - קורס דיאלוג רב תרבותי), התש""ף-2020")</f>
        <v>24032</v>
      </c>
      <c r="E12449" t="s">
        <v>24032</v>
      </c>
      <c r="F12449" t="s">
        <v>24033</v>
      </c>
      <c r="G12449" t="s">
        <v>14</v>
      </c>
      <c r="H12449">
             </c>
      <c r="I12449" t="s">
        <v>14</v>
      </c>
      <c r="J12449" t="s">
        <v>141</v>
      </c>
      <c r="K12449" t="s">
        <v>14</v>
      </c>
      <c r="L12449" t="s">
        <v>20</v>
      </c>
      <c r="M12449" t="s">
        <v>23918</v>
      </c>
      <c r="N12449" t="s">
        <v>14</v>
      </c>
    </row>
    <row r="12450" x14ac:dyDescent="0.25">
      <c r="A12450" t="n">
        <v>23</v>
      </c>
      <c r="B12450" t="s">
        <v>14</v>
      </c>
      <c r="C12450" t="s">
        <v>22</v>
      </c>
      <c r="D12450" s="2" t="s">
        <f>=HYPERLINK("https://main.knesset.gov.il/APPS/legislation/main/bills/2141786", "הצעת חוק הביטוח הלאומי (תיקון - הארכת התקופה לקבלת קצבה רטרואקטיבית), התש""ף-2020")</f>
        <v>24034</v>
      </c>
      <c r="E12450" t="s">
        <v>24034</v>
      </c>
      <c r="F12450" t="s">
        <v>24035</v>
      </c>
      <c r="G12450" t="s">
        <v>14</v>
      </c>
      <c r="H12450">
             </c>
      <c r="I12450" t="s">
        <v>14</v>
      </c>
      <c r="J12450" t="s">
        <v>141</v>
      </c>
      <c r="K12450" t="s">
        <v>14</v>
      </c>
      <c r="L12450" t="s">
        <v>20</v>
      </c>
      <c r="M12450" t="s">
        <v>23918</v>
      </c>
      <c r="N12450" t="s">
        <v>14</v>
      </c>
    </row>
    <row r="12451" x14ac:dyDescent="0.25">
      <c r="A12451" t="n">
        <v>23</v>
      </c>
      <c r="B12451" t="s">
        <v>14</v>
      </c>
      <c r="C12451" t="s">
        <v>22</v>
      </c>
      <c r="D12451" s="2" t="s">
        <f>=HYPERLINK("https://main.knesset.gov.il/APPS/legislation/main/bills/2140223", "הצעת חוק עבודת הנשים (תיקון - תגמול לעובדת עצמאית שבן זוגה משרת במילואים), התש""ף-2020")</f>
        <v>24036</v>
      </c>
      <c r="E12451" t="s">
        <v>24036</v>
      </c>
      <c r="F12451" t="s">
        <v>24037</v>
      </c>
      <c r="G12451" t="s">
        <v>14</v>
      </c>
      <c r="H12451">
             </c>
      <c r="I12451" t="s">
        <v>14</v>
      </c>
      <c r="J12451" t="s">
        <v>141</v>
      </c>
      <c r="K12451" t="s">
        <v>14</v>
      </c>
      <c r="L12451" t="s">
        <v>20</v>
      </c>
      <c r="M12451" t="s">
        <v>23918</v>
      </c>
      <c r="N12451" t="s">
        <v>14</v>
      </c>
    </row>
    <row r="12452" x14ac:dyDescent="0.25">
      <c r="A12452" t="n">
        <v>23</v>
      </c>
      <c r="B12452" t="s">
        <v>14</v>
      </c>
      <c r="C12452" t="s">
        <v>22</v>
      </c>
      <c r="D12452" s="2" t="s">
        <f>=HYPERLINK("https://main.knesset.gov.il/APPS/legislation/main/bills/2141799", "הצעת חוק יום השפה הערבית, התש""ף-2020")</f>
        <v>24038</v>
      </c>
      <c r="E12452" t="s">
        <v>24038</v>
      </c>
      <c r="F12452" t="s">
        <v>24039</v>
      </c>
      <c r="G12452" t="s">
        <v>14</v>
      </c>
      <c r="H12452">
             </c>
      <c r="I12452" t="s">
        <v>14</v>
      </c>
      <c r="J12452" t="s">
        <v>141</v>
      </c>
      <c r="K12452" t="s">
        <v>14</v>
      </c>
      <c r="L12452" t="s">
        <v>20</v>
      </c>
      <c r="M12452" t="s">
        <v>23918</v>
      </c>
      <c r="N12452" t="s">
        <v>14</v>
      </c>
    </row>
    <row r="12453" x14ac:dyDescent="0.25">
      <c r="A12453" t="n">
        <v>23</v>
      </c>
      <c r="B12453" t="s">
        <v>14</v>
      </c>
      <c r="C12453" t="s">
        <v>22</v>
      </c>
      <c r="D12453" s="2" t="s">
        <f>=HYPERLINK("https://main.knesset.gov.il/APPS/legislation/main/bills/2143811", "הצעת חוק הכנסת (תיקון - קביעת שכר חברי הכנסת בידי ועדה ציבורית), התש""ף-2020")</f>
        <v>24040</v>
      </c>
      <c r="E12453" t="s">
        <v>24040</v>
      </c>
      <c r="F12453" t="s">
        <v>24041</v>
      </c>
      <c r="G12453" t="s">
        <v>14</v>
      </c>
      <c r="H12453">
             </c>
      <c r="I12453" t="s">
        <v>14</v>
      </c>
      <c r="J12453" t="s">
        <v>141</v>
      </c>
      <c r="K12453" t="s">
        <v>14</v>
      </c>
      <c r="L12453" t="s">
        <v>20</v>
      </c>
      <c r="M12453" t="s">
        <v>23918</v>
      </c>
      <c r="N12453" t="s">
        <v>14</v>
      </c>
    </row>
    <row r="12454" x14ac:dyDescent="0.25">
      <c r="A12454" t="n">
        <v>23</v>
      </c>
      <c r="B12454" t="s">
        <v>14</v>
      </c>
      <c r="C12454" t="s">
        <v>22</v>
      </c>
      <c r="D12454" s="2" t="s">
        <f>=HYPERLINK("https://main.knesset.gov.il/APPS/legislation/main/bills/2141795", "הצעת חוק הכנסת (תיקון - חוות דעת בעניין השלכות חקיקה על השוויון), התש""ף-2020")</f>
        <v>24042</v>
      </c>
      <c r="E12454" t="s">
        <v>24042</v>
      </c>
      <c r="F12454" t="s">
        <v>24043</v>
      </c>
      <c r="G12454" t="s">
        <v>14</v>
      </c>
      <c r="H12454">
             </c>
      <c r="I12454" t="s">
        <v>14</v>
      </c>
      <c r="J12454" t="s">
        <v>141</v>
      </c>
      <c r="K12454" t="s">
        <v>14</v>
      </c>
      <c r="L12454" t="s">
        <v>20</v>
      </c>
      <c r="M12454" t="s">
        <v>23918</v>
      </c>
      <c r="N12454" t="s">
        <v>14</v>
      </c>
    </row>
    <row r="12455" x14ac:dyDescent="0.25">
      <c r="A12455" t="n">
        <v>23</v>
      </c>
      <c r="B12455" t="s">
        <v>14</v>
      </c>
      <c r="C12455" t="s">
        <v>15</v>
      </c>
      <c r="D12455" s="2" t="s">
        <f>=HYPERLINK("https://main.knesset.gov.il/APPS/legislation/main/bills/2143239", "חוק למתן שירותים חיוניים מרחוק (נגיף הקורונה החדש - הוראת שעה), התש""ף-2020")</f>
        <v>24044</v>
      </c>
      <c r="E12455" t="s">
        <v>24044</v>
      </c>
      <c r="F12455" t="s">
        <v>14</v>
      </c>
      <c r="G12455" t="s">
        <v>24045</v>
      </c>
      <c r="H12455" t="n">
        <v>2844</v>
      </c>
      <c r="I12455" t="s">
        <v>14</v>
      </c>
      <c r="J12455" t="s">
        <v>91</v>
      </c>
      <c r="K12455" t="s">
        <v>1292</v>
      </c>
      <c r="L12455" t="s">
        <v>20</v>
      </c>
      <c r="M12455" t="s">
        <v>24046</v>
      </c>
      <c r="N12455" t="s">
        <v>24047</v>
      </c>
    </row>
    <row r="12456" x14ac:dyDescent="0.25">
      <c r="A12456" t="n">
        <v>23</v>
      </c>
      <c r="B12456" t="s">
        <v>14</v>
      </c>
      <c r="C12456" t="s">
        <v>22</v>
      </c>
      <c r="D12456" s="2" t="s">
        <f>=HYPERLINK("https://main.knesset.gov.il/APPS/legislation/main/bills/2087538", "הצעת חוק הרשות הלאומית לשעת משבר, התש""ף-2020")</f>
        <v>23779</v>
      </c>
      <c r="E12456" t="s">
        <v>23779</v>
      </c>
      <c r="F12456" t="s">
        <v>24048</v>
      </c>
      <c r="G12456" t="s">
        <v>14</v>
      </c>
      <c r="H12456">
             </c>
      <c r="I12456" t="s">
        <v>14</v>
      </c>
      <c r="J12456" t="s">
        <v>55</v>
      </c>
      <c r="K12456" t="s">
        <v>14</v>
      </c>
      <c r="L12456" t="s">
        <v>20</v>
      </c>
      <c r="M12456" t="s">
        <v>24046</v>
      </c>
      <c r="N12456" t="s">
        <v>14</v>
      </c>
    </row>
    <row r="12457" x14ac:dyDescent="0.25">
      <c r="A12457" t="n">
        <v>23</v>
      </c>
      <c r="B12457" t="s">
        <v>14</v>
      </c>
      <c r="C12457" t="s">
        <v>22</v>
      </c>
      <c r="D12457" s="2" t="s">
        <f>=HYPERLINK("https://main.knesset.gov.il/APPS/legislation/main/bills/2088119", "הצעת חוק-יסוד: המיעוט הערבי כמיעוט לאומי ")</f>
        <v>24049</v>
      </c>
      <c r="E12457" t="s">
        <v>24049</v>
      </c>
      <c r="F12457" t="s">
        <v>24050</v>
      </c>
      <c r="G12457" t="s">
        <v>14</v>
      </c>
      <c r="H12457">
             </c>
      <c r="I12457" t="s">
        <v>14</v>
      </c>
      <c r="J12457" t="s">
        <v>55</v>
      </c>
      <c r="K12457" t="s">
        <v>14</v>
      </c>
      <c r="L12457" t="s">
        <v>20</v>
      </c>
      <c r="M12457" t="s">
        <v>24046</v>
      </c>
      <c r="N12457" t="s">
        <v>14</v>
      </c>
    </row>
    <row r="12458" x14ac:dyDescent="0.25">
      <c r="A12458" t="n">
        <v>23</v>
      </c>
      <c r="B12458" t="s">
        <v>14</v>
      </c>
      <c r="C12458" t="s">
        <v>22</v>
      </c>
      <c r="D12458" s="2" t="s">
        <f>=HYPERLINK("https://main.knesset.gov.il/APPS/legislation/main/bills/2086037", "הצעת חוק איסור כספים קואליציוניים, התש""ף-2020")</f>
        <v>24051</v>
      </c>
      <c r="E12458" t="s">
        <v>24051</v>
      </c>
      <c r="F12458" t="s">
        <v>24052</v>
      </c>
      <c r="G12458" t="s">
        <v>14</v>
      </c>
      <c r="H12458">
             </c>
      <c r="I12458" t="s">
        <v>14</v>
      </c>
      <c r="J12458" t="s">
        <v>55</v>
      </c>
      <c r="K12458" t="s">
        <v>14</v>
      </c>
      <c r="L12458" t="s">
        <v>20</v>
      </c>
      <c r="M12458" t="s">
        <v>24046</v>
      </c>
      <c r="N12458" t="s">
        <v>14</v>
      </c>
    </row>
    <row r="12459" x14ac:dyDescent="0.25">
      <c r="A12459" t="n">
        <v>23</v>
      </c>
      <c r="B12459" t="s">
        <v>14</v>
      </c>
      <c r="C12459" t="s">
        <v>22</v>
      </c>
      <c r="D12459" s="2" t="s">
        <f>=HYPERLINK("https://main.knesset.gov.il/APPS/legislation/main/bills/2086400", "הצעת חוק הביטוח הלאומי (תיקון - זכאות לדמי אבטלה מגיל 18), התש""ף-2020")</f>
        <v>24053</v>
      </c>
      <c r="E12459" t="s">
        <v>24053</v>
      </c>
      <c r="F12459" t="s">
        <v>24054</v>
      </c>
      <c r="G12459" t="s">
        <v>14</v>
      </c>
      <c r="H12459">
             </c>
      <c r="I12459" t="s">
        <v>14</v>
      </c>
      <c r="J12459" t="s">
        <v>343</v>
      </c>
      <c r="K12459" t="s">
        <v>14</v>
      </c>
      <c r="L12459" t="s">
        <v>20</v>
      </c>
      <c r="M12459" t="s">
        <v>24046</v>
      </c>
      <c r="N12459" t="s">
        <v>14</v>
      </c>
    </row>
    <row r="12460" x14ac:dyDescent="0.25">
      <c r="A12460" t="n">
        <v>23</v>
      </c>
      <c r="B12460" t="s">
        <v>14</v>
      </c>
      <c r="C12460" t="s">
        <v>22</v>
      </c>
      <c r="D12460" s="2" t="s">
        <f>=HYPERLINK("https://main.knesset.gov.il/APPS/legislation/main/bills/2086139", "הצעת חוק לתיקון פקודת העדה הדתית (המרה) (גיור על ידי רב מקומי), התש""ף-2020")</f>
        <v>24055</v>
      </c>
      <c r="E12460" t="s">
        <v>24055</v>
      </c>
      <c r="F12460" t="s">
        <v>24056</v>
      </c>
      <c r="G12460" t="s">
        <v>14</v>
      </c>
      <c r="H12460">
             </c>
      <c r="I12460" t="s">
        <v>14</v>
      </c>
      <c r="J12460" t="s">
        <v>343</v>
      </c>
      <c r="K12460" t="s">
        <v>14</v>
      </c>
      <c r="L12460" t="s">
        <v>20</v>
      </c>
      <c r="M12460" t="s">
        <v>24046</v>
      </c>
      <c r="N12460" t="s">
        <v>14</v>
      </c>
    </row>
    <row r="12461" x14ac:dyDescent="0.25">
      <c r="A12461" t="n">
        <v>23</v>
      </c>
      <c r="B12461" t="s">
        <v>14</v>
      </c>
      <c r="C12461" t="s">
        <v>22</v>
      </c>
      <c r="D12461" s="2" t="s">
        <f>=HYPERLINK("https://main.knesset.gov.il/APPS/legislation/main/bills/2085897", "הצעת חוק המשתתף החופשי, התש""ף-2020")</f>
        <v>24057</v>
      </c>
      <c r="E12461" t="s">
        <v>24057</v>
      </c>
      <c r="F12461" t="s">
        <v>24058</v>
      </c>
      <c r="G12461" t="s">
        <v>14</v>
      </c>
      <c r="H12461">
             </c>
      <c r="I12461" t="s">
        <v>14</v>
      </c>
      <c r="J12461" t="s">
        <v>343</v>
      </c>
      <c r="K12461" t="s">
        <v>14</v>
      </c>
      <c r="L12461" t="s">
        <v>20</v>
      </c>
      <c r="M12461" t="s">
        <v>24046</v>
      </c>
      <c r="N12461" t="s">
        <v>14</v>
      </c>
    </row>
    <row r="12462" x14ac:dyDescent="0.25">
      <c r="A12462" t="n">
        <v>23</v>
      </c>
      <c r="B12462" t="s">
        <v>14</v>
      </c>
      <c r="C12462" t="s">
        <v>22</v>
      </c>
      <c r="D12462" s="2" t="s">
        <f>=HYPERLINK("https://main.knesset.gov.il/APPS/legislation/main/bills/2086120", "הצעת חוק הגנה על זכויות הדורות הבאים, התש""ף-2020")</f>
        <v>24059</v>
      </c>
      <c r="E12462" t="s">
        <v>24059</v>
      </c>
      <c r="F12462" t="s">
        <v>24060</v>
      </c>
      <c r="G12462" t="s">
        <v>14</v>
      </c>
      <c r="H12462">
             </c>
      <c r="I12462" t="s">
        <v>14</v>
      </c>
      <c r="J12462" t="s">
        <v>343</v>
      </c>
      <c r="K12462" t="s">
        <v>14</v>
      </c>
      <c r="L12462" t="s">
        <v>20</v>
      </c>
      <c r="M12462" t="s">
        <v>24046</v>
      </c>
      <c r="N12462" t="s">
        <v>14</v>
      </c>
    </row>
    <row r="12463" x14ac:dyDescent="0.25">
      <c r="A12463" t="n">
        <v>23</v>
      </c>
      <c r="B12463" t="s">
        <v>14</v>
      </c>
      <c r="C12463" t="s">
        <v>22</v>
      </c>
      <c r="D12463" s="2" t="s">
        <f>=HYPERLINK("https://main.knesset.gov.il/APPS/legislation/main/bills/2086118", "הצעת חוק ליישוב תחת איום מידי (הוראת שעה), התש""ף-2020")</f>
        <v>24061</v>
      </c>
      <c r="E12463" t="s">
        <v>24061</v>
      </c>
      <c r="F12463" t="s">
        <v>24062</v>
      </c>
      <c r="G12463" t="s">
        <v>14</v>
      </c>
      <c r="H12463">
             </c>
      <c r="I12463" t="s">
        <v>14</v>
      </c>
      <c r="J12463" t="s">
        <v>55</v>
      </c>
      <c r="K12463" t="s">
        <v>14</v>
      </c>
      <c r="L12463" t="s">
        <v>20</v>
      </c>
      <c r="M12463" t="s">
        <v>24046</v>
      </c>
      <c r="N12463" t="s">
        <v>14</v>
      </c>
    </row>
    <row r="12464" x14ac:dyDescent="0.25">
      <c r="A12464" t="n">
        <v>23</v>
      </c>
      <c r="B12464" t="s">
        <v>14</v>
      </c>
      <c r="C12464" t="s">
        <v>15</v>
      </c>
      <c r="D12464" s="2" t="s">
        <f>=HYPERLINK("https://main.knesset.gov.il/APPS/legislation/main/bills/2141935", "חוק סמכויות מיוחדות להתמודדות עם נגיף הקורונה החדש (הוראת שעה) (תיקון), התש""ף-2020")</f>
        <v>24063</v>
      </c>
      <c r="E12464" t="s">
        <v>24063</v>
      </c>
      <c r="F12464" t="s">
        <v>14</v>
      </c>
      <c r="G12464" t="s">
        <v>24064</v>
      </c>
      <c r="H12464" t="n">
        <v>2842</v>
      </c>
      <c r="I12464" t="s">
        <v>14</v>
      </c>
      <c r="J12464" t="s">
        <v>91</v>
      </c>
      <c r="K12464" t="s">
        <v>27</v>
      </c>
      <c r="L12464" t="s">
        <v>20</v>
      </c>
      <c r="M12464" t="s">
        <v>24065</v>
      </c>
      <c r="N12464" t="s">
        <v>24066</v>
      </c>
    </row>
    <row r="12465" x14ac:dyDescent="0.25">
      <c r="A12465" t="n">
        <v>23</v>
      </c>
      <c r="B12465" t="s">
        <v>14</v>
      </c>
      <c r="C12465" t="s">
        <v>22</v>
      </c>
      <c r="D12465" s="2" t="s">
        <f>=HYPERLINK("https://main.knesset.gov.il/APPS/legislation/main/bills/2086004", "חוק שיקים ללא כיסוי (תיקון מס' 14), התש""ף-2020")</f>
        <v>24067</v>
      </c>
      <c r="E12465" t="s">
        <v>24067</v>
      </c>
      <c r="F12465" t="s">
        <v>24068</v>
      </c>
      <c r="G12465" t="s">
        <v>24069</v>
      </c>
      <c r="H12465" t="n">
        <v>2843</v>
      </c>
      <c r="I12465" t="s">
        <v>14</v>
      </c>
      <c r="J12465" t="s">
        <v>91</v>
      </c>
      <c r="K12465" t="s">
        <v>27</v>
      </c>
      <c r="L12465" t="s">
        <v>20</v>
      </c>
      <c r="M12465" t="s">
        <v>24065</v>
      </c>
      <c r="N12465" t="s">
        <v>24070</v>
      </c>
    </row>
    <row r="12466" x14ac:dyDescent="0.25">
      <c r="A12466" t="n">
        <v>23</v>
      </c>
      <c r="B12466" t="s">
        <v>14</v>
      </c>
      <c r="C12466" t="s">
        <v>22</v>
      </c>
      <c r="D12466" s="2" t="s">
        <f>=HYPERLINK("https://main.knesset.gov.il/APPS/legislation/main/bills/2144665", "הצעת חוק פרסומים רשמיים מטעם הכנסת (תיקוני חקיקה), התש""ף-2020")</f>
        <v>24071</v>
      </c>
      <c r="E12466" t="s">
        <v>24071</v>
      </c>
      <c r="F12466" t="s">
        <v>24072</v>
      </c>
      <c r="G12466" t="s">
        <v>14</v>
      </c>
      <c r="H12466">
             </c>
      <c r="I12466" t="s">
        <v>14</v>
      </c>
      <c r="J12466" t="s">
        <v>141</v>
      </c>
      <c r="K12466" t="s">
        <v>14</v>
      </c>
      <c r="L12466" t="s">
        <v>20</v>
      </c>
      <c r="M12466" t="s">
        <v>24065</v>
      </c>
      <c r="N12466" t="s">
        <v>14</v>
      </c>
    </row>
    <row r="12467" x14ac:dyDescent="0.25">
      <c r="A12467" t="n">
        <v>23</v>
      </c>
      <c r="B12467" t="s">
        <v>14</v>
      </c>
      <c r="C12467" t="s">
        <v>22</v>
      </c>
      <c r="D12467" s="2" t="s">
        <f>=HYPERLINK("https://main.knesset.gov.il/APPS/legislation/main/bills/2144489", "הצעת חוק הרשות הלאומית למאבק בעוני, התש""ף-2020")</f>
        <v>23755</v>
      </c>
      <c r="E12467" t="s">
        <v>23755</v>
      </c>
      <c r="F12467" t="s">
        <v>24073</v>
      </c>
      <c r="G12467" t="s">
        <v>14</v>
      </c>
      <c r="H12467">
             </c>
      <c r="I12467" t="s">
        <v>14</v>
      </c>
      <c r="J12467" t="s">
        <v>141</v>
      </c>
      <c r="K12467" t="s">
        <v>14</v>
      </c>
      <c r="L12467" t="s">
        <v>20</v>
      </c>
      <c r="M12467" t="s">
        <v>24065</v>
      </c>
      <c r="N12467" t="s">
        <v>14</v>
      </c>
    </row>
    <row r="12468" x14ac:dyDescent="0.25">
      <c r="A12468" t="n">
        <v>23</v>
      </c>
      <c r="B12468" t="s">
        <v>14</v>
      </c>
      <c r="C12468" t="s">
        <v>22</v>
      </c>
      <c r="D12468" s="2" t="s">
        <f>=HYPERLINK("https://main.knesset.gov.il/APPS/legislation/main/bills/2144447", "הצעת חוק עסקאות גופים ציבוריים (תיקון - מניעת העסקה במיקור חוץ בשירות הציבורי), התש""ף-2020")</f>
        <v>24074</v>
      </c>
      <c r="E12468" t="s">
        <v>24074</v>
      </c>
      <c r="F12468" t="s">
        <v>24075</v>
      </c>
      <c r="G12468" t="s">
        <v>14</v>
      </c>
      <c r="H12468">
             </c>
      <c r="I12468" t="s">
        <v>14</v>
      </c>
      <c r="J12468" t="s">
        <v>141</v>
      </c>
      <c r="K12468" t="s">
        <v>14</v>
      </c>
      <c r="L12468" t="s">
        <v>20</v>
      </c>
      <c r="M12468" t="s">
        <v>24065</v>
      </c>
      <c r="N12468" t="s">
        <v>14</v>
      </c>
    </row>
    <row r="12469" x14ac:dyDescent="0.25">
      <c r="A12469" t="n">
        <v>23</v>
      </c>
      <c r="B12469" t="s">
        <v>14</v>
      </c>
      <c r="C12469" t="s">
        <v>22</v>
      </c>
      <c r="D12469" s="2" t="s">
        <f>=HYPERLINK("https://main.knesset.gov.il/APPS/legislation/main/bills/2144234", "הצעת חוק הביטוח הלאומי (תיקון - ביטול מעמד עקרת הבית), התש""ף-2020")</f>
        <v>24076</v>
      </c>
      <c r="E12469" t="s">
        <v>24076</v>
      </c>
      <c r="F12469" t="s">
        <v>24077</v>
      </c>
      <c r="G12469" t="s">
        <v>14</v>
      </c>
      <c r="H12469">
             </c>
      <c r="I12469" t="s">
        <v>14</v>
      </c>
      <c r="J12469" t="s">
        <v>141</v>
      </c>
      <c r="K12469" t="s">
        <v>14</v>
      </c>
      <c r="L12469" t="s">
        <v>20</v>
      </c>
      <c r="M12469" t="s">
        <v>24065</v>
      </c>
      <c r="N12469" t="s">
        <v>14</v>
      </c>
    </row>
    <row r="12470" x14ac:dyDescent="0.25">
      <c r="A12470" t="n">
        <v>23</v>
      </c>
      <c r="B12470" t="s">
        <v>14</v>
      </c>
      <c r="C12470" t="s">
        <v>22</v>
      </c>
      <c r="D12470" s="2" t="s">
        <f>=HYPERLINK("https://main.knesset.gov.il/APPS/legislation/main/bills/2143040", "הצעת חוק הסניגוריה הציבורית (תיקון - ליווי משפטי בשפת חשוד שהוא קטין), התש""ף-2020")</f>
        <v>24078</v>
      </c>
      <c r="E12470" t="s">
        <v>24078</v>
      </c>
      <c r="F12470" t="s">
        <v>24079</v>
      </c>
      <c r="G12470" t="s">
        <v>14</v>
      </c>
      <c r="H12470">
             </c>
      <c r="I12470" t="s">
        <v>14</v>
      </c>
      <c r="J12470" t="s">
        <v>141</v>
      </c>
      <c r="K12470" t="s">
        <v>14</v>
      </c>
      <c r="L12470" t="s">
        <v>20</v>
      </c>
      <c r="M12470" t="s">
        <v>24065</v>
      </c>
      <c r="N12470" t="s">
        <v>14</v>
      </c>
    </row>
    <row r="12471" x14ac:dyDescent="0.25">
      <c r="A12471" t="n">
        <v>23</v>
      </c>
      <c r="B12471" t="s">
        <v>14</v>
      </c>
      <c r="C12471" t="s">
        <v>22</v>
      </c>
      <c r="D12471" s="2" t="s">
        <f>=HYPERLINK("https://main.knesset.gov.il/APPS/legislation/main/bills/2143038", "הצעת חוק העונשין (תיקון - חובת פיצוי נפגע עבירה וחובת הנמקה), התש""ף-2020")</f>
        <v>24080</v>
      </c>
      <c r="E12471" t="s">
        <v>24080</v>
      </c>
      <c r="F12471" t="s">
        <v>24081</v>
      </c>
      <c r="G12471" t="s">
        <v>14</v>
      </c>
      <c r="H12471">
             </c>
      <c r="I12471" t="s">
        <v>14</v>
      </c>
      <c r="J12471" t="s">
        <v>141</v>
      </c>
      <c r="K12471" t="s">
        <v>14</v>
      </c>
      <c r="L12471" t="s">
        <v>20</v>
      </c>
      <c r="M12471" t="s">
        <v>24065</v>
      </c>
      <c r="N12471" t="s">
        <v>14</v>
      </c>
    </row>
    <row r="12472" x14ac:dyDescent="0.25">
      <c r="A12472" t="n">
        <v>23</v>
      </c>
      <c r="B12472" t="s">
        <v>14</v>
      </c>
      <c r="C12472" t="s">
        <v>22</v>
      </c>
      <c r="D12472" s="2" t="s">
        <f>=HYPERLINK("https://main.knesset.gov.il/APPS/legislation/main/bills/2143037", "הצעת חוק העונשין (תיקון - חובת דיווח של איש דת או טוען רבני), התש""ף-2020")</f>
        <v>24082</v>
      </c>
      <c r="E12472" t="s">
        <v>24082</v>
      </c>
      <c r="F12472" t="s">
        <v>24083</v>
      </c>
      <c r="G12472" t="s">
        <v>14</v>
      </c>
      <c r="H12472">
             </c>
      <c r="I12472" t="s">
        <v>14</v>
      </c>
      <c r="J12472" t="s">
        <v>141</v>
      </c>
      <c r="K12472" t="s">
        <v>14</v>
      </c>
      <c r="L12472" t="s">
        <v>20</v>
      </c>
      <c r="M12472" t="s">
        <v>24065</v>
      </c>
      <c r="N12472" t="s">
        <v>14</v>
      </c>
    </row>
    <row r="12473" x14ac:dyDescent="0.25">
      <c r="A12473" t="n">
        <v>23</v>
      </c>
      <c r="B12473" t="s">
        <v>14</v>
      </c>
      <c r="C12473" t="s">
        <v>22</v>
      </c>
      <c r="D12473" s="2" t="s">
        <f>=HYPERLINK("https://main.knesset.gov.il/APPS/legislation/main/bills/2143035", "הצעת חוק ההתיישנות (תיקון - הרחבת הגדרת בן משפחה לעניין תקופת ההתיישנות של תביעה בשל תקיפה מינית או התעללות), התש""ף-2020")</f>
        <v>24084</v>
      </c>
      <c r="E12473" t="s">
        <v>24084</v>
      </c>
      <c r="F12473" t="s">
        <v>24085</v>
      </c>
      <c r="G12473" t="s">
        <v>14</v>
      </c>
      <c r="H12473">
             </c>
      <c r="I12473" t="s">
        <v>14</v>
      </c>
      <c r="J12473" t="s">
        <v>141</v>
      </c>
      <c r="K12473" t="s">
        <v>14</v>
      </c>
      <c r="L12473" t="s">
        <v>20</v>
      </c>
      <c r="M12473" t="s">
        <v>24065</v>
      </c>
      <c r="N12473" t="s">
        <v>14</v>
      </c>
    </row>
    <row r="12474" x14ac:dyDescent="0.25">
      <c r="A12474" t="n">
        <v>23</v>
      </c>
      <c r="B12474" t="s">
        <v>14</v>
      </c>
      <c r="C12474" t="s">
        <v>22</v>
      </c>
      <c r="D12474" s="2" t="s">
        <f>=HYPERLINK("https://main.knesset.gov.il/APPS/legislation/main/bills/2143032", "הצעת חוק ביטול עונש המוות (תיקוני חקיקה), התש""ף-2020")</f>
        <v>24086</v>
      </c>
      <c r="E12474" t="s">
        <v>24086</v>
      </c>
      <c r="F12474" t="s">
        <v>24087</v>
      </c>
      <c r="G12474" t="s">
        <v>14</v>
      </c>
      <c r="H12474">
             </c>
      <c r="I12474" t="s">
        <v>14</v>
      </c>
      <c r="J12474" t="s">
        <v>141</v>
      </c>
      <c r="K12474" t="s">
        <v>14</v>
      </c>
      <c r="L12474" t="s">
        <v>20</v>
      </c>
      <c r="M12474" t="s">
        <v>24065</v>
      </c>
      <c r="N12474" t="s">
        <v>14</v>
      </c>
    </row>
    <row r="12475" x14ac:dyDescent="0.25">
      <c r="A12475" t="n">
        <v>23</v>
      </c>
      <c r="B12475" t="s">
        <v>14</v>
      </c>
      <c r="C12475" t="s">
        <v>22</v>
      </c>
      <c r="D12475" s="2" t="s">
        <f>=HYPERLINK("https://main.knesset.gov.il/APPS/legislation/main/bills/2143028", "הצעת חוק לתיקון סדרי המינהל (החלטות והנמקות) (תיקון - חובת מתן תשובה במועד), התש""ף-2020")</f>
        <v>24088</v>
      </c>
      <c r="E12475" t="s">
        <v>24088</v>
      </c>
      <c r="F12475" t="s">
        <v>24089</v>
      </c>
      <c r="G12475" t="s">
        <v>14</v>
      </c>
      <c r="H12475">
             </c>
      <c r="I12475" t="s">
        <v>14</v>
      </c>
      <c r="J12475" t="s">
        <v>141</v>
      </c>
      <c r="K12475" t="s">
        <v>14</v>
      </c>
      <c r="L12475" t="s">
        <v>20</v>
      </c>
      <c r="M12475" t="s">
        <v>24065</v>
      </c>
      <c r="N12475" t="s">
        <v>14</v>
      </c>
    </row>
    <row r="12476" x14ac:dyDescent="0.25">
      <c r="A12476" t="n">
        <v>23</v>
      </c>
      <c r="B12476" t="s">
        <v>14</v>
      </c>
      <c r="C12476" t="s">
        <v>22</v>
      </c>
      <c r="D12476" s="2" t="s">
        <f>=HYPERLINK("https://main.knesset.gov.il/APPS/legislation/main/bills/2143026", "הצעת חוק שירות המדינה (מינויים) (תיקון - תקופת צינון במעבר מהמגזר הפרטי לשירות המדינה), התש""ף-2020")</f>
        <v>24090</v>
      </c>
      <c r="E12476" t="s">
        <v>24090</v>
      </c>
      <c r="F12476" t="s">
        <v>24091</v>
      </c>
      <c r="G12476" t="s">
        <v>14</v>
      </c>
      <c r="H12476">
             </c>
      <c r="I12476" t="s">
        <v>14</v>
      </c>
      <c r="J12476" t="s">
        <v>141</v>
      </c>
      <c r="K12476" t="s">
        <v>14</v>
      </c>
      <c r="L12476" t="s">
        <v>20</v>
      </c>
      <c r="M12476" t="s">
        <v>24065</v>
      </c>
      <c r="N12476" t="s">
        <v>14</v>
      </c>
    </row>
    <row r="12477" x14ac:dyDescent="0.25">
      <c r="A12477" t="n">
        <v>23</v>
      </c>
      <c r="B12477" t="s">
        <v>14</v>
      </c>
      <c r="C12477" t="s">
        <v>22</v>
      </c>
      <c r="D12477" s="2" t="s">
        <f>=HYPERLINK("https://main.knesset.gov.il/APPS/legislation/main/bills/2143308", "הצעת חוק לתיקון פקודת מס הכנסה (ניכוי תשלומים לביטוח בריאות לעצמאים), התש""ף-2020")</f>
        <v>24092</v>
      </c>
      <c r="E12477" t="s">
        <v>24092</v>
      </c>
      <c r="F12477" t="s">
        <v>24093</v>
      </c>
      <c r="G12477" t="s">
        <v>14</v>
      </c>
      <c r="H12477">
             </c>
      <c r="I12477" t="s">
        <v>14</v>
      </c>
      <c r="J12477" t="s">
        <v>141</v>
      </c>
      <c r="K12477" t="s">
        <v>14</v>
      </c>
      <c r="L12477" t="s">
        <v>20</v>
      </c>
      <c r="M12477" t="s">
        <v>24065</v>
      </c>
      <c r="N12477" t="s">
        <v>14</v>
      </c>
    </row>
    <row r="12478" x14ac:dyDescent="0.25">
      <c r="A12478" t="n">
        <v>23</v>
      </c>
      <c r="B12478" t="s">
        <v>14</v>
      </c>
      <c r="C12478" t="s">
        <v>22</v>
      </c>
      <c r="D12478" s="2" t="s">
        <f>=HYPERLINK("https://main.knesset.gov.il/APPS/legislation/main/bills/2139856", "הצעת חוק מס ערך מוסף (תיקון - חוברת זכויות), התש""ף-2020")</f>
        <v>24094</v>
      </c>
      <c r="E12478" t="s">
        <v>24094</v>
      </c>
      <c r="F12478" t="s">
        <v>24095</v>
      </c>
      <c r="G12478" t="s">
        <v>14</v>
      </c>
      <c r="H12478">
             </c>
      <c r="I12478" t="s">
        <v>14</v>
      </c>
      <c r="J12478" t="s">
        <v>141</v>
      </c>
      <c r="K12478" t="s">
        <v>14</v>
      </c>
      <c r="L12478" t="s">
        <v>20</v>
      </c>
      <c r="M12478" t="s">
        <v>24065</v>
      </c>
      <c r="N12478" t="s">
        <v>14</v>
      </c>
    </row>
    <row r="12479" x14ac:dyDescent="0.25">
      <c r="A12479" t="n">
        <v>23</v>
      </c>
      <c r="B12479" t="s">
        <v>14</v>
      </c>
      <c r="C12479" t="s">
        <v>22</v>
      </c>
      <c r="D12479" s="2" t="s">
        <f>=HYPERLINK("https://main.knesset.gov.il/APPS/legislation/main/bills/2139851", "הצעת חוק לתיקון פקודת מס הכנסה (הכרה בניכוי הפקדות לביטוח סיעודי), התש""ף-2020")</f>
        <v>24096</v>
      </c>
      <c r="E12479" t="s">
        <v>24096</v>
      </c>
      <c r="F12479" t="s">
        <v>24097</v>
      </c>
      <c r="G12479" t="s">
        <v>14</v>
      </c>
      <c r="H12479">
             </c>
      <c r="I12479" t="s">
        <v>14</v>
      </c>
      <c r="J12479" t="s">
        <v>141</v>
      </c>
      <c r="K12479" t="s">
        <v>14</v>
      </c>
      <c r="L12479" t="s">
        <v>20</v>
      </c>
      <c r="M12479" t="s">
        <v>24065</v>
      </c>
      <c r="N12479" t="s">
        <v>14</v>
      </c>
    </row>
    <row r="12480" x14ac:dyDescent="0.25">
      <c r="A12480" t="n">
        <v>23</v>
      </c>
      <c r="B12480" t="s">
        <v>14</v>
      </c>
      <c r="C12480" t="s">
        <v>22</v>
      </c>
      <c r="D12480" s="2" t="s">
        <f>=HYPERLINK("https://main.knesset.gov.il/APPS/legislation/main/bills/2143023", "הצעת חוק לביטול ולהארכת ההתיישנות בעבירות מין והטרדה מינית (תיקוני חקיקה), התש""ף-2020")</f>
        <v>24098</v>
      </c>
      <c r="E12480" t="s">
        <v>24098</v>
      </c>
      <c r="F12480" t="s">
        <v>24099</v>
      </c>
      <c r="G12480" t="s">
        <v>14</v>
      </c>
      <c r="H12480">
             </c>
      <c r="I12480" t="s">
        <v>14</v>
      </c>
      <c r="J12480" t="s">
        <v>141</v>
      </c>
      <c r="K12480" t="s">
        <v>14</v>
      </c>
      <c r="L12480" t="s">
        <v>20</v>
      </c>
      <c r="M12480" t="s">
        <v>24065</v>
      </c>
      <c r="N12480" t="s">
        <v>14</v>
      </c>
    </row>
    <row r="12481" x14ac:dyDescent="0.25">
      <c r="A12481" t="n">
        <v>23</v>
      </c>
      <c r="B12481" t="s">
        <v>14</v>
      </c>
      <c r="C12481" t="s">
        <v>22</v>
      </c>
      <c r="D12481" s="2" t="s">
        <f>=HYPERLINK("https://main.knesset.gov.il/APPS/legislation/main/bills/2143022", "הצעת חוק העונשין (תיקון - איסור על עבירות נלוות לחשפנות לצורך גירוי מיני), התש""ף-2020")</f>
        <v>24100</v>
      </c>
      <c r="E12481" t="s">
        <v>24100</v>
      </c>
      <c r="F12481" t="s">
        <v>24101</v>
      </c>
      <c r="G12481" t="s">
        <v>14</v>
      </c>
      <c r="H12481">
             </c>
      <c r="I12481" t="s">
        <v>14</v>
      </c>
      <c r="J12481" t="s">
        <v>141</v>
      </c>
      <c r="K12481" t="s">
        <v>14</v>
      </c>
      <c r="L12481" t="s">
        <v>20</v>
      </c>
      <c r="M12481" t="s">
        <v>24065</v>
      </c>
      <c r="N12481" t="s">
        <v>14</v>
      </c>
    </row>
    <row r="12482" x14ac:dyDescent="0.25">
      <c r="A12482" t="n">
        <v>23</v>
      </c>
      <c r="B12482" t="s">
        <v>14</v>
      </c>
      <c r="C12482" t="s">
        <v>22</v>
      </c>
      <c r="D12482" s="2" t="s">
        <f>=HYPERLINK("https://main.knesset.gov.il/APPS/legislation/main/bills/2143019", "הצעת חוק העמותות (תיקון - שקיפות במימון ממשלתי או עירוני), התש""ף-2020")</f>
        <v>24102</v>
      </c>
      <c r="E12482" t="s">
        <v>24102</v>
      </c>
      <c r="F12482" t="s">
        <v>24103</v>
      </c>
      <c r="G12482" t="s">
        <v>14</v>
      </c>
      <c r="H12482">
             </c>
      <c r="I12482" t="s">
        <v>14</v>
      </c>
      <c r="J12482" t="s">
        <v>141</v>
      </c>
      <c r="K12482" t="s">
        <v>14</v>
      </c>
      <c r="L12482" t="s">
        <v>20</v>
      </c>
      <c r="M12482" t="s">
        <v>24065</v>
      </c>
      <c r="N12482" t="s">
        <v>14</v>
      </c>
    </row>
    <row r="12483" x14ac:dyDescent="0.25">
      <c r="A12483" t="n">
        <v>23</v>
      </c>
      <c r="B12483" t="s">
        <v>14</v>
      </c>
      <c r="C12483" t="s">
        <v>22</v>
      </c>
      <c r="D12483" s="2" t="s">
        <f>=HYPERLINK("https://main.knesset.gov.il/APPS/legislation/main/bills/2139854", "הצעת חוק הסדרים במשק המדינה (תיקוני חקיקה להשגת יעדי התקציב) (תיקון - הנחה מארנונה לעסק חדש בשנת פעילותו הראשונה), התש""ף-2020")</f>
        <v>24104</v>
      </c>
      <c r="E12483" t="s">
        <v>24104</v>
      </c>
      <c r="F12483" t="s">
        <v>24105</v>
      </c>
      <c r="G12483" t="s">
        <v>14</v>
      </c>
      <c r="H12483">
             </c>
      <c r="I12483" t="s">
        <v>14</v>
      </c>
      <c r="J12483" t="s">
        <v>141</v>
      </c>
      <c r="K12483" t="s">
        <v>14</v>
      </c>
      <c r="L12483" t="s">
        <v>20</v>
      </c>
      <c r="M12483" t="s">
        <v>24065</v>
      </c>
      <c r="N12483" t="s">
        <v>14</v>
      </c>
    </row>
    <row r="12484" x14ac:dyDescent="0.25">
      <c r="A12484" t="n">
        <v>23</v>
      </c>
      <c r="B12484" t="s">
        <v>14</v>
      </c>
      <c r="C12484" t="s">
        <v>22</v>
      </c>
      <c r="D12484" s="2" t="s">
        <f>=HYPERLINK("https://main.knesset.gov.il/APPS/legislation/main/bills/2139849", "הצעת חוק לתיקון פקודת מס הכנסה (עידוד צמיחה לעסקים עצמאיים קטנים ובינוניים), התש""ף-2020")</f>
        <v>24106</v>
      </c>
      <c r="E12484" t="s">
        <v>24106</v>
      </c>
      <c r="F12484" t="s">
        <v>24107</v>
      </c>
      <c r="G12484" t="s">
        <v>14</v>
      </c>
      <c r="H12484">
             </c>
      <c r="I12484" t="s">
        <v>14</v>
      </c>
      <c r="J12484" t="s">
        <v>141</v>
      </c>
      <c r="K12484" t="s">
        <v>14</v>
      </c>
      <c r="L12484" t="s">
        <v>20</v>
      </c>
      <c r="M12484" t="s">
        <v>24065</v>
      </c>
      <c r="N12484" t="s">
        <v>14</v>
      </c>
    </row>
    <row r="12485" x14ac:dyDescent="0.25">
      <c r="A12485" t="n">
        <v>23</v>
      </c>
      <c r="B12485" t="s">
        <v>14</v>
      </c>
      <c r="C12485" t="s">
        <v>22</v>
      </c>
      <c r="D12485" s="2" t="s">
        <f>=HYPERLINK("https://main.knesset.gov.il/APPS/legislation/main/bills/2143004", "הצעת חוק איסור הפליה בדיור, התש""ף-2020")</f>
        <v>24108</v>
      </c>
      <c r="E12485" t="s">
        <v>24108</v>
      </c>
      <c r="F12485" t="s">
        <v>24109</v>
      </c>
      <c r="G12485" t="s">
        <v>14</v>
      </c>
      <c r="H12485">
             </c>
      <c r="I12485" t="s">
        <v>14</v>
      </c>
      <c r="J12485" t="s">
        <v>141</v>
      </c>
      <c r="K12485" t="s">
        <v>14</v>
      </c>
      <c r="L12485" t="s">
        <v>20</v>
      </c>
      <c r="M12485" t="s">
        <v>24065</v>
      </c>
      <c r="N12485" t="s">
        <v>14</v>
      </c>
    </row>
    <row r="12486" x14ac:dyDescent="0.25">
      <c r="A12486" t="n">
        <v>23</v>
      </c>
      <c r="B12486" t="s">
        <v>14</v>
      </c>
      <c r="C12486" t="s">
        <v>22</v>
      </c>
      <c r="D12486" s="2" t="s">
        <f>=HYPERLINK("https://main.knesset.gov.il/APPS/legislation/main/bills/2142998", "הצעת חוק התרת נישואין אזרחיים (תיקוני חקיקה), התש""ף-2020")</f>
        <v>24110</v>
      </c>
      <c r="E12486" t="s">
        <v>24110</v>
      </c>
      <c r="F12486" t="s">
        <v>24111</v>
      </c>
      <c r="G12486" t="s">
        <v>14</v>
      </c>
      <c r="H12486">
             </c>
      <c r="I12486" t="s">
        <v>14</v>
      </c>
      <c r="J12486" t="s">
        <v>141</v>
      </c>
      <c r="K12486" t="s">
        <v>14</v>
      </c>
      <c r="L12486" t="s">
        <v>20</v>
      </c>
      <c r="M12486" t="s">
        <v>24065</v>
      </c>
      <c r="N12486" t="s">
        <v>14</v>
      </c>
    </row>
    <row r="12487" x14ac:dyDescent="0.25">
      <c r="A12487" t="n">
        <v>23</v>
      </c>
      <c r="B12487" t="s">
        <v>14</v>
      </c>
      <c r="C12487" t="s">
        <v>22</v>
      </c>
      <c r="D12487" s="2" t="s">
        <f>=HYPERLINK("https://main.knesset.gov.il/APPS/legislation/main/bills/2139848", "הצעת חוק הפיקוח על שירותים פיננסיים (קופות גמל) (תיקון - השקעה של גוף מוסדי בתעשייה עתירת ידע בישראל), התש""ף-2020")</f>
        <v>24112</v>
      </c>
      <c r="E12487" t="s">
        <v>24112</v>
      </c>
      <c r="F12487" t="s">
        <v>24113</v>
      </c>
      <c r="G12487" t="s">
        <v>14</v>
      </c>
      <c r="H12487">
             </c>
      <c r="I12487" t="s">
        <v>14</v>
      </c>
      <c r="J12487" t="s">
        <v>141</v>
      </c>
      <c r="K12487" t="s">
        <v>14</v>
      </c>
      <c r="L12487" t="s">
        <v>20</v>
      </c>
      <c r="M12487" t="s">
        <v>24065</v>
      </c>
      <c r="N12487" t="s">
        <v>14</v>
      </c>
    </row>
    <row r="12488" x14ac:dyDescent="0.25">
      <c r="A12488" t="n">
        <v>23</v>
      </c>
      <c r="B12488" t="s">
        <v>14</v>
      </c>
      <c r="C12488" t="s">
        <v>22</v>
      </c>
      <c r="D12488" s="2" t="s">
        <f>=HYPERLINK("https://main.knesset.gov.il/APPS/legislation/main/bills/2139833", "הצעת חוק לעידוד השקעות הון (תיקון - הקלה בתנאי סף למפעל קטן) (הוראת שעה), התש""ף-2020")</f>
        <v>24114</v>
      </c>
      <c r="E12488" t="s">
        <v>24114</v>
      </c>
      <c r="F12488" t="s">
        <v>24115</v>
      </c>
      <c r="G12488" t="s">
        <v>14</v>
      </c>
      <c r="H12488">
             </c>
      <c r="I12488" t="s">
        <v>14</v>
      </c>
      <c r="J12488" t="s">
        <v>141</v>
      </c>
      <c r="K12488" t="s">
        <v>14</v>
      </c>
      <c r="L12488" t="s">
        <v>20</v>
      </c>
      <c r="M12488" t="s">
        <v>24065</v>
      </c>
      <c r="N12488" t="s">
        <v>14</v>
      </c>
    </row>
    <row r="12489" x14ac:dyDescent="0.25">
      <c r="A12489" t="n">
        <v>23</v>
      </c>
      <c r="B12489" t="s">
        <v>14</v>
      </c>
      <c r="C12489" t="s">
        <v>22</v>
      </c>
      <c r="D12489" s="2" t="s">
        <f>=HYPERLINK("https://main.knesset.gov.il/APPS/legislation/main/bills/2144229", "הצעת חוק יישוב סכסוכי עבודה (תיקון - איסור שביתה בבתי ספר יסודיים וגני ילדים) (הוראת שעה), התש""ף-2020")</f>
        <v>24116</v>
      </c>
      <c r="E12489" t="s">
        <v>24116</v>
      </c>
      <c r="F12489" t="s">
        <v>24117</v>
      </c>
      <c r="G12489" t="s">
        <v>14</v>
      </c>
      <c r="H12489">
             </c>
      <c r="I12489" t="s">
        <v>14</v>
      </c>
      <c r="J12489" t="s">
        <v>141</v>
      </c>
      <c r="K12489" t="s">
        <v>14</v>
      </c>
      <c r="L12489" t="s">
        <v>20</v>
      </c>
      <c r="M12489" t="s">
        <v>24065</v>
      </c>
      <c r="N12489" t="s">
        <v>14</v>
      </c>
    </row>
    <row r="12490" x14ac:dyDescent="0.25">
      <c r="A12490" t="n">
        <v>23</v>
      </c>
      <c r="B12490" t="s">
        <v>14</v>
      </c>
      <c r="C12490" t="s">
        <v>22</v>
      </c>
      <c r="D12490" s="2" t="s">
        <f>=HYPERLINK("https://main.knesset.gov.il/APPS/legislation/main/bills/2140255", "הצעת חוק הביטוח הלאומי (תיקון - פטור מתשלום דמי ביטוח לתלמיד על יסודי), התש""ף-2020")</f>
        <v>24118</v>
      </c>
      <c r="E12490" t="s">
        <v>24118</v>
      </c>
      <c r="F12490" t="s">
        <v>24119</v>
      </c>
      <c r="G12490" t="s">
        <v>14</v>
      </c>
      <c r="H12490">
             </c>
      <c r="I12490" t="s">
        <v>14</v>
      </c>
      <c r="J12490" t="s">
        <v>141</v>
      </c>
      <c r="K12490" t="s">
        <v>14</v>
      </c>
      <c r="L12490" t="s">
        <v>20</v>
      </c>
      <c r="M12490" t="s">
        <v>24065</v>
      </c>
      <c r="N12490" t="s">
        <v>14</v>
      </c>
    </row>
    <row r="12491" x14ac:dyDescent="0.25">
      <c r="A12491" t="n">
        <v>23</v>
      </c>
      <c r="B12491" t="s">
        <v>14</v>
      </c>
      <c r="C12491" t="s">
        <v>22</v>
      </c>
      <c r="D12491" s="2" t="s">
        <f>=HYPERLINK("https://main.knesset.gov.il/APPS/legislation/main/bills/2141088", "הצעת חוק הביטוח הלאומי (תיקון - הגדלת סכום קצבאות הילדים), התש""ף-2020")</f>
        <v>24120</v>
      </c>
      <c r="E12491" t="s">
        <v>24120</v>
      </c>
      <c r="F12491" t="s">
        <v>24121</v>
      </c>
      <c r="G12491" t="s">
        <v>14</v>
      </c>
      <c r="H12491">
             </c>
      <c r="I12491" t="s">
        <v>14</v>
      </c>
      <c r="J12491" t="s">
        <v>141</v>
      </c>
      <c r="K12491" t="s">
        <v>14</v>
      </c>
      <c r="L12491" t="s">
        <v>20</v>
      </c>
      <c r="M12491" t="s">
        <v>24065</v>
      </c>
      <c r="N12491" t="s">
        <v>14</v>
      </c>
    </row>
    <row r="12492" x14ac:dyDescent="0.25">
      <c r="A12492" t="n">
        <v>23</v>
      </c>
      <c r="B12492" t="s">
        <v>14</v>
      </c>
      <c r="C12492" t="s">
        <v>22</v>
      </c>
      <c r="D12492" s="2" t="s">
        <f>=HYPERLINK("https://main.knesset.gov.il/APPS/legislation/main/bills/2143959", "הצעת חוק הביטוח הלאומי (תיקון - קצבת תלויים בעד כל ילדי נכה), התש""ף-2020")</f>
        <v>24122</v>
      </c>
      <c r="E12492" t="s">
        <v>24122</v>
      </c>
      <c r="F12492" t="s">
        <v>24123</v>
      </c>
      <c r="G12492" t="s">
        <v>14</v>
      </c>
      <c r="H12492">
             </c>
      <c r="I12492" t="s">
        <v>14</v>
      </c>
      <c r="J12492" t="s">
        <v>141</v>
      </c>
      <c r="K12492" t="s">
        <v>14</v>
      </c>
      <c r="L12492" t="s">
        <v>20</v>
      </c>
      <c r="M12492" t="s">
        <v>24065</v>
      </c>
      <c r="N12492" t="s">
        <v>14</v>
      </c>
    </row>
    <row r="12493" x14ac:dyDescent="0.25">
      <c r="A12493" t="n">
        <v>23</v>
      </c>
      <c r="B12493" t="s">
        <v>14</v>
      </c>
      <c r="C12493" t="s">
        <v>22</v>
      </c>
      <c r="D12493" s="2" t="s">
        <f>=HYPERLINK("https://main.knesset.gov.il/APPS/legislation/main/bills/2141822", "הצעת חוק שוויון הזדמנויות בעבודה (תיקון - ייצוג הולם לאוכלוסייה הערבית), התש""ף-2020")</f>
        <v>24124</v>
      </c>
      <c r="E12493" t="s">
        <v>24124</v>
      </c>
      <c r="F12493" t="s">
        <v>24125</v>
      </c>
      <c r="G12493" t="s">
        <v>14</v>
      </c>
      <c r="H12493">
             </c>
      <c r="I12493" t="s">
        <v>14</v>
      </c>
      <c r="J12493" t="s">
        <v>141</v>
      </c>
      <c r="K12493" t="s">
        <v>14</v>
      </c>
      <c r="L12493" t="s">
        <v>20</v>
      </c>
      <c r="M12493" t="s">
        <v>24065</v>
      </c>
      <c r="N12493" t="s">
        <v>14</v>
      </c>
    </row>
    <row r="12494" x14ac:dyDescent="0.25">
      <c r="A12494" t="n">
        <v>23</v>
      </c>
      <c r="B12494" t="s">
        <v>14</v>
      </c>
      <c r="C12494" t="s">
        <v>22</v>
      </c>
      <c r="D12494" s="2" t="s">
        <f>=HYPERLINK("https://main.knesset.gov.il/APPS/legislation/main/bills/2142067", "הצעת חוק לקידום שירותי הרפואה בעיר אילת (תיקוני חקיקה), התש""ף-2020")</f>
        <v>24126</v>
      </c>
      <c r="E12494" t="s">
        <v>24126</v>
      </c>
      <c r="F12494" t="s">
        <v>24127</v>
      </c>
      <c r="G12494" t="s">
        <v>14</v>
      </c>
      <c r="H12494">
             </c>
      <c r="I12494" t="s">
        <v>14</v>
      </c>
      <c r="J12494" t="s">
        <v>141</v>
      </c>
      <c r="K12494" t="s">
        <v>14</v>
      </c>
      <c r="L12494" t="s">
        <v>20</v>
      </c>
      <c r="M12494" t="s">
        <v>24065</v>
      </c>
      <c r="N12494" t="s">
        <v>14</v>
      </c>
    </row>
    <row r="12495" x14ac:dyDescent="0.25">
      <c r="A12495" t="n">
        <v>23</v>
      </c>
      <c r="B12495" t="s">
        <v>14</v>
      </c>
      <c r="C12495" t="s">
        <v>22</v>
      </c>
      <c r="D12495" s="2" t="s">
        <f>=HYPERLINK("https://main.knesset.gov.il/APPS/legislation/main/bills/2141798", "הצעת חוק לתיקון פקודת בריאות העם (הבטחת שירותי בידור לחולים), התש""ף-2020")</f>
        <v>24128</v>
      </c>
      <c r="E12495" t="s">
        <v>24128</v>
      </c>
      <c r="F12495" t="s">
        <v>24129</v>
      </c>
      <c r="G12495" t="s">
        <v>14</v>
      </c>
      <c r="H12495">
             </c>
      <c r="I12495" t="s">
        <v>14</v>
      </c>
      <c r="J12495" t="s">
        <v>141</v>
      </c>
      <c r="K12495" t="s">
        <v>14</v>
      </c>
      <c r="L12495" t="s">
        <v>20</v>
      </c>
      <c r="M12495" t="s">
        <v>24065</v>
      </c>
      <c r="N12495" t="s">
        <v>14</v>
      </c>
    </row>
    <row r="12496" x14ac:dyDescent="0.25">
      <c r="A12496" t="n">
        <v>23</v>
      </c>
      <c r="B12496" t="s">
        <v>14</v>
      </c>
      <c r="C12496" t="s">
        <v>22</v>
      </c>
      <c r="D12496" s="2" t="s">
        <f>=HYPERLINK("https://main.knesset.gov.il/APPS/legislation/main/bills/2087258", "הצעת חוק הרשות הלאומית למניעה ולמאבק באלימות במשפחה ובאלימות נגד נשים, התש""ף-2020")</f>
        <v>24130</v>
      </c>
      <c r="E12496" t="s">
        <v>24130</v>
      </c>
      <c r="F12496" t="s">
        <v>24131</v>
      </c>
      <c r="G12496" t="s">
        <v>14</v>
      </c>
      <c r="H12496">
             </c>
      <c r="I12496" t="s">
        <v>14</v>
      </c>
      <c r="J12496" t="s">
        <v>141</v>
      </c>
      <c r="K12496" t="s">
        <v>14</v>
      </c>
      <c r="L12496" t="s">
        <v>20</v>
      </c>
      <c r="M12496" t="s">
        <v>24065</v>
      </c>
      <c r="N12496" t="s">
        <v>14</v>
      </c>
    </row>
    <row r="12497" x14ac:dyDescent="0.25">
      <c r="A12497" t="n">
        <v>23</v>
      </c>
      <c r="B12497" t="s">
        <v>14</v>
      </c>
      <c r="C12497" t="s">
        <v>22</v>
      </c>
      <c r="D12497" s="2" t="s">
        <f>=HYPERLINK("https://main.knesset.gov.il/APPS/legislation/main/bills/2143673", "הצעת חוק הביטוח הלאומי (תיקון - תשלום דמי אבטלה בעת שירות), התש""ף-2020")</f>
        <v>24132</v>
      </c>
      <c r="E12497" t="s">
        <v>24132</v>
      </c>
      <c r="F12497" t="s">
        <v>24133</v>
      </c>
      <c r="G12497" t="s">
        <v>14</v>
      </c>
      <c r="H12497">
             </c>
      <c r="I12497" t="s">
        <v>14</v>
      </c>
      <c r="J12497" t="s">
        <v>141</v>
      </c>
      <c r="K12497" t="s">
        <v>14</v>
      </c>
      <c r="L12497" t="s">
        <v>20</v>
      </c>
      <c r="M12497" t="s">
        <v>24065</v>
      </c>
      <c r="N12497" t="s">
        <v>14</v>
      </c>
    </row>
    <row r="12498" x14ac:dyDescent="0.25">
      <c r="A12498" t="n">
        <v>23</v>
      </c>
      <c r="B12498" t="s">
        <v>14</v>
      </c>
      <c r="C12498" t="s">
        <v>22</v>
      </c>
      <c r="D12498" s="2" t="s">
        <f>=HYPERLINK("https://main.knesset.gov.il/APPS/legislation/main/bills/2088525", "הצעת חוק ביטוח בריאות ממלכתי (תיקון - החזר עבור פינוי באמבולנס מבית הספר בשל התקף אנפילקסיס), התש""ף-2020")</f>
        <v>24134</v>
      </c>
      <c r="E12498" t="s">
        <v>24134</v>
      </c>
      <c r="F12498" t="s">
        <v>24135</v>
      </c>
      <c r="G12498" t="s">
        <v>14</v>
      </c>
      <c r="H12498">
             </c>
      <c r="I12498" t="s">
        <v>14</v>
      </c>
      <c r="J12498" t="s">
        <v>141</v>
      </c>
      <c r="K12498" t="s">
        <v>14</v>
      </c>
      <c r="L12498" t="s">
        <v>20</v>
      </c>
      <c r="M12498" t="s">
        <v>24065</v>
      </c>
      <c r="N12498" t="s">
        <v>14</v>
      </c>
    </row>
    <row r="12499" x14ac:dyDescent="0.25">
      <c r="A12499" t="n">
        <v>23</v>
      </c>
      <c r="B12499" t="s">
        <v>14</v>
      </c>
      <c r="C12499" t="s">
        <v>22</v>
      </c>
      <c r="D12499" s="2" t="s">
        <f>=HYPERLINK("https://main.knesset.gov.il/APPS/legislation/main/bills/2143222", "הצעת חוק גיל פרישה (תיקון - ביטול גיל פרישת חובה), התש""ף-2020")</f>
        <v>24136</v>
      </c>
      <c r="E12499" t="s">
        <v>24136</v>
      </c>
      <c r="F12499" t="s">
        <v>24137</v>
      </c>
      <c r="G12499" t="s">
        <v>14</v>
      </c>
      <c r="H12499">
             </c>
      <c r="I12499" t="s">
        <v>14</v>
      </c>
      <c r="J12499" t="s">
        <v>141</v>
      </c>
      <c r="K12499" t="s">
        <v>14</v>
      </c>
      <c r="L12499" t="s">
        <v>20</v>
      </c>
      <c r="M12499" t="s">
        <v>24065</v>
      </c>
      <c r="N12499" t="s">
        <v>14</v>
      </c>
    </row>
    <row r="12500" x14ac:dyDescent="0.25">
      <c r="A12500" t="n">
        <v>23</v>
      </c>
      <c r="B12500" t="s">
        <v>14</v>
      </c>
      <c r="C12500" t="s">
        <v>22</v>
      </c>
      <c r="D12500" s="2" t="s">
        <f>=HYPERLINK("https://main.knesset.gov.il/APPS/legislation/main/bills/2143286", "הצעת חוק הביטוח הלאומי (תיקון - דמי לידה מוגדלים לעצמאית), התש""ף-2020")</f>
        <v>24138</v>
      </c>
      <c r="E12500" t="s">
        <v>24138</v>
      </c>
      <c r="F12500" t="s">
        <v>24139</v>
      </c>
      <c r="G12500" t="s">
        <v>14</v>
      </c>
      <c r="H12500">
             </c>
      <c r="I12500" t="s">
        <v>14</v>
      </c>
      <c r="J12500" t="s">
        <v>141</v>
      </c>
      <c r="K12500" t="s">
        <v>14</v>
      </c>
      <c r="L12500" t="s">
        <v>20</v>
      </c>
      <c r="M12500" t="s">
        <v>24065</v>
      </c>
      <c r="N12500" t="s">
        <v>14</v>
      </c>
    </row>
    <row r="12501" x14ac:dyDescent="0.25">
      <c r="A12501" t="n">
        <v>23</v>
      </c>
      <c r="B12501" t="s">
        <v>14</v>
      </c>
      <c r="C12501" t="s">
        <v>22</v>
      </c>
      <c r="D12501" s="2" t="s">
        <f>=HYPERLINK("https://main.knesset.gov.il/APPS/legislation/main/bills/2139838", "הצעת חוק התאמת לוח חופשות הלימודים לשעות העבודה והמנוחה במשק (תיקוני חקיקה), התש""ף-2020")</f>
        <v>24140</v>
      </c>
      <c r="E12501" t="s">
        <v>24140</v>
      </c>
      <c r="F12501" t="s">
        <v>24141</v>
      </c>
      <c r="G12501" t="s">
        <v>14</v>
      </c>
      <c r="H12501">
             </c>
      <c r="I12501" t="s">
        <v>14</v>
      </c>
      <c r="J12501" t="s">
        <v>141</v>
      </c>
      <c r="K12501" t="s">
        <v>14</v>
      </c>
      <c r="L12501" t="s">
        <v>20</v>
      </c>
      <c r="M12501" t="s">
        <v>24065</v>
      </c>
      <c r="N12501" t="s">
        <v>14</v>
      </c>
    </row>
    <row r="12502" x14ac:dyDescent="0.25">
      <c r="A12502" t="n">
        <v>23</v>
      </c>
      <c r="B12502" t="s">
        <v>14</v>
      </c>
      <c r="C12502" t="s">
        <v>22</v>
      </c>
      <c r="D12502" s="2" t="s">
        <f>=HYPERLINK("https://main.knesset.gov.il/APPS/legislation/main/bills/2143051", "הצעת חוק הביטוח הלאומי (תיקון - זכאות לדמי אבטלה לעובד שהתפטר לשם טיפול בילדו), התש""ף-2020")</f>
        <v>24142</v>
      </c>
      <c r="E12502" t="s">
        <v>24142</v>
      </c>
      <c r="F12502" t="s">
        <v>24143</v>
      </c>
      <c r="G12502" t="s">
        <v>14</v>
      </c>
      <c r="H12502">
             </c>
      <c r="I12502" t="s">
        <v>14</v>
      </c>
      <c r="J12502" t="s">
        <v>141</v>
      </c>
      <c r="K12502" t="s">
        <v>14</v>
      </c>
      <c r="L12502" t="s">
        <v>20</v>
      </c>
      <c r="M12502" t="s">
        <v>24065</v>
      </c>
      <c r="N12502" t="s">
        <v>14</v>
      </c>
    </row>
    <row r="12503" x14ac:dyDescent="0.25">
      <c r="A12503" t="n">
        <v>23</v>
      </c>
      <c r="B12503" t="s">
        <v>14</v>
      </c>
      <c r="C12503" t="s">
        <v>22</v>
      </c>
      <c r="D12503" s="2" t="s">
        <f>=HYPERLINK("https://main.knesset.gov.il/APPS/legislation/main/bills/2143034", "הצעת חוק למניעת התנכלות תעסוקתית, התש""ף-2020")</f>
        <v>24144</v>
      </c>
      <c r="E12503" t="s">
        <v>24144</v>
      </c>
      <c r="F12503" t="s">
        <v>24145</v>
      </c>
      <c r="G12503" t="s">
        <v>14</v>
      </c>
      <c r="H12503">
             </c>
      <c r="I12503" t="s">
        <v>14</v>
      </c>
      <c r="J12503" t="s">
        <v>141</v>
      </c>
      <c r="K12503" t="s">
        <v>14</v>
      </c>
      <c r="L12503" t="s">
        <v>20</v>
      </c>
      <c r="M12503" t="s">
        <v>24065</v>
      </c>
      <c r="N12503" t="s">
        <v>14</v>
      </c>
    </row>
    <row r="12504" x14ac:dyDescent="0.25">
      <c r="A12504" t="n">
        <v>23</v>
      </c>
      <c r="B12504" t="s">
        <v>14</v>
      </c>
      <c r="C12504" t="s">
        <v>22</v>
      </c>
      <c r="D12504" s="2" t="s">
        <f>=HYPERLINK("https://main.knesset.gov.il/APPS/legislation/main/bills/2143031", "הצעת חוק הביטוח הלאומי (תיקון - הכרה בפגיעה מינית בעבודה כתאונת עבודה), התש""ף-2020")</f>
        <v>24146</v>
      </c>
      <c r="E12504" t="s">
        <v>24146</v>
      </c>
      <c r="F12504" t="s">
        <v>24147</v>
      </c>
      <c r="G12504" t="s">
        <v>14</v>
      </c>
      <c r="H12504">
             </c>
      <c r="I12504" t="s">
        <v>14</v>
      </c>
      <c r="J12504" t="s">
        <v>141</v>
      </c>
      <c r="K12504" t="s">
        <v>14</v>
      </c>
      <c r="L12504" t="s">
        <v>20</v>
      </c>
      <c r="M12504" t="s">
        <v>24065</v>
      </c>
      <c r="N12504" t="s">
        <v>14</v>
      </c>
    </row>
    <row r="12505" x14ac:dyDescent="0.25">
      <c r="A12505" t="n">
        <v>23</v>
      </c>
      <c r="B12505" t="s">
        <v>14</v>
      </c>
      <c r="C12505" t="s">
        <v>22</v>
      </c>
      <c r="D12505" s="2" t="s">
        <f>=HYPERLINK("https://main.knesset.gov.il/APPS/legislation/main/bills/2143025", "הצעת חוק עבודת נשים (תיקון - איסור פגיעה בתנאי עבודה של עובד שחלה הגבלה על פיטוריו), התש""ף-2020")</f>
        <v>24148</v>
      </c>
      <c r="E12505" t="s">
        <v>24148</v>
      </c>
      <c r="F12505" t="s">
        <v>24149</v>
      </c>
      <c r="G12505" t="s">
        <v>14</v>
      </c>
      <c r="H12505">
             </c>
      <c r="I12505" t="s">
        <v>14</v>
      </c>
      <c r="J12505" t="s">
        <v>141</v>
      </c>
      <c r="K12505" t="s">
        <v>14</v>
      </c>
      <c r="L12505" t="s">
        <v>20</v>
      </c>
      <c r="M12505" t="s">
        <v>24065</v>
      </c>
      <c r="N12505" t="s">
        <v>14</v>
      </c>
    </row>
    <row r="12506" x14ac:dyDescent="0.25">
      <c r="A12506" t="n">
        <v>23</v>
      </c>
      <c r="B12506" t="s">
        <v>14</v>
      </c>
      <c r="C12506" t="s">
        <v>22</v>
      </c>
      <c r="D12506" s="2" t="s">
        <f>=HYPERLINK("https://main.knesset.gov.il/APPS/legislation/main/bills/2143320", "הצעת חוק שכר שווה לעובדת ולעובד (תיקון - חובת מסירת מידע), התש""ף-2020")</f>
        <v>24150</v>
      </c>
      <c r="E12506" t="s">
        <v>24150</v>
      </c>
      <c r="F12506" t="s">
        <v>24151</v>
      </c>
      <c r="G12506" t="s">
        <v>14</v>
      </c>
      <c r="H12506">
             </c>
      <c r="I12506" t="s">
        <v>14</v>
      </c>
      <c r="J12506" t="s">
        <v>141</v>
      </c>
      <c r="K12506" t="s">
        <v>14</v>
      </c>
      <c r="L12506" t="s">
        <v>20</v>
      </c>
      <c r="M12506" t="s">
        <v>24065</v>
      </c>
      <c r="N12506" t="s">
        <v>14</v>
      </c>
    </row>
    <row r="12507" x14ac:dyDescent="0.25">
      <c r="A12507" t="n">
        <v>23</v>
      </c>
      <c r="B12507" t="s">
        <v>14</v>
      </c>
      <c r="C12507" t="s">
        <v>22</v>
      </c>
      <c r="D12507" s="2" t="s">
        <f>=HYPERLINK("https://main.knesset.gov.il/APPS/legislation/main/bills/2143318", "הצעת חוק הביטוח הלאומי (תיקון - מענק הסתגלות לעצמאית) (הוראת שעה), התש""ף-2020")</f>
        <v>24152</v>
      </c>
      <c r="E12507" t="s">
        <v>24152</v>
      </c>
      <c r="F12507" t="s">
        <v>24153</v>
      </c>
      <c r="G12507" t="s">
        <v>14</v>
      </c>
      <c r="H12507">
             </c>
      <c r="I12507" t="s">
        <v>14</v>
      </c>
      <c r="J12507" t="s">
        <v>141</v>
      </c>
      <c r="K12507" t="s">
        <v>14</v>
      </c>
      <c r="L12507" t="s">
        <v>20</v>
      </c>
      <c r="M12507" t="s">
        <v>24065</v>
      </c>
      <c r="N12507" t="s">
        <v>14</v>
      </c>
    </row>
    <row r="12508" x14ac:dyDescent="0.25">
      <c r="A12508" t="n">
        <v>23</v>
      </c>
      <c r="B12508" t="s">
        <v>14</v>
      </c>
      <c r="C12508" t="s">
        <v>22</v>
      </c>
      <c r="D12508" s="2" t="s">
        <f>=HYPERLINK("https://main.knesset.gov.il/APPS/legislation/main/bills/2143271", "הצעת חוק הביטוח הלאומי (תיקון - חישוב דמי לידה למבוטחת עצמאית), התש""ף-2020")</f>
        <v>24154</v>
      </c>
      <c r="E12508" t="s">
        <v>24154</v>
      </c>
      <c r="F12508" t="s">
        <v>24155</v>
      </c>
      <c r="G12508" t="s">
        <v>14</v>
      </c>
      <c r="H12508">
             </c>
      <c r="I12508" t="s">
        <v>14</v>
      </c>
      <c r="J12508" t="s">
        <v>141</v>
      </c>
      <c r="K12508" t="s">
        <v>14</v>
      </c>
      <c r="L12508" t="s">
        <v>20</v>
      </c>
      <c r="M12508" t="s">
        <v>24065</v>
      </c>
      <c r="N12508" t="s">
        <v>14</v>
      </c>
    </row>
    <row r="12509" x14ac:dyDescent="0.25">
      <c r="A12509" t="n">
        <v>23</v>
      </c>
      <c r="B12509" t="s">
        <v>14</v>
      </c>
      <c r="C12509" t="s">
        <v>22</v>
      </c>
      <c r="D12509" s="2" t="s">
        <f>=HYPERLINK("https://main.knesset.gov.il/APPS/legislation/main/bills/2143314", "הצעת חוק הבטחת הכנסה (תיקון - מסגרת שיקומית מזנות), התש""ף-2020")</f>
        <v>24156</v>
      </c>
      <c r="E12509" t="s">
        <v>24156</v>
      </c>
      <c r="F12509" t="s">
        <v>24157</v>
      </c>
      <c r="G12509" t="s">
        <v>14</v>
      </c>
      <c r="H12509">
             </c>
      <c r="I12509" t="s">
        <v>14</v>
      </c>
      <c r="J12509" t="s">
        <v>141</v>
      </c>
      <c r="K12509" t="s">
        <v>14</v>
      </c>
      <c r="L12509" t="s">
        <v>20</v>
      </c>
      <c r="M12509" t="s">
        <v>24065</v>
      </c>
      <c r="N12509" t="s">
        <v>14</v>
      </c>
    </row>
    <row r="12510" x14ac:dyDescent="0.25">
      <c r="A12510" t="n">
        <v>23</v>
      </c>
      <c r="B12510" t="s">
        <v>14</v>
      </c>
      <c r="C12510" t="s">
        <v>22</v>
      </c>
      <c r="D12510" s="2" t="s">
        <f>=HYPERLINK("https://main.knesset.gov.il/APPS/legislation/main/bills/2139814", "הצעת חוק הביטוח הלאומי (תיקון - דמי מחלה לעובד עצמאי), התש""ף-2020")</f>
        <v>24158</v>
      </c>
      <c r="E12510" t="s">
        <v>24158</v>
      </c>
      <c r="F12510" t="s">
        <v>24159</v>
      </c>
      <c r="G12510" t="s">
        <v>14</v>
      </c>
      <c r="H12510">
             </c>
      <c r="I12510" t="s">
        <v>14</v>
      </c>
      <c r="J12510" t="s">
        <v>141</v>
      </c>
      <c r="K12510" t="s">
        <v>14</v>
      </c>
      <c r="L12510" t="s">
        <v>20</v>
      </c>
      <c r="M12510" t="s">
        <v>24065</v>
      </c>
      <c r="N12510" t="s">
        <v>14</v>
      </c>
    </row>
    <row r="12511" x14ac:dyDescent="0.25">
      <c r="A12511" t="n">
        <v>23</v>
      </c>
      <c r="B12511" t="s">
        <v>14</v>
      </c>
      <c r="C12511" t="s">
        <v>22</v>
      </c>
      <c r="D12511" s="2" t="s">
        <f>=HYPERLINK("https://main.knesset.gov.il/APPS/legislation/main/bills/2143002", "הצעת חוק הבטחת הכנסה (תיקון - הגדלת הסכום להשתכרות בנוסף לקצבה), התש""ף-2020")</f>
        <v>24160</v>
      </c>
      <c r="E12511" t="s">
        <v>24160</v>
      </c>
      <c r="F12511" t="s">
        <v>24161</v>
      </c>
      <c r="G12511" t="s">
        <v>14</v>
      </c>
      <c r="H12511">
             </c>
      <c r="I12511" t="s">
        <v>14</v>
      </c>
      <c r="J12511" t="s">
        <v>141</v>
      </c>
      <c r="K12511" t="s">
        <v>14</v>
      </c>
      <c r="L12511" t="s">
        <v>20</v>
      </c>
      <c r="M12511" t="s">
        <v>24065</v>
      </c>
      <c r="N12511" t="s">
        <v>14</v>
      </c>
    </row>
    <row r="12512" x14ac:dyDescent="0.25">
      <c r="A12512" t="n">
        <v>23</v>
      </c>
      <c r="B12512" t="s">
        <v>14</v>
      </c>
      <c r="C12512" t="s">
        <v>22</v>
      </c>
      <c r="D12512" s="2" t="s">
        <f>=HYPERLINK("https://main.knesset.gov.il/APPS/legislation/main/bills/2143191", "הצעת חוק לתיקון פקודת הרוקחים (הכשרת עוזרי רוקח), התש""ף-2020")</f>
        <v>24162</v>
      </c>
      <c r="E12512" t="s">
        <v>24162</v>
      </c>
      <c r="F12512" t="s">
        <v>24163</v>
      </c>
      <c r="G12512" t="s">
        <v>14</v>
      </c>
      <c r="H12512">
             </c>
      <c r="I12512" t="s">
        <v>14</v>
      </c>
      <c r="J12512" t="s">
        <v>141</v>
      </c>
      <c r="K12512" t="s">
        <v>14</v>
      </c>
      <c r="L12512" t="s">
        <v>20</v>
      </c>
      <c r="M12512" t="s">
        <v>24065</v>
      </c>
      <c r="N12512" t="s">
        <v>14</v>
      </c>
    </row>
    <row r="12513" x14ac:dyDescent="0.25">
      <c r="A12513" t="n">
        <v>23</v>
      </c>
      <c r="B12513" t="s">
        <v>14</v>
      </c>
      <c r="C12513" t="s">
        <v>22</v>
      </c>
      <c r="D12513" s="2" t="s">
        <f>=HYPERLINK("https://main.knesset.gov.il/APPS/legislation/main/bills/2142784", "הצעת חוק עבודת נשים (תיקון - תקופת לידה והורות לעובד עצמאי), התש""ף-2020")</f>
        <v>24164</v>
      </c>
      <c r="E12513" t="s">
        <v>24164</v>
      </c>
      <c r="F12513" t="s">
        <v>24165</v>
      </c>
      <c r="G12513" t="s">
        <v>14</v>
      </c>
      <c r="H12513">
             </c>
      <c r="I12513" t="s">
        <v>14</v>
      </c>
      <c r="J12513" t="s">
        <v>141</v>
      </c>
      <c r="K12513" t="s">
        <v>14</v>
      </c>
      <c r="L12513" t="s">
        <v>20</v>
      </c>
      <c r="M12513" t="s">
        <v>24065</v>
      </c>
      <c r="N12513" t="s">
        <v>14</v>
      </c>
    </row>
    <row r="12514" x14ac:dyDescent="0.25">
      <c r="A12514" t="n">
        <v>23</v>
      </c>
      <c r="B12514" t="s">
        <v>14</v>
      </c>
      <c r="C12514" t="s">
        <v>22</v>
      </c>
      <c r="D12514" s="2" t="s">
        <f>=HYPERLINK("https://main.knesset.gov.il/APPS/legislation/main/bills/2139958", "הצעת חוק עבודת נשים (תיקון - הסדרי עבודה גמישים להורה עצמאי), התש""ף-2020")</f>
        <v>24166</v>
      </c>
      <c r="E12514" t="s">
        <v>24166</v>
      </c>
      <c r="F12514" t="s">
        <v>24167</v>
      </c>
      <c r="G12514" t="s">
        <v>14</v>
      </c>
      <c r="H12514">
             </c>
      <c r="I12514" t="s">
        <v>14</v>
      </c>
      <c r="J12514" t="s">
        <v>141</v>
      </c>
      <c r="K12514" t="s">
        <v>14</v>
      </c>
      <c r="L12514" t="s">
        <v>20</v>
      </c>
      <c r="M12514" t="s">
        <v>24065</v>
      </c>
      <c r="N12514" t="s">
        <v>14</v>
      </c>
    </row>
    <row r="12515" x14ac:dyDescent="0.25">
      <c r="A12515" t="n">
        <v>23</v>
      </c>
      <c r="B12515" t="s">
        <v>14</v>
      </c>
      <c r="C12515" t="s">
        <v>22</v>
      </c>
      <c r="D12515" s="2" t="s">
        <f>=HYPERLINK("https://main.knesset.gov.il/APPS/legislation/main/bills/2087156", "הצעת חוק ביטוח בריאות ממלכתי (תיקון - פטור מתקופת המתנה לסטודנטים הלומדים בחו""ל), התש""ף-2020")</f>
        <v>24168</v>
      </c>
      <c r="E12515" t="s">
        <v>24168</v>
      </c>
      <c r="F12515" t="s">
        <v>24169</v>
      </c>
      <c r="G12515" t="s">
        <v>14</v>
      </c>
      <c r="H12515">
             </c>
      <c r="I12515" t="s">
        <v>14</v>
      </c>
      <c r="J12515" t="s">
        <v>141</v>
      </c>
      <c r="K12515" t="s">
        <v>14</v>
      </c>
      <c r="L12515" t="s">
        <v>20</v>
      </c>
      <c r="M12515" t="s">
        <v>24065</v>
      </c>
      <c r="N12515" t="s">
        <v>14</v>
      </c>
    </row>
    <row r="12516" x14ac:dyDescent="0.25">
      <c r="A12516" t="n">
        <v>23</v>
      </c>
      <c r="B12516" t="s">
        <v>14</v>
      </c>
      <c r="C12516" t="s">
        <v>22</v>
      </c>
      <c r="D12516" s="2" t="s">
        <f>=HYPERLINK("https://main.knesset.gov.il/APPS/legislation/main/bills/2139751", "הצעת חוק לתיקון פקודת מס הכנסה (ניכוי הוצאות החזקת רכב), התש""ף-2020")</f>
        <v>24170</v>
      </c>
      <c r="E12516" t="s">
        <v>24170</v>
      </c>
      <c r="F12516" t="s">
        <v>24171</v>
      </c>
      <c r="G12516" t="s">
        <v>14</v>
      </c>
      <c r="H12516">
             </c>
      <c r="I12516" t="s">
        <v>14</v>
      </c>
      <c r="J12516" t="s">
        <v>141</v>
      </c>
      <c r="K12516" t="s">
        <v>14</v>
      </c>
      <c r="L12516" t="s">
        <v>20</v>
      </c>
      <c r="M12516" t="s">
        <v>24065</v>
      </c>
      <c r="N12516" t="s">
        <v>14</v>
      </c>
    </row>
    <row r="12517" x14ac:dyDescent="0.25">
      <c r="A12517" t="n">
        <v>23</v>
      </c>
      <c r="B12517" t="s">
        <v>14</v>
      </c>
      <c r="C12517" t="s">
        <v>22</v>
      </c>
      <c r="D12517" s="2" t="s">
        <f>=HYPERLINK("https://main.knesset.gov.il/APPS/legislation/main/bills/2143319", "הצעת חוק לתיקון פקודת מס הכנסה (ניכוי בגין הוצאות טיפול בילדים), התש""ף-2020")</f>
        <v>23036</v>
      </c>
      <c r="E12517" t="s">
        <v>23036</v>
      </c>
      <c r="F12517" t="s">
        <v>24172</v>
      </c>
      <c r="G12517" t="s">
        <v>14</v>
      </c>
      <c r="H12517">
             </c>
      <c r="I12517" t="s">
        <v>14</v>
      </c>
      <c r="J12517" t="s">
        <v>141</v>
      </c>
      <c r="K12517" t="s">
        <v>14</v>
      </c>
      <c r="L12517" t="s">
        <v>20</v>
      </c>
      <c r="M12517" t="s">
        <v>24065</v>
      </c>
      <c r="N12517" t="s">
        <v>14</v>
      </c>
    </row>
    <row r="12518" x14ac:dyDescent="0.25">
      <c r="A12518" t="n">
        <v>23</v>
      </c>
      <c r="B12518" t="s">
        <v>14</v>
      </c>
      <c r="C12518" t="s">
        <v>22</v>
      </c>
      <c r="D12518" s="2" t="s">
        <f>=HYPERLINK("https://main.knesset.gov.il/APPS/legislation/main/bills/2139745", "הצעת חוק לתיקון פקודת מסי העירייה ומסי הממשלה (פטורין) (פטור מארנונה למגורים), התש""ף-2020")</f>
        <v>24173</v>
      </c>
      <c r="E12518" t="s">
        <v>24173</v>
      </c>
      <c r="F12518" t="s">
        <v>24174</v>
      </c>
      <c r="G12518" t="s">
        <v>14</v>
      </c>
      <c r="H12518">
             </c>
      <c r="I12518" t="s">
        <v>14</v>
      </c>
      <c r="J12518" t="s">
        <v>141</v>
      </c>
      <c r="K12518" t="s">
        <v>14</v>
      </c>
      <c r="L12518" t="s">
        <v>20</v>
      </c>
      <c r="M12518" t="s">
        <v>24065</v>
      </c>
      <c r="N12518" t="s">
        <v>14</v>
      </c>
    </row>
    <row r="12519" x14ac:dyDescent="0.25">
      <c r="A12519" t="n">
        <v>23</v>
      </c>
      <c r="B12519" t="s">
        <v>14</v>
      </c>
      <c r="C12519" t="s">
        <v>22</v>
      </c>
      <c r="D12519" s="2" t="s">
        <f>=HYPERLINK("https://main.knesset.gov.il/APPS/legislation/main/bills/2087153", "הצעת חוק הביטוח הלאומי (תיקון - תשלום גמלה לשמירת היריון בעד כל התקופה), התש""ף-2020")</f>
        <v>24175</v>
      </c>
      <c r="E12519" t="s">
        <v>24175</v>
      </c>
      <c r="F12519" t="s">
        <v>24176</v>
      </c>
      <c r="G12519" t="s">
        <v>14</v>
      </c>
      <c r="H12519">
             </c>
      <c r="I12519" t="s">
        <v>14</v>
      </c>
      <c r="J12519" t="s">
        <v>141</v>
      </c>
      <c r="K12519" t="s">
        <v>14</v>
      </c>
      <c r="L12519" t="s">
        <v>20</v>
      </c>
      <c r="M12519" t="s">
        <v>24065</v>
      </c>
      <c r="N12519" t="s">
        <v>14</v>
      </c>
    </row>
    <row r="12520" x14ac:dyDescent="0.25">
      <c r="A12520" t="n">
        <v>23</v>
      </c>
      <c r="B12520" t="s">
        <v>14</v>
      </c>
      <c r="C12520" t="s">
        <v>22</v>
      </c>
      <c r="D12520" s="2" t="s">
        <f>=HYPERLINK("https://main.knesset.gov.il/APPS/legislation/main/bills/2087025", "הצעת חוק גיל פרישה (תיקון - ביטול גיל פרישת חובה), התש""ף-2020")</f>
        <v>24136</v>
      </c>
      <c r="E12520" t="s">
        <v>24136</v>
      </c>
      <c r="F12520" t="s">
        <v>24177</v>
      </c>
      <c r="G12520" t="s">
        <v>14</v>
      </c>
      <c r="H12520">
             </c>
      <c r="I12520" t="s">
        <v>14</v>
      </c>
      <c r="J12520" t="s">
        <v>141</v>
      </c>
      <c r="K12520" t="s">
        <v>14</v>
      </c>
      <c r="L12520" t="s">
        <v>20</v>
      </c>
      <c r="M12520" t="s">
        <v>24065</v>
      </c>
      <c r="N12520" t="s">
        <v>14</v>
      </c>
    </row>
    <row r="12521" x14ac:dyDescent="0.25">
      <c r="A12521" t="n">
        <v>23</v>
      </c>
      <c r="B12521" t="s">
        <v>14</v>
      </c>
      <c r="C12521" t="s">
        <v>22</v>
      </c>
      <c r="D12521" s="2" t="s">
        <f>=HYPERLINK("https://main.knesset.gov.il/APPS/legislation/main/bills/2143310", "הצעת חוק למניעת הטרדה מינית (תיקון - תחולה על מטפל במסגרת טיפול נפשי, בריאותי, רפואי או פארה-רפואי), התש""ף-2020")</f>
        <v>24178</v>
      </c>
      <c r="E12521" t="s">
        <v>24178</v>
      </c>
      <c r="F12521" t="s">
        <v>24179</v>
      </c>
      <c r="G12521" t="s">
        <v>14</v>
      </c>
      <c r="H12521">
             </c>
      <c r="I12521" t="s">
        <v>14</v>
      </c>
      <c r="J12521" t="s">
        <v>141</v>
      </c>
      <c r="K12521" t="s">
        <v>14</v>
      </c>
      <c r="L12521" t="s">
        <v>20</v>
      </c>
      <c r="M12521" t="s">
        <v>24065</v>
      </c>
      <c r="N12521" t="s">
        <v>14</v>
      </c>
    </row>
    <row r="12522" x14ac:dyDescent="0.25">
      <c r="A12522" t="n">
        <v>23</v>
      </c>
      <c r="B12522" t="s">
        <v>14</v>
      </c>
      <c r="C12522" t="s">
        <v>22</v>
      </c>
      <c r="D12522" s="2" t="s">
        <f>=HYPERLINK("https://main.knesset.gov.il/APPS/legislation/main/bills/2143042", "הצעת חוק למניעת הטרדה מינית (תיקון - נקיטת אמצעים למניעת הטרדה מינית במקומות בילוי), התש""ף-2020")</f>
        <v>24180</v>
      </c>
      <c r="E12522" t="s">
        <v>24180</v>
      </c>
      <c r="F12522" t="s">
        <v>24181</v>
      </c>
      <c r="G12522" t="s">
        <v>14</v>
      </c>
      <c r="H12522">
             </c>
      <c r="I12522" t="s">
        <v>14</v>
      </c>
      <c r="J12522" t="s">
        <v>141</v>
      </c>
      <c r="K12522" t="s">
        <v>14</v>
      </c>
      <c r="L12522" t="s">
        <v>20</v>
      </c>
      <c r="M12522" t="s">
        <v>24065</v>
      </c>
      <c r="N12522" t="s">
        <v>14</v>
      </c>
    </row>
    <row r="12523" x14ac:dyDescent="0.25">
      <c r="A12523" t="n">
        <v>23</v>
      </c>
      <c r="B12523" t="s">
        <v>14</v>
      </c>
      <c r="C12523" t="s">
        <v>22</v>
      </c>
      <c r="D12523" s="2" t="s">
        <f>=HYPERLINK("https://main.knesset.gov.il/APPS/legislation/main/bills/2143030", "הצעת חוק למניעת הטרדה מינית (תיקון - הטלת חובות לשם מניעת הטרדה מינית במוסד חינוך), התש""ף-2020")</f>
        <v>24182</v>
      </c>
      <c r="E12523" t="s">
        <v>24182</v>
      </c>
      <c r="F12523" t="s">
        <v>24183</v>
      </c>
      <c r="G12523" t="s">
        <v>14</v>
      </c>
      <c r="H12523">
             </c>
      <c r="I12523" t="s">
        <v>14</v>
      </c>
      <c r="J12523" t="s">
        <v>141</v>
      </c>
      <c r="K12523" t="s">
        <v>14</v>
      </c>
      <c r="L12523" t="s">
        <v>20</v>
      </c>
      <c r="M12523" t="s">
        <v>24065</v>
      </c>
      <c r="N12523" t="s">
        <v>14</v>
      </c>
    </row>
    <row r="12524" x14ac:dyDescent="0.25">
      <c r="A12524" t="n">
        <v>23</v>
      </c>
      <c r="B12524" t="s">
        <v>14</v>
      </c>
      <c r="C12524" t="s">
        <v>22</v>
      </c>
      <c r="D12524" s="2" t="s">
        <f>=HYPERLINK("https://main.knesset.gov.il/APPS/legislation/main/bills/2143272", "הצעת חוק שיווי זכויות האישה (תיקון - ייצוג הולם בחברות קבורה), התש""ף-2020")</f>
        <v>24184</v>
      </c>
      <c r="E12524" t="s">
        <v>24184</v>
      </c>
      <c r="F12524" t="s">
        <v>24185</v>
      </c>
      <c r="G12524" t="s">
        <v>14</v>
      </c>
      <c r="H12524">
             </c>
      <c r="I12524" t="s">
        <v>14</v>
      </c>
      <c r="J12524" t="s">
        <v>141</v>
      </c>
      <c r="K12524" t="s">
        <v>14</v>
      </c>
      <c r="L12524" t="s">
        <v>20</v>
      </c>
      <c r="M12524" t="s">
        <v>24065</v>
      </c>
      <c r="N12524" t="s">
        <v>14</v>
      </c>
    </row>
    <row r="12525" x14ac:dyDescent="0.25">
      <c r="A12525" t="n">
        <v>23</v>
      </c>
      <c r="B12525" t="s">
        <v>14</v>
      </c>
      <c r="C12525" t="s">
        <v>22</v>
      </c>
      <c r="D12525" s="2" t="s">
        <f>=HYPERLINK("https://main.knesset.gov.il/APPS/legislation/main/bills/2143311", "הצעת חוק למניעת הטרדה מינית (תיקון - הטרדת קטין), התש""ף-2020")</f>
        <v>24186</v>
      </c>
      <c r="E12525" t="s">
        <v>24186</v>
      </c>
      <c r="F12525" t="s">
        <v>24187</v>
      </c>
      <c r="G12525" t="s">
        <v>14</v>
      </c>
      <c r="H12525">
             </c>
      <c r="I12525" t="s">
        <v>14</v>
      </c>
      <c r="J12525" t="s">
        <v>141</v>
      </c>
      <c r="K12525" t="s">
        <v>14</v>
      </c>
      <c r="L12525" t="s">
        <v>20</v>
      </c>
      <c r="M12525" t="s">
        <v>24065</v>
      </c>
      <c r="N12525" t="s">
        <v>14</v>
      </c>
    </row>
    <row r="12526" x14ac:dyDescent="0.25">
      <c r="A12526" t="n">
        <v>23</v>
      </c>
      <c r="B12526" t="s">
        <v>14</v>
      </c>
      <c r="C12526" t="s">
        <v>22</v>
      </c>
      <c r="D12526" s="2" t="s">
        <f>=HYPERLINK("https://main.knesset.gov.il/APPS/legislation/main/bills/2142706", "הצעת חוק למניעת הטרדה מינית (תיקון - הרחבת חובות מעסיק גדול), התש""ף-2020")</f>
        <v>24188</v>
      </c>
      <c r="E12526" t="s">
        <v>24188</v>
      </c>
      <c r="F12526" t="s">
        <v>24189</v>
      </c>
      <c r="G12526" t="s">
        <v>14</v>
      </c>
      <c r="H12526">
             </c>
      <c r="I12526" t="s">
        <v>14</v>
      </c>
      <c r="J12526" t="s">
        <v>141</v>
      </c>
      <c r="K12526" t="s">
        <v>14</v>
      </c>
      <c r="L12526" t="s">
        <v>20</v>
      </c>
      <c r="M12526" t="s">
        <v>24065</v>
      </c>
      <c r="N12526" t="s">
        <v>14</v>
      </c>
    </row>
    <row r="12527" x14ac:dyDescent="0.25">
      <c r="A12527" t="n">
        <v>23</v>
      </c>
      <c r="B12527" t="s">
        <v>14</v>
      </c>
      <c r="C12527" t="s">
        <v>22</v>
      </c>
      <c r="D12527" s="2" t="s">
        <f>=HYPERLINK("https://main.knesset.gov.il/APPS/legislation/main/bills/2140201", "הצעת חוק שיווי זכויות האישה (תיקון - פנייה שוויונית בשילוט במקום ציבורי), התש""ף-2020")</f>
        <v>24190</v>
      </c>
      <c r="E12527" t="s">
        <v>24190</v>
      </c>
      <c r="F12527" t="s">
        <v>24191</v>
      </c>
      <c r="G12527" t="s">
        <v>14</v>
      </c>
      <c r="H12527">
             </c>
      <c r="I12527" t="s">
        <v>14</v>
      </c>
      <c r="J12527" t="s">
        <v>141</v>
      </c>
      <c r="K12527" t="s">
        <v>14</v>
      </c>
      <c r="L12527" t="s">
        <v>20</v>
      </c>
      <c r="M12527" t="s">
        <v>24065</v>
      </c>
      <c r="N12527" t="s">
        <v>14</v>
      </c>
    </row>
    <row r="12528" x14ac:dyDescent="0.25">
      <c r="A12528" t="n">
        <v>23</v>
      </c>
      <c r="B12528" t="s">
        <v>14</v>
      </c>
      <c r="C12528" t="s">
        <v>22</v>
      </c>
      <c r="D12528" s="2" t="s">
        <f>=HYPERLINK("https://main.knesset.gov.il/APPS/legislation/main/bills/2139816", "הצעת חוק לתיקון פקודת מס הכנסה (פטור ממס בגין משיכה הונית מקופת גמל), התש""ף-2020")</f>
        <v>24192</v>
      </c>
      <c r="E12528" t="s">
        <v>24192</v>
      </c>
      <c r="F12528" t="s">
        <v>24193</v>
      </c>
      <c r="G12528" t="s">
        <v>14</v>
      </c>
      <c r="H12528">
             </c>
      <c r="I12528" t="s">
        <v>14</v>
      </c>
      <c r="J12528" t="s">
        <v>141</v>
      </c>
      <c r="K12528" t="s">
        <v>14</v>
      </c>
      <c r="L12528" t="s">
        <v>20</v>
      </c>
      <c r="M12528" t="s">
        <v>24065</v>
      </c>
      <c r="N12528" t="s">
        <v>14</v>
      </c>
    </row>
    <row r="12529" x14ac:dyDescent="0.25">
      <c r="A12529" t="n">
        <v>23</v>
      </c>
      <c r="B12529" t="s">
        <v>14</v>
      </c>
      <c r="C12529" t="s">
        <v>22</v>
      </c>
      <c r="D12529" s="2" t="s">
        <f>=HYPERLINK("https://main.knesset.gov.il/APPS/legislation/main/bills/2139797", "הצעת חוק לתיקון פקודת מס הכנסה (הפקדות לקרן השתלמות לעצמאי), התש""ף-2020")</f>
        <v>24194</v>
      </c>
      <c r="E12529" t="s">
        <v>24194</v>
      </c>
      <c r="F12529" t="s">
        <v>24195</v>
      </c>
      <c r="G12529" t="s">
        <v>14</v>
      </c>
      <c r="H12529">
             </c>
      <c r="I12529" t="s">
        <v>14</v>
      </c>
      <c r="J12529" t="s">
        <v>141</v>
      </c>
      <c r="K12529" t="s">
        <v>14</v>
      </c>
      <c r="L12529" t="s">
        <v>20</v>
      </c>
      <c r="M12529" t="s">
        <v>24065</v>
      </c>
      <c r="N12529" t="s">
        <v>14</v>
      </c>
    </row>
    <row r="12530" x14ac:dyDescent="0.25">
      <c r="A12530" t="n">
        <v>23</v>
      </c>
      <c r="B12530" t="s">
        <v>14</v>
      </c>
      <c r="C12530" t="s">
        <v>22</v>
      </c>
      <c r="D12530" s="2" t="s">
        <f>=HYPERLINK("https://main.knesset.gov.il/APPS/legislation/main/bills/2143188", "הצעת חוק העונשין (תיקון - החמרת הענישה בשל תקיפת עובדים סוציאליים), התש""ף-2020")</f>
        <v>24196</v>
      </c>
      <c r="E12530" t="s">
        <v>24196</v>
      </c>
      <c r="F12530" t="s">
        <v>24197</v>
      </c>
      <c r="G12530" t="s">
        <v>14</v>
      </c>
      <c r="H12530">
             </c>
      <c r="I12530" t="s">
        <v>14</v>
      </c>
      <c r="J12530" t="s">
        <v>141</v>
      </c>
      <c r="K12530" t="s">
        <v>14</v>
      </c>
      <c r="L12530" t="s">
        <v>20</v>
      </c>
      <c r="M12530" t="s">
        <v>24065</v>
      </c>
      <c r="N12530" t="s">
        <v>14</v>
      </c>
    </row>
    <row r="12531" x14ac:dyDescent="0.25">
      <c r="A12531" t="n">
        <v>23</v>
      </c>
      <c r="B12531" t="s">
        <v>14</v>
      </c>
      <c r="C12531" t="s">
        <v>22</v>
      </c>
      <c r="D12531" s="2" t="s">
        <f>=HYPERLINK("https://main.knesset.gov.il/APPS/legislation/main/bills/2143280", "הצעת חוק המקרקעין (תיקון - התקנת מערכת לייצור חשמל בבית משותף), התש""ף-2020")</f>
        <v>24198</v>
      </c>
      <c r="E12531" t="s">
        <v>24198</v>
      </c>
      <c r="F12531" t="s">
        <v>24199</v>
      </c>
      <c r="G12531" t="s">
        <v>14</v>
      </c>
      <c r="H12531">
             </c>
      <c r="I12531" t="s">
        <v>14</v>
      </c>
      <c r="J12531" t="s">
        <v>141</v>
      </c>
      <c r="K12531" t="s">
        <v>14</v>
      </c>
      <c r="L12531" t="s">
        <v>20</v>
      </c>
      <c r="M12531" t="s">
        <v>24065</v>
      </c>
      <c r="N12531" t="s">
        <v>14</v>
      </c>
    </row>
    <row r="12532" x14ac:dyDescent="0.25">
      <c r="A12532" t="n">
        <v>23</v>
      </c>
      <c r="B12532" t="s">
        <v>14</v>
      </c>
      <c r="C12532" t="s">
        <v>22</v>
      </c>
      <c r="D12532" s="2" t="s">
        <f>=HYPERLINK("https://main.knesset.gov.il/APPS/legislation/main/bills/2142954", "הצעת חוק העונשין (תיקון - החמרת ענישה בעבירות החזקת נשק שלא כדין), התש""ף-2020")</f>
        <v>24200</v>
      </c>
      <c r="E12532" t="s">
        <v>24200</v>
      </c>
      <c r="F12532" t="s">
        <v>24201</v>
      </c>
      <c r="G12532" t="s">
        <v>14</v>
      </c>
      <c r="H12532">
             </c>
      <c r="I12532" t="s">
        <v>14</v>
      </c>
      <c r="J12532" t="s">
        <v>141</v>
      </c>
      <c r="K12532" t="s">
        <v>14</v>
      </c>
      <c r="L12532" t="s">
        <v>20</v>
      </c>
      <c r="M12532" t="s">
        <v>24065</v>
      </c>
      <c r="N12532" t="s">
        <v>14</v>
      </c>
    </row>
    <row r="12533" x14ac:dyDescent="0.25">
      <c r="A12533" t="n">
        <v>23</v>
      </c>
      <c r="B12533" t="s">
        <v>14</v>
      </c>
      <c r="C12533" t="s">
        <v>22</v>
      </c>
      <c r="D12533" s="2" t="s">
        <f>=HYPERLINK("https://main.knesset.gov.il/APPS/legislation/main/bills/2142425", "הצעת חוק הגנה על שוכרי דירות בזמן משבר הקורונה (הוראת שעה), התש""ף-2020")</f>
        <v>24202</v>
      </c>
      <c r="E12533" t="s">
        <v>24202</v>
      </c>
      <c r="F12533" t="s">
        <v>24203</v>
      </c>
      <c r="G12533" t="s">
        <v>14</v>
      </c>
      <c r="H12533">
             </c>
      <c r="I12533" t="s">
        <v>14</v>
      </c>
      <c r="J12533" t="s">
        <v>141</v>
      </c>
      <c r="K12533" t="s">
        <v>14</v>
      </c>
      <c r="L12533" t="s">
        <v>20</v>
      </c>
      <c r="M12533" t="s">
        <v>24065</v>
      </c>
      <c r="N12533" t="s">
        <v>14</v>
      </c>
    </row>
    <row r="12534" x14ac:dyDescent="0.25">
      <c r="A12534" t="n">
        <v>23</v>
      </c>
      <c r="B12534" t="s">
        <v>14</v>
      </c>
      <c r="C12534" t="s">
        <v>22</v>
      </c>
      <c r="D12534" s="2" t="s">
        <f>=HYPERLINK("https://main.knesset.gov.il/APPS/legislation/main/bills/2143241", "הצעת חוק נציב תלונות הציבור על שופטים (תיקון - מינוי הנציב), התש""ף-2020")</f>
        <v>24204</v>
      </c>
      <c r="E12534" t="s">
        <v>24204</v>
      </c>
      <c r="F12534" t="s">
        <v>24205</v>
      </c>
      <c r="G12534" t="s">
        <v>14</v>
      </c>
      <c r="H12534">
             </c>
      <c r="I12534" t="s">
        <v>14</v>
      </c>
      <c r="J12534" t="s">
        <v>141</v>
      </c>
      <c r="K12534" t="s">
        <v>14</v>
      </c>
      <c r="L12534" t="s">
        <v>20</v>
      </c>
      <c r="M12534" t="s">
        <v>24065</v>
      </c>
      <c r="N12534" t="s">
        <v>14</v>
      </c>
    </row>
    <row r="12535" x14ac:dyDescent="0.25">
      <c r="A12535" t="n">
        <v>23</v>
      </c>
      <c r="B12535" t="s">
        <v>14</v>
      </c>
      <c r="C12535" t="s">
        <v>22</v>
      </c>
      <c r="D12535" s="2" t="s">
        <f>=HYPERLINK("https://main.knesset.gov.il/APPS/legislation/main/bills/2144475", "הצעת חוק הבטחת הכנסה (תיקון - הגדלת שווי רכב המאפשר זכאות לגמלה), התש''ף-2020")</f>
        <v>24206</v>
      </c>
      <c r="E12535" t="s">
        <v>24206</v>
      </c>
      <c r="F12535" t="s">
        <v>24207</v>
      </c>
      <c r="G12535" t="s">
        <v>14</v>
      </c>
      <c r="H12535">
             </c>
      <c r="I12535" t="s">
        <v>14</v>
      </c>
      <c r="J12535" t="s">
        <v>141</v>
      </c>
      <c r="K12535" t="s">
        <v>14</v>
      </c>
      <c r="L12535" t="s">
        <v>20</v>
      </c>
      <c r="M12535" t="s">
        <v>24065</v>
      </c>
      <c r="N12535" t="s">
        <v>14</v>
      </c>
    </row>
    <row r="12536" x14ac:dyDescent="0.25">
      <c r="A12536" t="n">
        <v>23</v>
      </c>
      <c r="B12536" t="s">
        <v>14</v>
      </c>
      <c r="C12536" t="s">
        <v>22</v>
      </c>
      <c r="D12536" s="2" t="s">
        <f>=HYPERLINK("https://main.knesset.gov.il/APPS/legislation/main/bills/2139805", "הצעת חוק לתיקון פקודת מס הכנסה (ניכוי תשלומים לעצמאים), התש""ף-2020")</f>
        <v>24208</v>
      </c>
      <c r="E12536" t="s">
        <v>24208</v>
      </c>
      <c r="F12536" t="s">
        <v>24209</v>
      </c>
      <c r="G12536" t="s">
        <v>14</v>
      </c>
      <c r="H12536">
             </c>
      <c r="I12536" t="s">
        <v>14</v>
      </c>
      <c r="J12536" t="s">
        <v>141</v>
      </c>
      <c r="K12536" t="s">
        <v>14</v>
      </c>
      <c r="L12536" t="s">
        <v>20</v>
      </c>
      <c r="M12536" t="s">
        <v>24065</v>
      </c>
      <c r="N12536" t="s">
        <v>14</v>
      </c>
    </row>
    <row r="12537" x14ac:dyDescent="0.25">
      <c r="A12537" t="n">
        <v>23</v>
      </c>
      <c r="B12537" t="s">
        <v>14</v>
      </c>
      <c r="C12537" t="s">
        <v>22</v>
      </c>
      <c r="D12537" s="2" t="s">
        <f>=HYPERLINK("https://main.knesset.gov.il/APPS/legislation/main/bills/2142988", "הצעת חוק לתיקון פקודת מס הכנסה (זיכוי במס לגרושים ידועים בציבור), התש""ף-2020")</f>
        <v>24210</v>
      </c>
      <c r="E12537" t="s">
        <v>24210</v>
      </c>
      <c r="F12537" t="s">
        <v>24211</v>
      </c>
      <c r="G12537" t="s">
        <v>14</v>
      </c>
      <c r="H12537">
             </c>
      <c r="I12537" t="s">
        <v>14</v>
      </c>
      <c r="J12537" t="s">
        <v>141</v>
      </c>
      <c r="K12537" t="s">
        <v>14</v>
      </c>
      <c r="L12537" t="s">
        <v>20</v>
      </c>
      <c r="M12537" t="s">
        <v>24065</v>
      </c>
      <c r="N12537" t="s">
        <v>14</v>
      </c>
    </row>
    <row r="12538" x14ac:dyDescent="0.25">
      <c r="A12538" t="n">
        <v>23</v>
      </c>
      <c r="B12538" t="s">
        <v>14</v>
      </c>
      <c r="C12538" t="s">
        <v>22</v>
      </c>
      <c r="D12538" s="2" t="s">
        <f>=HYPERLINK("https://main.knesset.gov.il/APPS/legislation/main/bills/2142801", "הצעת חוק מס ערך מוסף (תיקון - פטור ממס למלכ""רים) (הוראת שעה), התש""ף-2020")</f>
        <v>24212</v>
      </c>
      <c r="E12538" t="s">
        <v>24212</v>
      </c>
      <c r="F12538" t="s">
        <v>24213</v>
      </c>
      <c r="G12538" t="s">
        <v>14</v>
      </c>
      <c r="H12538">
             </c>
      <c r="I12538" t="s">
        <v>14</v>
      </c>
      <c r="J12538" t="s">
        <v>141</v>
      </c>
      <c r="K12538" t="s">
        <v>14</v>
      </c>
      <c r="L12538" t="s">
        <v>20</v>
      </c>
      <c r="M12538" t="s">
        <v>24065</v>
      </c>
      <c r="N12538" t="s">
        <v>14</v>
      </c>
    </row>
    <row r="12539" x14ac:dyDescent="0.25">
      <c r="A12539" t="n">
        <v>23</v>
      </c>
      <c r="B12539" t="s">
        <v>14</v>
      </c>
      <c r="C12539" t="s">
        <v>22</v>
      </c>
      <c r="D12539" s="2" t="s">
        <f>=HYPERLINK("https://main.knesset.gov.il/APPS/legislation/main/bills/2139907", "הצעת חוק לתיקון פקודת מסי העירייה ומסי הממשלה (פטורין) (פטור מארנונה למבנה ברחוב שמתבצעות בו עבודות פיתוח או תשתית), התש""ף-2020")</f>
        <v>24214</v>
      </c>
      <c r="E12539" t="s">
        <v>24214</v>
      </c>
      <c r="F12539" t="s">
        <v>24215</v>
      </c>
      <c r="G12539" t="s">
        <v>14</v>
      </c>
      <c r="H12539">
             </c>
      <c r="I12539" t="s">
        <v>14</v>
      </c>
      <c r="J12539" t="s">
        <v>141</v>
      </c>
      <c r="K12539" t="s">
        <v>14</v>
      </c>
      <c r="L12539" t="s">
        <v>20</v>
      </c>
      <c r="M12539" t="s">
        <v>24065</v>
      </c>
      <c r="N12539" t="s">
        <v>14</v>
      </c>
    </row>
    <row r="12540" x14ac:dyDescent="0.25">
      <c r="A12540" t="n">
        <v>23</v>
      </c>
      <c r="B12540" t="s">
        <v>14</v>
      </c>
      <c r="C12540" t="s">
        <v>22</v>
      </c>
      <c r="D12540" s="2" t="s">
        <f>=HYPERLINK("https://main.knesset.gov.il/APPS/legislation/main/bills/2139908", "הצעת חוק לתיקון פקודת מס הכנסה (פטור ממס לגמלאים על תשלומי פנסיה), התש""ף-2020")</f>
        <v>24216</v>
      </c>
      <c r="E12540" t="s">
        <v>24216</v>
      </c>
      <c r="F12540" t="s">
        <v>24217</v>
      </c>
      <c r="G12540" t="s">
        <v>14</v>
      </c>
      <c r="H12540">
             </c>
      <c r="I12540" t="s">
        <v>14</v>
      </c>
      <c r="J12540" t="s">
        <v>141</v>
      </c>
      <c r="K12540" t="s">
        <v>14</v>
      </c>
      <c r="L12540" t="s">
        <v>20</v>
      </c>
      <c r="M12540" t="s">
        <v>24065</v>
      </c>
      <c r="N12540" t="s">
        <v>14</v>
      </c>
    </row>
    <row r="12541" x14ac:dyDescent="0.25">
      <c r="A12541" t="n">
        <v>23</v>
      </c>
      <c r="B12541" t="s">
        <v>14</v>
      </c>
      <c r="C12541" t="s">
        <v>22</v>
      </c>
      <c r="D12541" s="2" t="s">
        <f>=HYPERLINK("https://main.knesset.gov.il/APPS/legislation/main/bills/2144092", "הצעת חוק הפיקוח על ייצוא ביטחוני (תיקון - הגבלות על ייצוא ביטחוני), התש""ף-2020")</f>
        <v>24218</v>
      </c>
      <c r="E12541" t="s">
        <v>24218</v>
      </c>
      <c r="F12541" t="s">
        <v>24219</v>
      </c>
      <c r="G12541" t="s">
        <v>14</v>
      </c>
      <c r="H12541">
             </c>
      <c r="I12541" t="s">
        <v>14</v>
      </c>
      <c r="J12541" t="s">
        <v>343</v>
      </c>
      <c r="K12541" t="s">
        <v>14</v>
      </c>
      <c r="L12541" t="s">
        <v>20</v>
      </c>
      <c r="M12541" t="s">
        <v>24065</v>
      </c>
      <c r="N12541" t="s">
        <v>14</v>
      </c>
    </row>
    <row r="12542" x14ac:dyDescent="0.25">
      <c r="A12542" t="n">
        <v>23</v>
      </c>
      <c r="B12542" t="s">
        <v>14</v>
      </c>
      <c r="C12542" t="s">
        <v>22</v>
      </c>
      <c r="D12542" s="2" t="s">
        <f>=HYPERLINK("https://main.knesset.gov.il/APPS/legislation/main/bills/2143274", "הצעת חוק לתיקון פקודת מס הכנסה (הכרה בהוצאות עבודה מהבית בתקופת התפשטות נגיף הקורונה החדש) (הוראת שעה), התש""ף-2020")</f>
        <v>24220</v>
      </c>
      <c r="E12542" t="s">
        <v>24220</v>
      </c>
      <c r="F12542" t="s">
        <v>24221</v>
      </c>
      <c r="G12542" t="s">
        <v>14</v>
      </c>
      <c r="H12542">
             </c>
      <c r="I12542" t="s">
        <v>14</v>
      </c>
      <c r="J12542" t="s">
        <v>141</v>
      </c>
      <c r="K12542" t="s">
        <v>14</v>
      </c>
      <c r="L12542" t="s">
        <v>20</v>
      </c>
      <c r="M12542" t="s">
        <v>24065</v>
      </c>
      <c r="N12542" t="s">
        <v>14</v>
      </c>
    </row>
    <row r="12543" x14ac:dyDescent="0.25">
      <c r="A12543" t="n">
        <v>23</v>
      </c>
      <c r="B12543" t="s">
        <v>14</v>
      </c>
      <c r="C12543" t="s">
        <v>22</v>
      </c>
      <c r="D12543" s="2" t="s">
        <f>=HYPERLINK("https://main.knesset.gov.il/APPS/legislation/main/bills/2142341", "הצעת חוק לתיקון פקודת מס הכנסה (ביטול הפטור על רווח הון ממכירת איגרת חוב או מילווה של מדינת ישראל לתושב חוץ), התש""ף-2020")</f>
        <v>24222</v>
      </c>
      <c r="E12543" t="s">
        <v>24222</v>
      </c>
      <c r="F12543" t="s">
        <v>24223</v>
      </c>
      <c r="G12543" t="s">
        <v>14</v>
      </c>
      <c r="H12543">
             </c>
      <c r="I12543" t="s">
        <v>14</v>
      </c>
      <c r="J12543" t="s">
        <v>141</v>
      </c>
      <c r="K12543" t="s">
        <v>14</v>
      </c>
      <c r="L12543" t="s">
        <v>20</v>
      </c>
      <c r="M12543" t="s">
        <v>24065</v>
      </c>
      <c r="N12543" t="s">
        <v>14</v>
      </c>
    </row>
    <row r="12544" x14ac:dyDescent="0.25">
      <c r="A12544" t="n">
        <v>23</v>
      </c>
      <c r="B12544" t="s">
        <v>14</v>
      </c>
      <c r="C12544" t="s">
        <v>22</v>
      </c>
      <c r="D12544" s="2" t="s">
        <f>=HYPERLINK("https://main.knesset.gov.il/APPS/legislation/main/bills/2142451", "הצעת חוק לתיקון פקודת המשטרה (הרכב המחלקה לחקירת שוטרים), התש""ף-2020")</f>
        <v>24224</v>
      </c>
      <c r="E12544" t="s">
        <v>24224</v>
      </c>
      <c r="F12544" t="s">
        <v>24225</v>
      </c>
      <c r="G12544" t="s">
        <v>14</v>
      </c>
      <c r="H12544">
             </c>
      <c r="I12544" t="s">
        <v>14</v>
      </c>
      <c r="J12544" t="s">
        <v>141</v>
      </c>
      <c r="K12544" t="s">
        <v>14</v>
      </c>
      <c r="L12544" t="s">
        <v>20</v>
      </c>
      <c r="M12544" t="s">
        <v>24065</v>
      </c>
      <c r="N12544" t="s">
        <v>14</v>
      </c>
    </row>
    <row r="12545" x14ac:dyDescent="0.25">
      <c r="A12545" t="n">
        <v>23</v>
      </c>
      <c r="B12545" t="s">
        <v>14</v>
      </c>
      <c r="C12545" t="s">
        <v>22</v>
      </c>
      <c r="D12545" s="2" t="s">
        <f>=HYPERLINK("https://main.knesset.gov.il/APPS/legislation/main/bills/2142315", "הצעת חוק היטל על דירת מגורים ריקה באזור היצע דירות מגורים נמוך, התש""ף-2020")</f>
        <v>24226</v>
      </c>
      <c r="E12545" t="s">
        <v>24226</v>
      </c>
      <c r="F12545" t="s">
        <v>24227</v>
      </c>
      <c r="G12545" t="s">
        <v>14</v>
      </c>
      <c r="H12545">
             </c>
      <c r="I12545" t="s">
        <v>14</v>
      </c>
      <c r="J12545" t="s">
        <v>141</v>
      </c>
      <c r="K12545" t="s">
        <v>14</v>
      </c>
      <c r="L12545" t="s">
        <v>20</v>
      </c>
      <c r="M12545" t="s">
        <v>24065</v>
      </c>
      <c r="N12545" t="s">
        <v>14</v>
      </c>
    </row>
    <row r="12546" x14ac:dyDescent="0.25">
      <c r="A12546" t="n">
        <v>23</v>
      </c>
      <c r="B12546" t="s">
        <v>14</v>
      </c>
      <c r="C12546" t="s">
        <v>22</v>
      </c>
      <c r="D12546" s="2" t="s">
        <f>=HYPERLINK("https://main.knesset.gov.il/APPS/legislation/main/bills/2086872", "הצעת חוק לאי מתן הטבות מס למוסד המקיים הפליה (תיקוני חקיקה), התש""ף-2020")</f>
        <v>24228</v>
      </c>
      <c r="E12546" t="s">
        <v>24228</v>
      </c>
      <c r="F12546" t="s">
        <v>24229</v>
      </c>
      <c r="G12546" t="s">
        <v>14</v>
      </c>
      <c r="H12546">
             </c>
      <c r="I12546" t="s">
        <v>14</v>
      </c>
      <c r="J12546" t="s">
        <v>141</v>
      </c>
      <c r="K12546" t="s">
        <v>14</v>
      </c>
      <c r="L12546" t="s">
        <v>20</v>
      </c>
      <c r="M12546" t="s">
        <v>24065</v>
      </c>
      <c r="N12546" t="s">
        <v>14</v>
      </c>
    </row>
    <row r="12547" x14ac:dyDescent="0.25">
      <c r="A12547" t="n">
        <v>23</v>
      </c>
      <c r="B12547" t="s">
        <v>14</v>
      </c>
      <c r="C12547" t="s">
        <v>22</v>
      </c>
      <c r="D12547" s="2" t="s">
        <f>=HYPERLINK("https://main.knesset.gov.il/APPS/legislation/main/bills/2142437", "הצעת חוק החלת אמנת ג'נבה על השטחים המוחזקים על ידי הצבא הישראלי מאז מלחמת יוני 1967, התש""ף-2020")</f>
        <v>24230</v>
      </c>
      <c r="E12547" t="s">
        <v>24230</v>
      </c>
      <c r="F12547" t="s">
        <v>24231</v>
      </c>
      <c r="G12547" t="s">
        <v>14</v>
      </c>
      <c r="H12547">
             </c>
      <c r="I12547" t="s">
        <v>14</v>
      </c>
      <c r="J12547" t="s">
        <v>141</v>
      </c>
      <c r="K12547" t="s">
        <v>14</v>
      </c>
      <c r="L12547" t="s">
        <v>20</v>
      </c>
      <c r="M12547" t="s">
        <v>24065</v>
      </c>
      <c r="N12547" t="s">
        <v>14</v>
      </c>
    </row>
    <row r="12548" x14ac:dyDescent="0.25">
      <c r="A12548" t="n">
        <v>23</v>
      </c>
      <c r="B12548" t="s">
        <v>14</v>
      </c>
      <c r="C12548" t="s">
        <v>22</v>
      </c>
      <c r="D12548" s="2" t="s">
        <f>=HYPERLINK("https://main.knesset.gov.il/APPS/legislation/main/bills/2141839", "הצעת חוק לציון ביטולו של הממשל הצבאי, התש""ף-2020")</f>
        <v>24232</v>
      </c>
      <c r="E12548" t="s">
        <v>24232</v>
      </c>
      <c r="F12548" t="s">
        <v>24233</v>
      </c>
      <c r="G12548" t="s">
        <v>14</v>
      </c>
      <c r="H12548">
             </c>
      <c r="I12548" t="s">
        <v>14</v>
      </c>
      <c r="J12548" t="s">
        <v>141</v>
      </c>
      <c r="K12548" t="s">
        <v>14</v>
      </c>
      <c r="L12548" t="s">
        <v>20</v>
      </c>
      <c r="M12548" t="s">
        <v>24065</v>
      </c>
      <c r="N12548" t="s">
        <v>14</v>
      </c>
    </row>
    <row r="12549" x14ac:dyDescent="0.25">
      <c r="A12549" t="n">
        <v>23</v>
      </c>
      <c r="B12549" t="s">
        <v>14</v>
      </c>
      <c r="C12549" t="s">
        <v>22</v>
      </c>
      <c r="D12549" s="2" t="s">
        <f>=HYPERLINK("https://main.knesset.gov.il/APPS/legislation/main/bills/2141791", "הצעת חוק לאשרור אמנת רומא, התש""ף-2020")</f>
        <v>24234</v>
      </c>
      <c r="E12549" t="s">
        <v>24234</v>
      </c>
      <c r="F12549" t="s">
        <v>24235</v>
      </c>
      <c r="G12549" t="s">
        <v>14</v>
      </c>
      <c r="H12549">
             </c>
      <c r="I12549" t="s">
        <v>14</v>
      </c>
      <c r="J12549" t="s">
        <v>141</v>
      </c>
      <c r="K12549" t="s">
        <v>14</v>
      </c>
      <c r="L12549" t="s">
        <v>20</v>
      </c>
      <c r="M12549" t="s">
        <v>24065</v>
      </c>
      <c r="N12549" t="s">
        <v>14</v>
      </c>
    </row>
    <row r="12550" x14ac:dyDescent="0.25">
      <c r="A12550" t="n">
        <v>23</v>
      </c>
      <c r="B12550" t="s">
        <v>14</v>
      </c>
      <c r="C12550" t="s">
        <v>22</v>
      </c>
      <c r="D12550" s="2" t="s">
        <f>=HYPERLINK("https://main.knesset.gov.il/APPS/legislation/main/bills/2143960", "הצעת חוק התכנון והבנייה (תיקון - התניית היתר בהתקנת מקומות חניה), התש""ף-2020")</f>
        <v>24236</v>
      </c>
      <c r="E12550" t="s">
        <v>24236</v>
      </c>
      <c r="F12550" t="s">
        <v>24237</v>
      </c>
      <c r="G12550" t="s">
        <v>14</v>
      </c>
      <c r="H12550">
             </c>
      <c r="I12550" t="s">
        <v>14</v>
      </c>
      <c r="J12550" t="s">
        <v>141</v>
      </c>
      <c r="K12550" t="s">
        <v>14</v>
      </c>
      <c r="L12550" t="s">
        <v>20</v>
      </c>
      <c r="M12550" t="s">
        <v>24065</v>
      </c>
      <c r="N12550" t="s">
        <v>14</v>
      </c>
    </row>
    <row r="12551" x14ac:dyDescent="0.25">
      <c r="A12551" t="n">
        <v>23</v>
      </c>
      <c r="B12551" t="s">
        <v>14</v>
      </c>
      <c r="C12551" t="s">
        <v>22</v>
      </c>
      <c r="D12551" s="2" t="s">
        <f>=HYPERLINK("https://main.knesset.gov.il/APPS/legislation/main/bills/2139621", "הצעת חוק הביקורת הפנימית (תיקון - יישום המלצות הוועדה הציבורית לבחינת חוק הביקורת הפנימית), התש""ף-2020")</f>
        <v>24238</v>
      </c>
      <c r="E12551" t="s">
        <v>24238</v>
      </c>
      <c r="F12551" t="s">
        <v>24239</v>
      </c>
      <c r="G12551" t="s">
        <v>14</v>
      </c>
      <c r="H12551">
             </c>
      <c r="I12551" t="s">
        <v>14</v>
      </c>
      <c r="J12551" t="s">
        <v>141</v>
      </c>
      <c r="K12551" t="s">
        <v>14</v>
      </c>
      <c r="L12551" t="s">
        <v>20</v>
      </c>
      <c r="M12551" t="s">
        <v>24065</v>
      </c>
      <c r="N12551" t="s">
        <v>14</v>
      </c>
    </row>
    <row r="12552" x14ac:dyDescent="0.25">
      <c r="A12552" t="n">
        <v>23</v>
      </c>
      <c r="B12552" t="s">
        <v>14</v>
      </c>
      <c r="C12552" t="s">
        <v>22</v>
      </c>
      <c r="D12552" s="2" t="s">
        <f>=HYPERLINK("https://main.knesset.gov.il/APPS/legislation/main/bills/2142440", "הצעת חוק הרשויות המקומיות (יועץ לקידום מעמד אנשים עם מוגבלויות), התש""ף-2020")</f>
        <v>24240</v>
      </c>
      <c r="E12552" t="s">
        <v>24240</v>
      </c>
      <c r="F12552" t="s">
        <v>24241</v>
      </c>
      <c r="G12552" t="s">
        <v>14</v>
      </c>
      <c r="H12552">
             </c>
      <c r="I12552" t="s">
        <v>14</v>
      </c>
      <c r="J12552" t="s">
        <v>141</v>
      </c>
      <c r="K12552" t="s">
        <v>14</v>
      </c>
      <c r="L12552" t="s">
        <v>20</v>
      </c>
      <c r="M12552" t="s">
        <v>24065</v>
      </c>
      <c r="N12552" t="s">
        <v>14</v>
      </c>
    </row>
    <row r="12553" x14ac:dyDescent="0.25">
      <c r="A12553" t="n">
        <v>23</v>
      </c>
      <c r="B12553" t="s">
        <v>14</v>
      </c>
      <c r="C12553" t="s">
        <v>22</v>
      </c>
      <c r="D12553" s="2" t="s">
        <f>=HYPERLINK("https://main.knesset.gov.il/APPS/legislation/main/bills/2142997", "הצעת חוק מרשם האוכלוסין (תיקון - אי חובת ציון שם הורה בתעודת זהות), התש""ף-2020")</f>
        <v>24242</v>
      </c>
      <c r="E12553" t="s">
        <v>24242</v>
      </c>
      <c r="F12553" t="s">
        <v>24243</v>
      </c>
      <c r="G12553" t="s">
        <v>14</v>
      </c>
      <c r="H12553">
             </c>
      <c r="I12553" t="s">
        <v>14</v>
      </c>
      <c r="J12553" t="s">
        <v>141</v>
      </c>
      <c r="K12553" t="s">
        <v>14</v>
      </c>
      <c r="L12553" t="s">
        <v>20</v>
      </c>
      <c r="M12553" t="s">
        <v>24065</v>
      </c>
      <c r="N12553" t="s">
        <v>14</v>
      </c>
    </row>
    <row r="12554" x14ac:dyDescent="0.25">
      <c r="A12554" t="n">
        <v>23</v>
      </c>
      <c r="B12554" t="s">
        <v>14</v>
      </c>
      <c r="C12554" t="s">
        <v>22</v>
      </c>
      <c r="D12554" s="2" t="s">
        <f>=HYPERLINK("https://main.knesset.gov.il/APPS/legislation/main/bills/2142993", "הצעת חוק רישוי עסקים (תיקון - עסק של אבזרי מין), התש""ף-2020")</f>
        <v>24244</v>
      </c>
      <c r="E12554" t="s">
        <v>24244</v>
      </c>
      <c r="F12554" t="s">
        <v>24245</v>
      </c>
      <c r="G12554" t="s">
        <v>14</v>
      </c>
      <c r="H12554">
             </c>
      <c r="I12554" t="s">
        <v>14</v>
      </c>
      <c r="J12554" t="s">
        <v>141</v>
      </c>
      <c r="K12554" t="s">
        <v>14</v>
      </c>
      <c r="L12554" t="s">
        <v>20</v>
      </c>
      <c r="M12554" t="s">
        <v>24065</v>
      </c>
      <c r="N12554" t="s">
        <v>14</v>
      </c>
    </row>
    <row r="12555" x14ac:dyDescent="0.25">
      <c r="A12555" t="n">
        <v>23</v>
      </c>
      <c r="B12555" t="s">
        <v>14</v>
      </c>
      <c r="C12555" t="s">
        <v>22</v>
      </c>
      <c r="D12555" s="2" t="s">
        <f>=HYPERLINK("https://main.knesset.gov.il/APPS/legislation/main/bills/2143492", "הצעת חוק הכניסה לישראל (תיקון - רישיון מיוחד לישיבת ביקור), התש""ף-2020")</f>
        <v>24246</v>
      </c>
      <c r="E12555" t="s">
        <v>24246</v>
      </c>
      <c r="F12555" t="s">
        <v>24247</v>
      </c>
      <c r="G12555" t="s">
        <v>14</v>
      </c>
      <c r="H12555">
             </c>
      <c r="I12555" t="s">
        <v>14</v>
      </c>
      <c r="J12555" t="s">
        <v>141</v>
      </c>
      <c r="K12555" t="s">
        <v>14</v>
      </c>
      <c r="L12555" t="s">
        <v>20</v>
      </c>
      <c r="M12555" t="s">
        <v>24065</v>
      </c>
      <c r="N12555" t="s">
        <v>14</v>
      </c>
    </row>
    <row r="12556" x14ac:dyDescent="0.25">
      <c r="A12556" t="n">
        <v>23</v>
      </c>
      <c r="B12556" t="s">
        <v>14</v>
      </c>
      <c r="C12556" t="s">
        <v>22</v>
      </c>
      <c r="D12556" s="2" t="s">
        <f>=HYPERLINK("https://main.knesset.gov.il/APPS/legislation/main/bills/2143244", "הצעת חוק הסדרת הטיפול בחופי הכנרת (תיקון - מועצת איגוד ערים כנרת), התש""ף-2020")</f>
        <v>24248</v>
      </c>
      <c r="E12556" t="s">
        <v>24248</v>
      </c>
      <c r="F12556" t="s">
        <v>24249</v>
      </c>
      <c r="G12556" t="s">
        <v>14</v>
      </c>
      <c r="H12556">
             </c>
      <c r="I12556" t="s">
        <v>14</v>
      </c>
      <c r="J12556" t="s">
        <v>141</v>
      </c>
      <c r="K12556" t="s">
        <v>14</v>
      </c>
      <c r="L12556" t="s">
        <v>20</v>
      </c>
      <c r="M12556" t="s">
        <v>24065</v>
      </c>
      <c r="N12556" t="s">
        <v>14</v>
      </c>
    </row>
    <row r="12557" x14ac:dyDescent="0.25">
      <c r="A12557" t="n">
        <v>23</v>
      </c>
      <c r="B12557" t="s">
        <v>14</v>
      </c>
      <c r="C12557" t="s">
        <v>22</v>
      </c>
      <c r="D12557" s="2" t="s">
        <f>=HYPERLINK("https://main.knesset.gov.il/APPS/legislation/main/bills/2143462", "הצעת חוק לפיקוח על ייצור הצמח ושיווקו (תיקון - חובת סימון ארץ הייצור של צמחים הנמכרים בתפזורת), התש""ף-2020")</f>
        <v>24250</v>
      </c>
      <c r="E12557" t="s">
        <v>24250</v>
      </c>
      <c r="F12557" t="s">
        <v>24251</v>
      </c>
      <c r="G12557" t="s">
        <v>14</v>
      </c>
      <c r="H12557">
             </c>
      <c r="I12557" t="s">
        <v>14</v>
      </c>
      <c r="J12557" t="s">
        <v>141</v>
      </c>
      <c r="K12557" t="s">
        <v>14</v>
      </c>
      <c r="L12557" t="s">
        <v>20</v>
      </c>
      <c r="M12557" t="s">
        <v>24065</v>
      </c>
      <c r="N12557" t="s">
        <v>14</v>
      </c>
    </row>
    <row r="12558" x14ac:dyDescent="0.25">
      <c r="A12558" t="n">
        <v>23</v>
      </c>
      <c r="B12558" t="s">
        <v>14</v>
      </c>
      <c r="C12558" t="s">
        <v>22</v>
      </c>
      <c r="D12558" s="2" t="s">
        <f>=HYPERLINK("https://main.knesset.gov.il/APPS/legislation/main/bills/2143199", "הצעת חוק האזרחים הוותיקים (תיקון - פטור מתשלום בתחבורה ציבורית), התש""ף-2020")</f>
        <v>24252</v>
      </c>
      <c r="E12558" t="s">
        <v>24252</v>
      </c>
      <c r="F12558" t="s">
        <v>24253</v>
      </c>
      <c r="G12558" t="s">
        <v>14</v>
      </c>
      <c r="H12558">
             </c>
      <c r="I12558" t="s">
        <v>14</v>
      </c>
      <c r="J12558" t="s">
        <v>141</v>
      </c>
      <c r="K12558" t="s">
        <v>14</v>
      </c>
      <c r="L12558" t="s">
        <v>20</v>
      </c>
      <c r="M12558" t="s">
        <v>24065</v>
      </c>
      <c r="N12558" t="s">
        <v>14</v>
      </c>
    </row>
    <row r="12559" x14ac:dyDescent="0.25">
      <c r="A12559" t="n">
        <v>23</v>
      </c>
      <c r="B12559" t="s">
        <v>14</v>
      </c>
      <c r="C12559" t="s">
        <v>15</v>
      </c>
      <c r="D12559" s="2" t="s">
        <f>=HYPERLINK("https://main.knesset.gov.il/APPS/legislation/main/bills/2144007", "חוק שירותי תעופה (פיצוי וסיוע בשל ביטול טיסה או שינוי בתנאיה) (נגיף הקורונה החדש – הוראת שעה – תיקון) (תיקון), התש""ף-2020")</f>
        <v>24254</v>
      </c>
      <c r="E12559" t="s">
        <v>24254</v>
      </c>
      <c r="F12559" t="s">
        <v>14</v>
      </c>
      <c r="G12559" t="s">
        <v>24255</v>
      </c>
      <c r="H12559" t="n">
        <v>2841</v>
      </c>
      <c r="I12559" t="s">
        <v>14</v>
      </c>
      <c r="J12559" t="s">
        <v>91</v>
      </c>
      <c r="K12559" t="s">
        <v>19</v>
      </c>
      <c r="L12559" t="s">
        <v>20</v>
      </c>
      <c r="M12559" t="s">
        <v>24256</v>
      </c>
      <c r="N12559" t="s">
        <v>24257</v>
      </c>
    </row>
    <row r="12560" x14ac:dyDescent="0.25">
      <c r="A12560" t="n">
        <v>23</v>
      </c>
      <c r="B12560" t="s">
        <v>14</v>
      </c>
      <c r="C12560" t="s">
        <v>22</v>
      </c>
      <c r="D12560" s="2" t="s">
        <f>=HYPERLINK("https://main.knesset.gov.il/APPS/legislation/main/bills/2085834", "הצעת חוק-יסוד: הממשלה (תיקון - סייג להטלת התפקיד להרכיב ממשלה)")</f>
        <v>13344</v>
      </c>
      <c r="E12560" t="s">
        <v>13344</v>
      </c>
      <c r="F12560" t="s">
        <v>24258</v>
      </c>
      <c r="G12560" t="s">
        <v>14</v>
      </c>
      <c r="H12560">
             </c>
      <c r="I12560" t="s">
        <v>14</v>
      </c>
      <c r="J12560" t="s">
        <v>55</v>
      </c>
      <c r="K12560" t="s">
        <v>14</v>
      </c>
      <c r="L12560" t="s">
        <v>20</v>
      </c>
      <c r="M12560" t="s">
        <v>24256</v>
      </c>
      <c r="N12560" t="s">
        <v>14</v>
      </c>
    </row>
    <row r="12561" x14ac:dyDescent="0.25">
      <c r="A12561" t="n">
        <v>23</v>
      </c>
      <c r="B12561" t="s">
        <v>14</v>
      </c>
      <c r="C12561" t="s">
        <v>22</v>
      </c>
      <c r="D12561" s="2" t="s">
        <f>=HYPERLINK("https://main.knesset.gov.il/APPS/legislation/main/bills/2086769", "הצעת חוק הבטחת הכנסה (תיקון - תשלום רטרואקטיבי של גמלת הבטחת הכנסה למקבלי קצבת אזרח ותיק), התש""ף-2020")</f>
        <v>24259</v>
      </c>
      <c r="E12561" t="s">
        <v>24259</v>
      </c>
      <c r="F12561" t="s">
        <v>24260</v>
      </c>
      <c r="G12561" t="s">
        <v>14</v>
      </c>
      <c r="H12561">
             </c>
      <c r="I12561" t="s">
        <v>14</v>
      </c>
      <c r="J12561" t="s">
        <v>99</v>
      </c>
      <c r="K12561" t="s">
        <v>15147</v>
      </c>
      <c r="L12561" t="s">
        <v>20</v>
      </c>
      <c r="M12561" t="s">
        <v>24261</v>
      </c>
      <c r="N12561" t="s">
        <v>14</v>
      </c>
    </row>
    <row r="12562" x14ac:dyDescent="0.25">
      <c r="A12562" t="n">
        <v>23</v>
      </c>
      <c r="B12562" t="s">
        <v>14</v>
      </c>
      <c r="C12562" t="s">
        <v>22</v>
      </c>
      <c r="D12562" s="2" t="s">
        <f>=HYPERLINK("https://main.knesset.gov.il/APPS/legislation/main/bills/2086376", "הצעת חוק הבטחת הכנסה (תיקון - תשלום רטרואקטיבי של גמלת הבטחת הכנסה למקבלי קצבת אזרח ותיק), התש""ף-2020")</f>
        <v>24259</v>
      </c>
      <c r="E12562" t="s">
        <v>24259</v>
      </c>
      <c r="F12562" t="s">
        <v>24262</v>
      </c>
      <c r="G12562" t="s">
        <v>14</v>
      </c>
      <c r="H12562">
             </c>
      <c r="I12562" t="s">
        <v>14</v>
      </c>
      <c r="J12562" t="s">
        <v>99</v>
      </c>
      <c r="K12562" t="s">
        <v>15147</v>
      </c>
      <c r="L12562" t="s">
        <v>20</v>
      </c>
      <c r="M12562" t="s">
        <v>24261</v>
      </c>
      <c r="N12562" t="s">
        <v>14</v>
      </c>
    </row>
    <row r="12563" x14ac:dyDescent="0.25">
      <c r="A12563" t="n">
        <v>23</v>
      </c>
      <c r="B12563" t="s">
        <v>14</v>
      </c>
      <c r="C12563" t="s">
        <v>15</v>
      </c>
      <c r="D12563" s="2" t="s">
        <f>=HYPERLINK("https://main.knesset.gov.il/APPS/legislation/main/bills/2142195", "חוק הארכת תקופות וקיום דיונים בהיוועדות חזותית בענייני תכנון ובנייה (נגיף הקורונה החדש - הוראת שעה), התש""ף-2020 ")</f>
        <v>24263</v>
      </c>
      <c r="E12563" t="s">
        <v>24263</v>
      </c>
      <c r="F12563" t="s">
        <v>14</v>
      </c>
      <c r="G12563" t="s">
        <v>24264</v>
      </c>
      <c r="H12563" t="n">
        <v>2840</v>
      </c>
      <c r="I12563" t="s">
        <v>14</v>
      </c>
      <c r="J12563" t="s">
        <v>91</v>
      </c>
      <c r="K12563" t="s">
        <v>46</v>
      </c>
      <c r="L12563" t="s">
        <v>20</v>
      </c>
      <c r="M12563" t="s">
        <v>24261</v>
      </c>
      <c r="N12563" t="s">
        <v>24265</v>
      </c>
    </row>
    <row r="12564" x14ac:dyDescent="0.25">
      <c r="A12564" t="n">
        <v>23</v>
      </c>
      <c r="B12564" t="s">
        <v>14</v>
      </c>
      <c r="C12564" t="s">
        <v>22</v>
      </c>
      <c r="D12564" s="2" t="s">
        <f>=HYPERLINK("https://main.knesset.gov.il/APPS/legislation/main/bills/2142405", "הצעת חוק הקמת קרן לדמי מחלה לעובדים עצמאים שחלו בנגיף הקורונה או שחלה עליהם חובת בידוד, התש""ף-2020 ")</f>
        <v>24266</v>
      </c>
      <c r="E12564" t="s">
        <v>24266</v>
      </c>
      <c r="F12564" t="s">
        <v>24267</v>
      </c>
      <c r="G12564" t="s">
        <v>14</v>
      </c>
      <c r="H12564">
             </c>
      <c r="I12564" t="s">
        <v>14</v>
      </c>
      <c r="J12564" t="s">
        <v>141</v>
      </c>
      <c r="K12564" t="s">
        <v>14</v>
      </c>
      <c r="L12564" t="s">
        <v>20</v>
      </c>
      <c r="M12564" t="s">
        <v>24261</v>
      </c>
      <c r="N12564" t="s">
        <v>14</v>
      </c>
    </row>
    <row r="12565" x14ac:dyDescent="0.25">
      <c r="A12565" t="n">
        <v>23</v>
      </c>
      <c r="B12565" t="s">
        <v>14</v>
      </c>
      <c r="C12565" t="s">
        <v>22</v>
      </c>
      <c r="D12565" s="2" t="s">
        <f>=HYPERLINK("https://main.knesset.gov.il/APPS/legislation/main/bills/2142710", "הצעת חוק ארגוני עזר רפואיים הפועלים בתחום רפואת חירום דחופה טרום אשפוזית, התש""ף-2020 ")</f>
        <v>24268</v>
      </c>
      <c r="E12565" t="s">
        <v>24268</v>
      </c>
      <c r="F12565" t="s">
        <v>24269</v>
      </c>
      <c r="G12565" t="s">
        <v>14</v>
      </c>
      <c r="H12565">
             </c>
      <c r="I12565" t="s">
        <v>14</v>
      </c>
      <c r="J12565" t="s">
        <v>141</v>
      </c>
      <c r="K12565" t="s">
        <v>14</v>
      </c>
      <c r="L12565" t="s">
        <v>20</v>
      </c>
      <c r="M12565" t="s">
        <v>24261</v>
      </c>
      <c r="N12565" t="s">
        <v>14</v>
      </c>
    </row>
    <row r="12566" x14ac:dyDescent="0.25">
      <c r="A12566" t="n">
        <v>23</v>
      </c>
      <c r="B12566" t="s">
        <v>14</v>
      </c>
      <c r="C12566" t="s">
        <v>22</v>
      </c>
      <c r="D12566" s="2" t="s">
        <f>=HYPERLINK("https://main.knesset.gov.il/APPS/legislation/main/bills/2142328", "הצעת חוק הליך טיפול מזורז על ידי גוף ציבורי בחולה הנוטה למות, התש""ף-2020")</f>
        <v>24270</v>
      </c>
      <c r="E12566" t="s">
        <v>24270</v>
      </c>
      <c r="F12566" t="s">
        <v>24271</v>
      </c>
      <c r="G12566" t="s">
        <v>14</v>
      </c>
      <c r="H12566">
             </c>
      <c r="I12566" t="s">
        <v>14</v>
      </c>
      <c r="J12566" t="s">
        <v>141</v>
      </c>
      <c r="K12566" t="s">
        <v>14</v>
      </c>
      <c r="L12566" t="s">
        <v>20</v>
      </c>
      <c r="M12566" t="s">
        <v>24261</v>
      </c>
      <c r="N12566" t="s">
        <v>14</v>
      </c>
    </row>
    <row r="12567" x14ac:dyDescent="0.25">
      <c r="A12567" t="n">
        <v>23</v>
      </c>
      <c r="B12567" t="s">
        <v>14</v>
      </c>
      <c r="C12567" t="s">
        <v>22</v>
      </c>
      <c r="D12567" s="2" t="s">
        <f>=HYPERLINK("https://main.knesset.gov.il/APPS/legislation/main/bills/2088421", "הצעת חוק מס רכוש וקרן פיצויים (תיקון - תשלום פיצויים ומקדמות בעד נזק בגין נגיף הקורונה החדש), התש""ף-2020")</f>
        <v>24272</v>
      </c>
      <c r="E12567" t="s">
        <v>24272</v>
      </c>
      <c r="F12567" t="s">
        <v>24273</v>
      </c>
      <c r="G12567" t="s">
        <v>14</v>
      </c>
      <c r="H12567">
             </c>
      <c r="I12567" t="s">
        <v>14</v>
      </c>
      <c r="J12567" t="s">
        <v>141</v>
      </c>
      <c r="K12567" t="s">
        <v>14</v>
      </c>
      <c r="L12567" t="s">
        <v>20</v>
      </c>
      <c r="M12567" t="s">
        <v>24261</v>
      </c>
      <c r="N12567" t="s">
        <v>14</v>
      </c>
    </row>
    <row r="12568" x14ac:dyDescent="0.25">
      <c r="A12568" t="n">
        <v>23</v>
      </c>
      <c r="B12568" t="s">
        <v>14</v>
      </c>
      <c r="C12568" t="s">
        <v>22</v>
      </c>
      <c r="D12568" s="2" t="s">
        <f>=HYPERLINK("https://main.knesset.gov.il/APPS/legislation/main/bills/2141406", "הצעת חוק קליטת חיילים משוחררים (תיקון - הטבות לחיילים בודדים), התש""ף-2020")</f>
        <v>24274</v>
      </c>
      <c r="E12568" t="s">
        <v>24274</v>
      </c>
      <c r="F12568" t="s">
        <v>24275</v>
      </c>
      <c r="G12568" t="s">
        <v>14</v>
      </c>
      <c r="H12568">
             </c>
      <c r="I12568" t="s">
        <v>14</v>
      </c>
      <c r="J12568" t="s">
        <v>141</v>
      </c>
      <c r="K12568" t="s">
        <v>14</v>
      </c>
      <c r="L12568" t="s">
        <v>20</v>
      </c>
      <c r="M12568" t="s">
        <v>24261</v>
      </c>
      <c r="N12568" t="s">
        <v>14</v>
      </c>
    </row>
    <row r="12569" x14ac:dyDescent="0.25">
      <c r="A12569" t="n">
        <v>23</v>
      </c>
      <c r="B12569" t="s">
        <v>14</v>
      </c>
      <c r="C12569" t="s">
        <v>22</v>
      </c>
      <c r="D12569" s="2" t="s">
        <f>=HYPERLINK("https://main.knesset.gov.il/APPS/legislation/main/bills/2087774", "הצעת חוק הפיקוח על שירותים פיננסיים (שירותים פיננסיים מוסדרים) (תיקון - שירות להשוואת עלויות פיננסיות), התש""ף-2020")</f>
        <v>24276</v>
      </c>
      <c r="E12569" t="s">
        <v>24276</v>
      </c>
      <c r="F12569" t="s">
        <v>24277</v>
      </c>
      <c r="G12569" t="s">
        <v>14</v>
      </c>
      <c r="H12569">
             </c>
      <c r="I12569" t="s">
        <v>14</v>
      </c>
      <c r="J12569" t="s">
        <v>141</v>
      </c>
      <c r="K12569" t="s">
        <v>14</v>
      </c>
      <c r="L12569" t="s">
        <v>20</v>
      </c>
      <c r="M12569" t="s">
        <v>24261</v>
      </c>
      <c r="N12569" t="s">
        <v>14</v>
      </c>
    </row>
    <row r="12570" x14ac:dyDescent="0.25">
      <c r="A12570" t="n">
        <v>23</v>
      </c>
      <c r="B12570" t="s">
        <v>14</v>
      </c>
      <c r="C12570" t="s">
        <v>22</v>
      </c>
      <c r="D12570" s="2" t="s">
        <f>=HYPERLINK("https://main.knesset.gov.il/APPS/legislation/main/bills/2143044", "הצעת חוק הביטוח הלאומי (תיקון - קצבת נכות לעקרת בית), התש""ף-2020")</f>
        <v>24278</v>
      </c>
      <c r="E12570" t="s">
        <v>24278</v>
      </c>
      <c r="F12570" t="s">
        <v>24279</v>
      </c>
      <c r="G12570" t="s">
        <v>14</v>
      </c>
      <c r="H12570">
             </c>
      <c r="I12570" t="s">
        <v>14</v>
      </c>
      <c r="J12570" t="s">
        <v>141</v>
      </c>
      <c r="K12570" t="s">
        <v>14</v>
      </c>
      <c r="L12570" t="s">
        <v>20</v>
      </c>
      <c r="M12570" t="s">
        <v>24261</v>
      </c>
      <c r="N12570" t="s">
        <v>14</v>
      </c>
    </row>
    <row r="12571" x14ac:dyDescent="0.25">
      <c r="A12571" t="n">
        <v>23</v>
      </c>
      <c r="B12571" t="s">
        <v>14</v>
      </c>
      <c r="C12571" t="s">
        <v>22</v>
      </c>
      <c r="D12571" s="2" t="s">
        <f>=HYPERLINK("https://main.knesset.gov.il/APPS/legislation/main/bills/2088324", "הצעת חוק העונשין (תיקון - איסור שיווק ומכירת הימורים בידי מי שאינו בעל היתר, פועל מטעמו או בפיקוחו), התש""ף-2020")</f>
        <v>24280</v>
      </c>
      <c r="E12571" t="s">
        <v>24280</v>
      </c>
      <c r="F12571" t="s">
        <v>24281</v>
      </c>
      <c r="G12571" t="s">
        <v>14</v>
      </c>
      <c r="H12571">
             </c>
      <c r="I12571" t="s">
        <v>14</v>
      </c>
      <c r="J12571" t="s">
        <v>141</v>
      </c>
      <c r="K12571" t="s">
        <v>14</v>
      </c>
      <c r="L12571" t="s">
        <v>20</v>
      </c>
      <c r="M12571" t="s">
        <v>24261</v>
      </c>
      <c r="N12571" t="s">
        <v>14</v>
      </c>
    </row>
    <row r="12572" x14ac:dyDescent="0.25">
      <c r="A12572" t="n">
        <v>23</v>
      </c>
      <c r="B12572" t="s">
        <v>14</v>
      </c>
      <c r="C12572" t="s">
        <v>22</v>
      </c>
      <c r="D12572" s="2" t="s">
        <f>=HYPERLINK("https://main.knesset.gov.il/APPS/legislation/main/bills/2142068", "הצעת חוק שירות המדינה (מינויים) (תיקון - מתן העדפה למשרתים בהעדפה מתקנת), התש""ף-2020")</f>
        <v>24282</v>
      </c>
      <c r="E12572" t="s">
        <v>24282</v>
      </c>
      <c r="F12572" t="s">
        <v>24283</v>
      </c>
      <c r="G12572" t="s">
        <v>14</v>
      </c>
      <c r="H12572">
             </c>
      <c r="I12572" t="s">
        <v>14</v>
      </c>
      <c r="J12572" t="s">
        <v>141</v>
      </c>
      <c r="K12572" t="s">
        <v>14</v>
      </c>
      <c r="L12572" t="s">
        <v>20</v>
      </c>
      <c r="M12572" t="s">
        <v>24261</v>
      </c>
      <c r="N12572" t="s">
        <v>14</v>
      </c>
    </row>
    <row r="12573" x14ac:dyDescent="0.25">
      <c r="A12573" t="n">
        <v>23</v>
      </c>
      <c r="B12573" t="s">
        <v>14</v>
      </c>
      <c r="C12573" t="s">
        <v>22</v>
      </c>
      <c r="D12573" s="2" t="s">
        <f>=HYPERLINK("https://main.knesset.gov.il/APPS/legislation/main/bills/2140617", "הצעת חוק הסדרת ההתיישבות ביהודה והשומרון, התש""ף-2020")</f>
        <v>24284</v>
      </c>
      <c r="E12573" t="s">
        <v>24284</v>
      </c>
      <c r="F12573" t="s">
        <v>24285</v>
      </c>
      <c r="G12573" t="s">
        <v>14</v>
      </c>
      <c r="H12573">
             </c>
      <c r="I12573" t="s">
        <v>14</v>
      </c>
      <c r="J12573" t="s">
        <v>141</v>
      </c>
      <c r="K12573" t="s">
        <v>14</v>
      </c>
      <c r="L12573" t="s">
        <v>20</v>
      </c>
      <c r="M12573" t="s">
        <v>24261</v>
      </c>
      <c r="N12573" t="s">
        <v>14</v>
      </c>
    </row>
    <row r="12574" x14ac:dyDescent="0.25">
      <c r="A12574" t="n">
        <v>23</v>
      </c>
      <c r="B12574" t="s">
        <v>14</v>
      </c>
      <c r="C12574" t="s">
        <v>22</v>
      </c>
      <c r="D12574" s="2" t="s">
        <f>=HYPERLINK("https://main.knesset.gov.il/APPS/legislation/main/bills/2139831", "הצעת חוק הביטוח הלאומי (תיקון - פטור לסטודנטים מתשלום דמי ביטוח לאומי), התש""ף-2020")</f>
        <v>23236</v>
      </c>
      <c r="E12574" t="s">
        <v>23236</v>
      </c>
      <c r="F12574" t="s">
        <v>24286</v>
      </c>
      <c r="G12574" t="s">
        <v>14</v>
      </c>
      <c r="H12574">
             </c>
      <c r="I12574" t="s">
        <v>14</v>
      </c>
      <c r="J12574" t="s">
        <v>141</v>
      </c>
      <c r="K12574" t="s">
        <v>14</v>
      </c>
      <c r="L12574" t="s">
        <v>20</v>
      </c>
      <c r="M12574" t="s">
        <v>24261</v>
      </c>
      <c r="N12574" t="s">
        <v>14</v>
      </c>
    </row>
    <row r="12575" x14ac:dyDescent="0.25">
      <c r="A12575" t="n">
        <v>23</v>
      </c>
      <c r="B12575" t="s">
        <v>14</v>
      </c>
      <c r="C12575" t="s">
        <v>22</v>
      </c>
      <c r="D12575" s="2" t="s">
        <f>=HYPERLINK("https://main.knesset.gov.il/APPS/legislation/main/bills/2088081", "הצעת חוק התובע הכללי, התש""ף-2020")</f>
        <v>23885</v>
      </c>
      <c r="E12575" t="s">
        <v>23885</v>
      </c>
      <c r="F12575" t="s">
        <v>24287</v>
      </c>
      <c r="G12575" t="s">
        <v>14</v>
      </c>
      <c r="H12575">
             </c>
      <c r="I12575" t="s">
        <v>14</v>
      </c>
      <c r="J12575" t="s">
        <v>141</v>
      </c>
      <c r="K12575" t="s">
        <v>14</v>
      </c>
      <c r="L12575" t="s">
        <v>20</v>
      </c>
      <c r="M12575" t="s">
        <v>24261</v>
      </c>
      <c r="N12575" t="s">
        <v>14</v>
      </c>
    </row>
    <row r="12576" x14ac:dyDescent="0.25">
      <c r="A12576" t="n">
        <v>23</v>
      </c>
      <c r="B12576" t="s">
        <v>14</v>
      </c>
      <c r="C12576" t="s">
        <v>22</v>
      </c>
      <c r="D12576" s="2" t="s">
        <f>=HYPERLINK("https://main.knesset.gov.il/APPS/legislation/main/bills/2143416", "הצעת חוק הנכים (תגמולים ושיקום) (תיקון - הגבלת שכר טרחת עורך דין), התש""ף-2020")</f>
        <v>24288</v>
      </c>
      <c r="E12576" t="s">
        <v>24288</v>
      </c>
      <c r="F12576" t="s">
        <v>24289</v>
      </c>
      <c r="G12576" t="s">
        <v>14</v>
      </c>
      <c r="H12576">
             </c>
      <c r="I12576" t="s">
        <v>14</v>
      </c>
      <c r="J12576" t="s">
        <v>141</v>
      </c>
      <c r="K12576" t="s">
        <v>14</v>
      </c>
      <c r="L12576" t="s">
        <v>20</v>
      </c>
      <c r="M12576" t="s">
        <v>24261</v>
      </c>
      <c r="N12576" t="s">
        <v>14</v>
      </c>
    </row>
    <row r="12577" x14ac:dyDescent="0.25">
      <c r="A12577" t="n">
        <v>23</v>
      </c>
      <c r="B12577" t="s">
        <v>14</v>
      </c>
      <c r="C12577" t="s">
        <v>22</v>
      </c>
      <c r="D12577" s="2" t="s">
        <f>=HYPERLINK("https://main.knesset.gov.il/APPS/legislation/main/bills/2143007", "הצעת חוק שירות הציבור (הגבלות לאחר פרישה) (תיקון - איסור על מתן היתרים או פטורים למשרתים בכוחות הביטחון ובמשרד הביטחון), התש""ף-2020")</f>
        <v>24290</v>
      </c>
      <c r="E12577" t="s">
        <v>24290</v>
      </c>
      <c r="F12577" t="s">
        <v>24291</v>
      </c>
      <c r="G12577" t="s">
        <v>14</v>
      </c>
      <c r="H12577">
             </c>
      <c r="I12577" t="s">
        <v>14</v>
      </c>
      <c r="J12577" t="s">
        <v>141</v>
      </c>
      <c r="K12577" t="s">
        <v>14</v>
      </c>
      <c r="L12577" t="s">
        <v>20</v>
      </c>
      <c r="M12577" t="s">
        <v>24261</v>
      </c>
      <c r="N12577" t="s">
        <v>14</v>
      </c>
    </row>
    <row r="12578" x14ac:dyDescent="0.25">
      <c r="A12578" t="n">
        <v>23</v>
      </c>
      <c r="B12578" t="s">
        <v>14</v>
      </c>
      <c r="C12578" t="s">
        <v>22</v>
      </c>
      <c r="D12578" s="2" t="s">
        <f>=HYPERLINK("https://main.knesset.gov.il/APPS/legislation/main/bills/2143018", "הצעת חוק זכויות החולה (תיקון - איסור הפליה על בסיס מצב כלכלי), התש""ף-2020")</f>
        <v>24292</v>
      </c>
      <c r="E12578" t="s">
        <v>24292</v>
      </c>
      <c r="F12578" t="s">
        <v>24293</v>
      </c>
      <c r="G12578" t="s">
        <v>14</v>
      </c>
      <c r="H12578">
             </c>
      <c r="I12578" t="s">
        <v>14</v>
      </c>
      <c r="J12578" t="s">
        <v>141</v>
      </c>
      <c r="K12578" t="s">
        <v>14</v>
      </c>
      <c r="L12578" t="s">
        <v>20</v>
      </c>
      <c r="M12578" t="s">
        <v>24261</v>
      </c>
      <c r="N12578" t="s">
        <v>14</v>
      </c>
    </row>
    <row r="12579" x14ac:dyDescent="0.25">
      <c r="A12579" t="n">
        <v>23</v>
      </c>
      <c r="B12579" t="s">
        <v>14</v>
      </c>
      <c r="C12579" t="s">
        <v>22</v>
      </c>
      <c r="D12579" s="2" t="s">
        <f>=HYPERLINK("https://main.knesset.gov.il/APPS/legislation/main/bills/2143043", "הצעת חוק להגברת האכיפה של דיני העבודה (תיקון - עיצום כספי בשל אי תשלום שכר שווה לעובדת ולעובד), התש""ף-2020")</f>
        <v>24294</v>
      </c>
      <c r="E12579" t="s">
        <v>24294</v>
      </c>
      <c r="F12579" t="s">
        <v>24295</v>
      </c>
      <c r="G12579" t="s">
        <v>14</v>
      </c>
      <c r="H12579">
             </c>
      <c r="I12579" t="s">
        <v>14</v>
      </c>
      <c r="J12579" t="s">
        <v>141</v>
      </c>
      <c r="K12579" t="s">
        <v>14</v>
      </c>
      <c r="L12579" t="s">
        <v>20</v>
      </c>
      <c r="M12579" t="s">
        <v>24261</v>
      </c>
      <c r="N12579" t="s">
        <v>14</v>
      </c>
    </row>
    <row r="12580" x14ac:dyDescent="0.25">
      <c r="A12580" t="n">
        <v>23</v>
      </c>
      <c r="B12580" t="s">
        <v>14</v>
      </c>
      <c r="C12580" t="s">
        <v>22</v>
      </c>
      <c r="D12580" s="2" t="s">
        <f>=HYPERLINK("https://main.knesset.gov.il/APPS/legislation/main/bills/2087018", "הצעת חוק החברות (תיקון - הגבלת כהונת דירקטור לשלוש חברות), התש""ף-2020")</f>
        <v>24296</v>
      </c>
      <c r="E12580" t="s">
        <v>24296</v>
      </c>
      <c r="F12580" t="s">
        <v>24297</v>
      </c>
      <c r="G12580" t="s">
        <v>14</v>
      </c>
      <c r="H12580">
             </c>
      <c r="I12580" t="s">
        <v>14</v>
      </c>
      <c r="J12580" t="s">
        <v>141</v>
      </c>
      <c r="K12580" t="s">
        <v>14</v>
      </c>
      <c r="L12580" t="s">
        <v>20</v>
      </c>
      <c r="M12580" t="s">
        <v>24261</v>
      </c>
      <c r="N12580" t="s">
        <v>14</v>
      </c>
    </row>
    <row r="12581" x14ac:dyDescent="0.25">
      <c r="A12581" t="n">
        <v>23</v>
      </c>
      <c r="B12581" t="s">
        <v>14</v>
      </c>
      <c r="C12581" t="s">
        <v>22</v>
      </c>
      <c r="D12581" s="2" t="s">
        <f>=HYPERLINK("https://main.knesset.gov.il/APPS/legislation/main/bills/2139832", "הצעת חוק יישוב סכסוכי עבודה (תיקון - שביתה בבתי ספר יסודיים וגני ילדים ללא אישור בית הדין לעבודה), התש""ף-2020")</f>
        <v>24298</v>
      </c>
      <c r="E12581" t="s">
        <v>24298</v>
      </c>
      <c r="F12581" t="s">
        <v>24299</v>
      </c>
      <c r="G12581" t="s">
        <v>14</v>
      </c>
      <c r="H12581">
             </c>
      <c r="I12581" t="s">
        <v>14</v>
      </c>
      <c r="J12581" t="s">
        <v>141</v>
      </c>
      <c r="K12581" t="s">
        <v>14</v>
      </c>
      <c r="L12581" t="s">
        <v>20</v>
      </c>
      <c r="M12581" t="s">
        <v>24261</v>
      </c>
      <c r="N12581" t="s">
        <v>14</v>
      </c>
    </row>
    <row r="12582" x14ac:dyDescent="0.25">
      <c r="A12582" t="n">
        <v>23</v>
      </c>
      <c r="B12582" t="s">
        <v>14</v>
      </c>
      <c r="C12582" t="s">
        <v>22</v>
      </c>
      <c r="D12582" s="2" t="s">
        <f>=HYPERLINK("https://main.knesset.gov.il/APPS/legislation/main/bills/2139866", "הצעת חוק שעות עבודה ומנוחה (תיקון - עסקים בתחום ההסעדה והבילוי), התש""ף-2020")</f>
        <v>24300</v>
      </c>
      <c r="E12582" t="s">
        <v>24300</v>
      </c>
      <c r="F12582" t="s">
        <v>24301</v>
      </c>
      <c r="G12582" t="s">
        <v>14</v>
      </c>
      <c r="H12582">
             </c>
      <c r="I12582" t="s">
        <v>14</v>
      </c>
      <c r="J12582" t="s">
        <v>141</v>
      </c>
      <c r="K12582" t="s">
        <v>14</v>
      </c>
      <c r="L12582" t="s">
        <v>20</v>
      </c>
      <c r="M12582" t="s">
        <v>24261</v>
      </c>
      <c r="N12582" t="s">
        <v>14</v>
      </c>
    </row>
    <row r="12583" x14ac:dyDescent="0.25">
      <c r="A12583" t="n">
        <v>23</v>
      </c>
      <c r="B12583" t="s">
        <v>14</v>
      </c>
      <c r="C12583" t="s">
        <v>22</v>
      </c>
      <c r="D12583" s="2" t="s">
        <f>=HYPERLINK("https://main.knesset.gov.il/APPS/legislation/main/bills/2142011", "הצעת חוק-יסוד: הממשלה (תיקון - החלת שקיפות ופרסום פרוטוקולים ונתונים, בהתקנת תקנות לשעת חירום)")</f>
        <v>21648</v>
      </c>
      <c r="E12583" t="s">
        <v>21648</v>
      </c>
      <c r="F12583" t="s">
        <v>24302</v>
      </c>
      <c r="G12583" t="s">
        <v>14</v>
      </c>
      <c r="H12583">
             </c>
      <c r="I12583" t="s">
        <v>14</v>
      </c>
      <c r="J12583" t="s">
        <v>141</v>
      </c>
      <c r="K12583" t="s">
        <v>14</v>
      </c>
      <c r="L12583" t="s">
        <v>20</v>
      </c>
      <c r="M12583" t="s">
        <v>24261</v>
      </c>
      <c r="N12583" t="s">
        <v>14</v>
      </c>
    </row>
    <row r="12584" x14ac:dyDescent="0.25">
      <c r="A12584" t="n">
        <v>23</v>
      </c>
      <c r="B12584" t="s">
        <v>14</v>
      </c>
      <c r="C12584" t="s">
        <v>22</v>
      </c>
      <c r="D12584" s="2" t="s">
        <f>=HYPERLINK("https://main.knesset.gov.il/APPS/legislation/main/bills/2142934", "הצעת חוק שירות המדינה (מינויים) (תיקון - פיקוח על תכניות הכשרה), התש""ף-2020")</f>
        <v>24303</v>
      </c>
      <c r="E12584" t="s">
        <v>24303</v>
      </c>
      <c r="F12584" t="s">
        <v>24304</v>
      </c>
      <c r="G12584" t="s">
        <v>14</v>
      </c>
      <c r="H12584">
             </c>
      <c r="I12584" t="s">
        <v>14</v>
      </c>
      <c r="J12584" t="s">
        <v>141</v>
      </c>
      <c r="K12584" t="s">
        <v>14</v>
      </c>
      <c r="L12584" t="s">
        <v>20</v>
      </c>
      <c r="M12584" t="s">
        <v>24261</v>
      </c>
      <c r="N12584" t="s">
        <v>14</v>
      </c>
    </row>
    <row r="12585" x14ac:dyDescent="0.25">
      <c r="A12585" t="n">
        <v>23</v>
      </c>
      <c r="B12585" t="s">
        <v>14</v>
      </c>
      <c r="C12585" t="s">
        <v>22</v>
      </c>
      <c r="D12585" s="2" t="s">
        <f>=HYPERLINK("https://main.knesset.gov.il/APPS/legislation/main/bills/2143419", "הצעת חוק-יסוד: הכנסת (תיקון - ביטול הדרישה לוויתור על אזרחות זרה)")</f>
        <v>11343</v>
      </c>
      <c r="E12585" t="s">
        <v>11343</v>
      </c>
      <c r="F12585" t="s">
        <v>24305</v>
      </c>
      <c r="G12585" t="s">
        <v>14</v>
      </c>
      <c r="H12585">
             </c>
      <c r="I12585" t="s">
        <v>14</v>
      </c>
      <c r="J12585" t="s">
        <v>141</v>
      </c>
      <c r="K12585" t="s">
        <v>14</v>
      </c>
      <c r="L12585" t="s">
        <v>20</v>
      </c>
      <c r="M12585" t="s">
        <v>24261</v>
      </c>
      <c r="N12585" t="s">
        <v>14</v>
      </c>
    </row>
    <row r="12586" x14ac:dyDescent="0.25">
      <c r="A12586" t="n">
        <v>23</v>
      </c>
      <c r="B12586" t="s">
        <v>14</v>
      </c>
      <c r="C12586" t="s">
        <v>22</v>
      </c>
      <c r="D12586" s="2" t="s">
        <f>=HYPERLINK("https://main.knesset.gov.il/APPS/legislation/main/bills/2139868", "הצעת חוק-יסוד: הכנסת (תיקון - הצהרת אמונים)")</f>
        <v>11966</v>
      </c>
      <c r="E12586" t="s">
        <v>11966</v>
      </c>
      <c r="F12586" t="s">
        <v>24306</v>
      </c>
      <c r="G12586" t="s">
        <v>14</v>
      </c>
      <c r="H12586">
             </c>
      <c r="I12586" t="s">
        <v>14</v>
      </c>
      <c r="J12586" t="s">
        <v>141</v>
      </c>
      <c r="K12586" t="s">
        <v>14</v>
      </c>
      <c r="L12586" t="s">
        <v>20</v>
      </c>
      <c r="M12586" t="s">
        <v>24261</v>
      </c>
      <c r="N12586" t="s">
        <v>14</v>
      </c>
    </row>
    <row r="12587" x14ac:dyDescent="0.25">
      <c r="A12587" t="n">
        <v>23</v>
      </c>
      <c r="B12587" t="s">
        <v>14</v>
      </c>
      <c r="C12587" t="s">
        <v>22</v>
      </c>
      <c r="D12587" s="2" t="s">
        <f>=HYPERLINK("https://main.knesset.gov.il/APPS/legislation/main/bills/2139861", "הצעת חוק המלחמה בפדופיליה (מאגר מידע), התש""ף-2020")</f>
        <v>24307</v>
      </c>
      <c r="E12587" t="s">
        <v>24307</v>
      </c>
      <c r="F12587" t="s">
        <v>24308</v>
      </c>
      <c r="G12587" t="s">
        <v>14</v>
      </c>
      <c r="H12587">
             </c>
      <c r="I12587" t="s">
        <v>14</v>
      </c>
      <c r="J12587" t="s">
        <v>141</v>
      </c>
      <c r="K12587" t="s">
        <v>14</v>
      </c>
      <c r="L12587" t="s">
        <v>20</v>
      </c>
      <c r="M12587" t="s">
        <v>24261</v>
      </c>
      <c r="N12587" t="s">
        <v>14</v>
      </c>
    </row>
    <row r="12588" x14ac:dyDescent="0.25">
      <c r="A12588" t="n">
        <v>23</v>
      </c>
      <c r="B12588" t="s">
        <v>14</v>
      </c>
      <c r="C12588" t="s">
        <v>22</v>
      </c>
      <c r="D12588" s="2" t="s">
        <f>=HYPERLINK("https://main.knesset.gov.il/APPS/legislation/main/bills/2143067", "הצעת חוק לתיקון פקודת התעבורה (חובת התקנת מצלמות באוטובוס), התש""ף-2020")</f>
        <v>24309</v>
      </c>
      <c r="E12588" t="s">
        <v>24309</v>
      </c>
      <c r="F12588" t="s">
        <v>24310</v>
      </c>
      <c r="G12588" t="s">
        <v>14</v>
      </c>
      <c r="H12588">
             </c>
      <c r="I12588" t="s">
        <v>14</v>
      </c>
      <c r="J12588" t="s">
        <v>141</v>
      </c>
      <c r="K12588" t="s">
        <v>14</v>
      </c>
      <c r="L12588" t="s">
        <v>20</v>
      </c>
      <c r="M12588" t="s">
        <v>24261</v>
      </c>
      <c r="N12588" t="s">
        <v>14</v>
      </c>
    </row>
    <row r="12589" x14ac:dyDescent="0.25">
      <c r="A12589" t="n">
        <v>23</v>
      </c>
      <c r="B12589" t="s">
        <v>14</v>
      </c>
      <c r="C12589" t="s">
        <v>22</v>
      </c>
      <c r="D12589" s="2" t="s">
        <f>=HYPERLINK("https://main.knesset.gov.il/APPS/legislation/main/bills/2139886", "הצעת חוק העבירות המינהליות (תיקון - מועד להחלטה מנומקת), התש""ף-2020")</f>
        <v>24311</v>
      </c>
      <c r="E12589" t="s">
        <v>24311</v>
      </c>
      <c r="F12589" t="s">
        <v>24312</v>
      </c>
      <c r="G12589" t="s">
        <v>14</v>
      </c>
      <c r="H12589">
             </c>
      <c r="I12589" t="s">
        <v>14</v>
      </c>
      <c r="J12589" t="s">
        <v>141</v>
      </c>
      <c r="K12589" t="s">
        <v>14</v>
      </c>
      <c r="L12589" t="s">
        <v>20</v>
      </c>
      <c r="M12589" t="s">
        <v>24261</v>
      </c>
      <c r="N12589" t="s">
        <v>14</v>
      </c>
    </row>
    <row r="12590" x14ac:dyDescent="0.25">
      <c r="A12590" t="n">
        <v>23</v>
      </c>
      <c r="B12590" t="s">
        <v>14</v>
      </c>
      <c r="C12590" t="s">
        <v>22</v>
      </c>
      <c r="D12590" s="2" t="s">
        <f>=HYPERLINK("https://main.knesset.gov.il/APPS/legislation/main/bills/2142923", "הצעת חוק המים (תיקון - איסור הפסקת אספקת מים בשל חובות של רשויות מקומיות), התש""ף-2020")</f>
        <v>24313</v>
      </c>
      <c r="E12590" t="s">
        <v>24313</v>
      </c>
      <c r="F12590" t="s">
        <v>24314</v>
      </c>
      <c r="G12590" t="s">
        <v>14</v>
      </c>
      <c r="H12590">
             </c>
      <c r="I12590" t="s">
        <v>14</v>
      </c>
      <c r="J12590" t="s">
        <v>141</v>
      </c>
      <c r="K12590" t="s">
        <v>14</v>
      </c>
      <c r="L12590" t="s">
        <v>20</v>
      </c>
      <c r="M12590" t="s">
        <v>24261</v>
      </c>
      <c r="N12590" t="s">
        <v>14</v>
      </c>
    </row>
    <row r="12591" x14ac:dyDescent="0.25">
      <c r="A12591" t="n">
        <v>23</v>
      </c>
      <c r="B12591" t="s">
        <v>14</v>
      </c>
      <c r="C12591" t="s">
        <v>22</v>
      </c>
      <c r="D12591" s="2" t="s">
        <f>=HYPERLINK("https://main.knesset.gov.il/APPS/legislation/main/bills/2139885", "הצעת חוק לשיפור השירות במגזר הציבורי ולמניעת התעמרות של עובדי הציבור בתושבי המדינה ובמגזר העסקי, התש""ף-2020")</f>
        <v>24315</v>
      </c>
      <c r="E12591" t="s">
        <v>24315</v>
      </c>
      <c r="F12591" t="s">
        <v>24316</v>
      </c>
      <c r="G12591" t="s">
        <v>14</v>
      </c>
      <c r="H12591">
             </c>
      <c r="I12591" t="s">
        <v>14</v>
      </c>
      <c r="J12591" t="s">
        <v>141</v>
      </c>
      <c r="K12591" t="s">
        <v>14</v>
      </c>
      <c r="L12591" t="s">
        <v>20</v>
      </c>
      <c r="M12591" t="s">
        <v>24261</v>
      </c>
      <c r="N12591" t="s">
        <v>14</v>
      </c>
    </row>
    <row r="12592" x14ac:dyDescent="0.25">
      <c r="A12592" t="n">
        <v>23</v>
      </c>
      <c r="B12592" t="s">
        <v>14</v>
      </c>
      <c r="C12592" t="s">
        <v>22</v>
      </c>
      <c r="D12592" s="2" t="s">
        <f>=HYPERLINK("https://main.knesset.gov.il/APPS/legislation/main/bills/2139877", "הצעת חוק עידוד שירות צבאי, אזרחי או לאומי, התש""ף-2020")</f>
        <v>24317</v>
      </c>
      <c r="E12592" t="s">
        <v>24317</v>
      </c>
      <c r="F12592" t="s">
        <v>24318</v>
      </c>
      <c r="G12592" t="s">
        <v>14</v>
      </c>
      <c r="H12592">
             </c>
      <c r="I12592" t="s">
        <v>14</v>
      </c>
      <c r="J12592" t="s">
        <v>141</v>
      </c>
      <c r="K12592" t="s">
        <v>14</v>
      </c>
      <c r="L12592" t="s">
        <v>20</v>
      </c>
      <c r="M12592" t="s">
        <v>24261</v>
      </c>
      <c r="N12592" t="s">
        <v>14</v>
      </c>
    </row>
    <row r="12593" x14ac:dyDescent="0.25">
      <c r="A12593" t="n">
        <v>23</v>
      </c>
      <c r="B12593" t="s">
        <v>14</v>
      </c>
      <c r="C12593" t="s">
        <v>22</v>
      </c>
      <c r="D12593" s="2" t="s">
        <f>=HYPERLINK("https://main.knesset.gov.il/APPS/legislation/main/bills/2142338", "הצעת חוק זכויות הדייר בדיור הציבורי (תיקון - התקנת דוד שמש), התש""ף-2020")</f>
        <v>24319</v>
      </c>
      <c r="E12593" t="s">
        <v>24319</v>
      </c>
      <c r="F12593" t="s">
        <v>24320</v>
      </c>
      <c r="G12593" t="s">
        <v>14</v>
      </c>
      <c r="H12593">
             </c>
      <c r="I12593" t="s">
        <v>14</v>
      </c>
      <c r="J12593" t="s">
        <v>141</v>
      </c>
      <c r="K12593" t="s">
        <v>14</v>
      </c>
      <c r="L12593" t="s">
        <v>20</v>
      </c>
      <c r="M12593" t="s">
        <v>24261</v>
      </c>
      <c r="N12593" t="s">
        <v>14</v>
      </c>
    </row>
    <row r="12594" x14ac:dyDescent="0.25">
      <c r="A12594" t="n">
        <v>23</v>
      </c>
      <c r="B12594" t="s">
        <v>14</v>
      </c>
      <c r="C12594" t="s">
        <v>22</v>
      </c>
      <c r="D12594" s="2" t="s">
        <f>=HYPERLINK("https://main.knesset.gov.il/APPS/legislation/main/bills/2142335", "הצעת חוק הגבלת אשראי למקבלי שירות מאמנים, עיתונאים ומרצים, התש""ף-2020")</f>
        <v>24321</v>
      </c>
      <c r="E12594" t="s">
        <v>24321</v>
      </c>
      <c r="F12594" t="s">
        <v>24322</v>
      </c>
      <c r="G12594" t="s">
        <v>14</v>
      </c>
      <c r="H12594">
             </c>
      <c r="I12594" t="s">
        <v>14</v>
      </c>
      <c r="J12594" t="s">
        <v>141</v>
      </c>
      <c r="K12594" t="s">
        <v>14</v>
      </c>
      <c r="L12594" t="s">
        <v>20</v>
      </c>
      <c r="M12594" t="s">
        <v>24261</v>
      </c>
      <c r="N12594" t="s">
        <v>14</v>
      </c>
    </row>
    <row r="12595" x14ac:dyDescent="0.25">
      <c r="A12595" t="n">
        <v>23</v>
      </c>
      <c r="B12595" t="s">
        <v>14</v>
      </c>
      <c r="C12595" t="s">
        <v>22</v>
      </c>
      <c r="D12595" s="2" t="s">
        <f>=HYPERLINK("https://main.knesset.gov.il/APPS/legislation/main/bills/2139883", "הצעת חוק לשכת עורכי הדין (תיקון - בחינות מסכמות כתנאי להתמחות), התש""ף-2020")</f>
        <v>24323</v>
      </c>
      <c r="E12595" t="s">
        <v>24323</v>
      </c>
      <c r="F12595" t="s">
        <v>24324</v>
      </c>
      <c r="G12595" t="s">
        <v>14</v>
      </c>
      <c r="H12595">
             </c>
      <c r="I12595" t="s">
        <v>14</v>
      </c>
      <c r="J12595" t="s">
        <v>141</v>
      </c>
      <c r="K12595" t="s">
        <v>14</v>
      </c>
      <c r="L12595" t="s">
        <v>20</v>
      </c>
      <c r="M12595" t="s">
        <v>24261</v>
      </c>
      <c r="N12595" t="s">
        <v>14</v>
      </c>
    </row>
    <row r="12596" x14ac:dyDescent="0.25">
      <c r="A12596" t="n">
        <v>23</v>
      </c>
      <c r="B12596" t="s">
        <v>14</v>
      </c>
      <c r="C12596" t="s">
        <v>22</v>
      </c>
      <c r="D12596" s="2" t="s">
        <f>=HYPERLINK("https://main.knesset.gov.il/APPS/legislation/main/bills/2139775", "הצעת חוק-יסוד: הממשלה (תיקון - הצהרת האמונים של ראש הממשלה והשרים)")</f>
        <v>11833</v>
      </c>
      <c r="E12596" t="s">
        <v>11833</v>
      </c>
      <c r="F12596" t="s">
        <v>24325</v>
      </c>
      <c r="G12596" t="s">
        <v>14</v>
      </c>
      <c r="H12596">
             </c>
      <c r="I12596" t="s">
        <v>14</v>
      </c>
      <c r="J12596" t="s">
        <v>141</v>
      </c>
      <c r="K12596" t="s">
        <v>14</v>
      </c>
      <c r="L12596" t="s">
        <v>20</v>
      </c>
      <c r="M12596" t="s">
        <v>24261</v>
      </c>
      <c r="N12596" t="s">
        <v>14</v>
      </c>
    </row>
    <row r="12597" x14ac:dyDescent="0.25">
      <c r="A12597" t="n">
        <v>23</v>
      </c>
      <c r="B12597" t="s">
        <v>14</v>
      </c>
      <c r="C12597" t="s">
        <v>22</v>
      </c>
      <c r="D12597" s="2" t="s">
        <f>=HYPERLINK("https://main.knesset.gov.il/APPS/legislation/main/bills/2142318", "הצעת חוק איסור הפליה במוצרים, בשירותים ובכניסה למקומות בידור ולמקומות ציבוריים (תיקון - איסור הפליה בשל אי מסירת מידע אישי), התש""ף-2020")</f>
        <v>24326</v>
      </c>
      <c r="E12597" t="s">
        <v>24326</v>
      </c>
      <c r="F12597" t="s">
        <v>24327</v>
      </c>
      <c r="G12597" t="s">
        <v>14</v>
      </c>
      <c r="H12597">
             </c>
      <c r="I12597" t="s">
        <v>14</v>
      </c>
      <c r="J12597" t="s">
        <v>141</v>
      </c>
      <c r="K12597" t="s">
        <v>14</v>
      </c>
      <c r="L12597" t="s">
        <v>20</v>
      </c>
      <c r="M12597" t="s">
        <v>24261</v>
      </c>
      <c r="N12597" t="s">
        <v>14</v>
      </c>
    </row>
    <row r="12598" x14ac:dyDescent="0.25">
      <c r="A12598" t="n">
        <v>23</v>
      </c>
      <c r="B12598" t="s">
        <v>14</v>
      </c>
      <c r="C12598" t="s">
        <v>22</v>
      </c>
      <c r="D12598" s="2" t="s">
        <f>=HYPERLINK("https://main.knesset.gov.il/APPS/legislation/main/bills/2142317", "הצעת חוק לתיקון פקודת התעבורה (הוראות לעניין סככות המתנה בתחנות אוטובוס), התש""ף-2020")</f>
        <v>24328</v>
      </c>
      <c r="E12598" t="s">
        <v>24328</v>
      </c>
      <c r="F12598" t="s">
        <v>24329</v>
      </c>
      <c r="G12598" t="s">
        <v>14</v>
      </c>
      <c r="H12598">
             </c>
      <c r="I12598" t="s">
        <v>14</v>
      </c>
      <c r="J12598" t="s">
        <v>141</v>
      </c>
      <c r="K12598" t="s">
        <v>14</v>
      </c>
      <c r="L12598" t="s">
        <v>20</v>
      </c>
      <c r="M12598" t="s">
        <v>24261</v>
      </c>
      <c r="N12598" t="s">
        <v>14</v>
      </c>
    </row>
    <row r="12599" x14ac:dyDescent="0.25">
      <c r="A12599" t="n">
        <v>23</v>
      </c>
      <c r="B12599" t="s">
        <v>14</v>
      </c>
      <c r="C12599" t="s">
        <v>22</v>
      </c>
      <c r="D12599" s="2" t="s">
        <f>=HYPERLINK("https://main.knesset.gov.il/APPS/legislation/main/bills/2142309", "הצעת חוק איסור הפליה במוצרים, בשירותים ובכניסה למקומות בידור ולמקומות ציבוריים (תיקון - איסור הפרעה להנקה בציבור), התש""ף-2020")</f>
        <v>24330</v>
      </c>
      <c r="E12599" t="s">
        <v>24330</v>
      </c>
      <c r="F12599" t="s">
        <v>24331</v>
      </c>
      <c r="G12599" t="s">
        <v>14</v>
      </c>
      <c r="H12599">
             </c>
      <c r="I12599" t="s">
        <v>14</v>
      </c>
      <c r="J12599" t="s">
        <v>141</v>
      </c>
      <c r="K12599" t="s">
        <v>14</v>
      </c>
      <c r="L12599" t="s">
        <v>20</v>
      </c>
      <c r="M12599" t="s">
        <v>24261</v>
      </c>
      <c r="N12599" t="s">
        <v>14</v>
      </c>
    </row>
    <row r="12600" x14ac:dyDescent="0.25">
      <c r="A12600" t="n">
        <v>23</v>
      </c>
      <c r="B12600" t="s">
        <v>14</v>
      </c>
      <c r="C12600" t="s">
        <v>22</v>
      </c>
      <c r="D12600" s="2" t="s">
        <f>=HYPERLINK("https://main.knesset.gov.il/APPS/legislation/main/bills/2139748", "הצעת חוק איסור הכחשת השואה (תיקון - איסור הבעת אהדה לשלטון הנאצי או הזדהות עמו ואיסור שימוש בסמלים נאציים), התש""ף-2020")</f>
        <v>24332</v>
      </c>
      <c r="E12600" t="s">
        <v>24332</v>
      </c>
      <c r="F12600" t="s">
        <v>24333</v>
      </c>
      <c r="G12600" t="s">
        <v>14</v>
      </c>
      <c r="H12600">
             </c>
      <c r="I12600" t="s">
        <v>14</v>
      </c>
      <c r="J12600" t="s">
        <v>141</v>
      </c>
      <c r="K12600" t="s">
        <v>14</v>
      </c>
      <c r="L12600" t="s">
        <v>20</v>
      </c>
      <c r="M12600" t="s">
        <v>24261</v>
      </c>
      <c r="N12600" t="s">
        <v>14</v>
      </c>
    </row>
    <row r="12601" x14ac:dyDescent="0.25">
      <c r="A12601" t="n">
        <v>23</v>
      </c>
      <c r="B12601" t="s">
        <v>14</v>
      </c>
      <c r="C12601" t="s">
        <v>22</v>
      </c>
      <c r="D12601" s="2" t="s">
        <f>=HYPERLINK("https://main.knesset.gov.il/APPS/legislation/main/bills/2143315", "הצעת חוק ביטול מרוץ הסמכויות (תיקוני חקיקה), התש""ף-2020")</f>
        <v>24334</v>
      </c>
      <c r="E12601" t="s">
        <v>24334</v>
      </c>
      <c r="F12601" t="s">
        <v>24335</v>
      </c>
      <c r="G12601" t="s">
        <v>14</v>
      </c>
      <c r="H12601">
             </c>
      <c r="I12601" t="s">
        <v>14</v>
      </c>
      <c r="J12601" t="s">
        <v>141</v>
      </c>
      <c r="K12601" t="s">
        <v>14</v>
      </c>
      <c r="L12601" t="s">
        <v>20</v>
      </c>
      <c r="M12601" t="s">
        <v>24261</v>
      </c>
      <c r="N12601" t="s">
        <v>14</v>
      </c>
    </row>
    <row r="12602" x14ac:dyDescent="0.25">
      <c r="A12602" t="n">
        <v>23</v>
      </c>
      <c r="B12602" t="s">
        <v>14</v>
      </c>
      <c r="C12602" t="s">
        <v>22</v>
      </c>
      <c r="D12602" s="2" t="s">
        <f>=HYPERLINK("https://main.knesset.gov.il/APPS/legislation/main/bills/2143312", "הצעת חוק העונשין (תיקון - חילוט רווחי סרסרות), התש""ף-2020")</f>
        <v>23951</v>
      </c>
      <c r="E12602" t="s">
        <v>23951</v>
      </c>
      <c r="F12602" t="s">
        <v>24336</v>
      </c>
      <c r="G12602" t="s">
        <v>14</v>
      </c>
      <c r="H12602">
             </c>
      <c r="I12602" t="s">
        <v>14</v>
      </c>
      <c r="J12602" t="s">
        <v>141</v>
      </c>
      <c r="K12602" t="s">
        <v>14</v>
      </c>
      <c r="L12602" t="s">
        <v>20</v>
      </c>
      <c r="M12602" t="s">
        <v>24261</v>
      </c>
      <c r="N12602" t="s">
        <v>14</v>
      </c>
    </row>
    <row r="12603" x14ac:dyDescent="0.25">
      <c r="A12603" t="n">
        <v>23</v>
      </c>
      <c r="B12603" t="s">
        <v>14</v>
      </c>
      <c r="C12603" t="s">
        <v>22</v>
      </c>
      <c r="D12603" s="2" t="s">
        <f>=HYPERLINK("https://main.knesset.gov.il/APPS/legislation/main/bills/2142303", "הצעת חוק האפוטרופוס הכללי (תיקון - הקמת מאגר מידע לעניין כספים ללא דורש), התש""ף-2020")</f>
        <v>24337</v>
      </c>
      <c r="E12603" t="s">
        <v>24337</v>
      </c>
      <c r="F12603" t="s">
        <v>24338</v>
      </c>
      <c r="G12603" t="s">
        <v>14</v>
      </c>
      <c r="H12603">
             </c>
      <c r="I12603" t="s">
        <v>14</v>
      </c>
      <c r="J12603" t="s">
        <v>141</v>
      </c>
      <c r="K12603" t="s">
        <v>14</v>
      </c>
      <c r="L12603" t="s">
        <v>20</v>
      </c>
      <c r="M12603" t="s">
        <v>24261</v>
      </c>
      <c r="N12603" t="s">
        <v>14</v>
      </c>
    </row>
    <row r="12604" x14ac:dyDescent="0.25">
      <c r="A12604" t="n">
        <v>23</v>
      </c>
      <c r="B12604" t="s">
        <v>14</v>
      </c>
      <c r="C12604" t="s">
        <v>22</v>
      </c>
      <c r="D12604" s="2" t="s">
        <f>=HYPERLINK("https://main.knesset.gov.il/APPS/legislation/main/bills/2143287", "הצעת חוק זכויות נפגעי עבירה (תיקון - חובת יידוע זכויות בנפגעי עבירה), התש""ף-2020")</f>
        <v>24339</v>
      </c>
      <c r="E12604" t="s">
        <v>24339</v>
      </c>
      <c r="F12604" t="s">
        <v>24340</v>
      </c>
      <c r="G12604" t="s">
        <v>14</v>
      </c>
      <c r="H12604">
             </c>
      <c r="I12604" t="s">
        <v>14</v>
      </c>
      <c r="J12604" t="s">
        <v>141</v>
      </c>
      <c r="K12604" t="s">
        <v>14</v>
      </c>
      <c r="L12604" t="s">
        <v>20</v>
      </c>
      <c r="M12604" t="s">
        <v>24261</v>
      </c>
      <c r="N12604" t="s">
        <v>14</v>
      </c>
    </row>
    <row r="12605" x14ac:dyDescent="0.25">
      <c r="A12605" t="n">
        <v>23</v>
      </c>
      <c r="B12605" t="s">
        <v>14</v>
      </c>
      <c r="C12605" t="s">
        <v>22</v>
      </c>
      <c r="D12605" s="2" t="s">
        <f>=HYPERLINK("https://main.knesset.gov.il/APPS/legislation/main/bills/2143327", "הצעת חוק שירות המדינה (מינויים) (תיקון - ניסיון ניהולי במגזר הפרטי), התש""ף-2020")</f>
        <v>24341</v>
      </c>
      <c r="E12605" t="s">
        <v>24341</v>
      </c>
      <c r="F12605" t="s">
        <v>24342</v>
      </c>
      <c r="G12605" t="s">
        <v>14</v>
      </c>
      <c r="H12605">
             </c>
      <c r="I12605" t="s">
        <v>14</v>
      </c>
      <c r="J12605" t="s">
        <v>141</v>
      </c>
      <c r="K12605" t="s">
        <v>14</v>
      </c>
      <c r="L12605" t="s">
        <v>20</v>
      </c>
      <c r="M12605" t="s">
        <v>24261</v>
      </c>
      <c r="N12605" t="s">
        <v>14</v>
      </c>
    </row>
    <row r="12606" x14ac:dyDescent="0.25">
      <c r="A12606" t="n">
        <v>23</v>
      </c>
      <c r="B12606" t="s">
        <v>14</v>
      </c>
      <c r="C12606" t="s">
        <v>22</v>
      </c>
      <c r="D12606" s="2" t="s">
        <f>=HYPERLINK("https://main.knesset.gov.il/APPS/legislation/main/bills/2142294", "הצעת חוק להסדרת הפיקוח על כלבים (תיקון - קנס מוגדל בשל כלב משוטט שאינו מסורס או מעוקר), התש""ף-2020")</f>
        <v>24343</v>
      </c>
      <c r="E12606" t="s">
        <v>24343</v>
      </c>
      <c r="F12606" t="s">
        <v>24344</v>
      </c>
      <c r="G12606" t="s">
        <v>14</v>
      </c>
      <c r="H12606">
             </c>
      <c r="I12606" t="s">
        <v>14</v>
      </c>
      <c r="J12606" t="s">
        <v>141</v>
      </c>
      <c r="K12606" t="s">
        <v>14</v>
      </c>
      <c r="L12606" t="s">
        <v>20</v>
      </c>
      <c r="M12606" t="s">
        <v>24261</v>
      </c>
      <c r="N12606" t="s">
        <v>14</v>
      </c>
    </row>
    <row r="12607" x14ac:dyDescent="0.25">
      <c r="A12607" t="n">
        <v>23</v>
      </c>
      <c r="B12607" t="s">
        <v>14</v>
      </c>
      <c r="C12607" t="s">
        <v>22</v>
      </c>
      <c r="D12607" s="2" t="s">
        <f>=HYPERLINK("https://main.knesset.gov.il/APPS/legislation/main/bills/2140874", "הצעת חוק איסור פרסומת והגבלת השיווק של מוצרי טבק ועישון (תיקון - ביטול החרגת העיתונות המודפסת), התש""ף-2020 ")</f>
        <v>24345</v>
      </c>
      <c r="E12607" t="s">
        <v>24345</v>
      </c>
      <c r="F12607" t="s">
        <v>24346</v>
      </c>
      <c r="G12607" t="s">
        <v>14</v>
      </c>
      <c r="H12607">
             </c>
      <c r="I12607" t="s">
        <v>14</v>
      </c>
      <c r="J12607" t="s">
        <v>141</v>
      </c>
      <c r="K12607" t="s">
        <v>14</v>
      </c>
      <c r="L12607" t="s">
        <v>20</v>
      </c>
      <c r="M12607" t="s">
        <v>24261</v>
      </c>
      <c r="N12607" t="s">
        <v>14</v>
      </c>
    </row>
    <row r="12608" x14ac:dyDescent="0.25">
      <c r="A12608" t="n">
        <v>23</v>
      </c>
      <c r="B12608" t="s">
        <v>14</v>
      </c>
      <c r="C12608" t="s">
        <v>22</v>
      </c>
      <c r="D12608" s="2" t="s">
        <f>=HYPERLINK("https://main.knesset.gov.il/APPS/legislation/main/bills/2143341", "הצעת חוק ההסגרה (תיקון - סייג להסגרת אזרח תושב ישראל), התש""ף-2020")</f>
        <v>24347</v>
      </c>
      <c r="E12608" t="s">
        <v>24347</v>
      </c>
      <c r="F12608" t="s">
        <v>24348</v>
      </c>
      <c r="G12608" t="s">
        <v>14</v>
      </c>
      <c r="H12608">
             </c>
      <c r="I12608" t="s">
        <v>14</v>
      </c>
      <c r="J12608" t="s">
        <v>141</v>
      </c>
      <c r="K12608" t="s">
        <v>14</v>
      </c>
      <c r="L12608" t="s">
        <v>20</v>
      </c>
      <c r="M12608" t="s">
        <v>24261</v>
      </c>
      <c r="N12608" t="s">
        <v>14</v>
      </c>
    </row>
    <row r="12609" x14ac:dyDescent="0.25">
      <c r="A12609" t="n">
        <v>23</v>
      </c>
      <c r="B12609" t="s">
        <v>14</v>
      </c>
      <c r="C12609" t="s">
        <v>22</v>
      </c>
      <c r="D12609" s="2" t="s">
        <f>=HYPERLINK("https://main.knesset.gov.il/APPS/legislation/main/bills/2143340", "הצעת חוק שיפוט בתי דין דתיים (בוררות), התש""ף-2020")</f>
        <v>24349</v>
      </c>
      <c r="E12609" t="s">
        <v>24349</v>
      </c>
      <c r="F12609" t="s">
        <v>24350</v>
      </c>
      <c r="G12609" t="s">
        <v>14</v>
      </c>
      <c r="H12609">
             </c>
      <c r="I12609" t="s">
        <v>14</v>
      </c>
      <c r="J12609" t="s">
        <v>141</v>
      </c>
      <c r="K12609" t="s">
        <v>14</v>
      </c>
      <c r="L12609" t="s">
        <v>20</v>
      </c>
      <c r="M12609" t="s">
        <v>24261</v>
      </c>
      <c r="N12609" t="s">
        <v>14</v>
      </c>
    </row>
    <row r="12610" x14ac:dyDescent="0.25">
      <c r="A12610" t="n">
        <v>23</v>
      </c>
      <c r="B12610" t="s">
        <v>14</v>
      </c>
      <c r="C12610" t="s">
        <v>22</v>
      </c>
      <c r="D12610" s="2" t="s">
        <f>=HYPERLINK("https://main.knesset.gov.il/APPS/legislation/main/bills/2141102", "הצעת חוק איסור הפליה במוצרים, בשירותים ובכניסה למקומות בידור ולמקומות ציבוריים (תיקון - חובת הודעה מוקדמת על אירוע סגור), התש""ף-2020")</f>
        <v>24351</v>
      </c>
      <c r="E12610" t="s">
        <v>24351</v>
      </c>
      <c r="F12610" t="s">
        <v>24352</v>
      </c>
      <c r="G12610" t="s">
        <v>14</v>
      </c>
      <c r="H12610">
             </c>
      <c r="I12610" t="s">
        <v>14</v>
      </c>
      <c r="J12610" t="s">
        <v>141</v>
      </c>
      <c r="K12610" t="s">
        <v>14</v>
      </c>
      <c r="L12610" t="s">
        <v>20</v>
      </c>
      <c r="M12610" t="s">
        <v>24261</v>
      </c>
      <c r="N12610" t="s">
        <v>14</v>
      </c>
    </row>
    <row r="12611" x14ac:dyDescent="0.25">
      <c r="A12611" t="n">
        <v>23</v>
      </c>
      <c r="B12611" t="s">
        <v>14</v>
      </c>
      <c r="C12611" t="s">
        <v>22</v>
      </c>
      <c r="D12611" s="2" t="s">
        <f>=HYPERLINK("https://main.knesset.gov.il/APPS/legislation/main/bills/2143324", "הצעת חוק-יסוד: הממשלה (תיקון - הגבלת כהונת ראש הממשלה לשתי תקופות כהונה רצופות)")</f>
        <v>1247</v>
      </c>
      <c r="E12611" t="s">
        <v>1247</v>
      </c>
      <c r="F12611" t="s">
        <v>24353</v>
      </c>
      <c r="G12611" t="s">
        <v>14</v>
      </c>
      <c r="H12611">
             </c>
      <c r="I12611" t="s">
        <v>14</v>
      </c>
      <c r="J12611" t="s">
        <v>141</v>
      </c>
      <c r="K12611" t="s">
        <v>14</v>
      </c>
      <c r="L12611" t="s">
        <v>20</v>
      </c>
      <c r="M12611" t="s">
        <v>24261</v>
      </c>
      <c r="N12611" t="s">
        <v>14</v>
      </c>
    </row>
    <row r="12612" x14ac:dyDescent="0.25">
      <c r="A12612" t="n">
        <v>23</v>
      </c>
      <c r="B12612" t="s">
        <v>14</v>
      </c>
      <c r="C12612" t="s">
        <v>22</v>
      </c>
      <c r="D12612" s="2" t="s">
        <f>=HYPERLINK("https://main.knesset.gov.il/APPS/legislation/main/bills/2142983", "הצעת חוק החלפת המונח בתי אב (תיקוני חקיקה), התש""ף-2020")</f>
        <v>24354</v>
      </c>
      <c r="E12612" t="s">
        <v>24354</v>
      </c>
      <c r="F12612" t="s">
        <v>24355</v>
      </c>
      <c r="G12612" t="s">
        <v>14</v>
      </c>
      <c r="H12612">
             </c>
      <c r="I12612" t="s">
        <v>14</v>
      </c>
      <c r="J12612" t="s">
        <v>141</v>
      </c>
      <c r="K12612" t="s">
        <v>14</v>
      </c>
      <c r="L12612" t="s">
        <v>20</v>
      </c>
      <c r="M12612" t="s">
        <v>24261</v>
      </c>
      <c r="N12612" t="s">
        <v>14</v>
      </c>
    </row>
    <row r="12613" x14ac:dyDescent="0.25">
      <c r="A12613" t="n">
        <v>23</v>
      </c>
      <c r="B12613" t="s">
        <v>14</v>
      </c>
      <c r="C12613" t="s">
        <v>22</v>
      </c>
      <c r="D12613" s="2" t="s">
        <f>=HYPERLINK("https://main.knesset.gov.il/APPS/legislation/main/bills/2142256", "הצעת חוק הגנת הצרכן (תיקון - השוואת תנאי צרכן ועוסק בעניין החזרת טובין), התש""ף-2020")</f>
        <v>24356</v>
      </c>
      <c r="E12613" t="s">
        <v>24356</v>
      </c>
      <c r="F12613" t="s">
        <v>24357</v>
      </c>
      <c r="G12613" t="s">
        <v>14</v>
      </c>
      <c r="H12613">
             </c>
      <c r="I12613" t="s">
        <v>14</v>
      </c>
      <c r="J12613" t="s">
        <v>141</v>
      </c>
      <c r="K12613" t="s">
        <v>14</v>
      </c>
      <c r="L12613" t="s">
        <v>20</v>
      </c>
      <c r="M12613" t="s">
        <v>24261</v>
      </c>
      <c r="N12613" t="s">
        <v>14</v>
      </c>
    </row>
    <row r="12614" x14ac:dyDescent="0.25">
      <c r="A12614" t="n">
        <v>23</v>
      </c>
      <c r="B12614" t="s">
        <v>14</v>
      </c>
      <c r="C12614" t="s">
        <v>22</v>
      </c>
      <c r="D12614" s="2" t="s">
        <f>=HYPERLINK("https://main.knesset.gov.il/APPS/legislation/main/bills/2142985", "הצעת חוק מגבלות על חזרתו של עבריין מין לסביבת נפגע העבירה (תיקון - החלה על בגיר שהיה קטין מעל גיל 16 בעת ביצוע העבירה), התש""ף-2020")</f>
        <v>24358</v>
      </c>
      <c r="E12614" t="s">
        <v>24358</v>
      </c>
      <c r="F12614" t="s">
        <v>24359</v>
      </c>
      <c r="G12614" t="s">
        <v>14</v>
      </c>
      <c r="H12614">
             </c>
      <c r="I12614" t="s">
        <v>14</v>
      </c>
      <c r="J12614" t="s">
        <v>141</v>
      </c>
      <c r="K12614" t="s">
        <v>14</v>
      </c>
      <c r="L12614" t="s">
        <v>20</v>
      </c>
      <c r="M12614" t="s">
        <v>24261</v>
      </c>
      <c r="N12614" t="s">
        <v>14</v>
      </c>
    </row>
    <row r="12615" x14ac:dyDescent="0.25">
      <c r="A12615" t="n">
        <v>23</v>
      </c>
      <c r="B12615" t="s">
        <v>14</v>
      </c>
      <c r="C12615" t="s">
        <v>22</v>
      </c>
      <c r="D12615" s="2" t="s">
        <f>=HYPERLINK("https://main.knesset.gov.il/APPS/legislation/main/bills/2141716", "הצעת חוק מכירת זכויות שידור לאירוע ספורט משמעותי, התש""ף-2020")</f>
        <v>24360</v>
      </c>
      <c r="E12615" t="s">
        <v>24360</v>
      </c>
      <c r="F12615" t="s">
        <v>24361</v>
      </c>
      <c r="G12615" t="s">
        <v>14</v>
      </c>
      <c r="H12615">
             </c>
      <c r="I12615" t="s">
        <v>14</v>
      </c>
      <c r="J12615" t="s">
        <v>141</v>
      </c>
      <c r="K12615" t="s">
        <v>14</v>
      </c>
      <c r="L12615" t="s">
        <v>20</v>
      </c>
      <c r="M12615" t="s">
        <v>24261</v>
      </c>
      <c r="N12615" t="s">
        <v>14</v>
      </c>
    </row>
    <row r="12616" x14ac:dyDescent="0.25">
      <c r="A12616" t="n">
        <v>23</v>
      </c>
      <c r="B12616" t="s">
        <v>14</v>
      </c>
      <c r="C12616" t="s">
        <v>22</v>
      </c>
      <c r="D12616" s="2" t="s">
        <f>=HYPERLINK("https://main.knesset.gov.il/APPS/legislation/main/bills/2142995", "הצעת חוק העונשין (תיקון - אחראי על קטין או חסר ישע לעניין חובת הדיווח), התש""ף-2020")</f>
        <v>24362</v>
      </c>
      <c r="E12616" t="s">
        <v>24362</v>
      </c>
      <c r="F12616" t="s">
        <v>24363</v>
      </c>
      <c r="G12616" t="s">
        <v>14</v>
      </c>
      <c r="H12616">
             </c>
      <c r="I12616" t="s">
        <v>14</v>
      </c>
      <c r="J12616" t="s">
        <v>141</v>
      </c>
      <c r="K12616" t="s">
        <v>14</v>
      </c>
      <c r="L12616" t="s">
        <v>20</v>
      </c>
      <c r="M12616" t="s">
        <v>24261</v>
      </c>
      <c r="N12616" t="s">
        <v>14</v>
      </c>
    </row>
    <row r="12617" x14ac:dyDescent="0.25">
      <c r="A12617" t="n">
        <v>23</v>
      </c>
      <c r="B12617" t="s">
        <v>14</v>
      </c>
      <c r="C12617" t="s">
        <v>22</v>
      </c>
      <c r="D12617" s="2" t="s">
        <f>=HYPERLINK("https://main.knesset.gov.il/APPS/legislation/main/bills/2086668", "הצעת חוק רישום קבלנים לעבודות הנדסה בנאיות (תיקון - טיפול בליקויי בנייה), התש""ף-2020")</f>
        <v>24364</v>
      </c>
      <c r="E12617" t="s">
        <v>24364</v>
      </c>
      <c r="F12617" t="s">
        <v>24365</v>
      </c>
      <c r="G12617" t="s">
        <v>14</v>
      </c>
      <c r="H12617">
             </c>
      <c r="I12617" t="s">
        <v>14</v>
      </c>
      <c r="J12617" t="s">
        <v>141</v>
      </c>
      <c r="K12617" t="s">
        <v>14</v>
      </c>
      <c r="L12617" t="s">
        <v>20</v>
      </c>
      <c r="M12617" t="s">
        <v>24261</v>
      </c>
      <c r="N12617" t="s">
        <v>14</v>
      </c>
    </row>
    <row r="12618" x14ac:dyDescent="0.25">
      <c r="A12618" t="n">
        <v>23</v>
      </c>
      <c r="B12618" t="s">
        <v>14</v>
      </c>
      <c r="C12618" t="s">
        <v>22</v>
      </c>
      <c r="D12618" s="2" t="s">
        <f>=HYPERLINK("https://main.knesset.gov.il/APPS/legislation/main/bills/2143046", "הצעת חוק ההתיישנות (תיקון - תביעה בגין אחריות לפגיעה מינית בקטין), התש""ף-2020")</f>
        <v>24366</v>
      </c>
      <c r="E12618" t="s">
        <v>24366</v>
      </c>
      <c r="F12618" t="s">
        <v>24367</v>
      </c>
      <c r="G12618" t="s">
        <v>14</v>
      </c>
      <c r="H12618">
             </c>
      <c r="I12618" t="s">
        <v>14</v>
      </c>
      <c r="J12618" t="s">
        <v>141</v>
      </c>
      <c r="K12618" t="s">
        <v>14</v>
      </c>
      <c r="L12618" t="s">
        <v>20</v>
      </c>
      <c r="M12618" t="s">
        <v>24261</v>
      </c>
      <c r="N12618" t="s">
        <v>14</v>
      </c>
    </row>
    <row r="12619" x14ac:dyDescent="0.25">
      <c r="A12619" t="n">
        <v>23</v>
      </c>
      <c r="B12619" t="s">
        <v>14</v>
      </c>
      <c r="C12619" t="s">
        <v>22</v>
      </c>
      <c r="D12619" s="2" t="s">
        <f>=HYPERLINK("https://main.knesset.gov.il/APPS/legislation/main/bills/2143053", "הצעת חוק הגנה על הציבור מפני ביצוע עבירות מין (תיקון - הוצאת צו פיקוח חדש לאחר תום התקופה המרבית), התש""ף-2020")</f>
        <v>24368</v>
      </c>
      <c r="E12619" t="s">
        <v>24368</v>
      </c>
      <c r="F12619" t="s">
        <v>24369</v>
      </c>
      <c r="G12619" t="s">
        <v>14</v>
      </c>
      <c r="H12619">
             </c>
      <c r="I12619" t="s">
        <v>14</v>
      </c>
      <c r="J12619" t="s">
        <v>141</v>
      </c>
      <c r="K12619" t="s">
        <v>14</v>
      </c>
      <c r="L12619" t="s">
        <v>20</v>
      </c>
      <c r="M12619" t="s">
        <v>24261</v>
      </c>
      <c r="N12619" t="s">
        <v>14</v>
      </c>
    </row>
    <row r="12620" x14ac:dyDescent="0.25">
      <c r="A12620" t="n">
        <v>23</v>
      </c>
      <c r="B12620" t="s">
        <v>14</v>
      </c>
      <c r="C12620" t="s">
        <v>22</v>
      </c>
      <c r="D12620" s="2" t="s">
        <f>=HYPERLINK("https://main.knesset.gov.il/APPS/legislation/main/bills/2143321", "הצעת חוק הביטוח הלאומי (תיקון - דמי אבטלה לעצמאים), התש""ף-2020")</f>
        <v>24370</v>
      </c>
      <c r="E12620" t="s">
        <v>24370</v>
      </c>
      <c r="F12620" t="s">
        <v>24371</v>
      </c>
      <c r="G12620" t="s">
        <v>14</v>
      </c>
      <c r="H12620">
             </c>
      <c r="I12620" t="s">
        <v>14</v>
      </c>
      <c r="J12620" t="s">
        <v>343</v>
      </c>
      <c r="K12620" t="s">
        <v>14</v>
      </c>
      <c r="L12620" t="s">
        <v>20</v>
      </c>
      <c r="M12620" t="s">
        <v>24261</v>
      </c>
      <c r="N12620" t="s">
        <v>14</v>
      </c>
    </row>
    <row r="12621" x14ac:dyDescent="0.25">
      <c r="A12621" t="n">
        <v>23</v>
      </c>
      <c r="B12621" t="s">
        <v>14</v>
      </c>
      <c r="C12621" t="s">
        <v>22</v>
      </c>
      <c r="D12621" s="2" t="s">
        <f>=HYPERLINK("https://main.knesset.gov.il/APPS/legislation/main/bills/2139842", "הצעת חוק הרבנות הראשית לישראל (תיקון - סמכות בענייני גיור), התש""ף-2020")</f>
        <v>24372</v>
      </c>
      <c r="E12621" t="s">
        <v>24372</v>
      </c>
      <c r="F12621" t="s">
        <v>24373</v>
      </c>
      <c r="G12621" t="s">
        <v>14</v>
      </c>
      <c r="H12621">
             </c>
      <c r="I12621" t="s">
        <v>14</v>
      </c>
      <c r="J12621" t="s">
        <v>141</v>
      </c>
      <c r="K12621" t="s">
        <v>14</v>
      </c>
      <c r="L12621" t="s">
        <v>20</v>
      </c>
      <c r="M12621" t="s">
        <v>24261</v>
      </c>
      <c r="N12621" t="s">
        <v>14</v>
      </c>
    </row>
    <row r="12622" x14ac:dyDescent="0.25">
      <c r="A12622" t="n">
        <v>23</v>
      </c>
      <c r="B12622" t="s">
        <v>14</v>
      </c>
      <c r="C12622" t="s">
        <v>22</v>
      </c>
      <c r="D12622" s="2" t="s">
        <f>=HYPERLINK("https://main.knesset.gov.il/APPS/legislation/main/bills/2143288", "הצעת חוק הדיינים (תיקון - כשירות מנהל בתי הדין הרבניים), התש""ף-2020 ")</f>
        <v>24374</v>
      </c>
      <c r="E12622" t="s">
        <v>24374</v>
      </c>
      <c r="F12622" t="s">
        <v>24375</v>
      </c>
      <c r="G12622" t="s">
        <v>14</v>
      </c>
      <c r="H12622">
             </c>
      <c r="I12622" t="s">
        <v>14</v>
      </c>
      <c r="J12622" t="s">
        <v>141</v>
      </c>
      <c r="K12622" t="s">
        <v>14</v>
      </c>
      <c r="L12622" t="s">
        <v>20</v>
      </c>
      <c r="M12622" t="s">
        <v>24261</v>
      </c>
      <c r="N12622" t="s">
        <v>14</v>
      </c>
    </row>
    <row r="12623" x14ac:dyDescent="0.25">
      <c r="A12623" t="n">
        <v>23</v>
      </c>
      <c r="B12623" t="s">
        <v>14</v>
      </c>
      <c r="C12623" t="s">
        <v>22</v>
      </c>
      <c r="D12623" s="2" t="s">
        <f>=HYPERLINK("https://main.knesset.gov.il/APPS/legislation/main/bills/2142571", "הצעת חוק המקרקעין (תיקון - התקנת תשתית ועמדת טעינה לרכב חשמלי), התש""ף-2020")</f>
        <v>24376</v>
      </c>
      <c r="E12623" t="s">
        <v>24376</v>
      </c>
      <c r="F12623" t="s">
        <v>24377</v>
      </c>
      <c r="G12623" t="s">
        <v>14</v>
      </c>
      <c r="H12623">
             </c>
      <c r="I12623" t="s">
        <v>14</v>
      </c>
      <c r="J12623" t="s">
        <v>141</v>
      </c>
      <c r="K12623" t="s">
        <v>14</v>
      </c>
      <c r="L12623" t="s">
        <v>20</v>
      </c>
      <c r="M12623" t="s">
        <v>24261</v>
      </c>
      <c r="N12623" t="s">
        <v>14</v>
      </c>
    </row>
    <row r="12624" x14ac:dyDescent="0.25">
      <c r="A12624" t="n">
        <v>23</v>
      </c>
      <c r="B12624" t="s">
        <v>14</v>
      </c>
      <c r="C12624" t="s">
        <v>22</v>
      </c>
      <c r="D12624" s="2" t="s">
        <f>=HYPERLINK("https://main.knesset.gov.il/APPS/legislation/main/bills/2143197", "הצעת חוק הוועדה לטיפול במשפחות נעדרים אזרחיים, התש""ף-2020")</f>
        <v>24378</v>
      </c>
      <c r="E12624" t="s">
        <v>24378</v>
      </c>
      <c r="F12624" t="s">
        <v>24379</v>
      </c>
      <c r="G12624" t="s">
        <v>14</v>
      </c>
      <c r="H12624">
             </c>
      <c r="I12624" t="s">
        <v>14</v>
      </c>
      <c r="J12624" t="s">
        <v>141</v>
      </c>
      <c r="K12624" t="s">
        <v>14</v>
      </c>
      <c r="L12624" t="s">
        <v>20</v>
      </c>
      <c r="M12624" t="s">
        <v>24261</v>
      </c>
      <c r="N12624" t="s">
        <v>14</v>
      </c>
    </row>
    <row r="12625" x14ac:dyDescent="0.25">
      <c r="A12625" t="n">
        <v>23</v>
      </c>
      <c r="B12625" t="s">
        <v>14</v>
      </c>
      <c r="C12625" t="s">
        <v>22</v>
      </c>
      <c r="D12625" s="2" t="s">
        <f>=HYPERLINK("https://main.knesset.gov.il/APPS/legislation/main/bills/2139881", "הצעת חוק חובת המכרזים (תיקון - שילוב עסקים קטנים ובינוניים), התש""ף-2020")</f>
        <v>24380</v>
      </c>
      <c r="E12625" t="s">
        <v>24380</v>
      </c>
      <c r="F12625" t="s">
        <v>24381</v>
      </c>
      <c r="G12625" t="s">
        <v>14</v>
      </c>
      <c r="H12625">
             </c>
      <c r="I12625" t="s">
        <v>14</v>
      </c>
      <c r="J12625" t="s">
        <v>141</v>
      </c>
      <c r="K12625" t="s">
        <v>14</v>
      </c>
      <c r="L12625" t="s">
        <v>20</v>
      </c>
      <c r="M12625" t="s">
        <v>24261</v>
      </c>
      <c r="N12625" t="s">
        <v>14</v>
      </c>
    </row>
    <row r="12626" x14ac:dyDescent="0.25">
      <c r="A12626" t="n">
        <v>23</v>
      </c>
      <c r="B12626" t="s">
        <v>14</v>
      </c>
      <c r="C12626" t="s">
        <v>22</v>
      </c>
      <c r="D12626" s="2" t="s">
        <f>=HYPERLINK("https://main.knesset.gov.il/APPS/legislation/main/bills/2088234", "הצעת חוק-יסוד: כבוד האדם וחירותו (תיקון - תוקפו של חוק חורג)")</f>
        <v>11944</v>
      </c>
      <c r="E12626" t="s">
        <v>11944</v>
      </c>
      <c r="F12626" t="s">
        <v>24382</v>
      </c>
      <c r="G12626" t="s">
        <v>14</v>
      </c>
      <c r="H12626">
             </c>
      <c r="I12626" t="s">
        <v>14</v>
      </c>
      <c r="J12626" t="s">
        <v>141</v>
      </c>
      <c r="K12626" t="s">
        <v>14</v>
      </c>
      <c r="L12626" t="s">
        <v>20</v>
      </c>
      <c r="M12626" t="s">
        <v>24261</v>
      </c>
      <c r="N12626" t="s">
        <v>14</v>
      </c>
    </row>
    <row r="12627" x14ac:dyDescent="0.25">
      <c r="A12627" t="n">
        <v>23</v>
      </c>
      <c r="B12627" t="s">
        <v>14</v>
      </c>
      <c r="C12627" t="s">
        <v>22</v>
      </c>
      <c r="D12627" s="2" t="s">
        <f>=HYPERLINK("https://main.knesset.gov.il/APPS/legislation/main/bills/2143832", "הצעת חוק רמת הגולן (תיקון - ביטול החוק), התש""ף-2020")</f>
        <v>24383</v>
      </c>
      <c r="E12627" t="s">
        <v>24383</v>
      </c>
      <c r="F12627" t="s">
        <v>24384</v>
      </c>
      <c r="G12627" t="s">
        <v>14</v>
      </c>
      <c r="H12627">
             </c>
      <c r="I12627" t="s">
        <v>14</v>
      </c>
      <c r="J12627" t="s">
        <v>141</v>
      </c>
      <c r="K12627" t="s">
        <v>14</v>
      </c>
      <c r="L12627" t="s">
        <v>20</v>
      </c>
      <c r="M12627" t="s">
        <v>24261</v>
      </c>
      <c r="N12627" t="s">
        <v>14</v>
      </c>
    </row>
    <row r="12628" x14ac:dyDescent="0.25">
      <c r="A12628" t="n">
        <v>23</v>
      </c>
      <c r="B12628" t="s">
        <v>14</v>
      </c>
      <c r="C12628" t="s">
        <v>22</v>
      </c>
      <c r="D12628" s="2" t="s">
        <f>=HYPERLINK("https://main.knesset.gov.il/APPS/legislation/main/bills/2139884", "הצעת חוק המאבק בטרור (תיקון - איסור החזרת גופות מחבלים), התש""ף-2020")</f>
        <v>24385</v>
      </c>
      <c r="E12628" t="s">
        <v>24385</v>
      </c>
      <c r="F12628" t="s">
        <v>24386</v>
      </c>
      <c r="G12628" t="s">
        <v>14</v>
      </c>
      <c r="H12628">
             </c>
      <c r="I12628" t="s">
        <v>14</v>
      </c>
      <c r="J12628" t="s">
        <v>141</v>
      </c>
      <c r="K12628" t="s">
        <v>14</v>
      </c>
      <c r="L12628" t="s">
        <v>20</v>
      </c>
      <c r="M12628" t="s">
        <v>24261</v>
      </c>
      <c r="N12628" t="s">
        <v>14</v>
      </c>
    </row>
    <row r="12629" x14ac:dyDescent="0.25">
      <c r="A12629" t="n">
        <v>23</v>
      </c>
      <c r="B12629" t="s">
        <v>14</v>
      </c>
      <c r="C12629" t="s">
        <v>22</v>
      </c>
      <c r="D12629" s="2" t="s">
        <f>=HYPERLINK("https://main.knesset.gov.il/APPS/legislation/main/bills/2139796", "הצעת חוק האזרחות והכניסה לישראל (הוראת שעה) (תיקון - מניעת ריבוי נישואין), התש""ף-2020")</f>
        <v>24387</v>
      </c>
      <c r="E12629" t="s">
        <v>24387</v>
      </c>
      <c r="F12629" t="s">
        <v>24388</v>
      </c>
      <c r="G12629" t="s">
        <v>14</v>
      </c>
      <c r="H12629">
             </c>
      <c r="I12629" t="s">
        <v>14</v>
      </c>
      <c r="J12629" t="s">
        <v>141</v>
      </c>
      <c r="K12629" t="s">
        <v>14</v>
      </c>
      <c r="L12629" t="s">
        <v>20</v>
      </c>
      <c r="M12629" t="s">
        <v>24261</v>
      </c>
      <c r="N12629" t="s">
        <v>14</v>
      </c>
    </row>
    <row r="12630" x14ac:dyDescent="0.25">
      <c r="A12630" t="n">
        <v>23</v>
      </c>
      <c r="B12630" t="s">
        <v>14</v>
      </c>
      <c r="C12630" t="s">
        <v>22</v>
      </c>
      <c r="D12630" s="2" t="s">
        <f>=HYPERLINK("https://main.knesset.gov.il/APPS/legislation/main/bills/2143029", "הצעת חוק למניעת העישון במקומות ציבוריים והחשיפה לעישון (תיקון - ייעול האכיפה וביטול חדרי העישון), התש""ף-2020")</f>
        <v>24389</v>
      </c>
      <c r="E12630" t="s">
        <v>24389</v>
      </c>
      <c r="F12630" t="s">
        <v>24390</v>
      </c>
      <c r="G12630" t="s">
        <v>14</v>
      </c>
      <c r="H12630">
             </c>
      <c r="I12630" t="s">
        <v>14</v>
      </c>
      <c r="J12630" t="s">
        <v>141</v>
      </c>
      <c r="K12630" t="s">
        <v>14</v>
      </c>
      <c r="L12630" t="s">
        <v>20</v>
      </c>
      <c r="M12630" t="s">
        <v>24261</v>
      </c>
      <c r="N12630" t="s">
        <v>14</v>
      </c>
    </row>
    <row r="12631" x14ac:dyDescent="0.25">
      <c r="A12631" t="n">
        <v>23</v>
      </c>
      <c r="B12631" t="s">
        <v>14</v>
      </c>
      <c r="C12631" t="s">
        <v>22</v>
      </c>
      <c r="D12631" s="2" t="s">
        <f>=HYPERLINK("https://main.knesset.gov.il/APPS/legislation/main/bills/2143027", "הצעת חוק האזרחים הוותיקים (תיקון - פטור מתשלום בתחבורה ציבורית), התש""ף-2020")</f>
        <v>24252</v>
      </c>
      <c r="E12631" t="s">
        <v>24252</v>
      </c>
      <c r="F12631" t="s">
        <v>24391</v>
      </c>
      <c r="G12631" t="s">
        <v>14</v>
      </c>
      <c r="H12631">
             </c>
      <c r="I12631" t="s">
        <v>14</v>
      </c>
      <c r="J12631" t="s">
        <v>141</v>
      </c>
      <c r="K12631" t="s">
        <v>14</v>
      </c>
      <c r="L12631" t="s">
        <v>20</v>
      </c>
      <c r="M12631" t="s">
        <v>24261</v>
      </c>
      <c r="N12631" t="s">
        <v>14</v>
      </c>
    </row>
    <row r="12632" x14ac:dyDescent="0.25">
      <c r="A12632" t="n">
        <v>23</v>
      </c>
      <c r="B12632" t="s">
        <v>14</v>
      </c>
      <c r="C12632" t="s">
        <v>22</v>
      </c>
      <c r="D12632" s="2" t="s">
        <f>=HYPERLINK("https://main.knesset.gov.il/APPS/legislation/main/bills/2142994", "הצעת חוק למניעת העישון במקומות ציבוריים והחשיפה לעישון (תיקון - איסור עישון במקומות ציבוריים פתוחים), התש""ף-2020")</f>
        <v>24392</v>
      </c>
      <c r="E12632" t="s">
        <v>24392</v>
      </c>
      <c r="F12632" t="s">
        <v>24393</v>
      </c>
      <c r="G12632" t="s">
        <v>14</v>
      </c>
      <c r="H12632">
             </c>
      <c r="I12632" t="s">
        <v>14</v>
      </c>
      <c r="J12632" t="s">
        <v>141</v>
      </c>
      <c r="K12632" t="s">
        <v>14</v>
      </c>
      <c r="L12632" t="s">
        <v>20</v>
      </c>
      <c r="M12632" t="s">
        <v>24261</v>
      </c>
      <c r="N12632" t="s">
        <v>14</v>
      </c>
    </row>
    <row r="12633" x14ac:dyDescent="0.25">
      <c r="A12633" t="n">
        <v>23</v>
      </c>
      <c r="B12633" t="s">
        <v>14</v>
      </c>
      <c r="C12633" t="s">
        <v>22</v>
      </c>
      <c r="D12633" s="2" t="s">
        <f>=HYPERLINK("https://main.knesset.gov.il/APPS/legislation/main/bills/2139803", "הצעת חוק ביטוח בריאות ממלכתי (תיקון - השתתפות עצמית ברכישת תכשיר מרשם מבית מרקחת שאינו בהסדר עם קופת החולים), התש""ף-2020")</f>
        <v>24394</v>
      </c>
      <c r="E12633" t="s">
        <v>24394</v>
      </c>
      <c r="F12633" t="s">
        <v>24395</v>
      </c>
      <c r="G12633" t="s">
        <v>14</v>
      </c>
      <c r="H12633">
             </c>
      <c r="I12633" t="s">
        <v>14</v>
      </c>
      <c r="J12633" t="s">
        <v>141</v>
      </c>
      <c r="K12633" t="s">
        <v>14</v>
      </c>
      <c r="L12633" t="s">
        <v>20</v>
      </c>
      <c r="M12633" t="s">
        <v>24261</v>
      </c>
      <c r="N12633" t="s">
        <v>14</v>
      </c>
    </row>
    <row r="12634" x14ac:dyDescent="0.25">
      <c r="A12634" t="n">
        <v>23</v>
      </c>
      <c r="B12634" t="s">
        <v>14</v>
      </c>
      <c r="C12634" t="s">
        <v>22</v>
      </c>
      <c r="D12634" s="2" t="s">
        <f>=HYPERLINK("https://main.knesset.gov.il/APPS/legislation/main/bills/2142840", "הצעת חוק הבטחת הכנסה (תיקון - מענק קירור), התש""ף-2020")</f>
        <v>24396</v>
      </c>
      <c r="E12634" t="s">
        <v>24396</v>
      </c>
      <c r="F12634" t="s">
        <v>24397</v>
      </c>
      <c r="G12634" t="s">
        <v>14</v>
      </c>
      <c r="H12634">
             </c>
      <c r="I12634" t="s">
        <v>14</v>
      </c>
      <c r="J12634" t="s">
        <v>141</v>
      </c>
      <c r="K12634" t="s">
        <v>14</v>
      </c>
      <c r="L12634" t="s">
        <v>20</v>
      </c>
      <c r="M12634" t="s">
        <v>24261</v>
      </c>
      <c r="N12634" t="s">
        <v>14</v>
      </c>
    </row>
    <row r="12635" x14ac:dyDescent="0.25">
      <c r="A12635" t="n">
        <v>23</v>
      </c>
      <c r="B12635" t="s">
        <v>14</v>
      </c>
      <c r="C12635" t="s">
        <v>22</v>
      </c>
      <c r="D12635" s="2" t="s">
        <f>=HYPERLINK("https://main.knesset.gov.il/APPS/legislation/main/bills/2142888", "הצעת חוק הביטוח הלאומי (תיקון - תשלום רטרואקטיבי בעד תקופה שקדמה להגשת התביעה), התש""ף-2020")</f>
        <v>24398</v>
      </c>
      <c r="E12635" t="s">
        <v>24398</v>
      </c>
      <c r="F12635" t="s">
        <v>24399</v>
      </c>
      <c r="G12635" t="s">
        <v>14</v>
      </c>
      <c r="H12635">
             </c>
      <c r="I12635" t="s">
        <v>14</v>
      </c>
      <c r="J12635" t="s">
        <v>141</v>
      </c>
      <c r="K12635" t="s">
        <v>14</v>
      </c>
      <c r="L12635" t="s">
        <v>20</v>
      </c>
      <c r="M12635" t="s">
        <v>24261</v>
      </c>
      <c r="N12635" t="s">
        <v>14</v>
      </c>
    </row>
    <row r="12636" x14ac:dyDescent="0.25">
      <c r="A12636" t="n">
        <v>23</v>
      </c>
      <c r="B12636" t="s">
        <v>14</v>
      </c>
      <c r="C12636" t="s">
        <v>22</v>
      </c>
      <c r="D12636" s="2" t="s">
        <f>=HYPERLINK("https://main.knesset.gov.il/APPS/legislation/main/bills/2142861", "הצעת חוק הפיקוח על מעונות יום לפעוטות (תיקון - העברת האחריות למשרד החינוך), התש""ף-2020")</f>
        <v>24400</v>
      </c>
      <c r="E12636" t="s">
        <v>24400</v>
      </c>
      <c r="F12636" t="s">
        <v>24401</v>
      </c>
      <c r="G12636" t="s">
        <v>14</v>
      </c>
      <c r="H12636">
             </c>
      <c r="I12636" t="s">
        <v>14</v>
      </c>
      <c r="J12636" t="s">
        <v>141</v>
      </c>
      <c r="K12636" t="s">
        <v>14</v>
      </c>
      <c r="L12636" t="s">
        <v>20</v>
      </c>
      <c r="M12636" t="s">
        <v>24261</v>
      </c>
      <c r="N12636" t="s">
        <v>14</v>
      </c>
    </row>
    <row r="12637" x14ac:dyDescent="0.25">
      <c r="A12637" t="n">
        <v>23</v>
      </c>
      <c r="B12637" t="s">
        <v>14</v>
      </c>
      <c r="C12637" t="s">
        <v>22</v>
      </c>
      <c r="D12637" s="2" t="s">
        <f>=HYPERLINK("https://main.knesset.gov.il/APPS/legislation/main/bills/2142336", "הצעת חוק להגברת האכיפה של דיני העבודה (תיקון - הפרת הוראות צווי הרחבה לעניין החזר הוצאות נסיעה), התש""ף-2020")</f>
        <v>24402</v>
      </c>
      <c r="E12637" t="s">
        <v>24402</v>
      </c>
      <c r="F12637" t="s">
        <v>24403</v>
      </c>
      <c r="G12637" t="s">
        <v>14</v>
      </c>
      <c r="H12637">
             </c>
      <c r="I12637" t="s">
        <v>14</v>
      </c>
      <c r="J12637" t="s">
        <v>141</v>
      </c>
      <c r="K12637" t="s">
        <v>14</v>
      </c>
      <c r="L12637" t="s">
        <v>20</v>
      </c>
      <c r="M12637" t="s">
        <v>24261</v>
      </c>
      <c r="N12637" t="s">
        <v>14</v>
      </c>
    </row>
    <row r="12638" x14ac:dyDescent="0.25">
      <c r="A12638" t="n">
        <v>23</v>
      </c>
      <c r="B12638" t="s">
        <v>14</v>
      </c>
      <c r="C12638" t="s">
        <v>22</v>
      </c>
      <c r="D12638" s="2" t="s">
        <f>=HYPERLINK("https://main.knesset.gov.il/APPS/legislation/main/bills/2088205", "הצעת חוק לתיקון פקודת בריאות העם (הגבלת תקופת כהונה של מנהלי מחלקות בבתי חולים ציבוריים), התש""ף-2020")</f>
        <v>24404</v>
      </c>
      <c r="E12638" t="s">
        <v>24404</v>
      </c>
      <c r="F12638" t="s">
        <v>24405</v>
      </c>
      <c r="G12638" t="s">
        <v>14</v>
      </c>
      <c r="H12638">
             </c>
      <c r="I12638" t="s">
        <v>14</v>
      </c>
      <c r="J12638" t="s">
        <v>141</v>
      </c>
      <c r="K12638" t="s">
        <v>14</v>
      </c>
      <c r="L12638" t="s">
        <v>20</v>
      </c>
      <c r="M12638" t="s">
        <v>24261</v>
      </c>
      <c r="N12638" t="s">
        <v>14</v>
      </c>
    </row>
    <row r="12639" x14ac:dyDescent="0.25">
      <c r="A12639" t="n">
        <v>23</v>
      </c>
      <c r="B12639" t="s">
        <v>14</v>
      </c>
      <c r="C12639" t="s">
        <v>22</v>
      </c>
      <c r="D12639" s="2" t="s">
        <f>=HYPERLINK("https://main.knesset.gov.il/APPS/legislation/main/bills/2140943", "הצעת חוק הביטוח הלאומי (תיקון - דמי אבטלה לעצמאים), התש""ף-2020")</f>
        <v>24370</v>
      </c>
      <c r="E12639" t="s">
        <v>24370</v>
      </c>
      <c r="F12639" t="s">
        <v>24406</v>
      </c>
      <c r="G12639" t="s">
        <v>14</v>
      </c>
      <c r="H12639">
             </c>
      <c r="I12639" t="s">
        <v>14</v>
      </c>
      <c r="J12639" t="s">
        <v>141</v>
      </c>
      <c r="K12639" t="s">
        <v>14</v>
      </c>
      <c r="L12639" t="s">
        <v>20</v>
      </c>
      <c r="M12639" t="s">
        <v>24261</v>
      </c>
      <c r="N12639" t="s">
        <v>14</v>
      </c>
    </row>
    <row r="12640" x14ac:dyDescent="0.25">
      <c r="A12640" t="n">
        <v>23</v>
      </c>
      <c r="B12640" t="s">
        <v>14</v>
      </c>
      <c r="C12640" t="s">
        <v>22</v>
      </c>
      <c r="D12640" s="2" t="s">
        <f>=HYPERLINK("https://main.knesset.gov.il/APPS/legislation/main/bills/2140374", "הצעת חוק פיצויי פיטורים (תיקון - פיצויי פיטורים למתגייס לרשות הארצית לכבאות והצלה), התש""ף-2020")</f>
        <v>24407</v>
      </c>
      <c r="E12640" t="s">
        <v>24407</v>
      </c>
      <c r="F12640" t="s">
        <v>24408</v>
      </c>
      <c r="G12640" t="s">
        <v>14</v>
      </c>
      <c r="H12640">
             </c>
      <c r="I12640" t="s">
        <v>14</v>
      </c>
      <c r="J12640" t="s">
        <v>141</v>
      </c>
      <c r="K12640" t="s">
        <v>14</v>
      </c>
      <c r="L12640" t="s">
        <v>20</v>
      </c>
      <c r="M12640" t="s">
        <v>24261</v>
      </c>
      <c r="N12640" t="s">
        <v>14</v>
      </c>
    </row>
    <row r="12641" x14ac:dyDescent="0.25">
      <c r="A12641" t="n">
        <v>23</v>
      </c>
      <c r="B12641" t="s">
        <v>14</v>
      </c>
      <c r="C12641" t="s">
        <v>22</v>
      </c>
      <c r="D12641" s="2" t="s">
        <f>=HYPERLINK("https://main.knesset.gov.il/APPS/legislation/main/bills/2141796", "הצעת חוק מגן דוד אדום (תיקון - הענקת שירותי רפואה מרחוק), התש""ף-2020")</f>
        <v>24409</v>
      </c>
      <c r="E12641" t="s">
        <v>24409</v>
      </c>
      <c r="F12641" t="s">
        <v>24410</v>
      </c>
      <c r="G12641" t="s">
        <v>14</v>
      </c>
      <c r="H12641">
             </c>
      <c r="I12641" t="s">
        <v>14</v>
      </c>
      <c r="J12641" t="s">
        <v>141</v>
      </c>
      <c r="K12641" t="s">
        <v>14</v>
      </c>
      <c r="L12641" t="s">
        <v>20</v>
      </c>
      <c r="M12641" t="s">
        <v>24261</v>
      </c>
      <c r="N12641" t="s">
        <v>14</v>
      </c>
    </row>
    <row r="12642" x14ac:dyDescent="0.25">
      <c r="A12642" t="n">
        <v>23</v>
      </c>
      <c r="B12642" t="s">
        <v>14</v>
      </c>
      <c r="C12642" t="s">
        <v>22</v>
      </c>
      <c r="D12642" s="2" t="s">
        <f>=HYPERLINK("https://main.knesset.gov.il/APPS/legislation/main/bills/2143316", "הצעת חוק שירותי הדת היהודיים (תיקון - תפעול מקוואות טהרה), התש""ף-2020")</f>
        <v>24411</v>
      </c>
      <c r="E12642" t="s">
        <v>24411</v>
      </c>
      <c r="F12642" t="s">
        <v>24412</v>
      </c>
      <c r="G12642" t="s">
        <v>14</v>
      </c>
      <c r="H12642">
             </c>
      <c r="I12642" t="s">
        <v>14</v>
      </c>
      <c r="J12642" t="s">
        <v>141</v>
      </c>
      <c r="K12642" t="s">
        <v>14</v>
      </c>
      <c r="L12642" t="s">
        <v>20</v>
      </c>
      <c r="M12642" t="s">
        <v>24261</v>
      </c>
      <c r="N12642" t="s">
        <v>14</v>
      </c>
    </row>
    <row r="12643" x14ac:dyDescent="0.25">
      <c r="A12643" t="n">
        <v>23</v>
      </c>
      <c r="B12643" t="s">
        <v>14</v>
      </c>
      <c r="C12643" t="s">
        <v>22</v>
      </c>
      <c r="D12643" s="2" t="s">
        <f>=HYPERLINK("https://main.knesset.gov.il/APPS/legislation/main/bills/2140972", "הצעת חוק זכויות החולה (תיקון - איסור הפליה), התש""ף-2020")</f>
        <v>24413</v>
      </c>
      <c r="E12643" t="s">
        <v>24413</v>
      </c>
      <c r="F12643" t="s">
        <v>24414</v>
      </c>
      <c r="G12643" t="s">
        <v>14</v>
      </c>
      <c r="H12643">
             </c>
      <c r="I12643" t="s">
        <v>14</v>
      </c>
      <c r="J12643" t="s">
        <v>141</v>
      </c>
      <c r="K12643" t="s">
        <v>14</v>
      </c>
      <c r="L12643" t="s">
        <v>20</v>
      </c>
      <c r="M12643" t="s">
        <v>24261</v>
      </c>
      <c r="N12643" t="s">
        <v>14</v>
      </c>
    </row>
    <row r="12644" x14ac:dyDescent="0.25">
      <c r="A12644" t="n">
        <v>23</v>
      </c>
      <c r="B12644" t="s">
        <v>14</v>
      </c>
      <c r="C12644" t="s">
        <v>22</v>
      </c>
      <c r="D12644" s="2" t="s">
        <f>=HYPERLINK("https://main.knesset.gov.il/APPS/legislation/main/bills/2143054", "הצעת חוק התכנון והבנייה (תיקון - פרסום הודעת הפקדה בשפה שאינה עברית), התש""ף-2020")</f>
        <v>24415</v>
      </c>
      <c r="E12644" t="s">
        <v>24415</v>
      </c>
      <c r="F12644" t="s">
        <v>24416</v>
      </c>
      <c r="G12644" t="s">
        <v>14</v>
      </c>
      <c r="H12644">
             </c>
      <c r="I12644" t="s">
        <v>14</v>
      </c>
      <c r="J12644" t="s">
        <v>141</v>
      </c>
      <c r="K12644" t="s">
        <v>14</v>
      </c>
      <c r="L12644" t="s">
        <v>20</v>
      </c>
      <c r="M12644" t="s">
        <v>24261</v>
      </c>
      <c r="N12644" t="s">
        <v>14</v>
      </c>
    </row>
    <row r="12645" x14ac:dyDescent="0.25">
      <c r="A12645" t="n">
        <v>23</v>
      </c>
      <c r="B12645" t="s">
        <v>14</v>
      </c>
      <c r="C12645" t="s">
        <v>22</v>
      </c>
      <c r="D12645" s="2" t="s">
        <f>=HYPERLINK("https://main.knesset.gov.il/APPS/legislation/main/bills/2139835", "הצעת חוק לתיקון פקודת מס הכנסה (ניכוי סכומים שהוצאו לצורך טיפול בילד), התש""ף-2020")</f>
        <v>24417</v>
      </c>
      <c r="E12645" t="s">
        <v>24417</v>
      </c>
      <c r="F12645" t="s">
        <v>24418</v>
      </c>
      <c r="G12645" t="s">
        <v>14</v>
      </c>
      <c r="H12645">
             </c>
      <c r="I12645" t="s">
        <v>14</v>
      </c>
      <c r="J12645" t="s">
        <v>141</v>
      </c>
      <c r="K12645" t="s">
        <v>14</v>
      </c>
      <c r="L12645" t="s">
        <v>20</v>
      </c>
      <c r="M12645" t="s">
        <v>24261</v>
      </c>
      <c r="N12645" t="s">
        <v>14</v>
      </c>
    </row>
    <row r="12646" x14ac:dyDescent="0.25">
      <c r="A12646" t="n">
        <v>23</v>
      </c>
      <c r="B12646" t="s">
        <v>14</v>
      </c>
      <c r="C12646" t="s">
        <v>22</v>
      </c>
      <c r="D12646" s="2" t="s">
        <f>=HYPERLINK("https://main.knesset.gov.il/APPS/legislation/main/bills/2143443", "הצעת חוק לתיקון פקודת מס הכנסה (החזר בתשלום למעונות יום לאמהות), התש""ף-2020")</f>
        <v>24419</v>
      </c>
      <c r="E12646" t="s">
        <v>24419</v>
      </c>
      <c r="F12646" t="s">
        <v>24420</v>
      </c>
      <c r="G12646" t="s">
        <v>14</v>
      </c>
      <c r="H12646">
             </c>
      <c r="I12646" t="s">
        <v>14</v>
      </c>
      <c r="J12646" t="s">
        <v>141</v>
      </c>
      <c r="K12646" t="s">
        <v>14</v>
      </c>
      <c r="L12646" t="s">
        <v>20</v>
      </c>
      <c r="M12646" t="s">
        <v>24261</v>
      </c>
      <c r="N12646" t="s">
        <v>14</v>
      </c>
    </row>
    <row r="12647" x14ac:dyDescent="0.25">
      <c r="A12647" t="n">
        <v>23</v>
      </c>
      <c r="B12647" t="s">
        <v>14</v>
      </c>
      <c r="C12647" t="s">
        <v>22</v>
      </c>
      <c r="D12647" s="2" t="s">
        <f>=HYPERLINK("https://main.knesset.gov.il/APPS/legislation/main/bills/2143052", "הצעת חוק התכנון והבנייה (תיקון - פרסום בדבר קבלת היתר בנייה ותחילת עבודה), התש""ף-2020")</f>
        <v>24421</v>
      </c>
      <c r="E12647" t="s">
        <v>24421</v>
      </c>
      <c r="F12647" t="s">
        <v>24422</v>
      </c>
      <c r="G12647" t="s">
        <v>14</v>
      </c>
      <c r="H12647">
             </c>
      <c r="I12647" t="s">
        <v>14</v>
      </c>
      <c r="J12647" t="s">
        <v>141</v>
      </c>
      <c r="K12647" t="s">
        <v>14</v>
      </c>
      <c r="L12647" t="s">
        <v>20</v>
      </c>
      <c r="M12647" t="s">
        <v>24261</v>
      </c>
      <c r="N12647" t="s">
        <v>14</v>
      </c>
    </row>
    <row r="12648" x14ac:dyDescent="0.25">
      <c r="A12648" t="n">
        <v>23</v>
      </c>
      <c r="B12648" t="s">
        <v>14</v>
      </c>
      <c r="C12648" t="s">
        <v>22</v>
      </c>
      <c r="D12648" s="2" t="s">
        <f>=HYPERLINK("https://main.knesset.gov.il/APPS/legislation/main/bills/2143048", "הצעת חוק התכנון והבנייה (תיקון - גודל האותיות בהודעות בענייני תכנון ובנייה), התש""ף-2020")</f>
        <v>24423</v>
      </c>
      <c r="E12648" t="s">
        <v>24423</v>
      </c>
      <c r="F12648" t="s">
        <v>24424</v>
      </c>
      <c r="G12648" t="s">
        <v>14</v>
      </c>
      <c r="H12648">
             </c>
      <c r="I12648" t="s">
        <v>14</v>
      </c>
      <c r="J12648" t="s">
        <v>141</v>
      </c>
      <c r="K12648" t="s">
        <v>14</v>
      </c>
      <c r="L12648" t="s">
        <v>20</v>
      </c>
      <c r="M12648" t="s">
        <v>24261</v>
      </c>
      <c r="N12648" t="s">
        <v>14</v>
      </c>
    </row>
    <row r="12649" x14ac:dyDescent="0.25">
      <c r="A12649" t="n">
        <v>23</v>
      </c>
      <c r="B12649" t="s">
        <v>14</v>
      </c>
      <c r="C12649" t="s">
        <v>22</v>
      </c>
      <c r="D12649" s="2" t="s">
        <f>=HYPERLINK("https://main.knesset.gov.il/APPS/legislation/main/bills/2143273", "הצעת חוק שירותי הדת היהודיים (תיקון - ייצוג הולם לנשים במועצות הדתיות), התש""ף-2020")</f>
        <v>24425</v>
      </c>
      <c r="E12649" t="s">
        <v>24425</v>
      </c>
      <c r="F12649" t="s">
        <v>24426</v>
      </c>
      <c r="G12649" t="s">
        <v>14</v>
      </c>
      <c r="H12649">
             </c>
      <c r="I12649" t="s">
        <v>14</v>
      </c>
      <c r="J12649" t="s">
        <v>141</v>
      </c>
      <c r="K12649" t="s">
        <v>14</v>
      </c>
      <c r="L12649" t="s">
        <v>20</v>
      </c>
      <c r="M12649" t="s">
        <v>24261</v>
      </c>
      <c r="N12649" t="s">
        <v>14</v>
      </c>
    </row>
    <row r="12650" x14ac:dyDescent="0.25">
      <c r="A12650" t="n">
        <v>23</v>
      </c>
      <c r="B12650" t="s">
        <v>14</v>
      </c>
      <c r="C12650" t="s">
        <v>22</v>
      </c>
      <c r="D12650" s="2" t="s">
        <f>=HYPERLINK("https://main.knesset.gov.il/APPS/legislation/main/bills/2140336", "הצעת חוק הסדרת העיסוק בייעוץ השקעות, בשיווק השקעות ובניהול תיקי השקעות (תיקון - דיווח יועץ השקעות ללקוח), התש""ף-2020")</f>
        <v>24427</v>
      </c>
      <c r="E12650" t="s">
        <v>24427</v>
      </c>
      <c r="F12650" t="s">
        <v>24428</v>
      </c>
      <c r="G12650" t="s">
        <v>14</v>
      </c>
      <c r="H12650">
             </c>
      <c r="I12650" t="s">
        <v>14</v>
      </c>
      <c r="J12650" t="s">
        <v>141</v>
      </c>
      <c r="K12650" t="s">
        <v>14</v>
      </c>
      <c r="L12650" t="s">
        <v>20</v>
      </c>
      <c r="M12650" t="s">
        <v>24261</v>
      </c>
      <c r="N12650" t="s">
        <v>14</v>
      </c>
    </row>
    <row r="12651" x14ac:dyDescent="0.25">
      <c r="A12651" t="n">
        <v>23</v>
      </c>
      <c r="B12651" t="s">
        <v>14</v>
      </c>
      <c r="C12651" t="s">
        <v>22</v>
      </c>
      <c r="D12651" s="2" t="s">
        <f>=HYPERLINK("https://main.knesset.gov.il/APPS/legislation/main/bills/2139767", "הצעת חוק לתיקון פקודת העיריות (פרסום מכרז באתר האינטרנט), התש""ף-2020")</f>
        <v>24429</v>
      </c>
      <c r="E12651" t="s">
        <v>24429</v>
      </c>
      <c r="F12651" t="s">
        <v>24430</v>
      </c>
      <c r="G12651" t="s">
        <v>14</v>
      </c>
      <c r="H12651">
             </c>
      <c r="I12651" t="s">
        <v>14</v>
      </c>
      <c r="J12651" t="s">
        <v>141</v>
      </c>
      <c r="K12651" t="s">
        <v>14</v>
      </c>
      <c r="L12651" t="s">
        <v>20</v>
      </c>
      <c r="M12651" t="s">
        <v>24261</v>
      </c>
      <c r="N12651" t="s">
        <v>14</v>
      </c>
    </row>
    <row r="12652" x14ac:dyDescent="0.25">
      <c r="A12652" t="n">
        <v>23</v>
      </c>
      <c r="B12652" t="s">
        <v>14</v>
      </c>
      <c r="C12652" t="s">
        <v>22</v>
      </c>
      <c r="D12652" s="2" t="s">
        <f>=HYPERLINK("https://main.knesset.gov.il/APPS/legislation/main/bills/2139766", "הצעת חוק הדחת נציג ציבור התומך במאבק מזוין נגד מדינת ישראל (תיקוני חקיקה), התש""ף-2020")</f>
        <v>24431</v>
      </c>
      <c r="E12652" t="s">
        <v>24431</v>
      </c>
      <c r="F12652" t="s">
        <v>24432</v>
      </c>
      <c r="G12652" t="s">
        <v>14</v>
      </c>
      <c r="H12652">
             </c>
      <c r="I12652" t="s">
        <v>14</v>
      </c>
      <c r="J12652" t="s">
        <v>141</v>
      </c>
      <c r="K12652" t="s">
        <v>14</v>
      </c>
      <c r="L12652" t="s">
        <v>20</v>
      </c>
      <c r="M12652" t="s">
        <v>24261</v>
      </c>
      <c r="N12652" t="s">
        <v>14</v>
      </c>
    </row>
    <row r="12653" x14ac:dyDescent="0.25">
      <c r="A12653" t="n">
        <v>23</v>
      </c>
      <c r="B12653" t="s">
        <v>14</v>
      </c>
      <c r="C12653" t="s">
        <v>22</v>
      </c>
      <c r="D12653" s="2" t="s">
        <f>=HYPERLINK("https://main.knesset.gov.il/APPS/legislation/main/bills/2139855", "הצעת חוק המועצה הלאומית לחינוך, התש""ף-2020 ")</f>
        <v>24433</v>
      </c>
      <c r="E12653" t="s">
        <v>24433</v>
      </c>
      <c r="F12653" t="s">
        <v>24434</v>
      </c>
      <c r="G12653" t="s">
        <v>14</v>
      </c>
      <c r="H12653">
             </c>
      <c r="I12653" t="s">
        <v>14</v>
      </c>
      <c r="J12653" t="s">
        <v>141</v>
      </c>
      <c r="K12653" t="s">
        <v>14</v>
      </c>
      <c r="L12653" t="s">
        <v>20</v>
      </c>
      <c r="M12653" t="s">
        <v>24261</v>
      </c>
      <c r="N12653" t="s">
        <v>14</v>
      </c>
    </row>
    <row r="12654" x14ac:dyDescent="0.25">
      <c r="A12654" t="n">
        <v>23</v>
      </c>
      <c r="B12654" t="s">
        <v>14</v>
      </c>
      <c r="C12654" t="s">
        <v>22</v>
      </c>
      <c r="D12654" s="2" t="s">
        <f>=HYPERLINK("https://main.knesset.gov.il/APPS/legislation/main/bills/2139894", "הצעת חוק הרשויות המקומיות (בחירות) (תיקון - בחירה של בעל עסק בתחום רשות מקומית שעסקו רשום בה), התש""ף-2020")</f>
        <v>24435</v>
      </c>
      <c r="E12654" t="s">
        <v>24435</v>
      </c>
      <c r="F12654" t="s">
        <v>24436</v>
      </c>
      <c r="G12654" t="s">
        <v>14</v>
      </c>
      <c r="H12654">
             </c>
      <c r="I12654" t="s">
        <v>14</v>
      </c>
      <c r="J12654" t="s">
        <v>141</v>
      </c>
      <c r="K12654" t="s">
        <v>14</v>
      </c>
      <c r="L12654" t="s">
        <v>20</v>
      </c>
      <c r="M12654" t="s">
        <v>24261</v>
      </c>
      <c r="N12654" t="s">
        <v>14</v>
      </c>
    </row>
    <row r="12655" x14ac:dyDescent="0.25">
      <c r="A12655" t="n">
        <v>23</v>
      </c>
      <c r="B12655" t="s">
        <v>14</v>
      </c>
      <c r="C12655" t="s">
        <v>22</v>
      </c>
      <c r="D12655" s="2" t="s">
        <f>=HYPERLINK("https://main.knesset.gov.il/APPS/legislation/main/bills/2139878", "הצעת חוק להסדרה ועידוד של מקצוע ההוראה, התש""ף-2020")</f>
        <v>24437</v>
      </c>
      <c r="E12655" t="s">
        <v>24437</v>
      </c>
      <c r="F12655" t="s">
        <v>24438</v>
      </c>
      <c r="G12655" t="s">
        <v>14</v>
      </c>
      <c r="H12655">
             </c>
      <c r="I12655" t="s">
        <v>14</v>
      </c>
      <c r="J12655" t="s">
        <v>141</v>
      </c>
      <c r="K12655" t="s">
        <v>14</v>
      </c>
      <c r="L12655" t="s">
        <v>20</v>
      </c>
      <c r="M12655" t="s">
        <v>24261</v>
      </c>
      <c r="N12655" t="s">
        <v>14</v>
      </c>
    </row>
    <row r="12656" x14ac:dyDescent="0.25">
      <c r="A12656" t="n">
        <v>23</v>
      </c>
      <c r="B12656" t="s">
        <v>14</v>
      </c>
      <c r="C12656" t="s">
        <v>22</v>
      </c>
      <c r="D12656" s="2" t="s">
        <f>=HYPERLINK("https://main.knesset.gov.il/APPS/legislation/main/bills/2143017", "הצעת חוק חינוך ממלכתי (תיקון - חובת לימוד עברית וערבית), התש""ף-2020")</f>
        <v>24439</v>
      </c>
      <c r="E12656" t="s">
        <v>24439</v>
      </c>
      <c r="F12656" t="s">
        <v>24440</v>
      </c>
      <c r="G12656" t="s">
        <v>14</v>
      </c>
      <c r="H12656">
             </c>
      <c r="I12656" t="s">
        <v>14</v>
      </c>
      <c r="J12656" t="s">
        <v>141</v>
      </c>
      <c r="K12656" t="s">
        <v>14</v>
      </c>
      <c r="L12656" t="s">
        <v>20</v>
      </c>
      <c r="M12656" t="s">
        <v>24261</v>
      </c>
      <c r="N12656" t="s">
        <v>14</v>
      </c>
    </row>
    <row r="12657" x14ac:dyDescent="0.25">
      <c r="A12657" t="n">
        <v>23</v>
      </c>
      <c r="B12657" t="s">
        <v>14</v>
      </c>
      <c r="C12657" t="s">
        <v>22</v>
      </c>
      <c r="D12657" s="2" t="s">
        <f>=HYPERLINK("https://main.knesset.gov.il/APPS/legislation/main/bills/2139895", "הצעת חוק הרשויות המקומיות (בחירות) (תיקון - התניית יום שבתון באישור הצבעה), התש""ף-2020")</f>
        <v>24441</v>
      </c>
      <c r="E12657" t="s">
        <v>24441</v>
      </c>
      <c r="F12657" t="s">
        <v>24442</v>
      </c>
      <c r="G12657" t="s">
        <v>14</v>
      </c>
      <c r="H12657">
             </c>
      <c r="I12657" t="s">
        <v>14</v>
      </c>
      <c r="J12657" t="s">
        <v>141</v>
      </c>
      <c r="K12657" t="s">
        <v>14</v>
      </c>
      <c r="L12657" t="s">
        <v>20</v>
      </c>
      <c r="M12657" t="s">
        <v>24261</v>
      </c>
      <c r="N12657" t="s">
        <v>14</v>
      </c>
    </row>
    <row r="12658" x14ac:dyDescent="0.25">
      <c r="A12658" t="n">
        <v>23</v>
      </c>
      <c r="B12658" t="s">
        <v>14</v>
      </c>
      <c r="C12658" t="s">
        <v>22</v>
      </c>
      <c r="D12658" s="2" t="s">
        <f>=HYPERLINK("https://main.knesset.gov.il/APPS/legislation/main/bills/2142786", "הצעת חוק לתיקון פקודת העיריות (חלוקת הכנסות), התש""ף-2020")</f>
        <v>24443</v>
      </c>
      <c r="E12658" t="s">
        <v>24443</v>
      </c>
      <c r="F12658" t="s">
        <v>24444</v>
      </c>
      <c r="G12658" t="s">
        <v>14</v>
      </c>
      <c r="H12658">
             </c>
      <c r="I12658" t="s">
        <v>14</v>
      </c>
      <c r="J12658" t="s">
        <v>141</v>
      </c>
      <c r="K12658" t="s">
        <v>14</v>
      </c>
      <c r="L12658" t="s">
        <v>20</v>
      </c>
      <c r="M12658" t="s">
        <v>24261</v>
      </c>
      <c r="N12658" t="s">
        <v>14</v>
      </c>
    </row>
    <row r="12659" x14ac:dyDescent="0.25">
      <c r="A12659" t="n">
        <v>23</v>
      </c>
      <c r="B12659" t="s">
        <v>14</v>
      </c>
      <c r="C12659" t="s">
        <v>22</v>
      </c>
      <c r="D12659" s="2" t="s">
        <f>=HYPERLINK("https://main.knesset.gov.il/APPS/legislation/main/bills/2142331", "הצעת חוק התכנון והבנייה (תיקון - חדרי הנקה בבניינים ציבוריים), התש""ף-2020")</f>
        <v>24445</v>
      </c>
      <c r="E12659" t="s">
        <v>24445</v>
      </c>
      <c r="F12659" t="s">
        <v>24446</v>
      </c>
      <c r="G12659" t="s">
        <v>14</v>
      </c>
      <c r="H12659">
             </c>
      <c r="I12659" t="s">
        <v>14</v>
      </c>
      <c r="J12659" t="s">
        <v>141</v>
      </c>
      <c r="K12659" t="s">
        <v>14</v>
      </c>
      <c r="L12659" t="s">
        <v>20</v>
      </c>
      <c r="M12659" t="s">
        <v>24261</v>
      </c>
      <c r="N12659" t="s">
        <v>14</v>
      </c>
    </row>
    <row r="12660" x14ac:dyDescent="0.25">
      <c r="A12660" t="n">
        <v>23</v>
      </c>
      <c r="B12660" t="s">
        <v>14</v>
      </c>
      <c r="C12660" t="s">
        <v>22</v>
      </c>
      <c r="D12660" s="2" t="s">
        <f>=HYPERLINK("https://main.knesset.gov.il/APPS/legislation/main/bills/2142312", "הצעת חוק התכנון והבנייה (תיקון - הטמנת תשתיות בחוף הים), התש""ף-2020")</f>
        <v>24447</v>
      </c>
      <c r="E12660" t="s">
        <v>24447</v>
      </c>
      <c r="F12660" t="s">
        <v>24448</v>
      </c>
      <c r="G12660" t="s">
        <v>14</v>
      </c>
      <c r="H12660">
             </c>
      <c r="I12660" t="s">
        <v>14</v>
      </c>
      <c r="J12660" t="s">
        <v>141</v>
      </c>
      <c r="K12660" t="s">
        <v>14</v>
      </c>
      <c r="L12660" t="s">
        <v>20</v>
      </c>
      <c r="M12660" t="s">
        <v>24261</v>
      </c>
      <c r="N12660" t="s">
        <v>14</v>
      </c>
    </row>
    <row r="12661" x14ac:dyDescent="0.25">
      <c r="A12661" t="n">
        <v>23</v>
      </c>
      <c r="B12661" t="s">
        <v>14</v>
      </c>
      <c r="C12661" t="s">
        <v>22</v>
      </c>
      <c r="D12661" s="2" t="s">
        <f>=HYPERLINK("https://main.knesset.gov.il/APPS/legislation/main/bills/2139819", "הצעת חוק הביטוח הלאומי (תיקון - תגמולים למתנדב בצוות חירום יישובי או שכונתי), התש""ף-2020")</f>
        <v>24449</v>
      </c>
      <c r="E12661" t="s">
        <v>24449</v>
      </c>
      <c r="F12661" t="s">
        <v>24450</v>
      </c>
      <c r="G12661" t="s">
        <v>14</v>
      </c>
      <c r="H12661">
             </c>
      <c r="I12661" t="s">
        <v>14</v>
      </c>
      <c r="J12661" t="s">
        <v>141</v>
      </c>
      <c r="K12661" t="s">
        <v>14</v>
      </c>
      <c r="L12661" t="s">
        <v>20</v>
      </c>
      <c r="M12661" t="s">
        <v>24261</v>
      </c>
      <c r="N12661" t="s">
        <v>14</v>
      </c>
    </row>
    <row r="12662" x14ac:dyDescent="0.25">
      <c r="A12662" t="n">
        <v>23</v>
      </c>
      <c r="B12662" t="s">
        <v>14</v>
      </c>
      <c r="C12662" t="s">
        <v>22</v>
      </c>
      <c r="D12662" s="2" t="s">
        <f>=HYPERLINK("https://main.knesset.gov.il/APPS/legislation/main/bills/2143296", "הצעת חוק לתיקון פקודת בריאות העם (מדיניות חיסונים לאומית ומתן תמריצים להתחסנות), התש''ף-2020")</f>
        <v>24451</v>
      </c>
      <c r="E12662" t="s">
        <v>24451</v>
      </c>
      <c r="F12662" t="s">
        <v>24452</v>
      </c>
      <c r="G12662" t="s">
        <v>14</v>
      </c>
      <c r="H12662">
             </c>
      <c r="I12662" t="s">
        <v>14</v>
      </c>
      <c r="J12662" t="s">
        <v>141</v>
      </c>
      <c r="K12662" t="s">
        <v>14</v>
      </c>
      <c r="L12662" t="s">
        <v>20</v>
      </c>
      <c r="M12662" t="s">
        <v>24261</v>
      </c>
      <c r="N12662" t="s">
        <v>14</v>
      </c>
    </row>
    <row r="12663" x14ac:dyDescent="0.25">
      <c r="A12663" t="n">
        <v>23</v>
      </c>
      <c r="B12663" t="s">
        <v>14</v>
      </c>
      <c r="C12663" t="s">
        <v>22</v>
      </c>
      <c r="D12663" s="2" t="s">
        <f>=HYPERLINK("https://main.knesset.gov.il/APPS/legislation/main/bills/2139716", "הצעת חוק הביטוח הלאומי (תיקון - השלמת קצבת נכות לשכר המינימום), התש""ף-2020")</f>
        <v>24453</v>
      </c>
      <c r="E12663" t="s">
        <v>24453</v>
      </c>
      <c r="F12663" t="s">
        <v>24454</v>
      </c>
      <c r="G12663" t="s">
        <v>14</v>
      </c>
      <c r="H12663">
             </c>
      <c r="I12663" t="s">
        <v>14</v>
      </c>
      <c r="J12663" t="s">
        <v>141</v>
      </c>
      <c r="K12663" t="s">
        <v>14</v>
      </c>
      <c r="L12663" t="s">
        <v>20</v>
      </c>
      <c r="M12663" t="s">
        <v>24261</v>
      </c>
      <c r="N12663" t="s">
        <v>14</v>
      </c>
    </row>
    <row r="12664" x14ac:dyDescent="0.25">
      <c r="A12664" t="n">
        <v>23</v>
      </c>
      <c r="B12664" t="s">
        <v>14</v>
      </c>
      <c r="C12664" t="s">
        <v>22</v>
      </c>
      <c r="D12664" s="2" t="s">
        <f>=HYPERLINK("https://main.knesset.gov.il/APPS/legislation/main/bills/2143325", "הצעת חוק הביטוח הלאומי (תיקון - תוספת קצבה לנכים מונשמים), התש""ף-2020")</f>
        <v>24455</v>
      </c>
      <c r="E12664" t="s">
        <v>24455</v>
      </c>
      <c r="F12664" t="s">
        <v>24456</v>
      </c>
      <c r="G12664" t="s">
        <v>14</v>
      </c>
      <c r="H12664">
             </c>
      <c r="I12664" t="s">
        <v>14</v>
      </c>
      <c r="J12664" t="s">
        <v>141</v>
      </c>
      <c r="K12664" t="s">
        <v>14</v>
      </c>
      <c r="L12664" t="s">
        <v>20</v>
      </c>
      <c r="M12664" t="s">
        <v>24261</v>
      </c>
      <c r="N12664" t="s">
        <v>14</v>
      </c>
    </row>
    <row r="12665" x14ac:dyDescent="0.25">
      <c r="A12665" t="n">
        <v>23</v>
      </c>
      <c r="B12665" t="s">
        <v>14</v>
      </c>
      <c r="C12665" t="s">
        <v>22</v>
      </c>
      <c r="D12665" s="2" t="s">
        <f>=HYPERLINK("https://main.knesset.gov.il/APPS/legislation/main/bills/2143317", "הצעת חוק הביטוח הלאומי (תיקון - דמי לידה לעצמאיות - מתן זכות לעבודה חלקית), התש""ף-2020")</f>
        <v>24457</v>
      </c>
      <c r="E12665" t="s">
        <v>24457</v>
      </c>
      <c r="F12665" t="s">
        <v>24458</v>
      </c>
      <c r="G12665" t="s">
        <v>14</v>
      </c>
      <c r="H12665">
             </c>
      <c r="I12665" t="s">
        <v>14</v>
      </c>
      <c r="J12665" t="s">
        <v>141</v>
      </c>
      <c r="K12665" t="s">
        <v>14</v>
      </c>
      <c r="L12665" t="s">
        <v>20</v>
      </c>
      <c r="M12665" t="s">
        <v>24261</v>
      </c>
      <c r="N12665" t="s">
        <v>14</v>
      </c>
    </row>
    <row r="12666" x14ac:dyDescent="0.25">
      <c r="A12666" t="n">
        <v>23</v>
      </c>
      <c r="B12666" t="s">
        <v>14</v>
      </c>
      <c r="C12666" t="s">
        <v>22</v>
      </c>
      <c r="D12666" s="2" t="s">
        <f>=HYPERLINK("https://main.knesset.gov.il/APPS/legislation/main/bills/2142298", "הצעת חוק הסדרת מקומות רחצה (תיקון - איסור גביית דמי כניסה), התש""ף-2020")</f>
        <v>24459</v>
      </c>
      <c r="E12666" t="s">
        <v>24459</v>
      </c>
      <c r="F12666" t="s">
        <v>24460</v>
      </c>
      <c r="G12666" t="s">
        <v>14</v>
      </c>
      <c r="H12666">
             </c>
      <c r="I12666" t="s">
        <v>14</v>
      </c>
      <c r="J12666" t="s">
        <v>141</v>
      </c>
      <c r="K12666" t="s">
        <v>14</v>
      </c>
      <c r="L12666" t="s">
        <v>20</v>
      </c>
      <c r="M12666" t="s">
        <v>24261</v>
      </c>
      <c r="N12666" t="s">
        <v>14</v>
      </c>
    </row>
    <row r="12667" x14ac:dyDescent="0.25">
      <c r="A12667" t="n">
        <v>23</v>
      </c>
      <c r="B12667" t="s">
        <v>14</v>
      </c>
      <c r="C12667" t="s">
        <v>22</v>
      </c>
      <c r="D12667" s="2" t="s">
        <f>=HYPERLINK("https://main.knesset.gov.il/APPS/legislation/main/bills/2088136", "הצעת חוק התכנון והבנייה (תיקון - פטור מהיתר ורישוי מהיר למרחב מוגן דירתי), התש""ף-2020")</f>
        <v>24461</v>
      </c>
      <c r="E12667" t="s">
        <v>24461</v>
      </c>
      <c r="F12667" t="s">
        <v>24462</v>
      </c>
      <c r="G12667" t="s">
        <v>14</v>
      </c>
      <c r="H12667">
             </c>
      <c r="I12667" t="s">
        <v>14</v>
      </c>
      <c r="J12667" t="s">
        <v>141</v>
      </c>
      <c r="K12667" t="s">
        <v>14</v>
      </c>
      <c r="L12667" t="s">
        <v>20</v>
      </c>
      <c r="M12667" t="s">
        <v>24261</v>
      </c>
      <c r="N12667" t="s">
        <v>14</v>
      </c>
    </row>
    <row r="12668" x14ac:dyDescent="0.25">
      <c r="A12668" t="n">
        <v>23</v>
      </c>
      <c r="B12668" t="s">
        <v>14</v>
      </c>
      <c r="C12668" t="s">
        <v>22</v>
      </c>
      <c r="D12668" s="2" t="s">
        <f>=HYPERLINK("https://main.knesset.gov.il/APPS/legislation/main/bills/2142931", "הצעת חוק יום הזיכרון לנכבה, התש""ף-2020")</f>
        <v>24463</v>
      </c>
      <c r="E12668" t="s">
        <v>24463</v>
      </c>
      <c r="F12668" t="s">
        <v>24464</v>
      </c>
      <c r="G12668" t="s">
        <v>14</v>
      </c>
      <c r="H12668">
             </c>
      <c r="I12668" t="s">
        <v>14</v>
      </c>
      <c r="J12668" t="s">
        <v>141</v>
      </c>
      <c r="K12668" t="s">
        <v>14</v>
      </c>
      <c r="L12668" t="s">
        <v>20</v>
      </c>
      <c r="M12668" t="s">
        <v>24261</v>
      </c>
      <c r="N12668" t="s">
        <v>14</v>
      </c>
    </row>
    <row r="12669" x14ac:dyDescent="0.25">
      <c r="A12669" t="n">
        <v>23</v>
      </c>
      <c r="B12669" t="s">
        <v>14</v>
      </c>
      <c r="C12669" t="s">
        <v>22</v>
      </c>
      <c r="D12669" s="2" t="s">
        <f>=HYPERLINK("https://main.knesset.gov.il/APPS/legislation/main/bills/2088206", "הצעת חוק חינוך ממלכתי (תיקון - הגבלת כהונה של מפקח מחוז), התש""ף-2020")</f>
        <v>24465</v>
      </c>
      <c r="E12669" t="s">
        <v>24465</v>
      </c>
      <c r="F12669" t="s">
        <v>24466</v>
      </c>
      <c r="G12669" t="s">
        <v>14</v>
      </c>
      <c r="H12669">
             </c>
      <c r="I12669" t="s">
        <v>14</v>
      </c>
      <c r="J12669" t="s">
        <v>141</v>
      </c>
      <c r="K12669" t="s">
        <v>14</v>
      </c>
      <c r="L12669" t="s">
        <v>20</v>
      </c>
      <c r="M12669" t="s">
        <v>24261</v>
      </c>
      <c r="N12669" t="s">
        <v>14</v>
      </c>
    </row>
    <row r="12670" x14ac:dyDescent="0.25">
      <c r="A12670" t="n">
        <v>23</v>
      </c>
      <c r="B12670" t="s">
        <v>14</v>
      </c>
      <c r="C12670" t="s">
        <v>22</v>
      </c>
      <c r="D12670" s="2" t="s">
        <f>=HYPERLINK("https://main.knesset.gov.il/APPS/legislation/main/bills/2142308", "הצעת חוק לימוד חובה (תיקון - הוספת סייעת בגני ילדים), התש""ף-2020")</f>
        <v>24467</v>
      </c>
      <c r="E12670" t="s">
        <v>24467</v>
      </c>
      <c r="F12670" t="s">
        <v>24468</v>
      </c>
      <c r="G12670" t="s">
        <v>14</v>
      </c>
      <c r="H12670">
             </c>
      <c r="I12670" t="s">
        <v>14</v>
      </c>
      <c r="J12670" t="s">
        <v>141</v>
      </c>
      <c r="K12670" t="s">
        <v>14</v>
      </c>
      <c r="L12670" t="s">
        <v>20</v>
      </c>
      <c r="M12670" t="s">
        <v>24261</v>
      </c>
      <c r="N12670" t="s">
        <v>14</v>
      </c>
    </row>
    <row r="12671" x14ac:dyDescent="0.25">
      <c r="A12671" t="n">
        <v>23</v>
      </c>
      <c r="B12671" t="s">
        <v>14</v>
      </c>
      <c r="C12671" t="s">
        <v>22</v>
      </c>
      <c r="D12671" s="2" t="s">
        <f>=HYPERLINK("https://main.knesset.gov.il/APPS/legislation/main/bills/2139828", "הצעת חוק קביעת יום לציון הטבעת הספינה אלטלנה, התש""ף-2020")</f>
        <v>24469</v>
      </c>
      <c r="E12671" t="s">
        <v>24469</v>
      </c>
      <c r="F12671" t="s">
        <v>24470</v>
      </c>
      <c r="G12671" t="s">
        <v>14</v>
      </c>
      <c r="H12671">
             </c>
      <c r="I12671" t="s">
        <v>14</v>
      </c>
      <c r="J12671" t="s">
        <v>141</v>
      </c>
      <c r="K12671" t="s">
        <v>14</v>
      </c>
      <c r="L12671" t="s">
        <v>20</v>
      </c>
      <c r="M12671" t="s">
        <v>24261</v>
      </c>
      <c r="N12671" t="s">
        <v>14</v>
      </c>
    </row>
    <row r="12672" x14ac:dyDescent="0.25">
      <c r="A12672" t="n">
        <v>23</v>
      </c>
      <c r="B12672" t="s">
        <v>14</v>
      </c>
      <c r="C12672" t="s">
        <v>22</v>
      </c>
      <c r="D12672" s="2" t="s">
        <f>=HYPERLINK("https://main.knesset.gov.il/APPS/legislation/main/bills/2142326", "הצעת חוק איסור הפליה של תלמידים במערכת החינוך (תיקוני חקיקה), התש""ף-2020")</f>
        <v>24471</v>
      </c>
      <c r="E12672" t="s">
        <v>24471</v>
      </c>
      <c r="F12672" t="s">
        <v>24472</v>
      </c>
      <c r="G12672" t="s">
        <v>14</v>
      </c>
      <c r="H12672">
             </c>
      <c r="I12672" t="s">
        <v>14</v>
      </c>
      <c r="J12672" t="s">
        <v>141</v>
      </c>
      <c r="K12672" t="s">
        <v>14</v>
      </c>
      <c r="L12672" t="s">
        <v>20</v>
      </c>
      <c r="M12672" t="s">
        <v>24261</v>
      </c>
      <c r="N12672" t="s">
        <v>14</v>
      </c>
    </row>
    <row r="12673" x14ac:dyDescent="0.25">
      <c r="A12673" t="n">
        <v>23</v>
      </c>
      <c r="B12673" t="s">
        <v>14</v>
      </c>
      <c r="C12673" t="s">
        <v>22</v>
      </c>
      <c r="D12673" s="2" t="s">
        <f>=HYPERLINK("https://main.knesset.gov.il/APPS/legislation/main/bills/2142165", "הצעת חוק הקייטנות (רישוי ופיקוח) (תיקון - הגדרת קייטנה מפוקחת), התש""ף-2020")</f>
        <v>24473</v>
      </c>
      <c r="E12673" t="s">
        <v>24473</v>
      </c>
      <c r="F12673" t="s">
        <v>24474</v>
      </c>
      <c r="G12673" t="s">
        <v>14</v>
      </c>
      <c r="H12673">
             </c>
      <c r="I12673" t="s">
        <v>14</v>
      </c>
      <c r="J12673" t="s">
        <v>141</v>
      </c>
      <c r="K12673" t="s">
        <v>14</v>
      </c>
      <c r="L12673" t="s">
        <v>20</v>
      </c>
      <c r="M12673" t="s">
        <v>24261</v>
      </c>
      <c r="N12673" t="s">
        <v>14</v>
      </c>
    </row>
    <row r="12674" x14ac:dyDescent="0.25">
      <c r="A12674" t="n">
        <v>23</v>
      </c>
      <c r="B12674" t="s">
        <v>14</v>
      </c>
      <c r="C12674" t="s">
        <v>22</v>
      </c>
      <c r="D12674" s="2" t="s">
        <f>=HYPERLINK("https://main.knesset.gov.il/APPS/legislation/main/bills/2142166", "הצעת חוק יום ציון ממלכתי לוועידת סן רמו, התש""ף-2020")</f>
        <v>24475</v>
      </c>
      <c r="E12674" t="s">
        <v>24475</v>
      </c>
      <c r="F12674" t="s">
        <v>24476</v>
      </c>
      <c r="G12674" t="s">
        <v>14</v>
      </c>
      <c r="H12674">
             </c>
      <c r="I12674" t="s">
        <v>14</v>
      </c>
      <c r="J12674" t="s">
        <v>141</v>
      </c>
      <c r="K12674" t="s">
        <v>14</v>
      </c>
      <c r="L12674" t="s">
        <v>20</v>
      </c>
      <c r="M12674" t="s">
        <v>24261</v>
      </c>
      <c r="N12674" t="s">
        <v>14</v>
      </c>
    </row>
    <row r="12675" x14ac:dyDescent="0.25">
      <c r="A12675" t="n">
        <v>23</v>
      </c>
      <c r="B12675" t="s">
        <v>14</v>
      </c>
      <c r="C12675" t="s">
        <v>22</v>
      </c>
      <c r="D12675" s="2" t="s">
        <f>=HYPERLINK("https://main.knesset.gov.il/APPS/legislation/main/bills/2139820", "הצעת חוק לימוד חובה (תיקון - חינוך חינם לפעוטות), התש""ף-2020")</f>
        <v>24477</v>
      </c>
      <c r="E12675" t="s">
        <v>24477</v>
      </c>
      <c r="F12675" t="s">
        <v>24478</v>
      </c>
      <c r="G12675" t="s">
        <v>14</v>
      </c>
      <c r="H12675">
             </c>
      <c r="I12675" t="s">
        <v>14</v>
      </c>
      <c r="J12675" t="s">
        <v>141</v>
      </c>
      <c r="K12675" t="s">
        <v>14</v>
      </c>
      <c r="L12675" t="s">
        <v>20</v>
      </c>
      <c r="M12675" t="s">
        <v>24261</v>
      </c>
      <c r="N12675" t="s">
        <v>14</v>
      </c>
    </row>
    <row r="12676" x14ac:dyDescent="0.25">
      <c r="A12676" t="n">
        <v>23</v>
      </c>
      <c r="B12676" t="s">
        <v>14</v>
      </c>
      <c r="C12676" t="s">
        <v>22</v>
      </c>
      <c r="D12676" s="2" t="s">
        <f>=HYPERLINK("https://main.knesset.gov.il/APPS/legislation/main/bills/2143033", "הצעת חוק להנצחת זכרו של רחבעם זאבי (תיקון - ביטול החוק), התש""ף-2020")</f>
        <v>24479</v>
      </c>
      <c r="E12676" t="s">
        <v>24479</v>
      </c>
      <c r="F12676" t="s">
        <v>24480</v>
      </c>
      <c r="G12676" t="s">
        <v>14</v>
      </c>
      <c r="H12676">
             </c>
      <c r="I12676" t="s">
        <v>14</v>
      </c>
      <c r="J12676" t="s">
        <v>141</v>
      </c>
      <c r="K12676" t="s">
        <v>14</v>
      </c>
      <c r="L12676" t="s">
        <v>20</v>
      </c>
      <c r="M12676" t="s">
        <v>24261</v>
      </c>
      <c r="N12676" t="s">
        <v>14</v>
      </c>
    </row>
    <row r="12677" x14ac:dyDescent="0.25">
      <c r="A12677" t="n">
        <v>23</v>
      </c>
      <c r="B12677" t="s">
        <v>14</v>
      </c>
      <c r="C12677" t="s">
        <v>22</v>
      </c>
      <c r="D12677" s="2" t="s">
        <f>=HYPERLINK("https://main.knesset.gov.il/APPS/legislation/main/bills/2143016", "הצעת חוק חינוך ממלכתי (תיקון - חובת לימוד עברית וערבית במוסדות חינוך תיכוניים), התש""ף-2020")</f>
        <v>24481</v>
      </c>
      <c r="E12677" t="s">
        <v>24481</v>
      </c>
      <c r="F12677" t="s">
        <v>24482</v>
      </c>
      <c r="G12677" t="s">
        <v>14</v>
      </c>
      <c r="H12677">
             </c>
      <c r="I12677" t="s">
        <v>14</v>
      </c>
      <c r="J12677" t="s">
        <v>141</v>
      </c>
      <c r="K12677" t="s">
        <v>14</v>
      </c>
      <c r="L12677" t="s">
        <v>20</v>
      </c>
      <c r="M12677" t="s">
        <v>24261</v>
      </c>
      <c r="N12677" t="s">
        <v>14</v>
      </c>
    </row>
    <row r="12678" x14ac:dyDescent="0.25">
      <c r="A12678" t="n">
        <v>23</v>
      </c>
      <c r="B12678" t="s">
        <v>14</v>
      </c>
      <c r="C12678" t="s">
        <v>22</v>
      </c>
      <c r="D12678" s="2" t="s">
        <f>=HYPERLINK("https://main.knesset.gov.il/APPS/legislation/main/bills/2143207", "הצעת חוק השוואת תנאים לתלמידי ועובדי מוסדות חינוך מיוחד מוכרים שאינם רשמיים, התש""ף-2020")</f>
        <v>24483</v>
      </c>
      <c r="E12678" t="s">
        <v>24483</v>
      </c>
      <c r="F12678" t="s">
        <v>24484</v>
      </c>
      <c r="G12678" t="s">
        <v>14</v>
      </c>
      <c r="H12678">
             </c>
      <c r="I12678" t="s">
        <v>14</v>
      </c>
      <c r="J12678" t="s">
        <v>141</v>
      </c>
      <c r="K12678" t="s">
        <v>14</v>
      </c>
      <c r="L12678" t="s">
        <v>20</v>
      </c>
      <c r="M12678" t="s">
        <v>24261</v>
      </c>
      <c r="N12678" t="s">
        <v>14</v>
      </c>
    </row>
    <row r="12679" x14ac:dyDescent="0.25">
      <c r="A12679" t="n">
        <v>23</v>
      </c>
      <c r="B12679" t="s">
        <v>14</v>
      </c>
      <c r="C12679" t="s">
        <v>22</v>
      </c>
      <c r="D12679" s="2" t="s">
        <f>=HYPERLINK("https://main.knesset.gov.il/APPS/legislation/main/bills/2142271", "הצעת חוק המכינות הקדם-צבאיות (תיקון - שלילת הכרה ממכינות המעודדות סירוב פקודה והסתה), התש""ף-2020")</f>
        <v>24485</v>
      </c>
      <c r="E12679" t="s">
        <v>24485</v>
      </c>
      <c r="F12679" t="s">
        <v>24486</v>
      </c>
      <c r="G12679" t="s">
        <v>14</v>
      </c>
      <c r="H12679">
             </c>
      <c r="I12679" t="s">
        <v>14</v>
      </c>
      <c r="J12679" t="s">
        <v>141</v>
      </c>
      <c r="K12679" t="s">
        <v>14</v>
      </c>
      <c r="L12679" t="s">
        <v>20</v>
      </c>
      <c r="M12679" t="s">
        <v>24261</v>
      </c>
      <c r="N12679" t="s">
        <v>14</v>
      </c>
    </row>
    <row r="12680" x14ac:dyDescent="0.25">
      <c r="A12680" t="n">
        <v>23</v>
      </c>
      <c r="B12680" t="s">
        <v>14</v>
      </c>
      <c r="C12680" t="s">
        <v>22</v>
      </c>
      <c r="D12680" s="2" t="s">
        <f>=HYPERLINK("https://main.knesset.gov.il/APPS/legislation/main/bills/2141472", "הצעת חוק הפיקוח על שירותים פיננסיים (קופות גמל) (תיקון - הגבלת דמי ניהול בקרנות הפנסיה), התש""ף-2020")</f>
        <v>24487</v>
      </c>
      <c r="E12680" t="s">
        <v>24487</v>
      </c>
      <c r="F12680" t="s">
        <v>24488</v>
      </c>
      <c r="G12680" t="s">
        <v>14</v>
      </c>
      <c r="H12680">
             </c>
      <c r="I12680" t="s">
        <v>14</v>
      </c>
      <c r="J12680" t="s">
        <v>141</v>
      </c>
      <c r="K12680" t="s">
        <v>14</v>
      </c>
      <c r="L12680" t="s">
        <v>20</v>
      </c>
      <c r="M12680" t="s">
        <v>24261</v>
      </c>
      <c r="N12680" t="s">
        <v>14</v>
      </c>
    </row>
    <row r="12681" x14ac:dyDescent="0.25">
      <c r="A12681" t="n">
        <v>23</v>
      </c>
      <c r="B12681" t="s">
        <v>14</v>
      </c>
      <c r="C12681" t="s">
        <v>22</v>
      </c>
      <c r="D12681" s="2" t="s">
        <f>=HYPERLINK("https://main.knesset.gov.il/APPS/legislation/main/bills/2141849", "הצעת חוק הקלות במס על רכישת מכשיר ניידות מסוג קלנועית (תיקוני חקיקה), התש""ף-2020")</f>
        <v>24489</v>
      </c>
      <c r="E12681" t="s">
        <v>24489</v>
      </c>
      <c r="F12681" t="s">
        <v>24490</v>
      </c>
      <c r="G12681" t="s">
        <v>14</v>
      </c>
      <c r="H12681">
             </c>
      <c r="I12681" t="s">
        <v>14</v>
      </c>
      <c r="J12681" t="s">
        <v>141</v>
      </c>
      <c r="K12681" t="s">
        <v>14</v>
      </c>
      <c r="L12681" t="s">
        <v>20</v>
      </c>
      <c r="M12681" t="s">
        <v>24261</v>
      </c>
      <c r="N12681" t="s">
        <v>14</v>
      </c>
    </row>
    <row r="12682" x14ac:dyDescent="0.25">
      <c r="A12682" t="n">
        <v>23</v>
      </c>
      <c r="B12682" t="s">
        <v>14</v>
      </c>
      <c r="C12682" t="s">
        <v>22</v>
      </c>
      <c r="D12682" s="2" t="s">
        <f>=HYPERLINK("https://main.knesset.gov.il/APPS/legislation/main/bills/2086945", "הצעת חוק לתיקון פקודת מס הכנסה (ביטול הטבות מס לתושב חוזר ותיק), התש""ף-2020")</f>
        <v>24491</v>
      </c>
      <c r="E12682" t="s">
        <v>24491</v>
      </c>
      <c r="F12682" t="s">
        <v>24492</v>
      </c>
      <c r="G12682" t="s">
        <v>14</v>
      </c>
      <c r="H12682">
             </c>
      <c r="I12682" t="s">
        <v>14</v>
      </c>
      <c r="J12682" t="s">
        <v>141</v>
      </c>
      <c r="K12682" t="s">
        <v>14</v>
      </c>
      <c r="L12682" t="s">
        <v>20</v>
      </c>
      <c r="M12682" t="s">
        <v>24261</v>
      </c>
      <c r="N12682" t="s">
        <v>14</v>
      </c>
    </row>
    <row r="12683" x14ac:dyDescent="0.25">
      <c r="A12683" t="n">
        <v>23</v>
      </c>
      <c r="B12683" t="s">
        <v>14</v>
      </c>
      <c r="C12683" t="s">
        <v>22</v>
      </c>
      <c r="D12683" s="2" t="s">
        <f>=HYPERLINK("https://main.knesset.gov.il/APPS/legislation/main/bills/2141993", "הצעת חוק לתיקון פקודת מס הכנסה (נקודות זיכוי לאפוטרופוס), התש""ף-2020")</f>
        <v>24493</v>
      </c>
      <c r="E12683" t="s">
        <v>24493</v>
      </c>
      <c r="F12683" t="s">
        <v>24494</v>
      </c>
      <c r="G12683" t="s">
        <v>14</v>
      </c>
      <c r="H12683">
             </c>
      <c r="I12683" t="s">
        <v>14</v>
      </c>
      <c r="J12683" t="s">
        <v>141</v>
      </c>
      <c r="K12683" t="s">
        <v>14</v>
      </c>
      <c r="L12683" t="s">
        <v>20</v>
      </c>
      <c r="M12683" t="s">
        <v>24261</v>
      </c>
      <c r="N12683" t="s">
        <v>14</v>
      </c>
    </row>
    <row r="12684" x14ac:dyDescent="0.25">
      <c r="A12684" t="n">
        <v>23</v>
      </c>
      <c r="B12684" t="s">
        <v>14</v>
      </c>
      <c r="C12684" t="s">
        <v>22</v>
      </c>
      <c r="D12684" s="2" t="s">
        <f>=HYPERLINK("https://main.knesset.gov.il/APPS/legislation/main/bills/2086795", "הצעת חוק ניירות ערך (תיקון - קנס מוגדל בגין הרצת מניות), התש""ף-2020")</f>
        <v>24495</v>
      </c>
      <c r="E12684" t="s">
        <v>24495</v>
      </c>
      <c r="F12684" t="s">
        <v>24496</v>
      </c>
      <c r="G12684" t="s">
        <v>14</v>
      </c>
      <c r="H12684">
             </c>
      <c r="I12684" t="s">
        <v>14</v>
      </c>
      <c r="J12684" t="s">
        <v>141</v>
      </c>
      <c r="K12684" t="s">
        <v>14</v>
      </c>
      <c r="L12684" t="s">
        <v>20</v>
      </c>
      <c r="M12684" t="s">
        <v>24261</v>
      </c>
      <c r="N12684" t="s">
        <v>14</v>
      </c>
    </row>
    <row r="12685" x14ac:dyDescent="0.25">
      <c r="A12685" t="n">
        <v>23</v>
      </c>
      <c r="B12685" t="s">
        <v>14</v>
      </c>
      <c r="C12685" t="s">
        <v>15</v>
      </c>
      <c r="D12685" s="2" t="s">
        <f>=HYPERLINK("https://main.knesset.gov.il/APPS/legislation/main/bills/2143626", "הצעת חוק חומרי נפץ (תיקון מס' 5 והוראת שעה), התש""ף-2020 ")</f>
        <v>24497</v>
      </c>
      <c r="E12685" t="s">
        <v>24497</v>
      </c>
      <c r="F12685" t="s">
        <v>14</v>
      </c>
      <c r="G12685" t="s">
        <v>24498</v>
      </c>
      <c r="H12685">
             </c>
      <c r="I12685" t="s">
        <v>14</v>
      </c>
      <c r="J12685" t="s">
        <v>18</v>
      </c>
      <c r="K12685" t="s">
        <v>114</v>
      </c>
      <c r="L12685" t="s">
        <v>20</v>
      </c>
      <c r="M12685" t="s">
        <v>24261</v>
      </c>
      <c r="N12685" t="s">
        <v>14</v>
      </c>
    </row>
    <row r="12686" x14ac:dyDescent="0.25">
      <c r="A12686" t="n">
        <v>23</v>
      </c>
      <c r="B12686" t="s">
        <v>14</v>
      </c>
      <c r="C12686" t="s">
        <v>15</v>
      </c>
      <c r="D12686" s="2" t="s">
        <f>=HYPERLINK("https://main.knesset.gov.il/APPS/legislation/main/bills/2141938", "הצעת חוק ניהול דיוני ועדות השחרורים והוועדה לעיון בעונש (הוראת שעה – נגיף הקורונה החדש), התש""ף-2020 - החלק הנותר")</f>
        <v>24499</v>
      </c>
      <c r="E12686" t="s">
        <v>24499</v>
      </c>
      <c r="F12686" t="s">
        <v>14</v>
      </c>
      <c r="G12686" t="s">
        <v>24500</v>
      </c>
      <c r="H12686">
             </c>
      <c r="I12686" t="s">
        <v>14</v>
      </c>
      <c r="J12686" t="s">
        <v>99</v>
      </c>
      <c r="K12686" t="s">
        <v>27</v>
      </c>
      <c r="L12686" t="s">
        <v>20</v>
      </c>
      <c r="M12686" t="s">
        <v>24501</v>
      </c>
      <c r="N12686" t="s">
        <v>14</v>
      </c>
    </row>
    <row r="12687" x14ac:dyDescent="0.25">
      <c r="A12687" t="n">
        <v>23</v>
      </c>
      <c r="B12687" t="s">
        <v>14</v>
      </c>
      <c r="C12687" t="s">
        <v>15</v>
      </c>
      <c r="D12687" s="2" t="s">
        <f>=HYPERLINK("https://main.knesset.gov.il/APPS/legislation/main/bills/2088093", "חוק עובדים זרים (נגיף הקורונה החדש - הוראת שעה - תיקון מס' 21), התש""ף-2020")</f>
        <v>24502</v>
      </c>
      <c r="E12687" t="s">
        <v>24502</v>
      </c>
      <c r="F12687" t="s">
        <v>14</v>
      </c>
      <c r="G12687" t="s">
        <v>24503</v>
      </c>
      <c r="H12687" t="n">
        <v>2838</v>
      </c>
      <c r="I12687" t="s">
        <v>14</v>
      </c>
      <c r="J12687" t="s">
        <v>91</v>
      </c>
      <c r="K12687" t="s">
        <v>15147</v>
      </c>
      <c r="L12687" t="s">
        <v>20</v>
      </c>
      <c r="M12687" t="s">
        <v>24501</v>
      </c>
      <c r="N12687" t="s">
        <v>24504</v>
      </c>
    </row>
    <row r="12688" x14ac:dyDescent="0.25">
      <c r="A12688" t="n">
        <v>23</v>
      </c>
      <c r="B12688" t="s">
        <v>14</v>
      </c>
      <c r="C12688" t="s">
        <v>22</v>
      </c>
      <c r="D12688" s="2" t="s">
        <f>=HYPERLINK("https://main.knesset.gov.il/APPS/legislation/main/bills/2087244", "הצעת חוק-יסוד: השפיטה (תיקון - פסקת התגברות)")</f>
        <v>13222</v>
      </c>
      <c r="E12688" t="s">
        <v>13222</v>
      </c>
      <c r="F12688" t="s">
        <v>24505</v>
      </c>
      <c r="G12688" t="s">
        <v>14</v>
      </c>
      <c r="H12688">
             </c>
      <c r="I12688" t="s">
        <v>14</v>
      </c>
      <c r="J12688" t="s">
        <v>55</v>
      </c>
      <c r="K12688" t="s">
        <v>14</v>
      </c>
      <c r="L12688" t="s">
        <v>20</v>
      </c>
      <c r="M12688" t="s">
        <v>24501</v>
      </c>
      <c r="N12688" t="s">
        <v>14</v>
      </c>
    </row>
    <row r="12689" x14ac:dyDescent="0.25">
      <c r="A12689" t="n">
        <v>23</v>
      </c>
      <c r="B12689" t="s">
        <v>14</v>
      </c>
      <c r="C12689" t="s">
        <v>22</v>
      </c>
      <c r="D12689" s="2" t="s">
        <f>=HYPERLINK("https://main.knesset.gov.il/APPS/legislation/main/bills/2087418", "הצעת חוק ועדת חקירה מיוחדת לרכש ספינות השיט והצוללות לחיל הים, התש""ף-2020")</f>
        <v>24506</v>
      </c>
      <c r="E12689" t="s">
        <v>24506</v>
      </c>
      <c r="F12689" t="s">
        <v>24507</v>
      </c>
      <c r="G12689" t="s">
        <v>14</v>
      </c>
      <c r="H12689">
             </c>
      <c r="I12689" t="s">
        <v>14</v>
      </c>
      <c r="J12689" t="s">
        <v>55</v>
      </c>
      <c r="K12689" t="s">
        <v>14</v>
      </c>
      <c r="L12689" t="s">
        <v>20</v>
      </c>
      <c r="M12689" t="s">
        <v>24501</v>
      </c>
      <c r="N12689" t="s">
        <v>14</v>
      </c>
    </row>
    <row r="12690" x14ac:dyDescent="0.25">
      <c r="A12690" t="n">
        <v>23</v>
      </c>
      <c r="B12690" t="s">
        <v>14</v>
      </c>
      <c r="C12690" t="s">
        <v>22</v>
      </c>
      <c r="D12690" s="2" t="s">
        <f>=HYPERLINK("https://main.knesset.gov.il/APPS/legislation/main/bills/2086315", "הצעת חוק מס ערך מוסף (תיקון - שיעור מס מופחת על מוצרי מזון בסיסיים), התש""ף-2020")</f>
        <v>24508</v>
      </c>
      <c r="E12690" t="s">
        <v>24508</v>
      </c>
      <c r="F12690" t="s">
        <v>24509</v>
      </c>
      <c r="G12690" t="s">
        <v>14</v>
      </c>
      <c r="H12690">
             </c>
      <c r="I12690" t="s">
        <v>14</v>
      </c>
      <c r="J12690" t="s">
        <v>65</v>
      </c>
      <c r="K12690" t="s">
        <v>14</v>
      </c>
      <c r="L12690" t="s">
        <v>20</v>
      </c>
      <c r="M12690" t="s">
        <v>24501</v>
      </c>
      <c r="N12690" t="s">
        <v>14</v>
      </c>
    </row>
    <row r="12691" x14ac:dyDescent="0.25">
      <c r="A12691" t="n">
        <v>23</v>
      </c>
      <c r="B12691" t="s">
        <v>14</v>
      </c>
      <c r="C12691" t="s">
        <v>22</v>
      </c>
      <c r="D12691" s="2" t="s">
        <f>=HYPERLINK("https://main.knesset.gov.il/APPS/legislation/main/bills/2086335", "הצעת חוק לתיקון פקודת הכלבת (בידוד בעלי חיים), התש""ף-2020")</f>
        <v>24510</v>
      </c>
      <c r="E12691" t="s">
        <v>24510</v>
      </c>
      <c r="F12691" t="s">
        <v>24511</v>
      </c>
      <c r="G12691" t="s">
        <v>14</v>
      </c>
      <c r="H12691">
             </c>
      <c r="I12691" t="s">
        <v>14</v>
      </c>
      <c r="J12691" t="s">
        <v>99</v>
      </c>
      <c r="K12691" t="s">
        <v>19</v>
      </c>
      <c r="L12691" t="s">
        <v>20</v>
      </c>
      <c r="M12691" t="s">
        <v>24512</v>
      </c>
      <c r="N12691" t="s">
        <v>14</v>
      </c>
    </row>
    <row r="12692" x14ac:dyDescent="0.25">
      <c r="A12692" t="n">
        <v>23</v>
      </c>
      <c r="B12692" t="s">
        <v>14</v>
      </c>
      <c r="C12692" t="s">
        <v>15</v>
      </c>
      <c r="D12692" s="2" t="s">
        <f>=HYPERLINK("https://main.knesset.gov.il/APPS/legislation/main/bills/2088239", "הצעת חוק שירות עבודה בשעת־חירום (הוראת שעה - נגיף הקורונה החדש), התש""ף-2020")</f>
        <v>24513</v>
      </c>
      <c r="E12692" t="s">
        <v>24513</v>
      </c>
      <c r="F12692" t="s">
        <v>14</v>
      </c>
      <c r="G12692" t="s">
        <v>24514</v>
      </c>
      <c r="H12692">
             </c>
      <c r="I12692" t="s">
        <v>14</v>
      </c>
      <c r="J12692" t="s">
        <v>18</v>
      </c>
      <c r="K12692" t="s">
        <v>15147</v>
      </c>
      <c r="L12692" t="s">
        <v>20</v>
      </c>
      <c r="M12692" t="s">
        <v>24515</v>
      </c>
      <c r="N12692" t="s">
        <v>14</v>
      </c>
    </row>
    <row r="12693" x14ac:dyDescent="0.25">
      <c r="A12693" t="n">
        <v>23</v>
      </c>
      <c r="B12693" t="s">
        <v>14</v>
      </c>
      <c r="C12693" t="s">
        <v>22</v>
      </c>
      <c r="D12693" s="2" t="s">
        <f>=HYPERLINK("https://main.knesset.gov.il/APPS/legislation/main/bills/2085840", "חוק ההוצאה לפועל (תיקון מס' 66), התש""ף-2020")</f>
        <v>24516</v>
      </c>
      <c r="E12693" t="s">
        <v>24516</v>
      </c>
      <c r="F12693" t="s">
        <v>24517</v>
      </c>
      <c r="G12693" t="s">
        <v>24518</v>
      </c>
      <c r="H12693" t="n">
        <v>2837</v>
      </c>
      <c r="I12693" t="s">
        <v>14</v>
      </c>
      <c r="J12693" t="s">
        <v>91</v>
      </c>
      <c r="K12693" t="s">
        <v>27</v>
      </c>
      <c r="L12693" t="s">
        <v>20</v>
      </c>
      <c r="M12693" t="s">
        <v>24515</v>
      </c>
      <c r="N12693" t="s">
        <v>24519</v>
      </c>
    </row>
    <row r="12694" x14ac:dyDescent="0.25">
      <c r="A12694" t="n">
        <v>23</v>
      </c>
      <c r="B12694" t="s">
        <v>14</v>
      </c>
      <c r="C12694" t="s">
        <v>22</v>
      </c>
      <c r="D12694" s="2" t="s">
        <f>=HYPERLINK("https://main.knesset.gov.il/APPS/legislation/main/bills/2140277", "הצעת חוק יום לציון אירועי הפרהוד, התש""ף-2020")</f>
        <v>24520</v>
      </c>
      <c r="E12694" t="s">
        <v>24520</v>
      </c>
      <c r="F12694" t="s">
        <v>24521</v>
      </c>
      <c r="G12694" t="s">
        <v>14</v>
      </c>
      <c r="H12694">
             </c>
      <c r="I12694" t="s">
        <v>14</v>
      </c>
      <c r="J12694" t="s">
        <v>141</v>
      </c>
      <c r="K12694" t="s">
        <v>14</v>
      </c>
      <c r="L12694" t="s">
        <v>20</v>
      </c>
      <c r="M12694" t="s">
        <v>24515</v>
      </c>
      <c r="N12694" t="s">
        <v>14</v>
      </c>
    </row>
    <row r="12695" x14ac:dyDescent="0.25">
      <c r="A12695" t="n">
        <v>23</v>
      </c>
      <c r="B12695" t="s">
        <v>14</v>
      </c>
      <c r="C12695" t="s">
        <v>22</v>
      </c>
      <c r="D12695" s="2" t="s">
        <f>=HYPERLINK("https://main.knesset.gov.il/APPS/legislation/main/bills/2141319", "הצעת חוק סיוע לקטינים נפגעי עבירות מין או אלימות (תיקון - טיפול נפשי לילדים), התש""ף-2020")</f>
        <v>24522</v>
      </c>
      <c r="E12695" t="s">
        <v>24522</v>
      </c>
      <c r="F12695" t="s">
        <v>24523</v>
      </c>
      <c r="G12695" t="s">
        <v>14</v>
      </c>
      <c r="H12695">
             </c>
      <c r="I12695" t="s">
        <v>14</v>
      </c>
      <c r="J12695" t="s">
        <v>141</v>
      </c>
      <c r="K12695" t="s">
        <v>14</v>
      </c>
      <c r="L12695" t="s">
        <v>20</v>
      </c>
      <c r="M12695" t="s">
        <v>24515</v>
      </c>
      <c r="N12695" t="s">
        <v>14</v>
      </c>
    </row>
    <row r="12696" x14ac:dyDescent="0.25">
      <c r="A12696" t="n">
        <v>23</v>
      </c>
      <c r="B12696" t="s">
        <v>14</v>
      </c>
      <c r="C12696" t="s">
        <v>22</v>
      </c>
      <c r="D12696" s="2" t="s">
        <f>=HYPERLINK("https://main.knesset.gov.il/APPS/legislation/main/bills/2141446", "הצעת חוק הרשות הלאומית למניעת התאבדויות, התש""ף-2020")</f>
        <v>24524</v>
      </c>
      <c r="E12696" t="s">
        <v>24524</v>
      </c>
      <c r="F12696" t="s">
        <v>24525</v>
      </c>
      <c r="G12696" t="s">
        <v>14</v>
      </c>
      <c r="H12696">
             </c>
      <c r="I12696" t="s">
        <v>14</v>
      </c>
      <c r="J12696" t="s">
        <v>141</v>
      </c>
      <c r="K12696" t="s">
        <v>14</v>
      </c>
      <c r="L12696" t="s">
        <v>20</v>
      </c>
      <c r="M12696" t="s">
        <v>24515</v>
      </c>
      <c r="N12696" t="s">
        <v>14</v>
      </c>
    </row>
    <row r="12697" x14ac:dyDescent="0.25">
      <c r="A12697" t="n">
        <v>23</v>
      </c>
      <c r="B12697" t="s">
        <v>14</v>
      </c>
      <c r="C12697" t="s">
        <v>22</v>
      </c>
      <c r="D12697" s="2" t="s">
        <f>=HYPERLINK("https://main.knesset.gov.il/APPS/legislation/main/bills/2143866", "הצעת חוק-יסוד: מגילת העצמאות")</f>
        <v>7662</v>
      </c>
      <c r="E12697" t="s">
        <v>7662</v>
      </c>
      <c r="F12697" t="s">
        <v>24526</v>
      </c>
      <c r="G12697" t="s">
        <v>14</v>
      </c>
      <c r="H12697">
             </c>
      <c r="I12697" t="s">
        <v>14</v>
      </c>
      <c r="J12697" t="s">
        <v>343</v>
      </c>
      <c r="K12697" t="s">
        <v>14</v>
      </c>
      <c r="L12697" t="s">
        <v>20</v>
      </c>
      <c r="M12697" t="s">
        <v>24515</v>
      </c>
      <c r="N12697" t="s">
        <v>14</v>
      </c>
    </row>
    <row r="12698" x14ac:dyDescent="0.25">
      <c r="A12698" t="n">
        <v>23</v>
      </c>
      <c r="B12698" t="s">
        <v>14</v>
      </c>
      <c r="C12698" t="s">
        <v>22</v>
      </c>
      <c r="D12698" s="2" t="s">
        <f>=HYPERLINK("https://main.knesset.gov.il/APPS/legislation/main/bills/2142735", "הצעת חוק כבילת עצורים ואסירים שלא כדין - עוולה אזרחית (תיקוני חקיקה), התש""ף-2020")</f>
        <v>24527</v>
      </c>
      <c r="E12698" t="s">
        <v>24527</v>
      </c>
      <c r="F12698" t="s">
        <v>24528</v>
      </c>
      <c r="G12698" t="s">
        <v>14</v>
      </c>
      <c r="H12698">
             </c>
      <c r="I12698" t="s">
        <v>14</v>
      </c>
      <c r="J12698" t="s">
        <v>343</v>
      </c>
      <c r="K12698" t="s">
        <v>14</v>
      </c>
      <c r="L12698" t="s">
        <v>20</v>
      </c>
      <c r="M12698" t="s">
        <v>24515</v>
      </c>
      <c r="N12698" t="s">
        <v>14</v>
      </c>
    </row>
    <row r="12699" x14ac:dyDescent="0.25">
      <c r="A12699" t="n">
        <v>23</v>
      </c>
      <c r="B12699" t="s">
        <v>14</v>
      </c>
      <c r="C12699" t="s">
        <v>22</v>
      </c>
      <c r="D12699" s="2" t="s">
        <f>=HYPERLINK("https://main.knesset.gov.il/APPS/legislation/main/bills/2142299", "הצעת חוק לתיקון פקודת היערות (פקידי יערות ברשות מקומית), התש""ף-2020")</f>
        <v>24529</v>
      </c>
      <c r="E12699" t="s">
        <v>24529</v>
      </c>
      <c r="F12699" t="s">
        <v>24530</v>
      </c>
      <c r="G12699" t="s">
        <v>14</v>
      </c>
      <c r="H12699">
             </c>
      <c r="I12699" t="s">
        <v>14</v>
      </c>
      <c r="J12699" t="s">
        <v>141</v>
      </c>
      <c r="K12699" t="s">
        <v>14</v>
      </c>
      <c r="L12699" t="s">
        <v>20</v>
      </c>
      <c r="M12699" t="s">
        <v>24515</v>
      </c>
      <c r="N12699" t="s">
        <v>14</v>
      </c>
    </row>
    <row r="12700" x14ac:dyDescent="0.25">
      <c r="A12700" t="n">
        <v>23</v>
      </c>
      <c r="B12700" t="s">
        <v>14</v>
      </c>
      <c r="C12700" t="s">
        <v>22</v>
      </c>
      <c r="D12700" s="2" t="s">
        <f>=HYPERLINK("https://main.knesset.gov.il/APPS/legislation/main/bills/2142339", "הצעת חוק מרשם האוכלוסין (תיקון - ביטול סעיף המין בתעודת הזהות), התש""ף-2020")</f>
        <v>24531</v>
      </c>
      <c r="E12700" t="s">
        <v>24531</v>
      </c>
      <c r="F12700" t="s">
        <v>24532</v>
      </c>
      <c r="G12700" t="s">
        <v>14</v>
      </c>
      <c r="H12700">
             </c>
      <c r="I12700" t="s">
        <v>14</v>
      </c>
      <c r="J12700" t="s">
        <v>141</v>
      </c>
      <c r="K12700" t="s">
        <v>14</v>
      </c>
      <c r="L12700" t="s">
        <v>20</v>
      </c>
      <c r="M12700" t="s">
        <v>24515</v>
      </c>
      <c r="N12700" t="s">
        <v>14</v>
      </c>
    </row>
    <row r="12701" x14ac:dyDescent="0.25">
      <c r="A12701" t="n">
        <v>23</v>
      </c>
      <c r="B12701" t="s">
        <v>14</v>
      </c>
      <c r="C12701" t="s">
        <v>22</v>
      </c>
      <c r="D12701" s="2" t="s">
        <f>=HYPERLINK("https://main.knesset.gov.il/APPS/legislation/main/bills/2142325", "הצעת חוק הרשויות המקומיות (גמול השתתפות בישיבות והחזר הוצאות לחברי מועצה), התש""ף-2020")</f>
        <v>24533</v>
      </c>
      <c r="E12701" t="s">
        <v>24533</v>
      </c>
      <c r="F12701" t="s">
        <v>24534</v>
      </c>
      <c r="G12701" t="s">
        <v>14</v>
      </c>
      <c r="H12701">
             </c>
      <c r="I12701" t="s">
        <v>14</v>
      </c>
      <c r="J12701" t="s">
        <v>141</v>
      </c>
      <c r="K12701" t="s">
        <v>14</v>
      </c>
      <c r="L12701" t="s">
        <v>20</v>
      </c>
      <c r="M12701" t="s">
        <v>24515</v>
      </c>
      <c r="N12701" t="s">
        <v>14</v>
      </c>
    </row>
    <row r="12702" x14ac:dyDescent="0.25">
      <c r="A12702" t="n">
        <v>23</v>
      </c>
      <c r="B12702" t="s">
        <v>14</v>
      </c>
      <c r="C12702" t="s">
        <v>22</v>
      </c>
      <c r="D12702" s="2" t="s">
        <f>=HYPERLINK("https://main.knesset.gov.il/APPS/legislation/main/bills/2142323", "הצעת חוק הרשויות המקומיות (זכויות וחובות של חברי מועצה), התש""ף-2020")</f>
        <v>24535</v>
      </c>
      <c r="E12702" t="s">
        <v>24535</v>
      </c>
      <c r="F12702" t="s">
        <v>24536</v>
      </c>
      <c r="G12702" t="s">
        <v>14</v>
      </c>
      <c r="H12702">
             </c>
      <c r="I12702" t="s">
        <v>14</v>
      </c>
      <c r="J12702" t="s">
        <v>141</v>
      </c>
      <c r="K12702" t="s">
        <v>14</v>
      </c>
      <c r="L12702" t="s">
        <v>20</v>
      </c>
      <c r="M12702" t="s">
        <v>24515</v>
      </c>
      <c r="N12702" t="s">
        <v>14</v>
      </c>
    </row>
    <row r="12703" x14ac:dyDescent="0.25">
      <c r="A12703" t="n">
        <v>23</v>
      </c>
      <c r="B12703" t="s">
        <v>14</v>
      </c>
      <c r="C12703" t="s">
        <v>22</v>
      </c>
      <c r="D12703" s="2" t="s">
        <f>=HYPERLINK("https://main.knesset.gov.il/APPS/legislation/main/bills/2142302", "הצעת חוק חובת שימוש חוזר במי מזגנים, התש""ף-2020 ")</f>
        <v>24537</v>
      </c>
      <c r="E12703" t="s">
        <v>24537</v>
      </c>
      <c r="F12703" t="s">
        <v>24538</v>
      </c>
      <c r="G12703" t="s">
        <v>14</v>
      </c>
      <c r="H12703">
             </c>
      <c r="I12703" t="s">
        <v>14</v>
      </c>
      <c r="J12703" t="s">
        <v>141</v>
      </c>
      <c r="K12703" t="s">
        <v>14</v>
      </c>
      <c r="L12703" t="s">
        <v>20</v>
      </c>
      <c r="M12703" t="s">
        <v>24515</v>
      </c>
      <c r="N12703" t="s">
        <v>14</v>
      </c>
    </row>
    <row r="12704" x14ac:dyDescent="0.25">
      <c r="A12704" t="n">
        <v>23</v>
      </c>
      <c r="B12704" t="s">
        <v>14</v>
      </c>
      <c r="C12704" t="s">
        <v>22</v>
      </c>
      <c r="D12704" s="2" t="s">
        <f>=HYPERLINK("https://main.knesset.gov.il/APPS/legislation/main/bills/2142301", "הצעת חוק לתיקון פקודת היערות (חובת פרסום לציבור על ידי הצבת שלט), התש""ף-2020 ")</f>
        <v>24539</v>
      </c>
      <c r="E12704" t="s">
        <v>24539</v>
      </c>
      <c r="F12704" t="s">
        <v>24540</v>
      </c>
      <c r="G12704" t="s">
        <v>14</v>
      </c>
      <c r="H12704">
             </c>
      <c r="I12704" t="s">
        <v>14</v>
      </c>
      <c r="J12704" t="s">
        <v>141</v>
      </c>
      <c r="K12704" t="s">
        <v>14</v>
      </c>
      <c r="L12704" t="s">
        <v>20</v>
      </c>
      <c r="M12704" t="s">
        <v>24515</v>
      </c>
      <c r="N12704" t="s">
        <v>14</v>
      </c>
    </row>
    <row r="12705" x14ac:dyDescent="0.25">
      <c r="A12705" t="n">
        <v>23</v>
      </c>
      <c r="B12705" t="s">
        <v>14</v>
      </c>
      <c r="C12705" t="s">
        <v>22</v>
      </c>
      <c r="D12705" s="2" t="s">
        <f>=HYPERLINK("https://main.knesset.gov.il/APPS/legislation/main/bills/2142293", "הצעת חוק התכנון והבנייה (תיקון - פרסום נאות), התש""ף-2020")</f>
        <v>24541</v>
      </c>
      <c r="E12705" t="s">
        <v>24541</v>
      </c>
      <c r="F12705" t="s">
        <v>24542</v>
      </c>
      <c r="G12705" t="s">
        <v>14</v>
      </c>
      <c r="H12705">
             </c>
      <c r="I12705" t="s">
        <v>14</v>
      </c>
      <c r="J12705" t="s">
        <v>141</v>
      </c>
      <c r="K12705" t="s">
        <v>14</v>
      </c>
      <c r="L12705" t="s">
        <v>20</v>
      </c>
      <c r="M12705" t="s">
        <v>24515</v>
      </c>
      <c r="N12705" t="s">
        <v>14</v>
      </c>
    </row>
    <row r="12706" x14ac:dyDescent="0.25">
      <c r="A12706" t="n">
        <v>23</v>
      </c>
      <c r="B12706" t="s">
        <v>14</v>
      </c>
      <c r="C12706" t="s">
        <v>22</v>
      </c>
      <c r="D12706" s="2" t="s">
        <f>=HYPERLINK("https://main.knesset.gov.il/APPS/legislation/main/bills/2141779", "הצעת חוק-יסוד: הממשלה (תיקון - הגבלת תקופת כהונה של ראש הממשלה)")</f>
        <v>12182</v>
      </c>
      <c r="E12706" t="s">
        <v>12182</v>
      </c>
      <c r="F12706" t="s">
        <v>24543</v>
      </c>
      <c r="G12706" t="s">
        <v>14</v>
      </c>
      <c r="H12706">
             </c>
      <c r="I12706" t="s">
        <v>14</v>
      </c>
      <c r="J12706" t="s">
        <v>141</v>
      </c>
      <c r="K12706" t="s">
        <v>14</v>
      </c>
      <c r="L12706" t="s">
        <v>20</v>
      </c>
      <c r="M12706" t="s">
        <v>24515</v>
      </c>
      <c r="N12706" t="s">
        <v>14</v>
      </c>
    </row>
    <row r="12707" x14ac:dyDescent="0.25">
      <c r="A12707" t="n">
        <v>23</v>
      </c>
      <c r="B12707" t="s">
        <v>14</v>
      </c>
      <c r="C12707" t="s">
        <v>22</v>
      </c>
      <c r="D12707" s="2" t="s">
        <f>=HYPERLINK("https://main.knesset.gov.il/APPS/legislation/main/bills/2140974", "הצעת חוק איסור שימוש ברכב ממשלתי לשר וסגן שר ביום המנוחה השבועי ובחג, התש""ף-2020")</f>
        <v>24544</v>
      </c>
      <c r="E12707" t="s">
        <v>24544</v>
      </c>
      <c r="F12707" t="s">
        <v>24545</v>
      </c>
      <c r="G12707" t="s">
        <v>14</v>
      </c>
      <c r="H12707">
             </c>
      <c r="I12707" t="s">
        <v>14</v>
      </c>
      <c r="J12707" t="s">
        <v>141</v>
      </c>
      <c r="K12707" t="s">
        <v>14</v>
      </c>
      <c r="L12707" t="s">
        <v>20</v>
      </c>
      <c r="M12707" t="s">
        <v>24515</v>
      </c>
      <c r="N12707" t="s">
        <v>14</v>
      </c>
    </row>
    <row r="12708" x14ac:dyDescent="0.25">
      <c r="A12708" t="n">
        <v>23</v>
      </c>
      <c r="B12708" t="s">
        <v>14</v>
      </c>
      <c r="C12708" t="s">
        <v>22</v>
      </c>
      <c r="D12708" s="2" t="s">
        <f>=HYPERLINK("https://main.knesset.gov.il/APPS/legislation/main/bills/2142282", "הצעת חוק התכנון והבנייה (תיקון - תסקיר גישה ובטיחות בנתיבי תנועה ציבוריים), התש""ף-2020")</f>
        <v>24546</v>
      </c>
      <c r="E12708" t="s">
        <v>24546</v>
      </c>
      <c r="F12708" t="s">
        <v>24547</v>
      </c>
      <c r="G12708" t="s">
        <v>14</v>
      </c>
      <c r="H12708">
             </c>
      <c r="I12708" t="s">
        <v>14</v>
      </c>
      <c r="J12708" t="s">
        <v>141</v>
      </c>
      <c r="K12708" t="s">
        <v>14</v>
      </c>
      <c r="L12708" t="s">
        <v>20</v>
      </c>
      <c r="M12708" t="s">
        <v>24515</v>
      </c>
      <c r="N12708" t="s">
        <v>14</v>
      </c>
    </row>
    <row r="12709" x14ac:dyDescent="0.25">
      <c r="A12709" t="n">
        <v>23</v>
      </c>
      <c r="B12709" t="s">
        <v>14</v>
      </c>
      <c r="C12709" t="s">
        <v>22</v>
      </c>
      <c r="D12709" s="2" t="s">
        <f>=HYPERLINK("https://main.knesset.gov.il/APPS/legislation/main/bills/2143186", "הצעת חוק הפרשנות (תיקון - הגדרת הפליה על רקע זהות מגדרית או נטייה מינית), התש""ף-2020")</f>
        <v>24548</v>
      </c>
      <c r="E12709" t="s">
        <v>24548</v>
      </c>
      <c r="F12709" t="s">
        <v>24549</v>
      </c>
      <c r="G12709" t="s">
        <v>14</v>
      </c>
      <c r="H12709">
             </c>
      <c r="I12709" t="s">
        <v>14</v>
      </c>
      <c r="J12709" t="s">
        <v>141</v>
      </c>
      <c r="K12709" t="s">
        <v>14</v>
      </c>
      <c r="L12709" t="s">
        <v>20</v>
      </c>
      <c r="M12709" t="s">
        <v>24515</v>
      </c>
      <c r="N12709" t="s">
        <v>14</v>
      </c>
    </row>
    <row r="12710" x14ac:dyDescent="0.25">
      <c r="A12710" t="n">
        <v>23</v>
      </c>
      <c r="B12710" t="s">
        <v>14</v>
      </c>
      <c r="C12710" t="s">
        <v>22</v>
      </c>
      <c r="D12710" s="2" t="s">
        <f>=HYPERLINK("https://main.knesset.gov.il/APPS/legislation/main/bills/2142276", "הצעת חוק שמירת הסביבה החופית (תיקון - התאמת תכניות ישנות), התש""ף-2020")</f>
        <v>24550</v>
      </c>
      <c r="E12710" t="s">
        <v>24550</v>
      </c>
      <c r="F12710" t="s">
        <v>24551</v>
      </c>
      <c r="G12710" t="s">
        <v>14</v>
      </c>
      <c r="H12710">
             </c>
      <c r="I12710" t="s">
        <v>14</v>
      </c>
      <c r="J12710" t="s">
        <v>141</v>
      </c>
      <c r="K12710" t="s">
        <v>14</v>
      </c>
      <c r="L12710" t="s">
        <v>20</v>
      </c>
      <c r="M12710" t="s">
        <v>24515</v>
      </c>
      <c r="N12710" t="s">
        <v>14</v>
      </c>
    </row>
    <row r="12711" x14ac:dyDescent="0.25">
      <c r="A12711" t="n">
        <v>23</v>
      </c>
      <c r="B12711" t="s">
        <v>14</v>
      </c>
      <c r="C12711" t="s">
        <v>22</v>
      </c>
      <c r="D12711" s="2" t="s">
        <f>=HYPERLINK("https://main.knesset.gov.il/APPS/legislation/main/bills/2141966", "הצעת חוק התכנון והבנייה (תיקון - הגדרת חדר מחוזק כמרחב מוגן), התש""ף-2020")</f>
        <v>24552</v>
      </c>
      <c r="E12711" t="s">
        <v>24552</v>
      </c>
      <c r="F12711" t="s">
        <v>24553</v>
      </c>
      <c r="G12711" t="s">
        <v>14</v>
      </c>
      <c r="H12711">
             </c>
      <c r="I12711" t="s">
        <v>14</v>
      </c>
      <c r="J12711" t="s">
        <v>141</v>
      </c>
      <c r="K12711" t="s">
        <v>14</v>
      </c>
      <c r="L12711" t="s">
        <v>20</v>
      </c>
      <c r="M12711" t="s">
        <v>24515</v>
      </c>
      <c r="N12711" t="s">
        <v>14</v>
      </c>
    </row>
    <row r="12712" x14ac:dyDescent="0.25">
      <c r="A12712" t="n">
        <v>23</v>
      </c>
      <c r="B12712" t="s">
        <v>14</v>
      </c>
      <c r="C12712" t="s">
        <v>22</v>
      </c>
      <c r="D12712" s="2" t="s">
        <f>=HYPERLINK("https://main.knesset.gov.il/APPS/legislation/main/bills/2141304", "הצעת החוק העותומני על האגודות (תיקון - שימוש בשם), התש""ף-2020")</f>
        <v>24554</v>
      </c>
      <c r="E12712" t="s">
        <v>24554</v>
      </c>
      <c r="F12712" t="s">
        <v>24555</v>
      </c>
      <c r="G12712" t="s">
        <v>14</v>
      </c>
      <c r="H12712">
             </c>
      <c r="I12712" t="s">
        <v>14</v>
      </c>
      <c r="J12712" t="s">
        <v>141</v>
      </c>
      <c r="K12712" t="s">
        <v>14</v>
      </c>
      <c r="L12712" t="s">
        <v>20</v>
      </c>
      <c r="M12712" t="s">
        <v>24515</v>
      </c>
      <c r="N12712" t="s">
        <v>14</v>
      </c>
    </row>
    <row r="12713" x14ac:dyDescent="0.25">
      <c r="A12713" t="n">
        <v>23</v>
      </c>
      <c r="B12713" t="s">
        <v>14</v>
      </c>
      <c r="C12713" t="s">
        <v>22</v>
      </c>
      <c r="D12713" s="2" t="s">
        <f>=HYPERLINK("https://main.knesset.gov.il/APPS/legislation/main/bills/2141302", "הצעת חוק האגודות העותומניות (רישום ופיקוח), התש""ף-2020")</f>
        <v>24556</v>
      </c>
      <c r="E12713" t="s">
        <v>24556</v>
      </c>
      <c r="F12713" t="s">
        <v>24557</v>
      </c>
      <c r="G12713" t="s">
        <v>14</v>
      </c>
      <c r="H12713">
             </c>
      <c r="I12713" t="s">
        <v>14</v>
      </c>
      <c r="J12713" t="s">
        <v>141</v>
      </c>
      <c r="K12713" t="s">
        <v>14</v>
      </c>
      <c r="L12713" t="s">
        <v>20</v>
      </c>
      <c r="M12713" t="s">
        <v>24515</v>
      </c>
      <c r="N12713" t="s">
        <v>14</v>
      </c>
    </row>
    <row r="12714" x14ac:dyDescent="0.25">
      <c r="A12714" t="n">
        <v>23</v>
      </c>
      <c r="B12714" t="s">
        <v>14</v>
      </c>
      <c r="C12714" t="s">
        <v>22</v>
      </c>
      <c r="D12714" s="2" t="s">
        <f>=HYPERLINK("https://main.knesset.gov.il/APPS/legislation/main/bills/2142813", "הצעת חוק שירות המדינה (מינויים) (תיקון - ייצוג הולם בקרב העובדים בשירות המדינה), התש""ף-2020")</f>
        <v>24558</v>
      </c>
      <c r="E12714" t="s">
        <v>24558</v>
      </c>
      <c r="F12714" t="s">
        <v>24559</v>
      </c>
      <c r="G12714" t="s">
        <v>14</v>
      </c>
      <c r="H12714">
             </c>
      <c r="I12714" t="s">
        <v>14</v>
      </c>
      <c r="J12714" t="s">
        <v>141</v>
      </c>
      <c r="K12714" t="s">
        <v>14</v>
      </c>
      <c r="L12714" t="s">
        <v>20</v>
      </c>
      <c r="M12714" t="s">
        <v>24515</v>
      </c>
      <c r="N12714" t="s">
        <v>14</v>
      </c>
    </row>
    <row r="12715" x14ac:dyDescent="0.25">
      <c r="A12715" t="n">
        <v>23</v>
      </c>
      <c r="B12715" t="s">
        <v>14</v>
      </c>
      <c r="C12715" t="s">
        <v>22</v>
      </c>
      <c r="D12715" s="2" t="s">
        <f>=HYPERLINK("https://main.knesset.gov.il/APPS/legislation/main/bills/2086704", "הצעת חוק זכויות נפגעי עבירה (תיקון - חובת יידוע נפגעי עבירה בדבר זכויותיהם), התש""ף-2020")</f>
        <v>24560</v>
      </c>
      <c r="E12715" t="s">
        <v>24560</v>
      </c>
      <c r="F12715" t="s">
        <v>24561</v>
      </c>
      <c r="G12715" t="s">
        <v>14</v>
      </c>
      <c r="H12715">
             </c>
      <c r="I12715" t="s">
        <v>14</v>
      </c>
      <c r="J12715" t="s">
        <v>141</v>
      </c>
      <c r="K12715" t="s">
        <v>14</v>
      </c>
      <c r="L12715" t="s">
        <v>20</v>
      </c>
      <c r="M12715" t="s">
        <v>24515</v>
      </c>
      <c r="N12715" t="s">
        <v>14</v>
      </c>
    </row>
    <row r="12716" x14ac:dyDescent="0.25">
      <c r="A12716" t="n">
        <v>23</v>
      </c>
      <c r="B12716" t="s">
        <v>14</v>
      </c>
      <c r="C12716" t="s">
        <v>22</v>
      </c>
      <c r="D12716" s="2" t="s">
        <f>=HYPERLINK("https://main.knesset.gov.il/APPS/legislation/main/bills/2085971", "הצעת חוק בית המשפט לענייני משפחה (תיקון - בני זוג מאותו המין), התש""ף-2020")</f>
        <v>24562</v>
      </c>
      <c r="E12716" t="s">
        <v>24562</v>
      </c>
      <c r="F12716" t="s">
        <v>24563</v>
      </c>
      <c r="G12716" t="s">
        <v>14</v>
      </c>
      <c r="H12716">
             </c>
      <c r="I12716" t="s">
        <v>14</v>
      </c>
      <c r="J12716" t="s">
        <v>141</v>
      </c>
      <c r="K12716" t="s">
        <v>14</v>
      </c>
      <c r="L12716" t="s">
        <v>20</v>
      </c>
      <c r="M12716" t="s">
        <v>24515</v>
      </c>
      <c r="N12716" t="s">
        <v>14</v>
      </c>
    </row>
    <row r="12717" x14ac:dyDescent="0.25">
      <c r="A12717" t="n">
        <v>23</v>
      </c>
      <c r="B12717" t="s">
        <v>14</v>
      </c>
      <c r="C12717" t="s">
        <v>22</v>
      </c>
      <c r="D12717" s="2" t="s">
        <f>=HYPERLINK("https://main.knesset.gov.il/APPS/legislation/main/bills/2140493", "הצעת חוק החברות הממשלתיות (תיקון - ייצוג הולם בתאגידים שהוקמו בחוק ובחברות ממשלתיות), התש""ף-2020")</f>
        <v>24564</v>
      </c>
      <c r="E12717" t="s">
        <v>24564</v>
      </c>
      <c r="F12717" t="s">
        <v>24565</v>
      </c>
      <c r="G12717" t="s">
        <v>14</v>
      </c>
      <c r="H12717">
             </c>
      <c r="I12717" t="s">
        <v>14</v>
      </c>
      <c r="J12717" t="s">
        <v>141</v>
      </c>
      <c r="K12717" t="s">
        <v>14</v>
      </c>
      <c r="L12717" t="s">
        <v>20</v>
      </c>
      <c r="M12717" t="s">
        <v>24515</v>
      </c>
      <c r="N12717" t="s">
        <v>14</v>
      </c>
    </row>
    <row r="12718" x14ac:dyDescent="0.25">
      <c r="A12718" t="n">
        <v>23</v>
      </c>
      <c r="B12718" t="s">
        <v>14</v>
      </c>
      <c r="C12718" t="s">
        <v>22</v>
      </c>
      <c r="D12718" s="2" t="s">
        <f>=HYPERLINK("https://main.knesset.gov.il/APPS/legislation/main/bills/2086971", "הצעת חוק הביטוח הלאומי (תיקון - פטור מתשלום דמי ביטוח), התש""ף-2020")</f>
        <v>24566</v>
      </c>
      <c r="E12718" t="s">
        <v>24566</v>
      </c>
      <c r="F12718" t="s">
        <v>24567</v>
      </c>
      <c r="G12718" t="s">
        <v>14</v>
      </c>
      <c r="H12718">
             </c>
      <c r="I12718" t="s">
        <v>14</v>
      </c>
      <c r="J12718" t="s">
        <v>141</v>
      </c>
      <c r="K12718" t="s">
        <v>14</v>
      </c>
      <c r="L12718" t="s">
        <v>20</v>
      </c>
      <c r="M12718" t="s">
        <v>24515</v>
      </c>
      <c r="N12718" t="s">
        <v>14</v>
      </c>
    </row>
    <row r="12719" x14ac:dyDescent="0.25">
      <c r="A12719" t="n">
        <v>23</v>
      </c>
      <c r="B12719" t="s">
        <v>14</v>
      </c>
      <c r="C12719" t="s">
        <v>22</v>
      </c>
      <c r="D12719" s="2" t="s">
        <f>=HYPERLINK("https://main.knesset.gov.il/APPS/legislation/main/bills/2142342", "הצעת חוק הביטוח הלאומי (תיקון - הודעה לפני גביית חוב), התש""ף-2020")</f>
        <v>24568</v>
      </c>
      <c r="E12719" t="s">
        <v>24568</v>
      </c>
      <c r="F12719" t="s">
        <v>24569</v>
      </c>
      <c r="G12719" t="s">
        <v>14</v>
      </c>
      <c r="H12719">
             </c>
      <c r="I12719" t="s">
        <v>14</v>
      </c>
      <c r="J12719" t="s">
        <v>141</v>
      </c>
      <c r="K12719" t="s">
        <v>14</v>
      </c>
      <c r="L12719" t="s">
        <v>20</v>
      </c>
      <c r="M12719" t="s">
        <v>24515</v>
      </c>
      <c r="N12719" t="s">
        <v>14</v>
      </c>
    </row>
    <row r="12720" x14ac:dyDescent="0.25">
      <c r="A12720" t="n">
        <v>23</v>
      </c>
      <c r="B12720" t="s">
        <v>14</v>
      </c>
      <c r="C12720" t="s">
        <v>22</v>
      </c>
      <c r="D12720" s="2" t="s">
        <f>=HYPERLINK("https://main.knesset.gov.il/APPS/legislation/main/bills/2142337", "הצעת חוק דמי ביטוח לאומי ודמי ביטוח בריאות מופחתים למי שיצא לפרישה מוקדמת (תיקוני חקיקה), התש""ף-2020")</f>
        <v>24570</v>
      </c>
      <c r="E12720" t="s">
        <v>24570</v>
      </c>
      <c r="F12720" t="s">
        <v>24571</v>
      </c>
      <c r="G12720" t="s">
        <v>14</v>
      </c>
      <c r="H12720">
             </c>
      <c r="I12720" t="s">
        <v>14</v>
      </c>
      <c r="J12720" t="s">
        <v>141</v>
      </c>
      <c r="K12720" t="s">
        <v>14</v>
      </c>
      <c r="L12720" t="s">
        <v>20</v>
      </c>
      <c r="M12720" t="s">
        <v>24515</v>
      </c>
      <c r="N12720" t="s">
        <v>14</v>
      </c>
    </row>
    <row r="12721" x14ac:dyDescent="0.25">
      <c r="A12721" t="n">
        <v>23</v>
      </c>
      <c r="B12721" t="s">
        <v>14</v>
      </c>
      <c r="C12721" t="s">
        <v>22</v>
      </c>
      <c r="D12721" s="2" t="s">
        <f>=HYPERLINK("https://main.knesset.gov.il/APPS/legislation/main/bills/2142724", "הצעת חוק הביטוח הלאומי (תיקון - מועד לתביעת גמלת כסף והתקופה שבעדה תשולם), התש""ף-2020")</f>
        <v>24572</v>
      </c>
      <c r="E12721" t="s">
        <v>24572</v>
      </c>
      <c r="F12721" t="s">
        <v>24573</v>
      </c>
      <c r="G12721" t="s">
        <v>14</v>
      </c>
      <c r="H12721">
             </c>
      <c r="I12721" t="s">
        <v>14</v>
      </c>
      <c r="J12721" t="s">
        <v>141</v>
      </c>
      <c r="K12721" t="s">
        <v>14</v>
      </c>
      <c r="L12721" t="s">
        <v>20</v>
      </c>
      <c r="M12721" t="s">
        <v>24515</v>
      </c>
      <c r="N12721" t="s">
        <v>14</v>
      </c>
    </row>
    <row r="12722" x14ac:dyDescent="0.25">
      <c r="A12722" t="n">
        <v>23</v>
      </c>
      <c r="B12722" t="s">
        <v>14</v>
      </c>
      <c r="C12722" t="s">
        <v>22</v>
      </c>
      <c r="D12722" s="2" t="s">
        <f>=HYPERLINK("https://main.knesset.gov.il/APPS/legislation/main/bills/2141323", "הצעת חוק לתיקון פקודת הרופאים (פטור מבחינות לרופאים ממדינות מסוימות בחוץ-לארץ בעלי ניסיון של 5 שנים), התש""ף-2020")</f>
        <v>24574</v>
      </c>
      <c r="E12722" t="s">
        <v>24574</v>
      </c>
      <c r="F12722" t="s">
        <v>24575</v>
      </c>
      <c r="G12722" t="s">
        <v>14</v>
      </c>
      <c r="H12722">
             </c>
      <c r="I12722" t="s">
        <v>14</v>
      </c>
      <c r="J12722" t="s">
        <v>141</v>
      </c>
      <c r="K12722" t="s">
        <v>14</v>
      </c>
      <c r="L12722" t="s">
        <v>20</v>
      </c>
      <c r="M12722" t="s">
        <v>24515</v>
      </c>
      <c r="N12722" t="s">
        <v>14</v>
      </c>
    </row>
    <row r="12723" x14ac:dyDescent="0.25">
      <c r="A12723" t="n">
        <v>23</v>
      </c>
      <c r="B12723" t="s">
        <v>14</v>
      </c>
      <c r="C12723" t="s">
        <v>22</v>
      </c>
      <c r="D12723" s="2" t="s">
        <f>=HYPERLINK("https://main.knesset.gov.il/APPS/legislation/main/bills/2142343", "הצעת חוק איסור הפליית אנשים עם עיוורון המלווים בכלבי נחייה (תיקון - אנשים עם מוגבלות המלווים בבעל חיים מסייע), התש""ף-2020")</f>
        <v>24576</v>
      </c>
      <c r="E12723" t="s">
        <v>24576</v>
      </c>
      <c r="F12723" t="s">
        <v>24577</v>
      </c>
      <c r="G12723" t="s">
        <v>14</v>
      </c>
      <c r="H12723">
             </c>
      <c r="I12723" t="s">
        <v>14</v>
      </c>
      <c r="J12723" t="s">
        <v>141</v>
      </c>
      <c r="K12723" t="s">
        <v>14</v>
      </c>
      <c r="L12723" t="s">
        <v>20</v>
      </c>
      <c r="M12723" t="s">
        <v>24515</v>
      </c>
      <c r="N12723" t="s">
        <v>14</v>
      </c>
    </row>
    <row r="12724" x14ac:dyDescent="0.25">
      <c r="A12724" t="n">
        <v>23</v>
      </c>
      <c r="B12724" t="s">
        <v>14</v>
      </c>
      <c r="C12724" t="s">
        <v>22</v>
      </c>
      <c r="D12724" s="2" t="s">
        <f>=HYPERLINK("https://main.knesset.gov.il/APPS/legislation/main/bills/2142332", "הצעת חוק ציון שם ההורה בטופס, התש""ף-2020")</f>
        <v>24578</v>
      </c>
      <c r="E12724" t="s">
        <v>24578</v>
      </c>
      <c r="F12724" t="s">
        <v>24579</v>
      </c>
      <c r="G12724" t="s">
        <v>14</v>
      </c>
      <c r="H12724">
             </c>
      <c r="I12724" t="s">
        <v>14</v>
      </c>
      <c r="J12724" t="s">
        <v>141</v>
      </c>
      <c r="K12724" t="s">
        <v>14</v>
      </c>
      <c r="L12724" t="s">
        <v>20</v>
      </c>
      <c r="M12724" t="s">
        <v>24515</v>
      </c>
      <c r="N12724" t="s">
        <v>14</v>
      </c>
    </row>
    <row r="12725" x14ac:dyDescent="0.25">
      <c r="A12725" t="n">
        <v>23</v>
      </c>
      <c r="B12725" t="s">
        <v>14</v>
      </c>
      <c r="C12725" t="s">
        <v>22</v>
      </c>
      <c r="D12725" s="2" t="s">
        <f>=HYPERLINK("https://main.knesset.gov.il/APPS/legislation/main/bills/2142321", "הצעת חוק העונשין (תיקון - שימוש במידע בידי עובד הציבור), התש""ף-2020")</f>
        <v>24580</v>
      </c>
      <c r="E12725" t="s">
        <v>24580</v>
      </c>
      <c r="F12725" t="s">
        <v>24581</v>
      </c>
      <c r="G12725" t="s">
        <v>14</v>
      </c>
      <c r="H12725">
             </c>
      <c r="I12725" t="s">
        <v>14</v>
      </c>
      <c r="J12725" t="s">
        <v>141</v>
      </c>
      <c r="K12725" t="s">
        <v>14</v>
      </c>
      <c r="L12725" t="s">
        <v>20</v>
      </c>
      <c r="M12725" t="s">
        <v>24515</v>
      </c>
      <c r="N12725" t="s">
        <v>14</v>
      </c>
    </row>
    <row r="12726" x14ac:dyDescent="0.25">
      <c r="A12726" t="n">
        <v>23</v>
      </c>
      <c r="B12726" t="s">
        <v>14</v>
      </c>
      <c r="C12726" t="s">
        <v>22</v>
      </c>
      <c r="D12726" s="2" t="s">
        <f>=HYPERLINK("https://main.knesset.gov.il/APPS/legislation/main/bills/2140262", "הצעת חוק הגנת הפרטיות (תיקון - איסור פרסום שמו של נפגע), התש""ף-2020")</f>
        <v>24582</v>
      </c>
      <c r="E12726" t="s">
        <v>24582</v>
      </c>
      <c r="F12726" t="s">
        <v>24583</v>
      </c>
      <c r="G12726" t="s">
        <v>14</v>
      </c>
      <c r="H12726">
             </c>
      <c r="I12726" t="s">
        <v>14</v>
      </c>
      <c r="J12726" t="s">
        <v>141</v>
      </c>
      <c r="K12726" t="s">
        <v>14</v>
      </c>
      <c r="L12726" t="s">
        <v>20</v>
      </c>
      <c r="M12726" t="s">
        <v>24515</v>
      </c>
      <c r="N12726" t="s">
        <v>14</v>
      </c>
    </row>
    <row r="12727" x14ac:dyDescent="0.25">
      <c r="A12727" t="n">
        <v>23</v>
      </c>
      <c r="B12727" t="s">
        <v>14</v>
      </c>
      <c r="C12727" t="s">
        <v>22</v>
      </c>
      <c r="D12727" s="2" t="s">
        <f>=HYPERLINK("https://main.knesset.gov.il/APPS/legislation/main/bills/2142288", "הצעת חוק לתיקון פקודת התעבורה (שמירת מרחק בעת עקיפת רוכבי אופניים), התש""ף-2020")</f>
        <v>24584</v>
      </c>
      <c r="E12727" t="s">
        <v>24584</v>
      </c>
      <c r="F12727" t="s">
        <v>24585</v>
      </c>
      <c r="G12727" t="s">
        <v>14</v>
      </c>
      <c r="H12727">
             </c>
      <c r="I12727" t="s">
        <v>14</v>
      </c>
      <c r="J12727" t="s">
        <v>141</v>
      </c>
      <c r="K12727" t="s">
        <v>14</v>
      </c>
      <c r="L12727" t="s">
        <v>20</v>
      </c>
      <c r="M12727" t="s">
        <v>24515</v>
      </c>
      <c r="N12727" t="s">
        <v>14</v>
      </c>
    </row>
    <row r="12728" x14ac:dyDescent="0.25">
      <c r="A12728" t="n">
        <v>23</v>
      </c>
      <c r="B12728" t="s">
        <v>14</v>
      </c>
      <c r="C12728" t="s">
        <v>22</v>
      </c>
      <c r="D12728" s="2" t="s">
        <f>=HYPERLINK("https://main.knesset.gov.il/APPS/legislation/main/bills/2142287", "הצעת חוק לתיקון פקודת התעבורה (שילוט אלקטרוני ומערכת כריזה באוטובוס בשפה הערבית), התש""ף-2020")</f>
        <v>24586</v>
      </c>
      <c r="E12728" t="s">
        <v>24586</v>
      </c>
      <c r="F12728" t="s">
        <v>24587</v>
      </c>
      <c r="G12728" t="s">
        <v>14</v>
      </c>
      <c r="H12728">
             </c>
      <c r="I12728" t="s">
        <v>14</v>
      </c>
      <c r="J12728" t="s">
        <v>141</v>
      </c>
      <c r="K12728" t="s">
        <v>14</v>
      </c>
      <c r="L12728" t="s">
        <v>20</v>
      </c>
      <c r="M12728" t="s">
        <v>24515</v>
      </c>
      <c r="N12728" t="s">
        <v>14</v>
      </c>
    </row>
    <row r="12729" x14ac:dyDescent="0.25">
      <c r="A12729" t="n">
        <v>23</v>
      </c>
      <c r="B12729" t="s">
        <v>14</v>
      </c>
      <c r="C12729" t="s">
        <v>22</v>
      </c>
      <c r="D12729" s="2" t="s">
        <f>=HYPERLINK("https://main.knesset.gov.il/APPS/legislation/main/bills/2142340", "הצעת חוק לתיקון פקודת העיריות (ביטול סמכויות גבייה מנהליות), התש""ף-2020")</f>
        <v>24588</v>
      </c>
      <c r="E12729" t="s">
        <v>24588</v>
      </c>
      <c r="F12729" t="s">
        <v>24589</v>
      </c>
      <c r="G12729" t="s">
        <v>14</v>
      </c>
      <c r="H12729">
             </c>
      <c r="I12729" t="s">
        <v>14</v>
      </c>
      <c r="J12729" t="s">
        <v>141</v>
      </c>
      <c r="K12729" t="s">
        <v>14</v>
      </c>
      <c r="L12729" t="s">
        <v>20</v>
      </c>
      <c r="M12729" t="s">
        <v>24515</v>
      </c>
      <c r="N12729" t="s">
        <v>14</v>
      </c>
    </row>
    <row r="12730" x14ac:dyDescent="0.25">
      <c r="A12730" t="n">
        <v>23</v>
      </c>
      <c r="B12730" t="s">
        <v>14</v>
      </c>
      <c r="C12730" t="s">
        <v>22</v>
      </c>
      <c r="D12730" s="2" t="s">
        <f>=HYPERLINK("https://main.knesset.gov.il/APPS/legislation/main/bills/2086050", "הצעת חוק העונשין (תיקון - עבירת פיתוי קטין), התש""ף-2020")</f>
        <v>24590</v>
      </c>
      <c r="E12730" t="s">
        <v>24590</v>
      </c>
      <c r="F12730" t="s">
        <v>24591</v>
      </c>
      <c r="G12730" t="s">
        <v>14</v>
      </c>
      <c r="H12730">
             </c>
      <c r="I12730" t="s">
        <v>14</v>
      </c>
      <c r="J12730" t="s">
        <v>141</v>
      </c>
      <c r="K12730" t="s">
        <v>14</v>
      </c>
      <c r="L12730" t="s">
        <v>20</v>
      </c>
      <c r="M12730" t="s">
        <v>24515</v>
      </c>
      <c r="N12730" t="s">
        <v>14</v>
      </c>
    </row>
    <row r="12731" x14ac:dyDescent="0.25">
      <c r="A12731" t="n">
        <v>23</v>
      </c>
      <c r="B12731" t="s">
        <v>14</v>
      </c>
      <c r="C12731" t="s">
        <v>22</v>
      </c>
      <c r="D12731" s="2" t="s">
        <f>=HYPERLINK("https://main.knesset.gov.il/APPS/legislation/main/bills/2142344", "הצעת חוק תשלום שכר היועץ המשפטי ומבקר העירייה (תיקוני חקיקה), התש""ף-2020")</f>
        <v>24592</v>
      </c>
      <c r="E12731" t="s">
        <v>24592</v>
      </c>
      <c r="F12731" t="s">
        <v>24593</v>
      </c>
      <c r="G12731" t="s">
        <v>14</v>
      </c>
      <c r="H12731">
             </c>
      <c r="I12731" t="s">
        <v>14</v>
      </c>
      <c r="J12731" t="s">
        <v>141</v>
      </c>
      <c r="K12731" t="s">
        <v>14</v>
      </c>
      <c r="L12731" t="s">
        <v>20</v>
      </c>
      <c r="M12731" t="s">
        <v>24515</v>
      </c>
      <c r="N12731" t="s">
        <v>14</v>
      </c>
    </row>
    <row r="12732" x14ac:dyDescent="0.25">
      <c r="A12732" t="n">
        <v>23</v>
      </c>
      <c r="B12732" t="s">
        <v>14</v>
      </c>
      <c r="C12732" t="s">
        <v>22</v>
      </c>
      <c r="D12732" s="2" t="s">
        <f>=HYPERLINK("https://main.knesset.gov.il/APPS/legislation/main/bills/2142278", "הצעת חוק איסור פרסומת והגבלת השיווק של מוצרי טבק ועישון (תיקון - סימון רכיבי מוצר טבק על גבי חפיסות או אריזות), התש""ף-2020")</f>
        <v>24594</v>
      </c>
      <c r="E12732" t="s">
        <v>24594</v>
      </c>
      <c r="F12732" t="s">
        <v>24595</v>
      </c>
      <c r="G12732" t="s">
        <v>14</v>
      </c>
      <c r="H12732">
             </c>
      <c r="I12732" t="s">
        <v>14</v>
      </c>
      <c r="J12732" t="s">
        <v>141</v>
      </c>
      <c r="K12732" t="s">
        <v>14</v>
      </c>
      <c r="L12732" t="s">
        <v>20</v>
      </c>
      <c r="M12732" t="s">
        <v>24515</v>
      </c>
      <c r="N12732" t="s">
        <v>14</v>
      </c>
    </row>
    <row r="12733" x14ac:dyDescent="0.25">
      <c r="A12733" t="n">
        <v>23</v>
      </c>
      <c r="B12733" t="s">
        <v>14</v>
      </c>
      <c r="C12733" t="s">
        <v>22</v>
      </c>
      <c r="D12733" s="2" t="s">
        <f>=HYPERLINK("https://main.knesset.gov.il/APPS/legislation/main/bills/2142277", "הצעת חוק איסור פרסומת והגבלת השיווק של מוצרי טבק ועישון (תיקון - דור ללא עישון), התש""ף-2020")</f>
        <v>24596</v>
      </c>
      <c r="E12733" t="s">
        <v>24596</v>
      </c>
      <c r="F12733" t="s">
        <v>24597</v>
      </c>
      <c r="G12733" t="s">
        <v>14</v>
      </c>
      <c r="H12733">
             </c>
      <c r="I12733" t="s">
        <v>14</v>
      </c>
      <c r="J12733" t="s">
        <v>141</v>
      </c>
      <c r="K12733" t="s">
        <v>14</v>
      </c>
      <c r="L12733" t="s">
        <v>20</v>
      </c>
      <c r="M12733" t="s">
        <v>24515</v>
      </c>
      <c r="N12733" t="s">
        <v>14</v>
      </c>
    </row>
    <row r="12734" x14ac:dyDescent="0.25">
      <c r="A12734" t="n">
        <v>23</v>
      </c>
      <c r="B12734" t="s">
        <v>14</v>
      </c>
      <c r="C12734" t="s">
        <v>22</v>
      </c>
      <c r="D12734" s="2" t="s">
        <f>=HYPERLINK("https://main.knesset.gov.il/APPS/legislation/main/bills/2087909", "הצעת חוק בתי המשפט (תיקון - מחלקות לעבירות מין), התש""ף-2020")</f>
        <v>23934</v>
      </c>
      <c r="E12734" t="s">
        <v>23934</v>
      </c>
      <c r="F12734" t="s">
        <v>24598</v>
      </c>
      <c r="G12734" t="s">
        <v>14</v>
      </c>
      <c r="H12734">
             </c>
      <c r="I12734" t="s">
        <v>14</v>
      </c>
      <c r="J12734" t="s">
        <v>141</v>
      </c>
      <c r="K12734" t="s">
        <v>14</v>
      </c>
      <c r="L12734" t="s">
        <v>20</v>
      </c>
      <c r="M12734" t="s">
        <v>24515</v>
      </c>
      <c r="N12734" t="s">
        <v>14</v>
      </c>
    </row>
    <row r="12735" x14ac:dyDescent="0.25">
      <c r="A12735" t="n">
        <v>23</v>
      </c>
      <c r="B12735" t="s">
        <v>14</v>
      </c>
      <c r="C12735" t="s">
        <v>22</v>
      </c>
      <c r="D12735" s="2" t="s">
        <f>=HYPERLINK("https://main.knesset.gov.il/APPS/legislation/main/bills/2140269", "הצעת חוק ההוצאה לפועל (תיקון - ביטול האפשרות לצוות על עיכוב יציאה מהארץ בגין חוב כספי נמוך), התש""ף-2020")</f>
        <v>24599</v>
      </c>
      <c r="E12735" t="s">
        <v>24599</v>
      </c>
      <c r="F12735" t="s">
        <v>24600</v>
      </c>
      <c r="G12735" t="s">
        <v>14</v>
      </c>
      <c r="H12735">
             </c>
      <c r="I12735" t="s">
        <v>14</v>
      </c>
      <c r="J12735" t="s">
        <v>141</v>
      </c>
      <c r="K12735" t="s">
        <v>14</v>
      </c>
      <c r="L12735" t="s">
        <v>20</v>
      </c>
      <c r="M12735" t="s">
        <v>24515</v>
      </c>
      <c r="N12735" t="s">
        <v>14</v>
      </c>
    </row>
    <row r="12736" x14ac:dyDescent="0.25">
      <c r="A12736" t="n">
        <v>23</v>
      </c>
      <c r="B12736" t="s">
        <v>14</v>
      </c>
      <c r="C12736" t="s">
        <v>22</v>
      </c>
      <c r="D12736" s="2" t="s">
        <f>=HYPERLINK("https://main.knesset.gov.il/APPS/legislation/main/bills/2142898", "הצעת חוק-יסוד: ישראל - מדינת הלאום של העם היהודי (תיקון - ביטול החוק)")</f>
        <v>4732</v>
      </c>
      <c r="E12736" t="s">
        <v>4732</v>
      </c>
      <c r="F12736" t="s">
        <v>24601</v>
      </c>
      <c r="G12736" t="s">
        <v>14</v>
      </c>
      <c r="H12736">
             </c>
      <c r="I12736" t="s">
        <v>14</v>
      </c>
      <c r="J12736" t="s">
        <v>141</v>
      </c>
      <c r="K12736" t="s">
        <v>14</v>
      </c>
      <c r="L12736" t="s">
        <v>20</v>
      </c>
      <c r="M12736" t="s">
        <v>24515</v>
      </c>
      <c r="N12736" t="s">
        <v>14</v>
      </c>
    </row>
    <row r="12737" x14ac:dyDescent="0.25">
      <c r="A12737" t="n">
        <v>23</v>
      </c>
      <c r="B12737" t="s">
        <v>14</v>
      </c>
      <c r="C12737" t="s">
        <v>22</v>
      </c>
      <c r="D12737" s="2" t="s">
        <f>=HYPERLINK("https://main.knesset.gov.il/APPS/legislation/main/bills/2086030", "הצעת חוק ההוצאה לפועל (תיקון - מקדמות על חשבון חוב מזונות ילד), התש""ף-2020")</f>
        <v>24602</v>
      </c>
      <c r="E12737" t="s">
        <v>24602</v>
      </c>
      <c r="F12737" t="s">
        <v>24603</v>
      </c>
      <c r="G12737" t="s">
        <v>14</v>
      </c>
      <c r="H12737">
             </c>
      <c r="I12737" t="s">
        <v>14</v>
      </c>
      <c r="J12737" t="s">
        <v>141</v>
      </c>
      <c r="K12737" t="s">
        <v>14</v>
      </c>
      <c r="L12737" t="s">
        <v>20</v>
      </c>
      <c r="M12737" t="s">
        <v>24515</v>
      </c>
      <c r="N12737" t="s">
        <v>14</v>
      </c>
    </row>
    <row r="12738" x14ac:dyDescent="0.25">
      <c r="A12738" t="n">
        <v>23</v>
      </c>
      <c r="B12738" t="s">
        <v>14</v>
      </c>
      <c r="C12738" t="s">
        <v>22</v>
      </c>
      <c r="D12738" s="2" t="s">
        <f>=HYPERLINK("https://main.knesset.gov.il/APPS/legislation/main/bills/2141082", "הצעת חוק תאגידי מים וביוב (תיקון - ביטול סמכויות גבייה ואכיפה מיוחדות), התש""ף-2020")</f>
        <v>24604</v>
      </c>
      <c r="E12738" t="s">
        <v>24604</v>
      </c>
      <c r="F12738" t="s">
        <v>24605</v>
      </c>
      <c r="G12738" t="s">
        <v>14</v>
      </c>
      <c r="H12738">
             </c>
      <c r="I12738" t="s">
        <v>14</v>
      </c>
      <c r="J12738" t="s">
        <v>141</v>
      </c>
      <c r="K12738" t="s">
        <v>14</v>
      </c>
      <c r="L12738" t="s">
        <v>20</v>
      </c>
      <c r="M12738" t="s">
        <v>24515</v>
      </c>
      <c r="N12738" t="s">
        <v>14</v>
      </c>
    </row>
    <row r="12739" x14ac:dyDescent="0.25">
      <c r="A12739" t="n">
        <v>23</v>
      </c>
      <c r="B12739" t="s">
        <v>14</v>
      </c>
      <c r="C12739" t="s">
        <v>22</v>
      </c>
      <c r="D12739" s="2" t="s">
        <f>=HYPERLINK("https://main.knesset.gov.il/APPS/legislation/main/bills/2142290", "הצעת חוק הגנת הצרכן (תיקון - תיעוד שיחות בין צרכן לעוסק ומסירתו לצרכן), התש""ף-2020")</f>
        <v>24606</v>
      </c>
      <c r="E12739" t="s">
        <v>24606</v>
      </c>
      <c r="F12739" t="s">
        <v>24607</v>
      </c>
      <c r="G12739" t="s">
        <v>14</v>
      </c>
      <c r="H12739">
             </c>
      <c r="I12739" t="s">
        <v>14</v>
      </c>
      <c r="J12739" t="s">
        <v>141</v>
      </c>
      <c r="K12739" t="s">
        <v>14</v>
      </c>
      <c r="L12739" t="s">
        <v>20</v>
      </c>
      <c r="M12739" t="s">
        <v>24515</v>
      </c>
      <c r="N12739" t="s">
        <v>14</v>
      </c>
    </row>
    <row r="12740" x14ac:dyDescent="0.25">
      <c r="A12740" t="n">
        <v>23</v>
      </c>
      <c r="B12740" t="s">
        <v>14</v>
      </c>
      <c r="C12740" t="s">
        <v>22</v>
      </c>
      <c r="D12740" s="2" t="s">
        <f>=HYPERLINK("https://main.knesset.gov.il/APPS/legislation/main/bills/2141080", "הצעת חוק הגנת הצרכן (תיקון - קביעת סכום מרבי לחיוב חשבון), התש""ף-2020")</f>
        <v>24608</v>
      </c>
      <c r="E12740" t="s">
        <v>24608</v>
      </c>
      <c r="F12740" t="s">
        <v>24609</v>
      </c>
      <c r="G12740" t="s">
        <v>14</v>
      </c>
      <c r="H12740">
             </c>
      <c r="I12740" t="s">
        <v>14</v>
      </c>
      <c r="J12740" t="s">
        <v>141</v>
      </c>
      <c r="K12740" t="s">
        <v>14</v>
      </c>
      <c r="L12740" t="s">
        <v>20</v>
      </c>
      <c r="M12740" t="s">
        <v>24515</v>
      </c>
      <c r="N12740" t="s">
        <v>14</v>
      </c>
    </row>
    <row r="12741" x14ac:dyDescent="0.25">
      <c r="A12741" t="n">
        <v>23</v>
      </c>
      <c r="B12741" t="s">
        <v>14</v>
      </c>
      <c r="C12741" t="s">
        <v>22</v>
      </c>
      <c r="D12741" s="2" t="s">
        <f>=HYPERLINK("https://main.knesset.gov.il/APPS/legislation/main/bills/2141036", "הצעת חוק הפעלת תחבורה ציבורית ביום המנוחה השבועי, התש""ף-2020")</f>
        <v>24610</v>
      </c>
      <c r="E12741" t="s">
        <v>24610</v>
      </c>
      <c r="F12741" t="s">
        <v>24611</v>
      </c>
      <c r="G12741" t="s">
        <v>14</v>
      </c>
      <c r="H12741">
             </c>
      <c r="I12741" t="s">
        <v>14</v>
      </c>
      <c r="J12741" t="s">
        <v>141</v>
      </c>
      <c r="K12741" t="s">
        <v>14</v>
      </c>
      <c r="L12741" t="s">
        <v>20</v>
      </c>
      <c r="M12741" t="s">
        <v>24515</v>
      </c>
      <c r="N12741" t="s">
        <v>14</v>
      </c>
    </row>
    <row r="12742" x14ac:dyDescent="0.25">
      <c r="A12742" t="n">
        <v>23</v>
      </c>
      <c r="B12742" t="s">
        <v>14</v>
      </c>
      <c r="C12742" t="s">
        <v>22</v>
      </c>
      <c r="D12742" s="2" t="s">
        <f>=HYPERLINK("https://main.knesset.gov.il/APPS/legislation/main/bills/2141074", "הצעת חוק הגנת הצרכן (תיקון - תשלום על פי צריכה בעסקה מתמשכת), התש""ף-2020")</f>
        <v>24612</v>
      </c>
      <c r="E12742" t="s">
        <v>24612</v>
      </c>
      <c r="F12742" t="s">
        <v>24613</v>
      </c>
      <c r="G12742" t="s">
        <v>14</v>
      </c>
      <c r="H12742">
             </c>
      <c r="I12742" t="s">
        <v>14</v>
      </c>
      <c r="J12742" t="s">
        <v>141</v>
      </c>
      <c r="K12742" t="s">
        <v>14</v>
      </c>
      <c r="L12742" t="s">
        <v>20</v>
      </c>
      <c r="M12742" t="s">
        <v>24515</v>
      </c>
      <c r="N12742" t="s">
        <v>14</v>
      </c>
    </row>
    <row r="12743" x14ac:dyDescent="0.25">
      <c r="A12743" t="n">
        <v>23</v>
      </c>
      <c r="B12743" t="s">
        <v>14</v>
      </c>
      <c r="C12743" t="s">
        <v>22</v>
      </c>
      <c r="D12743" s="2" t="s">
        <f>=HYPERLINK("https://main.knesset.gov.il/APPS/legislation/main/bills/2140970", "הצעת חוק להסדרת הפיקוח על כלבים (תיקון - איסור המתת כלבים בריאים), התש""ף-2020")</f>
        <v>24614</v>
      </c>
      <c r="E12743" t="s">
        <v>24614</v>
      </c>
      <c r="F12743" t="s">
        <v>24615</v>
      </c>
      <c r="G12743" t="s">
        <v>14</v>
      </c>
      <c r="H12743">
             </c>
      <c r="I12743" t="s">
        <v>14</v>
      </c>
      <c r="J12743" t="s">
        <v>141</v>
      </c>
      <c r="K12743" t="s">
        <v>14</v>
      </c>
      <c r="L12743" t="s">
        <v>20</v>
      </c>
      <c r="M12743" t="s">
        <v>24515</v>
      </c>
      <c r="N12743" t="s">
        <v>14</v>
      </c>
    </row>
    <row r="12744" x14ac:dyDescent="0.25">
      <c r="A12744" t="n">
        <v>23</v>
      </c>
      <c r="B12744" t="s">
        <v>14</v>
      </c>
      <c r="C12744" t="s">
        <v>22</v>
      </c>
      <c r="D12744" s="2" t="s">
        <f>=HYPERLINK("https://main.knesset.gov.il/APPS/legislation/main/bills/2141913", "הצעת חוק לתיקון פקודת התעבורה (איסור עישון ברכב שנמצא בו קטין שטרם מלאו לו 15 שנים), התש""ף-2020")</f>
        <v>24616</v>
      </c>
      <c r="E12744" t="s">
        <v>24616</v>
      </c>
      <c r="F12744" t="s">
        <v>24617</v>
      </c>
      <c r="G12744" t="s">
        <v>14</v>
      </c>
      <c r="H12744">
             </c>
      <c r="I12744" t="s">
        <v>14</v>
      </c>
      <c r="J12744" t="s">
        <v>141</v>
      </c>
      <c r="K12744" t="s">
        <v>14</v>
      </c>
      <c r="L12744" t="s">
        <v>20</v>
      </c>
      <c r="M12744" t="s">
        <v>24515</v>
      </c>
      <c r="N12744" t="s">
        <v>14</v>
      </c>
    </row>
    <row r="12745" x14ac:dyDescent="0.25">
      <c r="A12745" t="n">
        <v>23</v>
      </c>
      <c r="B12745" t="s">
        <v>14</v>
      </c>
      <c r="C12745" t="s">
        <v>22</v>
      </c>
      <c r="D12745" s="2" t="s">
        <f>=HYPERLINK("https://main.knesset.gov.il/APPS/legislation/main/bills/2142320", "הצעת חוק זכויות הדייר בדיור הציבורי (תיקון - זכות למגורים בדירה ציבורית לנשים ששהו במקלט לנשים מוכות), התש""ף-2020")</f>
        <v>24618</v>
      </c>
      <c r="E12745" t="s">
        <v>24618</v>
      </c>
      <c r="F12745" t="s">
        <v>24619</v>
      </c>
      <c r="G12745" t="s">
        <v>14</v>
      </c>
      <c r="H12745">
             </c>
      <c r="I12745" t="s">
        <v>14</v>
      </c>
      <c r="J12745" t="s">
        <v>141</v>
      </c>
      <c r="K12745" t="s">
        <v>14</v>
      </c>
      <c r="L12745" t="s">
        <v>20</v>
      </c>
      <c r="M12745" t="s">
        <v>24515</v>
      </c>
      <c r="N12745" t="s">
        <v>14</v>
      </c>
    </row>
    <row r="12746" x14ac:dyDescent="0.25">
      <c r="A12746" t="n">
        <v>23</v>
      </c>
      <c r="B12746" t="s">
        <v>14</v>
      </c>
      <c r="C12746" t="s">
        <v>22</v>
      </c>
      <c r="D12746" s="2" t="s">
        <f>=HYPERLINK("https://main.knesset.gov.il/APPS/legislation/main/bills/2139850", "הצעת חוק השיפוט הצבאי (תיקון - סייג לגרימת מוות בפעילות מבצעית), התש""ף-2020")</f>
        <v>24620</v>
      </c>
      <c r="E12746" t="s">
        <v>24620</v>
      </c>
      <c r="F12746" t="s">
        <v>24621</v>
      </c>
      <c r="G12746" t="s">
        <v>14</v>
      </c>
      <c r="H12746">
             </c>
      <c r="I12746" t="s">
        <v>14</v>
      </c>
      <c r="J12746" t="s">
        <v>141</v>
      </c>
      <c r="K12746" t="s">
        <v>14</v>
      </c>
      <c r="L12746" t="s">
        <v>20</v>
      </c>
      <c r="M12746" t="s">
        <v>24515</v>
      </c>
      <c r="N12746" t="s">
        <v>14</v>
      </c>
    </row>
    <row r="12747" x14ac:dyDescent="0.25">
      <c r="A12747" t="n">
        <v>23</v>
      </c>
      <c r="B12747" t="s">
        <v>14</v>
      </c>
      <c r="C12747" t="s">
        <v>22</v>
      </c>
      <c r="D12747" s="2" t="s">
        <f>=HYPERLINK("https://main.knesset.gov.il/APPS/legislation/main/bills/2139782", "הצעת חוק שירות ביטחון (תיקון - חובת תשלום מס למי שאינו משרת שירות צבאי או שירות אזרחי), התש""ף-2020")</f>
        <v>24622</v>
      </c>
      <c r="E12747" t="s">
        <v>24622</v>
      </c>
      <c r="F12747" t="s">
        <v>24623</v>
      </c>
      <c r="G12747" t="s">
        <v>14</v>
      </c>
      <c r="H12747">
             </c>
      <c r="I12747" t="s">
        <v>14</v>
      </c>
      <c r="J12747" t="s">
        <v>141</v>
      </c>
      <c r="K12747" t="s">
        <v>14</v>
      </c>
      <c r="L12747" t="s">
        <v>20</v>
      </c>
      <c r="M12747" t="s">
        <v>24515</v>
      </c>
      <c r="N12747" t="s">
        <v>14</v>
      </c>
    </row>
    <row r="12748" x14ac:dyDescent="0.25">
      <c r="A12748" t="n">
        <v>23</v>
      </c>
      <c r="B12748" t="s">
        <v>14</v>
      </c>
      <c r="C12748" t="s">
        <v>22</v>
      </c>
      <c r="D12748" s="2" t="s">
        <f>=HYPERLINK("https://main.knesset.gov.il/APPS/legislation/main/bills/2143237", "הצעת חוק-יסוד: הכנסת (תיקון - סמכויות ועדת חקירה פרלמנטרית)")</f>
        <v>4864</v>
      </c>
      <c r="E12748" t="s">
        <v>4864</v>
      </c>
      <c r="F12748" t="s">
        <v>24624</v>
      </c>
      <c r="G12748" t="s">
        <v>14</v>
      </c>
      <c r="H12748">
             </c>
      <c r="I12748" t="s">
        <v>14</v>
      </c>
      <c r="J12748" t="s">
        <v>141</v>
      </c>
      <c r="K12748" t="s">
        <v>14</v>
      </c>
      <c r="L12748" t="s">
        <v>20</v>
      </c>
      <c r="M12748" t="s">
        <v>24515</v>
      </c>
      <c r="N12748" t="s">
        <v>14</v>
      </c>
    </row>
    <row r="12749" x14ac:dyDescent="0.25">
      <c r="A12749" t="n">
        <v>23</v>
      </c>
      <c r="B12749" t="s">
        <v>14</v>
      </c>
      <c r="C12749" t="s">
        <v>22</v>
      </c>
      <c r="D12749" s="2" t="s">
        <f>=HYPERLINK("https://main.knesset.gov.il/APPS/legislation/main/bills/2142300", "הצעת חוק לתיקון פקודת היערות (סמכות השר להגנת הסביבה), התש""ף-2020")</f>
        <v>24625</v>
      </c>
      <c r="E12749" t="s">
        <v>24625</v>
      </c>
      <c r="F12749" t="s">
        <v>24626</v>
      </c>
      <c r="G12749" t="s">
        <v>14</v>
      </c>
      <c r="H12749">
             </c>
      <c r="I12749" t="s">
        <v>14</v>
      </c>
      <c r="J12749" t="s">
        <v>141</v>
      </c>
      <c r="K12749" t="s">
        <v>14</v>
      </c>
      <c r="L12749" t="s">
        <v>20</v>
      </c>
      <c r="M12749" t="s">
        <v>24515</v>
      </c>
      <c r="N12749" t="s">
        <v>14</v>
      </c>
    </row>
    <row r="12750" x14ac:dyDescent="0.25">
      <c r="A12750" t="n">
        <v>23</v>
      </c>
      <c r="B12750" t="s">
        <v>14</v>
      </c>
      <c r="C12750" t="s">
        <v>15</v>
      </c>
      <c r="D12750" s="2" t="s">
        <f>=HYPERLINK("https://main.knesset.gov.il/APPS/legislation/main/bills/2143631", "חוק התכנית לסיוע כלכלי (נגיף הקורונה החדש – מענק חד-פעמי) (הוראת שעה ותיקוני חקיקה), התש""ף-2020 ")</f>
        <v>24627</v>
      </c>
      <c r="E12750" t="s">
        <v>24627</v>
      </c>
      <c r="F12750" t="s">
        <v>14</v>
      </c>
      <c r="G12750" t="s">
        <v>24628</v>
      </c>
      <c r="H12750" t="n">
        <v>2836</v>
      </c>
      <c r="I12750" t="s">
        <v>14</v>
      </c>
      <c r="J12750" t="s">
        <v>91</v>
      </c>
      <c r="K12750" t="s">
        <v>85</v>
      </c>
      <c r="L12750" t="s">
        <v>20</v>
      </c>
      <c r="M12750" t="s">
        <v>24629</v>
      </c>
      <c r="N12750" t="s">
        <v>24630</v>
      </c>
    </row>
    <row r="12751" x14ac:dyDescent="0.25">
      <c r="A12751" t="n">
        <v>23</v>
      </c>
      <c r="B12751" t="s">
        <v>14</v>
      </c>
      <c r="C12751" t="s">
        <v>22</v>
      </c>
      <c r="D12751" s="2" t="s">
        <f>=HYPERLINK("https://main.knesset.gov.il/APPS/legislation/main/bills/2087842", "הצעת חוק מס רכוש וקרן פיצויים (תיקון - תשלום פיצויים ומקדמות לנפגעי התפרצות נגיף הקורונה החדש), התש""ף-2020")</f>
        <v>24631</v>
      </c>
      <c r="E12751" t="s">
        <v>24631</v>
      </c>
      <c r="F12751" t="s">
        <v>24632</v>
      </c>
      <c r="G12751" t="s">
        <v>14</v>
      </c>
      <c r="H12751">
             </c>
      <c r="I12751" t="s">
        <v>14</v>
      </c>
      <c r="J12751" t="s">
        <v>55</v>
      </c>
      <c r="K12751" t="s">
        <v>14</v>
      </c>
      <c r="L12751" t="s">
        <v>20</v>
      </c>
      <c r="M12751" t="s">
        <v>24629</v>
      </c>
      <c r="N12751" t="s">
        <v>14</v>
      </c>
    </row>
    <row r="12752" x14ac:dyDescent="0.25">
      <c r="A12752" t="n">
        <v>23</v>
      </c>
      <c r="B12752" t="s">
        <v>14</v>
      </c>
      <c r="C12752" t="s">
        <v>22</v>
      </c>
      <c r="D12752" s="2" t="s">
        <f>=HYPERLINK("https://main.knesset.gov.il/APPS/legislation/main/bills/2085651", "הצעת חוק יסוד: ישראל - מדינת הלאום של העם היהודי (תיקון - שוויון, שפה והתיישבות)")</f>
        <v>24633</v>
      </c>
      <c r="E12752" t="s">
        <v>24633</v>
      </c>
      <c r="F12752" t="s">
        <v>24634</v>
      </c>
      <c r="G12752" t="s">
        <v>14</v>
      </c>
      <c r="H12752">
             </c>
      <c r="I12752" t="s">
        <v>14</v>
      </c>
      <c r="J12752" t="s">
        <v>55</v>
      </c>
      <c r="K12752" t="s">
        <v>14</v>
      </c>
      <c r="L12752" t="s">
        <v>20</v>
      </c>
      <c r="M12752" t="s">
        <v>24629</v>
      </c>
      <c r="N12752" t="s">
        <v>14</v>
      </c>
    </row>
    <row r="12753" x14ac:dyDescent="0.25">
      <c r="A12753" t="n">
        <v>23</v>
      </c>
      <c r="B12753" t="s">
        <v>14</v>
      </c>
      <c r="C12753" t="s">
        <v>15</v>
      </c>
      <c r="D12753" s="2" t="s">
        <f>=HYPERLINK("https://main.knesset.gov.il/APPS/legislation/main/bills/2143630", "חוק־יסוד: משק המדינה (תיקון מס' 10 והוראת שעה לשנת 2020) (תיקון מס' 3) ")</f>
        <v>24635</v>
      </c>
      <c r="E12753" t="s">
        <v>24635</v>
      </c>
      <c r="F12753" t="s">
        <v>14</v>
      </c>
      <c r="G12753" t="s">
        <v>24636</v>
      </c>
      <c r="H12753" t="n">
        <v>2833</v>
      </c>
      <c r="I12753" t="s">
        <v>14</v>
      </c>
      <c r="J12753" t="s">
        <v>91</v>
      </c>
      <c r="K12753" t="s">
        <v>85</v>
      </c>
      <c r="L12753" t="s">
        <v>20</v>
      </c>
      <c r="M12753" t="s">
        <v>24637</v>
      </c>
      <c r="N12753" t="s">
        <v>24638</v>
      </c>
    </row>
    <row r="12754" x14ac:dyDescent="0.25">
      <c r="A12754" t="n">
        <v>23</v>
      </c>
      <c r="B12754" t="s">
        <v>14</v>
      </c>
      <c r="C12754" t="s">
        <v>15</v>
      </c>
      <c r="D12754" s="2" t="s">
        <f>=HYPERLINK("https://main.knesset.gov.il/APPS/legislation/main/bills/2142766", "חוק התכנית לסיוע כלכלי (נגיף הקורונה החדש) (הוראת שעה), התש""ף-2020")</f>
        <v>24639</v>
      </c>
      <c r="E12754" t="s">
        <v>24639</v>
      </c>
      <c r="F12754" t="s">
        <v>14</v>
      </c>
      <c r="G12754" t="s">
        <v>24640</v>
      </c>
      <c r="H12754" t="n">
        <v>2835</v>
      </c>
      <c r="I12754" t="s">
        <v>14</v>
      </c>
      <c r="J12754" t="s">
        <v>91</v>
      </c>
      <c r="K12754" t="s">
        <v>85</v>
      </c>
      <c r="L12754" t="s">
        <v>20</v>
      </c>
      <c r="M12754" t="s">
        <v>24637</v>
      </c>
      <c r="N12754" t="s">
        <v>24641</v>
      </c>
    </row>
    <row r="12755" x14ac:dyDescent="0.25">
      <c r="A12755" t="n">
        <v>23</v>
      </c>
      <c r="B12755" t="s">
        <v>14</v>
      </c>
      <c r="C12755" t="s">
        <v>22</v>
      </c>
      <c r="D12755" s="2" t="s">
        <f>=HYPERLINK("https://main.knesset.gov.il/APPS/legislation/main/bills/2088319", "חוק צער בעלי חיים (הגנה על בעלי חיים) (תיקון מס' 11 - הוראת שעה), התש""ף–2020")</f>
        <v>24642</v>
      </c>
      <c r="E12755" t="s">
        <v>24642</v>
      </c>
      <c r="F12755" t="s">
        <v>24643</v>
      </c>
      <c r="G12755" t="s">
        <v>24644</v>
      </c>
      <c r="H12755" t="n">
        <v>2834</v>
      </c>
      <c r="I12755" t="s">
        <v>14</v>
      </c>
      <c r="J12755" t="s">
        <v>91</v>
      </c>
      <c r="K12755" t="s">
        <v>46</v>
      </c>
      <c r="L12755" t="s">
        <v>20</v>
      </c>
      <c r="M12755" t="s">
        <v>24645</v>
      </c>
      <c r="N12755" t="s">
        <v>24646</v>
      </c>
    </row>
    <row r="12756" x14ac:dyDescent="0.25">
      <c r="A12756" t="n">
        <v>23</v>
      </c>
      <c r="B12756" t="s">
        <v>14</v>
      </c>
      <c r="C12756" t="s">
        <v>22</v>
      </c>
      <c r="D12756" s="2" t="s">
        <f>=HYPERLINK("https://main.knesset.gov.il/APPS/legislation/main/bills/2143499", "הצעת חוק-יסוד: כבוד האדם וחירותו (תיקון - תוקפו של חוק חורג)")</f>
        <v>11944</v>
      </c>
      <c r="E12756" t="s">
        <v>11944</v>
      </c>
      <c r="F12756" t="s">
        <v>24647</v>
      </c>
      <c r="G12756" t="s">
        <v>14</v>
      </c>
      <c r="H12756">
             </c>
      <c r="I12756" t="s">
        <v>14</v>
      </c>
      <c r="J12756" t="s">
        <v>141</v>
      </c>
      <c r="K12756" t="s">
        <v>14</v>
      </c>
      <c r="L12756" t="s">
        <v>20</v>
      </c>
      <c r="M12756" t="s">
        <v>24645</v>
      </c>
      <c r="N12756" t="s">
        <v>14</v>
      </c>
    </row>
    <row r="12757" x14ac:dyDescent="0.25">
      <c r="A12757" t="n">
        <v>23</v>
      </c>
      <c r="B12757" t="s">
        <v>14</v>
      </c>
      <c r="C12757" t="s">
        <v>22</v>
      </c>
      <c r="D12757" s="2" t="s">
        <f>=HYPERLINK("https://main.knesset.gov.il/APPS/legislation/main/bills/2143500", "הצעת חוק לתיקון פקודת מס הכנסה (חישוב שווי שימוש ברכב לשומרי שבת וחג), התש""ף-2020")</f>
        <v>24648</v>
      </c>
      <c r="E12757" t="s">
        <v>24648</v>
      </c>
      <c r="F12757" t="s">
        <v>24649</v>
      </c>
      <c r="G12757" t="s">
        <v>14</v>
      </c>
      <c r="H12757">
             </c>
      <c r="I12757" t="s">
        <v>14</v>
      </c>
      <c r="J12757" t="s">
        <v>141</v>
      </c>
      <c r="K12757" t="s">
        <v>14</v>
      </c>
      <c r="L12757" t="s">
        <v>20</v>
      </c>
      <c r="M12757" t="s">
        <v>24645</v>
      </c>
      <c r="N12757" t="s">
        <v>14</v>
      </c>
    </row>
    <row r="12758" x14ac:dyDescent="0.25">
      <c r="A12758" t="n">
        <v>23</v>
      </c>
      <c r="B12758" t="s">
        <v>14</v>
      </c>
      <c r="C12758" t="s">
        <v>22</v>
      </c>
      <c r="D12758" s="2" t="s">
        <f>=HYPERLINK("https://main.knesset.gov.il/APPS/legislation/main/bills/2143457", "הצעת חוק שירות ביטחון (תיקון - מינוי קצינה לקידום נשים לתפקידים בכירים ויצירת מסלולים לקידום קצינות בדרג הבכיר), התש""ף-2020")</f>
        <v>24650</v>
      </c>
      <c r="E12758" t="s">
        <v>24650</v>
      </c>
      <c r="F12758" t="s">
        <v>24651</v>
      </c>
      <c r="G12758" t="s">
        <v>14</v>
      </c>
      <c r="H12758">
             </c>
      <c r="I12758" t="s">
        <v>14</v>
      </c>
      <c r="J12758" t="s">
        <v>141</v>
      </c>
      <c r="K12758" t="s">
        <v>14</v>
      </c>
      <c r="L12758" t="s">
        <v>20</v>
      </c>
      <c r="M12758" t="s">
        <v>24645</v>
      </c>
      <c r="N12758" t="s">
        <v>14</v>
      </c>
    </row>
    <row r="12759" x14ac:dyDescent="0.25">
      <c r="A12759" t="n">
        <v>23</v>
      </c>
      <c r="B12759" t="s">
        <v>14</v>
      </c>
      <c r="C12759" t="s">
        <v>22</v>
      </c>
      <c r="D12759" s="2" t="s">
        <f>=HYPERLINK("https://main.knesset.gov.il/APPS/legislation/main/bills/2140661", "הצעת חוק הגנת הצרכן (תיקון - הנגשת הודעת תשלום לצרכנים שאינם דוברי עברית), התש""ף-2020")</f>
        <v>24652</v>
      </c>
      <c r="E12759" t="s">
        <v>24652</v>
      </c>
      <c r="F12759" t="s">
        <v>24653</v>
      </c>
      <c r="G12759" t="s">
        <v>14</v>
      </c>
      <c r="H12759">
             </c>
      <c r="I12759" t="s">
        <v>14</v>
      </c>
      <c r="J12759" t="s">
        <v>141</v>
      </c>
      <c r="K12759" t="s">
        <v>14</v>
      </c>
      <c r="L12759" t="s">
        <v>20</v>
      </c>
      <c r="M12759" t="s">
        <v>24645</v>
      </c>
      <c r="N12759" t="s">
        <v>14</v>
      </c>
    </row>
    <row r="12760" x14ac:dyDescent="0.25">
      <c r="A12760" t="n">
        <v>23</v>
      </c>
      <c r="B12760" t="s">
        <v>14</v>
      </c>
      <c r="C12760" t="s">
        <v>22</v>
      </c>
      <c r="D12760" s="2" t="s">
        <f>=HYPERLINK("https://main.knesset.gov.il/APPS/legislation/main/bills/2142746", "הצעת חוק שירות ביטחון (תיקון - פטור מטעמי מצפון), התש""ף-2020")</f>
        <v>24654</v>
      </c>
      <c r="E12760" t="s">
        <v>24654</v>
      </c>
      <c r="F12760" t="s">
        <v>24655</v>
      </c>
      <c r="G12760" t="s">
        <v>14</v>
      </c>
      <c r="H12760">
             </c>
      <c r="I12760" t="s">
        <v>14</v>
      </c>
      <c r="J12760" t="s">
        <v>141</v>
      </c>
      <c r="K12760" t="s">
        <v>14</v>
      </c>
      <c r="L12760" t="s">
        <v>20</v>
      </c>
      <c r="M12760" t="s">
        <v>24645</v>
      </c>
      <c r="N12760" t="s">
        <v>14</v>
      </c>
    </row>
    <row r="12761" x14ac:dyDescent="0.25">
      <c r="A12761" t="n">
        <v>23</v>
      </c>
      <c r="B12761" t="s">
        <v>14</v>
      </c>
      <c r="C12761" t="s">
        <v>22</v>
      </c>
      <c r="D12761" s="2" t="s">
        <f>=HYPERLINK("https://main.knesset.gov.il/APPS/legislation/main/bills/2142445", "הצעת חוק העונשין (תיקון - החמרת ענישה על תקיפת קטין או חסר ישע), התש""ף-2020")</f>
        <v>24656</v>
      </c>
      <c r="E12761" t="s">
        <v>24656</v>
      </c>
      <c r="F12761" t="s">
        <v>24657</v>
      </c>
      <c r="G12761" t="s">
        <v>14</v>
      </c>
      <c r="H12761">
             </c>
      <c r="I12761" t="s">
        <v>14</v>
      </c>
      <c r="J12761" t="s">
        <v>141</v>
      </c>
      <c r="K12761" t="s">
        <v>14</v>
      </c>
      <c r="L12761" t="s">
        <v>20</v>
      </c>
      <c r="M12761" t="s">
        <v>24645</v>
      </c>
      <c r="N12761" t="s">
        <v>14</v>
      </c>
    </row>
    <row r="12762" x14ac:dyDescent="0.25">
      <c r="A12762" t="n">
        <v>23</v>
      </c>
      <c r="B12762" t="s">
        <v>14</v>
      </c>
      <c r="C12762" t="s">
        <v>22</v>
      </c>
      <c r="D12762" s="2" t="s">
        <f>=HYPERLINK("https://main.knesset.gov.il/APPS/legislation/main/bills/2142492", "הצעת חוק הפרשנות (תיקון - הגדרת הפליה על רקע זהות מגדרית או נטייה מינית), התש""ף-2020")</f>
        <v>24548</v>
      </c>
      <c r="E12762" t="s">
        <v>24548</v>
      </c>
      <c r="F12762" t="s">
        <v>24658</v>
      </c>
      <c r="G12762" t="s">
        <v>14</v>
      </c>
      <c r="H12762">
             </c>
      <c r="I12762" t="s">
        <v>14</v>
      </c>
      <c r="J12762" t="s">
        <v>141</v>
      </c>
      <c r="K12762" t="s">
        <v>14</v>
      </c>
      <c r="L12762" t="s">
        <v>20</v>
      </c>
      <c r="M12762" t="s">
        <v>24645</v>
      </c>
      <c r="N12762" t="s">
        <v>14</v>
      </c>
    </row>
    <row r="12763" x14ac:dyDescent="0.25">
      <c r="A12763" t="n">
        <v>23</v>
      </c>
      <c r="B12763" t="s">
        <v>14</v>
      </c>
      <c r="C12763" t="s">
        <v>22</v>
      </c>
      <c r="D12763" s="2" t="s">
        <f>=HYPERLINK("https://main.knesset.gov.il/APPS/legislation/main/bills/2142292", "הצעת חוק איסור הפליה מחמת משקל (תיקוני חקיקה), התש""ף-2020")</f>
        <v>24659</v>
      </c>
      <c r="E12763" t="s">
        <v>24659</v>
      </c>
      <c r="F12763" t="s">
        <v>24660</v>
      </c>
      <c r="G12763" t="s">
        <v>14</v>
      </c>
      <c r="H12763">
             </c>
      <c r="I12763" t="s">
        <v>14</v>
      </c>
      <c r="J12763" t="s">
        <v>141</v>
      </c>
      <c r="K12763" t="s">
        <v>14</v>
      </c>
      <c r="L12763" t="s">
        <v>20</v>
      </c>
      <c r="M12763" t="s">
        <v>24645</v>
      </c>
      <c r="N12763" t="s">
        <v>14</v>
      </c>
    </row>
    <row r="12764" x14ac:dyDescent="0.25">
      <c r="A12764" t="n">
        <v>23</v>
      </c>
      <c r="B12764" t="s">
        <v>14</v>
      </c>
      <c r="C12764" t="s">
        <v>22</v>
      </c>
      <c r="D12764" s="2" t="s">
        <f>=HYPERLINK("https://main.knesset.gov.il/APPS/legislation/main/bills/2142345", "הצעת חוק החברות הממשלתיות (תיקון - חובת דיווח חברתי-סביבתי), התש""ף-2020")</f>
        <v>24661</v>
      </c>
      <c r="E12764" t="s">
        <v>24661</v>
      </c>
      <c r="F12764" t="s">
        <v>24662</v>
      </c>
      <c r="G12764" t="s">
        <v>14</v>
      </c>
      <c r="H12764">
             </c>
      <c r="I12764" t="s">
        <v>14</v>
      </c>
      <c r="J12764" t="s">
        <v>141</v>
      </c>
      <c r="K12764" t="s">
        <v>14</v>
      </c>
      <c r="L12764" t="s">
        <v>20</v>
      </c>
      <c r="M12764" t="s">
        <v>24645</v>
      </c>
      <c r="N12764" t="s">
        <v>14</v>
      </c>
    </row>
    <row r="12765" x14ac:dyDescent="0.25">
      <c r="A12765" t="n">
        <v>23</v>
      </c>
      <c r="B12765" t="s">
        <v>14</v>
      </c>
      <c r="C12765" t="s">
        <v>22</v>
      </c>
      <c r="D12765" s="2" t="s">
        <f>=HYPERLINK("https://main.knesset.gov.il/APPS/legislation/main/bills/2142521", "הצעת חוק שיפוט בתי דין רבניים (נישואין וגירושין) (תיקון - נישואין אזרחיים בשטח שגרירות בישראל), התש""ף-2020")</f>
        <v>24663</v>
      </c>
      <c r="E12765" t="s">
        <v>24663</v>
      </c>
      <c r="F12765" t="s">
        <v>24664</v>
      </c>
      <c r="G12765" t="s">
        <v>14</v>
      </c>
      <c r="H12765">
             </c>
      <c r="I12765" t="s">
        <v>14</v>
      </c>
      <c r="J12765" t="s">
        <v>141</v>
      </c>
      <c r="K12765" t="s">
        <v>14</v>
      </c>
      <c r="L12765" t="s">
        <v>20</v>
      </c>
      <c r="M12765" t="s">
        <v>24645</v>
      </c>
      <c r="N12765" t="s">
        <v>14</v>
      </c>
    </row>
    <row r="12766" x14ac:dyDescent="0.25">
      <c r="A12766" t="n">
        <v>23</v>
      </c>
      <c r="B12766" t="s">
        <v>14</v>
      </c>
      <c r="C12766" t="s">
        <v>22</v>
      </c>
      <c r="D12766" s="2" t="s">
        <f>=HYPERLINK("https://main.knesset.gov.il/APPS/legislation/main/bills/2141460", "הצעת חוק בתי המשפט (תיקון - תקופת צינון לפני מינוי), התש""ף-2020")</f>
        <v>24665</v>
      </c>
      <c r="E12766" t="s">
        <v>24665</v>
      </c>
      <c r="F12766" t="s">
        <v>24666</v>
      </c>
      <c r="G12766" t="s">
        <v>14</v>
      </c>
      <c r="H12766">
             </c>
      <c r="I12766" t="s">
        <v>14</v>
      </c>
      <c r="J12766" t="s">
        <v>141</v>
      </c>
      <c r="K12766" t="s">
        <v>14</v>
      </c>
      <c r="L12766" t="s">
        <v>20</v>
      </c>
      <c r="M12766" t="s">
        <v>24645</v>
      </c>
      <c r="N12766" t="s">
        <v>14</v>
      </c>
    </row>
    <row r="12767" x14ac:dyDescent="0.25">
      <c r="A12767" t="n">
        <v>23</v>
      </c>
      <c r="B12767" t="s">
        <v>14</v>
      </c>
      <c r="C12767" t="s">
        <v>22</v>
      </c>
      <c r="D12767" s="2" t="s">
        <f>=HYPERLINK("https://main.knesset.gov.il/APPS/legislation/main/bills/2142273", "הצעת חוק-יסוד: זכויות חברתיות")</f>
        <v>12991</v>
      </c>
      <c r="E12767" t="s">
        <v>12991</v>
      </c>
      <c r="F12767" t="s">
        <v>24667</v>
      </c>
      <c r="G12767" t="s">
        <v>14</v>
      </c>
      <c r="H12767">
             </c>
      <c r="I12767" t="s">
        <v>14</v>
      </c>
      <c r="J12767" t="s">
        <v>141</v>
      </c>
      <c r="K12767" t="s">
        <v>14</v>
      </c>
      <c r="L12767" t="s">
        <v>20</v>
      </c>
      <c r="M12767" t="s">
        <v>24645</v>
      </c>
      <c r="N12767" t="s">
        <v>14</v>
      </c>
    </row>
    <row r="12768" x14ac:dyDescent="0.25">
      <c r="A12768" t="n">
        <v>23</v>
      </c>
      <c r="B12768" t="s">
        <v>14</v>
      </c>
      <c r="C12768" t="s">
        <v>22</v>
      </c>
      <c r="D12768" s="2" t="s">
        <f>=HYPERLINK("https://main.knesset.gov.il/APPS/legislation/main/bills/2141051", "הצעת חוק חסינות רבנים, התש""ף-2020")</f>
        <v>24668</v>
      </c>
      <c r="E12768" t="s">
        <v>24668</v>
      </c>
      <c r="F12768" t="s">
        <v>24669</v>
      </c>
      <c r="G12768" t="s">
        <v>14</v>
      </c>
      <c r="H12768">
             </c>
      <c r="I12768" t="s">
        <v>14</v>
      </c>
      <c r="J12768" t="s">
        <v>141</v>
      </c>
      <c r="K12768" t="s">
        <v>14</v>
      </c>
      <c r="L12768" t="s">
        <v>20</v>
      </c>
      <c r="M12768" t="s">
        <v>24645</v>
      </c>
      <c r="N12768" t="s">
        <v>14</v>
      </c>
    </row>
    <row r="12769" x14ac:dyDescent="0.25">
      <c r="A12769" t="n">
        <v>23</v>
      </c>
      <c r="B12769" t="s">
        <v>14</v>
      </c>
      <c r="C12769" t="s">
        <v>22</v>
      </c>
      <c r="D12769" s="2" t="s">
        <f>=HYPERLINK("https://main.knesset.gov.il/APPS/legislation/main/bills/2142272", "הצעת חוק תובענות ייצוגיות (תיקון - תובענה ייצוגית בשל פגיעה בפרטיות), התש""ף-2020")</f>
        <v>24670</v>
      </c>
      <c r="E12769" t="s">
        <v>24670</v>
      </c>
      <c r="F12769" t="s">
        <v>24671</v>
      </c>
      <c r="G12769" t="s">
        <v>14</v>
      </c>
      <c r="H12769">
             </c>
      <c r="I12769" t="s">
        <v>14</v>
      </c>
      <c r="J12769" t="s">
        <v>141</v>
      </c>
      <c r="K12769" t="s">
        <v>14</v>
      </c>
      <c r="L12769" t="s">
        <v>20</v>
      </c>
      <c r="M12769" t="s">
        <v>24645</v>
      </c>
      <c r="N12769" t="s">
        <v>14</v>
      </c>
    </row>
    <row r="12770" x14ac:dyDescent="0.25">
      <c r="A12770" t="n">
        <v>23</v>
      </c>
      <c r="B12770" t="s">
        <v>14</v>
      </c>
      <c r="C12770" t="s">
        <v>22</v>
      </c>
      <c r="D12770" s="2" t="s">
        <f>=HYPERLINK("https://main.knesset.gov.il/APPS/legislation/main/bills/2142297", "הצעת חוק איסור לשון הרע (תיקון - ביזוי אדם מחמת משקל), התש""ף-2020")</f>
        <v>24672</v>
      </c>
      <c r="E12770" t="s">
        <v>24672</v>
      </c>
      <c r="F12770" t="s">
        <v>24673</v>
      </c>
      <c r="G12770" t="s">
        <v>14</v>
      </c>
      <c r="H12770">
             </c>
      <c r="I12770" t="s">
        <v>14</v>
      </c>
      <c r="J12770" t="s">
        <v>141</v>
      </c>
      <c r="K12770" t="s">
        <v>14</v>
      </c>
      <c r="L12770" t="s">
        <v>20</v>
      </c>
      <c r="M12770" t="s">
        <v>24645</v>
      </c>
      <c r="N12770" t="s">
        <v>14</v>
      </c>
    </row>
    <row r="12771" x14ac:dyDescent="0.25">
      <c r="A12771" t="n">
        <v>23</v>
      </c>
      <c r="B12771" t="s">
        <v>14</v>
      </c>
      <c r="C12771" t="s">
        <v>22</v>
      </c>
      <c r="D12771" s="2" t="s">
        <f>=HYPERLINK("https://main.knesset.gov.il/APPS/legislation/main/bills/2142314", "הצעת חוק הכללת אמצעי זיהוי ביומטריים ונתוני זיהוי ביומטריים במסמכי זיהוי ובמאגר מידע (תיקון - ביטול המאגר הביומטרי), התש""ף-2020")</f>
        <v>24674</v>
      </c>
      <c r="E12771" t="s">
        <v>24674</v>
      </c>
      <c r="F12771" t="s">
        <v>24675</v>
      </c>
      <c r="G12771" t="s">
        <v>14</v>
      </c>
      <c r="H12771">
             </c>
      <c r="I12771" t="s">
        <v>14</v>
      </c>
      <c r="J12771" t="s">
        <v>141</v>
      </c>
      <c r="K12771" t="s">
        <v>14</v>
      </c>
      <c r="L12771" t="s">
        <v>20</v>
      </c>
      <c r="M12771" t="s">
        <v>24645</v>
      </c>
      <c r="N12771" t="s">
        <v>14</v>
      </c>
    </row>
    <row r="12772" x14ac:dyDescent="0.25">
      <c r="A12772" t="n">
        <v>23</v>
      </c>
      <c r="B12772" t="s">
        <v>14</v>
      </c>
      <c r="C12772" t="s">
        <v>22</v>
      </c>
      <c r="D12772" s="2" t="s">
        <f>=HYPERLINK("https://main.knesset.gov.il/APPS/legislation/main/bills/2141986", "הצעת חוק ההוצאה לפועל (תיקון - הגבלת סכום עיקול בידי צד שלישי שהוא תאגיד בנקאי), התש""ף-2020")</f>
        <v>24676</v>
      </c>
      <c r="E12772" t="s">
        <v>24676</v>
      </c>
      <c r="F12772" t="s">
        <v>24677</v>
      </c>
      <c r="G12772" t="s">
        <v>14</v>
      </c>
      <c r="H12772">
             </c>
      <c r="I12772" t="s">
        <v>14</v>
      </c>
      <c r="J12772" t="s">
        <v>141</v>
      </c>
      <c r="K12772" t="s">
        <v>14</v>
      </c>
      <c r="L12772" t="s">
        <v>20</v>
      </c>
      <c r="M12772" t="s">
        <v>24645</v>
      </c>
      <c r="N12772" t="s">
        <v>14</v>
      </c>
    </row>
    <row r="12773" x14ac:dyDescent="0.25">
      <c r="A12773" t="n">
        <v>23</v>
      </c>
      <c r="B12773" t="s">
        <v>14</v>
      </c>
      <c r="C12773" t="s">
        <v>22</v>
      </c>
      <c r="D12773" s="2" t="s">
        <f>=HYPERLINK("https://main.knesset.gov.il/APPS/legislation/main/bills/2141722", "הצעת חוק-יסוד: משק המדינה (תיקון - בחינת העלות לרשויות מקומיות)")</f>
        <v>2723</v>
      </c>
      <c r="E12773" t="s">
        <v>2723</v>
      </c>
      <c r="F12773" t="s">
        <v>24678</v>
      </c>
      <c r="G12773" t="s">
        <v>14</v>
      </c>
      <c r="H12773">
             </c>
      <c r="I12773" t="s">
        <v>14</v>
      </c>
      <c r="J12773" t="s">
        <v>141</v>
      </c>
      <c r="K12773" t="s">
        <v>14</v>
      </c>
      <c r="L12773" t="s">
        <v>20</v>
      </c>
      <c r="M12773" t="s">
        <v>24645</v>
      </c>
      <c r="N12773" t="s">
        <v>14</v>
      </c>
    </row>
    <row r="12774" x14ac:dyDescent="0.25">
      <c r="A12774" t="n">
        <v>23</v>
      </c>
      <c r="B12774" t="s">
        <v>14</v>
      </c>
      <c r="C12774" t="s">
        <v>22</v>
      </c>
      <c r="D12774" s="2" t="s">
        <f>=HYPERLINK("https://main.knesset.gov.il/APPS/legislation/main/bills/2141588", "הצעת חוק ביטול סמכות הוועדה המרכזית למניעת השתתפות בבחירות (תיקוני חקיקה), התש""ף-2020")</f>
        <v>24679</v>
      </c>
      <c r="E12774" t="s">
        <v>24679</v>
      </c>
      <c r="F12774" t="s">
        <v>24680</v>
      </c>
      <c r="G12774" t="s">
        <v>14</v>
      </c>
      <c r="H12774">
             </c>
      <c r="I12774" t="s">
        <v>14</v>
      </c>
      <c r="J12774" t="s">
        <v>141</v>
      </c>
      <c r="K12774" t="s">
        <v>14</v>
      </c>
      <c r="L12774" t="s">
        <v>20</v>
      </c>
      <c r="M12774" t="s">
        <v>24645</v>
      </c>
      <c r="N12774" t="s">
        <v>14</v>
      </c>
    </row>
    <row r="12775" x14ac:dyDescent="0.25">
      <c r="A12775" t="n">
        <v>23</v>
      </c>
      <c r="B12775" t="s">
        <v>14</v>
      </c>
      <c r="C12775" t="s">
        <v>22</v>
      </c>
      <c r="D12775" s="2" t="s">
        <f>=HYPERLINK("https://main.knesset.gov.il/APPS/legislation/main/bills/2141303", "הצעת חוק הרבנות הראשית (תיקון - בחירת נציגים מהאזור), התש""ף-2020")</f>
        <v>24681</v>
      </c>
      <c r="E12775" t="s">
        <v>24681</v>
      </c>
      <c r="F12775" t="s">
        <v>24682</v>
      </c>
      <c r="G12775" t="s">
        <v>14</v>
      </c>
      <c r="H12775">
             </c>
      <c r="I12775" t="s">
        <v>14</v>
      </c>
      <c r="J12775" t="s">
        <v>141</v>
      </c>
      <c r="K12775" t="s">
        <v>14</v>
      </c>
      <c r="L12775" t="s">
        <v>20</v>
      </c>
      <c r="M12775" t="s">
        <v>24645</v>
      </c>
      <c r="N12775" t="s">
        <v>14</v>
      </c>
    </row>
    <row r="12776" x14ac:dyDescent="0.25">
      <c r="A12776" t="n">
        <v>23</v>
      </c>
      <c r="B12776" t="s">
        <v>14</v>
      </c>
      <c r="C12776" t="s">
        <v>22</v>
      </c>
      <c r="D12776" s="2" t="s">
        <f>=HYPERLINK("https://main.knesset.gov.il/APPS/legislation/main/bills/2141109", "הצעת חוק מעמדן של ההסתדרות הציונית העולמית ושל הסוכנות היהודית לארץ-ישראל (תיקון - ניהול והקצאת מקרקעין באזור יהודה והשומרון על ידי החטיבה להתיישבות), התש""ף-2020")</f>
        <v>24683</v>
      </c>
      <c r="E12776" t="s">
        <v>24683</v>
      </c>
      <c r="F12776" t="s">
        <v>24684</v>
      </c>
      <c r="G12776" t="s">
        <v>14</v>
      </c>
      <c r="H12776">
             </c>
      <c r="I12776" t="s">
        <v>14</v>
      </c>
      <c r="J12776" t="s">
        <v>141</v>
      </c>
      <c r="K12776" t="s">
        <v>14</v>
      </c>
      <c r="L12776" t="s">
        <v>20</v>
      </c>
      <c r="M12776" t="s">
        <v>24645</v>
      </c>
      <c r="N12776" t="s">
        <v>14</v>
      </c>
    </row>
    <row r="12777" x14ac:dyDescent="0.25">
      <c r="A12777" t="n">
        <v>23</v>
      </c>
      <c r="B12777" t="s">
        <v>14</v>
      </c>
      <c r="C12777" t="s">
        <v>22</v>
      </c>
      <c r="D12777" s="2" t="s">
        <f>=HYPERLINK("https://main.knesset.gov.il/APPS/legislation/main/bills/2088296", "הצעת חוק לתיקון פקודת הסטטיסטיקה (הפניה לאפיון הרשויות המקומיות), התש""ף-2020")</f>
        <v>24685</v>
      </c>
      <c r="E12777" t="s">
        <v>24685</v>
      </c>
      <c r="F12777" t="s">
        <v>24686</v>
      </c>
      <c r="G12777" t="s">
        <v>14</v>
      </c>
      <c r="H12777">
             </c>
      <c r="I12777" t="s">
        <v>14</v>
      </c>
      <c r="J12777" t="s">
        <v>141</v>
      </c>
      <c r="K12777" t="s">
        <v>14</v>
      </c>
      <c r="L12777" t="s">
        <v>20</v>
      </c>
      <c r="M12777" t="s">
        <v>24645</v>
      </c>
      <c r="N12777" t="s">
        <v>14</v>
      </c>
    </row>
    <row r="12778" x14ac:dyDescent="0.25">
      <c r="A12778" t="n">
        <v>23</v>
      </c>
      <c r="B12778" t="s">
        <v>14</v>
      </c>
      <c r="C12778" t="s">
        <v>22</v>
      </c>
      <c r="D12778" s="2" t="s">
        <f>=HYPERLINK("https://main.knesset.gov.il/APPS/legislation/main/bills/2140976", "הצעת חוק להגבלת שכר טרחת כונסי נכסים (תיקוני חקיקה), התש""ף-2020")</f>
        <v>24687</v>
      </c>
      <c r="E12778" t="s">
        <v>24687</v>
      </c>
      <c r="F12778" t="s">
        <v>24688</v>
      </c>
      <c r="G12778" t="s">
        <v>14</v>
      </c>
      <c r="H12778">
             </c>
      <c r="I12778" t="s">
        <v>14</v>
      </c>
      <c r="J12778" t="s">
        <v>141</v>
      </c>
      <c r="K12778" t="s">
        <v>14</v>
      </c>
      <c r="L12778" t="s">
        <v>20</v>
      </c>
      <c r="M12778" t="s">
        <v>24645</v>
      </c>
      <c r="N12778" t="s">
        <v>14</v>
      </c>
    </row>
    <row r="12779" x14ac:dyDescent="0.25">
      <c r="A12779" t="n">
        <v>23</v>
      </c>
      <c r="B12779" t="s">
        <v>14</v>
      </c>
      <c r="C12779" t="s">
        <v>22</v>
      </c>
      <c r="D12779" s="2" t="s">
        <f>=HYPERLINK("https://main.knesset.gov.il/APPS/legislation/main/bills/2140314", "הצעת חוק-יסוד: הממשלה (תיקון - סייג לרציפות הממשלה בהסכמים ואמנות מדיניים)")</f>
        <v>24689</v>
      </c>
      <c r="E12779" t="s">
        <v>24689</v>
      </c>
      <c r="F12779" t="s">
        <v>24690</v>
      </c>
      <c r="G12779" t="s">
        <v>14</v>
      </c>
      <c r="H12779">
             </c>
      <c r="I12779" t="s">
        <v>14</v>
      </c>
      <c r="J12779" t="s">
        <v>141</v>
      </c>
      <c r="K12779" t="s">
        <v>14</v>
      </c>
      <c r="L12779" t="s">
        <v>20</v>
      </c>
      <c r="M12779" t="s">
        <v>24645</v>
      </c>
      <c r="N12779" t="s">
        <v>14</v>
      </c>
    </row>
    <row r="12780" x14ac:dyDescent="0.25">
      <c r="A12780" t="n">
        <v>23</v>
      </c>
      <c r="B12780" t="s">
        <v>14</v>
      </c>
      <c r="C12780" t="s">
        <v>22</v>
      </c>
      <c r="D12780" s="2" t="s">
        <f>=HYPERLINK("https://main.knesset.gov.il/APPS/legislation/main/bills/2142333", "הצעת חוק ההתגוננות האזרחית (תיקון - אפשרות לקבלת פטור מבניית מקלט בהרחבת בית), התש""ף-2020")</f>
        <v>24691</v>
      </c>
      <c r="E12780" t="s">
        <v>24691</v>
      </c>
      <c r="F12780" t="s">
        <v>24692</v>
      </c>
      <c r="G12780" t="s">
        <v>14</v>
      </c>
      <c r="H12780">
             </c>
      <c r="I12780" t="s">
        <v>14</v>
      </c>
      <c r="J12780" t="s">
        <v>141</v>
      </c>
      <c r="K12780" t="s">
        <v>14</v>
      </c>
      <c r="L12780" t="s">
        <v>20</v>
      </c>
      <c r="M12780" t="s">
        <v>24645</v>
      </c>
      <c r="N12780" t="s">
        <v>14</v>
      </c>
    </row>
    <row r="12781" x14ac:dyDescent="0.25">
      <c r="A12781" t="n">
        <v>23</v>
      </c>
      <c r="B12781" t="s">
        <v>14</v>
      </c>
      <c r="C12781" t="s">
        <v>22</v>
      </c>
      <c r="D12781" s="2" t="s">
        <f>=HYPERLINK("https://main.knesset.gov.il/APPS/legislation/main/bills/2141466", "הצעת חוק שיקים ללא כיסוי (תיקון - חובת הודעה ללקוח טרם סירוב שיק), התש""ף-2020")</f>
        <v>24693</v>
      </c>
      <c r="E12781" t="s">
        <v>24693</v>
      </c>
      <c r="F12781" t="s">
        <v>24694</v>
      </c>
      <c r="G12781" t="s">
        <v>14</v>
      </c>
      <c r="H12781">
             </c>
      <c r="I12781" t="s">
        <v>14</v>
      </c>
      <c r="J12781" t="s">
        <v>141</v>
      </c>
      <c r="K12781" t="s">
        <v>14</v>
      </c>
      <c r="L12781" t="s">
        <v>20</v>
      </c>
      <c r="M12781" t="s">
        <v>24645</v>
      </c>
      <c r="N12781" t="s">
        <v>14</v>
      </c>
    </row>
    <row r="12782" x14ac:dyDescent="0.25">
      <c r="A12782" t="n">
        <v>23</v>
      </c>
      <c r="B12782" t="s">
        <v>14</v>
      </c>
      <c r="C12782" t="s">
        <v>22</v>
      </c>
      <c r="D12782" s="2" t="s">
        <f>=HYPERLINK("https://main.knesset.gov.il/APPS/legislation/main/bills/2142843", "הצעת חוק חינוך פיננסי, התש""ף-2020")</f>
        <v>24695</v>
      </c>
      <c r="E12782" t="s">
        <v>24695</v>
      </c>
      <c r="F12782" t="s">
        <v>24696</v>
      </c>
      <c r="G12782" t="s">
        <v>14</v>
      </c>
      <c r="H12782">
             </c>
      <c r="I12782" t="s">
        <v>14</v>
      </c>
      <c r="J12782" t="s">
        <v>141</v>
      </c>
      <c r="K12782" t="s">
        <v>14</v>
      </c>
      <c r="L12782" t="s">
        <v>20</v>
      </c>
      <c r="M12782" t="s">
        <v>24645</v>
      </c>
      <c r="N12782" t="s">
        <v>14</v>
      </c>
    </row>
    <row r="12783" x14ac:dyDescent="0.25">
      <c r="A12783" t="n">
        <v>23</v>
      </c>
      <c r="B12783" t="s">
        <v>14</v>
      </c>
      <c r="C12783" t="s">
        <v>22</v>
      </c>
      <c r="D12783" s="2" t="s">
        <f>=HYPERLINK("https://main.knesset.gov.il/APPS/legislation/main/bills/2140211", "הצעת חוק פיצויי פיטורים (תיקון - מתן פיצויי פיטורים עקב העתקת מקום מגורים לבני זוג ידועים בציבור), התש""ף-2020")</f>
        <v>24697</v>
      </c>
      <c r="E12783" t="s">
        <v>24697</v>
      </c>
      <c r="F12783" t="s">
        <v>24698</v>
      </c>
      <c r="G12783" t="s">
        <v>14</v>
      </c>
      <c r="H12783">
             </c>
      <c r="I12783" t="s">
        <v>14</v>
      </c>
      <c r="J12783" t="s">
        <v>141</v>
      </c>
      <c r="K12783" t="s">
        <v>14</v>
      </c>
      <c r="L12783" t="s">
        <v>20</v>
      </c>
      <c r="M12783" t="s">
        <v>24645</v>
      </c>
      <c r="N12783" t="s">
        <v>14</v>
      </c>
    </row>
    <row r="12784" x14ac:dyDescent="0.25">
      <c r="A12784" t="n">
        <v>23</v>
      </c>
      <c r="B12784" t="s">
        <v>14</v>
      </c>
      <c r="C12784" t="s">
        <v>22</v>
      </c>
      <c r="D12784" s="2" t="s">
        <f>=HYPERLINK("https://main.knesset.gov.il/APPS/legislation/main/bills/2140496", "הצעת חוק האזרחים הותיקים (תיקון - סל תרבות לאזרחים ותיקים עצמאיים המתגוררים בהוסטלים, מקבצי דיור או בתי דיור מוגן), התש""ף-2020")</f>
        <v>24699</v>
      </c>
      <c r="E12784" t="s">
        <v>24699</v>
      </c>
      <c r="F12784" t="s">
        <v>24700</v>
      </c>
      <c r="G12784" t="s">
        <v>14</v>
      </c>
      <c r="H12784">
             </c>
      <c r="I12784" t="s">
        <v>14</v>
      </c>
      <c r="J12784" t="s">
        <v>141</v>
      </c>
      <c r="K12784" t="s">
        <v>14</v>
      </c>
      <c r="L12784" t="s">
        <v>20</v>
      </c>
      <c r="M12784" t="s">
        <v>24645</v>
      </c>
      <c r="N12784" t="s">
        <v>14</v>
      </c>
    </row>
    <row r="12785" x14ac:dyDescent="0.25">
      <c r="A12785" t="n">
        <v>23</v>
      </c>
      <c r="B12785" t="s">
        <v>14</v>
      </c>
      <c r="C12785" t="s">
        <v>22</v>
      </c>
      <c r="D12785" s="2" t="s">
        <f>=HYPERLINK("https://main.knesset.gov.il/APPS/legislation/main/bills/2143498", "הצעת חוק העונשין (תיקון - הרחבת הגדרת הגזענות), התש""ף-2020")</f>
        <v>23747</v>
      </c>
      <c r="E12785" t="s">
        <v>23747</v>
      </c>
      <c r="F12785" t="s">
        <v>24701</v>
      </c>
      <c r="G12785" t="s">
        <v>14</v>
      </c>
      <c r="H12785">
             </c>
      <c r="I12785" t="s">
        <v>14</v>
      </c>
      <c r="J12785" t="s">
        <v>141</v>
      </c>
      <c r="K12785" t="s">
        <v>14</v>
      </c>
      <c r="L12785" t="s">
        <v>20</v>
      </c>
      <c r="M12785" t="s">
        <v>24645</v>
      </c>
      <c r="N12785" t="s">
        <v>14</v>
      </c>
    </row>
    <row r="12786" x14ac:dyDescent="0.25">
      <c r="A12786" t="n">
        <v>23</v>
      </c>
      <c r="B12786" t="s">
        <v>14</v>
      </c>
      <c r="C12786" t="s">
        <v>22</v>
      </c>
      <c r="D12786" s="2" t="s">
        <f>=HYPERLINK("https://main.knesset.gov.il/APPS/legislation/main/bills/2142283", "הצעת חוק חינוך פיננסי, התש""ף-2020")</f>
        <v>24695</v>
      </c>
      <c r="E12786" t="s">
        <v>24695</v>
      </c>
      <c r="F12786" t="s">
        <v>24702</v>
      </c>
      <c r="G12786" t="s">
        <v>14</v>
      </c>
      <c r="H12786">
             </c>
      <c r="I12786" t="s">
        <v>14</v>
      </c>
      <c r="J12786" t="s">
        <v>141</v>
      </c>
      <c r="K12786" t="s">
        <v>14</v>
      </c>
      <c r="L12786" t="s">
        <v>20</v>
      </c>
      <c r="M12786" t="s">
        <v>24645</v>
      </c>
      <c r="N12786" t="s">
        <v>14</v>
      </c>
    </row>
    <row r="12787" x14ac:dyDescent="0.25">
      <c r="A12787" t="n">
        <v>23</v>
      </c>
      <c r="B12787" t="s">
        <v>14</v>
      </c>
      <c r="C12787" t="s">
        <v>22</v>
      </c>
      <c r="D12787" s="2" t="s">
        <f>=HYPERLINK("https://main.knesset.gov.il/APPS/legislation/main/bills/2140662", "הצעת חוק הביטוח הלאומי (תיקון - דמי אבטלה לעצמאים בתקופת הקורונה) (הוראת שעה), התש""ף-2020")</f>
        <v>24703</v>
      </c>
      <c r="E12787" t="s">
        <v>24703</v>
      </c>
      <c r="F12787" t="s">
        <v>24704</v>
      </c>
      <c r="G12787" t="s">
        <v>14</v>
      </c>
      <c r="H12787">
             </c>
      <c r="I12787" t="s">
        <v>14</v>
      </c>
      <c r="J12787" t="s">
        <v>141</v>
      </c>
      <c r="K12787" t="s">
        <v>14</v>
      </c>
      <c r="L12787" t="s">
        <v>20</v>
      </c>
      <c r="M12787" t="s">
        <v>24645</v>
      </c>
      <c r="N12787" t="s">
        <v>14</v>
      </c>
    </row>
    <row r="12788" x14ac:dyDescent="0.25">
      <c r="A12788" t="n">
        <v>23</v>
      </c>
      <c r="B12788" t="s">
        <v>14</v>
      </c>
      <c r="C12788" t="s">
        <v>22</v>
      </c>
      <c r="D12788" s="2" t="s">
        <f>=HYPERLINK("https://main.knesset.gov.il/APPS/legislation/main/bills/2142280", "הצעת חוק איסור רוכלות רוחנית במוסדות חינוך ובקרבתם, התש""ף-2020")</f>
        <v>24705</v>
      </c>
      <c r="E12788" t="s">
        <v>24705</v>
      </c>
      <c r="F12788" t="s">
        <v>24706</v>
      </c>
      <c r="G12788" t="s">
        <v>14</v>
      </c>
      <c r="H12788">
             </c>
      <c r="I12788" t="s">
        <v>14</v>
      </c>
      <c r="J12788" t="s">
        <v>141</v>
      </c>
      <c r="K12788" t="s">
        <v>14</v>
      </c>
      <c r="L12788" t="s">
        <v>20</v>
      </c>
      <c r="M12788" t="s">
        <v>24645</v>
      </c>
      <c r="N12788" t="s">
        <v>14</v>
      </c>
    </row>
    <row r="12789" x14ac:dyDescent="0.25">
      <c r="A12789" t="n">
        <v>23</v>
      </c>
      <c r="B12789" t="s">
        <v>14</v>
      </c>
      <c r="C12789" t="s">
        <v>22</v>
      </c>
      <c r="D12789" s="2" t="s">
        <f>=HYPERLINK("https://main.knesset.gov.il/APPS/legislation/main/bills/2142206", "הצעת חוק התרבות והאמנות (תיקון - תקציב התרבות), התש""ף-2020")</f>
        <v>24707</v>
      </c>
      <c r="E12789" t="s">
        <v>24707</v>
      </c>
      <c r="F12789" t="s">
        <v>24708</v>
      </c>
      <c r="G12789" t="s">
        <v>14</v>
      </c>
      <c r="H12789">
             </c>
      <c r="I12789" t="s">
        <v>14</v>
      </c>
      <c r="J12789" t="s">
        <v>141</v>
      </c>
      <c r="K12789" t="s">
        <v>14</v>
      </c>
      <c r="L12789" t="s">
        <v>20</v>
      </c>
      <c r="M12789" t="s">
        <v>24645</v>
      </c>
      <c r="N12789" t="s">
        <v>14</v>
      </c>
    </row>
    <row r="12790" x14ac:dyDescent="0.25">
      <c r="A12790" t="n">
        <v>23</v>
      </c>
      <c r="B12790" t="s">
        <v>14</v>
      </c>
      <c r="C12790" t="s">
        <v>22</v>
      </c>
      <c r="D12790" s="2" t="s">
        <f>=HYPERLINK("https://main.knesset.gov.il/APPS/legislation/main/bills/2141016", "הצעת חוק לתיקון פקודת בריאות העם (הוספת מרכז לידה), התש""ף-2020")</f>
        <v>24709</v>
      </c>
      <c r="E12790" t="s">
        <v>24709</v>
      </c>
      <c r="F12790" t="s">
        <v>24710</v>
      </c>
      <c r="G12790" t="s">
        <v>14</v>
      </c>
      <c r="H12790">
             </c>
      <c r="I12790" t="s">
        <v>14</v>
      </c>
      <c r="J12790" t="s">
        <v>141</v>
      </c>
      <c r="K12790" t="s">
        <v>14</v>
      </c>
      <c r="L12790" t="s">
        <v>20</v>
      </c>
      <c r="M12790" t="s">
        <v>24645</v>
      </c>
      <c r="N12790" t="s">
        <v>14</v>
      </c>
    </row>
    <row r="12791" x14ac:dyDescent="0.25">
      <c r="A12791" t="n">
        <v>23</v>
      </c>
      <c r="B12791" t="s">
        <v>14</v>
      </c>
      <c r="C12791" t="s">
        <v>22</v>
      </c>
      <c r="D12791" s="2" t="s">
        <f>=HYPERLINK("https://main.knesset.gov.il/APPS/legislation/main/bills/2139677", "הצעת חוק הטבות לניצולי שואה (תיקון - הטבות לניצולים שעלו לאחר שנת 1953), התש""ף-2020")</f>
        <v>24711</v>
      </c>
      <c r="E12791" t="s">
        <v>24711</v>
      </c>
      <c r="F12791" t="s">
        <v>24712</v>
      </c>
      <c r="G12791" t="s">
        <v>14</v>
      </c>
      <c r="H12791">
             </c>
      <c r="I12791" t="s">
        <v>14</v>
      </c>
      <c r="J12791" t="s">
        <v>141</v>
      </c>
      <c r="K12791" t="s">
        <v>14</v>
      </c>
      <c r="L12791" t="s">
        <v>20</v>
      </c>
      <c r="M12791" t="s">
        <v>24645</v>
      </c>
      <c r="N12791" t="s">
        <v>14</v>
      </c>
    </row>
    <row r="12792" x14ac:dyDescent="0.25">
      <c r="A12792" t="n">
        <v>23</v>
      </c>
      <c r="B12792" t="s">
        <v>14</v>
      </c>
      <c r="C12792" t="s">
        <v>22</v>
      </c>
      <c r="D12792" s="2" t="s">
        <f>=HYPERLINK("https://main.knesset.gov.il/APPS/legislation/main/bills/2142518", "הצעת חוק הסכמים לנשיאת עוברים (אישור הסכם ומעמד היילוד) (תיקון - הורים מיועדים), התש""ף-2020")</f>
        <v>24713</v>
      </c>
      <c r="E12792" t="s">
        <v>24713</v>
      </c>
      <c r="F12792" t="s">
        <v>24714</v>
      </c>
      <c r="G12792" t="s">
        <v>14</v>
      </c>
      <c r="H12792">
             </c>
      <c r="I12792" t="s">
        <v>14</v>
      </c>
      <c r="J12792" t="s">
        <v>141</v>
      </c>
      <c r="K12792" t="s">
        <v>14</v>
      </c>
      <c r="L12792" t="s">
        <v>20</v>
      </c>
      <c r="M12792" t="s">
        <v>24645</v>
      </c>
      <c r="N12792" t="s">
        <v>14</v>
      </c>
    </row>
    <row r="12793" x14ac:dyDescent="0.25">
      <c r="A12793" t="n">
        <v>23</v>
      </c>
      <c r="B12793" t="s">
        <v>14</v>
      </c>
      <c r="C12793" t="s">
        <v>22</v>
      </c>
      <c r="D12793" s="2" t="s">
        <f>=HYPERLINK("https://main.knesset.gov.il/APPS/legislation/main/bills/2141312", "הצעת חוק הביטוח הלאומי (תיקון - דמי ביטוח מופחתים לסטודנטים), התש""ף-2020")</f>
        <v>24715</v>
      </c>
      <c r="E12793" t="s">
        <v>24715</v>
      </c>
      <c r="F12793" t="s">
        <v>24716</v>
      </c>
      <c r="G12793" t="s">
        <v>14</v>
      </c>
      <c r="H12793">
             </c>
      <c r="I12793" t="s">
        <v>14</v>
      </c>
      <c r="J12793" t="s">
        <v>141</v>
      </c>
      <c r="K12793" t="s">
        <v>14</v>
      </c>
      <c r="L12793" t="s">
        <v>20</v>
      </c>
      <c r="M12793" t="s">
        <v>24645</v>
      </c>
      <c r="N12793" t="s">
        <v>14</v>
      </c>
    </row>
    <row r="12794" x14ac:dyDescent="0.25">
      <c r="A12794" t="n">
        <v>23</v>
      </c>
      <c r="B12794" t="s">
        <v>14</v>
      </c>
      <c r="C12794" t="s">
        <v>22</v>
      </c>
      <c r="D12794" s="2" t="s">
        <f>=HYPERLINK("https://main.knesset.gov.il/APPS/legislation/main/bills/2141104", "הצעת חוק מגן דוד אדום (תיקון - פריסת ניידות טיפול נמרץ ברחבי המדינה), התש""ף-2020 ")</f>
        <v>24717</v>
      </c>
      <c r="E12794" t="s">
        <v>24717</v>
      </c>
      <c r="F12794" t="s">
        <v>24718</v>
      </c>
      <c r="G12794" t="s">
        <v>14</v>
      </c>
      <c r="H12794">
             </c>
      <c r="I12794" t="s">
        <v>14</v>
      </c>
      <c r="J12794" t="s">
        <v>141</v>
      </c>
      <c r="K12794" t="s">
        <v>14</v>
      </c>
      <c r="L12794" t="s">
        <v>20</v>
      </c>
      <c r="M12794" t="s">
        <v>24645</v>
      </c>
      <c r="N12794" t="s">
        <v>14</v>
      </c>
    </row>
    <row r="12795" x14ac:dyDescent="0.25">
      <c r="A12795" t="n">
        <v>23</v>
      </c>
      <c r="B12795" t="s">
        <v>14</v>
      </c>
      <c r="C12795" t="s">
        <v>22</v>
      </c>
      <c r="D12795" s="2" t="s">
        <f>=HYPERLINK("https://main.knesset.gov.il/APPS/legislation/main/bills/2142747", "הצעת חוק הביטוח הלאומי (תיקון - קצבת נכות וקצבת שאירים), התש""ף-2020")</f>
        <v>24719</v>
      </c>
      <c r="E12795" t="s">
        <v>24719</v>
      </c>
      <c r="F12795" t="s">
        <v>24720</v>
      </c>
      <c r="G12795" t="s">
        <v>14</v>
      </c>
      <c r="H12795">
             </c>
      <c r="I12795" t="s">
        <v>14</v>
      </c>
      <c r="J12795" t="s">
        <v>141</v>
      </c>
      <c r="K12795" t="s">
        <v>14</v>
      </c>
      <c r="L12795" t="s">
        <v>20</v>
      </c>
      <c r="M12795" t="s">
        <v>24645</v>
      </c>
      <c r="N12795" t="s">
        <v>14</v>
      </c>
    </row>
    <row r="12796" x14ac:dyDescent="0.25">
      <c r="A12796" t="n">
        <v>23</v>
      </c>
      <c r="B12796" t="s">
        <v>14</v>
      </c>
      <c r="C12796" t="s">
        <v>22</v>
      </c>
      <c r="D12796" s="2" t="s">
        <f>=HYPERLINK("https://main.knesset.gov.il/APPS/legislation/main/bills/2142295", "הצעת חוק לידה בבית (תיקוני חקיקה), התש""ף-2020")</f>
        <v>24721</v>
      </c>
      <c r="E12796" t="s">
        <v>24721</v>
      </c>
      <c r="F12796" t="s">
        <v>24722</v>
      </c>
      <c r="G12796" t="s">
        <v>14</v>
      </c>
      <c r="H12796">
             </c>
      <c r="I12796" t="s">
        <v>14</v>
      </c>
      <c r="J12796" t="s">
        <v>141</v>
      </c>
      <c r="K12796" t="s">
        <v>14</v>
      </c>
      <c r="L12796" t="s">
        <v>20</v>
      </c>
      <c r="M12796" t="s">
        <v>24645</v>
      </c>
      <c r="N12796" t="s">
        <v>14</v>
      </c>
    </row>
    <row r="12797" x14ac:dyDescent="0.25">
      <c r="A12797" t="n">
        <v>23</v>
      </c>
      <c r="B12797" t="s">
        <v>14</v>
      </c>
      <c r="C12797" t="s">
        <v>22</v>
      </c>
      <c r="D12797" s="2" t="s">
        <f>=HYPERLINK("https://main.knesset.gov.il/APPS/legislation/main/bills/2142296", "הצעת חוק פדיון הטבת חניה לעובד לשם צמצום שימוש ברכב פרטי, התש""ף-2020")</f>
        <v>24723</v>
      </c>
      <c r="E12797" t="s">
        <v>24723</v>
      </c>
      <c r="F12797" t="s">
        <v>24724</v>
      </c>
      <c r="G12797" t="s">
        <v>14</v>
      </c>
      <c r="H12797">
             </c>
      <c r="I12797" t="s">
        <v>14</v>
      </c>
      <c r="J12797" t="s">
        <v>141</v>
      </c>
      <c r="K12797" t="s">
        <v>14</v>
      </c>
      <c r="L12797" t="s">
        <v>20</v>
      </c>
      <c r="M12797" t="s">
        <v>24645</v>
      </c>
      <c r="N12797" t="s">
        <v>14</v>
      </c>
    </row>
    <row r="12798" x14ac:dyDescent="0.25">
      <c r="A12798" t="n">
        <v>23</v>
      </c>
      <c r="B12798" t="s">
        <v>14</v>
      </c>
      <c r="C12798" t="s">
        <v>22</v>
      </c>
      <c r="D12798" s="2" t="s">
        <f>=HYPERLINK("https://main.knesset.gov.il/APPS/legislation/main/bills/2142311", "הצעת חוק לתיקון פקודת בריאות העם (טיפול בפסולת רפואית), התש""ף-2020")</f>
        <v>24725</v>
      </c>
      <c r="E12798" t="s">
        <v>24725</v>
      </c>
      <c r="F12798" t="s">
        <v>24726</v>
      </c>
      <c r="G12798" t="s">
        <v>14</v>
      </c>
      <c r="H12798">
             </c>
      <c r="I12798" t="s">
        <v>14</v>
      </c>
      <c r="J12798" t="s">
        <v>141</v>
      </c>
      <c r="K12798" t="s">
        <v>14</v>
      </c>
      <c r="L12798" t="s">
        <v>20</v>
      </c>
      <c r="M12798" t="s">
        <v>24645</v>
      </c>
      <c r="N12798" t="s">
        <v>14</v>
      </c>
    </row>
    <row r="12799" x14ac:dyDescent="0.25">
      <c r="A12799" t="n">
        <v>23</v>
      </c>
      <c r="B12799" t="s">
        <v>14</v>
      </c>
      <c r="C12799" t="s">
        <v>22</v>
      </c>
      <c r="D12799" s="2" t="s">
        <f>=HYPERLINK("https://main.knesset.gov.il/APPS/legislation/main/bills/2142319", "הצעת חוק שוויון ההזדמנויות בעבודה (תיקון - איסור דרישת מידע ביומטרי מעובד או מדורש עבודה), התש""ף-2020")</f>
        <v>24727</v>
      </c>
      <c r="E12799" t="s">
        <v>24727</v>
      </c>
      <c r="F12799" t="s">
        <v>24728</v>
      </c>
      <c r="G12799" t="s">
        <v>14</v>
      </c>
      <c r="H12799">
             </c>
      <c r="I12799" t="s">
        <v>14</v>
      </c>
      <c r="J12799" t="s">
        <v>141</v>
      </c>
      <c r="K12799" t="s">
        <v>14</v>
      </c>
      <c r="L12799" t="s">
        <v>20</v>
      </c>
      <c r="M12799" t="s">
        <v>24645</v>
      </c>
      <c r="N12799" t="s">
        <v>14</v>
      </c>
    </row>
    <row r="12800" x14ac:dyDescent="0.25">
      <c r="A12800" t="n">
        <v>23</v>
      </c>
      <c r="B12800" t="s">
        <v>14</v>
      </c>
      <c r="C12800" t="s">
        <v>22</v>
      </c>
      <c r="D12800" s="2" t="s">
        <f>=HYPERLINK("https://main.knesset.gov.il/APPS/legislation/main/bills/2142330", "הצעת חוק חובת הצגת תג זיהוי והזדהות של עובד ציבור, התש""ף-2020")</f>
        <v>24729</v>
      </c>
      <c r="E12800" t="s">
        <v>24729</v>
      </c>
      <c r="F12800" t="s">
        <v>24730</v>
      </c>
      <c r="G12800" t="s">
        <v>14</v>
      </c>
      <c r="H12800">
             </c>
      <c r="I12800" t="s">
        <v>14</v>
      </c>
      <c r="J12800" t="s">
        <v>141</v>
      </c>
      <c r="K12800" t="s">
        <v>14</v>
      </c>
      <c r="L12800" t="s">
        <v>20</v>
      </c>
      <c r="M12800" t="s">
        <v>24645</v>
      </c>
      <c r="N12800" t="s">
        <v>14</v>
      </c>
    </row>
    <row r="12801" x14ac:dyDescent="0.25">
      <c r="A12801" t="n">
        <v>23</v>
      </c>
      <c r="B12801" t="s">
        <v>14</v>
      </c>
      <c r="C12801" t="s">
        <v>22</v>
      </c>
      <c r="D12801" s="2" t="s">
        <f>=HYPERLINK("https://main.knesset.gov.il/APPS/legislation/main/bills/2143501", "הצעת חוק זכויות החולה (תיקון - הכנסת מזון למוסדות רפואיים בחג הפסח), התש""ף-2020")</f>
        <v>24731</v>
      </c>
      <c r="E12801" t="s">
        <v>24731</v>
      </c>
      <c r="F12801" t="s">
        <v>24732</v>
      </c>
      <c r="G12801" t="s">
        <v>14</v>
      </c>
      <c r="H12801">
             </c>
      <c r="I12801" t="s">
        <v>14</v>
      </c>
      <c r="J12801" t="s">
        <v>141</v>
      </c>
      <c r="K12801" t="s">
        <v>14</v>
      </c>
      <c r="L12801" t="s">
        <v>20</v>
      </c>
      <c r="M12801" t="s">
        <v>24645</v>
      </c>
      <c r="N12801" t="s">
        <v>14</v>
      </c>
    </row>
    <row r="12802" x14ac:dyDescent="0.25">
      <c r="A12802" t="n">
        <v>23</v>
      </c>
      <c r="B12802" t="s">
        <v>14</v>
      </c>
      <c r="C12802" t="s">
        <v>22</v>
      </c>
      <c r="D12802" s="2" t="s">
        <f>=HYPERLINK("https://main.knesset.gov.il/APPS/legislation/main/bills/2143477", "הצעת חוק הכנסת (תיקון - גיל סיום כהונת היועץ המשפטי לכנסת), התש""ף-2020")</f>
        <v>24733</v>
      </c>
      <c r="E12802" t="s">
        <v>24733</v>
      </c>
      <c r="F12802" t="s">
        <v>24734</v>
      </c>
      <c r="G12802" t="s">
        <v>14</v>
      </c>
      <c r="H12802">
             </c>
      <c r="I12802" t="s">
        <v>14</v>
      </c>
      <c r="J12802" t="s">
        <v>141</v>
      </c>
      <c r="K12802" t="s">
        <v>14</v>
      </c>
      <c r="L12802" t="s">
        <v>20</v>
      </c>
      <c r="M12802" t="s">
        <v>24645</v>
      </c>
      <c r="N12802" t="s">
        <v>14</v>
      </c>
    </row>
    <row r="12803" x14ac:dyDescent="0.25">
      <c r="A12803" t="n">
        <v>23</v>
      </c>
      <c r="B12803" t="s">
        <v>14</v>
      </c>
      <c r="C12803" t="s">
        <v>22</v>
      </c>
      <c r="D12803" s="2" t="s">
        <f>=HYPERLINK("https://main.knesset.gov.il/APPS/legislation/main/bills/2141513", "הצעת חוק המועצה להשכלה גבוהה (תיקון - מוסד מוכר כתאגיד לפי חוק), התש""ף-2020")</f>
        <v>24735</v>
      </c>
      <c r="E12803" t="s">
        <v>24735</v>
      </c>
      <c r="F12803" t="s">
        <v>24736</v>
      </c>
      <c r="G12803" t="s">
        <v>14</v>
      </c>
      <c r="H12803">
             </c>
      <c r="I12803" t="s">
        <v>14</v>
      </c>
      <c r="J12803" t="s">
        <v>141</v>
      </c>
      <c r="K12803" t="s">
        <v>14</v>
      </c>
      <c r="L12803" t="s">
        <v>20</v>
      </c>
      <c r="M12803" t="s">
        <v>24645</v>
      </c>
      <c r="N12803" t="s">
        <v>14</v>
      </c>
    </row>
    <row r="12804" x14ac:dyDescent="0.25">
      <c r="A12804" t="n">
        <v>23</v>
      </c>
      <c r="B12804" t="s">
        <v>14</v>
      </c>
      <c r="C12804" t="s">
        <v>22</v>
      </c>
      <c r="D12804" s="2" t="s">
        <f>=HYPERLINK("https://main.knesset.gov.il/APPS/legislation/main/bills/2141851", "הצעת חוק הבטחת הכנסה (תיקון - מענק קירור), התש""ף-2020")</f>
        <v>24396</v>
      </c>
      <c r="E12804" t="s">
        <v>24396</v>
      </c>
      <c r="F12804" t="s">
        <v>24737</v>
      </c>
      <c r="G12804" t="s">
        <v>14</v>
      </c>
      <c r="H12804">
             </c>
      <c r="I12804" t="s">
        <v>14</v>
      </c>
      <c r="J12804" t="s">
        <v>141</v>
      </c>
      <c r="K12804" t="s">
        <v>14</v>
      </c>
      <c r="L12804" t="s">
        <v>20</v>
      </c>
      <c r="M12804" t="s">
        <v>24645</v>
      </c>
      <c r="N12804" t="s">
        <v>14</v>
      </c>
    </row>
    <row r="12805" x14ac:dyDescent="0.25">
      <c r="A12805" t="n">
        <v>23</v>
      </c>
      <c r="B12805" t="s">
        <v>14</v>
      </c>
      <c r="C12805" t="s">
        <v>22</v>
      </c>
      <c r="D12805" s="2" t="s">
        <f>=HYPERLINK("https://main.knesset.gov.il/APPS/legislation/main/bills/2088113", "הצעת חוק לתיקון פקודת התעבורה (הגבלת תשלום דמי חניה במוסד רפואי), התש""ף-2020")</f>
        <v>24738</v>
      </c>
      <c r="E12805" t="s">
        <v>24738</v>
      </c>
      <c r="F12805" t="s">
        <v>24739</v>
      </c>
      <c r="G12805" t="s">
        <v>14</v>
      </c>
      <c r="H12805">
             </c>
      <c r="I12805" t="s">
        <v>14</v>
      </c>
      <c r="J12805" t="s">
        <v>141</v>
      </c>
      <c r="K12805" t="s">
        <v>14</v>
      </c>
      <c r="L12805" t="s">
        <v>20</v>
      </c>
      <c r="M12805" t="s">
        <v>24645</v>
      </c>
      <c r="N12805" t="s">
        <v>14</v>
      </c>
    </row>
    <row r="12806" x14ac:dyDescent="0.25">
      <c r="A12806" t="n">
        <v>23</v>
      </c>
      <c r="B12806" t="s">
        <v>14</v>
      </c>
      <c r="C12806" t="s">
        <v>22</v>
      </c>
      <c r="D12806" s="2" t="s">
        <f>=HYPERLINK("https://main.knesset.gov.il/APPS/legislation/main/bills/2088213", "הצעת חוק חניה לנכים (תיקון - החלפת המונח נכה), התש""ף-2020")</f>
        <v>24740</v>
      </c>
      <c r="E12806" t="s">
        <v>24740</v>
      </c>
      <c r="F12806" t="s">
        <v>24741</v>
      </c>
      <c r="G12806" t="s">
        <v>14</v>
      </c>
      <c r="H12806">
             </c>
      <c r="I12806" t="s">
        <v>14</v>
      </c>
      <c r="J12806" t="s">
        <v>141</v>
      </c>
      <c r="K12806" t="s">
        <v>14</v>
      </c>
      <c r="L12806" t="s">
        <v>20</v>
      </c>
      <c r="M12806" t="s">
        <v>24645</v>
      </c>
      <c r="N12806" t="s">
        <v>14</v>
      </c>
    </row>
    <row r="12807" x14ac:dyDescent="0.25">
      <c r="A12807" t="n">
        <v>23</v>
      </c>
      <c r="B12807" t="s">
        <v>14</v>
      </c>
      <c r="C12807" t="s">
        <v>22</v>
      </c>
      <c r="D12807" s="2" t="s">
        <f>=HYPERLINK("https://main.knesset.gov.il/APPS/legislation/main/bills/2142901", "הצעת חוק הגנה על עובד הנעדר מעבודתו עקב התפשטות נגיף הקורונה, התש""ף-2020")</f>
        <v>23332</v>
      </c>
      <c r="E12807" t="s">
        <v>23332</v>
      </c>
      <c r="F12807" t="s">
        <v>24742</v>
      </c>
      <c r="G12807" t="s">
        <v>14</v>
      </c>
      <c r="H12807">
             </c>
      <c r="I12807" t="s">
        <v>14</v>
      </c>
      <c r="J12807" t="s">
        <v>141</v>
      </c>
      <c r="K12807" t="s">
        <v>14</v>
      </c>
      <c r="L12807" t="s">
        <v>20</v>
      </c>
      <c r="M12807" t="s">
        <v>24645</v>
      </c>
      <c r="N12807" t="s">
        <v>14</v>
      </c>
    </row>
    <row r="12808" x14ac:dyDescent="0.25">
      <c r="A12808" t="n">
        <v>23</v>
      </c>
      <c r="B12808" t="s">
        <v>14</v>
      </c>
      <c r="C12808" t="s">
        <v>22</v>
      </c>
      <c r="D12808" s="2" t="s">
        <f>=HYPERLINK("https://main.knesset.gov.il/APPS/legislation/main/bills/2142512", "הצעת חוק תרומת זרע, התש""ף-2020")</f>
        <v>24743</v>
      </c>
      <c r="E12808" t="s">
        <v>24743</v>
      </c>
      <c r="F12808" t="s">
        <v>24744</v>
      </c>
      <c r="G12808" t="s">
        <v>14</v>
      </c>
      <c r="H12808">
             </c>
      <c r="I12808" t="s">
        <v>14</v>
      </c>
      <c r="J12808" t="s">
        <v>141</v>
      </c>
      <c r="K12808" t="s">
        <v>14</v>
      </c>
      <c r="L12808" t="s">
        <v>20</v>
      </c>
      <c r="M12808" t="s">
        <v>24645</v>
      </c>
      <c r="N12808" t="s">
        <v>14</v>
      </c>
    </row>
    <row r="12809" x14ac:dyDescent="0.25">
      <c r="A12809" t="n">
        <v>23</v>
      </c>
      <c r="B12809" t="s">
        <v>14</v>
      </c>
      <c r="C12809" t="s">
        <v>22</v>
      </c>
      <c r="D12809" s="2" t="s">
        <f>=HYPERLINK("https://main.knesset.gov.il/APPS/legislation/main/bills/2142850", "הצעת חוק עדכון שכר נושאי משרה ברשויות השלטון (הכללת דמי האבטלה בחישוב השכר הממוצע) (הוראת שעה), התש""ף-2020")</f>
        <v>24745</v>
      </c>
      <c r="E12809" t="s">
        <v>24745</v>
      </c>
      <c r="F12809" t="s">
        <v>24746</v>
      </c>
      <c r="G12809" t="s">
        <v>14</v>
      </c>
      <c r="H12809">
             </c>
      <c r="I12809" t="s">
        <v>14</v>
      </c>
      <c r="J12809" t="s">
        <v>343</v>
      </c>
      <c r="K12809" t="s">
        <v>14</v>
      </c>
      <c r="L12809" t="s">
        <v>20</v>
      </c>
      <c r="M12809" t="s">
        <v>24645</v>
      </c>
      <c r="N12809" t="s">
        <v>14</v>
      </c>
    </row>
    <row r="12810" x14ac:dyDescent="0.25">
      <c r="A12810" t="n">
        <v>23</v>
      </c>
      <c r="B12810" t="s">
        <v>14</v>
      </c>
      <c r="C12810" t="s">
        <v>22</v>
      </c>
      <c r="D12810" s="2" t="s">
        <f>=HYPERLINK("https://main.knesset.gov.il/APPS/legislation/main/bills/2141850", "הצעת חוק האזרחים הוותיקים (תיקון - פטור מתשלום בתחבורה ציבורית), התש""ף-2020")</f>
        <v>24252</v>
      </c>
      <c r="E12810" t="s">
        <v>24252</v>
      </c>
      <c r="F12810" t="s">
        <v>24747</v>
      </c>
      <c r="G12810" t="s">
        <v>14</v>
      </c>
      <c r="H12810">
             </c>
      <c r="I12810" t="s">
        <v>14</v>
      </c>
      <c r="J12810" t="s">
        <v>141</v>
      </c>
      <c r="K12810" t="s">
        <v>14</v>
      </c>
      <c r="L12810" t="s">
        <v>20</v>
      </c>
      <c r="M12810" t="s">
        <v>24645</v>
      </c>
      <c r="N12810" t="s">
        <v>14</v>
      </c>
    </row>
    <row r="12811" x14ac:dyDescent="0.25">
      <c r="A12811" t="n">
        <v>23</v>
      </c>
      <c r="B12811" t="s">
        <v>14</v>
      </c>
      <c r="C12811" t="s">
        <v>22</v>
      </c>
      <c r="D12811" s="2" t="s">
        <f>=HYPERLINK("https://main.knesset.gov.il/APPS/legislation/main/bills/2142869", "הצעת חוק הביטוח הלאומי (תיקון - השוואת קצבת נכות לשכר המינימום), התש""ף-2020")</f>
        <v>24748</v>
      </c>
      <c r="E12811" t="s">
        <v>24748</v>
      </c>
      <c r="F12811" t="s">
        <v>24749</v>
      </c>
      <c r="G12811" t="s">
        <v>14</v>
      </c>
      <c r="H12811">
             </c>
      <c r="I12811" t="s">
        <v>14</v>
      </c>
      <c r="J12811" t="s">
        <v>141</v>
      </c>
      <c r="K12811" t="s">
        <v>14</v>
      </c>
      <c r="L12811" t="s">
        <v>20</v>
      </c>
      <c r="M12811" t="s">
        <v>24645</v>
      </c>
      <c r="N12811" t="s">
        <v>14</v>
      </c>
    </row>
    <row r="12812" x14ac:dyDescent="0.25">
      <c r="A12812" t="n">
        <v>23</v>
      </c>
      <c r="B12812" t="s">
        <v>14</v>
      </c>
      <c r="C12812" t="s">
        <v>22</v>
      </c>
      <c r="D12812" s="2" t="s">
        <f>=HYPERLINK("https://main.knesset.gov.il/APPS/legislation/main/bills/2087801", "הצעת חוק הביטוח הלאומי (תיקון - השוואת קצבת נכות לשכר המינימום), התש""ף-2020")</f>
        <v>24748</v>
      </c>
      <c r="E12812" t="s">
        <v>24748</v>
      </c>
      <c r="F12812" t="s">
        <v>24750</v>
      </c>
      <c r="G12812" t="s">
        <v>14</v>
      </c>
      <c r="H12812">
             </c>
      <c r="I12812" t="s">
        <v>14</v>
      </c>
      <c r="J12812" t="s">
        <v>141</v>
      </c>
      <c r="K12812" t="s">
        <v>14</v>
      </c>
      <c r="L12812" t="s">
        <v>20</v>
      </c>
      <c r="M12812" t="s">
        <v>24645</v>
      </c>
      <c r="N12812" t="s">
        <v>14</v>
      </c>
    </row>
    <row r="12813" x14ac:dyDescent="0.25">
      <c r="A12813" t="n">
        <v>23</v>
      </c>
      <c r="B12813" t="s">
        <v>14</v>
      </c>
      <c r="C12813" t="s">
        <v>22</v>
      </c>
      <c r="D12813" s="2" t="s">
        <f>=HYPERLINK("https://main.knesset.gov.il/APPS/legislation/main/bills/2142757", "הצעת חוק הביטוח הלאומי (תיקון - הטבות למי שמקבל גמלה לפי חוק הביטוח הלאומי וקיבל גמלת הבטחת הכנסה), התש""ף-2020")</f>
        <v>24751</v>
      </c>
      <c r="E12813" t="s">
        <v>24751</v>
      </c>
      <c r="F12813" t="s">
        <v>24752</v>
      </c>
      <c r="G12813" t="s">
        <v>14</v>
      </c>
      <c r="H12813">
             </c>
      <c r="I12813" t="s">
        <v>14</v>
      </c>
      <c r="J12813" t="s">
        <v>141</v>
      </c>
      <c r="K12813" t="s">
        <v>14</v>
      </c>
      <c r="L12813" t="s">
        <v>20</v>
      </c>
      <c r="M12813" t="s">
        <v>24645</v>
      </c>
      <c r="N12813" t="s">
        <v>14</v>
      </c>
    </row>
    <row r="12814" x14ac:dyDescent="0.25">
      <c r="A12814" t="n">
        <v>23</v>
      </c>
      <c r="B12814" t="s">
        <v>14</v>
      </c>
      <c r="C12814" t="s">
        <v>22</v>
      </c>
      <c r="D12814" s="2" t="s">
        <f>=HYPERLINK("https://main.knesset.gov.il/APPS/legislation/main/bills/2141844", "הצעת חוק הגנת הצרכן (תיקון - חובת הקלטה של עסקה טלפונית), התש""ף-2020")</f>
        <v>24753</v>
      </c>
      <c r="E12814" t="s">
        <v>24753</v>
      </c>
      <c r="F12814" t="s">
        <v>24754</v>
      </c>
      <c r="G12814" t="s">
        <v>14</v>
      </c>
      <c r="H12814">
             </c>
      <c r="I12814" t="s">
        <v>14</v>
      </c>
      <c r="J12814" t="s">
        <v>141</v>
      </c>
      <c r="K12814" t="s">
        <v>14</v>
      </c>
      <c r="L12814" t="s">
        <v>20</v>
      </c>
      <c r="M12814" t="s">
        <v>24645</v>
      </c>
      <c r="N12814" t="s">
        <v>14</v>
      </c>
    </row>
    <row r="12815" x14ac:dyDescent="0.25">
      <c r="A12815" t="n">
        <v>23</v>
      </c>
      <c r="B12815" t="s">
        <v>14</v>
      </c>
      <c r="C12815" t="s">
        <v>22</v>
      </c>
      <c r="D12815" s="2" t="s">
        <f>=HYPERLINK("https://main.knesset.gov.il/APPS/legislation/main/bills/2139693", "הצעת חוק הכנסת (תיקון - מינוי היועץ המשפטי לכנסת), התש""ף-2020")</f>
        <v>24755</v>
      </c>
      <c r="E12815" t="s">
        <v>24755</v>
      </c>
      <c r="F12815" t="s">
        <v>24756</v>
      </c>
      <c r="G12815" t="s">
        <v>14</v>
      </c>
      <c r="H12815">
             </c>
      <c r="I12815" t="s">
        <v>14</v>
      </c>
      <c r="J12815" t="s">
        <v>141</v>
      </c>
      <c r="K12815" t="s">
        <v>14</v>
      </c>
      <c r="L12815" t="s">
        <v>20</v>
      </c>
      <c r="M12815" t="s">
        <v>24645</v>
      </c>
      <c r="N12815" t="s">
        <v>14</v>
      </c>
    </row>
    <row r="12816" x14ac:dyDescent="0.25">
      <c r="A12816" t="n">
        <v>23</v>
      </c>
      <c r="B12816" t="s">
        <v>14</v>
      </c>
      <c r="C12816" t="s">
        <v>22</v>
      </c>
      <c r="D12816" s="2" t="s">
        <f>=HYPERLINK("https://main.knesset.gov.il/APPS/legislation/main/bills/2140264", "הצעת חוק לתיקון פקודת התעבורה (מרכז שירות ארצי לעניין כרטיס רב-קו), התש""ף-2020")</f>
        <v>24757</v>
      </c>
      <c r="E12816" t="s">
        <v>24757</v>
      </c>
      <c r="F12816" t="s">
        <v>24758</v>
      </c>
      <c r="G12816" t="s">
        <v>14</v>
      </c>
      <c r="H12816">
             </c>
      <c r="I12816" t="s">
        <v>14</v>
      </c>
      <c r="J12816" t="s">
        <v>141</v>
      </c>
      <c r="K12816" t="s">
        <v>14</v>
      </c>
      <c r="L12816" t="s">
        <v>20</v>
      </c>
      <c r="M12816" t="s">
        <v>24645</v>
      </c>
      <c r="N12816" t="s">
        <v>14</v>
      </c>
    </row>
    <row r="12817" x14ac:dyDescent="0.25">
      <c r="A12817" t="n">
        <v>23</v>
      </c>
      <c r="B12817" t="s">
        <v>14</v>
      </c>
      <c r="C12817" t="s">
        <v>22</v>
      </c>
      <c r="D12817" s="2" t="s">
        <f>=HYPERLINK("https://main.knesset.gov.il/APPS/legislation/main/bills/2141768", "הצעת חוק תאגידי מים וביוב (תיקון - החרגת הפרשי גובה וצפיפות הבנייה בחישוב דמי הקמה של מערכות מים וביוב), התש""ף-2020")</f>
        <v>24759</v>
      </c>
      <c r="E12817" t="s">
        <v>24759</v>
      </c>
      <c r="F12817" t="s">
        <v>24760</v>
      </c>
      <c r="G12817" t="s">
        <v>14</v>
      </c>
      <c r="H12817">
             </c>
      <c r="I12817" t="s">
        <v>14</v>
      </c>
      <c r="J12817" t="s">
        <v>141</v>
      </c>
      <c r="K12817" t="s">
        <v>14</v>
      </c>
      <c r="L12817" t="s">
        <v>20</v>
      </c>
      <c r="M12817" t="s">
        <v>24645</v>
      </c>
      <c r="N12817" t="s">
        <v>14</v>
      </c>
    </row>
    <row r="12818" x14ac:dyDescent="0.25">
      <c r="A12818" t="n">
        <v>23</v>
      </c>
      <c r="B12818" t="s">
        <v>14</v>
      </c>
      <c r="C12818" t="s">
        <v>22</v>
      </c>
      <c r="D12818" s="2" t="s">
        <f>=HYPERLINK("https://main.knesset.gov.il/APPS/legislation/main/bills/2141818", "הצעת חוק הרשות לפיתוח הנגב (תיקון מס' 4) (תיקון - דיווח השר לפיתוח הפריפריה, הנגב והגליל לוועדת הכלכלה), התש""ף-2020")</f>
        <v>24761</v>
      </c>
      <c r="E12818" t="s">
        <v>24761</v>
      </c>
      <c r="F12818" t="s">
        <v>24762</v>
      </c>
      <c r="G12818" t="s">
        <v>14</v>
      </c>
      <c r="H12818">
             </c>
      <c r="I12818" t="s">
        <v>14</v>
      </c>
      <c r="J12818" t="s">
        <v>141</v>
      </c>
      <c r="K12818" t="s">
        <v>14</v>
      </c>
      <c r="L12818" t="s">
        <v>20</v>
      </c>
      <c r="M12818" t="s">
        <v>24645</v>
      </c>
      <c r="N12818" t="s">
        <v>14</v>
      </c>
    </row>
    <row r="12819" x14ac:dyDescent="0.25">
      <c r="A12819" t="n">
        <v>23</v>
      </c>
      <c r="B12819" t="s">
        <v>14</v>
      </c>
      <c r="C12819" t="s">
        <v>22</v>
      </c>
      <c r="D12819" s="2" t="s">
        <f>=HYPERLINK("https://main.knesset.gov.il/APPS/legislation/main/bills/2087800", "הצעת חוק איסור פרסומת והגבלת השיווק של מוצרי טבק ועישון (תיקון - פרסומות מנע של חברות מוצרי טבק ועישון), התש""ף-2020")</f>
        <v>24763</v>
      </c>
      <c r="E12819" t="s">
        <v>24763</v>
      </c>
      <c r="F12819" t="s">
        <v>24764</v>
      </c>
      <c r="G12819" t="s">
        <v>14</v>
      </c>
      <c r="H12819">
             </c>
      <c r="I12819" t="s">
        <v>14</v>
      </c>
      <c r="J12819" t="s">
        <v>141</v>
      </c>
      <c r="K12819" t="s">
        <v>14</v>
      </c>
      <c r="L12819" t="s">
        <v>20</v>
      </c>
      <c r="M12819" t="s">
        <v>24645</v>
      </c>
      <c r="N12819" t="s">
        <v>14</v>
      </c>
    </row>
    <row r="12820" x14ac:dyDescent="0.25">
      <c r="A12820" t="n">
        <v>23</v>
      </c>
      <c r="B12820" t="s">
        <v>14</v>
      </c>
      <c r="C12820" t="s">
        <v>15</v>
      </c>
      <c r="D12820" s="2" t="s">
        <f>=HYPERLINK("https://main.knesset.gov.il/APPS/legislation/main/bills/2140584", "חוק סמכויות מיוחדות להתמודדות עם נגיף הקורונה החדש (הוראת שעה), התש""ף-2020")</f>
        <v>24765</v>
      </c>
      <c r="E12820" t="s">
        <v>24765</v>
      </c>
      <c r="F12820" t="s">
        <v>14</v>
      </c>
      <c r="G12820" t="s">
        <v>24766</v>
      </c>
      <c r="H12820" t="n">
        <v>2832</v>
      </c>
      <c r="I12820" t="s">
        <v>14</v>
      </c>
      <c r="J12820" t="s">
        <v>91</v>
      </c>
      <c r="K12820" t="s">
        <v>27</v>
      </c>
      <c r="L12820" t="s">
        <v>20</v>
      </c>
      <c r="M12820" t="s">
        <v>24767</v>
      </c>
      <c r="N12820" t="s">
        <v>24768</v>
      </c>
    </row>
    <row r="12821" x14ac:dyDescent="0.25">
      <c r="A12821" t="n">
        <v>23</v>
      </c>
      <c r="B12821" t="s">
        <v>14</v>
      </c>
      <c r="C12821" t="s">
        <v>22</v>
      </c>
      <c r="D12821" s="2" t="s">
        <f>=HYPERLINK("https://main.knesset.gov.il/APPS/legislation/main/bills/2085974", "הצעת חוק הנציבות לצמצום הרגולציה והבירוקרטיה הממשלתית, התש""ף-2020")</f>
        <v>24769</v>
      </c>
      <c r="E12821" t="s">
        <v>24769</v>
      </c>
      <c r="F12821" t="s">
        <v>24770</v>
      </c>
      <c r="G12821" t="s">
        <v>14</v>
      </c>
      <c r="H12821">
             </c>
      <c r="I12821" t="s">
        <v>14</v>
      </c>
      <c r="J12821" t="s">
        <v>55</v>
      </c>
      <c r="K12821" t="s">
        <v>14</v>
      </c>
      <c r="L12821" t="s">
        <v>20</v>
      </c>
      <c r="M12821" t="s">
        <v>24767</v>
      </c>
      <c r="N12821" t="s">
        <v>14</v>
      </c>
    </row>
    <row r="12822" x14ac:dyDescent="0.25">
      <c r="A12822" t="n">
        <v>23</v>
      </c>
      <c r="B12822" t="s">
        <v>14</v>
      </c>
      <c r="C12822" t="s">
        <v>22</v>
      </c>
      <c r="D12822" s="2" t="s">
        <f>=HYPERLINK("https://main.knesset.gov.il/APPS/legislation/main/bills/2087003", "הצעת חוק הכנסת (תיקון - קביעת שכר חברי הכנסת בידי ועדה ציבורית), התש""ף-2020")</f>
        <v>24040</v>
      </c>
      <c r="E12822" t="s">
        <v>24040</v>
      </c>
      <c r="F12822" t="s">
        <v>24771</v>
      </c>
      <c r="G12822" t="s">
        <v>14</v>
      </c>
      <c r="H12822">
             </c>
      <c r="I12822" t="s">
        <v>14</v>
      </c>
      <c r="J12822" t="s">
        <v>55</v>
      </c>
      <c r="K12822" t="s">
        <v>14</v>
      </c>
      <c r="L12822" t="s">
        <v>20</v>
      </c>
      <c r="M12822" t="s">
        <v>24767</v>
      </c>
      <c r="N12822" t="s">
        <v>14</v>
      </c>
    </row>
    <row r="12823" x14ac:dyDescent="0.25">
      <c r="A12823" t="n">
        <v>23</v>
      </c>
      <c r="B12823" t="s">
        <v>14</v>
      </c>
      <c r="C12823" t="s">
        <v>22</v>
      </c>
      <c r="D12823" s="2" t="s">
        <f>=HYPERLINK("https://main.knesset.gov.il/APPS/legislation/main/bills/2085757", "הצעת חוק לתיקון פקודת מס הכנסה (החזר בתשלום למעונות יום לאמהות), התש""ף-2020")</f>
        <v>24419</v>
      </c>
      <c r="E12823" t="s">
        <v>24419</v>
      </c>
      <c r="F12823" t="s">
        <v>24772</v>
      </c>
      <c r="G12823" t="s">
        <v>14</v>
      </c>
      <c r="H12823">
             </c>
      <c r="I12823" t="s">
        <v>14</v>
      </c>
      <c r="J12823" t="s">
        <v>55</v>
      </c>
      <c r="K12823" t="s">
        <v>14</v>
      </c>
      <c r="L12823" t="s">
        <v>20</v>
      </c>
      <c r="M12823" t="s">
        <v>24767</v>
      </c>
      <c r="N12823" t="s">
        <v>14</v>
      </c>
    </row>
    <row r="12824" x14ac:dyDescent="0.25">
      <c r="A12824" t="n">
        <v>23</v>
      </c>
      <c r="B12824" t="s">
        <v>14</v>
      </c>
      <c r="C12824" t="s">
        <v>15</v>
      </c>
      <c r="D12824" s="2" t="s">
        <f>=HYPERLINK("https://main.knesset.gov.il/APPS/legislation/main/bills/2141852", "חוק הסמכת שירות הביטחון הכללי לסייע במאמץ הלאומי לצמצום התפשטות נגיף הקורונה החדש (הוראת שעה) (תיקון), התש""ף-2020")</f>
        <v>24773</v>
      </c>
      <c r="E12824" t="s">
        <v>24773</v>
      </c>
      <c r="F12824" t="s">
        <v>14</v>
      </c>
      <c r="G12824" t="s">
        <v>24774</v>
      </c>
      <c r="H12824" t="n">
        <v>2829</v>
      </c>
      <c r="I12824" t="s">
        <v>14</v>
      </c>
      <c r="J12824" t="s">
        <v>91</v>
      </c>
      <c r="K12824" t="s">
        <v>114</v>
      </c>
      <c r="L12824" t="s">
        <v>20</v>
      </c>
      <c r="M12824" t="s">
        <v>24775</v>
      </c>
      <c r="N12824" t="s">
        <v>24776</v>
      </c>
    </row>
    <row r="12825" x14ac:dyDescent="0.25">
      <c r="A12825" t="n">
        <v>23</v>
      </c>
      <c r="B12825" t="s">
        <v>14</v>
      </c>
      <c r="C12825" t="s">
        <v>22</v>
      </c>
      <c r="D12825" s="2" t="s">
        <f>=HYPERLINK("https://main.knesset.gov.il/APPS/legislation/main/bills/2086624", "הצעת חוק נתוני אשראי (תיקון - איסור שימוש בנתוני אשראי שנאספו בתקופת משבר הקורונה), התש""ף-2020")</f>
        <v>24777</v>
      </c>
      <c r="E12825" t="s">
        <v>24777</v>
      </c>
      <c r="F12825" t="s">
        <v>24778</v>
      </c>
      <c r="G12825" t="s">
        <v>14</v>
      </c>
      <c r="H12825">
             </c>
      <c r="I12825" t="s">
        <v>14</v>
      </c>
      <c r="J12825" t="s">
        <v>31</v>
      </c>
      <c r="K12825" t="s">
        <v>19</v>
      </c>
      <c r="L12825" t="s">
        <v>20</v>
      </c>
      <c r="M12825" t="s">
        <v>24775</v>
      </c>
      <c r="N12825" t="s">
        <v>14</v>
      </c>
    </row>
    <row r="12826" x14ac:dyDescent="0.25">
      <c r="A12826" t="n">
        <v>23</v>
      </c>
      <c r="B12826" t="s">
        <v>14</v>
      </c>
      <c r="C12826" t="s">
        <v>22</v>
      </c>
      <c r="D12826" s="2" t="s">
        <f>=HYPERLINK("https://main.knesset.gov.il/APPS/legislation/main/bills/2087212", "הצעת חוק סיוג הגבלת חשבון והגבלת לקוח בשל שיקים שסורבו בתקופה שהוכרזה מחלה מידבקת מסוכנת (תיקוני חקיקה), התש""ף-2020")</f>
        <v>24779</v>
      </c>
      <c r="E12826" t="s">
        <v>24779</v>
      </c>
      <c r="F12826" t="s">
        <v>24780</v>
      </c>
      <c r="G12826" t="s">
        <v>14</v>
      </c>
      <c r="H12826">
             </c>
      <c r="I12826" t="s">
        <v>14</v>
      </c>
      <c r="J12826" t="s">
        <v>31</v>
      </c>
      <c r="K12826" t="s">
        <v>19</v>
      </c>
      <c r="L12826" t="s">
        <v>20</v>
      </c>
      <c r="M12826" t="s">
        <v>24775</v>
      </c>
      <c r="N12826" t="s">
        <v>14</v>
      </c>
    </row>
    <row r="12827" x14ac:dyDescent="0.25">
      <c r="A12827" t="n">
        <v>23</v>
      </c>
      <c r="B12827" t="s">
        <v>14</v>
      </c>
      <c r="C12827" t="s">
        <v>15</v>
      </c>
      <c r="D12827" s="2" t="s">
        <f>=HYPERLINK("https://main.knesset.gov.il/APPS/legislation/main/bills/2087718", "הצעת חוק הרשויות המקומיות (הוראת שעה – נגיף הקורונה החדש) (קיום ישיבת מועצה בהיוועדות חזותית), התש""ף-2020")</f>
        <v>24781</v>
      </c>
      <c r="E12827" t="s">
        <v>24781</v>
      </c>
      <c r="F12827" t="s">
        <v>14</v>
      </c>
      <c r="G12827" t="s">
        <v>24782</v>
      </c>
      <c r="H12827">
             </c>
      <c r="I12827" t="s">
        <v>14</v>
      </c>
      <c r="J12827" t="s">
        <v>18</v>
      </c>
      <c r="K12827" t="s">
        <v>46</v>
      </c>
      <c r="L12827" t="s">
        <v>20</v>
      </c>
      <c r="M12827" t="s">
        <v>24775</v>
      </c>
      <c r="N12827" t="s">
        <v>14</v>
      </c>
    </row>
    <row r="12828" x14ac:dyDescent="0.25">
      <c r="A12828" t="n">
        <v>23</v>
      </c>
      <c r="B12828" t="s">
        <v>14</v>
      </c>
      <c r="C12828" t="s">
        <v>15</v>
      </c>
      <c r="D12828" s="2" t="s">
        <f>=HYPERLINK("https://main.knesset.gov.il/APPS/legislation/main/bills/2140879", "חוק לתיקון ולהארכת תוקפן של תקנות שעת חירום (נגיף הקורונה החדש - דיונים בהשתתפות עצורים, אסירים וכלואים) (תיקון מס' 2), התש""ף-2020")</f>
        <v>24783</v>
      </c>
      <c r="E12828" t="s">
        <v>24783</v>
      </c>
      <c r="F12828" t="s">
        <v>14</v>
      </c>
      <c r="G12828" t="s">
        <v>23242</v>
      </c>
      <c r="H12828" t="n">
        <v>2831</v>
      </c>
      <c r="I12828" t="s">
        <v>14</v>
      </c>
      <c r="J12828" t="s">
        <v>91</v>
      </c>
      <c r="K12828" t="s">
        <v>27</v>
      </c>
      <c r="L12828" t="s">
        <v>20</v>
      </c>
      <c r="M12828" t="s">
        <v>24775</v>
      </c>
      <c r="N12828" t="s">
        <v>24784</v>
      </c>
    </row>
    <row r="12829" x14ac:dyDescent="0.25">
      <c r="A12829" t="n">
        <v>23</v>
      </c>
      <c r="B12829" t="s">
        <v>14</v>
      </c>
      <c r="C12829" t="s">
        <v>15</v>
      </c>
      <c r="D12829" s="2" t="s">
        <f>=HYPERLINK("https://main.knesset.gov.il/APPS/legislation/main/bills/2140118", "חוק הארכת תקופות ודחיית מועדים בענייני הליכי מס ומענקי סיוע (נגיף הקורונה החדש – הוראת שעה – תיקוני חקיקה), התש""ף–2020 ")</f>
        <v>24785</v>
      </c>
      <c r="E12829" t="s">
        <v>24785</v>
      </c>
      <c r="F12829" t="s">
        <v>14</v>
      </c>
      <c r="G12829" t="s">
        <v>24786</v>
      </c>
      <c r="H12829" t="n">
        <v>2830</v>
      </c>
      <c r="I12829" t="s">
        <v>14</v>
      </c>
      <c r="J12829" t="s">
        <v>91</v>
      </c>
      <c r="K12829" t="s">
        <v>85</v>
      </c>
      <c r="L12829" t="s">
        <v>20</v>
      </c>
      <c r="M12829" t="s">
        <v>24775</v>
      </c>
      <c r="N12829" t="s">
        <v>24787</v>
      </c>
    </row>
    <row r="12830" x14ac:dyDescent="0.25">
      <c r="A12830" t="n">
        <v>23</v>
      </c>
      <c r="B12830" t="s">
        <v>14</v>
      </c>
      <c r="C12830" t="s">
        <v>22</v>
      </c>
      <c r="D12830" s="2" t="s">
        <f>=HYPERLINK("https://main.knesset.gov.il/APPS/legislation/main/bills/2140486", "הצעת חוק הפרטת תחנת גלי צה""ל, התש""ף-2020")</f>
        <v>24788</v>
      </c>
      <c r="E12830" t="s">
        <v>24788</v>
      </c>
      <c r="F12830" t="s">
        <v>24789</v>
      </c>
      <c r="G12830" t="s">
        <v>14</v>
      </c>
      <c r="H12830">
             </c>
      <c r="I12830" t="s">
        <v>14</v>
      </c>
      <c r="J12830" t="s">
        <v>141</v>
      </c>
      <c r="K12830" t="s">
        <v>14</v>
      </c>
      <c r="L12830" t="s">
        <v>20</v>
      </c>
      <c r="M12830" t="s">
        <v>24775</v>
      </c>
      <c r="N12830" t="s">
        <v>14</v>
      </c>
    </row>
    <row r="12831" x14ac:dyDescent="0.25">
      <c r="A12831" t="n">
        <v>23</v>
      </c>
      <c r="B12831" t="s">
        <v>14</v>
      </c>
      <c r="C12831" t="s">
        <v>22</v>
      </c>
      <c r="D12831" s="2" t="s">
        <f>=HYPERLINK("https://main.knesset.gov.il/APPS/legislation/main/bills/2140004", "הצעת חוק להסדרת המגורים בשטחי מרעה, התש""ף–2020")</f>
        <v>24790</v>
      </c>
      <c r="E12831" t="s">
        <v>24790</v>
      </c>
      <c r="F12831" t="s">
        <v>24791</v>
      </c>
      <c r="G12831" t="s">
        <v>14</v>
      </c>
      <c r="H12831">
             </c>
      <c r="I12831" t="s">
        <v>14</v>
      </c>
      <c r="J12831" t="s">
        <v>141</v>
      </c>
      <c r="K12831" t="s">
        <v>14</v>
      </c>
      <c r="L12831" t="s">
        <v>20</v>
      </c>
      <c r="M12831" t="s">
        <v>24775</v>
      </c>
      <c r="N12831" t="s">
        <v>14</v>
      </c>
    </row>
    <row r="12832" x14ac:dyDescent="0.25">
      <c r="A12832" t="n">
        <v>23</v>
      </c>
      <c r="B12832" t="s">
        <v>14</v>
      </c>
      <c r="C12832" t="s">
        <v>22</v>
      </c>
      <c r="D12832" s="2" t="s">
        <f>=HYPERLINK("https://main.knesset.gov.il/APPS/legislation/main/bills/2142260", "הצעת חוק רציפות הדיון בהצעות חוק (הוראת שעה - כנסת יוצאת וכנסת נכנסת שאינן ברציפות), התש""ף-2020")</f>
        <v>24792</v>
      </c>
      <c r="E12832" t="s">
        <v>24792</v>
      </c>
      <c r="F12832" t="s">
        <v>24793</v>
      </c>
      <c r="G12832" t="s">
        <v>14</v>
      </c>
      <c r="H12832">
             </c>
      <c r="I12832" t="s">
        <v>14</v>
      </c>
      <c r="J12832" t="s">
        <v>141</v>
      </c>
      <c r="K12832" t="s">
        <v>14</v>
      </c>
      <c r="L12832" t="s">
        <v>20</v>
      </c>
      <c r="M12832" t="s">
        <v>24775</v>
      </c>
      <c r="N12832" t="s">
        <v>14</v>
      </c>
    </row>
    <row r="12833" x14ac:dyDescent="0.25">
      <c r="A12833" t="n">
        <v>23</v>
      </c>
      <c r="B12833" t="s">
        <v>14</v>
      </c>
      <c r="C12833" t="s">
        <v>22</v>
      </c>
      <c r="D12833" s="2" t="s">
        <f>=HYPERLINK("https://main.knesset.gov.il/APPS/legislation/main/bills/2139834", "הצעת חוק הביטוח הלאומי (תיקון - הארכת תקופת הזכאות לדמי אבטלה לשכיר שהחל לעבוד כעצמאי ועסקו נסגר), התש""ף-2020")</f>
        <v>24794</v>
      </c>
      <c r="E12833" t="s">
        <v>24794</v>
      </c>
      <c r="F12833" t="s">
        <v>24795</v>
      </c>
      <c r="G12833" t="s">
        <v>14</v>
      </c>
      <c r="H12833">
             </c>
      <c r="I12833" t="s">
        <v>14</v>
      </c>
      <c r="J12833" t="s">
        <v>141</v>
      </c>
      <c r="K12833" t="s">
        <v>14</v>
      </c>
      <c r="L12833" t="s">
        <v>20</v>
      </c>
      <c r="M12833" t="s">
        <v>24775</v>
      </c>
      <c r="N12833" t="s">
        <v>14</v>
      </c>
    </row>
    <row r="12834" x14ac:dyDescent="0.25">
      <c r="A12834" t="n">
        <v>23</v>
      </c>
      <c r="B12834" t="s">
        <v>14</v>
      </c>
      <c r="C12834" t="s">
        <v>22</v>
      </c>
      <c r="D12834" s="2" t="s">
        <f>=HYPERLINK("https://main.knesset.gov.il/APPS/legislation/main/bills/2141765", "הצעת חוק הסדרת העיסוק במקצועות הבריאות (תיקון - מתן תעודה במקצועות הבריאות לבעלי הכשרה מקצועית), התש""ף-2020")</f>
        <v>24796</v>
      </c>
      <c r="E12834" t="s">
        <v>24796</v>
      </c>
      <c r="F12834" t="s">
        <v>24797</v>
      </c>
      <c r="G12834" t="s">
        <v>14</v>
      </c>
      <c r="H12834">
             </c>
      <c r="I12834" t="s">
        <v>14</v>
      </c>
      <c r="J12834" t="s">
        <v>343</v>
      </c>
      <c r="K12834" t="s">
        <v>14</v>
      </c>
      <c r="L12834" t="s">
        <v>20</v>
      </c>
      <c r="M12834" t="s">
        <v>24775</v>
      </c>
      <c r="N12834" t="s">
        <v>14</v>
      </c>
    </row>
    <row r="12835" x14ac:dyDescent="0.25">
      <c r="A12835" t="n">
        <v>23</v>
      </c>
      <c r="B12835" t="s">
        <v>14</v>
      </c>
      <c r="C12835" t="s">
        <v>22</v>
      </c>
      <c r="D12835" s="2" t="s">
        <f>=HYPERLINK("https://main.knesset.gov.il/APPS/legislation/main/bills/2140529", "הצעת חוק לתיקון פקודת הרופאים (רופא שהורשע בעבירת מין), התש""ף-2020")</f>
        <v>24798</v>
      </c>
      <c r="E12835" t="s">
        <v>24798</v>
      </c>
      <c r="F12835" t="s">
        <v>24799</v>
      </c>
      <c r="G12835" t="s">
        <v>14</v>
      </c>
      <c r="H12835">
             </c>
      <c r="I12835" t="s">
        <v>14</v>
      </c>
      <c r="J12835" t="s">
        <v>141</v>
      </c>
      <c r="K12835" t="s">
        <v>14</v>
      </c>
      <c r="L12835" t="s">
        <v>20</v>
      </c>
      <c r="M12835" t="s">
        <v>24775</v>
      </c>
      <c r="N12835" t="s">
        <v>14</v>
      </c>
    </row>
    <row r="12836" x14ac:dyDescent="0.25">
      <c r="A12836" t="n">
        <v>23</v>
      </c>
      <c r="B12836" t="s">
        <v>14</v>
      </c>
      <c r="C12836" t="s">
        <v>22</v>
      </c>
      <c r="D12836" s="2" t="s">
        <f>=HYPERLINK("https://main.knesset.gov.il/APPS/legislation/main/bills/2088540", "הצעת חוק הביטוח הלאומי (תיקון - זכאות לדמי אבטלה מגיל 19), התש""ף-2020")</f>
        <v>24800</v>
      </c>
      <c r="E12836" t="s">
        <v>24800</v>
      </c>
      <c r="F12836" t="s">
        <v>24801</v>
      </c>
      <c r="G12836" t="s">
        <v>14</v>
      </c>
      <c r="H12836">
             </c>
      <c r="I12836" t="s">
        <v>14</v>
      </c>
      <c r="J12836" t="s">
        <v>141</v>
      </c>
      <c r="K12836" t="s">
        <v>14</v>
      </c>
      <c r="L12836" t="s">
        <v>20</v>
      </c>
      <c r="M12836" t="s">
        <v>24775</v>
      </c>
      <c r="N12836" t="s">
        <v>14</v>
      </c>
    </row>
    <row r="12837" x14ac:dyDescent="0.25">
      <c r="A12837" t="n">
        <v>23</v>
      </c>
      <c r="B12837" t="s">
        <v>14</v>
      </c>
      <c r="C12837" t="s">
        <v>22</v>
      </c>
      <c r="D12837" s="2" t="s">
        <f>=HYPERLINK("https://main.knesset.gov.il/APPS/legislation/main/bills/2141584", "הצעת חוק הבטחת הכנסה (תיקון - הגדלת הסכום להשתכרות בנוסף לקיצבה), התש""ף-2020")</f>
        <v>24802</v>
      </c>
      <c r="E12837" t="s">
        <v>24802</v>
      </c>
      <c r="F12837" t="s">
        <v>24803</v>
      </c>
      <c r="G12837" t="s">
        <v>14</v>
      </c>
      <c r="H12837">
             </c>
      <c r="I12837" t="s">
        <v>14</v>
      </c>
      <c r="J12837" t="s">
        <v>141</v>
      </c>
      <c r="K12837" t="s">
        <v>14</v>
      </c>
      <c r="L12837" t="s">
        <v>20</v>
      </c>
      <c r="M12837" t="s">
        <v>24775</v>
      </c>
      <c r="N12837" t="s">
        <v>14</v>
      </c>
    </row>
    <row r="12838" x14ac:dyDescent="0.25">
      <c r="A12838" t="n">
        <v>23</v>
      </c>
      <c r="B12838" t="s">
        <v>14</v>
      </c>
      <c r="C12838" t="s">
        <v>22</v>
      </c>
      <c r="D12838" s="2" t="s">
        <f>=HYPERLINK("https://main.knesset.gov.il/APPS/legislation/main/bills/2141725", "הצעת חוק הביטוח הלאומי (תיקון - דמי אבטלה למשרתים בשירות לאומי-אזרחי), התש""ף-2020")</f>
        <v>24804</v>
      </c>
      <c r="E12838" t="s">
        <v>24804</v>
      </c>
      <c r="F12838" t="s">
        <v>24805</v>
      </c>
      <c r="G12838" t="s">
        <v>14</v>
      </c>
      <c r="H12838">
             </c>
      <c r="I12838" t="s">
        <v>14</v>
      </c>
      <c r="J12838" t="s">
        <v>141</v>
      </c>
      <c r="K12838" t="s">
        <v>14</v>
      </c>
      <c r="L12838" t="s">
        <v>20</v>
      </c>
      <c r="M12838" t="s">
        <v>24775</v>
      </c>
      <c r="N12838" t="s">
        <v>14</v>
      </c>
    </row>
    <row r="12839" x14ac:dyDescent="0.25">
      <c r="A12839" t="n">
        <v>23</v>
      </c>
      <c r="B12839" t="s">
        <v>14</v>
      </c>
      <c r="C12839" t="s">
        <v>22</v>
      </c>
      <c r="D12839" s="2" t="s">
        <f>=HYPERLINK("https://main.knesset.gov.il/APPS/legislation/main/bills/2142281", "הצעת חוק הרשויות המקומיות (דירות מקלט), התש""ף-2020")</f>
        <v>24806</v>
      </c>
      <c r="E12839" t="s">
        <v>24806</v>
      </c>
      <c r="F12839" t="s">
        <v>24807</v>
      </c>
      <c r="G12839" t="s">
        <v>14</v>
      </c>
      <c r="H12839">
             </c>
      <c r="I12839" t="s">
        <v>14</v>
      </c>
      <c r="J12839" t="s">
        <v>141</v>
      </c>
      <c r="K12839" t="s">
        <v>14</v>
      </c>
      <c r="L12839" t="s">
        <v>20</v>
      </c>
      <c r="M12839" t="s">
        <v>24775</v>
      </c>
      <c r="N12839" t="s">
        <v>14</v>
      </c>
    </row>
    <row r="12840" x14ac:dyDescent="0.25">
      <c r="A12840" t="n">
        <v>23</v>
      </c>
      <c r="B12840" t="s">
        <v>14</v>
      </c>
      <c r="C12840" t="s">
        <v>22</v>
      </c>
      <c r="D12840" s="2" t="s">
        <f>=HYPERLINK("https://main.knesset.gov.il/APPS/legislation/main/bills/2141826", "הצעת חוק הביטוח הלאומי (תיקון - דמי מחלה לעובד עצמאי), התש""ף-2020")</f>
        <v>24158</v>
      </c>
      <c r="E12840" t="s">
        <v>24158</v>
      </c>
      <c r="F12840" t="s">
        <v>24808</v>
      </c>
      <c r="G12840" t="s">
        <v>14</v>
      </c>
      <c r="H12840">
             </c>
      <c r="I12840" t="s">
        <v>14</v>
      </c>
      <c r="J12840" t="s">
        <v>141</v>
      </c>
      <c r="K12840" t="s">
        <v>14</v>
      </c>
      <c r="L12840" t="s">
        <v>20</v>
      </c>
      <c r="M12840" t="s">
        <v>24775</v>
      </c>
      <c r="N12840" t="s">
        <v>14</v>
      </c>
    </row>
    <row r="12841" x14ac:dyDescent="0.25">
      <c r="A12841" t="n">
        <v>23</v>
      </c>
      <c r="B12841" t="s">
        <v>14</v>
      </c>
      <c r="C12841" t="s">
        <v>22</v>
      </c>
      <c r="D12841" s="2" t="s">
        <f>=HYPERLINK("https://main.knesset.gov.il/APPS/legislation/main/bills/2141726", "הצעת חוק הרשויות המקומיות (הגבלת הזכות להיבחר) (תיקון - חזרת עובד רשות לעבודתו לאחר שהתמודד לראשות המועצה), התש""ף-2020")</f>
        <v>24809</v>
      </c>
      <c r="E12841" t="s">
        <v>24809</v>
      </c>
      <c r="F12841" t="s">
        <v>24810</v>
      </c>
      <c r="G12841" t="s">
        <v>14</v>
      </c>
      <c r="H12841">
             </c>
      <c r="I12841" t="s">
        <v>14</v>
      </c>
      <c r="J12841" t="s">
        <v>141</v>
      </c>
      <c r="K12841" t="s">
        <v>14</v>
      </c>
      <c r="L12841" t="s">
        <v>20</v>
      </c>
      <c r="M12841" t="s">
        <v>24775</v>
      </c>
      <c r="N12841" t="s">
        <v>14</v>
      </c>
    </row>
    <row r="12842" x14ac:dyDescent="0.25">
      <c r="A12842" t="n">
        <v>23</v>
      </c>
      <c r="B12842" t="s">
        <v>14</v>
      </c>
      <c r="C12842" t="s">
        <v>22</v>
      </c>
      <c r="D12842" s="2" t="s">
        <f>=HYPERLINK("https://main.knesset.gov.il/APPS/legislation/main/bills/2140224", "הצעת חוק המים (תיקון - שקיפות פעילות הרשות הממשלתית), התש""ף-2020")</f>
        <v>24811</v>
      </c>
      <c r="E12842" t="s">
        <v>24811</v>
      </c>
      <c r="F12842" t="s">
        <v>24812</v>
      </c>
      <c r="G12842" t="s">
        <v>14</v>
      </c>
      <c r="H12842">
             </c>
      <c r="I12842" t="s">
        <v>14</v>
      </c>
      <c r="J12842" t="s">
        <v>141</v>
      </c>
      <c r="K12842" t="s">
        <v>14</v>
      </c>
      <c r="L12842" t="s">
        <v>20</v>
      </c>
      <c r="M12842" t="s">
        <v>24775</v>
      </c>
      <c r="N12842" t="s">
        <v>14</v>
      </c>
    </row>
    <row r="12843" x14ac:dyDescent="0.25">
      <c r="A12843" t="n">
        <v>23</v>
      </c>
      <c r="B12843" t="s">
        <v>14</v>
      </c>
      <c r="C12843" t="s">
        <v>22</v>
      </c>
      <c r="D12843" s="2" t="s">
        <f>=HYPERLINK("https://main.knesset.gov.il/APPS/legislation/main/bills/2140013", "הצעת חוק התקשורת (בזק ושידורים) (תיקון - שיחה למוקדי חירום), התש""ף-2020")</f>
        <v>24813</v>
      </c>
      <c r="E12843" t="s">
        <v>24813</v>
      </c>
      <c r="F12843" t="s">
        <v>24814</v>
      </c>
      <c r="G12843" t="s">
        <v>14</v>
      </c>
      <c r="H12843">
             </c>
      <c r="I12843" t="s">
        <v>14</v>
      </c>
      <c r="J12843" t="s">
        <v>141</v>
      </c>
      <c r="K12843" t="s">
        <v>14</v>
      </c>
      <c r="L12843" t="s">
        <v>20</v>
      </c>
      <c r="M12843" t="s">
        <v>24775</v>
      </c>
      <c r="N12843" t="s">
        <v>14</v>
      </c>
    </row>
    <row r="12844" x14ac:dyDescent="0.25">
      <c r="A12844" t="n">
        <v>23</v>
      </c>
      <c r="B12844" t="s">
        <v>14</v>
      </c>
      <c r="C12844" t="s">
        <v>22</v>
      </c>
      <c r="D12844" s="2" t="s">
        <f>=HYPERLINK("https://main.knesset.gov.il/APPS/legislation/main/bills/2140848", "הצעת חוק הדיינים (תיקון - מינוי דיין עמית בבית הדין הרבני הגדול), התש""ף-2020")</f>
        <v>24815</v>
      </c>
      <c r="E12844" t="s">
        <v>24815</v>
      </c>
      <c r="F12844" t="s">
        <v>24816</v>
      </c>
      <c r="G12844" t="s">
        <v>14</v>
      </c>
      <c r="H12844">
             </c>
      <c r="I12844" t="s">
        <v>14</v>
      </c>
      <c r="J12844" t="s">
        <v>141</v>
      </c>
      <c r="K12844" t="s">
        <v>14</v>
      </c>
      <c r="L12844" t="s">
        <v>20</v>
      </c>
      <c r="M12844" t="s">
        <v>24775</v>
      </c>
      <c r="N12844" t="s">
        <v>14</v>
      </c>
    </row>
    <row r="12845" x14ac:dyDescent="0.25">
      <c r="A12845" t="n">
        <v>23</v>
      </c>
      <c r="B12845" t="s">
        <v>14</v>
      </c>
      <c r="C12845" t="s">
        <v>22</v>
      </c>
      <c r="D12845" s="2" t="s">
        <f>=HYPERLINK("https://main.knesset.gov.il/APPS/legislation/main/bills/2141194", "הצעת חוק שופט עמית ודיין עמית (תיקוני חקיקה), התש""ף-2020")</f>
        <v>24817</v>
      </c>
      <c r="E12845" t="s">
        <v>24817</v>
      </c>
      <c r="F12845" t="s">
        <v>24818</v>
      </c>
      <c r="G12845" t="s">
        <v>14</v>
      </c>
      <c r="H12845">
             </c>
      <c r="I12845" t="s">
        <v>14</v>
      </c>
      <c r="J12845" t="s">
        <v>141</v>
      </c>
      <c r="K12845" t="s">
        <v>14</v>
      </c>
      <c r="L12845" t="s">
        <v>20</v>
      </c>
      <c r="M12845" t="s">
        <v>24775</v>
      </c>
      <c r="N12845" t="s">
        <v>14</v>
      </c>
    </row>
    <row r="12846" x14ac:dyDescent="0.25">
      <c r="A12846" t="n">
        <v>23</v>
      </c>
      <c r="B12846" t="s">
        <v>14</v>
      </c>
      <c r="C12846" t="s">
        <v>22</v>
      </c>
      <c r="D12846" s="2" t="s">
        <f>=HYPERLINK("https://main.knesset.gov.il/APPS/legislation/main/bills/2141054", "הצעת חוק להגדלת שיעור ההשתתפות בכוח העבודה ולצמצום פערים חברתיים (מס הכנסה שלילי) (תיקון - מענק לעובד בשל טיפולי הפריה ופריון), התש""ף-2020")</f>
        <v>24819</v>
      </c>
      <c r="E12846" t="s">
        <v>24819</v>
      </c>
      <c r="F12846" t="s">
        <v>24820</v>
      </c>
      <c r="G12846" t="s">
        <v>14</v>
      </c>
      <c r="H12846">
             </c>
      <c r="I12846" t="s">
        <v>14</v>
      </c>
      <c r="J12846" t="s">
        <v>141</v>
      </c>
      <c r="K12846" t="s">
        <v>14</v>
      </c>
      <c r="L12846" t="s">
        <v>20</v>
      </c>
      <c r="M12846" t="s">
        <v>24775</v>
      </c>
      <c r="N12846" t="s">
        <v>14</v>
      </c>
    </row>
    <row r="12847" x14ac:dyDescent="0.25">
      <c r="A12847" t="n">
        <v>23</v>
      </c>
      <c r="B12847" t="s">
        <v>14</v>
      </c>
      <c r="C12847" t="s">
        <v>22</v>
      </c>
      <c r="D12847" s="2" t="s">
        <f>=HYPERLINK("https://main.knesset.gov.il/APPS/legislation/main/bills/2088424", "הצעת חוק מס ערך מוסף (תיקון - מס בשיעור אפס על ספרי לימוד), התש""ף-2020")</f>
        <v>24821</v>
      </c>
      <c r="E12847" t="s">
        <v>24821</v>
      </c>
      <c r="F12847" t="s">
        <v>24822</v>
      </c>
      <c r="G12847" t="s">
        <v>14</v>
      </c>
      <c r="H12847">
             </c>
      <c r="I12847" t="s">
        <v>14</v>
      </c>
      <c r="J12847" t="s">
        <v>141</v>
      </c>
      <c r="K12847" t="s">
        <v>14</v>
      </c>
      <c r="L12847" t="s">
        <v>20</v>
      </c>
      <c r="M12847" t="s">
        <v>24775</v>
      </c>
      <c r="N12847" t="s">
        <v>14</v>
      </c>
    </row>
    <row r="12848" x14ac:dyDescent="0.25">
      <c r="A12848" t="n">
        <v>23</v>
      </c>
      <c r="B12848" t="s">
        <v>14</v>
      </c>
      <c r="C12848" t="s">
        <v>22</v>
      </c>
      <c r="D12848" s="2" t="s">
        <f>=HYPERLINK("https://main.knesset.gov.il/APPS/legislation/main/bills/2140267", "הצעת חוק שיפוט בתי דין רבניים (נישואין וגירושין) (תיקון - סמכות שיפוט בהסכמה בעניין אזרחי), התש""ף-2020")</f>
        <v>24823</v>
      </c>
      <c r="E12848" t="s">
        <v>24823</v>
      </c>
      <c r="F12848" t="s">
        <v>24824</v>
      </c>
      <c r="G12848" t="s">
        <v>14</v>
      </c>
      <c r="H12848">
             </c>
      <c r="I12848" t="s">
        <v>14</v>
      </c>
      <c r="J12848" t="s">
        <v>141</v>
      </c>
      <c r="K12848" t="s">
        <v>14</v>
      </c>
      <c r="L12848" t="s">
        <v>20</v>
      </c>
      <c r="M12848" t="s">
        <v>24775</v>
      </c>
      <c r="N12848" t="s">
        <v>14</v>
      </c>
    </row>
    <row r="12849" x14ac:dyDescent="0.25">
      <c r="A12849" t="n">
        <v>23</v>
      </c>
      <c r="B12849" t="s">
        <v>14</v>
      </c>
      <c r="C12849" t="s">
        <v>22</v>
      </c>
      <c r="D12849" s="2" t="s">
        <f>=HYPERLINK("https://main.knesset.gov.il/APPS/legislation/main/bills/2141998", "הצעת חוק איסור פרסום והפצת שמות נפגעים, התש""ף-2020")</f>
        <v>24825</v>
      </c>
      <c r="E12849" t="s">
        <v>24825</v>
      </c>
      <c r="F12849" t="s">
        <v>24826</v>
      </c>
      <c r="G12849" t="s">
        <v>14</v>
      </c>
      <c r="H12849">
             </c>
      <c r="I12849" t="s">
        <v>14</v>
      </c>
      <c r="J12849" t="s">
        <v>141</v>
      </c>
      <c r="K12849" t="s">
        <v>14</v>
      </c>
      <c r="L12849" t="s">
        <v>20</v>
      </c>
      <c r="M12849" t="s">
        <v>24775</v>
      </c>
      <c r="N12849" t="s">
        <v>14</v>
      </c>
    </row>
    <row r="12850" x14ac:dyDescent="0.25">
      <c r="A12850" t="n">
        <v>23</v>
      </c>
      <c r="B12850" t="s">
        <v>14</v>
      </c>
      <c r="C12850" t="s">
        <v>22</v>
      </c>
      <c r="D12850" s="2" t="s">
        <f>=HYPERLINK("https://main.knesset.gov.il/APPS/legislation/main/bills/2142234", "הצעת חוק בתי המשפט (תיקון - חובת ביקור שופט בבתי סוהר), התש""ף-2020")</f>
        <v>24827</v>
      </c>
      <c r="E12850" t="s">
        <v>24827</v>
      </c>
      <c r="F12850" t="s">
        <v>24828</v>
      </c>
      <c r="G12850" t="s">
        <v>14</v>
      </c>
      <c r="H12850">
             </c>
      <c r="I12850" t="s">
        <v>14</v>
      </c>
      <c r="J12850" t="s">
        <v>141</v>
      </c>
      <c r="K12850" t="s">
        <v>14</v>
      </c>
      <c r="L12850" t="s">
        <v>20</v>
      </c>
      <c r="M12850" t="s">
        <v>24775</v>
      </c>
      <c r="N12850" t="s">
        <v>14</v>
      </c>
    </row>
    <row r="12851" x14ac:dyDescent="0.25">
      <c r="A12851" t="n">
        <v>23</v>
      </c>
      <c r="B12851" t="s">
        <v>14</v>
      </c>
      <c r="C12851" t="s">
        <v>22</v>
      </c>
      <c r="D12851" s="2" t="s">
        <f>=HYPERLINK("https://main.knesset.gov.il/APPS/legislation/main/bills/2139776", "הצעת חוק עידוד שירות צבאי, לאומי או לאומי-אזרחי, התש""ף-2020")</f>
        <v>24829</v>
      </c>
      <c r="E12851" t="s">
        <v>24829</v>
      </c>
      <c r="F12851" t="s">
        <v>24830</v>
      </c>
      <c r="G12851" t="s">
        <v>14</v>
      </c>
      <c r="H12851">
             </c>
      <c r="I12851" t="s">
        <v>14</v>
      </c>
      <c r="J12851" t="s">
        <v>141</v>
      </c>
      <c r="K12851" t="s">
        <v>14</v>
      </c>
      <c r="L12851" t="s">
        <v>20</v>
      </c>
      <c r="M12851" t="s">
        <v>24775</v>
      </c>
      <c r="N12851" t="s">
        <v>14</v>
      </c>
    </row>
    <row r="12852" x14ac:dyDescent="0.25">
      <c r="A12852" t="n">
        <v>23</v>
      </c>
      <c r="B12852" t="s">
        <v>14</v>
      </c>
      <c r="C12852" t="s">
        <v>22</v>
      </c>
      <c r="D12852" s="2" t="s">
        <f>=HYPERLINK("https://main.knesset.gov.il/APPS/legislation/main/bills/2141041", "הצעת חוק איסור לשון הרע (תיקון - השתייכות חברתית), התש""ף-2020")</f>
        <v>24831</v>
      </c>
      <c r="E12852" t="s">
        <v>24831</v>
      </c>
      <c r="F12852" t="s">
        <v>24832</v>
      </c>
      <c r="G12852" t="s">
        <v>14</v>
      </c>
      <c r="H12852">
             </c>
      <c r="I12852" t="s">
        <v>14</v>
      </c>
      <c r="J12852" t="s">
        <v>141</v>
      </c>
      <c r="K12852" t="s">
        <v>14</v>
      </c>
      <c r="L12852" t="s">
        <v>20</v>
      </c>
      <c r="M12852" t="s">
        <v>24775</v>
      </c>
      <c r="N12852" t="s">
        <v>14</v>
      </c>
    </row>
    <row r="12853" x14ac:dyDescent="0.25">
      <c r="A12853" t="n">
        <v>23</v>
      </c>
      <c r="B12853" t="s">
        <v>14</v>
      </c>
      <c r="C12853" t="s">
        <v>22</v>
      </c>
      <c r="D12853" s="2" t="s">
        <f>=HYPERLINK("https://main.knesset.gov.il/APPS/legislation/main/bills/2140256", "הצעת חוק שיפוט בתי דין דתיים (בוררות), התש""ף-2020")</f>
        <v>24349</v>
      </c>
      <c r="E12853" t="s">
        <v>24349</v>
      </c>
      <c r="F12853" t="s">
        <v>24833</v>
      </c>
      <c r="G12853" t="s">
        <v>14</v>
      </c>
      <c r="H12853">
             </c>
      <c r="I12853" t="s">
        <v>14</v>
      </c>
      <c r="J12853" t="s">
        <v>141</v>
      </c>
      <c r="K12853" t="s">
        <v>14</v>
      </c>
      <c r="L12853" t="s">
        <v>20</v>
      </c>
      <c r="M12853" t="s">
        <v>24775</v>
      </c>
      <c r="N12853" t="s">
        <v>14</v>
      </c>
    </row>
    <row r="12854" x14ac:dyDescent="0.25">
      <c r="A12854" t="n">
        <v>23</v>
      </c>
      <c r="B12854" t="s">
        <v>14</v>
      </c>
      <c r="C12854" t="s">
        <v>22</v>
      </c>
      <c r="D12854" s="2" t="s">
        <f>=HYPERLINK("https://main.knesset.gov.il/APPS/legislation/main/bills/2088409", "הצעת חוק ההוצאה לפועל (תיקון - ביטול הגבלת רישיון נהיגה), התש""ף-2020")</f>
        <v>23912</v>
      </c>
      <c r="E12854" t="s">
        <v>23912</v>
      </c>
      <c r="F12854" t="s">
        <v>24834</v>
      </c>
      <c r="G12854" t="s">
        <v>14</v>
      </c>
      <c r="H12854">
             </c>
      <c r="I12854" t="s">
        <v>14</v>
      </c>
      <c r="J12854" t="s">
        <v>141</v>
      </c>
      <c r="K12854" t="s">
        <v>14</v>
      </c>
      <c r="L12854" t="s">
        <v>20</v>
      </c>
      <c r="M12854" t="s">
        <v>24775</v>
      </c>
      <c r="N12854" t="s">
        <v>14</v>
      </c>
    </row>
    <row r="12855" x14ac:dyDescent="0.25">
      <c r="A12855" t="n">
        <v>23</v>
      </c>
      <c r="B12855" t="s">
        <v>14</v>
      </c>
      <c r="C12855" t="s">
        <v>22</v>
      </c>
      <c r="D12855" s="2" t="s">
        <f>=HYPERLINK("https://main.knesset.gov.il/APPS/legislation/main/bills/2141837", "הצעת חוק-יסוד: משאל עם - שוויון בנישואין וגירושין")</f>
        <v>22347</v>
      </c>
      <c r="E12855" t="s">
        <v>22347</v>
      </c>
      <c r="F12855" t="s">
        <v>24835</v>
      </c>
      <c r="G12855" t="s">
        <v>14</v>
      </c>
      <c r="H12855">
             </c>
      <c r="I12855" t="s">
        <v>14</v>
      </c>
      <c r="J12855" t="s">
        <v>141</v>
      </c>
      <c r="K12855" t="s">
        <v>14</v>
      </c>
      <c r="L12855" t="s">
        <v>20</v>
      </c>
      <c r="M12855" t="s">
        <v>24775</v>
      </c>
      <c r="N12855" t="s">
        <v>14</v>
      </c>
    </row>
    <row r="12856" x14ac:dyDescent="0.25">
      <c r="A12856" t="n">
        <v>23</v>
      </c>
      <c r="B12856" t="s">
        <v>14</v>
      </c>
      <c r="C12856" t="s">
        <v>22</v>
      </c>
      <c r="D12856" s="2" t="s">
        <f>=HYPERLINK("https://main.knesset.gov.il/APPS/legislation/main/bills/2141830", "הצעת חוק-יסוד: השפיטה (תיקון - הגנה על סמכויות בית המשפט העליון)")</f>
        <v>24836</v>
      </c>
      <c r="E12856" t="s">
        <v>24836</v>
      </c>
      <c r="F12856" t="s">
        <v>24837</v>
      </c>
      <c r="G12856" t="s">
        <v>14</v>
      </c>
      <c r="H12856">
             </c>
      <c r="I12856" t="s">
        <v>14</v>
      </c>
      <c r="J12856" t="s">
        <v>141</v>
      </c>
      <c r="K12856" t="s">
        <v>14</v>
      </c>
      <c r="L12856" t="s">
        <v>20</v>
      </c>
      <c r="M12856" t="s">
        <v>24775</v>
      </c>
      <c r="N12856" t="s">
        <v>14</v>
      </c>
    </row>
    <row r="12857" x14ac:dyDescent="0.25">
      <c r="A12857" t="n">
        <v>23</v>
      </c>
      <c r="B12857" t="s">
        <v>14</v>
      </c>
      <c r="C12857" t="s">
        <v>22</v>
      </c>
      <c r="D12857" s="2" t="s">
        <f>=HYPERLINK("https://main.knesset.gov.il/APPS/legislation/main/bills/2141827", "הצעת חוק שיפוט בעניני התרת נישואין (מקרים מיוחדים וסמכות בין-לאומית) (תיקון - התרת נישואין אזרחיים), התש""ף-2020")</f>
        <v>24838</v>
      </c>
      <c r="E12857" t="s">
        <v>24838</v>
      </c>
      <c r="F12857" t="s">
        <v>24839</v>
      </c>
      <c r="G12857" t="s">
        <v>14</v>
      </c>
      <c r="H12857">
             </c>
      <c r="I12857" t="s">
        <v>14</v>
      </c>
      <c r="J12857" t="s">
        <v>141</v>
      </c>
      <c r="K12857" t="s">
        <v>14</v>
      </c>
      <c r="L12857" t="s">
        <v>20</v>
      </c>
      <c r="M12857" t="s">
        <v>24775</v>
      </c>
      <c r="N12857" t="s">
        <v>14</v>
      </c>
    </row>
    <row r="12858" x14ac:dyDescent="0.25">
      <c r="A12858" t="n">
        <v>23</v>
      </c>
      <c r="B12858" t="s">
        <v>14</v>
      </c>
      <c r="C12858" t="s">
        <v>22</v>
      </c>
      <c r="D12858" s="2" t="s">
        <f>=HYPERLINK("https://main.knesset.gov.il/APPS/legislation/main/bills/2088412", "הצעת חוק החברות (תיקון - ייצוג הולם של בני שני המינים והאוכלוסייה הערבית במינוי דירקטור חיצוני), התש""ף-2020")</f>
        <v>24840</v>
      </c>
      <c r="E12858" t="s">
        <v>24840</v>
      </c>
      <c r="F12858" t="s">
        <v>24841</v>
      </c>
      <c r="G12858" t="s">
        <v>14</v>
      </c>
      <c r="H12858">
             </c>
      <c r="I12858" t="s">
        <v>14</v>
      </c>
      <c r="J12858" t="s">
        <v>141</v>
      </c>
      <c r="K12858" t="s">
        <v>14</v>
      </c>
      <c r="L12858" t="s">
        <v>20</v>
      </c>
      <c r="M12858" t="s">
        <v>24775</v>
      </c>
      <c r="N12858" t="s">
        <v>14</v>
      </c>
    </row>
    <row r="12859" x14ac:dyDescent="0.25">
      <c r="A12859" t="n">
        <v>23</v>
      </c>
      <c r="B12859" t="s">
        <v>14</v>
      </c>
      <c r="C12859" t="s">
        <v>22</v>
      </c>
      <c r="D12859" s="2" t="s">
        <f>=HYPERLINK("https://main.knesset.gov.il/APPS/legislation/main/bills/2088411", "הצעת חוק חובת המכרזים (תיקון - ייצוג הולם לאוכלוסייה הערבית), התש""ף-2020")</f>
        <v>24842</v>
      </c>
      <c r="E12859" t="s">
        <v>24842</v>
      </c>
      <c r="F12859" t="s">
        <v>24843</v>
      </c>
      <c r="G12859" t="s">
        <v>14</v>
      </c>
      <c r="H12859">
             </c>
      <c r="I12859" t="s">
        <v>14</v>
      </c>
      <c r="J12859" t="s">
        <v>141</v>
      </c>
      <c r="K12859" t="s">
        <v>14</v>
      </c>
      <c r="L12859" t="s">
        <v>20</v>
      </c>
      <c r="M12859" t="s">
        <v>24775</v>
      </c>
      <c r="N12859" t="s">
        <v>14</v>
      </c>
    </row>
    <row r="12860" x14ac:dyDescent="0.25">
      <c r="A12860" t="n">
        <v>23</v>
      </c>
      <c r="B12860" t="s">
        <v>14</v>
      </c>
      <c r="C12860" t="s">
        <v>22</v>
      </c>
      <c r="D12860" s="2" t="s">
        <f>=HYPERLINK("https://main.knesset.gov.il/APPS/legislation/main/bills/2140849", "הצעת חוק שיפוט בתי דין דתיים (בוררות), התש""ף-2020")</f>
        <v>24349</v>
      </c>
      <c r="E12860" t="s">
        <v>24349</v>
      </c>
      <c r="F12860" t="s">
        <v>24844</v>
      </c>
      <c r="G12860" t="s">
        <v>14</v>
      </c>
      <c r="H12860">
             </c>
      <c r="I12860" t="s">
        <v>14</v>
      </c>
      <c r="J12860" t="s">
        <v>141</v>
      </c>
      <c r="K12860" t="s">
        <v>14</v>
      </c>
      <c r="L12860" t="s">
        <v>20</v>
      </c>
      <c r="M12860" t="s">
        <v>24775</v>
      </c>
      <c r="N12860" t="s">
        <v>14</v>
      </c>
    </row>
    <row r="12861" x14ac:dyDescent="0.25">
      <c r="A12861" t="n">
        <v>23</v>
      </c>
      <c r="B12861" t="s">
        <v>14</v>
      </c>
      <c r="C12861" t="s">
        <v>22</v>
      </c>
      <c r="D12861" s="2" t="s">
        <f>=HYPERLINK("https://main.knesset.gov.il/APPS/legislation/main/bills/2140877", "הצעת חוק הממשלה (תיקון - פרסום פרוטוקול ישיבות הממשלה), התש""ף-2020")</f>
        <v>24845</v>
      </c>
      <c r="E12861" t="s">
        <v>24845</v>
      </c>
      <c r="F12861" t="s">
        <v>24846</v>
      </c>
      <c r="G12861" t="s">
        <v>14</v>
      </c>
      <c r="H12861">
             </c>
      <c r="I12861" t="s">
        <v>14</v>
      </c>
      <c r="J12861" t="s">
        <v>141</v>
      </c>
      <c r="K12861" t="s">
        <v>14</v>
      </c>
      <c r="L12861" t="s">
        <v>20</v>
      </c>
      <c r="M12861" t="s">
        <v>24775</v>
      </c>
      <c r="N12861" t="s">
        <v>14</v>
      </c>
    </row>
    <row r="12862" x14ac:dyDescent="0.25">
      <c r="A12862" t="n">
        <v>23</v>
      </c>
      <c r="B12862" t="s">
        <v>14</v>
      </c>
      <c r="C12862" t="s">
        <v>22</v>
      </c>
      <c r="D12862" s="2" t="s">
        <f>=HYPERLINK("https://main.knesset.gov.il/APPS/legislation/main/bills/2087572", "הצעת חוק איסור הפרטת שיקול דעת שלטוני (הסדרת מעמדה של החטיבה להתיישבות), התש""ף-2020")</f>
        <v>24847</v>
      </c>
      <c r="E12862" t="s">
        <v>24847</v>
      </c>
      <c r="F12862" t="s">
        <v>24848</v>
      </c>
      <c r="G12862" t="s">
        <v>14</v>
      </c>
      <c r="H12862">
             </c>
      <c r="I12862" t="s">
        <v>14</v>
      </c>
      <c r="J12862" t="s">
        <v>141</v>
      </c>
      <c r="K12862" t="s">
        <v>14</v>
      </c>
      <c r="L12862" t="s">
        <v>20</v>
      </c>
      <c r="M12862" t="s">
        <v>24775</v>
      </c>
      <c r="N12862" t="s">
        <v>14</v>
      </c>
    </row>
    <row r="12863" x14ac:dyDescent="0.25">
      <c r="A12863" t="n">
        <v>23</v>
      </c>
      <c r="B12863" t="s">
        <v>14</v>
      </c>
      <c r="C12863" t="s">
        <v>22</v>
      </c>
      <c r="D12863" s="2" t="s">
        <f>=HYPERLINK("https://main.knesset.gov.il/APPS/legislation/main/bills/2087596", "הצעת חוק לשכת עורכי הדין (תיקון - קורס הכנה למבחני הלשכה), התש""ף-2020")</f>
        <v>24849</v>
      </c>
      <c r="E12863" t="s">
        <v>24849</v>
      </c>
      <c r="F12863" t="s">
        <v>24850</v>
      </c>
      <c r="G12863" t="s">
        <v>14</v>
      </c>
      <c r="H12863">
             </c>
      <c r="I12863" t="s">
        <v>14</v>
      </c>
      <c r="J12863" t="s">
        <v>141</v>
      </c>
      <c r="K12863" t="s">
        <v>14</v>
      </c>
      <c r="L12863" t="s">
        <v>20</v>
      </c>
      <c r="M12863" t="s">
        <v>24775</v>
      </c>
      <c r="N12863" t="s">
        <v>14</v>
      </c>
    </row>
    <row r="12864" x14ac:dyDescent="0.25">
      <c r="A12864" t="n">
        <v>23</v>
      </c>
      <c r="B12864" t="s">
        <v>14</v>
      </c>
      <c r="C12864" t="s">
        <v>22</v>
      </c>
      <c r="D12864" s="2" t="s">
        <f>=HYPERLINK("https://main.knesset.gov.il/APPS/legislation/main/bills/2141823", "הצעת חוק הכשרות לאנשי מקצוע בתחום החינוך בנושא מגדר ונטייה מינית, התש""ף-2020")</f>
        <v>24851</v>
      </c>
      <c r="E12864" t="s">
        <v>24851</v>
      </c>
      <c r="F12864" t="s">
        <v>24852</v>
      </c>
      <c r="G12864" t="s">
        <v>14</v>
      </c>
      <c r="H12864">
             </c>
      <c r="I12864" t="s">
        <v>14</v>
      </c>
      <c r="J12864" t="s">
        <v>141</v>
      </c>
      <c r="K12864" t="s">
        <v>14</v>
      </c>
      <c r="L12864" t="s">
        <v>20</v>
      </c>
      <c r="M12864" t="s">
        <v>24775</v>
      </c>
      <c r="N12864" t="s">
        <v>14</v>
      </c>
    </row>
    <row r="12865" x14ac:dyDescent="0.25">
      <c r="A12865" t="n">
        <v>23</v>
      </c>
      <c r="B12865" t="s">
        <v>14</v>
      </c>
      <c r="C12865" t="s">
        <v>22</v>
      </c>
      <c r="D12865" s="2" t="s">
        <f>=HYPERLINK("https://main.knesset.gov.il/APPS/legislation/main/bills/2142291", "הצעת חוק השמות (תיקון - בחירה או שינוי שם), התש""ף-2020")</f>
        <v>24853</v>
      </c>
      <c r="E12865" t="s">
        <v>24853</v>
      </c>
      <c r="F12865" t="s">
        <v>24854</v>
      </c>
      <c r="G12865" t="s">
        <v>14</v>
      </c>
      <c r="H12865">
             </c>
      <c r="I12865" t="s">
        <v>14</v>
      </c>
      <c r="J12865" t="s">
        <v>141</v>
      </c>
      <c r="K12865" t="s">
        <v>14</v>
      </c>
      <c r="L12865" t="s">
        <v>20</v>
      </c>
      <c r="M12865" t="s">
        <v>24775</v>
      </c>
      <c r="N12865" t="s">
        <v>14</v>
      </c>
    </row>
    <row r="12866" x14ac:dyDescent="0.25">
      <c r="A12866" t="n">
        <v>23</v>
      </c>
      <c r="B12866" t="s">
        <v>14</v>
      </c>
      <c r="C12866" t="s">
        <v>22</v>
      </c>
      <c r="D12866" s="2" t="s">
        <f>=HYPERLINK("https://main.knesset.gov.il/APPS/legislation/main/bills/2142285", "הצעת חוק הרשויות המקומיות (בחירת ראש הרשות וסגניו וכהונתם) (תיקון - בחירת חבר מועצה למילוי מקום ראש רשות וסגניו), התש""ף-2020")</f>
        <v>24855</v>
      </c>
      <c r="E12866" t="s">
        <v>24855</v>
      </c>
      <c r="F12866" t="s">
        <v>24856</v>
      </c>
      <c r="G12866" t="s">
        <v>14</v>
      </c>
      <c r="H12866">
             </c>
      <c r="I12866" t="s">
        <v>14</v>
      </c>
      <c r="J12866" t="s">
        <v>141</v>
      </c>
      <c r="K12866" t="s">
        <v>14</v>
      </c>
      <c r="L12866" t="s">
        <v>20</v>
      </c>
      <c r="M12866" t="s">
        <v>24775</v>
      </c>
      <c r="N12866" t="s">
        <v>14</v>
      </c>
    </row>
    <row r="12867" x14ac:dyDescent="0.25">
      <c r="A12867" t="n">
        <v>23</v>
      </c>
      <c r="B12867" t="s">
        <v>14</v>
      </c>
      <c r="C12867" t="s">
        <v>22</v>
      </c>
      <c r="D12867" s="2" t="s">
        <f>=HYPERLINK("https://main.knesset.gov.il/APPS/legislation/main/bills/2141331", "הצעת חוק מבקר המדינה (תיקון - תקופת צינון למועמדים לכנסת, חברי כנסת ושרים), התש""ף-2020")</f>
        <v>24857</v>
      </c>
      <c r="E12867" t="s">
        <v>24857</v>
      </c>
      <c r="F12867" t="s">
        <v>24858</v>
      </c>
      <c r="G12867" t="s">
        <v>14</v>
      </c>
      <c r="H12867">
             </c>
      <c r="I12867" t="s">
        <v>14</v>
      </c>
      <c r="J12867" t="s">
        <v>141</v>
      </c>
      <c r="K12867" t="s">
        <v>14</v>
      </c>
      <c r="L12867" t="s">
        <v>20</v>
      </c>
      <c r="M12867" t="s">
        <v>24775</v>
      </c>
      <c r="N12867" t="s">
        <v>14</v>
      </c>
    </row>
    <row r="12868" x14ac:dyDescent="0.25">
      <c r="A12868" t="n">
        <v>23</v>
      </c>
      <c r="B12868" t="s">
        <v>14</v>
      </c>
      <c r="C12868" t="s">
        <v>22</v>
      </c>
      <c r="D12868" s="2" t="s">
        <f>=HYPERLINK("https://main.knesset.gov.il/APPS/legislation/main/bills/2141067", "הצעת חוק הגבלות על יצוא ביטחוני למיאנמר (הוראת שעה), התש""ף-2020")</f>
        <v>24859</v>
      </c>
      <c r="E12868" t="s">
        <v>24859</v>
      </c>
      <c r="F12868" t="s">
        <v>24860</v>
      </c>
      <c r="G12868" t="s">
        <v>14</v>
      </c>
      <c r="H12868">
             </c>
      <c r="I12868" t="s">
        <v>14</v>
      </c>
      <c r="J12868" t="s">
        <v>141</v>
      </c>
      <c r="K12868" t="s">
        <v>14</v>
      </c>
      <c r="L12868" t="s">
        <v>20</v>
      </c>
      <c r="M12868" t="s">
        <v>24775</v>
      </c>
      <c r="N12868" t="s">
        <v>14</v>
      </c>
    </row>
    <row r="12869" x14ac:dyDescent="0.25">
      <c r="A12869" t="n">
        <v>23</v>
      </c>
      <c r="B12869" t="s">
        <v>14</v>
      </c>
      <c r="C12869" t="s">
        <v>22</v>
      </c>
      <c r="D12869" s="2" t="s">
        <f>=HYPERLINK("https://main.knesset.gov.il/APPS/legislation/main/bills/2142128", "הצעת חוק משפחות חיילים שנספו במערכה (תגמולים ושיקום) (תיקון - שימוש בזרע חייל שנספה), התש""ף-2020")</f>
        <v>24861</v>
      </c>
      <c r="E12869" t="s">
        <v>24861</v>
      </c>
      <c r="F12869" t="s">
        <v>24862</v>
      </c>
      <c r="G12869" t="s">
        <v>14</v>
      </c>
      <c r="H12869">
             </c>
      <c r="I12869" t="s">
        <v>14</v>
      </c>
      <c r="J12869" t="s">
        <v>141</v>
      </c>
      <c r="K12869" t="s">
        <v>14</v>
      </c>
      <c r="L12869" t="s">
        <v>20</v>
      </c>
      <c r="M12869" t="s">
        <v>24775</v>
      </c>
      <c r="N12869" t="s">
        <v>14</v>
      </c>
    </row>
    <row r="12870" x14ac:dyDescent="0.25">
      <c r="A12870" t="n">
        <v>23</v>
      </c>
      <c r="B12870" t="s">
        <v>14</v>
      </c>
      <c r="C12870" t="s">
        <v>22</v>
      </c>
      <c r="D12870" s="2" t="s">
        <f>=HYPERLINK("https://main.knesset.gov.il/APPS/legislation/main/bills/2141766", "הצעת חוק הגנה על בריאות הציבור (מזון) (תיקון - סימון אופן טיפול במוצרי עוף וביצים עם חשש להימצאותם של חיידקי סלמונלה), התש""ף-2020")</f>
        <v>24863</v>
      </c>
      <c r="E12870" t="s">
        <v>24863</v>
      </c>
      <c r="F12870" t="s">
        <v>24864</v>
      </c>
      <c r="G12870" t="s">
        <v>14</v>
      </c>
      <c r="H12870">
             </c>
      <c r="I12870" t="s">
        <v>14</v>
      </c>
      <c r="J12870" t="s">
        <v>141</v>
      </c>
      <c r="K12870" t="s">
        <v>14</v>
      </c>
      <c r="L12870" t="s">
        <v>20</v>
      </c>
      <c r="M12870" t="s">
        <v>24775</v>
      </c>
      <c r="N12870" t="s">
        <v>14</v>
      </c>
    </row>
    <row r="12871" x14ac:dyDescent="0.25">
      <c r="A12871" t="n">
        <v>23</v>
      </c>
      <c r="B12871" t="s">
        <v>14</v>
      </c>
      <c r="C12871" t="s">
        <v>22</v>
      </c>
      <c r="D12871" s="2" t="s">
        <f>=HYPERLINK("https://main.knesset.gov.il/APPS/legislation/main/bills/2139740", "הצעת חוק סדר הדין הפלילי (תיקון - העברת הטיפול בעבירות נגד שוטרים לידי הפרקליטות), התש""ף-2020")</f>
        <v>24865</v>
      </c>
      <c r="E12871" t="s">
        <v>24865</v>
      </c>
      <c r="F12871" t="s">
        <v>24866</v>
      </c>
      <c r="G12871" t="s">
        <v>14</v>
      </c>
      <c r="H12871">
             </c>
      <c r="I12871" t="s">
        <v>14</v>
      </c>
      <c r="J12871" t="s">
        <v>141</v>
      </c>
      <c r="K12871" t="s">
        <v>14</v>
      </c>
      <c r="L12871" t="s">
        <v>20</v>
      </c>
      <c r="M12871" t="s">
        <v>24775</v>
      </c>
      <c r="N12871" t="s">
        <v>14</v>
      </c>
    </row>
    <row r="12872" x14ac:dyDescent="0.25">
      <c r="A12872" t="n">
        <v>23</v>
      </c>
      <c r="B12872" t="s">
        <v>14</v>
      </c>
      <c r="C12872" t="s">
        <v>22</v>
      </c>
      <c r="D12872" s="2" t="s">
        <f>=HYPERLINK("https://main.knesset.gov.il/APPS/legislation/main/bills/2141975", "הצעת חוק הביטוח הלאומי (תיקון - סיווג מאמנים כמבוטחים), התש""ף-2020")</f>
        <v>24867</v>
      </c>
      <c r="E12872" t="s">
        <v>24867</v>
      </c>
      <c r="F12872" t="s">
        <v>24868</v>
      </c>
      <c r="G12872" t="s">
        <v>14</v>
      </c>
      <c r="H12872">
             </c>
      <c r="I12872" t="s">
        <v>14</v>
      </c>
      <c r="J12872" t="s">
        <v>343</v>
      </c>
      <c r="K12872" t="s">
        <v>14</v>
      </c>
      <c r="L12872" t="s">
        <v>20</v>
      </c>
      <c r="M12872" t="s">
        <v>24775</v>
      </c>
      <c r="N12872" t="s">
        <v>14</v>
      </c>
    </row>
    <row r="12873" x14ac:dyDescent="0.25">
      <c r="A12873" t="n">
        <v>23</v>
      </c>
      <c r="B12873" t="s">
        <v>14</v>
      </c>
      <c r="C12873" t="s">
        <v>22</v>
      </c>
      <c r="D12873" s="2" t="s">
        <f>=HYPERLINK("https://main.knesset.gov.il/APPS/legislation/main/bills/2140869", "הצעת חוק קליטת חיילים משוחררים (תיקון - מימון שכר לימוד), התש""ף-2020")</f>
        <v>24869</v>
      </c>
      <c r="E12873" t="s">
        <v>24869</v>
      </c>
      <c r="F12873" t="s">
        <v>24870</v>
      </c>
      <c r="G12873" t="s">
        <v>14</v>
      </c>
      <c r="H12873">
             </c>
      <c r="I12873" t="s">
        <v>14</v>
      </c>
      <c r="J12873" t="s">
        <v>141</v>
      </c>
      <c r="K12873" t="s">
        <v>14</v>
      </c>
      <c r="L12873" t="s">
        <v>20</v>
      </c>
      <c r="M12873" t="s">
        <v>24775</v>
      </c>
      <c r="N12873" t="s">
        <v>14</v>
      </c>
    </row>
    <row r="12874" x14ac:dyDescent="0.25">
      <c r="A12874" t="n">
        <v>23</v>
      </c>
      <c r="B12874" t="s">
        <v>14</v>
      </c>
      <c r="C12874" t="s">
        <v>22</v>
      </c>
      <c r="D12874" s="2" t="s">
        <f>=HYPERLINK("https://main.knesset.gov.il/APPS/legislation/main/bills/2088395", "הצעת חוק הבטחת הכנסה (תיקון - גמלת הבטחת הכנסה לקשיש), התש""ף-2020")</f>
        <v>24871</v>
      </c>
      <c r="E12874" t="s">
        <v>24871</v>
      </c>
      <c r="F12874" t="s">
        <v>24872</v>
      </c>
      <c r="G12874" t="s">
        <v>14</v>
      </c>
      <c r="H12874">
             </c>
      <c r="I12874" t="s">
        <v>14</v>
      </c>
      <c r="J12874" t="s">
        <v>141</v>
      </c>
      <c r="K12874" t="s">
        <v>14</v>
      </c>
      <c r="L12874" t="s">
        <v>20</v>
      </c>
      <c r="M12874" t="s">
        <v>24775</v>
      </c>
      <c r="N12874" t="s">
        <v>14</v>
      </c>
    </row>
    <row r="12875" x14ac:dyDescent="0.25">
      <c r="A12875" t="n">
        <v>23</v>
      </c>
      <c r="B12875" t="s">
        <v>14</v>
      </c>
      <c r="C12875" t="s">
        <v>22</v>
      </c>
      <c r="D12875" s="2" t="s">
        <f>=HYPERLINK("https://main.knesset.gov.il/APPS/legislation/main/bills/2088406", "הצעת חוק ביטוח בריאות ממלכתי (תיקון - פטור מתשלום דמי ביטוח למי שטרם מלאו לו 21 שנים), התש""ף-2020")</f>
        <v>24873</v>
      </c>
      <c r="E12875" t="s">
        <v>24873</v>
      </c>
      <c r="F12875" t="s">
        <v>24874</v>
      </c>
      <c r="G12875" t="s">
        <v>14</v>
      </c>
      <c r="H12875">
             </c>
      <c r="I12875" t="s">
        <v>14</v>
      </c>
      <c r="J12875" t="s">
        <v>141</v>
      </c>
      <c r="K12875" t="s">
        <v>14</v>
      </c>
      <c r="L12875" t="s">
        <v>20</v>
      </c>
      <c r="M12875" t="s">
        <v>24775</v>
      </c>
      <c r="N12875" t="s">
        <v>14</v>
      </c>
    </row>
    <row r="12876" x14ac:dyDescent="0.25">
      <c r="A12876" t="n">
        <v>23</v>
      </c>
      <c r="B12876" t="s">
        <v>14</v>
      </c>
      <c r="C12876" t="s">
        <v>22</v>
      </c>
      <c r="D12876" s="2" t="s">
        <f>=HYPERLINK("https://main.knesset.gov.il/APPS/legislation/main/bills/2088415", "הצעת חוק מעונות יום שיקומיים (תיקון - מספר ילדים בשלוחה), התש""ף-2020")</f>
        <v>24875</v>
      </c>
      <c r="E12876" t="s">
        <v>24875</v>
      </c>
      <c r="F12876" t="s">
        <v>24876</v>
      </c>
      <c r="G12876" t="s">
        <v>14</v>
      </c>
      <c r="H12876">
             </c>
      <c r="I12876" t="s">
        <v>14</v>
      </c>
      <c r="J12876" t="s">
        <v>141</v>
      </c>
      <c r="K12876" t="s">
        <v>14</v>
      </c>
      <c r="L12876" t="s">
        <v>20</v>
      </c>
      <c r="M12876" t="s">
        <v>24775</v>
      </c>
      <c r="N12876" t="s">
        <v>14</v>
      </c>
    </row>
    <row r="12877" x14ac:dyDescent="0.25">
      <c r="A12877" t="n">
        <v>23</v>
      </c>
      <c r="B12877" t="s">
        <v>14</v>
      </c>
      <c r="C12877" t="s">
        <v>22</v>
      </c>
      <c r="D12877" s="2" t="s">
        <f>=HYPERLINK("https://main.knesset.gov.il/APPS/legislation/main/bills/2141332", "הצעת חוק הביטוח הלאומי (תיקון - זכות טיעון לפני שלילת גמלה), התש""ף-2020")</f>
        <v>24877</v>
      </c>
      <c r="E12877" t="s">
        <v>24877</v>
      </c>
      <c r="F12877" t="s">
        <v>24878</v>
      </c>
      <c r="G12877" t="s">
        <v>14</v>
      </c>
      <c r="H12877">
             </c>
      <c r="I12877" t="s">
        <v>14</v>
      </c>
      <c r="J12877" t="s">
        <v>141</v>
      </c>
      <c r="K12877" t="s">
        <v>14</v>
      </c>
      <c r="L12877" t="s">
        <v>20</v>
      </c>
      <c r="M12877" t="s">
        <v>24775</v>
      </c>
      <c r="N12877" t="s">
        <v>14</v>
      </c>
    </row>
    <row r="12878" x14ac:dyDescent="0.25">
      <c r="A12878" t="n">
        <v>23</v>
      </c>
      <c r="B12878" t="s">
        <v>14</v>
      </c>
      <c r="C12878" t="s">
        <v>22</v>
      </c>
      <c r="D12878" s="2" t="s">
        <f>=HYPERLINK("https://main.knesset.gov.il/APPS/legislation/main/bills/2141250", "הצעת חוק שירותי הסעד (תיקון - הגבלת מספר התיקים בטיפול עובד סוציאלי המטפל במשפחות), התש""ף-2020")</f>
        <v>24879</v>
      </c>
      <c r="E12878" t="s">
        <v>24879</v>
      </c>
      <c r="F12878" t="s">
        <v>24880</v>
      </c>
      <c r="G12878" t="s">
        <v>14</v>
      </c>
      <c r="H12878">
             </c>
      <c r="I12878" t="s">
        <v>14</v>
      </c>
      <c r="J12878" t="s">
        <v>141</v>
      </c>
      <c r="K12878" t="s">
        <v>14</v>
      </c>
      <c r="L12878" t="s">
        <v>20</v>
      </c>
      <c r="M12878" t="s">
        <v>24775</v>
      </c>
      <c r="N12878" t="s">
        <v>14</v>
      </c>
    </row>
    <row r="12879" x14ac:dyDescent="0.25">
      <c r="A12879" t="n">
        <v>23</v>
      </c>
      <c r="B12879" t="s">
        <v>14</v>
      </c>
      <c r="C12879" t="s">
        <v>15</v>
      </c>
      <c r="D12879" s="2" t="s">
        <f>=HYPERLINK("https://main.knesset.gov.il/APPS/legislation/main/bills/2142765", "חוק-יסוד: משק המדינה (תיקון מס' 10 והוראת שעה לשנת 2020) (תיקון מס' 2) ")</f>
        <v>24881</v>
      </c>
      <c r="E12879" t="s">
        <v>24881</v>
      </c>
      <c r="F12879" t="s">
        <v>14</v>
      </c>
      <c r="G12879" t="s">
        <v>24882</v>
      </c>
      <c r="H12879" t="n">
        <v>2828</v>
      </c>
      <c r="I12879" t="s">
        <v>14</v>
      </c>
      <c r="J12879" t="s">
        <v>91</v>
      </c>
      <c r="K12879" t="s">
        <v>85</v>
      </c>
      <c r="L12879" t="s">
        <v>20</v>
      </c>
      <c r="M12879" t="s">
        <v>24883</v>
      </c>
      <c r="N12879" t="s">
        <v>24884</v>
      </c>
    </row>
    <row r="12880" x14ac:dyDescent="0.25">
      <c r="A12880" t="n">
        <v>23</v>
      </c>
      <c r="B12880" t="s">
        <v>14</v>
      </c>
      <c r="C12880" t="s">
        <v>15</v>
      </c>
      <c r="D12880" s="2" t="s">
        <f>=HYPERLINK("https://main.knesset.gov.il/APPS/legislation/main/bills/2140471", "הצעת חוק מניעת כניסת מבקרים ועורכי דין למקומות מעצר, תחנות משטרה, בתי הסוהר, חדרי משמר ובתי הסוהר הצבאיים (הוראת שעה), התש""ף-2020 ")</f>
        <v>24885</v>
      </c>
      <c r="E12880" t="s">
        <v>24885</v>
      </c>
      <c r="F12880" t="s">
        <v>14</v>
      </c>
      <c r="G12880" t="s">
        <v>24886</v>
      </c>
      <c r="H12880">
             </c>
      <c r="I12880" t="s">
        <v>14</v>
      </c>
      <c r="J12880" t="s">
        <v>18</v>
      </c>
      <c r="K12880" t="s">
        <v>46</v>
      </c>
      <c r="L12880" t="s">
        <v>20</v>
      </c>
      <c r="M12880" t="s">
        <v>24883</v>
      </c>
      <c r="N12880" t="s">
        <v>14</v>
      </c>
    </row>
    <row r="12881" x14ac:dyDescent="0.25">
      <c r="A12881" t="n">
        <v>23</v>
      </c>
      <c r="B12881" t="s">
        <v>14</v>
      </c>
      <c r="C12881" t="s">
        <v>22</v>
      </c>
      <c r="D12881" s="2" t="s">
        <f>=HYPERLINK("https://main.knesset.gov.il/APPS/legislation/main/bills/2088361", "הצעת חוק-יסוד: ישראל - מדינת הלאום של העם היהודי (תיקון - ביטול החוק)")</f>
        <v>4732</v>
      </c>
      <c r="E12881" t="s">
        <v>4732</v>
      </c>
      <c r="F12881" t="s">
        <v>24887</v>
      </c>
      <c r="G12881" t="s">
        <v>14</v>
      </c>
      <c r="H12881">
             </c>
      <c r="I12881" t="s">
        <v>14</v>
      </c>
      <c r="J12881" t="s">
        <v>55</v>
      </c>
      <c r="K12881" t="s">
        <v>14</v>
      </c>
      <c r="L12881" t="s">
        <v>20</v>
      </c>
      <c r="M12881" t="s">
        <v>24883</v>
      </c>
      <c r="N12881" t="s">
        <v>14</v>
      </c>
    </row>
    <row r="12882" x14ac:dyDescent="0.25">
      <c r="A12882" t="n">
        <v>23</v>
      </c>
      <c r="B12882" t="s">
        <v>14</v>
      </c>
      <c r="C12882" t="s">
        <v>22</v>
      </c>
      <c r="D12882" s="2" t="s">
        <f>=HYPERLINK("https://main.knesset.gov.il/APPS/legislation/main/bills/2087306", "הצעת חוק משבר נגיף הקורונה החדש (הגנה על שוק הדיור) (תיקוני חקיקה) התש״ף-2020")</f>
        <v>24888</v>
      </c>
      <c r="E12882" t="s">
        <v>24888</v>
      </c>
      <c r="F12882" t="s">
        <v>24889</v>
      </c>
      <c r="G12882" t="s">
        <v>14</v>
      </c>
      <c r="H12882">
             </c>
      <c r="I12882" t="s">
        <v>14</v>
      </c>
      <c r="J12882" t="s">
        <v>343</v>
      </c>
      <c r="K12882" t="s">
        <v>14</v>
      </c>
      <c r="L12882" t="s">
        <v>20</v>
      </c>
      <c r="M12882" t="s">
        <v>24883</v>
      </c>
      <c r="N12882" t="s">
        <v>14</v>
      </c>
    </row>
    <row r="12883" x14ac:dyDescent="0.25">
      <c r="A12883" t="n">
        <v>23</v>
      </c>
      <c r="B12883" t="s">
        <v>14</v>
      </c>
      <c r="C12883" t="s">
        <v>22</v>
      </c>
      <c r="D12883" s="2" t="s">
        <f>=HYPERLINK("https://main.knesset.gov.il/APPS/legislation/main/bills/2087591", "הצעת חוק-יסוד: השפיטה (תיקון - מינוי חברי הכנסת לוועדה לבחירת שופטים)")</f>
        <v>20865</v>
      </c>
      <c r="E12883" t="s">
        <v>20865</v>
      </c>
      <c r="F12883" t="s">
        <v>24890</v>
      </c>
      <c r="G12883" t="s">
        <v>14</v>
      </c>
      <c r="H12883">
             </c>
      <c r="I12883" t="s">
        <v>14</v>
      </c>
      <c r="J12883" t="s">
        <v>55</v>
      </c>
      <c r="K12883" t="s">
        <v>14</v>
      </c>
      <c r="L12883" t="s">
        <v>20</v>
      </c>
      <c r="M12883" t="s">
        <v>24883</v>
      </c>
      <c r="N12883" t="s">
        <v>14</v>
      </c>
    </row>
    <row r="12884" x14ac:dyDescent="0.25">
      <c r="A12884" t="n">
        <v>23</v>
      </c>
      <c r="B12884" t="s">
        <v>14</v>
      </c>
      <c r="C12884" t="s">
        <v>22</v>
      </c>
      <c r="D12884" s="2" t="s">
        <f>=HYPERLINK("https://main.knesset.gov.il/APPS/legislation/main/bills/2087051", "הצעת חוק דמי מחלה (תיקון - תשלום דמי מחלה החל מהיום הראשון להיעדרות), התש""ף-2020")</f>
        <v>24891</v>
      </c>
      <c r="E12884" t="s">
        <v>24891</v>
      </c>
      <c r="F12884" t="s">
        <v>24892</v>
      </c>
      <c r="G12884" t="s">
        <v>14</v>
      </c>
      <c r="H12884">
             </c>
      <c r="I12884" t="s">
        <v>14</v>
      </c>
      <c r="J12884" t="s">
        <v>55</v>
      </c>
      <c r="K12884" t="s">
        <v>14</v>
      </c>
      <c r="L12884" t="s">
        <v>20</v>
      </c>
      <c r="M12884" t="s">
        <v>24883</v>
      </c>
      <c r="N12884" t="s">
        <v>14</v>
      </c>
    </row>
    <row r="12885" x14ac:dyDescent="0.25">
      <c r="A12885" t="n">
        <v>23</v>
      </c>
      <c r="B12885" t="s">
        <v>14</v>
      </c>
      <c r="C12885" t="s">
        <v>22</v>
      </c>
      <c r="D12885" s="2" t="s">
        <f>=HYPERLINK("https://main.knesset.gov.il/APPS/legislation/main/bills/2086084", "הצעת חוק-יסוד: ישראל - מדינת הלאום של העם היהודי (תיקון - ביטול החוק) ")</f>
        <v>24893</v>
      </c>
      <c r="E12885" t="s">
        <v>24893</v>
      </c>
      <c r="F12885" t="s">
        <v>24894</v>
      </c>
      <c r="G12885" t="s">
        <v>14</v>
      </c>
      <c r="H12885">
             </c>
      <c r="I12885" t="s">
        <v>14</v>
      </c>
      <c r="J12885" t="s">
        <v>55</v>
      </c>
      <c r="K12885" t="s">
        <v>14</v>
      </c>
      <c r="L12885" t="s">
        <v>20</v>
      </c>
      <c r="M12885" t="s">
        <v>24883</v>
      </c>
      <c r="N12885" t="s">
        <v>14</v>
      </c>
    </row>
    <row r="12886" x14ac:dyDescent="0.25">
      <c r="A12886" t="n">
        <v>23</v>
      </c>
      <c r="B12886" t="s">
        <v>14</v>
      </c>
      <c r="C12886" t="s">
        <v>22</v>
      </c>
      <c r="D12886" s="2" t="s">
        <f>=HYPERLINK("https://main.knesset.gov.il/APPS/legislation/main/bills/2087086", "הצעת חוק פיצוי עסקים קטנים בשל אירועי איבה מתמשכים או מצב חירום כלכלי, התש""ף-2020")</f>
        <v>23980</v>
      </c>
      <c r="E12886" t="s">
        <v>23980</v>
      </c>
      <c r="F12886" t="s">
        <v>24895</v>
      </c>
      <c r="G12886" t="s">
        <v>14</v>
      </c>
      <c r="H12886">
             </c>
      <c r="I12886" t="s">
        <v>14</v>
      </c>
      <c r="J12886" t="s">
        <v>55</v>
      </c>
      <c r="K12886" t="s">
        <v>14</v>
      </c>
      <c r="L12886" t="s">
        <v>20</v>
      </c>
      <c r="M12886" t="s">
        <v>24883</v>
      </c>
      <c r="N12886" t="s">
        <v>14</v>
      </c>
    </row>
    <row r="12887" x14ac:dyDescent="0.25">
      <c r="A12887" t="n">
        <v>23</v>
      </c>
      <c r="B12887" t="s">
        <v>14</v>
      </c>
      <c r="C12887" t="s">
        <v>22</v>
      </c>
      <c r="D12887" s="2" t="s">
        <f>=HYPERLINK("https://main.knesset.gov.il/APPS/legislation/main/bills/2085592", "הצעת חוק-יסוד: ישראל - מדינת הלאום של העם היהודי (תיקון - ביטול החוק)")</f>
        <v>4732</v>
      </c>
      <c r="E12887" t="s">
        <v>4732</v>
      </c>
      <c r="F12887" t="s">
        <v>24896</v>
      </c>
      <c r="G12887" t="s">
        <v>14</v>
      </c>
      <c r="H12887">
             </c>
      <c r="I12887" t="s">
        <v>14</v>
      </c>
      <c r="J12887" t="s">
        <v>55</v>
      </c>
      <c r="K12887" t="s">
        <v>14</v>
      </c>
      <c r="L12887" t="s">
        <v>20</v>
      </c>
      <c r="M12887" t="s">
        <v>24883</v>
      </c>
      <c r="N12887" t="s">
        <v>14</v>
      </c>
    </row>
    <row r="12888" x14ac:dyDescent="0.25">
      <c r="A12888" t="n">
        <v>23</v>
      </c>
      <c r="B12888" t="s">
        <v>14</v>
      </c>
      <c r="C12888" t="s">
        <v>15</v>
      </c>
      <c r="D12888" s="2" t="s">
        <f>=HYPERLINK("https://main.knesset.gov.il/APPS/legislation/main/bills/2142675", "חוק חובת המכרזים (תיקון מס' 24 - הוראת שעה) (תיקון), התש""ף-2020")</f>
        <v>24897</v>
      </c>
      <c r="E12888" t="s">
        <v>24897</v>
      </c>
      <c r="F12888" t="s">
        <v>14</v>
      </c>
      <c r="G12888" t="s">
        <v>24898</v>
      </c>
      <c r="H12888" t="n">
        <v>2827</v>
      </c>
      <c r="I12888" t="s">
        <v>14</v>
      </c>
      <c r="J12888" t="s">
        <v>91</v>
      </c>
      <c r="K12888" t="s">
        <v>27</v>
      </c>
      <c r="L12888" t="s">
        <v>20</v>
      </c>
      <c r="M12888" t="s">
        <v>24899</v>
      </c>
      <c r="N12888" t="s">
        <v>24900</v>
      </c>
    </row>
    <row r="12889" x14ac:dyDescent="0.25">
      <c r="A12889" t="n">
        <v>23</v>
      </c>
      <c r="B12889" t="s">
        <v>14</v>
      </c>
      <c r="C12889" t="s">
        <v>22</v>
      </c>
      <c r="D12889" s="2" t="s">
        <f>=HYPERLINK("https://main.knesset.gov.il/APPS/legislation/main/bills/2141149", "הצעת חוק חובת המכרזים (תיקון - העדפת תוצרת הארץ במכרזי מערכת הביטחון והמשרד לביטחון הפנים) (הוראת שעה), התש""ף-2020")</f>
        <v>24901</v>
      </c>
      <c r="E12889" t="s">
        <v>24901</v>
      </c>
      <c r="F12889" t="s">
        <v>24902</v>
      </c>
      <c r="G12889" t="s">
        <v>14</v>
      </c>
      <c r="H12889">
             </c>
      <c r="I12889" t="s">
        <v>14</v>
      </c>
      <c r="J12889" t="s">
        <v>99</v>
      </c>
      <c r="K12889" t="s">
        <v>27</v>
      </c>
      <c r="L12889" t="s">
        <v>20</v>
      </c>
      <c r="M12889" t="s">
        <v>24899</v>
      </c>
      <c r="N12889" t="s">
        <v>14</v>
      </c>
    </row>
    <row r="12890" x14ac:dyDescent="0.25">
      <c r="A12890" t="n">
        <v>23</v>
      </c>
      <c r="B12890" t="s">
        <v>14</v>
      </c>
      <c r="C12890" t="s">
        <v>22</v>
      </c>
      <c r="D12890" s="2" t="s">
        <f>=HYPERLINK("https://main.knesset.gov.il/APPS/legislation/main/bills/2087077", "הצעת חוק למניעת אלימות במשפחה (תיקון - פיקוח אלקטרוני על אדם שהוצא כלפיו צו הגנה), התש""ף-2020")</f>
        <v>24903</v>
      </c>
      <c r="E12890" t="s">
        <v>24903</v>
      </c>
      <c r="F12890" t="s">
        <v>24904</v>
      </c>
      <c r="G12890" t="s">
        <v>14</v>
      </c>
      <c r="H12890">
             </c>
      <c r="I12890" t="s">
        <v>14</v>
      </c>
      <c r="J12890" t="s">
        <v>31</v>
      </c>
      <c r="K12890" t="s">
        <v>15147</v>
      </c>
      <c r="L12890" t="s">
        <v>20</v>
      </c>
      <c r="M12890" t="s">
        <v>24905</v>
      </c>
      <c r="N12890" t="s">
        <v>14</v>
      </c>
    </row>
    <row r="12891" x14ac:dyDescent="0.25">
      <c r="A12891" t="n">
        <v>23</v>
      </c>
      <c r="B12891" t="s">
        <v>14</v>
      </c>
      <c r="C12891" t="s">
        <v>22</v>
      </c>
      <c r="D12891" s="2" t="s">
        <f>=HYPERLINK("https://main.knesset.gov.il/APPS/legislation/main/bills/2086095", "הצעת חוק למניעת אלימות במשפחה (תיקון - פיקוח אלקטרוני על אדם שהוצא כנגדו צו הגנה), התש""ף-2020")</f>
        <v>24906</v>
      </c>
      <c r="E12891" t="s">
        <v>24906</v>
      </c>
      <c r="F12891" t="s">
        <v>24907</v>
      </c>
      <c r="G12891" t="s">
        <v>14</v>
      </c>
      <c r="H12891">
             </c>
      <c r="I12891" t="s">
        <v>14</v>
      </c>
      <c r="J12891" t="s">
        <v>31</v>
      </c>
      <c r="K12891" t="s">
        <v>15147</v>
      </c>
      <c r="L12891" t="s">
        <v>20</v>
      </c>
      <c r="M12891" t="s">
        <v>24905</v>
      </c>
      <c r="N12891" t="s">
        <v>14</v>
      </c>
    </row>
    <row r="12892" x14ac:dyDescent="0.25">
      <c r="A12892" t="n">
        <v>23</v>
      </c>
      <c r="B12892" t="s">
        <v>14</v>
      </c>
      <c r="C12892" t="s">
        <v>22</v>
      </c>
      <c r="D12892" s="2" t="s">
        <f>=HYPERLINK("https://main.knesset.gov.il/APPS/legislation/main/bills/2085718", "הצעת חוק למניעת אלימות במשפחה (תיקון - פיקוח אלקטרוני על אדם שהוצא כנגדו צו הגנה), התש""ף-2020")</f>
        <v>24906</v>
      </c>
      <c r="E12892" t="s">
        <v>24906</v>
      </c>
      <c r="F12892" t="s">
        <v>24908</v>
      </c>
      <c r="G12892" t="s">
        <v>14</v>
      </c>
      <c r="H12892">
             </c>
      <c r="I12892" t="s">
        <v>14</v>
      </c>
      <c r="J12892" t="s">
        <v>31</v>
      </c>
      <c r="K12892" t="s">
        <v>15147</v>
      </c>
      <c r="L12892" t="s">
        <v>20</v>
      </c>
      <c r="M12892" t="s">
        <v>24905</v>
      </c>
      <c r="N12892" t="s">
        <v>14</v>
      </c>
    </row>
    <row r="12893" x14ac:dyDescent="0.25">
      <c r="A12893" t="n">
        <v>23</v>
      </c>
      <c r="B12893" t="s">
        <v>14</v>
      </c>
      <c r="C12893" t="s">
        <v>15</v>
      </c>
      <c r="D12893" s="2" t="s">
        <f>=HYPERLINK("https://main.knesset.gov.il/APPS/legislation/main/bills/2087720", "חוק שירותי תעופה (פיצוי וסיוע בשל ביטול טיסה או שינוי בתנאיה) (נגיף הקורונה החדש – הוראת שעה – תיקון), התש""ף-2020")</f>
        <v>24909</v>
      </c>
      <c r="E12893" t="s">
        <v>24909</v>
      </c>
      <c r="F12893" t="s">
        <v>14</v>
      </c>
      <c r="G12893" t="s">
        <v>24910</v>
      </c>
      <c r="H12893" t="n">
        <v>2826</v>
      </c>
      <c r="I12893" t="s">
        <v>14</v>
      </c>
      <c r="J12893" t="s">
        <v>91</v>
      </c>
      <c r="K12893" t="s">
        <v>19</v>
      </c>
      <c r="L12893" t="s">
        <v>20</v>
      </c>
      <c r="M12893" t="s">
        <v>24905</v>
      </c>
      <c r="N12893" t="s">
        <v>24911</v>
      </c>
    </row>
    <row r="12894" x14ac:dyDescent="0.25">
      <c r="A12894" t="n">
        <v>23</v>
      </c>
      <c r="B12894" t="s">
        <v>14</v>
      </c>
      <c r="C12894" t="s">
        <v>15</v>
      </c>
      <c r="D12894" s="2" t="s">
        <f>=HYPERLINK("https://main.knesset.gov.il/APPS/legislation/main/bills/2141256", "חוק איסור התערבות גנטית (שיבוט אדם ושינוי גנטי בתאי רבייה) (תיקון מס' 4), התש""ף-2020 ")</f>
        <v>24912</v>
      </c>
      <c r="E12894" t="s">
        <v>24912</v>
      </c>
      <c r="F12894" t="s">
        <v>14</v>
      </c>
      <c r="G12894" t="s">
        <v>24913</v>
      </c>
      <c r="H12894" t="n">
        <v>2825</v>
      </c>
      <c r="I12894" t="s">
        <v>14</v>
      </c>
      <c r="J12894" t="s">
        <v>91</v>
      </c>
      <c r="K12894" t="s">
        <v>1292</v>
      </c>
      <c r="L12894" t="s">
        <v>20</v>
      </c>
      <c r="M12894" t="s">
        <v>24905</v>
      </c>
      <c r="N12894" t="s">
        <v>24914</v>
      </c>
    </row>
    <row r="12895" x14ac:dyDescent="0.25">
      <c r="A12895" t="n">
        <v>23</v>
      </c>
      <c r="B12895" t="s">
        <v>14</v>
      </c>
      <c r="C12895" t="s">
        <v>22</v>
      </c>
      <c r="D12895" s="2" t="s">
        <f>=HYPERLINK("https://main.knesset.gov.il/APPS/legislation/main/bills/2142677", "הצעת חוק איסור ניתוק משירותי חשמל, מים וגז (הוראת שעה - נגיף הקורונה החדש) (תיקוני חקיקה), התש""ף-2020")</f>
        <v>23968</v>
      </c>
      <c r="E12895" t="s">
        <v>23968</v>
      </c>
      <c r="F12895" t="s">
        <v>24915</v>
      </c>
      <c r="G12895" t="s">
        <v>14</v>
      </c>
      <c r="H12895">
             </c>
      <c r="I12895" t="s">
        <v>14</v>
      </c>
      <c r="J12895" t="s">
        <v>141</v>
      </c>
      <c r="K12895" t="s">
        <v>14</v>
      </c>
      <c r="L12895" t="s">
        <v>20</v>
      </c>
      <c r="M12895" t="s">
        <v>24905</v>
      </c>
      <c r="N12895" t="s">
        <v>14</v>
      </c>
    </row>
    <row r="12896" x14ac:dyDescent="0.25">
      <c r="A12896" t="n">
        <v>23</v>
      </c>
      <c r="B12896" t="s">
        <v>14</v>
      </c>
      <c r="C12896" t="s">
        <v>22</v>
      </c>
      <c r="D12896" s="2" t="s">
        <f>=HYPERLINK("https://main.knesset.gov.il/APPS/legislation/main/bills/2142600", "הצעת חוק איסור ניתוק מים וחשמל בתקופת הקורונה (תיקוני חקיקה) (הוראת שעה), התש""ף-2020")</f>
        <v>24916</v>
      </c>
      <c r="E12896" t="s">
        <v>24916</v>
      </c>
      <c r="F12896" t="s">
        <v>24917</v>
      </c>
      <c r="G12896" t="s">
        <v>14</v>
      </c>
      <c r="H12896">
             </c>
      <c r="I12896" t="s">
        <v>14</v>
      </c>
      <c r="J12896" t="s">
        <v>141</v>
      </c>
      <c r="K12896" t="s">
        <v>14</v>
      </c>
      <c r="L12896" t="s">
        <v>20</v>
      </c>
      <c r="M12896" t="s">
        <v>24905</v>
      </c>
      <c r="N12896" t="s">
        <v>14</v>
      </c>
    </row>
    <row r="12897" x14ac:dyDescent="0.25">
      <c r="A12897" t="n">
        <v>23</v>
      </c>
      <c r="B12897" t="s">
        <v>14</v>
      </c>
      <c r="C12897" t="s">
        <v>22</v>
      </c>
      <c r="D12897" s="2" t="s">
        <f>=HYPERLINK("https://main.knesset.gov.il/APPS/legislation/main/bills/2140992", "הצעת חוק לתיקון פקודת הראיות (הסרת חיסיון), התש""ף-2020")</f>
        <v>24918</v>
      </c>
      <c r="E12897" t="s">
        <v>24918</v>
      </c>
      <c r="F12897" t="s">
        <v>24919</v>
      </c>
      <c r="G12897" t="s">
        <v>14</v>
      </c>
      <c r="H12897">
             </c>
      <c r="I12897" t="s">
        <v>14</v>
      </c>
      <c r="J12897" t="s">
        <v>141</v>
      </c>
      <c r="K12897" t="s">
        <v>14</v>
      </c>
      <c r="L12897" t="s">
        <v>20</v>
      </c>
      <c r="M12897" t="s">
        <v>24905</v>
      </c>
      <c r="N12897" t="s">
        <v>14</v>
      </c>
    </row>
    <row r="12898" x14ac:dyDescent="0.25">
      <c r="A12898" t="n">
        <v>23</v>
      </c>
      <c r="B12898" t="s">
        <v>14</v>
      </c>
      <c r="C12898" t="s">
        <v>22</v>
      </c>
      <c r="D12898" s="2" t="s">
        <f>=HYPERLINK("https://main.knesset.gov.il/APPS/legislation/main/bills/2088410", "הצעת חוק לתיקון פקודת הראיות (הסרת חיסיון), התש""ף-2020")</f>
        <v>24918</v>
      </c>
      <c r="E12898" t="s">
        <v>24918</v>
      </c>
      <c r="F12898" t="s">
        <v>24920</v>
      </c>
      <c r="G12898" t="s">
        <v>14</v>
      </c>
      <c r="H12898">
             </c>
      <c r="I12898" t="s">
        <v>14</v>
      </c>
      <c r="J12898" t="s">
        <v>141</v>
      </c>
      <c r="K12898" t="s">
        <v>14</v>
      </c>
      <c r="L12898" t="s">
        <v>20</v>
      </c>
      <c r="M12898" t="s">
        <v>24905</v>
      </c>
      <c r="N12898" t="s">
        <v>14</v>
      </c>
    </row>
    <row r="12899" x14ac:dyDescent="0.25">
      <c r="A12899" t="n">
        <v>23</v>
      </c>
      <c r="B12899" t="s">
        <v>14</v>
      </c>
      <c r="C12899" t="s">
        <v>22</v>
      </c>
      <c r="D12899" s="2" t="s">
        <f>=HYPERLINK("https://main.knesset.gov.il/APPS/legislation/main/bills/2140979", "הצעת חוק חובת המכרזים (תיקון - שילוב עסקים קטנים ובינוניים במכרזים ציבוריים), התש""ף-2020")</f>
        <v>24921</v>
      </c>
      <c r="E12899" t="s">
        <v>24921</v>
      </c>
      <c r="F12899" t="s">
        <v>24922</v>
      </c>
      <c r="G12899" t="s">
        <v>14</v>
      </c>
      <c r="H12899">
             </c>
      <c r="I12899" t="s">
        <v>14</v>
      </c>
      <c r="J12899" t="s">
        <v>141</v>
      </c>
      <c r="K12899" t="s">
        <v>14</v>
      </c>
      <c r="L12899" t="s">
        <v>20</v>
      </c>
      <c r="M12899" t="s">
        <v>24905</v>
      </c>
      <c r="N12899" t="s">
        <v>14</v>
      </c>
    </row>
    <row r="12900" x14ac:dyDescent="0.25">
      <c r="A12900" t="n">
        <v>23</v>
      </c>
      <c r="B12900" t="s">
        <v>14</v>
      </c>
      <c r="C12900" t="s">
        <v>22</v>
      </c>
      <c r="D12900" s="2" t="s">
        <f>=HYPERLINK("https://main.knesset.gov.il/APPS/legislation/main/bills/2141301", "הצעת חוק הגנה על בריאות הציבור (מזון) (תיקון - סימון מוצרי בשר בקר או עוף, ביצים ודגים מחשש לחיידקים צואתיים), התש""ף-2020")</f>
        <v>24923</v>
      </c>
      <c r="E12900" t="s">
        <v>24923</v>
      </c>
      <c r="F12900" t="s">
        <v>24924</v>
      </c>
      <c r="G12900" t="s">
        <v>14</v>
      </c>
      <c r="H12900">
             </c>
      <c r="I12900" t="s">
        <v>14</v>
      </c>
      <c r="J12900" t="s">
        <v>141</v>
      </c>
      <c r="K12900" t="s">
        <v>14</v>
      </c>
      <c r="L12900" t="s">
        <v>20</v>
      </c>
      <c r="M12900" t="s">
        <v>24905</v>
      </c>
      <c r="N12900" t="s">
        <v>14</v>
      </c>
    </row>
    <row r="12901" x14ac:dyDescent="0.25">
      <c r="A12901" t="n">
        <v>23</v>
      </c>
      <c r="B12901" t="s">
        <v>14</v>
      </c>
      <c r="C12901" t="s">
        <v>22</v>
      </c>
      <c r="D12901" s="2" t="s">
        <f>=HYPERLINK("https://main.knesset.gov.il/APPS/legislation/main/bills/2139686", "הצעת חוק החלת הריבונות של מדינת ישראל בחבלי יהודה והשומרון, התש""ף-2020")</f>
        <v>24925</v>
      </c>
      <c r="E12901" t="s">
        <v>24925</v>
      </c>
      <c r="F12901" t="s">
        <v>24926</v>
      </c>
      <c r="G12901" t="s">
        <v>14</v>
      </c>
      <c r="H12901">
             </c>
      <c r="I12901" t="s">
        <v>14</v>
      </c>
      <c r="J12901" t="s">
        <v>141</v>
      </c>
      <c r="K12901" t="s">
        <v>14</v>
      </c>
      <c r="L12901" t="s">
        <v>20</v>
      </c>
      <c r="M12901" t="s">
        <v>24905</v>
      </c>
      <c r="N12901" t="s">
        <v>14</v>
      </c>
    </row>
    <row r="12902" x14ac:dyDescent="0.25">
      <c r="A12902" t="n">
        <v>23</v>
      </c>
      <c r="B12902" t="s">
        <v>14</v>
      </c>
      <c r="C12902" t="s">
        <v>22</v>
      </c>
      <c r="D12902" s="2" t="s">
        <f>=HYPERLINK("https://main.knesset.gov.il/APPS/legislation/main/bills/2086675", "הצעת חוק זיכרון השואה והגבורה - יד ושם (תיקון - הגבלות ביקורים של נציגים זרים המעורבים או תומכים בפשעים נגד האנושות, פשעי מלחמה והפרות חמורות של זכויות אדם), התש""ף-2020")</f>
        <v>24927</v>
      </c>
      <c r="E12902" t="s">
        <v>24927</v>
      </c>
      <c r="F12902" t="s">
        <v>24928</v>
      </c>
      <c r="G12902" t="s">
        <v>14</v>
      </c>
      <c r="H12902">
             </c>
      <c r="I12902" t="s">
        <v>14</v>
      </c>
      <c r="J12902" t="s">
        <v>141</v>
      </c>
      <c r="K12902" t="s">
        <v>14</v>
      </c>
      <c r="L12902" t="s">
        <v>20</v>
      </c>
      <c r="M12902" t="s">
        <v>24905</v>
      </c>
      <c r="N12902" t="s">
        <v>14</v>
      </c>
    </row>
    <row r="12903" x14ac:dyDescent="0.25">
      <c r="A12903" t="n">
        <v>23</v>
      </c>
      <c r="B12903" t="s">
        <v>14</v>
      </c>
      <c r="C12903" t="s">
        <v>22</v>
      </c>
      <c r="D12903" s="2" t="s">
        <f>=HYPERLINK("https://main.knesset.gov.il/APPS/legislation/main/bills/2088325", "הצעת חוק הביטוח הלאומי (תיקון - זכאות לדמי אבטלה בחמשת הימים הראשונים), התש""ף-2020")</f>
        <v>24929</v>
      </c>
      <c r="E12903" t="s">
        <v>24929</v>
      </c>
      <c r="F12903" t="s">
        <v>24930</v>
      </c>
      <c r="G12903" t="s">
        <v>14</v>
      </c>
      <c r="H12903">
             </c>
      <c r="I12903" t="s">
        <v>14</v>
      </c>
      <c r="J12903" t="s">
        <v>141</v>
      </c>
      <c r="K12903" t="s">
        <v>14</v>
      </c>
      <c r="L12903" t="s">
        <v>20</v>
      </c>
      <c r="M12903" t="s">
        <v>24905</v>
      </c>
      <c r="N12903" t="s">
        <v>14</v>
      </c>
    </row>
    <row r="12904" x14ac:dyDescent="0.25">
      <c r="A12904" t="n">
        <v>23</v>
      </c>
      <c r="B12904" t="s">
        <v>14</v>
      </c>
      <c r="C12904" t="s">
        <v>22</v>
      </c>
      <c r="D12904" s="2" t="s">
        <f>=HYPERLINK("https://main.knesset.gov.il/APPS/legislation/main/bills/2141334", "הצעת חוק התגמולים לנפגעי פעולות איבה (תיקון - פשע שנאה), התש""ף-2020")</f>
        <v>24931</v>
      </c>
      <c r="E12904" t="s">
        <v>24931</v>
      </c>
      <c r="F12904" t="s">
        <v>24932</v>
      </c>
      <c r="G12904" t="s">
        <v>14</v>
      </c>
      <c r="H12904">
             </c>
      <c r="I12904" t="s">
        <v>14</v>
      </c>
      <c r="J12904" t="s">
        <v>141</v>
      </c>
      <c r="K12904" t="s">
        <v>14</v>
      </c>
      <c r="L12904" t="s">
        <v>20</v>
      </c>
      <c r="M12904" t="s">
        <v>24905</v>
      </c>
      <c r="N12904" t="s">
        <v>14</v>
      </c>
    </row>
    <row r="12905" x14ac:dyDescent="0.25">
      <c r="A12905" t="n">
        <v>23</v>
      </c>
      <c r="B12905" t="s">
        <v>14</v>
      </c>
      <c r="C12905" t="s">
        <v>22</v>
      </c>
      <c r="D12905" s="2" t="s">
        <f>=HYPERLINK("https://main.knesset.gov.il/APPS/legislation/main/bills/2140208", "הצעת חוק סיוע לקטינים נפגעי עבירות מין או אלימות (תיקון - טיפול נפשי לילדים נפגעי אלימות במשפחה), התש""ף-2020")</f>
        <v>24933</v>
      </c>
      <c r="E12905" t="s">
        <v>24933</v>
      </c>
      <c r="F12905" t="s">
        <v>24934</v>
      </c>
      <c r="G12905" t="s">
        <v>14</v>
      </c>
      <c r="H12905">
             </c>
      <c r="I12905" t="s">
        <v>14</v>
      </c>
      <c r="J12905" t="s">
        <v>141</v>
      </c>
      <c r="K12905" t="s">
        <v>14</v>
      </c>
      <c r="L12905" t="s">
        <v>20</v>
      </c>
      <c r="M12905" t="s">
        <v>24905</v>
      </c>
      <c r="N12905" t="s">
        <v>14</v>
      </c>
    </row>
    <row r="12906" x14ac:dyDescent="0.25">
      <c r="A12906" t="n">
        <v>23</v>
      </c>
      <c r="B12906" t="s">
        <v>14</v>
      </c>
      <c r="C12906" t="s">
        <v>22</v>
      </c>
      <c r="D12906" s="2" t="s">
        <f>=HYPERLINK("https://main.knesset.gov.il/APPS/legislation/main/bills/2088487", "הצעת חוק ביטוח בריאות ממלכתי (תיקון - פטור מתשלום דמי ביטוח לקשיש מעל גיל 80 שמשתלמת לו גמלה להבטחת הכנסה), התש""ף-2020")</f>
        <v>24935</v>
      </c>
      <c r="E12906" t="s">
        <v>24935</v>
      </c>
      <c r="F12906" t="s">
        <v>24936</v>
      </c>
      <c r="G12906" t="s">
        <v>14</v>
      </c>
      <c r="H12906">
             </c>
      <c r="I12906" t="s">
        <v>14</v>
      </c>
      <c r="J12906" t="s">
        <v>141</v>
      </c>
      <c r="K12906" t="s">
        <v>14</v>
      </c>
      <c r="L12906" t="s">
        <v>20</v>
      </c>
      <c r="M12906" t="s">
        <v>24905</v>
      </c>
      <c r="N12906" t="s">
        <v>14</v>
      </c>
    </row>
    <row r="12907" x14ac:dyDescent="0.25">
      <c r="A12907" t="n">
        <v>23</v>
      </c>
      <c r="B12907" t="s">
        <v>14</v>
      </c>
      <c r="C12907" t="s">
        <v>22</v>
      </c>
      <c r="D12907" s="2" t="s">
        <f>=HYPERLINK("https://main.knesset.gov.il/APPS/legislation/main/bills/2140993", "הצעת חוק זכויות החולה (תיקון - הסכמה מדעת של קטין), התש""ף-2020")</f>
        <v>24937</v>
      </c>
      <c r="E12907" t="s">
        <v>24937</v>
      </c>
      <c r="F12907" t="s">
        <v>24938</v>
      </c>
      <c r="G12907" t="s">
        <v>14</v>
      </c>
      <c r="H12907">
             </c>
      <c r="I12907" t="s">
        <v>14</v>
      </c>
      <c r="J12907" t="s">
        <v>141</v>
      </c>
      <c r="K12907" t="s">
        <v>14</v>
      </c>
      <c r="L12907" t="s">
        <v>20</v>
      </c>
      <c r="M12907" t="s">
        <v>24905</v>
      </c>
      <c r="N12907" t="s">
        <v>14</v>
      </c>
    </row>
    <row r="12908" x14ac:dyDescent="0.25">
      <c r="A12908" t="n">
        <v>23</v>
      </c>
      <c r="B12908" t="s">
        <v>14</v>
      </c>
      <c r="C12908" t="s">
        <v>22</v>
      </c>
      <c r="D12908" s="2" t="s">
        <f>=HYPERLINK("https://main.knesset.gov.il/APPS/legislation/main/bills/2141581", "הצעת חוק לאיחוד קווי החירום הטלפוניים, התש""ף-2020")</f>
        <v>24939</v>
      </c>
      <c r="E12908" t="s">
        <v>24939</v>
      </c>
      <c r="F12908" t="s">
        <v>24940</v>
      </c>
      <c r="G12908" t="s">
        <v>14</v>
      </c>
      <c r="H12908">
             </c>
      <c r="I12908" t="s">
        <v>14</v>
      </c>
      <c r="J12908" t="s">
        <v>141</v>
      </c>
      <c r="K12908" t="s">
        <v>14</v>
      </c>
      <c r="L12908" t="s">
        <v>20</v>
      </c>
      <c r="M12908" t="s">
        <v>24905</v>
      </c>
      <c r="N12908" t="s">
        <v>14</v>
      </c>
    </row>
    <row r="12909" x14ac:dyDescent="0.25">
      <c r="A12909" t="n">
        <v>23</v>
      </c>
      <c r="B12909" t="s">
        <v>14</v>
      </c>
      <c r="C12909" t="s">
        <v>22</v>
      </c>
      <c r="D12909" s="2" t="s">
        <f>=HYPERLINK("https://main.knesset.gov.il/APPS/legislation/main/bills/2141854", "הצעת חוק פטור מתשלומים בעד ימי מילואים (תיקוני חקיקה), התש""ף-2020")</f>
        <v>24941</v>
      </c>
      <c r="E12909" t="s">
        <v>24941</v>
      </c>
      <c r="F12909" t="s">
        <v>24942</v>
      </c>
      <c r="G12909" t="s">
        <v>14</v>
      </c>
      <c r="H12909">
             </c>
      <c r="I12909" t="s">
        <v>14</v>
      </c>
      <c r="J12909" t="s">
        <v>141</v>
      </c>
      <c r="K12909" t="s">
        <v>14</v>
      </c>
      <c r="L12909" t="s">
        <v>20</v>
      </c>
      <c r="M12909" t="s">
        <v>24905</v>
      </c>
      <c r="N12909" t="s">
        <v>14</v>
      </c>
    </row>
    <row r="12910" x14ac:dyDescent="0.25">
      <c r="A12910" t="n">
        <v>23</v>
      </c>
      <c r="B12910" t="s">
        <v>14</v>
      </c>
      <c r="C12910" t="s">
        <v>22</v>
      </c>
      <c r="D12910" s="2" t="s">
        <f>=HYPERLINK("https://main.knesset.gov.il/APPS/legislation/main/bills/2141756", "הצעת חוק לפדיון שבויים, חטופים ונעדרים, התש""ף-2020")</f>
        <v>24943</v>
      </c>
      <c r="E12910" t="s">
        <v>24943</v>
      </c>
      <c r="F12910" t="s">
        <v>24944</v>
      </c>
      <c r="G12910" t="s">
        <v>14</v>
      </c>
      <c r="H12910">
             </c>
      <c r="I12910" t="s">
        <v>14</v>
      </c>
      <c r="J12910" t="s">
        <v>141</v>
      </c>
      <c r="K12910" t="s">
        <v>14</v>
      </c>
      <c r="L12910" t="s">
        <v>20</v>
      </c>
      <c r="M12910" t="s">
        <v>24905</v>
      </c>
      <c r="N12910" t="s">
        <v>14</v>
      </c>
    </row>
    <row r="12911" x14ac:dyDescent="0.25">
      <c r="A12911" t="n">
        <v>23</v>
      </c>
      <c r="B12911" t="s">
        <v>14</v>
      </c>
      <c r="C12911" t="s">
        <v>22</v>
      </c>
      <c r="D12911" s="2" t="s">
        <f>=HYPERLINK("https://main.knesset.gov.il/APPS/legislation/main/bills/2141320", "הצעת חוק פינוי ההתנחלות בחברון, התש""ף-2020")</f>
        <v>24945</v>
      </c>
      <c r="E12911" t="s">
        <v>24945</v>
      </c>
      <c r="F12911" t="s">
        <v>24946</v>
      </c>
      <c r="G12911" t="s">
        <v>14</v>
      </c>
      <c r="H12911">
             </c>
      <c r="I12911" t="s">
        <v>14</v>
      </c>
      <c r="J12911" t="s">
        <v>141</v>
      </c>
      <c r="K12911" t="s">
        <v>14</v>
      </c>
      <c r="L12911" t="s">
        <v>20</v>
      </c>
      <c r="M12911" t="s">
        <v>24905</v>
      </c>
      <c r="N12911" t="s">
        <v>14</v>
      </c>
    </row>
    <row r="12912" x14ac:dyDescent="0.25">
      <c r="A12912" t="n">
        <v>23</v>
      </c>
      <c r="B12912" t="s">
        <v>14</v>
      </c>
      <c r="C12912" t="s">
        <v>22</v>
      </c>
      <c r="D12912" s="2" t="s">
        <f>=HYPERLINK("https://main.knesset.gov.il/APPS/legislation/main/bills/2088104", "הצעת חוק לתיקון פקודת מס הכנסה (הגדלת שיעור הזיכוי ממס בתרומה למוסד ציבורי) (הוראת שעה), התש""ף-2020")</f>
        <v>23783</v>
      </c>
      <c r="E12912" t="s">
        <v>23783</v>
      </c>
      <c r="F12912" t="s">
        <v>24947</v>
      </c>
      <c r="G12912" t="s">
        <v>14</v>
      </c>
      <c r="H12912">
             </c>
      <c r="I12912" t="s">
        <v>14</v>
      </c>
      <c r="J12912" t="s">
        <v>141</v>
      </c>
      <c r="K12912" t="s">
        <v>14</v>
      </c>
      <c r="L12912" t="s">
        <v>20</v>
      </c>
      <c r="M12912" t="s">
        <v>24905</v>
      </c>
      <c r="N12912" t="s">
        <v>14</v>
      </c>
    </row>
    <row r="12913" x14ac:dyDescent="0.25">
      <c r="A12913" t="n">
        <v>23</v>
      </c>
      <c r="B12913" t="s">
        <v>14</v>
      </c>
      <c r="C12913" t="s">
        <v>22</v>
      </c>
      <c r="D12913" s="2" t="s">
        <f>=HYPERLINK("https://main.knesset.gov.il/APPS/legislation/main/bills/2088103", "הצעת חוק מס ערך מוסף (תיקון - פטור ממס למלכ""רים) (הוראת שעה), התש""ף-2020")</f>
        <v>24212</v>
      </c>
      <c r="E12913" t="s">
        <v>24212</v>
      </c>
      <c r="F12913" t="s">
        <v>24948</v>
      </c>
      <c r="G12913" t="s">
        <v>14</v>
      </c>
      <c r="H12913">
             </c>
      <c r="I12913" t="s">
        <v>14</v>
      </c>
      <c r="J12913" t="s">
        <v>141</v>
      </c>
      <c r="K12913" t="s">
        <v>14</v>
      </c>
      <c r="L12913" t="s">
        <v>20</v>
      </c>
      <c r="M12913" t="s">
        <v>24905</v>
      </c>
      <c r="N12913" t="s">
        <v>14</v>
      </c>
    </row>
    <row r="12914" x14ac:dyDescent="0.25">
      <c r="A12914" t="n">
        <v>23</v>
      </c>
      <c r="B12914" t="s">
        <v>14</v>
      </c>
      <c r="C12914" t="s">
        <v>22</v>
      </c>
      <c r="D12914" s="2" t="s">
        <f>=HYPERLINK("https://main.knesset.gov.il/APPS/legislation/main/bills/2141742", "הצעת חוק שעות עבודה ומנוחה (תיקון - הרחבת ועדת השרים), התש""ף-2020")</f>
        <v>24949</v>
      </c>
      <c r="E12914" t="s">
        <v>24949</v>
      </c>
      <c r="F12914" t="s">
        <v>24950</v>
      </c>
      <c r="G12914" t="s">
        <v>14</v>
      </c>
      <c r="H12914">
             </c>
      <c r="I12914" t="s">
        <v>14</v>
      </c>
      <c r="J12914" t="s">
        <v>141</v>
      </c>
      <c r="K12914" t="s">
        <v>14</v>
      </c>
      <c r="L12914" t="s">
        <v>20</v>
      </c>
      <c r="M12914" t="s">
        <v>24905</v>
      </c>
      <c r="N12914" t="s">
        <v>14</v>
      </c>
    </row>
    <row r="12915" x14ac:dyDescent="0.25">
      <c r="A12915" t="n">
        <v>23</v>
      </c>
      <c r="B12915" t="s">
        <v>14</v>
      </c>
      <c r="C12915" t="s">
        <v>22</v>
      </c>
      <c r="D12915" s="2" t="s">
        <f>=HYPERLINK("https://main.knesset.gov.il/APPS/legislation/main/bills/2141985", "הצעת חוק הסכמים לנשיאת עוברים (אישור הסכם ומעמד היילוד) (תיקון - הרחבת הזכאות להליכי נשיאת עוברים), התש""ף-2020")</f>
        <v>24951</v>
      </c>
      <c r="E12915" t="s">
        <v>24951</v>
      </c>
      <c r="F12915" t="s">
        <v>24952</v>
      </c>
      <c r="G12915" t="s">
        <v>14</v>
      </c>
      <c r="H12915">
             </c>
      <c r="I12915" t="s">
        <v>14</v>
      </c>
      <c r="J12915" t="s">
        <v>141</v>
      </c>
      <c r="K12915" t="s">
        <v>14</v>
      </c>
      <c r="L12915" t="s">
        <v>20</v>
      </c>
      <c r="M12915" t="s">
        <v>24905</v>
      </c>
      <c r="N12915" t="s">
        <v>14</v>
      </c>
    </row>
    <row r="12916" x14ac:dyDescent="0.25">
      <c r="A12916" t="n">
        <v>23</v>
      </c>
      <c r="B12916" t="s">
        <v>14</v>
      </c>
      <c r="C12916" t="s">
        <v>22</v>
      </c>
      <c r="D12916" s="2" t="s">
        <f>=HYPERLINK("https://main.knesset.gov.il/APPS/legislation/main/bills/2088077", "הצעת חוק לפיצוי עסקים בשל סגירת עסקיהם במצב חירום, התש""ף-2020 ")</f>
        <v>24953</v>
      </c>
      <c r="E12916" t="s">
        <v>24953</v>
      </c>
      <c r="F12916" t="s">
        <v>24954</v>
      </c>
      <c r="G12916" t="s">
        <v>14</v>
      </c>
      <c r="H12916">
             </c>
      <c r="I12916" t="s">
        <v>14</v>
      </c>
      <c r="J12916" t="s">
        <v>141</v>
      </c>
      <c r="K12916" t="s">
        <v>14</v>
      </c>
      <c r="L12916" t="s">
        <v>20</v>
      </c>
      <c r="M12916" t="s">
        <v>24905</v>
      </c>
      <c r="N12916" t="s">
        <v>14</v>
      </c>
    </row>
    <row r="12917" x14ac:dyDescent="0.25">
      <c r="A12917" t="n">
        <v>23</v>
      </c>
      <c r="B12917" t="s">
        <v>14</v>
      </c>
      <c r="C12917" t="s">
        <v>22</v>
      </c>
      <c r="D12917" s="2" t="s">
        <f>=HYPERLINK("https://main.knesset.gov.il/APPS/legislation/main/bills/2088146", "הצעת חוק מס ערך מוסף (תיקון - דחיית תשלום בתקופת חירום) (הוראת שעה), התש""ף-2020")</f>
        <v>24955</v>
      </c>
      <c r="E12917" t="s">
        <v>24955</v>
      </c>
      <c r="F12917" t="s">
        <v>24956</v>
      </c>
      <c r="G12917" t="s">
        <v>14</v>
      </c>
      <c r="H12917">
             </c>
      <c r="I12917" t="s">
        <v>14</v>
      </c>
      <c r="J12917" t="s">
        <v>141</v>
      </c>
      <c r="K12917" t="s">
        <v>14</v>
      </c>
      <c r="L12917" t="s">
        <v>20</v>
      </c>
      <c r="M12917" t="s">
        <v>24905</v>
      </c>
      <c r="N12917" t="s">
        <v>14</v>
      </c>
    </row>
    <row r="12918" x14ac:dyDescent="0.25">
      <c r="A12918" t="n">
        <v>23</v>
      </c>
      <c r="B12918" t="s">
        <v>14</v>
      </c>
      <c r="C12918" t="s">
        <v>22</v>
      </c>
      <c r="D12918" s="2" t="s">
        <f>=HYPERLINK("https://main.knesset.gov.il/APPS/legislation/main/bills/2140234", "הצעת חוק דמי מחלה (היעדרות בשל מחלת ילד) (תיקון - בן זוג לומד), התש""ף-2020")</f>
        <v>24957</v>
      </c>
      <c r="E12918" t="s">
        <v>24957</v>
      </c>
      <c r="F12918" t="s">
        <v>24958</v>
      </c>
      <c r="G12918" t="s">
        <v>14</v>
      </c>
      <c r="H12918">
             </c>
      <c r="I12918" t="s">
        <v>14</v>
      </c>
      <c r="J12918" t="s">
        <v>141</v>
      </c>
      <c r="K12918" t="s">
        <v>14</v>
      </c>
      <c r="L12918" t="s">
        <v>20</v>
      </c>
      <c r="M12918" t="s">
        <v>24905</v>
      </c>
      <c r="N12918" t="s">
        <v>14</v>
      </c>
    </row>
    <row r="12919" x14ac:dyDescent="0.25">
      <c r="A12919" t="n">
        <v>23</v>
      </c>
      <c r="B12919" t="s">
        <v>14</v>
      </c>
      <c r="C12919" t="s">
        <v>22</v>
      </c>
      <c r="D12919" s="2" t="s">
        <f>=HYPERLINK("https://main.knesset.gov.il/APPS/legislation/main/bills/2088419", "הצעת חוק ביטוח בריאות ממלכתי (תיקון - מחלה נדירה), התש""ף-2020")</f>
        <v>24959</v>
      </c>
      <c r="E12919" t="s">
        <v>24959</v>
      </c>
      <c r="F12919" t="s">
        <v>24960</v>
      </c>
      <c r="G12919" t="s">
        <v>14</v>
      </c>
      <c r="H12919">
             </c>
      <c r="I12919" t="s">
        <v>14</v>
      </c>
      <c r="J12919" t="s">
        <v>141</v>
      </c>
      <c r="K12919" t="s">
        <v>14</v>
      </c>
      <c r="L12919" t="s">
        <v>20</v>
      </c>
      <c r="M12919" t="s">
        <v>24905</v>
      </c>
      <c r="N12919" t="s">
        <v>14</v>
      </c>
    </row>
    <row r="12920" x14ac:dyDescent="0.25">
      <c r="A12920" t="n">
        <v>23</v>
      </c>
      <c r="B12920" t="s">
        <v>14</v>
      </c>
      <c r="C12920" t="s">
        <v>22</v>
      </c>
      <c r="D12920" s="2" t="s">
        <f>=HYPERLINK("https://main.knesset.gov.il/APPS/legislation/main/bills/2088427", "הצעת חוק הביטוח הלאומי (תיקון - זכאות להטבות לקטועי ידיים על פי הסכם הניידות), התש""ף-2020")</f>
        <v>24961</v>
      </c>
      <c r="E12920" t="s">
        <v>24961</v>
      </c>
      <c r="F12920" t="s">
        <v>24962</v>
      </c>
      <c r="G12920" t="s">
        <v>14</v>
      </c>
      <c r="H12920">
             </c>
      <c r="I12920" t="s">
        <v>14</v>
      </c>
      <c r="J12920" t="s">
        <v>141</v>
      </c>
      <c r="K12920" t="s">
        <v>14</v>
      </c>
      <c r="L12920" t="s">
        <v>20</v>
      </c>
      <c r="M12920" t="s">
        <v>24905</v>
      </c>
      <c r="N12920" t="s">
        <v>14</v>
      </c>
    </row>
    <row r="12921" x14ac:dyDescent="0.25">
      <c r="A12921" t="n">
        <v>23</v>
      </c>
      <c r="B12921" t="s">
        <v>14</v>
      </c>
      <c r="C12921" t="s">
        <v>22</v>
      </c>
      <c r="D12921" s="2" t="s">
        <f>=HYPERLINK("https://main.knesset.gov.il/APPS/legislation/main/bills/2141340", "הצעת חוק הטבות לניצולי שואה (תיקון - זכאות למענק הטבות שנתי לבן זוג של ניצול שואה שנפטר), התש''ף-2020")</f>
        <v>24963</v>
      </c>
      <c r="E12921" t="s">
        <v>24963</v>
      </c>
      <c r="F12921" t="s">
        <v>24964</v>
      </c>
      <c r="G12921" t="s">
        <v>14</v>
      </c>
      <c r="H12921">
             </c>
      <c r="I12921" t="s">
        <v>14</v>
      </c>
      <c r="J12921" t="s">
        <v>141</v>
      </c>
      <c r="K12921" t="s">
        <v>14</v>
      </c>
      <c r="L12921" t="s">
        <v>20</v>
      </c>
      <c r="M12921" t="s">
        <v>24905</v>
      </c>
      <c r="N12921" t="s">
        <v>14</v>
      </c>
    </row>
    <row r="12922" x14ac:dyDescent="0.25">
      <c r="A12922" t="n">
        <v>23</v>
      </c>
      <c r="B12922" t="s">
        <v>14</v>
      </c>
      <c r="C12922" t="s">
        <v>22</v>
      </c>
      <c r="D12922" s="2" t="s">
        <f>=HYPERLINK("https://main.knesset.gov.il/APPS/legislation/main/bills/2141330", "הצעת חוק האזרחים הוותיקים (תיקון - לחצן מצוקה לקשיש), התש""ף-2020")</f>
        <v>24965</v>
      </c>
      <c r="E12922" t="s">
        <v>24965</v>
      </c>
      <c r="F12922" t="s">
        <v>24966</v>
      </c>
      <c r="G12922" t="s">
        <v>14</v>
      </c>
      <c r="H12922">
             </c>
      <c r="I12922" t="s">
        <v>14</v>
      </c>
      <c r="J12922" t="s">
        <v>141</v>
      </c>
      <c r="K12922" t="s">
        <v>14</v>
      </c>
      <c r="L12922" t="s">
        <v>20</v>
      </c>
      <c r="M12922" t="s">
        <v>24905</v>
      </c>
      <c r="N12922" t="s">
        <v>14</v>
      </c>
    </row>
    <row r="12923" x14ac:dyDescent="0.25">
      <c r="A12923" t="n">
        <v>23</v>
      </c>
      <c r="B12923" t="s">
        <v>14</v>
      </c>
      <c r="C12923" t="s">
        <v>22</v>
      </c>
      <c r="D12923" s="2" t="s">
        <f>=HYPERLINK("https://main.knesset.gov.il/APPS/legislation/main/bills/2141311", "הצעת חוק הפקדות וזכויות סוציאליות לעצמאיים (תיקוני חקיקה), התש""ף-2020")</f>
        <v>24967</v>
      </c>
      <c r="E12923" t="s">
        <v>24967</v>
      </c>
      <c r="F12923" t="s">
        <v>24968</v>
      </c>
      <c r="G12923" t="s">
        <v>14</v>
      </c>
      <c r="H12923">
             </c>
      <c r="I12923" t="s">
        <v>14</v>
      </c>
      <c r="J12923" t="s">
        <v>141</v>
      </c>
      <c r="K12923" t="s">
        <v>14</v>
      </c>
      <c r="L12923" t="s">
        <v>20</v>
      </c>
      <c r="M12923" t="s">
        <v>24905</v>
      </c>
      <c r="N12923" t="s">
        <v>14</v>
      </c>
    </row>
    <row r="12924" x14ac:dyDescent="0.25">
      <c r="A12924" t="n">
        <v>23</v>
      </c>
      <c r="B12924" t="s">
        <v>14</v>
      </c>
      <c r="C12924" t="s">
        <v>22</v>
      </c>
      <c r="D12924" s="2" t="s">
        <f>=HYPERLINK("https://main.knesset.gov.il/APPS/legislation/main/bills/2139679", "הצעת חוק הפיקוח על שירותים פיננסיים (קופות גמל) (תיקון - שלילת זכאות לקצבאות ולפיצויי פיטורים עקב ביצוע פעילות טרור), התש""ף-2020")</f>
        <v>24969</v>
      </c>
      <c r="E12924" t="s">
        <v>24969</v>
      </c>
      <c r="F12924" t="s">
        <v>24970</v>
      </c>
      <c r="G12924" t="s">
        <v>14</v>
      </c>
      <c r="H12924">
             </c>
      <c r="I12924" t="s">
        <v>14</v>
      </c>
      <c r="J12924" t="s">
        <v>141</v>
      </c>
      <c r="K12924" t="s">
        <v>14</v>
      </c>
      <c r="L12924" t="s">
        <v>20</v>
      </c>
      <c r="M12924" t="s">
        <v>24905</v>
      </c>
      <c r="N12924" t="s">
        <v>14</v>
      </c>
    </row>
    <row r="12925" x14ac:dyDescent="0.25">
      <c r="A12925" t="n">
        <v>23</v>
      </c>
      <c r="B12925" t="s">
        <v>14</v>
      </c>
      <c r="C12925" t="s">
        <v>22</v>
      </c>
      <c r="D12925" s="2" t="s">
        <f>=HYPERLINK("https://main.knesset.gov.il/APPS/legislation/main/bills/2087271", "הצעת חוק למניעת הטרדה מינית (תיקון - הרחבת התחולה לגבי מוסד ציבורי הנותן שירות חיוני), התש""ף-2020")</f>
        <v>24971</v>
      </c>
      <c r="E12925" t="s">
        <v>24971</v>
      </c>
      <c r="F12925" t="s">
        <v>24972</v>
      </c>
      <c r="G12925" t="s">
        <v>14</v>
      </c>
      <c r="H12925">
             </c>
      <c r="I12925" t="s">
        <v>14</v>
      </c>
      <c r="J12925" t="s">
        <v>141</v>
      </c>
      <c r="K12925" t="s">
        <v>14</v>
      </c>
      <c r="L12925" t="s">
        <v>20</v>
      </c>
      <c r="M12925" t="s">
        <v>24905</v>
      </c>
      <c r="N12925" t="s">
        <v>14</v>
      </c>
    </row>
    <row r="12926" x14ac:dyDescent="0.25">
      <c r="A12926" t="n">
        <v>23</v>
      </c>
      <c r="B12926" t="s">
        <v>14</v>
      </c>
      <c r="C12926" t="s">
        <v>22</v>
      </c>
      <c r="D12926" s="2" t="s">
        <f>=HYPERLINK("https://main.knesset.gov.il/APPS/legislation/main/bills/2087725", "הצעת חוק ליצירת תחרות והגדלת זמינות האשראי, התש""ף-2020")</f>
        <v>24973</v>
      </c>
      <c r="E12926" t="s">
        <v>24973</v>
      </c>
      <c r="F12926" t="s">
        <v>24974</v>
      </c>
      <c r="G12926" t="s">
        <v>14</v>
      </c>
      <c r="H12926">
             </c>
      <c r="I12926" t="s">
        <v>14</v>
      </c>
      <c r="J12926" t="s">
        <v>141</v>
      </c>
      <c r="K12926" t="s">
        <v>14</v>
      </c>
      <c r="L12926" t="s">
        <v>20</v>
      </c>
      <c r="M12926" t="s">
        <v>24905</v>
      </c>
      <c r="N12926" t="s">
        <v>14</v>
      </c>
    </row>
    <row r="12927" x14ac:dyDescent="0.25">
      <c r="A12927" t="n">
        <v>23</v>
      </c>
      <c r="B12927" t="s">
        <v>14</v>
      </c>
      <c r="C12927" t="s">
        <v>22</v>
      </c>
      <c r="D12927" s="2" t="s">
        <f>=HYPERLINK("https://main.knesset.gov.il/APPS/legislation/main/bills/2087278", "הצעת חוק למניעת הטרדה מינית (תיקון - הטלת חובות לשם מניעת הטרדה מינית במוסד חינוך), התש""ף-2020")</f>
        <v>24182</v>
      </c>
      <c r="E12927" t="s">
        <v>24182</v>
      </c>
      <c r="F12927" t="s">
        <v>24975</v>
      </c>
      <c r="G12927" t="s">
        <v>14</v>
      </c>
      <c r="H12927">
             </c>
      <c r="I12927" t="s">
        <v>14</v>
      </c>
      <c r="J12927" t="s">
        <v>141</v>
      </c>
      <c r="K12927" t="s">
        <v>14</v>
      </c>
      <c r="L12927" t="s">
        <v>20</v>
      </c>
      <c r="M12927" t="s">
        <v>24905</v>
      </c>
      <c r="N12927" t="s">
        <v>14</v>
      </c>
    </row>
    <row r="12928" x14ac:dyDescent="0.25">
      <c r="A12928" t="n">
        <v>23</v>
      </c>
      <c r="B12928" t="s">
        <v>14</v>
      </c>
      <c r="C12928" t="s">
        <v>22</v>
      </c>
      <c r="D12928" s="2" t="s">
        <f>=HYPERLINK("https://main.knesset.gov.il/APPS/legislation/main/bills/2088492", "הצעת חוק למניעת הטרדה מינית (תיקון - הטרדת קטין), התש""ף-2020")</f>
        <v>24186</v>
      </c>
      <c r="E12928" t="s">
        <v>24186</v>
      </c>
      <c r="F12928" t="s">
        <v>24976</v>
      </c>
      <c r="G12928" t="s">
        <v>14</v>
      </c>
      <c r="H12928">
             </c>
      <c r="I12928" t="s">
        <v>14</v>
      </c>
      <c r="J12928" t="s">
        <v>141</v>
      </c>
      <c r="K12928" t="s">
        <v>14</v>
      </c>
      <c r="L12928" t="s">
        <v>20</v>
      </c>
      <c r="M12928" t="s">
        <v>24905</v>
      </c>
      <c r="N12928" t="s">
        <v>14</v>
      </c>
    </row>
    <row r="12929" x14ac:dyDescent="0.25">
      <c r="A12929" t="n">
        <v>23</v>
      </c>
      <c r="B12929" t="s">
        <v>14</v>
      </c>
      <c r="C12929" t="s">
        <v>22</v>
      </c>
      <c r="D12929" s="2" t="s">
        <f>=HYPERLINK("https://main.knesset.gov.il/APPS/legislation/main/bills/2140178", "הצעת חוק שיווי זכויות האישה (תיקון - ייצוג הולם לנשים בוועדות ציבוריות ברשויות המקומיות), התש""ף-2020")</f>
        <v>24977</v>
      </c>
      <c r="E12929" t="s">
        <v>24977</v>
      </c>
      <c r="F12929" t="s">
        <v>24978</v>
      </c>
      <c r="G12929" t="s">
        <v>14</v>
      </c>
      <c r="H12929">
             </c>
      <c r="I12929" t="s">
        <v>14</v>
      </c>
      <c r="J12929" t="s">
        <v>141</v>
      </c>
      <c r="K12929" t="s">
        <v>14</v>
      </c>
      <c r="L12929" t="s">
        <v>20</v>
      </c>
      <c r="M12929" t="s">
        <v>24905</v>
      </c>
      <c r="N12929" t="s">
        <v>14</v>
      </c>
    </row>
    <row r="12930" x14ac:dyDescent="0.25">
      <c r="A12930" t="n">
        <v>23</v>
      </c>
      <c r="B12930" t="s">
        <v>14</v>
      </c>
      <c r="C12930" t="s">
        <v>22</v>
      </c>
      <c r="D12930" s="2" t="s">
        <f>=HYPERLINK("https://main.knesset.gov.il/APPS/legislation/main/bills/2140180", "הצעת חוק הגנה על עובדים בשעת חירום (תיקון - תשלום שכר בעד היעדרות בשל ביטול יום לימודים במוסד חינוך), התש""ף-2020")</f>
        <v>24979</v>
      </c>
      <c r="E12930" t="s">
        <v>24979</v>
      </c>
      <c r="F12930" t="s">
        <v>24980</v>
      </c>
      <c r="G12930" t="s">
        <v>14</v>
      </c>
      <c r="H12930">
             </c>
      <c r="I12930" t="s">
        <v>14</v>
      </c>
      <c r="J12930" t="s">
        <v>141</v>
      </c>
      <c r="K12930" t="s">
        <v>14</v>
      </c>
      <c r="L12930" t="s">
        <v>20</v>
      </c>
      <c r="M12930" t="s">
        <v>24905</v>
      </c>
      <c r="N12930" t="s">
        <v>14</v>
      </c>
    </row>
    <row r="12931" x14ac:dyDescent="0.25">
      <c r="A12931" t="n">
        <v>23</v>
      </c>
      <c r="B12931" t="s">
        <v>14</v>
      </c>
      <c r="C12931" t="s">
        <v>22</v>
      </c>
      <c r="D12931" s="2" t="s">
        <f>=HYPERLINK("https://main.knesset.gov.il/APPS/legislation/main/bills/2087157", "הצעת חוק הביטוח הלאומי (תיקון - דמי ביטוח מופחתים לסטודנטים), התש""ף-2020")</f>
        <v>24715</v>
      </c>
      <c r="E12931" t="s">
        <v>24715</v>
      </c>
      <c r="F12931" t="s">
        <v>24981</v>
      </c>
      <c r="G12931" t="s">
        <v>14</v>
      </c>
      <c r="H12931">
             </c>
      <c r="I12931" t="s">
        <v>14</v>
      </c>
      <c r="J12931" t="s">
        <v>141</v>
      </c>
      <c r="K12931" t="s">
        <v>14</v>
      </c>
      <c r="L12931" t="s">
        <v>20</v>
      </c>
      <c r="M12931" t="s">
        <v>24982</v>
      </c>
      <c r="N12931" t="s">
        <v>14</v>
      </c>
    </row>
    <row r="12932" x14ac:dyDescent="0.25">
      <c r="A12932" t="n">
        <v>23</v>
      </c>
      <c r="B12932" t="s">
        <v>14</v>
      </c>
      <c r="C12932" t="s">
        <v>22</v>
      </c>
      <c r="D12932" s="2" t="s">
        <f>=HYPERLINK("https://main.knesset.gov.il/APPS/legislation/main/bills/2086108", "הצעת חוק הבטחת הכנסה (תיקון - הגדלת הגמלה), התש""ף-2020")</f>
        <v>24983</v>
      </c>
      <c r="E12932" t="s">
        <v>24983</v>
      </c>
      <c r="F12932" t="s">
        <v>24984</v>
      </c>
      <c r="G12932" t="s">
        <v>14</v>
      </c>
      <c r="H12932">
             </c>
      <c r="I12932" t="s">
        <v>14</v>
      </c>
      <c r="J12932" t="s">
        <v>55</v>
      </c>
      <c r="K12932" t="s">
        <v>14</v>
      </c>
      <c r="L12932" t="s">
        <v>20</v>
      </c>
      <c r="M12932" t="s">
        <v>24982</v>
      </c>
      <c r="N12932" t="s">
        <v>14</v>
      </c>
    </row>
    <row r="12933" x14ac:dyDescent="0.25">
      <c r="A12933" t="n">
        <v>23</v>
      </c>
      <c r="B12933" t="s">
        <v>14</v>
      </c>
      <c r="C12933" t="s">
        <v>22</v>
      </c>
      <c r="D12933" s="2" t="s">
        <f>=HYPERLINK("https://main.knesset.gov.il/APPS/legislation/main/bills/2086180", "הצעת חוק הביטוח הלאומי (תיקון - השוואת קצבת נכות לשכר המינימום), התש""ף-2020")</f>
        <v>24748</v>
      </c>
      <c r="E12933" t="s">
        <v>24748</v>
      </c>
      <c r="F12933" t="s">
        <v>24985</v>
      </c>
      <c r="G12933" t="s">
        <v>14</v>
      </c>
      <c r="H12933">
             </c>
      <c r="I12933" t="s">
        <v>14</v>
      </c>
      <c r="J12933" t="s">
        <v>55</v>
      </c>
      <c r="K12933" t="s">
        <v>14</v>
      </c>
      <c r="L12933" t="s">
        <v>20</v>
      </c>
      <c r="M12933" t="s">
        <v>24982</v>
      </c>
      <c r="N12933" t="s">
        <v>14</v>
      </c>
    </row>
    <row r="12934" x14ac:dyDescent="0.25">
      <c r="A12934" t="n">
        <v>23</v>
      </c>
      <c r="B12934" t="s">
        <v>14</v>
      </c>
      <c r="C12934" t="s">
        <v>22</v>
      </c>
      <c r="D12934" s="2" t="s">
        <f>=HYPERLINK("https://main.knesset.gov.il/APPS/legislation/main/bills/2085954", "הצעת חוק הביטוח הלאומי (תיקון - השוואת קצבת הנכות לשכר מינימום), התש""ף-2020")</f>
        <v>24986</v>
      </c>
      <c r="E12934" t="s">
        <v>24986</v>
      </c>
      <c r="F12934" t="s">
        <v>24987</v>
      </c>
      <c r="G12934" t="s">
        <v>14</v>
      </c>
      <c r="H12934">
             </c>
      <c r="I12934" t="s">
        <v>14</v>
      </c>
      <c r="J12934" t="s">
        <v>55</v>
      </c>
      <c r="K12934" t="s">
        <v>14</v>
      </c>
      <c r="L12934" t="s">
        <v>20</v>
      </c>
      <c r="M12934" t="s">
        <v>24982</v>
      </c>
      <c r="N12934" t="s">
        <v>14</v>
      </c>
    </row>
    <row r="12935" x14ac:dyDescent="0.25">
      <c r="A12935" t="n">
        <v>23</v>
      </c>
      <c r="B12935" t="s">
        <v>14</v>
      </c>
      <c r="C12935" t="s">
        <v>22</v>
      </c>
      <c r="D12935" s="2" t="s">
        <f>=HYPERLINK("https://main.knesset.gov.il/APPS/legislation/main/bills/2085973", "הצעת חוק הפרשנות (תיקון - הגדרת הפליה על רקע נטייה מינית או זהות מגדר), התש""ף-2020")</f>
        <v>24988</v>
      </c>
      <c r="E12935" t="s">
        <v>24988</v>
      </c>
      <c r="F12935" t="s">
        <v>24989</v>
      </c>
      <c r="G12935" t="s">
        <v>14</v>
      </c>
      <c r="H12935">
             </c>
      <c r="I12935" t="s">
        <v>14</v>
      </c>
      <c r="J12935" t="s">
        <v>55</v>
      </c>
      <c r="K12935" t="s">
        <v>14</v>
      </c>
      <c r="L12935" t="s">
        <v>20</v>
      </c>
      <c r="M12935" t="s">
        <v>24982</v>
      </c>
      <c r="N12935" t="s">
        <v>14</v>
      </c>
    </row>
    <row r="12936" x14ac:dyDescent="0.25">
      <c r="A12936" t="n">
        <v>23</v>
      </c>
      <c r="B12936" t="s">
        <v>14</v>
      </c>
      <c r="C12936" t="s">
        <v>22</v>
      </c>
      <c r="D12936" s="2" t="s">
        <f>=HYPERLINK("https://main.knesset.gov.il/APPS/legislation/main/bills/2085727", "הצעת חוק הפרשנות (תיקון - הגדרת הפליה על רקע זהות מגדרית או נטייה מינית), התש""ף-2020")</f>
        <v>24548</v>
      </c>
      <c r="E12936" t="s">
        <v>24548</v>
      </c>
      <c r="F12936" t="s">
        <v>24990</v>
      </c>
      <c r="G12936" t="s">
        <v>14</v>
      </c>
      <c r="H12936">
             </c>
      <c r="I12936" t="s">
        <v>14</v>
      </c>
      <c r="J12936" t="s">
        <v>55</v>
      </c>
      <c r="K12936" t="s">
        <v>14</v>
      </c>
      <c r="L12936" t="s">
        <v>20</v>
      </c>
      <c r="M12936" t="s">
        <v>24982</v>
      </c>
      <c r="N12936" t="s">
        <v>14</v>
      </c>
    </row>
    <row r="12937" x14ac:dyDescent="0.25">
      <c r="A12937" t="n">
        <v>23</v>
      </c>
      <c r="B12937" t="s">
        <v>14</v>
      </c>
      <c r="C12937" t="s">
        <v>22</v>
      </c>
      <c r="D12937" s="2" t="s">
        <f>=HYPERLINK("https://main.knesset.gov.il/APPS/legislation/main/bills/2085680", "הצעת חוק למניעת אלימות כלכלית בין בני זוג ובני משפחה, התש""ף-2020")</f>
        <v>24991</v>
      </c>
      <c r="E12937" t="s">
        <v>24991</v>
      </c>
      <c r="F12937" t="s">
        <v>24992</v>
      </c>
      <c r="G12937" t="s">
        <v>14</v>
      </c>
      <c r="H12937">
             </c>
      <c r="I12937" t="s">
        <v>14</v>
      </c>
      <c r="J12937" t="s">
        <v>343</v>
      </c>
      <c r="K12937" t="s">
        <v>14</v>
      </c>
      <c r="L12937" t="s">
        <v>20</v>
      </c>
      <c r="M12937" t="s">
        <v>24982</v>
      </c>
      <c r="N12937" t="s">
        <v>14</v>
      </c>
    </row>
    <row r="12938" x14ac:dyDescent="0.25">
      <c r="A12938" t="n">
        <v>23</v>
      </c>
      <c r="B12938" t="s">
        <v>14</v>
      </c>
      <c r="C12938" t="s">
        <v>22</v>
      </c>
      <c r="D12938" s="2" t="s">
        <f>=HYPERLINK("https://main.knesset.gov.il/APPS/legislation/main/bills/2087190", "הצעת חוק מיסוי מקרקעין (שבח ורכישה) (תיקון - הארכת התקופה לשחלוף דירה עקב משבר הקורונה), התש""ף-2020")</f>
        <v>24993</v>
      </c>
      <c r="E12938" t="s">
        <v>24993</v>
      </c>
      <c r="F12938" t="s">
        <v>24994</v>
      </c>
      <c r="G12938" t="s">
        <v>14</v>
      </c>
      <c r="H12938">
             </c>
      <c r="I12938" t="s">
        <v>14</v>
      </c>
      <c r="J12938" t="s">
        <v>99</v>
      </c>
      <c r="K12938" t="s">
        <v>85</v>
      </c>
      <c r="L12938" t="s">
        <v>20</v>
      </c>
      <c r="M12938" t="s">
        <v>24995</v>
      </c>
      <c r="N12938" t="s">
        <v>14</v>
      </c>
    </row>
    <row r="12939" x14ac:dyDescent="0.25">
      <c r="A12939" t="n">
        <v>23</v>
      </c>
      <c r="B12939" t="s">
        <v>14</v>
      </c>
      <c r="C12939" t="s">
        <v>15</v>
      </c>
      <c r="D12939" s="2" t="s">
        <f>=HYPERLINK("https://main.knesset.gov.il/APPS/legislation/main/bills/2142247", "חוק לתיקון ולקיום תוקפן של תקנות שעת חירום (נגיף הקורונה החדש – הגבלת פעילות) (תיקון), התש""ף-2020 ")</f>
        <v>24996</v>
      </c>
      <c r="E12939" t="s">
        <v>24996</v>
      </c>
      <c r="F12939" t="s">
        <v>14</v>
      </c>
      <c r="G12939" t="s">
        <v>24997</v>
      </c>
      <c r="H12939" t="n">
        <v>2821</v>
      </c>
      <c r="I12939" t="s">
        <v>14</v>
      </c>
      <c r="J12939" t="s">
        <v>91</v>
      </c>
      <c r="K12939" t="s">
        <v>24998</v>
      </c>
      <c r="L12939" t="s">
        <v>20</v>
      </c>
      <c r="M12939" t="s">
        <v>24999</v>
      </c>
      <c r="N12939" t="s">
        <v>25000</v>
      </c>
    </row>
    <row r="12940" x14ac:dyDescent="0.25">
      <c r="A12940" t="n">
        <v>23</v>
      </c>
      <c r="B12940" t="s">
        <v>14</v>
      </c>
      <c r="C12940" t="s">
        <v>15</v>
      </c>
      <c r="D12940" s="2" t="s">
        <f>=HYPERLINK("https://main.knesset.gov.il/APPS/legislation/main/bills/2088214", "חוק הביטוח הלאומי (נגיף הקורונה החדש - הוראת שעה - תיקון מס' 216) (הוראות מיוחדות לעניין ביטוח אבטלה), התש""ף-2020")</f>
        <v>25001</v>
      </c>
      <c r="E12940" t="s">
        <v>25001</v>
      </c>
      <c r="F12940" t="s">
        <v>14</v>
      </c>
      <c r="G12940" t="s">
        <v>25002</v>
      </c>
      <c r="H12940" t="n">
        <v>2822</v>
      </c>
      <c r="I12940" t="s">
        <v>14</v>
      </c>
      <c r="J12940" t="s">
        <v>91</v>
      </c>
      <c r="K12940" t="s">
        <v>15147</v>
      </c>
      <c r="L12940" t="s">
        <v>20</v>
      </c>
      <c r="M12940" t="s">
        <v>24999</v>
      </c>
      <c r="N12940" t="s">
        <v>25003</v>
      </c>
    </row>
    <row r="12941" x14ac:dyDescent="0.25">
      <c r="A12941" t="n">
        <v>23</v>
      </c>
      <c r="B12941" t="s">
        <v>14</v>
      </c>
      <c r="C12941" t="s">
        <v>15</v>
      </c>
      <c r="D12941" s="2" t="s">
        <f>=HYPERLINK("https://main.knesset.gov.il/APPS/legislation/main/bills/2141248", "חוק קליטת חיילים משוחררים (נגיף הקורונה החדש – הוראת שעה – תיקון מס' 20) (מימוש חלק מהפיקדון לכל מטרה), התש""ף–2020")</f>
        <v>25004</v>
      </c>
      <c r="E12941" t="s">
        <v>25004</v>
      </c>
      <c r="F12941" t="s">
        <v>14</v>
      </c>
      <c r="G12941" t="s">
        <v>25005</v>
      </c>
      <c r="H12941" t="n">
        <v>2824</v>
      </c>
      <c r="I12941" t="s">
        <v>14</v>
      </c>
      <c r="J12941" t="s">
        <v>91</v>
      </c>
      <c r="K12941" t="s">
        <v>25006</v>
      </c>
      <c r="L12941" t="s">
        <v>20</v>
      </c>
      <c r="M12941" t="s">
        <v>24999</v>
      </c>
      <c r="N12941" t="s">
        <v>25007</v>
      </c>
    </row>
    <row r="12942" x14ac:dyDescent="0.25">
      <c r="A12942" t="n">
        <v>23</v>
      </c>
      <c r="B12942" t="s">
        <v>14</v>
      </c>
      <c r="C12942" t="s">
        <v>15</v>
      </c>
      <c r="D12942" s="2" t="s">
        <f>=HYPERLINK("https://main.knesset.gov.il/APPS/legislation/main/bills/2141705", "חוק לתיקון ולקיום תוקפן של תקנות שעת חירום (נגיף הקורונה החדש – אכיפה) (תיקון מס' 2), התש""ף-2020")</f>
        <v>25008</v>
      </c>
      <c r="E12942" t="s">
        <v>25008</v>
      </c>
      <c r="F12942" t="s">
        <v>14</v>
      </c>
      <c r="G12942" t="s">
        <v>25009</v>
      </c>
      <c r="H12942" t="n">
        <v>2823</v>
      </c>
      <c r="I12942" t="s">
        <v>14</v>
      </c>
      <c r="J12942" t="s">
        <v>91</v>
      </c>
      <c r="K12942" t="s">
        <v>27</v>
      </c>
      <c r="L12942" t="s">
        <v>20</v>
      </c>
      <c r="M12942" t="s">
        <v>24999</v>
      </c>
      <c r="N12942" t="s">
        <v>25010</v>
      </c>
    </row>
    <row r="12943" x14ac:dyDescent="0.25">
      <c r="A12943" t="n">
        <v>23</v>
      </c>
      <c r="B12943" t="s">
        <v>14</v>
      </c>
      <c r="C12943" t="s">
        <v>22</v>
      </c>
      <c r="D12943" s="2" t="s">
        <f>=HYPERLINK("https://main.knesset.gov.il/APPS/legislation/main/bills/2087276", "הצעת חוק קליטת חיילים משוחררים (תיקון - מימוש כספי פיקדון בשל נגיף הקורונה) (הוראת שעה), התש""ף-2020")</f>
        <v>25011</v>
      </c>
      <c r="E12943" t="s">
        <v>25011</v>
      </c>
      <c r="F12943" t="s">
        <v>25012</v>
      </c>
      <c r="G12943" t="s">
        <v>14</v>
      </c>
      <c r="H12943">
             </c>
      <c r="I12943" t="s">
        <v>14</v>
      </c>
      <c r="J12943" t="s">
        <v>99</v>
      </c>
      <c r="K12943" t="s">
        <v>25006</v>
      </c>
      <c r="L12943" t="s">
        <v>20</v>
      </c>
      <c r="M12943" t="s">
        <v>24999</v>
      </c>
      <c r="N12943" t="s">
        <v>14</v>
      </c>
    </row>
    <row r="12944" x14ac:dyDescent="0.25">
      <c r="A12944" t="n">
        <v>23</v>
      </c>
      <c r="B12944" t="s">
        <v>14</v>
      </c>
      <c r="C12944" t="s">
        <v>22</v>
      </c>
      <c r="D12944" s="2" t="s">
        <f>=HYPERLINK("https://main.knesset.gov.il/APPS/legislation/main/bills/2086674", "הצעת חוק טיפול בחולי נפש (תיקון - בחירת מקום אשפוז), התש""ף-2020")</f>
        <v>25013</v>
      </c>
      <c r="E12944" t="s">
        <v>25013</v>
      </c>
      <c r="F12944" t="s">
        <v>25014</v>
      </c>
      <c r="G12944" t="s">
        <v>14</v>
      </c>
      <c r="H12944">
             </c>
      <c r="I12944" t="s">
        <v>14</v>
      </c>
      <c r="J12944" t="s">
        <v>141</v>
      </c>
      <c r="K12944" t="s">
        <v>14</v>
      </c>
      <c r="L12944" t="s">
        <v>20</v>
      </c>
      <c r="M12944" t="s">
        <v>24999</v>
      </c>
      <c r="N12944" t="s">
        <v>14</v>
      </c>
    </row>
    <row r="12945" x14ac:dyDescent="0.25">
      <c r="A12945" t="n">
        <v>23</v>
      </c>
      <c r="B12945" t="s">
        <v>14</v>
      </c>
      <c r="C12945" t="s">
        <v>22</v>
      </c>
      <c r="D12945" s="2" t="s">
        <f>=HYPERLINK("https://main.knesset.gov.il/APPS/legislation/main/bills/2142039", "הצעת חוק הגנת הצרכן (תיקון - חובת הקלטה של עסקה טלפונית), התש""ף-2020")</f>
        <v>24753</v>
      </c>
      <c r="E12945" t="s">
        <v>24753</v>
      </c>
      <c r="F12945" t="s">
        <v>25015</v>
      </c>
      <c r="G12945" t="s">
        <v>14</v>
      </c>
      <c r="H12945">
             </c>
      <c r="I12945" t="s">
        <v>14</v>
      </c>
      <c r="J12945" t="s">
        <v>141</v>
      </c>
      <c r="K12945" t="s">
        <v>14</v>
      </c>
      <c r="L12945" t="s">
        <v>20</v>
      </c>
      <c r="M12945" t="s">
        <v>24999</v>
      </c>
      <c r="N12945" t="s">
        <v>14</v>
      </c>
    </row>
    <row r="12946" x14ac:dyDescent="0.25">
      <c r="A12946" t="n">
        <v>23</v>
      </c>
      <c r="B12946" t="s">
        <v>14</v>
      </c>
      <c r="C12946" t="s">
        <v>22</v>
      </c>
      <c r="D12946" s="2" t="s">
        <f>=HYPERLINK("https://main.knesset.gov.il/APPS/legislation/main/bills/2087981", "הצעת חוק הביטוח הלאומי (תיקון - שוויון לעצמאים בזכות לדמי אבטלה), התש""ף-2020")</f>
        <v>25016</v>
      </c>
      <c r="E12946" t="s">
        <v>25016</v>
      </c>
      <c r="F12946" t="s">
        <v>25017</v>
      </c>
      <c r="G12946" t="s">
        <v>14</v>
      </c>
      <c r="H12946">
             </c>
      <c r="I12946" t="s">
        <v>14</v>
      </c>
      <c r="J12946" t="s">
        <v>141</v>
      </c>
      <c r="K12946" t="s">
        <v>14</v>
      </c>
      <c r="L12946" t="s">
        <v>20</v>
      </c>
      <c r="M12946" t="s">
        <v>24999</v>
      </c>
      <c r="N12946" t="s">
        <v>14</v>
      </c>
    </row>
    <row r="12947" x14ac:dyDescent="0.25">
      <c r="A12947" t="n">
        <v>23</v>
      </c>
      <c r="B12947" t="s">
        <v>14</v>
      </c>
      <c r="C12947" t="s">
        <v>22</v>
      </c>
      <c r="D12947" s="2" t="s">
        <f>=HYPERLINK("https://main.knesset.gov.il/APPS/legislation/main/bills/2140204", "הצעת חוק לתיקון פקודת הרוקחים (חובת איסוף סמי מרפא), התש""ף-2020")</f>
        <v>25018</v>
      </c>
      <c r="E12947" t="s">
        <v>25018</v>
      </c>
      <c r="F12947" t="s">
        <v>25019</v>
      </c>
      <c r="G12947" t="s">
        <v>14</v>
      </c>
      <c r="H12947">
             </c>
      <c r="I12947" t="s">
        <v>14</v>
      </c>
      <c r="J12947" t="s">
        <v>141</v>
      </c>
      <c r="K12947" t="s">
        <v>14</v>
      </c>
      <c r="L12947" t="s">
        <v>20</v>
      </c>
      <c r="M12947" t="s">
        <v>24999</v>
      </c>
      <c r="N12947" t="s">
        <v>14</v>
      </c>
    </row>
    <row r="12948" x14ac:dyDescent="0.25">
      <c r="A12948" t="n">
        <v>23</v>
      </c>
      <c r="B12948" t="s">
        <v>14</v>
      </c>
      <c r="C12948" t="s">
        <v>22</v>
      </c>
      <c r="D12948" s="2" t="s">
        <f>=HYPERLINK("https://main.knesset.gov.il/APPS/legislation/main/bills/2140761", "הצעת חוק שירות ביטחון (תיקון - ביטול גיוס חובה), התש""ף-2020")</f>
        <v>25020</v>
      </c>
      <c r="E12948" t="s">
        <v>25020</v>
      </c>
      <c r="F12948" t="s">
        <v>25021</v>
      </c>
      <c r="G12948" t="s">
        <v>14</v>
      </c>
      <c r="H12948">
             </c>
      <c r="I12948" t="s">
        <v>14</v>
      </c>
      <c r="J12948" t="s">
        <v>141</v>
      </c>
      <c r="K12948" t="s">
        <v>14</v>
      </c>
      <c r="L12948" t="s">
        <v>20</v>
      </c>
      <c r="M12948" t="s">
        <v>24999</v>
      </c>
      <c r="N12948" t="s">
        <v>14</v>
      </c>
    </row>
    <row r="12949" x14ac:dyDescent="0.25">
      <c r="A12949" t="n">
        <v>23</v>
      </c>
      <c r="B12949" t="s">
        <v>14</v>
      </c>
      <c r="C12949" t="s">
        <v>22</v>
      </c>
      <c r="D12949" s="2" t="s">
        <f>=HYPERLINK("https://main.knesset.gov.il/APPS/legislation/main/bills/2087045", "הצעת חוק דמי מחלה (היעדרות בשל מחלת ילד) (תיקון - מספר ימי מחלת ילד להורה ליותר מילד אחד), התש""ף-2020")</f>
        <v>25022</v>
      </c>
      <c r="E12949" t="s">
        <v>25022</v>
      </c>
      <c r="F12949" t="s">
        <v>25023</v>
      </c>
      <c r="G12949" t="s">
        <v>14</v>
      </c>
      <c r="H12949">
             </c>
      <c r="I12949" t="s">
        <v>14</v>
      </c>
      <c r="J12949" t="s">
        <v>141</v>
      </c>
      <c r="K12949" t="s">
        <v>14</v>
      </c>
      <c r="L12949" t="s">
        <v>20</v>
      </c>
      <c r="M12949" t="s">
        <v>24999</v>
      </c>
      <c r="N12949" t="s">
        <v>14</v>
      </c>
    </row>
    <row r="12950" x14ac:dyDescent="0.25">
      <c r="A12950" t="n">
        <v>23</v>
      </c>
      <c r="B12950" t="s">
        <v>14</v>
      </c>
      <c r="C12950" t="s">
        <v>22</v>
      </c>
      <c r="D12950" s="2" t="s">
        <f>=HYPERLINK("https://main.knesset.gov.il/APPS/legislation/main/bills/2141100", "הצעת חוק מעונות יום שיקומיים (תיקון - פעוט עם מוגבלות שטרם מלאו לו שישה חודשים), התש""ף-2020")</f>
        <v>25024</v>
      </c>
      <c r="E12950" t="s">
        <v>25024</v>
      </c>
      <c r="F12950" t="s">
        <v>25025</v>
      </c>
      <c r="G12950" t="s">
        <v>14</v>
      </c>
      <c r="H12950">
             </c>
      <c r="I12950" t="s">
        <v>14</v>
      </c>
      <c r="J12950" t="s">
        <v>141</v>
      </c>
      <c r="K12950" t="s">
        <v>14</v>
      </c>
      <c r="L12950" t="s">
        <v>20</v>
      </c>
      <c r="M12950" t="s">
        <v>24999</v>
      </c>
      <c r="N12950" t="s">
        <v>14</v>
      </c>
    </row>
    <row r="12951" x14ac:dyDescent="0.25">
      <c r="A12951" t="n">
        <v>23</v>
      </c>
      <c r="B12951" t="s">
        <v>14</v>
      </c>
      <c r="C12951" t="s">
        <v>22</v>
      </c>
      <c r="D12951" s="2" t="s">
        <f>=HYPERLINK("https://main.knesset.gov.il/APPS/legislation/main/bills/2140200", "הצעת חוק לתיקון פקודת המשטרה (אלימות שוטרים ושינויים ארגוניים), התש""ף-2020")</f>
        <v>25026</v>
      </c>
      <c r="E12951" t="s">
        <v>25026</v>
      </c>
      <c r="F12951" t="s">
        <v>25027</v>
      </c>
      <c r="G12951" t="s">
        <v>14</v>
      </c>
      <c r="H12951">
             </c>
      <c r="I12951" t="s">
        <v>14</v>
      </c>
      <c r="J12951" t="s">
        <v>141</v>
      </c>
      <c r="K12951" t="s">
        <v>14</v>
      </c>
      <c r="L12951" t="s">
        <v>20</v>
      </c>
      <c r="M12951" t="s">
        <v>24999</v>
      </c>
      <c r="N12951" t="s">
        <v>14</v>
      </c>
    </row>
    <row r="12952" x14ac:dyDescent="0.25">
      <c r="A12952" t="n">
        <v>23</v>
      </c>
      <c r="B12952" t="s">
        <v>14</v>
      </c>
      <c r="C12952" t="s">
        <v>22</v>
      </c>
      <c r="D12952" s="2" t="s">
        <f>=HYPERLINK("https://main.knesset.gov.il/APPS/legislation/main/bills/2088467", "הצעת חוק הבחירות (דרכי תעמולה) (תיקון - איסור על תעמולה גזענית), התש""ף-2020")</f>
        <v>25028</v>
      </c>
      <c r="E12952" t="s">
        <v>25028</v>
      </c>
      <c r="F12952" t="s">
        <v>25029</v>
      </c>
      <c r="G12952" t="s">
        <v>14</v>
      </c>
      <c r="H12952">
             </c>
      <c r="I12952" t="s">
        <v>14</v>
      </c>
      <c r="J12952" t="s">
        <v>343</v>
      </c>
      <c r="K12952" t="s">
        <v>14</v>
      </c>
      <c r="L12952" t="s">
        <v>20</v>
      </c>
      <c r="M12952" t="s">
        <v>24999</v>
      </c>
      <c r="N12952" t="s">
        <v>14</v>
      </c>
    </row>
    <row r="12953" x14ac:dyDescent="0.25">
      <c r="A12953" t="n">
        <v>23</v>
      </c>
      <c r="B12953" t="s">
        <v>14</v>
      </c>
      <c r="C12953" t="s">
        <v>22</v>
      </c>
      <c r="D12953" s="2" t="s">
        <f>=HYPERLINK("https://main.knesset.gov.il/APPS/legislation/main/bills/2087798", "הצעת חוק-יסוד: השפיטה (תיקון - מינוי חברי הכנסת לוועדה לבחירת שופטים)")</f>
        <v>20865</v>
      </c>
      <c r="E12953" t="s">
        <v>20865</v>
      </c>
      <c r="F12953" t="s">
        <v>25030</v>
      </c>
      <c r="G12953" t="s">
        <v>14</v>
      </c>
      <c r="H12953">
             </c>
      <c r="I12953" t="s">
        <v>14</v>
      </c>
      <c r="J12953" t="s">
        <v>141</v>
      </c>
      <c r="K12953" t="s">
        <v>14</v>
      </c>
      <c r="L12953" t="s">
        <v>20</v>
      </c>
      <c r="M12953" t="s">
        <v>24999</v>
      </c>
      <c r="N12953" t="s">
        <v>14</v>
      </c>
    </row>
    <row r="12954" x14ac:dyDescent="0.25">
      <c r="A12954" t="n">
        <v>23</v>
      </c>
      <c r="B12954" t="s">
        <v>14</v>
      </c>
      <c r="C12954" t="s">
        <v>22</v>
      </c>
      <c r="D12954" s="2" t="s">
        <f>=HYPERLINK("https://main.knesset.gov.il/APPS/legislation/main/bills/2140853", "הצעת חוק העונשין (תיקון - תקיפת עורך דין כתקיפת עובד ציבור), התש""ף-2020")</f>
        <v>25031</v>
      </c>
      <c r="E12954" t="s">
        <v>25031</v>
      </c>
      <c r="F12954" t="s">
        <v>25032</v>
      </c>
      <c r="G12954" t="s">
        <v>14</v>
      </c>
      <c r="H12954">
             </c>
      <c r="I12954" t="s">
        <v>14</v>
      </c>
      <c r="J12954" t="s">
        <v>141</v>
      </c>
      <c r="K12954" t="s">
        <v>14</v>
      </c>
      <c r="L12954" t="s">
        <v>20</v>
      </c>
      <c r="M12954" t="s">
        <v>24999</v>
      </c>
      <c r="N12954" t="s">
        <v>14</v>
      </c>
    </row>
    <row r="12955" x14ac:dyDescent="0.25">
      <c r="A12955" t="n">
        <v>23</v>
      </c>
      <c r="B12955" t="s">
        <v>14</v>
      </c>
      <c r="C12955" t="s">
        <v>22</v>
      </c>
      <c r="D12955" s="2" t="s">
        <f>=HYPERLINK("https://main.knesset.gov.il/APPS/legislation/main/bills/2141095", "הצעת חוק בתי המשפט (תיקון - תקופת צינון במועמדות חבר כנסת או שר למשרת שופט), התש""ף-2020")</f>
        <v>25033</v>
      </c>
      <c r="E12955" t="s">
        <v>25033</v>
      </c>
      <c r="F12955" t="s">
        <v>25034</v>
      </c>
      <c r="G12955" t="s">
        <v>14</v>
      </c>
      <c r="H12955">
             </c>
      <c r="I12955" t="s">
        <v>14</v>
      </c>
      <c r="J12955" t="s">
        <v>141</v>
      </c>
      <c r="K12955" t="s">
        <v>14</v>
      </c>
      <c r="L12955" t="s">
        <v>20</v>
      </c>
      <c r="M12955" t="s">
        <v>24999</v>
      </c>
      <c r="N12955" t="s">
        <v>14</v>
      </c>
    </row>
    <row r="12956" x14ac:dyDescent="0.25">
      <c r="A12956" t="n">
        <v>23</v>
      </c>
      <c r="B12956" t="s">
        <v>14</v>
      </c>
      <c r="C12956" t="s">
        <v>22</v>
      </c>
      <c r="D12956" s="2" t="s">
        <f>=HYPERLINK("https://main.knesset.gov.il/APPS/legislation/main/bills/2140659", "הצעת חוק לשכת עורכי הדין (תיקון - ייצוג אסור בעסקה לרכישת דירה מאת קבלן), התש""ף-2020")</f>
        <v>25035</v>
      </c>
      <c r="E12956" t="s">
        <v>25035</v>
      </c>
      <c r="F12956" t="s">
        <v>25036</v>
      </c>
      <c r="G12956" t="s">
        <v>14</v>
      </c>
      <c r="H12956">
             </c>
      <c r="I12956" t="s">
        <v>14</v>
      </c>
      <c r="J12956" t="s">
        <v>141</v>
      </c>
      <c r="K12956" t="s">
        <v>14</v>
      </c>
      <c r="L12956" t="s">
        <v>20</v>
      </c>
      <c r="M12956" t="s">
        <v>24999</v>
      </c>
      <c r="N12956" t="s">
        <v>14</v>
      </c>
    </row>
    <row r="12957" x14ac:dyDescent="0.25">
      <c r="A12957" t="n">
        <v>23</v>
      </c>
      <c r="B12957" t="s">
        <v>14</v>
      </c>
      <c r="C12957" t="s">
        <v>22</v>
      </c>
      <c r="D12957" s="2" t="s">
        <f>=HYPERLINK("https://main.knesset.gov.il/APPS/legislation/main/bills/2140177", "הצעת חוק לתיקון פקודת הנזיקין (חסינות חברי מועצה), התש""ף-2020")</f>
        <v>25037</v>
      </c>
      <c r="E12957" t="s">
        <v>25037</v>
      </c>
      <c r="F12957" t="s">
        <v>25038</v>
      </c>
      <c r="G12957" t="s">
        <v>14</v>
      </c>
      <c r="H12957">
             </c>
      <c r="I12957" t="s">
        <v>14</v>
      </c>
      <c r="J12957" t="s">
        <v>141</v>
      </c>
      <c r="K12957" t="s">
        <v>14</v>
      </c>
      <c r="L12957" t="s">
        <v>20</v>
      </c>
      <c r="M12957" t="s">
        <v>24999</v>
      </c>
      <c r="N12957" t="s">
        <v>14</v>
      </c>
    </row>
    <row r="12958" x14ac:dyDescent="0.25">
      <c r="A12958" t="n">
        <v>23</v>
      </c>
      <c r="B12958" t="s">
        <v>14</v>
      </c>
      <c r="C12958" t="s">
        <v>22</v>
      </c>
      <c r="D12958" s="2" t="s">
        <f>=HYPERLINK("https://main.knesset.gov.il/APPS/legislation/main/bills/2140179", "הצעת חוק העונשין (תיקון - איסור שידול קטינים לחזרה בתשובה), התש""ף-2020")</f>
        <v>25039</v>
      </c>
      <c r="E12958" t="s">
        <v>25039</v>
      </c>
      <c r="F12958" t="s">
        <v>25040</v>
      </c>
      <c r="G12958" t="s">
        <v>14</v>
      </c>
      <c r="H12958">
             </c>
      <c r="I12958" t="s">
        <v>14</v>
      </c>
      <c r="J12958" t="s">
        <v>141</v>
      </c>
      <c r="K12958" t="s">
        <v>14</v>
      </c>
      <c r="L12958" t="s">
        <v>20</v>
      </c>
      <c r="M12958" t="s">
        <v>24999</v>
      </c>
      <c r="N12958" t="s">
        <v>14</v>
      </c>
    </row>
    <row r="12959" x14ac:dyDescent="0.25">
      <c r="A12959" t="n">
        <v>23</v>
      </c>
      <c r="B12959" t="s">
        <v>14</v>
      </c>
      <c r="C12959" t="s">
        <v>22</v>
      </c>
      <c r="D12959" s="2" t="s">
        <f>=HYPERLINK("https://main.knesset.gov.il/APPS/legislation/main/bills/2140189", "הצעת חוק חובת המכרזים (תיקון - העדפת טובין בעלי תו תקן ירוק), התש""ף-2020")</f>
        <v>25041</v>
      </c>
      <c r="E12959" t="s">
        <v>25041</v>
      </c>
      <c r="F12959" t="s">
        <v>25042</v>
      </c>
      <c r="G12959" t="s">
        <v>14</v>
      </c>
      <c r="H12959">
             </c>
      <c r="I12959" t="s">
        <v>14</v>
      </c>
      <c r="J12959" t="s">
        <v>141</v>
      </c>
      <c r="K12959" t="s">
        <v>14</v>
      </c>
      <c r="L12959" t="s">
        <v>20</v>
      </c>
      <c r="M12959" t="s">
        <v>24999</v>
      </c>
      <c r="N12959" t="s">
        <v>14</v>
      </c>
    </row>
    <row r="12960" x14ac:dyDescent="0.25">
      <c r="A12960" t="n">
        <v>23</v>
      </c>
      <c r="B12960" t="s">
        <v>14</v>
      </c>
      <c r="C12960" t="s">
        <v>22</v>
      </c>
      <c r="D12960" s="2" t="s">
        <f>=HYPERLINK("https://main.knesset.gov.il/APPS/legislation/main/bills/2140192", "הצעת חוק למניעת שימוש לרעה בהליך משפטי, התש""ף-2020")</f>
        <v>25043</v>
      </c>
      <c r="E12960" t="s">
        <v>25043</v>
      </c>
      <c r="F12960" t="s">
        <v>25044</v>
      </c>
      <c r="G12960" t="s">
        <v>14</v>
      </c>
      <c r="H12960">
             </c>
      <c r="I12960" t="s">
        <v>14</v>
      </c>
      <c r="J12960" t="s">
        <v>141</v>
      </c>
      <c r="K12960" t="s">
        <v>14</v>
      </c>
      <c r="L12960" t="s">
        <v>20</v>
      </c>
      <c r="M12960" t="s">
        <v>24999</v>
      </c>
      <c r="N12960" t="s">
        <v>14</v>
      </c>
    </row>
    <row r="12961" x14ac:dyDescent="0.25">
      <c r="A12961" t="n">
        <v>23</v>
      </c>
      <c r="B12961" t="s">
        <v>14</v>
      </c>
      <c r="C12961" t="s">
        <v>22</v>
      </c>
      <c r="D12961" s="2" t="s">
        <f>=HYPERLINK("https://main.knesset.gov.il/APPS/legislation/main/bills/2141514", "הצעת חוק התכנון והבנייה (תיקון - חובת הקמת מערכת סולארית לייצור חשמל במבנים), התש""ף-2020")</f>
        <v>25045</v>
      </c>
      <c r="E12961" t="s">
        <v>25045</v>
      </c>
      <c r="F12961" t="s">
        <v>25046</v>
      </c>
      <c r="G12961" t="s">
        <v>14</v>
      </c>
      <c r="H12961">
             </c>
      <c r="I12961" t="s">
        <v>14</v>
      </c>
      <c r="J12961" t="s">
        <v>141</v>
      </c>
      <c r="K12961" t="s">
        <v>14</v>
      </c>
      <c r="L12961" t="s">
        <v>20</v>
      </c>
      <c r="M12961" t="s">
        <v>24999</v>
      </c>
      <c r="N12961" t="s">
        <v>14</v>
      </c>
    </row>
    <row r="12962" x14ac:dyDescent="0.25">
      <c r="A12962" t="n">
        <v>23</v>
      </c>
      <c r="B12962" t="s">
        <v>14</v>
      </c>
      <c r="C12962" t="s">
        <v>22</v>
      </c>
      <c r="D12962" s="2" t="s">
        <f>=HYPERLINK("https://main.knesset.gov.il/APPS/legislation/main/bills/2140763", "הצעת חוק התכנון והבנייה (תיקון - פיצול דירות) (הוראת שעה), התש""ף-2020")</f>
        <v>25047</v>
      </c>
      <c r="E12962" t="s">
        <v>25047</v>
      </c>
      <c r="F12962" t="s">
        <v>25048</v>
      </c>
      <c r="G12962" t="s">
        <v>14</v>
      </c>
      <c r="H12962">
             </c>
      <c r="I12962" t="s">
        <v>14</v>
      </c>
      <c r="J12962" t="s">
        <v>141</v>
      </c>
      <c r="K12962" t="s">
        <v>14</v>
      </c>
      <c r="L12962" t="s">
        <v>20</v>
      </c>
      <c r="M12962" t="s">
        <v>24999</v>
      </c>
      <c r="N12962" t="s">
        <v>14</v>
      </c>
    </row>
    <row r="12963" x14ac:dyDescent="0.25">
      <c r="A12963" t="n">
        <v>23</v>
      </c>
      <c r="B12963" t="s">
        <v>14</v>
      </c>
      <c r="C12963" t="s">
        <v>22</v>
      </c>
      <c r="D12963" s="2" t="s">
        <f>=HYPERLINK("https://main.knesset.gov.il/APPS/legislation/main/bills/2088087", "הצעת חוק לתיקון פקודת העיריות (הצבת דוכנים המשמשים לצרכי דת), התש""ף-2020")</f>
        <v>25049</v>
      </c>
      <c r="E12963" t="s">
        <v>25049</v>
      </c>
      <c r="F12963" t="s">
        <v>25050</v>
      </c>
      <c r="G12963" t="s">
        <v>14</v>
      </c>
      <c r="H12963">
             </c>
      <c r="I12963" t="s">
        <v>14</v>
      </c>
      <c r="J12963" t="s">
        <v>141</v>
      </c>
      <c r="K12963" t="s">
        <v>14</v>
      </c>
      <c r="L12963" t="s">
        <v>20</v>
      </c>
      <c r="M12963" t="s">
        <v>24999</v>
      </c>
      <c r="N12963" t="s">
        <v>14</v>
      </c>
    </row>
    <row r="12964" x14ac:dyDescent="0.25">
      <c r="A12964" t="n">
        <v>23</v>
      </c>
      <c r="B12964" t="s">
        <v>14</v>
      </c>
      <c r="C12964" t="s">
        <v>22</v>
      </c>
      <c r="D12964" s="2" t="s">
        <f>=HYPERLINK("https://main.knesset.gov.il/APPS/legislation/main/bills/2088002", "הצעת חוק ההוצאה לפועל (תיקון - דחיית ביצוע משכנתה על דירת מגורים), התש""ף-2020")</f>
        <v>25051</v>
      </c>
      <c r="E12964" t="s">
        <v>25051</v>
      </c>
      <c r="F12964" t="s">
        <v>25052</v>
      </c>
      <c r="G12964" t="s">
        <v>14</v>
      </c>
      <c r="H12964">
             </c>
      <c r="I12964" t="s">
        <v>14</v>
      </c>
      <c r="J12964" t="s">
        <v>141</v>
      </c>
      <c r="K12964" t="s">
        <v>14</v>
      </c>
      <c r="L12964" t="s">
        <v>20</v>
      </c>
      <c r="M12964" t="s">
        <v>24999</v>
      </c>
      <c r="N12964" t="s">
        <v>14</v>
      </c>
    </row>
    <row r="12965" x14ac:dyDescent="0.25">
      <c r="A12965" t="n">
        <v>23</v>
      </c>
      <c r="B12965" t="s">
        <v>14</v>
      </c>
      <c r="C12965" t="s">
        <v>22</v>
      </c>
      <c r="D12965" s="2" t="s">
        <f>=HYPERLINK("https://main.knesset.gov.il/APPS/legislation/main/bills/2139682", "הצעת חוק לתיקון פקודת הראיות (דרישת הסיוע להרשעה על פי הודיה), התש""ף-2020")</f>
        <v>25053</v>
      </c>
      <c r="E12965" t="s">
        <v>25053</v>
      </c>
      <c r="F12965" t="s">
        <v>25054</v>
      </c>
      <c r="G12965" t="s">
        <v>14</v>
      </c>
      <c r="H12965">
             </c>
      <c r="I12965" t="s">
        <v>14</v>
      </c>
      <c r="J12965" t="s">
        <v>141</v>
      </c>
      <c r="K12965" t="s">
        <v>14</v>
      </c>
      <c r="L12965" t="s">
        <v>20</v>
      </c>
      <c r="M12965" t="s">
        <v>24999</v>
      </c>
      <c r="N12965" t="s">
        <v>14</v>
      </c>
    </row>
    <row r="12966" x14ac:dyDescent="0.25">
      <c r="A12966" t="n">
        <v>23</v>
      </c>
      <c r="B12966" t="s">
        <v>14</v>
      </c>
      <c r="C12966" t="s">
        <v>22</v>
      </c>
      <c r="D12966" s="2" t="s">
        <f>=HYPERLINK("https://main.knesset.gov.il/APPS/legislation/main/bills/2139684", "הצעת חוק לתיקון דיני הראיות (הגנת ילדים) (תיקון - חקירה תוך 48 שעות), התש""ף-2020")</f>
        <v>25055</v>
      </c>
      <c r="E12966" t="s">
        <v>25055</v>
      </c>
      <c r="F12966" t="s">
        <v>25056</v>
      </c>
      <c r="G12966" t="s">
        <v>14</v>
      </c>
      <c r="H12966">
             </c>
      <c r="I12966" t="s">
        <v>14</v>
      </c>
      <c r="J12966" t="s">
        <v>141</v>
      </c>
      <c r="K12966" t="s">
        <v>14</v>
      </c>
      <c r="L12966" t="s">
        <v>20</v>
      </c>
      <c r="M12966" t="s">
        <v>24999</v>
      </c>
      <c r="N12966" t="s">
        <v>14</v>
      </c>
    </row>
    <row r="12967" x14ac:dyDescent="0.25">
      <c r="A12967" t="n">
        <v>23</v>
      </c>
      <c r="B12967" t="s">
        <v>14</v>
      </c>
      <c r="C12967" t="s">
        <v>22</v>
      </c>
      <c r="D12967" s="2" t="s">
        <f>=HYPERLINK("https://main.knesset.gov.il/APPS/legislation/main/bills/2088353", "הצעת חוק העונשין (תיקון - תקיפת עובד חירום), התש""ף-2020 ")</f>
        <v>25057</v>
      </c>
      <c r="E12967" t="s">
        <v>25057</v>
      </c>
      <c r="F12967" t="s">
        <v>25058</v>
      </c>
      <c r="G12967" t="s">
        <v>14</v>
      </c>
      <c r="H12967">
             </c>
      <c r="I12967" t="s">
        <v>14</v>
      </c>
      <c r="J12967" t="s">
        <v>141</v>
      </c>
      <c r="K12967" t="s">
        <v>14</v>
      </c>
      <c r="L12967" t="s">
        <v>20</v>
      </c>
      <c r="M12967" t="s">
        <v>24999</v>
      </c>
      <c r="N12967" t="s">
        <v>14</v>
      </c>
    </row>
    <row r="12968" x14ac:dyDescent="0.25">
      <c r="A12968" t="n">
        <v>23</v>
      </c>
      <c r="B12968" t="s">
        <v>14</v>
      </c>
      <c r="C12968" t="s">
        <v>22</v>
      </c>
      <c r="D12968" s="2" t="s">
        <f>=HYPERLINK("https://main.knesset.gov.il/APPS/legislation/main/bills/2085824", "הצעת חוק בית הדין לעבודה (תיקון - סמכות ליישוב סכסוך בהסכמה), התש""ף-2020")</f>
        <v>25059</v>
      </c>
      <c r="E12968" t="s">
        <v>25059</v>
      </c>
      <c r="F12968" t="s">
        <v>25060</v>
      </c>
      <c r="G12968" t="s">
        <v>14</v>
      </c>
      <c r="H12968">
             </c>
      <c r="I12968" t="s">
        <v>14</v>
      </c>
      <c r="J12968" t="s">
        <v>141</v>
      </c>
      <c r="K12968" t="s">
        <v>14</v>
      </c>
      <c r="L12968" t="s">
        <v>20</v>
      </c>
      <c r="M12968" t="s">
        <v>24999</v>
      </c>
      <c r="N12968" t="s">
        <v>14</v>
      </c>
    </row>
    <row r="12969" x14ac:dyDescent="0.25">
      <c r="A12969" t="n">
        <v>23</v>
      </c>
      <c r="B12969" t="s">
        <v>14</v>
      </c>
      <c r="C12969" t="s">
        <v>22</v>
      </c>
      <c r="D12969" s="2" t="s">
        <f>=HYPERLINK("https://main.knesset.gov.il/APPS/legislation/main/bills/2088102", "הצעת חוק סדר הדין הפלילי (חקירת חשודים) (תיקון - זכויות חשודים), התש""ף-2020")</f>
        <v>25061</v>
      </c>
      <c r="E12969" t="s">
        <v>25061</v>
      </c>
      <c r="F12969" t="s">
        <v>25062</v>
      </c>
      <c r="G12969" t="s">
        <v>14</v>
      </c>
      <c r="H12969">
             </c>
      <c r="I12969" t="s">
        <v>14</v>
      </c>
      <c r="J12969" t="s">
        <v>141</v>
      </c>
      <c r="K12969" t="s">
        <v>14</v>
      </c>
      <c r="L12969" t="s">
        <v>20</v>
      </c>
      <c r="M12969" t="s">
        <v>24999</v>
      </c>
      <c r="N12969" t="s">
        <v>14</v>
      </c>
    </row>
    <row r="12970" x14ac:dyDescent="0.25">
      <c r="A12970" t="n">
        <v>23</v>
      </c>
      <c r="B12970" t="s">
        <v>14</v>
      </c>
      <c r="C12970" t="s">
        <v>22</v>
      </c>
      <c r="D12970" s="2" t="s">
        <f>=HYPERLINK("https://main.knesset.gov.il/APPS/legislation/main/bills/2140392", "הצעת חוק הבחירות לכנסת (תיקון - אחוז החסימה), התש""ף-2020")</f>
        <v>25063</v>
      </c>
      <c r="E12970" t="s">
        <v>25063</v>
      </c>
      <c r="F12970" t="s">
        <v>25064</v>
      </c>
      <c r="G12970" t="s">
        <v>14</v>
      </c>
      <c r="H12970">
             </c>
      <c r="I12970" t="s">
        <v>14</v>
      </c>
      <c r="J12970" t="s">
        <v>343</v>
      </c>
      <c r="K12970" t="s">
        <v>14</v>
      </c>
      <c r="L12970" t="s">
        <v>20</v>
      </c>
      <c r="M12970" t="s">
        <v>24999</v>
      </c>
      <c r="N12970" t="s">
        <v>14</v>
      </c>
    </row>
    <row r="12971" x14ac:dyDescent="0.25">
      <c r="A12971" t="n">
        <v>23</v>
      </c>
      <c r="B12971" t="s">
        <v>14</v>
      </c>
      <c r="C12971" t="s">
        <v>22</v>
      </c>
      <c r="D12971" s="2" t="s">
        <f>=HYPERLINK("https://main.knesset.gov.il/APPS/legislation/main/bills/2140455", "הצעת חוק-יסוד: השפיטה (תיקון - רשות ערעור למדינה על זיכוי אדם בפלילים)")</f>
        <v>1398</v>
      </c>
      <c r="E12971" t="s">
        <v>1398</v>
      </c>
      <c r="F12971" t="s">
        <v>25065</v>
      </c>
      <c r="G12971" t="s">
        <v>14</v>
      </c>
      <c r="H12971">
             </c>
      <c r="I12971" t="s">
        <v>14</v>
      </c>
      <c r="J12971" t="s">
        <v>141</v>
      </c>
      <c r="K12971" t="s">
        <v>14</v>
      </c>
      <c r="L12971" t="s">
        <v>20</v>
      </c>
      <c r="M12971" t="s">
        <v>24999</v>
      </c>
      <c r="N12971" t="s">
        <v>14</v>
      </c>
    </row>
    <row r="12972" x14ac:dyDescent="0.25">
      <c r="A12972" t="n">
        <v>23</v>
      </c>
      <c r="B12972" t="s">
        <v>14</v>
      </c>
      <c r="C12972" t="s">
        <v>22</v>
      </c>
      <c r="D12972" s="2" t="s">
        <f>=HYPERLINK("https://main.knesset.gov.il/APPS/legislation/main/bills/2140197", "הצעת חוק חובת המכרזים (תיקון - העדפת טובין ממוחזרים), התש""ף-2020")</f>
        <v>25066</v>
      </c>
      <c r="E12972" t="s">
        <v>25066</v>
      </c>
      <c r="F12972" t="s">
        <v>25067</v>
      </c>
      <c r="G12972" t="s">
        <v>14</v>
      </c>
      <c r="H12972">
             </c>
      <c r="I12972" t="s">
        <v>14</v>
      </c>
      <c r="J12972" t="s">
        <v>141</v>
      </c>
      <c r="K12972" t="s">
        <v>14</v>
      </c>
      <c r="L12972" t="s">
        <v>20</v>
      </c>
      <c r="M12972" t="s">
        <v>24999</v>
      </c>
      <c r="N12972" t="s">
        <v>14</v>
      </c>
    </row>
    <row r="12973" x14ac:dyDescent="0.25">
      <c r="A12973" t="n">
        <v>23</v>
      </c>
      <c r="B12973" t="s">
        <v>14</v>
      </c>
      <c r="C12973" t="s">
        <v>22</v>
      </c>
      <c r="D12973" s="2" t="s">
        <f>=HYPERLINK("https://main.knesset.gov.il/APPS/legislation/main/bills/2086800", "הצעת חוק האזרחות והכניסה לישראל (הוראת שעה) (תיקון - ביטול החוק), התש""ף-2020")</f>
        <v>23875</v>
      </c>
      <c r="E12973" t="s">
        <v>23875</v>
      </c>
      <c r="F12973" t="s">
        <v>25068</v>
      </c>
      <c r="G12973" t="s">
        <v>14</v>
      </c>
      <c r="H12973">
             </c>
      <c r="I12973" t="s">
        <v>14</v>
      </c>
      <c r="J12973" t="s">
        <v>141</v>
      </c>
      <c r="K12973" t="s">
        <v>14</v>
      </c>
      <c r="L12973" t="s">
        <v>20</v>
      </c>
      <c r="M12973" t="s">
        <v>24999</v>
      </c>
      <c r="N12973" t="s">
        <v>14</v>
      </c>
    </row>
    <row r="12974" x14ac:dyDescent="0.25">
      <c r="A12974" t="n">
        <v>23</v>
      </c>
      <c r="B12974" t="s">
        <v>14</v>
      </c>
      <c r="C12974" t="s">
        <v>22</v>
      </c>
      <c r="D12974" s="2" t="s">
        <f>=HYPERLINK("https://main.knesset.gov.il/APPS/legislation/main/bills/2139697", "הצעת חוק-יסוד: כבוד האדם וחירותו (תיקון - תוקפו של חוק חורג)")</f>
        <v>11944</v>
      </c>
      <c r="E12974" t="s">
        <v>11944</v>
      </c>
      <c r="F12974" t="s">
        <v>25069</v>
      </c>
      <c r="G12974" t="s">
        <v>14</v>
      </c>
      <c r="H12974">
             </c>
      <c r="I12974" t="s">
        <v>14</v>
      </c>
      <c r="J12974" t="s">
        <v>141</v>
      </c>
      <c r="K12974" t="s">
        <v>14</v>
      </c>
      <c r="L12974" t="s">
        <v>20</v>
      </c>
      <c r="M12974" t="s">
        <v>24999</v>
      </c>
      <c r="N12974" t="s">
        <v>14</v>
      </c>
    </row>
    <row r="12975" x14ac:dyDescent="0.25">
      <c r="A12975" t="n">
        <v>23</v>
      </c>
      <c r="B12975" t="s">
        <v>14</v>
      </c>
      <c r="C12975" t="s">
        <v>22</v>
      </c>
      <c r="D12975" s="2" t="s">
        <f>=HYPERLINK("https://main.knesset.gov.il/APPS/legislation/main/bills/2087643", "הצעת חוק הפחתת תוספות פיגור שנוספו על קנסות הנגבים בידי המרכז לגביית קנסות, אגרות והוצאות (הוראת שעה), התש""ף-2020")</f>
        <v>25070</v>
      </c>
      <c r="E12975" t="s">
        <v>25070</v>
      </c>
      <c r="F12975" t="s">
        <v>25071</v>
      </c>
      <c r="G12975" t="s">
        <v>14</v>
      </c>
      <c r="H12975">
             </c>
      <c r="I12975" t="s">
        <v>14</v>
      </c>
      <c r="J12975" t="s">
        <v>141</v>
      </c>
      <c r="K12975" t="s">
        <v>14</v>
      </c>
      <c r="L12975" t="s">
        <v>20</v>
      </c>
      <c r="M12975" t="s">
        <v>24999</v>
      </c>
      <c r="N12975" t="s">
        <v>14</v>
      </c>
    </row>
    <row r="12976" x14ac:dyDescent="0.25">
      <c r="A12976" t="n">
        <v>23</v>
      </c>
      <c r="B12976" t="s">
        <v>14</v>
      </c>
      <c r="C12976" t="s">
        <v>22</v>
      </c>
      <c r="D12976" s="2" t="s">
        <f>=HYPERLINK("https://main.knesset.gov.il/APPS/legislation/main/bills/2087651", "הצעת חוק השירות הצבאי (שוויון הנטל) (תיקוני חקיקה), התש""ף-2020")</f>
        <v>25072</v>
      </c>
      <c r="E12976" t="s">
        <v>25072</v>
      </c>
      <c r="F12976" t="s">
        <v>25073</v>
      </c>
      <c r="G12976" t="s">
        <v>14</v>
      </c>
      <c r="H12976">
             </c>
      <c r="I12976" t="s">
        <v>14</v>
      </c>
      <c r="J12976" t="s">
        <v>343</v>
      </c>
      <c r="K12976" t="s">
        <v>14</v>
      </c>
      <c r="L12976" t="s">
        <v>20</v>
      </c>
      <c r="M12976" t="s">
        <v>24999</v>
      </c>
      <c r="N12976" t="s">
        <v>14</v>
      </c>
    </row>
    <row r="12977" x14ac:dyDescent="0.25">
      <c r="A12977" t="n">
        <v>23</v>
      </c>
      <c r="B12977" t="s">
        <v>14</v>
      </c>
      <c r="C12977" t="s">
        <v>22</v>
      </c>
      <c r="D12977" s="2" t="s">
        <f>=HYPERLINK("https://main.knesset.gov.il/APPS/legislation/main/bills/2140182", "הצעת חוק לתיקון פקודת העיריות (שידור ישיבות מועצה), התש""ף-2020")</f>
        <v>25074</v>
      </c>
      <c r="E12977" t="s">
        <v>25074</v>
      </c>
      <c r="F12977" t="s">
        <v>25075</v>
      </c>
      <c r="G12977" t="s">
        <v>14</v>
      </c>
      <c r="H12977">
             </c>
      <c r="I12977" t="s">
        <v>14</v>
      </c>
      <c r="J12977" t="s">
        <v>141</v>
      </c>
      <c r="K12977" t="s">
        <v>14</v>
      </c>
      <c r="L12977" t="s">
        <v>20</v>
      </c>
      <c r="M12977" t="s">
        <v>24999</v>
      </c>
      <c r="N12977" t="s">
        <v>14</v>
      </c>
    </row>
    <row r="12978" x14ac:dyDescent="0.25">
      <c r="A12978" t="n">
        <v>23</v>
      </c>
      <c r="B12978" t="s">
        <v>14</v>
      </c>
      <c r="C12978" t="s">
        <v>22</v>
      </c>
      <c r="D12978" s="2" t="s">
        <f>=HYPERLINK("https://main.knesset.gov.il/APPS/legislation/main/bills/2139685", "הצעת חוק בתי המשפט (תיקון - אמצעי משמעת), התש""ף-2020")</f>
        <v>25076</v>
      </c>
      <c r="E12978" t="s">
        <v>25076</v>
      </c>
      <c r="F12978" t="s">
        <v>25077</v>
      </c>
      <c r="G12978" t="s">
        <v>14</v>
      </c>
      <c r="H12978">
             </c>
      <c r="I12978" t="s">
        <v>14</v>
      </c>
      <c r="J12978" t="s">
        <v>141</v>
      </c>
      <c r="K12978" t="s">
        <v>14</v>
      </c>
      <c r="L12978" t="s">
        <v>20</v>
      </c>
      <c r="M12978" t="s">
        <v>24999</v>
      </c>
      <c r="N12978" t="s">
        <v>14</v>
      </c>
    </row>
    <row r="12979" x14ac:dyDescent="0.25">
      <c r="A12979" t="n">
        <v>23</v>
      </c>
      <c r="B12979" t="s">
        <v>14</v>
      </c>
      <c r="C12979" t="s">
        <v>22</v>
      </c>
      <c r="D12979" s="2" t="s">
        <f>=HYPERLINK("https://main.knesset.gov.il/APPS/legislation/main/bills/2088295", "הצעת חוק לקידום המיחזור בישראל (תיקוני חקיקה), התש""ף-2020")</f>
        <v>25078</v>
      </c>
      <c r="E12979" t="s">
        <v>25078</v>
      </c>
      <c r="F12979" t="s">
        <v>25079</v>
      </c>
      <c r="G12979" t="s">
        <v>14</v>
      </c>
      <c r="H12979">
             </c>
      <c r="I12979" t="s">
        <v>14</v>
      </c>
      <c r="J12979" t="s">
        <v>141</v>
      </c>
      <c r="K12979" t="s">
        <v>14</v>
      </c>
      <c r="L12979" t="s">
        <v>20</v>
      </c>
      <c r="M12979" t="s">
        <v>24999</v>
      </c>
      <c r="N12979" t="s">
        <v>14</v>
      </c>
    </row>
    <row r="12980" x14ac:dyDescent="0.25">
      <c r="A12980" t="n">
        <v>23</v>
      </c>
      <c r="B12980" t="s">
        <v>14</v>
      </c>
      <c r="C12980" t="s">
        <v>22</v>
      </c>
      <c r="D12980" s="2" t="s">
        <f>=HYPERLINK("https://main.knesset.gov.il/APPS/legislation/main/bills/2140900", "הצעת חוק התכנון והבנייה (תיקון - התקנת מנגנון שבת למשאבות מים), התש""ף-2020 ")</f>
        <v>25080</v>
      </c>
      <c r="E12980" t="s">
        <v>25080</v>
      </c>
      <c r="F12980" t="s">
        <v>25081</v>
      </c>
      <c r="G12980" t="s">
        <v>14</v>
      </c>
      <c r="H12980">
             </c>
      <c r="I12980" t="s">
        <v>14</v>
      </c>
      <c r="J12980" t="s">
        <v>141</v>
      </c>
      <c r="K12980" t="s">
        <v>14</v>
      </c>
      <c r="L12980" t="s">
        <v>20</v>
      </c>
      <c r="M12980" t="s">
        <v>24999</v>
      </c>
      <c r="N12980" t="s">
        <v>14</v>
      </c>
    </row>
    <row r="12981" x14ac:dyDescent="0.25">
      <c r="A12981" t="n">
        <v>23</v>
      </c>
      <c r="B12981" t="s">
        <v>14</v>
      </c>
      <c r="C12981" t="s">
        <v>22</v>
      </c>
      <c r="D12981" s="2" t="s">
        <f>=HYPERLINK("https://main.knesset.gov.il/APPS/legislation/main/bills/2140851", "הצעת חוק הרשויות המקומיות (זכויות וחובות של חברי מועצה), התש""ף-2020 ")</f>
        <v>25082</v>
      </c>
      <c r="E12981" t="s">
        <v>25082</v>
      </c>
      <c r="F12981" t="s">
        <v>25083</v>
      </c>
      <c r="G12981" t="s">
        <v>14</v>
      </c>
      <c r="H12981">
             </c>
      <c r="I12981" t="s">
        <v>14</v>
      </c>
      <c r="J12981" t="s">
        <v>141</v>
      </c>
      <c r="K12981" t="s">
        <v>14</v>
      </c>
      <c r="L12981" t="s">
        <v>20</v>
      </c>
      <c r="M12981" t="s">
        <v>24999</v>
      </c>
      <c r="N12981" t="s">
        <v>14</v>
      </c>
    </row>
    <row r="12982" x14ac:dyDescent="0.25">
      <c r="A12982" t="n">
        <v>23</v>
      </c>
      <c r="B12982" t="s">
        <v>14</v>
      </c>
      <c r="C12982" t="s">
        <v>22</v>
      </c>
      <c r="D12982" s="2" t="s">
        <f>=HYPERLINK("https://main.knesset.gov.il/APPS/legislation/main/bills/2140173", "הצעת חוק הביקורת הפנימית (תיקון - אחריות ועצמאות המבקר), התש""ף-2020 ")</f>
        <v>25084</v>
      </c>
      <c r="E12982" t="s">
        <v>25084</v>
      </c>
      <c r="F12982" t="s">
        <v>25085</v>
      </c>
      <c r="G12982" t="s">
        <v>14</v>
      </c>
      <c r="H12982">
             </c>
      <c r="I12982" t="s">
        <v>14</v>
      </c>
      <c r="J12982" t="s">
        <v>141</v>
      </c>
      <c r="K12982" t="s">
        <v>14</v>
      </c>
      <c r="L12982" t="s">
        <v>20</v>
      </c>
      <c r="M12982" t="s">
        <v>24999</v>
      </c>
      <c r="N12982" t="s">
        <v>14</v>
      </c>
    </row>
    <row r="12983" x14ac:dyDescent="0.25">
      <c r="A12983" t="n">
        <v>23</v>
      </c>
      <c r="B12983" t="s">
        <v>14</v>
      </c>
      <c r="C12983" t="s">
        <v>22</v>
      </c>
      <c r="D12983" s="2" t="s">
        <f>=HYPERLINK("https://main.knesset.gov.il/APPS/legislation/main/bills/2140175", "הצעת חוק הכניסה לישראל (תיקון - ביטול האיסור על מתן אשרה ורישיון ישיבה לקורא לחרם על ישראל), התש""ף-2020")</f>
        <v>25086</v>
      </c>
      <c r="E12983" t="s">
        <v>25086</v>
      </c>
      <c r="F12983" t="s">
        <v>25087</v>
      </c>
      <c r="G12983" t="s">
        <v>14</v>
      </c>
      <c r="H12983">
             </c>
      <c r="I12983" t="s">
        <v>14</v>
      </c>
      <c r="J12983" t="s">
        <v>141</v>
      </c>
      <c r="K12983" t="s">
        <v>14</v>
      </c>
      <c r="L12983" t="s">
        <v>20</v>
      </c>
      <c r="M12983" t="s">
        <v>24999</v>
      </c>
      <c r="N12983" t="s">
        <v>14</v>
      </c>
    </row>
    <row r="12984" x14ac:dyDescent="0.25">
      <c r="A12984" t="n">
        <v>23</v>
      </c>
      <c r="B12984" t="s">
        <v>14</v>
      </c>
      <c r="C12984" t="s">
        <v>22</v>
      </c>
      <c r="D12984" s="2" t="s">
        <f>=HYPERLINK("https://main.knesset.gov.il/APPS/legislation/main/bills/2140176", "הצעת חוק קביעת הזמן (תיקון - ביטול שעון חורף), התש""ף-2020")</f>
        <v>25088</v>
      </c>
      <c r="E12984" t="s">
        <v>25088</v>
      </c>
      <c r="F12984" t="s">
        <v>25089</v>
      </c>
      <c r="G12984" t="s">
        <v>14</v>
      </c>
      <c r="H12984">
             </c>
      <c r="I12984" t="s">
        <v>14</v>
      </c>
      <c r="J12984" t="s">
        <v>141</v>
      </c>
      <c r="K12984" t="s">
        <v>14</v>
      </c>
      <c r="L12984" t="s">
        <v>20</v>
      </c>
      <c r="M12984" t="s">
        <v>24999</v>
      </c>
      <c r="N12984" t="s">
        <v>14</v>
      </c>
    </row>
    <row r="12985" x14ac:dyDescent="0.25">
      <c r="A12985" t="n">
        <v>23</v>
      </c>
      <c r="B12985" t="s">
        <v>14</v>
      </c>
      <c r="C12985" t="s">
        <v>22</v>
      </c>
      <c r="D12985" s="2" t="s">
        <f>=HYPERLINK("https://main.knesset.gov.il/APPS/legislation/main/bills/2141146", "הצעת חוק זכויות הסטודנט (תיקון - מועד בחינה מיוחד בשל שירות מילואים), התש""ף-2020")</f>
        <v>25090</v>
      </c>
      <c r="E12985" t="s">
        <v>25090</v>
      </c>
      <c r="F12985" t="s">
        <v>25091</v>
      </c>
      <c r="G12985" t="s">
        <v>14</v>
      </c>
      <c r="H12985">
             </c>
      <c r="I12985" t="s">
        <v>14</v>
      </c>
      <c r="J12985" t="s">
        <v>141</v>
      </c>
      <c r="K12985" t="s">
        <v>14</v>
      </c>
      <c r="L12985" t="s">
        <v>20</v>
      </c>
      <c r="M12985" t="s">
        <v>24999</v>
      </c>
      <c r="N12985" t="s">
        <v>14</v>
      </c>
    </row>
    <row r="12986" x14ac:dyDescent="0.25">
      <c r="A12986" t="n">
        <v>23</v>
      </c>
      <c r="B12986" t="s">
        <v>14</v>
      </c>
      <c r="C12986" t="s">
        <v>22</v>
      </c>
      <c r="D12986" s="2" t="s">
        <f>=HYPERLINK("https://main.knesset.gov.il/APPS/legislation/main/bills/2139742", "הצעת חוק יחסי ממון בין בני זוג (תיקון - איסור פגיעה בזכות לאיזון בעת פקיעת נישואין בנסיבות של חוסר נאמנות מינית), התש""ף-2020")</f>
        <v>25092</v>
      </c>
      <c r="E12986" t="s">
        <v>25092</v>
      </c>
      <c r="F12986" t="s">
        <v>25093</v>
      </c>
      <c r="G12986" t="s">
        <v>14</v>
      </c>
      <c r="H12986">
             </c>
      <c r="I12986" t="s">
        <v>14</v>
      </c>
      <c r="J12986" t="s">
        <v>141</v>
      </c>
      <c r="K12986" t="s">
        <v>14</v>
      </c>
      <c r="L12986" t="s">
        <v>20</v>
      </c>
      <c r="M12986" t="s">
        <v>24999</v>
      </c>
      <c r="N12986" t="s">
        <v>14</v>
      </c>
    </row>
    <row r="12987" x14ac:dyDescent="0.25">
      <c r="A12987" t="n">
        <v>23</v>
      </c>
      <c r="B12987" t="s">
        <v>14</v>
      </c>
      <c r="C12987" t="s">
        <v>22</v>
      </c>
      <c r="D12987" s="2" t="s">
        <f>=HYPERLINK("https://main.knesset.gov.il/APPS/legislation/main/bills/2087216", "הצעת חוק חינוך לשוויון מגדרי, התש""ף-2020")</f>
        <v>25094</v>
      </c>
      <c r="E12987" t="s">
        <v>25094</v>
      </c>
      <c r="F12987" t="s">
        <v>25095</v>
      </c>
      <c r="G12987" t="s">
        <v>14</v>
      </c>
      <c r="H12987">
             </c>
      <c r="I12987" t="s">
        <v>14</v>
      </c>
      <c r="J12987" t="s">
        <v>141</v>
      </c>
      <c r="K12987" t="s">
        <v>14</v>
      </c>
      <c r="L12987" t="s">
        <v>20</v>
      </c>
      <c r="M12987" t="s">
        <v>24999</v>
      </c>
      <c r="N12987" t="s">
        <v>14</v>
      </c>
    </row>
    <row r="12988" x14ac:dyDescent="0.25">
      <c r="A12988" t="n">
        <v>23</v>
      </c>
      <c r="B12988" t="s">
        <v>14</v>
      </c>
      <c r="C12988" t="s">
        <v>22</v>
      </c>
      <c r="D12988" s="2" t="s">
        <f>=HYPERLINK("https://main.knesset.gov.il/APPS/legislation/main/bills/2088448", "הצעת חוק חובת המכרזים (תיקון - חובה לשקול שיקולי הגנת צרכן במכרזים), התש""ף-2020")</f>
        <v>25096</v>
      </c>
      <c r="E12988" t="s">
        <v>25096</v>
      </c>
      <c r="F12988" t="s">
        <v>25097</v>
      </c>
      <c r="G12988" t="s">
        <v>14</v>
      </c>
      <c r="H12988">
             </c>
      <c r="I12988" t="s">
        <v>14</v>
      </c>
      <c r="J12988" t="s">
        <v>141</v>
      </c>
      <c r="K12988" t="s">
        <v>14</v>
      </c>
      <c r="L12988" t="s">
        <v>20</v>
      </c>
      <c r="M12988" t="s">
        <v>24999</v>
      </c>
      <c r="N12988" t="s">
        <v>14</v>
      </c>
    </row>
    <row r="12989" x14ac:dyDescent="0.25">
      <c r="A12989" t="n">
        <v>23</v>
      </c>
      <c r="B12989" t="s">
        <v>14</v>
      </c>
      <c r="C12989" t="s">
        <v>22</v>
      </c>
      <c r="D12989" s="2" t="s">
        <f>=HYPERLINK("https://main.knesset.gov.il/APPS/legislation/main/bills/2088417", "הצעת חוק חינוך מיוחד (תיקון - קביעת זמן נסיעה), התש""ף-2020")</f>
        <v>25098</v>
      </c>
      <c r="E12989" t="s">
        <v>25098</v>
      </c>
      <c r="F12989" t="s">
        <v>25099</v>
      </c>
      <c r="G12989" t="s">
        <v>14</v>
      </c>
      <c r="H12989">
             </c>
      <c r="I12989" t="s">
        <v>14</v>
      </c>
      <c r="J12989" t="s">
        <v>141</v>
      </c>
      <c r="K12989" t="s">
        <v>14</v>
      </c>
      <c r="L12989" t="s">
        <v>20</v>
      </c>
      <c r="M12989" t="s">
        <v>24999</v>
      </c>
      <c r="N12989" t="s">
        <v>14</v>
      </c>
    </row>
    <row r="12990" x14ac:dyDescent="0.25">
      <c r="A12990" t="n">
        <v>23</v>
      </c>
      <c r="B12990" t="s">
        <v>14</v>
      </c>
      <c r="C12990" t="s">
        <v>22</v>
      </c>
      <c r="D12990" s="2" t="s">
        <f>=HYPERLINK("https://main.knesset.gov.il/APPS/legislation/main/bills/2086173", "הצעת חוק המתווכים במקרקעין (תיקון - אחריות לתשלום דמי תיווך), התש""ף-2020")</f>
        <v>25100</v>
      </c>
      <c r="E12990" t="s">
        <v>25100</v>
      </c>
      <c r="F12990" t="s">
        <v>25101</v>
      </c>
      <c r="G12990" t="s">
        <v>14</v>
      </c>
      <c r="H12990">
             </c>
      <c r="I12990" t="s">
        <v>14</v>
      </c>
      <c r="J12990" t="s">
        <v>141</v>
      </c>
      <c r="K12990" t="s">
        <v>14</v>
      </c>
      <c r="L12990" t="s">
        <v>20</v>
      </c>
      <c r="M12990" t="s">
        <v>24999</v>
      </c>
      <c r="N12990" t="s">
        <v>14</v>
      </c>
    </row>
    <row r="12991" x14ac:dyDescent="0.25">
      <c r="A12991" t="n">
        <v>23</v>
      </c>
      <c r="B12991" t="s">
        <v>14</v>
      </c>
      <c r="C12991" t="s">
        <v>22</v>
      </c>
      <c r="D12991" s="2" t="s">
        <f>=HYPERLINK("https://main.knesset.gov.il/APPS/legislation/main/bills/2140814", "הצעת חוק לתיקון פקודת התעבורה (פטור מאגרת רישיון לרכב חשמלי), התש""ף-2020")</f>
        <v>25102</v>
      </c>
      <c r="E12991" t="s">
        <v>25102</v>
      </c>
      <c r="F12991" t="s">
        <v>25103</v>
      </c>
      <c r="G12991" t="s">
        <v>14</v>
      </c>
      <c r="H12991">
             </c>
      <c r="I12991" t="s">
        <v>14</v>
      </c>
      <c r="J12991" t="s">
        <v>141</v>
      </c>
      <c r="K12991" t="s">
        <v>14</v>
      </c>
      <c r="L12991" t="s">
        <v>20</v>
      </c>
      <c r="M12991" t="s">
        <v>24999</v>
      </c>
      <c r="N12991" t="s">
        <v>14</v>
      </c>
    </row>
    <row r="12992" x14ac:dyDescent="0.25">
      <c r="A12992" t="n">
        <v>23</v>
      </c>
      <c r="B12992" t="s">
        <v>14</v>
      </c>
      <c r="C12992" t="s">
        <v>22</v>
      </c>
      <c r="D12992" s="2" t="s">
        <f>=HYPERLINK("https://main.knesset.gov.il/APPS/legislation/main/bills/2140212", "הצעת חוק פיקוח על מחירי מצרכים ושירותים (תיקון - פיקוח על מחיר גז טבעי), התש""ף-2020")</f>
        <v>25104</v>
      </c>
      <c r="E12992" t="s">
        <v>25104</v>
      </c>
      <c r="F12992" t="s">
        <v>25105</v>
      </c>
      <c r="G12992" t="s">
        <v>14</v>
      </c>
      <c r="H12992">
             </c>
      <c r="I12992" t="s">
        <v>14</v>
      </c>
      <c r="J12992" t="s">
        <v>141</v>
      </c>
      <c r="K12992" t="s">
        <v>14</v>
      </c>
      <c r="L12992" t="s">
        <v>20</v>
      </c>
      <c r="M12992" t="s">
        <v>24999</v>
      </c>
      <c r="N12992" t="s">
        <v>14</v>
      </c>
    </row>
    <row r="12993" x14ac:dyDescent="0.25">
      <c r="A12993" t="n">
        <v>23</v>
      </c>
      <c r="B12993" t="s">
        <v>14</v>
      </c>
      <c r="C12993" t="s">
        <v>22</v>
      </c>
      <c r="D12993" s="2" t="s">
        <f>=HYPERLINK("https://main.knesset.gov.il/APPS/legislation/main/bills/2140198", "הצעת חוק איסור הפליה במוצרים, בשירותים ובכניסה למקומות בידור ולמקומות ציבוריים (תיקון - הפליה מחמת מראה והתניית רישיון עסק באיסור הפליה), התש""ף-2020")</f>
        <v>25106</v>
      </c>
      <c r="E12993" t="s">
        <v>25106</v>
      </c>
      <c r="F12993" t="s">
        <v>25107</v>
      </c>
      <c r="G12993" t="s">
        <v>14</v>
      </c>
      <c r="H12993">
             </c>
      <c r="I12993" t="s">
        <v>14</v>
      </c>
      <c r="J12993" t="s">
        <v>141</v>
      </c>
      <c r="K12993" t="s">
        <v>14</v>
      </c>
      <c r="L12993" t="s">
        <v>20</v>
      </c>
      <c r="M12993" t="s">
        <v>24999</v>
      </c>
      <c r="N12993" t="s">
        <v>14</v>
      </c>
    </row>
    <row r="12994" x14ac:dyDescent="0.25">
      <c r="A12994" t="n">
        <v>23</v>
      </c>
      <c r="B12994" t="s">
        <v>14</v>
      </c>
      <c r="C12994" t="s">
        <v>22</v>
      </c>
      <c r="D12994" s="2" t="s">
        <f>=HYPERLINK("https://main.knesset.gov.il/APPS/legislation/main/bills/2088420", "הצעת חוק המועצה להשכלה גבוהה (תיקון - ביטול חובת דרישות מבחני כניסה וציון פסיכומטרי), התש""ף-2020")</f>
        <v>25108</v>
      </c>
      <c r="E12994" t="s">
        <v>25108</v>
      </c>
      <c r="F12994" t="s">
        <v>25109</v>
      </c>
      <c r="G12994" t="s">
        <v>14</v>
      </c>
      <c r="H12994">
             </c>
      <c r="I12994" t="s">
        <v>14</v>
      </c>
      <c r="J12994" t="s">
        <v>141</v>
      </c>
      <c r="K12994" t="s">
        <v>14</v>
      </c>
      <c r="L12994" t="s">
        <v>20</v>
      </c>
      <c r="M12994" t="s">
        <v>24999</v>
      </c>
      <c r="N12994" t="s">
        <v>14</v>
      </c>
    </row>
    <row r="12995" x14ac:dyDescent="0.25">
      <c r="A12995" t="n">
        <v>23</v>
      </c>
      <c r="B12995" t="s">
        <v>14</v>
      </c>
      <c r="C12995" t="s">
        <v>22</v>
      </c>
      <c r="D12995" s="2" t="s">
        <f>=HYPERLINK("https://main.knesset.gov.il/APPS/legislation/main/bills/2140378", "הצעת חוק לתיקון פקודת התעבורה (הסדרי תנועה בקרבת בית ספר), התש""ף-2020 ")</f>
        <v>25110</v>
      </c>
      <c r="E12995" t="s">
        <v>25110</v>
      </c>
      <c r="F12995" t="s">
        <v>25111</v>
      </c>
      <c r="G12995" t="s">
        <v>14</v>
      </c>
      <c r="H12995">
             </c>
      <c r="I12995" t="s">
        <v>14</v>
      </c>
      <c r="J12995" t="s">
        <v>141</v>
      </c>
      <c r="K12995" t="s">
        <v>14</v>
      </c>
      <c r="L12995" t="s">
        <v>20</v>
      </c>
      <c r="M12995" t="s">
        <v>24999</v>
      </c>
      <c r="N12995" t="s">
        <v>14</v>
      </c>
    </row>
    <row r="12996" x14ac:dyDescent="0.25">
      <c r="A12996" t="n">
        <v>23</v>
      </c>
      <c r="B12996" t="s">
        <v>14</v>
      </c>
      <c r="C12996" t="s">
        <v>22</v>
      </c>
      <c r="D12996" s="2" t="s">
        <f>=HYPERLINK("https://main.knesset.gov.il/APPS/legislation/main/bills/2088088", "הצעת חוק המים (תיקון - מתן הנחות בתעריפי מים לאוכלוסיות נזקקות), התש""ף-2020")</f>
        <v>25112</v>
      </c>
      <c r="E12996" t="s">
        <v>25112</v>
      </c>
      <c r="F12996" t="s">
        <v>25113</v>
      </c>
      <c r="G12996" t="s">
        <v>14</v>
      </c>
      <c r="H12996">
             </c>
      <c r="I12996" t="s">
        <v>14</v>
      </c>
      <c r="J12996" t="s">
        <v>141</v>
      </c>
      <c r="K12996" t="s">
        <v>14</v>
      </c>
      <c r="L12996" t="s">
        <v>20</v>
      </c>
      <c r="M12996" t="s">
        <v>24999</v>
      </c>
      <c r="N12996" t="s">
        <v>14</v>
      </c>
    </row>
    <row r="12997" x14ac:dyDescent="0.25">
      <c r="A12997" t="n">
        <v>23</v>
      </c>
      <c r="B12997" t="s">
        <v>14</v>
      </c>
      <c r="C12997" t="s">
        <v>22</v>
      </c>
      <c r="D12997" s="2" t="s">
        <f>=HYPERLINK("https://main.knesset.gov.il/APPS/legislation/main/bills/2141328", "הצעת חוק לתיקון פקודת מס הכנסה (הטבות מס ליישובים), התש""ף-2020")</f>
        <v>23733</v>
      </c>
      <c r="E12997" t="s">
        <v>23733</v>
      </c>
      <c r="F12997" t="s">
        <v>25114</v>
      </c>
      <c r="G12997" t="s">
        <v>14</v>
      </c>
      <c r="H12997">
             </c>
      <c r="I12997" t="s">
        <v>14</v>
      </c>
      <c r="J12997" t="s">
        <v>141</v>
      </c>
      <c r="K12997" t="s">
        <v>14</v>
      </c>
      <c r="L12997" t="s">
        <v>20</v>
      </c>
      <c r="M12997" t="s">
        <v>24999</v>
      </c>
      <c r="N12997" t="s">
        <v>14</v>
      </c>
    </row>
    <row r="12998" x14ac:dyDescent="0.25">
      <c r="A12998" t="n">
        <v>23</v>
      </c>
      <c r="B12998" t="s">
        <v>14</v>
      </c>
      <c r="C12998" t="s">
        <v>22</v>
      </c>
      <c r="D12998" s="2" t="s">
        <f>=HYPERLINK("https://main.knesset.gov.il/APPS/legislation/main/bills/2140983", "הצעת חוק תשלום פיצויים בשל נזקי אסון טבע, התש""ף-2020")</f>
        <v>25115</v>
      </c>
      <c r="E12998" t="s">
        <v>25115</v>
      </c>
      <c r="F12998" t="s">
        <v>25116</v>
      </c>
      <c r="G12998" t="s">
        <v>14</v>
      </c>
      <c r="H12998">
             </c>
      <c r="I12998" t="s">
        <v>14</v>
      </c>
      <c r="J12998" t="s">
        <v>141</v>
      </c>
      <c r="K12998" t="s">
        <v>14</v>
      </c>
      <c r="L12998" t="s">
        <v>20</v>
      </c>
      <c r="M12998" t="s">
        <v>24999</v>
      </c>
      <c r="N12998" t="s">
        <v>14</v>
      </c>
    </row>
    <row r="12999" x14ac:dyDescent="0.25">
      <c r="A12999" t="n">
        <v>23</v>
      </c>
      <c r="B12999" t="s">
        <v>14</v>
      </c>
      <c r="C12999" t="s">
        <v>22</v>
      </c>
      <c r="D12999" s="2" t="s">
        <f>=HYPERLINK("https://main.knesset.gov.il/APPS/legislation/main/bills/2140967", "הצעת חוק דחיית מועד תשלום מסים בעת מצב מיוחד בעורף (תיקוני חקיקה), התש""ף-2020")</f>
        <v>25117</v>
      </c>
      <c r="E12999" t="s">
        <v>25117</v>
      </c>
      <c r="F12999" t="s">
        <v>25118</v>
      </c>
      <c r="G12999" t="s">
        <v>14</v>
      </c>
      <c r="H12999">
             </c>
      <c r="I12999" t="s">
        <v>14</v>
      </c>
      <c r="J12999" t="s">
        <v>141</v>
      </c>
      <c r="K12999" t="s">
        <v>14</v>
      </c>
      <c r="L12999" t="s">
        <v>20</v>
      </c>
      <c r="M12999" t="s">
        <v>24999</v>
      </c>
      <c r="N12999" t="s">
        <v>14</v>
      </c>
    </row>
    <row r="13000" x14ac:dyDescent="0.25">
      <c r="A13000" t="n">
        <v>23</v>
      </c>
      <c r="B13000" t="s">
        <v>14</v>
      </c>
      <c r="C13000" t="s">
        <v>22</v>
      </c>
      <c r="D13000" s="2" t="s">
        <f>=HYPERLINK("https://main.knesset.gov.il/APPS/legislation/main/bills/2088105", "הצעת חוק מס ערך מוסף (תיקון - פטור למלכ""רים מסויימים), התש""ף-2020")</f>
        <v>25119</v>
      </c>
      <c r="E13000" t="s">
        <v>25119</v>
      </c>
      <c r="F13000" t="s">
        <v>25120</v>
      </c>
      <c r="G13000" t="s">
        <v>14</v>
      </c>
      <c r="H13000">
             </c>
      <c r="I13000" t="s">
        <v>14</v>
      </c>
      <c r="J13000" t="s">
        <v>141</v>
      </c>
      <c r="K13000" t="s">
        <v>14</v>
      </c>
      <c r="L13000" t="s">
        <v>20</v>
      </c>
      <c r="M13000" t="s">
        <v>24999</v>
      </c>
      <c r="N13000" t="s">
        <v>14</v>
      </c>
    </row>
    <row r="13001" x14ac:dyDescent="0.25">
      <c r="A13001" t="n">
        <v>23</v>
      </c>
      <c r="B13001" t="s">
        <v>14</v>
      </c>
      <c r="C13001" t="s">
        <v>22</v>
      </c>
      <c r="D13001" s="2" t="s">
        <f>=HYPERLINK("https://main.knesset.gov.il/APPS/legislation/main/bills/2140300", "הצעת חוק תכנית חירום כלכלית לאומית בעקבות משבר הקורונה (נגיף קורונה החדש) (הוראת שעה), התש""ף-2020")</f>
        <v>25121</v>
      </c>
      <c r="E13001" t="s">
        <v>25121</v>
      </c>
      <c r="F13001" t="s">
        <v>25122</v>
      </c>
      <c r="G13001" t="s">
        <v>14</v>
      </c>
      <c r="H13001">
             </c>
      <c r="I13001" t="s">
        <v>14</v>
      </c>
      <c r="J13001" t="s">
        <v>141</v>
      </c>
      <c r="K13001" t="s">
        <v>14</v>
      </c>
      <c r="L13001" t="s">
        <v>20</v>
      </c>
      <c r="M13001" t="s">
        <v>24999</v>
      </c>
      <c r="N13001" t="s">
        <v>14</v>
      </c>
    </row>
    <row r="13002" x14ac:dyDescent="0.25">
      <c r="A13002" t="n">
        <v>23</v>
      </c>
      <c r="B13002" t="s">
        <v>14</v>
      </c>
      <c r="C13002" t="s">
        <v>22</v>
      </c>
      <c r="D13002" s="2" t="s">
        <f>=HYPERLINK("https://main.knesset.gov.il/APPS/legislation/main/bills/2088426", "הצעת חוק חינוך לבריאות התלמיד, התש""ף-2020")</f>
        <v>25123</v>
      </c>
      <c r="E13002" t="s">
        <v>25123</v>
      </c>
      <c r="F13002" t="s">
        <v>25124</v>
      </c>
      <c r="G13002" t="s">
        <v>14</v>
      </c>
      <c r="H13002">
             </c>
      <c r="I13002" t="s">
        <v>14</v>
      </c>
      <c r="J13002" t="s">
        <v>141</v>
      </c>
      <c r="K13002" t="s">
        <v>14</v>
      </c>
      <c r="L13002" t="s">
        <v>20</v>
      </c>
      <c r="M13002" t="s">
        <v>24999</v>
      </c>
      <c r="N13002" t="s">
        <v>14</v>
      </c>
    </row>
    <row r="13003" x14ac:dyDescent="0.25">
      <c r="A13003" t="n">
        <v>23</v>
      </c>
      <c r="B13003" t="s">
        <v>14</v>
      </c>
      <c r="C13003" t="s">
        <v>22</v>
      </c>
      <c r="D13003" s="2" t="s">
        <f>=HYPERLINK("https://main.knesset.gov.il/APPS/legislation/main/bills/2140864", "הצעת חוק הסדרת שוק הקנאביס לצריכה עצמית, התש""ף-2020")</f>
        <v>25125</v>
      </c>
      <c r="E13003" t="s">
        <v>25125</v>
      </c>
      <c r="F13003" t="s">
        <v>25126</v>
      </c>
      <c r="G13003" t="s">
        <v>14</v>
      </c>
      <c r="H13003">
             </c>
      <c r="I13003" t="s">
        <v>14</v>
      </c>
      <c r="J13003" t="s">
        <v>141</v>
      </c>
      <c r="K13003" t="s">
        <v>14</v>
      </c>
      <c r="L13003" t="s">
        <v>20</v>
      </c>
      <c r="M13003" t="s">
        <v>24999</v>
      </c>
      <c r="N13003" t="s">
        <v>14</v>
      </c>
    </row>
    <row r="13004" x14ac:dyDescent="0.25">
      <c r="A13004" t="n">
        <v>23</v>
      </c>
      <c r="B13004" t="s">
        <v>14</v>
      </c>
      <c r="C13004" t="s">
        <v>22</v>
      </c>
      <c r="D13004" s="2" t="s">
        <f>=HYPERLINK("https://main.knesset.gov.il/APPS/legislation/main/bills/2140567", "הצעת חוק דמי מחלה (היעדרות בשל מחלת ילד) (תיקון - היעדרות בעקבות פגיעה בעבירת מין או אלימות חמורה), התש""ף-2020")</f>
        <v>25127</v>
      </c>
      <c r="E13004" t="s">
        <v>25127</v>
      </c>
      <c r="F13004" t="s">
        <v>25128</v>
      </c>
      <c r="G13004" t="s">
        <v>14</v>
      </c>
      <c r="H13004">
             </c>
      <c r="I13004" t="s">
        <v>14</v>
      </c>
      <c r="J13004" t="s">
        <v>141</v>
      </c>
      <c r="K13004" t="s">
        <v>14</v>
      </c>
      <c r="L13004" t="s">
        <v>20</v>
      </c>
      <c r="M13004" t="s">
        <v>24999</v>
      </c>
      <c r="N13004" t="s">
        <v>14</v>
      </c>
    </row>
    <row r="13005" x14ac:dyDescent="0.25">
      <c r="A13005" t="n">
        <v>23</v>
      </c>
      <c r="B13005" t="s">
        <v>14</v>
      </c>
      <c r="C13005" t="s">
        <v>22</v>
      </c>
      <c r="D13005" s="2" t="s">
        <f>=HYPERLINK("https://main.knesset.gov.il/APPS/legislation/main/bills/2140185", "הצעת חוק עבודת נשים (תיקון - חזרה לעבודה מתקופת לידה והורות), התש""ף-2020")</f>
        <v>25129</v>
      </c>
      <c r="E13005" t="s">
        <v>25129</v>
      </c>
      <c r="F13005" t="s">
        <v>25130</v>
      </c>
      <c r="G13005" t="s">
        <v>14</v>
      </c>
      <c r="H13005">
             </c>
      <c r="I13005" t="s">
        <v>14</v>
      </c>
      <c r="J13005" t="s">
        <v>141</v>
      </c>
      <c r="K13005" t="s">
        <v>14</v>
      </c>
      <c r="L13005" t="s">
        <v>20</v>
      </c>
      <c r="M13005" t="s">
        <v>24999</v>
      </c>
      <c r="N13005" t="s">
        <v>14</v>
      </c>
    </row>
    <row r="13006" x14ac:dyDescent="0.25">
      <c r="A13006" t="n">
        <v>23</v>
      </c>
      <c r="B13006" t="s">
        <v>14</v>
      </c>
      <c r="C13006" t="s">
        <v>22</v>
      </c>
      <c r="D13006" s="2" t="s">
        <f>=HYPERLINK("https://main.knesset.gov.il/APPS/legislation/main/bills/2140656", "הצעת חוק הפסקת היריון, התש""ף-2020")</f>
        <v>25131</v>
      </c>
      <c r="E13006" t="s">
        <v>25131</v>
      </c>
      <c r="F13006" t="s">
        <v>25132</v>
      </c>
      <c r="G13006" t="s">
        <v>14</v>
      </c>
      <c r="H13006">
             </c>
      <c r="I13006" t="s">
        <v>14</v>
      </c>
      <c r="J13006" t="s">
        <v>141</v>
      </c>
      <c r="K13006" t="s">
        <v>14</v>
      </c>
      <c r="L13006" t="s">
        <v>20</v>
      </c>
      <c r="M13006" t="s">
        <v>24999</v>
      </c>
      <c r="N13006" t="s">
        <v>14</v>
      </c>
    </row>
    <row r="13007" x14ac:dyDescent="0.25">
      <c r="A13007" t="n">
        <v>23</v>
      </c>
      <c r="B13007" t="s">
        <v>14</v>
      </c>
      <c r="C13007" t="s">
        <v>22</v>
      </c>
      <c r="D13007" s="2" t="s">
        <f>=HYPERLINK("https://main.knesset.gov.il/APPS/legislation/main/bills/2140206", "הצעת חוק חופש הבחירה במזון מן הצומח, התש""ף-2020")</f>
        <v>25133</v>
      </c>
      <c r="E13007" t="s">
        <v>25133</v>
      </c>
      <c r="F13007" t="s">
        <v>25134</v>
      </c>
      <c r="G13007" t="s">
        <v>14</v>
      </c>
      <c r="H13007">
             </c>
      <c r="I13007" t="s">
        <v>14</v>
      </c>
      <c r="J13007" t="s">
        <v>141</v>
      </c>
      <c r="K13007" t="s">
        <v>14</v>
      </c>
      <c r="L13007" t="s">
        <v>20</v>
      </c>
      <c r="M13007" t="s">
        <v>24999</v>
      </c>
      <c r="N13007" t="s">
        <v>14</v>
      </c>
    </row>
    <row r="13008" x14ac:dyDescent="0.25">
      <c r="A13008" t="n">
        <v>23</v>
      </c>
      <c r="B13008" t="s">
        <v>14</v>
      </c>
      <c r="C13008" t="s">
        <v>22</v>
      </c>
      <c r="D13008" s="2" t="s">
        <f>=HYPERLINK("https://main.knesset.gov.il/APPS/legislation/main/bills/2088511", "הצעת חוק הביטוח הלאומי (תיקון - דמי אבטלה לעצמאיים), התש""ף-2020")</f>
        <v>25135</v>
      </c>
      <c r="E13008" t="s">
        <v>25135</v>
      </c>
      <c r="F13008" t="s">
        <v>25136</v>
      </c>
      <c r="G13008" t="s">
        <v>14</v>
      </c>
      <c r="H13008">
             </c>
      <c r="I13008" t="s">
        <v>14</v>
      </c>
      <c r="J13008" t="s">
        <v>141</v>
      </c>
      <c r="K13008" t="s">
        <v>14</v>
      </c>
      <c r="L13008" t="s">
        <v>20</v>
      </c>
      <c r="M13008" t="s">
        <v>24999</v>
      </c>
      <c r="N13008" t="s">
        <v>14</v>
      </c>
    </row>
    <row r="13009" x14ac:dyDescent="0.25">
      <c r="A13009" t="n">
        <v>23</v>
      </c>
      <c r="B13009" t="s">
        <v>14</v>
      </c>
      <c r="C13009" t="s">
        <v>22</v>
      </c>
      <c r="D13009" s="2" t="s">
        <f>=HYPERLINK("https://main.knesset.gov.il/APPS/legislation/main/bills/2140035", "הצעת חוק הנכים (תגמולים ושיקום) (תיקון - הגבלת שכר טרחת עורך דין), התש""ף-2020")</f>
        <v>24288</v>
      </c>
      <c r="E13009" t="s">
        <v>24288</v>
      </c>
      <c r="F13009" t="s">
        <v>25137</v>
      </c>
      <c r="G13009" t="s">
        <v>14</v>
      </c>
      <c r="H13009">
             </c>
      <c r="I13009" t="s">
        <v>14</v>
      </c>
      <c r="J13009" t="s">
        <v>141</v>
      </c>
      <c r="K13009" t="s">
        <v>14</v>
      </c>
      <c r="L13009" t="s">
        <v>20</v>
      </c>
      <c r="M13009" t="s">
        <v>24999</v>
      </c>
      <c r="N13009" t="s">
        <v>14</v>
      </c>
    </row>
    <row r="13010" x14ac:dyDescent="0.25">
      <c r="A13010" t="n">
        <v>23</v>
      </c>
      <c r="B13010" t="s">
        <v>14</v>
      </c>
      <c r="C13010" t="s">
        <v>22</v>
      </c>
      <c r="D13010" s="2" t="s">
        <f>=HYPERLINK("https://main.knesset.gov.il/APPS/legislation/main/bills/2087995", "הצעת חוק לפיקוח על הפרשות לפנסיה, התש""ף-2020")</f>
        <v>25138</v>
      </c>
      <c r="E13010" t="s">
        <v>25138</v>
      </c>
      <c r="F13010" t="s">
        <v>25139</v>
      </c>
      <c r="G13010" t="s">
        <v>14</v>
      </c>
      <c r="H13010">
             </c>
      <c r="I13010" t="s">
        <v>14</v>
      </c>
      <c r="J13010" t="s">
        <v>141</v>
      </c>
      <c r="K13010" t="s">
        <v>14</v>
      </c>
      <c r="L13010" t="s">
        <v>20</v>
      </c>
      <c r="M13010" t="s">
        <v>24999</v>
      </c>
      <c r="N13010" t="s">
        <v>14</v>
      </c>
    </row>
    <row r="13011" x14ac:dyDescent="0.25">
      <c r="A13011" t="n">
        <v>23</v>
      </c>
      <c r="B13011" t="s">
        <v>14</v>
      </c>
      <c r="C13011" t="s">
        <v>22</v>
      </c>
      <c r="D13011" s="2" t="s">
        <f>=HYPERLINK("https://main.knesset.gov.il/APPS/legislation/main/bills/2087999", "הצעת חוק הפיקוח על מעונות (תיקון - חובת פיקוח של מנהל מעון), התש""ף-2020")</f>
        <v>25140</v>
      </c>
      <c r="E13011" t="s">
        <v>25140</v>
      </c>
      <c r="F13011" t="s">
        <v>25141</v>
      </c>
      <c r="G13011" t="s">
        <v>14</v>
      </c>
      <c r="H13011">
             </c>
      <c r="I13011" t="s">
        <v>14</v>
      </c>
      <c r="J13011" t="s">
        <v>141</v>
      </c>
      <c r="K13011" t="s">
        <v>14</v>
      </c>
      <c r="L13011" t="s">
        <v>20</v>
      </c>
      <c r="M13011" t="s">
        <v>24999</v>
      </c>
      <c r="N13011" t="s">
        <v>14</v>
      </c>
    </row>
    <row r="13012" x14ac:dyDescent="0.25">
      <c r="A13012" t="n">
        <v>23</v>
      </c>
      <c r="B13012" t="s">
        <v>14</v>
      </c>
      <c r="C13012" t="s">
        <v>22</v>
      </c>
      <c r="D13012" s="2" t="s">
        <f>=HYPERLINK("https://main.knesset.gov.il/APPS/legislation/main/bills/2087540", "הצעת חוק שירות אזרחי-ביטחוני (תיקוני חקיקה), התש""ף-2020")</f>
        <v>25142</v>
      </c>
      <c r="E13012" t="s">
        <v>25142</v>
      </c>
      <c r="F13012" t="s">
        <v>25143</v>
      </c>
      <c r="G13012" t="s">
        <v>14</v>
      </c>
      <c r="H13012">
             </c>
      <c r="I13012" t="s">
        <v>14</v>
      </c>
      <c r="J13012" t="s">
        <v>141</v>
      </c>
      <c r="K13012" t="s">
        <v>14</v>
      </c>
      <c r="L13012" t="s">
        <v>20</v>
      </c>
      <c r="M13012" t="s">
        <v>24999</v>
      </c>
      <c r="N13012" t="s">
        <v>14</v>
      </c>
    </row>
    <row r="13013" x14ac:dyDescent="0.25">
      <c r="A13013" t="n">
        <v>23</v>
      </c>
      <c r="B13013" t="s">
        <v>14</v>
      </c>
      <c r="C13013" t="s">
        <v>22</v>
      </c>
      <c r="D13013" s="2" t="s">
        <f>=HYPERLINK("https://main.knesset.gov.il/APPS/legislation/main/bills/2140187", "הצעת חוק השיפוט הצבאי (תיקון - וידוא הריגה), התש""ף-2020")</f>
        <v>25144</v>
      </c>
      <c r="E13013" t="s">
        <v>25144</v>
      </c>
      <c r="F13013" t="s">
        <v>25145</v>
      </c>
      <c r="G13013" t="s">
        <v>14</v>
      </c>
      <c r="H13013">
             </c>
      <c r="I13013" t="s">
        <v>14</v>
      </c>
      <c r="J13013" t="s">
        <v>141</v>
      </c>
      <c r="K13013" t="s">
        <v>14</v>
      </c>
      <c r="L13013" t="s">
        <v>20</v>
      </c>
      <c r="M13013" t="s">
        <v>24999</v>
      </c>
      <c r="N13013" t="s">
        <v>14</v>
      </c>
    </row>
    <row r="13014" x14ac:dyDescent="0.25">
      <c r="A13014" t="n">
        <v>23</v>
      </c>
      <c r="B13014" t="s">
        <v>14</v>
      </c>
      <c r="C13014" t="s">
        <v>22</v>
      </c>
      <c r="D13014" s="2" t="s">
        <f>=HYPERLINK("https://main.knesset.gov.il/APPS/legislation/main/bills/2088005", "הצעת חוק חופשה שנתית (תיקון - חופשה לרגל נישואין), התש""ף-2020")</f>
        <v>25146</v>
      </c>
      <c r="E13014" t="s">
        <v>25146</v>
      </c>
      <c r="F13014" t="s">
        <v>25147</v>
      </c>
      <c r="G13014" t="s">
        <v>14</v>
      </c>
      <c r="H13014">
             </c>
      <c r="I13014" t="s">
        <v>14</v>
      </c>
      <c r="J13014" t="s">
        <v>141</v>
      </c>
      <c r="K13014" t="s">
        <v>14</v>
      </c>
      <c r="L13014" t="s">
        <v>20</v>
      </c>
      <c r="M13014" t="s">
        <v>24999</v>
      </c>
      <c r="N13014" t="s">
        <v>14</v>
      </c>
    </row>
    <row r="13015" x14ac:dyDescent="0.25">
      <c r="A13015" t="n">
        <v>23</v>
      </c>
      <c r="B13015" t="s">
        <v>14</v>
      </c>
      <c r="C13015" t="s">
        <v>15</v>
      </c>
      <c r="D13015" s="2" t="s">
        <f>=HYPERLINK("https://main.knesset.gov.il/APPS/legislation/main/bills/2141255", "חוק סמכויות מיוחדות להתמודדות עם נגיף הקורונה החדש (צווי סגירה מינהליים) (הוראת שעה), התש""ף–2020")</f>
        <v>25148</v>
      </c>
      <c r="E13015" t="s">
        <v>25148</v>
      </c>
      <c r="F13015" t="s">
        <v>14</v>
      </c>
      <c r="G13015" t="s">
        <v>24064</v>
      </c>
      <c r="H13015" t="n">
        <v>2820</v>
      </c>
      <c r="I13015" t="s">
        <v>14</v>
      </c>
      <c r="J13015" t="s">
        <v>91</v>
      </c>
      <c r="K13015" t="s">
        <v>27</v>
      </c>
      <c r="L13015" t="s">
        <v>20</v>
      </c>
      <c r="M13015" t="s">
        <v>25149</v>
      </c>
      <c r="N13015" t="s">
        <v>25150</v>
      </c>
    </row>
    <row r="13016" x14ac:dyDescent="0.25">
      <c r="A13016" t="n">
        <v>23</v>
      </c>
      <c r="B13016" t="s">
        <v>14</v>
      </c>
      <c r="C13016" t="s">
        <v>15</v>
      </c>
      <c r="D13016" s="2" t="s">
        <f>=HYPERLINK("https://main.knesset.gov.il/APPS/legislation/main/bills/2141253", "חוק לתיקון ולהארכת תוקפן של תקנות שעת חירום (נגיף הקורונה החדש) (אזור מוגבל), התש""ף-2020 ")</f>
        <v>25151</v>
      </c>
      <c r="E13016" t="s">
        <v>25151</v>
      </c>
      <c r="F13016" t="s">
        <v>14</v>
      </c>
      <c r="G13016" t="s">
        <v>25152</v>
      </c>
      <c r="H13016" t="n">
        <v>2819</v>
      </c>
      <c r="I13016" t="s">
        <v>14</v>
      </c>
      <c r="J13016" t="s">
        <v>91</v>
      </c>
      <c r="K13016" t="s">
        <v>27</v>
      </c>
      <c r="L13016" t="s">
        <v>20</v>
      </c>
      <c r="M13016" t="s">
        <v>25149</v>
      </c>
      <c r="N13016" t="s">
        <v>25153</v>
      </c>
    </row>
    <row r="13017" x14ac:dyDescent="0.25">
      <c r="A13017" t="n">
        <v>23</v>
      </c>
      <c r="B13017" t="s">
        <v>14</v>
      </c>
      <c r="C13017" t="s">
        <v>15</v>
      </c>
      <c r="D13017" s="2" t="s">
        <f>=HYPERLINK("https://main.knesset.gov.il/APPS/legislation/main/bills/2141254", "חוק לתיקון ולהארכת תוקפן של תקנות שעת חירום (נגיף הקורונה החדש) (בידוד במקום לבידוד מטעם המדינה), התש""ף-2020 ")</f>
        <v>25154</v>
      </c>
      <c r="E13017" t="s">
        <v>25154</v>
      </c>
      <c r="F13017" t="s">
        <v>14</v>
      </c>
      <c r="G13017" t="s">
        <v>25155</v>
      </c>
      <c r="H13017" t="n">
        <v>2818</v>
      </c>
      <c r="I13017" t="s">
        <v>14</v>
      </c>
      <c r="J13017" t="s">
        <v>91</v>
      </c>
      <c r="K13017" t="s">
        <v>27</v>
      </c>
      <c r="L13017" t="s">
        <v>20</v>
      </c>
      <c r="M13017" t="s">
        <v>25149</v>
      </c>
      <c r="N13017" t="s">
        <v>25156</v>
      </c>
    </row>
    <row r="13018" x14ac:dyDescent="0.25">
      <c r="A13018" t="n">
        <v>23</v>
      </c>
      <c r="B13018" t="s">
        <v>14</v>
      </c>
      <c r="C13018" t="s">
        <v>15</v>
      </c>
      <c r="D13018" s="2" t="s">
        <f>=HYPERLINK("https://main.knesset.gov.il/APPS/legislation/main/bills/2141704", "חוק לתיקון ולהארכת תוקפן של תקנות שעת חירום (נגיף הקורונה החדש – דיונים בהשתתפות עצורים, אסירים וכלואים) (תיקון), התש""ף–2020")</f>
        <v>25157</v>
      </c>
      <c r="E13018" t="s">
        <v>25157</v>
      </c>
      <c r="F13018" t="s">
        <v>14</v>
      </c>
      <c r="G13018" t="s">
        <v>24500</v>
      </c>
      <c r="H13018" t="n">
        <v>2817</v>
      </c>
      <c r="I13018" t="s">
        <v>14</v>
      </c>
      <c r="J13018" t="s">
        <v>91</v>
      </c>
      <c r="K13018" t="s">
        <v>27</v>
      </c>
      <c r="L13018" t="s">
        <v>20</v>
      </c>
      <c r="M13018" t="s">
        <v>25149</v>
      </c>
      <c r="N13018" t="s">
        <v>25158</v>
      </c>
    </row>
    <row r="13019" x14ac:dyDescent="0.25">
      <c r="A13019" t="n">
        <v>23</v>
      </c>
      <c r="B13019" t="s">
        <v>14</v>
      </c>
      <c r="C13019" t="s">
        <v>15</v>
      </c>
      <c r="D13019" s="2" t="s">
        <f>=HYPERLINK("https://main.knesset.gov.il/APPS/legislation/main/bills/2141519", "חוק הסמכת שירות הביטחון הכללי לסייע במאמץ הלאומי לצמצום התפשטות נגיף הקורונה החדש (הוראת שעה), התש""ף-2020")</f>
        <v>25159</v>
      </c>
      <c r="E13019" t="s">
        <v>25159</v>
      </c>
      <c r="F13019" t="s">
        <v>14</v>
      </c>
      <c r="G13019" t="s">
        <v>24774</v>
      </c>
      <c r="H13019" t="n">
        <v>2816</v>
      </c>
      <c r="I13019" t="s">
        <v>14</v>
      </c>
      <c r="J13019" t="s">
        <v>91</v>
      </c>
      <c r="K13019" t="s">
        <v>114</v>
      </c>
      <c r="L13019" t="s">
        <v>20</v>
      </c>
      <c r="M13019" t="s">
        <v>25149</v>
      </c>
      <c r="N13019" t="s">
        <v>25160</v>
      </c>
    </row>
    <row r="13020" x14ac:dyDescent="0.25">
      <c r="A13020" t="n">
        <v>23</v>
      </c>
      <c r="B13020" t="s">
        <v>14</v>
      </c>
      <c r="C13020" t="s">
        <v>22</v>
      </c>
      <c r="D13020" s="2" t="s">
        <f>=HYPERLINK("https://main.knesset.gov.il/APPS/legislation/main/bills/2087381", "הצעת חוק הרשות לפיתוח הנגב (תיקון מס' 4) (תיקון - ביטול החוק), התש""ף-2020")</f>
        <v>25161</v>
      </c>
      <c r="E13020" t="s">
        <v>25161</v>
      </c>
      <c r="F13020" t="s">
        <v>25162</v>
      </c>
      <c r="G13020" t="s">
        <v>14</v>
      </c>
      <c r="H13020">
             </c>
      <c r="I13020" t="s">
        <v>14</v>
      </c>
      <c r="J13020" t="s">
        <v>55</v>
      </c>
      <c r="K13020" t="s">
        <v>14</v>
      </c>
      <c r="L13020" t="s">
        <v>20</v>
      </c>
      <c r="M13020" t="s">
        <v>25149</v>
      </c>
      <c r="N13020" t="s">
        <v>14</v>
      </c>
    </row>
    <row r="13021" x14ac:dyDescent="0.25">
      <c r="A13021" t="n">
        <v>23</v>
      </c>
      <c r="B13021" t="s">
        <v>14</v>
      </c>
      <c r="C13021" t="s">
        <v>22</v>
      </c>
      <c r="D13021" s="2" t="s">
        <f>=HYPERLINK("https://main.knesset.gov.il/APPS/legislation/main/bills/2087512", "הצעת חוק דמי מחלה (היעדרות בשל מחלת ילד) (תיקון - בן זוג לומד), התש""ף-2020")</f>
        <v>24957</v>
      </c>
      <c r="E13021" t="s">
        <v>24957</v>
      </c>
      <c r="F13021" t="s">
        <v>25163</v>
      </c>
      <c r="G13021" t="s">
        <v>14</v>
      </c>
      <c r="H13021">
             </c>
      <c r="I13021" t="s">
        <v>14</v>
      </c>
      <c r="J13021" t="s">
        <v>31</v>
      </c>
      <c r="K13021" t="s">
        <v>15147</v>
      </c>
      <c r="L13021" t="s">
        <v>20</v>
      </c>
      <c r="M13021" t="s">
        <v>25149</v>
      </c>
      <c r="N13021" t="s">
        <v>14</v>
      </c>
    </row>
    <row r="13022" x14ac:dyDescent="0.25">
      <c r="A13022" t="n">
        <v>23</v>
      </c>
      <c r="B13022" t="s">
        <v>14</v>
      </c>
      <c r="C13022" t="s">
        <v>22</v>
      </c>
      <c r="D13022" s="2" t="s">
        <f>=HYPERLINK("https://main.knesset.gov.il/APPS/legislation/main/bills/2086137", "הצעת חוק הסכמים לנשיאת עוברים (אישור הסכם ומעמד היילוד) (תיקון - הרחבת הזכאות להליכי נשיאת עוברים), התש""ף-2020")</f>
        <v>24951</v>
      </c>
      <c r="E13022" t="s">
        <v>24951</v>
      </c>
      <c r="F13022" t="s">
        <v>25164</v>
      </c>
      <c r="G13022" t="s">
        <v>14</v>
      </c>
      <c r="H13022">
             </c>
      <c r="I13022" t="s">
        <v>14</v>
      </c>
      <c r="J13022" t="s">
        <v>55</v>
      </c>
      <c r="K13022" t="s">
        <v>14</v>
      </c>
      <c r="L13022" t="s">
        <v>20</v>
      </c>
      <c r="M13022" t="s">
        <v>25149</v>
      </c>
      <c r="N13022" t="s">
        <v>14</v>
      </c>
    </row>
    <row r="13023" x14ac:dyDescent="0.25">
      <c r="A13023" t="n">
        <v>23</v>
      </c>
      <c r="B13023" t="s">
        <v>14</v>
      </c>
      <c r="C13023" t="s">
        <v>22</v>
      </c>
      <c r="D13023" s="2" t="s">
        <f>=HYPERLINK("https://main.knesset.gov.il/APPS/legislation/main/bills/2086063", "הצעת חוק הרבנות הראשית לישראל (תיקון - כשירות רב ראשי והרכב האסיפה הבוחרת), התש""ף-2020")</f>
        <v>25165</v>
      </c>
      <c r="E13023" t="s">
        <v>25165</v>
      </c>
      <c r="F13023" t="s">
        <v>25166</v>
      </c>
      <c r="G13023" t="s">
        <v>14</v>
      </c>
      <c r="H13023">
             </c>
      <c r="I13023" t="s">
        <v>14</v>
      </c>
      <c r="J13023" t="s">
        <v>55</v>
      </c>
      <c r="K13023" t="s">
        <v>14</v>
      </c>
      <c r="L13023" t="s">
        <v>20</v>
      </c>
      <c r="M13023" t="s">
        <v>25149</v>
      </c>
      <c r="N13023" t="s">
        <v>14</v>
      </c>
    </row>
    <row r="13024" x14ac:dyDescent="0.25">
      <c r="A13024" t="n">
        <v>23</v>
      </c>
      <c r="B13024" t="s">
        <v>14</v>
      </c>
      <c r="C13024" t="s">
        <v>22</v>
      </c>
      <c r="D13024" s="2" t="s">
        <f>=HYPERLINK("https://main.knesset.gov.il/APPS/legislation/main/bills/2086487", "הצעת חוק התרבות והאמנות (תיקון - הקצאת תקציב שנתי לתרבות והאמנות), התש""ף-2020")</f>
        <v>25167</v>
      </c>
      <c r="E13024" t="s">
        <v>25167</v>
      </c>
      <c r="F13024" t="s">
        <v>25168</v>
      </c>
      <c r="G13024" t="s">
        <v>14</v>
      </c>
      <c r="H13024">
             </c>
      <c r="I13024" t="s">
        <v>14</v>
      </c>
      <c r="J13024" t="s">
        <v>55</v>
      </c>
      <c r="K13024" t="s">
        <v>14</v>
      </c>
      <c r="L13024" t="s">
        <v>20</v>
      </c>
      <c r="M13024" t="s">
        <v>25149</v>
      </c>
      <c r="N13024" t="s">
        <v>14</v>
      </c>
    </row>
    <row r="13025" x14ac:dyDescent="0.25">
      <c r="A13025" t="n">
        <v>23</v>
      </c>
      <c r="B13025" t="s">
        <v>14</v>
      </c>
      <c r="C13025" t="s">
        <v>22</v>
      </c>
      <c r="D13025" s="2" t="s">
        <f>=HYPERLINK("https://main.knesset.gov.il/APPS/legislation/main/bills/2085758", "הצעת חוק התרבות והאמנות (תיקון - תקציב התרבות), התש""ף-2020")</f>
        <v>24707</v>
      </c>
      <c r="E13025" t="s">
        <v>24707</v>
      </c>
      <c r="F13025" t="s">
        <v>25169</v>
      </c>
      <c r="G13025" t="s">
        <v>14</v>
      </c>
      <c r="H13025">
             </c>
      <c r="I13025" t="s">
        <v>14</v>
      </c>
      <c r="J13025" t="s">
        <v>55</v>
      </c>
      <c r="K13025" t="s">
        <v>14</v>
      </c>
      <c r="L13025" t="s">
        <v>20</v>
      </c>
      <c r="M13025" t="s">
        <v>25149</v>
      </c>
      <c r="N13025" t="s">
        <v>14</v>
      </c>
    </row>
    <row r="13026" x14ac:dyDescent="0.25">
      <c r="A13026" t="n">
        <v>23</v>
      </c>
      <c r="B13026" t="s">
        <v>14</v>
      </c>
      <c r="C13026" t="s">
        <v>22</v>
      </c>
      <c r="D13026" s="2" t="s">
        <f>=HYPERLINK("https://main.knesset.gov.il/APPS/legislation/main/bills/2085911", "הצעת חוק-יסוד: הממשלה (תיקון - הגבלת כהונת ראש הממשלה)")</f>
        <v>19405</v>
      </c>
      <c r="E13026" t="s">
        <v>19405</v>
      </c>
      <c r="F13026" t="s">
        <v>25170</v>
      </c>
      <c r="G13026" t="s">
        <v>14</v>
      </c>
      <c r="H13026">
             </c>
      <c r="I13026" t="s">
        <v>14</v>
      </c>
      <c r="J13026" t="s">
        <v>55</v>
      </c>
      <c r="K13026" t="s">
        <v>14</v>
      </c>
      <c r="L13026" t="s">
        <v>20</v>
      </c>
      <c r="M13026" t="s">
        <v>25149</v>
      </c>
      <c r="N13026" t="s">
        <v>14</v>
      </c>
    </row>
    <row r="13027" x14ac:dyDescent="0.25">
      <c r="A13027" t="n">
        <v>23</v>
      </c>
      <c r="B13027" t="s">
        <v>14</v>
      </c>
      <c r="C13027" t="s">
        <v>22</v>
      </c>
      <c r="D13027" s="2" t="s">
        <f>=HYPERLINK("https://main.knesset.gov.il/APPS/legislation/main/bills/2085673", "הצעת חוק-יסוד: הממשלה (תיקון - הגבלת כהונת ראש הממשלה לשתי תקופות כהונה רצופות)")</f>
        <v>1247</v>
      </c>
      <c r="E13027" t="s">
        <v>1247</v>
      </c>
      <c r="F13027" t="s">
        <v>25171</v>
      </c>
      <c r="G13027" t="s">
        <v>14</v>
      </c>
      <c r="H13027">
             </c>
      <c r="I13027" t="s">
        <v>14</v>
      </c>
      <c r="J13027" t="s">
        <v>55</v>
      </c>
      <c r="K13027" t="s">
        <v>14</v>
      </c>
      <c r="L13027" t="s">
        <v>20</v>
      </c>
      <c r="M13027" t="s">
        <v>25149</v>
      </c>
      <c r="N13027" t="s">
        <v>14</v>
      </c>
    </row>
    <row r="13028" x14ac:dyDescent="0.25">
      <c r="A13028" t="n">
        <v>23</v>
      </c>
      <c r="B13028" t="s">
        <v>14</v>
      </c>
      <c r="C13028" t="s">
        <v>22</v>
      </c>
      <c r="D13028" s="2" t="s">
        <f>=HYPERLINK("https://main.knesset.gov.il/APPS/legislation/main/bills/2085588", "הצעת חוק-יסוד: הממשלה (תיקון - הגבלת כהונת ראש הממשלה לשתי תקופות כהונה רצופות)")</f>
        <v>1247</v>
      </c>
      <c r="E13028" t="s">
        <v>1247</v>
      </c>
      <c r="F13028" t="s">
        <v>25172</v>
      </c>
      <c r="G13028" t="s">
        <v>14</v>
      </c>
      <c r="H13028">
             </c>
      <c r="I13028" t="s">
        <v>14</v>
      </c>
      <c r="J13028" t="s">
        <v>55</v>
      </c>
      <c r="K13028" t="s">
        <v>14</v>
      </c>
      <c r="L13028" t="s">
        <v>20</v>
      </c>
      <c r="M13028" t="s">
        <v>25149</v>
      </c>
      <c r="N13028" t="s">
        <v>14</v>
      </c>
    </row>
    <row r="13029" x14ac:dyDescent="0.25">
      <c r="A13029" t="n">
        <v>23</v>
      </c>
      <c r="B13029" t="s">
        <v>14</v>
      </c>
      <c r="C13029" t="s">
        <v>22</v>
      </c>
      <c r="D13029" s="2" t="s">
        <f>=HYPERLINK("https://main.knesset.gov.il/APPS/legislation/main/bills/2085640", "הצעת חוק דיני העבודה (תיקוני חקיקה), התש""ף-2020")</f>
        <v>25173</v>
      </c>
      <c r="E13029" t="s">
        <v>25173</v>
      </c>
      <c r="F13029" t="s">
        <v>25174</v>
      </c>
      <c r="G13029" t="s">
        <v>14</v>
      </c>
      <c r="H13029">
             </c>
      <c r="I13029" t="s">
        <v>14</v>
      </c>
      <c r="J13029" t="s">
        <v>55</v>
      </c>
      <c r="K13029" t="s">
        <v>14</v>
      </c>
      <c r="L13029" t="s">
        <v>20</v>
      </c>
      <c r="M13029" t="s">
        <v>25149</v>
      </c>
      <c r="N13029" t="s">
        <v>14</v>
      </c>
    </row>
    <row r="13030" x14ac:dyDescent="0.25">
      <c r="A13030" t="n">
        <v>23</v>
      </c>
      <c r="B13030" t="s">
        <v>14</v>
      </c>
      <c r="C13030" t="s">
        <v>15</v>
      </c>
      <c r="D13030" s="2" t="s">
        <f>=HYPERLINK("https://main.knesset.gov.il/APPS/legislation/main/bills/2141251", "חוק מענק הסתגלות מיוחד לבני 67 ומעלה (הוראת שעה – נגיף הקורונה החדש), התש""ף-2020 ")</f>
        <v>25175</v>
      </c>
      <c r="E13030" t="s">
        <v>25175</v>
      </c>
      <c r="F13030" t="s">
        <v>14</v>
      </c>
      <c r="G13030" t="s">
        <v>25176</v>
      </c>
      <c r="H13030" t="n">
        <v>2815</v>
      </c>
      <c r="I13030" t="s">
        <v>14</v>
      </c>
      <c r="J13030" t="s">
        <v>91</v>
      </c>
      <c r="K13030" t="s">
        <v>15147</v>
      </c>
      <c r="L13030" t="s">
        <v>20</v>
      </c>
      <c r="M13030" t="s">
        <v>25177</v>
      </c>
      <c r="N13030" t="s">
        <v>25178</v>
      </c>
    </row>
    <row r="13031" x14ac:dyDescent="0.25">
      <c r="A13031" t="n">
        <v>23</v>
      </c>
      <c r="B13031" t="s">
        <v>14</v>
      </c>
      <c r="C13031" t="s">
        <v>15</v>
      </c>
      <c r="D13031" s="2" t="s">
        <f>=HYPERLINK("https://main.knesset.gov.il/APPS/legislation/main/bills/2141249", "חוק חדלות פירעון ושיקום כלכלי (תיקון מס' 3), התש""ף-2020 ")</f>
        <v>25179</v>
      </c>
      <c r="E13031" t="s">
        <v>25179</v>
      </c>
      <c r="F13031" t="s">
        <v>14</v>
      </c>
      <c r="G13031" t="s">
        <v>25180</v>
      </c>
      <c r="H13031" t="n">
        <v>2813</v>
      </c>
      <c r="I13031" t="s">
        <v>14</v>
      </c>
      <c r="J13031" t="s">
        <v>91</v>
      </c>
      <c r="K13031" t="s">
        <v>27</v>
      </c>
      <c r="L13031" t="s">
        <v>20</v>
      </c>
      <c r="M13031" t="s">
        <v>25177</v>
      </c>
      <c r="N13031" t="s">
        <v>25181</v>
      </c>
    </row>
    <row r="13032" x14ac:dyDescent="0.25">
      <c r="A13032" t="n">
        <v>23</v>
      </c>
      <c r="B13032" t="s">
        <v>14</v>
      </c>
      <c r="C13032" t="s">
        <v>15</v>
      </c>
      <c r="D13032" s="2" t="s">
        <f>=HYPERLINK("https://main.knesset.gov.il/APPS/legislation/main/bills/2140472", "חוק הגז (בטיחות ורישוי) (תיקון מס' 7), התש""ף-2020 ")</f>
        <v>25182</v>
      </c>
      <c r="E13032" t="s">
        <v>25182</v>
      </c>
      <c r="F13032" t="s">
        <v>14</v>
      </c>
      <c r="G13032" t="s">
        <v>25183</v>
      </c>
      <c r="H13032" t="n">
        <v>2812</v>
      </c>
      <c r="I13032" t="s">
        <v>14</v>
      </c>
      <c r="J13032" t="s">
        <v>91</v>
      </c>
      <c r="K13032" t="s">
        <v>19</v>
      </c>
      <c r="L13032" t="s">
        <v>20</v>
      </c>
      <c r="M13032" t="s">
        <v>25177</v>
      </c>
      <c r="N13032" t="s">
        <v>25184</v>
      </c>
    </row>
    <row r="13033" x14ac:dyDescent="0.25">
      <c r="A13033" t="n">
        <v>23</v>
      </c>
      <c r="B13033" t="s">
        <v>14</v>
      </c>
      <c r="C13033" t="s">
        <v>15</v>
      </c>
      <c r="D13033" s="2" t="s">
        <f>=HYPERLINK("https://main.knesset.gov.il/APPS/legislation/main/bills/2141252", "חוק הארכת תקופות (הוראת שעה – נגיף הקורונה החדש) (אישורים רגולטוריים), התש""ף-2020")</f>
        <v>25185</v>
      </c>
      <c r="E13033" t="s">
        <v>25185</v>
      </c>
      <c r="F13033" t="s">
        <v>14</v>
      </c>
      <c r="G13033" t="s">
        <v>25186</v>
      </c>
      <c r="H13033" t="n">
        <v>2811</v>
      </c>
      <c r="I13033" t="s">
        <v>14</v>
      </c>
      <c r="J13033" t="s">
        <v>91</v>
      </c>
      <c r="K13033" t="s">
        <v>24998</v>
      </c>
      <c r="L13033" t="s">
        <v>20</v>
      </c>
      <c r="M13033" t="s">
        <v>25177</v>
      </c>
      <c r="N13033" t="s">
        <v>25187</v>
      </c>
    </row>
    <row r="13034" x14ac:dyDescent="0.25">
      <c r="A13034" t="n">
        <v>23</v>
      </c>
      <c r="B13034" t="s">
        <v>14</v>
      </c>
      <c r="C13034" t="s">
        <v>15</v>
      </c>
      <c r="D13034" s="2" t="s">
        <f>=HYPERLINK("https://main.knesset.gov.il/APPS/legislation/main/bills/2140800", "חוק תכנון משק החלב (תיקון מס' 3), התש""ף-2020 ")</f>
        <v>25188</v>
      </c>
      <c r="E13034" t="s">
        <v>25188</v>
      </c>
      <c r="F13034" t="s">
        <v>14</v>
      </c>
      <c r="G13034" t="s">
        <v>25189</v>
      </c>
      <c r="H13034" t="n">
        <v>2814</v>
      </c>
      <c r="I13034" t="s">
        <v>14</v>
      </c>
      <c r="J13034" t="s">
        <v>91</v>
      </c>
      <c r="K13034" t="s">
        <v>19</v>
      </c>
      <c r="L13034" t="s">
        <v>20</v>
      </c>
      <c r="M13034" t="s">
        <v>25177</v>
      </c>
      <c r="N13034" t="s">
        <v>25190</v>
      </c>
    </row>
    <row r="13035" x14ac:dyDescent="0.25">
      <c r="A13035" t="n">
        <v>23</v>
      </c>
      <c r="B13035" t="s">
        <v>14</v>
      </c>
      <c r="C13035" t="s">
        <v>22</v>
      </c>
      <c r="D13035" s="2" t="s">
        <f>=HYPERLINK("https://main.knesset.gov.il/APPS/legislation/main/bills/2140575", "הצעת חוק מימון מפלגות (תיקון - ייצוג הולם לנשים בכנסת), התש""ף-2020")</f>
        <v>25191</v>
      </c>
      <c r="E13035" t="s">
        <v>25191</v>
      </c>
      <c r="F13035" t="s">
        <v>25192</v>
      </c>
      <c r="G13035" t="s">
        <v>14</v>
      </c>
      <c r="H13035">
             </c>
      <c r="I13035" t="s">
        <v>14</v>
      </c>
      <c r="J13035" t="s">
        <v>141</v>
      </c>
      <c r="K13035" t="s">
        <v>14</v>
      </c>
      <c r="L13035" t="s">
        <v>20</v>
      </c>
      <c r="M13035" t="s">
        <v>25177</v>
      </c>
      <c r="N13035" t="s">
        <v>14</v>
      </c>
    </row>
    <row r="13036" x14ac:dyDescent="0.25">
      <c r="A13036" t="n">
        <v>23</v>
      </c>
      <c r="B13036" t="s">
        <v>14</v>
      </c>
      <c r="C13036" t="s">
        <v>22</v>
      </c>
      <c r="D13036" s="2" t="s">
        <f>=HYPERLINK("https://main.knesset.gov.il/APPS/legislation/main/bills/2140219", "הצעת חוק ביטוח בריאות ממלכתי (תיקון - תושב ששהה מחוץ לישראל ואין לו קרוב משפחה), התש""ף-2020")</f>
        <v>25193</v>
      </c>
      <c r="E13036" t="s">
        <v>25193</v>
      </c>
      <c r="F13036" t="s">
        <v>25194</v>
      </c>
      <c r="G13036" t="s">
        <v>14</v>
      </c>
      <c r="H13036">
             </c>
      <c r="I13036" t="s">
        <v>14</v>
      </c>
      <c r="J13036" t="s">
        <v>141</v>
      </c>
      <c r="K13036" t="s">
        <v>14</v>
      </c>
      <c r="L13036" t="s">
        <v>20</v>
      </c>
      <c r="M13036" t="s">
        <v>25177</v>
      </c>
      <c r="N13036" t="s">
        <v>14</v>
      </c>
    </row>
    <row r="13037" x14ac:dyDescent="0.25">
      <c r="A13037" t="n">
        <v>23</v>
      </c>
      <c r="B13037" t="s">
        <v>14</v>
      </c>
      <c r="C13037" t="s">
        <v>22</v>
      </c>
      <c r="D13037" s="2" t="s">
        <f>=HYPERLINK("https://main.knesset.gov.il/APPS/legislation/main/bills/2087033", "הצעת חוק הגנה כלכלית על חסרי ישע (איסור על העברת רכוש, הון ונכסים ממטופל למטפל) (תיקוני חקיקה), התש""ף-2020")</f>
        <v>25195</v>
      </c>
      <c r="E13037" t="s">
        <v>25195</v>
      </c>
      <c r="F13037" t="s">
        <v>25196</v>
      </c>
      <c r="G13037" t="s">
        <v>14</v>
      </c>
      <c r="H13037">
             </c>
      <c r="I13037" t="s">
        <v>14</v>
      </c>
      <c r="J13037" t="s">
        <v>141</v>
      </c>
      <c r="K13037" t="s">
        <v>14</v>
      </c>
      <c r="L13037" t="s">
        <v>20</v>
      </c>
      <c r="M13037" t="s">
        <v>25177</v>
      </c>
      <c r="N13037" t="s">
        <v>14</v>
      </c>
    </row>
    <row r="13038" x14ac:dyDescent="0.25">
      <c r="A13038" t="n">
        <v>23</v>
      </c>
      <c r="B13038" t="s">
        <v>14</v>
      </c>
      <c r="C13038" t="s">
        <v>22</v>
      </c>
      <c r="D13038" s="2" t="s">
        <f>=HYPERLINK("https://main.knesset.gov.il/APPS/legislation/main/bills/2088091", "הצעת חוק לתיקון פקודת בריאות העם (מכרז להצבת מכונות מזון אוטומטיות), התש""ף-2020")</f>
        <v>25197</v>
      </c>
      <c r="E13038" t="s">
        <v>25197</v>
      </c>
      <c r="F13038" t="s">
        <v>25198</v>
      </c>
      <c r="G13038" t="s">
        <v>14</v>
      </c>
      <c r="H13038">
             </c>
      <c r="I13038" t="s">
        <v>14</v>
      </c>
      <c r="J13038" t="s">
        <v>141</v>
      </c>
      <c r="K13038" t="s">
        <v>14</v>
      </c>
      <c r="L13038" t="s">
        <v>20</v>
      </c>
      <c r="M13038" t="s">
        <v>25177</v>
      </c>
      <c r="N13038" t="s">
        <v>14</v>
      </c>
    </row>
    <row r="13039" x14ac:dyDescent="0.25">
      <c r="A13039" t="n">
        <v>23</v>
      </c>
      <c r="B13039" t="s">
        <v>14</v>
      </c>
      <c r="C13039" t="s">
        <v>22</v>
      </c>
      <c r="D13039" s="2" t="s">
        <f>=HYPERLINK("https://main.knesset.gov.il/APPS/legislation/main/bills/2088117", "הצעת חוק שירות הציבור (הגבלות לאחר פרישה) (תיקון - תקופת צינון לשוטרים בתפקידי חקירה ומודיעין), התש""ף-2020")</f>
        <v>25199</v>
      </c>
      <c r="E13039" t="s">
        <v>25199</v>
      </c>
      <c r="F13039" t="s">
        <v>25200</v>
      </c>
      <c r="G13039" t="s">
        <v>14</v>
      </c>
      <c r="H13039">
             </c>
      <c r="I13039" t="s">
        <v>14</v>
      </c>
      <c r="J13039" t="s">
        <v>141</v>
      </c>
      <c r="K13039" t="s">
        <v>14</v>
      </c>
      <c r="L13039" t="s">
        <v>20</v>
      </c>
      <c r="M13039" t="s">
        <v>25177</v>
      </c>
      <c r="N13039" t="s">
        <v>14</v>
      </c>
    </row>
    <row r="13040" x14ac:dyDescent="0.25">
      <c r="A13040" t="n">
        <v>23</v>
      </c>
      <c r="B13040" t="s">
        <v>14</v>
      </c>
      <c r="C13040" t="s">
        <v>22</v>
      </c>
      <c r="D13040" s="2" t="s">
        <f>=HYPERLINK("https://main.knesset.gov.il/APPS/legislation/main/bills/2139925", "הצעת חוק-יסוד: השפיטה (תיקון – הגבלת זכות העמידה) ")</f>
        <v>25201</v>
      </c>
      <c r="E13040" t="s">
        <v>25201</v>
      </c>
      <c r="F13040" t="s">
        <v>25202</v>
      </c>
      <c r="G13040" t="s">
        <v>14</v>
      </c>
      <c r="H13040">
             </c>
      <c r="I13040" t="s">
        <v>14</v>
      </c>
      <c r="J13040" t="s">
        <v>141</v>
      </c>
      <c r="K13040" t="s">
        <v>14</v>
      </c>
      <c r="L13040" t="s">
        <v>20</v>
      </c>
      <c r="M13040" t="s">
        <v>25177</v>
      </c>
      <c r="N13040" t="s">
        <v>14</v>
      </c>
    </row>
    <row r="13041" x14ac:dyDescent="0.25">
      <c r="A13041" t="n">
        <v>23</v>
      </c>
      <c r="B13041" t="s">
        <v>14</v>
      </c>
      <c r="C13041" t="s">
        <v>22</v>
      </c>
      <c r="D13041" s="2" t="s">
        <f>=HYPERLINK("https://main.knesset.gov.il/APPS/legislation/main/bills/2139998", "הצעת חוק זכויות נפגעי עבירה (תיקון - זכויות בהליך בפני שופט מגשר), התש""ף-2020")</f>
        <v>25203</v>
      </c>
      <c r="E13041" t="s">
        <v>25203</v>
      </c>
      <c r="F13041" t="s">
        <v>25204</v>
      </c>
      <c r="G13041" t="s">
        <v>14</v>
      </c>
      <c r="H13041">
             </c>
      <c r="I13041" t="s">
        <v>14</v>
      </c>
      <c r="J13041" t="s">
        <v>141</v>
      </c>
      <c r="K13041" t="s">
        <v>14</v>
      </c>
      <c r="L13041" t="s">
        <v>20</v>
      </c>
      <c r="M13041" t="s">
        <v>25177</v>
      </c>
      <c r="N13041" t="s">
        <v>14</v>
      </c>
    </row>
    <row r="13042" x14ac:dyDescent="0.25">
      <c r="A13042" t="n">
        <v>23</v>
      </c>
      <c r="B13042" t="s">
        <v>14</v>
      </c>
      <c r="C13042" t="s">
        <v>22</v>
      </c>
      <c r="D13042" s="2" t="s">
        <f>=HYPERLINK("https://main.knesset.gov.il/APPS/legislation/main/bills/2087951", "הצעת חוק חובת המכרזים (תיקון - עידוד העסקת עובדים מאוכלוסיות ייחודיות), התש""ף-2020")</f>
        <v>25205</v>
      </c>
      <c r="E13042" t="s">
        <v>25205</v>
      </c>
      <c r="F13042" t="s">
        <v>25206</v>
      </c>
      <c r="G13042" t="s">
        <v>14</v>
      </c>
      <c r="H13042">
             </c>
      <c r="I13042" t="s">
        <v>14</v>
      </c>
      <c r="J13042" t="s">
        <v>141</v>
      </c>
      <c r="K13042" t="s">
        <v>14</v>
      </c>
      <c r="L13042" t="s">
        <v>20</v>
      </c>
      <c r="M13042" t="s">
        <v>25177</v>
      </c>
      <c r="N13042" t="s">
        <v>14</v>
      </c>
    </row>
    <row r="13043" x14ac:dyDescent="0.25">
      <c r="A13043" t="n">
        <v>23</v>
      </c>
      <c r="B13043" t="s">
        <v>14</v>
      </c>
      <c r="C13043" t="s">
        <v>22</v>
      </c>
      <c r="D13043" s="2" t="s">
        <f>=HYPERLINK("https://main.knesset.gov.il/APPS/legislation/main/bills/2140164", "הצעת חוק-יסוד: מבקר המדינה (תיקון - כשירות מועמדים לכהונה כמבקר המדינה)")</f>
        <v>20983</v>
      </c>
      <c r="E13043" t="s">
        <v>20983</v>
      </c>
      <c r="F13043" t="s">
        <v>25207</v>
      </c>
      <c r="G13043" t="s">
        <v>14</v>
      </c>
      <c r="H13043">
             </c>
      <c r="I13043" t="s">
        <v>14</v>
      </c>
      <c r="J13043" t="s">
        <v>141</v>
      </c>
      <c r="K13043" t="s">
        <v>14</v>
      </c>
      <c r="L13043" t="s">
        <v>20</v>
      </c>
      <c r="M13043" t="s">
        <v>25177</v>
      </c>
      <c r="N13043" t="s">
        <v>14</v>
      </c>
    </row>
    <row r="13044" x14ac:dyDescent="0.25">
      <c r="A13044" t="n">
        <v>23</v>
      </c>
      <c r="B13044" t="s">
        <v>14</v>
      </c>
      <c r="C13044" t="s">
        <v>22</v>
      </c>
      <c r="D13044" s="2" t="s">
        <f>=HYPERLINK("https://main.knesset.gov.il/APPS/legislation/main/bills/2088330", "הצעת חוק בית המשפט לענייני משפחה (תיקון - בני זוג מאותו המין), התש""ף-2020")</f>
        <v>24562</v>
      </c>
      <c r="E13044" t="s">
        <v>24562</v>
      </c>
      <c r="F13044" t="s">
        <v>25208</v>
      </c>
      <c r="G13044" t="s">
        <v>14</v>
      </c>
      <c r="H13044">
             </c>
      <c r="I13044" t="s">
        <v>14</v>
      </c>
      <c r="J13044" t="s">
        <v>141</v>
      </c>
      <c r="K13044" t="s">
        <v>14</v>
      </c>
      <c r="L13044" t="s">
        <v>20</v>
      </c>
      <c r="M13044" t="s">
        <v>25177</v>
      </c>
      <c r="N13044" t="s">
        <v>14</v>
      </c>
    </row>
    <row r="13045" x14ac:dyDescent="0.25">
      <c r="A13045" t="n">
        <v>23</v>
      </c>
      <c r="B13045" t="s">
        <v>14</v>
      </c>
      <c r="C13045" t="s">
        <v>22</v>
      </c>
      <c r="D13045" s="2" t="s">
        <f>=HYPERLINK("https://main.knesset.gov.il/APPS/legislation/main/bills/2087627", "הצעת חוק חובת המכרזים (תיקון - עידוד העסקת עובדים מאוכלוסיות ייחודיות), התש""ף-2020")</f>
        <v>25205</v>
      </c>
      <c r="E13045" t="s">
        <v>25205</v>
      </c>
      <c r="F13045" t="s">
        <v>25209</v>
      </c>
      <c r="G13045" t="s">
        <v>14</v>
      </c>
      <c r="H13045">
             </c>
      <c r="I13045" t="s">
        <v>14</v>
      </c>
      <c r="J13045" t="s">
        <v>141</v>
      </c>
      <c r="K13045" t="s">
        <v>14</v>
      </c>
      <c r="L13045" t="s">
        <v>20</v>
      </c>
      <c r="M13045" t="s">
        <v>25177</v>
      </c>
      <c r="N13045" t="s">
        <v>14</v>
      </c>
    </row>
    <row r="13046" x14ac:dyDescent="0.25">
      <c r="A13046" t="n">
        <v>23</v>
      </c>
      <c r="B13046" t="s">
        <v>14</v>
      </c>
      <c r="C13046" t="s">
        <v>22</v>
      </c>
      <c r="D13046" s="2" t="s">
        <f>=HYPERLINK("https://main.knesset.gov.il/APPS/legislation/main/bills/2139999", "הצעת חוק-יסוד: הממשלה (תיקון - דיון בהשתתפות ראש הממשלה החלופי)")</f>
        <v>19823</v>
      </c>
      <c r="E13046" t="s">
        <v>19823</v>
      </c>
      <c r="F13046" t="s">
        <v>25210</v>
      </c>
      <c r="G13046" t="s">
        <v>14</v>
      </c>
      <c r="H13046">
             </c>
      <c r="I13046" t="s">
        <v>14</v>
      </c>
      <c r="J13046" t="s">
        <v>141</v>
      </c>
      <c r="K13046" t="s">
        <v>14</v>
      </c>
      <c r="L13046" t="s">
        <v>20</v>
      </c>
      <c r="M13046" t="s">
        <v>25177</v>
      </c>
      <c r="N13046" t="s">
        <v>14</v>
      </c>
    </row>
    <row r="13047" x14ac:dyDescent="0.25">
      <c r="A13047" t="n">
        <v>23</v>
      </c>
      <c r="B13047" t="s">
        <v>14</v>
      </c>
      <c r="C13047" t="s">
        <v>22</v>
      </c>
      <c r="D13047" s="2" t="s">
        <f>=HYPERLINK("https://main.knesset.gov.il/APPS/legislation/main/bills/2086681", "הצעת חוק למניעת העסקה של עברייני מין במוסדות מסוימים (תיקון - העסקת בגיר שהורשע בעבירת מין כעובד זמני במוסד), התש""ף-2020")</f>
        <v>25211</v>
      </c>
      <c r="E13047" t="s">
        <v>25211</v>
      </c>
      <c r="F13047" t="s">
        <v>25212</v>
      </c>
      <c r="G13047" t="s">
        <v>14</v>
      </c>
      <c r="H13047">
             </c>
      <c r="I13047" t="s">
        <v>14</v>
      </c>
      <c r="J13047" t="s">
        <v>141</v>
      </c>
      <c r="K13047" t="s">
        <v>14</v>
      </c>
      <c r="L13047" t="s">
        <v>20</v>
      </c>
      <c r="M13047" t="s">
        <v>25177</v>
      </c>
      <c r="N13047" t="s">
        <v>14</v>
      </c>
    </row>
    <row r="13048" x14ac:dyDescent="0.25">
      <c r="A13048" t="n">
        <v>23</v>
      </c>
      <c r="B13048" t="s">
        <v>14</v>
      </c>
      <c r="C13048" t="s">
        <v>22</v>
      </c>
      <c r="D13048" s="2" t="s">
        <f>=HYPERLINK("https://main.knesset.gov.il/APPS/legislation/main/bills/2141171", "הצעת חוק לתיקון פקודת הראיות (עדות יועץ תקשורת או דובר), התש""ף-2020")</f>
        <v>25213</v>
      </c>
      <c r="E13048" t="s">
        <v>25213</v>
      </c>
      <c r="F13048" t="s">
        <v>25214</v>
      </c>
      <c r="G13048" t="s">
        <v>14</v>
      </c>
      <c r="H13048">
             </c>
      <c r="I13048" t="s">
        <v>14</v>
      </c>
      <c r="J13048" t="s">
        <v>141</v>
      </c>
      <c r="K13048" t="s">
        <v>14</v>
      </c>
      <c r="L13048" t="s">
        <v>20</v>
      </c>
      <c r="M13048" t="s">
        <v>25177</v>
      </c>
      <c r="N13048" t="s">
        <v>14</v>
      </c>
    </row>
    <row r="13049" x14ac:dyDescent="0.25">
      <c r="A13049" t="n">
        <v>23</v>
      </c>
      <c r="B13049" t="s">
        <v>14</v>
      </c>
      <c r="C13049" t="s">
        <v>22</v>
      </c>
      <c r="D13049" s="2" t="s">
        <f>=HYPERLINK("https://main.knesset.gov.il/APPS/legislation/main/bills/2139923", "הצעת חוק-יסוד: השפיטה (תיקון - בחירת נשיא בית המשפט העליון בידי הכנסת)")</f>
        <v>4363</v>
      </c>
      <c r="E13049" t="s">
        <v>4363</v>
      </c>
      <c r="F13049" t="s">
        <v>25215</v>
      </c>
      <c r="G13049" t="s">
        <v>14</v>
      </c>
      <c r="H13049">
             </c>
      <c r="I13049" t="s">
        <v>14</v>
      </c>
      <c r="J13049" t="s">
        <v>141</v>
      </c>
      <c r="K13049" t="s">
        <v>14</v>
      </c>
      <c r="L13049" t="s">
        <v>20</v>
      </c>
      <c r="M13049" t="s">
        <v>25177</v>
      </c>
      <c r="N13049" t="s">
        <v>14</v>
      </c>
    </row>
    <row r="13050" x14ac:dyDescent="0.25">
      <c r="A13050" t="n">
        <v>23</v>
      </c>
      <c r="B13050" t="s">
        <v>14</v>
      </c>
      <c r="C13050" t="s">
        <v>22</v>
      </c>
      <c r="D13050" s="2" t="s">
        <f>=HYPERLINK("https://main.knesset.gov.il/APPS/legislation/main/bills/2087904", "הצעת חוק האזרחים הוותיקים (תיקון - הקצאת מקומות חניה במקום ציבורי לאזרח ותיק), התש""ף-2020")</f>
        <v>25216</v>
      </c>
      <c r="E13050" t="s">
        <v>25216</v>
      </c>
      <c r="F13050" t="s">
        <v>25217</v>
      </c>
      <c r="G13050" t="s">
        <v>14</v>
      </c>
      <c r="H13050">
             </c>
      <c r="I13050" t="s">
        <v>14</v>
      </c>
      <c r="J13050" t="s">
        <v>141</v>
      </c>
      <c r="K13050" t="s">
        <v>14</v>
      </c>
      <c r="L13050" t="s">
        <v>20</v>
      </c>
      <c r="M13050" t="s">
        <v>25177</v>
      </c>
      <c r="N13050" t="s">
        <v>14</v>
      </c>
    </row>
    <row r="13051" x14ac:dyDescent="0.25">
      <c r="A13051" t="n">
        <v>23</v>
      </c>
      <c r="B13051" t="s">
        <v>14</v>
      </c>
      <c r="C13051" t="s">
        <v>22</v>
      </c>
      <c r="D13051" s="2" t="s">
        <f>=HYPERLINK("https://main.knesset.gov.il/APPS/legislation/main/bills/2088472", "הצעת חוק הגנת הפרטיות (תיקון - מינוי נציג רשמי), התש""ף-2020")</f>
        <v>25218</v>
      </c>
      <c r="E13051" t="s">
        <v>25218</v>
      </c>
      <c r="F13051" t="s">
        <v>25219</v>
      </c>
      <c r="G13051" t="s">
        <v>14</v>
      </c>
      <c r="H13051">
             </c>
      <c r="I13051" t="s">
        <v>14</v>
      </c>
      <c r="J13051" t="s">
        <v>141</v>
      </c>
      <c r="K13051" t="s">
        <v>14</v>
      </c>
      <c r="L13051" t="s">
        <v>20</v>
      </c>
      <c r="M13051" t="s">
        <v>25177</v>
      </c>
      <c r="N13051" t="s">
        <v>14</v>
      </c>
    </row>
    <row r="13052" x14ac:dyDescent="0.25">
      <c r="A13052" t="n">
        <v>23</v>
      </c>
      <c r="B13052" t="s">
        <v>14</v>
      </c>
      <c r="C13052" t="s">
        <v>22</v>
      </c>
      <c r="D13052" s="2" t="s">
        <f>=HYPERLINK("https://main.knesset.gov.il/APPS/legislation/main/bills/2139988", "הצעת חוק היועץ המשפטי לממשלה (מינוי וכהונה), התש""ף-2020")</f>
        <v>25220</v>
      </c>
      <c r="E13052" t="s">
        <v>25220</v>
      </c>
      <c r="F13052" t="s">
        <v>25221</v>
      </c>
      <c r="G13052" t="s">
        <v>14</v>
      </c>
      <c r="H13052">
             </c>
      <c r="I13052" t="s">
        <v>14</v>
      </c>
      <c r="J13052" t="s">
        <v>141</v>
      </c>
      <c r="K13052" t="s">
        <v>14</v>
      </c>
      <c r="L13052" t="s">
        <v>20</v>
      </c>
      <c r="M13052" t="s">
        <v>25177</v>
      </c>
      <c r="N13052" t="s">
        <v>14</v>
      </c>
    </row>
    <row r="13053" x14ac:dyDescent="0.25">
      <c r="A13053" t="n">
        <v>23</v>
      </c>
      <c r="B13053" t="s">
        <v>14</v>
      </c>
      <c r="C13053" t="s">
        <v>22</v>
      </c>
      <c r="D13053" s="2" t="s">
        <f>=HYPERLINK("https://main.knesset.gov.il/APPS/legislation/main/bills/2088494", "הצעת חוק הממשלה (תיקון - ועדת שרים לענייני חקיקה), התש""ף-2020")</f>
        <v>25222</v>
      </c>
      <c r="E13053" t="s">
        <v>25222</v>
      </c>
      <c r="F13053" t="s">
        <v>25223</v>
      </c>
      <c r="G13053" t="s">
        <v>14</v>
      </c>
      <c r="H13053">
             </c>
      <c r="I13053" t="s">
        <v>14</v>
      </c>
      <c r="J13053" t="s">
        <v>141</v>
      </c>
      <c r="K13053" t="s">
        <v>14</v>
      </c>
      <c r="L13053" t="s">
        <v>20</v>
      </c>
      <c r="M13053" t="s">
        <v>25177</v>
      </c>
      <c r="N13053" t="s">
        <v>14</v>
      </c>
    </row>
    <row r="13054" x14ac:dyDescent="0.25">
      <c r="A13054" t="n">
        <v>23</v>
      </c>
      <c r="B13054" t="s">
        <v>14</v>
      </c>
      <c r="C13054" t="s">
        <v>22</v>
      </c>
      <c r="D13054" s="2" t="s">
        <f>=HYPERLINK("https://main.knesset.gov.il/APPS/legislation/main/bills/2140000", "הצעת חוק חופש המידע (תיקון - הקמת נציבות חופש המידע והסדרת סמכותו של הממונה על חופש המידע ברשות ציבורית), התש""ף-2020")</f>
        <v>25224</v>
      </c>
      <c r="E13054" t="s">
        <v>25224</v>
      </c>
      <c r="F13054" t="s">
        <v>25225</v>
      </c>
      <c r="G13054" t="s">
        <v>14</v>
      </c>
      <c r="H13054">
             </c>
      <c r="I13054" t="s">
        <v>14</v>
      </c>
      <c r="J13054" t="s">
        <v>141</v>
      </c>
      <c r="K13054" t="s">
        <v>14</v>
      </c>
      <c r="L13054" t="s">
        <v>20</v>
      </c>
      <c r="M13054" t="s">
        <v>25177</v>
      </c>
      <c r="N13054" t="s">
        <v>14</v>
      </c>
    </row>
    <row r="13055" x14ac:dyDescent="0.25">
      <c r="A13055" t="n">
        <v>23</v>
      </c>
      <c r="B13055" t="s">
        <v>14</v>
      </c>
      <c r="C13055" t="s">
        <v>22</v>
      </c>
      <c r="D13055" s="2" t="s">
        <f>=HYPERLINK("https://main.knesset.gov.il/APPS/legislation/main/bills/2088491", "הצעת חוק זכות ייצוג לקטין המתנגד לאשפוז פסיכיאטרי (תיקוני חקיקה), התש""ף-2020")</f>
        <v>25226</v>
      </c>
      <c r="E13055" t="s">
        <v>25226</v>
      </c>
      <c r="F13055" t="s">
        <v>25227</v>
      </c>
      <c r="G13055" t="s">
        <v>14</v>
      </c>
      <c r="H13055">
             </c>
      <c r="I13055" t="s">
        <v>14</v>
      </c>
      <c r="J13055" t="s">
        <v>141</v>
      </c>
      <c r="K13055" t="s">
        <v>14</v>
      </c>
      <c r="L13055" t="s">
        <v>20</v>
      </c>
      <c r="M13055" t="s">
        <v>25177</v>
      </c>
      <c r="N13055" t="s">
        <v>14</v>
      </c>
    </row>
    <row r="13056" x14ac:dyDescent="0.25">
      <c r="A13056" t="n">
        <v>23</v>
      </c>
      <c r="B13056" t="s">
        <v>14</v>
      </c>
      <c r="C13056" t="s">
        <v>22</v>
      </c>
      <c r="D13056" s="2" t="s">
        <f>=HYPERLINK("https://main.knesset.gov.il/APPS/legislation/main/bills/2139722", "הצעת חוק-יסוד: השפיטה (תיקון - הפרדת רשויות)")</f>
        <v>4335</v>
      </c>
      <c r="E13056" t="s">
        <v>4335</v>
      </c>
      <c r="F13056" t="s">
        <v>25228</v>
      </c>
      <c r="G13056" t="s">
        <v>14</v>
      </c>
      <c r="H13056">
             </c>
      <c r="I13056" t="s">
        <v>14</v>
      </c>
      <c r="J13056" t="s">
        <v>141</v>
      </c>
      <c r="K13056" t="s">
        <v>14</v>
      </c>
      <c r="L13056" t="s">
        <v>20</v>
      </c>
      <c r="M13056" t="s">
        <v>25177</v>
      </c>
      <c r="N13056" t="s">
        <v>14</v>
      </c>
    </row>
    <row r="13057" x14ac:dyDescent="0.25">
      <c r="A13057" t="n">
        <v>23</v>
      </c>
      <c r="B13057" t="s">
        <v>14</v>
      </c>
      <c r="C13057" t="s">
        <v>22</v>
      </c>
      <c r="D13057" s="2" t="s">
        <f>=HYPERLINK("https://main.knesset.gov.il/APPS/legislation/main/bills/2139725", "הצעת חוק שירות המדינה (מינויים) (תיקון - מינוי יועצים משפטיים של משרדים), התש""ף-2020")</f>
        <v>25229</v>
      </c>
      <c r="E13057" t="s">
        <v>25229</v>
      </c>
      <c r="F13057" t="s">
        <v>25230</v>
      </c>
      <c r="G13057" t="s">
        <v>14</v>
      </c>
      <c r="H13057">
             </c>
      <c r="I13057" t="s">
        <v>14</v>
      </c>
      <c r="J13057" t="s">
        <v>141</v>
      </c>
      <c r="K13057" t="s">
        <v>14</v>
      </c>
      <c r="L13057" t="s">
        <v>20</v>
      </c>
      <c r="M13057" t="s">
        <v>25177</v>
      </c>
      <c r="N13057" t="s">
        <v>14</v>
      </c>
    </row>
    <row r="13058" x14ac:dyDescent="0.25">
      <c r="A13058" t="n">
        <v>23</v>
      </c>
      <c r="B13058" t="s">
        <v>14</v>
      </c>
      <c r="C13058" t="s">
        <v>22</v>
      </c>
      <c r="D13058" s="2" t="s">
        <f>=HYPERLINK("https://main.knesset.gov.il/APPS/legislation/main/bills/2087261", "הצעת חוק-יסוד: משק המדינה (תיקון - חובת דיון על יעדי תקציב)")</f>
        <v>25231</v>
      </c>
      <c r="E13058" t="s">
        <v>25231</v>
      </c>
      <c r="F13058" t="s">
        <v>25232</v>
      </c>
      <c r="G13058" t="s">
        <v>14</v>
      </c>
      <c r="H13058">
             </c>
      <c r="I13058" t="s">
        <v>14</v>
      </c>
      <c r="J13058" t="s">
        <v>141</v>
      </c>
      <c r="K13058" t="s">
        <v>14</v>
      </c>
      <c r="L13058" t="s">
        <v>20</v>
      </c>
      <c r="M13058" t="s">
        <v>25177</v>
      </c>
      <c r="N13058" t="s">
        <v>14</v>
      </c>
    </row>
    <row r="13059" x14ac:dyDescent="0.25">
      <c r="A13059" t="n">
        <v>23</v>
      </c>
      <c r="B13059" t="s">
        <v>14</v>
      </c>
      <c r="C13059" t="s">
        <v>22</v>
      </c>
      <c r="D13059" s="2" t="s">
        <f>=HYPERLINK("https://main.knesset.gov.il/APPS/legislation/main/bills/2086928", "הצעת חוק תקופת לידה והורות להורים (תיקוני חקיקה), התש""ף-2020")</f>
        <v>25233</v>
      </c>
      <c r="E13059" t="s">
        <v>25233</v>
      </c>
      <c r="F13059" t="s">
        <v>25234</v>
      </c>
      <c r="G13059" t="s">
        <v>14</v>
      </c>
      <c r="H13059">
             </c>
      <c r="I13059" t="s">
        <v>14</v>
      </c>
      <c r="J13059" t="s">
        <v>141</v>
      </c>
      <c r="K13059" t="s">
        <v>14</v>
      </c>
      <c r="L13059" t="s">
        <v>20</v>
      </c>
      <c r="M13059" t="s">
        <v>25177</v>
      </c>
      <c r="N13059" t="s">
        <v>14</v>
      </c>
    </row>
    <row r="13060" x14ac:dyDescent="0.25">
      <c r="A13060" t="n">
        <v>23</v>
      </c>
      <c r="B13060" t="s">
        <v>14</v>
      </c>
      <c r="C13060" t="s">
        <v>22</v>
      </c>
      <c r="D13060" s="2" t="s">
        <f>=HYPERLINK("https://main.knesset.gov.il/APPS/legislation/main/bills/2140316", "הצעת חוק הפיקוח על שירותים פיננסיים (ביטוח) (תיקון - העלאת הגיל לקבלת קצבה לנשים בקרן ותיקה שבהסדר), התש""ף-2020")</f>
        <v>25235</v>
      </c>
      <c r="E13060" t="s">
        <v>25235</v>
      </c>
      <c r="F13060" t="s">
        <v>25236</v>
      </c>
      <c r="G13060" t="s">
        <v>14</v>
      </c>
      <c r="H13060">
             </c>
      <c r="I13060" t="s">
        <v>14</v>
      </c>
      <c r="J13060" t="s">
        <v>141</v>
      </c>
      <c r="K13060" t="s">
        <v>14</v>
      </c>
      <c r="L13060" t="s">
        <v>20</v>
      </c>
      <c r="M13060" t="s">
        <v>25177</v>
      </c>
      <c r="N13060" t="s">
        <v>14</v>
      </c>
    </row>
    <row r="13061" x14ac:dyDescent="0.25">
      <c r="A13061" t="n">
        <v>23</v>
      </c>
      <c r="B13061" t="s">
        <v>14</v>
      </c>
      <c r="C13061" t="s">
        <v>22</v>
      </c>
      <c r="D13061" s="2" t="s">
        <f>=HYPERLINK("https://main.knesset.gov.il/APPS/legislation/main/bills/2087176", "הצעת חוק עבודת נשים (תיקון - חישוב ימי מחלה בתקופת היריון), התש""ף-2020")</f>
        <v>25237</v>
      </c>
      <c r="E13061" t="s">
        <v>25237</v>
      </c>
      <c r="F13061" t="s">
        <v>25238</v>
      </c>
      <c r="G13061" t="s">
        <v>14</v>
      </c>
      <c r="H13061">
             </c>
      <c r="I13061" t="s">
        <v>14</v>
      </c>
      <c r="J13061" t="s">
        <v>141</v>
      </c>
      <c r="K13061" t="s">
        <v>14</v>
      </c>
      <c r="L13061" t="s">
        <v>20</v>
      </c>
      <c r="M13061" t="s">
        <v>25177</v>
      </c>
      <c r="N13061" t="s">
        <v>14</v>
      </c>
    </row>
    <row r="13062" x14ac:dyDescent="0.25">
      <c r="A13062" t="n">
        <v>23</v>
      </c>
      <c r="B13062" t="s">
        <v>14</v>
      </c>
      <c r="C13062" t="s">
        <v>22</v>
      </c>
      <c r="D13062" s="2" t="s">
        <f>=HYPERLINK("https://main.knesset.gov.il/APPS/legislation/main/bills/2088299", "הצעת חוק הטבות לניצולי שואה (תיקון - השוואת זכויות מקבלי קצבה חודשית מהרפובליקה הפדראלית של גרמניה), התש""ף-2020")</f>
        <v>25239</v>
      </c>
      <c r="E13062" t="s">
        <v>25239</v>
      </c>
      <c r="F13062" t="s">
        <v>25240</v>
      </c>
      <c r="G13062" t="s">
        <v>14</v>
      </c>
      <c r="H13062">
             </c>
      <c r="I13062" t="s">
        <v>14</v>
      </c>
      <c r="J13062" t="s">
        <v>141</v>
      </c>
      <c r="K13062" t="s">
        <v>14</v>
      </c>
      <c r="L13062" t="s">
        <v>20</v>
      </c>
      <c r="M13062" t="s">
        <v>25177</v>
      </c>
      <c r="N13062" t="s">
        <v>14</v>
      </c>
    </row>
    <row r="13063" x14ac:dyDescent="0.25">
      <c r="A13063" t="n">
        <v>23</v>
      </c>
      <c r="B13063" t="s">
        <v>14</v>
      </c>
      <c r="C13063" t="s">
        <v>22</v>
      </c>
      <c r="D13063" s="2" t="s">
        <f>=HYPERLINK("https://main.knesset.gov.il/APPS/legislation/main/bills/2140554", "הצעת חוק הרשויות המקומיות (פטור חיילים, נפגעי מלחמה ושוטרים מארנונה) (תיקון - פטור לחייל בודד בדירת שותפים), התש''ף-2020")</f>
        <v>25241</v>
      </c>
      <c r="E13063" t="s">
        <v>25241</v>
      </c>
      <c r="F13063" t="s">
        <v>25242</v>
      </c>
      <c r="G13063" t="s">
        <v>14</v>
      </c>
      <c r="H13063">
             </c>
      <c r="I13063" t="s">
        <v>14</v>
      </c>
      <c r="J13063" t="s">
        <v>141</v>
      </c>
      <c r="K13063" t="s">
        <v>14</v>
      </c>
      <c r="L13063" t="s">
        <v>20</v>
      </c>
      <c r="M13063" t="s">
        <v>25177</v>
      </c>
      <c r="N13063" t="s">
        <v>14</v>
      </c>
    </row>
    <row r="13064" x14ac:dyDescent="0.25">
      <c r="A13064" t="n">
        <v>23</v>
      </c>
      <c r="B13064" t="s">
        <v>14</v>
      </c>
      <c r="C13064" t="s">
        <v>22</v>
      </c>
      <c r="D13064" s="2" t="s">
        <f>=HYPERLINK("https://main.knesset.gov.il/APPS/legislation/main/bills/2140202", "הצעת חוק לעידוד בנייה בת קיימא (תיקוני חקיקה), התש""ף-2020")</f>
        <v>25243</v>
      </c>
      <c r="E13064" t="s">
        <v>25243</v>
      </c>
      <c r="F13064" t="s">
        <v>25244</v>
      </c>
      <c r="G13064" t="s">
        <v>14</v>
      </c>
      <c r="H13064">
             </c>
      <c r="I13064" t="s">
        <v>14</v>
      </c>
      <c r="J13064" t="s">
        <v>141</v>
      </c>
      <c r="K13064" t="s">
        <v>14</v>
      </c>
      <c r="L13064" t="s">
        <v>20</v>
      </c>
      <c r="M13064" t="s">
        <v>25177</v>
      </c>
      <c r="N13064" t="s">
        <v>14</v>
      </c>
    </row>
    <row r="13065" x14ac:dyDescent="0.25">
      <c r="A13065" t="n">
        <v>23</v>
      </c>
      <c r="B13065" t="s">
        <v>14</v>
      </c>
      <c r="C13065" t="s">
        <v>22</v>
      </c>
      <c r="D13065" s="2" t="s">
        <f>=HYPERLINK("https://main.knesset.gov.il/APPS/legislation/main/bills/2140203", "הצעת חוק הגנת הסביבה (יחידה סביבתית ברשויות ציבוריות), התש""ף-2020")</f>
        <v>25245</v>
      </c>
      <c r="E13065" t="s">
        <v>25245</v>
      </c>
      <c r="F13065" t="s">
        <v>25246</v>
      </c>
      <c r="G13065" t="s">
        <v>14</v>
      </c>
      <c r="H13065">
             </c>
      <c r="I13065" t="s">
        <v>14</v>
      </c>
      <c r="J13065" t="s">
        <v>141</v>
      </c>
      <c r="K13065" t="s">
        <v>14</v>
      </c>
      <c r="L13065" t="s">
        <v>20</v>
      </c>
      <c r="M13065" t="s">
        <v>25177</v>
      </c>
      <c r="N13065" t="s">
        <v>14</v>
      </c>
    </row>
    <row r="13066" x14ac:dyDescent="0.25">
      <c r="A13066" t="n">
        <v>23</v>
      </c>
      <c r="B13066" t="s">
        <v>14</v>
      </c>
      <c r="C13066" t="s">
        <v>22</v>
      </c>
      <c r="D13066" s="2" t="s">
        <f>=HYPERLINK("https://main.knesset.gov.il/APPS/legislation/main/bills/2087280", "הצעת חוק לביטול הרשות לפיתוח והתיישבות הבדואים בנגב, התש""ף-2020")</f>
        <v>25247</v>
      </c>
      <c r="E13066" t="s">
        <v>25247</v>
      </c>
      <c r="F13066" t="s">
        <v>25248</v>
      </c>
      <c r="G13066" t="s">
        <v>14</v>
      </c>
      <c r="H13066">
             </c>
      <c r="I13066" t="s">
        <v>14</v>
      </c>
      <c r="J13066" t="s">
        <v>141</v>
      </c>
      <c r="K13066" t="s">
        <v>14</v>
      </c>
      <c r="L13066" t="s">
        <v>20</v>
      </c>
      <c r="M13066" t="s">
        <v>25177</v>
      </c>
      <c r="N13066" t="s">
        <v>14</v>
      </c>
    </row>
    <row r="13067" x14ac:dyDescent="0.25">
      <c r="A13067" t="n">
        <v>23</v>
      </c>
      <c r="B13067" t="s">
        <v>14</v>
      </c>
      <c r="C13067" t="s">
        <v>22</v>
      </c>
      <c r="D13067" s="2" t="s">
        <f>=HYPERLINK("https://main.knesset.gov.il/APPS/legislation/main/bills/2086967", "הצעת חוק לתיקון פקודת העיריות (עידוד נשים בעסקים), התש""ף-2020")</f>
        <v>25249</v>
      </c>
      <c r="E13067" t="s">
        <v>25249</v>
      </c>
      <c r="F13067" t="s">
        <v>25250</v>
      </c>
      <c r="G13067" t="s">
        <v>14</v>
      </c>
      <c r="H13067">
             </c>
      <c r="I13067" t="s">
        <v>14</v>
      </c>
      <c r="J13067" t="s">
        <v>141</v>
      </c>
      <c r="K13067" t="s">
        <v>14</v>
      </c>
      <c r="L13067" t="s">
        <v>20</v>
      </c>
      <c r="M13067" t="s">
        <v>25177</v>
      </c>
      <c r="N13067" t="s">
        <v>14</v>
      </c>
    </row>
    <row r="13068" x14ac:dyDescent="0.25">
      <c r="A13068" t="n">
        <v>23</v>
      </c>
      <c r="B13068" t="s">
        <v>14</v>
      </c>
      <c r="C13068" t="s">
        <v>22</v>
      </c>
      <c r="D13068" s="2" t="s">
        <f>=HYPERLINK("https://main.knesset.gov.il/APPS/legislation/main/bills/2087201", "הצעת חוק לתיקון פקודת העיריות (הכשרת חברי מועצה), התש""ף-2020")</f>
        <v>25251</v>
      </c>
      <c r="E13068" t="s">
        <v>25251</v>
      </c>
      <c r="F13068" t="s">
        <v>25252</v>
      </c>
      <c r="G13068" t="s">
        <v>14</v>
      </c>
      <c r="H13068">
             </c>
      <c r="I13068" t="s">
        <v>14</v>
      </c>
      <c r="J13068" t="s">
        <v>141</v>
      </c>
      <c r="K13068" t="s">
        <v>14</v>
      </c>
      <c r="L13068" t="s">
        <v>20</v>
      </c>
      <c r="M13068" t="s">
        <v>25177</v>
      </c>
      <c r="N13068" t="s">
        <v>14</v>
      </c>
    </row>
    <row r="13069" x14ac:dyDescent="0.25">
      <c r="A13069" t="n">
        <v>23</v>
      </c>
      <c r="B13069" t="s">
        <v>14</v>
      </c>
      <c r="C13069" t="s">
        <v>22</v>
      </c>
      <c r="D13069" s="2" t="s">
        <f>=HYPERLINK("https://main.knesset.gov.il/APPS/legislation/main/bills/2087274", "הצעת חוק האזרחות (תיקון - אזרחות מכוח לידה לפני הקמת המדינה), התש""ף-2020")</f>
        <v>25253</v>
      </c>
      <c r="E13069" t="s">
        <v>25253</v>
      </c>
      <c r="F13069" t="s">
        <v>25254</v>
      </c>
      <c r="G13069" t="s">
        <v>14</v>
      </c>
      <c r="H13069">
             </c>
      <c r="I13069" t="s">
        <v>14</v>
      </c>
      <c r="J13069" t="s">
        <v>141</v>
      </c>
      <c r="K13069" t="s">
        <v>14</v>
      </c>
      <c r="L13069" t="s">
        <v>20</v>
      </c>
      <c r="M13069" t="s">
        <v>25177</v>
      </c>
      <c r="N13069" t="s">
        <v>14</v>
      </c>
    </row>
    <row r="13070" x14ac:dyDescent="0.25">
      <c r="A13070" t="n">
        <v>23</v>
      </c>
      <c r="B13070" t="s">
        <v>14</v>
      </c>
      <c r="C13070" t="s">
        <v>22</v>
      </c>
      <c r="D13070" s="2" t="s">
        <f>=HYPERLINK("https://main.knesset.gov.il/APPS/legislation/main/bills/2087265", "הצעת חוק לתיקון פקודת העיריות (שידור ישיבות מועצה), התש""ף-2020")</f>
        <v>25074</v>
      </c>
      <c r="E13070" t="s">
        <v>25074</v>
      </c>
      <c r="F13070" t="s">
        <v>25255</v>
      </c>
      <c r="G13070" t="s">
        <v>14</v>
      </c>
      <c r="H13070">
             </c>
      <c r="I13070" t="s">
        <v>14</v>
      </c>
      <c r="J13070" t="s">
        <v>141</v>
      </c>
      <c r="K13070" t="s">
        <v>14</v>
      </c>
      <c r="L13070" t="s">
        <v>20</v>
      </c>
      <c r="M13070" t="s">
        <v>25177</v>
      </c>
      <c r="N13070" t="s">
        <v>14</v>
      </c>
    </row>
    <row r="13071" x14ac:dyDescent="0.25">
      <c r="A13071" t="n">
        <v>23</v>
      </c>
      <c r="B13071" t="s">
        <v>14</v>
      </c>
      <c r="C13071" t="s">
        <v>22</v>
      </c>
      <c r="D13071" s="2" t="s">
        <f>=HYPERLINK("https://main.knesset.gov.il/APPS/legislation/main/bills/2140209", "הצעת חוק להגנה על האגן הצפוני של ים המלח, התש""ף-2020")</f>
        <v>25256</v>
      </c>
      <c r="E13071" t="s">
        <v>25256</v>
      </c>
      <c r="F13071" t="s">
        <v>25257</v>
      </c>
      <c r="G13071" t="s">
        <v>14</v>
      </c>
      <c r="H13071">
             </c>
      <c r="I13071" t="s">
        <v>14</v>
      </c>
      <c r="J13071" t="s">
        <v>141</v>
      </c>
      <c r="K13071" t="s">
        <v>14</v>
      </c>
      <c r="L13071" t="s">
        <v>20</v>
      </c>
      <c r="M13071" t="s">
        <v>25177</v>
      </c>
      <c r="N13071" t="s">
        <v>14</v>
      </c>
    </row>
    <row r="13072" x14ac:dyDescent="0.25">
      <c r="A13072" t="n">
        <v>23</v>
      </c>
      <c r="B13072" t="s">
        <v>14</v>
      </c>
      <c r="C13072" t="s">
        <v>22</v>
      </c>
      <c r="D13072" s="2" t="s">
        <f>=HYPERLINK("https://main.knesset.gov.il/APPS/legislation/main/bills/2087113", "הצעת חוק קליטת חיילים משוחררים (תיקון - תקצוב על פי מספר חיילים משוחררים הנרשמים ללימודים), התש""ף-2020")</f>
        <v>25258</v>
      </c>
      <c r="E13072" t="s">
        <v>25258</v>
      </c>
      <c r="F13072" t="s">
        <v>25259</v>
      </c>
      <c r="G13072" t="s">
        <v>14</v>
      </c>
      <c r="H13072">
             </c>
      <c r="I13072" t="s">
        <v>14</v>
      </c>
      <c r="J13072" t="s">
        <v>141</v>
      </c>
      <c r="K13072" t="s">
        <v>14</v>
      </c>
      <c r="L13072" t="s">
        <v>20</v>
      </c>
      <c r="M13072" t="s">
        <v>25177</v>
      </c>
      <c r="N13072" t="s">
        <v>14</v>
      </c>
    </row>
    <row r="13073" x14ac:dyDescent="0.25">
      <c r="A13073" t="n">
        <v>23</v>
      </c>
      <c r="B13073" t="s">
        <v>14</v>
      </c>
      <c r="C13073" t="s">
        <v>22</v>
      </c>
      <c r="D13073" s="2" t="s">
        <f>=HYPERLINK("https://main.knesset.gov.il/APPS/legislation/main/bills/2088021", "הצעת חוק לתיקון פקודת העיריות (נוסח חדש) (הסמכת שר הפנים לחתום על היתר עסקה), התש""ף-2020")</f>
        <v>25260</v>
      </c>
      <c r="E13073" t="s">
        <v>25260</v>
      </c>
      <c r="F13073" t="s">
        <v>25261</v>
      </c>
      <c r="G13073" t="s">
        <v>14</v>
      </c>
      <c r="H13073">
             </c>
      <c r="I13073" t="s">
        <v>14</v>
      </c>
      <c r="J13073" t="s">
        <v>141</v>
      </c>
      <c r="K13073" t="s">
        <v>14</v>
      </c>
      <c r="L13073" t="s">
        <v>20</v>
      </c>
      <c r="M13073" t="s">
        <v>25177</v>
      </c>
      <c r="N13073" t="s">
        <v>14</v>
      </c>
    </row>
    <row r="13074" x14ac:dyDescent="0.25">
      <c r="A13074" t="n">
        <v>23</v>
      </c>
      <c r="B13074" t="s">
        <v>14</v>
      </c>
      <c r="C13074" t="s">
        <v>22</v>
      </c>
      <c r="D13074" s="2" t="s">
        <f>=HYPERLINK("https://main.knesset.gov.il/APPS/legislation/main/bills/2140210", "הצעת חוק למדיניות לאומית לשמירה על שטחים פתוחים, התש""ף-2020")</f>
        <v>25262</v>
      </c>
      <c r="E13074" t="s">
        <v>25262</v>
      </c>
      <c r="F13074" t="s">
        <v>25263</v>
      </c>
      <c r="G13074" t="s">
        <v>14</v>
      </c>
      <c r="H13074">
             </c>
      <c r="I13074" t="s">
        <v>14</v>
      </c>
      <c r="J13074" t="s">
        <v>141</v>
      </c>
      <c r="K13074" t="s">
        <v>14</v>
      </c>
      <c r="L13074" t="s">
        <v>20</v>
      </c>
      <c r="M13074" t="s">
        <v>25177</v>
      </c>
      <c r="N13074" t="s">
        <v>14</v>
      </c>
    </row>
    <row r="13075" x14ac:dyDescent="0.25">
      <c r="A13075" t="n">
        <v>23</v>
      </c>
      <c r="B13075" t="s">
        <v>14</v>
      </c>
      <c r="C13075" t="s">
        <v>22</v>
      </c>
      <c r="D13075" s="2" t="s">
        <f>=HYPERLINK("https://main.knesset.gov.il/APPS/legislation/main/bills/2088118", "הצעת חוק חג המצות (איסורי חמץ) (תיקון - איסור מכירת חמץ גם שלא בפומבי), התש""ף-2020")</f>
        <v>25264</v>
      </c>
      <c r="E13075" t="s">
        <v>25264</v>
      </c>
      <c r="F13075" t="s">
        <v>25265</v>
      </c>
      <c r="G13075" t="s">
        <v>14</v>
      </c>
      <c r="H13075">
             </c>
      <c r="I13075" t="s">
        <v>14</v>
      </c>
      <c r="J13075" t="s">
        <v>141</v>
      </c>
      <c r="K13075" t="s">
        <v>14</v>
      </c>
      <c r="L13075" t="s">
        <v>20</v>
      </c>
      <c r="M13075" t="s">
        <v>25177</v>
      </c>
      <c r="N13075" t="s">
        <v>14</v>
      </c>
    </row>
    <row r="13076" x14ac:dyDescent="0.25">
      <c r="A13076" t="n">
        <v>23</v>
      </c>
      <c r="B13076" t="s">
        <v>14</v>
      </c>
      <c r="C13076" t="s">
        <v>22</v>
      </c>
      <c r="D13076" s="2" t="s">
        <f>=HYPERLINK("https://main.knesset.gov.il/APPS/legislation/main/bills/2140199", "הצעת חוק איסוף ופינוי פסולת למיחזור (תיקון - חובת מיחזור בבית עסק גדול), התש""ף-2020")</f>
        <v>25266</v>
      </c>
      <c r="E13076" t="s">
        <v>25266</v>
      </c>
      <c r="F13076" t="s">
        <v>25267</v>
      </c>
      <c r="G13076" t="s">
        <v>14</v>
      </c>
      <c r="H13076">
             </c>
      <c r="I13076" t="s">
        <v>14</v>
      </c>
      <c r="J13076" t="s">
        <v>141</v>
      </c>
      <c r="K13076" t="s">
        <v>14</v>
      </c>
      <c r="L13076" t="s">
        <v>20</v>
      </c>
      <c r="M13076" t="s">
        <v>25177</v>
      </c>
      <c r="N13076" t="s">
        <v>14</v>
      </c>
    </row>
    <row r="13077" x14ac:dyDescent="0.25">
      <c r="A13077" t="n">
        <v>23</v>
      </c>
      <c r="B13077" t="s">
        <v>14</v>
      </c>
      <c r="C13077" t="s">
        <v>22</v>
      </c>
      <c r="D13077" s="2" t="s">
        <f>=HYPERLINK("https://main.knesset.gov.il/APPS/legislation/main/bills/2087891", "הצעת חוק חג המצות (איסורי חמץ) (תיקון - איסור הצגת חמץ בפסח בבתי חולים), התש""ף-2020")</f>
        <v>25268</v>
      </c>
      <c r="E13077" t="s">
        <v>25268</v>
      </c>
      <c r="F13077" t="s">
        <v>25269</v>
      </c>
      <c r="G13077" t="s">
        <v>14</v>
      </c>
      <c r="H13077">
             </c>
      <c r="I13077" t="s">
        <v>14</v>
      </c>
      <c r="J13077" t="s">
        <v>141</v>
      </c>
      <c r="K13077" t="s">
        <v>14</v>
      </c>
      <c r="L13077" t="s">
        <v>20</v>
      </c>
      <c r="M13077" t="s">
        <v>25177</v>
      </c>
      <c r="N13077" t="s">
        <v>14</v>
      </c>
    </row>
    <row r="13078" x14ac:dyDescent="0.25">
      <c r="A13078" t="n">
        <v>23</v>
      </c>
      <c r="B13078" t="s">
        <v>14</v>
      </c>
      <c r="C13078" t="s">
        <v>22</v>
      </c>
      <c r="D13078" s="2" t="s">
        <f>=HYPERLINK("https://main.knesset.gov.il/APPS/legislation/main/bills/2140188", "הצעת חוק התכנון והבנייה (תיקון - היתר הניתן לפי תכניות ישנות), התש""ף-2020")</f>
        <v>25270</v>
      </c>
      <c r="E13078" t="s">
        <v>25270</v>
      </c>
      <c r="F13078" t="s">
        <v>25271</v>
      </c>
      <c r="G13078" t="s">
        <v>14</v>
      </c>
      <c r="H13078">
             </c>
      <c r="I13078" t="s">
        <v>14</v>
      </c>
      <c r="J13078" t="s">
        <v>141</v>
      </c>
      <c r="K13078" t="s">
        <v>14</v>
      </c>
      <c r="L13078" t="s">
        <v>20</v>
      </c>
      <c r="M13078" t="s">
        <v>25177</v>
      </c>
      <c r="N13078" t="s">
        <v>14</v>
      </c>
    </row>
    <row r="13079" x14ac:dyDescent="0.25">
      <c r="A13079" t="n">
        <v>23</v>
      </c>
      <c r="B13079" t="s">
        <v>14</v>
      </c>
      <c r="C13079" t="s">
        <v>22</v>
      </c>
      <c r="D13079" s="2" t="s">
        <f>=HYPERLINK("https://main.knesset.gov.il/APPS/legislation/main/bills/2088083", "הצעת חוק הגנת הצרכן (תיקון - ביטול עסקה במסרון ומסירת אישור על קבלת הודעת ביטול), התש""ף-2020")</f>
        <v>25272</v>
      </c>
      <c r="E13079" t="s">
        <v>25272</v>
      </c>
      <c r="F13079" t="s">
        <v>25273</v>
      </c>
      <c r="G13079" t="s">
        <v>14</v>
      </c>
      <c r="H13079">
             </c>
      <c r="I13079" t="s">
        <v>14</v>
      </c>
      <c r="J13079" t="s">
        <v>141</v>
      </c>
      <c r="K13079" t="s">
        <v>14</v>
      </c>
      <c r="L13079" t="s">
        <v>20</v>
      </c>
      <c r="M13079" t="s">
        <v>25177</v>
      </c>
      <c r="N13079" t="s">
        <v>14</v>
      </c>
    </row>
    <row r="13080" x14ac:dyDescent="0.25">
      <c r="A13080" t="n">
        <v>23</v>
      </c>
      <c r="B13080" t="s">
        <v>14</v>
      </c>
      <c r="C13080" t="s">
        <v>22</v>
      </c>
      <c r="D13080" s="2" t="s">
        <f>=HYPERLINK("https://main.knesset.gov.il/APPS/legislation/main/bills/2087272", "הצעת חוק כביש אגרה (כביש ארצי לישראל) (תיקון - תנאי לגביית אגרה), התש""ף-2020")</f>
        <v>25274</v>
      </c>
      <c r="E13080" t="s">
        <v>25274</v>
      </c>
      <c r="F13080" t="s">
        <v>25275</v>
      </c>
      <c r="G13080" t="s">
        <v>14</v>
      </c>
      <c r="H13080">
             </c>
      <c r="I13080" t="s">
        <v>14</v>
      </c>
      <c r="J13080" t="s">
        <v>141</v>
      </c>
      <c r="K13080" t="s">
        <v>14</v>
      </c>
      <c r="L13080" t="s">
        <v>20</v>
      </c>
      <c r="M13080" t="s">
        <v>25177</v>
      </c>
      <c r="N13080" t="s">
        <v>14</v>
      </c>
    </row>
    <row r="13081" x14ac:dyDescent="0.25">
      <c r="A13081" t="n">
        <v>23</v>
      </c>
      <c r="B13081" t="s">
        <v>14</v>
      </c>
      <c r="C13081" t="s">
        <v>22</v>
      </c>
      <c r="D13081" s="2" t="s">
        <f>=HYPERLINK("https://main.knesset.gov.il/APPS/legislation/main/bills/2139657", "הצעת חוק לתיקון פקודת התעבורה (הארכת משך האור הירוק ברמזור להולכי רגל בקרבת בתי ספר ובתי אבות), התש""ף-2020")</f>
        <v>25276</v>
      </c>
      <c r="E13081" t="s">
        <v>25276</v>
      </c>
      <c r="F13081" t="s">
        <v>25277</v>
      </c>
      <c r="G13081" t="s">
        <v>14</v>
      </c>
      <c r="H13081">
             </c>
      <c r="I13081" t="s">
        <v>14</v>
      </c>
      <c r="J13081" t="s">
        <v>141</v>
      </c>
      <c r="K13081" t="s">
        <v>14</v>
      </c>
      <c r="L13081" t="s">
        <v>20</v>
      </c>
      <c r="M13081" t="s">
        <v>25177</v>
      </c>
      <c r="N13081" t="s">
        <v>14</v>
      </c>
    </row>
    <row r="13082" x14ac:dyDescent="0.25">
      <c r="A13082" t="n">
        <v>23</v>
      </c>
      <c r="B13082" t="s">
        <v>14</v>
      </c>
      <c r="C13082" t="s">
        <v>22</v>
      </c>
      <c r="D13082" s="2" t="s">
        <f>=HYPERLINK("https://main.knesset.gov.il/APPS/legislation/main/bills/2139690", "הצעת חוק הגנת הצרכן (תיקון - חובת הנגשת שיחה מוקלטת), התש""ף-2020")</f>
        <v>25278</v>
      </c>
      <c r="E13082" t="s">
        <v>25278</v>
      </c>
      <c r="F13082" t="s">
        <v>25279</v>
      </c>
      <c r="G13082" t="s">
        <v>14</v>
      </c>
      <c r="H13082">
             </c>
      <c r="I13082" t="s">
        <v>14</v>
      </c>
      <c r="J13082" t="s">
        <v>141</v>
      </c>
      <c r="K13082" t="s">
        <v>14</v>
      </c>
      <c r="L13082" t="s">
        <v>20</v>
      </c>
      <c r="M13082" t="s">
        <v>25177</v>
      </c>
      <c r="N13082" t="s">
        <v>14</v>
      </c>
    </row>
    <row r="13083" x14ac:dyDescent="0.25">
      <c r="A13083" t="n">
        <v>23</v>
      </c>
      <c r="B13083" t="s">
        <v>14</v>
      </c>
      <c r="C13083" t="s">
        <v>22</v>
      </c>
      <c r="D13083" s="2" t="s">
        <f>=HYPERLINK("https://main.knesset.gov.il/APPS/legislation/main/bills/2139658", "הצעת חוק לתיקון פקודת התעבורה (ביטול מופע אור ירוק ברמזור פנייה ימינה בעת הופעת אור ירוק ברמזור להולכי רגל), התש""ף-2020")</f>
        <v>25280</v>
      </c>
      <c r="E13083" t="s">
        <v>25280</v>
      </c>
      <c r="F13083" t="s">
        <v>25281</v>
      </c>
      <c r="G13083" t="s">
        <v>14</v>
      </c>
      <c r="H13083">
             </c>
      <c r="I13083" t="s">
        <v>14</v>
      </c>
      <c r="J13083" t="s">
        <v>141</v>
      </c>
      <c r="K13083" t="s">
        <v>14</v>
      </c>
      <c r="L13083" t="s">
        <v>20</v>
      </c>
      <c r="M13083" t="s">
        <v>25177</v>
      </c>
      <c r="N13083" t="s">
        <v>14</v>
      </c>
    </row>
    <row r="13084" x14ac:dyDescent="0.25">
      <c r="A13084" t="n">
        <v>23</v>
      </c>
      <c r="B13084" t="s">
        <v>14</v>
      </c>
      <c r="C13084" t="s">
        <v>22</v>
      </c>
      <c r="D13084" s="2" t="s">
        <f>=HYPERLINK("https://main.knesset.gov.il/APPS/legislation/main/bills/2139631", "הצעת חוק הגנת הצרכן (תיקון - מתן שירות טלפוני חינם על ידי מבטח), התש""ף-2020")</f>
        <v>25282</v>
      </c>
      <c r="E13084" t="s">
        <v>25282</v>
      </c>
      <c r="F13084" t="s">
        <v>25283</v>
      </c>
      <c r="G13084" t="s">
        <v>14</v>
      </c>
      <c r="H13084">
             </c>
      <c r="I13084" t="s">
        <v>14</v>
      </c>
      <c r="J13084" t="s">
        <v>141</v>
      </c>
      <c r="K13084" t="s">
        <v>14</v>
      </c>
      <c r="L13084" t="s">
        <v>20</v>
      </c>
      <c r="M13084" t="s">
        <v>25177</v>
      </c>
      <c r="N13084" t="s">
        <v>14</v>
      </c>
    </row>
    <row r="13085" x14ac:dyDescent="0.25">
      <c r="A13085" t="n">
        <v>23</v>
      </c>
      <c r="B13085" t="s">
        <v>14</v>
      </c>
      <c r="C13085" t="s">
        <v>22</v>
      </c>
      <c r="D13085" s="2" t="s">
        <f>=HYPERLINK("https://main.knesset.gov.il/APPS/legislation/main/bills/2088451", "הצעת חוק התקשורת (בזק ושידורים) (תיקון - חובת מסירת פרטים של שולח פרסומת בניגוד לחוק), התש""ף-2020")</f>
        <v>25284</v>
      </c>
      <c r="E13085" t="s">
        <v>25284</v>
      </c>
      <c r="F13085" t="s">
        <v>25285</v>
      </c>
      <c r="G13085" t="s">
        <v>14</v>
      </c>
      <c r="H13085">
             </c>
      <c r="I13085" t="s">
        <v>14</v>
      </c>
      <c r="J13085" t="s">
        <v>141</v>
      </c>
      <c r="K13085" t="s">
        <v>14</v>
      </c>
      <c r="L13085" t="s">
        <v>20</v>
      </c>
      <c r="M13085" t="s">
        <v>25177</v>
      </c>
      <c r="N13085" t="s">
        <v>14</v>
      </c>
    </row>
    <row r="13086" x14ac:dyDescent="0.25">
      <c r="A13086" t="n">
        <v>23</v>
      </c>
      <c r="B13086" t="s">
        <v>14</v>
      </c>
      <c r="C13086" t="s">
        <v>22</v>
      </c>
      <c r="D13086" s="2" t="s">
        <f>=HYPERLINK("https://main.knesset.gov.il/APPS/legislation/main/bills/2087260", "הצעת חוק המים (תיקון - איסור הפסקת אספקת מים), התש""ף-2020")</f>
        <v>25286</v>
      </c>
      <c r="E13086" t="s">
        <v>25286</v>
      </c>
      <c r="F13086" t="s">
        <v>25287</v>
      </c>
      <c r="G13086" t="s">
        <v>14</v>
      </c>
      <c r="H13086">
             </c>
      <c r="I13086" t="s">
        <v>14</v>
      </c>
      <c r="J13086" t="s">
        <v>141</v>
      </c>
      <c r="K13086" t="s">
        <v>14</v>
      </c>
      <c r="L13086" t="s">
        <v>20</v>
      </c>
      <c r="M13086" t="s">
        <v>25177</v>
      </c>
      <c r="N13086" t="s">
        <v>14</v>
      </c>
    </row>
    <row r="13087" x14ac:dyDescent="0.25">
      <c r="A13087" t="n">
        <v>23</v>
      </c>
      <c r="B13087" t="s">
        <v>14</v>
      </c>
      <c r="C13087" t="s">
        <v>22</v>
      </c>
      <c r="D13087" s="2" t="s">
        <f>=HYPERLINK("https://main.knesset.gov.il/APPS/legislation/main/bills/2088440", "הצעת חוק כביש אגרה (כביש ארצי לישראל) (תיקון - פטור מאגרה לתחבורה ציבורית), התש""ף-2020")</f>
        <v>25288</v>
      </c>
      <c r="E13087" t="s">
        <v>25288</v>
      </c>
      <c r="F13087" t="s">
        <v>25289</v>
      </c>
      <c r="G13087" t="s">
        <v>14</v>
      </c>
      <c r="H13087">
             </c>
      <c r="I13087" t="s">
        <v>14</v>
      </c>
      <c r="J13087" t="s">
        <v>141</v>
      </c>
      <c r="K13087" t="s">
        <v>14</v>
      </c>
      <c r="L13087" t="s">
        <v>20</v>
      </c>
      <c r="M13087" t="s">
        <v>25177</v>
      </c>
      <c r="N13087" t="s">
        <v>14</v>
      </c>
    </row>
    <row r="13088" x14ac:dyDescent="0.25">
      <c r="A13088" t="n">
        <v>23</v>
      </c>
      <c r="B13088" t="s">
        <v>14</v>
      </c>
      <c r="C13088" t="s">
        <v>22</v>
      </c>
      <c r="D13088" s="2" t="s">
        <f>=HYPERLINK("https://main.knesset.gov.il/APPS/legislation/main/bills/2086948", "הצעת חוק האפוטרופוס הכללי (תיקון - הקמת מאגר מידע לעניין כספים ללא דורש), התש""ף-2020")</f>
        <v>24337</v>
      </c>
      <c r="E13088" t="s">
        <v>24337</v>
      </c>
      <c r="F13088" t="s">
        <v>25290</v>
      </c>
      <c r="G13088" t="s">
        <v>14</v>
      </c>
      <c r="H13088">
             </c>
      <c r="I13088" t="s">
        <v>14</v>
      </c>
      <c r="J13088" t="s">
        <v>141</v>
      </c>
      <c r="K13088" t="s">
        <v>14</v>
      </c>
      <c r="L13088" t="s">
        <v>20</v>
      </c>
      <c r="M13088" t="s">
        <v>25177</v>
      </c>
      <c r="N13088" t="s">
        <v>14</v>
      </c>
    </row>
    <row r="13089" x14ac:dyDescent="0.25">
      <c r="A13089" t="n">
        <v>23</v>
      </c>
      <c r="B13089" t="s">
        <v>14</v>
      </c>
      <c r="C13089" t="s">
        <v>22</v>
      </c>
      <c r="D13089" s="2" t="s">
        <f>=HYPERLINK("https://main.knesset.gov.il/APPS/legislation/main/bills/2088443", "הצעת חוק הגנת הצרכן (תיקון - סיכום פנייה), התש""ף-2020")</f>
        <v>25291</v>
      </c>
      <c r="E13089" t="s">
        <v>25291</v>
      </c>
      <c r="F13089" t="s">
        <v>25292</v>
      </c>
      <c r="G13089" t="s">
        <v>14</v>
      </c>
      <c r="H13089">
             </c>
      <c r="I13089" t="s">
        <v>14</v>
      </c>
      <c r="J13089" t="s">
        <v>141</v>
      </c>
      <c r="K13089" t="s">
        <v>14</v>
      </c>
      <c r="L13089" t="s">
        <v>20</v>
      </c>
      <c r="M13089" t="s">
        <v>25177</v>
      </c>
      <c r="N13089" t="s">
        <v>14</v>
      </c>
    </row>
    <row r="13090" x14ac:dyDescent="0.25">
      <c r="A13090" t="n">
        <v>23</v>
      </c>
      <c r="B13090" t="s">
        <v>14</v>
      </c>
      <c r="C13090" t="s">
        <v>22</v>
      </c>
      <c r="D13090" s="2" t="s">
        <f>=HYPERLINK("https://main.knesset.gov.il/APPS/legislation/main/bills/2140190", "הצעת חוק זכויות הסטודנט (תיקון - איסור הפליית מועמדים או סטודנטים), התש""ף-2020")</f>
        <v>25293</v>
      </c>
      <c r="E13090" t="s">
        <v>25293</v>
      </c>
      <c r="F13090" t="s">
        <v>25294</v>
      </c>
      <c r="G13090" t="s">
        <v>14</v>
      </c>
      <c r="H13090">
             </c>
      <c r="I13090" t="s">
        <v>14</v>
      </c>
      <c r="J13090" t="s">
        <v>141</v>
      </c>
      <c r="K13090" t="s">
        <v>14</v>
      </c>
      <c r="L13090" t="s">
        <v>20</v>
      </c>
      <c r="M13090" t="s">
        <v>25177</v>
      </c>
      <c r="N13090" t="s">
        <v>14</v>
      </c>
    </row>
    <row r="13091" x14ac:dyDescent="0.25">
      <c r="A13091" t="n">
        <v>23</v>
      </c>
      <c r="B13091" t="s">
        <v>14</v>
      </c>
      <c r="C13091" t="s">
        <v>22</v>
      </c>
      <c r="D13091" s="2" t="s">
        <f>=HYPERLINK("https://main.knesset.gov.il/APPS/legislation/main/bills/2088496", "הצעת חוק הגנת הצרכן (תיקון - שינוי פרטים בכרטיס טיסה או בכרטיס לשיט), התש""ף-2020")</f>
        <v>25295</v>
      </c>
      <c r="E13091" t="s">
        <v>25295</v>
      </c>
      <c r="F13091" t="s">
        <v>25296</v>
      </c>
      <c r="G13091" t="s">
        <v>14</v>
      </c>
      <c r="H13091">
             </c>
      <c r="I13091" t="s">
        <v>14</v>
      </c>
      <c r="J13091" t="s">
        <v>141</v>
      </c>
      <c r="K13091" t="s">
        <v>14</v>
      </c>
      <c r="L13091" t="s">
        <v>20</v>
      </c>
      <c r="M13091" t="s">
        <v>25177</v>
      </c>
      <c r="N13091" t="s">
        <v>14</v>
      </c>
    </row>
    <row r="13092" x14ac:dyDescent="0.25">
      <c r="A13092" t="n">
        <v>23</v>
      </c>
      <c r="B13092" t="s">
        <v>14</v>
      </c>
      <c r="C13092" t="s">
        <v>22</v>
      </c>
      <c r="D13092" s="2" t="s">
        <f>=HYPERLINK("https://main.knesset.gov.il/APPS/legislation/main/bills/2140191", "הצעת חוק זכויות הסטודנט (תיקון - פעילות ציבורית), התש""ף-2020")</f>
        <v>25297</v>
      </c>
      <c r="E13092" t="s">
        <v>25297</v>
      </c>
      <c r="F13092" t="s">
        <v>25298</v>
      </c>
      <c r="G13092" t="s">
        <v>14</v>
      </c>
      <c r="H13092">
             </c>
      <c r="I13092" t="s">
        <v>14</v>
      </c>
      <c r="J13092" t="s">
        <v>141</v>
      </c>
      <c r="K13092" t="s">
        <v>14</v>
      </c>
      <c r="L13092" t="s">
        <v>20</v>
      </c>
      <c r="M13092" t="s">
        <v>25177</v>
      </c>
      <c r="N13092" t="s">
        <v>14</v>
      </c>
    </row>
    <row r="13093" x14ac:dyDescent="0.25">
      <c r="A13093" t="n">
        <v>23</v>
      </c>
      <c r="B13093" t="s">
        <v>14</v>
      </c>
      <c r="C13093" t="s">
        <v>22</v>
      </c>
      <c r="D13093" s="2" t="s">
        <f>=HYPERLINK("https://main.knesset.gov.il/APPS/legislation/main/bills/2088444", "הצעת חוק כביש אגרה (כביש ארצי לישראל) (תיקון - פטור מאגרה בשל האטה ממהירות הנסיעה המותרת), התש""ף-2020")</f>
        <v>25299</v>
      </c>
      <c r="E13093" t="s">
        <v>25299</v>
      </c>
      <c r="F13093" t="s">
        <v>25300</v>
      </c>
      <c r="G13093" t="s">
        <v>14</v>
      </c>
      <c r="H13093">
             </c>
      <c r="I13093" t="s">
        <v>14</v>
      </c>
      <c r="J13093" t="s">
        <v>141</v>
      </c>
      <c r="K13093" t="s">
        <v>14</v>
      </c>
      <c r="L13093" t="s">
        <v>20</v>
      </c>
      <c r="M13093" t="s">
        <v>25177</v>
      </c>
      <c r="N13093" t="s">
        <v>14</v>
      </c>
    </row>
    <row r="13094" x14ac:dyDescent="0.25">
      <c r="A13094" t="n">
        <v>23</v>
      </c>
      <c r="B13094" t="s">
        <v>14</v>
      </c>
      <c r="C13094" t="s">
        <v>22</v>
      </c>
      <c r="D13094" s="2" t="s">
        <f>=HYPERLINK("https://main.knesset.gov.il/APPS/legislation/main/bills/2085682", "הצעת חוק יום לציון רצח העם הארמני, התש""ף-2020")</f>
        <v>25301</v>
      </c>
      <c r="E13094" t="s">
        <v>25301</v>
      </c>
      <c r="F13094" t="s">
        <v>25302</v>
      </c>
      <c r="G13094" t="s">
        <v>14</v>
      </c>
      <c r="H13094">
             </c>
      <c r="I13094" t="s">
        <v>14</v>
      </c>
      <c r="J13094" t="s">
        <v>141</v>
      </c>
      <c r="K13094" t="s">
        <v>14</v>
      </c>
      <c r="L13094" t="s">
        <v>20</v>
      </c>
      <c r="M13094" t="s">
        <v>25177</v>
      </c>
      <c r="N13094" t="s">
        <v>14</v>
      </c>
    </row>
    <row r="13095" x14ac:dyDescent="0.25">
      <c r="A13095" t="n">
        <v>23</v>
      </c>
      <c r="B13095" t="s">
        <v>14</v>
      </c>
      <c r="C13095" t="s">
        <v>22</v>
      </c>
      <c r="D13095" s="2" t="s">
        <f>=HYPERLINK("https://main.knesset.gov.il/APPS/legislation/main/bills/2140893", "הצעת חוק צער בעלי חיים (הגנה על בעלי חיים) (תיקון - איחוד סמכויות), התש""ף-2020")</f>
        <v>25303</v>
      </c>
      <c r="E13095" t="s">
        <v>25303</v>
      </c>
      <c r="F13095" t="s">
        <v>25304</v>
      </c>
      <c r="G13095" t="s">
        <v>14</v>
      </c>
      <c r="H13095">
             </c>
      <c r="I13095" t="s">
        <v>14</v>
      </c>
      <c r="J13095" t="s">
        <v>141</v>
      </c>
      <c r="K13095" t="s">
        <v>14</v>
      </c>
      <c r="L13095" t="s">
        <v>20</v>
      </c>
      <c r="M13095" t="s">
        <v>25177</v>
      </c>
      <c r="N13095" t="s">
        <v>14</v>
      </c>
    </row>
    <row r="13096" x14ac:dyDescent="0.25">
      <c r="A13096" t="n">
        <v>23</v>
      </c>
      <c r="B13096" t="s">
        <v>14</v>
      </c>
      <c r="C13096" t="s">
        <v>22</v>
      </c>
      <c r="D13096" s="2" t="s">
        <f>=HYPERLINK("https://main.knesset.gov.il/APPS/legislation/main/bills/2140205", "הצעת חוק זכויות הסטודנט (תיקון - חופש הביטוי וההתארגנות של סטודנטים), התש""ף-2020")</f>
        <v>25305</v>
      </c>
      <c r="E13096" t="s">
        <v>25305</v>
      </c>
      <c r="F13096" t="s">
        <v>25306</v>
      </c>
      <c r="G13096" t="s">
        <v>14</v>
      </c>
      <c r="H13096">
             </c>
      <c r="I13096" t="s">
        <v>14</v>
      </c>
      <c r="J13096" t="s">
        <v>141</v>
      </c>
      <c r="K13096" t="s">
        <v>14</v>
      </c>
      <c r="L13096" t="s">
        <v>20</v>
      </c>
      <c r="M13096" t="s">
        <v>25177</v>
      </c>
      <c r="N13096" t="s">
        <v>14</v>
      </c>
    </row>
    <row r="13097" x14ac:dyDescent="0.25">
      <c r="A13097" t="n">
        <v>23</v>
      </c>
      <c r="B13097" t="s">
        <v>14</v>
      </c>
      <c r="C13097" t="s">
        <v>22</v>
      </c>
      <c r="D13097" s="2" t="s">
        <f>=HYPERLINK("https://main.knesset.gov.il/APPS/legislation/main/bills/2088286", "הצעת חוק יישוב סכסוכי עבודה (תיקון - בוררות חובה בשירות הציבורי), התש""ף-2020")</f>
        <v>25307</v>
      </c>
      <c r="E13097" t="s">
        <v>25307</v>
      </c>
      <c r="F13097" t="s">
        <v>25308</v>
      </c>
      <c r="G13097" t="s">
        <v>14</v>
      </c>
      <c r="H13097">
             </c>
      <c r="I13097" t="s">
        <v>14</v>
      </c>
      <c r="J13097" t="s">
        <v>141</v>
      </c>
      <c r="K13097" t="s">
        <v>14</v>
      </c>
      <c r="L13097" t="s">
        <v>20</v>
      </c>
      <c r="M13097" t="s">
        <v>25177</v>
      </c>
      <c r="N13097" t="s">
        <v>14</v>
      </c>
    </row>
    <row r="13098" x14ac:dyDescent="0.25">
      <c r="A13098" t="n">
        <v>23</v>
      </c>
      <c r="B13098" t="s">
        <v>14</v>
      </c>
      <c r="C13098" t="s">
        <v>22</v>
      </c>
      <c r="D13098" s="2" t="s">
        <f>=HYPERLINK("https://main.knesset.gov.il/APPS/legislation/main/bills/2140207", "הצעת חוק המועצה להשכלה גבוהה (תיקון - איסור הגבלת גיל בהרשמה למוסד להשכלה גבוהה), התש""ף-2020")</f>
        <v>25309</v>
      </c>
      <c r="E13098" t="s">
        <v>25309</v>
      </c>
      <c r="F13098" t="s">
        <v>25310</v>
      </c>
      <c r="G13098" t="s">
        <v>14</v>
      </c>
      <c r="H13098">
             </c>
      <c r="I13098" t="s">
        <v>14</v>
      </c>
      <c r="J13098" t="s">
        <v>141</v>
      </c>
      <c r="K13098" t="s">
        <v>14</v>
      </c>
      <c r="L13098" t="s">
        <v>20</v>
      </c>
      <c r="M13098" t="s">
        <v>25177</v>
      </c>
      <c r="N13098" t="s">
        <v>14</v>
      </c>
    </row>
    <row r="13099" x14ac:dyDescent="0.25">
      <c r="A13099" t="n">
        <v>23</v>
      </c>
      <c r="B13099" t="s">
        <v>14</v>
      </c>
      <c r="C13099" t="s">
        <v>22</v>
      </c>
      <c r="D13099" s="2" t="s">
        <f>=HYPERLINK("https://main.knesset.gov.il/APPS/legislation/main/bills/2087782", "הצעת חוק הסדרת העיסוק במקצועות הבריאות (תיקון - מתן תעודה במקצועות הבריאות לבעלי הכשרה מקצועית), התש""ף-2020")</f>
        <v>24796</v>
      </c>
      <c r="E13099" t="s">
        <v>24796</v>
      </c>
      <c r="F13099" t="s">
        <v>25311</v>
      </c>
      <c r="G13099" t="s">
        <v>14</v>
      </c>
      <c r="H13099">
             </c>
      <c r="I13099" t="s">
        <v>14</v>
      </c>
      <c r="J13099" t="s">
        <v>141</v>
      </c>
      <c r="K13099" t="s">
        <v>14</v>
      </c>
      <c r="L13099" t="s">
        <v>20</v>
      </c>
      <c r="M13099" t="s">
        <v>25177</v>
      </c>
      <c r="N13099" t="s">
        <v>14</v>
      </c>
    </row>
    <row r="13100" x14ac:dyDescent="0.25">
      <c r="A13100" t="n">
        <v>23</v>
      </c>
      <c r="B13100" t="s">
        <v>14</v>
      </c>
      <c r="C13100" t="s">
        <v>22</v>
      </c>
      <c r="D13100" s="2" t="s">
        <f>=HYPERLINK("https://main.knesset.gov.il/APPS/legislation/main/bills/2140634", "הצעת חוק הסדרת שוק הקנאביס לצריכה עצמית, התש""ף-2020")</f>
        <v>25125</v>
      </c>
      <c r="E13100" t="s">
        <v>25125</v>
      </c>
      <c r="F13100" t="s">
        <v>25312</v>
      </c>
      <c r="G13100" t="s">
        <v>14</v>
      </c>
      <c r="H13100">
             </c>
      <c r="I13100" t="s">
        <v>14</v>
      </c>
      <c r="J13100" t="s">
        <v>343</v>
      </c>
      <c r="K13100" t="s">
        <v>14</v>
      </c>
      <c r="L13100" t="s">
        <v>20</v>
      </c>
      <c r="M13100" t="s">
        <v>25313</v>
      </c>
      <c r="N13100" t="s">
        <v>14</v>
      </c>
    </row>
    <row r="13101" x14ac:dyDescent="0.25">
      <c r="A13101" t="n">
        <v>23</v>
      </c>
      <c r="B13101" t="s">
        <v>14</v>
      </c>
      <c r="C13101" t="s">
        <v>22</v>
      </c>
      <c r="D13101" s="2" t="s">
        <f>=HYPERLINK("https://main.knesset.gov.il/APPS/legislation/main/bills/2087546", "הצעת חוק הביטוח הלאומי (תיקון - דמי אבטלה לעצמאיים), התש""ף-2020")</f>
        <v>25135</v>
      </c>
      <c r="E13101" t="s">
        <v>25135</v>
      </c>
      <c r="F13101" t="s">
        <v>25314</v>
      </c>
      <c r="G13101" t="s">
        <v>14</v>
      </c>
      <c r="H13101">
             </c>
      <c r="I13101" t="s">
        <v>14</v>
      </c>
      <c r="J13101" t="s">
        <v>55</v>
      </c>
      <c r="K13101" t="s">
        <v>14</v>
      </c>
      <c r="L13101" t="s">
        <v>20</v>
      </c>
      <c r="M13101" t="s">
        <v>25313</v>
      </c>
      <c r="N13101" t="s">
        <v>14</v>
      </c>
    </row>
    <row r="13102" x14ac:dyDescent="0.25">
      <c r="A13102" t="n">
        <v>23</v>
      </c>
      <c r="B13102" t="s">
        <v>14</v>
      </c>
      <c r="C13102" t="s">
        <v>22</v>
      </c>
      <c r="D13102" s="2" t="s">
        <f>=HYPERLINK("https://main.knesset.gov.il/APPS/legislation/main/bills/2087073", "הצעת חוק הביטוח הלאומי (תיקון - דמי אבטלה לעצמאיים), התש""ף-2020")</f>
        <v>25135</v>
      </c>
      <c r="E13102" t="s">
        <v>25135</v>
      </c>
      <c r="F13102" t="s">
        <v>25315</v>
      </c>
      <c r="G13102" t="s">
        <v>14</v>
      </c>
      <c r="H13102">
             </c>
      <c r="I13102" t="s">
        <v>14</v>
      </c>
      <c r="J13102" t="s">
        <v>55</v>
      </c>
      <c r="K13102" t="s">
        <v>14</v>
      </c>
      <c r="L13102" t="s">
        <v>20</v>
      </c>
      <c r="M13102" t="s">
        <v>25313</v>
      </c>
      <c r="N13102" t="s">
        <v>14</v>
      </c>
    </row>
    <row r="13103" x14ac:dyDescent="0.25">
      <c r="A13103" t="n">
        <v>23</v>
      </c>
      <c r="B13103" t="s">
        <v>14</v>
      </c>
      <c r="C13103" t="s">
        <v>22</v>
      </c>
      <c r="D13103" s="2" t="s">
        <f>=HYPERLINK("https://main.knesset.gov.il/APPS/legislation/main/bills/2085586", "הצעת חוק לתיקון פקודת הסמים המסוכנים (שידול לייבוא או ייצוא חומר הנחשב לסם בחו""ל), התש""ף-2020")</f>
        <v>25316</v>
      </c>
      <c r="E13103" t="s">
        <v>25316</v>
      </c>
      <c r="F13103" t="s">
        <v>25317</v>
      </c>
      <c r="G13103" t="s">
        <v>14</v>
      </c>
      <c r="H13103">
             </c>
      <c r="I13103" t="s">
        <v>14</v>
      </c>
      <c r="J13103" t="s">
        <v>31</v>
      </c>
      <c r="K13103" t="s">
        <v>27</v>
      </c>
      <c r="L13103" t="s">
        <v>20</v>
      </c>
      <c r="M13103" t="s">
        <v>25313</v>
      </c>
      <c r="N13103" t="s">
        <v>14</v>
      </c>
    </row>
    <row r="13104" x14ac:dyDescent="0.25">
      <c r="A13104" t="n">
        <v>23</v>
      </c>
      <c r="B13104" t="s">
        <v>14</v>
      </c>
      <c r="C13104" t="s">
        <v>22</v>
      </c>
      <c r="D13104" s="2" t="s">
        <f>=HYPERLINK("https://main.knesset.gov.il/APPS/legislation/main/bills/2085698", "הצעת חוק שירות המדינה (מינויים) (תיקון - מינוי יועצים משפטיים של משרדים), התש""ף-2020")</f>
        <v>25229</v>
      </c>
      <c r="E13104" t="s">
        <v>25229</v>
      </c>
      <c r="F13104" t="s">
        <v>25318</v>
      </c>
      <c r="G13104" t="s">
        <v>14</v>
      </c>
      <c r="H13104">
             </c>
      <c r="I13104" t="s">
        <v>14</v>
      </c>
      <c r="J13104" t="s">
        <v>55</v>
      </c>
      <c r="K13104" t="s">
        <v>14</v>
      </c>
      <c r="L13104" t="s">
        <v>20</v>
      </c>
      <c r="M13104" t="s">
        <v>25313</v>
      </c>
      <c r="N13104" t="s">
        <v>14</v>
      </c>
    </row>
    <row r="13105" x14ac:dyDescent="0.25">
      <c r="A13105" t="n">
        <v>23</v>
      </c>
      <c r="B13105" t="s">
        <v>14</v>
      </c>
      <c r="C13105" t="s">
        <v>22</v>
      </c>
      <c r="D13105" s="2" t="s">
        <f>=HYPERLINK("https://main.knesset.gov.il/APPS/legislation/main/bills/2085635", "הצעת חוק הביטוח הלאומי (תיקון - תוספת קצבה לנכים מונשמים), התש""ף-2020")</f>
        <v>24455</v>
      </c>
      <c r="E13105" t="s">
        <v>24455</v>
      </c>
      <c r="F13105" t="s">
        <v>25319</v>
      </c>
      <c r="G13105" t="s">
        <v>14</v>
      </c>
      <c r="H13105">
             </c>
      <c r="I13105" t="s">
        <v>14</v>
      </c>
      <c r="J13105" t="s">
        <v>55</v>
      </c>
      <c r="K13105" t="s">
        <v>14</v>
      </c>
      <c r="L13105" t="s">
        <v>20</v>
      </c>
      <c r="M13105" t="s">
        <v>25313</v>
      </c>
      <c r="N13105" t="s">
        <v>14</v>
      </c>
    </row>
    <row r="13106" x14ac:dyDescent="0.25">
      <c r="A13106" t="n">
        <v>23</v>
      </c>
      <c r="B13106" t="s">
        <v>14</v>
      </c>
      <c r="C13106" t="s">
        <v>22</v>
      </c>
      <c r="D13106" s="2" t="s">
        <f>=HYPERLINK("https://main.knesset.gov.il/APPS/legislation/main/bills/2085810", "הצעת חוק לתיקון פקודת הסמים המסוכנים (הגדרת צמח הקנבוס, מדרוג עבירות ועונשים בסם קנבוס), התש""ף-2020")</f>
        <v>25320</v>
      </c>
      <c r="E13106" t="s">
        <v>25320</v>
      </c>
      <c r="F13106" t="s">
        <v>25321</v>
      </c>
      <c r="G13106" t="s">
        <v>14</v>
      </c>
      <c r="H13106">
             </c>
      <c r="I13106" t="s">
        <v>14</v>
      </c>
      <c r="J13106" t="s">
        <v>60</v>
      </c>
      <c r="K13106" t="s">
        <v>14</v>
      </c>
      <c r="L13106" t="s">
        <v>20</v>
      </c>
      <c r="M13106" t="s">
        <v>25313</v>
      </c>
      <c r="N13106" t="s">
        <v>14</v>
      </c>
    </row>
    <row r="13107" x14ac:dyDescent="0.25">
      <c r="A13107" t="n">
        <v>23</v>
      </c>
      <c r="B13107" t="s">
        <v>14</v>
      </c>
      <c r="C13107" t="s">
        <v>15</v>
      </c>
      <c r="D13107" s="2" t="s">
        <f>=HYPERLINK("https://main.knesset.gov.il/APPS/legislation/main/bills/2140802", "חוק לתיקון ולקיום תוקפן של תקנות שעת חירום (נגיף הקורונה החדש – הגבלת פעילות), התש""ף-2020 ")</f>
        <v>25322</v>
      </c>
      <c r="E13107" t="s">
        <v>25322</v>
      </c>
      <c r="F13107" t="s">
        <v>14</v>
      </c>
      <c r="G13107" t="s">
        <v>25323</v>
      </c>
      <c r="H13107" t="n">
        <v>2810</v>
      </c>
      <c r="I13107" t="s">
        <v>14</v>
      </c>
      <c r="J13107" t="s">
        <v>91</v>
      </c>
      <c r="K13107" t="s">
        <v>24998</v>
      </c>
      <c r="L13107" t="s">
        <v>20</v>
      </c>
      <c r="M13107" t="s">
        <v>25324</v>
      </c>
      <c r="N13107" t="s">
        <v>25325</v>
      </c>
    </row>
    <row r="13108" x14ac:dyDescent="0.25">
      <c r="A13108" t="n">
        <v>23</v>
      </c>
      <c r="B13108" t="s">
        <v>14</v>
      </c>
      <c r="C13108" t="s">
        <v>15</v>
      </c>
      <c r="D13108" s="2" t="s">
        <f>=HYPERLINK("https://main.knesset.gov.il/APPS/legislation/main/bills/2140803", "חוק לתיקון ולקיום תוקפן של תקנות שעת חירום (נגיף הקורונה החדש – הגבלת מספר העובדים במקום עבודה לשם צמצום התפשטות נגיף הקורונה החדש), התש""ף-2020 ")</f>
        <v>25326</v>
      </c>
      <c r="E13108" t="s">
        <v>25326</v>
      </c>
      <c r="F13108" t="s">
        <v>14</v>
      </c>
      <c r="G13108" t="s">
        <v>25327</v>
      </c>
      <c r="H13108" t="n">
        <v>2809</v>
      </c>
      <c r="I13108" t="s">
        <v>14</v>
      </c>
      <c r="J13108" t="s">
        <v>91</v>
      </c>
      <c r="K13108" t="s">
        <v>15147</v>
      </c>
      <c r="L13108" t="s">
        <v>20</v>
      </c>
      <c r="M13108" t="s">
        <v>25324</v>
      </c>
      <c r="N13108" t="s">
        <v>25328</v>
      </c>
    </row>
    <row r="13109" x14ac:dyDescent="0.25">
      <c r="A13109" t="n">
        <v>23</v>
      </c>
      <c r="B13109" t="s">
        <v>14</v>
      </c>
      <c r="C13109" t="s">
        <v>22</v>
      </c>
      <c r="D13109" s="2" t="s">
        <f>=HYPERLINK("https://main.knesset.gov.il/APPS/legislation/main/bills/2087267", "הצעת חוק זכויות הדייר בדיור הציבורי (תיקון - זכאות לאם יחידנית המקבלת תשלומי מזונות מהמוסד לביטוח לאומי), התש""ף-2020")</f>
        <v>25329</v>
      </c>
      <c r="E13109" t="s">
        <v>25329</v>
      </c>
      <c r="F13109" t="s">
        <v>25330</v>
      </c>
      <c r="G13109" t="s">
        <v>14</v>
      </c>
      <c r="H13109">
             </c>
      <c r="I13109" t="s">
        <v>14</v>
      </c>
      <c r="J13109" t="s">
        <v>141</v>
      </c>
      <c r="K13109" t="s">
        <v>14</v>
      </c>
      <c r="L13109" t="s">
        <v>20</v>
      </c>
      <c r="M13109" t="s">
        <v>25324</v>
      </c>
      <c r="N13109" t="s">
        <v>14</v>
      </c>
    </row>
    <row r="13110" x14ac:dyDescent="0.25">
      <c r="A13110" t="n">
        <v>23</v>
      </c>
      <c r="B13110" t="s">
        <v>14</v>
      </c>
      <c r="C13110" t="s">
        <v>22</v>
      </c>
      <c r="D13110" s="2" t="s">
        <f>=HYPERLINK("https://main.knesset.gov.il/APPS/legislation/main/bills/2088108", "הצעת חוק לתיקון פקודת התעבורה (ריבית פיגורים בשל אי תשלום קנס על עבירת חניה), התש""ף-2020")</f>
        <v>25331</v>
      </c>
      <c r="E13110" t="s">
        <v>25331</v>
      </c>
      <c r="F13110" t="s">
        <v>25332</v>
      </c>
      <c r="G13110" t="s">
        <v>14</v>
      </c>
      <c r="H13110">
             </c>
      <c r="I13110" t="s">
        <v>14</v>
      </c>
      <c r="J13110" t="s">
        <v>141</v>
      </c>
      <c r="K13110" t="s">
        <v>14</v>
      </c>
      <c r="L13110" t="s">
        <v>20</v>
      </c>
      <c r="M13110" t="s">
        <v>25324</v>
      </c>
      <c r="N13110" t="s">
        <v>14</v>
      </c>
    </row>
    <row r="13111" x14ac:dyDescent="0.25">
      <c r="A13111" t="n">
        <v>23</v>
      </c>
      <c r="B13111" t="s">
        <v>14</v>
      </c>
      <c r="C13111" t="s">
        <v>22</v>
      </c>
      <c r="D13111" s="2" t="s">
        <f>=HYPERLINK("https://main.knesset.gov.il/APPS/legislation/main/bills/2139780", "הצעת חוק הגנת הצרכן (תיקון - מענה אנושי בשירות טלפוני לאזרח ותיק), התש""ף-2020")</f>
        <v>25333</v>
      </c>
      <c r="E13111" t="s">
        <v>25333</v>
      </c>
      <c r="F13111" t="s">
        <v>25334</v>
      </c>
      <c r="G13111" t="s">
        <v>14</v>
      </c>
      <c r="H13111">
             </c>
      <c r="I13111" t="s">
        <v>14</v>
      </c>
      <c r="J13111" t="s">
        <v>141</v>
      </c>
      <c r="K13111" t="s">
        <v>14</v>
      </c>
      <c r="L13111" t="s">
        <v>20</v>
      </c>
      <c r="M13111" t="s">
        <v>25324</v>
      </c>
      <c r="N13111" t="s">
        <v>14</v>
      </c>
    </row>
    <row r="13112" x14ac:dyDescent="0.25">
      <c r="A13112" t="n">
        <v>23</v>
      </c>
      <c r="B13112" t="s">
        <v>14</v>
      </c>
      <c r="C13112" t="s">
        <v>22</v>
      </c>
      <c r="D13112" s="2" t="s">
        <f>=HYPERLINK("https://main.knesset.gov.il/APPS/legislation/main/bills/2139628", "הצעת חוק זכויות הדייר בדיור הציבורי (תיקון - זכאות לדיור ציבורי להורה עצמאי המקבל מהמוסד לביטוח לאומי תשלום מזונות ואינו זכאי להבטחת הכנסה), התש""ף-2020")</f>
        <v>25335</v>
      </c>
      <c r="E13112" t="s">
        <v>25335</v>
      </c>
      <c r="F13112" t="s">
        <v>25336</v>
      </c>
      <c r="G13112" t="s">
        <v>14</v>
      </c>
      <c r="H13112">
             </c>
      <c r="I13112" t="s">
        <v>14</v>
      </c>
      <c r="J13112" t="s">
        <v>141</v>
      </c>
      <c r="K13112" t="s">
        <v>14</v>
      </c>
      <c r="L13112" t="s">
        <v>20</v>
      </c>
      <c r="M13112" t="s">
        <v>25324</v>
      </c>
      <c r="N13112" t="s">
        <v>14</v>
      </c>
    </row>
    <row r="13113" x14ac:dyDescent="0.25">
      <c r="A13113" t="n">
        <v>23</v>
      </c>
      <c r="B13113" t="s">
        <v>14</v>
      </c>
      <c r="C13113" t="s">
        <v>22</v>
      </c>
      <c r="D13113" s="2" t="s">
        <f>=HYPERLINK("https://main.knesset.gov.il/APPS/legislation/main/bills/2140716", "הצעת חוק לתיקון פקודת הסמים המסוכנים (הגדרת צמח הקנבוס, מדרוג עבירות ועונשים בסם קנבוס), התש""ף-2020")</f>
        <v>25320</v>
      </c>
      <c r="E13113" t="s">
        <v>25320</v>
      </c>
      <c r="F13113" t="s">
        <v>25337</v>
      </c>
      <c r="G13113" t="s">
        <v>14</v>
      </c>
      <c r="H13113">
             </c>
      <c r="I13113" t="s">
        <v>14</v>
      </c>
      <c r="J13113" t="s">
        <v>141</v>
      </c>
      <c r="K13113" t="s">
        <v>14</v>
      </c>
      <c r="L13113" t="s">
        <v>20</v>
      </c>
      <c r="M13113" t="s">
        <v>25324</v>
      </c>
      <c r="N13113" t="s">
        <v>14</v>
      </c>
    </row>
    <row r="13114" x14ac:dyDescent="0.25">
      <c r="A13114" t="n">
        <v>23</v>
      </c>
      <c r="B13114" t="s">
        <v>14</v>
      </c>
      <c r="C13114" t="s">
        <v>22</v>
      </c>
      <c r="D13114" s="2" t="s">
        <f>=HYPERLINK("https://main.knesset.gov.il/APPS/legislation/main/bills/2086984", "הצעת חוק השכירות והשאילה (תיקון - הארכת תקופת השכירות בעת מצב חירום), התש""ף-2020")</f>
        <v>25338</v>
      </c>
      <c r="E13114" t="s">
        <v>25338</v>
      </c>
      <c r="F13114" t="s">
        <v>25339</v>
      </c>
      <c r="G13114" t="s">
        <v>14</v>
      </c>
      <c r="H13114">
             </c>
      <c r="I13114" t="s">
        <v>14</v>
      </c>
      <c r="J13114" t="s">
        <v>141</v>
      </c>
      <c r="K13114" t="s">
        <v>14</v>
      </c>
      <c r="L13114" t="s">
        <v>20</v>
      </c>
      <c r="M13114" t="s">
        <v>25324</v>
      </c>
      <c r="N13114" t="s">
        <v>14</v>
      </c>
    </row>
    <row r="13115" x14ac:dyDescent="0.25">
      <c r="A13115" t="n">
        <v>23</v>
      </c>
      <c r="B13115" t="s">
        <v>14</v>
      </c>
      <c r="C13115" t="s">
        <v>22</v>
      </c>
      <c r="D13115" s="2" t="s">
        <f>=HYPERLINK("https://main.knesset.gov.il/APPS/legislation/main/bills/2139769", "הצעת חוק-יסוד: הממשלה (תיקון - איסור על חקירה פלילית נגד ראש הממשלה במהלך תקופת כהונתו)")</f>
        <v>25340</v>
      </c>
      <c r="E13115" t="s">
        <v>25340</v>
      </c>
      <c r="F13115" t="s">
        <v>25341</v>
      </c>
      <c r="G13115" t="s">
        <v>14</v>
      </c>
      <c r="H13115">
             </c>
      <c r="I13115" t="s">
        <v>14</v>
      </c>
      <c r="J13115" t="s">
        <v>141</v>
      </c>
      <c r="K13115" t="s">
        <v>14</v>
      </c>
      <c r="L13115" t="s">
        <v>20</v>
      </c>
      <c r="M13115" t="s">
        <v>25324</v>
      </c>
      <c r="N13115" t="s">
        <v>14</v>
      </c>
    </row>
    <row r="13116" x14ac:dyDescent="0.25">
      <c r="A13116" t="n">
        <v>23</v>
      </c>
      <c r="B13116" t="s">
        <v>14</v>
      </c>
      <c r="C13116" t="s">
        <v>22</v>
      </c>
      <c r="D13116" s="2" t="s">
        <f>=HYPERLINK("https://main.knesset.gov.il/APPS/legislation/main/bills/2139986", "הצעת חוק הבטחת מסגרת השמה חוץ-ביתית לקטינים נזקקים, התש""ף-2020")</f>
        <v>25342</v>
      </c>
      <c r="E13116" t="s">
        <v>25342</v>
      </c>
      <c r="F13116" t="s">
        <v>25343</v>
      </c>
      <c r="G13116" t="s">
        <v>14</v>
      </c>
      <c r="H13116">
             </c>
      <c r="I13116" t="s">
        <v>14</v>
      </c>
      <c r="J13116" t="s">
        <v>141</v>
      </c>
      <c r="K13116" t="s">
        <v>14</v>
      </c>
      <c r="L13116" t="s">
        <v>20</v>
      </c>
      <c r="M13116" t="s">
        <v>25324</v>
      </c>
      <c r="N13116" t="s">
        <v>14</v>
      </c>
    </row>
    <row r="13117" x14ac:dyDescent="0.25">
      <c r="A13117" t="n">
        <v>23</v>
      </c>
      <c r="B13117" t="s">
        <v>14</v>
      </c>
      <c r="C13117" t="s">
        <v>22</v>
      </c>
      <c r="D13117" s="2" t="s">
        <f>=HYPERLINK("https://main.knesset.gov.il/APPS/legislation/main/bills/2139953", "הצעת חוק זכויות החולה (תיקון - שמירת דגימות שנלקחו מנפגעי עבירות מין), התש""ף-2020")</f>
        <v>25344</v>
      </c>
      <c r="E13117" t="s">
        <v>25344</v>
      </c>
      <c r="F13117" t="s">
        <v>25345</v>
      </c>
      <c r="G13117" t="s">
        <v>14</v>
      </c>
      <c r="H13117">
             </c>
      <c r="I13117" t="s">
        <v>14</v>
      </c>
      <c r="J13117" t="s">
        <v>141</v>
      </c>
      <c r="K13117" t="s">
        <v>14</v>
      </c>
      <c r="L13117" t="s">
        <v>20</v>
      </c>
      <c r="M13117" t="s">
        <v>25324</v>
      </c>
      <c r="N13117" t="s">
        <v>14</v>
      </c>
    </row>
    <row r="13118" x14ac:dyDescent="0.25">
      <c r="A13118" t="n">
        <v>23</v>
      </c>
      <c r="B13118" t="s">
        <v>14</v>
      </c>
      <c r="C13118" t="s">
        <v>22</v>
      </c>
      <c r="D13118" s="2" t="s">
        <f>=HYPERLINK("https://main.knesset.gov.il/APPS/legislation/main/bills/2088306", "הצעת חוק גיל פרישה (תיקון - העלאת גיל הפרישה לנשים וקביעת צעדים תומכים לנשים בגילאי העבודה), התש""ף-2020")</f>
        <v>25346</v>
      </c>
      <c r="E13118" t="s">
        <v>25346</v>
      </c>
      <c r="F13118" t="s">
        <v>25347</v>
      </c>
      <c r="G13118" t="s">
        <v>14</v>
      </c>
      <c r="H13118">
             </c>
      <c r="I13118" t="s">
        <v>14</v>
      </c>
      <c r="J13118" t="s">
        <v>141</v>
      </c>
      <c r="K13118" t="s">
        <v>14</v>
      </c>
      <c r="L13118" t="s">
        <v>20</v>
      </c>
      <c r="M13118" t="s">
        <v>25324</v>
      </c>
      <c r="N13118" t="s">
        <v>14</v>
      </c>
    </row>
    <row r="13119" x14ac:dyDescent="0.25">
      <c r="A13119" t="n">
        <v>23</v>
      </c>
      <c r="B13119" t="s">
        <v>14</v>
      </c>
      <c r="C13119" t="s">
        <v>22</v>
      </c>
      <c r="D13119" s="2" t="s">
        <f>=HYPERLINK("https://main.knesset.gov.il/APPS/legislation/main/bills/2088374", "הצעת חוק לתיקון פקודת מסי העירייה ומסי הממשלה (פטורין) (פטור מארנונה למעון), התש""ף-2020")</f>
        <v>25348</v>
      </c>
      <c r="E13119" t="s">
        <v>25348</v>
      </c>
      <c r="F13119" t="s">
        <v>25349</v>
      </c>
      <c r="G13119" t="s">
        <v>14</v>
      </c>
      <c r="H13119">
             </c>
      <c r="I13119" t="s">
        <v>14</v>
      </c>
      <c r="J13119" t="s">
        <v>141</v>
      </c>
      <c r="K13119" t="s">
        <v>14</v>
      </c>
      <c r="L13119" t="s">
        <v>20</v>
      </c>
      <c r="M13119" t="s">
        <v>25324</v>
      </c>
      <c r="N13119" t="s">
        <v>14</v>
      </c>
    </row>
    <row r="13120" x14ac:dyDescent="0.25">
      <c r="A13120" t="n">
        <v>23</v>
      </c>
      <c r="B13120" t="s">
        <v>14</v>
      </c>
      <c r="C13120" t="s">
        <v>22</v>
      </c>
      <c r="D13120" s="2" t="s">
        <f>=HYPERLINK("https://main.knesset.gov.il/APPS/legislation/main/bills/2088372", "הצעת חוק מס ערך מוסף (תיקון - פטור ממס במכירת תרופות מצילות חיים שאינן כלולות בסל הבריאות), התש""ף-2020")</f>
        <v>25350</v>
      </c>
      <c r="E13120" t="s">
        <v>25350</v>
      </c>
      <c r="F13120" t="s">
        <v>25351</v>
      </c>
      <c r="G13120" t="s">
        <v>14</v>
      </c>
      <c r="H13120">
             </c>
      <c r="I13120" t="s">
        <v>14</v>
      </c>
      <c r="J13120" t="s">
        <v>141</v>
      </c>
      <c r="K13120" t="s">
        <v>14</v>
      </c>
      <c r="L13120" t="s">
        <v>20</v>
      </c>
      <c r="M13120" t="s">
        <v>25324</v>
      </c>
      <c r="N13120" t="s">
        <v>14</v>
      </c>
    </row>
    <row r="13121" x14ac:dyDescent="0.25">
      <c r="A13121" t="n">
        <v>23</v>
      </c>
      <c r="B13121" t="s">
        <v>14</v>
      </c>
      <c r="C13121" t="s">
        <v>22</v>
      </c>
      <c r="D13121" s="2" t="s">
        <f>=HYPERLINK("https://main.knesset.gov.il/APPS/legislation/main/bills/2088490", "הצעת חוק למניעת העסקה של עברייני מין במוסדות מסוימים (תיקון - הגדרת עבירת מין), התש""ף-2020")</f>
        <v>25352</v>
      </c>
      <c r="E13121" t="s">
        <v>25352</v>
      </c>
      <c r="F13121" t="s">
        <v>25353</v>
      </c>
      <c r="G13121" t="s">
        <v>14</v>
      </c>
      <c r="H13121">
             </c>
      <c r="I13121" t="s">
        <v>14</v>
      </c>
      <c r="J13121" t="s">
        <v>141</v>
      </c>
      <c r="K13121" t="s">
        <v>14</v>
      </c>
      <c r="L13121" t="s">
        <v>20</v>
      </c>
      <c r="M13121" t="s">
        <v>25324</v>
      </c>
      <c r="N13121" t="s">
        <v>14</v>
      </c>
    </row>
    <row r="13122" x14ac:dyDescent="0.25">
      <c r="A13122" t="n">
        <v>23</v>
      </c>
      <c r="B13122" t="s">
        <v>14</v>
      </c>
      <c r="C13122" t="s">
        <v>22</v>
      </c>
      <c r="D13122" s="2" t="s">
        <f>=HYPERLINK("https://main.knesset.gov.il/APPS/legislation/main/bills/2088471", "הצעת חוק-יסוד: הממשלה (תיקון - הגבלות על כהונת ראש ממשלה ושר ביותר ממשרד אחד)")</f>
        <v>25354</v>
      </c>
      <c r="E13122" t="s">
        <v>25354</v>
      </c>
      <c r="F13122" t="s">
        <v>25355</v>
      </c>
      <c r="G13122" t="s">
        <v>14</v>
      </c>
      <c r="H13122">
             </c>
      <c r="I13122" t="s">
        <v>14</v>
      </c>
      <c r="J13122" t="s">
        <v>141</v>
      </c>
      <c r="K13122" t="s">
        <v>14</v>
      </c>
      <c r="L13122" t="s">
        <v>20</v>
      </c>
      <c r="M13122" t="s">
        <v>25324</v>
      </c>
      <c r="N13122" t="s">
        <v>14</v>
      </c>
    </row>
    <row r="13123" x14ac:dyDescent="0.25">
      <c r="A13123" t="n">
        <v>23</v>
      </c>
      <c r="B13123" t="s">
        <v>14</v>
      </c>
      <c r="C13123" t="s">
        <v>22</v>
      </c>
      <c r="D13123" s="2" t="s">
        <f>=HYPERLINK("https://main.knesset.gov.il/APPS/legislation/main/bills/2139743", "הצעת חוק הגנת הפרטיות (תיקון - מניעת פרסום פרטיו ותצלומו של אדם שנהרג או נפגע ברבים בטרם נמסרה הודעה למשפחה), התש""ף-2020")</f>
        <v>25356</v>
      </c>
      <c r="E13123" t="s">
        <v>25356</v>
      </c>
      <c r="F13123" t="s">
        <v>25357</v>
      </c>
      <c r="G13123" t="s">
        <v>14</v>
      </c>
      <c r="H13123">
             </c>
      <c r="I13123" t="s">
        <v>14</v>
      </c>
      <c r="J13123" t="s">
        <v>141</v>
      </c>
      <c r="K13123" t="s">
        <v>14</v>
      </c>
      <c r="L13123" t="s">
        <v>20</v>
      </c>
      <c r="M13123" t="s">
        <v>25324</v>
      </c>
      <c r="N13123" t="s">
        <v>14</v>
      </c>
    </row>
    <row r="13124" x14ac:dyDescent="0.25">
      <c r="A13124" t="n">
        <v>23</v>
      </c>
      <c r="B13124" t="s">
        <v>14</v>
      </c>
      <c r="C13124" t="s">
        <v>22</v>
      </c>
      <c r="D13124" s="2" t="s">
        <f>=HYPERLINK("https://main.knesset.gov.il/APPS/legislation/main/bills/2087973", "הצעת חוק לתיקון פקודת מס הכנסה (פטור ממס להכנסות קשיש וניכוי הוצאות שכר דירה), התש""ף-2020")</f>
        <v>25358</v>
      </c>
      <c r="E13124" t="s">
        <v>25358</v>
      </c>
      <c r="F13124" t="s">
        <v>25359</v>
      </c>
      <c r="G13124" t="s">
        <v>14</v>
      </c>
      <c r="H13124">
             </c>
      <c r="I13124" t="s">
        <v>14</v>
      </c>
      <c r="J13124" t="s">
        <v>141</v>
      </c>
      <c r="K13124" t="s">
        <v>14</v>
      </c>
      <c r="L13124" t="s">
        <v>20</v>
      </c>
      <c r="M13124" t="s">
        <v>25324</v>
      </c>
      <c r="N13124" t="s">
        <v>14</v>
      </c>
    </row>
    <row r="13125" x14ac:dyDescent="0.25">
      <c r="A13125" t="n">
        <v>23</v>
      </c>
      <c r="B13125" t="s">
        <v>14</v>
      </c>
      <c r="C13125" t="s">
        <v>22</v>
      </c>
      <c r="D13125" s="2" t="s">
        <f>=HYPERLINK("https://main.knesset.gov.il/APPS/legislation/main/bills/2139744", "הצעת חוק הגנת הפרטיות (תיקון - הזכות להישכח של קטינים), התש""ף-2020")</f>
        <v>25360</v>
      </c>
      <c r="E13125" t="s">
        <v>25360</v>
      </c>
      <c r="F13125" t="s">
        <v>25361</v>
      </c>
      <c r="G13125" t="s">
        <v>14</v>
      </c>
      <c r="H13125">
             </c>
      <c r="I13125" t="s">
        <v>14</v>
      </c>
      <c r="J13125" t="s">
        <v>141</v>
      </c>
      <c r="K13125" t="s">
        <v>14</v>
      </c>
      <c r="L13125" t="s">
        <v>20</v>
      </c>
      <c r="M13125" t="s">
        <v>25324</v>
      </c>
      <c r="N13125" t="s">
        <v>14</v>
      </c>
    </row>
    <row r="13126" x14ac:dyDescent="0.25">
      <c r="A13126" t="n">
        <v>23</v>
      </c>
      <c r="B13126" t="s">
        <v>14</v>
      </c>
      <c r="C13126" t="s">
        <v>22</v>
      </c>
      <c r="D13126" s="2" t="s">
        <f>=HYPERLINK("https://main.knesset.gov.il/APPS/legislation/main/bills/2088435", "הצעת חוק לעידוד השקעות הון (תיקון - עידוד ענף היהלומים) (הוראת שעה), התש""ף-2020")</f>
        <v>25362</v>
      </c>
      <c r="E13126" t="s">
        <v>25362</v>
      </c>
      <c r="F13126" t="s">
        <v>25363</v>
      </c>
      <c r="G13126" t="s">
        <v>14</v>
      </c>
      <c r="H13126">
             </c>
      <c r="I13126" t="s">
        <v>14</v>
      </c>
      <c r="J13126" t="s">
        <v>141</v>
      </c>
      <c r="K13126" t="s">
        <v>14</v>
      </c>
      <c r="L13126" t="s">
        <v>20</v>
      </c>
      <c r="M13126" t="s">
        <v>25324</v>
      </c>
      <c r="N13126" t="s">
        <v>14</v>
      </c>
    </row>
    <row r="13127" x14ac:dyDescent="0.25">
      <c r="A13127" t="n">
        <v>23</v>
      </c>
      <c r="B13127" t="s">
        <v>14</v>
      </c>
      <c r="C13127" t="s">
        <v>22</v>
      </c>
      <c r="D13127" s="2" t="s">
        <f>=HYPERLINK("https://main.knesset.gov.il/APPS/legislation/main/bills/2088531", "הצעת חוק בחירות לגופים ציבוריים (תיקון - הגבלת כהונת יושב ראש ועד עובדים), התש""ף-2020")</f>
        <v>25364</v>
      </c>
      <c r="E13127" t="s">
        <v>25364</v>
      </c>
      <c r="F13127" t="s">
        <v>25365</v>
      </c>
      <c r="G13127" t="s">
        <v>14</v>
      </c>
      <c r="H13127">
             </c>
      <c r="I13127" t="s">
        <v>14</v>
      </c>
      <c r="J13127" t="s">
        <v>141</v>
      </c>
      <c r="K13127" t="s">
        <v>14</v>
      </c>
      <c r="L13127" t="s">
        <v>20</v>
      </c>
      <c r="M13127" t="s">
        <v>25324</v>
      </c>
      <c r="N13127" t="s">
        <v>14</v>
      </c>
    </row>
    <row r="13128" x14ac:dyDescent="0.25">
      <c r="A13128" t="n">
        <v>23</v>
      </c>
      <c r="B13128" t="s">
        <v>14</v>
      </c>
      <c r="C13128" t="s">
        <v>22</v>
      </c>
      <c r="D13128" s="2" t="s">
        <f>=HYPERLINK("https://main.knesset.gov.il/APPS/legislation/main/bills/2088303", "הצעת חוק לתיקון פקודת מס הכנסה (נקודות זיכוי למשפחות אומנה), התש""ף-2020")</f>
        <v>25366</v>
      </c>
      <c r="E13128" t="s">
        <v>25366</v>
      </c>
      <c r="F13128" t="s">
        <v>25367</v>
      </c>
      <c r="G13128" t="s">
        <v>14</v>
      </c>
      <c r="H13128">
             </c>
      <c r="I13128" t="s">
        <v>14</v>
      </c>
      <c r="J13128" t="s">
        <v>141</v>
      </c>
      <c r="K13128" t="s">
        <v>14</v>
      </c>
      <c r="L13128" t="s">
        <v>20</v>
      </c>
      <c r="M13128" t="s">
        <v>25324</v>
      </c>
      <c r="N13128" t="s">
        <v>14</v>
      </c>
    </row>
    <row r="13129" x14ac:dyDescent="0.25">
      <c r="A13129" t="n">
        <v>23</v>
      </c>
      <c r="B13129" t="s">
        <v>14</v>
      </c>
      <c r="C13129" t="s">
        <v>22</v>
      </c>
      <c r="D13129" s="2" t="s">
        <f>=HYPERLINK("https://main.knesset.gov.il/APPS/legislation/main/bills/2139688", "הצעת חוק תובענות ייצוגיות (תיקון - תובענה ייצוגית בשל פגיעה בפרטיות), התש""ף-2020")</f>
        <v>24670</v>
      </c>
      <c r="E13129" t="s">
        <v>24670</v>
      </c>
      <c r="F13129" t="s">
        <v>25368</v>
      </c>
      <c r="G13129" t="s">
        <v>14</v>
      </c>
      <c r="H13129">
             </c>
      <c r="I13129" t="s">
        <v>14</v>
      </c>
      <c r="J13129" t="s">
        <v>141</v>
      </c>
      <c r="K13129" t="s">
        <v>14</v>
      </c>
      <c r="L13129" t="s">
        <v>20</v>
      </c>
      <c r="M13129" t="s">
        <v>25324</v>
      </c>
      <c r="N13129" t="s">
        <v>14</v>
      </c>
    </row>
    <row r="13130" x14ac:dyDescent="0.25">
      <c r="A13130" t="n">
        <v>23</v>
      </c>
      <c r="B13130" t="s">
        <v>14</v>
      </c>
      <c r="C13130" t="s">
        <v>22</v>
      </c>
      <c r="D13130" s="2" t="s">
        <f>=HYPERLINK("https://main.knesset.gov.il/APPS/legislation/main/bills/2086623", "הצעת חוק רשת ביטחון כלכלי לעסקים, בתקופת משבר וירוס הקורונה, התש""ף-2020")</f>
        <v>25369</v>
      </c>
      <c r="E13130" t="s">
        <v>25369</v>
      </c>
      <c r="F13130" t="s">
        <v>25370</v>
      </c>
      <c r="G13130" t="s">
        <v>14</v>
      </c>
      <c r="H13130">
             </c>
      <c r="I13130" t="s">
        <v>14</v>
      </c>
      <c r="J13130" t="s">
        <v>141</v>
      </c>
      <c r="K13130" t="s">
        <v>14</v>
      </c>
      <c r="L13130" t="s">
        <v>20</v>
      </c>
      <c r="M13130" t="s">
        <v>25324</v>
      </c>
      <c r="N13130" t="s">
        <v>14</v>
      </c>
    </row>
    <row r="13131" x14ac:dyDescent="0.25">
      <c r="A13131" t="n">
        <v>23</v>
      </c>
      <c r="B13131" t="s">
        <v>14</v>
      </c>
      <c r="C13131" t="s">
        <v>22</v>
      </c>
      <c r="D13131" s="2" t="s">
        <f>=HYPERLINK("https://main.knesset.gov.il/APPS/legislation/main/bills/2139783", "הצעת חוק ההוצאה לפועל (תיקון - הגבלת עיקול מיטלטליו של קשיש), התש""ף-2020")</f>
        <v>25371</v>
      </c>
      <c r="E13131" t="s">
        <v>25371</v>
      </c>
      <c r="F13131" t="s">
        <v>25372</v>
      </c>
      <c r="G13131" t="s">
        <v>14</v>
      </c>
      <c r="H13131">
             </c>
      <c r="I13131" t="s">
        <v>14</v>
      </c>
      <c r="J13131" t="s">
        <v>141</v>
      </c>
      <c r="K13131" t="s">
        <v>14</v>
      </c>
      <c r="L13131" t="s">
        <v>20</v>
      </c>
      <c r="M13131" t="s">
        <v>25324</v>
      </c>
      <c r="N13131" t="s">
        <v>14</v>
      </c>
    </row>
    <row r="13132" x14ac:dyDescent="0.25">
      <c r="A13132" t="n">
        <v>23</v>
      </c>
      <c r="B13132" t="s">
        <v>14</v>
      </c>
      <c r="C13132" t="s">
        <v>22</v>
      </c>
      <c r="D13132" s="2" t="s">
        <f>=HYPERLINK("https://main.knesset.gov.il/APPS/legislation/main/bills/2085929", "הצעת חוק הבחירות לכנסת (תיקון - אי זכאות ליום שבתון לעובדים זרים), התש""ף-2020")</f>
        <v>25373</v>
      </c>
      <c r="E13132" t="s">
        <v>25373</v>
      </c>
      <c r="F13132" t="s">
        <v>25374</v>
      </c>
      <c r="G13132" t="s">
        <v>14</v>
      </c>
      <c r="H13132">
             </c>
      <c r="I13132" t="s">
        <v>14</v>
      </c>
      <c r="J13132" t="s">
        <v>141</v>
      </c>
      <c r="K13132" t="s">
        <v>14</v>
      </c>
      <c r="L13132" t="s">
        <v>20</v>
      </c>
      <c r="M13132" t="s">
        <v>25324</v>
      </c>
      <c r="N13132" t="s">
        <v>14</v>
      </c>
    </row>
    <row r="13133" x14ac:dyDescent="0.25">
      <c r="A13133" t="n">
        <v>23</v>
      </c>
      <c r="B13133" t="s">
        <v>14</v>
      </c>
      <c r="C13133" t="s">
        <v>22</v>
      </c>
      <c r="D13133" s="2" t="s">
        <f>=HYPERLINK("https://main.knesset.gov.il/APPS/legislation/main/bills/2140181", "הצעת חוק סל הקליטה (תיקון - זכאות יוצאים לשאלה), התש""ף-2020")</f>
        <v>25375</v>
      </c>
      <c r="E13133" t="s">
        <v>25375</v>
      </c>
      <c r="F13133" t="s">
        <v>25376</v>
      </c>
      <c r="G13133" t="s">
        <v>14</v>
      </c>
      <c r="H13133">
             </c>
      <c r="I13133" t="s">
        <v>14</v>
      </c>
      <c r="J13133" t="s">
        <v>141</v>
      </c>
      <c r="K13133" t="s">
        <v>14</v>
      </c>
      <c r="L13133" t="s">
        <v>20</v>
      </c>
      <c r="M13133" t="s">
        <v>25324</v>
      </c>
      <c r="N13133" t="s">
        <v>14</v>
      </c>
    </row>
    <row r="13134" x14ac:dyDescent="0.25">
      <c r="A13134" t="n">
        <v>23</v>
      </c>
      <c r="B13134" t="s">
        <v>14</v>
      </c>
      <c r="C13134" t="s">
        <v>22</v>
      </c>
      <c r="D13134" s="2" t="s">
        <f>=HYPERLINK("https://main.knesset.gov.il/APPS/legislation/main/bills/2088289", "הצעת חוק שיפוט בתי דין רבניים (נישואין וגירושין) (תיקון - תשלומי מזונות לילדי בני הזוג), התש""ף-2020")</f>
        <v>25377</v>
      </c>
      <c r="E13134" t="s">
        <v>25377</v>
      </c>
      <c r="F13134" t="s">
        <v>25378</v>
      </c>
      <c r="G13134" t="s">
        <v>14</v>
      </c>
      <c r="H13134">
             </c>
      <c r="I13134" t="s">
        <v>14</v>
      </c>
      <c r="J13134" t="s">
        <v>141</v>
      </c>
      <c r="K13134" t="s">
        <v>14</v>
      </c>
      <c r="L13134" t="s">
        <v>20</v>
      </c>
      <c r="M13134" t="s">
        <v>25324</v>
      </c>
      <c r="N13134" t="s">
        <v>14</v>
      </c>
    </row>
    <row r="13135" x14ac:dyDescent="0.25">
      <c r="A13135" t="n">
        <v>23</v>
      </c>
      <c r="B13135" t="s">
        <v>14</v>
      </c>
      <c r="C13135" t="s">
        <v>22</v>
      </c>
      <c r="D13135" s="2" t="s">
        <f>=HYPERLINK("https://main.knesset.gov.il/APPS/legislation/main/bills/2088067", "הצעת חוק-יסוד: הכנסת (תיקון - הרוב הנדרש למניעת השתתפות בבחירות) ")</f>
        <v>21796</v>
      </c>
      <c r="E13135" t="s">
        <v>21796</v>
      </c>
      <c r="F13135" t="s">
        <v>25379</v>
      </c>
      <c r="G13135" t="s">
        <v>14</v>
      </c>
      <c r="H13135">
             </c>
      <c r="I13135" t="s">
        <v>14</v>
      </c>
      <c r="J13135" t="s">
        <v>141</v>
      </c>
      <c r="K13135" t="s">
        <v>14</v>
      </c>
      <c r="L13135" t="s">
        <v>20</v>
      </c>
      <c r="M13135" t="s">
        <v>25324</v>
      </c>
      <c r="N13135" t="s">
        <v>14</v>
      </c>
    </row>
    <row r="13136" x14ac:dyDescent="0.25">
      <c r="A13136" t="n">
        <v>23</v>
      </c>
      <c r="B13136" t="s">
        <v>14</v>
      </c>
      <c r="C13136" t="s">
        <v>22</v>
      </c>
      <c r="D13136" s="2" t="s">
        <f>=HYPERLINK("https://main.knesset.gov.il/APPS/legislation/main/bills/2086859", "הצעת חוק שירות המדינה (מינויים) (תיקון - חובת פרסום שאלון לאיתור חשש לניגוד עניינים), התש""ף-2020")</f>
        <v>25380</v>
      </c>
      <c r="E13136" t="s">
        <v>25380</v>
      </c>
      <c r="F13136" t="s">
        <v>25381</v>
      </c>
      <c r="G13136" t="s">
        <v>14</v>
      </c>
      <c r="H13136">
             </c>
      <c r="I13136" t="s">
        <v>14</v>
      </c>
      <c r="J13136" t="s">
        <v>141</v>
      </c>
      <c r="K13136" t="s">
        <v>14</v>
      </c>
      <c r="L13136" t="s">
        <v>20</v>
      </c>
      <c r="M13136" t="s">
        <v>25324</v>
      </c>
      <c r="N13136" t="s">
        <v>14</v>
      </c>
    </row>
    <row r="13137" x14ac:dyDescent="0.25">
      <c r="A13137" t="n">
        <v>23</v>
      </c>
      <c r="B13137" t="s">
        <v>14</v>
      </c>
      <c r="C13137" t="s">
        <v>22</v>
      </c>
      <c r="D13137" s="2" t="s">
        <f>=HYPERLINK("https://main.knesset.gov.il/APPS/legislation/main/bills/2086699", "הצעת חוק למניעת הטרדה מינית (תיקון - דין התפטרות עקב הטרדה מינית או התנכלות כפיטורין), התש""ף-2020")</f>
        <v>25382</v>
      </c>
      <c r="E13137" t="s">
        <v>25382</v>
      </c>
      <c r="F13137" t="s">
        <v>25383</v>
      </c>
      <c r="G13137" t="s">
        <v>14</v>
      </c>
      <c r="H13137">
             </c>
      <c r="I13137" t="s">
        <v>14</v>
      </c>
      <c r="J13137" t="s">
        <v>141</v>
      </c>
      <c r="K13137" t="s">
        <v>14</v>
      </c>
      <c r="L13137" t="s">
        <v>20</v>
      </c>
      <c r="M13137" t="s">
        <v>25324</v>
      </c>
      <c r="N13137" t="s">
        <v>14</v>
      </c>
    </row>
    <row r="13138" x14ac:dyDescent="0.25">
      <c r="A13138" t="n">
        <v>23</v>
      </c>
      <c r="B13138" t="s">
        <v>14</v>
      </c>
      <c r="C13138" t="s">
        <v>22</v>
      </c>
      <c r="D13138" s="2" t="s">
        <f>=HYPERLINK("https://main.knesset.gov.il/APPS/legislation/main/bills/2086883", "הצעת חוק סמכות ואחריות הורית (משמורת), התש""ף-2020")</f>
        <v>25384</v>
      </c>
      <c r="E13138" t="s">
        <v>25384</v>
      </c>
      <c r="F13138" t="s">
        <v>25385</v>
      </c>
      <c r="G13138" t="s">
        <v>14</v>
      </c>
      <c r="H13138">
             </c>
      <c r="I13138" t="s">
        <v>14</v>
      </c>
      <c r="J13138" t="s">
        <v>141</v>
      </c>
      <c r="K13138" t="s">
        <v>14</v>
      </c>
      <c r="L13138" t="s">
        <v>20</v>
      </c>
      <c r="M13138" t="s">
        <v>25324</v>
      </c>
      <c r="N13138" t="s">
        <v>14</v>
      </c>
    </row>
    <row r="13139" x14ac:dyDescent="0.25">
      <c r="A13139" t="n">
        <v>23</v>
      </c>
      <c r="B13139" t="s">
        <v>14</v>
      </c>
      <c r="C13139" t="s">
        <v>22</v>
      </c>
      <c r="D13139" s="2" t="s">
        <f>=HYPERLINK("https://main.knesset.gov.il/APPS/legislation/main/bills/2086884", "הצעת חוק לתיקון פקודת הסטטיסטיקה (סטטיסטיקה לפי מגדר), התש""ף-2020")</f>
        <v>25386</v>
      </c>
      <c r="E13139" t="s">
        <v>25386</v>
      </c>
      <c r="F13139" t="s">
        <v>25387</v>
      </c>
      <c r="G13139" t="s">
        <v>14</v>
      </c>
      <c r="H13139">
             </c>
      <c r="I13139" t="s">
        <v>14</v>
      </c>
      <c r="J13139" t="s">
        <v>141</v>
      </c>
      <c r="K13139" t="s">
        <v>14</v>
      </c>
      <c r="L13139" t="s">
        <v>20</v>
      </c>
      <c r="M13139" t="s">
        <v>25324</v>
      </c>
      <c r="N13139" t="s">
        <v>14</v>
      </c>
    </row>
    <row r="13140" x14ac:dyDescent="0.25">
      <c r="A13140" t="n">
        <v>23</v>
      </c>
      <c r="B13140" t="s">
        <v>14</v>
      </c>
      <c r="C13140" t="s">
        <v>22</v>
      </c>
      <c r="D13140" s="2" t="s">
        <f>=HYPERLINK("https://main.knesset.gov.il/APPS/legislation/main/bills/2086887", "הצעת חוק העונשין (תיקון - הארכת התיישנות בעבירות מין שבוצעו במסגרת הנישואין), התש""ף-2020")</f>
        <v>25388</v>
      </c>
      <c r="E13140" t="s">
        <v>25388</v>
      </c>
      <c r="F13140" t="s">
        <v>25389</v>
      </c>
      <c r="G13140" t="s">
        <v>14</v>
      </c>
      <c r="H13140">
             </c>
      <c r="I13140" t="s">
        <v>14</v>
      </c>
      <c r="J13140" t="s">
        <v>141</v>
      </c>
      <c r="K13140" t="s">
        <v>14</v>
      </c>
      <c r="L13140" t="s">
        <v>20</v>
      </c>
      <c r="M13140" t="s">
        <v>25324</v>
      </c>
      <c r="N13140" t="s">
        <v>14</v>
      </c>
    </row>
    <row r="13141" x14ac:dyDescent="0.25">
      <c r="A13141" t="n">
        <v>23</v>
      </c>
      <c r="B13141" t="s">
        <v>14</v>
      </c>
      <c r="C13141" t="s">
        <v>22</v>
      </c>
      <c r="D13141" s="2" t="s">
        <f>=HYPERLINK("https://main.knesset.gov.il/APPS/legislation/main/bills/2086888", "הצעת חוק המרכז לגביית קנסות, אגרות והוצאות (תיקון - גביית חובות עבור רשות המים הארצית), התש""ף-2020")</f>
        <v>25390</v>
      </c>
      <c r="E13141" t="s">
        <v>25390</v>
      </c>
      <c r="F13141" t="s">
        <v>25391</v>
      </c>
      <c r="G13141" t="s">
        <v>14</v>
      </c>
      <c r="H13141">
             </c>
      <c r="I13141" t="s">
        <v>14</v>
      </c>
      <c r="J13141" t="s">
        <v>141</v>
      </c>
      <c r="K13141" t="s">
        <v>14</v>
      </c>
      <c r="L13141" t="s">
        <v>20</v>
      </c>
      <c r="M13141" t="s">
        <v>25324</v>
      </c>
      <c r="N13141" t="s">
        <v>14</v>
      </c>
    </row>
    <row r="13142" x14ac:dyDescent="0.25">
      <c r="A13142" t="n">
        <v>23</v>
      </c>
      <c r="B13142" t="s">
        <v>14</v>
      </c>
      <c r="C13142" t="s">
        <v>22</v>
      </c>
      <c r="D13142" s="2" t="s">
        <f>=HYPERLINK("https://main.knesset.gov.il/APPS/legislation/main/bills/2086094", "הצעת חוק חדלות פירעון ושיקום כלכלי (תיקון - הפטר על קנסות בשל עבירות חניה ועל ריביות של תשלום עונשי), התש""ף-2020")</f>
        <v>25392</v>
      </c>
      <c r="E13142" t="s">
        <v>25392</v>
      </c>
      <c r="F13142" t="s">
        <v>25393</v>
      </c>
      <c r="G13142" t="s">
        <v>14</v>
      </c>
      <c r="H13142">
             </c>
      <c r="I13142" t="s">
        <v>14</v>
      </c>
      <c r="J13142" t="s">
        <v>141</v>
      </c>
      <c r="K13142" t="s">
        <v>14</v>
      </c>
      <c r="L13142" t="s">
        <v>20</v>
      </c>
      <c r="M13142" t="s">
        <v>25324</v>
      </c>
      <c r="N13142" t="s">
        <v>14</v>
      </c>
    </row>
    <row r="13143" x14ac:dyDescent="0.25">
      <c r="A13143" t="n">
        <v>23</v>
      </c>
      <c r="B13143" t="s">
        <v>14</v>
      </c>
      <c r="C13143" t="s">
        <v>22</v>
      </c>
      <c r="D13143" s="2" t="s">
        <f>=HYPERLINK("https://main.knesset.gov.il/APPS/legislation/main/bills/2086133", "הצעת חוק נישואים אזרחיים, התש""ף-2020")</f>
        <v>25394</v>
      </c>
      <c r="E13143" t="s">
        <v>25394</v>
      </c>
      <c r="F13143" t="s">
        <v>25395</v>
      </c>
      <c r="G13143" t="s">
        <v>14</v>
      </c>
      <c r="H13143">
             </c>
      <c r="I13143" t="s">
        <v>14</v>
      </c>
      <c r="J13143" t="s">
        <v>141</v>
      </c>
      <c r="K13143" t="s">
        <v>14</v>
      </c>
      <c r="L13143" t="s">
        <v>20</v>
      </c>
      <c r="M13143" t="s">
        <v>25324</v>
      </c>
      <c r="N13143" t="s">
        <v>14</v>
      </c>
    </row>
    <row r="13144" x14ac:dyDescent="0.25">
      <c r="A13144" t="n">
        <v>23</v>
      </c>
      <c r="B13144" t="s">
        <v>14</v>
      </c>
      <c r="C13144" t="s">
        <v>22</v>
      </c>
      <c r="D13144" s="2" t="s">
        <f>=HYPERLINK("https://main.knesset.gov.il/APPS/legislation/main/bills/2088503", "הצעת חוק הרשויות המקומיות (התאמת תקציב הרווחה), התש""ף-2020")</f>
        <v>25396</v>
      </c>
      <c r="E13144" t="s">
        <v>25396</v>
      </c>
      <c r="F13144" t="s">
        <v>25397</v>
      </c>
      <c r="G13144" t="s">
        <v>14</v>
      </c>
      <c r="H13144">
             </c>
      <c r="I13144" t="s">
        <v>14</v>
      </c>
      <c r="J13144" t="s">
        <v>141</v>
      </c>
      <c r="K13144" t="s">
        <v>14</v>
      </c>
      <c r="L13144" t="s">
        <v>20</v>
      </c>
      <c r="M13144" t="s">
        <v>25324</v>
      </c>
      <c r="N13144" t="s">
        <v>14</v>
      </c>
    </row>
    <row r="13145" x14ac:dyDescent="0.25">
      <c r="A13145" t="n">
        <v>23</v>
      </c>
      <c r="B13145" t="s">
        <v>14</v>
      </c>
      <c r="C13145" t="s">
        <v>22</v>
      </c>
      <c r="D13145" s="2" t="s">
        <f>=HYPERLINK("https://main.knesset.gov.il/APPS/legislation/main/bills/2139825", "הצעת חוק המזונות (הבטחת תשלום) (תיקון - סכום שלא יובא בחשבון במבחן ההכנסה), התש""ף-2020")</f>
        <v>25398</v>
      </c>
      <c r="E13145" t="s">
        <v>25398</v>
      </c>
      <c r="F13145" t="s">
        <v>25399</v>
      </c>
      <c r="G13145" t="s">
        <v>14</v>
      </c>
      <c r="H13145">
             </c>
      <c r="I13145" t="s">
        <v>14</v>
      </c>
      <c r="J13145" t="s">
        <v>141</v>
      </c>
      <c r="K13145" t="s">
        <v>14</v>
      </c>
      <c r="L13145" t="s">
        <v>20</v>
      </c>
      <c r="M13145" t="s">
        <v>25324</v>
      </c>
      <c r="N13145" t="s">
        <v>14</v>
      </c>
    </row>
    <row r="13146" x14ac:dyDescent="0.25">
      <c r="A13146" t="n">
        <v>23</v>
      </c>
      <c r="B13146" t="s">
        <v>14</v>
      </c>
      <c r="C13146" t="s">
        <v>22</v>
      </c>
      <c r="D13146" s="2" t="s">
        <f>=HYPERLINK("https://main.knesset.gov.il/APPS/legislation/main/bills/2087544", "הצעת חוק צבא ההגנה לישראל, התש""ף-2020")</f>
        <v>25400</v>
      </c>
      <c r="E13146" t="s">
        <v>25400</v>
      </c>
      <c r="F13146" t="s">
        <v>25401</v>
      </c>
      <c r="G13146" t="s">
        <v>14</v>
      </c>
      <c r="H13146">
             </c>
      <c r="I13146" t="s">
        <v>14</v>
      </c>
      <c r="J13146" t="s">
        <v>141</v>
      </c>
      <c r="K13146" t="s">
        <v>14</v>
      </c>
      <c r="L13146" t="s">
        <v>20</v>
      </c>
      <c r="M13146" t="s">
        <v>25324</v>
      </c>
      <c r="N13146" t="s">
        <v>14</v>
      </c>
    </row>
    <row r="13147" x14ac:dyDescent="0.25">
      <c r="A13147" t="n">
        <v>23</v>
      </c>
      <c r="B13147" t="s">
        <v>14</v>
      </c>
      <c r="C13147" t="s">
        <v>22</v>
      </c>
      <c r="D13147" s="2" t="s">
        <f>=HYPERLINK("https://main.knesset.gov.il/APPS/legislation/main/bills/2087543", "הצעת חוק הוועדה להשקעות זרות, התש""ף-2020")</f>
        <v>25402</v>
      </c>
      <c r="E13147" t="s">
        <v>25402</v>
      </c>
      <c r="F13147" t="s">
        <v>25403</v>
      </c>
      <c r="G13147" t="s">
        <v>14</v>
      </c>
      <c r="H13147">
             </c>
      <c r="I13147" t="s">
        <v>14</v>
      </c>
      <c r="J13147" t="s">
        <v>141</v>
      </c>
      <c r="K13147" t="s">
        <v>14</v>
      </c>
      <c r="L13147" t="s">
        <v>20</v>
      </c>
      <c r="M13147" t="s">
        <v>25324</v>
      </c>
      <c r="N13147" t="s">
        <v>14</v>
      </c>
    </row>
    <row r="13148" x14ac:dyDescent="0.25">
      <c r="A13148" t="n">
        <v>23</v>
      </c>
      <c r="B13148" t="s">
        <v>14</v>
      </c>
      <c r="C13148" t="s">
        <v>22</v>
      </c>
      <c r="D13148" s="2" t="s">
        <f>=HYPERLINK("https://main.knesset.gov.il/APPS/legislation/main/bills/2087542", "הצעת חוק רכש מערכת הביטחון ורכש גומלין ביטחוני, התש""ף-2020")</f>
        <v>25404</v>
      </c>
      <c r="E13148" t="s">
        <v>25404</v>
      </c>
      <c r="F13148" t="s">
        <v>25405</v>
      </c>
      <c r="G13148" t="s">
        <v>14</v>
      </c>
      <c r="H13148">
             </c>
      <c r="I13148" t="s">
        <v>14</v>
      </c>
      <c r="J13148" t="s">
        <v>141</v>
      </c>
      <c r="K13148" t="s">
        <v>14</v>
      </c>
      <c r="L13148" t="s">
        <v>20</v>
      </c>
      <c r="M13148" t="s">
        <v>25324</v>
      </c>
      <c r="N13148" t="s">
        <v>14</v>
      </c>
    </row>
    <row r="13149" x14ac:dyDescent="0.25">
      <c r="A13149" t="n">
        <v>23</v>
      </c>
      <c r="B13149" t="s">
        <v>14</v>
      </c>
      <c r="C13149" t="s">
        <v>22</v>
      </c>
      <c r="D13149" s="2" t="s">
        <f>=HYPERLINK("https://main.knesset.gov.il/APPS/legislation/main/bills/2087541", "הצעת חוק השירותים החשאיים, התש""ף-2020")</f>
        <v>25406</v>
      </c>
      <c r="E13149" t="s">
        <v>25406</v>
      </c>
      <c r="F13149" t="s">
        <v>25407</v>
      </c>
      <c r="G13149" t="s">
        <v>14</v>
      </c>
      <c r="H13149">
             </c>
      <c r="I13149" t="s">
        <v>14</v>
      </c>
      <c r="J13149" t="s">
        <v>141</v>
      </c>
      <c r="K13149" t="s">
        <v>14</v>
      </c>
      <c r="L13149" t="s">
        <v>20</v>
      </c>
      <c r="M13149" t="s">
        <v>25324</v>
      </c>
      <c r="N13149" t="s">
        <v>14</v>
      </c>
    </row>
    <row r="13150" x14ac:dyDescent="0.25">
      <c r="A13150" t="n">
        <v>23</v>
      </c>
      <c r="B13150" t="s">
        <v>14</v>
      </c>
      <c r="C13150" t="s">
        <v>22</v>
      </c>
      <c r="D13150" s="2" t="s">
        <f>=HYPERLINK("https://main.knesset.gov.il/APPS/legislation/main/bills/2088376", "הצעת חוק הגנה על עובדים בשעת חירום (תיקון - אובדן ימי עבודה בשל מצב מיוחד בעורף), התש""ף-2020")</f>
        <v>25408</v>
      </c>
      <c r="E13150" t="s">
        <v>25408</v>
      </c>
      <c r="F13150" t="s">
        <v>25409</v>
      </c>
      <c r="G13150" t="s">
        <v>14</v>
      </c>
      <c r="H13150">
             </c>
      <c r="I13150" t="s">
        <v>14</v>
      </c>
      <c r="J13150" t="s">
        <v>141</v>
      </c>
      <c r="K13150" t="s">
        <v>14</v>
      </c>
      <c r="L13150" t="s">
        <v>20</v>
      </c>
      <c r="M13150" t="s">
        <v>25324</v>
      </c>
      <c r="N13150" t="s">
        <v>14</v>
      </c>
    </row>
    <row r="13151" x14ac:dyDescent="0.25">
      <c r="A13151" t="n">
        <v>23</v>
      </c>
      <c r="B13151" t="s">
        <v>14</v>
      </c>
      <c r="C13151" t="s">
        <v>22</v>
      </c>
      <c r="D13151" s="2" t="s">
        <f>=HYPERLINK("https://main.knesset.gov.il/APPS/legislation/main/bills/2139692", "הצעת חוק הפיקוח על מעונות (תיקון - מניעת העסקה של עבריינים בעבירות מסוימות), התש""ף-2020")</f>
        <v>25410</v>
      </c>
      <c r="E13151" t="s">
        <v>25410</v>
      </c>
      <c r="F13151" t="s">
        <v>25411</v>
      </c>
      <c r="G13151" t="s">
        <v>14</v>
      </c>
      <c r="H13151">
             </c>
      <c r="I13151" t="s">
        <v>14</v>
      </c>
      <c r="J13151" t="s">
        <v>141</v>
      </c>
      <c r="K13151" t="s">
        <v>14</v>
      </c>
      <c r="L13151" t="s">
        <v>20</v>
      </c>
      <c r="M13151" t="s">
        <v>25324</v>
      </c>
      <c r="N13151" t="s">
        <v>14</v>
      </c>
    </row>
    <row r="13152" x14ac:dyDescent="0.25">
      <c r="A13152" t="n">
        <v>23</v>
      </c>
      <c r="B13152" t="s">
        <v>14</v>
      </c>
      <c r="C13152" t="s">
        <v>22</v>
      </c>
      <c r="D13152" s="2" t="s">
        <f>=HYPERLINK("https://main.knesset.gov.il/APPS/legislation/main/bills/2139956", "הצעת חוק שוויון זכויות לאנשים עם מוגבלות (תיקון - הנגשת כל מקומות הרחצה), התש""ף-2020")</f>
        <v>25412</v>
      </c>
      <c r="E13152" t="s">
        <v>25412</v>
      </c>
      <c r="F13152" t="s">
        <v>25413</v>
      </c>
      <c r="G13152" t="s">
        <v>14</v>
      </c>
      <c r="H13152">
             </c>
      <c r="I13152" t="s">
        <v>14</v>
      </c>
      <c r="J13152" t="s">
        <v>141</v>
      </c>
      <c r="K13152" t="s">
        <v>14</v>
      </c>
      <c r="L13152" t="s">
        <v>20</v>
      </c>
      <c r="M13152" t="s">
        <v>25324</v>
      </c>
      <c r="N13152" t="s">
        <v>14</v>
      </c>
    </row>
    <row r="13153" x14ac:dyDescent="0.25">
      <c r="A13153" t="n">
        <v>23</v>
      </c>
      <c r="B13153" t="s">
        <v>14</v>
      </c>
      <c r="C13153" t="s">
        <v>22</v>
      </c>
      <c r="D13153" s="2" t="s">
        <f>=HYPERLINK("https://main.knesset.gov.il/APPS/legislation/main/bills/2088264", "הצעת חוק לתיקון פקודת בריאות העם (הגבלת שעות תורנות רצופות של מטפל), התש""ף-2020")</f>
        <v>25414</v>
      </c>
      <c r="E13153" t="s">
        <v>25414</v>
      </c>
      <c r="F13153" t="s">
        <v>25415</v>
      </c>
      <c r="G13153" t="s">
        <v>14</v>
      </c>
      <c r="H13153">
             </c>
      <c r="I13153" t="s">
        <v>14</v>
      </c>
      <c r="J13153" t="s">
        <v>141</v>
      </c>
      <c r="K13153" t="s">
        <v>14</v>
      </c>
      <c r="L13153" t="s">
        <v>20</v>
      </c>
      <c r="M13153" t="s">
        <v>25324</v>
      </c>
      <c r="N13153" t="s">
        <v>14</v>
      </c>
    </row>
    <row r="13154" x14ac:dyDescent="0.25">
      <c r="A13154" t="n">
        <v>23</v>
      </c>
      <c r="B13154" t="s">
        <v>14</v>
      </c>
      <c r="C13154" t="s">
        <v>22</v>
      </c>
      <c r="D13154" s="2" t="s">
        <f>=HYPERLINK("https://main.knesset.gov.il/APPS/legislation/main/bills/2088377", "הצעת חוק ביטוח בריאות ממלכתי (תיקון - החזר דמי נסיעה באמבולנס), התש""ף-2020")</f>
        <v>25416</v>
      </c>
      <c r="E13154" t="s">
        <v>25416</v>
      </c>
      <c r="F13154" t="s">
        <v>25417</v>
      </c>
      <c r="G13154" t="s">
        <v>14</v>
      </c>
      <c r="H13154">
             </c>
      <c r="I13154" t="s">
        <v>14</v>
      </c>
      <c r="J13154" t="s">
        <v>141</v>
      </c>
      <c r="K13154" t="s">
        <v>14</v>
      </c>
      <c r="L13154" t="s">
        <v>20</v>
      </c>
      <c r="M13154" t="s">
        <v>25324</v>
      </c>
      <c r="N13154" t="s">
        <v>14</v>
      </c>
    </row>
    <row r="13155" x14ac:dyDescent="0.25">
      <c r="A13155" t="n">
        <v>23</v>
      </c>
      <c r="B13155" t="s">
        <v>14</v>
      </c>
      <c r="C13155" t="s">
        <v>22</v>
      </c>
      <c r="D13155" s="2" t="s">
        <f>=HYPERLINK("https://main.knesset.gov.il/APPS/legislation/main/bills/2087972", "הצעת חוק שירות המדינה (גמלאות) (תיקון - ביטול שלילת גמלאות מאלמנים שנישאו), התש""ף-2020")</f>
        <v>25418</v>
      </c>
      <c r="E13155" t="s">
        <v>25418</v>
      </c>
      <c r="F13155" t="s">
        <v>25419</v>
      </c>
      <c r="G13155" t="s">
        <v>14</v>
      </c>
      <c r="H13155">
             </c>
      <c r="I13155" t="s">
        <v>14</v>
      </c>
      <c r="J13155" t="s">
        <v>141</v>
      </c>
      <c r="K13155" t="s">
        <v>14</v>
      </c>
      <c r="L13155" t="s">
        <v>20</v>
      </c>
      <c r="M13155" t="s">
        <v>25324</v>
      </c>
      <c r="N13155" t="s">
        <v>14</v>
      </c>
    </row>
    <row r="13156" x14ac:dyDescent="0.25">
      <c r="A13156" t="n">
        <v>23</v>
      </c>
      <c r="B13156" t="s">
        <v>14</v>
      </c>
      <c r="C13156" t="s">
        <v>22</v>
      </c>
      <c r="D13156" s="2" t="s">
        <f>=HYPERLINK("https://main.knesset.gov.il/APPS/legislation/main/bills/2087970", "הצעת חוק זכויות החולה (תיקון - הסדר חניה למאושפזים בבית חולים ולמבקריהם), התש""ף-2020")</f>
        <v>25420</v>
      </c>
      <c r="E13156" t="s">
        <v>25420</v>
      </c>
      <c r="F13156" t="s">
        <v>25421</v>
      </c>
      <c r="G13156" t="s">
        <v>14</v>
      </c>
      <c r="H13156">
             </c>
      <c r="I13156" t="s">
        <v>14</v>
      </c>
      <c r="J13156" t="s">
        <v>141</v>
      </c>
      <c r="K13156" t="s">
        <v>14</v>
      </c>
      <c r="L13156" t="s">
        <v>20</v>
      </c>
      <c r="M13156" t="s">
        <v>25324</v>
      </c>
      <c r="N13156" t="s">
        <v>14</v>
      </c>
    </row>
    <row r="13157" x14ac:dyDescent="0.25">
      <c r="A13157" t="n">
        <v>23</v>
      </c>
      <c r="B13157" t="s">
        <v>14</v>
      </c>
      <c r="C13157" t="s">
        <v>22</v>
      </c>
      <c r="D13157" s="2" t="s">
        <f>=HYPERLINK("https://main.knesset.gov.il/APPS/legislation/main/bills/2087969", "הצעת חוק הביטוח הלאומי (תיקון - קצבת תלויים וקצבת אזרח ותיק), התש""ף-2020")</f>
        <v>25422</v>
      </c>
      <c r="E13157" t="s">
        <v>25422</v>
      </c>
      <c r="F13157" t="s">
        <v>25423</v>
      </c>
      <c r="G13157" t="s">
        <v>14</v>
      </c>
      <c r="H13157">
             </c>
      <c r="I13157" t="s">
        <v>14</v>
      </c>
      <c r="J13157" t="s">
        <v>141</v>
      </c>
      <c r="K13157" t="s">
        <v>14</v>
      </c>
      <c r="L13157" t="s">
        <v>20</v>
      </c>
      <c r="M13157" t="s">
        <v>25324</v>
      </c>
      <c r="N13157" t="s">
        <v>14</v>
      </c>
    </row>
    <row r="13158" x14ac:dyDescent="0.25">
      <c r="A13158" t="n">
        <v>23</v>
      </c>
      <c r="B13158" t="s">
        <v>14</v>
      </c>
      <c r="C13158" t="s">
        <v>22</v>
      </c>
      <c r="D13158" s="2" t="s">
        <f>=HYPERLINK("https://main.knesset.gov.il/APPS/legislation/main/bills/2087756", "הצעת חוק הצבת מכשירי החייאה במקומות ציבוריים (תיקון - חובת הצבת מכשיר החייאה בבנייני מגורים גדולים), התש""ף-2020")</f>
        <v>25424</v>
      </c>
      <c r="E13158" t="s">
        <v>25424</v>
      </c>
      <c r="F13158" t="s">
        <v>25425</v>
      </c>
      <c r="G13158" t="s">
        <v>14</v>
      </c>
      <c r="H13158">
             </c>
      <c r="I13158" t="s">
        <v>14</v>
      </c>
      <c r="J13158" t="s">
        <v>141</v>
      </c>
      <c r="K13158" t="s">
        <v>14</v>
      </c>
      <c r="L13158" t="s">
        <v>20</v>
      </c>
      <c r="M13158" t="s">
        <v>25324</v>
      </c>
      <c r="N13158" t="s">
        <v>14</v>
      </c>
    </row>
    <row r="13159" x14ac:dyDescent="0.25">
      <c r="A13159" t="n">
        <v>23</v>
      </c>
      <c r="B13159" t="s">
        <v>14</v>
      </c>
      <c r="C13159" t="s">
        <v>22</v>
      </c>
      <c r="D13159" s="2" t="s">
        <f>=HYPERLINK("https://main.knesset.gov.il/APPS/legislation/main/bills/2087922", "הצעת חוק ביטוח בריאות ממלכתי (תיקון - השתתפות בטיפולי שיניים, פה ולסת לנפגעי שיתוק מוחין), התש""ף-2020")</f>
        <v>25426</v>
      </c>
      <c r="E13159" t="s">
        <v>25426</v>
      </c>
      <c r="F13159" t="s">
        <v>25427</v>
      </c>
      <c r="G13159" t="s">
        <v>14</v>
      </c>
      <c r="H13159">
             </c>
      <c r="I13159" t="s">
        <v>14</v>
      </c>
      <c r="J13159" t="s">
        <v>141</v>
      </c>
      <c r="K13159" t="s">
        <v>14</v>
      </c>
      <c r="L13159" t="s">
        <v>20</v>
      </c>
      <c r="M13159" t="s">
        <v>25324</v>
      </c>
      <c r="N13159" t="s">
        <v>14</v>
      </c>
    </row>
    <row r="13160" x14ac:dyDescent="0.25">
      <c r="A13160" t="n">
        <v>23</v>
      </c>
      <c r="B13160" t="s">
        <v>14</v>
      </c>
      <c r="C13160" t="s">
        <v>22</v>
      </c>
      <c r="D13160" s="2" t="s">
        <f>=HYPERLINK("https://main.knesset.gov.il/APPS/legislation/main/bills/2088379", "הצעת חוק הביטוח הלאומי (תיקון - ערעור על החלטת ועדה לעררים), התש""ף-2020")</f>
        <v>25428</v>
      </c>
      <c r="E13160" t="s">
        <v>25428</v>
      </c>
      <c r="F13160" t="s">
        <v>25429</v>
      </c>
      <c r="G13160" t="s">
        <v>14</v>
      </c>
      <c r="H13160">
             </c>
      <c r="I13160" t="s">
        <v>14</v>
      </c>
      <c r="J13160" t="s">
        <v>141</v>
      </c>
      <c r="K13160" t="s">
        <v>14</v>
      </c>
      <c r="L13160" t="s">
        <v>20</v>
      </c>
      <c r="M13160" t="s">
        <v>25324</v>
      </c>
      <c r="N13160" t="s">
        <v>14</v>
      </c>
    </row>
    <row r="13161" x14ac:dyDescent="0.25">
      <c r="A13161" t="n">
        <v>23</v>
      </c>
      <c r="B13161" t="s">
        <v>14</v>
      </c>
      <c r="C13161" t="s">
        <v>22</v>
      </c>
      <c r="D13161" s="2" t="s">
        <f>=HYPERLINK("https://main.knesset.gov.il/APPS/legislation/main/bills/2088381", "הצעת חוק הביטוח הלאומי (תיקון - זכות טיעון לפני שלילת גמלה), התש""ף-2020")</f>
        <v>24877</v>
      </c>
      <c r="E13161" t="s">
        <v>24877</v>
      </c>
      <c r="F13161" t="s">
        <v>25430</v>
      </c>
      <c r="G13161" t="s">
        <v>14</v>
      </c>
      <c r="H13161">
             </c>
      <c r="I13161" t="s">
        <v>14</v>
      </c>
      <c r="J13161" t="s">
        <v>141</v>
      </c>
      <c r="K13161" t="s">
        <v>14</v>
      </c>
      <c r="L13161" t="s">
        <v>20</v>
      </c>
      <c r="M13161" t="s">
        <v>25324</v>
      </c>
      <c r="N13161" t="s">
        <v>14</v>
      </c>
    </row>
    <row r="13162" x14ac:dyDescent="0.25">
      <c r="A13162" t="n">
        <v>23</v>
      </c>
      <c r="B13162" t="s">
        <v>14</v>
      </c>
      <c r="C13162" t="s">
        <v>22</v>
      </c>
      <c r="D13162" s="2" t="s">
        <f>=HYPERLINK("https://main.knesset.gov.il/APPS/legislation/main/bills/2087927", "הצעת חוק עבודת נשים (תיקון - הארכת תקופת הלידה וההורות להורי פג), התש""ף-2020")</f>
        <v>25431</v>
      </c>
      <c r="E13162" t="s">
        <v>25431</v>
      </c>
      <c r="F13162" t="s">
        <v>25432</v>
      </c>
      <c r="G13162" t="s">
        <v>14</v>
      </c>
      <c r="H13162">
             </c>
      <c r="I13162" t="s">
        <v>14</v>
      </c>
      <c r="J13162" t="s">
        <v>141</v>
      </c>
      <c r="K13162" t="s">
        <v>14</v>
      </c>
      <c r="L13162" t="s">
        <v>20</v>
      </c>
      <c r="M13162" t="s">
        <v>25324</v>
      </c>
      <c r="N13162" t="s">
        <v>14</v>
      </c>
    </row>
    <row r="13163" x14ac:dyDescent="0.25">
      <c r="A13163" t="n">
        <v>23</v>
      </c>
      <c r="B13163" t="s">
        <v>14</v>
      </c>
      <c r="C13163" t="s">
        <v>22</v>
      </c>
      <c r="D13163" s="2" t="s">
        <f>=HYPERLINK("https://main.knesset.gov.il/APPS/legislation/main/bills/2087931", "הצעת חוק הביטוח הלאומי (תיקון - גמלה לשמירת היריון לאם שילדה פג), התש""ף-2020")</f>
        <v>25433</v>
      </c>
      <c r="E13163" t="s">
        <v>25433</v>
      </c>
      <c r="F13163" t="s">
        <v>25434</v>
      </c>
      <c r="G13163" t="s">
        <v>14</v>
      </c>
      <c r="H13163">
             </c>
      <c r="I13163" t="s">
        <v>14</v>
      </c>
      <c r="J13163" t="s">
        <v>141</v>
      </c>
      <c r="K13163" t="s">
        <v>14</v>
      </c>
      <c r="L13163" t="s">
        <v>20</v>
      </c>
      <c r="M13163" t="s">
        <v>25324</v>
      </c>
      <c r="N13163" t="s">
        <v>14</v>
      </c>
    </row>
    <row r="13164" x14ac:dyDescent="0.25">
      <c r="A13164" t="n">
        <v>23</v>
      </c>
      <c r="B13164" t="s">
        <v>14</v>
      </c>
      <c r="C13164" t="s">
        <v>22</v>
      </c>
      <c r="D13164" s="2" t="s">
        <f>=HYPERLINK("https://main.knesset.gov.il/APPS/legislation/main/bills/2088398", "הצעת חוק זכויות החולה (תיקון - הכנסת מזון למוסדות רפואיים בחג הפסח), התש""ף-2020")</f>
        <v>24731</v>
      </c>
      <c r="E13164" t="s">
        <v>24731</v>
      </c>
      <c r="F13164" t="s">
        <v>25435</v>
      </c>
      <c r="G13164" t="s">
        <v>14</v>
      </c>
      <c r="H13164">
             </c>
      <c r="I13164" t="s">
        <v>14</v>
      </c>
      <c r="J13164" t="s">
        <v>141</v>
      </c>
      <c r="K13164" t="s">
        <v>14</v>
      </c>
      <c r="L13164" t="s">
        <v>20</v>
      </c>
      <c r="M13164" t="s">
        <v>25324</v>
      </c>
      <c r="N13164" t="s">
        <v>14</v>
      </c>
    </row>
    <row r="13165" x14ac:dyDescent="0.25">
      <c r="A13165" t="n">
        <v>23</v>
      </c>
      <c r="B13165" t="s">
        <v>14</v>
      </c>
      <c r="C13165" t="s">
        <v>22</v>
      </c>
      <c r="D13165" s="2" t="s">
        <f>=HYPERLINK("https://main.knesset.gov.il/APPS/legislation/main/bills/2139827", "הצעת חוק הביטוח הלאומי (תיקון - דמי מחלה לעובד עצמאי), התש""ף-2020")</f>
        <v>24158</v>
      </c>
      <c r="E13165" t="s">
        <v>24158</v>
      </c>
      <c r="F13165" t="s">
        <v>25436</v>
      </c>
      <c r="G13165" t="s">
        <v>14</v>
      </c>
      <c r="H13165">
             </c>
      <c r="I13165" t="s">
        <v>14</v>
      </c>
      <c r="J13165" t="s">
        <v>141</v>
      </c>
      <c r="K13165" t="s">
        <v>14</v>
      </c>
      <c r="L13165" t="s">
        <v>20</v>
      </c>
      <c r="M13165" t="s">
        <v>25324</v>
      </c>
      <c r="N13165" t="s">
        <v>14</v>
      </c>
    </row>
    <row r="13166" x14ac:dyDescent="0.25">
      <c r="A13166" t="n">
        <v>23</v>
      </c>
      <c r="B13166" t="s">
        <v>14</v>
      </c>
      <c r="C13166" t="s">
        <v>22</v>
      </c>
      <c r="D13166" s="2" t="s">
        <f>=HYPERLINK("https://main.knesset.gov.il/APPS/legislation/main/bills/2087945", "הצעת חוק יישוב סכסוכי עבודה (תיקון - ריכוז מידע על שביתות והשבתות), התש""ף-2020")</f>
        <v>25437</v>
      </c>
      <c r="E13166" t="s">
        <v>25437</v>
      </c>
      <c r="F13166" t="s">
        <v>25438</v>
      </c>
      <c r="G13166" t="s">
        <v>14</v>
      </c>
      <c r="H13166">
             </c>
      <c r="I13166" t="s">
        <v>14</v>
      </c>
      <c r="J13166" t="s">
        <v>141</v>
      </c>
      <c r="K13166" t="s">
        <v>14</v>
      </c>
      <c r="L13166" t="s">
        <v>20</v>
      </c>
      <c r="M13166" t="s">
        <v>25324</v>
      </c>
      <c r="N13166" t="s">
        <v>14</v>
      </c>
    </row>
    <row r="13167" x14ac:dyDescent="0.25">
      <c r="A13167" t="n">
        <v>23</v>
      </c>
      <c r="B13167" t="s">
        <v>14</v>
      </c>
      <c r="C13167" t="s">
        <v>22</v>
      </c>
      <c r="D13167" s="2" t="s">
        <f>=HYPERLINK("https://main.knesset.gov.il/APPS/legislation/main/bills/2087946", "הצעת חוק הביטוח הלאומי (תיקון - קביעת דרגת נכות לנפגעי עבודה), התש""ף-2020")</f>
        <v>25439</v>
      </c>
      <c r="E13167" t="s">
        <v>25439</v>
      </c>
      <c r="F13167" t="s">
        <v>25440</v>
      </c>
      <c r="G13167" t="s">
        <v>14</v>
      </c>
      <c r="H13167">
             </c>
      <c r="I13167" t="s">
        <v>14</v>
      </c>
      <c r="J13167" t="s">
        <v>141</v>
      </c>
      <c r="K13167" t="s">
        <v>14</v>
      </c>
      <c r="L13167" t="s">
        <v>20</v>
      </c>
      <c r="M13167" t="s">
        <v>25324</v>
      </c>
      <c r="N13167" t="s">
        <v>14</v>
      </c>
    </row>
    <row r="13168" x14ac:dyDescent="0.25">
      <c r="A13168" t="n">
        <v>23</v>
      </c>
      <c r="B13168" t="s">
        <v>14</v>
      </c>
      <c r="C13168" t="s">
        <v>22</v>
      </c>
      <c r="D13168" s="2" t="s">
        <f>=HYPERLINK("https://main.knesset.gov.il/APPS/legislation/main/bills/2087953", "הצעת חוק זכויות החולה (תיקון - מתן הסכמה לטיפול רפואי), התש""ף-2020")</f>
        <v>25441</v>
      </c>
      <c r="E13168" t="s">
        <v>25441</v>
      </c>
      <c r="F13168" t="s">
        <v>25442</v>
      </c>
      <c r="G13168" t="s">
        <v>14</v>
      </c>
      <c r="H13168">
             </c>
      <c r="I13168" t="s">
        <v>14</v>
      </c>
      <c r="J13168" t="s">
        <v>141</v>
      </c>
      <c r="K13168" t="s">
        <v>14</v>
      </c>
      <c r="L13168" t="s">
        <v>20</v>
      </c>
      <c r="M13168" t="s">
        <v>25324</v>
      </c>
      <c r="N13168" t="s">
        <v>14</v>
      </c>
    </row>
    <row r="13169" x14ac:dyDescent="0.25">
      <c r="A13169" t="n">
        <v>23</v>
      </c>
      <c r="B13169" t="s">
        <v>14</v>
      </c>
      <c r="C13169" t="s">
        <v>22</v>
      </c>
      <c r="D13169" s="2" t="s">
        <f>=HYPERLINK("https://main.knesset.gov.il/APPS/legislation/main/bills/2087958", "הצעת חוק מעונות יום שיקומיים (תיקון - הקדמת גיל הזכאות), התש""ף-2020")</f>
        <v>25443</v>
      </c>
      <c r="E13169" t="s">
        <v>25443</v>
      </c>
      <c r="F13169" t="s">
        <v>25444</v>
      </c>
      <c r="G13169" t="s">
        <v>14</v>
      </c>
      <c r="H13169">
             </c>
      <c r="I13169" t="s">
        <v>14</v>
      </c>
      <c r="J13169" t="s">
        <v>141</v>
      </c>
      <c r="K13169" t="s">
        <v>14</v>
      </c>
      <c r="L13169" t="s">
        <v>20</v>
      </c>
      <c r="M13169" t="s">
        <v>25324</v>
      </c>
      <c r="N13169" t="s">
        <v>14</v>
      </c>
    </row>
    <row r="13170" x14ac:dyDescent="0.25">
      <c r="A13170" t="n">
        <v>23</v>
      </c>
      <c r="B13170" t="s">
        <v>14</v>
      </c>
      <c r="C13170" t="s">
        <v>22</v>
      </c>
      <c r="D13170" s="2" t="s">
        <f>=HYPERLINK("https://main.knesset.gov.il/APPS/legislation/main/bills/2087960", "הצעת חוק האזרחים הוותיקים (תיקון - לחצן מצוקה לקשיש), התש""ף-2020")</f>
        <v>24965</v>
      </c>
      <c r="E13170" t="s">
        <v>24965</v>
      </c>
      <c r="F13170" t="s">
        <v>25445</v>
      </c>
      <c r="G13170" t="s">
        <v>14</v>
      </c>
      <c r="H13170">
             </c>
      <c r="I13170" t="s">
        <v>14</v>
      </c>
      <c r="J13170" t="s">
        <v>141</v>
      </c>
      <c r="K13170" t="s">
        <v>14</v>
      </c>
      <c r="L13170" t="s">
        <v>20</v>
      </c>
      <c r="M13170" t="s">
        <v>25324</v>
      </c>
      <c r="N13170" t="s">
        <v>14</v>
      </c>
    </row>
    <row r="13171" x14ac:dyDescent="0.25">
      <c r="A13171" t="n">
        <v>23</v>
      </c>
      <c r="B13171" t="s">
        <v>14</v>
      </c>
      <c r="C13171" t="s">
        <v>22</v>
      </c>
      <c r="D13171" s="2" t="s">
        <f>=HYPERLINK("https://main.knesset.gov.il/APPS/legislation/main/bills/2087954", "הצעת חוק הביטוח הלאומי (תיקון - שירותים מיוחדים לילד נכה), התש""ף-2020")</f>
        <v>25446</v>
      </c>
      <c r="E13171" t="s">
        <v>25446</v>
      </c>
      <c r="F13171" t="s">
        <v>25447</v>
      </c>
      <c r="G13171" t="s">
        <v>14</v>
      </c>
      <c r="H13171">
             </c>
      <c r="I13171" t="s">
        <v>14</v>
      </c>
      <c r="J13171" t="s">
        <v>141</v>
      </c>
      <c r="K13171" t="s">
        <v>14</v>
      </c>
      <c r="L13171" t="s">
        <v>20</v>
      </c>
      <c r="M13171" t="s">
        <v>25324</v>
      </c>
      <c r="N13171" t="s">
        <v>14</v>
      </c>
    </row>
    <row r="13172" x14ac:dyDescent="0.25">
      <c r="A13172" t="n">
        <v>23</v>
      </c>
      <c r="B13172" t="s">
        <v>14</v>
      </c>
      <c r="C13172" t="s">
        <v>22</v>
      </c>
      <c r="D13172" s="2" t="s">
        <f>=HYPERLINK("https://main.knesset.gov.il/APPS/legislation/main/bills/2088442", "הצעת חוק הבטחת הכנסה (תיקון - הכנסה שלא תחושב), התש""ף-2020")</f>
        <v>25448</v>
      </c>
      <c r="E13172" t="s">
        <v>25448</v>
      </c>
      <c r="F13172" t="s">
        <v>25449</v>
      </c>
      <c r="G13172" t="s">
        <v>14</v>
      </c>
      <c r="H13172">
             </c>
      <c r="I13172" t="s">
        <v>14</v>
      </c>
      <c r="J13172" t="s">
        <v>141</v>
      </c>
      <c r="K13172" t="s">
        <v>14</v>
      </c>
      <c r="L13172" t="s">
        <v>20</v>
      </c>
      <c r="M13172" t="s">
        <v>25324</v>
      </c>
      <c r="N13172" t="s">
        <v>14</v>
      </c>
    </row>
    <row r="13173" x14ac:dyDescent="0.25">
      <c r="A13173" t="n">
        <v>23</v>
      </c>
      <c r="B13173" t="s">
        <v>14</v>
      </c>
      <c r="C13173" t="s">
        <v>22</v>
      </c>
      <c r="D13173" s="2" t="s">
        <f>=HYPERLINK("https://main.knesset.gov.il/APPS/legislation/main/bills/2088445", "הצעת חוק הביטוח הלאומי (תיקון - מימון הסעת יולדת באמבולנס), התש""ף-2020")</f>
        <v>25450</v>
      </c>
      <c r="E13173" t="s">
        <v>25450</v>
      </c>
      <c r="F13173" t="s">
        <v>25451</v>
      </c>
      <c r="G13173" t="s">
        <v>14</v>
      </c>
      <c r="H13173">
             </c>
      <c r="I13173" t="s">
        <v>14</v>
      </c>
      <c r="J13173" t="s">
        <v>141</v>
      </c>
      <c r="K13173" t="s">
        <v>14</v>
      </c>
      <c r="L13173" t="s">
        <v>20</v>
      </c>
      <c r="M13173" t="s">
        <v>25324</v>
      </c>
      <c r="N13173" t="s">
        <v>14</v>
      </c>
    </row>
    <row r="13174" x14ac:dyDescent="0.25">
      <c r="A13174" t="n">
        <v>23</v>
      </c>
      <c r="B13174" t="s">
        <v>14</v>
      </c>
      <c r="C13174" t="s">
        <v>22</v>
      </c>
      <c r="D13174" s="2" t="s">
        <f>=HYPERLINK("https://main.knesset.gov.il/APPS/legislation/main/bills/2088446", "הצעת חוק הביטוח הלאומי (תיקון - מימון סייעת לילדים שאינם יכולים לשהות במעון), התש""ף-2020")</f>
        <v>25452</v>
      </c>
      <c r="E13174" t="s">
        <v>25452</v>
      </c>
      <c r="F13174" t="s">
        <v>25453</v>
      </c>
      <c r="G13174" t="s">
        <v>14</v>
      </c>
      <c r="H13174">
             </c>
      <c r="I13174" t="s">
        <v>14</v>
      </c>
      <c r="J13174" t="s">
        <v>141</v>
      </c>
      <c r="K13174" t="s">
        <v>14</v>
      </c>
      <c r="L13174" t="s">
        <v>20</v>
      </c>
      <c r="M13174" t="s">
        <v>25324</v>
      </c>
      <c r="N13174" t="s">
        <v>14</v>
      </c>
    </row>
    <row r="13175" x14ac:dyDescent="0.25">
      <c r="A13175" t="n">
        <v>23</v>
      </c>
      <c r="B13175" t="s">
        <v>14</v>
      </c>
      <c r="C13175" t="s">
        <v>22</v>
      </c>
      <c r="D13175" s="2" t="s">
        <f>=HYPERLINK("https://main.knesset.gov.il/APPS/legislation/main/bills/2139680", "הצעת חוק מעונות יום שיקומיים (תיקון - פעוטות עם צרכים רפואיים וחלופה ביתית), התש""ף-2020")</f>
        <v>25454</v>
      </c>
      <c r="E13175" t="s">
        <v>25454</v>
      </c>
      <c r="F13175" t="s">
        <v>25455</v>
      </c>
      <c r="G13175" t="s">
        <v>14</v>
      </c>
      <c r="H13175">
             </c>
      <c r="I13175" t="s">
        <v>14</v>
      </c>
      <c r="J13175" t="s">
        <v>141</v>
      </c>
      <c r="K13175" t="s">
        <v>14</v>
      </c>
      <c r="L13175" t="s">
        <v>20</v>
      </c>
      <c r="M13175" t="s">
        <v>25324</v>
      </c>
      <c r="N13175" t="s">
        <v>14</v>
      </c>
    </row>
    <row r="13176" x14ac:dyDescent="0.25">
      <c r="A13176" t="n">
        <v>23</v>
      </c>
      <c r="B13176" t="s">
        <v>14</v>
      </c>
      <c r="C13176" t="s">
        <v>22</v>
      </c>
      <c r="D13176" s="2" t="s">
        <f>=HYPERLINK("https://main.knesset.gov.il/APPS/legislation/main/bills/2140063", "הצעת חוק התגמולים לנפגעי פעולות איבה (תיקון - פשע שנאה), התש""ף-2020")</f>
        <v>24931</v>
      </c>
      <c r="E13176" t="s">
        <v>24931</v>
      </c>
      <c r="F13176" t="s">
        <v>25456</v>
      </c>
      <c r="G13176" t="s">
        <v>14</v>
      </c>
      <c r="H13176">
             </c>
      <c r="I13176" t="s">
        <v>14</v>
      </c>
      <c r="J13176" t="s">
        <v>141</v>
      </c>
      <c r="K13176" t="s">
        <v>14</v>
      </c>
      <c r="L13176" t="s">
        <v>20</v>
      </c>
      <c r="M13176" t="s">
        <v>25324</v>
      </c>
      <c r="N13176" t="s">
        <v>14</v>
      </c>
    </row>
    <row r="13177" x14ac:dyDescent="0.25">
      <c r="A13177" t="n">
        <v>23</v>
      </c>
      <c r="B13177" t="s">
        <v>14</v>
      </c>
      <c r="C13177" t="s">
        <v>22</v>
      </c>
      <c r="D13177" s="2" t="s">
        <f>=HYPERLINK("https://main.knesset.gov.il/APPS/legislation/main/bills/2088447", "הצעת חוק סיוע בקידום תעסוקתי למשפחות של עובדים מעוטי הכנסה, התש""ף-2020")</f>
        <v>25457</v>
      </c>
      <c r="E13177" t="s">
        <v>25457</v>
      </c>
      <c r="F13177" t="s">
        <v>25458</v>
      </c>
      <c r="G13177" t="s">
        <v>14</v>
      </c>
      <c r="H13177">
             </c>
      <c r="I13177" t="s">
        <v>14</v>
      </c>
      <c r="J13177" t="s">
        <v>141</v>
      </c>
      <c r="K13177" t="s">
        <v>14</v>
      </c>
      <c r="L13177" t="s">
        <v>20</v>
      </c>
      <c r="M13177" t="s">
        <v>25324</v>
      </c>
      <c r="N13177" t="s">
        <v>14</v>
      </c>
    </row>
    <row r="13178" x14ac:dyDescent="0.25">
      <c r="A13178" t="n">
        <v>23</v>
      </c>
      <c r="B13178" t="s">
        <v>14</v>
      </c>
      <c r="C13178" t="s">
        <v>22</v>
      </c>
      <c r="D13178" s="2" t="s">
        <f>=HYPERLINK("https://main.knesset.gov.il/APPS/legislation/main/bills/2088450", "הצעת חוק דמי מחלה (תיקון - איסור פיטורים בעת היעדרות בשל מחלת ילד), התש""ף-2020")</f>
        <v>25459</v>
      </c>
      <c r="E13178" t="s">
        <v>25459</v>
      </c>
      <c r="F13178" t="s">
        <v>25460</v>
      </c>
      <c r="G13178" t="s">
        <v>14</v>
      </c>
      <c r="H13178">
             </c>
      <c r="I13178" t="s">
        <v>14</v>
      </c>
      <c r="J13178" t="s">
        <v>141</v>
      </c>
      <c r="K13178" t="s">
        <v>14</v>
      </c>
      <c r="L13178" t="s">
        <v>20</v>
      </c>
      <c r="M13178" t="s">
        <v>25324</v>
      </c>
      <c r="N13178" t="s">
        <v>14</v>
      </c>
    </row>
    <row r="13179" x14ac:dyDescent="0.25">
      <c r="A13179" t="n">
        <v>23</v>
      </c>
      <c r="B13179" t="s">
        <v>14</v>
      </c>
      <c r="C13179" t="s">
        <v>22</v>
      </c>
      <c r="D13179" s="2" t="s">
        <f>=HYPERLINK("https://main.knesset.gov.il/APPS/legislation/main/bills/2139666", "הצעת חוק זכויות ושירותים לילדים ובני נוער עם קשיים נפשיים, התש""ף-2020")</f>
        <v>25461</v>
      </c>
      <c r="E13179" t="s">
        <v>25461</v>
      </c>
      <c r="F13179" t="s">
        <v>25462</v>
      </c>
      <c r="G13179" t="s">
        <v>14</v>
      </c>
      <c r="H13179">
             </c>
      <c r="I13179" t="s">
        <v>14</v>
      </c>
      <c r="J13179" t="s">
        <v>141</v>
      </c>
      <c r="K13179" t="s">
        <v>14</v>
      </c>
      <c r="L13179" t="s">
        <v>20</v>
      </c>
      <c r="M13179" t="s">
        <v>25324</v>
      </c>
      <c r="N13179" t="s">
        <v>14</v>
      </c>
    </row>
    <row r="13180" x14ac:dyDescent="0.25">
      <c r="A13180" t="n">
        <v>23</v>
      </c>
      <c r="B13180" t="s">
        <v>14</v>
      </c>
      <c r="C13180" t="s">
        <v>22</v>
      </c>
      <c r="D13180" s="2" t="s">
        <f>=HYPERLINK("https://main.knesset.gov.il/APPS/legislation/main/bills/2139844", "הצעת חוק הבטחת הכנסה (תיקון - הגדלת הסכום להשתכרות בנוסף לקיצבה), התש""ף-2020")</f>
        <v>24802</v>
      </c>
      <c r="E13180" t="s">
        <v>24802</v>
      </c>
      <c r="F13180" t="s">
        <v>25463</v>
      </c>
      <c r="G13180" t="s">
        <v>14</v>
      </c>
      <c r="H13180">
             </c>
      <c r="I13180" t="s">
        <v>14</v>
      </c>
      <c r="J13180" t="s">
        <v>141</v>
      </c>
      <c r="K13180" t="s">
        <v>14</v>
      </c>
      <c r="L13180" t="s">
        <v>20</v>
      </c>
      <c r="M13180" t="s">
        <v>25324</v>
      </c>
      <c r="N13180" t="s">
        <v>14</v>
      </c>
    </row>
    <row r="13181" x14ac:dyDescent="0.25">
      <c r="A13181" t="n">
        <v>23</v>
      </c>
      <c r="B13181" t="s">
        <v>14</v>
      </c>
      <c r="C13181" t="s">
        <v>22</v>
      </c>
      <c r="D13181" s="2" t="s">
        <f>=HYPERLINK("https://main.knesset.gov.il/APPS/legislation/main/bills/2139687", "הצעת חוק העברת מידע בין רשויות, התש""ף-2020")</f>
        <v>25464</v>
      </c>
      <c r="E13181" t="s">
        <v>25464</v>
      </c>
      <c r="F13181" t="s">
        <v>25465</v>
      </c>
      <c r="G13181" t="s">
        <v>14</v>
      </c>
      <c r="H13181">
             </c>
      <c r="I13181" t="s">
        <v>14</v>
      </c>
      <c r="J13181" t="s">
        <v>141</v>
      </c>
      <c r="K13181" t="s">
        <v>14</v>
      </c>
      <c r="L13181" t="s">
        <v>20</v>
      </c>
      <c r="M13181" t="s">
        <v>25324</v>
      </c>
      <c r="N13181" t="s">
        <v>14</v>
      </c>
    </row>
    <row r="13182" x14ac:dyDescent="0.25">
      <c r="A13182" t="n">
        <v>23</v>
      </c>
      <c r="B13182" t="s">
        <v>14</v>
      </c>
      <c r="C13182" t="s">
        <v>22</v>
      </c>
      <c r="D13182" s="2" t="s">
        <f>=HYPERLINK("https://main.knesset.gov.il/APPS/legislation/main/bills/2087959", "הצעת חוק לתיקון פקודת הרוקחים (הבטחת מלאי תרופתי), התש""ף-2020")</f>
        <v>25466</v>
      </c>
      <c r="E13182" t="s">
        <v>25466</v>
      </c>
      <c r="F13182" t="s">
        <v>25467</v>
      </c>
      <c r="G13182" t="s">
        <v>14</v>
      </c>
      <c r="H13182">
             </c>
      <c r="I13182" t="s">
        <v>14</v>
      </c>
      <c r="J13182" t="s">
        <v>141</v>
      </c>
      <c r="K13182" t="s">
        <v>14</v>
      </c>
      <c r="L13182" t="s">
        <v>20</v>
      </c>
      <c r="M13182" t="s">
        <v>25324</v>
      </c>
      <c r="N13182" t="s">
        <v>14</v>
      </c>
    </row>
    <row r="13183" x14ac:dyDescent="0.25">
      <c r="A13183" t="n">
        <v>23</v>
      </c>
      <c r="B13183" t="s">
        <v>14</v>
      </c>
      <c r="C13183" t="s">
        <v>22</v>
      </c>
      <c r="D13183" s="2" t="s">
        <f>=HYPERLINK("https://main.knesset.gov.il/APPS/legislation/main/bills/2085613", "הצעת חוק הביטוח הלאומי (תיקון - הארכת המועד להגשת תביעה לגמלה והתקופה שבעדה תשולם), התש""ף-2020")</f>
        <v>25468</v>
      </c>
      <c r="E13183" t="s">
        <v>25468</v>
      </c>
      <c r="F13183" t="s">
        <v>25469</v>
      </c>
      <c r="G13183" t="s">
        <v>14</v>
      </c>
      <c r="H13183">
             </c>
      <c r="I13183" t="s">
        <v>14</v>
      </c>
      <c r="J13183" t="s">
        <v>141</v>
      </c>
      <c r="K13183" t="s">
        <v>14</v>
      </c>
      <c r="L13183" t="s">
        <v>20</v>
      </c>
      <c r="M13183" t="s">
        <v>25324</v>
      </c>
      <c r="N13183" t="s">
        <v>14</v>
      </c>
    </row>
    <row r="13184" x14ac:dyDescent="0.25">
      <c r="A13184" t="n">
        <v>23</v>
      </c>
      <c r="B13184" t="s">
        <v>14</v>
      </c>
      <c r="C13184" t="s">
        <v>22</v>
      </c>
      <c r="D13184" s="2" t="s">
        <f>=HYPERLINK("https://main.knesset.gov.il/APPS/legislation/main/bills/2085740", "הצעת חוק הגנת השכר (תיקון - זכות בחוזה עבודה לעניין שכר דירה או הוצאות לינה), התש""ף-2020")</f>
        <v>25470</v>
      </c>
      <c r="E13184" t="s">
        <v>25470</v>
      </c>
      <c r="F13184" t="s">
        <v>25471</v>
      </c>
      <c r="G13184" t="s">
        <v>14</v>
      </c>
      <c r="H13184">
             </c>
      <c r="I13184" t="s">
        <v>14</v>
      </c>
      <c r="J13184" t="s">
        <v>141</v>
      </c>
      <c r="K13184" t="s">
        <v>14</v>
      </c>
      <c r="L13184" t="s">
        <v>20</v>
      </c>
      <c r="M13184" t="s">
        <v>25324</v>
      </c>
      <c r="N13184" t="s">
        <v>14</v>
      </c>
    </row>
    <row r="13185" x14ac:dyDescent="0.25">
      <c r="A13185" t="n">
        <v>23</v>
      </c>
      <c r="B13185" t="s">
        <v>14</v>
      </c>
      <c r="C13185" t="s">
        <v>22</v>
      </c>
      <c r="D13185" s="2" t="s">
        <f>=HYPERLINK("https://main.knesset.gov.il/APPS/legislation/main/bills/2087241", "הצעת חוק יישוב סכסוכי עבודה (תיקון - בוררות חובה בשירותים חיוניים), התש""ף-2020")</f>
        <v>25472</v>
      </c>
      <c r="E13185" t="s">
        <v>25472</v>
      </c>
      <c r="F13185" t="s">
        <v>25473</v>
      </c>
      <c r="G13185" t="s">
        <v>14</v>
      </c>
      <c r="H13185">
             </c>
      <c r="I13185" t="s">
        <v>14</v>
      </c>
      <c r="J13185" t="s">
        <v>141</v>
      </c>
      <c r="K13185" t="s">
        <v>14</v>
      </c>
      <c r="L13185" t="s">
        <v>20</v>
      </c>
      <c r="M13185" t="s">
        <v>25324</v>
      </c>
      <c r="N13185" t="s">
        <v>14</v>
      </c>
    </row>
    <row r="13186" x14ac:dyDescent="0.25">
      <c r="A13186" t="n">
        <v>23</v>
      </c>
      <c r="B13186" t="s">
        <v>14</v>
      </c>
      <c r="C13186" t="s">
        <v>22</v>
      </c>
      <c r="D13186" s="2" t="s">
        <f>=HYPERLINK("https://main.knesset.gov.il/APPS/legislation/main/bills/2088495", "הצעת חוק הביטוח הלאומי (תיקון - הארכת מועד להגשת תביעה לניידות עד חצי שנה לאחר גיל הפרישה), התש""ף-2020")</f>
        <v>25474</v>
      </c>
      <c r="E13186" t="s">
        <v>25474</v>
      </c>
      <c r="F13186" t="s">
        <v>25475</v>
      </c>
      <c r="G13186" t="s">
        <v>14</v>
      </c>
      <c r="H13186">
             </c>
      <c r="I13186" t="s">
        <v>14</v>
      </c>
      <c r="J13186" t="s">
        <v>141</v>
      </c>
      <c r="K13186" t="s">
        <v>14</v>
      </c>
      <c r="L13186" t="s">
        <v>20</v>
      </c>
      <c r="M13186" t="s">
        <v>25324</v>
      </c>
      <c r="N13186" t="s">
        <v>14</v>
      </c>
    </row>
    <row r="13187" x14ac:dyDescent="0.25">
      <c r="A13187" t="n">
        <v>23</v>
      </c>
      <c r="B13187" t="s">
        <v>14</v>
      </c>
      <c r="C13187" t="s">
        <v>22</v>
      </c>
      <c r="D13187" s="2" t="s">
        <f>=HYPERLINK("https://main.knesset.gov.il/APPS/legislation/main/bills/2087933", "הצעת חוק הפיקוח על מעונות יום לפעוטות (תיקון - חובת החזקת ערכת עזרה ראשונה), התש""ף-2020")</f>
        <v>25476</v>
      </c>
      <c r="E13187" t="s">
        <v>25476</v>
      </c>
      <c r="F13187" t="s">
        <v>25477</v>
      </c>
      <c r="G13187" t="s">
        <v>14</v>
      </c>
      <c r="H13187">
             </c>
      <c r="I13187" t="s">
        <v>14</v>
      </c>
      <c r="J13187" t="s">
        <v>141</v>
      </c>
      <c r="K13187" t="s">
        <v>14</v>
      </c>
      <c r="L13187" t="s">
        <v>20</v>
      </c>
      <c r="M13187" t="s">
        <v>25324</v>
      </c>
      <c r="N13187" t="s">
        <v>14</v>
      </c>
    </row>
    <row r="13188" x14ac:dyDescent="0.25">
      <c r="A13188" t="n">
        <v>23</v>
      </c>
      <c r="B13188" t="s">
        <v>14</v>
      </c>
      <c r="C13188" t="s">
        <v>22</v>
      </c>
      <c r="D13188" s="2" t="s">
        <f>=HYPERLINK("https://main.knesset.gov.il/APPS/legislation/main/bills/2088396", "הצעת חוק הביטוח הלאומי (תיקון - דמי אבטלה לעצמאיים), התשפ""א-2021")</f>
        <v>18327</v>
      </c>
      <c r="E13188" t="s">
        <v>18327</v>
      </c>
      <c r="F13188" t="s">
        <v>25478</v>
      </c>
      <c r="G13188" t="s">
        <v>14</v>
      </c>
      <c r="H13188">
             </c>
      <c r="I13188" t="s">
        <v>14</v>
      </c>
      <c r="J13188" t="s">
        <v>343</v>
      </c>
      <c r="K13188" t="s">
        <v>14</v>
      </c>
      <c r="L13188" t="s">
        <v>20</v>
      </c>
      <c r="M13188" t="s">
        <v>25324</v>
      </c>
      <c r="N13188" t="s">
        <v>14</v>
      </c>
    </row>
    <row r="13189" x14ac:dyDescent="0.25">
      <c r="A13189" t="n">
        <v>23</v>
      </c>
      <c r="B13189" t="s">
        <v>14</v>
      </c>
      <c r="C13189" t="s">
        <v>22</v>
      </c>
      <c r="D13189" s="2" t="s">
        <f>=HYPERLINK("https://main.knesset.gov.il/APPS/legislation/main/bills/2087938", "הצעת חוק סיוע לחולי דגנת, התש""ף-2020")</f>
        <v>25479</v>
      </c>
      <c r="E13189" t="s">
        <v>25479</v>
      </c>
      <c r="F13189" t="s">
        <v>25480</v>
      </c>
      <c r="G13189" t="s">
        <v>14</v>
      </c>
      <c r="H13189">
             </c>
      <c r="I13189" t="s">
        <v>14</v>
      </c>
      <c r="J13189" t="s">
        <v>141</v>
      </c>
      <c r="K13189" t="s">
        <v>14</v>
      </c>
      <c r="L13189" t="s">
        <v>20</v>
      </c>
      <c r="M13189" t="s">
        <v>25324</v>
      </c>
      <c r="N13189" t="s">
        <v>14</v>
      </c>
    </row>
    <row r="13190" x14ac:dyDescent="0.25">
      <c r="A13190" t="n">
        <v>23</v>
      </c>
      <c r="B13190" t="s">
        <v>14</v>
      </c>
      <c r="C13190" t="s">
        <v>22</v>
      </c>
      <c r="D13190" s="2" t="s">
        <f>=HYPERLINK("https://main.knesset.gov.il/APPS/legislation/main/bills/2087940", "הצעת חוק עבודת נשים (תיקון - זכאות להשתתפות בעלות מעון יום בתקופת הלידה וההורות), התש""ף-2020")</f>
        <v>25481</v>
      </c>
      <c r="E13190" t="s">
        <v>25481</v>
      </c>
      <c r="F13190" t="s">
        <v>25482</v>
      </c>
      <c r="G13190" t="s">
        <v>14</v>
      </c>
      <c r="H13190">
             </c>
      <c r="I13190" t="s">
        <v>14</v>
      </c>
      <c r="J13190" t="s">
        <v>141</v>
      </c>
      <c r="K13190" t="s">
        <v>14</v>
      </c>
      <c r="L13190" t="s">
        <v>20</v>
      </c>
      <c r="M13190" t="s">
        <v>25324</v>
      </c>
      <c r="N13190" t="s">
        <v>14</v>
      </c>
    </row>
    <row r="13191" x14ac:dyDescent="0.25">
      <c r="A13191" t="n">
        <v>23</v>
      </c>
      <c r="B13191" t="s">
        <v>14</v>
      </c>
      <c r="C13191" t="s">
        <v>22</v>
      </c>
      <c r="D13191" s="2" t="s">
        <f>=HYPERLINK("https://main.knesset.gov.il/APPS/legislation/main/bills/2087939", "הצעת חוק ארוחה יומית לתלמיד (תיקון - הרחבת תחולת החוק), התש""ף-2020")</f>
        <v>25483</v>
      </c>
      <c r="E13191" t="s">
        <v>25483</v>
      </c>
      <c r="F13191" t="s">
        <v>25484</v>
      </c>
      <c r="G13191" t="s">
        <v>14</v>
      </c>
      <c r="H13191">
             </c>
      <c r="I13191" t="s">
        <v>14</v>
      </c>
      <c r="J13191" t="s">
        <v>141</v>
      </c>
      <c r="K13191" t="s">
        <v>14</v>
      </c>
      <c r="L13191" t="s">
        <v>20</v>
      </c>
      <c r="M13191" t="s">
        <v>25324</v>
      </c>
      <c r="N13191" t="s">
        <v>14</v>
      </c>
    </row>
    <row r="13192" x14ac:dyDescent="0.25">
      <c r="A13192" t="n">
        <v>23</v>
      </c>
      <c r="B13192" t="s">
        <v>14</v>
      </c>
      <c r="C13192" t="s">
        <v>22</v>
      </c>
      <c r="D13192" s="2" t="s">
        <f>=HYPERLINK("https://main.knesset.gov.il/APPS/legislation/main/bills/2087944", "הצעת חוק ארוחת בוקר במוסדות חינוך, התש""ף-2020")</f>
        <v>25485</v>
      </c>
      <c r="E13192" t="s">
        <v>25485</v>
      </c>
      <c r="F13192" t="s">
        <v>25486</v>
      </c>
      <c r="G13192" t="s">
        <v>14</v>
      </c>
      <c r="H13192">
             </c>
      <c r="I13192" t="s">
        <v>14</v>
      </c>
      <c r="J13192" t="s">
        <v>141</v>
      </c>
      <c r="K13192" t="s">
        <v>14</v>
      </c>
      <c r="L13192" t="s">
        <v>20</v>
      </c>
      <c r="M13192" t="s">
        <v>25324</v>
      </c>
      <c r="N13192" t="s">
        <v>14</v>
      </c>
    </row>
    <row r="13193" x14ac:dyDescent="0.25">
      <c r="A13193" t="n">
        <v>23</v>
      </c>
      <c r="B13193" t="s">
        <v>14</v>
      </c>
      <c r="C13193" t="s">
        <v>22</v>
      </c>
      <c r="D13193" s="2" t="s">
        <f>=HYPERLINK("https://main.knesset.gov.il/APPS/legislation/main/bills/2140380", "הצעת חוק צער בעלי חיים (הגנה על בעלי חיים) (תיקון - איסור משלוחים חיים לשחיטה), התש""ף-2020")</f>
        <v>25487</v>
      </c>
      <c r="E13193" t="s">
        <v>25487</v>
      </c>
      <c r="F13193" t="s">
        <v>25488</v>
      </c>
      <c r="G13193" t="s">
        <v>14</v>
      </c>
      <c r="H13193">
             </c>
      <c r="I13193" t="s">
        <v>14</v>
      </c>
      <c r="J13193" t="s">
        <v>141</v>
      </c>
      <c r="K13193" t="s">
        <v>14</v>
      </c>
      <c r="L13193" t="s">
        <v>20</v>
      </c>
      <c r="M13193" t="s">
        <v>25324</v>
      </c>
      <c r="N13193" t="s">
        <v>14</v>
      </c>
    </row>
    <row r="13194" x14ac:dyDescent="0.25">
      <c r="A13194" t="n">
        <v>23</v>
      </c>
      <c r="B13194" t="s">
        <v>14</v>
      </c>
      <c r="C13194" t="s">
        <v>22</v>
      </c>
      <c r="D13194" s="2" t="s">
        <f>=HYPERLINK("https://main.knesset.gov.il/APPS/legislation/main/bills/2087967", "הצעת חוק לתיקון פקודת בריאות העם (הוספת מגנזיום למי השתייה), התש""ף-2020")</f>
        <v>25489</v>
      </c>
      <c r="E13194" t="s">
        <v>25489</v>
      </c>
      <c r="F13194" t="s">
        <v>25490</v>
      </c>
      <c r="G13194" t="s">
        <v>14</v>
      </c>
      <c r="H13194">
             </c>
      <c r="I13194" t="s">
        <v>14</v>
      </c>
      <c r="J13194" t="s">
        <v>141</v>
      </c>
      <c r="K13194" t="s">
        <v>14</v>
      </c>
      <c r="L13194" t="s">
        <v>20</v>
      </c>
      <c r="M13194" t="s">
        <v>25324</v>
      </c>
      <c r="N13194" t="s">
        <v>14</v>
      </c>
    </row>
    <row r="13195" x14ac:dyDescent="0.25">
      <c r="A13195" t="n">
        <v>23</v>
      </c>
      <c r="B13195" t="s">
        <v>14</v>
      </c>
      <c r="C13195" t="s">
        <v>22</v>
      </c>
      <c r="D13195" s="2" t="s">
        <f>=HYPERLINK("https://main.knesset.gov.il/APPS/legislation/main/bills/2087511", "הצעת חוק רישוי עסקים (תיקון - מכירת יין בחנות גדולה), התש""ף-2020")</f>
        <v>25491</v>
      </c>
      <c r="E13195" t="s">
        <v>25491</v>
      </c>
      <c r="F13195" t="s">
        <v>25492</v>
      </c>
      <c r="G13195" t="s">
        <v>14</v>
      </c>
      <c r="H13195">
             </c>
      <c r="I13195" t="s">
        <v>14</v>
      </c>
      <c r="J13195" t="s">
        <v>141</v>
      </c>
      <c r="K13195" t="s">
        <v>14</v>
      </c>
      <c r="L13195" t="s">
        <v>20</v>
      </c>
      <c r="M13195" t="s">
        <v>25324</v>
      </c>
      <c r="N13195" t="s">
        <v>14</v>
      </c>
    </row>
    <row r="13196" x14ac:dyDescent="0.25">
      <c r="A13196" t="n">
        <v>23</v>
      </c>
      <c r="B13196" t="s">
        <v>14</v>
      </c>
      <c r="C13196" t="s">
        <v>22</v>
      </c>
      <c r="D13196" s="2" t="s">
        <f>=HYPERLINK("https://main.knesset.gov.il/APPS/legislation/main/bills/2087259", "הצעת חוק רישוי עסקים (תיקון - חובת הספקת אמצעים לגילוי סם מסוכן), התש""ף-2020")</f>
        <v>25493</v>
      </c>
      <c r="E13196" t="s">
        <v>25493</v>
      </c>
      <c r="F13196" t="s">
        <v>25494</v>
      </c>
      <c r="G13196" t="s">
        <v>14</v>
      </c>
      <c r="H13196">
             </c>
      <c r="I13196" t="s">
        <v>14</v>
      </c>
      <c r="J13196" t="s">
        <v>141</v>
      </c>
      <c r="K13196" t="s">
        <v>14</v>
      </c>
      <c r="L13196" t="s">
        <v>20</v>
      </c>
      <c r="M13196" t="s">
        <v>25324</v>
      </c>
      <c r="N13196" t="s">
        <v>14</v>
      </c>
    </row>
    <row r="13197" x14ac:dyDescent="0.25">
      <c r="A13197" t="n">
        <v>23</v>
      </c>
      <c r="B13197" t="s">
        <v>14</v>
      </c>
      <c r="C13197" t="s">
        <v>22</v>
      </c>
      <c r="D13197" s="2" t="s">
        <f>=HYPERLINK("https://main.knesset.gov.il/APPS/legislation/main/bills/2087968", "הצעת חוק החומרים המסוכנים (תיקון - פרטי התקשרות למרכז רעלים), התש""ף-2020")</f>
        <v>25495</v>
      </c>
      <c r="E13197" t="s">
        <v>25495</v>
      </c>
      <c r="F13197" t="s">
        <v>25496</v>
      </c>
      <c r="G13197" t="s">
        <v>14</v>
      </c>
      <c r="H13197">
             </c>
      <c r="I13197" t="s">
        <v>14</v>
      </c>
      <c r="J13197" t="s">
        <v>141</v>
      </c>
      <c r="K13197" t="s">
        <v>14</v>
      </c>
      <c r="L13197" t="s">
        <v>20</v>
      </c>
      <c r="M13197" t="s">
        <v>25324</v>
      </c>
      <c r="N13197" t="s">
        <v>14</v>
      </c>
    </row>
    <row r="13198" x14ac:dyDescent="0.25">
      <c r="A13198" t="n">
        <v>23</v>
      </c>
      <c r="B13198" t="s">
        <v>14</v>
      </c>
      <c r="C13198" t="s">
        <v>22</v>
      </c>
      <c r="D13198" s="2" t="s">
        <f>=HYPERLINK("https://main.knesset.gov.il/APPS/legislation/main/bills/2087963", "הצעת חוק התכנון והבנייה (תיקון - גני ילדים ומעונות יום), התש""ף-2020")</f>
        <v>25497</v>
      </c>
      <c r="E13198" t="s">
        <v>25497</v>
      </c>
      <c r="F13198" t="s">
        <v>25498</v>
      </c>
      <c r="G13198" t="s">
        <v>14</v>
      </c>
      <c r="H13198">
             </c>
      <c r="I13198" t="s">
        <v>14</v>
      </c>
      <c r="J13198" t="s">
        <v>141</v>
      </c>
      <c r="K13198" t="s">
        <v>14</v>
      </c>
      <c r="L13198" t="s">
        <v>20</v>
      </c>
      <c r="M13198" t="s">
        <v>25324</v>
      </c>
      <c r="N13198" t="s">
        <v>14</v>
      </c>
    </row>
    <row r="13199" x14ac:dyDescent="0.25">
      <c r="A13199" t="n">
        <v>23</v>
      </c>
      <c r="B13199" t="s">
        <v>14</v>
      </c>
      <c r="C13199" t="s">
        <v>22</v>
      </c>
      <c r="D13199" s="2" t="s">
        <f>=HYPERLINK("https://main.knesset.gov.il/APPS/legislation/main/bills/2087759", "הצעת חוק עיטור הפציעה הקרבית, התש""ף-2020")</f>
        <v>25499</v>
      </c>
      <c r="E13199" t="s">
        <v>25499</v>
      </c>
      <c r="F13199" t="s">
        <v>25500</v>
      </c>
      <c r="G13199" t="s">
        <v>14</v>
      </c>
      <c r="H13199">
             </c>
      <c r="I13199" t="s">
        <v>14</v>
      </c>
      <c r="J13199" t="s">
        <v>343</v>
      </c>
      <c r="K13199" t="s">
        <v>14</v>
      </c>
      <c r="L13199" t="s">
        <v>20</v>
      </c>
      <c r="M13199" t="s">
        <v>25324</v>
      </c>
      <c r="N13199" t="s">
        <v>14</v>
      </c>
    </row>
    <row r="13200" x14ac:dyDescent="0.25">
      <c r="A13200" t="n">
        <v>23</v>
      </c>
      <c r="B13200" t="s">
        <v>14</v>
      </c>
      <c r="C13200" t="s">
        <v>22</v>
      </c>
      <c r="D13200" s="2" t="s">
        <f>=HYPERLINK("https://main.knesset.gov.il/APPS/legislation/main/bills/2086806", "הצעת חוק-יסוד: הממשלה (תיקון - הפסקת כהונה של ראש הממשלה, שר או סגן שר מחמת הגשת כתב אישום)")</f>
        <v>11734</v>
      </c>
      <c r="E13200" t="s">
        <v>11734</v>
      </c>
      <c r="F13200" t="s">
        <v>25501</v>
      </c>
      <c r="G13200" t="s">
        <v>14</v>
      </c>
      <c r="H13200">
             </c>
      <c r="I13200" t="s">
        <v>14</v>
      </c>
      <c r="J13200" t="s">
        <v>55</v>
      </c>
      <c r="K13200" t="s">
        <v>14</v>
      </c>
      <c r="L13200" t="s">
        <v>20</v>
      </c>
      <c r="M13200" t="s">
        <v>25502</v>
      </c>
      <c r="N13200" t="s">
        <v>14</v>
      </c>
    </row>
    <row r="13201" x14ac:dyDescent="0.25">
      <c r="A13201" t="n">
        <v>23</v>
      </c>
      <c r="B13201" t="s">
        <v>14</v>
      </c>
      <c r="C13201" t="s">
        <v>22</v>
      </c>
      <c r="D13201" s="2" t="s">
        <f>=HYPERLINK("https://main.knesset.gov.il/APPS/legislation/main/bills/2086572", "הצעת חוק חינוך ממלכתי (תיקון - שלילת השתתפות בתקציב עקב הפליה), התש""ף-2020")</f>
        <v>25503</v>
      </c>
      <c r="E13201" t="s">
        <v>25503</v>
      </c>
      <c r="F13201" t="s">
        <v>25504</v>
      </c>
      <c r="G13201" t="s">
        <v>14</v>
      </c>
      <c r="H13201">
             </c>
      <c r="I13201" t="s">
        <v>14</v>
      </c>
      <c r="J13201" t="s">
        <v>55</v>
      </c>
      <c r="K13201" t="s">
        <v>14</v>
      </c>
      <c r="L13201" t="s">
        <v>20</v>
      </c>
      <c r="M13201" t="s">
        <v>25502</v>
      </c>
      <c r="N13201" t="s">
        <v>14</v>
      </c>
    </row>
    <row r="13202" x14ac:dyDescent="0.25">
      <c r="A13202" t="n">
        <v>23</v>
      </c>
      <c r="B13202" t="s">
        <v>14</v>
      </c>
      <c r="C13202" t="s">
        <v>22</v>
      </c>
      <c r="D13202" s="2" t="s">
        <f>=HYPERLINK("https://main.knesset.gov.il/APPS/legislation/main/bills/2085719", "הצעת חוק הפקדות וזכויות סוציאליות לעצמאים (תיקוני חקיקה), התש""ף-2020")</f>
        <v>25505</v>
      </c>
      <c r="E13202" t="s">
        <v>25505</v>
      </c>
      <c r="F13202" t="s">
        <v>25506</v>
      </c>
      <c r="G13202" t="s">
        <v>14</v>
      </c>
      <c r="H13202">
             </c>
      <c r="I13202" t="s">
        <v>14</v>
      </c>
      <c r="J13202" t="s">
        <v>55</v>
      </c>
      <c r="K13202" t="s">
        <v>14</v>
      </c>
      <c r="L13202" t="s">
        <v>20</v>
      </c>
      <c r="M13202" t="s">
        <v>25502</v>
      </c>
      <c r="N13202" t="s">
        <v>14</v>
      </c>
    </row>
    <row r="13203" x14ac:dyDescent="0.25">
      <c r="A13203" t="n">
        <v>23</v>
      </c>
      <c r="B13203" t="s">
        <v>14</v>
      </c>
      <c r="C13203" t="s">
        <v>22</v>
      </c>
      <c r="D13203" s="2" t="s">
        <f>=HYPERLINK("https://main.knesset.gov.il/APPS/legislation/main/bills/2085644", "הצעת חוק הפעלת תחבורה ציבורית ביום המנוחה השבועי, התש""ף-2020")</f>
        <v>24610</v>
      </c>
      <c r="E13203" t="s">
        <v>24610</v>
      </c>
      <c r="F13203" t="s">
        <v>25507</v>
      </c>
      <c r="G13203" t="s">
        <v>14</v>
      </c>
      <c r="H13203">
             </c>
      <c r="I13203" t="s">
        <v>14</v>
      </c>
      <c r="J13203" t="s">
        <v>55</v>
      </c>
      <c r="K13203" t="s">
        <v>14</v>
      </c>
      <c r="L13203" t="s">
        <v>20</v>
      </c>
      <c r="M13203" t="s">
        <v>25502</v>
      </c>
      <c r="N13203" t="s">
        <v>14</v>
      </c>
    </row>
    <row r="13204" x14ac:dyDescent="0.25">
      <c r="A13204" t="n">
        <v>23</v>
      </c>
      <c r="B13204" t="s">
        <v>14</v>
      </c>
      <c r="C13204" t="s">
        <v>15</v>
      </c>
      <c r="D13204" s="2" t="s">
        <f>=HYPERLINK("https://main.knesset.gov.il/APPS/legislation/main/bills/2140592", "חוק לתיקון ולקיום תוקפן של תקנות שעת חירום (נגיף הקורונה החדש - אכיפה), התש""ף-2020")</f>
        <v>25508</v>
      </c>
      <c r="E13204" t="s">
        <v>25508</v>
      </c>
      <c r="F13204" t="s">
        <v>14</v>
      </c>
      <c r="G13204" t="s">
        <v>25509</v>
      </c>
      <c r="H13204" t="n">
        <v>2805</v>
      </c>
      <c r="I13204" t="s">
        <v>14</v>
      </c>
      <c r="J13204" t="s">
        <v>91</v>
      </c>
      <c r="K13204" t="s">
        <v>27</v>
      </c>
      <c r="L13204" t="s">
        <v>20</v>
      </c>
      <c r="M13204" t="s">
        <v>25510</v>
      </c>
      <c r="N13204" t="s">
        <v>25511</v>
      </c>
    </row>
    <row r="13205" x14ac:dyDescent="0.25">
      <c r="A13205" t="n">
        <v>23</v>
      </c>
      <c r="B13205" t="s">
        <v>14</v>
      </c>
      <c r="C13205" t="s">
        <v>15</v>
      </c>
      <c r="D13205" s="2" t="s">
        <f>=HYPERLINK("https://main.knesset.gov.il/APPS/legislation/main/bills/2140470", "חוק לתיקון פקודת העיריות (הוראת שעה) (תיקון מס' 5), התש""ף-2020 ")</f>
        <v>25512</v>
      </c>
      <c r="E13205" t="s">
        <v>25512</v>
      </c>
      <c r="F13205" t="s">
        <v>14</v>
      </c>
      <c r="G13205" t="s">
        <v>25513</v>
      </c>
      <c r="H13205" t="n">
        <v>2806</v>
      </c>
      <c r="I13205" t="s">
        <v>14</v>
      </c>
      <c r="J13205" t="s">
        <v>91</v>
      </c>
      <c r="K13205" t="s">
        <v>46</v>
      </c>
      <c r="L13205" t="s">
        <v>20</v>
      </c>
      <c r="M13205" t="s">
        <v>25510</v>
      </c>
      <c r="N13205" t="s">
        <v>25514</v>
      </c>
    </row>
    <row r="13206" x14ac:dyDescent="0.25">
      <c r="A13206" t="n">
        <v>23</v>
      </c>
      <c r="B13206" t="s">
        <v>14</v>
      </c>
      <c r="C13206" t="s">
        <v>15</v>
      </c>
      <c r="D13206" s="2" t="s">
        <f>=HYPERLINK("https://main.knesset.gov.il/APPS/legislation/main/bills/2140468", "חוק להסדר התדיינויות בסכסוכי משפחה (הוראת שעה) (תיקון מס' 2), התש""ף-2020 ")</f>
        <v>25515</v>
      </c>
      <c r="E13206" t="s">
        <v>25515</v>
      </c>
      <c r="F13206" t="s">
        <v>14</v>
      </c>
      <c r="G13206" t="s">
        <v>23802</v>
      </c>
      <c r="H13206" t="n">
        <v>2804</v>
      </c>
      <c r="I13206" t="s">
        <v>14</v>
      </c>
      <c r="J13206" t="s">
        <v>91</v>
      </c>
      <c r="K13206" t="s">
        <v>27</v>
      </c>
      <c r="L13206" t="s">
        <v>20</v>
      </c>
      <c r="M13206" t="s">
        <v>25510</v>
      </c>
      <c r="N13206" t="s">
        <v>25516</v>
      </c>
    </row>
    <row r="13207" x14ac:dyDescent="0.25">
      <c r="A13207" t="n">
        <v>23</v>
      </c>
      <c r="B13207" t="s">
        <v>14</v>
      </c>
      <c r="C13207" t="s">
        <v>15</v>
      </c>
      <c r="D13207" s="2" t="s">
        <f>=HYPERLINK("https://main.knesset.gov.il/APPS/legislation/main/bills/2140467", "חוק ההוצאה לפועל (תיקון מס' 65), התש""ף-2020 ")</f>
        <v>25517</v>
      </c>
      <c r="E13207" t="s">
        <v>25517</v>
      </c>
      <c r="F13207" t="s">
        <v>14</v>
      </c>
      <c r="G13207" t="s">
        <v>25518</v>
      </c>
      <c r="H13207" t="n">
        <v>2803</v>
      </c>
      <c r="I13207" t="s">
        <v>14</v>
      </c>
      <c r="J13207" t="s">
        <v>91</v>
      </c>
      <c r="K13207" t="s">
        <v>27</v>
      </c>
      <c r="L13207" t="s">
        <v>20</v>
      </c>
      <c r="M13207" t="s">
        <v>25510</v>
      </c>
      <c r="N13207" t="s">
        <v>25519</v>
      </c>
    </row>
    <row r="13208" x14ac:dyDescent="0.25">
      <c r="A13208" t="n">
        <v>23</v>
      </c>
      <c r="B13208" t="s">
        <v>14</v>
      </c>
      <c r="C13208" t="s">
        <v>22</v>
      </c>
      <c r="D13208" s="2" t="s">
        <f>=HYPERLINK("https://main.knesset.gov.il/APPS/legislation/main/bills/2086939", "הצעת חוק להסדר התדיינויות בסכסוכי משפחה (הוראת שעה) (תיקון - קביעה כהוראת קבע), התש""ף-2020")</f>
        <v>25520</v>
      </c>
      <c r="E13208" t="s">
        <v>25520</v>
      </c>
      <c r="F13208" t="s">
        <v>25521</v>
      </c>
      <c r="G13208" t="s">
        <v>14</v>
      </c>
      <c r="H13208">
             </c>
      <c r="I13208" t="s">
        <v>14</v>
      </c>
      <c r="J13208" t="s">
        <v>99</v>
      </c>
      <c r="K13208" t="s">
        <v>27</v>
      </c>
      <c r="L13208" t="s">
        <v>20</v>
      </c>
      <c r="M13208" t="s">
        <v>25510</v>
      </c>
      <c r="N13208" t="s">
        <v>14</v>
      </c>
    </row>
    <row r="13209" x14ac:dyDescent="0.25">
      <c r="A13209" t="n">
        <v>23</v>
      </c>
      <c r="B13209" t="s">
        <v>14</v>
      </c>
      <c r="C13209" t="s">
        <v>15</v>
      </c>
      <c r="D13209" s="2" t="s">
        <f>=HYPERLINK("https://main.knesset.gov.il/APPS/legislation/main/bills/2140469", "חוק חומרי נפץ (תיקון מס' 4 - הוראת שעה) (תיקון), התש""ף-2020 ")</f>
        <v>25522</v>
      </c>
      <c r="E13209" t="s">
        <v>25522</v>
      </c>
      <c r="F13209" t="s">
        <v>14</v>
      </c>
      <c r="G13209" t="s">
        <v>25523</v>
      </c>
      <c r="H13209" t="n">
        <v>2807</v>
      </c>
      <c r="I13209" t="s">
        <v>14</v>
      </c>
      <c r="J13209" t="s">
        <v>91</v>
      </c>
      <c r="K13209" t="s">
        <v>114</v>
      </c>
      <c r="L13209" t="s">
        <v>20</v>
      </c>
      <c r="M13209" t="s">
        <v>25510</v>
      </c>
      <c r="N13209" t="s">
        <v>25524</v>
      </c>
    </row>
    <row r="13210" x14ac:dyDescent="0.25">
      <c r="A13210" t="n">
        <v>23</v>
      </c>
      <c r="B13210" t="s">
        <v>14</v>
      </c>
      <c r="C13210" t="s">
        <v>22</v>
      </c>
      <c r="D13210" s="2" t="s">
        <f>=HYPERLINK("https://main.knesset.gov.il/APPS/legislation/main/bills/2087683", "הצעת חוק ההוצאה לפועל (תיקון - הוצאה לפועל במסלול מזונות), התש""ף-2020")</f>
        <v>25525</v>
      </c>
      <c r="E13210" t="s">
        <v>25525</v>
      </c>
      <c r="F13210" t="s">
        <v>25526</v>
      </c>
      <c r="G13210" t="s">
        <v>14</v>
      </c>
      <c r="H13210">
             </c>
      <c r="I13210" t="s">
        <v>14</v>
      </c>
      <c r="J13210" t="s">
        <v>99</v>
      </c>
      <c r="K13210" t="s">
        <v>27</v>
      </c>
      <c r="L13210" t="s">
        <v>20</v>
      </c>
      <c r="M13210" t="s">
        <v>25510</v>
      </c>
      <c r="N13210" t="s">
        <v>14</v>
      </c>
    </row>
    <row r="13211" x14ac:dyDescent="0.25">
      <c r="A13211" t="n">
        <v>23</v>
      </c>
      <c r="B13211" t="s">
        <v>14</v>
      </c>
      <c r="C13211" t="s">
        <v>15</v>
      </c>
      <c r="D13211" s="2" t="s">
        <f>=HYPERLINK("https://main.knesset.gov.il/APPS/legislation/main/bills/2140801", "חוק התכנון והבנייה (תיקון מס' 101) (תיקון מס' 5), התש""ף-2020 ")</f>
        <v>25527</v>
      </c>
      <c r="E13211" t="s">
        <v>25527</v>
      </c>
      <c r="F13211" t="s">
        <v>14</v>
      </c>
      <c r="G13211" t="s">
        <v>25528</v>
      </c>
      <c r="H13211" t="n">
        <v>2808</v>
      </c>
      <c r="I13211" t="s">
        <v>14</v>
      </c>
      <c r="J13211" t="s">
        <v>91</v>
      </c>
      <c r="K13211" t="s">
        <v>46</v>
      </c>
      <c r="L13211" t="s">
        <v>20</v>
      </c>
      <c r="M13211" t="s">
        <v>25510</v>
      </c>
      <c r="N13211" t="s">
        <v>25529</v>
      </c>
    </row>
    <row r="13212" x14ac:dyDescent="0.25">
      <c r="A13212" t="n">
        <v>23</v>
      </c>
      <c r="B13212" t="s">
        <v>14</v>
      </c>
      <c r="C13212" t="s">
        <v>15</v>
      </c>
      <c r="D13212" s="2" t="s">
        <f>=HYPERLINK("https://main.knesset.gov.il/APPS/legislation/main/bills/2140134", "חוק מענק לעידוד תעסוקה (הוראת שעה – נגיף הקורונה החדש), התש""ף-2020")</f>
        <v>25530</v>
      </c>
      <c r="E13212" t="s">
        <v>25530</v>
      </c>
      <c r="F13212" t="s">
        <v>14</v>
      </c>
      <c r="G13212" t="s">
        <v>25531</v>
      </c>
      <c r="H13212" t="n">
        <v>2802</v>
      </c>
      <c r="I13212" t="s">
        <v>14</v>
      </c>
      <c r="J13212" t="s">
        <v>91</v>
      </c>
      <c r="K13212" t="s">
        <v>85</v>
      </c>
      <c r="L13212" t="s">
        <v>20</v>
      </c>
      <c r="M13212" t="s">
        <v>25532</v>
      </c>
      <c r="N13212" t="s">
        <v>25533</v>
      </c>
    </row>
    <row r="13213" x14ac:dyDescent="0.25">
      <c r="A13213" t="n">
        <v>23</v>
      </c>
      <c r="B13213" t="s">
        <v>14</v>
      </c>
      <c r="C13213" t="s">
        <v>15</v>
      </c>
      <c r="D13213" s="2" t="s">
        <f>=HYPERLINK("https://main.knesset.gov.il/APPS/legislation/main/bills/2140530", "חוק לתיקון ולהארכת תוקפן של תקנות שעת חירום (נגיף הקורונה החדש - דיונים בהשתתפות עצורים, אסירים וכלואים), התש""ף-2020")</f>
        <v>25534</v>
      </c>
      <c r="E13213" t="s">
        <v>25534</v>
      </c>
      <c r="F13213" t="s">
        <v>14</v>
      </c>
      <c r="G13213" t="s">
        <v>23242</v>
      </c>
      <c r="H13213" t="n">
        <v>2798</v>
      </c>
      <c r="I13213" t="s">
        <v>14</v>
      </c>
      <c r="J13213" t="s">
        <v>91</v>
      </c>
      <c r="K13213" t="s">
        <v>27</v>
      </c>
      <c r="L13213" t="s">
        <v>20</v>
      </c>
      <c r="M13213" t="s">
        <v>25532</v>
      </c>
      <c r="N13213" t="s">
        <v>25535</v>
      </c>
    </row>
    <row r="13214" x14ac:dyDescent="0.25">
      <c r="A13214" t="n">
        <v>23</v>
      </c>
      <c r="B13214" t="s">
        <v>14</v>
      </c>
      <c r="C13214" t="s">
        <v>22</v>
      </c>
      <c r="D13214" s="2" t="s">
        <f>=HYPERLINK("https://main.knesset.gov.il/APPS/legislation/main/bills/2088340", "חוק הכנסת (תיקון מס' 47), התש""ף-2020")</f>
        <v>25536</v>
      </c>
      <c r="E13214" t="s">
        <v>25536</v>
      </c>
      <c r="F13214" t="s">
        <v>25537</v>
      </c>
      <c r="G13214" t="s">
        <v>25538</v>
      </c>
      <c r="H13214" t="n">
        <v>2801</v>
      </c>
      <c r="I13214" t="s">
        <v>14</v>
      </c>
      <c r="J13214" t="s">
        <v>91</v>
      </c>
      <c r="K13214" t="s">
        <v>27</v>
      </c>
      <c r="L13214" t="s">
        <v>20</v>
      </c>
      <c r="M13214" t="s">
        <v>25532</v>
      </c>
      <c r="N13214" t="s">
        <v>25539</v>
      </c>
    </row>
    <row r="13215" x14ac:dyDescent="0.25">
      <c r="A13215" t="n">
        <v>23</v>
      </c>
      <c r="B13215" t="s">
        <v>14</v>
      </c>
      <c r="C13215" t="s">
        <v>22</v>
      </c>
      <c r="D13215" s="2" t="s">
        <f>=HYPERLINK("https://main.knesset.gov.il/APPS/legislation/main/bills/2088342", "חוק-יסוד: הכנסת (תיקון מס' 49)")</f>
        <v>25540</v>
      </c>
      <c r="E13215" t="s">
        <v>25540</v>
      </c>
      <c r="F13215" t="s">
        <v>25541</v>
      </c>
      <c r="G13215" t="s">
        <v>25538</v>
      </c>
      <c r="H13215" t="n">
        <v>2800</v>
      </c>
      <c r="I13215" t="s">
        <v>14</v>
      </c>
      <c r="J13215" t="s">
        <v>91</v>
      </c>
      <c r="K13215" t="s">
        <v>27</v>
      </c>
      <c r="L13215" t="s">
        <v>20</v>
      </c>
      <c r="M13215" t="s">
        <v>25532</v>
      </c>
      <c r="N13215" t="s">
        <v>25542</v>
      </c>
    </row>
    <row r="13216" x14ac:dyDescent="0.25">
      <c r="A13216" t="n">
        <v>23</v>
      </c>
      <c r="B13216" t="s">
        <v>14</v>
      </c>
      <c r="C13216" t="s">
        <v>15</v>
      </c>
      <c r="D13216" s="2" t="s">
        <f>=HYPERLINK("https://main.knesset.gov.il/APPS/legislation/main/bills/2140119", "חוק לייעול האכיפה והפיקוח העירוניים ברשויות המקומיות (הוראת שעה) (תיקון מס' 5), התש""ף-2020 ")</f>
        <v>25543</v>
      </c>
      <c r="E13216" t="s">
        <v>25543</v>
      </c>
      <c r="F13216" t="s">
        <v>14</v>
      </c>
      <c r="G13216" t="s">
        <v>25544</v>
      </c>
      <c r="H13216" t="n">
        <v>2799</v>
      </c>
      <c r="I13216" t="s">
        <v>14</v>
      </c>
      <c r="J13216" t="s">
        <v>91</v>
      </c>
      <c r="K13216" t="s">
        <v>46</v>
      </c>
      <c r="L13216" t="s">
        <v>20</v>
      </c>
      <c r="M13216" t="s">
        <v>25532</v>
      </c>
      <c r="N13216" t="s">
        <v>25545</v>
      </c>
    </row>
    <row r="13217" x14ac:dyDescent="0.25">
      <c r="A13217" t="n">
        <v>23</v>
      </c>
      <c r="B13217" t="s">
        <v>14</v>
      </c>
      <c r="C13217" t="s">
        <v>22</v>
      </c>
      <c r="D13217" s="2" t="s">
        <f>=HYPERLINK("https://main.knesset.gov.il/APPS/legislation/main/bills/2088488", "הצעת חוק הביטוח הלאומי (תיקון - שיפור תנאי ביטוח אבטלה לצעירים) (הוראת שעה), התש""ף-2020")</f>
        <v>25546</v>
      </c>
      <c r="E13217" t="s">
        <v>25546</v>
      </c>
      <c r="F13217" t="s">
        <v>25547</v>
      </c>
      <c r="G13217" t="s">
        <v>14</v>
      </c>
      <c r="H13217">
             </c>
      <c r="I13217" t="s">
        <v>14</v>
      </c>
      <c r="J13217" t="s">
        <v>141</v>
      </c>
      <c r="K13217" t="s">
        <v>14</v>
      </c>
      <c r="L13217" t="s">
        <v>20</v>
      </c>
      <c r="M13217" t="s">
        <v>25532</v>
      </c>
      <c r="N13217" t="s">
        <v>14</v>
      </c>
    </row>
    <row r="13218" x14ac:dyDescent="0.25">
      <c r="A13218" t="n">
        <v>23</v>
      </c>
      <c r="B13218" t="s">
        <v>14</v>
      </c>
      <c r="C13218" t="s">
        <v>22</v>
      </c>
      <c r="D13218" s="2" t="s">
        <f>=HYPERLINK("https://main.knesset.gov.il/APPS/legislation/main/bills/2140339", "הצעת חוק צער בעלי חיים (הגנה על בעלי חיים) (תיקון - איסור משלוחים חיים לשחיטה), התש""ף-2020")</f>
        <v>25487</v>
      </c>
      <c r="E13218" t="s">
        <v>25487</v>
      </c>
      <c r="F13218" t="s">
        <v>25548</v>
      </c>
      <c r="G13218" t="s">
        <v>14</v>
      </c>
      <c r="H13218">
             </c>
      <c r="I13218" t="s">
        <v>14</v>
      </c>
      <c r="J13218" t="s">
        <v>141</v>
      </c>
      <c r="K13218" t="s">
        <v>14</v>
      </c>
      <c r="L13218" t="s">
        <v>20</v>
      </c>
      <c r="M13218" t="s">
        <v>25532</v>
      </c>
      <c r="N13218" t="s">
        <v>14</v>
      </c>
    </row>
    <row r="13219" x14ac:dyDescent="0.25">
      <c r="A13219" t="n">
        <v>23</v>
      </c>
      <c r="B13219" t="s">
        <v>14</v>
      </c>
      <c r="C13219" t="s">
        <v>22</v>
      </c>
      <c r="D13219" s="2" t="s">
        <f>=HYPERLINK("https://main.knesset.gov.il/APPS/legislation/main/bills/2088393", "הצעת חוק הביטוח הלאומי (תיקון - דמי מחלה לעובד עצמאי), התש""ף-2020")</f>
        <v>24158</v>
      </c>
      <c r="E13219" t="s">
        <v>24158</v>
      </c>
      <c r="F13219" t="s">
        <v>25549</v>
      </c>
      <c r="G13219" t="s">
        <v>14</v>
      </c>
      <c r="H13219">
             </c>
      <c r="I13219" t="s">
        <v>14</v>
      </c>
      <c r="J13219" t="s">
        <v>141</v>
      </c>
      <c r="K13219" t="s">
        <v>14</v>
      </c>
      <c r="L13219" t="s">
        <v>20</v>
      </c>
      <c r="M13219" t="s">
        <v>25532</v>
      </c>
      <c r="N13219" t="s">
        <v>14</v>
      </c>
    </row>
    <row r="13220" x14ac:dyDescent="0.25">
      <c r="A13220" t="n">
        <v>23</v>
      </c>
      <c r="B13220" t="s">
        <v>14</v>
      </c>
      <c r="C13220" t="s">
        <v>22</v>
      </c>
      <c r="D13220" s="2" t="s">
        <f>=HYPERLINK("https://main.knesset.gov.il/APPS/legislation/main/bills/2088307", "הצעת חוק העמותות (תיקון - דין אגודה שלא נרשמה), התש""ף-2020")</f>
        <v>25550</v>
      </c>
      <c r="E13220" t="s">
        <v>25550</v>
      </c>
      <c r="F13220" t="s">
        <v>25551</v>
      </c>
      <c r="G13220" t="s">
        <v>14</v>
      </c>
      <c r="H13220">
             </c>
      <c r="I13220" t="s">
        <v>14</v>
      </c>
      <c r="J13220" t="s">
        <v>141</v>
      </c>
      <c r="K13220" t="s">
        <v>14</v>
      </c>
      <c r="L13220" t="s">
        <v>20</v>
      </c>
      <c r="M13220" t="s">
        <v>25532</v>
      </c>
      <c r="N13220" t="s">
        <v>14</v>
      </c>
    </row>
    <row r="13221" x14ac:dyDescent="0.25">
      <c r="A13221" t="n">
        <v>23</v>
      </c>
      <c r="B13221" t="s">
        <v>14</v>
      </c>
      <c r="C13221" t="s">
        <v>22</v>
      </c>
      <c r="D13221" s="2" t="s">
        <f>=HYPERLINK("https://main.knesset.gov.il/APPS/legislation/main/bills/2088101", "הצעת חוק התובע הכללי, התש""ף-2020")</f>
        <v>23885</v>
      </c>
      <c r="E13221" t="s">
        <v>23885</v>
      </c>
      <c r="F13221" t="s">
        <v>25552</v>
      </c>
      <c r="G13221" t="s">
        <v>14</v>
      </c>
      <c r="H13221">
             </c>
      <c r="I13221" t="s">
        <v>14</v>
      </c>
      <c r="J13221" t="s">
        <v>141</v>
      </c>
      <c r="K13221" t="s">
        <v>14</v>
      </c>
      <c r="L13221" t="s">
        <v>20</v>
      </c>
      <c r="M13221" t="s">
        <v>25532</v>
      </c>
      <c r="N13221" t="s">
        <v>14</v>
      </c>
    </row>
    <row r="13222" x14ac:dyDescent="0.25">
      <c r="A13222" t="n">
        <v>23</v>
      </c>
      <c r="B13222" t="s">
        <v>14</v>
      </c>
      <c r="C13222" t="s">
        <v>22</v>
      </c>
      <c r="D13222" s="2" t="s">
        <f>=HYPERLINK("https://main.knesset.gov.il/APPS/legislation/main/bills/2086889", "הצעת חוק לביטול ההתיישנות בעבירות מין (תיקוני חקיקה), התש""ף-2020")</f>
        <v>25553</v>
      </c>
      <c r="E13222" t="s">
        <v>25553</v>
      </c>
      <c r="F13222" t="s">
        <v>25554</v>
      </c>
      <c r="G13222" t="s">
        <v>14</v>
      </c>
      <c r="H13222">
             </c>
      <c r="I13222" t="s">
        <v>14</v>
      </c>
      <c r="J13222" t="s">
        <v>141</v>
      </c>
      <c r="K13222" t="s">
        <v>14</v>
      </c>
      <c r="L13222" t="s">
        <v>20</v>
      </c>
      <c r="M13222" t="s">
        <v>25532</v>
      </c>
      <c r="N13222" t="s">
        <v>14</v>
      </c>
    </row>
    <row r="13223" x14ac:dyDescent="0.25">
      <c r="A13223" t="n">
        <v>23</v>
      </c>
      <c r="B13223" t="s">
        <v>14</v>
      </c>
      <c r="C13223" t="s">
        <v>22</v>
      </c>
      <c r="D13223" s="2" t="s">
        <f>=HYPERLINK("https://main.knesset.gov.il/APPS/legislation/main/bills/2139689", "הצעת חוק התכנון והבנייה (תיקון - התקנת מנגנון שבת למשאבות מים), התש""ף-2020")</f>
        <v>25555</v>
      </c>
      <c r="E13223" t="s">
        <v>25555</v>
      </c>
      <c r="F13223" t="s">
        <v>25556</v>
      </c>
      <c r="G13223" t="s">
        <v>14</v>
      </c>
      <c r="H13223">
             </c>
      <c r="I13223" t="s">
        <v>14</v>
      </c>
      <c r="J13223" t="s">
        <v>141</v>
      </c>
      <c r="K13223" t="s">
        <v>14</v>
      </c>
      <c r="L13223" t="s">
        <v>20</v>
      </c>
      <c r="M13223" t="s">
        <v>25532</v>
      </c>
      <c r="N13223" t="s">
        <v>14</v>
      </c>
    </row>
    <row r="13224" x14ac:dyDescent="0.25">
      <c r="A13224" t="n">
        <v>23</v>
      </c>
      <c r="B13224" t="s">
        <v>14</v>
      </c>
      <c r="C13224" t="s">
        <v>22</v>
      </c>
      <c r="D13224" s="2" t="s">
        <f>=HYPERLINK("https://main.knesset.gov.il/APPS/legislation/main/bills/2139702", "הצעת חוק איסור הונאה בכשרות (תיקון - כללים אחידים למתן תעודת הכשר), התש""ף-2020")</f>
        <v>25557</v>
      </c>
      <c r="E13224" t="s">
        <v>25557</v>
      </c>
      <c r="F13224" t="s">
        <v>25558</v>
      </c>
      <c r="G13224" t="s">
        <v>14</v>
      </c>
      <c r="H13224">
             </c>
      <c r="I13224" t="s">
        <v>14</v>
      </c>
      <c r="J13224" t="s">
        <v>141</v>
      </c>
      <c r="K13224" t="s">
        <v>14</v>
      </c>
      <c r="L13224" t="s">
        <v>20</v>
      </c>
      <c r="M13224" t="s">
        <v>25532</v>
      </c>
      <c r="N13224" t="s">
        <v>14</v>
      </c>
    </row>
    <row r="13225" x14ac:dyDescent="0.25">
      <c r="A13225" t="n">
        <v>23</v>
      </c>
      <c r="B13225" t="s">
        <v>14</v>
      </c>
      <c r="C13225" t="s">
        <v>22</v>
      </c>
      <c r="D13225" s="2" t="s">
        <f>=HYPERLINK("https://main.knesset.gov.il/APPS/legislation/main/bills/2087966", "הצעת חוק התכנון והבנייה (תיקון - איסור התניית היתר בהתקנת מקומות חניה ובניצול חלק קיים משטח דירה), התש""ף-2020")</f>
        <v>25559</v>
      </c>
      <c r="E13225" t="s">
        <v>25559</v>
      </c>
      <c r="F13225" t="s">
        <v>25560</v>
      </c>
      <c r="G13225" t="s">
        <v>14</v>
      </c>
      <c r="H13225">
             </c>
      <c r="I13225" t="s">
        <v>14</v>
      </c>
      <c r="J13225" t="s">
        <v>141</v>
      </c>
      <c r="K13225" t="s">
        <v>14</v>
      </c>
      <c r="L13225" t="s">
        <v>20</v>
      </c>
      <c r="M13225" t="s">
        <v>25532</v>
      </c>
      <c r="N13225" t="s">
        <v>14</v>
      </c>
    </row>
    <row r="13226" x14ac:dyDescent="0.25">
      <c r="A13226" t="n">
        <v>23</v>
      </c>
      <c r="B13226" t="s">
        <v>14</v>
      </c>
      <c r="C13226" t="s">
        <v>22</v>
      </c>
      <c r="D13226" s="2" t="s">
        <f>=HYPERLINK("https://main.knesset.gov.il/APPS/legislation/main/bills/2087928", "הצעת חוק התכנון והבנייה (תיקון - החלטה מקדמית לפי תכנית החיזוק), התש""ף-2020")</f>
        <v>25561</v>
      </c>
      <c r="E13226" t="s">
        <v>25561</v>
      </c>
      <c r="F13226" t="s">
        <v>25562</v>
      </c>
      <c r="G13226" t="s">
        <v>14</v>
      </c>
      <c r="H13226">
             </c>
      <c r="I13226" t="s">
        <v>14</v>
      </c>
      <c r="J13226" t="s">
        <v>141</v>
      </c>
      <c r="K13226" t="s">
        <v>14</v>
      </c>
      <c r="L13226" t="s">
        <v>20</v>
      </c>
      <c r="M13226" t="s">
        <v>25532</v>
      </c>
      <c r="N13226" t="s">
        <v>14</v>
      </c>
    </row>
    <row r="13227" x14ac:dyDescent="0.25">
      <c r="A13227" t="n">
        <v>23</v>
      </c>
      <c r="B13227" t="s">
        <v>14</v>
      </c>
      <c r="C13227" t="s">
        <v>22</v>
      </c>
      <c r="D13227" s="2" t="s">
        <f>=HYPERLINK("https://main.knesset.gov.il/APPS/legislation/main/bills/2086913", "הצעת חוק התכנון והבנייה (תיקון מס' 116) (תיקון - דחיית תחילתו של החוק), התש""ף-2020 ")</f>
        <v>25563</v>
      </c>
      <c r="E13227" t="s">
        <v>25563</v>
      </c>
      <c r="F13227" t="s">
        <v>25564</v>
      </c>
      <c r="G13227" t="s">
        <v>14</v>
      </c>
      <c r="H13227">
             </c>
      <c r="I13227" t="s">
        <v>14</v>
      </c>
      <c r="J13227" t="s">
        <v>141</v>
      </c>
      <c r="K13227" t="s">
        <v>14</v>
      </c>
      <c r="L13227" t="s">
        <v>20</v>
      </c>
      <c r="M13227" t="s">
        <v>25532</v>
      </c>
      <c r="N13227" t="s">
        <v>14</v>
      </c>
    </row>
    <row r="13228" x14ac:dyDescent="0.25">
      <c r="A13228" t="n">
        <v>23</v>
      </c>
      <c r="B13228" t="s">
        <v>14</v>
      </c>
      <c r="C13228" t="s">
        <v>22</v>
      </c>
      <c r="D13228" s="2" t="s">
        <f>=HYPERLINK("https://main.knesset.gov.il/APPS/legislation/main/bills/2087154", "הצעת חוק עבודת נשים (תיקון - תקופת לידה והורות לנשים בעבודה פיזית קשה), התש""ף-2020")</f>
        <v>25565</v>
      </c>
      <c r="E13228" t="s">
        <v>25565</v>
      </c>
      <c r="F13228" t="s">
        <v>25566</v>
      </c>
      <c r="G13228" t="s">
        <v>14</v>
      </c>
      <c r="H13228">
             </c>
      <c r="I13228" t="s">
        <v>14</v>
      </c>
      <c r="J13228" t="s">
        <v>141</v>
      </c>
      <c r="K13228" t="s">
        <v>14</v>
      </c>
      <c r="L13228" t="s">
        <v>20</v>
      </c>
      <c r="M13228" t="s">
        <v>25532</v>
      </c>
      <c r="N13228" t="s">
        <v>14</v>
      </c>
    </row>
    <row r="13229" x14ac:dyDescent="0.25">
      <c r="A13229" t="n">
        <v>23</v>
      </c>
      <c r="B13229" t="s">
        <v>14</v>
      </c>
      <c r="C13229" t="s">
        <v>22</v>
      </c>
      <c r="D13229" s="2" t="s">
        <f>=HYPERLINK("https://main.knesset.gov.il/APPS/legislation/main/bills/2087159", "הצעת חוק הביטוח הלאומי (תיקון - חובת נוכחות מתורגמן בדיוני ועדה רפואית), התש""ף-2020")</f>
        <v>25567</v>
      </c>
      <c r="E13229" t="s">
        <v>25567</v>
      </c>
      <c r="F13229" t="s">
        <v>25568</v>
      </c>
      <c r="G13229" t="s">
        <v>14</v>
      </c>
      <c r="H13229">
             </c>
      <c r="I13229" t="s">
        <v>14</v>
      </c>
      <c r="J13229" t="s">
        <v>141</v>
      </c>
      <c r="K13229" t="s">
        <v>14</v>
      </c>
      <c r="L13229" t="s">
        <v>20</v>
      </c>
      <c r="M13229" t="s">
        <v>25532</v>
      </c>
      <c r="N13229" t="s">
        <v>14</v>
      </c>
    </row>
    <row r="13230" x14ac:dyDescent="0.25">
      <c r="A13230" t="n">
        <v>23</v>
      </c>
      <c r="B13230" t="s">
        <v>14</v>
      </c>
      <c r="C13230" t="s">
        <v>22</v>
      </c>
      <c r="D13230" s="2" t="s">
        <f>=HYPERLINK("https://main.knesset.gov.il/APPS/legislation/main/bills/2139632", "הצעת חוק הביטוח הלאומי (תיקון - עדכון הסכום הבסיסי לפי שכר המינימום לעניין קצבת שירותים מיוחדים), התש""ף-2020")</f>
        <v>25569</v>
      </c>
      <c r="E13230" t="s">
        <v>25569</v>
      </c>
      <c r="F13230" t="s">
        <v>25570</v>
      </c>
      <c r="G13230" t="s">
        <v>14</v>
      </c>
      <c r="H13230">
             </c>
      <c r="I13230" t="s">
        <v>14</v>
      </c>
      <c r="J13230" t="s">
        <v>141</v>
      </c>
      <c r="K13230" t="s">
        <v>14</v>
      </c>
      <c r="L13230" t="s">
        <v>20</v>
      </c>
      <c r="M13230" t="s">
        <v>25532</v>
      </c>
      <c r="N13230" t="s">
        <v>14</v>
      </c>
    </row>
    <row r="13231" x14ac:dyDescent="0.25">
      <c r="A13231" t="n">
        <v>23</v>
      </c>
      <c r="B13231" t="s">
        <v>14</v>
      </c>
      <c r="C13231" t="s">
        <v>22</v>
      </c>
      <c r="D13231" s="2" t="s">
        <f>=HYPERLINK("https://main.knesset.gov.il/APPS/legislation/main/bills/2088459", "הצעת חוק הגנה מפני פיטורים (נגיף הקורונה החדש) (הוראת שעה), התש""ף-2020")</f>
        <v>25571</v>
      </c>
      <c r="E13231" t="s">
        <v>25571</v>
      </c>
      <c r="F13231" t="s">
        <v>25572</v>
      </c>
      <c r="G13231" t="s">
        <v>14</v>
      </c>
      <c r="H13231">
             </c>
      <c r="I13231" t="s">
        <v>14</v>
      </c>
      <c r="J13231" t="s">
        <v>141</v>
      </c>
      <c r="K13231" t="s">
        <v>14</v>
      </c>
      <c r="L13231" t="s">
        <v>20</v>
      </c>
      <c r="M13231" t="s">
        <v>25532</v>
      </c>
      <c r="N13231" t="s">
        <v>14</v>
      </c>
    </row>
    <row r="13232" x14ac:dyDescent="0.25">
      <c r="A13232" t="n">
        <v>23</v>
      </c>
      <c r="B13232" t="s">
        <v>14</v>
      </c>
      <c r="C13232" t="s">
        <v>22</v>
      </c>
      <c r="D13232" s="2" t="s">
        <f>=HYPERLINK("https://main.knesset.gov.il/APPS/legislation/main/bills/2087892", "הצעת חוק דמי מחלה (היעדרות בשל מחלת ילד) (תיקון - התליית מספר ימי ההיעדרות במספר ילדי העובד), התש""ף-2020")</f>
        <v>25573</v>
      </c>
      <c r="E13232" t="s">
        <v>25573</v>
      </c>
      <c r="F13232" t="s">
        <v>25574</v>
      </c>
      <c r="G13232" t="s">
        <v>14</v>
      </c>
      <c r="H13232">
             </c>
      <c r="I13232" t="s">
        <v>14</v>
      </c>
      <c r="J13232" t="s">
        <v>141</v>
      </c>
      <c r="K13232" t="s">
        <v>14</v>
      </c>
      <c r="L13232" t="s">
        <v>20</v>
      </c>
      <c r="M13232" t="s">
        <v>25532</v>
      </c>
      <c r="N13232" t="s">
        <v>14</v>
      </c>
    </row>
    <row r="13233" x14ac:dyDescent="0.25">
      <c r="A13233" t="n">
        <v>23</v>
      </c>
      <c r="B13233" t="s">
        <v>14</v>
      </c>
      <c r="C13233" t="s">
        <v>22</v>
      </c>
      <c r="D13233" s="2" t="s">
        <f>=HYPERLINK("https://main.knesset.gov.il/APPS/legislation/main/bills/2088388", "הצעת חוק הביטוח הלאומי (תיקון - עדכון קצבת אזרח ותיק בהתאם לשכר המינימום), התש""ף-2020")</f>
        <v>25575</v>
      </c>
      <c r="E13233" t="s">
        <v>25575</v>
      </c>
      <c r="F13233" t="s">
        <v>25576</v>
      </c>
      <c r="G13233" t="s">
        <v>14</v>
      </c>
      <c r="H13233">
             </c>
      <c r="I13233" t="s">
        <v>14</v>
      </c>
      <c r="J13233" t="s">
        <v>141</v>
      </c>
      <c r="K13233" t="s">
        <v>14</v>
      </c>
      <c r="L13233" t="s">
        <v>20</v>
      </c>
      <c r="M13233" t="s">
        <v>25532</v>
      </c>
      <c r="N13233" t="s">
        <v>14</v>
      </c>
    </row>
    <row r="13234" x14ac:dyDescent="0.25">
      <c r="A13234" t="n">
        <v>23</v>
      </c>
      <c r="B13234" t="s">
        <v>14</v>
      </c>
      <c r="C13234" t="s">
        <v>22</v>
      </c>
      <c r="D13234" s="2" t="s">
        <f>=HYPERLINK("https://main.knesset.gov.il/APPS/legislation/main/bills/2087096", "הצעת חוק לתיקון פקודת בתי הסוהר (מס' 48) (ביטול החוק), התש""ף-2020")</f>
        <v>25577</v>
      </c>
      <c r="E13234" t="s">
        <v>25577</v>
      </c>
      <c r="F13234" t="s">
        <v>25578</v>
      </c>
      <c r="G13234" t="s">
        <v>14</v>
      </c>
      <c r="H13234">
             </c>
      <c r="I13234" t="s">
        <v>14</v>
      </c>
      <c r="J13234" t="s">
        <v>141</v>
      </c>
      <c r="K13234" t="s">
        <v>14</v>
      </c>
      <c r="L13234" t="s">
        <v>20</v>
      </c>
      <c r="M13234" t="s">
        <v>25532</v>
      </c>
      <c r="N13234" t="s">
        <v>14</v>
      </c>
    </row>
    <row r="13235" x14ac:dyDescent="0.25">
      <c r="A13235" t="n">
        <v>23</v>
      </c>
      <c r="B13235" t="s">
        <v>14</v>
      </c>
      <c r="C13235" t="s">
        <v>22</v>
      </c>
      <c r="D13235" s="2" t="s">
        <f>=HYPERLINK("https://main.knesset.gov.il/APPS/legislation/main/bills/2087127", "הצעת חוק רמת הגולן (תיקון - ביטול החוק), התש""ף-2020")</f>
        <v>24383</v>
      </c>
      <c r="E13235" t="s">
        <v>24383</v>
      </c>
      <c r="F13235" t="s">
        <v>25579</v>
      </c>
      <c r="G13235" t="s">
        <v>14</v>
      </c>
      <c r="H13235">
             </c>
      <c r="I13235" t="s">
        <v>14</v>
      </c>
      <c r="J13235" t="s">
        <v>141</v>
      </c>
      <c r="K13235" t="s">
        <v>14</v>
      </c>
      <c r="L13235" t="s">
        <v>20</v>
      </c>
      <c r="M13235" t="s">
        <v>25532</v>
      </c>
      <c r="N13235" t="s">
        <v>14</v>
      </c>
    </row>
    <row r="13236" x14ac:dyDescent="0.25">
      <c r="A13236" t="n">
        <v>23</v>
      </c>
      <c r="B13236" t="s">
        <v>14</v>
      </c>
      <c r="C13236" t="s">
        <v>22</v>
      </c>
      <c r="D13236" s="2" t="s">
        <f>=HYPERLINK("https://main.knesset.gov.il/APPS/legislation/main/bills/2088110", "הצעת חוק לתיקון פקודת בתי הסוהר (מות אסיר), התש""ף-2020")</f>
        <v>25580</v>
      </c>
      <c r="E13236" t="s">
        <v>25580</v>
      </c>
      <c r="F13236" t="s">
        <v>25581</v>
      </c>
      <c r="G13236" t="s">
        <v>14</v>
      </c>
      <c r="H13236">
             </c>
      <c r="I13236" t="s">
        <v>14</v>
      </c>
      <c r="J13236" t="s">
        <v>141</v>
      </c>
      <c r="K13236" t="s">
        <v>14</v>
      </c>
      <c r="L13236" t="s">
        <v>20</v>
      </c>
      <c r="M13236" t="s">
        <v>25532</v>
      </c>
      <c r="N13236" t="s">
        <v>14</v>
      </c>
    </row>
    <row r="13237" x14ac:dyDescent="0.25">
      <c r="A13237" t="n">
        <v>23</v>
      </c>
      <c r="B13237" t="s">
        <v>14</v>
      </c>
      <c r="C13237" t="s">
        <v>22</v>
      </c>
      <c r="D13237" s="2" t="s">
        <f>=HYPERLINK("https://main.knesset.gov.il/APPS/legislation/main/bills/2139633", "הצעת חוק המטה לביטחון לאומי (תיקון - פיקוח הכנסת על מינוי ראש המטה לביטחון לאומי), התש""ף-2020")</f>
        <v>25582</v>
      </c>
      <c r="E13237" t="s">
        <v>25582</v>
      </c>
      <c r="F13237" t="s">
        <v>25583</v>
      </c>
      <c r="G13237" t="s">
        <v>14</v>
      </c>
      <c r="H13237">
             </c>
      <c r="I13237" t="s">
        <v>14</v>
      </c>
      <c r="J13237" t="s">
        <v>141</v>
      </c>
      <c r="K13237" t="s">
        <v>14</v>
      </c>
      <c r="L13237" t="s">
        <v>20</v>
      </c>
      <c r="M13237" t="s">
        <v>25532</v>
      </c>
      <c r="N13237" t="s">
        <v>14</v>
      </c>
    </row>
    <row r="13238" x14ac:dyDescent="0.25">
      <c r="A13238" t="n">
        <v>23</v>
      </c>
      <c r="B13238" t="s">
        <v>14</v>
      </c>
      <c r="C13238" t="s">
        <v>22</v>
      </c>
      <c r="D13238" s="2" t="s">
        <f>=HYPERLINK("https://main.knesset.gov.il/APPS/legislation/main/bills/2088394", "הצעת חוק עבודת נשים (תיקון - תקופת לידה והורות להורה יחיד), התש""ף-2020")</f>
        <v>25584</v>
      </c>
      <c r="E13238" t="s">
        <v>25584</v>
      </c>
      <c r="F13238" t="s">
        <v>25585</v>
      </c>
      <c r="G13238" t="s">
        <v>14</v>
      </c>
      <c r="H13238">
             </c>
      <c r="I13238" t="s">
        <v>14</v>
      </c>
      <c r="J13238" t="s">
        <v>141</v>
      </c>
      <c r="K13238" t="s">
        <v>14</v>
      </c>
      <c r="L13238" t="s">
        <v>20</v>
      </c>
      <c r="M13238" t="s">
        <v>25532</v>
      </c>
      <c r="N13238" t="s">
        <v>14</v>
      </c>
    </row>
    <row r="13239" x14ac:dyDescent="0.25">
      <c r="A13239" t="n">
        <v>23</v>
      </c>
      <c r="B13239" t="s">
        <v>14</v>
      </c>
      <c r="C13239" t="s">
        <v>22</v>
      </c>
      <c r="D13239" s="2" t="s">
        <f>=HYPERLINK("https://main.knesset.gov.il/APPS/legislation/main/bills/2087243", "הצעת חוק הסכמים קיבוציים (תיקון - יציגות ארגון עובדים והגנה על הפרט), התש""ף-2020")</f>
        <v>25586</v>
      </c>
      <c r="E13239" t="s">
        <v>25586</v>
      </c>
      <c r="F13239" t="s">
        <v>25587</v>
      </c>
      <c r="G13239" t="s">
        <v>14</v>
      </c>
      <c r="H13239">
             </c>
      <c r="I13239" t="s">
        <v>14</v>
      </c>
      <c r="J13239" t="s">
        <v>141</v>
      </c>
      <c r="K13239" t="s">
        <v>14</v>
      </c>
      <c r="L13239" t="s">
        <v>20</v>
      </c>
      <c r="M13239" t="s">
        <v>25532</v>
      </c>
      <c r="N13239" t="s">
        <v>14</v>
      </c>
    </row>
    <row r="13240" x14ac:dyDescent="0.25">
      <c r="A13240" t="n">
        <v>23</v>
      </c>
      <c r="B13240" t="s">
        <v>14</v>
      </c>
      <c r="C13240" t="s">
        <v>22</v>
      </c>
      <c r="D13240" s="2" t="s">
        <f>=HYPERLINK("https://main.knesset.gov.il/APPS/legislation/main/bills/2087148", "הצעת חוק הביטוח הלאומי (תיקון - התאמת קצבת הסיעוד להעלאת שכר המינימום), התש""ף-2020")</f>
        <v>25588</v>
      </c>
      <c r="E13240" t="s">
        <v>25588</v>
      </c>
      <c r="F13240" t="s">
        <v>25589</v>
      </c>
      <c r="G13240" t="s">
        <v>14</v>
      </c>
      <c r="H13240">
             </c>
      <c r="I13240" t="s">
        <v>14</v>
      </c>
      <c r="J13240" t="s">
        <v>141</v>
      </c>
      <c r="K13240" t="s">
        <v>14</v>
      </c>
      <c r="L13240" t="s">
        <v>20</v>
      </c>
      <c r="M13240" t="s">
        <v>25532</v>
      </c>
      <c r="N13240" t="s">
        <v>14</v>
      </c>
    </row>
    <row r="13241" x14ac:dyDescent="0.25">
      <c r="A13241" t="n">
        <v>23</v>
      </c>
      <c r="B13241" t="s">
        <v>14</v>
      </c>
      <c r="C13241" t="s">
        <v>22</v>
      </c>
      <c r="D13241" s="2" t="s">
        <f>=HYPERLINK("https://main.knesset.gov.il/APPS/legislation/main/bills/2087152", "הצעת חוק הפסקת שיטת ההעסקה הקבלנית, התש""ף-2020")</f>
        <v>25590</v>
      </c>
      <c r="E13241" t="s">
        <v>25590</v>
      </c>
      <c r="F13241" t="s">
        <v>25591</v>
      </c>
      <c r="G13241" t="s">
        <v>14</v>
      </c>
      <c r="H13241">
             </c>
      <c r="I13241" t="s">
        <v>14</v>
      </c>
      <c r="J13241" t="s">
        <v>141</v>
      </c>
      <c r="K13241" t="s">
        <v>14</v>
      </c>
      <c r="L13241" t="s">
        <v>20</v>
      </c>
      <c r="M13241" t="s">
        <v>25532</v>
      </c>
      <c r="N13241" t="s">
        <v>14</v>
      </c>
    </row>
    <row r="13242" x14ac:dyDescent="0.25">
      <c r="A13242" t="n">
        <v>23</v>
      </c>
      <c r="B13242" t="s">
        <v>14</v>
      </c>
      <c r="C13242" t="s">
        <v>22</v>
      </c>
      <c r="D13242" s="2" t="s">
        <f>=HYPERLINK("https://main.knesset.gov.il/APPS/legislation/main/bills/2088359", "הצעת חוק הביטוח הלאומי (תיקון - ביטול דחיית תשלום דמי אבטלה בגין חמשת ימי האבטלה הראשונים), התש""ף-2020")</f>
        <v>25592</v>
      </c>
      <c r="E13242" t="s">
        <v>25592</v>
      </c>
      <c r="F13242" t="s">
        <v>25593</v>
      </c>
      <c r="G13242" t="s">
        <v>14</v>
      </c>
      <c r="H13242">
             </c>
      <c r="I13242" t="s">
        <v>14</v>
      </c>
      <c r="J13242" t="s">
        <v>141</v>
      </c>
      <c r="K13242" t="s">
        <v>14</v>
      </c>
      <c r="L13242" t="s">
        <v>20</v>
      </c>
      <c r="M13242" t="s">
        <v>25532</v>
      </c>
      <c r="N13242" t="s">
        <v>14</v>
      </c>
    </row>
    <row r="13243" x14ac:dyDescent="0.25">
      <c r="A13243" t="n">
        <v>23</v>
      </c>
      <c r="B13243" t="s">
        <v>14</v>
      </c>
      <c r="C13243" t="s">
        <v>22</v>
      </c>
      <c r="D13243" s="2" t="s">
        <f>=HYPERLINK("https://main.knesset.gov.il/APPS/legislation/main/bills/2088297", "הצעת חוק התגמולים לנפגעי פעולות איבה (תיקון מס' 30) (תיקון - הוראות לעניין מענק ליתום משני הוריו), התש""ף-2020")</f>
        <v>25594</v>
      </c>
      <c r="E13243" t="s">
        <v>25594</v>
      </c>
      <c r="F13243" t="s">
        <v>25595</v>
      </c>
      <c r="G13243" t="s">
        <v>14</v>
      </c>
      <c r="H13243">
             </c>
      <c r="I13243" t="s">
        <v>14</v>
      </c>
      <c r="J13243" t="s">
        <v>141</v>
      </c>
      <c r="K13243" t="s">
        <v>14</v>
      </c>
      <c r="L13243" t="s">
        <v>20</v>
      </c>
      <c r="M13243" t="s">
        <v>25532</v>
      </c>
      <c r="N13243" t="s">
        <v>14</v>
      </c>
    </row>
    <row r="13244" x14ac:dyDescent="0.25">
      <c r="A13244" t="n">
        <v>23</v>
      </c>
      <c r="B13244" t="s">
        <v>14</v>
      </c>
      <c r="C13244" t="s">
        <v>22</v>
      </c>
      <c r="D13244" s="2" t="s">
        <f>=HYPERLINK("https://main.knesset.gov.il/APPS/legislation/main/bills/2088302", "הצעת חוק התאמת אופן ההעסקה של מטפלות במשפחתונים המפוקחים על ידי האגף למעונות יום ומשפחתונים במשרד העבודה, הרווחה והשירותים החברתיים, התש""ף-2020")</f>
        <v>24020</v>
      </c>
      <c r="E13244" t="s">
        <v>24020</v>
      </c>
      <c r="F13244" t="s">
        <v>25596</v>
      </c>
      <c r="G13244" t="s">
        <v>14</v>
      </c>
      <c r="H13244">
             </c>
      <c r="I13244" t="s">
        <v>14</v>
      </c>
      <c r="J13244" t="s">
        <v>141</v>
      </c>
      <c r="K13244" t="s">
        <v>14</v>
      </c>
      <c r="L13244" t="s">
        <v>20</v>
      </c>
      <c r="M13244" t="s">
        <v>25532</v>
      </c>
      <c r="N13244" t="s">
        <v>14</v>
      </c>
    </row>
    <row r="13245" x14ac:dyDescent="0.25">
      <c r="A13245" t="n">
        <v>23</v>
      </c>
      <c r="B13245" t="s">
        <v>14</v>
      </c>
      <c r="C13245" t="s">
        <v>22</v>
      </c>
      <c r="D13245" s="2" t="s">
        <f>=HYPERLINK("https://main.knesset.gov.il/APPS/legislation/main/bills/2087335", "הצעת חוק הביטוח הלאומי (תיקון - זכאות לגמלת סיעוד להורה של מי שעלה לפי חוק השבות), התש""ף-2020")</f>
        <v>25597</v>
      </c>
      <c r="E13245" t="s">
        <v>25597</v>
      </c>
      <c r="F13245" t="s">
        <v>25598</v>
      </c>
      <c r="G13245" t="s">
        <v>14</v>
      </c>
      <c r="H13245">
             </c>
      <c r="I13245" t="s">
        <v>14</v>
      </c>
      <c r="J13245" t="s">
        <v>141</v>
      </c>
      <c r="K13245" t="s">
        <v>14</v>
      </c>
      <c r="L13245" t="s">
        <v>20</v>
      </c>
      <c r="M13245" t="s">
        <v>25532</v>
      </c>
      <c r="N13245" t="s">
        <v>14</v>
      </c>
    </row>
    <row r="13246" x14ac:dyDescent="0.25">
      <c r="A13246" t="n">
        <v>23</v>
      </c>
      <c r="B13246" t="s">
        <v>14</v>
      </c>
      <c r="C13246" t="s">
        <v>22</v>
      </c>
      <c r="D13246" s="2" t="s">
        <f>=HYPERLINK("https://main.knesset.gov.il/APPS/legislation/main/bills/2087455", "הצעת חוק הביטוח הלאומי (תיקון - דמי אבטלה לעצמאיים), התש""ף-2020")</f>
        <v>25135</v>
      </c>
      <c r="E13246" t="s">
        <v>25135</v>
      </c>
      <c r="F13246" t="s">
        <v>25599</v>
      </c>
      <c r="G13246" t="s">
        <v>14</v>
      </c>
      <c r="H13246">
             </c>
      <c r="I13246" t="s">
        <v>14</v>
      </c>
      <c r="J13246" t="s">
        <v>141</v>
      </c>
      <c r="K13246" t="s">
        <v>14</v>
      </c>
      <c r="L13246" t="s">
        <v>20</v>
      </c>
      <c r="M13246" t="s">
        <v>25532</v>
      </c>
      <c r="N13246" t="s">
        <v>14</v>
      </c>
    </row>
    <row r="13247" x14ac:dyDescent="0.25">
      <c r="A13247" t="n">
        <v>23</v>
      </c>
      <c r="B13247" t="s">
        <v>14</v>
      </c>
      <c r="C13247" t="s">
        <v>22</v>
      </c>
      <c r="D13247" s="2" t="s">
        <f>=HYPERLINK("https://main.knesset.gov.il/APPS/legislation/main/bills/2087457", "הצעת חוק הביטוח לאומי (תיקון – ביטוח זכויות עצמאי שעיקר הכנסתו מעסק שמצוי בפשיטת רגל או בפירוק) (הוראת שעה), התש""ף–2020")</f>
        <v>25600</v>
      </c>
      <c r="E13247" t="s">
        <v>25600</v>
      </c>
      <c r="F13247" t="s">
        <v>25601</v>
      </c>
      <c r="G13247" t="s">
        <v>14</v>
      </c>
      <c r="H13247">
             </c>
      <c r="I13247" t="s">
        <v>14</v>
      </c>
      <c r="J13247" t="s">
        <v>141</v>
      </c>
      <c r="K13247" t="s">
        <v>14</v>
      </c>
      <c r="L13247" t="s">
        <v>20</v>
      </c>
      <c r="M13247" t="s">
        <v>25532</v>
      </c>
      <c r="N13247" t="s">
        <v>14</v>
      </c>
    </row>
    <row r="13248" x14ac:dyDescent="0.25">
      <c r="A13248" t="n">
        <v>23</v>
      </c>
      <c r="B13248" t="s">
        <v>14</v>
      </c>
      <c r="C13248" t="s">
        <v>22</v>
      </c>
      <c r="D13248" s="2" t="s">
        <f>=HYPERLINK("https://main.knesset.gov.il/APPS/legislation/main/bills/2085844", "הצעת חוק שוויון ההזדמנויות בעבודה (תיקון - איסור הפליה על רקע זהות מגדרית), התש""ף-2020")</f>
        <v>25602</v>
      </c>
      <c r="E13248" t="s">
        <v>25602</v>
      </c>
      <c r="F13248" t="s">
        <v>25603</v>
      </c>
      <c r="G13248" t="s">
        <v>14</v>
      </c>
      <c r="H13248">
             </c>
      <c r="I13248" t="s">
        <v>14</v>
      </c>
      <c r="J13248" t="s">
        <v>141</v>
      </c>
      <c r="K13248" t="s">
        <v>14</v>
      </c>
      <c r="L13248" t="s">
        <v>20</v>
      </c>
      <c r="M13248" t="s">
        <v>25532</v>
      </c>
      <c r="N13248" t="s">
        <v>14</v>
      </c>
    </row>
    <row r="13249" x14ac:dyDescent="0.25">
      <c r="A13249" t="n">
        <v>23</v>
      </c>
      <c r="B13249" t="s">
        <v>14</v>
      </c>
      <c r="C13249" t="s">
        <v>22</v>
      </c>
      <c r="D13249" s="2" t="s">
        <f>=HYPERLINK("https://main.knesset.gov.il/APPS/legislation/main/bills/2087240", "הצעת חוק-יסוד: הממשלה (תיקון - הפסקת כהונת שר ורציפות הממשלה)")</f>
        <v>25604</v>
      </c>
      <c r="E13249" t="s">
        <v>25604</v>
      </c>
      <c r="F13249" t="s">
        <v>25605</v>
      </c>
      <c r="G13249" t="s">
        <v>14</v>
      </c>
      <c r="H13249">
             </c>
      <c r="I13249" t="s">
        <v>14</v>
      </c>
      <c r="J13249" t="s">
        <v>141</v>
      </c>
      <c r="K13249" t="s">
        <v>14</v>
      </c>
      <c r="L13249" t="s">
        <v>20</v>
      </c>
      <c r="M13249" t="s">
        <v>25532</v>
      </c>
      <c r="N13249" t="s">
        <v>14</v>
      </c>
    </row>
    <row r="13250" x14ac:dyDescent="0.25">
      <c r="A13250" t="n">
        <v>23</v>
      </c>
      <c r="B13250" t="s">
        <v>14</v>
      </c>
      <c r="C13250" t="s">
        <v>22</v>
      </c>
      <c r="D13250" s="2" t="s">
        <f>=HYPERLINK("https://main.knesset.gov.il/APPS/legislation/main/bills/2088456", "הצעת חוק נתוני אשראי (הוראות מיוחדות - נגיף הקורונה החדש) (הוראת שעה), התש""ף-2020")</f>
        <v>25606</v>
      </c>
      <c r="E13250" t="s">
        <v>25606</v>
      </c>
      <c r="F13250" t="s">
        <v>25607</v>
      </c>
      <c r="G13250" t="s">
        <v>14</v>
      </c>
      <c r="H13250">
             </c>
      <c r="I13250" t="s">
        <v>14</v>
      </c>
      <c r="J13250" t="s">
        <v>141</v>
      </c>
      <c r="K13250" t="s">
        <v>14</v>
      </c>
      <c r="L13250" t="s">
        <v>20</v>
      </c>
      <c r="M13250" t="s">
        <v>25532</v>
      </c>
      <c r="N13250" t="s">
        <v>14</v>
      </c>
    </row>
    <row r="13251" x14ac:dyDescent="0.25">
      <c r="A13251" t="n">
        <v>23</v>
      </c>
      <c r="B13251" t="s">
        <v>14</v>
      </c>
      <c r="C13251" t="s">
        <v>22</v>
      </c>
      <c r="D13251" s="2" t="s">
        <f>=HYPERLINK("https://main.knesset.gov.il/APPS/legislation/main/bills/2086330", "הצעת חוק איסור ניתוק שירותי חשמל ומים למוסדות חינוך (תיקוני חקיקה), התש""ף-2020")</f>
        <v>25608</v>
      </c>
      <c r="E13251" t="s">
        <v>25608</v>
      </c>
      <c r="F13251" t="s">
        <v>25609</v>
      </c>
      <c r="G13251" t="s">
        <v>14</v>
      </c>
      <c r="H13251">
             </c>
      <c r="I13251" t="s">
        <v>14</v>
      </c>
      <c r="J13251" t="s">
        <v>141</v>
      </c>
      <c r="K13251" t="s">
        <v>14</v>
      </c>
      <c r="L13251" t="s">
        <v>20</v>
      </c>
      <c r="M13251" t="s">
        <v>25532</v>
      </c>
      <c r="N13251" t="s">
        <v>14</v>
      </c>
    </row>
    <row r="13252" x14ac:dyDescent="0.25">
      <c r="A13252" t="n">
        <v>23</v>
      </c>
      <c r="B13252" t="s">
        <v>14</v>
      </c>
      <c r="C13252" t="s">
        <v>22</v>
      </c>
      <c r="D13252" s="2" t="s">
        <f>=HYPERLINK("https://main.knesset.gov.il/APPS/legislation/main/bills/2087211", "הצעת חוק איסור הפליה במוצרים, בשירותים ובכניסה למקומות בידור ולמקומות ציבוריים (תיקון - מניעת פגיעה באמונה דתית), התש""ף-2020")</f>
        <v>25610</v>
      </c>
      <c r="E13252" t="s">
        <v>25610</v>
      </c>
      <c r="F13252" t="s">
        <v>25611</v>
      </c>
      <c r="G13252" t="s">
        <v>14</v>
      </c>
      <c r="H13252">
             </c>
      <c r="I13252" t="s">
        <v>14</v>
      </c>
      <c r="J13252" t="s">
        <v>343</v>
      </c>
      <c r="K13252" t="s">
        <v>14</v>
      </c>
      <c r="L13252" t="s">
        <v>20</v>
      </c>
      <c r="M13252" t="s">
        <v>25532</v>
      </c>
      <c r="N13252" t="s">
        <v>14</v>
      </c>
    </row>
    <row r="13253" x14ac:dyDescent="0.25">
      <c r="A13253" t="n">
        <v>23</v>
      </c>
      <c r="B13253" t="s">
        <v>14</v>
      </c>
      <c r="C13253" t="s">
        <v>22</v>
      </c>
      <c r="D13253" s="2" t="s">
        <f>=HYPERLINK("https://main.knesset.gov.il/APPS/legislation/main/bills/2085902", "הצעת חוק להסדרת הטיפול באריזות (תיקון - החלת החוק על מכלי משקה גדולים), התש""ף-2020")</f>
        <v>25612</v>
      </c>
      <c r="E13253" t="s">
        <v>25612</v>
      </c>
      <c r="F13253" t="s">
        <v>25613</v>
      </c>
      <c r="G13253" t="s">
        <v>14</v>
      </c>
      <c r="H13253">
             </c>
      <c r="I13253" t="s">
        <v>14</v>
      </c>
      <c r="J13253" t="s">
        <v>141</v>
      </c>
      <c r="K13253" t="s">
        <v>14</v>
      </c>
      <c r="L13253" t="s">
        <v>20</v>
      </c>
      <c r="M13253" t="s">
        <v>25532</v>
      </c>
      <c r="N13253" t="s">
        <v>14</v>
      </c>
    </row>
    <row r="13254" x14ac:dyDescent="0.25">
      <c r="A13254" t="n">
        <v>23</v>
      </c>
      <c r="B13254" t="s">
        <v>14</v>
      </c>
      <c r="C13254" t="s">
        <v>22</v>
      </c>
      <c r="D13254" s="2" t="s">
        <f>=HYPERLINK("https://main.knesset.gov.il/APPS/legislation/main/bills/2087952", "הצעת חוק הגנת הפרטיות (תיקון - דיווח על פריצה למאגר מידע), התש""ף-2020")</f>
        <v>25614</v>
      </c>
      <c r="E13254" t="s">
        <v>25614</v>
      </c>
      <c r="F13254" t="s">
        <v>25615</v>
      </c>
      <c r="G13254" t="s">
        <v>14</v>
      </c>
      <c r="H13254">
             </c>
      <c r="I13254" t="s">
        <v>14</v>
      </c>
      <c r="J13254" t="s">
        <v>141</v>
      </c>
      <c r="K13254" t="s">
        <v>14</v>
      </c>
      <c r="L13254" t="s">
        <v>20</v>
      </c>
      <c r="M13254" t="s">
        <v>25532</v>
      </c>
      <c r="N13254" t="s">
        <v>14</v>
      </c>
    </row>
    <row r="13255" x14ac:dyDescent="0.25">
      <c r="A13255" t="n">
        <v>23</v>
      </c>
      <c r="B13255" t="s">
        <v>14</v>
      </c>
      <c r="C13255" t="s">
        <v>22</v>
      </c>
      <c r="D13255" s="2" t="s">
        <f>=HYPERLINK("https://main.knesset.gov.il/APPS/legislation/main/bills/2087421", "הצעת חוק-יסוד: הממשלה (תיקון - בחירות מוקדמות באין ממשלה)")</f>
        <v>25616</v>
      </c>
      <c r="E13255" t="s">
        <v>25616</v>
      </c>
      <c r="F13255" t="s">
        <v>25617</v>
      </c>
      <c r="G13255" t="s">
        <v>14</v>
      </c>
      <c r="H13255">
             </c>
      <c r="I13255" t="s">
        <v>14</v>
      </c>
      <c r="J13255" t="s">
        <v>141</v>
      </c>
      <c r="K13255" t="s">
        <v>14</v>
      </c>
      <c r="L13255" t="s">
        <v>20</v>
      </c>
      <c r="M13255" t="s">
        <v>25532</v>
      </c>
      <c r="N13255" t="s">
        <v>14</v>
      </c>
    </row>
    <row r="13256" x14ac:dyDescent="0.25">
      <c r="A13256" t="n">
        <v>23</v>
      </c>
      <c r="B13256" t="s">
        <v>14</v>
      </c>
      <c r="C13256" t="s">
        <v>22</v>
      </c>
      <c r="D13256" s="2" t="s">
        <f>=HYPERLINK("https://main.knesset.gov.il/APPS/legislation/main/bills/2086917", "הצעת חוק הגבלת תקופת עסקה בעניין הגרלות או הימורים, התש""ף-2020")</f>
        <v>25618</v>
      </c>
      <c r="E13256" t="s">
        <v>25618</v>
      </c>
      <c r="F13256" t="s">
        <v>25619</v>
      </c>
      <c r="G13256" t="s">
        <v>14</v>
      </c>
      <c r="H13256">
             </c>
      <c r="I13256" t="s">
        <v>14</v>
      </c>
      <c r="J13256" t="s">
        <v>141</v>
      </c>
      <c r="K13256" t="s">
        <v>14</v>
      </c>
      <c r="L13256" t="s">
        <v>20</v>
      </c>
      <c r="M13256" t="s">
        <v>25532</v>
      </c>
      <c r="N13256" t="s">
        <v>14</v>
      </c>
    </row>
    <row r="13257" x14ac:dyDescent="0.25">
      <c r="A13257" t="n">
        <v>23</v>
      </c>
      <c r="B13257" t="s">
        <v>14</v>
      </c>
      <c r="C13257" t="s">
        <v>22</v>
      </c>
      <c r="D13257" s="2" t="s">
        <f>=HYPERLINK("https://main.knesset.gov.il/APPS/legislation/main/bills/2086931", "הצעת חוק הבחירות לכנסת (תיקון - ביטול אחוז החסימה ותיקון הסכמי עודפים), התש""ף-2020")</f>
        <v>25620</v>
      </c>
      <c r="E13257" t="s">
        <v>25620</v>
      </c>
      <c r="F13257" t="s">
        <v>25621</v>
      </c>
      <c r="G13257" t="s">
        <v>14</v>
      </c>
      <c r="H13257">
             </c>
      <c r="I13257" t="s">
        <v>14</v>
      </c>
      <c r="J13257" t="s">
        <v>141</v>
      </c>
      <c r="K13257" t="s">
        <v>14</v>
      </c>
      <c r="L13257" t="s">
        <v>20</v>
      </c>
      <c r="M13257" t="s">
        <v>25532</v>
      </c>
      <c r="N13257" t="s">
        <v>14</v>
      </c>
    </row>
    <row r="13258" x14ac:dyDescent="0.25">
      <c r="A13258" t="n">
        <v>23</v>
      </c>
      <c r="B13258" t="s">
        <v>14</v>
      </c>
      <c r="C13258" t="s">
        <v>22</v>
      </c>
      <c r="D13258" s="2" t="s">
        <f>=HYPERLINK("https://main.knesset.gov.il/APPS/legislation/main/bills/2087955", "הצעת חוק לתיקון פקודת הראיות (התייחסות איש צוות רפואי שלא תשמש ראיה), התש""ף-2020")</f>
        <v>25622</v>
      </c>
      <c r="E13258" t="s">
        <v>25622</v>
      </c>
      <c r="F13258" t="s">
        <v>25623</v>
      </c>
      <c r="G13258" t="s">
        <v>14</v>
      </c>
      <c r="H13258">
             </c>
      <c r="I13258" t="s">
        <v>14</v>
      </c>
      <c r="J13258" t="s">
        <v>141</v>
      </c>
      <c r="K13258" t="s">
        <v>14</v>
      </c>
      <c r="L13258" t="s">
        <v>20</v>
      </c>
      <c r="M13258" t="s">
        <v>25532</v>
      </c>
      <c r="N13258" t="s">
        <v>14</v>
      </c>
    </row>
    <row r="13259" x14ac:dyDescent="0.25">
      <c r="A13259" t="n">
        <v>23</v>
      </c>
      <c r="B13259" t="s">
        <v>14</v>
      </c>
      <c r="C13259" t="s">
        <v>22</v>
      </c>
      <c r="D13259" s="2" t="s">
        <f>=HYPERLINK("https://main.knesset.gov.il/APPS/legislation/main/bills/2087275", "הצעת חוק העונשין (תיקון - חלופת מאסר לנשים הרות ולאמהות), התש""ף-2020")</f>
        <v>25624</v>
      </c>
      <c r="E13259" t="s">
        <v>25624</v>
      </c>
      <c r="F13259" t="s">
        <v>25625</v>
      </c>
      <c r="G13259" t="s">
        <v>14</v>
      </c>
      <c r="H13259">
             </c>
      <c r="I13259" t="s">
        <v>14</v>
      </c>
      <c r="J13259" t="s">
        <v>141</v>
      </c>
      <c r="K13259" t="s">
        <v>14</v>
      </c>
      <c r="L13259" t="s">
        <v>20</v>
      </c>
      <c r="M13259" t="s">
        <v>25532</v>
      </c>
      <c r="N13259" t="s">
        <v>14</v>
      </c>
    </row>
    <row r="13260" x14ac:dyDescent="0.25">
      <c r="A13260" t="n">
        <v>23</v>
      </c>
      <c r="B13260" t="s">
        <v>14</v>
      </c>
      <c r="C13260" t="s">
        <v>22</v>
      </c>
      <c r="D13260" s="2" t="s">
        <f>=HYPERLINK("https://main.knesset.gov.il/APPS/legislation/main/bills/2087962", "הצעת חוק סדר הדין הפלילי (תיקון - ביטול פסק דין שניתן בהיעדרו של הנאשם), התש""ף-2020")</f>
        <v>25626</v>
      </c>
      <c r="E13260" t="s">
        <v>25626</v>
      </c>
      <c r="F13260" t="s">
        <v>25627</v>
      </c>
      <c r="G13260" t="s">
        <v>14</v>
      </c>
      <c r="H13260">
             </c>
      <c r="I13260" t="s">
        <v>14</v>
      </c>
      <c r="J13260" t="s">
        <v>141</v>
      </c>
      <c r="K13260" t="s">
        <v>14</v>
      </c>
      <c r="L13260" t="s">
        <v>20</v>
      </c>
      <c r="M13260" t="s">
        <v>25532</v>
      </c>
      <c r="N13260" t="s">
        <v>14</v>
      </c>
    </row>
    <row r="13261" x14ac:dyDescent="0.25">
      <c r="A13261" t="n">
        <v>23</v>
      </c>
      <c r="B13261" t="s">
        <v>14</v>
      </c>
      <c r="C13261" t="s">
        <v>22</v>
      </c>
      <c r="D13261" s="2" t="s">
        <f>=HYPERLINK("https://main.knesset.gov.il/APPS/legislation/main/bills/2086935", "הצעת חוק העונשין (תיקון - הסתה לגזענות), התש""ף-2020")</f>
        <v>25628</v>
      </c>
      <c r="E13261" t="s">
        <v>25628</v>
      </c>
      <c r="F13261" t="s">
        <v>25629</v>
      </c>
      <c r="G13261" t="s">
        <v>14</v>
      </c>
      <c r="H13261">
             </c>
      <c r="I13261" t="s">
        <v>14</v>
      </c>
      <c r="J13261" t="s">
        <v>141</v>
      </c>
      <c r="K13261" t="s">
        <v>14</v>
      </c>
      <c r="L13261" t="s">
        <v>20</v>
      </c>
      <c r="M13261" t="s">
        <v>25532</v>
      </c>
      <c r="N13261" t="s">
        <v>14</v>
      </c>
    </row>
    <row r="13262" x14ac:dyDescent="0.25">
      <c r="A13262" t="n">
        <v>23</v>
      </c>
      <c r="B13262" t="s">
        <v>14</v>
      </c>
      <c r="C13262" t="s">
        <v>22</v>
      </c>
      <c r="D13262" s="2" t="s">
        <f>=HYPERLINK("https://main.knesset.gov.il/APPS/legislation/main/bills/2088212", "הצעת חוק ביטול קנסות שהוטלו בתקופת התפרצות נגיף קורונה החדש, התש""ף-2020")</f>
        <v>25630</v>
      </c>
      <c r="E13262" t="s">
        <v>25630</v>
      </c>
      <c r="F13262" t="s">
        <v>25631</v>
      </c>
      <c r="G13262" t="s">
        <v>14</v>
      </c>
      <c r="H13262">
             </c>
      <c r="I13262" t="s">
        <v>14</v>
      </c>
      <c r="J13262" t="s">
        <v>141</v>
      </c>
      <c r="K13262" t="s">
        <v>14</v>
      </c>
      <c r="L13262" t="s">
        <v>20</v>
      </c>
      <c r="M13262" t="s">
        <v>25532</v>
      </c>
      <c r="N13262" t="s">
        <v>14</v>
      </c>
    </row>
    <row r="13263" x14ac:dyDescent="0.25">
      <c r="A13263" t="n">
        <v>23</v>
      </c>
      <c r="B13263" t="s">
        <v>14</v>
      </c>
      <c r="C13263" t="s">
        <v>22</v>
      </c>
      <c r="D13263" s="2" t="s">
        <f>=HYPERLINK("https://main.knesset.gov.il/APPS/legislation/main/bills/2086940", "הצעת חוק להסדרת ההימורים החוקיים בישראל, התש""ף-2020")</f>
        <v>25632</v>
      </c>
      <c r="E13263" t="s">
        <v>25632</v>
      </c>
      <c r="F13263" t="s">
        <v>25633</v>
      </c>
      <c r="G13263" t="s">
        <v>14</v>
      </c>
      <c r="H13263">
             </c>
      <c r="I13263" t="s">
        <v>14</v>
      </c>
      <c r="J13263" t="s">
        <v>141</v>
      </c>
      <c r="K13263" t="s">
        <v>14</v>
      </c>
      <c r="L13263" t="s">
        <v>20</v>
      </c>
      <c r="M13263" t="s">
        <v>25532</v>
      </c>
      <c r="N13263" t="s">
        <v>14</v>
      </c>
    </row>
    <row r="13264" x14ac:dyDescent="0.25">
      <c r="A13264" t="n">
        <v>23</v>
      </c>
      <c r="B13264" t="s">
        <v>14</v>
      </c>
      <c r="C13264" t="s">
        <v>22</v>
      </c>
      <c r="D13264" s="2" t="s">
        <f>=HYPERLINK("https://main.knesset.gov.il/APPS/legislation/main/bills/2087084", "הצעת חוק-יסוד: הכנסת (תיקון - גיל הבוחר)")</f>
        <v>20905</v>
      </c>
      <c r="E13264" t="s">
        <v>20905</v>
      </c>
      <c r="F13264" t="s">
        <v>25634</v>
      </c>
      <c r="G13264" t="s">
        <v>14</v>
      </c>
      <c r="H13264">
             </c>
      <c r="I13264" t="s">
        <v>14</v>
      </c>
      <c r="J13264" t="s">
        <v>141</v>
      </c>
      <c r="K13264" t="s">
        <v>14</v>
      </c>
      <c r="L13264" t="s">
        <v>20</v>
      </c>
      <c r="M13264" t="s">
        <v>25532</v>
      </c>
      <c r="N13264" t="s">
        <v>14</v>
      </c>
    </row>
    <row r="13265" x14ac:dyDescent="0.25">
      <c r="A13265" t="n">
        <v>23</v>
      </c>
      <c r="B13265" t="s">
        <v>14</v>
      </c>
      <c r="C13265" t="s">
        <v>22</v>
      </c>
      <c r="D13265" s="2" t="s">
        <f>=HYPERLINK("https://main.knesset.gov.il/APPS/legislation/main/bills/2086897", "הצעת חוק העונשין (תיקון - חלופת מאסר לנשים הרות ואמהות), התש""ף-2020")</f>
        <v>25635</v>
      </c>
      <c r="E13265" t="s">
        <v>25635</v>
      </c>
      <c r="F13265" t="s">
        <v>25636</v>
      </c>
      <c r="G13265" t="s">
        <v>14</v>
      </c>
      <c r="H13265">
             </c>
      <c r="I13265" t="s">
        <v>14</v>
      </c>
      <c r="J13265" t="s">
        <v>141</v>
      </c>
      <c r="K13265" t="s">
        <v>14</v>
      </c>
      <c r="L13265" t="s">
        <v>20</v>
      </c>
      <c r="M13265" t="s">
        <v>25532</v>
      </c>
      <c r="N13265" t="s">
        <v>14</v>
      </c>
    </row>
    <row r="13266" x14ac:dyDescent="0.25">
      <c r="A13266" t="n">
        <v>23</v>
      </c>
      <c r="B13266" t="s">
        <v>14</v>
      </c>
      <c r="C13266" t="s">
        <v>22</v>
      </c>
      <c r="D13266" s="2" t="s">
        <f>=HYPERLINK("https://main.knesset.gov.il/APPS/legislation/main/bills/2086328", "הצעת חוק העונשין (תיקון - הגדרת גזענות), התש""ף-2020")</f>
        <v>25637</v>
      </c>
      <c r="E13266" t="s">
        <v>25637</v>
      </c>
      <c r="F13266" t="s">
        <v>25638</v>
      </c>
      <c r="G13266" t="s">
        <v>14</v>
      </c>
      <c r="H13266">
             </c>
      <c r="I13266" t="s">
        <v>14</v>
      </c>
      <c r="J13266" t="s">
        <v>141</v>
      </c>
      <c r="K13266" t="s">
        <v>14</v>
      </c>
      <c r="L13266" t="s">
        <v>20</v>
      </c>
      <c r="M13266" t="s">
        <v>25532</v>
      </c>
      <c r="N13266" t="s">
        <v>14</v>
      </c>
    </row>
    <row r="13267" x14ac:dyDescent="0.25">
      <c r="A13267" t="n">
        <v>23</v>
      </c>
      <c r="B13267" t="s">
        <v>14</v>
      </c>
      <c r="C13267" t="s">
        <v>22</v>
      </c>
      <c r="D13267" s="2" t="s">
        <f>=HYPERLINK("https://main.knesset.gov.il/APPS/legislation/main/bills/2087578", "הצעת חוק-יסוד: חופש הביטוי וההתאגדות")</f>
        <v>19964</v>
      </c>
      <c r="E13267" t="s">
        <v>19964</v>
      </c>
      <c r="F13267" t="s">
        <v>25639</v>
      </c>
      <c r="G13267" t="s">
        <v>14</v>
      </c>
      <c r="H13267">
             </c>
      <c r="I13267" t="s">
        <v>14</v>
      </c>
      <c r="J13267" t="s">
        <v>141</v>
      </c>
      <c r="K13267" t="s">
        <v>14</v>
      </c>
      <c r="L13267" t="s">
        <v>20</v>
      </c>
      <c r="M13267" t="s">
        <v>25532</v>
      </c>
      <c r="N13267" t="s">
        <v>14</v>
      </c>
    </row>
    <row r="13268" x14ac:dyDescent="0.25">
      <c r="A13268" t="n">
        <v>23</v>
      </c>
      <c r="B13268" t="s">
        <v>14</v>
      </c>
      <c r="C13268" t="s">
        <v>22</v>
      </c>
      <c r="D13268" s="2" t="s">
        <f>=HYPERLINK("https://main.knesset.gov.il/APPS/legislation/main/bills/2086953", "הצעת חוק סמכות ואחריות הורית, התש""ף-2020")</f>
        <v>25640</v>
      </c>
      <c r="E13268" t="s">
        <v>25640</v>
      </c>
      <c r="F13268" t="s">
        <v>25641</v>
      </c>
      <c r="G13268" t="s">
        <v>14</v>
      </c>
      <c r="H13268">
             </c>
      <c r="I13268" t="s">
        <v>14</v>
      </c>
      <c r="J13268" t="s">
        <v>141</v>
      </c>
      <c r="K13268" t="s">
        <v>14</v>
      </c>
      <c r="L13268" t="s">
        <v>20</v>
      </c>
      <c r="M13268" t="s">
        <v>25532</v>
      </c>
      <c r="N13268" t="s">
        <v>14</v>
      </c>
    </row>
    <row r="13269" x14ac:dyDescent="0.25">
      <c r="A13269" t="n">
        <v>23</v>
      </c>
      <c r="B13269" t="s">
        <v>14</v>
      </c>
      <c r="C13269" t="s">
        <v>22</v>
      </c>
      <c r="D13269" s="2" t="s">
        <f>=HYPERLINK("https://main.knesset.gov.il/APPS/legislation/main/bills/2086114", "הצעת חוק-יסוד: בית המשפט לחוקה")</f>
        <v>17966</v>
      </c>
      <c r="E13269" t="s">
        <v>17966</v>
      </c>
      <c r="F13269" t="s">
        <v>25642</v>
      </c>
      <c r="G13269" t="s">
        <v>14</v>
      </c>
      <c r="H13269">
             </c>
      <c r="I13269" t="s">
        <v>14</v>
      </c>
      <c r="J13269" t="s">
        <v>141</v>
      </c>
      <c r="K13269" t="s">
        <v>14</v>
      </c>
      <c r="L13269" t="s">
        <v>20</v>
      </c>
      <c r="M13269" t="s">
        <v>25532</v>
      </c>
      <c r="N13269" t="s">
        <v>14</v>
      </c>
    </row>
    <row r="13270" x14ac:dyDescent="0.25">
      <c r="A13270" t="n">
        <v>23</v>
      </c>
      <c r="B13270" t="s">
        <v>14</v>
      </c>
      <c r="C13270" t="s">
        <v>15</v>
      </c>
      <c r="D13270" s="2" t="s">
        <f>=HYPERLINK("https://main.knesset.gov.il/APPS/legislation/main/bills/2140117", "חוק סדר הדין הפלילי (סמכויות אכיפה - מעצרים) (הוראת שעה - נגיף הקורונה החדש) (שיקול חיוניות המעצר), התש""ף-2020")</f>
        <v>25643</v>
      </c>
      <c r="E13270" t="s">
        <v>25643</v>
      </c>
      <c r="F13270" t="s">
        <v>14</v>
      </c>
      <c r="G13270" t="s">
        <v>23242</v>
      </c>
      <c r="H13270" t="n">
        <v>2797</v>
      </c>
      <c r="I13270" t="s">
        <v>14</v>
      </c>
      <c r="J13270" t="s">
        <v>91</v>
      </c>
      <c r="K13270" t="s">
        <v>27</v>
      </c>
      <c r="L13270" t="s">
        <v>20</v>
      </c>
      <c r="M13270" t="s">
        <v>25644</v>
      </c>
      <c r="N13270" t="s">
        <v>25645</v>
      </c>
    </row>
    <row r="13271" x14ac:dyDescent="0.25">
      <c r="A13271" t="n">
        <v>23</v>
      </c>
      <c r="B13271" t="s">
        <v>14</v>
      </c>
      <c r="C13271" t="s">
        <v>22</v>
      </c>
      <c r="D13271" s="2" t="s">
        <f>=HYPERLINK("https://main.knesset.gov.il/APPS/legislation/main/bills/2087930", "הצעת חוק לתיקון פקודת העיריות (הרשאת שימוש במקרקעין למוסד ציבורי), התש""ף-2020")</f>
        <v>25646</v>
      </c>
      <c r="E13271" t="s">
        <v>25646</v>
      </c>
      <c r="F13271" t="s">
        <v>25647</v>
      </c>
      <c r="G13271" t="s">
        <v>14</v>
      </c>
      <c r="H13271">
             </c>
      <c r="I13271" t="s">
        <v>14</v>
      </c>
      <c r="J13271" t="s">
        <v>141</v>
      </c>
      <c r="K13271" t="s">
        <v>14</v>
      </c>
      <c r="L13271" t="s">
        <v>20</v>
      </c>
      <c r="M13271" t="s">
        <v>25644</v>
      </c>
      <c r="N13271" t="s">
        <v>14</v>
      </c>
    </row>
    <row r="13272" x14ac:dyDescent="0.25">
      <c r="A13272" t="n">
        <v>23</v>
      </c>
      <c r="B13272" t="s">
        <v>14</v>
      </c>
      <c r="C13272" t="s">
        <v>22</v>
      </c>
      <c r="D13272" s="2" t="s">
        <f>=HYPERLINK("https://main.knesset.gov.il/APPS/legislation/main/bills/2088478", "הצעת חוק שכר נושאי משרה ברשויות השלטון, התש""ף-2020")</f>
        <v>25648</v>
      </c>
      <c r="E13272" t="s">
        <v>25648</v>
      </c>
      <c r="F13272" t="s">
        <v>25649</v>
      </c>
      <c r="G13272" t="s">
        <v>14</v>
      </c>
      <c r="H13272">
             </c>
      <c r="I13272" t="s">
        <v>14</v>
      </c>
      <c r="J13272" t="s">
        <v>141</v>
      </c>
      <c r="K13272" t="s">
        <v>14</v>
      </c>
      <c r="L13272" t="s">
        <v>20</v>
      </c>
      <c r="M13272" t="s">
        <v>25644</v>
      </c>
      <c r="N13272" t="s">
        <v>14</v>
      </c>
    </row>
    <row r="13273" x14ac:dyDescent="0.25">
      <c r="A13273" t="n">
        <v>23</v>
      </c>
      <c r="B13273" t="s">
        <v>14</v>
      </c>
      <c r="C13273" t="s">
        <v>22</v>
      </c>
      <c r="D13273" s="2" t="s">
        <f>=HYPERLINK("https://main.knesset.gov.il/APPS/legislation/main/bills/2088431", "הצעת חוק-יסוד: שכר נושאי משרה ברשויות השלטון (תיקוני חקיקה) ")</f>
        <v>25650</v>
      </c>
      <c r="E13273" t="s">
        <v>25650</v>
      </c>
      <c r="F13273" t="s">
        <v>25651</v>
      </c>
      <c r="G13273" t="s">
        <v>14</v>
      </c>
      <c r="H13273">
             </c>
      <c r="I13273" t="s">
        <v>14</v>
      </c>
      <c r="J13273" t="s">
        <v>141</v>
      </c>
      <c r="K13273" t="s">
        <v>14</v>
      </c>
      <c r="L13273" t="s">
        <v>20</v>
      </c>
      <c r="M13273" t="s">
        <v>25644</v>
      </c>
      <c r="N13273" t="s">
        <v>14</v>
      </c>
    </row>
    <row r="13274" x14ac:dyDescent="0.25">
      <c r="A13274" t="n">
        <v>23</v>
      </c>
      <c r="B13274" t="s">
        <v>14</v>
      </c>
      <c r="C13274" t="s">
        <v>22</v>
      </c>
      <c r="D13274" s="2" t="s">
        <f>=HYPERLINK("https://main.knesset.gov.il/APPS/legislation/main/bills/2086320", "הצעת חוק איסור הפליה בדיור, התש""ף-2020")</f>
        <v>24108</v>
      </c>
      <c r="E13274" t="s">
        <v>24108</v>
      </c>
      <c r="F13274" t="s">
        <v>25652</v>
      </c>
      <c r="G13274" t="s">
        <v>14</v>
      </c>
      <c r="H13274">
             </c>
      <c r="I13274" t="s">
        <v>14</v>
      </c>
      <c r="J13274" t="s">
        <v>141</v>
      </c>
      <c r="K13274" t="s">
        <v>14</v>
      </c>
      <c r="L13274" t="s">
        <v>20</v>
      </c>
      <c r="M13274" t="s">
        <v>25644</v>
      </c>
      <c r="N13274" t="s">
        <v>14</v>
      </c>
    </row>
    <row r="13275" x14ac:dyDescent="0.25">
      <c r="A13275" t="n">
        <v>23</v>
      </c>
      <c r="B13275" t="s">
        <v>14</v>
      </c>
      <c r="C13275" t="s">
        <v>22</v>
      </c>
      <c r="D13275" s="2" t="s">
        <f>=HYPERLINK("https://main.knesset.gov.il/APPS/legislation/main/bills/2086944", "הצעת חוק תקופת צינון לבכירים בשירות הציבורי (תיקוני חקיקה), התש""ף-2020")</f>
        <v>25653</v>
      </c>
      <c r="E13275" t="s">
        <v>25653</v>
      </c>
      <c r="F13275" t="s">
        <v>25654</v>
      </c>
      <c r="G13275" t="s">
        <v>14</v>
      </c>
      <c r="H13275">
             </c>
      <c r="I13275" t="s">
        <v>14</v>
      </c>
      <c r="J13275" t="s">
        <v>141</v>
      </c>
      <c r="K13275" t="s">
        <v>14</v>
      </c>
      <c r="L13275" t="s">
        <v>20</v>
      </c>
      <c r="M13275" t="s">
        <v>25644</v>
      </c>
      <c r="N13275" t="s">
        <v>14</v>
      </c>
    </row>
    <row r="13276" x14ac:dyDescent="0.25">
      <c r="A13276" t="n">
        <v>23</v>
      </c>
      <c r="B13276" t="s">
        <v>14</v>
      </c>
      <c r="C13276" t="s">
        <v>22</v>
      </c>
      <c r="D13276" s="2" t="s">
        <f>=HYPERLINK("https://main.knesset.gov.il/APPS/legislation/main/bills/2140045", "הצעת חוק פתיחת קבר של קטין יוצא תימן, המזרח או הבלקן לשם זיהוי ועריכת בדיקה גנטית לקשר משפחה (הוראת שעה) (תיקון - הארכת תוקף הוראת השעה ואישור בקשה מטעמים מיוחדים), התש""ף-2020")</f>
        <v>25655</v>
      </c>
      <c r="E13276" t="s">
        <v>25655</v>
      </c>
      <c r="F13276" t="s">
        <v>25656</v>
      </c>
      <c r="G13276" t="s">
        <v>14</v>
      </c>
      <c r="H13276">
             </c>
      <c r="I13276" t="s">
        <v>14</v>
      </c>
      <c r="J13276" t="s">
        <v>141</v>
      </c>
      <c r="K13276" t="s">
        <v>14</v>
      </c>
      <c r="L13276" t="s">
        <v>20</v>
      </c>
      <c r="M13276" t="s">
        <v>25644</v>
      </c>
      <c r="N13276" t="s">
        <v>14</v>
      </c>
    </row>
    <row r="13277" x14ac:dyDescent="0.25">
      <c r="A13277" t="n">
        <v>23</v>
      </c>
      <c r="B13277" t="s">
        <v>14</v>
      </c>
      <c r="C13277" t="s">
        <v>22</v>
      </c>
      <c r="D13277" s="2" t="s">
        <f>=HYPERLINK("https://main.knesset.gov.il/APPS/legislation/main/bills/2139630", "הצעת חוק ביטוח בריאות ממלכתי (תיקון - העברת תיק רפואי במעבר בין קופות חולים), התש""ף-2020")</f>
        <v>25657</v>
      </c>
      <c r="E13277" t="s">
        <v>25657</v>
      </c>
      <c r="F13277" t="s">
        <v>25658</v>
      </c>
      <c r="G13277" t="s">
        <v>14</v>
      </c>
      <c r="H13277">
             </c>
      <c r="I13277" t="s">
        <v>14</v>
      </c>
      <c r="J13277" t="s">
        <v>141</v>
      </c>
      <c r="K13277" t="s">
        <v>14</v>
      </c>
      <c r="L13277" t="s">
        <v>20</v>
      </c>
      <c r="M13277" t="s">
        <v>25644</v>
      </c>
      <c r="N13277" t="s">
        <v>14</v>
      </c>
    </row>
    <row r="13278" x14ac:dyDescent="0.25">
      <c r="A13278" t="n">
        <v>23</v>
      </c>
      <c r="B13278" t="s">
        <v>14</v>
      </c>
      <c r="C13278" t="s">
        <v>22</v>
      </c>
      <c r="D13278" s="2" t="s">
        <f>=HYPERLINK("https://main.knesset.gov.il/APPS/legislation/main/bills/2139629", "הצעת חוק הביטוח הלאומי (תיקון - חובת יידוע מבוטחים), התש""ף-2020")</f>
        <v>25659</v>
      </c>
      <c r="E13278" t="s">
        <v>25659</v>
      </c>
      <c r="F13278" t="s">
        <v>25660</v>
      </c>
      <c r="G13278" t="s">
        <v>14</v>
      </c>
      <c r="H13278">
             </c>
      <c r="I13278" t="s">
        <v>14</v>
      </c>
      <c r="J13278" t="s">
        <v>141</v>
      </c>
      <c r="K13278" t="s">
        <v>14</v>
      </c>
      <c r="L13278" t="s">
        <v>20</v>
      </c>
      <c r="M13278" t="s">
        <v>25644</v>
      </c>
      <c r="N13278" t="s">
        <v>14</v>
      </c>
    </row>
    <row r="13279" x14ac:dyDescent="0.25">
      <c r="A13279" t="n">
        <v>23</v>
      </c>
      <c r="B13279" t="s">
        <v>14</v>
      </c>
      <c r="C13279" t="s">
        <v>22</v>
      </c>
      <c r="D13279" s="2" t="s">
        <f>=HYPERLINK("https://main.knesset.gov.il/APPS/legislation/main/bills/2139624", "הצעת חוק הביטוח הלאומי (תיקון - הכפלת קצבת נכות בהגעה לגיל הזכאות לקצבת זקנה), התש""ף-2020")</f>
        <v>25661</v>
      </c>
      <c r="E13279" t="s">
        <v>25661</v>
      </c>
      <c r="F13279" t="s">
        <v>25662</v>
      </c>
      <c r="G13279" t="s">
        <v>14</v>
      </c>
      <c r="H13279">
             </c>
      <c r="I13279" t="s">
        <v>14</v>
      </c>
      <c r="J13279" t="s">
        <v>141</v>
      </c>
      <c r="K13279" t="s">
        <v>14</v>
      </c>
      <c r="L13279" t="s">
        <v>20</v>
      </c>
      <c r="M13279" t="s">
        <v>25644</v>
      </c>
      <c r="N13279" t="s">
        <v>14</v>
      </c>
    </row>
    <row r="13280" x14ac:dyDescent="0.25">
      <c r="A13280" t="n">
        <v>23</v>
      </c>
      <c r="B13280" t="s">
        <v>14</v>
      </c>
      <c r="C13280" t="s">
        <v>22</v>
      </c>
      <c r="D13280" s="2" t="s">
        <f>=HYPERLINK("https://main.knesset.gov.il/APPS/legislation/main/bills/2086966", "הצעת חוק לתיקון פקודת בריאות העם (מדיניות חיסונים לאומית ותמריצים להתחסנות), התש""ף-2020")</f>
        <v>25663</v>
      </c>
      <c r="E13280" t="s">
        <v>25663</v>
      </c>
      <c r="F13280" t="s">
        <v>25664</v>
      </c>
      <c r="G13280" t="s">
        <v>14</v>
      </c>
      <c r="H13280">
             </c>
      <c r="I13280" t="s">
        <v>14</v>
      </c>
      <c r="J13280" t="s">
        <v>141</v>
      </c>
      <c r="K13280" t="s">
        <v>14</v>
      </c>
      <c r="L13280" t="s">
        <v>20</v>
      </c>
      <c r="M13280" t="s">
        <v>25644</v>
      </c>
      <c r="N13280" t="s">
        <v>14</v>
      </c>
    </row>
    <row r="13281" x14ac:dyDescent="0.25">
      <c r="A13281" t="n">
        <v>23</v>
      </c>
      <c r="B13281" t="s">
        <v>14</v>
      </c>
      <c r="C13281" t="s">
        <v>22</v>
      </c>
      <c r="D13281" s="2" t="s">
        <f>=HYPERLINK("https://main.knesset.gov.il/APPS/legislation/main/bills/2087760", "הצעת חוק הביטוח הלאומי (תיקון - זכאות לדמי אבטלה מגיל שמונה עשרה וחצי), התש""ף-2020")</f>
        <v>25665</v>
      </c>
      <c r="E13281" t="s">
        <v>25665</v>
      </c>
      <c r="F13281" t="s">
        <v>25666</v>
      </c>
      <c r="G13281" t="s">
        <v>14</v>
      </c>
      <c r="H13281">
             </c>
      <c r="I13281" t="s">
        <v>14</v>
      </c>
      <c r="J13281" t="s">
        <v>141</v>
      </c>
      <c r="K13281" t="s">
        <v>14</v>
      </c>
      <c r="L13281" t="s">
        <v>20</v>
      </c>
      <c r="M13281" t="s">
        <v>25644</v>
      </c>
      <c r="N13281" t="s">
        <v>14</v>
      </c>
    </row>
    <row r="13282" x14ac:dyDescent="0.25">
      <c r="A13282" t="n">
        <v>23</v>
      </c>
      <c r="B13282" t="s">
        <v>14</v>
      </c>
      <c r="C13282" t="s">
        <v>22</v>
      </c>
      <c r="D13282" s="2" t="s">
        <f>=HYPERLINK("https://main.knesset.gov.il/APPS/legislation/main/bills/2088375", "הצעת חוק יסודות התקציב (תיקון - ועדת ערר לתמיכה במוסד ציבור), התש""ף-2020")</f>
        <v>25667</v>
      </c>
      <c r="E13282" t="s">
        <v>25667</v>
      </c>
      <c r="F13282" t="s">
        <v>25668</v>
      </c>
      <c r="G13282" t="s">
        <v>14</v>
      </c>
      <c r="H13282">
             </c>
      <c r="I13282" t="s">
        <v>14</v>
      </c>
      <c r="J13282" t="s">
        <v>141</v>
      </c>
      <c r="K13282" t="s">
        <v>14</v>
      </c>
      <c r="L13282" t="s">
        <v>20</v>
      </c>
      <c r="M13282" t="s">
        <v>25644</v>
      </c>
      <c r="N13282" t="s">
        <v>14</v>
      </c>
    </row>
    <row r="13283" x14ac:dyDescent="0.25">
      <c r="A13283" t="n">
        <v>23</v>
      </c>
      <c r="B13283" t="s">
        <v>14</v>
      </c>
      <c r="C13283" t="s">
        <v>22</v>
      </c>
      <c r="D13283" s="2" t="s">
        <f>=HYPERLINK("https://main.knesset.gov.il/APPS/legislation/main/bills/2087926", "הצעת חוק לתיקון פקודת התעבורה (סמכות לאכיפת עבירות חניה בידי רשויות מקומיות באמצעות מצלמות וסימון אזורי האכיפה בתמרור), התש""ף-2020")</f>
        <v>25669</v>
      </c>
      <c r="E13283" t="s">
        <v>25669</v>
      </c>
      <c r="F13283" t="s">
        <v>25670</v>
      </c>
      <c r="G13283" t="s">
        <v>14</v>
      </c>
      <c r="H13283">
             </c>
      <c r="I13283" t="s">
        <v>14</v>
      </c>
      <c r="J13283" t="s">
        <v>141</v>
      </c>
      <c r="K13283" t="s">
        <v>14</v>
      </c>
      <c r="L13283" t="s">
        <v>20</v>
      </c>
      <c r="M13283" t="s">
        <v>25644</v>
      </c>
      <c r="N13283" t="s">
        <v>14</v>
      </c>
    </row>
    <row r="13284" x14ac:dyDescent="0.25">
      <c r="A13284" t="n">
        <v>23</v>
      </c>
      <c r="B13284" t="s">
        <v>14</v>
      </c>
      <c r="C13284" t="s">
        <v>22</v>
      </c>
      <c r="D13284" s="2" t="s">
        <f>=HYPERLINK("https://main.knesset.gov.il/APPS/legislation/main/bills/2087932", "הצעת חוק לתיקון פקודת התעבורה (שירות טלפוני לדיווח ולקבלת תלונות על עבירות תעבורה או נהיגה מסוכנת של נהג אוטובוס), התש""ף-2020")</f>
        <v>25671</v>
      </c>
      <c r="E13284" t="s">
        <v>25671</v>
      </c>
      <c r="F13284" t="s">
        <v>25672</v>
      </c>
      <c r="G13284" t="s">
        <v>14</v>
      </c>
      <c r="H13284">
             </c>
      <c r="I13284" t="s">
        <v>14</v>
      </c>
      <c r="J13284" t="s">
        <v>141</v>
      </c>
      <c r="K13284" t="s">
        <v>14</v>
      </c>
      <c r="L13284" t="s">
        <v>20</v>
      </c>
      <c r="M13284" t="s">
        <v>25644</v>
      </c>
      <c r="N13284" t="s">
        <v>14</v>
      </c>
    </row>
    <row r="13285" x14ac:dyDescent="0.25">
      <c r="A13285" t="n">
        <v>23</v>
      </c>
      <c r="B13285" t="s">
        <v>14</v>
      </c>
      <c r="C13285" t="s">
        <v>22</v>
      </c>
      <c r="D13285" s="2" t="s">
        <f>=HYPERLINK("https://main.knesset.gov.il/APPS/legislation/main/bills/2087934", "הצעת חוק המועצה הישראלית לצרכנות (תיקון - ודאות תקציבית), התש""ף-2020")</f>
        <v>25673</v>
      </c>
      <c r="E13285" t="s">
        <v>25673</v>
      </c>
      <c r="F13285" t="s">
        <v>25674</v>
      </c>
      <c r="G13285" t="s">
        <v>14</v>
      </c>
      <c r="H13285">
             </c>
      <c r="I13285" t="s">
        <v>14</v>
      </c>
      <c r="J13285" t="s">
        <v>141</v>
      </c>
      <c r="K13285" t="s">
        <v>14</v>
      </c>
      <c r="L13285" t="s">
        <v>20</v>
      </c>
      <c r="M13285" t="s">
        <v>25644</v>
      </c>
      <c r="N13285" t="s">
        <v>14</v>
      </c>
    </row>
    <row r="13286" x14ac:dyDescent="0.25">
      <c r="A13286" t="n">
        <v>23</v>
      </c>
      <c r="B13286" t="s">
        <v>14</v>
      </c>
      <c r="C13286" t="s">
        <v>22</v>
      </c>
      <c r="D13286" s="2" t="s">
        <f>=HYPERLINK("https://main.knesset.gov.il/APPS/legislation/main/bills/2087935", "הצעת חוק לתיקון פקודת התעבורה (פיצוי למתלונן), התש""ף-2020")</f>
        <v>25675</v>
      </c>
      <c r="E13286" t="s">
        <v>25675</v>
      </c>
      <c r="F13286" t="s">
        <v>25676</v>
      </c>
      <c r="G13286" t="s">
        <v>14</v>
      </c>
      <c r="H13286">
             </c>
      <c r="I13286" t="s">
        <v>14</v>
      </c>
      <c r="J13286" t="s">
        <v>141</v>
      </c>
      <c r="K13286" t="s">
        <v>14</v>
      </c>
      <c r="L13286" t="s">
        <v>20</v>
      </c>
      <c r="M13286" t="s">
        <v>25644</v>
      </c>
      <c r="N13286" t="s">
        <v>14</v>
      </c>
    </row>
    <row r="13287" x14ac:dyDescent="0.25">
      <c r="A13287" t="n">
        <v>23</v>
      </c>
      <c r="B13287" t="s">
        <v>14</v>
      </c>
      <c r="C13287" t="s">
        <v>22</v>
      </c>
      <c r="D13287" s="2" t="s">
        <f>=HYPERLINK("https://main.knesset.gov.il/APPS/legislation/main/bills/2087936", "הצעת חוק הגנת הצרכן (תיקון – מגבלות על חיוב חשבון של צרכן בתשלומים), התשפ""ב–2021")</f>
        <v>25677</v>
      </c>
      <c r="E13287" t="s">
        <v>25677</v>
      </c>
      <c r="F13287" t="s">
        <v>25678</v>
      </c>
      <c r="G13287" t="s">
        <v>14</v>
      </c>
      <c r="H13287">
             </c>
      <c r="I13287" t="s">
        <v>14</v>
      </c>
      <c r="J13287" t="s">
        <v>141</v>
      </c>
      <c r="K13287" t="s">
        <v>14</v>
      </c>
      <c r="L13287" t="s">
        <v>20</v>
      </c>
      <c r="M13287" t="s">
        <v>25644</v>
      </c>
      <c r="N13287" t="s">
        <v>14</v>
      </c>
    </row>
    <row r="13288" x14ac:dyDescent="0.25">
      <c r="A13288" t="n">
        <v>23</v>
      </c>
      <c r="B13288" t="s">
        <v>14</v>
      </c>
      <c r="C13288" t="s">
        <v>22</v>
      </c>
      <c r="D13288" s="2" t="s">
        <f>=HYPERLINK("https://main.knesset.gov.il/APPS/legislation/main/bills/2086797", "הצעת חוק סדר הדין הפלילי (חקירת חשודים) (תיקון - יידוע זכויות חשודים), התש""ף-2020")</f>
        <v>25679</v>
      </c>
      <c r="E13288" t="s">
        <v>25679</v>
      </c>
      <c r="F13288" t="s">
        <v>25680</v>
      </c>
      <c r="G13288" t="s">
        <v>14</v>
      </c>
      <c r="H13288">
             </c>
      <c r="I13288" t="s">
        <v>14</v>
      </c>
      <c r="J13288" t="s">
        <v>141</v>
      </c>
      <c r="K13288" t="s">
        <v>14</v>
      </c>
      <c r="L13288" t="s">
        <v>20</v>
      </c>
      <c r="M13288" t="s">
        <v>25644</v>
      </c>
      <c r="N13288" t="s">
        <v>14</v>
      </c>
    </row>
    <row r="13289" x14ac:dyDescent="0.25">
      <c r="A13289" t="n">
        <v>23</v>
      </c>
      <c r="B13289" t="s">
        <v>14</v>
      </c>
      <c r="C13289" t="s">
        <v>22</v>
      </c>
      <c r="D13289" s="2" t="s">
        <f>=HYPERLINK("https://main.knesset.gov.il/APPS/legislation/main/bills/2086700", "הצעת חוק היועץ המשפטי לראש ממשלה (מינוי וכהונה), התש""ף-2020")</f>
        <v>25681</v>
      </c>
      <c r="E13289" t="s">
        <v>25681</v>
      </c>
      <c r="F13289" t="s">
        <v>25682</v>
      </c>
      <c r="G13289" t="s">
        <v>14</v>
      </c>
      <c r="H13289">
             </c>
      <c r="I13289" t="s">
        <v>14</v>
      </c>
      <c r="J13289" t="s">
        <v>141</v>
      </c>
      <c r="K13289" t="s">
        <v>14</v>
      </c>
      <c r="L13289" t="s">
        <v>20</v>
      </c>
      <c r="M13289" t="s">
        <v>25644</v>
      </c>
      <c r="N13289" t="s">
        <v>14</v>
      </c>
    </row>
    <row r="13290" x14ac:dyDescent="0.25">
      <c r="A13290" t="n">
        <v>23</v>
      </c>
      <c r="B13290" t="s">
        <v>14</v>
      </c>
      <c r="C13290" t="s">
        <v>22</v>
      </c>
      <c r="D13290" s="2" t="s">
        <f>=HYPERLINK("https://main.knesset.gov.il/APPS/legislation/main/bills/2088500", "הצעת חוק הרשויות המקומיות (התאמת תקציב החינוך), התש""ף-2020")</f>
        <v>25683</v>
      </c>
      <c r="E13290" t="s">
        <v>25683</v>
      </c>
      <c r="F13290" t="s">
        <v>25684</v>
      </c>
      <c r="G13290" t="s">
        <v>14</v>
      </c>
      <c r="H13290">
             </c>
      <c r="I13290" t="s">
        <v>14</v>
      </c>
      <c r="J13290" t="s">
        <v>141</v>
      </c>
      <c r="K13290" t="s">
        <v>14</v>
      </c>
      <c r="L13290" t="s">
        <v>20</v>
      </c>
      <c r="M13290" t="s">
        <v>25644</v>
      </c>
      <c r="N13290" t="s">
        <v>14</v>
      </c>
    </row>
    <row r="13291" x14ac:dyDescent="0.25">
      <c r="A13291" t="n">
        <v>23</v>
      </c>
      <c r="B13291" t="s">
        <v>14</v>
      </c>
      <c r="C13291" t="s">
        <v>22</v>
      </c>
      <c r="D13291" s="2" t="s">
        <f>=HYPERLINK("https://main.knesset.gov.il/APPS/legislation/main/bills/2087162", "הצעת חוק חינוך ממלכתי (תיקון - הכללת המורשת הערבית), התש""ף-2020")</f>
        <v>25685</v>
      </c>
      <c r="E13291" t="s">
        <v>25685</v>
      </c>
      <c r="F13291" t="s">
        <v>25686</v>
      </c>
      <c r="G13291" t="s">
        <v>14</v>
      </c>
      <c r="H13291">
             </c>
      <c r="I13291" t="s">
        <v>14</v>
      </c>
      <c r="J13291" t="s">
        <v>141</v>
      </c>
      <c r="K13291" t="s">
        <v>14</v>
      </c>
      <c r="L13291" t="s">
        <v>20</v>
      </c>
      <c r="M13291" t="s">
        <v>25644</v>
      </c>
      <c r="N13291" t="s">
        <v>14</v>
      </c>
    </row>
    <row r="13292" x14ac:dyDescent="0.25">
      <c r="A13292" t="n">
        <v>23</v>
      </c>
      <c r="B13292" t="s">
        <v>14</v>
      </c>
      <c r="C13292" t="s">
        <v>22</v>
      </c>
      <c r="D13292" s="2" t="s">
        <f>=HYPERLINK("https://main.knesset.gov.il/APPS/legislation/main/bills/2087213", "הצעת חוק פיקוח על בתי ספר (תיקון - הרחבת תחולה), התש""ף-2020")</f>
        <v>25687</v>
      </c>
      <c r="E13292" t="s">
        <v>25687</v>
      </c>
      <c r="F13292" t="s">
        <v>25688</v>
      </c>
      <c r="G13292" t="s">
        <v>14</v>
      </c>
      <c r="H13292">
             </c>
      <c r="I13292" t="s">
        <v>14</v>
      </c>
      <c r="J13292" t="s">
        <v>141</v>
      </c>
      <c r="K13292" t="s">
        <v>14</v>
      </c>
      <c r="L13292" t="s">
        <v>20</v>
      </c>
      <c r="M13292" t="s">
        <v>25644</v>
      </c>
      <c r="N13292" t="s">
        <v>14</v>
      </c>
    </row>
    <row r="13293" x14ac:dyDescent="0.25">
      <c r="A13293" t="n">
        <v>23</v>
      </c>
      <c r="B13293" t="s">
        <v>14</v>
      </c>
      <c r="C13293" t="s">
        <v>22</v>
      </c>
      <c r="D13293" s="2" t="s">
        <f>=HYPERLINK("https://main.knesset.gov.il/APPS/legislation/main/bills/2088326", "הצעת חוק חינוך ממלכתי (תיקון - איסור פעילות שיש בה שנאה בשל נטייה מינית, גזענות והדרת נשים במוסדות חינוך רשמיים), התש""ף-2020")</f>
        <v>25689</v>
      </c>
      <c r="E13293" t="s">
        <v>25689</v>
      </c>
      <c r="F13293" t="s">
        <v>25690</v>
      </c>
      <c r="G13293" t="s">
        <v>14</v>
      </c>
      <c r="H13293">
             </c>
      <c r="I13293" t="s">
        <v>14</v>
      </c>
      <c r="J13293" t="s">
        <v>141</v>
      </c>
      <c r="K13293" t="s">
        <v>14</v>
      </c>
      <c r="L13293" t="s">
        <v>20</v>
      </c>
      <c r="M13293" t="s">
        <v>25644</v>
      </c>
      <c r="N13293" t="s">
        <v>14</v>
      </c>
    </row>
    <row r="13294" x14ac:dyDescent="0.25">
      <c r="A13294" t="n">
        <v>23</v>
      </c>
      <c r="B13294" t="s">
        <v>14</v>
      </c>
      <c r="C13294" t="s">
        <v>22</v>
      </c>
      <c r="D13294" s="2" t="s">
        <f>=HYPERLINK("https://main.knesset.gov.il/APPS/legislation/main/bills/2088327", "הצעת חוק זכויות הסטודנט (תיקון - התאמות לסטודנטית לאחר לידה), התש""ף-2020")</f>
        <v>25691</v>
      </c>
      <c r="E13294" t="s">
        <v>25691</v>
      </c>
      <c r="F13294" t="s">
        <v>25692</v>
      </c>
      <c r="G13294" t="s">
        <v>14</v>
      </c>
      <c r="H13294">
             </c>
      <c r="I13294" t="s">
        <v>14</v>
      </c>
      <c r="J13294" t="s">
        <v>141</v>
      </c>
      <c r="K13294" t="s">
        <v>14</v>
      </c>
      <c r="L13294" t="s">
        <v>20</v>
      </c>
      <c r="M13294" t="s">
        <v>25644</v>
      </c>
      <c r="N13294" t="s">
        <v>14</v>
      </c>
    </row>
    <row r="13295" x14ac:dyDescent="0.25">
      <c r="A13295" t="n">
        <v>23</v>
      </c>
      <c r="B13295" t="s">
        <v>14</v>
      </c>
      <c r="C13295" t="s">
        <v>22</v>
      </c>
      <c r="D13295" s="2" t="s">
        <f>=HYPERLINK("https://main.knesset.gov.il/APPS/legislation/main/bills/2139626", "הצעת חוק זכויות הסטודנט (תיקון - הגבלת דמי רישום), התש""ף-2020")</f>
        <v>25693</v>
      </c>
      <c r="E13295" t="s">
        <v>25693</v>
      </c>
      <c r="F13295" t="s">
        <v>25694</v>
      </c>
      <c r="G13295" t="s">
        <v>14</v>
      </c>
      <c r="H13295">
             </c>
      <c r="I13295" t="s">
        <v>14</v>
      </c>
      <c r="J13295" t="s">
        <v>141</v>
      </c>
      <c r="K13295" t="s">
        <v>14</v>
      </c>
      <c r="L13295" t="s">
        <v>20</v>
      </c>
      <c r="M13295" t="s">
        <v>25644</v>
      </c>
      <c r="N13295" t="s">
        <v>14</v>
      </c>
    </row>
    <row r="13296" x14ac:dyDescent="0.25">
      <c r="A13296" t="n">
        <v>23</v>
      </c>
      <c r="B13296" t="s">
        <v>14</v>
      </c>
      <c r="C13296" t="s">
        <v>22</v>
      </c>
      <c r="D13296" s="2" t="s">
        <f>=HYPERLINK("https://main.knesset.gov.il/APPS/legislation/main/bills/2088465", "הצעת חוק לימוד חובה (תיקון - חינוך חינם לפעוטות), התש""ף-2020")</f>
        <v>24477</v>
      </c>
      <c r="E13296" t="s">
        <v>24477</v>
      </c>
      <c r="F13296" t="s">
        <v>25695</v>
      </c>
      <c r="G13296" t="s">
        <v>14</v>
      </c>
      <c r="H13296">
             </c>
      <c r="I13296" t="s">
        <v>14</v>
      </c>
      <c r="J13296" t="s">
        <v>141</v>
      </c>
      <c r="K13296" t="s">
        <v>14</v>
      </c>
      <c r="L13296" t="s">
        <v>20</v>
      </c>
      <c r="M13296" t="s">
        <v>25644</v>
      </c>
      <c r="N13296" t="s">
        <v>14</v>
      </c>
    </row>
    <row r="13297" x14ac:dyDescent="0.25">
      <c r="A13297" t="n">
        <v>23</v>
      </c>
      <c r="B13297" t="s">
        <v>14</v>
      </c>
      <c r="C13297" t="s">
        <v>22</v>
      </c>
      <c r="D13297" s="2" t="s">
        <f>=HYPERLINK("https://main.knesset.gov.il/APPS/legislation/main/bills/2087090", "הצעת חוק הספורט (תיקון - זכויות ספורטאי בוגר), התש""ף-2020")</f>
        <v>25696</v>
      </c>
      <c r="E13297" t="s">
        <v>25696</v>
      </c>
      <c r="F13297" t="s">
        <v>25697</v>
      </c>
      <c r="G13297" t="s">
        <v>14</v>
      </c>
      <c r="H13297">
             </c>
      <c r="I13297" t="s">
        <v>14</v>
      </c>
      <c r="J13297" t="s">
        <v>141</v>
      </c>
      <c r="K13297" t="s">
        <v>14</v>
      </c>
      <c r="L13297" t="s">
        <v>20</v>
      </c>
      <c r="M13297" t="s">
        <v>25644</v>
      </c>
      <c r="N13297" t="s">
        <v>14</v>
      </c>
    </row>
    <row r="13298" x14ac:dyDescent="0.25">
      <c r="A13298" t="n">
        <v>23</v>
      </c>
      <c r="B13298" t="s">
        <v>14</v>
      </c>
      <c r="C13298" t="s">
        <v>22</v>
      </c>
      <c r="D13298" s="2" t="s">
        <f>=HYPERLINK("https://main.knesset.gov.il/APPS/legislation/main/bills/2087138", "הצעת חוק זכויות התלמיד (תיקון - הנחה בתחבורה ציבורית), התש""ף-2020")</f>
        <v>25698</v>
      </c>
      <c r="E13298" t="s">
        <v>25698</v>
      </c>
      <c r="F13298" t="s">
        <v>25699</v>
      </c>
      <c r="G13298" t="s">
        <v>14</v>
      </c>
      <c r="H13298">
             </c>
      <c r="I13298" t="s">
        <v>14</v>
      </c>
      <c r="J13298" t="s">
        <v>141</v>
      </c>
      <c r="K13298" t="s">
        <v>14</v>
      </c>
      <c r="L13298" t="s">
        <v>20</v>
      </c>
      <c r="M13298" t="s">
        <v>25644</v>
      </c>
      <c r="N13298" t="s">
        <v>14</v>
      </c>
    </row>
    <row r="13299" x14ac:dyDescent="0.25">
      <c r="A13299" t="n">
        <v>23</v>
      </c>
      <c r="B13299" t="s">
        <v>14</v>
      </c>
      <c r="C13299" t="s">
        <v>22</v>
      </c>
      <c r="D13299" s="2" t="s">
        <f>=HYPERLINK("https://main.knesset.gov.il/APPS/legislation/main/bills/2087656", "הצעת חוק ארוחה יומית לתלמיד (תיקון - הרחבת תחולת החוק), התש""ף-2020")</f>
        <v>25483</v>
      </c>
      <c r="E13299" t="s">
        <v>25483</v>
      </c>
      <c r="F13299" t="s">
        <v>25700</v>
      </c>
      <c r="G13299" t="s">
        <v>14</v>
      </c>
      <c r="H13299">
             </c>
      <c r="I13299" t="s">
        <v>14</v>
      </c>
      <c r="J13299" t="s">
        <v>141</v>
      </c>
      <c r="K13299" t="s">
        <v>14</v>
      </c>
      <c r="L13299" t="s">
        <v>20</v>
      </c>
      <c r="M13299" t="s">
        <v>25644</v>
      </c>
      <c r="N13299" t="s">
        <v>14</v>
      </c>
    </row>
    <row r="13300" x14ac:dyDescent="0.25">
      <c r="A13300" t="n">
        <v>23</v>
      </c>
      <c r="B13300" t="s">
        <v>14</v>
      </c>
      <c r="C13300" t="s">
        <v>22</v>
      </c>
      <c r="D13300" s="2" t="s">
        <f>=HYPERLINK("https://main.knesset.gov.il/APPS/legislation/main/bills/2088290", "הצעת חוק צער בעלי חיים (הגנה על בעלי חיים) (תיקון - איסור משלוחים חיים לשחיטה), התש''ף-2020")</f>
        <v>25701</v>
      </c>
      <c r="E13300" t="s">
        <v>25701</v>
      </c>
      <c r="F13300" t="s">
        <v>25702</v>
      </c>
      <c r="G13300" t="s">
        <v>14</v>
      </c>
      <c r="H13300">
             </c>
      <c r="I13300" t="s">
        <v>14</v>
      </c>
      <c r="J13300" t="s">
        <v>1123</v>
      </c>
      <c r="K13300" t="s">
        <v>14</v>
      </c>
      <c r="L13300" t="s">
        <v>20</v>
      </c>
      <c r="M13300" t="s">
        <v>25644</v>
      </c>
      <c r="N13300" t="s">
        <v>14</v>
      </c>
    </row>
    <row r="13301" x14ac:dyDescent="0.25">
      <c r="A13301" t="n">
        <v>23</v>
      </c>
      <c r="B13301" t="s">
        <v>14</v>
      </c>
      <c r="C13301" t="s">
        <v>22</v>
      </c>
      <c r="D13301" s="2" t="s">
        <f>=HYPERLINK("https://main.knesset.gov.il/APPS/legislation/main/bills/2087089", "הצעת חוק זכויות הסטודנט (תיקון - מסלולי לימוד נפרדים), התש""ף-2020")</f>
        <v>25703</v>
      </c>
      <c r="E13301" t="s">
        <v>25703</v>
      </c>
      <c r="F13301" t="s">
        <v>25704</v>
      </c>
      <c r="G13301" t="s">
        <v>14</v>
      </c>
      <c r="H13301">
             </c>
      <c r="I13301" t="s">
        <v>14</v>
      </c>
      <c r="J13301" t="s">
        <v>141</v>
      </c>
      <c r="K13301" t="s">
        <v>14</v>
      </c>
      <c r="L13301" t="s">
        <v>20</v>
      </c>
      <c r="M13301" t="s">
        <v>25644</v>
      </c>
      <c r="N13301" t="s">
        <v>14</v>
      </c>
    </row>
    <row r="13302" x14ac:dyDescent="0.25">
      <c r="A13302" t="n">
        <v>23</v>
      </c>
      <c r="B13302" t="s">
        <v>14</v>
      </c>
      <c r="C13302" t="s">
        <v>22</v>
      </c>
      <c r="D13302" s="2" t="s">
        <f>=HYPERLINK("https://main.knesset.gov.il/APPS/legislation/main/bills/2087937", "הצעת חוק הגנת הצרכן (תיקון - איסור גביית עמלה בהרשאה לחיוב חשבון בהוראת קבע), התש""ף-2020")</f>
        <v>25705</v>
      </c>
      <c r="E13302" t="s">
        <v>25705</v>
      </c>
      <c r="F13302" t="s">
        <v>25706</v>
      </c>
      <c r="G13302" t="s">
        <v>14</v>
      </c>
      <c r="H13302">
             </c>
      <c r="I13302" t="s">
        <v>14</v>
      </c>
      <c r="J13302" t="s">
        <v>141</v>
      </c>
      <c r="K13302" t="s">
        <v>14</v>
      </c>
      <c r="L13302" t="s">
        <v>20</v>
      </c>
      <c r="M13302" t="s">
        <v>25644</v>
      </c>
      <c r="N13302" t="s">
        <v>14</v>
      </c>
    </row>
    <row r="13303" x14ac:dyDescent="0.25">
      <c r="A13303" t="n">
        <v>23</v>
      </c>
      <c r="B13303" t="s">
        <v>14</v>
      </c>
      <c r="C13303" t="s">
        <v>22</v>
      </c>
      <c r="D13303" s="2" t="s">
        <f>=HYPERLINK("https://main.knesset.gov.il/APPS/legislation/main/bills/2087094", "הצעת חוק המועצה להשכלה גבוהה (תיקון - עידוד הנגשה להשכלה גבוהה), התש""ף-2020")</f>
        <v>25707</v>
      </c>
      <c r="E13303" t="s">
        <v>25707</v>
      </c>
      <c r="F13303" t="s">
        <v>25708</v>
      </c>
      <c r="G13303" t="s">
        <v>14</v>
      </c>
      <c r="H13303">
             </c>
      <c r="I13303" t="s">
        <v>14</v>
      </c>
      <c r="J13303" t="s">
        <v>141</v>
      </c>
      <c r="K13303" t="s">
        <v>14</v>
      </c>
      <c r="L13303" t="s">
        <v>20</v>
      </c>
      <c r="M13303" t="s">
        <v>25644</v>
      </c>
      <c r="N13303" t="s">
        <v>14</v>
      </c>
    </row>
    <row r="13304" x14ac:dyDescent="0.25">
      <c r="A13304" t="n">
        <v>23</v>
      </c>
      <c r="B13304" t="s">
        <v>14</v>
      </c>
      <c r="C13304" t="s">
        <v>22</v>
      </c>
      <c r="D13304" s="2" t="s">
        <f>=HYPERLINK("https://main.knesset.gov.il/APPS/legislation/main/bills/2087947", "הצעת חוק הגנת הצרכן (תיקון - חובת הצגת מחיר מוצר בעת עריכת החשבון בקופה), התש""ף-2020")</f>
        <v>25709</v>
      </c>
      <c r="E13304" t="s">
        <v>25709</v>
      </c>
      <c r="F13304" t="s">
        <v>25710</v>
      </c>
      <c r="G13304" t="s">
        <v>14</v>
      </c>
      <c r="H13304">
             </c>
      <c r="I13304" t="s">
        <v>14</v>
      </c>
      <c r="J13304" t="s">
        <v>141</v>
      </c>
      <c r="K13304" t="s">
        <v>14</v>
      </c>
      <c r="L13304" t="s">
        <v>20</v>
      </c>
      <c r="M13304" t="s">
        <v>25644</v>
      </c>
      <c r="N13304" t="s">
        <v>14</v>
      </c>
    </row>
    <row r="13305" x14ac:dyDescent="0.25">
      <c r="A13305" t="n">
        <v>23</v>
      </c>
      <c r="B13305" t="s">
        <v>14</v>
      </c>
      <c r="C13305" t="s">
        <v>22</v>
      </c>
      <c r="D13305" s="2" t="s">
        <f>=HYPERLINK("https://main.knesset.gov.il/APPS/legislation/main/bills/2087104", "הצעת חוק זכויות התלמיד (תיקון - שוויון בין תלמידים בציוני מגן), התש""ף-2020")</f>
        <v>25711</v>
      </c>
      <c r="E13305" t="s">
        <v>25711</v>
      </c>
      <c r="F13305" t="s">
        <v>25712</v>
      </c>
      <c r="G13305" t="s">
        <v>14</v>
      </c>
      <c r="H13305">
             </c>
      <c r="I13305" t="s">
        <v>14</v>
      </c>
      <c r="J13305" t="s">
        <v>141</v>
      </c>
      <c r="K13305" t="s">
        <v>14</v>
      </c>
      <c r="L13305" t="s">
        <v>20</v>
      </c>
      <c r="M13305" t="s">
        <v>25644</v>
      </c>
      <c r="N13305" t="s">
        <v>14</v>
      </c>
    </row>
    <row r="13306" x14ac:dyDescent="0.25">
      <c r="A13306" t="n">
        <v>23</v>
      </c>
      <c r="B13306" t="s">
        <v>14</v>
      </c>
      <c r="C13306" t="s">
        <v>22</v>
      </c>
      <c r="D13306" s="2" t="s">
        <f>=HYPERLINK("https://main.knesset.gov.il/APPS/legislation/main/bills/2088385", "הצעת חוק לתיקון פקודת התעבורה (חובת התקנת חיישן בטיחות), התש""ף-2020")</f>
        <v>25713</v>
      </c>
      <c r="E13306" t="s">
        <v>25713</v>
      </c>
      <c r="F13306" t="s">
        <v>25714</v>
      </c>
      <c r="G13306" t="s">
        <v>14</v>
      </c>
      <c r="H13306">
             </c>
      <c r="I13306" t="s">
        <v>14</v>
      </c>
      <c r="J13306" t="s">
        <v>141</v>
      </c>
      <c r="K13306" t="s">
        <v>14</v>
      </c>
      <c r="L13306" t="s">
        <v>20</v>
      </c>
      <c r="M13306" t="s">
        <v>25644</v>
      </c>
      <c r="N13306" t="s">
        <v>14</v>
      </c>
    </row>
    <row r="13307" x14ac:dyDescent="0.25">
      <c r="A13307" t="n">
        <v>23</v>
      </c>
      <c r="B13307" t="s">
        <v>14</v>
      </c>
      <c r="C13307" t="s">
        <v>22</v>
      </c>
      <c r="D13307" s="2" t="s">
        <f>=HYPERLINK("https://main.knesset.gov.il/APPS/legislation/main/bills/2087106", "הצעת חוק פיקוח על בתי ספר (תיקון - חובת הכנת תסקיר בטיחות), התש""ף-2020")</f>
        <v>25715</v>
      </c>
      <c r="E13307" t="s">
        <v>25715</v>
      </c>
      <c r="F13307" t="s">
        <v>25716</v>
      </c>
      <c r="G13307" t="s">
        <v>14</v>
      </c>
      <c r="H13307">
             </c>
      <c r="I13307" t="s">
        <v>14</v>
      </c>
      <c r="J13307" t="s">
        <v>141</v>
      </c>
      <c r="K13307" t="s">
        <v>14</v>
      </c>
      <c r="L13307" t="s">
        <v>20</v>
      </c>
      <c r="M13307" t="s">
        <v>25644</v>
      </c>
      <c r="N13307" t="s">
        <v>14</v>
      </c>
    </row>
    <row r="13308" x14ac:dyDescent="0.25">
      <c r="A13308" t="n">
        <v>23</v>
      </c>
      <c r="B13308" t="s">
        <v>14</v>
      </c>
      <c r="C13308" t="s">
        <v>22</v>
      </c>
      <c r="D13308" s="2" t="s">
        <f>=HYPERLINK("https://main.knesset.gov.il/APPS/legislation/main/bills/2087949", "הצעת חוק הגנת הצרכן (תיקון - חובת גילוי הוזלה במחיר בעסקה מתמשכת), התש""ף-2020")</f>
        <v>25717</v>
      </c>
      <c r="E13308" t="s">
        <v>25717</v>
      </c>
      <c r="F13308" t="s">
        <v>25718</v>
      </c>
      <c r="G13308" t="s">
        <v>14</v>
      </c>
      <c r="H13308">
             </c>
      <c r="I13308" t="s">
        <v>14</v>
      </c>
      <c r="J13308" t="s">
        <v>141</v>
      </c>
      <c r="K13308" t="s">
        <v>14</v>
      </c>
      <c r="L13308" t="s">
        <v>20</v>
      </c>
      <c r="M13308" t="s">
        <v>25644</v>
      </c>
      <c r="N13308" t="s">
        <v>14</v>
      </c>
    </row>
    <row r="13309" x14ac:dyDescent="0.25">
      <c r="A13309" t="n">
        <v>23</v>
      </c>
      <c r="B13309" t="s">
        <v>14</v>
      </c>
      <c r="C13309" t="s">
        <v>22</v>
      </c>
      <c r="D13309" s="2" t="s">
        <f>=HYPERLINK("https://main.knesset.gov.il/APPS/legislation/main/bills/2088383", "הצעת חוק משק החשמל (תיקון - תשלומי חשמל מופחתים לקשישים נכים), התש""ף-2020")</f>
        <v>25719</v>
      </c>
      <c r="E13309" t="s">
        <v>25719</v>
      </c>
      <c r="F13309" t="s">
        <v>25720</v>
      </c>
      <c r="G13309" t="s">
        <v>14</v>
      </c>
      <c r="H13309">
             </c>
      <c r="I13309" t="s">
        <v>14</v>
      </c>
      <c r="J13309" t="s">
        <v>141</v>
      </c>
      <c r="K13309" t="s">
        <v>14</v>
      </c>
      <c r="L13309" t="s">
        <v>20</v>
      </c>
      <c r="M13309" t="s">
        <v>25644</v>
      </c>
      <c r="N13309" t="s">
        <v>14</v>
      </c>
    </row>
    <row r="13310" x14ac:dyDescent="0.25">
      <c r="A13310" t="n">
        <v>23</v>
      </c>
      <c r="B13310" t="s">
        <v>14</v>
      </c>
      <c r="C13310" t="s">
        <v>22</v>
      </c>
      <c r="D13310" s="2" t="s">
        <f>=HYPERLINK("https://main.knesset.gov.il/APPS/legislation/main/bills/2087957", "הצעת חוק הגנת הצרכן (תיקון - חובת סימון נפח האריזה וקביעת הנפח בשימוש), התש""ף-2020")</f>
        <v>25721</v>
      </c>
      <c r="E13310" t="s">
        <v>25721</v>
      </c>
      <c r="F13310" t="s">
        <v>25722</v>
      </c>
      <c r="G13310" t="s">
        <v>14</v>
      </c>
      <c r="H13310">
             </c>
      <c r="I13310" t="s">
        <v>14</v>
      </c>
      <c r="J13310" t="s">
        <v>141</v>
      </c>
      <c r="K13310" t="s">
        <v>14</v>
      </c>
      <c r="L13310" t="s">
        <v>20</v>
      </c>
      <c r="M13310" t="s">
        <v>25644</v>
      </c>
      <c r="N13310" t="s">
        <v>14</v>
      </c>
    </row>
    <row r="13311" x14ac:dyDescent="0.25">
      <c r="A13311" t="n">
        <v>23</v>
      </c>
      <c r="B13311" t="s">
        <v>14</v>
      </c>
      <c r="C13311" t="s">
        <v>22</v>
      </c>
      <c r="D13311" s="2" t="s">
        <f>=HYPERLINK("https://main.knesset.gov.il/APPS/legislation/main/bills/2088380", "הצעת חוק המתווכים במקרקעין (תיקון - הגבלת תקופת הבלעדיות לשלושה חודשים), התש""ף-2020")</f>
        <v>25723</v>
      </c>
      <c r="E13311" t="s">
        <v>25723</v>
      </c>
      <c r="F13311" t="s">
        <v>25724</v>
      </c>
      <c r="G13311" t="s">
        <v>14</v>
      </c>
      <c r="H13311">
             </c>
      <c r="I13311" t="s">
        <v>14</v>
      </c>
      <c r="J13311" t="s">
        <v>141</v>
      </c>
      <c r="K13311" t="s">
        <v>14</v>
      </c>
      <c r="L13311" t="s">
        <v>20</v>
      </c>
      <c r="M13311" t="s">
        <v>25644</v>
      </c>
      <c r="N13311" t="s">
        <v>14</v>
      </c>
    </row>
    <row r="13312" x14ac:dyDescent="0.25">
      <c r="A13312" t="n">
        <v>23</v>
      </c>
      <c r="B13312" t="s">
        <v>14</v>
      </c>
      <c r="C13312" t="s">
        <v>22</v>
      </c>
      <c r="D13312" s="2" t="s">
        <f>=HYPERLINK("https://main.knesset.gov.il/APPS/legislation/main/bills/2088378", "הצעת חוק הגנת הצרכן (תיקון - פנייה מקדימה בעסקת מכר מרחוק), התש""ף-2020")</f>
        <v>25725</v>
      </c>
      <c r="E13312" t="s">
        <v>25725</v>
      </c>
      <c r="F13312" t="s">
        <v>25726</v>
      </c>
      <c r="G13312" t="s">
        <v>14</v>
      </c>
      <c r="H13312">
             </c>
      <c r="I13312" t="s">
        <v>14</v>
      </c>
      <c r="J13312" t="s">
        <v>141</v>
      </c>
      <c r="K13312" t="s">
        <v>14</v>
      </c>
      <c r="L13312" t="s">
        <v>20</v>
      </c>
      <c r="M13312" t="s">
        <v>25644</v>
      </c>
      <c r="N13312" t="s">
        <v>14</v>
      </c>
    </row>
    <row r="13313" x14ac:dyDescent="0.25">
      <c r="A13313" t="n">
        <v>23</v>
      </c>
      <c r="B13313" t="s">
        <v>14</v>
      </c>
      <c r="C13313" t="s">
        <v>22</v>
      </c>
      <c r="D13313" s="2" t="s">
        <f>=HYPERLINK("https://main.knesset.gov.il/APPS/legislation/main/bills/2087961", "הצעת חוק איסור הפליה במוצרים, בשירותים ובכניסה למקומות בידור ולמקומות ציבוריים (תיקון - איסור הפליה בשל הובלת עגלת ילדים), התש""ף-2020")</f>
        <v>25727</v>
      </c>
      <c r="E13313" t="s">
        <v>25727</v>
      </c>
      <c r="F13313" t="s">
        <v>25728</v>
      </c>
      <c r="G13313" t="s">
        <v>14</v>
      </c>
      <c r="H13313">
             </c>
      <c r="I13313" t="s">
        <v>14</v>
      </c>
      <c r="J13313" t="s">
        <v>141</v>
      </c>
      <c r="K13313" t="s">
        <v>14</v>
      </c>
      <c r="L13313" t="s">
        <v>20</v>
      </c>
      <c r="M13313" t="s">
        <v>25644</v>
      </c>
      <c r="N13313" t="s">
        <v>14</v>
      </c>
    </row>
    <row r="13314" x14ac:dyDescent="0.25">
      <c r="A13314" t="n">
        <v>23</v>
      </c>
      <c r="B13314" t="s">
        <v>14</v>
      </c>
      <c r="C13314" t="s">
        <v>22</v>
      </c>
      <c r="D13314" s="2" t="s">
        <f>=HYPERLINK("https://main.knesset.gov.il/APPS/legislation/main/bills/2088382", "הצעת חוק משק החשמל (תיקון - פיקוח פרלמנטרי על תעריפי החשמל), התש""ף-2020")</f>
        <v>25729</v>
      </c>
      <c r="E13314" t="s">
        <v>25729</v>
      </c>
      <c r="F13314" t="s">
        <v>25730</v>
      </c>
      <c r="G13314" t="s">
        <v>14</v>
      </c>
      <c r="H13314">
             </c>
      <c r="I13314" t="s">
        <v>14</v>
      </c>
      <c r="J13314" t="s">
        <v>141</v>
      </c>
      <c r="K13314" t="s">
        <v>14</v>
      </c>
      <c r="L13314" t="s">
        <v>20</v>
      </c>
      <c r="M13314" t="s">
        <v>25644</v>
      </c>
      <c r="N13314" t="s">
        <v>14</v>
      </c>
    </row>
    <row r="13315" x14ac:dyDescent="0.25">
      <c r="A13315" t="n">
        <v>23</v>
      </c>
      <c r="B13315" t="s">
        <v>14</v>
      </c>
      <c r="C13315" t="s">
        <v>22</v>
      </c>
      <c r="D13315" s="2" t="s">
        <f>=HYPERLINK("https://main.knesset.gov.il/APPS/legislation/main/bills/2087964", "הצעת חוק לתיקון פקודת התעבורה (הסדר ארצי אחיד לעניין גרירת רכב), התש""ף-2020")</f>
        <v>25731</v>
      </c>
      <c r="E13315" t="s">
        <v>25731</v>
      </c>
      <c r="F13315" t="s">
        <v>25732</v>
      </c>
      <c r="G13315" t="s">
        <v>14</v>
      </c>
      <c r="H13315">
             </c>
      <c r="I13315" t="s">
        <v>14</v>
      </c>
      <c r="J13315" t="s">
        <v>141</v>
      </c>
      <c r="K13315" t="s">
        <v>14</v>
      </c>
      <c r="L13315" t="s">
        <v>20</v>
      </c>
      <c r="M13315" t="s">
        <v>25644</v>
      </c>
      <c r="N13315" t="s">
        <v>14</v>
      </c>
    </row>
    <row r="13316" x14ac:dyDescent="0.25">
      <c r="A13316" t="n">
        <v>23</v>
      </c>
      <c r="B13316" t="s">
        <v>14</v>
      </c>
      <c r="C13316" t="s">
        <v>22</v>
      </c>
      <c r="D13316" s="2" t="s">
        <f>=HYPERLINK("https://main.knesset.gov.il/APPS/legislation/main/bills/2087965", "הצעת חוק לתיקון פקודת התעבורה (הפחתת גובה קנס בשל תשלום מיידי), התש""ף-2020")</f>
        <v>25733</v>
      </c>
      <c r="E13316" t="s">
        <v>25733</v>
      </c>
      <c r="F13316" t="s">
        <v>25734</v>
      </c>
      <c r="G13316" t="s">
        <v>14</v>
      </c>
      <c r="H13316">
             </c>
      <c r="I13316" t="s">
        <v>14</v>
      </c>
      <c r="J13316" t="s">
        <v>141</v>
      </c>
      <c r="K13316" t="s">
        <v>14</v>
      </c>
      <c r="L13316" t="s">
        <v>20</v>
      </c>
      <c r="M13316" t="s">
        <v>25644</v>
      </c>
      <c r="N13316" t="s">
        <v>14</v>
      </c>
    </row>
    <row r="13317" x14ac:dyDescent="0.25">
      <c r="A13317" t="n">
        <v>23</v>
      </c>
      <c r="B13317" t="s">
        <v>14</v>
      </c>
      <c r="C13317" t="s">
        <v>22</v>
      </c>
      <c r="D13317" s="2" t="s">
        <f>=HYPERLINK("https://main.knesset.gov.il/APPS/legislation/main/bills/2087956", "הצעת חוק כרטיסי חיוב (תיקון - חובת פרסום פרטי ספק), התש""ף-2020")</f>
        <v>25735</v>
      </c>
      <c r="E13317" t="s">
        <v>25735</v>
      </c>
      <c r="F13317" t="s">
        <v>25736</v>
      </c>
      <c r="G13317" t="s">
        <v>14</v>
      </c>
      <c r="H13317">
             </c>
      <c r="I13317" t="s">
        <v>14</v>
      </c>
      <c r="J13317" t="s">
        <v>141</v>
      </c>
      <c r="K13317" t="s">
        <v>14</v>
      </c>
      <c r="L13317" t="s">
        <v>20</v>
      </c>
      <c r="M13317" t="s">
        <v>25644</v>
      </c>
      <c r="N13317" t="s">
        <v>14</v>
      </c>
    </row>
    <row r="13318" x14ac:dyDescent="0.25">
      <c r="A13318" t="n">
        <v>23</v>
      </c>
      <c r="B13318" t="s">
        <v>14</v>
      </c>
      <c r="C13318" t="s">
        <v>22</v>
      </c>
      <c r="D13318" s="2" t="s">
        <f>=HYPERLINK("https://main.knesset.gov.il/APPS/legislation/main/bills/2087921", "הצעת חוק פיקוח על מחירי מצרכים ושירותים (תיקון - קביעת ההפרש בין מחיר מצרך לצרכן ומחיר מצרך לקמעונאי כרווח מרבי), התש""ף-2020")</f>
        <v>25737</v>
      </c>
      <c r="E13318" t="s">
        <v>25737</v>
      </c>
      <c r="F13318" t="s">
        <v>25738</v>
      </c>
      <c r="G13318" t="s">
        <v>14</v>
      </c>
      <c r="H13318">
             </c>
      <c r="I13318" t="s">
        <v>14</v>
      </c>
      <c r="J13318" t="s">
        <v>141</v>
      </c>
      <c r="K13318" t="s">
        <v>14</v>
      </c>
      <c r="L13318" t="s">
        <v>20</v>
      </c>
      <c r="M13318" t="s">
        <v>25644</v>
      </c>
      <c r="N13318" t="s">
        <v>14</v>
      </c>
    </row>
    <row r="13319" x14ac:dyDescent="0.25">
      <c r="A13319" t="n">
        <v>23</v>
      </c>
      <c r="B13319" t="s">
        <v>14</v>
      </c>
      <c r="C13319" t="s">
        <v>22</v>
      </c>
      <c r="D13319" s="2" t="s">
        <f>=HYPERLINK("https://main.knesset.gov.il/APPS/legislation/main/bills/2087923", "הצעת חוק לתיקון פקודת התעבורה (סימון שונה במקומות שבהם היתר החניה תלוי בשעות), התש""ף-2020")</f>
        <v>25739</v>
      </c>
      <c r="E13319" t="s">
        <v>25739</v>
      </c>
      <c r="F13319" t="s">
        <v>25740</v>
      </c>
      <c r="G13319" t="s">
        <v>14</v>
      </c>
      <c r="H13319">
             </c>
      <c r="I13319" t="s">
        <v>14</v>
      </c>
      <c r="J13319" t="s">
        <v>141</v>
      </c>
      <c r="K13319" t="s">
        <v>14</v>
      </c>
      <c r="L13319" t="s">
        <v>20</v>
      </c>
      <c r="M13319" t="s">
        <v>25644</v>
      </c>
      <c r="N13319" t="s">
        <v>14</v>
      </c>
    </row>
    <row r="13320" x14ac:dyDescent="0.25">
      <c r="A13320" t="n">
        <v>23</v>
      </c>
      <c r="B13320" t="s">
        <v>14</v>
      </c>
      <c r="C13320" t="s">
        <v>22</v>
      </c>
      <c r="D13320" s="2" t="s">
        <f>=HYPERLINK("https://main.knesset.gov.il/APPS/legislation/main/bills/2085766", "הצעת חוק הרשות לפיתוח הנגב (תיקון - הרחבת סמכויות הרשות ותפקידיה), התש""ף-2020")</f>
        <v>25741</v>
      </c>
      <c r="E13320" t="s">
        <v>25741</v>
      </c>
      <c r="F13320" t="s">
        <v>25742</v>
      </c>
      <c r="G13320" t="s">
        <v>14</v>
      </c>
      <c r="H13320">
             </c>
      <c r="I13320" t="s">
        <v>14</v>
      </c>
      <c r="J13320" t="s">
        <v>141</v>
      </c>
      <c r="K13320" t="s">
        <v>14</v>
      </c>
      <c r="L13320" t="s">
        <v>20</v>
      </c>
      <c r="M13320" t="s">
        <v>25644</v>
      </c>
      <c r="N13320" t="s">
        <v>14</v>
      </c>
    </row>
    <row r="13321" x14ac:dyDescent="0.25">
      <c r="A13321" t="n">
        <v>23</v>
      </c>
      <c r="B13321" t="s">
        <v>14</v>
      </c>
      <c r="C13321" t="s">
        <v>22</v>
      </c>
      <c r="D13321" s="2" t="s">
        <f>=HYPERLINK("https://main.knesset.gov.il/APPS/legislation/main/bills/2087924", "הצעת חוק המים (תיקון - הנחות לאוכלוסיות זכאיות), התש""ף-2020")</f>
        <v>25743</v>
      </c>
      <c r="E13321" t="s">
        <v>25743</v>
      </c>
      <c r="F13321" t="s">
        <v>25744</v>
      </c>
      <c r="G13321" t="s">
        <v>14</v>
      </c>
      <c r="H13321">
             </c>
      <c r="I13321" t="s">
        <v>14</v>
      </c>
      <c r="J13321" t="s">
        <v>141</v>
      </c>
      <c r="K13321" t="s">
        <v>14</v>
      </c>
      <c r="L13321" t="s">
        <v>20</v>
      </c>
      <c r="M13321" t="s">
        <v>25644</v>
      </c>
      <c r="N13321" t="s">
        <v>14</v>
      </c>
    </row>
    <row r="13322" x14ac:dyDescent="0.25">
      <c r="A13322" t="n">
        <v>23</v>
      </c>
      <c r="B13322" t="s">
        <v>14</v>
      </c>
      <c r="C13322" t="s">
        <v>22</v>
      </c>
      <c r="D13322" s="2" t="s">
        <f>=HYPERLINK("https://main.knesset.gov.il/APPS/legislation/main/bills/2087180", "הצעת חוק חינוך ממלכתי (תיקון - שלילת תקצוב וקביעת אזורי רישום), התש""ף-2020")</f>
        <v>25745</v>
      </c>
      <c r="E13322" t="s">
        <v>25745</v>
      </c>
      <c r="F13322" t="s">
        <v>25746</v>
      </c>
      <c r="G13322" t="s">
        <v>14</v>
      </c>
      <c r="H13322">
             </c>
      <c r="I13322" t="s">
        <v>14</v>
      </c>
      <c r="J13322" t="s">
        <v>141</v>
      </c>
      <c r="K13322" t="s">
        <v>14</v>
      </c>
      <c r="L13322" t="s">
        <v>20</v>
      </c>
      <c r="M13322" t="s">
        <v>25644</v>
      </c>
      <c r="N13322" t="s">
        <v>14</v>
      </c>
    </row>
    <row r="13323" x14ac:dyDescent="0.25">
      <c r="A13323" t="n">
        <v>23</v>
      </c>
      <c r="B13323" t="s">
        <v>14</v>
      </c>
      <c r="C13323" t="s">
        <v>22</v>
      </c>
      <c r="D13323" s="2" t="s">
        <f>=HYPERLINK("https://main.knesset.gov.il/APPS/legislation/main/bills/2087925", "הצעת חוק לתיקון פקודת התעבורה (סדרי דין מיוחדים לעניין שירות לתועלת הציבור בעבירות תעבורה), התש""ף-2020")</f>
        <v>25747</v>
      </c>
      <c r="E13323" t="s">
        <v>25747</v>
      </c>
      <c r="F13323" t="s">
        <v>25748</v>
      </c>
      <c r="G13323" t="s">
        <v>14</v>
      </c>
      <c r="H13323">
             </c>
      <c r="I13323" t="s">
        <v>14</v>
      </c>
      <c r="J13323" t="s">
        <v>141</v>
      </c>
      <c r="K13323" t="s">
        <v>14</v>
      </c>
      <c r="L13323" t="s">
        <v>20</v>
      </c>
      <c r="M13323" t="s">
        <v>25644</v>
      </c>
      <c r="N13323" t="s">
        <v>14</v>
      </c>
    </row>
    <row r="13324" x14ac:dyDescent="0.25">
      <c r="A13324" t="n">
        <v>23</v>
      </c>
      <c r="B13324" t="s">
        <v>14</v>
      </c>
      <c r="C13324" t="s">
        <v>22</v>
      </c>
      <c r="D13324" s="2" t="s">
        <f>=HYPERLINK("https://main.knesset.gov.il/APPS/legislation/main/bills/2088089", "הצעת חוק לתיקון פקודת מס הכנסה (קיזוז הפסדי עבר), התש""ף-2020")</f>
        <v>25749</v>
      </c>
      <c r="E13324" t="s">
        <v>25749</v>
      </c>
      <c r="F13324" t="s">
        <v>25750</v>
      </c>
      <c r="G13324" t="s">
        <v>14</v>
      </c>
      <c r="H13324">
             </c>
      <c r="I13324" t="s">
        <v>14</v>
      </c>
      <c r="J13324" t="s">
        <v>141</v>
      </c>
      <c r="K13324" t="s">
        <v>14</v>
      </c>
      <c r="L13324" t="s">
        <v>20</v>
      </c>
      <c r="M13324" t="s">
        <v>25644</v>
      </c>
      <c r="N13324" t="s">
        <v>14</v>
      </c>
    </row>
    <row r="13325" x14ac:dyDescent="0.25">
      <c r="A13325" t="n">
        <v>23</v>
      </c>
      <c r="B13325" t="s">
        <v>14</v>
      </c>
      <c r="C13325" t="s">
        <v>22</v>
      </c>
      <c r="D13325" s="2" t="s">
        <f>=HYPERLINK("https://main.knesset.gov.il/APPS/legislation/main/bills/2088387", "הצעת חוק הגנה כלכלית על חסרי ישע (תיקוני חקיקה), התש""ף-2020")</f>
        <v>25751</v>
      </c>
      <c r="E13325" t="s">
        <v>25751</v>
      </c>
      <c r="F13325" t="s">
        <v>25752</v>
      </c>
      <c r="G13325" t="s">
        <v>14</v>
      </c>
      <c r="H13325">
             </c>
      <c r="I13325" t="s">
        <v>14</v>
      </c>
      <c r="J13325" t="s">
        <v>141</v>
      </c>
      <c r="K13325" t="s">
        <v>14</v>
      </c>
      <c r="L13325" t="s">
        <v>20</v>
      </c>
      <c r="M13325" t="s">
        <v>25644</v>
      </c>
      <c r="N13325" t="s">
        <v>14</v>
      </c>
    </row>
    <row r="13326" x14ac:dyDescent="0.25">
      <c r="A13326" t="n">
        <v>23</v>
      </c>
      <c r="B13326" t="s">
        <v>14</v>
      </c>
      <c r="C13326" t="s">
        <v>22</v>
      </c>
      <c r="D13326" s="2" t="s">
        <f>=HYPERLINK("https://main.knesset.gov.il/APPS/legislation/main/bills/2088430", "הצעת חוק ביטוח בריאות ממלכתי (תיקון - קביעת זמני המתנה ומרחקי נסיעה מרביים לקבלת טיפול רפואי), התש""ף-2020")</f>
        <v>25753</v>
      </c>
      <c r="E13326" t="s">
        <v>25753</v>
      </c>
      <c r="F13326" t="s">
        <v>25754</v>
      </c>
      <c r="G13326" t="s">
        <v>14</v>
      </c>
      <c r="H13326">
             </c>
      <c r="I13326" t="s">
        <v>14</v>
      </c>
      <c r="J13326" t="s">
        <v>141</v>
      </c>
      <c r="K13326" t="s">
        <v>14</v>
      </c>
      <c r="L13326" t="s">
        <v>20</v>
      </c>
      <c r="M13326" t="s">
        <v>25644</v>
      </c>
      <c r="N13326" t="s">
        <v>14</v>
      </c>
    </row>
    <row r="13327" x14ac:dyDescent="0.25">
      <c r="A13327" t="n">
        <v>23</v>
      </c>
      <c r="B13327" t="s">
        <v>14</v>
      </c>
      <c r="C13327" t="s">
        <v>22</v>
      </c>
      <c r="D13327" s="2" t="s">
        <f>=HYPERLINK("https://main.knesset.gov.il/APPS/legislation/main/bills/2088008", "הצעת חוק לתיקון פקודת מס הכנסה (פטור לדמי הבראה), התש""ף-2020")</f>
        <v>25755</v>
      </c>
      <c r="E13327" t="s">
        <v>25755</v>
      </c>
      <c r="F13327" t="s">
        <v>25756</v>
      </c>
      <c r="G13327" t="s">
        <v>14</v>
      </c>
      <c r="H13327">
             </c>
      <c r="I13327" t="s">
        <v>14</v>
      </c>
      <c r="J13327" t="s">
        <v>141</v>
      </c>
      <c r="K13327" t="s">
        <v>14</v>
      </c>
      <c r="L13327" t="s">
        <v>20</v>
      </c>
      <c r="M13327" t="s">
        <v>25644</v>
      </c>
      <c r="N13327" t="s">
        <v>14</v>
      </c>
    </row>
    <row r="13328" x14ac:dyDescent="0.25">
      <c r="A13328" t="n">
        <v>23</v>
      </c>
      <c r="B13328" t="s">
        <v>14</v>
      </c>
      <c r="C13328" t="s">
        <v>22</v>
      </c>
      <c r="D13328" s="2" t="s">
        <f>=HYPERLINK("https://main.knesset.gov.il/APPS/legislation/main/bills/2088429", "הצעת חוק ביטוח בריאות ממלכתי (תיקון - החזר דמי נסיעות והסעות לטיפולי אונקולוגיה ודיאליזה), התש""ף-2020 ")</f>
        <v>25757</v>
      </c>
      <c r="E13328" t="s">
        <v>25757</v>
      </c>
      <c r="F13328" t="s">
        <v>25758</v>
      </c>
      <c r="G13328" t="s">
        <v>14</v>
      </c>
      <c r="H13328">
             </c>
      <c r="I13328" t="s">
        <v>14</v>
      </c>
      <c r="J13328" t="s">
        <v>141</v>
      </c>
      <c r="K13328" t="s">
        <v>14</v>
      </c>
      <c r="L13328" t="s">
        <v>20</v>
      </c>
      <c r="M13328" t="s">
        <v>25644</v>
      </c>
      <c r="N13328" t="s">
        <v>14</v>
      </c>
    </row>
    <row r="13329" x14ac:dyDescent="0.25">
      <c r="A13329" t="n">
        <v>23</v>
      </c>
      <c r="B13329" t="s">
        <v>14</v>
      </c>
      <c r="C13329" t="s">
        <v>22</v>
      </c>
      <c r="D13329" s="2" t="s">
        <f>=HYPERLINK("https://main.knesset.gov.il/APPS/legislation/main/bills/2088003", "הצעת חוק מס ערך מוסף (תיקון - פטור ממס לתרופות אונקולוגיות שאינן כלולות בסל הבריאות), התש""ף-2020")</f>
        <v>25759</v>
      </c>
      <c r="E13329" t="s">
        <v>25759</v>
      </c>
      <c r="F13329" t="s">
        <v>25760</v>
      </c>
      <c r="G13329" t="s">
        <v>14</v>
      </c>
      <c r="H13329">
             </c>
      <c r="I13329" t="s">
        <v>14</v>
      </c>
      <c r="J13329" t="s">
        <v>141</v>
      </c>
      <c r="K13329" t="s">
        <v>14</v>
      </c>
      <c r="L13329" t="s">
        <v>20</v>
      </c>
      <c r="M13329" t="s">
        <v>25644</v>
      </c>
      <c r="N13329" t="s">
        <v>14</v>
      </c>
    </row>
    <row r="13330" x14ac:dyDescent="0.25">
      <c r="A13330" t="n">
        <v>23</v>
      </c>
      <c r="B13330" t="s">
        <v>14</v>
      </c>
      <c r="C13330" t="s">
        <v>22</v>
      </c>
      <c r="D13330" s="2" t="s">
        <f>=HYPERLINK("https://main.knesset.gov.il/APPS/legislation/main/bills/2088148", "הצעת חוק משפחות חיילים שנספו במערכה (תגמולים ושיקום) (תיקון - שימוש בזרע חייל שנספה), התש""ף-2020")</f>
        <v>24861</v>
      </c>
      <c r="E13330" t="s">
        <v>24861</v>
      </c>
      <c r="F13330" t="s">
        <v>25761</v>
      </c>
      <c r="G13330" t="s">
        <v>14</v>
      </c>
      <c r="H13330">
             </c>
      <c r="I13330" t="s">
        <v>14</v>
      </c>
      <c r="J13330" t="s">
        <v>141</v>
      </c>
      <c r="K13330" t="s">
        <v>14</v>
      </c>
      <c r="L13330" t="s">
        <v>20</v>
      </c>
      <c r="M13330" t="s">
        <v>25644</v>
      </c>
      <c r="N13330" t="s">
        <v>14</v>
      </c>
    </row>
    <row r="13331" x14ac:dyDescent="0.25">
      <c r="A13331" t="n">
        <v>23</v>
      </c>
      <c r="B13331" t="s">
        <v>14</v>
      </c>
      <c r="C13331" t="s">
        <v>22</v>
      </c>
      <c r="D13331" s="2" t="s">
        <f>=HYPERLINK("https://main.knesset.gov.il/APPS/legislation/main/bills/2088007", "הצעת חוק מס ערך מוסף (תיקון - פטור ממס ממכירת תרופות מאריכות חיים שאינן כלולות בסל הבריאות), התש""ף-2020")</f>
        <v>25762</v>
      </c>
      <c r="E13331" t="s">
        <v>25762</v>
      </c>
      <c r="F13331" t="s">
        <v>25763</v>
      </c>
      <c r="G13331" t="s">
        <v>14</v>
      </c>
      <c r="H13331">
             </c>
      <c r="I13331" t="s">
        <v>14</v>
      </c>
      <c r="J13331" t="s">
        <v>141</v>
      </c>
      <c r="K13331" t="s">
        <v>14</v>
      </c>
      <c r="L13331" t="s">
        <v>20</v>
      </c>
      <c r="M13331" t="s">
        <v>25644</v>
      </c>
      <c r="N13331" t="s">
        <v>14</v>
      </c>
    </row>
    <row r="13332" x14ac:dyDescent="0.25">
      <c r="A13332" t="n">
        <v>23</v>
      </c>
      <c r="B13332" t="s">
        <v>14</v>
      </c>
      <c r="C13332" t="s">
        <v>22</v>
      </c>
      <c r="D13332" s="2" t="s">
        <f>=HYPERLINK("https://main.knesset.gov.il/APPS/legislation/main/bills/2088498", "הצעת חוק הביטוח הלאומי (תיקון - קצבת ילד נכה לילד החולה במחלה או בתסמונת נדירה), התש""ף-2020")</f>
        <v>25764</v>
      </c>
      <c r="E13332" t="s">
        <v>25764</v>
      </c>
      <c r="F13332" t="s">
        <v>25765</v>
      </c>
      <c r="G13332" t="s">
        <v>14</v>
      </c>
      <c r="H13332">
             </c>
      <c r="I13332" t="s">
        <v>14</v>
      </c>
      <c r="J13332" t="s">
        <v>141</v>
      </c>
      <c r="K13332" t="s">
        <v>14</v>
      </c>
      <c r="L13332" t="s">
        <v>20</v>
      </c>
      <c r="M13332" t="s">
        <v>25644</v>
      </c>
      <c r="N13332" t="s">
        <v>14</v>
      </c>
    </row>
    <row r="13333" x14ac:dyDescent="0.25">
      <c r="A13333" t="n">
        <v>23</v>
      </c>
      <c r="B13333" t="s">
        <v>14</v>
      </c>
      <c r="C13333" t="s">
        <v>22</v>
      </c>
      <c r="D13333" s="2" t="s">
        <f>=HYPERLINK("https://main.knesset.gov.il/APPS/legislation/main/bills/2087085", "הצעת חוק הגנת השכר (תיקון - התיישנות), התש""ף-2020")</f>
        <v>25766</v>
      </c>
      <c r="E13333" t="s">
        <v>25766</v>
      </c>
      <c r="F13333" t="s">
        <v>25767</v>
      </c>
      <c r="G13333" t="s">
        <v>14</v>
      </c>
      <c r="H13333">
             </c>
      <c r="I13333" t="s">
        <v>14</v>
      </c>
      <c r="J13333" t="s">
        <v>141</v>
      </c>
      <c r="K13333" t="s">
        <v>14</v>
      </c>
      <c r="L13333" t="s">
        <v>20</v>
      </c>
      <c r="M13333" t="s">
        <v>25644</v>
      </c>
      <c r="N13333" t="s">
        <v>14</v>
      </c>
    </row>
    <row r="13334" x14ac:dyDescent="0.25">
      <c r="A13334" t="n">
        <v>23</v>
      </c>
      <c r="B13334" t="s">
        <v>14</v>
      </c>
      <c r="C13334" t="s">
        <v>22</v>
      </c>
      <c r="D13334" s="2" t="s">
        <f>=HYPERLINK("https://main.knesset.gov.il/APPS/legislation/main/bills/2087132", "הצעת חוק שעות עבודה ומנוחה (תיקון - קיצור שבוע העבודה), התש""ף-2020")</f>
        <v>25768</v>
      </c>
      <c r="E13334" t="s">
        <v>25768</v>
      </c>
      <c r="F13334" t="s">
        <v>25769</v>
      </c>
      <c r="G13334" t="s">
        <v>14</v>
      </c>
      <c r="H13334">
             </c>
      <c r="I13334" t="s">
        <v>14</v>
      </c>
      <c r="J13334" t="s">
        <v>141</v>
      </c>
      <c r="K13334" t="s">
        <v>14</v>
      </c>
      <c r="L13334" t="s">
        <v>20</v>
      </c>
      <c r="M13334" t="s">
        <v>25644</v>
      </c>
      <c r="N13334" t="s">
        <v>14</v>
      </c>
    </row>
    <row r="13335" x14ac:dyDescent="0.25">
      <c r="A13335" t="n">
        <v>23</v>
      </c>
      <c r="B13335" t="s">
        <v>14</v>
      </c>
      <c r="C13335" t="s">
        <v>22</v>
      </c>
      <c r="D13335" s="2" t="s">
        <f>=HYPERLINK("https://main.knesset.gov.il/APPS/legislation/main/bills/2087095", "הצעת חוק עסקאות גופים ציבוריים (תיקון - איסור על התקשרות קבלנית להעסקת עובדים), התש""ף-2020")</f>
        <v>25770</v>
      </c>
      <c r="E13335" t="s">
        <v>25770</v>
      </c>
      <c r="F13335" t="s">
        <v>25771</v>
      </c>
      <c r="G13335" t="s">
        <v>14</v>
      </c>
      <c r="H13335">
             </c>
      <c r="I13335" t="s">
        <v>14</v>
      </c>
      <c r="J13335" t="s">
        <v>141</v>
      </c>
      <c r="K13335" t="s">
        <v>14</v>
      </c>
      <c r="L13335" t="s">
        <v>20</v>
      </c>
      <c r="M13335" t="s">
        <v>25644</v>
      </c>
      <c r="N13335" t="s">
        <v>14</v>
      </c>
    </row>
    <row r="13336" x14ac:dyDescent="0.25">
      <c r="A13336" t="n">
        <v>23</v>
      </c>
      <c r="B13336" t="s">
        <v>14</v>
      </c>
      <c r="C13336" t="s">
        <v>22</v>
      </c>
      <c r="D13336" s="2" t="s">
        <f>=HYPERLINK("https://main.knesset.gov.il/APPS/legislation/main/bills/2087337", "הצעת חוק הבטחת הכנסה (תיקון - החרגת תוספת ותק מהכנסה), התש""ף-2020")</f>
        <v>25772</v>
      </c>
      <c r="E13336" t="s">
        <v>25772</v>
      </c>
      <c r="F13336" t="s">
        <v>25773</v>
      </c>
      <c r="G13336" t="s">
        <v>14</v>
      </c>
      <c r="H13336">
             </c>
      <c r="I13336" t="s">
        <v>14</v>
      </c>
      <c r="J13336" t="s">
        <v>141</v>
      </c>
      <c r="K13336" t="s">
        <v>14</v>
      </c>
      <c r="L13336" t="s">
        <v>20</v>
      </c>
      <c r="M13336" t="s">
        <v>25644</v>
      </c>
      <c r="N13336" t="s">
        <v>14</v>
      </c>
    </row>
    <row r="13337" x14ac:dyDescent="0.25">
      <c r="A13337" t="n">
        <v>23</v>
      </c>
      <c r="B13337" t="s">
        <v>14</v>
      </c>
      <c r="C13337" t="s">
        <v>22</v>
      </c>
      <c r="D13337" s="2" t="s">
        <f>=HYPERLINK("https://main.knesset.gov.il/APPS/legislation/main/bills/2087098", "הצעת חוק הביטוח הלאומי (תיקון - מענק פטירה להורה של נכה), התש""ף-2020")</f>
        <v>25774</v>
      </c>
      <c r="E13337" t="s">
        <v>25774</v>
      </c>
      <c r="F13337" t="s">
        <v>25775</v>
      </c>
      <c r="G13337" t="s">
        <v>14</v>
      </c>
      <c r="H13337">
             </c>
      <c r="I13337" t="s">
        <v>14</v>
      </c>
      <c r="J13337" t="s">
        <v>141</v>
      </c>
      <c r="K13337" t="s">
        <v>14</v>
      </c>
      <c r="L13337" t="s">
        <v>20</v>
      </c>
      <c r="M13337" t="s">
        <v>25644</v>
      </c>
      <c r="N13337" t="s">
        <v>14</v>
      </c>
    </row>
    <row r="13338" x14ac:dyDescent="0.25">
      <c r="A13338" t="n">
        <v>23</v>
      </c>
      <c r="B13338" t="s">
        <v>14</v>
      </c>
      <c r="C13338" t="s">
        <v>22</v>
      </c>
      <c r="D13338" s="2" t="s">
        <f>=HYPERLINK("https://main.knesset.gov.il/APPS/legislation/main/bills/2087016", "הצעת חוק הסיוע המשפטי (תיקון - נפגעי עבירות מין), התש""ף-2020")</f>
        <v>25776</v>
      </c>
      <c r="E13338" t="s">
        <v>25776</v>
      </c>
      <c r="F13338" t="s">
        <v>25777</v>
      </c>
      <c r="G13338" t="s">
        <v>14</v>
      </c>
      <c r="H13338">
             </c>
      <c r="I13338" t="s">
        <v>14</v>
      </c>
      <c r="J13338" t="s">
        <v>141</v>
      </c>
      <c r="K13338" t="s">
        <v>14</v>
      </c>
      <c r="L13338" t="s">
        <v>20</v>
      </c>
      <c r="M13338" t="s">
        <v>25644</v>
      </c>
      <c r="N13338" t="s">
        <v>14</v>
      </c>
    </row>
    <row r="13339" x14ac:dyDescent="0.25">
      <c r="A13339" t="n">
        <v>23</v>
      </c>
      <c r="B13339" t="s">
        <v>14</v>
      </c>
      <c r="C13339" t="s">
        <v>22</v>
      </c>
      <c r="D13339" s="2" t="s">
        <f>=HYPERLINK("https://main.knesset.gov.il/APPS/legislation/main/bills/2139623", "הצעת חוק לתיקון פקודת העיריות (קבלת חוות דעת היועץ המשפטי לממשלה לעניין טוהר המידות ברשות מקומית טרם הכרזתה כרשות איתנה), התש""ף-2020")</f>
        <v>25778</v>
      </c>
      <c r="E13339" t="s">
        <v>25778</v>
      </c>
      <c r="F13339" t="s">
        <v>25779</v>
      </c>
      <c r="G13339" t="s">
        <v>14</v>
      </c>
      <c r="H13339">
             </c>
      <c r="I13339" t="s">
        <v>14</v>
      </c>
      <c r="J13339" t="s">
        <v>141</v>
      </c>
      <c r="K13339" t="s">
        <v>14</v>
      </c>
      <c r="L13339" t="s">
        <v>20</v>
      </c>
      <c r="M13339" t="s">
        <v>25644</v>
      </c>
      <c r="N13339" t="s">
        <v>14</v>
      </c>
    </row>
    <row r="13340" x14ac:dyDescent="0.25">
      <c r="A13340" t="n">
        <v>23</v>
      </c>
      <c r="B13340" t="s">
        <v>14</v>
      </c>
      <c r="C13340" t="s">
        <v>22</v>
      </c>
      <c r="D13340" s="2" t="s">
        <f>=HYPERLINK("https://main.knesset.gov.il/APPS/legislation/main/bills/2088524", "הצעת חוק הרשויות המקומיות (בחירת ראש הרשות וסגניו וכהונתם) (תיקון - הגבלת כהונה שלישית של ראש רשות מקומית), התש""ף-2020")</f>
        <v>25780</v>
      </c>
      <c r="E13340" t="s">
        <v>25780</v>
      </c>
      <c r="F13340" t="s">
        <v>25781</v>
      </c>
      <c r="G13340" t="s">
        <v>14</v>
      </c>
      <c r="H13340">
             </c>
      <c r="I13340" t="s">
        <v>14</v>
      </c>
      <c r="J13340" t="s">
        <v>141</v>
      </c>
      <c r="K13340" t="s">
        <v>14</v>
      </c>
      <c r="L13340" t="s">
        <v>20</v>
      </c>
      <c r="M13340" t="s">
        <v>25644</v>
      </c>
      <c r="N13340" t="s">
        <v>14</v>
      </c>
    </row>
    <row r="13341" x14ac:dyDescent="0.25">
      <c r="A13341" t="n">
        <v>23</v>
      </c>
      <c r="B13341" t="s">
        <v>14</v>
      </c>
      <c r="C13341" t="s">
        <v>22</v>
      </c>
      <c r="D13341" s="2" t="s">
        <f>=HYPERLINK("https://main.knesset.gov.il/APPS/legislation/main/bills/2086309", "הצעת חוק איסור פרסום גזעני, הסתה לגזענות ורישום גזעני במסמכי תאגיד, התש""ף-2020")</f>
        <v>23841</v>
      </c>
      <c r="E13341" t="s">
        <v>23841</v>
      </c>
      <c r="F13341" t="s">
        <v>25782</v>
      </c>
      <c r="G13341" t="s">
        <v>14</v>
      </c>
      <c r="H13341">
             </c>
      <c r="I13341" t="s">
        <v>14</v>
      </c>
      <c r="J13341" t="s">
        <v>141</v>
      </c>
      <c r="K13341" t="s">
        <v>14</v>
      </c>
      <c r="L13341" t="s">
        <v>20</v>
      </c>
      <c r="M13341" t="s">
        <v>25644</v>
      </c>
      <c r="N13341" t="s">
        <v>14</v>
      </c>
    </row>
    <row r="13342" x14ac:dyDescent="0.25">
      <c r="A13342" t="n">
        <v>23</v>
      </c>
      <c r="B13342" t="s">
        <v>14</v>
      </c>
      <c r="C13342" t="s">
        <v>22</v>
      </c>
      <c r="D13342" s="2" t="s">
        <f>=HYPERLINK("https://main.knesset.gov.il/APPS/legislation/main/bills/2088019", "הצעת חוק מס ערך מוסף (תיקון - פטור ממס להשכרה למגורים באמצעות מלכ""ר), התש""ף-2020")</f>
        <v>25783</v>
      </c>
      <c r="E13342" t="s">
        <v>25783</v>
      </c>
      <c r="F13342" t="s">
        <v>25784</v>
      </c>
      <c r="G13342" t="s">
        <v>14</v>
      </c>
      <c r="H13342">
             </c>
      <c r="I13342" t="s">
        <v>14</v>
      </c>
      <c r="J13342" t="s">
        <v>141</v>
      </c>
      <c r="K13342" t="s">
        <v>14</v>
      </c>
      <c r="L13342" t="s">
        <v>20</v>
      </c>
      <c r="M13342" t="s">
        <v>25644</v>
      </c>
      <c r="N13342" t="s">
        <v>14</v>
      </c>
    </row>
    <row r="13343" x14ac:dyDescent="0.25">
      <c r="A13343" t="n">
        <v>23</v>
      </c>
      <c r="B13343" t="s">
        <v>14</v>
      </c>
      <c r="C13343" t="s">
        <v>22</v>
      </c>
      <c r="D13343" s="2" t="s">
        <f>=HYPERLINK("https://main.knesset.gov.il/APPS/legislation/main/bills/2087021", "הצעת חוק ההוצאה לפועל (תיקון - שכר עורך דין), התש""ף-2020")</f>
        <v>25785</v>
      </c>
      <c r="E13343" t="s">
        <v>25785</v>
      </c>
      <c r="F13343" t="s">
        <v>25786</v>
      </c>
      <c r="G13343" t="s">
        <v>14</v>
      </c>
      <c r="H13343">
             </c>
      <c r="I13343" t="s">
        <v>14</v>
      </c>
      <c r="J13343" t="s">
        <v>141</v>
      </c>
      <c r="K13343" t="s">
        <v>14</v>
      </c>
      <c r="L13343" t="s">
        <v>20</v>
      </c>
      <c r="M13343" t="s">
        <v>25644</v>
      </c>
      <c r="N13343" t="s">
        <v>14</v>
      </c>
    </row>
    <row r="13344" x14ac:dyDescent="0.25">
      <c r="A13344" t="n">
        <v>23</v>
      </c>
      <c r="B13344" t="s">
        <v>14</v>
      </c>
      <c r="C13344" t="s">
        <v>22</v>
      </c>
      <c r="D13344" s="2" t="s">
        <f>=HYPERLINK("https://main.knesset.gov.il/APPS/legislation/main/bills/2087087", "הצעת חוק העונשין (תיקון - תקיפת איש כוחות הביטחון וההצלה), התש""ף-2020")</f>
        <v>25787</v>
      </c>
      <c r="E13344" t="s">
        <v>25787</v>
      </c>
      <c r="F13344" t="s">
        <v>25788</v>
      </c>
      <c r="G13344" t="s">
        <v>14</v>
      </c>
      <c r="H13344">
             </c>
      <c r="I13344" t="s">
        <v>14</v>
      </c>
      <c r="J13344" t="s">
        <v>141</v>
      </c>
      <c r="K13344" t="s">
        <v>14</v>
      </c>
      <c r="L13344" t="s">
        <v>20</v>
      </c>
      <c r="M13344" t="s">
        <v>25644</v>
      </c>
      <c r="N13344" t="s">
        <v>14</v>
      </c>
    </row>
    <row r="13345" x14ac:dyDescent="0.25">
      <c r="A13345" t="n">
        <v>23</v>
      </c>
      <c r="B13345" t="s">
        <v>14</v>
      </c>
      <c r="C13345" t="s">
        <v>22</v>
      </c>
      <c r="D13345" s="2" t="s">
        <f>=HYPERLINK("https://main.knesset.gov.il/APPS/legislation/main/bills/2086332", "הצעת חוק שוויון הזדמנויות במקום מגורים, התש""ף-2020")</f>
        <v>25789</v>
      </c>
      <c r="E13345" t="s">
        <v>25789</v>
      </c>
      <c r="F13345" t="s">
        <v>25790</v>
      </c>
      <c r="G13345" t="s">
        <v>14</v>
      </c>
      <c r="H13345">
             </c>
      <c r="I13345" t="s">
        <v>14</v>
      </c>
      <c r="J13345" t="s">
        <v>141</v>
      </c>
      <c r="K13345" t="s">
        <v>14</v>
      </c>
      <c r="L13345" t="s">
        <v>20</v>
      </c>
      <c r="M13345" t="s">
        <v>25644</v>
      </c>
      <c r="N13345" t="s">
        <v>14</v>
      </c>
    </row>
    <row r="13346" x14ac:dyDescent="0.25">
      <c r="A13346" t="n">
        <v>23</v>
      </c>
      <c r="B13346" t="s">
        <v>14</v>
      </c>
      <c r="C13346" t="s">
        <v>22</v>
      </c>
      <c r="D13346" s="2" t="s">
        <f>=HYPERLINK("https://main.knesset.gov.il/APPS/legislation/main/bills/2087948", "הצעת חוק התכנון והבנייה (תיקון - ייצוג הוועדה המקומית), התש""ף-2020")</f>
        <v>25791</v>
      </c>
      <c r="E13346" t="s">
        <v>25791</v>
      </c>
      <c r="F13346" t="s">
        <v>25792</v>
      </c>
      <c r="G13346" t="s">
        <v>14</v>
      </c>
      <c r="H13346">
             </c>
      <c r="I13346" t="s">
        <v>14</v>
      </c>
      <c r="J13346" t="s">
        <v>141</v>
      </c>
      <c r="K13346" t="s">
        <v>14</v>
      </c>
      <c r="L13346" t="s">
        <v>20</v>
      </c>
      <c r="M13346" t="s">
        <v>25644</v>
      </c>
      <c r="N13346" t="s">
        <v>14</v>
      </c>
    </row>
    <row r="13347" x14ac:dyDescent="0.25">
      <c r="A13347" t="n">
        <v>23</v>
      </c>
      <c r="B13347" t="s">
        <v>14</v>
      </c>
      <c r="C13347" t="s">
        <v>22</v>
      </c>
      <c r="D13347" s="2" t="s">
        <f>=HYPERLINK("https://main.knesset.gov.il/APPS/legislation/main/bills/2088441", "הצעת חוק התכנון והבנייה (תיקון - סייגים להתניית היתר), התש""ף-2020")</f>
        <v>25793</v>
      </c>
      <c r="E13347" t="s">
        <v>25793</v>
      </c>
      <c r="F13347" t="s">
        <v>25794</v>
      </c>
      <c r="G13347" t="s">
        <v>14</v>
      </c>
      <c r="H13347">
             </c>
      <c r="I13347" t="s">
        <v>14</v>
      </c>
      <c r="J13347" t="s">
        <v>141</v>
      </c>
      <c r="K13347" t="s">
        <v>14</v>
      </c>
      <c r="L13347" t="s">
        <v>20</v>
      </c>
      <c r="M13347" t="s">
        <v>25644</v>
      </c>
      <c r="N13347" t="s">
        <v>14</v>
      </c>
    </row>
    <row r="13348" x14ac:dyDescent="0.25">
      <c r="A13348" t="n">
        <v>23</v>
      </c>
      <c r="B13348" t="s">
        <v>14</v>
      </c>
      <c r="C13348" t="s">
        <v>22</v>
      </c>
      <c r="D13348" s="2" t="s">
        <f>=HYPERLINK("https://main.knesset.gov.il/APPS/legislation/main/bills/2088437", "הצעת חוק התכנון והבנייה (תיקון - הרחבת הפטור מהיטל השבחה), התש""ף-2020")</f>
        <v>25795</v>
      </c>
      <c r="E13348" t="s">
        <v>25795</v>
      </c>
      <c r="F13348" t="s">
        <v>25796</v>
      </c>
      <c r="G13348" t="s">
        <v>14</v>
      </c>
      <c r="H13348">
             </c>
      <c r="I13348" t="s">
        <v>14</v>
      </c>
      <c r="J13348" t="s">
        <v>141</v>
      </c>
      <c r="K13348" t="s">
        <v>14</v>
      </c>
      <c r="L13348" t="s">
        <v>20</v>
      </c>
      <c r="M13348" t="s">
        <v>25644</v>
      </c>
      <c r="N13348" t="s">
        <v>14</v>
      </c>
    </row>
    <row r="13349" x14ac:dyDescent="0.25">
      <c r="A13349" t="n">
        <v>23</v>
      </c>
      <c r="B13349" t="s">
        <v>14</v>
      </c>
      <c r="C13349" t="s">
        <v>22</v>
      </c>
      <c r="D13349" s="2" t="s">
        <f>=HYPERLINK("https://main.knesset.gov.il/APPS/legislation/main/bills/2087103", "הצעת חוק סיוע לבני משפחה של נפטר ממחלה סופנית, התש""ף-2020")</f>
        <v>25797</v>
      </c>
      <c r="E13349" t="s">
        <v>25797</v>
      </c>
      <c r="F13349" t="s">
        <v>25798</v>
      </c>
      <c r="G13349" t="s">
        <v>14</v>
      </c>
      <c r="H13349">
             </c>
      <c r="I13349" t="s">
        <v>14</v>
      </c>
      <c r="J13349" t="s">
        <v>141</v>
      </c>
      <c r="K13349" t="s">
        <v>14</v>
      </c>
      <c r="L13349" t="s">
        <v>20</v>
      </c>
      <c r="M13349" t="s">
        <v>25644</v>
      </c>
      <c r="N13349" t="s">
        <v>14</v>
      </c>
    </row>
    <row r="13350" x14ac:dyDescent="0.25">
      <c r="A13350" t="n">
        <v>23</v>
      </c>
      <c r="B13350" t="s">
        <v>14</v>
      </c>
      <c r="C13350" t="s">
        <v>22</v>
      </c>
      <c r="D13350" s="2" t="s">
        <f>=HYPERLINK("https://main.knesset.gov.il/APPS/legislation/main/bills/2087022", "הצעת חוק ההוצאה לפועל (תיקון - קביעת תעריף מקסימלי לשכר טרחת עורך דין), התש""ף-2020")</f>
        <v>25799</v>
      </c>
      <c r="E13350" t="s">
        <v>25799</v>
      </c>
      <c r="F13350" t="s">
        <v>25800</v>
      </c>
      <c r="G13350" t="s">
        <v>14</v>
      </c>
      <c r="H13350">
             </c>
      <c r="I13350" t="s">
        <v>14</v>
      </c>
      <c r="J13350" t="s">
        <v>141</v>
      </c>
      <c r="K13350" t="s">
        <v>14</v>
      </c>
      <c r="L13350" t="s">
        <v>20</v>
      </c>
      <c r="M13350" t="s">
        <v>25644</v>
      </c>
      <c r="N13350" t="s">
        <v>14</v>
      </c>
    </row>
    <row r="13351" x14ac:dyDescent="0.25">
      <c r="A13351" t="n">
        <v>23</v>
      </c>
      <c r="B13351" t="s">
        <v>14</v>
      </c>
      <c r="C13351" t="s">
        <v>22</v>
      </c>
      <c r="D13351" s="2" t="s">
        <f>=HYPERLINK("https://main.knesset.gov.il/APPS/legislation/main/bills/2087107", "הצעת חוק מעונות יום שיקומיים (תיקון - מעונות יום עם הגנה חיסונית), התש""ף-2020")</f>
        <v>25801</v>
      </c>
      <c r="E13351" t="s">
        <v>25801</v>
      </c>
      <c r="F13351" t="s">
        <v>25802</v>
      </c>
      <c r="G13351" t="s">
        <v>14</v>
      </c>
      <c r="H13351">
             </c>
      <c r="I13351" t="s">
        <v>14</v>
      </c>
      <c r="J13351" t="s">
        <v>141</v>
      </c>
      <c r="K13351" t="s">
        <v>14</v>
      </c>
      <c r="L13351" t="s">
        <v>20</v>
      </c>
      <c r="M13351" t="s">
        <v>25644</v>
      </c>
      <c r="N13351" t="s">
        <v>14</v>
      </c>
    </row>
    <row r="13352" x14ac:dyDescent="0.25">
      <c r="A13352" t="n">
        <v>23</v>
      </c>
      <c r="B13352" t="s">
        <v>14</v>
      </c>
      <c r="C13352" t="s">
        <v>22</v>
      </c>
      <c r="D13352" s="2" t="s">
        <f>=HYPERLINK("https://main.knesset.gov.il/APPS/legislation/main/bills/2087574", "הצעת חוק-יסוד: ישראל - מדינת הלאום של העם היהודי (תיקון - ביטול החוק)")</f>
        <v>4732</v>
      </c>
      <c r="E13352" t="s">
        <v>4732</v>
      </c>
      <c r="F13352" t="s">
        <v>25803</v>
      </c>
      <c r="G13352" t="s">
        <v>14</v>
      </c>
      <c r="H13352">
             </c>
      <c r="I13352" t="s">
        <v>14</v>
      </c>
      <c r="J13352" t="s">
        <v>141</v>
      </c>
      <c r="K13352" t="s">
        <v>14</v>
      </c>
      <c r="L13352" t="s">
        <v>20</v>
      </c>
      <c r="M13352" t="s">
        <v>25644</v>
      </c>
      <c r="N13352" t="s">
        <v>14</v>
      </c>
    </row>
    <row r="13353" x14ac:dyDescent="0.25">
      <c r="A13353" t="n">
        <v>23</v>
      </c>
      <c r="B13353" t="s">
        <v>14</v>
      </c>
      <c r="C13353" t="s">
        <v>22</v>
      </c>
      <c r="D13353" s="2" t="s">
        <f>=HYPERLINK("https://main.knesset.gov.il/APPS/legislation/main/bills/2087030", "הצעת חוק-יסוד: הכנסת (תיקון - חובת התייצבות בוועדות הכנסת)")</f>
        <v>20695</v>
      </c>
      <c r="E13353" t="s">
        <v>20695</v>
      </c>
      <c r="F13353" t="s">
        <v>25804</v>
      </c>
      <c r="G13353" t="s">
        <v>14</v>
      </c>
      <c r="H13353">
             </c>
      <c r="I13353" t="s">
        <v>14</v>
      </c>
      <c r="J13353" t="s">
        <v>141</v>
      </c>
      <c r="K13353" t="s">
        <v>14</v>
      </c>
      <c r="L13353" t="s">
        <v>20</v>
      </c>
      <c r="M13353" t="s">
        <v>25644</v>
      </c>
      <c r="N13353" t="s">
        <v>14</v>
      </c>
    </row>
    <row r="13354" x14ac:dyDescent="0.25">
      <c r="A13354" t="n">
        <v>23</v>
      </c>
      <c r="B13354" t="s">
        <v>14</v>
      </c>
      <c r="C13354" t="s">
        <v>22</v>
      </c>
      <c r="D13354" s="2" t="s">
        <f>=HYPERLINK("https://main.knesset.gov.il/APPS/legislation/main/bills/2086333", "הצעת חוק-יסוד: הזכות לדיור")</f>
        <v>11919</v>
      </c>
      <c r="E13354" t="s">
        <v>11919</v>
      </c>
      <c r="F13354" t="s">
        <v>25805</v>
      </c>
      <c r="G13354" t="s">
        <v>14</v>
      </c>
      <c r="H13354">
             </c>
      <c r="I13354" t="s">
        <v>14</v>
      </c>
      <c r="J13354" t="s">
        <v>141</v>
      </c>
      <c r="K13354" t="s">
        <v>14</v>
      </c>
      <c r="L13354" t="s">
        <v>20</v>
      </c>
      <c r="M13354" t="s">
        <v>25644</v>
      </c>
      <c r="N13354" t="s">
        <v>14</v>
      </c>
    </row>
    <row r="13355" x14ac:dyDescent="0.25">
      <c r="A13355" t="n">
        <v>23</v>
      </c>
      <c r="B13355" t="s">
        <v>14</v>
      </c>
      <c r="C13355" t="s">
        <v>22</v>
      </c>
      <c r="D13355" s="2" t="s">
        <f>=HYPERLINK("https://main.knesset.gov.il/APPS/legislation/main/bills/2087579", "הצעת חוק-יסוד: כבוד האדם וחירותו (תיקון - שוויון וחופש ביטוי ומחשבה)")</f>
        <v>19931</v>
      </c>
      <c r="E13355" t="s">
        <v>19931</v>
      </c>
      <c r="F13355" t="s">
        <v>25806</v>
      </c>
      <c r="G13355" t="s">
        <v>14</v>
      </c>
      <c r="H13355">
             </c>
      <c r="I13355" t="s">
        <v>14</v>
      </c>
      <c r="J13355" t="s">
        <v>141</v>
      </c>
      <c r="K13355" t="s">
        <v>14</v>
      </c>
      <c r="L13355" t="s">
        <v>20</v>
      </c>
      <c r="M13355" t="s">
        <v>25644</v>
      </c>
      <c r="N13355" t="s">
        <v>14</v>
      </c>
    </row>
    <row r="13356" x14ac:dyDescent="0.25">
      <c r="A13356" t="n">
        <v>23</v>
      </c>
      <c r="B13356" t="s">
        <v>14</v>
      </c>
      <c r="C13356" t="s">
        <v>22</v>
      </c>
      <c r="D13356" s="2" t="s">
        <f>=HYPERLINK("https://main.knesset.gov.il/APPS/legislation/main/bills/2086393", "הצעת חוק-יסוד: גבולות המדינה וריבונותה")</f>
        <v>25807</v>
      </c>
      <c r="E13356" t="s">
        <v>25807</v>
      </c>
      <c r="F13356" t="s">
        <v>25808</v>
      </c>
      <c r="G13356" t="s">
        <v>14</v>
      </c>
      <c r="H13356">
             </c>
      <c r="I13356" t="s">
        <v>14</v>
      </c>
      <c r="J13356" t="s">
        <v>141</v>
      </c>
      <c r="K13356" t="s">
        <v>14</v>
      </c>
      <c r="L13356" t="s">
        <v>20</v>
      </c>
      <c r="M13356" t="s">
        <v>25644</v>
      </c>
      <c r="N13356" t="s">
        <v>14</v>
      </c>
    </row>
    <row r="13357" x14ac:dyDescent="0.25">
      <c r="A13357" t="n">
        <v>23</v>
      </c>
      <c r="B13357" t="s">
        <v>14</v>
      </c>
      <c r="C13357" t="s">
        <v>22</v>
      </c>
      <c r="D13357" s="2" t="s">
        <f>=HYPERLINK("https://main.knesset.gov.il/APPS/legislation/main/bills/2087031", "הצעת חוק העונשין (תיקון - עבירות מין במשפחה), התש""ף-2020")</f>
        <v>25809</v>
      </c>
      <c r="E13357" t="s">
        <v>25809</v>
      </c>
      <c r="F13357" t="s">
        <v>25810</v>
      </c>
      <c r="G13357" t="s">
        <v>14</v>
      </c>
      <c r="H13357">
             </c>
      <c r="I13357" t="s">
        <v>14</v>
      </c>
      <c r="J13357" t="s">
        <v>141</v>
      </c>
      <c r="K13357" t="s">
        <v>14</v>
      </c>
      <c r="L13357" t="s">
        <v>20</v>
      </c>
      <c r="M13357" t="s">
        <v>25644</v>
      </c>
      <c r="N13357" t="s">
        <v>14</v>
      </c>
    </row>
    <row r="13358" x14ac:dyDescent="0.25">
      <c r="A13358" t="n">
        <v>23</v>
      </c>
      <c r="B13358" t="s">
        <v>14</v>
      </c>
      <c r="C13358" t="s">
        <v>22</v>
      </c>
      <c r="D13358" s="2" t="s">
        <f>=HYPERLINK("https://main.knesset.gov.il/APPS/legislation/main/bills/2087050", "הצעת חוק העונשין (תיקון - איסור הצבת מכונות משחק של מפעל הפיס), התש""ף-2020")</f>
        <v>25811</v>
      </c>
      <c r="E13358" t="s">
        <v>25811</v>
      </c>
      <c r="F13358" t="s">
        <v>25812</v>
      </c>
      <c r="G13358" t="s">
        <v>14</v>
      </c>
      <c r="H13358">
             </c>
      <c r="I13358" t="s">
        <v>14</v>
      </c>
      <c r="J13358" t="s">
        <v>141</v>
      </c>
      <c r="K13358" t="s">
        <v>14</v>
      </c>
      <c r="L13358" t="s">
        <v>20</v>
      </c>
      <c r="M13358" t="s">
        <v>25644</v>
      </c>
      <c r="N13358" t="s">
        <v>14</v>
      </c>
    </row>
    <row r="13359" x14ac:dyDescent="0.25">
      <c r="A13359" t="n">
        <v>23</v>
      </c>
      <c r="B13359" t="s">
        <v>14</v>
      </c>
      <c r="C13359" t="s">
        <v>15</v>
      </c>
      <c r="D13359" s="2" t="s">
        <f>=HYPERLINK("https://main.knesset.gov.il/APPS/legislation/main/bills/2140473", "הצעת חוק הבטחת הכנסה (הוראת שעה - נגיף הקורונה החדש) (דמי אבטלה), התש""ף-2020 ")</f>
        <v>25813</v>
      </c>
      <c r="E13359" t="s">
        <v>25813</v>
      </c>
      <c r="F13359" t="s">
        <v>14</v>
      </c>
      <c r="G13359" t="s">
        <v>25814</v>
      </c>
      <c r="H13359">
             </c>
      <c r="I13359" t="s">
        <v>14</v>
      </c>
      <c r="J13359" t="s">
        <v>69</v>
      </c>
      <c r="K13359" t="s">
        <v>14</v>
      </c>
      <c r="L13359" t="s">
        <v>20</v>
      </c>
      <c r="M13359" t="s">
        <v>25644</v>
      </c>
      <c r="N13359" t="s">
        <v>14</v>
      </c>
    </row>
    <row r="13360" x14ac:dyDescent="0.25">
      <c r="A13360" t="n">
        <v>23</v>
      </c>
      <c r="B13360" t="s">
        <v>14</v>
      </c>
      <c r="C13360" t="s">
        <v>15</v>
      </c>
      <c r="D13360" s="2" t="s">
        <f>=HYPERLINK("https://main.knesset.gov.il/APPS/legislation/main/bills/2140474", "הצעת חוק הביטוח הלאומי (הוראת שעה - נגיף הקורונה החדש) (הוראות מיוחדות לעניין מבחן הכנסות לקצבת נכות ולגמלת אזרח ותיק), התש""ף-2020 ")</f>
        <v>25815</v>
      </c>
      <c r="E13360" t="s">
        <v>25815</v>
      </c>
      <c r="F13360" t="s">
        <v>14</v>
      </c>
      <c r="G13360" t="s">
        <v>25816</v>
      </c>
      <c r="H13360">
             </c>
      <c r="I13360" t="s">
        <v>14</v>
      </c>
      <c r="J13360" t="s">
        <v>69</v>
      </c>
      <c r="K13360" t="s">
        <v>14</v>
      </c>
      <c r="L13360" t="s">
        <v>20</v>
      </c>
      <c r="M13360" t="s">
        <v>25644</v>
      </c>
      <c r="N13360" t="s">
        <v>14</v>
      </c>
    </row>
    <row r="13361" x14ac:dyDescent="0.25">
      <c r="A13361" t="n">
        <v>23</v>
      </c>
      <c r="B13361" t="s">
        <v>14</v>
      </c>
      <c r="C13361" t="s">
        <v>15</v>
      </c>
      <c r="D13361" s="2" t="s">
        <f>=HYPERLINK("https://main.knesset.gov.il/APPS/legislation/main/bills/2139663", "חוק־יסוד: משק המדינה (תיקון מס' 10 והוראת שעה לשנת 2020) (תיקון)")</f>
        <v>25817</v>
      </c>
      <c r="E13361" t="s">
        <v>25817</v>
      </c>
      <c r="F13361" t="s">
        <v>14</v>
      </c>
      <c r="G13361" t="s">
        <v>25818</v>
      </c>
      <c r="H13361" t="n">
        <v>2796</v>
      </c>
      <c r="I13361" t="s">
        <v>14</v>
      </c>
      <c r="J13361" t="s">
        <v>91</v>
      </c>
      <c r="K13361" t="s">
        <v>85</v>
      </c>
      <c r="L13361" t="s">
        <v>20</v>
      </c>
      <c r="M13361" t="s">
        <v>25819</v>
      </c>
      <c r="N13361" t="s">
        <v>25820</v>
      </c>
    </row>
    <row r="13362" x14ac:dyDescent="0.25">
      <c r="A13362" t="n">
        <v>23</v>
      </c>
      <c r="B13362" t="s">
        <v>14</v>
      </c>
      <c r="C13362" t="s">
        <v>22</v>
      </c>
      <c r="D13362" s="2" t="s">
        <f>=HYPERLINK("https://main.knesset.gov.il/APPS/legislation/main/bills/2088137", "הצעת חוק תנאי עבודה לעובדים בענף הסיעוד (צבירת ותק למטפל שנותן שירותי סיעוד מטעם המוסד לביטוח לאומי), התש''ף-2020 ")</f>
        <v>25821</v>
      </c>
      <c r="E13362" t="s">
        <v>25821</v>
      </c>
      <c r="F13362" t="s">
        <v>25822</v>
      </c>
      <c r="G13362" t="s">
        <v>14</v>
      </c>
      <c r="H13362">
             </c>
      <c r="I13362" t="s">
        <v>14</v>
      </c>
      <c r="J13362" t="s">
        <v>141</v>
      </c>
      <c r="K13362" t="s">
        <v>14</v>
      </c>
      <c r="L13362" t="s">
        <v>20</v>
      </c>
      <c r="M13362" t="s">
        <v>25819</v>
      </c>
      <c r="N13362" t="s">
        <v>14</v>
      </c>
    </row>
    <row r="13363" x14ac:dyDescent="0.25">
      <c r="A13363" t="n">
        <v>23</v>
      </c>
      <c r="B13363" t="s">
        <v>14</v>
      </c>
      <c r="C13363" t="s">
        <v>22</v>
      </c>
      <c r="D13363" s="2" t="s">
        <f>=HYPERLINK("https://main.knesset.gov.il/APPS/legislation/main/bills/2086396", "הצעת חוק לתיקון פקודת סדרי השלטון והמשפט (יום הפועלים הבינלאומי), התש""ף-2020")</f>
        <v>25823</v>
      </c>
      <c r="E13363" t="s">
        <v>25823</v>
      </c>
      <c r="F13363" t="s">
        <v>25824</v>
      </c>
      <c r="G13363" t="s">
        <v>14</v>
      </c>
      <c r="H13363">
             </c>
      <c r="I13363" t="s">
        <v>14</v>
      </c>
      <c r="J13363" t="s">
        <v>141</v>
      </c>
      <c r="K13363" t="s">
        <v>14</v>
      </c>
      <c r="L13363" t="s">
        <v>20</v>
      </c>
      <c r="M13363" t="s">
        <v>25819</v>
      </c>
      <c r="N13363" t="s">
        <v>14</v>
      </c>
    </row>
    <row r="13364" x14ac:dyDescent="0.25">
      <c r="A13364" t="n">
        <v>23</v>
      </c>
      <c r="B13364" t="s">
        <v>14</v>
      </c>
      <c r="C13364" t="s">
        <v>22</v>
      </c>
      <c r="D13364" s="2" t="s">
        <f>=HYPERLINK("https://main.knesset.gov.il/APPS/legislation/main/bills/2087581", "הצעת חוק שיפוט בתי דין רבניים (נישואין וגירושין) (תיקון - כפיית גט), התש""ף-2020")</f>
        <v>25825</v>
      </c>
      <c r="E13364" t="s">
        <v>25825</v>
      </c>
      <c r="F13364" t="s">
        <v>25826</v>
      </c>
      <c r="G13364" t="s">
        <v>14</v>
      </c>
      <c r="H13364">
             </c>
      <c r="I13364" t="s">
        <v>14</v>
      </c>
      <c r="J13364" t="s">
        <v>141</v>
      </c>
      <c r="K13364" t="s">
        <v>14</v>
      </c>
      <c r="L13364" t="s">
        <v>20</v>
      </c>
      <c r="M13364" t="s">
        <v>25819</v>
      </c>
      <c r="N13364" t="s">
        <v>14</v>
      </c>
    </row>
    <row r="13365" x14ac:dyDescent="0.25">
      <c r="A13365" t="n">
        <v>23</v>
      </c>
      <c r="B13365" t="s">
        <v>14</v>
      </c>
      <c r="C13365" t="s">
        <v>22</v>
      </c>
      <c r="D13365" s="2" t="s">
        <f>=HYPERLINK("https://main.knesset.gov.il/APPS/legislation/main/bills/2087145", "הצעת חוק זכויות נפגעי עבירה (תיקון - זכאות בני משפחה), התש""ף-2020")</f>
        <v>25827</v>
      </c>
      <c r="E13365" t="s">
        <v>25827</v>
      </c>
      <c r="F13365" t="s">
        <v>25828</v>
      </c>
      <c r="G13365" t="s">
        <v>14</v>
      </c>
      <c r="H13365">
             </c>
      <c r="I13365" t="s">
        <v>14</v>
      </c>
      <c r="J13365" t="s">
        <v>141</v>
      </c>
      <c r="K13365" t="s">
        <v>14</v>
      </c>
      <c r="L13365" t="s">
        <v>20</v>
      </c>
      <c r="M13365" t="s">
        <v>25819</v>
      </c>
      <c r="N13365" t="s">
        <v>14</v>
      </c>
    </row>
    <row r="13366" x14ac:dyDescent="0.25">
      <c r="A13366" t="n">
        <v>23</v>
      </c>
      <c r="B13366" t="s">
        <v>14</v>
      </c>
      <c r="C13366" t="s">
        <v>22</v>
      </c>
      <c r="D13366" s="2" t="s">
        <f>=HYPERLINK("https://main.knesset.gov.il/APPS/legislation/main/bills/2088140", "הצעת חוק-יסוד: כבוד האדם וחירותו (תיקון - תוקפו של חוק חורג)")</f>
        <v>11944</v>
      </c>
      <c r="E13366" t="s">
        <v>11944</v>
      </c>
      <c r="F13366" t="s">
        <v>25829</v>
      </c>
      <c r="G13366" t="s">
        <v>14</v>
      </c>
      <c r="H13366">
             </c>
      <c r="I13366" t="s">
        <v>14</v>
      </c>
      <c r="J13366" t="s">
        <v>141</v>
      </c>
      <c r="K13366" t="s">
        <v>14</v>
      </c>
      <c r="L13366" t="s">
        <v>20</v>
      </c>
      <c r="M13366" t="s">
        <v>25819</v>
      </c>
      <c r="N13366" t="s">
        <v>14</v>
      </c>
    </row>
    <row r="13367" x14ac:dyDescent="0.25">
      <c r="A13367" t="n">
        <v>23</v>
      </c>
      <c r="B13367" t="s">
        <v>14</v>
      </c>
      <c r="C13367" t="s">
        <v>22</v>
      </c>
      <c r="D13367" s="2" t="s">
        <f>=HYPERLINK("https://main.knesset.gov.il/APPS/legislation/main/bills/2087144", "הצעת חוק העונשין (תיקון - סחר בבני אדם למטרות נישואין), התש""ף-2020")</f>
        <v>25830</v>
      </c>
      <c r="E13367" t="s">
        <v>25830</v>
      </c>
      <c r="F13367" t="s">
        <v>25831</v>
      </c>
      <c r="G13367" t="s">
        <v>14</v>
      </c>
      <c r="H13367">
             </c>
      <c r="I13367" t="s">
        <v>14</v>
      </c>
      <c r="J13367" t="s">
        <v>141</v>
      </c>
      <c r="K13367" t="s">
        <v>14</v>
      </c>
      <c r="L13367" t="s">
        <v>20</v>
      </c>
      <c r="M13367" t="s">
        <v>25819</v>
      </c>
      <c r="N13367" t="s">
        <v>14</v>
      </c>
    </row>
    <row r="13368" x14ac:dyDescent="0.25">
      <c r="A13368" t="n">
        <v>23</v>
      </c>
      <c r="B13368" t="s">
        <v>14</v>
      </c>
      <c r="C13368" t="s">
        <v>22</v>
      </c>
      <c r="D13368" s="2" t="s">
        <f>=HYPERLINK("https://main.knesset.gov.il/APPS/legislation/main/bills/2086628", "הצעת חוק שיפוט בתי דין רבניים (נישואין וגירושין) (תיקון - דרישת הסכמה בכתב), התש""ף-2020")</f>
        <v>25832</v>
      </c>
      <c r="E13368" t="s">
        <v>25832</v>
      </c>
      <c r="F13368" t="s">
        <v>25833</v>
      </c>
      <c r="G13368" t="s">
        <v>14</v>
      </c>
      <c r="H13368">
             </c>
      <c r="I13368" t="s">
        <v>14</v>
      </c>
      <c r="J13368" t="s">
        <v>141</v>
      </c>
      <c r="K13368" t="s">
        <v>14</v>
      </c>
      <c r="L13368" t="s">
        <v>20</v>
      </c>
      <c r="M13368" t="s">
        <v>25819</v>
      </c>
      <c r="N13368" t="s">
        <v>14</v>
      </c>
    </row>
    <row r="13369" x14ac:dyDescent="0.25">
      <c r="A13369" t="n">
        <v>23</v>
      </c>
      <c r="B13369" t="s">
        <v>14</v>
      </c>
      <c r="C13369" t="s">
        <v>22</v>
      </c>
      <c r="D13369" s="2" t="s">
        <f>=HYPERLINK("https://main.knesset.gov.il/APPS/legislation/main/bills/2087149", "הצעת חוק שירות המדינה (משמעת) (תיקון - הארכת תקופת ההתיישנות בהטרדות מיניות), התש""ף-2020")</f>
        <v>25834</v>
      </c>
      <c r="E13369" t="s">
        <v>25834</v>
      </c>
      <c r="F13369" t="s">
        <v>25835</v>
      </c>
      <c r="G13369" t="s">
        <v>14</v>
      </c>
      <c r="H13369">
             </c>
      <c r="I13369" t="s">
        <v>14</v>
      </c>
      <c r="J13369" t="s">
        <v>141</v>
      </c>
      <c r="K13369" t="s">
        <v>14</v>
      </c>
      <c r="L13369" t="s">
        <v>20</v>
      </c>
      <c r="M13369" t="s">
        <v>25819</v>
      </c>
      <c r="N13369" t="s">
        <v>14</v>
      </c>
    </row>
    <row r="13370" x14ac:dyDescent="0.25">
      <c r="A13370" t="n">
        <v>23</v>
      </c>
      <c r="B13370" t="s">
        <v>14</v>
      </c>
      <c r="C13370" t="s">
        <v>22</v>
      </c>
      <c r="D13370" s="2" t="s">
        <f>=HYPERLINK("https://main.knesset.gov.il/APPS/legislation/main/bills/2086864", "הצעת חוק למניעת העסקה של עברייני מין במוסדות מסוימים (תיקון - הגדרת עבירת מין) , התש""ף-2020")</f>
        <v>25836</v>
      </c>
      <c r="E13370" t="s">
        <v>25836</v>
      </c>
      <c r="F13370" t="s">
        <v>25837</v>
      </c>
      <c r="G13370" t="s">
        <v>14</v>
      </c>
      <c r="H13370">
             </c>
      <c r="I13370" t="s">
        <v>14</v>
      </c>
      <c r="J13370" t="s">
        <v>141</v>
      </c>
      <c r="K13370" t="s">
        <v>14</v>
      </c>
      <c r="L13370" t="s">
        <v>20</v>
      </c>
      <c r="M13370" t="s">
        <v>25819</v>
      </c>
      <c r="N13370" t="s">
        <v>14</v>
      </c>
    </row>
    <row r="13371" x14ac:dyDescent="0.25">
      <c r="A13371" t="n">
        <v>23</v>
      </c>
      <c r="B13371" t="s">
        <v>14</v>
      </c>
      <c r="C13371" t="s">
        <v>22</v>
      </c>
      <c r="D13371" s="2" t="s">
        <f>=HYPERLINK("https://main.knesset.gov.il/APPS/legislation/main/bills/2087508", "הצעת חוק-יסוד: הכנסת (תיקון - הרחבת העילות למניעת השתתפות בבחירות)")</f>
        <v>2473</v>
      </c>
      <c r="E13371" t="s">
        <v>2473</v>
      </c>
      <c r="F13371" t="s">
        <v>25838</v>
      </c>
      <c r="G13371" t="s">
        <v>14</v>
      </c>
      <c r="H13371">
             </c>
      <c r="I13371" t="s">
        <v>14</v>
      </c>
      <c r="J13371" t="s">
        <v>141</v>
      </c>
      <c r="K13371" t="s">
        <v>14</v>
      </c>
      <c r="L13371" t="s">
        <v>20</v>
      </c>
      <c r="M13371" t="s">
        <v>25819</v>
      </c>
      <c r="N13371" t="s">
        <v>14</v>
      </c>
    </row>
    <row r="13372" x14ac:dyDescent="0.25">
      <c r="A13372" t="n">
        <v>23</v>
      </c>
      <c r="B13372" t="s">
        <v>14</v>
      </c>
      <c r="C13372" t="s">
        <v>22</v>
      </c>
      <c r="D13372" s="2" t="s">
        <f>=HYPERLINK("https://main.knesset.gov.il/APPS/legislation/main/bills/2086389", "הצעת חוק לתיקון פקודת סדרי השלטון והמשפט (יום האישה הבינלאומי), התש""ף-2020")</f>
        <v>25839</v>
      </c>
      <c r="E13372" t="s">
        <v>25839</v>
      </c>
      <c r="F13372" t="s">
        <v>25840</v>
      </c>
      <c r="G13372" t="s">
        <v>14</v>
      </c>
      <c r="H13372">
             </c>
      <c r="I13372" t="s">
        <v>14</v>
      </c>
      <c r="J13372" t="s">
        <v>141</v>
      </c>
      <c r="K13372" t="s">
        <v>14</v>
      </c>
      <c r="L13372" t="s">
        <v>20</v>
      </c>
      <c r="M13372" t="s">
        <v>25819</v>
      </c>
      <c r="N13372" t="s">
        <v>14</v>
      </c>
    </row>
    <row r="13373" x14ac:dyDescent="0.25">
      <c r="A13373" t="n">
        <v>23</v>
      </c>
      <c r="B13373" t="s">
        <v>14</v>
      </c>
      <c r="C13373" t="s">
        <v>22</v>
      </c>
      <c r="D13373" s="2" t="s">
        <f>=HYPERLINK("https://main.knesset.gov.il/APPS/legislation/main/bills/2086312", "הצעת חוק הביטוח הלאומי (תיקון - אי הפליה בשל שירות צבאי או שירות לאומי), התש""ף-2020")</f>
        <v>25841</v>
      </c>
      <c r="E13373" t="s">
        <v>25841</v>
      </c>
      <c r="F13373" t="s">
        <v>25842</v>
      </c>
      <c r="G13373" t="s">
        <v>14</v>
      </c>
      <c r="H13373">
             </c>
      <c r="I13373" t="s">
        <v>14</v>
      </c>
      <c r="J13373" t="s">
        <v>141</v>
      </c>
      <c r="K13373" t="s">
        <v>14</v>
      </c>
      <c r="L13373" t="s">
        <v>20</v>
      </c>
      <c r="M13373" t="s">
        <v>25819</v>
      </c>
      <c r="N13373" t="s">
        <v>14</v>
      </c>
    </row>
    <row r="13374" x14ac:dyDescent="0.25">
      <c r="A13374" t="n">
        <v>23</v>
      </c>
      <c r="B13374" t="s">
        <v>14</v>
      </c>
      <c r="C13374" t="s">
        <v>22</v>
      </c>
      <c r="D13374" s="2" t="s">
        <f>=HYPERLINK("https://main.knesset.gov.il/APPS/legislation/main/bills/2087902", "הצעת חוק הכנסת (תיקון - שעת שאלות לראש הממשלה), התש""ף-2020")</f>
        <v>25843</v>
      </c>
      <c r="E13374" t="s">
        <v>25843</v>
      </c>
      <c r="F13374" t="s">
        <v>25844</v>
      </c>
      <c r="G13374" t="s">
        <v>14</v>
      </c>
      <c r="H13374">
             </c>
      <c r="I13374" t="s">
        <v>14</v>
      </c>
      <c r="J13374" t="s">
        <v>141</v>
      </c>
      <c r="K13374" t="s">
        <v>14</v>
      </c>
      <c r="L13374" t="s">
        <v>20</v>
      </c>
      <c r="M13374" t="s">
        <v>25819</v>
      </c>
      <c r="N13374" t="s">
        <v>14</v>
      </c>
    </row>
    <row r="13375" x14ac:dyDescent="0.25">
      <c r="A13375" t="n">
        <v>23</v>
      </c>
      <c r="B13375" t="s">
        <v>14</v>
      </c>
      <c r="C13375" t="s">
        <v>22</v>
      </c>
      <c r="D13375" s="2" t="s">
        <f>=HYPERLINK("https://main.knesset.gov.il/APPS/legislation/main/bills/2086041", "הצעת חוק לתיקון סדרי המינהל (החלטות והנמקות) (תיקון - חריגה ממועד מתן תשובה), התש""ף-2020")</f>
        <v>25845</v>
      </c>
      <c r="E13375" t="s">
        <v>25845</v>
      </c>
      <c r="F13375" t="s">
        <v>25846</v>
      </c>
      <c r="G13375" t="s">
        <v>14</v>
      </c>
      <c r="H13375">
             </c>
      <c r="I13375" t="s">
        <v>14</v>
      </c>
      <c r="J13375" t="s">
        <v>141</v>
      </c>
      <c r="K13375" t="s">
        <v>14</v>
      </c>
      <c r="L13375" t="s">
        <v>20</v>
      </c>
      <c r="M13375" t="s">
        <v>25819</v>
      </c>
      <c r="N13375" t="s">
        <v>14</v>
      </c>
    </row>
    <row r="13376" x14ac:dyDescent="0.25">
      <c r="A13376" t="n">
        <v>23</v>
      </c>
      <c r="B13376" t="s">
        <v>14</v>
      </c>
      <c r="C13376" t="s">
        <v>22</v>
      </c>
      <c r="D13376" s="2" t="s">
        <f>=HYPERLINK("https://main.knesset.gov.il/APPS/legislation/main/bills/2087577", "הצעת חוק לתיקון פקודת הראיות (חיסיון עיתונאי), התש""ף-2020")</f>
        <v>25847</v>
      </c>
      <c r="E13376" t="s">
        <v>25847</v>
      </c>
      <c r="F13376" t="s">
        <v>25848</v>
      </c>
      <c r="G13376" t="s">
        <v>14</v>
      </c>
      <c r="H13376">
             </c>
      <c r="I13376" t="s">
        <v>14</v>
      </c>
      <c r="J13376" t="s">
        <v>141</v>
      </c>
      <c r="K13376" t="s">
        <v>14</v>
      </c>
      <c r="L13376" t="s">
        <v>20</v>
      </c>
      <c r="M13376" t="s">
        <v>25819</v>
      </c>
      <c r="N13376" t="s">
        <v>14</v>
      </c>
    </row>
    <row r="13377" x14ac:dyDescent="0.25">
      <c r="A13377" t="n">
        <v>23</v>
      </c>
      <c r="B13377" t="s">
        <v>14</v>
      </c>
      <c r="C13377" t="s">
        <v>22</v>
      </c>
      <c r="D13377" s="2" t="s">
        <f>=HYPERLINK("https://main.knesset.gov.il/APPS/legislation/main/bills/2087605", "הצעת חוק העונשין (תיקון - החמרת הענישה על עבירות כלפי אנשי צוות רפואי), התש""ף-2020")</f>
        <v>25849</v>
      </c>
      <c r="E13377" t="s">
        <v>25849</v>
      </c>
      <c r="F13377" t="s">
        <v>25850</v>
      </c>
      <c r="G13377" t="s">
        <v>14</v>
      </c>
      <c r="H13377">
             </c>
      <c r="I13377" t="s">
        <v>14</v>
      </c>
      <c r="J13377" t="s">
        <v>141</v>
      </c>
      <c r="K13377" t="s">
        <v>14</v>
      </c>
      <c r="L13377" t="s">
        <v>20</v>
      </c>
      <c r="M13377" t="s">
        <v>25819</v>
      </c>
      <c r="N13377" t="s">
        <v>14</v>
      </c>
    </row>
    <row r="13378" x14ac:dyDescent="0.25">
      <c r="A13378" t="n">
        <v>23</v>
      </c>
      <c r="B13378" t="s">
        <v>14</v>
      </c>
      <c r="C13378" t="s">
        <v>22</v>
      </c>
      <c r="D13378" s="2" t="s">
        <f>=HYPERLINK("https://main.knesset.gov.il/APPS/legislation/main/bills/2087575", "הצעת חוק שיפוט בתי דין רבניים (נישואין וגירושין) (תיקון - החרגת שפיטה בענייני רכוש בעת גירושין), התש""ף-2020")</f>
        <v>25851</v>
      </c>
      <c r="E13378" t="s">
        <v>25851</v>
      </c>
      <c r="F13378" t="s">
        <v>25852</v>
      </c>
      <c r="G13378" t="s">
        <v>14</v>
      </c>
      <c r="H13378">
             </c>
      <c r="I13378" t="s">
        <v>14</v>
      </c>
      <c r="J13378" t="s">
        <v>141</v>
      </c>
      <c r="K13378" t="s">
        <v>14</v>
      </c>
      <c r="L13378" t="s">
        <v>20</v>
      </c>
      <c r="M13378" t="s">
        <v>25819</v>
      </c>
      <c r="N13378" t="s">
        <v>14</v>
      </c>
    </row>
    <row r="13379" x14ac:dyDescent="0.25">
      <c r="A13379" t="n">
        <v>23</v>
      </c>
      <c r="B13379" t="s">
        <v>14</v>
      </c>
      <c r="C13379" t="s">
        <v>22</v>
      </c>
      <c r="D13379" s="2" t="s">
        <f>=HYPERLINK("https://main.knesset.gov.il/APPS/legislation/main/bills/2086334", "הצעת חוק להבטחת תשלום שכר עובדים, התש""ף-2020")</f>
        <v>25853</v>
      </c>
      <c r="E13379" t="s">
        <v>25853</v>
      </c>
      <c r="F13379" t="s">
        <v>25854</v>
      </c>
      <c r="G13379" t="s">
        <v>14</v>
      </c>
      <c r="H13379">
             </c>
      <c r="I13379" t="s">
        <v>14</v>
      </c>
      <c r="J13379" t="s">
        <v>141</v>
      </c>
      <c r="K13379" t="s">
        <v>14</v>
      </c>
      <c r="L13379" t="s">
        <v>20</v>
      </c>
      <c r="M13379" t="s">
        <v>25819</v>
      </c>
      <c r="N13379" t="s">
        <v>14</v>
      </c>
    </row>
    <row r="13380" x14ac:dyDescent="0.25">
      <c r="A13380" t="n">
        <v>23</v>
      </c>
      <c r="B13380" t="s">
        <v>14</v>
      </c>
      <c r="C13380" t="s">
        <v>22</v>
      </c>
      <c r="D13380" s="2" t="s">
        <f>=HYPERLINK("https://main.knesset.gov.il/APPS/legislation/main/bills/2086319", "הצעת חוק התכנון והבנייה (תיקון - סייג לאחריות פלילית בשל אי-קיום צו לאחר הרשעה), התש""ף-2020")</f>
        <v>25855</v>
      </c>
      <c r="E13380" t="s">
        <v>25855</v>
      </c>
      <c r="F13380" t="s">
        <v>25856</v>
      </c>
      <c r="G13380" t="s">
        <v>14</v>
      </c>
      <c r="H13380">
             </c>
      <c r="I13380" t="s">
        <v>14</v>
      </c>
      <c r="J13380" t="s">
        <v>141</v>
      </c>
      <c r="K13380" t="s">
        <v>14</v>
      </c>
      <c r="L13380" t="s">
        <v>20</v>
      </c>
      <c r="M13380" t="s">
        <v>25819</v>
      </c>
      <c r="N13380" t="s">
        <v>14</v>
      </c>
    </row>
    <row r="13381" x14ac:dyDescent="0.25">
      <c r="A13381" t="n">
        <v>23</v>
      </c>
      <c r="B13381" t="s">
        <v>14</v>
      </c>
      <c r="C13381" t="s">
        <v>22</v>
      </c>
      <c r="D13381" s="2" t="s">
        <f>=HYPERLINK("https://main.knesset.gov.il/APPS/legislation/main/bills/2086355", "הצעת חוק התכנון והבנייה (תיקון - חובת קיום התייעצות), התש""ף-2020")</f>
        <v>25857</v>
      </c>
      <c r="E13381" t="s">
        <v>25857</v>
      </c>
      <c r="F13381" t="s">
        <v>25858</v>
      </c>
      <c r="G13381" t="s">
        <v>14</v>
      </c>
      <c r="H13381">
             </c>
      <c r="I13381" t="s">
        <v>14</v>
      </c>
      <c r="J13381" t="s">
        <v>141</v>
      </c>
      <c r="K13381" t="s">
        <v>14</v>
      </c>
      <c r="L13381" t="s">
        <v>20</v>
      </c>
      <c r="M13381" t="s">
        <v>25819</v>
      </c>
      <c r="N13381" t="s">
        <v>14</v>
      </c>
    </row>
    <row r="13382" x14ac:dyDescent="0.25">
      <c r="A13382" t="n">
        <v>23</v>
      </c>
      <c r="B13382" t="s">
        <v>14</v>
      </c>
      <c r="C13382" t="s">
        <v>22</v>
      </c>
      <c r="D13382" s="2" t="s">
        <f>=HYPERLINK("https://main.knesset.gov.il/APPS/legislation/main/bills/2087671", "הצעת חוק התכנון והבנייה (תיקון - ייעוד קרקע למבנים לאוכלוסייה הקשישה), התש""ף-2020 ")</f>
        <v>25859</v>
      </c>
      <c r="E13382" t="s">
        <v>25859</v>
      </c>
      <c r="F13382" t="s">
        <v>25860</v>
      </c>
      <c r="G13382" t="s">
        <v>14</v>
      </c>
      <c r="H13382">
             </c>
      <c r="I13382" t="s">
        <v>14</v>
      </c>
      <c r="J13382" t="s">
        <v>141</v>
      </c>
      <c r="K13382" t="s">
        <v>14</v>
      </c>
      <c r="L13382" t="s">
        <v>20</v>
      </c>
      <c r="M13382" t="s">
        <v>25819</v>
      </c>
      <c r="N13382" t="s">
        <v>14</v>
      </c>
    </row>
    <row r="13383" x14ac:dyDescent="0.25">
      <c r="A13383" t="n">
        <v>23</v>
      </c>
      <c r="B13383" t="s">
        <v>14</v>
      </c>
      <c r="C13383" t="s">
        <v>22</v>
      </c>
      <c r="D13383" s="2" t="s">
        <f>=HYPERLINK("https://main.knesset.gov.il/APPS/legislation/main/bills/2088057", "הצעת חוק חינוך ממלכתי (תיקון - חינוך ממלכתי חרדי), התש""ף-2020")</f>
        <v>25861</v>
      </c>
      <c r="E13383" t="s">
        <v>25861</v>
      </c>
      <c r="F13383" t="s">
        <v>25862</v>
      </c>
      <c r="G13383" t="s">
        <v>14</v>
      </c>
      <c r="H13383">
             </c>
      <c r="I13383" t="s">
        <v>14</v>
      </c>
      <c r="J13383" t="s">
        <v>343</v>
      </c>
      <c r="K13383" t="s">
        <v>14</v>
      </c>
      <c r="L13383" t="s">
        <v>20</v>
      </c>
      <c r="M13383" t="s">
        <v>25819</v>
      </c>
      <c r="N13383" t="s">
        <v>14</v>
      </c>
    </row>
    <row r="13384" x14ac:dyDescent="0.25">
      <c r="A13384" t="n">
        <v>23</v>
      </c>
      <c r="B13384" t="s">
        <v>14</v>
      </c>
      <c r="C13384" t="s">
        <v>22</v>
      </c>
      <c r="D13384" s="2" t="s">
        <f>=HYPERLINK("https://main.knesset.gov.il/APPS/legislation/main/bills/2087183", "הצעת חוק שכר מינימום (תיקון - שכר מינימום לעובד שטרם מלאו לו 18 שנים), התש""ף-2020")</f>
        <v>25863</v>
      </c>
      <c r="E13384" t="s">
        <v>25863</v>
      </c>
      <c r="F13384" t="s">
        <v>25864</v>
      </c>
      <c r="G13384" t="s">
        <v>14</v>
      </c>
      <c r="H13384">
             </c>
      <c r="I13384" t="s">
        <v>14</v>
      </c>
      <c r="J13384" t="s">
        <v>141</v>
      </c>
      <c r="K13384" t="s">
        <v>14</v>
      </c>
      <c r="L13384" t="s">
        <v>20</v>
      </c>
      <c r="M13384" t="s">
        <v>25819</v>
      </c>
      <c r="N13384" t="s">
        <v>14</v>
      </c>
    </row>
    <row r="13385" x14ac:dyDescent="0.25">
      <c r="A13385" t="n">
        <v>23</v>
      </c>
      <c r="B13385" t="s">
        <v>14</v>
      </c>
      <c r="C13385" t="s">
        <v>22</v>
      </c>
      <c r="D13385" s="2" t="s">
        <f>=HYPERLINK("https://main.knesset.gov.il/APPS/legislation/main/bills/2086305", "הצעת חוק שכר מינימום (תיקון - שכר מינימום לעובד שטרם מלאו לו 18 שנים), התש""ף-2020")</f>
        <v>25863</v>
      </c>
      <c r="E13385" t="s">
        <v>25863</v>
      </c>
      <c r="F13385" t="s">
        <v>25865</v>
      </c>
      <c r="G13385" t="s">
        <v>14</v>
      </c>
      <c r="H13385">
             </c>
      <c r="I13385" t="s">
        <v>14</v>
      </c>
      <c r="J13385" t="s">
        <v>141</v>
      </c>
      <c r="K13385" t="s">
        <v>14</v>
      </c>
      <c r="L13385" t="s">
        <v>20</v>
      </c>
      <c r="M13385" t="s">
        <v>25819</v>
      </c>
      <c r="N13385" t="s">
        <v>14</v>
      </c>
    </row>
    <row r="13386" x14ac:dyDescent="0.25">
      <c r="A13386" t="n">
        <v>23</v>
      </c>
      <c r="B13386" t="s">
        <v>14</v>
      </c>
      <c r="C13386" t="s">
        <v>22</v>
      </c>
      <c r="D13386" s="2" t="s">
        <f>=HYPERLINK("https://main.knesset.gov.il/APPS/legislation/main/bills/2086337", "הצעת חוק פיצויי פיטורים (תיקון - הזכות לפיצויי התפטרות), התש""ף-2020")</f>
        <v>25866</v>
      </c>
      <c r="E13386" t="s">
        <v>25866</v>
      </c>
      <c r="F13386" t="s">
        <v>25867</v>
      </c>
      <c r="G13386" t="s">
        <v>14</v>
      </c>
      <c r="H13386">
             </c>
      <c r="I13386" t="s">
        <v>14</v>
      </c>
      <c r="J13386" t="s">
        <v>141</v>
      </c>
      <c r="K13386" t="s">
        <v>14</v>
      </c>
      <c r="L13386" t="s">
        <v>20</v>
      </c>
      <c r="M13386" t="s">
        <v>25819</v>
      </c>
      <c r="N13386" t="s">
        <v>14</v>
      </c>
    </row>
    <row r="13387" x14ac:dyDescent="0.25">
      <c r="A13387" t="n">
        <v>23</v>
      </c>
      <c r="B13387" t="s">
        <v>14</v>
      </c>
      <c r="C13387" t="s">
        <v>22</v>
      </c>
      <c r="D13387" s="2" t="s">
        <f>=HYPERLINK("https://main.knesset.gov.il/APPS/legislation/main/bills/2087863", "הצעת חוק זכויות החולה (תיקון - הזכות למינוי מתורגמן רפואי), התש""ף-2020")</f>
        <v>25868</v>
      </c>
      <c r="E13387" t="s">
        <v>25868</v>
      </c>
      <c r="F13387" t="s">
        <v>25869</v>
      </c>
      <c r="G13387" t="s">
        <v>14</v>
      </c>
      <c r="H13387">
             </c>
      <c r="I13387" t="s">
        <v>14</v>
      </c>
      <c r="J13387" t="s">
        <v>141</v>
      </c>
      <c r="K13387" t="s">
        <v>14</v>
      </c>
      <c r="L13387" t="s">
        <v>20</v>
      </c>
      <c r="M13387" t="s">
        <v>25819</v>
      </c>
      <c r="N13387" t="s">
        <v>14</v>
      </c>
    </row>
    <row r="13388" x14ac:dyDescent="0.25">
      <c r="A13388" t="n">
        <v>23</v>
      </c>
      <c r="B13388" t="s">
        <v>14</v>
      </c>
      <c r="C13388" t="s">
        <v>22</v>
      </c>
      <c r="D13388" s="2" t="s">
        <f>=HYPERLINK("https://main.knesset.gov.il/APPS/legislation/main/bills/2088392", "הצעת חוק לתיקון פקודת התעבורה (הגבלת דמי חניה בחניוני בתי חולים), התש""ף-2020")</f>
        <v>25870</v>
      </c>
      <c r="E13388" t="s">
        <v>25870</v>
      </c>
      <c r="F13388" t="s">
        <v>25871</v>
      </c>
      <c r="G13388" t="s">
        <v>14</v>
      </c>
      <c r="H13388">
             </c>
      <c r="I13388" t="s">
        <v>14</v>
      </c>
      <c r="J13388" t="s">
        <v>141</v>
      </c>
      <c r="K13388" t="s">
        <v>14</v>
      </c>
      <c r="L13388" t="s">
        <v>20</v>
      </c>
      <c r="M13388" t="s">
        <v>25819</v>
      </c>
      <c r="N13388" t="s">
        <v>14</v>
      </c>
    </row>
    <row r="13389" x14ac:dyDescent="0.25">
      <c r="A13389" t="n">
        <v>23</v>
      </c>
      <c r="B13389" t="s">
        <v>14</v>
      </c>
      <c r="C13389" t="s">
        <v>22</v>
      </c>
      <c r="D13389" s="2" t="s">
        <f>=HYPERLINK("https://main.knesset.gov.il/APPS/legislation/main/bills/2088389", "הצעת חוק הבנקאות (שירות ללקוח) (תיקון - דיווח על ניצול קשיש או חסר ישע), התש""ף-2020")</f>
        <v>25872</v>
      </c>
      <c r="E13389" t="s">
        <v>25872</v>
      </c>
      <c r="F13389" t="s">
        <v>25873</v>
      </c>
      <c r="G13389" t="s">
        <v>14</v>
      </c>
      <c r="H13389">
             </c>
      <c r="I13389" t="s">
        <v>14</v>
      </c>
      <c r="J13389" t="s">
        <v>141</v>
      </c>
      <c r="K13389" t="s">
        <v>14</v>
      </c>
      <c r="L13389" t="s">
        <v>20</v>
      </c>
      <c r="M13389" t="s">
        <v>25819</v>
      </c>
      <c r="N13389" t="s">
        <v>14</v>
      </c>
    </row>
    <row r="13390" x14ac:dyDescent="0.25">
      <c r="A13390" t="n">
        <v>23</v>
      </c>
      <c r="B13390" t="s">
        <v>14</v>
      </c>
      <c r="C13390" t="s">
        <v>22</v>
      </c>
      <c r="D13390" s="2" t="s">
        <f>=HYPERLINK("https://main.knesset.gov.il/APPS/legislation/main/bills/2088004", "הצעת חוק הבטחת הכנסה (תיקון - אופן חישוב הכנסה מדמי אבטלה)(הוראת שעה), התש""ף-2020")</f>
        <v>25874</v>
      </c>
      <c r="E13390" t="s">
        <v>25874</v>
      </c>
      <c r="F13390" t="s">
        <v>25875</v>
      </c>
      <c r="G13390" t="s">
        <v>14</v>
      </c>
      <c r="H13390">
             </c>
      <c r="I13390" t="s">
        <v>14</v>
      </c>
      <c r="J13390" t="s">
        <v>141</v>
      </c>
      <c r="K13390" t="s">
        <v>14</v>
      </c>
      <c r="L13390" t="s">
        <v>20</v>
      </c>
      <c r="M13390" t="s">
        <v>25819</v>
      </c>
      <c r="N13390" t="s">
        <v>14</v>
      </c>
    </row>
    <row r="13391" x14ac:dyDescent="0.25">
      <c r="A13391" t="n">
        <v>23</v>
      </c>
      <c r="B13391" t="s">
        <v>14</v>
      </c>
      <c r="C13391" t="s">
        <v>22</v>
      </c>
      <c r="D13391" s="2" t="s">
        <f>=HYPERLINK("https://main.knesset.gov.il/APPS/legislation/main/bills/2088006", "הצעת חוק הביטוח הלאומי (תיקון - אופן חישוב הכנסה מדמי אבטלה לעניין זכאות לקצבת נכות ולקצבת אזרח ותיק) (הוראת שעה), התש""ף-2020")</f>
        <v>25876</v>
      </c>
      <c r="E13391" t="s">
        <v>25876</v>
      </c>
      <c r="F13391" t="s">
        <v>25877</v>
      </c>
      <c r="G13391" t="s">
        <v>14</v>
      </c>
      <c r="H13391">
             </c>
      <c r="I13391" t="s">
        <v>14</v>
      </c>
      <c r="J13391" t="s">
        <v>141</v>
      </c>
      <c r="K13391" t="s">
        <v>14</v>
      </c>
      <c r="L13391" t="s">
        <v>20</v>
      </c>
      <c r="M13391" t="s">
        <v>25819</v>
      </c>
      <c r="N13391" t="s">
        <v>14</v>
      </c>
    </row>
    <row r="13392" x14ac:dyDescent="0.25">
      <c r="A13392" t="n">
        <v>23</v>
      </c>
      <c r="B13392" t="s">
        <v>14</v>
      </c>
      <c r="C13392" t="s">
        <v>22</v>
      </c>
      <c r="D13392" s="2" t="s">
        <f>=HYPERLINK("https://main.knesset.gov.il/APPS/legislation/main/bills/2088242", "הצעת חוק זכויות החולה (תיקון - קביעת הוראות לעניין הכנסת חפצים ודברי מאכל למוסד רפואי), התש""ף-2020")</f>
        <v>25878</v>
      </c>
      <c r="E13392" t="s">
        <v>25878</v>
      </c>
      <c r="F13392" t="s">
        <v>25879</v>
      </c>
      <c r="G13392" t="s">
        <v>14</v>
      </c>
      <c r="H13392">
             </c>
      <c r="I13392" t="s">
        <v>14</v>
      </c>
      <c r="J13392" t="s">
        <v>141</v>
      </c>
      <c r="K13392" t="s">
        <v>14</v>
      </c>
      <c r="L13392" t="s">
        <v>20</v>
      </c>
      <c r="M13392" t="s">
        <v>25819</v>
      </c>
      <c r="N13392" t="s">
        <v>14</v>
      </c>
    </row>
    <row r="13393" x14ac:dyDescent="0.25">
      <c r="A13393" t="n">
        <v>23</v>
      </c>
      <c r="B13393" t="s">
        <v>14</v>
      </c>
      <c r="C13393" t="s">
        <v>22</v>
      </c>
      <c r="D13393" s="2" t="s">
        <f>=HYPERLINK("https://main.knesset.gov.il/APPS/legislation/main/bills/2087563", "הצעת חוק שיקים ללא כיסוי (תיקון - מצב חירום בשל מגיפה עולמית), התש""ף-2020")</f>
        <v>25880</v>
      </c>
      <c r="E13393" t="s">
        <v>25880</v>
      </c>
      <c r="F13393" t="s">
        <v>25881</v>
      </c>
      <c r="G13393" t="s">
        <v>14</v>
      </c>
      <c r="H13393">
             </c>
      <c r="I13393" t="s">
        <v>14</v>
      </c>
      <c r="J13393" t="s">
        <v>141</v>
      </c>
      <c r="K13393" t="s">
        <v>14</v>
      </c>
      <c r="L13393" t="s">
        <v>20</v>
      </c>
      <c r="M13393" t="s">
        <v>25819</v>
      </c>
      <c r="N13393" t="s">
        <v>14</v>
      </c>
    </row>
    <row r="13394" x14ac:dyDescent="0.25">
      <c r="A13394" t="n">
        <v>23</v>
      </c>
      <c r="B13394" t="s">
        <v>14</v>
      </c>
      <c r="C13394" t="s">
        <v>22</v>
      </c>
      <c r="D13394" s="2" t="s">
        <f>=HYPERLINK("https://main.knesset.gov.il/APPS/legislation/main/bills/2087676", "הצעת חוק העונשין (תיקון - גזענות נגד קבוצה דתית), התש""ף-2020")</f>
        <v>25882</v>
      </c>
      <c r="E13394" t="s">
        <v>25882</v>
      </c>
      <c r="F13394" t="s">
        <v>25883</v>
      </c>
      <c r="G13394" t="s">
        <v>14</v>
      </c>
      <c r="H13394">
             </c>
      <c r="I13394" t="s">
        <v>14</v>
      </c>
      <c r="J13394" t="s">
        <v>141</v>
      </c>
      <c r="K13394" t="s">
        <v>14</v>
      </c>
      <c r="L13394" t="s">
        <v>20</v>
      </c>
      <c r="M13394" t="s">
        <v>25819</v>
      </c>
      <c r="N13394" t="s">
        <v>14</v>
      </c>
    </row>
    <row r="13395" x14ac:dyDescent="0.25">
      <c r="A13395" t="n">
        <v>23</v>
      </c>
      <c r="B13395" t="s">
        <v>14</v>
      </c>
      <c r="C13395" t="s">
        <v>22</v>
      </c>
      <c r="D13395" s="2" t="s">
        <f>=HYPERLINK("https://main.knesset.gov.il/APPS/legislation/main/bills/2087012", "הצעת חוק בית המשפט לענייני משפחה (תיקון - בני זוג מאותו המין), התש""ף-2020")</f>
        <v>24562</v>
      </c>
      <c r="E13395" t="s">
        <v>24562</v>
      </c>
      <c r="F13395" t="s">
        <v>25884</v>
      </c>
      <c r="G13395" t="s">
        <v>14</v>
      </c>
      <c r="H13395">
             </c>
      <c r="I13395" t="s">
        <v>14</v>
      </c>
      <c r="J13395" t="s">
        <v>141</v>
      </c>
      <c r="K13395" t="s">
        <v>14</v>
      </c>
      <c r="L13395" t="s">
        <v>20</v>
      </c>
      <c r="M13395" t="s">
        <v>25819</v>
      </c>
      <c r="N13395" t="s">
        <v>14</v>
      </c>
    </row>
    <row r="13396" x14ac:dyDescent="0.25">
      <c r="A13396" t="n">
        <v>23</v>
      </c>
      <c r="B13396" t="s">
        <v>14</v>
      </c>
      <c r="C13396" t="s">
        <v>22</v>
      </c>
      <c r="D13396" s="2" t="s">
        <f>=HYPERLINK("https://main.knesset.gov.il/APPS/legislation/main/bills/2086563", "הצעת חוק בית המשפט לענייני משפחה (תיקון - בני זוג מאותו המין), התש""ף-2020")</f>
        <v>24562</v>
      </c>
      <c r="E13396" t="s">
        <v>24562</v>
      </c>
      <c r="F13396" t="s">
        <v>25885</v>
      </c>
      <c r="G13396" t="s">
        <v>14</v>
      </c>
      <c r="H13396">
             </c>
      <c r="I13396" t="s">
        <v>14</v>
      </c>
      <c r="J13396" t="s">
        <v>141</v>
      </c>
      <c r="K13396" t="s">
        <v>14</v>
      </c>
      <c r="L13396" t="s">
        <v>20</v>
      </c>
      <c r="M13396" t="s">
        <v>25819</v>
      </c>
      <c r="N13396" t="s">
        <v>14</v>
      </c>
    </row>
    <row r="13397" x14ac:dyDescent="0.25">
      <c r="A13397" t="n">
        <v>23</v>
      </c>
      <c r="B13397" t="s">
        <v>14</v>
      </c>
      <c r="C13397" t="s">
        <v>22</v>
      </c>
      <c r="D13397" s="2" t="s">
        <f>=HYPERLINK("https://main.knesset.gov.il/APPS/legislation/main/bills/2087128", "הצעת חוק מס ערך מוסף (תיקון - מס בשיעור אפס על ספרי לימוד), התש""ף-2020")</f>
        <v>24821</v>
      </c>
      <c r="E13397" t="s">
        <v>24821</v>
      </c>
      <c r="F13397" t="s">
        <v>25886</v>
      </c>
      <c r="G13397" t="s">
        <v>14</v>
      </c>
      <c r="H13397">
             </c>
      <c r="I13397" t="s">
        <v>14</v>
      </c>
      <c r="J13397" t="s">
        <v>141</v>
      </c>
      <c r="K13397" t="s">
        <v>14</v>
      </c>
      <c r="L13397" t="s">
        <v>20</v>
      </c>
      <c r="M13397" t="s">
        <v>25819</v>
      </c>
      <c r="N13397" t="s">
        <v>14</v>
      </c>
    </row>
    <row r="13398" x14ac:dyDescent="0.25">
      <c r="A13398" t="n">
        <v>23</v>
      </c>
      <c r="B13398" t="s">
        <v>14</v>
      </c>
      <c r="C13398" t="s">
        <v>22</v>
      </c>
      <c r="D13398" s="2" t="s">
        <f>=HYPERLINK("https://main.knesset.gov.il/APPS/legislation/main/bills/2088335", "הצעת חוק תשלום פיצויים בשל נזקי אסון טבע, התש""ף-2020")</f>
        <v>25115</v>
      </c>
      <c r="E13398" t="s">
        <v>25115</v>
      </c>
      <c r="F13398" t="s">
        <v>25887</v>
      </c>
      <c r="G13398" t="s">
        <v>14</v>
      </c>
      <c r="H13398">
             </c>
      <c r="I13398" t="s">
        <v>14</v>
      </c>
      <c r="J13398" t="s">
        <v>141</v>
      </c>
      <c r="K13398" t="s">
        <v>14</v>
      </c>
      <c r="L13398" t="s">
        <v>20</v>
      </c>
      <c r="M13398" t="s">
        <v>25819</v>
      </c>
      <c r="N13398" t="s">
        <v>14</v>
      </c>
    </row>
    <row r="13399" x14ac:dyDescent="0.25">
      <c r="A13399" t="n">
        <v>23</v>
      </c>
      <c r="B13399" t="s">
        <v>14</v>
      </c>
      <c r="C13399" t="s">
        <v>22</v>
      </c>
      <c r="D13399" s="2" t="s">
        <f>=HYPERLINK("https://main.knesset.gov.il/APPS/legislation/main/bills/2087100", "הצעת חוק החברות הממשלתיות (תיקון - ייצוג הולם לאוכלוסייה הערבית), התש""ף-2020")</f>
        <v>23232</v>
      </c>
      <c r="E13399" t="s">
        <v>23232</v>
      </c>
      <c r="F13399" t="s">
        <v>25888</v>
      </c>
      <c r="G13399" t="s">
        <v>14</v>
      </c>
      <c r="H13399">
             </c>
      <c r="I13399" t="s">
        <v>14</v>
      </c>
      <c r="J13399" t="s">
        <v>141</v>
      </c>
      <c r="K13399" t="s">
        <v>14</v>
      </c>
      <c r="L13399" t="s">
        <v>20</v>
      </c>
      <c r="M13399" t="s">
        <v>25819</v>
      </c>
      <c r="N13399" t="s">
        <v>14</v>
      </c>
    </row>
    <row r="13400" x14ac:dyDescent="0.25">
      <c r="A13400" t="n">
        <v>23</v>
      </c>
      <c r="B13400" t="s">
        <v>14</v>
      </c>
      <c r="C13400" t="s">
        <v>22</v>
      </c>
      <c r="D13400" s="2" t="s">
        <f>=HYPERLINK("https://main.knesset.gov.il/APPS/legislation/main/bills/2088356", "הצעת חוק הפיקוח על שירותים פיננסיים (קופות גמל) (תיקון - הגבלה על השקעות בחברה שערכה הסדר חוב), התש""ף-2020")</f>
        <v>25889</v>
      </c>
      <c r="E13400" t="s">
        <v>25889</v>
      </c>
      <c r="F13400" t="s">
        <v>25890</v>
      </c>
      <c r="G13400" t="s">
        <v>14</v>
      </c>
      <c r="H13400">
             </c>
      <c r="I13400" t="s">
        <v>14</v>
      </c>
      <c r="J13400" t="s">
        <v>141</v>
      </c>
      <c r="K13400" t="s">
        <v>14</v>
      </c>
      <c r="L13400" t="s">
        <v>20</v>
      </c>
      <c r="M13400" t="s">
        <v>25819</v>
      </c>
      <c r="N13400" t="s">
        <v>14</v>
      </c>
    </row>
    <row r="13401" x14ac:dyDescent="0.25">
      <c r="A13401" t="n">
        <v>23</v>
      </c>
      <c r="B13401" t="s">
        <v>14</v>
      </c>
      <c r="C13401" t="s">
        <v>22</v>
      </c>
      <c r="D13401" s="2" t="s">
        <f>=HYPERLINK("https://main.knesset.gov.il/APPS/legislation/main/bills/2087136", "הצעת חוק הכנסת (תיקון - כינוס הכנסת בתקופת הפגרה), התש""ף-2019")</f>
        <v>25891</v>
      </c>
      <c r="E13401" t="s">
        <v>25891</v>
      </c>
      <c r="F13401" t="s">
        <v>25892</v>
      </c>
      <c r="G13401" t="s">
        <v>14</v>
      </c>
      <c r="H13401">
             </c>
      <c r="I13401" t="s">
        <v>14</v>
      </c>
      <c r="J13401" t="s">
        <v>141</v>
      </c>
      <c r="K13401" t="s">
        <v>14</v>
      </c>
      <c r="L13401" t="s">
        <v>20</v>
      </c>
      <c r="M13401" t="s">
        <v>25819</v>
      </c>
      <c r="N13401" t="s">
        <v>14</v>
      </c>
    </row>
    <row r="13402" x14ac:dyDescent="0.25">
      <c r="A13402" t="n">
        <v>23</v>
      </c>
      <c r="B13402" t="s">
        <v>14</v>
      </c>
      <c r="C13402" t="s">
        <v>22</v>
      </c>
      <c r="D13402" s="2" t="s">
        <f>=HYPERLINK("https://main.knesset.gov.il/APPS/legislation/main/bills/2087694", "הצעת חוק להגבלת שכר טרחת כונסי נכסים (תיקוני חקיקה), התש""ף-2020")</f>
        <v>24687</v>
      </c>
      <c r="E13402" t="s">
        <v>24687</v>
      </c>
      <c r="F13402" t="s">
        <v>25893</v>
      </c>
      <c r="G13402" t="s">
        <v>14</v>
      </c>
      <c r="H13402">
             </c>
      <c r="I13402" t="s">
        <v>14</v>
      </c>
      <c r="J13402" t="s">
        <v>141</v>
      </c>
      <c r="K13402" t="s">
        <v>14</v>
      </c>
      <c r="L13402" t="s">
        <v>20</v>
      </c>
      <c r="M13402" t="s">
        <v>25819</v>
      </c>
      <c r="N13402" t="s">
        <v>14</v>
      </c>
    </row>
    <row r="13403" x14ac:dyDescent="0.25">
      <c r="A13403" t="n">
        <v>23</v>
      </c>
      <c r="B13403" t="s">
        <v>14</v>
      </c>
      <c r="C13403" t="s">
        <v>22</v>
      </c>
      <c r="D13403" s="2" t="s">
        <f>=HYPERLINK("https://main.knesset.gov.il/APPS/legislation/main/bills/2087140", "הצעת חוק לביטול ההתיישנות בעבירות מין במשפחה (תיקוני חקיקה), התש""ף-2020")</f>
        <v>25894</v>
      </c>
      <c r="E13403" t="s">
        <v>25894</v>
      </c>
      <c r="F13403" t="s">
        <v>25895</v>
      </c>
      <c r="G13403" t="s">
        <v>14</v>
      </c>
      <c r="H13403">
             </c>
      <c r="I13403" t="s">
        <v>14</v>
      </c>
      <c r="J13403" t="s">
        <v>141</v>
      </c>
      <c r="K13403" t="s">
        <v>14</v>
      </c>
      <c r="L13403" t="s">
        <v>20</v>
      </c>
      <c r="M13403" t="s">
        <v>25819</v>
      </c>
      <c r="N13403" t="s">
        <v>14</v>
      </c>
    </row>
    <row r="13404" x14ac:dyDescent="0.25">
      <c r="A13404" t="n">
        <v>23</v>
      </c>
      <c r="B13404" t="s">
        <v>14</v>
      </c>
      <c r="C13404" t="s">
        <v>22</v>
      </c>
      <c r="D13404" s="2" t="s">
        <f>=HYPERLINK("https://main.knesset.gov.il/APPS/legislation/main/bills/2088152", "הצעת חוק למניעת חרם חברתי בבתי ספר, התש""ף-2020")</f>
        <v>25896</v>
      </c>
      <c r="E13404" t="s">
        <v>25896</v>
      </c>
      <c r="F13404" t="s">
        <v>25897</v>
      </c>
      <c r="G13404" t="s">
        <v>14</v>
      </c>
      <c r="H13404">
             </c>
      <c r="I13404" t="s">
        <v>14</v>
      </c>
      <c r="J13404" t="s">
        <v>141</v>
      </c>
      <c r="K13404" t="s">
        <v>14</v>
      </c>
      <c r="L13404" t="s">
        <v>20</v>
      </c>
      <c r="M13404" t="s">
        <v>25819</v>
      </c>
      <c r="N13404" t="s">
        <v>14</v>
      </c>
    </row>
    <row r="13405" x14ac:dyDescent="0.25">
      <c r="A13405" t="n">
        <v>23</v>
      </c>
      <c r="B13405" t="s">
        <v>14</v>
      </c>
      <c r="C13405" t="s">
        <v>22</v>
      </c>
      <c r="D13405" s="2" t="s">
        <f>=HYPERLINK("https://main.knesset.gov.il/APPS/legislation/main/bills/2088301", "הצעת חוק מס רכוש וקרן פיצויים (תיקון - פיצויים בישוב עורפי), התש""ף-2020")</f>
        <v>25898</v>
      </c>
      <c r="E13405" t="s">
        <v>25898</v>
      </c>
      <c r="F13405" t="s">
        <v>25899</v>
      </c>
      <c r="G13405" t="s">
        <v>14</v>
      </c>
      <c r="H13405">
             </c>
      <c r="I13405" t="s">
        <v>14</v>
      </c>
      <c r="J13405" t="s">
        <v>141</v>
      </c>
      <c r="K13405" t="s">
        <v>14</v>
      </c>
      <c r="L13405" t="s">
        <v>20</v>
      </c>
      <c r="M13405" t="s">
        <v>25819</v>
      </c>
      <c r="N13405" t="s">
        <v>14</v>
      </c>
    </row>
    <row r="13406" x14ac:dyDescent="0.25">
      <c r="A13406" t="n">
        <v>23</v>
      </c>
      <c r="B13406" t="s">
        <v>14</v>
      </c>
      <c r="C13406" t="s">
        <v>22</v>
      </c>
      <c r="D13406" s="2" t="s">
        <f>=HYPERLINK("https://main.knesset.gov.il/APPS/legislation/main/bills/2086394", "הצעת חוק העונשין (תיקון - הוספת עילות לעבירות הסתה ופשע שנאה), התש""ף-2020")</f>
        <v>23848</v>
      </c>
      <c r="E13406" t="s">
        <v>23848</v>
      </c>
      <c r="F13406" t="s">
        <v>25900</v>
      </c>
      <c r="G13406" t="s">
        <v>14</v>
      </c>
      <c r="H13406">
             </c>
      <c r="I13406" t="s">
        <v>14</v>
      </c>
      <c r="J13406" t="s">
        <v>141</v>
      </c>
      <c r="K13406" t="s">
        <v>14</v>
      </c>
      <c r="L13406" t="s">
        <v>20</v>
      </c>
      <c r="M13406" t="s">
        <v>25819</v>
      </c>
      <c r="N13406" t="s">
        <v>14</v>
      </c>
    </row>
    <row r="13407" x14ac:dyDescent="0.25">
      <c r="A13407" t="n">
        <v>23</v>
      </c>
      <c r="B13407" t="s">
        <v>14</v>
      </c>
      <c r="C13407" t="s">
        <v>22</v>
      </c>
      <c r="D13407" s="2" t="s">
        <f>=HYPERLINK("https://main.knesset.gov.il/APPS/legislation/main/bills/2087686", "הצעת חוק בית המשפט לענייני משפחה (תיקון - רשימת כונסי נכסים), התש""ף-2020")</f>
        <v>25901</v>
      </c>
      <c r="E13407" t="s">
        <v>25901</v>
      </c>
      <c r="F13407" t="s">
        <v>25902</v>
      </c>
      <c r="G13407" t="s">
        <v>14</v>
      </c>
      <c r="H13407">
             </c>
      <c r="I13407" t="s">
        <v>14</v>
      </c>
      <c r="J13407" t="s">
        <v>141</v>
      </c>
      <c r="K13407" t="s">
        <v>14</v>
      </c>
      <c r="L13407" t="s">
        <v>20</v>
      </c>
      <c r="M13407" t="s">
        <v>25819</v>
      </c>
      <c r="N13407" t="s">
        <v>14</v>
      </c>
    </row>
    <row r="13408" x14ac:dyDescent="0.25">
      <c r="A13408" t="n">
        <v>23</v>
      </c>
      <c r="B13408" t="s">
        <v>14</v>
      </c>
      <c r="C13408" t="s">
        <v>22</v>
      </c>
      <c r="D13408" s="2" t="s">
        <f>=HYPERLINK("https://main.knesset.gov.il/APPS/legislation/main/bills/2086398", "הצעת חוק העונשין (תיקון - הכנת פרסום בדבר שירותי זנות), התש""ף-2020")</f>
        <v>25903</v>
      </c>
      <c r="E13408" t="s">
        <v>25903</v>
      </c>
      <c r="F13408" t="s">
        <v>25904</v>
      </c>
      <c r="G13408" t="s">
        <v>14</v>
      </c>
      <c r="H13408">
             </c>
      <c r="I13408" t="s">
        <v>14</v>
      </c>
      <c r="J13408" t="s">
        <v>141</v>
      </c>
      <c r="K13408" t="s">
        <v>14</v>
      </c>
      <c r="L13408" t="s">
        <v>20</v>
      </c>
      <c r="M13408" t="s">
        <v>25819</v>
      </c>
      <c r="N13408" t="s">
        <v>14</v>
      </c>
    </row>
    <row r="13409" x14ac:dyDescent="0.25">
      <c r="A13409" t="n">
        <v>23</v>
      </c>
      <c r="B13409" t="s">
        <v>14</v>
      </c>
      <c r="C13409" t="s">
        <v>22</v>
      </c>
      <c r="D13409" s="2" t="s">
        <f>=HYPERLINK("https://main.knesset.gov.il/APPS/legislation/main/bills/2087626", "הצעת חוק העונשין (תיקון - מרמה והפרת אמונים), התש""ף-2020")</f>
        <v>25905</v>
      </c>
      <c r="E13409" t="s">
        <v>25905</v>
      </c>
      <c r="F13409" t="s">
        <v>25906</v>
      </c>
      <c r="G13409" t="s">
        <v>14</v>
      </c>
      <c r="H13409">
             </c>
      <c r="I13409" t="s">
        <v>14</v>
      </c>
      <c r="J13409" t="s">
        <v>141</v>
      </c>
      <c r="K13409" t="s">
        <v>14</v>
      </c>
      <c r="L13409" t="s">
        <v>20</v>
      </c>
      <c r="M13409" t="s">
        <v>25819</v>
      </c>
      <c r="N13409" t="s">
        <v>14</v>
      </c>
    </row>
    <row r="13410" x14ac:dyDescent="0.25">
      <c r="A13410" t="n">
        <v>23</v>
      </c>
      <c r="B13410" t="s">
        <v>14</v>
      </c>
      <c r="C13410" t="s">
        <v>22</v>
      </c>
      <c r="D13410" s="2" t="s">
        <f>=HYPERLINK("https://main.knesset.gov.il/APPS/legislation/main/bills/2087202", "הצעת חוק חופש המידע (תיקון - פרסום מידע אודות מכרזים), התש""ף-2020")</f>
        <v>25907</v>
      </c>
      <c r="E13410" t="s">
        <v>25907</v>
      </c>
      <c r="F13410" t="s">
        <v>25908</v>
      </c>
      <c r="G13410" t="s">
        <v>14</v>
      </c>
      <c r="H13410">
             </c>
      <c r="I13410" t="s">
        <v>14</v>
      </c>
      <c r="J13410" t="s">
        <v>141</v>
      </c>
      <c r="K13410" t="s">
        <v>14</v>
      </c>
      <c r="L13410" t="s">
        <v>20</v>
      </c>
      <c r="M13410" t="s">
        <v>25819</v>
      </c>
      <c r="N13410" t="s">
        <v>14</v>
      </c>
    </row>
    <row r="13411" x14ac:dyDescent="0.25">
      <c r="A13411" t="n">
        <v>23</v>
      </c>
      <c r="B13411" t="s">
        <v>14</v>
      </c>
      <c r="C13411" t="s">
        <v>22</v>
      </c>
      <c r="D13411" s="2" t="s">
        <f>=HYPERLINK("https://main.knesset.gov.il/APPS/legislation/main/bills/2088305", "הצעת חוק יסודות התקציב (תיקון - אישור נוהל הגשת בקשות תמיכה), התש""ף-2020")</f>
        <v>25909</v>
      </c>
      <c r="E13411" t="s">
        <v>25909</v>
      </c>
      <c r="F13411" t="s">
        <v>25910</v>
      </c>
      <c r="G13411" t="s">
        <v>14</v>
      </c>
      <c r="H13411">
             </c>
      <c r="I13411" t="s">
        <v>14</v>
      </c>
      <c r="J13411" t="s">
        <v>141</v>
      </c>
      <c r="K13411" t="s">
        <v>14</v>
      </c>
      <c r="L13411" t="s">
        <v>20</v>
      </c>
      <c r="M13411" t="s">
        <v>25819</v>
      </c>
      <c r="N13411" t="s">
        <v>14</v>
      </c>
    </row>
    <row r="13412" x14ac:dyDescent="0.25">
      <c r="A13412" t="n">
        <v>23</v>
      </c>
      <c r="B13412" t="s">
        <v>14</v>
      </c>
      <c r="C13412" t="s">
        <v>22</v>
      </c>
      <c r="D13412" s="2" t="s">
        <f>=HYPERLINK("https://main.knesset.gov.il/APPS/legislation/main/bills/2087483", "הצעת חוק לתיקון פקודת הבנקאות (הוראות ניהול בנקאי תקין להלוואה בערבות מדינה בשעת חירום), התש""ף-2020")</f>
        <v>25911</v>
      </c>
      <c r="E13412" t="s">
        <v>25911</v>
      </c>
      <c r="F13412" t="s">
        <v>25912</v>
      </c>
      <c r="G13412" t="s">
        <v>14</v>
      </c>
      <c r="H13412">
             </c>
      <c r="I13412" t="s">
        <v>14</v>
      </c>
      <c r="J13412" t="s">
        <v>141</v>
      </c>
      <c r="K13412" t="s">
        <v>14</v>
      </c>
      <c r="L13412" t="s">
        <v>20</v>
      </c>
      <c r="M13412" t="s">
        <v>25819</v>
      </c>
      <c r="N13412" t="s">
        <v>14</v>
      </c>
    </row>
    <row r="13413" x14ac:dyDescent="0.25">
      <c r="A13413" t="n">
        <v>23</v>
      </c>
      <c r="B13413" t="s">
        <v>14</v>
      </c>
      <c r="C13413" t="s">
        <v>22</v>
      </c>
      <c r="D13413" s="2" t="s">
        <f>=HYPERLINK("https://main.knesset.gov.il/APPS/legislation/main/bills/2087210", "הצעת חוק חובת המכרזים (תיקון - שילוב עסקים קטנים ובינוניים במכרזים ציבוריים), התש""ף-2020")</f>
        <v>24921</v>
      </c>
      <c r="E13413" t="s">
        <v>24921</v>
      </c>
      <c r="F13413" t="s">
        <v>25913</v>
      </c>
      <c r="G13413" t="s">
        <v>14</v>
      </c>
      <c r="H13413">
             </c>
      <c r="I13413" t="s">
        <v>14</v>
      </c>
      <c r="J13413" t="s">
        <v>141</v>
      </c>
      <c r="K13413" t="s">
        <v>14</v>
      </c>
      <c r="L13413" t="s">
        <v>20</v>
      </c>
      <c r="M13413" t="s">
        <v>25819</v>
      </c>
      <c r="N13413" t="s">
        <v>14</v>
      </c>
    </row>
    <row r="13414" x14ac:dyDescent="0.25">
      <c r="A13414" t="n">
        <v>23</v>
      </c>
      <c r="B13414" t="s">
        <v>14</v>
      </c>
      <c r="C13414" t="s">
        <v>22</v>
      </c>
      <c r="D13414" s="2" t="s">
        <f>=HYPERLINK("https://main.knesset.gov.il/APPS/legislation/main/bills/2087060", "הצעת חוק הדרוזים והצ'רקסים (הבטחת שוויון זכויות), התש""ף-2020")</f>
        <v>25914</v>
      </c>
      <c r="E13414" t="s">
        <v>25914</v>
      </c>
      <c r="F13414" t="s">
        <v>25915</v>
      </c>
      <c r="G13414" t="s">
        <v>14</v>
      </c>
      <c r="H13414">
             </c>
      <c r="I13414" t="s">
        <v>14</v>
      </c>
      <c r="J13414" t="s">
        <v>141</v>
      </c>
      <c r="K13414" t="s">
        <v>14</v>
      </c>
      <c r="L13414" t="s">
        <v>20</v>
      </c>
      <c r="M13414" t="s">
        <v>25819</v>
      </c>
      <c r="N13414" t="s">
        <v>14</v>
      </c>
    </row>
    <row r="13415" x14ac:dyDescent="0.25">
      <c r="A13415" t="n">
        <v>23</v>
      </c>
      <c r="B13415" t="s">
        <v>14</v>
      </c>
      <c r="C13415" t="s">
        <v>22</v>
      </c>
      <c r="D13415" s="2" t="s">
        <f>=HYPERLINK("https://main.knesset.gov.il/APPS/legislation/main/bills/2087119", "הצעת חוק לתיקון פקודת המשטרה (העברת המחלקה לחקירת שוטרים למשרד מבקר המדינה וקביעת תקופת צינון), התש""ף-2020")</f>
        <v>25916</v>
      </c>
      <c r="E13415" t="s">
        <v>25916</v>
      </c>
      <c r="F13415" t="s">
        <v>25917</v>
      </c>
      <c r="G13415" t="s">
        <v>14</v>
      </c>
      <c r="H13415">
             </c>
      <c r="I13415" t="s">
        <v>14</v>
      </c>
      <c r="J13415" t="s">
        <v>141</v>
      </c>
      <c r="K13415" t="s">
        <v>14</v>
      </c>
      <c r="L13415" t="s">
        <v>20</v>
      </c>
      <c r="M13415" t="s">
        <v>25819</v>
      </c>
      <c r="N13415" t="s">
        <v>14</v>
      </c>
    </row>
    <row r="13416" x14ac:dyDescent="0.25">
      <c r="A13416" t="n">
        <v>23</v>
      </c>
      <c r="B13416" t="s">
        <v>14</v>
      </c>
      <c r="C13416" t="s">
        <v>22</v>
      </c>
      <c r="D13416" s="2" t="s">
        <f>=HYPERLINK("https://main.knesset.gov.il/APPS/legislation/main/bills/2087319", "הצעת חוק נציבות הדורות הבאים, התש""ף-2020")</f>
        <v>25918</v>
      </c>
      <c r="E13416" t="s">
        <v>25918</v>
      </c>
      <c r="F13416" t="s">
        <v>25919</v>
      </c>
      <c r="G13416" t="s">
        <v>14</v>
      </c>
      <c r="H13416">
             </c>
      <c r="I13416" t="s">
        <v>14</v>
      </c>
      <c r="J13416" t="s">
        <v>141</v>
      </c>
      <c r="K13416" t="s">
        <v>14</v>
      </c>
      <c r="L13416" t="s">
        <v>20</v>
      </c>
      <c r="M13416" t="s">
        <v>25819</v>
      </c>
      <c r="N13416" t="s">
        <v>14</v>
      </c>
    </row>
    <row r="13417" x14ac:dyDescent="0.25">
      <c r="A13417" t="n">
        <v>23</v>
      </c>
      <c r="B13417" t="s">
        <v>14</v>
      </c>
      <c r="C13417" t="s">
        <v>22</v>
      </c>
      <c r="D13417" s="2" t="s">
        <f>=HYPERLINK("https://main.knesset.gov.il/APPS/legislation/main/bills/2088080", "הצעת חוק התוכנית להבראת כלכלת ישראל (תיקוני חקיקה להשגת יעדי התקציב והמדיניות הכלכלית לשנות הכספים 2003 ו-2004) (תיקון - ביטול ההיטל על עובד זר העוסק בסיעוד בבית חולים גריאטרי), התש""ף-2020 ")</f>
        <v>25920</v>
      </c>
      <c r="E13417" t="s">
        <v>25920</v>
      </c>
      <c r="F13417" t="s">
        <v>25921</v>
      </c>
      <c r="G13417" t="s">
        <v>14</v>
      </c>
      <c r="H13417">
             </c>
      <c r="I13417" t="s">
        <v>14</v>
      </c>
      <c r="J13417" t="s">
        <v>141</v>
      </c>
      <c r="K13417" t="s">
        <v>14</v>
      </c>
      <c r="L13417" t="s">
        <v>20</v>
      </c>
      <c r="M13417" t="s">
        <v>25819</v>
      </c>
      <c r="N13417" t="s">
        <v>14</v>
      </c>
    </row>
    <row r="13418" x14ac:dyDescent="0.25">
      <c r="A13418" t="n">
        <v>23</v>
      </c>
      <c r="B13418" t="s">
        <v>14</v>
      </c>
      <c r="C13418" t="s">
        <v>22</v>
      </c>
      <c r="D13418" s="2" t="s">
        <f>=HYPERLINK("https://main.knesset.gov.il/APPS/legislation/main/bills/2087950", "הצעת חוק ההתגוננות האזרחית (תיקון - התקן בטיחותי על דלת מרחב מוגן דירתי), התש""ף-2020")</f>
        <v>25922</v>
      </c>
      <c r="E13418" t="s">
        <v>25922</v>
      </c>
      <c r="F13418" t="s">
        <v>25923</v>
      </c>
      <c r="G13418" t="s">
        <v>14</v>
      </c>
      <c r="H13418">
             </c>
      <c r="I13418" t="s">
        <v>14</v>
      </c>
      <c r="J13418" t="s">
        <v>141</v>
      </c>
      <c r="K13418" t="s">
        <v>14</v>
      </c>
      <c r="L13418" t="s">
        <v>20</v>
      </c>
      <c r="M13418" t="s">
        <v>25819</v>
      </c>
      <c r="N13418" t="s">
        <v>14</v>
      </c>
    </row>
    <row r="13419" x14ac:dyDescent="0.25">
      <c r="A13419" t="n">
        <v>23</v>
      </c>
      <c r="B13419" t="s">
        <v>14</v>
      </c>
      <c r="C13419" t="s">
        <v>22</v>
      </c>
      <c r="D13419" s="2" t="s">
        <f>=HYPERLINK("https://main.knesset.gov.il/APPS/legislation/main/bills/2087181", "הצעת חוק זכויות הסטודנט (תיקון - חובת דיווח שנתית בדבר תלונות סטודנטים לוועדת החינוך התרבות והספורט של הכנסת), התש""ף-2020")</f>
        <v>25924</v>
      </c>
      <c r="E13419" t="s">
        <v>25924</v>
      </c>
      <c r="F13419" t="s">
        <v>25925</v>
      </c>
      <c r="G13419" t="s">
        <v>14</v>
      </c>
      <c r="H13419">
             </c>
      <c r="I13419" t="s">
        <v>14</v>
      </c>
      <c r="J13419" t="s">
        <v>141</v>
      </c>
      <c r="K13419" t="s">
        <v>14</v>
      </c>
      <c r="L13419" t="s">
        <v>20</v>
      </c>
      <c r="M13419" t="s">
        <v>25819</v>
      </c>
      <c r="N13419" t="s">
        <v>14</v>
      </c>
    </row>
    <row r="13420" x14ac:dyDescent="0.25">
      <c r="A13420" t="n">
        <v>23</v>
      </c>
      <c r="B13420" t="s">
        <v>14</v>
      </c>
      <c r="C13420" t="s">
        <v>22</v>
      </c>
      <c r="D13420" s="2" t="s">
        <f>=HYPERLINK("https://main.knesset.gov.il/APPS/legislation/main/bills/2087595", "הצעת חוק הפיקוח על שירותים פיננסיים (קופות גמל) (תיקון - משיכת כספי פיצויים מקופת גמל) (הוראת שעה), התש""ף-2020")</f>
        <v>25926</v>
      </c>
      <c r="E13420" t="s">
        <v>25926</v>
      </c>
      <c r="F13420" t="s">
        <v>25927</v>
      </c>
      <c r="G13420" t="s">
        <v>14</v>
      </c>
      <c r="H13420">
             </c>
      <c r="I13420" t="s">
        <v>14</v>
      </c>
      <c r="J13420" t="s">
        <v>141</v>
      </c>
      <c r="K13420" t="s">
        <v>14</v>
      </c>
      <c r="L13420" t="s">
        <v>20</v>
      </c>
      <c r="M13420" t="s">
        <v>25819</v>
      </c>
      <c r="N13420" t="s">
        <v>14</v>
      </c>
    </row>
    <row r="13421" x14ac:dyDescent="0.25">
      <c r="A13421" t="n">
        <v>23</v>
      </c>
      <c r="B13421" t="s">
        <v>14</v>
      </c>
      <c r="C13421" t="s">
        <v>22</v>
      </c>
      <c r="D13421" s="2" t="s">
        <f>=HYPERLINK("https://main.knesset.gov.il/APPS/legislation/main/bills/2087160", "הצעת חוק להנצחת זכרו של רחבעם זאבי (תיקון - ביטול החוק), התש""ף-2020")</f>
        <v>24479</v>
      </c>
      <c r="E13421" t="s">
        <v>24479</v>
      </c>
      <c r="F13421" t="s">
        <v>25928</v>
      </c>
      <c r="G13421" t="s">
        <v>14</v>
      </c>
      <c r="H13421">
             </c>
      <c r="I13421" t="s">
        <v>14</v>
      </c>
      <c r="J13421" t="s">
        <v>141</v>
      </c>
      <c r="K13421" t="s">
        <v>14</v>
      </c>
      <c r="L13421" t="s">
        <v>20</v>
      </c>
      <c r="M13421" t="s">
        <v>25819</v>
      </c>
      <c r="N13421" t="s">
        <v>14</v>
      </c>
    </row>
    <row r="13422" x14ac:dyDescent="0.25">
      <c r="A13422" t="n">
        <v>23</v>
      </c>
      <c r="B13422" t="s">
        <v>14</v>
      </c>
      <c r="C13422" t="s">
        <v>22</v>
      </c>
      <c r="D13422" s="2" t="s">
        <f>=HYPERLINK("https://main.knesset.gov.il/APPS/legislation/main/bills/2088414", "הצעת חוק להנצחת מורשת המחתרות, התש""ף-2020")</f>
        <v>25929</v>
      </c>
      <c r="E13422" t="s">
        <v>25929</v>
      </c>
      <c r="F13422" t="s">
        <v>25930</v>
      </c>
      <c r="G13422" t="s">
        <v>14</v>
      </c>
      <c r="H13422">
             </c>
      <c r="I13422" t="s">
        <v>14</v>
      </c>
      <c r="J13422" t="s">
        <v>141</v>
      </c>
      <c r="K13422" t="s">
        <v>14</v>
      </c>
      <c r="L13422" t="s">
        <v>20</v>
      </c>
      <c r="M13422" t="s">
        <v>25819</v>
      </c>
      <c r="N13422" t="s">
        <v>14</v>
      </c>
    </row>
    <row r="13423" x14ac:dyDescent="0.25">
      <c r="A13423" t="n">
        <v>23</v>
      </c>
      <c r="B13423" t="s">
        <v>14</v>
      </c>
      <c r="C13423" t="s">
        <v>22</v>
      </c>
      <c r="D13423" s="2" t="s">
        <f>=HYPERLINK("https://main.knesset.gov.il/APPS/legislation/main/bills/2087026", "הצעת חוק העמותות (תיקון - הסדרת מעמדן של אגודות עותמאניות כעמותות רשומות), התש""ף-2020")</f>
        <v>25931</v>
      </c>
      <c r="E13423" t="s">
        <v>25931</v>
      </c>
      <c r="F13423" t="s">
        <v>25932</v>
      </c>
      <c r="G13423" t="s">
        <v>14</v>
      </c>
      <c r="H13423">
             </c>
      <c r="I13423" t="s">
        <v>14</v>
      </c>
      <c r="J13423" t="s">
        <v>141</v>
      </c>
      <c r="K13423" t="s">
        <v>14</v>
      </c>
      <c r="L13423" t="s">
        <v>20</v>
      </c>
      <c r="M13423" t="s">
        <v>25819</v>
      </c>
      <c r="N13423" t="s">
        <v>14</v>
      </c>
    </row>
    <row r="13424" x14ac:dyDescent="0.25">
      <c r="A13424" t="n">
        <v>23</v>
      </c>
      <c r="B13424" t="s">
        <v>14</v>
      </c>
      <c r="C13424" t="s">
        <v>22</v>
      </c>
      <c r="D13424" s="2" t="s">
        <f>=HYPERLINK("https://main.knesset.gov.il/APPS/legislation/main/bills/2088000", "הצעת חוק ביטול יום האחד במאי בחקיקה (תיקוני חקיקה), התש""ף-2020")</f>
        <v>25933</v>
      </c>
      <c r="E13424" t="s">
        <v>25933</v>
      </c>
      <c r="F13424" t="s">
        <v>25934</v>
      </c>
      <c r="G13424" t="s">
        <v>14</v>
      </c>
      <c r="H13424">
             </c>
      <c r="I13424" t="s">
        <v>14</v>
      </c>
      <c r="J13424" t="s">
        <v>141</v>
      </c>
      <c r="K13424" t="s">
        <v>14</v>
      </c>
      <c r="L13424" t="s">
        <v>20</v>
      </c>
      <c r="M13424" t="s">
        <v>25819</v>
      </c>
      <c r="N13424" t="s">
        <v>14</v>
      </c>
    </row>
    <row r="13425" x14ac:dyDescent="0.25">
      <c r="A13425" t="n">
        <v>23</v>
      </c>
      <c r="B13425" t="s">
        <v>14</v>
      </c>
      <c r="C13425" t="s">
        <v>22</v>
      </c>
      <c r="D13425" s="2" t="s">
        <f>=HYPERLINK("https://main.knesset.gov.il/APPS/legislation/main/bills/2086599", "הצעת חוק הבטחת הכנסה (תיקון - גמלה לאם חד-הורית), התש""ף-2020")</f>
        <v>25935</v>
      </c>
      <c r="E13425" t="s">
        <v>25935</v>
      </c>
      <c r="F13425" t="s">
        <v>25936</v>
      </c>
      <c r="G13425" t="s">
        <v>14</v>
      </c>
      <c r="H13425">
             </c>
      <c r="I13425" t="s">
        <v>14</v>
      </c>
      <c r="J13425" t="s">
        <v>141</v>
      </c>
      <c r="K13425" t="s">
        <v>14</v>
      </c>
      <c r="L13425" t="s">
        <v>20</v>
      </c>
      <c r="M13425" t="s">
        <v>25819</v>
      </c>
      <c r="N13425" t="s">
        <v>14</v>
      </c>
    </row>
    <row r="13426" x14ac:dyDescent="0.25">
      <c r="A13426" t="n">
        <v>23</v>
      </c>
      <c r="B13426" t="s">
        <v>14</v>
      </c>
      <c r="C13426" t="s">
        <v>22</v>
      </c>
      <c r="D13426" s="2" t="s">
        <f>=HYPERLINK("https://main.knesset.gov.il/APPS/legislation/main/bills/2087787", "הצעת חוק הפיקוח על שירותים פיננסיים (קופות גמל) (תיקון - פטור משיכה מקרן השתלמות בשעת חירום), התש""ף-2020")</f>
        <v>25937</v>
      </c>
      <c r="E13426" t="s">
        <v>25937</v>
      </c>
      <c r="F13426" t="s">
        <v>25938</v>
      </c>
      <c r="G13426" t="s">
        <v>14</v>
      </c>
      <c r="H13426">
             </c>
      <c r="I13426" t="s">
        <v>14</v>
      </c>
      <c r="J13426" t="s">
        <v>141</v>
      </c>
      <c r="K13426" t="s">
        <v>14</v>
      </c>
      <c r="L13426" t="s">
        <v>20</v>
      </c>
      <c r="M13426" t="s">
        <v>25819</v>
      </c>
      <c r="N13426" t="s">
        <v>14</v>
      </c>
    </row>
    <row r="13427" x14ac:dyDescent="0.25">
      <c r="A13427" t="n">
        <v>23</v>
      </c>
      <c r="B13427" t="s">
        <v>14</v>
      </c>
      <c r="C13427" t="s">
        <v>22</v>
      </c>
      <c r="D13427" s="2" t="s">
        <f>=HYPERLINK("https://main.knesset.gov.il/APPS/legislation/main/bills/2086353", "הצעת חוק-יסוד: השפיטה (תיקון - רשות ערעור למדינה על זיכוי אדם בפלילים)")</f>
        <v>1398</v>
      </c>
      <c r="E13427" t="s">
        <v>1398</v>
      </c>
      <c r="F13427" t="s">
        <v>25939</v>
      </c>
      <c r="G13427" t="s">
        <v>14</v>
      </c>
      <c r="H13427">
             </c>
      <c r="I13427" t="s">
        <v>14</v>
      </c>
      <c r="J13427" t="s">
        <v>141</v>
      </c>
      <c r="K13427" t="s">
        <v>14</v>
      </c>
      <c r="L13427" t="s">
        <v>20</v>
      </c>
      <c r="M13427" t="s">
        <v>25819</v>
      </c>
      <c r="N13427" t="s">
        <v>14</v>
      </c>
    </row>
    <row r="13428" x14ac:dyDescent="0.25">
      <c r="A13428" t="n">
        <v>23</v>
      </c>
      <c r="B13428" t="s">
        <v>14</v>
      </c>
      <c r="C13428" t="s">
        <v>22</v>
      </c>
      <c r="D13428" s="2" t="s">
        <f>=HYPERLINK("https://main.knesset.gov.il/APPS/legislation/main/bills/2087118", "הצעת חוק שירות ביטחון (תיקון - פטור מטעמי מצפון), התש""ף-2020")</f>
        <v>24654</v>
      </c>
      <c r="E13428" t="s">
        <v>24654</v>
      </c>
      <c r="F13428" t="s">
        <v>25940</v>
      </c>
      <c r="G13428" t="s">
        <v>14</v>
      </c>
      <c r="H13428">
             </c>
      <c r="I13428" t="s">
        <v>14</v>
      </c>
      <c r="J13428" t="s">
        <v>141</v>
      </c>
      <c r="K13428" t="s">
        <v>14</v>
      </c>
      <c r="L13428" t="s">
        <v>20</v>
      </c>
      <c r="M13428" t="s">
        <v>25941</v>
      </c>
      <c r="N13428" t="s">
        <v>14</v>
      </c>
    </row>
    <row r="13429" x14ac:dyDescent="0.25">
      <c r="A13429" t="n">
        <v>23</v>
      </c>
      <c r="B13429" t="s">
        <v>14</v>
      </c>
      <c r="C13429" t="s">
        <v>22</v>
      </c>
      <c r="D13429" s="2" t="s">
        <f>=HYPERLINK("https://main.knesset.gov.il/APPS/legislation/main/bills/2087677", "הצעת חוק להקפאת כספים ששילמה הרשות הפלסטינית בזיקה לטרור מהכספים המועברים אליה מממשלת ישראל (תיקון - הקפאת כספי תגמולים לתושבי האזור מכוח חוק התגמולים לנפגעי פעולות איבה), התש""ף-2020")</f>
        <v>25942</v>
      </c>
      <c r="E13429" t="s">
        <v>25942</v>
      </c>
      <c r="F13429" t="s">
        <v>25943</v>
      </c>
      <c r="G13429" t="s">
        <v>14</v>
      </c>
      <c r="H13429">
             </c>
      <c r="I13429" t="s">
        <v>14</v>
      </c>
      <c r="J13429" t="s">
        <v>141</v>
      </c>
      <c r="K13429" t="s">
        <v>14</v>
      </c>
      <c r="L13429" t="s">
        <v>20</v>
      </c>
      <c r="M13429" t="s">
        <v>25941</v>
      </c>
      <c r="N13429" t="s">
        <v>14</v>
      </c>
    </row>
    <row r="13430" x14ac:dyDescent="0.25">
      <c r="A13430" t="n">
        <v>23</v>
      </c>
      <c r="B13430" t="s">
        <v>14</v>
      </c>
      <c r="C13430" t="s">
        <v>22</v>
      </c>
      <c r="D13430" s="2" t="s">
        <f>=HYPERLINK("https://main.knesset.gov.il/APPS/legislation/main/bills/2087129", "הצעת חוק החזרת תושבי בירעם ואיקרית לבתיהם, התש""ף-2020")</f>
        <v>25944</v>
      </c>
      <c r="E13430" t="s">
        <v>25944</v>
      </c>
      <c r="F13430" t="s">
        <v>25945</v>
      </c>
      <c r="G13430" t="s">
        <v>14</v>
      </c>
      <c r="H13430">
             </c>
      <c r="I13430" t="s">
        <v>14</v>
      </c>
      <c r="J13430" t="s">
        <v>141</v>
      </c>
      <c r="K13430" t="s">
        <v>14</v>
      </c>
      <c r="L13430" t="s">
        <v>20</v>
      </c>
      <c r="M13430" t="s">
        <v>25941</v>
      </c>
      <c r="N13430" t="s">
        <v>14</v>
      </c>
    </row>
    <row r="13431" x14ac:dyDescent="0.25">
      <c r="A13431" t="n">
        <v>23</v>
      </c>
      <c r="B13431" t="s">
        <v>14</v>
      </c>
      <c r="C13431" t="s">
        <v>22</v>
      </c>
      <c r="D13431" s="2" t="s">
        <f>=HYPERLINK("https://main.knesset.gov.il/APPS/legislation/main/bills/2088062", "הצעת חוק הכנסת (תיקון - ויתור על שכר של חבר הכנסת), התש""ף-2020")</f>
        <v>25946</v>
      </c>
      <c r="E13431" t="s">
        <v>25946</v>
      </c>
      <c r="F13431" t="s">
        <v>25947</v>
      </c>
      <c r="G13431" t="s">
        <v>14</v>
      </c>
      <c r="H13431">
             </c>
      <c r="I13431" t="s">
        <v>14</v>
      </c>
      <c r="J13431" t="s">
        <v>343</v>
      </c>
      <c r="K13431" t="s">
        <v>14</v>
      </c>
      <c r="L13431" t="s">
        <v>20</v>
      </c>
      <c r="M13431" t="s">
        <v>25941</v>
      </c>
      <c r="N13431" t="s">
        <v>14</v>
      </c>
    </row>
    <row r="13432" x14ac:dyDescent="0.25">
      <c r="A13432" t="n">
        <v>23</v>
      </c>
      <c r="B13432" t="s">
        <v>14</v>
      </c>
      <c r="C13432" t="s">
        <v>22</v>
      </c>
      <c r="D13432" s="2" t="s">
        <f>=HYPERLINK("https://main.knesset.gov.il/APPS/legislation/main/bills/2087410", "הצעת חוק-יסוד: השפיטה (תיקון - מינוי חברי הכנסת לוועדה לבחירת שופטים)")</f>
        <v>20865</v>
      </c>
      <c r="E13432" t="s">
        <v>20865</v>
      </c>
      <c r="F13432" t="s">
        <v>25948</v>
      </c>
      <c r="G13432" t="s">
        <v>14</v>
      </c>
      <c r="H13432">
             </c>
      <c r="I13432" t="s">
        <v>14</v>
      </c>
      <c r="J13432" t="s">
        <v>141</v>
      </c>
      <c r="K13432" t="s">
        <v>14</v>
      </c>
      <c r="L13432" t="s">
        <v>20</v>
      </c>
      <c r="M13432" t="s">
        <v>25941</v>
      </c>
      <c r="N13432" t="s">
        <v>14</v>
      </c>
    </row>
    <row r="13433" x14ac:dyDescent="0.25">
      <c r="A13433" t="n">
        <v>23</v>
      </c>
      <c r="B13433" t="s">
        <v>14</v>
      </c>
      <c r="C13433" t="s">
        <v>22</v>
      </c>
      <c r="D13433" s="2" t="s">
        <f>=HYPERLINK("https://main.knesset.gov.il/APPS/legislation/main/bills/2086092", "הצעת חוק עידוד שירות צבאי, לאומי או לאומי-אזרחי, התש""ף-2020")</f>
        <v>24829</v>
      </c>
      <c r="E13433" t="s">
        <v>24829</v>
      </c>
      <c r="F13433" t="s">
        <v>25949</v>
      </c>
      <c r="G13433" t="s">
        <v>14</v>
      </c>
      <c r="H13433">
             </c>
      <c r="I13433" t="s">
        <v>14</v>
      </c>
      <c r="J13433" t="s">
        <v>141</v>
      </c>
      <c r="K13433" t="s">
        <v>14</v>
      </c>
      <c r="L13433" t="s">
        <v>20</v>
      </c>
      <c r="M13433" t="s">
        <v>25941</v>
      </c>
      <c r="N13433" t="s">
        <v>14</v>
      </c>
    </row>
    <row r="13434" x14ac:dyDescent="0.25">
      <c r="A13434" t="n">
        <v>23</v>
      </c>
      <c r="B13434" t="s">
        <v>14</v>
      </c>
      <c r="C13434" t="s">
        <v>22</v>
      </c>
      <c r="D13434" s="2" t="s">
        <f>=HYPERLINK("https://main.knesset.gov.il/APPS/legislation/main/bills/2086993", "הצעת חוק שירות המדינה (מינויים) (תיקון - העדפת מי שסיים שירות סדיר), התש""ף-2020")</f>
        <v>25950</v>
      </c>
      <c r="E13434" t="s">
        <v>25950</v>
      </c>
      <c r="F13434" t="s">
        <v>25951</v>
      </c>
      <c r="G13434" t="s">
        <v>14</v>
      </c>
      <c r="H13434">
             </c>
      <c r="I13434" t="s">
        <v>14</v>
      </c>
      <c r="J13434" t="s">
        <v>141</v>
      </c>
      <c r="K13434" t="s">
        <v>14</v>
      </c>
      <c r="L13434" t="s">
        <v>20</v>
      </c>
      <c r="M13434" t="s">
        <v>25941</v>
      </c>
      <c r="N13434" t="s">
        <v>14</v>
      </c>
    </row>
    <row r="13435" x14ac:dyDescent="0.25">
      <c r="A13435" t="n">
        <v>23</v>
      </c>
      <c r="B13435" t="s">
        <v>14</v>
      </c>
      <c r="C13435" t="s">
        <v>22</v>
      </c>
      <c r="D13435" s="2" t="s">
        <f>=HYPERLINK("https://main.knesset.gov.il/APPS/legislation/main/bills/2087726", "הצעת חוק הביטוח הלאומי (תיקון - הצמדת קצבת אזרח ותיק לשכר הממוצע במשק), התש""ף-2020")</f>
        <v>25952</v>
      </c>
      <c r="E13435" t="s">
        <v>25952</v>
      </c>
      <c r="F13435" t="s">
        <v>25953</v>
      </c>
      <c r="G13435" t="s">
        <v>14</v>
      </c>
      <c r="H13435">
             </c>
      <c r="I13435" t="s">
        <v>14</v>
      </c>
      <c r="J13435" t="s">
        <v>141</v>
      </c>
      <c r="K13435" t="s">
        <v>14</v>
      </c>
      <c r="L13435" t="s">
        <v>20</v>
      </c>
      <c r="M13435" t="s">
        <v>25941</v>
      </c>
      <c r="N13435" t="s">
        <v>14</v>
      </c>
    </row>
    <row r="13436" x14ac:dyDescent="0.25">
      <c r="A13436" t="n">
        <v>23</v>
      </c>
      <c r="B13436" t="s">
        <v>14</v>
      </c>
      <c r="C13436" t="s">
        <v>22</v>
      </c>
      <c r="D13436" s="2" t="s">
        <f>=HYPERLINK("https://main.knesset.gov.il/APPS/legislation/main/bills/2087645", "הצעת חוק הביטוח הלאומי (תיקון - הצמדת קצבת אזרח ותיק לשכר הממוצע במשק), התש""ף-2020")</f>
        <v>25952</v>
      </c>
      <c r="E13436" t="s">
        <v>25952</v>
      </c>
      <c r="F13436" t="s">
        <v>25954</v>
      </c>
      <c r="G13436" t="s">
        <v>14</v>
      </c>
      <c r="H13436">
             </c>
      <c r="I13436" t="s">
        <v>14</v>
      </c>
      <c r="J13436" t="s">
        <v>343</v>
      </c>
      <c r="K13436" t="s">
        <v>14</v>
      </c>
      <c r="L13436" t="s">
        <v>20</v>
      </c>
      <c r="M13436" t="s">
        <v>25941</v>
      </c>
      <c r="N13436" t="s">
        <v>14</v>
      </c>
    </row>
    <row r="13437" x14ac:dyDescent="0.25">
      <c r="A13437" t="n">
        <v>23</v>
      </c>
      <c r="B13437" t="s">
        <v>14</v>
      </c>
      <c r="C13437" t="s">
        <v>22</v>
      </c>
      <c r="D13437" s="2" t="s">
        <f>=HYPERLINK("https://main.knesset.gov.il/APPS/legislation/main/bills/2087111", "הצעת חוק הפסקת היריון, התש""ף-2020")</f>
        <v>25131</v>
      </c>
      <c r="E13437" t="s">
        <v>25131</v>
      </c>
      <c r="F13437" t="s">
        <v>25955</v>
      </c>
      <c r="G13437" t="s">
        <v>14</v>
      </c>
      <c r="H13437">
             </c>
      <c r="I13437" t="s">
        <v>14</v>
      </c>
      <c r="J13437" t="s">
        <v>141</v>
      </c>
      <c r="K13437" t="s">
        <v>14</v>
      </c>
      <c r="L13437" t="s">
        <v>20</v>
      </c>
      <c r="M13437" t="s">
        <v>25941</v>
      </c>
      <c r="N13437" t="s">
        <v>14</v>
      </c>
    </row>
    <row r="13438" x14ac:dyDescent="0.25">
      <c r="A13438" t="n">
        <v>23</v>
      </c>
      <c r="B13438" t="s">
        <v>14</v>
      </c>
      <c r="C13438" t="s">
        <v>22</v>
      </c>
      <c r="D13438" s="2" t="s">
        <f>=HYPERLINK("https://main.knesset.gov.il/APPS/legislation/main/bills/2086547", "הצעת חוק הפסקת היריון, התש""ף-2020")</f>
        <v>25131</v>
      </c>
      <c r="E13438" t="s">
        <v>25131</v>
      </c>
      <c r="F13438" t="s">
        <v>25956</v>
      </c>
      <c r="G13438" t="s">
        <v>14</v>
      </c>
      <c r="H13438">
             </c>
      <c r="I13438" t="s">
        <v>14</v>
      </c>
      <c r="J13438" t="s">
        <v>141</v>
      </c>
      <c r="K13438" t="s">
        <v>14</v>
      </c>
      <c r="L13438" t="s">
        <v>20</v>
      </c>
      <c r="M13438" t="s">
        <v>25941</v>
      </c>
      <c r="N13438" t="s">
        <v>14</v>
      </c>
    </row>
    <row r="13439" x14ac:dyDescent="0.25">
      <c r="A13439" t="n">
        <v>23</v>
      </c>
      <c r="B13439" t="s">
        <v>14</v>
      </c>
      <c r="C13439" t="s">
        <v>22</v>
      </c>
      <c r="D13439" s="2" t="s">
        <f>=HYPERLINK("https://main.knesset.gov.il/APPS/legislation/main/bills/2088193", "הצעת חוק לתיקון פקודת בריאות העם (העדפות מתן רשיון למכשור רפואי בפריפריה), התש""ף-2020")</f>
        <v>25957</v>
      </c>
      <c r="E13439" t="s">
        <v>25957</v>
      </c>
      <c r="F13439" t="s">
        <v>25958</v>
      </c>
      <c r="G13439" t="s">
        <v>14</v>
      </c>
      <c r="H13439">
             </c>
      <c r="I13439" t="s">
        <v>14</v>
      </c>
      <c r="J13439" t="s">
        <v>141</v>
      </c>
      <c r="K13439" t="s">
        <v>14</v>
      </c>
      <c r="L13439" t="s">
        <v>20</v>
      </c>
      <c r="M13439" t="s">
        <v>25941</v>
      </c>
      <c r="N13439" t="s">
        <v>14</v>
      </c>
    </row>
    <row r="13440" x14ac:dyDescent="0.25">
      <c r="A13440" t="n">
        <v>23</v>
      </c>
      <c r="B13440" t="s">
        <v>14</v>
      </c>
      <c r="C13440" t="s">
        <v>22</v>
      </c>
      <c r="D13440" s="2" t="s">
        <f>=HYPERLINK("https://main.knesset.gov.il/APPS/legislation/main/bills/2087093", "הצעת חוק הביטוח הלאומי (תיקון - זכאות לכפל גמלאות), התש""ף-2020")</f>
        <v>25959</v>
      </c>
      <c r="E13440" t="s">
        <v>25959</v>
      </c>
      <c r="F13440" t="s">
        <v>25960</v>
      </c>
      <c r="G13440" t="s">
        <v>14</v>
      </c>
      <c r="H13440">
             </c>
      <c r="I13440" t="s">
        <v>14</v>
      </c>
      <c r="J13440" t="s">
        <v>141</v>
      </c>
      <c r="K13440" t="s">
        <v>14</v>
      </c>
      <c r="L13440" t="s">
        <v>20</v>
      </c>
      <c r="M13440" t="s">
        <v>25941</v>
      </c>
      <c r="N13440" t="s">
        <v>14</v>
      </c>
    </row>
    <row r="13441" x14ac:dyDescent="0.25">
      <c r="A13441" t="n">
        <v>23</v>
      </c>
      <c r="B13441" t="s">
        <v>14</v>
      </c>
      <c r="C13441" t="s">
        <v>22</v>
      </c>
      <c r="D13441" s="2" t="s">
        <f>=HYPERLINK("https://main.knesset.gov.il/APPS/legislation/main/bills/2087704", "הצעת חוק להגברת האכיפה של דיני העבודה (תיקון - הפרות בטיחות בעבודה בתחום הבנייה), התש""ף-2020")</f>
        <v>25961</v>
      </c>
      <c r="E13441" t="s">
        <v>25961</v>
      </c>
      <c r="F13441" t="s">
        <v>25962</v>
      </c>
      <c r="G13441" t="s">
        <v>14</v>
      </c>
      <c r="H13441">
             </c>
      <c r="I13441" t="s">
        <v>14</v>
      </c>
      <c r="J13441" t="s">
        <v>141</v>
      </c>
      <c r="K13441" t="s">
        <v>14</v>
      </c>
      <c r="L13441" t="s">
        <v>20</v>
      </c>
      <c r="M13441" t="s">
        <v>25941</v>
      </c>
      <c r="N13441" t="s">
        <v>14</v>
      </c>
    </row>
    <row r="13442" x14ac:dyDescent="0.25">
      <c r="A13442" t="n">
        <v>23</v>
      </c>
      <c r="B13442" t="s">
        <v>14</v>
      </c>
      <c r="C13442" t="s">
        <v>22</v>
      </c>
      <c r="D13442" s="2" t="s">
        <f>=HYPERLINK("https://main.knesset.gov.il/APPS/legislation/main/bills/2087137", "הצעת חוק הביטוח הלאומי (תיקון - הגדלת קצבת הנכות), התש""ף-2020")</f>
        <v>25963</v>
      </c>
      <c r="E13442" t="s">
        <v>25963</v>
      </c>
      <c r="F13442" t="s">
        <v>25964</v>
      </c>
      <c r="G13442" t="s">
        <v>14</v>
      </c>
      <c r="H13442">
             </c>
      <c r="I13442" t="s">
        <v>14</v>
      </c>
      <c r="J13442" t="s">
        <v>141</v>
      </c>
      <c r="K13442" t="s">
        <v>14</v>
      </c>
      <c r="L13442" t="s">
        <v>20</v>
      </c>
      <c r="M13442" t="s">
        <v>25941</v>
      </c>
      <c r="N13442" t="s">
        <v>14</v>
      </c>
    </row>
    <row r="13443" x14ac:dyDescent="0.25">
      <c r="A13443" t="n">
        <v>23</v>
      </c>
      <c r="B13443" t="s">
        <v>14</v>
      </c>
      <c r="C13443" t="s">
        <v>22</v>
      </c>
      <c r="D13443" s="2" t="s">
        <f>=HYPERLINK("https://main.knesset.gov.il/APPS/legislation/main/bills/2088096", "הצעת חוק הביטוח הלאומי (תיקון - הטבות למי שמקבל גמלה לפי חוק הביטוח הלאומי וקיבל גמלת הבטחת הכנסה), התש""ף-2020")</f>
        <v>24751</v>
      </c>
      <c r="E13443" t="s">
        <v>24751</v>
      </c>
      <c r="F13443" t="s">
        <v>25965</v>
      </c>
      <c r="G13443" t="s">
        <v>14</v>
      </c>
      <c r="H13443">
             </c>
      <c r="I13443" t="s">
        <v>14</v>
      </c>
      <c r="J13443" t="s">
        <v>141</v>
      </c>
      <c r="K13443" t="s">
        <v>14</v>
      </c>
      <c r="L13443" t="s">
        <v>20</v>
      </c>
      <c r="M13443" t="s">
        <v>25941</v>
      </c>
      <c r="N13443" t="s">
        <v>14</v>
      </c>
    </row>
    <row r="13444" x14ac:dyDescent="0.25">
      <c r="A13444" t="n">
        <v>23</v>
      </c>
      <c r="B13444" t="s">
        <v>14</v>
      </c>
      <c r="C13444" t="s">
        <v>22</v>
      </c>
      <c r="D13444" s="2" t="s">
        <f>=HYPERLINK("https://main.knesset.gov.il/APPS/legislation/main/bills/2088098", "הצעת חוק הביטוח הלאומי (תיקון - קצבת נכות וקצבת שאירים), התש""ף-2020")</f>
        <v>24719</v>
      </c>
      <c r="E13444" t="s">
        <v>24719</v>
      </c>
      <c r="F13444" t="s">
        <v>25966</v>
      </c>
      <c r="G13444" t="s">
        <v>14</v>
      </c>
      <c r="H13444">
             </c>
      <c r="I13444" t="s">
        <v>14</v>
      </c>
      <c r="J13444" t="s">
        <v>141</v>
      </c>
      <c r="K13444" t="s">
        <v>14</v>
      </c>
      <c r="L13444" t="s">
        <v>20</v>
      </c>
      <c r="M13444" t="s">
        <v>25941</v>
      </c>
      <c r="N13444" t="s">
        <v>14</v>
      </c>
    </row>
    <row r="13445" x14ac:dyDescent="0.25">
      <c r="A13445" t="n">
        <v>23</v>
      </c>
      <c r="B13445" t="s">
        <v>14</v>
      </c>
      <c r="C13445" t="s">
        <v>22</v>
      </c>
      <c r="D13445" s="2" t="s">
        <f>=HYPERLINK("https://main.knesset.gov.il/APPS/legislation/main/bills/2088249", "הצעת חוק הגנה על עובדים (חשיפת עבירות ופגיעה בטוהר המידות או במינהל התקין) (תיקון - הארכת תקופת ההתיישנות בתביעה של חושף שחיתות נגד מעסיקו), התש""ף-2020")</f>
        <v>25967</v>
      </c>
      <c r="E13445" t="s">
        <v>25967</v>
      </c>
      <c r="F13445" t="s">
        <v>25968</v>
      </c>
      <c r="G13445" t="s">
        <v>14</v>
      </c>
      <c r="H13445">
             </c>
      <c r="I13445" t="s">
        <v>14</v>
      </c>
      <c r="J13445" t="s">
        <v>141</v>
      </c>
      <c r="K13445" t="s">
        <v>14</v>
      </c>
      <c r="L13445" t="s">
        <v>20</v>
      </c>
      <c r="M13445" t="s">
        <v>25941</v>
      </c>
      <c r="N13445" t="s">
        <v>14</v>
      </c>
    </row>
    <row r="13446" x14ac:dyDescent="0.25">
      <c r="A13446" t="n">
        <v>23</v>
      </c>
      <c r="B13446" t="s">
        <v>14</v>
      </c>
      <c r="C13446" t="s">
        <v>22</v>
      </c>
      <c r="D13446" s="2" t="s">
        <f>=HYPERLINK("https://main.knesset.gov.il/APPS/legislation/main/bills/2086300", "הצעת חוק התכנון והבנייה (תיקון - הגבלת תקופת ההפקעה לייעוד ציבורי), התש""ף-2020")</f>
        <v>25969</v>
      </c>
      <c r="E13446" t="s">
        <v>25969</v>
      </c>
      <c r="F13446" t="s">
        <v>25970</v>
      </c>
      <c r="G13446" t="s">
        <v>14</v>
      </c>
      <c r="H13446">
             </c>
      <c r="I13446" t="s">
        <v>14</v>
      </c>
      <c r="J13446" t="s">
        <v>141</v>
      </c>
      <c r="K13446" t="s">
        <v>14</v>
      </c>
      <c r="L13446" t="s">
        <v>20</v>
      </c>
      <c r="M13446" t="s">
        <v>25941</v>
      </c>
      <c r="N13446" t="s">
        <v>14</v>
      </c>
    </row>
    <row r="13447" x14ac:dyDescent="0.25">
      <c r="A13447" t="n">
        <v>23</v>
      </c>
      <c r="B13447" t="s">
        <v>14</v>
      </c>
      <c r="C13447" t="s">
        <v>22</v>
      </c>
      <c r="D13447" s="2" t="s">
        <f>=HYPERLINK("https://main.knesset.gov.il/APPS/legislation/main/bills/2086952", "הצעת חוק לתיקון פקודת העיריות (ייצוג הולם בשמות מקומות ציבוריים), התש""ף-2020")</f>
        <v>25971</v>
      </c>
      <c r="E13447" t="s">
        <v>25971</v>
      </c>
      <c r="F13447" t="s">
        <v>25972</v>
      </c>
      <c r="G13447" t="s">
        <v>14</v>
      </c>
      <c r="H13447">
             </c>
      <c r="I13447" t="s">
        <v>14</v>
      </c>
      <c r="J13447" t="s">
        <v>141</v>
      </c>
      <c r="K13447" t="s">
        <v>14</v>
      </c>
      <c r="L13447" t="s">
        <v>20</v>
      </c>
      <c r="M13447" t="s">
        <v>25941</v>
      </c>
      <c r="N13447" t="s">
        <v>14</v>
      </c>
    </row>
    <row r="13448" x14ac:dyDescent="0.25">
      <c r="A13448" t="n">
        <v>23</v>
      </c>
      <c r="B13448" t="s">
        <v>14</v>
      </c>
      <c r="C13448" t="s">
        <v>22</v>
      </c>
      <c r="D13448" s="2" t="s">
        <f>=HYPERLINK("https://main.knesset.gov.il/APPS/legislation/main/bills/2086798", "הצעת חוק פטור מדמי נסיעה בתחבורה ציבורית למתנדבים לשנת שירות (תיקוני חקיקה), התש""ף-2020")</f>
        <v>25973</v>
      </c>
      <c r="E13448" t="s">
        <v>25973</v>
      </c>
      <c r="F13448" t="s">
        <v>25974</v>
      </c>
      <c r="G13448" t="s">
        <v>14</v>
      </c>
      <c r="H13448">
             </c>
      <c r="I13448" t="s">
        <v>14</v>
      </c>
      <c r="J13448" t="s">
        <v>141</v>
      </c>
      <c r="K13448" t="s">
        <v>14</v>
      </c>
      <c r="L13448" t="s">
        <v>20</v>
      </c>
      <c r="M13448" t="s">
        <v>25941</v>
      </c>
      <c r="N13448" t="s">
        <v>14</v>
      </c>
    </row>
    <row r="13449" x14ac:dyDescent="0.25">
      <c r="A13449" t="n">
        <v>23</v>
      </c>
      <c r="B13449" t="s">
        <v>14</v>
      </c>
      <c r="C13449" t="s">
        <v>22</v>
      </c>
      <c r="D13449" s="2" t="s">
        <f>=HYPERLINK("https://main.knesset.gov.il/APPS/legislation/main/bills/2086174", "הצעת חוק בקעת הירדן, צפון ים המלח ומדבר יהודה, התש""ף-2020")</f>
        <v>25975</v>
      </c>
      <c r="E13449" t="s">
        <v>25975</v>
      </c>
      <c r="F13449" t="s">
        <v>25976</v>
      </c>
      <c r="G13449" t="s">
        <v>14</v>
      </c>
      <c r="H13449">
             </c>
      <c r="I13449" t="s">
        <v>14</v>
      </c>
      <c r="J13449" t="s">
        <v>141</v>
      </c>
      <c r="K13449" t="s">
        <v>14</v>
      </c>
      <c r="L13449" t="s">
        <v>20</v>
      </c>
      <c r="M13449" t="s">
        <v>25941</v>
      </c>
      <c r="N13449" t="s">
        <v>14</v>
      </c>
    </row>
    <row r="13450" x14ac:dyDescent="0.25">
      <c r="A13450" t="n">
        <v>23</v>
      </c>
      <c r="B13450" t="s">
        <v>14</v>
      </c>
      <c r="C13450" t="s">
        <v>22</v>
      </c>
      <c r="D13450" s="2" t="s">
        <f>=HYPERLINK("https://main.knesset.gov.il/APPS/legislation/main/bills/2087573", "הצעת חוק אמנות ג'נבה, התש""ף-2020")</f>
        <v>25977</v>
      </c>
      <c r="E13450" t="s">
        <v>25977</v>
      </c>
      <c r="F13450" t="s">
        <v>25978</v>
      </c>
      <c r="G13450" t="s">
        <v>14</v>
      </c>
      <c r="H13450">
             </c>
      <c r="I13450" t="s">
        <v>14</v>
      </c>
      <c r="J13450" t="s">
        <v>141</v>
      </c>
      <c r="K13450" t="s">
        <v>14</v>
      </c>
      <c r="L13450" t="s">
        <v>20</v>
      </c>
      <c r="M13450" t="s">
        <v>25941</v>
      </c>
      <c r="N13450" t="s">
        <v>14</v>
      </c>
    </row>
    <row r="13451" x14ac:dyDescent="0.25">
      <c r="A13451" t="n">
        <v>23</v>
      </c>
      <c r="B13451" t="s">
        <v>14</v>
      </c>
      <c r="C13451" t="s">
        <v>22</v>
      </c>
      <c r="D13451" s="2" t="s">
        <f>=HYPERLINK("https://main.knesset.gov.il/APPS/legislation/main/bills/2086885", "הצעת חוק למניעת תשדירי פרסומת פוגעניים (תיקוני חקיקה), התש""ף-2020")</f>
        <v>25979</v>
      </c>
      <c r="E13451" t="s">
        <v>25979</v>
      </c>
      <c r="F13451" t="s">
        <v>25980</v>
      </c>
      <c r="G13451" t="s">
        <v>14</v>
      </c>
      <c r="H13451">
             </c>
      <c r="I13451" t="s">
        <v>14</v>
      </c>
      <c r="J13451" t="s">
        <v>141</v>
      </c>
      <c r="K13451" t="s">
        <v>14</v>
      </c>
      <c r="L13451" t="s">
        <v>20</v>
      </c>
      <c r="M13451" t="s">
        <v>25941</v>
      </c>
      <c r="N13451" t="s">
        <v>14</v>
      </c>
    </row>
    <row r="13452" x14ac:dyDescent="0.25">
      <c r="A13452" t="n">
        <v>23</v>
      </c>
      <c r="B13452" t="s">
        <v>14</v>
      </c>
      <c r="C13452" t="s">
        <v>22</v>
      </c>
      <c r="D13452" s="2" t="s">
        <f>=HYPERLINK("https://main.knesset.gov.il/APPS/legislation/main/bills/2087580", "הצעת חוק לייעול הפיקוח של ועדת החוץ והביטחון של הכנסת, התש""ף-2020")</f>
        <v>25981</v>
      </c>
      <c r="E13452" t="s">
        <v>25981</v>
      </c>
      <c r="F13452" t="s">
        <v>25982</v>
      </c>
      <c r="G13452" t="s">
        <v>14</v>
      </c>
      <c r="H13452">
             </c>
      <c r="I13452" t="s">
        <v>14</v>
      </c>
      <c r="J13452" t="s">
        <v>141</v>
      </c>
      <c r="K13452" t="s">
        <v>14</v>
      </c>
      <c r="L13452" t="s">
        <v>20</v>
      </c>
      <c r="M13452" t="s">
        <v>25941</v>
      </c>
      <c r="N13452" t="s">
        <v>14</v>
      </c>
    </row>
    <row r="13453" x14ac:dyDescent="0.25">
      <c r="A13453" t="n">
        <v>23</v>
      </c>
      <c r="B13453" t="s">
        <v>14</v>
      </c>
      <c r="C13453" t="s">
        <v>22</v>
      </c>
      <c r="D13453" s="2" t="s">
        <f>=HYPERLINK("https://main.knesset.gov.il/APPS/legislation/main/bills/2086878", "הצעת חוק לתיקון פקודת התעבורה (הגבלת תשלום בעד חניה במוסד רפואי), התש""ף-2020")</f>
        <v>25983</v>
      </c>
      <c r="E13453" t="s">
        <v>25983</v>
      </c>
      <c r="F13453" t="s">
        <v>25984</v>
      </c>
      <c r="G13453" t="s">
        <v>14</v>
      </c>
      <c r="H13453">
             </c>
      <c r="I13453" t="s">
        <v>14</v>
      </c>
      <c r="J13453" t="s">
        <v>141</v>
      </c>
      <c r="K13453" t="s">
        <v>14</v>
      </c>
      <c r="L13453" t="s">
        <v>20</v>
      </c>
      <c r="M13453" t="s">
        <v>25941</v>
      </c>
      <c r="N13453" t="s">
        <v>14</v>
      </c>
    </row>
    <row r="13454" x14ac:dyDescent="0.25">
      <c r="A13454" t="n">
        <v>23</v>
      </c>
      <c r="B13454" t="s">
        <v>14</v>
      </c>
      <c r="C13454" t="s">
        <v>22</v>
      </c>
      <c r="D13454" s="2" t="s">
        <f>=HYPERLINK("https://main.knesset.gov.il/APPS/legislation/main/bills/2086875", "הצעת חוק לתיקון פקודת התעבורה (סימון אחיד להסדרי חניה), התש""ף-2020")</f>
        <v>25985</v>
      </c>
      <c r="E13454" t="s">
        <v>25985</v>
      </c>
      <c r="F13454" t="s">
        <v>25986</v>
      </c>
      <c r="G13454" t="s">
        <v>14</v>
      </c>
      <c r="H13454">
             </c>
      <c r="I13454" t="s">
        <v>14</v>
      </c>
      <c r="J13454" t="s">
        <v>141</v>
      </c>
      <c r="K13454" t="s">
        <v>14</v>
      </c>
      <c r="L13454" t="s">
        <v>20</v>
      </c>
      <c r="M13454" t="s">
        <v>25941</v>
      </c>
      <c r="N13454" t="s">
        <v>14</v>
      </c>
    </row>
    <row r="13455" x14ac:dyDescent="0.25">
      <c r="A13455" t="n">
        <v>23</v>
      </c>
      <c r="B13455" t="s">
        <v>14</v>
      </c>
      <c r="C13455" t="s">
        <v>22</v>
      </c>
      <c r="D13455" s="2" t="s">
        <f>=HYPERLINK("https://main.knesset.gov.il/APPS/legislation/main/bills/2087187", "הצעת חוק שירות הקבע בצבא הגנה לישראל (הליכים לעניין החלטות הנוגעות לחיילים בשירות קבע) (תיקון - סמכות נגררת ומקום מושב), התש""ף-2020")</f>
        <v>25987</v>
      </c>
      <c r="E13455" t="s">
        <v>25987</v>
      </c>
      <c r="F13455" t="s">
        <v>25988</v>
      </c>
      <c r="G13455" t="s">
        <v>14</v>
      </c>
      <c r="H13455">
             </c>
      <c r="I13455" t="s">
        <v>14</v>
      </c>
      <c r="J13455" t="s">
        <v>141</v>
      </c>
      <c r="K13455" t="s">
        <v>14</v>
      </c>
      <c r="L13455" t="s">
        <v>20</v>
      </c>
      <c r="M13455" t="s">
        <v>25941</v>
      </c>
      <c r="N13455" t="s">
        <v>14</v>
      </c>
    </row>
    <row r="13456" x14ac:dyDescent="0.25">
      <c r="A13456" t="n">
        <v>23</v>
      </c>
      <c r="B13456" t="s">
        <v>14</v>
      </c>
      <c r="C13456" t="s">
        <v>22</v>
      </c>
      <c r="D13456" s="2" t="s">
        <f>=HYPERLINK("https://main.knesset.gov.il/APPS/legislation/main/bills/2086871", "הצעת חוק לתיקון פקודת מסילות הברזל (העלאת אופניים לרכבת), התש""ף-2020")</f>
        <v>25989</v>
      </c>
      <c r="E13456" t="s">
        <v>25989</v>
      </c>
      <c r="F13456" t="s">
        <v>25990</v>
      </c>
      <c r="G13456" t="s">
        <v>14</v>
      </c>
      <c r="H13456">
             </c>
      <c r="I13456" t="s">
        <v>14</v>
      </c>
      <c r="J13456" t="s">
        <v>141</v>
      </c>
      <c r="K13456" t="s">
        <v>14</v>
      </c>
      <c r="L13456" t="s">
        <v>20</v>
      </c>
      <c r="M13456" t="s">
        <v>25941</v>
      </c>
      <c r="N13456" t="s">
        <v>14</v>
      </c>
    </row>
    <row r="13457" x14ac:dyDescent="0.25">
      <c r="A13457" t="n">
        <v>23</v>
      </c>
      <c r="B13457" t="s">
        <v>14</v>
      </c>
      <c r="C13457" t="s">
        <v>22</v>
      </c>
      <c r="D13457" s="2" t="s">
        <f>=HYPERLINK("https://main.knesset.gov.il/APPS/legislation/main/bills/2086805", "הצעת חוק השידור הציבורי הישראלי (תיקון - קציבת כהונה במינוי ממלא מקום), התש""ף-2020")</f>
        <v>25991</v>
      </c>
      <c r="E13457" t="s">
        <v>25991</v>
      </c>
      <c r="F13457" t="s">
        <v>25992</v>
      </c>
      <c r="G13457" t="s">
        <v>14</v>
      </c>
      <c r="H13457">
             </c>
      <c r="I13457" t="s">
        <v>14</v>
      </c>
      <c r="J13457" t="s">
        <v>141</v>
      </c>
      <c r="K13457" t="s">
        <v>14</v>
      </c>
      <c r="L13457" t="s">
        <v>20</v>
      </c>
      <c r="M13457" t="s">
        <v>25941</v>
      </c>
      <c r="N13457" t="s">
        <v>14</v>
      </c>
    </row>
    <row r="13458" x14ac:dyDescent="0.25">
      <c r="A13458" t="n">
        <v>23</v>
      </c>
      <c r="B13458" t="s">
        <v>14</v>
      </c>
      <c r="C13458" t="s">
        <v>22</v>
      </c>
      <c r="D13458" s="2" t="s">
        <f>=HYPERLINK("https://main.knesset.gov.il/APPS/legislation/main/bills/2087116", "הצעת חוק האזרחות והכניסה לישראל (הוראת שעה) (תיקון - ביטול החוק), התש""ף-2019")</f>
        <v>25993</v>
      </c>
      <c r="E13458" t="s">
        <v>25993</v>
      </c>
      <c r="F13458" t="s">
        <v>25994</v>
      </c>
      <c r="G13458" t="s">
        <v>14</v>
      </c>
      <c r="H13458">
             </c>
      <c r="I13458" t="s">
        <v>14</v>
      </c>
      <c r="J13458" t="s">
        <v>141</v>
      </c>
      <c r="K13458" t="s">
        <v>14</v>
      </c>
      <c r="L13458" t="s">
        <v>20</v>
      </c>
      <c r="M13458" t="s">
        <v>25941</v>
      </c>
      <c r="N13458" t="s">
        <v>14</v>
      </c>
    </row>
    <row r="13459" x14ac:dyDescent="0.25">
      <c r="A13459" t="n">
        <v>23</v>
      </c>
      <c r="B13459" t="s">
        <v>14</v>
      </c>
      <c r="C13459" t="s">
        <v>22</v>
      </c>
      <c r="D13459" s="2" t="s">
        <f>=HYPERLINK("https://main.knesset.gov.il/APPS/legislation/main/bills/2086341", "הצעת חוק שירות אזרחי (תיקון - עידוד הצטרפות לשירות אזרחי רק למי שקיבל פטור משירות סדיר או לא נקרא לו), התש""ף-2020")</f>
        <v>25995</v>
      </c>
      <c r="E13459" t="s">
        <v>25995</v>
      </c>
      <c r="F13459" t="s">
        <v>25996</v>
      </c>
      <c r="G13459" t="s">
        <v>14</v>
      </c>
      <c r="H13459">
             </c>
      <c r="I13459" t="s">
        <v>14</v>
      </c>
      <c r="J13459" t="s">
        <v>141</v>
      </c>
      <c r="K13459" t="s">
        <v>14</v>
      </c>
      <c r="L13459" t="s">
        <v>20</v>
      </c>
      <c r="M13459" t="s">
        <v>25941</v>
      </c>
      <c r="N13459" t="s">
        <v>14</v>
      </c>
    </row>
    <row r="13460" x14ac:dyDescent="0.25">
      <c r="A13460" t="n">
        <v>23</v>
      </c>
      <c r="B13460" t="s">
        <v>14</v>
      </c>
      <c r="C13460" t="s">
        <v>22</v>
      </c>
      <c r="D13460" s="2" t="s">
        <f>=HYPERLINK("https://main.knesset.gov.il/APPS/legislation/main/bills/2086886", "הצעת חוק להגנה על האגן הצפוני של ים המלח, התש""ף-2020")</f>
        <v>25256</v>
      </c>
      <c r="E13460" t="s">
        <v>25256</v>
      </c>
      <c r="F13460" t="s">
        <v>25997</v>
      </c>
      <c r="G13460" t="s">
        <v>14</v>
      </c>
      <c r="H13460">
             </c>
      <c r="I13460" t="s">
        <v>14</v>
      </c>
      <c r="J13460" t="s">
        <v>141</v>
      </c>
      <c r="K13460" t="s">
        <v>14</v>
      </c>
      <c r="L13460" t="s">
        <v>20</v>
      </c>
      <c r="M13460" t="s">
        <v>25941</v>
      </c>
      <c r="N13460" t="s">
        <v>14</v>
      </c>
    </row>
    <row r="13461" x14ac:dyDescent="0.25">
      <c r="A13461" t="n">
        <v>23</v>
      </c>
      <c r="B13461" t="s">
        <v>14</v>
      </c>
      <c r="C13461" t="s">
        <v>22</v>
      </c>
      <c r="D13461" s="2" t="s">
        <f>=HYPERLINK("https://main.knesset.gov.il/APPS/legislation/main/bills/2086890", "הצעת חוק להגבלת כהונת ראש רשות מקומית (תיקוני חקיקה), התש""ף-2020")</f>
        <v>25998</v>
      </c>
      <c r="E13461" t="s">
        <v>25998</v>
      </c>
      <c r="F13461" t="s">
        <v>25999</v>
      </c>
      <c r="G13461" t="s">
        <v>14</v>
      </c>
      <c r="H13461">
             </c>
      <c r="I13461" t="s">
        <v>14</v>
      </c>
      <c r="J13461" t="s">
        <v>141</v>
      </c>
      <c r="K13461" t="s">
        <v>14</v>
      </c>
      <c r="L13461" t="s">
        <v>20</v>
      </c>
      <c r="M13461" t="s">
        <v>25941</v>
      </c>
      <c r="N13461" t="s">
        <v>14</v>
      </c>
    </row>
    <row r="13462" x14ac:dyDescent="0.25">
      <c r="A13462" t="n">
        <v>23</v>
      </c>
      <c r="B13462" t="s">
        <v>14</v>
      </c>
      <c r="C13462" t="s">
        <v>22</v>
      </c>
      <c r="D13462" s="2" t="s">
        <f>=HYPERLINK("https://main.knesset.gov.il/APPS/legislation/main/bills/2087681", "הצעת חוק להסדרת שירותי ההשגחה על הכשרות, התש""ף-2020")</f>
        <v>26000</v>
      </c>
      <c r="E13462" t="s">
        <v>26000</v>
      </c>
      <c r="F13462" t="s">
        <v>26001</v>
      </c>
      <c r="G13462" t="s">
        <v>14</v>
      </c>
      <c r="H13462">
             </c>
      <c r="I13462" t="s">
        <v>14</v>
      </c>
      <c r="J13462" t="s">
        <v>141</v>
      </c>
      <c r="K13462" t="s">
        <v>14</v>
      </c>
      <c r="L13462" t="s">
        <v>20</v>
      </c>
      <c r="M13462" t="s">
        <v>25941</v>
      </c>
      <c r="N13462" t="s">
        <v>14</v>
      </c>
    </row>
    <row r="13463" x14ac:dyDescent="0.25">
      <c r="A13463" t="n">
        <v>23</v>
      </c>
      <c r="B13463" t="s">
        <v>14</v>
      </c>
      <c r="C13463" t="s">
        <v>22</v>
      </c>
      <c r="D13463" s="2" t="s">
        <f>=HYPERLINK("https://main.knesset.gov.il/APPS/legislation/main/bills/2087027", "הצעת חוק התכנון והבנייה (תיקון - חובת שידור והקלטת ישיבות, ניהול פרוטוקול ופרסומו), התש""ף-2020")</f>
        <v>26002</v>
      </c>
      <c r="E13463" t="s">
        <v>26002</v>
      </c>
      <c r="F13463" t="s">
        <v>26003</v>
      </c>
      <c r="G13463" t="s">
        <v>14</v>
      </c>
      <c r="H13463">
             </c>
      <c r="I13463" t="s">
        <v>14</v>
      </c>
      <c r="J13463" t="s">
        <v>141</v>
      </c>
      <c r="K13463" t="s">
        <v>14</v>
      </c>
      <c r="L13463" t="s">
        <v>20</v>
      </c>
      <c r="M13463" t="s">
        <v>25941</v>
      </c>
      <c r="N13463" t="s">
        <v>14</v>
      </c>
    </row>
    <row r="13464" x14ac:dyDescent="0.25">
      <c r="A13464" t="n">
        <v>23</v>
      </c>
      <c r="B13464" t="s">
        <v>14</v>
      </c>
      <c r="C13464" t="s">
        <v>22</v>
      </c>
      <c r="D13464" s="2" t="s">
        <f>=HYPERLINK("https://main.knesset.gov.il/APPS/legislation/main/bills/2086882", "הצעת חוק לתיקון פקודת העיריות (הסדרת מבנים לתנועות נוער), התש""ף-2020")</f>
        <v>26004</v>
      </c>
      <c r="E13464" t="s">
        <v>26004</v>
      </c>
      <c r="F13464" t="s">
        <v>26005</v>
      </c>
      <c r="G13464" t="s">
        <v>14</v>
      </c>
      <c r="H13464">
             </c>
      <c r="I13464" t="s">
        <v>14</v>
      </c>
      <c r="J13464" t="s">
        <v>141</v>
      </c>
      <c r="K13464" t="s">
        <v>14</v>
      </c>
      <c r="L13464" t="s">
        <v>20</v>
      </c>
      <c r="M13464" t="s">
        <v>25941</v>
      </c>
      <c r="N13464" t="s">
        <v>14</v>
      </c>
    </row>
    <row r="13465" x14ac:dyDescent="0.25">
      <c r="A13465" t="n">
        <v>23</v>
      </c>
      <c r="B13465" t="s">
        <v>14</v>
      </c>
      <c r="C13465" t="s">
        <v>22</v>
      </c>
      <c r="D13465" s="2" t="s">
        <f>=HYPERLINK("https://main.knesset.gov.il/APPS/legislation/main/bills/2087576", "הצעת חוק הרשויות המקומיות (בחירות) (תיקון - הגבלת הזכות להיבחר בשל כתב אישום), התש""ף-2020")</f>
        <v>26006</v>
      </c>
      <c r="E13465" t="s">
        <v>26006</v>
      </c>
      <c r="F13465" t="s">
        <v>26007</v>
      </c>
      <c r="G13465" t="s">
        <v>14</v>
      </c>
      <c r="H13465">
             </c>
      <c r="I13465" t="s">
        <v>14</v>
      </c>
      <c r="J13465" t="s">
        <v>141</v>
      </c>
      <c r="K13465" t="s">
        <v>14</v>
      </c>
      <c r="L13465" t="s">
        <v>20</v>
      </c>
      <c r="M13465" t="s">
        <v>25941</v>
      </c>
      <c r="N13465" t="s">
        <v>14</v>
      </c>
    </row>
    <row r="13466" x14ac:dyDescent="0.25">
      <c r="A13466" t="n">
        <v>23</v>
      </c>
      <c r="B13466" t="s">
        <v>14</v>
      </c>
      <c r="C13466" t="s">
        <v>22</v>
      </c>
      <c r="D13466" s="2" t="s">
        <f>=HYPERLINK("https://main.knesset.gov.il/APPS/legislation/main/bills/2087675", "הצעת חוק הגנת הצרכן (תיקון - ביטול עסקה מתמשכת), התש""ף-2020")</f>
        <v>26008</v>
      </c>
      <c r="E13466" t="s">
        <v>26008</v>
      </c>
      <c r="F13466" t="s">
        <v>26009</v>
      </c>
      <c r="G13466" t="s">
        <v>14</v>
      </c>
      <c r="H13466">
             </c>
      <c r="I13466" t="s">
        <v>14</v>
      </c>
      <c r="J13466" t="s">
        <v>141</v>
      </c>
      <c r="K13466" t="s">
        <v>14</v>
      </c>
      <c r="L13466" t="s">
        <v>20</v>
      </c>
      <c r="M13466" t="s">
        <v>25941</v>
      </c>
      <c r="N13466" t="s">
        <v>14</v>
      </c>
    </row>
    <row r="13467" x14ac:dyDescent="0.25">
      <c r="A13467" t="n">
        <v>23</v>
      </c>
      <c r="B13467" t="s">
        <v>14</v>
      </c>
      <c r="C13467" t="s">
        <v>22</v>
      </c>
      <c r="D13467" s="2" t="s">
        <f>=HYPERLINK("https://main.knesset.gov.il/APPS/legislation/main/bills/2086339", "הצעת חוק התכנון והבנייה (תיקון - חיבור חשמל מטעמים הומניטריים), התש""ף-2020")</f>
        <v>26010</v>
      </c>
      <c r="E13467" t="s">
        <v>26010</v>
      </c>
      <c r="F13467" t="s">
        <v>26011</v>
      </c>
      <c r="G13467" t="s">
        <v>14</v>
      </c>
      <c r="H13467">
             </c>
      <c r="I13467" t="s">
        <v>14</v>
      </c>
      <c r="J13467" t="s">
        <v>141</v>
      </c>
      <c r="K13467" t="s">
        <v>14</v>
      </c>
      <c r="L13467" t="s">
        <v>20</v>
      </c>
      <c r="M13467" t="s">
        <v>25941</v>
      </c>
      <c r="N13467" t="s">
        <v>14</v>
      </c>
    </row>
    <row r="13468" x14ac:dyDescent="0.25">
      <c r="A13468" t="n">
        <v>23</v>
      </c>
      <c r="B13468" t="s">
        <v>14</v>
      </c>
      <c r="C13468" t="s">
        <v>22</v>
      </c>
      <c r="D13468" s="2" t="s">
        <f>=HYPERLINK("https://main.knesset.gov.il/APPS/legislation/main/bills/2086892", "הצעת חוק הרבנות הראשית לישראל (תיקון - סייג לבחירה או למינוי לתפקיד רב ראשי לישראל או לחבר מועצה), התש""ף-2020")</f>
        <v>26012</v>
      </c>
      <c r="E13468" t="s">
        <v>26012</v>
      </c>
      <c r="F13468" t="s">
        <v>26013</v>
      </c>
      <c r="G13468" t="s">
        <v>14</v>
      </c>
      <c r="H13468">
             </c>
      <c r="I13468" t="s">
        <v>14</v>
      </c>
      <c r="J13468" t="s">
        <v>141</v>
      </c>
      <c r="K13468" t="s">
        <v>14</v>
      </c>
      <c r="L13468" t="s">
        <v>20</v>
      </c>
      <c r="M13468" t="s">
        <v>25941</v>
      </c>
      <c r="N13468" t="s">
        <v>14</v>
      </c>
    </row>
    <row r="13469" x14ac:dyDescent="0.25">
      <c r="A13469" t="n">
        <v>23</v>
      </c>
      <c r="B13469" t="s">
        <v>14</v>
      </c>
      <c r="C13469" t="s">
        <v>22</v>
      </c>
      <c r="D13469" s="2" t="s">
        <f>=HYPERLINK("https://main.knesset.gov.il/APPS/legislation/main/bills/2087037", "הצעת חוק האגודות העותמאניות (רישום ופיקוח), התש""ף-2020")</f>
        <v>26014</v>
      </c>
      <c r="E13469" t="s">
        <v>26014</v>
      </c>
      <c r="F13469" t="s">
        <v>26015</v>
      </c>
      <c r="G13469" t="s">
        <v>14</v>
      </c>
      <c r="H13469">
             </c>
      <c r="I13469" t="s">
        <v>14</v>
      </c>
      <c r="J13469" t="s">
        <v>141</v>
      </c>
      <c r="K13469" t="s">
        <v>14</v>
      </c>
      <c r="L13469" t="s">
        <v>20</v>
      </c>
      <c r="M13469" t="s">
        <v>25941</v>
      </c>
      <c r="N13469" t="s">
        <v>14</v>
      </c>
    </row>
    <row r="13470" x14ac:dyDescent="0.25">
      <c r="A13470" t="n">
        <v>23</v>
      </c>
      <c r="B13470" t="s">
        <v>14</v>
      </c>
      <c r="C13470" t="s">
        <v>22</v>
      </c>
      <c r="D13470" s="2" t="s">
        <f>=HYPERLINK("https://main.knesset.gov.il/APPS/legislation/main/bills/2087049", "הצעת חוק העמותות (תיקון - אגודות עותמאניות), התש""ף-2020")</f>
        <v>26016</v>
      </c>
      <c r="E13470" t="s">
        <v>26016</v>
      </c>
      <c r="F13470" t="s">
        <v>26017</v>
      </c>
      <c r="G13470" t="s">
        <v>14</v>
      </c>
      <c r="H13470">
             </c>
      <c r="I13470" t="s">
        <v>14</v>
      </c>
      <c r="J13470" t="s">
        <v>141</v>
      </c>
      <c r="K13470" t="s">
        <v>14</v>
      </c>
      <c r="L13470" t="s">
        <v>20</v>
      </c>
      <c r="M13470" t="s">
        <v>25941</v>
      </c>
      <c r="N13470" t="s">
        <v>14</v>
      </c>
    </row>
    <row r="13471" x14ac:dyDescent="0.25">
      <c r="A13471" t="n">
        <v>23</v>
      </c>
      <c r="B13471" t="s">
        <v>14</v>
      </c>
      <c r="C13471" t="s">
        <v>22</v>
      </c>
      <c r="D13471" s="2" t="s">
        <f>=HYPERLINK("https://main.knesset.gov.il/APPS/legislation/main/bills/2086291", "הצעת חוק הגנה על הציבור מפני ביצוע עבירות מין (תיקון - סמכות קצין הפיקוח לעכב או לעצור ללא צו), התש""ף-2020")</f>
        <v>26018</v>
      </c>
      <c r="E13471" t="s">
        <v>26018</v>
      </c>
      <c r="F13471" t="s">
        <v>26019</v>
      </c>
      <c r="G13471" t="s">
        <v>14</v>
      </c>
      <c r="H13471">
             </c>
      <c r="I13471" t="s">
        <v>14</v>
      </c>
      <c r="J13471" t="s">
        <v>141</v>
      </c>
      <c r="K13471" t="s">
        <v>14</v>
      </c>
      <c r="L13471" t="s">
        <v>20</v>
      </c>
      <c r="M13471" t="s">
        <v>25941</v>
      </c>
      <c r="N13471" t="s">
        <v>14</v>
      </c>
    </row>
    <row r="13472" x14ac:dyDescent="0.25">
      <c r="A13472" t="n">
        <v>23</v>
      </c>
      <c r="B13472" t="s">
        <v>14</v>
      </c>
      <c r="C13472" t="s">
        <v>22</v>
      </c>
      <c r="D13472" s="2" t="s">
        <f>=HYPERLINK("https://main.knesset.gov.il/APPS/legislation/main/bills/2086281", "הצעת חוק-יסוד: החקיקה")</f>
        <v>26020</v>
      </c>
      <c r="E13472" t="s">
        <v>26020</v>
      </c>
      <c r="F13472" t="s">
        <v>26021</v>
      </c>
      <c r="G13472" t="s">
        <v>14</v>
      </c>
      <c r="H13472">
             </c>
      <c r="I13472" t="s">
        <v>14</v>
      </c>
      <c r="J13472" t="s">
        <v>141</v>
      </c>
      <c r="K13472" t="s">
        <v>14</v>
      </c>
      <c r="L13472" t="s">
        <v>20</v>
      </c>
      <c r="M13472" t="s">
        <v>25941</v>
      </c>
      <c r="N13472" t="s">
        <v>14</v>
      </c>
    </row>
    <row r="13473" x14ac:dyDescent="0.25">
      <c r="A13473" t="n">
        <v>23</v>
      </c>
      <c r="B13473" t="s">
        <v>14</v>
      </c>
      <c r="C13473" t="s">
        <v>22</v>
      </c>
      <c r="D13473" s="2" t="s">
        <f>=HYPERLINK("https://main.knesset.gov.il/APPS/legislation/main/bills/2086318", "הצעת חוק סדר הדין הפלילי (תיקון - ביטול האיסור המוטל על המשטרה למסור לפרקליטות עמדה בכתב לעניין מכלול התשתית הראייתית), התש""ף-2020")</f>
        <v>26022</v>
      </c>
      <c r="E13473" t="s">
        <v>26022</v>
      </c>
      <c r="F13473" t="s">
        <v>26023</v>
      </c>
      <c r="G13473" t="s">
        <v>14</v>
      </c>
      <c r="H13473">
             </c>
      <c r="I13473" t="s">
        <v>14</v>
      </c>
      <c r="J13473" t="s">
        <v>141</v>
      </c>
      <c r="K13473" t="s">
        <v>14</v>
      </c>
      <c r="L13473" t="s">
        <v>20</v>
      </c>
      <c r="M13473" t="s">
        <v>25941</v>
      </c>
      <c r="N13473" t="s">
        <v>14</v>
      </c>
    </row>
    <row r="13474" x14ac:dyDescent="0.25">
      <c r="A13474" t="n">
        <v>23</v>
      </c>
      <c r="B13474" t="s">
        <v>14</v>
      </c>
      <c r="C13474" t="s">
        <v>22</v>
      </c>
      <c r="D13474" s="2" t="s">
        <f>=HYPERLINK("https://main.knesset.gov.il/APPS/legislation/main/bills/2086342", "הצעת חוק-יסוד: הכנסת (תיקון - חבר הכנסת שהוגש נגדו כתב אישום המעלה חשש לסכנה לביטחון המדינה)")</f>
        <v>26024</v>
      </c>
      <c r="E13474" t="s">
        <v>26024</v>
      </c>
      <c r="F13474" t="s">
        <v>26025</v>
      </c>
      <c r="G13474" t="s">
        <v>14</v>
      </c>
      <c r="H13474">
             </c>
      <c r="I13474" t="s">
        <v>14</v>
      </c>
      <c r="J13474" t="s">
        <v>141</v>
      </c>
      <c r="K13474" t="s">
        <v>14</v>
      </c>
      <c r="L13474" t="s">
        <v>20</v>
      </c>
      <c r="M13474" t="s">
        <v>25941</v>
      </c>
      <c r="N13474" t="s">
        <v>14</v>
      </c>
    </row>
    <row r="13475" x14ac:dyDescent="0.25">
      <c r="A13475" t="n">
        <v>23</v>
      </c>
      <c r="B13475" t="s">
        <v>14</v>
      </c>
      <c r="C13475" t="s">
        <v>22</v>
      </c>
      <c r="D13475" s="2" t="s">
        <f>=HYPERLINK("https://main.knesset.gov.il/APPS/legislation/main/bills/2086860", "הצעת חוק סמכות ואחריות הורית (מזונות), התש""ף-2020")</f>
        <v>26026</v>
      </c>
      <c r="E13475" t="s">
        <v>26026</v>
      </c>
      <c r="F13475" t="s">
        <v>26027</v>
      </c>
      <c r="G13475" t="s">
        <v>14</v>
      </c>
      <c r="H13475">
             </c>
      <c r="I13475" t="s">
        <v>14</v>
      </c>
      <c r="J13475" t="s">
        <v>141</v>
      </c>
      <c r="K13475" t="s">
        <v>14</v>
      </c>
      <c r="L13475" t="s">
        <v>20</v>
      </c>
      <c r="M13475" t="s">
        <v>25941</v>
      </c>
      <c r="N13475" t="s">
        <v>14</v>
      </c>
    </row>
    <row r="13476" x14ac:dyDescent="0.25">
      <c r="A13476" t="n">
        <v>23</v>
      </c>
      <c r="B13476" t="s">
        <v>14</v>
      </c>
      <c r="C13476" t="s">
        <v>22</v>
      </c>
      <c r="D13476" s="2" t="s">
        <f>=HYPERLINK("https://main.knesset.gov.il/APPS/legislation/main/bills/2087184", "הצעת חוק הביטוח הלאומי (תיקון - זכאות לדמי אבטלה לעובד שהתפטר לשם טיפול בילדו), התש""ף-2020")</f>
        <v>24142</v>
      </c>
      <c r="E13476" t="s">
        <v>24142</v>
      </c>
      <c r="F13476" t="s">
        <v>26028</v>
      </c>
      <c r="G13476" t="s">
        <v>14</v>
      </c>
      <c r="H13476">
             </c>
      <c r="I13476" t="s">
        <v>14</v>
      </c>
      <c r="J13476" t="s">
        <v>141</v>
      </c>
      <c r="K13476" t="s">
        <v>14</v>
      </c>
      <c r="L13476" t="s">
        <v>20</v>
      </c>
      <c r="M13476" t="s">
        <v>25941</v>
      </c>
      <c r="N13476" t="s">
        <v>14</v>
      </c>
    </row>
    <row r="13477" x14ac:dyDescent="0.25">
      <c r="A13477" t="n">
        <v>23</v>
      </c>
      <c r="B13477" t="s">
        <v>14</v>
      </c>
      <c r="C13477" t="s">
        <v>22</v>
      </c>
      <c r="D13477" s="2" t="s">
        <f>=HYPERLINK("https://main.knesset.gov.il/APPS/legislation/main/bills/2086702", "הצעת חוק החזר הוצאות כספיות בגין עריכת נישואין אזרחיים בחוץ לארץ למי שאינם רשאים להינשא על פי הדין הדתי, התש""ף-2020")</f>
        <v>26029</v>
      </c>
      <c r="E13477" t="s">
        <v>26029</v>
      </c>
      <c r="F13477" t="s">
        <v>26030</v>
      </c>
      <c r="G13477" t="s">
        <v>14</v>
      </c>
      <c r="H13477">
             </c>
      <c r="I13477" t="s">
        <v>14</v>
      </c>
      <c r="J13477" t="s">
        <v>141</v>
      </c>
      <c r="K13477" t="s">
        <v>14</v>
      </c>
      <c r="L13477" t="s">
        <v>20</v>
      </c>
      <c r="M13477" t="s">
        <v>25941</v>
      </c>
      <c r="N13477" t="s">
        <v>14</v>
      </c>
    </row>
    <row r="13478" x14ac:dyDescent="0.25">
      <c r="A13478" t="n">
        <v>23</v>
      </c>
      <c r="B13478" t="s">
        <v>14</v>
      </c>
      <c r="C13478" t="s">
        <v>22</v>
      </c>
      <c r="D13478" s="2" t="s">
        <f>=HYPERLINK("https://main.knesset.gov.il/APPS/legislation/main/bills/2086709", "הצעת חוק חובת ניהול ופרסום פרוטוקול של ועדות מייעצות (תיקוני חקיקה), התש""ף-2020")</f>
        <v>26031</v>
      </c>
      <c r="E13478" t="s">
        <v>26031</v>
      </c>
      <c r="F13478" t="s">
        <v>26032</v>
      </c>
      <c r="G13478" t="s">
        <v>14</v>
      </c>
      <c r="H13478">
             </c>
      <c r="I13478" t="s">
        <v>14</v>
      </c>
      <c r="J13478" t="s">
        <v>141</v>
      </c>
      <c r="K13478" t="s">
        <v>14</v>
      </c>
      <c r="L13478" t="s">
        <v>20</v>
      </c>
      <c r="M13478" t="s">
        <v>25941</v>
      </c>
      <c r="N13478" t="s">
        <v>14</v>
      </c>
    </row>
    <row r="13479" x14ac:dyDescent="0.25">
      <c r="A13479" t="n">
        <v>23</v>
      </c>
      <c r="B13479" t="s">
        <v>14</v>
      </c>
      <c r="C13479" t="s">
        <v>22</v>
      </c>
      <c r="D13479" s="2" t="s">
        <f>=HYPERLINK("https://main.knesset.gov.il/APPS/legislation/main/bills/2086808", "הצעת חוק זכויות נפגעי עבירה (תיקון - החלת זכויות בדין האזרחי), התש""ף-2020")</f>
        <v>26033</v>
      </c>
      <c r="E13479" t="s">
        <v>26033</v>
      </c>
      <c r="F13479" t="s">
        <v>26034</v>
      </c>
      <c r="G13479" t="s">
        <v>14</v>
      </c>
      <c r="H13479">
             </c>
      <c r="I13479" t="s">
        <v>14</v>
      </c>
      <c r="J13479" t="s">
        <v>141</v>
      </c>
      <c r="K13479" t="s">
        <v>14</v>
      </c>
      <c r="L13479" t="s">
        <v>20</v>
      </c>
      <c r="M13479" t="s">
        <v>25941</v>
      </c>
      <c r="N13479" t="s">
        <v>14</v>
      </c>
    </row>
    <row r="13480" x14ac:dyDescent="0.25">
      <c r="A13480" t="n">
        <v>23</v>
      </c>
      <c r="B13480" t="s">
        <v>14</v>
      </c>
      <c r="C13480" t="s">
        <v>22</v>
      </c>
      <c r="D13480" s="2" t="s">
        <f>=HYPERLINK("https://main.knesset.gov.il/APPS/legislation/main/bills/2086632", "הצעת חוק שיפוט בתי דין רבניים (נישואין וגירושין) (תיקון - ביטול כריכה), התש""ף-2020")</f>
        <v>26035</v>
      </c>
      <c r="E13480" t="s">
        <v>26035</v>
      </c>
      <c r="F13480" t="s">
        <v>26036</v>
      </c>
      <c r="G13480" t="s">
        <v>14</v>
      </c>
      <c r="H13480">
             </c>
      <c r="I13480" t="s">
        <v>14</v>
      </c>
      <c r="J13480" t="s">
        <v>141</v>
      </c>
      <c r="K13480" t="s">
        <v>14</v>
      </c>
      <c r="L13480" t="s">
        <v>20</v>
      </c>
      <c r="M13480" t="s">
        <v>25941</v>
      </c>
      <c r="N13480" t="s">
        <v>14</v>
      </c>
    </row>
    <row r="13481" x14ac:dyDescent="0.25">
      <c r="A13481" t="n">
        <v>23</v>
      </c>
      <c r="B13481" t="s">
        <v>14</v>
      </c>
      <c r="C13481" t="s">
        <v>22</v>
      </c>
      <c r="D13481" s="2" t="s">
        <f>=HYPERLINK("https://main.knesset.gov.il/APPS/legislation/main/bills/2087185", "הצעת חוק חופשה שנתית (תיקון - קביעת יום פתיחת שנת הלימודים כיום בחירה), התש""ף-2020")</f>
        <v>26037</v>
      </c>
      <c r="E13481" t="s">
        <v>26037</v>
      </c>
      <c r="F13481" t="s">
        <v>26038</v>
      </c>
      <c r="G13481" t="s">
        <v>14</v>
      </c>
      <c r="H13481">
             </c>
      <c r="I13481" t="s">
        <v>14</v>
      </c>
      <c r="J13481" t="s">
        <v>141</v>
      </c>
      <c r="K13481" t="s">
        <v>14</v>
      </c>
      <c r="L13481" t="s">
        <v>20</v>
      </c>
      <c r="M13481" t="s">
        <v>25941</v>
      </c>
      <c r="N13481" t="s">
        <v>14</v>
      </c>
    </row>
    <row r="13482" x14ac:dyDescent="0.25">
      <c r="A13482" t="n">
        <v>23</v>
      </c>
      <c r="B13482" t="s">
        <v>14</v>
      </c>
      <c r="C13482" t="s">
        <v>22</v>
      </c>
      <c r="D13482" s="2" t="s">
        <f>=HYPERLINK("https://main.knesset.gov.il/APPS/legislation/main/bills/2087186", "הצעת חוק הביטוח הלאומי (תיקון - הכנסה מביטוח אובדן כושר עבודה), התש""ף-2020")</f>
        <v>26039</v>
      </c>
      <c r="E13482" t="s">
        <v>26039</v>
      </c>
      <c r="F13482" t="s">
        <v>26040</v>
      </c>
      <c r="G13482" t="s">
        <v>14</v>
      </c>
      <c r="H13482">
             </c>
      <c r="I13482" t="s">
        <v>14</v>
      </c>
      <c r="J13482" t="s">
        <v>141</v>
      </c>
      <c r="K13482" t="s">
        <v>14</v>
      </c>
      <c r="L13482" t="s">
        <v>20</v>
      </c>
      <c r="M13482" t="s">
        <v>25941</v>
      </c>
      <c r="N13482" t="s">
        <v>14</v>
      </c>
    </row>
    <row r="13483" x14ac:dyDescent="0.25">
      <c r="A13483" t="n">
        <v>23</v>
      </c>
      <c r="B13483" t="s">
        <v>14</v>
      </c>
      <c r="C13483" t="s">
        <v>22</v>
      </c>
      <c r="D13483" s="2" t="s">
        <f>=HYPERLINK("https://main.knesset.gov.il/APPS/legislation/main/bills/2088151", "הצעת חוק הביטוח הלאומי (תיקון - דמי אבטלה לעובד שפוטר לאחר שהגיע לגיל פרישה), התש""ף-2020")</f>
        <v>26041</v>
      </c>
      <c r="E13483" t="s">
        <v>26041</v>
      </c>
      <c r="F13483" t="s">
        <v>26042</v>
      </c>
      <c r="G13483" t="s">
        <v>14</v>
      </c>
      <c r="H13483">
             </c>
      <c r="I13483" t="s">
        <v>14</v>
      </c>
      <c r="J13483" t="s">
        <v>141</v>
      </c>
      <c r="K13483" t="s">
        <v>14</v>
      </c>
      <c r="L13483" t="s">
        <v>20</v>
      </c>
      <c r="M13483" t="s">
        <v>25941</v>
      </c>
      <c r="N13483" t="s">
        <v>14</v>
      </c>
    </row>
    <row r="13484" x14ac:dyDescent="0.25">
      <c r="A13484" t="n">
        <v>23</v>
      </c>
      <c r="B13484" t="s">
        <v>14</v>
      </c>
      <c r="C13484" t="s">
        <v>22</v>
      </c>
      <c r="D13484" s="2" t="s">
        <f>=HYPERLINK("https://main.knesset.gov.il/APPS/legislation/main/bills/2087788", "הצעת חוק משפחות חיילים שנספו במערכה (תגמולים ושיקום) (תיקון - המונח יתום), התש""ף-2020")</f>
        <v>26043</v>
      </c>
      <c r="E13484" t="s">
        <v>26043</v>
      </c>
      <c r="F13484" t="s">
        <v>26044</v>
      </c>
      <c r="G13484" t="s">
        <v>14</v>
      </c>
      <c r="H13484">
             </c>
      <c r="I13484" t="s">
        <v>14</v>
      </c>
      <c r="J13484" t="s">
        <v>141</v>
      </c>
      <c r="K13484" t="s">
        <v>14</v>
      </c>
      <c r="L13484" t="s">
        <v>20</v>
      </c>
      <c r="M13484" t="s">
        <v>25941</v>
      </c>
      <c r="N13484" t="s">
        <v>14</v>
      </c>
    </row>
    <row r="13485" x14ac:dyDescent="0.25">
      <c r="A13485" t="n">
        <v>23</v>
      </c>
      <c r="B13485" t="s">
        <v>14</v>
      </c>
      <c r="C13485" t="s">
        <v>22</v>
      </c>
      <c r="D13485" s="2" t="s">
        <f>=HYPERLINK("https://main.knesset.gov.il/APPS/legislation/main/bills/2086799", "הצעת חוק למניעת הטרדה מינית (תיקון - הטלת חובות לשם מניעת הטרדה מינית במוסד חינוך), התש""ף-2020")</f>
        <v>24182</v>
      </c>
      <c r="E13485" t="s">
        <v>24182</v>
      </c>
      <c r="F13485" t="s">
        <v>26045</v>
      </c>
      <c r="G13485" t="s">
        <v>14</v>
      </c>
      <c r="H13485">
             </c>
      <c r="I13485" t="s">
        <v>14</v>
      </c>
      <c r="J13485" t="s">
        <v>141</v>
      </c>
      <c r="K13485" t="s">
        <v>14</v>
      </c>
      <c r="L13485" t="s">
        <v>20</v>
      </c>
      <c r="M13485" t="s">
        <v>25941</v>
      </c>
      <c r="N13485" t="s">
        <v>14</v>
      </c>
    </row>
    <row r="13486" x14ac:dyDescent="0.25">
      <c r="A13486" t="n">
        <v>23</v>
      </c>
      <c r="B13486" t="s">
        <v>14</v>
      </c>
      <c r="C13486" t="s">
        <v>22</v>
      </c>
      <c r="D13486" s="2" t="s">
        <f>=HYPERLINK("https://main.knesset.gov.il/APPS/legislation/main/bills/2087013", "הצעת חוק הפיקדון על מכלי משקה (תיקון - החלת החוק על מכלי משקה גדולים), התש""ף-2020")</f>
        <v>26046</v>
      </c>
      <c r="E13486" t="s">
        <v>26046</v>
      </c>
      <c r="F13486" t="s">
        <v>26047</v>
      </c>
      <c r="G13486" t="s">
        <v>14</v>
      </c>
      <c r="H13486">
             </c>
      <c r="I13486" t="s">
        <v>14</v>
      </c>
      <c r="J13486" t="s">
        <v>141</v>
      </c>
      <c r="K13486" t="s">
        <v>14</v>
      </c>
      <c r="L13486" t="s">
        <v>20</v>
      </c>
      <c r="M13486" t="s">
        <v>25941</v>
      </c>
      <c r="N13486" t="s">
        <v>14</v>
      </c>
    </row>
    <row r="13487" x14ac:dyDescent="0.25">
      <c r="A13487" t="n">
        <v>23</v>
      </c>
      <c r="B13487" t="s">
        <v>14</v>
      </c>
      <c r="C13487" t="s">
        <v>22</v>
      </c>
      <c r="D13487" s="2" t="s">
        <f>=HYPERLINK("https://main.knesset.gov.il/APPS/legislation/main/bills/2086639", "הצעת חוק הבחירות לכנסת (תיקון - ביטול עקרון הריתוק לקלפי), התש""ף-2020")</f>
        <v>26048</v>
      </c>
      <c r="E13487" t="s">
        <v>26048</v>
      </c>
      <c r="F13487" t="s">
        <v>26049</v>
      </c>
      <c r="G13487" t="s">
        <v>14</v>
      </c>
      <c r="H13487">
             </c>
      <c r="I13487" t="s">
        <v>14</v>
      </c>
      <c r="J13487" t="s">
        <v>141</v>
      </c>
      <c r="K13487" t="s">
        <v>14</v>
      </c>
      <c r="L13487" t="s">
        <v>20</v>
      </c>
      <c r="M13487" t="s">
        <v>25941</v>
      </c>
      <c r="N13487" t="s">
        <v>14</v>
      </c>
    </row>
    <row r="13488" x14ac:dyDescent="0.25">
      <c r="A13488" t="n">
        <v>23</v>
      </c>
      <c r="B13488" t="s">
        <v>14</v>
      </c>
      <c r="C13488" t="s">
        <v>22</v>
      </c>
      <c r="D13488" s="2" t="s">
        <f>=HYPERLINK("https://main.knesset.gov.il/APPS/legislation/main/bills/2087088", "הצעת חוק סייעות במוסדות חינוך, התש""ף-2020")</f>
        <v>26050</v>
      </c>
      <c r="E13488" t="s">
        <v>26050</v>
      </c>
      <c r="F13488" t="s">
        <v>26051</v>
      </c>
      <c r="G13488" t="s">
        <v>14</v>
      </c>
      <c r="H13488">
             </c>
      <c r="I13488" t="s">
        <v>14</v>
      </c>
      <c r="J13488" t="s">
        <v>141</v>
      </c>
      <c r="K13488" t="s">
        <v>14</v>
      </c>
      <c r="L13488" t="s">
        <v>20</v>
      </c>
      <c r="M13488" t="s">
        <v>25941</v>
      </c>
      <c r="N13488" t="s">
        <v>14</v>
      </c>
    </row>
    <row r="13489" x14ac:dyDescent="0.25">
      <c r="A13489" t="n">
        <v>23</v>
      </c>
      <c r="B13489" t="s">
        <v>14</v>
      </c>
      <c r="C13489" t="s">
        <v>22</v>
      </c>
      <c r="D13489" s="2" t="s">
        <f>=HYPERLINK("https://main.knesset.gov.il/APPS/legislation/main/bills/2087680", "הצעת חוק הביטוח הלאומי (תיקון - הפחתת קצבת ילדים בשל אי חיסון), התש""ף-2020")</f>
        <v>26052</v>
      </c>
      <c r="E13489" t="s">
        <v>26052</v>
      </c>
      <c r="F13489" t="s">
        <v>26053</v>
      </c>
      <c r="G13489" t="s">
        <v>14</v>
      </c>
      <c r="H13489">
             </c>
      <c r="I13489" t="s">
        <v>14</v>
      </c>
      <c r="J13489" t="s">
        <v>141</v>
      </c>
      <c r="K13489" t="s">
        <v>14</v>
      </c>
      <c r="L13489" t="s">
        <v>20</v>
      </c>
      <c r="M13489" t="s">
        <v>25941</v>
      </c>
      <c r="N13489" t="s">
        <v>14</v>
      </c>
    </row>
    <row r="13490" x14ac:dyDescent="0.25">
      <c r="A13490" t="n">
        <v>23</v>
      </c>
      <c r="B13490" t="s">
        <v>14</v>
      </c>
      <c r="C13490" t="s">
        <v>22</v>
      </c>
      <c r="D13490" s="2" t="s">
        <f>=HYPERLINK("https://main.knesset.gov.il/APPS/legislation/main/bills/2086792", "הצעת חוק העונשין (תיקון - החריגים לעבירת ריבוי נישואין), התש""ף-2020")</f>
        <v>26054</v>
      </c>
      <c r="E13490" t="s">
        <v>26054</v>
      </c>
      <c r="F13490" t="s">
        <v>26055</v>
      </c>
      <c r="G13490" t="s">
        <v>14</v>
      </c>
      <c r="H13490">
             </c>
      <c r="I13490" t="s">
        <v>14</v>
      </c>
      <c r="J13490" t="s">
        <v>141</v>
      </c>
      <c r="K13490" t="s">
        <v>14</v>
      </c>
      <c r="L13490" t="s">
        <v>20</v>
      </c>
      <c r="M13490" t="s">
        <v>25941</v>
      </c>
      <c r="N13490" t="s">
        <v>14</v>
      </c>
    </row>
    <row r="13491" x14ac:dyDescent="0.25">
      <c r="A13491" t="n">
        <v>23</v>
      </c>
      <c r="B13491" t="s">
        <v>14</v>
      </c>
      <c r="C13491" t="s">
        <v>22</v>
      </c>
      <c r="D13491" s="2" t="s">
        <f>=HYPERLINK("https://main.knesset.gov.il/APPS/legislation/main/bills/2087099", "הצעת חוק תקצוב מיוחד לרשויות חינוך מקומיות מרוחקות, התש""ף-2020")</f>
        <v>26056</v>
      </c>
      <c r="E13491" t="s">
        <v>26056</v>
      </c>
      <c r="F13491" t="s">
        <v>26057</v>
      </c>
      <c r="G13491" t="s">
        <v>14</v>
      </c>
      <c r="H13491">
             </c>
      <c r="I13491" t="s">
        <v>14</v>
      </c>
      <c r="J13491" t="s">
        <v>141</v>
      </c>
      <c r="K13491" t="s">
        <v>14</v>
      </c>
      <c r="L13491" t="s">
        <v>20</v>
      </c>
      <c r="M13491" t="s">
        <v>25941</v>
      </c>
      <c r="N13491" t="s">
        <v>14</v>
      </c>
    </row>
    <row r="13492" x14ac:dyDescent="0.25">
      <c r="A13492" t="n">
        <v>23</v>
      </c>
      <c r="B13492" t="s">
        <v>14</v>
      </c>
      <c r="C13492" t="s">
        <v>22</v>
      </c>
      <c r="D13492" s="2" t="s">
        <f>=HYPERLINK("https://main.knesset.gov.il/APPS/legislation/main/bills/2087682", "הצעת חוק הרשות הלאומית למאבק בעוני, התש""ף-2020")</f>
        <v>23755</v>
      </c>
      <c r="E13492" t="s">
        <v>23755</v>
      </c>
      <c r="F13492" t="s">
        <v>26058</v>
      </c>
      <c r="G13492" t="s">
        <v>14</v>
      </c>
      <c r="H13492">
             </c>
      <c r="I13492" t="s">
        <v>14</v>
      </c>
      <c r="J13492" t="s">
        <v>141</v>
      </c>
      <c r="K13492" t="s">
        <v>14</v>
      </c>
      <c r="L13492" t="s">
        <v>20</v>
      </c>
      <c r="M13492" t="s">
        <v>25941</v>
      </c>
      <c r="N13492" t="s">
        <v>14</v>
      </c>
    </row>
    <row r="13493" x14ac:dyDescent="0.25">
      <c r="A13493" t="n">
        <v>23</v>
      </c>
      <c r="B13493" t="s">
        <v>14</v>
      </c>
      <c r="C13493" t="s">
        <v>22</v>
      </c>
      <c r="D13493" s="2" t="s">
        <f>=HYPERLINK("https://main.knesset.gov.il/APPS/legislation/main/bills/2086861", "הצעת חוק למניעת עיגון מנישואין, התש""ף-2020")</f>
        <v>26059</v>
      </c>
      <c r="E13493" t="s">
        <v>26059</v>
      </c>
      <c r="F13493" t="s">
        <v>26060</v>
      </c>
      <c r="G13493" t="s">
        <v>14</v>
      </c>
      <c r="H13493">
             </c>
      <c r="I13493" t="s">
        <v>14</v>
      </c>
      <c r="J13493" t="s">
        <v>141</v>
      </c>
      <c r="K13493" t="s">
        <v>14</v>
      </c>
      <c r="L13493" t="s">
        <v>20</v>
      </c>
      <c r="M13493" t="s">
        <v>25941</v>
      </c>
      <c r="N13493" t="s">
        <v>14</v>
      </c>
    </row>
    <row r="13494" x14ac:dyDescent="0.25">
      <c r="A13494" t="n">
        <v>23</v>
      </c>
      <c r="B13494" t="s">
        <v>14</v>
      </c>
      <c r="C13494" t="s">
        <v>22</v>
      </c>
      <c r="D13494" s="2" t="s">
        <f>=HYPERLINK("https://main.knesset.gov.il/APPS/legislation/main/bills/2087687", "הצעת חוק הבטחת הכנסה (תיקון - תשלום רטרואקטיבי של גמלת הבטחת הכנסה למקבלי קצבת אזרח ותיק), התש""ף-2020")</f>
        <v>24259</v>
      </c>
      <c r="E13494" t="s">
        <v>24259</v>
      </c>
      <c r="F13494" t="s">
        <v>26061</v>
      </c>
      <c r="G13494" t="s">
        <v>14</v>
      </c>
      <c r="H13494">
             </c>
      <c r="I13494" t="s">
        <v>14</v>
      </c>
      <c r="J13494" t="s">
        <v>141</v>
      </c>
      <c r="K13494" t="s">
        <v>14</v>
      </c>
      <c r="L13494" t="s">
        <v>20</v>
      </c>
      <c r="M13494" t="s">
        <v>25941</v>
      </c>
      <c r="N13494" t="s">
        <v>14</v>
      </c>
    </row>
    <row r="13495" x14ac:dyDescent="0.25">
      <c r="A13495" t="n">
        <v>23</v>
      </c>
      <c r="B13495" t="s">
        <v>14</v>
      </c>
      <c r="C13495" t="s">
        <v>22</v>
      </c>
      <c r="D13495" s="2" t="s">
        <f>=HYPERLINK("https://main.knesset.gov.il/APPS/legislation/main/bills/2087170", "הצעת חוק הקמת האקדמיה הלאומית לשפת הסימנים, התש""ף-2020")</f>
        <v>26062</v>
      </c>
      <c r="E13495" t="s">
        <v>26062</v>
      </c>
      <c r="F13495" t="s">
        <v>26063</v>
      </c>
      <c r="G13495" t="s">
        <v>14</v>
      </c>
      <c r="H13495">
             </c>
      <c r="I13495" t="s">
        <v>14</v>
      </c>
      <c r="J13495" t="s">
        <v>141</v>
      </c>
      <c r="K13495" t="s">
        <v>14</v>
      </c>
      <c r="L13495" t="s">
        <v>20</v>
      </c>
      <c r="M13495" t="s">
        <v>25941</v>
      </c>
      <c r="N13495" t="s">
        <v>14</v>
      </c>
    </row>
    <row r="13496" x14ac:dyDescent="0.25">
      <c r="A13496" t="n">
        <v>23</v>
      </c>
      <c r="B13496" t="s">
        <v>14</v>
      </c>
      <c r="C13496" t="s">
        <v>22</v>
      </c>
      <c r="D13496" s="2" t="s">
        <f>=HYPERLINK("https://main.knesset.gov.il/APPS/legislation/main/bills/2086870", "הצעת חוק מניעת עבירות מין בקטינים (תיקוני חקיקה), התש""ף-2020")</f>
        <v>26064</v>
      </c>
      <c r="E13496" t="s">
        <v>26064</v>
      </c>
      <c r="F13496" t="s">
        <v>26065</v>
      </c>
      <c r="G13496" t="s">
        <v>14</v>
      </c>
      <c r="H13496">
             </c>
      <c r="I13496" t="s">
        <v>14</v>
      </c>
      <c r="J13496" t="s">
        <v>141</v>
      </c>
      <c r="K13496" t="s">
        <v>14</v>
      </c>
      <c r="L13496" t="s">
        <v>20</v>
      </c>
      <c r="M13496" t="s">
        <v>25941</v>
      </c>
      <c r="N13496" t="s">
        <v>14</v>
      </c>
    </row>
    <row r="13497" x14ac:dyDescent="0.25">
      <c r="A13497" t="n">
        <v>23</v>
      </c>
      <c r="B13497" t="s">
        <v>14</v>
      </c>
      <c r="C13497" t="s">
        <v>22</v>
      </c>
      <c r="D13497" s="2" t="s">
        <f>=HYPERLINK("https://main.knesset.gov.il/APPS/legislation/main/bills/2087688", "הצעת חוק ביטוח בריאות ממלכתי (תיקון - מחלה יתומה), התש""ף-2020")</f>
        <v>26066</v>
      </c>
      <c r="E13497" t="s">
        <v>26066</v>
      </c>
      <c r="F13497" t="s">
        <v>26067</v>
      </c>
      <c r="G13497" t="s">
        <v>14</v>
      </c>
      <c r="H13497">
             </c>
      <c r="I13497" t="s">
        <v>14</v>
      </c>
      <c r="J13497" t="s">
        <v>141</v>
      </c>
      <c r="K13497" t="s">
        <v>14</v>
      </c>
      <c r="L13497" t="s">
        <v>20</v>
      </c>
      <c r="M13497" t="s">
        <v>25941</v>
      </c>
      <c r="N13497" t="s">
        <v>14</v>
      </c>
    </row>
    <row r="13498" x14ac:dyDescent="0.25">
      <c r="A13498" t="n">
        <v>23</v>
      </c>
      <c r="B13498" t="s">
        <v>14</v>
      </c>
      <c r="C13498" t="s">
        <v>22</v>
      </c>
      <c r="D13498" s="2" t="s">
        <f>=HYPERLINK("https://main.knesset.gov.il/APPS/legislation/main/bills/2086325", "הצעת חוק זכויות הסטודנט (תיקון - פעילות ציבורית), התש""ף-2020")</f>
        <v>25297</v>
      </c>
      <c r="E13498" t="s">
        <v>25297</v>
      </c>
      <c r="F13498" t="s">
        <v>26068</v>
      </c>
      <c r="G13498" t="s">
        <v>14</v>
      </c>
      <c r="H13498">
             </c>
      <c r="I13498" t="s">
        <v>14</v>
      </c>
      <c r="J13498" t="s">
        <v>141</v>
      </c>
      <c r="K13498" t="s">
        <v>14</v>
      </c>
      <c r="L13498" t="s">
        <v>20</v>
      </c>
      <c r="M13498" t="s">
        <v>25941</v>
      </c>
      <c r="N13498" t="s">
        <v>14</v>
      </c>
    </row>
    <row r="13499" x14ac:dyDescent="0.25">
      <c r="A13499" t="n">
        <v>23</v>
      </c>
      <c r="B13499" t="s">
        <v>14</v>
      </c>
      <c r="C13499" t="s">
        <v>22</v>
      </c>
      <c r="D13499" s="2" t="s">
        <f>=HYPERLINK("https://main.knesset.gov.il/APPS/legislation/main/bills/2086793", "הצעת חוק הסניגוריה הציבורית (תיקון - פיקוח על החזקה בבידוד או על החזקה באיפול תקשורתי), התש""ף-2020")</f>
        <v>26069</v>
      </c>
      <c r="E13499" t="s">
        <v>26069</v>
      </c>
      <c r="F13499" t="s">
        <v>26070</v>
      </c>
      <c r="G13499" t="s">
        <v>14</v>
      </c>
      <c r="H13499">
             </c>
      <c r="I13499" t="s">
        <v>14</v>
      </c>
      <c r="J13499" t="s">
        <v>141</v>
      </c>
      <c r="K13499" t="s">
        <v>14</v>
      </c>
      <c r="L13499" t="s">
        <v>20</v>
      </c>
      <c r="M13499" t="s">
        <v>25941</v>
      </c>
      <c r="N13499" t="s">
        <v>14</v>
      </c>
    </row>
    <row r="13500" x14ac:dyDescent="0.25">
      <c r="A13500" t="n">
        <v>23</v>
      </c>
      <c r="B13500" t="s">
        <v>14</v>
      </c>
      <c r="C13500" t="s">
        <v>22</v>
      </c>
      <c r="D13500" s="2" t="s">
        <f>=HYPERLINK("https://main.knesset.gov.il/APPS/legislation/main/bills/2087689", "הצעת חוק ביטוח בריאות ממלכתי (תיקון - צמצום הפערים בין הפריפריה למרכז), התש""ף-2020")</f>
        <v>26071</v>
      </c>
      <c r="E13500" t="s">
        <v>26071</v>
      </c>
      <c r="F13500" t="s">
        <v>26072</v>
      </c>
      <c r="G13500" t="s">
        <v>14</v>
      </c>
      <c r="H13500">
             </c>
      <c r="I13500" t="s">
        <v>14</v>
      </c>
      <c r="J13500" t="s">
        <v>141</v>
      </c>
      <c r="K13500" t="s">
        <v>14</v>
      </c>
      <c r="L13500" t="s">
        <v>20</v>
      </c>
      <c r="M13500" t="s">
        <v>25941</v>
      </c>
      <c r="N13500" t="s">
        <v>14</v>
      </c>
    </row>
    <row r="13501" x14ac:dyDescent="0.25">
      <c r="A13501" t="n">
        <v>23</v>
      </c>
      <c r="B13501" t="s">
        <v>14</v>
      </c>
      <c r="C13501" t="s">
        <v>22</v>
      </c>
      <c r="D13501" s="2" t="s">
        <f>=HYPERLINK("https://main.knesset.gov.il/APPS/legislation/main/bills/2087690", "הצעת חוק הביטוח הלאומי (תיקון - הארכת המועד להגשת תביעות ליקוי שמיעה), התש""ף-2020")</f>
        <v>26073</v>
      </c>
      <c r="E13501" t="s">
        <v>26073</v>
      </c>
      <c r="F13501" t="s">
        <v>26074</v>
      </c>
      <c r="G13501" t="s">
        <v>14</v>
      </c>
      <c r="H13501">
             </c>
      <c r="I13501" t="s">
        <v>14</v>
      </c>
      <c r="J13501" t="s">
        <v>141</v>
      </c>
      <c r="K13501" t="s">
        <v>14</v>
      </c>
      <c r="L13501" t="s">
        <v>20</v>
      </c>
      <c r="M13501" t="s">
        <v>25941</v>
      </c>
      <c r="N13501" t="s">
        <v>14</v>
      </c>
    </row>
    <row r="13502" x14ac:dyDescent="0.25">
      <c r="A13502" t="n">
        <v>23</v>
      </c>
      <c r="B13502" t="s">
        <v>14</v>
      </c>
      <c r="C13502" t="s">
        <v>22</v>
      </c>
      <c r="D13502" s="2" t="s">
        <f>=HYPERLINK("https://main.knesset.gov.il/APPS/legislation/main/bills/2086794", "הצעת חוק למניעת אלימות במשפחה (תיקון - דיון במעמד צד אחד באלימות נפשית), התש""ף-2020")</f>
        <v>26075</v>
      </c>
      <c r="E13502" t="s">
        <v>26075</v>
      </c>
      <c r="F13502" t="s">
        <v>26076</v>
      </c>
      <c r="G13502" t="s">
        <v>14</v>
      </c>
      <c r="H13502">
             </c>
      <c r="I13502" t="s">
        <v>14</v>
      </c>
      <c r="J13502" t="s">
        <v>141</v>
      </c>
      <c r="K13502" t="s">
        <v>14</v>
      </c>
      <c r="L13502" t="s">
        <v>20</v>
      </c>
      <c r="M13502" t="s">
        <v>25941</v>
      </c>
      <c r="N13502" t="s">
        <v>14</v>
      </c>
    </row>
    <row r="13503" x14ac:dyDescent="0.25">
      <c r="A13503" t="n">
        <v>23</v>
      </c>
      <c r="B13503" t="s">
        <v>14</v>
      </c>
      <c r="C13503" t="s">
        <v>22</v>
      </c>
      <c r="D13503" s="2" t="s">
        <f>=HYPERLINK("https://main.knesset.gov.il/APPS/legislation/main/bills/2087179", "הצעת חוק העסקת עובדי הוראה, התש""ף-2020")</f>
        <v>26077</v>
      </c>
      <c r="E13503" t="s">
        <v>26077</v>
      </c>
      <c r="F13503" t="s">
        <v>26078</v>
      </c>
      <c r="G13503" t="s">
        <v>14</v>
      </c>
      <c r="H13503">
             </c>
      <c r="I13503" t="s">
        <v>14</v>
      </c>
      <c r="J13503" t="s">
        <v>141</v>
      </c>
      <c r="K13503" t="s">
        <v>14</v>
      </c>
      <c r="L13503" t="s">
        <v>20</v>
      </c>
      <c r="M13503" t="s">
        <v>25941</v>
      </c>
      <c r="N13503" t="s">
        <v>14</v>
      </c>
    </row>
    <row r="13504" x14ac:dyDescent="0.25">
      <c r="A13504" t="n">
        <v>23</v>
      </c>
      <c r="B13504" t="s">
        <v>14</v>
      </c>
      <c r="C13504" t="s">
        <v>22</v>
      </c>
      <c r="D13504" s="2" t="s">
        <f>=HYPERLINK("https://main.knesset.gov.il/APPS/legislation/main/bills/2086855", "הצעת חוק הערבות (תיקון - ביטול החוק), התש""ף-2020")</f>
        <v>26079</v>
      </c>
      <c r="E13504" t="s">
        <v>26079</v>
      </c>
      <c r="F13504" t="s">
        <v>26080</v>
      </c>
      <c r="G13504" t="s">
        <v>14</v>
      </c>
      <c r="H13504">
             </c>
      <c r="I13504" t="s">
        <v>14</v>
      </c>
      <c r="J13504" t="s">
        <v>141</v>
      </c>
      <c r="K13504" t="s">
        <v>14</v>
      </c>
      <c r="L13504" t="s">
        <v>20</v>
      </c>
      <c r="M13504" t="s">
        <v>25941</v>
      </c>
      <c r="N13504" t="s">
        <v>14</v>
      </c>
    </row>
    <row r="13505" x14ac:dyDescent="0.25">
      <c r="A13505" t="n">
        <v>23</v>
      </c>
      <c r="B13505" t="s">
        <v>14</v>
      </c>
      <c r="C13505" t="s">
        <v>22</v>
      </c>
      <c r="D13505" s="2" t="s">
        <f>=HYPERLINK("https://main.knesset.gov.il/APPS/legislation/main/bills/2087673", "הצעת חוק הגנת הצרכן (תיקון - פרסום פרטי עוסק באינטרנט), התש""ף-2020")</f>
        <v>26081</v>
      </c>
      <c r="E13505" t="s">
        <v>26081</v>
      </c>
      <c r="F13505" t="s">
        <v>26082</v>
      </c>
      <c r="G13505" t="s">
        <v>14</v>
      </c>
      <c r="H13505">
             </c>
      <c r="I13505" t="s">
        <v>14</v>
      </c>
      <c r="J13505" t="s">
        <v>141</v>
      </c>
      <c r="K13505" t="s">
        <v>14</v>
      </c>
      <c r="L13505" t="s">
        <v>20</v>
      </c>
      <c r="M13505" t="s">
        <v>25941</v>
      </c>
      <c r="N13505" t="s">
        <v>14</v>
      </c>
    </row>
    <row r="13506" x14ac:dyDescent="0.25">
      <c r="A13506" t="n">
        <v>23</v>
      </c>
      <c r="B13506" t="s">
        <v>14</v>
      </c>
      <c r="C13506" t="s">
        <v>22</v>
      </c>
      <c r="D13506" s="2" t="s">
        <f>=HYPERLINK("https://main.knesset.gov.il/APPS/legislation/main/bills/2086556", "הצעת חוק איסור שימוש בחקירה של מי שנפגע מינית, בממצאי טיפול נפשי וביומנים אישיים (תיקוני חקיקה), התש""ף-2020")</f>
        <v>26083</v>
      </c>
      <c r="E13506" t="s">
        <v>26083</v>
      </c>
      <c r="F13506" t="s">
        <v>26084</v>
      </c>
      <c r="G13506" t="s">
        <v>14</v>
      </c>
      <c r="H13506">
             </c>
      <c r="I13506" t="s">
        <v>14</v>
      </c>
      <c r="J13506" t="s">
        <v>141</v>
      </c>
      <c r="K13506" t="s">
        <v>14</v>
      </c>
      <c r="L13506" t="s">
        <v>20</v>
      </c>
      <c r="M13506" t="s">
        <v>25941</v>
      </c>
      <c r="N13506" t="s">
        <v>14</v>
      </c>
    </row>
    <row r="13507" x14ac:dyDescent="0.25">
      <c r="A13507" t="n">
        <v>23</v>
      </c>
      <c r="B13507" t="s">
        <v>14</v>
      </c>
      <c r="C13507" t="s">
        <v>22</v>
      </c>
      <c r="D13507" s="2" t="s">
        <f>=HYPERLINK("https://main.knesset.gov.il/APPS/legislation/main/bills/2086969", "הצעת חוק לתיקון פקודת הראיות (דרישת הסיוע להרשעה על פי הודיה), התש""ף-2020")</f>
        <v>25053</v>
      </c>
      <c r="E13507" t="s">
        <v>25053</v>
      </c>
      <c r="F13507" t="s">
        <v>26085</v>
      </c>
      <c r="G13507" t="s">
        <v>14</v>
      </c>
      <c r="H13507">
             </c>
      <c r="I13507" t="s">
        <v>14</v>
      </c>
      <c r="J13507" t="s">
        <v>141</v>
      </c>
      <c r="K13507" t="s">
        <v>14</v>
      </c>
      <c r="L13507" t="s">
        <v>20</v>
      </c>
      <c r="M13507" t="s">
        <v>25941</v>
      </c>
      <c r="N13507" t="s">
        <v>14</v>
      </c>
    </row>
    <row r="13508" x14ac:dyDescent="0.25">
      <c r="A13508" t="n">
        <v>23</v>
      </c>
      <c r="B13508" t="s">
        <v>14</v>
      </c>
      <c r="C13508" t="s">
        <v>22</v>
      </c>
      <c r="D13508" s="2" t="s">
        <f>=HYPERLINK("https://main.knesset.gov.il/APPS/legislation/main/bills/2087082", "הצעת חוק המועצה להשכלה גבוהה (תיקון - הקמת מוסדות להשכלה גבוהה), התש""ף-2020")</f>
        <v>26086</v>
      </c>
      <c r="E13508" t="s">
        <v>26086</v>
      </c>
      <c r="F13508" t="s">
        <v>26087</v>
      </c>
      <c r="G13508" t="s">
        <v>14</v>
      </c>
      <c r="H13508">
             </c>
      <c r="I13508" t="s">
        <v>14</v>
      </c>
      <c r="J13508" t="s">
        <v>141</v>
      </c>
      <c r="K13508" t="s">
        <v>14</v>
      </c>
      <c r="L13508" t="s">
        <v>20</v>
      </c>
      <c r="M13508" t="s">
        <v>25941</v>
      </c>
      <c r="N13508" t="s">
        <v>14</v>
      </c>
    </row>
    <row r="13509" x14ac:dyDescent="0.25">
      <c r="A13509" t="n">
        <v>23</v>
      </c>
      <c r="B13509" t="s">
        <v>14</v>
      </c>
      <c r="C13509" t="s">
        <v>22</v>
      </c>
      <c r="D13509" s="2" t="s">
        <f>=HYPERLINK("https://main.knesset.gov.il/APPS/legislation/main/bills/2087083", "הצעת חוק סביבה בטוחה ונקייה מאלרגנים במוסדות חינוך (תיקוני חקיקה), התש""ף-2020")</f>
        <v>26088</v>
      </c>
      <c r="E13509" t="s">
        <v>26088</v>
      </c>
      <c r="F13509" t="s">
        <v>26089</v>
      </c>
      <c r="G13509" t="s">
        <v>14</v>
      </c>
      <c r="H13509">
             </c>
      <c r="I13509" t="s">
        <v>14</v>
      </c>
      <c r="J13509" t="s">
        <v>141</v>
      </c>
      <c r="K13509" t="s">
        <v>14</v>
      </c>
      <c r="L13509" t="s">
        <v>20</v>
      </c>
      <c r="M13509" t="s">
        <v>25941</v>
      </c>
      <c r="N13509" t="s">
        <v>14</v>
      </c>
    </row>
    <row r="13510" x14ac:dyDescent="0.25">
      <c r="A13510" t="n">
        <v>23</v>
      </c>
      <c r="B13510" t="s">
        <v>14</v>
      </c>
      <c r="C13510" t="s">
        <v>22</v>
      </c>
      <c r="D13510" s="2" t="s">
        <f>=HYPERLINK("https://main.knesset.gov.il/APPS/legislation/main/bills/2087172", "הצעת חוק זכויות תלמידים מחוננים ומצטיינים, התש""ף-2020")</f>
        <v>26090</v>
      </c>
      <c r="E13510" t="s">
        <v>26090</v>
      </c>
      <c r="F13510" t="s">
        <v>26091</v>
      </c>
      <c r="G13510" t="s">
        <v>14</v>
      </c>
      <c r="H13510">
             </c>
      <c r="I13510" t="s">
        <v>14</v>
      </c>
      <c r="J13510" t="s">
        <v>141</v>
      </c>
      <c r="K13510" t="s">
        <v>14</v>
      </c>
      <c r="L13510" t="s">
        <v>20</v>
      </c>
      <c r="M13510" t="s">
        <v>25941</v>
      </c>
      <c r="N13510" t="s">
        <v>14</v>
      </c>
    </row>
    <row r="13511" x14ac:dyDescent="0.25">
      <c r="A13511" t="n">
        <v>23</v>
      </c>
      <c r="B13511" t="s">
        <v>14</v>
      </c>
      <c r="C13511" t="s">
        <v>22</v>
      </c>
      <c r="D13511" s="2" t="s">
        <f>=HYPERLINK("https://main.knesset.gov.il/APPS/legislation/main/bills/2087646", "הצעת חוק לימוד חובה (תיקון - סיוע לתלמידים במימון טיולים שנתיים), התש""ף-2020")</f>
        <v>26092</v>
      </c>
      <c r="E13511" t="s">
        <v>26092</v>
      </c>
      <c r="F13511" t="s">
        <v>26093</v>
      </c>
      <c r="G13511" t="s">
        <v>14</v>
      </c>
      <c r="H13511">
             </c>
      <c r="I13511" t="s">
        <v>14</v>
      </c>
      <c r="J13511" t="s">
        <v>141</v>
      </c>
      <c r="K13511" t="s">
        <v>14</v>
      </c>
      <c r="L13511" t="s">
        <v>20</v>
      </c>
      <c r="M13511" t="s">
        <v>25941</v>
      </c>
      <c r="N13511" t="s">
        <v>14</v>
      </c>
    </row>
    <row r="13512" x14ac:dyDescent="0.25">
      <c r="A13512" t="n">
        <v>23</v>
      </c>
      <c r="B13512" t="s">
        <v>14</v>
      </c>
      <c r="C13512" t="s">
        <v>22</v>
      </c>
      <c r="D13512" s="2" t="s">
        <f>=HYPERLINK("https://main.knesset.gov.il/APPS/legislation/main/bills/2087091", "הצעת חוק החינוך המוזיקלי בישראל, התש""ף-2020")</f>
        <v>26094</v>
      </c>
      <c r="E13512" t="s">
        <v>26094</v>
      </c>
      <c r="F13512" t="s">
        <v>26095</v>
      </c>
      <c r="G13512" t="s">
        <v>14</v>
      </c>
      <c r="H13512">
             </c>
      <c r="I13512" t="s">
        <v>14</v>
      </c>
      <c r="J13512" t="s">
        <v>141</v>
      </c>
      <c r="K13512" t="s">
        <v>14</v>
      </c>
      <c r="L13512" t="s">
        <v>20</v>
      </c>
      <c r="M13512" t="s">
        <v>25941</v>
      </c>
      <c r="N13512" t="s">
        <v>14</v>
      </c>
    </row>
    <row r="13513" x14ac:dyDescent="0.25">
      <c r="A13513" t="n">
        <v>23</v>
      </c>
      <c r="B13513" t="s">
        <v>14</v>
      </c>
      <c r="C13513" t="s">
        <v>22</v>
      </c>
      <c r="D13513" s="2" t="s">
        <f>=HYPERLINK("https://main.knesset.gov.il/APPS/legislation/main/bills/2086791", "הצעת חוק העונשין (תיקון - חילוט רווחי סרסרות), התש""ף-2020")</f>
        <v>23951</v>
      </c>
      <c r="E13513" t="s">
        <v>23951</v>
      </c>
      <c r="F13513" t="s">
        <v>26096</v>
      </c>
      <c r="G13513" t="s">
        <v>14</v>
      </c>
      <c r="H13513">
             </c>
      <c r="I13513" t="s">
        <v>14</v>
      </c>
      <c r="J13513" t="s">
        <v>141</v>
      </c>
      <c r="K13513" t="s">
        <v>14</v>
      </c>
      <c r="L13513" t="s">
        <v>20</v>
      </c>
      <c r="M13513" t="s">
        <v>25941</v>
      </c>
      <c r="N13513" t="s">
        <v>14</v>
      </c>
    </row>
    <row r="13514" x14ac:dyDescent="0.25">
      <c r="A13514" t="n">
        <v>23</v>
      </c>
      <c r="B13514" t="s">
        <v>14</v>
      </c>
      <c r="C13514" t="s">
        <v>22</v>
      </c>
      <c r="D13514" s="2" t="s">
        <f>=HYPERLINK("https://main.knesset.gov.il/APPS/legislation/main/bills/2086530", "הצעת חוק איסור הפליה בשל מין, נטייה מינית או זהות מגדרית (תיקוני חקיקה), התש""ף-2020")</f>
        <v>26097</v>
      </c>
      <c r="E13514" t="s">
        <v>26097</v>
      </c>
      <c r="F13514" t="s">
        <v>26098</v>
      </c>
      <c r="G13514" t="s">
        <v>14</v>
      </c>
      <c r="H13514">
             </c>
      <c r="I13514" t="s">
        <v>14</v>
      </c>
      <c r="J13514" t="s">
        <v>141</v>
      </c>
      <c r="K13514" t="s">
        <v>14</v>
      </c>
      <c r="L13514" t="s">
        <v>20</v>
      </c>
      <c r="M13514" t="s">
        <v>25941</v>
      </c>
      <c r="N13514" t="s">
        <v>14</v>
      </c>
    </row>
    <row r="13515" x14ac:dyDescent="0.25">
      <c r="A13515" t="n">
        <v>23</v>
      </c>
      <c r="B13515" t="s">
        <v>14</v>
      </c>
      <c r="C13515" t="s">
        <v>22</v>
      </c>
      <c r="D13515" s="2" t="s">
        <f>=HYPERLINK("https://main.knesset.gov.il/APPS/legislation/main/bills/2087167", "הצעת חוק המועצה להשכלה גבוהה (תיקון - קביעת תנאי קבלה בידי מוסד), התש""ף-2020")</f>
        <v>26099</v>
      </c>
      <c r="E13515" t="s">
        <v>26099</v>
      </c>
      <c r="F13515" t="s">
        <v>26100</v>
      </c>
      <c r="G13515" t="s">
        <v>14</v>
      </c>
      <c r="H13515">
             </c>
      <c r="I13515" t="s">
        <v>14</v>
      </c>
      <c r="J13515" t="s">
        <v>141</v>
      </c>
      <c r="K13515" t="s">
        <v>14</v>
      </c>
      <c r="L13515" t="s">
        <v>20</v>
      </c>
      <c r="M13515" t="s">
        <v>25941</v>
      </c>
      <c r="N13515" t="s">
        <v>14</v>
      </c>
    </row>
    <row r="13516" x14ac:dyDescent="0.25">
      <c r="A13516" t="n">
        <v>23</v>
      </c>
      <c r="B13516" t="s">
        <v>14</v>
      </c>
      <c r="C13516" t="s">
        <v>22</v>
      </c>
      <c r="D13516" s="2" t="s">
        <f>=HYPERLINK("https://main.knesset.gov.il/APPS/legislation/main/bills/2086538", "הצעת חוק הגנה על הציבור מפני ביצוע עבירות מין (תיקון - מתן טיפול שיקום מונע ללא הרשעה), התש""ף-2020")</f>
        <v>26101</v>
      </c>
      <c r="E13516" t="s">
        <v>26101</v>
      </c>
      <c r="F13516" t="s">
        <v>26102</v>
      </c>
      <c r="G13516" t="s">
        <v>14</v>
      </c>
      <c r="H13516">
             </c>
      <c r="I13516" t="s">
        <v>14</v>
      </c>
      <c r="J13516" t="s">
        <v>141</v>
      </c>
      <c r="K13516" t="s">
        <v>14</v>
      </c>
      <c r="L13516" t="s">
        <v>20</v>
      </c>
      <c r="M13516" t="s">
        <v>25941</v>
      </c>
      <c r="N13516" t="s">
        <v>14</v>
      </c>
    </row>
    <row r="13517" x14ac:dyDescent="0.25">
      <c r="A13517" t="n">
        <v>23</v>
      </c>
      <c r="B13517" t="s">
        <v>14</v>
      </c>
      <c r="C13517" t="s">
        <v>22</v>
      </c>
      <c r="D13517" s="2" t="s">
        <f>=HYPERLINK("https://main.knesset.gov.il/APPS/legislation/main/bills/2086542", "הצעת חוק איסור פרסום הפליה (תיקוני חקיקה), התש""ף-2020")</f>
        <v>26103</v>
      </c>
      <c r="E13517" t="s">
        <v>26103</v>
      </c>
      <c r="F13517" t="s">
        <v>26104</v>
      </c>
      <c r="G13517" t="s">
        <v>14</v>
      </c>
      <c r="H13517">
             </c>
      <c r="I13517" t="s">
        <v>14</v>
      </c>
      <c r="J13517" t="s">
        <v>141</v>
      </c>
      <c r="K13517" t="s">
        <v>14</v>
      </c>
      <c r="L13517" t="s">
        <v>20</v>
      </c>
      <c r="M13517" t="s">
        <v>25941</v>
      </c>
      <c r="N13517" t="s">
        <v>14</v>
      </c>
    </row>
    <row r="13518" x14ac:dyDescent="0.25">
      <c r="A13518" t="n">
        <v>23</v>
      </c>
      <c r="B13518" t="s">
        <v>14</v>
      </c>
      <c r="C13518" t="s">
        <v>22</v>
      </c>
      <c r="D13518" s="2" t="s">
        <f>=HYPERLINK("https://main.knesset.gov.il/APPS/legislation/main/bills/2087691", "הצעת חוק הכשרות המשפטית והאפוטרופסות (תיקון - תשלום שכר והוצאות של אפוטרופוס מאוצר המדינה), התש""ף-2020")</f>
        <v>26105</v>
      </c>
      <c r="E13518" t="s">
        <v>26105</v>
      </c>
      <c r="F13518" t="s">
        <v>26106</v>
      </c>
      <c r="G13518" t="s">
        <v>14</v>
      </c>
      <c r="H13518">
             </c>
      <c r="I13518" t="s">
        <v>14</v>
      </c>
      <c r="J13518" t="s">
        <v>141</v>
      </c>
      <c r="K13518" t="s">
        <v>14</v>
      </c>
      <c r="L13518" t="s">
        <v>20</v>
      </c>
      <c r="M13518" t="s">
        <v>25941</v>
      </c>
      <c r="N13518" t="s">
        <v>14</v>
      </c>
    </row>
    <row r="13519" x14ac:dyDescent="0.25">
      <c r="A13519" t="n">
        <v>23</v>
      </c>
      <c r="B13519" t="s">
        <v>14</v>
      </c>
      <c r="C13519" t="s">
        <v>22</v>
      </c>
      <c r="D13519" s="2" t="s">
        <f>=HYPERLINK("https://main.knesset.gov.il/APPS/legislation/main/bills/2087454", "הצעת חוק זכויות נפגעי עבירה (תיקון - הכשרת חוקרי וחוקרות עבירות מין ואלימות במשפחה), התש""ף-2020")</f>
        <v>26107</v>
      </c>
      <c r="E13519" t="s">
        <v>26107</v>
      </c>
      <c r="F13519" t="s">
        <v>26108</v>
      </c>
      <c r="G13519" t="s">
        <v>14</v>
      </c>
      <c r="H13519">
             </c>
      <c r="I13519" t="s">
        <v>14</v>
      </c>
      <c r="J13519" t="s">
        <v>343</v>
      </c>
      <c r="K13519" t="s">
        <v>14</v>
      </c>
      <c r="L13519" t="s">
        <v>20</v>
      </c>
      <c r="M13519" t="s">
        <v>25941</v>
      </c>
      <c r="N13519" t="s">
        <v>14</v>
      </c>
    </row>
    <row r="13520" x14ac:dyDescent="0.25">
      <c r="A13520" t="n">
        <v>23</v>
      </c>
      <c r="B13520" t="s">
        <v>14</v>
      </c>
      <c r="C13520" t="s">
        <v>22</v>
      </c>
      <c r="D13520" s="2" t="s">
        <f>=HYPERLINK("https://main.knesset.gov.il/APPS/legislation/main/bills/2086576", "הצעת חוק לביטול ההתיישנות בעבירות מין במשפחה (תיקוני חקיקה), התש""ף-2020")</f>
        <v>25894</v>
      </c>
      <c r="E13520" t="s">
        <v>25894</v>
      </c>
      <c r="F13520" t="s">
        <v>26109</v>
      </c>
      <c r="G13520" t="s">
        <v>14</v>
      </c>
      <c r="H13520">
             </c>
      <c r="I13520" t="s">
        <v>14</v>
      </c>
      <c r="J13520" t="s">
        <v>141</v>
      </c>
      <c r="K13520" t="s">
        <v>14</v>
      </c>
      <c r="L13520" t="s">
        <v>20</v>
      </c>
      <c r="M13520" t="s">
        <v>25941</v>
      </c>
      <c r="N13520" t="s">
        <v>14</v>
      </c>
    </row>
    <row r="13521" x14ac:dyDescent="0.25">
      <c r="A13521" t="n">
        <v>23</v>
      </c>
      <c r="B13521" t="s">
        <v>14</v>
      </c>
      <c r="C13521" t="s">
        <v>22</v>
      </c>
      <c r="D13521" s="2" t="s">
        <f>=HYPERLINK("https://main.knesset.gov.il/APPS/legislation/main/bills/2087693", "הצעת חוק דמי מחלה (היעדרות בשל מחלת ילד) (תיקון - היעדרות בשל אשפוז ילד), התש""ף-2020")</f>
        <v>26110</v>
      </c>
      <c r="E13521" t="s">
        <v>26110</v>
      </c>
      <c r="F13521" t="s">
        <v>26111</v>
      </c>
      <c r="G13521" t="s">
        <v>14</v>
      </c>
      <c r="H13521">
             </c>
      <c r="I13521" t="s">
        <v>14</v>
      </c>
      <c r="J13521" t="s">
        <v>141</v>
      </c>
      <c r="K13521" t="s">
        <v>14</v>
      </c>
      <c r="L13521" t="s">
        <v>20</v>
      </c>
      <c r="M13521" t="s">
        <v>25941</v>
      </c>
      <c r="N13521" t="s">
        <v>14</v>
      </c>
    </row>
    <row r="13522" x14ac:dyDescent="0.25">
      <c r="A13522" t="n">
        <v>23</v>
      </c>
      <c r="B13522" t="s">
        <v>14</v>
      </c>
      <c r="C13522" t="s">
        <v>22</v>
      </c>
      <c r="D13522" s="2" t="s">
        <f>=HYPERLINK("https://main.knesset.gov.il/APPS/legislation/main/bills/2086653", "הצעת חוק הגנת השכר (תיקון - צירוף פירוט שעות חודשי לתלוש השכר), התש""ף-2020")</f>
        <v>26112</v>
      </c>
      <c r="E13522" t="s">
        <v>26112</v>
      </c>
      <c r="F13522" t="s">
        <v>26113</v>
      </c>
      <c r="G13522" t="s">
        <v>14</v>
      </c>
      <c r="H13522">
             </c>
      <c r="I13522" t="s">
        <v>14</v>
      </c>
      <c r="J13522" t="s">
        <v>141</v>
      </c>
      <c r="K13522" t="s">
        <v>14</v>
      </c>
      <c r="L13522" t="s">
        <v>20</v>
      </c>
      <c r="M13522" t="s">
        <v>25941</v>
      </c>
      <c r="N13522" t="s">
        <v>14</v>
      </c>
    </row>
    <row r="13523" x14ac:dyDescent="0.25">
      <c r="A13523" t="n">
        <v>23</v>
      </c>
      <c r="B13523" t="s">
        <v>14</v>
      </c>
      <c r="C13523" t="s">
        <v>22</v>
      </c>
      <c r="D13523" s="2" t="s">
        <f>=HYPERLINK("https://main.knesset.gov.il/APPS/legislation/main/bills/2087054", "הצעת חוק לשכת עורכי הדין (תיקון - ביטול פקיעת חברות בפשיטת רגל), התש""ף-2020")</f>
        <v>26114</v>
      </c>
      <c r="E13523" t="s">
        <v>26114</v>
      </c>
      <c r="F13523" t="s">
        <v>26115</v>
      </c>
      <c r="G13523" t="s">
        <v>14</v>
      </c>
      <c r="H13523">
             </c>
      <c r="I13523" t="s">
        <v>14</v>
      </c>
      <c r="J13523" t="s">
        <v>141</v>
      </c>
      <c r="K13523" t="s">
        <v>14</v>
      </c>
      <c r="L13523" t="s">
        <v>20</v>
      </c>
      <c r="M13523" t="s">
        <v>25941</v>
      </c>
      <c r="N13523" t="s">
        <v>14</v>
      </c>
    </row>
    <row r="13524" x14ac:dyDescent="0.25">
      <c r="A13524" t="n">
        <v>23</v>
      </c>
      <c r="B13524" t="s">
        <v>14</v>
      </c>
      <c r="C13524" t="s">
        <v>22</v>
      </c>
      <c r="D13524" s="2" t="s">
        <f>=HYPERLINK("https://main.knesset.gov.il/APPS/legislation/main/bills/2087695", "הצעת חוק הביטוח הלאומי (תיקון - גמלת אבל), התש""ף-2020")</f>
        <v>26116</v>
      </c>
      <c r="E13524" t="s">
        <v>26116</v>
      </c>
      <c r="F13524" t="s">
        <v>26117</v>
      </c>
      <c r="G13524" t="s">
        <v>14</v>
      </c>
      <c r="H13524">
             </c>
      <c r="I13524" t="s">
        <v>14</v>
      </c>
      <c r="J13524" t="s">
        <v>141</v>
      </c>
      <c r="K13524" t="s">
        <v>14</v>
      </c>
      <c r="L13524" t="s">
        <v>20</v>
      </c>
      <c r="M13524" t="s">
        <v>25941</v>
      </c>
      <c r="N13524" t="s">
        <v>14</v>
      </c>
    </row>
    <row r="13525" x14ac:dyDescent="0.25">
      <c r="A13525" t="n">
        <v>23</v>
      </c>
      <c r="B13525" t="s">
        <v>14</v>
      </c>
      <c r="C13525" t="s">
        <v>22</v>
      </c>
      <c r="D13525" s="2" t="s">
        <f>=HYPERLINK("https://main.knesset.gov.il/APPS/legislation/main/bills/2087056", "הצעת חוק-יסוד: הכנסת (תיקון - השעיית חבר הכנסת שהוגש נגדו כתב אישום)")</f>
        <v>9039</v>
      </c>
      <c r="E13525" t="s">
        <v>9039</v>
      </c>
      <c r="F13525" t="s">
        <v>26118</v>
      </c>
      <c r="G13525" t="s">
        <v>14</v>
      </c>
      <c r="H13525">
             </c>
      <c r="I13525" t="s">
        <v>14</v>
      </c>
      <c r="J13525" t="s">
        <v>141</v>
      </c>
      <c r="K13525" t="s">
        <v>14</v>
      </c>
      <c r="L13525" t="s">
        <v>20</v>
      </c>
      <c r="M13525" t="s">
        <v>25941</v>
      </c>
      <c r="N13525" t="s">
        <v>14</v>
      </c>
    </row>
    <row r="13526" x14ac:dyDescent="0.25">
      <c r="A13526" t="n">
        <v>23</v>
      </c>
      <c r="B13526" t="s">
        <v>14</v>
      </c>
      <c r="C13526" t="s">
        <v>22</v>
      </c>
      <c r="D13526" s="2" t="s">
        <f>=HYPERLINK("https://main.knesset.gov.il/APPS/legislation/main/bills/2086937", "הצעת חוק הביטוח הלאומי (תיקון - דמי הסתגלות לעצמאית) (הוראת שעה), התש""ף-2020")</f>
        <v>26119</v>
      </c>
      <c r="E13526" t="s">
        <v>26119</v>
      </c>
      <c r="F13526" t="s">
        <v>26120</v>
      </c>
      <c r="G13526" t="s">
        <v>14</v>
      </c>
      <c r="H13526">
             </c>
      <c r="I13526" t="s">
        <v>14</v>
      </c>
      <c r="J13526" t="s">
        <v>141</v>
      </c>
      <c r="K13526" t="s">
        <v>14</v>
      </c>
      <c r="L13526" t="s">
        <v>20</v>
      </c>
      <c r="M13526" t="s">
        <v>25941</v>
      </c>
      <c r="N13526" t="s">
        <v>14</v>
      </c>
    </row>
    <row r="13527" x14ac:dyDescent="0.25">
      <c r="A13527" t="n">
        <v>23</v>
      </c>
      <c r="B13527" t="s">
        <v>14</v>
      </c>
      <c r="C13527" t="s">
        <v>22</v>
      </c>
      <c r="D13527" s="2" t="s">
        <f>=HYPERLINK("https://main.knesset.gov.il/APPS/legislation/main/bills/2086929", "הצעת חוק דמי מחלה (היעדרות בשל מחלת נכד), התש""ף-2020")</f>
        <v>26121</v>
      </c>
      <c r="E13527" t="s">
        <v>26121</v>
      </c>
      <c r="F13527" t="s">
        <v>26122</v>
      </c>
      <c r="G13527" t="s">
        <v>14</v>
      </c>
      <c r="H13527">
             </c>
      <c r="I13527" t="s">
        <v>14</v>
      </c>
      <c r="J13527" t="s">
        <v>141</v>
      </c>
      <c r="K13527" t="s">
        <v>14</v>
      </c>
      <c r="L13527" t="s">
        <v>20</v>
      </c>
      <c r="M13527" t="s">
        <v>25941</v>
      </c>
      <c r="N13527" t="s">
        <v>14</v>
      </c>
    </row>
    <row r="13528" x14ac:dyDescent="0.25">
      <c r="A13528" t="n">
        <v>23</v>
      </c>
      <c r="B13528" t="s">
        <v>14</v>
      </c>
      <c r="C13528" t="s">
        <v>22</v>
      </c>
      <c r="D13528" s="2" t="s">
        <f>=HYPERLINK("https://main.knesset.gov.il/APPS/legislation/main/bills/2087024", "הצעת חוק הסדרי עבודה גמישים, התש""ף-2020")</f>
        <v>26123</v>
      </c>
      <c r="E13528" t="s">
        <v>26123</v>
      </c>
      <c r="F13528" t="s">
        <v>26124</v>
      </c>
      <c r="G13528" t="s">
        <v>14</v>
      </c>
      <c r="H13528">
             </c>
      <c r="I13528" t="s">
        <v>14</v>
      </c>
      <c r="J13528" t="s">
        <v>141</v>
      </c>
      <c r="K13528" t="s">
        <v>14</v>
      </c>
      <c r="L13528" t="s">
        <v>20</v>
      </c>
      <c r="M13528" t="s">
        <v>25941</v>
      </c>
      <c r="N13528" t="s">
        <v>14</v>
      </c>
    </row>
    <row r="13529" x14ac:dyDescent="0.25">
      <c r="A13529" t="n">
        <v>23</v>
      </c>
      <c r="B13529" t="s">
        <v>14</v>
      </c>
      <c r="C13529" t="s">
        <v>22</v>
      </c>
      <c r="D13529" s="2" t="s">
        <f>=HYPERLINK("https://main.knesset.gov.il/APPS/legislation/main/bills/2087586", "הצעת חוק הבטחת סידור ביתי לקטינים נזקקים, התש""ף-2020")</f>
        <v>26125</v>
      </c>
      <c r="E13529" t="s">
        <v>26125</v>
      </c>
      <c r="F13529" t="s">
        <v>26126</v>
      </c>
      <c r="G13529" t="s">
        <v>14</v>
      </c>
      <c r="H13529">
             </c>
      <c r="I13529" t="s">
        <v>14</v>
      </c>
      <c r="J13529" t="s">
        <v>141</v>
      </c>
      <c r="K13529" t="s">
        <v>14</v>
      </c>
      <c r="L13529" t="s">
        <v>20</v>
      </c>
      <c r="M13529" t="s">
        <v>25941</v>
      </c>
      <c r="N13529" t="s">
        <v>14</v>
      </c>
    </row>
    <row r="13530" x14ac:dyDescent="0.25">
      <c r="A13530" t="n">
        <v>23</v>
      </c>
      <c r="B13530" t="s">
        <v>14</v>
      </c>
      <c r="C13530" t="s">
        <v>22</v>
      </c>
      <c r="D13530" s="2" t="s">
        <f>=HYPERLINK("https://main.knesset.gov.il/APPS/legislation/main/bills/2087032", "הצעת חוק דמי מחלה (היעדרות בשל מחלת ילד) (תיקון - היעדרות בשל אשפוז ילד), התש""ף-2020")</f>
        <v>26110</v>
      </c>
      <c r="E13530" t="s">
        <v>26110</v>
      </c>
      <c r="F13530" t="s">
        <v>26127</v>
      </c>
      <c r="G13530" t="s">
        <v>14</v>
      </c>
      <c r="H13530">
             </c>
      <c r="I13530" t="s">
        <v>14</v>
      </c>
      <c r="J13530" t="s">
        <v>141</v>
      </c>
      <c r="K13530" t="s">
        <v>14</v>
      </c>
      <c r="L13530" t="s">
        <v>20</v>
      </c>
      <c r="M13530" t="s">
        <v>25941</v>
      </c>
      <c r="N13530" t="s">
        <v>14</v>
      </c>
    </row>
    <row r="13531" x14ac:dyDescent="0.25">
      <c r="A13531" t="n">
        <v>23</v>
      </c>
      <c r="B13531" t="s">
        <v>14</v>
      </c>
      <c r="C13531" t="s">
        <v>22</v>
      </c>
      <c r="D13531" s="2" t="s">
        <f>=HYPERLINK("https://main.knesset.gov.il/APPS/legislation/main/bills/2087650", "הצעת חוק הביטוח הלאומי (תיקון - דמי ביטוח מופחתים לסטודנטים), התש""ף-2020")</f>
        <v>24715</v>
      </c>
      <c r="E13531" t="s">
        <v>24715</v>
      </c>
      <c r="F13531" t="s">
        <v>26128</v>
      </c>
      <c r="G13531" t="s">
        <v>14</v>
      </c>
      <c r="H13531">
             </c>
      <c r="I13531" t="s">
        <v>14</v>
      </c>
      <c r="J13531" t="s">
        <v>141</v>
      </c>
      <c r="K13531" t="s">
        <v>14</v>
      </c>
      <c r="L13531" t="s">
        <v>20</v>
      </c>
      <c r="M13531" t="s">
        <v>25941</v>
      </c>
      <c r="N13531" t="s">
        <v>14</v>
      </c>
    </row>
    <row r="13532" x14ac:dyDescent="0.25">
      <c r="A13532" t="n">
        <v>23</v>
      </c>
      <c r="B13532" t="s">
        <v>14</v>
      </c>
      <c r="C13532" t="s">
        <v>22</v>
      </c>
      <c r="D13532" s="2" t="s">
        <f>=HYPERLINK("https://main.knesset.gov.il/APPS/legislation/main/bills/2087246", "הצעת חוק בתי המשפט (תיקון - שקיפות הליכים משפטיים), התש""ף-2020")</f>
        <v>26129</v>
      </c>
      <c r="E13532" t="s">
        <v>26129</v>
      </c>
      <c r="F13532" t="s">
        <v>26130</v>
      </c>
      <c r="G13532" t="s">
        <v>14</v>
      </c>
      <c r="H13532">
             </c>
      <c r="I13532" t="s">
        <v>14</v>
      </c>
      <c r="J13532" t="s">
        <v>343</v>
      </c>
      <c r="K13532" t="s">
        <v>14</v>
      </c>
      <c r="L13532" t="s">
        <v>20</v>
      </c>
      <c r="M13532" t="s">
        <v>25941</v>
      </c>
      <c r="N13532" t="s">
        <v>14</v>
      </c>
    </row>
    <row r="13533" x14ac:dyDescent="0.25">
      <c r="A13533" t="n">
        <v>23</v>
      </c>
      <c r="B13533" t="s">
        <v>14</v>
      </c>
      <c r="C13533" t="s">
        <v>22</v>
      </c>
      <c r="D13533" s="2" t="s">
        <f>=HYPERLINK("https://main.knesset.gov.il/APPS/legislation/main/bills/2086963", "הצעת חוק התניית יום שבתון בהצבעה בבחירות (תיקוני חקיקה), התש""ף-2020")</f>
        <v>26131</v>
      </c>
      <c r="E13533" t="s">
        <v>26131</v>
      </c>
      <c r="F13533" t="s">
        <v>26132</v>
      </c>
      <c r="G13533" t="s">
        <v>14</v>
      </c>
      <c r="H13533">
             </c>
      <c r="I13533" t="s">
        <v>14</v>
      </c>
      <c r="J13533" t="s">
        <v>141</v>
      </c>
      <c r="K13533" t="s">
        <v>14</v>
      </c>
      <c r="L13533" t="s">
        <v>20</v>
      </c>
      <c r="M13533" t="s">
        <v>25941</v>
      </c>
      <c r="N13533" t="s">
        <v>14</v>
      </c>
    </row>
    <row r="13534" x14ac:dyDescent="0.25">
      <c r="A13534" t="n">
        <v>23</v>
      </c>
      <c r="B13534" t="s">
        <v>14</v>
      </c>
      <c r="C13534" t="s">
        <v>22</v>
      </c>
      <c r="D13534" s="2" t="s">
        <f>=HYPERLINK("https://main.knesset.gov.il/APPS/legislation/main/bills/2086627", "הצעת חוק המזונות (הבטחת תשלום) (תיקון - סכום שלא יובא בחשבון במבחן ההכנסה), התש""ף-2020")</f>
        <v>25398</v>
      </c>
      <c r="E13534" t="s">
        <v>25398</v>
      </c>
      <c r="F13534" t="s">
        <v>26133</v>
      </c>
      <c r="G13534" t="s">
        <v>14</v>
      </c>
      <c r="H13534">
             </c>
      <c r="I13534" t="s">
        <v>14</v>
      </c>
      <c r="J13534" t="s">
        <v>141</v>
      </c>
      <c r="K13534" t="s">
        <v>14</v>
      </c>
      <c r="L13534" t="s">
        <v>20</v>
      </c>
      <c r="M13534" t="s">
        <v>25941</v>
      </c>
      <c r="N13534" t="s">
        <v>14</v>
      </c>
    </row>
    <row r="13535" x14ac:dyDescent="0.25">
      <c r="A13535" t="n">
        <v>23</v>
      </c>
      <c r="B13535" t="s">
        <v>14</v>
      </c>
      <c r="C13535" t="s">
        <v>22</v>
      </c>
      <c r="D13535" s="2" t="s">
        <f>=HYPERLINK("https://main.knesset.gov.il/APPS/legislation/main/bills/2086651", "הצעת חוק הביטוח הלאומי (תיקון - עקר בית), התש""ף-2020")</f>
        <v>26134</v>
      </c>
      <c r="E13535" t="s">
        <v>26134</v>
      </c>
      <c r="F13535" t="s">
        <v>26135</v>
      </c>
      <c r="G13535" t="s">
        <v>14</v>
      </c>
      <c r="H13535">
             </c>
      <c r="I13535" t="s">
        <v>14</v>
      </c>
      <c r="J13535" t="s">
        <v>141</v>
      </c>
      <c r="K13535" t="s">
        <v>14</v>
      </c>
      <c r="L13535" t="s">
        <v>20</v>
      </c>
      <c r="M13535" t="s">
        <v>25941</v>
      </c>
      <c r="N13535" t="s">
        <v>14</v>
      </c>
    </row>
    <row r="13536" x14ac:dyDescent="0.25">
      <c r="A13536" t="n">
        <v>23</v>
      </c>
      <c r="B13536" t="s">
        <v>14</v>
      </c>
      <c r="C13536" t="s">
        <v>22</v>
      </c>
      <c r="D13536" s="2" t="s">
        <f>=HYPERLINK("https://main.knesset.gov.il/APPS/legislation/main/bills/2086968", "הצעת חוק העונשין (תיקון - פיצויים לזכאי במשפט חוזר ובערעור בבית המשפט העליון), התש""ף-2020")</f>
        <v>26136</v>
      </c>
      <c r="E13536" t="s">
        <v>26136</v>
      </c>
      <c r="F13536" t="s">
        <v>26137</v>
      </c>
      <c r="G13536" t="s">
        <v>14</v>
      </c>
      <c r="H13536">
             </c>
      <c r="I13536" t="s">
        <v>14</v>
      </c>
      <c r="J13536" t="s">
        <v>141</v>
      </c>
      <c r="K13536" t="s">
        <v>14</v>
      </c>
      <c r="L13536" t="s">
        <v>20</v>
      </c>
      <c r="M13536" t="s">
        <v>25941</v>
      </c>
      <c r="N13536" t="s">
        <v>14</v>
      </c>
    </row>
    <row r="13537" x14ac:dyDescent="0.25">
      <c r="A13537" t="n">
        <v>23</v>
      </c>
      <c r="B13537" t="s">
        <v>14</v>
      </c>
      <c r="C13537" t="s">
        <v>22</v>
      </c>
      <c r="D13537" s="2" t="s">
        <f>=HYPERLINK("https://main.knesset.gov.il/APPS/legislation/main/bills/2086649", "הצעת חוק ביטוח בריאות ממלכתי (תיקון - צמצום פערים בין הפריפריה למרכז), התש""ף-2020")</f>
        <v>26138</v>
      </c>
      <c r="E13537" t="s">
        <v>26138</v>
      </c>
      <c r="F13537" t="s">
        <v>26139</v>
      </c>
      <c r="G13537" t="s">
        <v>14</v>
      </c>
      <c r="H13537">
             </c>
      <c r="I13537" t="s">
        <v>14</v>
      </c>
      <c r="J13537" t="s">
        <v>141</v>
      </c>
      <c r="K13537" t="s">
        <v>14</v>
      </c>
      <c r="L13537" t="s">
        <v>20</v>
      </c>
      <c r="M13537" t="s">
        <v>25941</v>
      </c>
      <c r="N13537" t="s">
        <v>14</v>
      </c>
    </row>
    <row r="13538" x14ac:dyDescent="0.25">
      <c r="A13538" t="n">
        <v>23</v>
      </c>
      <c r="B13538" t="s">
        <v>14</v>
      </c>
      <c r="C13538" t="s">
        <v>22</v>
      </c>
      <c r="D13538" s="2" t="s">
        <f>=HYPERLINK("https://main.knesset.gov.il/APPS/legislation/main/bills/2087590", "הצעת חוק ביטוח בריאות ממלכתי (תיקון - מתן טיפולי שיניים, פה ולסת למבוטח עם שיתוק מוחין), התש""ף-2020")</f>
        <v>26140</v>
      </c>
      <c r="E13538" t="s">
        <v>26140</v>
      </c>
      <c r="F13538" t="s">
        <v>26141</v>
      </c>
      <c r="G13538" t="s">
        <v>14</v>
      </c>
      <c r="H13538">
             </c>
      <c r="I13538" t="s">
        <v>14</v>
      </c>
      <c r="J13538" t="s">
        <v>343</v>
      </c>
      <c r="K13538" t="s">
        <v>14</v>
      </c>
      <c r="L13538" t="s">
        <v>20</v>
      </c>
      <c r="M13538" t="s">
        <v>25941</v>
      </c>
      <c r="N13538" t="s">
        <v>14</v>
      </c>
    </row>
    <row r="13539" x14ac:dyDescent="0.25">
      <c r="A13539" t="n">
        <v>23</v>
      </c>
      <c r="B13539" t="s">
        <v>14</v>
      </c>
      <c r="C13539" t="s">
        <v>22</v>
      </c>
      <c r="D13539" s="2" t="s">
        <f>=HYPERLINK("https://main.knesset.gov.il/APPS/legislation/main/bills/2086652", "הצעת חוק הביטוח לאומי (תיקון - ביטוח זכויות עצמאי שעיקר הכנסתו מעסק שמצוי בפשיטת רגל או בפירוק), התש""ף-2020")</f>
        <v>26142</v>
      </c>
      <c r="E13539" t="s">
        <v>26142</v>
      </c>
      <c r="F13539" t="s">
        <v>26143</v>
      </c>
      <c r="G13539" t="s">
        <v>14</v>
      </c>
      <c r="H13539">
             </c>
      <c r="I13539" t="s">
        <v>14</v>
      </c>
      <c r="J13539" t="s">
        <v>141</v>
      </c>
      <c r="K13539" t="s">
        <v>14</v>
      </c>
      <c r="L13539" t="s">
        <v>20</v>
      </c>
      <c r="M13539" t="s">
        <v>25941</v>
      </c>
      <c r="N13539" t="s">
        <v>14</v>
      </c>
    </row>
    <row r="13540" x14ac:dyDescent="0.25">
      <c r="A13540" t="n">
        <v>23</v>
      </c>
      <c r="B13540" t="s">
        <v>14</v>
      </c>
      <c r="C13540" t="s">
        <v>22</v>
      </c>
      <c r="D13540" s="2" t="s">
        <f>=HYPERLINK("https://main.knesset.gov.il/APPS/legislation/main/bills/2087721", "הצעת חוק ביטוח בריאות ממלכתי (תיקון - תוספת קבועה לסל שירותי הבריאות לעדכון טכנולוגיות רפואיות חדשות, תרופות, מכשור ושיטות טיפול), התש""ף-2020")</f>
        <v>26144</v>
      </c>
      <c r="E13540" t="s">
        <v>26144</v>
      </c>
      <c r="F13540" t="s">
        <v>26145</v>
      </c>
      <c r="G13540" t="s">
        <v>14</v>
      </c>
      <c r="H13540">
             </c>
      <c r="I13540" t="s">
        <v>14</v>
      </c>
      <c r="J13540" t="s">
        <v>141</v>
      </c>
      <c r="K13540" t="s">
        <v>14</v>
      </c>
      <c r="L13540" t="s">
        <v>20</v>
      </c>
      <c r="M13540" t="s">
        <v>25941</v>
      </c>
      <c r="N13540" t="s">
        <v>14</v>
      </c>
    </row>
    <row r="13541" x14ac:dyDescent="0.25">
      <c r="A13541" t="n">
        <v>23</v>
      </c>
      <c r="B13541" t="s">
        <v>14</v>
      </c>
      <c r="C13541" t="s">
        <v>22</v>
      </c>
      <c r="D13541" s="2" t="s">
        <f>=HYPERLINK("https://main.knesset.gov.il/APPS/legislation/main/bills/2087375", "הצעת חוק מימון מפלגות (תיקון - ייצוג הולם לנשים בבחירות לכנסת), התש""ף-2020")</f>
        <v>26146</v>
      </c>
      <c r="E13541" t="s">
        <v>26146</v>
      </c>
      <c r="F13541" t="s">
        <v>26147</v>
      </c>
      <c r="G13541" t="s">
        <v>14</v>
      </c>
      <c r="H13541">
             </c>
      <c r="I13541" t="s">
        <v>14</v>
      </c>
      <c r="J13541" t="s">
        <v>343</v>
      </c>
      <c r="K13541" t="s">
        <v>14</v>
      </c>
      <c r="L13541" t="s">
        <v>20</v>
      </c>
      <c r="M13541" t="s">
        <v>25941</v>
      </c>
      <c r="N13541" t="s">
        <v>14</v>
      </c>
    </row>
    <row r="13542" x14ac:dyDescent="0.25">
      <c r="A13542" t="n">
        <v>23</v>
      </c>
      <c r="B13542" t="s">
        <v>14</v>
      </c>
      <c r="C13542" t="s">
        <v>22</v>
      </c>
      <c r="D13542" s="2" t="s">
        <f>=HYPERLINK("https://main.knesset.gov.il/APPS/legislation/main/bills/2087612", "הצעת חוק הביטוח הלאומי (תיקון - קצבה יחסית לאזרח ותיק), התש""ף-2020 ")</f>
        <v>26148</v>
      </c>
      <c r="E13542" t="s">
        <v>26148</v>
      </c>
      <c r="F13542" t="s">
        <v>26149</v>
      </c>
      <c r="G13542" t="s">
        <v>14</v>
      </c>
      <c r="H13542">
             </c>
      <c r="I13542" t="s">
        <v>14</v>
      </c>
      <c r="J13542" t="s">
        <v>141</v>
      </c>
      <c r="K13542" t="s">
        <v>14</v>
      </c>
      <c r="L13542" t="s">
        <v>20</v>
      </c>
      <c r="M13542" t="s">
        <v>25941</v>
      </c>
      <c r="N13542" t="s">
        <v>14</v>
      </c>
    </row>
    <row r="13543" x14ac:dyDescent="0.25">
      <c r="A13543" t="n">
        <v>23</v>
      </c>
      <c r="B13543" t="s">
        <v>14</v>
      </c>
      <c r="C13543" t="s">
        <v>22</v>
      </c>
      <c r="D13543" s="2" t="s">
        <f>=HYPERLINK("https://main.knesset.gov.il/APPS/legislation/main/bills/2086656", "הצעת חוק הביטוח הלאומי (תיקון - הוראות לעניין עקרת בית), התש""ף-2020")</f>
        <v>26150</v>
      </c>
      <c r="E13543" t="s">
        <v>26150</v>
      </c>
      <c r="F13543" t="s">
        <v>26151</v>
      </c>
      <c r="G13543" t="s">
        <v>14</v>
      </c>
      <c r="H13543">
             </c>
      <c r="I13543" t="s">
        <v>14</v>
      </c>
      <c r="J13543" t="s">
        <v>141</v>
      </c>
      <c r="K13543" t="s">
        <v>14</v>
      </c>
      <c r="L13543" t="s">
        <v>20</v>
      </c>
      <c r="M13543" t="s">
        <v>25941</v>
      </c>
      <c r="N13543" t="s">
        <v>14</v>
      </c>
    </row>
    <row r="13544" x14ac:dyDescent="0.25">
      <c r="A13544" t="n">
        <v>23</v>
      </c>
      <c r="B13544" t="s">
        <v>14</v>
      </c>
      <c r="C13544" t="s">
        <v>22</v>
      </c>
      <c r="D13544" s="2" t="s">
        <f>=HYPERLINK("https://main.knesset.gov.il/APPS/legislation/main/bills/2086647", "הצעת חוק הביטוח הלאומי (תיקון - זכאות לדמי לידה לחיילות בשירות קבע), התש""ף-2020")</f>
        <v>26152</v>
      </c>
      <c r="E13544" t="s">
        <v>26152</v>
      </c>
      <c r="F13544" t="s">
        <v>26153</v>
      </c>
      <c r="G13544" t="s">
        <v>14</v>
      </c>
      <c r="H13544">
             </c>
      <c r="I13544" t="s">
        <v>14</v>
      </c>
      <c r="J13544" t="s">
        <v>141</v>
      </c>
      <c r="K13544" t="s">
        <v>14</v>
      </c>
      <c r="L13544" t="s">
        <v>20</v>
      </c>
      <c r="M13544" t="s">
        <v>25941</v>
      </c>
      <c r="N13544" t="s">
        <v>14</v>
      </c>
    </row>
    <row r="13545" x14ac:dyDescent="0.25">
      <c r="A13545" t="n">
        <v>23</v>
      </c>
      <c r="B13545" t="s">
        <v>14</v>
      </c>
      <c r="C13545" t="s">
        <v>22</v>
      </c>
      <c r="D13545" s="2" t="s">
        <f>=HYPERLINK("https://main.knesset.gov.il/APPS/legislation/main/bills/2086964", "הצעת חוק הבחירות לכנסת (תיקון - הצבעת אנשי צוות אוויר), התש""ף-2020")</f>
        <v>26154</v>
      </c>
      <c r="E13545" t="s">
        <v>26154</v>
      </c>
      <c r="F13545" t="s">
        <v>26155</v>
      </c>
      <c r="G13545" t="s">
        <v>14</v>
      </c>
      <c r="H13545">
             </c>
      <c r="I13545" t="s">
        <v>14</v>
      </c>
      <c r="J13545" t="s">
        <v>141</v>
      </c>
      <c r="K13545" t="s">
        <v>14</v>
      </c>
      <c r="L13545" t="s">
        <v>20</v>
      </c>
      <c r="M13545" t="s">
        <v>25941</v>
      </c>
      <c r="N13545" t="s">
        <v>14</v>
      </c>
    </row>
    <row r="13546" x14ac:dyDescent="0.25">
      <c r="A13546" t="n">
        <v>23</v>
      </c>
      <c r="B13546" t="s">
        <v>14</v>
      </c>
      <c r="C13546" t="s">
        <v>22</v>
      </c>
      <c r="D13546" s="2" t="s">
        <f>=HYPERLINK("https://main.knesset.gov.il/APPS/legislation/main/bills/2087155", "הצעת חוק תרומת ביציות (תיקון - מימון הקפאת ביציות למטרת שמירת פוריות של התורמת), התש""ף-2020")</f>
        <v>26156</v>
      </c>
      <c r="E13546" t="s">
        <v>26156</v>
      </c>
      <c r="F13546" t="s">
        <v>26157</v>
      </c>
      <c r="G13546" t="s">
        <v>14</v>
      </c>
      <c r="H13546">
             </c>
      <c r="I13546" t="s">
        <v>14</v>
      </c>
      <c r="J13546" t="s">
        <v>141</v>
      </c>
      <c r="K13546" t="s">
        <v>14</v>
      </c>
      <c r="L13546" t="s">
        <v>20</v>
      </c>
      <c r="M13546" t="s">
        <v>25941</v>
      </c>
      <c r="N13546" t="s">
        <v>14</v>
      </c>
    </row>
    <row r="13547" x14ac:dyDescent="0.25">
      <c r="A13547" t="n">
        <v>23</v>
      </c>
      <c r="B13547" t="s">
        <v>14</v>
      </c>
      <c r="C13547" t="s">
        <v>22</v>
      </c>
      <c r="D13547" s="2" t="s">
        <f>=HYPERLINK("https://main.knesset.gov.il/APPS/legislation/main/bills/2088106", "הצעת חוק הביטוח הלאומי (תיקון - זכאות לדמי אבטלה מגיל 19), התש""ף-2020")</f>
        <v>24800</v>
      </c>
      <c r="E13547" t="s">
        <v>24800</v>
      </c>
      <c r="F13547" t="s">
        <v>26158</v>
      </c>
      <c r="G13547" t="s">
        <v>14</v>
      </c>
      <c r="H13547">
             </c>
      <c r="I13547" t="s">
        <v>14</v>
      </c>
      <c r="J13547" t="s">
        <v>141</v>
      </c>
      <c r="K13547" t="s">
        <v>14</v>
      </c>
      <c r="L13547" t="s">
        <v>20</v>
      </c>
      <c r="M13547" t="s">
        <v>25941</v>
      </c>
      <c r="N13547" t="s">
        <v>14</v>
      </c>
    </row>
    <row r="13548" x14ac:dyDescent="0.25">
      <c r="A13548" t="n">
        <v>23</v>
      </c>
      <c r="B13548" t="s">
        <v>14</v>
      </c>
      <c r="C13548" t="s">
        <v>22</v>
      </c>
      <c r="D13548" s="2" t="s">
        <f>=HYPERLINK("https://main.knesset.gov.il/APPS/legislation/main/bills/2087209", "הצעת חוק הביטוח הלאומי (תיקון - שכר הוגן לחיילי מילואים שעובדים במשרה חלקית), התש""ף-2020")</f>
        <v>26159</v>
      </c>
      <c r="E13548" t="s">
        <v>26159</v>
      </c>
      <c r="F13548" t="s">
        <v>26160</v>
      </c>
      <c r="G13548" t="s">
        <v>14</v>
      </c>
      <c r="H13548">
             </c>
      <c r="I13548" t="s">
        <v>14</v>
      </c>
      <c r="J13548" t="s">
        <v>343</v>
      </c>
      <c r="K13548" t="s">
        <v>14</v>
      </c>
      <c r="L13548" t="s">
        <v>20</v>
      </c>
      <c r="M13548" t="s">
        <v>25941</v>
      </c>
      <c r="N13548" t="s">
        <v>14</v>
      </c>
    </row>
    <row r="13549" x14ac:dyDescent="0.25">
      <c r="A13549" t="n">
        <v>23</v>
      </c>
      <c r="B13549" t="s">
        <v>14</v>
      </c>
      <c r="C13549" t="s">
        <v>22</v>
      </c>
      <c r="D13549" s="2" t="s">
        <f>=HYPERLINK("https://main.knesset.gov.il/APPS/legislation/main/bills/2087034", "הצעת חוק הביטוח הלאומי (תיקון - השלמת סכום קצבת אזרח ותיק לנכה), התש""ף-2020")</f>
        <v>26161</v>
      </c>
      <c r="E13549" t="s">
        <v>26161</v>
      </c>
      <c r="F13549" t="s">
        <v>26162</v>
      </c>
      <c r="G13549" t="s">
        <v>14</v>
      </c>
      <c r="H13549">
             </c>
      <c r="I13549" t="s">
        <v>14</v>
      </c>
      <c r="J13549" t="s">
        <v>141</v>
      </c>
      <c r="K13549" t="s">
        <v>14</v>
      </c>
      <c r="L13549" t="s">
        <v>20</v>
      </c>
      <c r="M13549" t="s">
        <v>25941</v>
      </c>
      <c r="N13549" t="s">
        <v>14</v>
      </c>
    </row>
    <row r="13550" x14ac:dyDescent="0.25">
      <c r="A13550" t="n">
        <v>23</v>
      </c>
      <c r="B13550" t="s">
        <v>14</v>
      </c>
      <c r="C13550" t="s">
        <v>22</v>
      </c>
      <c r="D13550" s="2" t="s">
        <f>=HYPERLINK("https://main.knesset.gov.il/APPS/legislation/main/bills/2086633", "הצעת חוק הביטוח הלאומי (תיקון - תוספת לקצבה של מי שמעסיק עובד בענף הסיעוד), התש""ף-2020")</f>
        <v>26163</v>
      </c>
      <c r="E13550" t="s">
        <v>26163</v>
      </c>
      <c r="F13550" t="s">
        <v>26164</v>
      </c>
      <c r="G13550" t="s">
        <v>14</v>
      </c>
      <c r="H13550">
             </c>
      <c r="I13550" t="s">
        <v>14</v>
      </c>
      <c r="J13550" t="s">
        <v>141</v>
      </c>
      <c r="K13550" t="s">
        <v>14</v>
      </c>
      <c r="L13550" t="s">
        <v>20</v>
      </c>
      <c r="M13550" t="s">
        <v>25941</v>
      </c>
      <c r="N13550" t="s">
        <v>14</v>
      </c>
    </row>
    <row r="13551" x14ac:dyDescent="0.25">
      <c r="A13551" t="n">
        <v>23</v>
      </c>
      <c r="B13551" t="s">
        <v>14</v>
      </c>
      <c r="C13551" t="s">
        <v>22</v>
      </c>
      <c r="D13551" s="2" t="s">
        <f>=HYPERLINK("https://main.knesset.gov.il/APPS/legislation/main/bills/2086601", "הצעת חוק שוויון ההזדמנויות בעבודה (תיקון - עצמאות נציבות שוויון ההזדמנויות בעבודה), התש""ף-2020")</f>
        <v>26165</v>
      </c>
      <c r="E13551" t="s">
        <v>26165</v>
      </c>
      <c r="F13551" t="s">
        <v>26166</v>
      </c>
      <c r="G13551" t="s">
        <v>14</v>
      </c>
      <c r="H13551">
             </c>
      <c r="I13551" t="s">
        <v>14</v>
      </c>
      <c r="J13551" t="s">
        <v>141</v>
      </c>
      <c r="K13551" t="s">
        <v>14</v>
      </c>
      <c r="L13551" t="s">
        <v>20</v>
      </c>
      <c r="M13551" t="s">
        <v>25941</v>
      </c>
      <c r="N13551" t="s">
        <v>14</v>
      </c>
    </row>
    <row r="13552" x14ac:dyDescent="0.25">
      <c r="A13552" t="n">
        <v>23</v>
      </c>
      <c r="B13552" t="s">
        <v>14</v>
      </c>
      <c r="C13552" t="s">
        <v>22</v>
      </c>
      <c r="D13552" s="2" t="s">
        <f>=HYPERLINK("https://main.knesset.gov.il/APPS/legislation/main/bills/2086604", "הצעת חוק שעות עבודה ומנוחה (תיקון - קיצור שבוע העבודה), התש""ף-2020")</f>
        <v>25768</v>
      </c>
      <c r="E13552" t="s">
        <v>25768</v>
      </c>
      <c r="F13552" t="s">
        <v>26167</v>
      </c>
      <c r="G13552" t="s">
        <v>14</v>
      </c>
      <c r="H13552">
             </c>
      <c r="I13552" t="s">
        <v>14</v>
      </c>
      <c r="J13552" t="s">
        <v>141</v>
      </c>
      <c r="K13552" t="s">
        <v>14</v>
      </c>
      <c r="L13552" t="s">
        <v>20</v>
      </c>
      <c r="M13552" t="s">
        <v>25941</v>
      </c>
      <c r="N13552" t="s">
        <v>14</v>
      </c>
    </row>
    <row r="13553" x14ac:dyDescent="0.25">
      <c r="A13553" t="n">
        <v>23</v>
      </c>
      <c r="B13553" t="s">
        <v>14</v>
      </c>
      <c r="C13553" t="s">
        <v>22</v>
      </c>
      <c r="D13553" s="2" t="s">
        <f>=HYPERLINK("https://main.knesset.gov.il/APPS/legislation/main/bills/2086605", "הצעת חוק הביטוח הלאומי (תיקון - קצבת שאירים למי שמנהל משק בית משותף), התש""ף-2020")</f>
        <v>26168</v>
      </c>
      <c r="E13553" t="s">
        <v>26168</v>
      </c>
      <c r="F13553" t="s">
        <v>26169</v>
      </c>
      <c r="G13553" t="s">
        <v>14</v>
      </c>
      <c r="H13553">
             </c>
      <c r="I13553" t="s">
        <v>14</v>
      </c>
      <c r="J13553" t="s">
        <v>141</v>
      </c>
      <c r="K13553" t="s">
        <v>14</v>
      </c>
      <c r="L13553" t="s">
        <v>20</v>
      </c>
      <c r="M13553" t="s">
        <v>25941</v>
      </c>
      <c r="N13553" t="s">
        <v>14</v>
      </c>
    </row>
    <row r="13554" x14ac:dyDescent="0.25">
      <c r="A13554" t="n">
        <v>23</v>
      </c>
      <c r="B13554" t="s">
        <v>14</v>
      </c>
      <c r="C13554" t="s">
        <v>22</v>
      </c>
      <c r="D13554" s="2" t="s">
        <f>=HYPERLINK("https://main.knesset.gov.il/APPS/legislation/main/bills/2087058", "הצעת חוק הביטוח הלאומי (תיקון - קצבת אזרח ותיק ראויה), התש""ף-2020")</f>
        <v>26170</v>
      </c>
      <c r="E13554" t="s">
        <v>26170</v>
      </c>
      <c r="F13554" t="s">
        <v>26171</v>
      </c>
      <c r="G13554" t="s">
        <v>14</v>
      </c>
      <c r="H13554">
             </c>
      <c r="I13554" t="s">
        <v>14</v>
      </c>
      <c r="J13554" t="s">
        <v>141</v>
      </c>
      <c r="K13554" t="s">
        <v>14</v>
      </c>
      <c r="L13554" t="s">
        <v>20</v>
      </c>
      <c r="M13554" t="s">
        <v>25941</v>
      </c>
      <c r="N13554" t="s">
        <v>14</v>
      </c>
    </row>
    <row r="13555" x14ac:dyDescent="0.25">
      <c r="A13555" t="n">
        <v>23</v>
      </c>
      <c r="B13555" t="s">
        <v>14</v>
      </c>
      <c r="C13555" t="s">
        <v>22</v>
      </c>
      <c r="D13555" s="2" t="s">
        <f>=HYPERLINK("https://main.knesset.gov.il/APPS/legislation/main/bills/2087702", "הצעת חוק להגדלת שיעור ההשתתפות בכוח העבודה ולצמצום פערים חברתיים (מענק עבודה) (תיקון - זכאות להטבות נלוות), התש""ף-2020")</f>
        <v>26172</v>
      </c>
      <c r="E13555" t="s">
        <v>26172</v>
      </c>
      <c r="F13555" t="s">
        <v>26173</v>
      </c>
      <c r="G13555" t="s">
        <v>14</v>
      </c>
      <c r="H13555">
             </c>
      <c r="I13555" t="s">
        <v>14</v>
      </c>
      <c r="J13555" t="s">
        <v>141</v>
      </c>
      <c r="K13555" t="s">
        <v>14</v>
      </c>
      <c r="L13555" t="s">
        <v>20</v>
      </c>
      <c r="M13555" t="s">
        <v>25941</v>
      </c>
      <c r="N13555" t="s">
        <v>14</v>
      </c>
    </row>
    <row r="13556" x14ac:dyDescent="0.25">
      <c r="A13556" t="n">
        <v>23</v>
      </c>
      <c r="B13556" t="s">
        <v>14</v>
      </c>
      <c r="C13556" t="s">
        <v>22</v>
      </c>
      <c r="D13556" s="2" t="s">
        <f>=HYPERLINK("https://main.knesset.gov.il/APPS/legislation/main/bills/2086606", "הצעת חוק בנק הזרע (הזרעות והפריות חוץ בבני זוג פרודים), התש""ף-2020")</f>
        <v>26174</v>
      </c>
      <c r="E13556" t="s">
        <v>26174</v>
      </c>
      <c r="F13556" t="s">
        <v>26175</v>
      </c>
      <c r="G13556" t="s">
        <v>14</v>
      </c>
      <c r="H13556">
             </c>
      <c r="I13556" t="s">
        <v>14</v>
      </c>
      <c r="J13556" t="s">
        <v>141</v>
      </c>
      <c r="K13556" t="s">
        <v>14</v>
      </c>
      <c r="L13556" t="s">
        <v>20</v>
      </c>
      <c r="M13556" t="s">
        <v>25941</v>
      </c>
      <c r="N13556" t="s">
        <v>14</v>
      </c>
    </row>
    <row r="13557" x14ac:dyDescent="0.25">
      <c r="A13557" t="n">
        <v>23</v>
      </c>
      <c r="B13557" t="s">
        <v>14</v>
      </c>
      <c r="C13557" t="s">
        <v>22</v>
      </c>
      <c r="D13557" s="2" t="s">
        <f>=HYPERLINK("https://main.knesset.gov.il/APPS/legislation/main/bills/2086607", "הצעת חוק הגנה על עובדים (חשיפת עבירות ופגיעה בטוהר המידות או במינהל התקין) (תיקון - הגדלת סכום הפיצוי שאינו תלוי בנזק ושינוי נטל ההוכחה), התש""ף-2020")</f>
        <v>26176</v>
      </c>
      <c r="E13557" t="s">
        <v>26176</v>
      </c>
      <c r="F13557" t="s">
        <v>26177</v>
      </c>
      <c r="G13557" t="s">
        <v>14</v>
      </c>
      <c r="H13557">
             </c>
      <c r="I13557" t="s">
        <v>14</v>
      </c>
      <c r="J13557" t="s">
        <v>141</v>
      </c>
      <c r="K13557" t="s">
        <v>14</v>
      </c>
      <c r="L13557" t="s">
        <v>20</v>
      </c>
      <c r="M13557" t="s">
        <v>25941</v>
      </c>
      <c r="N13557" t="s">
        <v>14</v>
      </c>
    </row>
    <row r="13558" x14ac:dyDescent="0.25">
      <c r="A13558" t="n">
        <v>23</v>
      </c>
      <c r="B13558" t="s">
        <v>14</v>
      </c>
      <c r="C13558" t="s">
        <v>22</v>
      </c>
      <c r="D13558" s="2" t="s">
        <f>=HYPERLINK("https://main.knesset.gov.il/APPS/legislation/main/bills/2086609", "הצעת חוק האזרחים הוותיקים (תיקון - פטור מתשלום עבור שמירת מקום ישיבה בתחבורה ציבורית), התש""ף-2020")</f>
        <v>26178</v>
      </c>
      <c r="E13558" t="s">
        <v>26178</v>
      </c>
      <c r="F13558" t="s">
        <v>26179</v>
      </c>
      <c r="G13558" t="s">
        <v>14</v>
      </c>
      <c r="H13558">
             </c>
      <c r="I13558" t="s">
        <v>14</v>
      </c>
      <c r="J13558" t="s">
        <v>141</v>
      </c>
      <c r="K13558" t="s">
        <v>14</v>
      </c>
      <c r="L13558" t="s">
        <v>20</v>
      </c>
      <c r="M13558" t="s">
        <v>25941</v>
      </c>
      <c r="N13558" t="s">
        <v>14</v>
      </c>
    </row>
    <row r="13559" x14ac:dyDescent="0.25">
      <c r="A13559" t="n">
        <v>23</v>
      </c>
      <c r="B13559" t="s">
        <v>14</v>
      </c>
      <c r="C13559" t="s">
        <v>22</v>
      </c>
      <c r="D13559" s="2" t="s">
        <f>=HYPERLINK("https://main.knesset.gov.il/APPS/legislation/main/bills/2087097", "הצעת חוק נכי רדיפות הנאצים (תיקון - הגדרות זכאות), התש""ף-2020")</f>
        <v>26180</v>
      </c>
      <c r="E13559" t="s">
        <v>26180</v>
      </c>
      <c r="F13559" t="s">
        <v>26181</v>
      </c>
      <c r="G13559" t="s">
        <v>14</v>
      </c>
      <c r="H13559">
             </c>
      <c r="I13559" t="s">
        <v>14</v>
      </c>
      <c r="J13559" t="s">
        <v>141</v>
      </c>
      <c r="K13559" t="s">
        <v>14</v>
      </c>
      <c r="L13559" t="s">
        <v>20</v>
      </c>
      <c r="M13559" t="s">
        <v>25941</v>
      </c>
      <c r="N13559" t="s">
        <v>14</v>
      </c>
    </row>
    <row r="13560" x14ac:dyDescent="0.25">
      <c r="A13560" t="n">
        <v>23</v>
      </c>
      <c r="B13560" t="s">
        <v>14</v>
      </c>
      <c r="C13560" t="s">
        <v>22</v>
      </c>
      <c r="D13560" s="2" t="s">
        <f>=HYPERLINK("https://main.knesset.gov.il/APPS/legislation/main/bills/2086208", "הצעת חוק הכללת חוב עונשי בהפטר (תיקוני חקיקה), התש""ף-2020")</f>
        <v>26182</v>
      </c>
      <c r="E13560" t="s">
        <v>26182</v>
      </c>
      <c r="F13560" t="s">
        <v>26183</v>
      </c>
      <c r="G13560" t="s">
        <v>14</v>
      </c>
      <c r="H13560">
             </c>
      <c r="I13560" t="s">
        <v>14</v>
      </c>
      <c r="J13560" t="s">
        <v>141</v>
      </c>
      <c r="K13560" t="s">
        <v>14</v>
      </c>
      <c r="L13560" t="s">
        <v>20</v>
      </c>
      <c r="M13560" t="s">
        <v>25941</v>
      </c>
      <c r="N13560" t="s">
        <v>14</v>
      </c>
    </row>
    <row r="13561" x14ac:dyDescent="0.25">
      <c r="A13561" t="n">
        <v>23</v>
      </c>
      <c r="B13561" t="s">
        <v>14</v>
      </c>
      <c r="C13561" t="s">
        <v>22</v>
      </c>
      <c r="D13561" s="2" t="s">
        <f>=HYPERLINK("https://main.knesset.gov.il/APPS/legislation/main/bills/2086881", "הצעת חוק לעידוד השקעות הון (תיקון - ביטול מסלול הטבות המס), התש""ף-2020")</f>
        <v>26184</v>
      </c>
      <c r="E13561" t="s">
        <v>26184</v>
      </c>
      <c r="F13561" t="s">
        <v>26185</v>
      </c>
      <c r="G13561" t="s">
        <v>14</v>
      </c>
      <c r="H13561">
             </c>
      <c r="I13561" t="s">
        <v>14</v>
      </c>
      <c r="J13561" t="s">
        <v>141</v>
      </c>
      <c r="K13561" t="s">
        <v>14</v>
      </c>
      <c r="L13561" t="s">
        <v>20</v>
      </c>
      <c r="M13561" t="s">
        <v>25941</v>
      </c>
      <c r="N13561" t="s">
        <v>14</v>
      </c>
    </row>
    <row r="13562" x14ac:dyDescent="0.25">
      <c r="A13562" t="n">
        <v>23</v>
      </c>
      <c r="B13562" t="s">
        <v>14</v>
      </c>
      <c r="C13562" t="s">
        <v>22</v>
      </c>
      <c r="D13562" s="2" t="s">
        <f>=HYPERLINK("https://main.knesset.gov.il/APPS/legislation/main/bills/2086947", "הצעת חוק תגמול נושאי משרה בחברות ציבוריות, התש""ף-2020")</f>
        <v>26186</v>
      </c>
      <c r="E13562" t="s">
        <v>26186</v>
      </c>
      <c r="F13562" t="s">
        <v>26187</v>
      </c>
      <c r="G13562" t="s">
        <v>14</v>
      </c>
      <c r="H13562">
             </c>
      <c r="I13562" t="s">
        <v>14</v>
      </c>
      <c r="J13562" t="s">
        <v>141</v>
      </c>
      <c r="K13562" t="s">
        <v>14</v>
      </c>
      <c r="L13562" t="s">
        <v>20</v>
      </c>
      <c r="M13562" t="s">
        <v>25941</v>
      </c>
      <c r="N13562" t="s">
        <v>14</v>
      </c>
    </row>
    <row r="13563" x14ac:dyDescent="0.25">
      <c r="A13563" t="n">
        <v>23</v>
      </c>
      <c r="B13563" t="s">
        <v>14</v>
      </c>
      <c r="C13563" t="s">
        <v>22</v>
      </c>
      <c r="D13563" s="2" t="s">
        <f>=HYPERLINK("https://main.knesset.gov.il/APPS/legislation/main/bills/2087102", "הצעת חוק לקידום התחרות ולצמצום הריכוזיות (תיקון - קביעת תאגיד שאינו מדווח או שותפות כחברת שכבה), התש""ף-2020")</f>
        <v>26188</v>
      </c>
      <c r="E13563" t="s">
        <v>26188</v>
      </c>
      <c r="F13563" t="s">
        <v>26189</v>
      </c>
      <c r="G13563" t="s">
        <v>14</v>
      </c>
      <c r="H13563">
             </c>
      <c r="I13563" t="s">
        <v>14</v>
      </c>
      <c r="J13563" t="s">
        <v>141</v>
      </c>
      <c r="K13563" t="s">
        <v>14</v>
      </c>
      <c r="L13563" t="s">
        <v>20</v>
      </c>
      <c r="M13563" t="s">
        <v>25941</v>
      </c>
      <c r="N13563" t="s">
        <v>14</v>
      </c>
    </row>
    <row r="13564" x14ac:dyDescent="0.25">
      <c r="A13564" t="n">
        <v>23</v>
      </c>
      <c r="B13564" t="s">
        <v>14</v>
      </c>
      <c r="C13564" t="s">
        <v>22</v>
      </c>
      <c r="D13564" s="2" t="s">
        <f>=HYPERLINK("https://main.knesset.gov.il/APPS/legislation/main/bills/2087070", "הצעת חוק הודעה מוקדמת לפני סגירת עסק באזורים מוכי אבטלה, התש""ף-2020")</f>
        <v>26190</v>
      </c>
      <c r="E13564" t="s">
        <v>26190</v>
      </c>
      <c r="F13564" t="s">
        <v>26191</v>
      </c>
      <c r="G13564" t="s">
        <v>14</v>
      </c>
      <c r="H13564">
             </c>
      <c r="I13564" t="s">
        <v>14</v>
      </c>
      <c r="J13564" t="s">
        <v>141</v>
      </c>
      <c r="K13564" t="s">
        <v>14</v>
      </c>
      <c r="L13564" t="s">
        <v>20</v>
      </c>
      <c r="M13564" t="s">
        <v>25941</v>
      </c>
      <c r="N13564" t="s">
        <v>14</v>
      </c>
    </row>
    <row r="13565" x14ac:dyDescent="0.25">
      <c r="A13565" t="n">
        <v>23</v>
      </c>
      <c r="B13565" t="s">
        <v>14</v>
      </c>
      <c r="C13565" t="s">
        <v>22</v>
      </c>
      <c r="D13565" s="2" t="s">
        <f>=HYPERLINK("https://main.knesset.gov.il/APPS/legislation/main/bills/2088278", "הצעת חוק הביטוח הלאומי (תיקון - הארכת תקופת הזכאות לדמי אבטלה לצעירים), התש""ף-2020")</f>
        <v>26192</v>
      </c>
      <c r="E13565" t="s">
        <v>26192</v>
      </c>
      <c r="F13565" t="s">
        <v>26193</v>
      </c>
      <c r="G13565" t="s">
        <v>14</v>
      </c>
      <c r="H13565">
             </c>
      <c r="I13565" t="s">
        <v>14</v>
      </c>
      <c r="J13565" t="s">
        <v>141</v>
      </c>
      <c r="K13565" t="s">
        <v>14</v>
      </c>
      <c r="L13565" t="s">
        <v>20</v>
      </c>
      <c r="M13565" t="s">
        <v>25941</v>
      </c>
      <c r="N13565" t="s">
        <v>14</v>
      </c>
    </row>
    <row r="13566" x14ac:dyDescent="0.25">
      <c r="A13566" t="n">
        <v>23</v>
      </c>
      <c r="B13566" t="s">
        <v>14</v>
      </c>
      <c r="C13566" t="s">
        <v>22</v>
      </c>
      <c r="D13566" s="2" t="s">
        <f>=HYPERLINK("https://main.knesset.gov.il/APPS/legislation/main/bills/2086698", "הצעת חוק לתיקון פקודת מס הכנסה (משיכה מקרן השתלמות לאחר לידה או אימוץ), התש""ף-2020")</f>
        <v>26194</v>
      </c>
      <c r="E13566" t="s">
        <v>26194</v>
      </c>
      <c r="F13566" t="s">
        <v>26195</v>
      </c>
      <c r="G13566" t="s">
        <v>14</v>
      </c>
      <c r="H13566">
             </c>
      <c r="I13566" t="s">
        <v>14</v>
      </c>
      <c r="J13566" t="s">
        <v>141</v>
      </c>
      <c r="K13566" t="s">
        <v>14</v>
      </c>
      <c r="L13566" t="s">
        <v>20</v>
      </c>
      <c r="M13566" t="s">
        <v>25941</v>
      </c>
      <c r="N13566" t="s">
        <v>14</v>
      </c>
    </row>
    <row r="13567" x14ac:dyDescent="0.25">
      <c r="A13567" t="n">
        <v>23</v>
      </c>
      <c r="B13567" t="s">
        <v>14</v>
      </c>
      <c r="C13567" t="s">
        <v>22</v>
      </c>
      <c r="D13567" s="2" t="s">
        <f>=HYPERLINK("https://main.knesset.gov.il/APPS/legislation/main/bills/2086804", "הצעת חוק להגבלת העברת השליטה בתאגידים מרכזיים לגופים זרים, התש""ף-2020")</f>
        <v>26196</v>
      </c>
      <c r="E13567" t="s">
        <v>26196</v>
      </c>
      <c r="F13567" t="s">
        <v>26197</v>
      </c>
      <c r="G13567" t="s">
        <v>14</v>
      </c>
      <c r="H13567">
             </c>
      <c r="I13567" t="s">
        <v>14</v>
      </c>
      <c r="J13567" t="s">
        <v>141</v>
      </c>
      <c r="K13567" t="s">
        <v>14</v>
      </c>
      <c r="L13567" t="s">
        <v>20</v>
      </c>
      <c r="M13567" t="s">
        <v>25941</v>
      </c>
      <c r="N13567" t="s">
        <v>14</v>
      </c>
    </row>
    <row r="13568" x14ac:dyDescent="0.25">
      <c r="A13568" t="n">
        <v>23</v>
      </c>
      <c r="B13568" t="s">
        <v>14</v>
      </c>
      <c r="C13568" t="s">
        <v>22</v>
      </c>
      <c r="D13568" s="2" t="s">
        <f>=HYPERLINK("https://main.knesset.gov.il/APPS/legislation/main/bills/2086317", "הצעת חוק הבטחת הכנסה (תיקון - זכאות לגמלה למי שמצוי בהכשרה מקצועית), התש""ף-2020")</f>
        <v>26198</v>
      </c>
      <c r="E13568" t="s">
        <v>26198</v>
      </c>
      <c r="F13568" t="s">
        <v>26199</v>
      </c>
      <c r="G13568" t="s">
        <v>14</v>
      </c>
      <c r="H13568">
             </c>
      <c r="I13568" t="s">
        <v>14</v>
      </c>
      <c r="J13568" t="s">
        <v>141</v>
      </c>
      <c r="K13568" t="s">
        <v>14</v>
      </c>
      <c r="L13568" t="s">
        <v>20</v>
      </c>
      <c r="M13568" t="s">
        <v>25941</v>
      </c>
      <c r="N13568" t="s">
        <v>14</v>
      </c>
    </row>
    <row r="13569" x14ac:dyDescent="0.25">
      <c r="A13569" t="n">
        <v>23</v>
      </c>
      <c r="B13569" t="s">
        <v>14</v>
      </c>
      <c r="C13569" t="s">
        <v>22</v>
      </c>
      <c r="D13569" s="2" t="s">
        <f>=HYPERLINK("https://main.knesset.gov.il/APPS/legislation/main/bills/2087403", "הצעת חוק הביטוח הלאומי (תיקון - תשלום דמי אבטלה מהיום הראשון) (הוראת שעה), התש""ף-2020 ")</f>
        <v>26200</v>
      </c>
      <c r="E13569" t="s">
        <v>26200</v>
      </c>
      <c r="F13569" t="s">
        <v>26201</v>
      </c>
      <c r="G13569" t="s">
        <v>14</v>
      </c>
      <c r="H13569">
             </c>
      <c r="I13569" t="s">
        <v>14</v>
      </c>
      <c r="J13569" t="s">
        <v>141</v>
      </c>
      <c r="K13569" t="s">
        <v>14</v>
      </c>
      <c r="L13569" t="s">
        <v>20</v>
      </c>
      <c r="M13569" t="s">
        <v>25941</v>
      </c>
      <c r="N13569" t="s">
        <v>14</v>
      </c>
    </row>
    <row r="13570" x14ac:dyDescent="0.25">
      <c r="A13570" t="n">
        <v>23</v>
      </c>
      <c r="B13570" t="s">
        <v>14</v>
      </c>
      <c r="C13570" t="s">
        <v>22</v>
      </c>
      <c r="D13570" s="2" t="s">
        <f>=HYPERLINK("https://main.knesset.gov.il/APPS/legislation/main/bills/2087339", "הצעת חוק האזרחים הוותיקים (תיקון - הקצאת מקומות חניה במקום ציבורי לאזרח ותיק שגילו עולה על 75), התש""ף-2020")</f>
        <v>26202</v>
      </c>
      <c r="E13570" t="s">
        <v>26202</v>
      </c>
      <c r="F13570" t="s">
        <v>26203</v>
      </c>
      <c r="G13570" t="s">
        <v>14</v>
      </c>
      <c r="H13570">
             </c>
      <c r="I13570" t="s">
        <v>14</v>
      </c>
      <c r="J13570" t="s">
        <v>141</v>
      </c>
      <c r="K13570" t="s">
        <v>14</v>
      </c>
      <c r="L13570" t="s">
        <v>20</v>
      </c>
      <c r="M13570" t="s">
        <v>25941</v>
      </c>
      <c r="N13570" t="s">
        <v>14</v>
      </c>
    </row>
    <row r="13571" x14ac:dyDescent="0.25">
      <c r="A13571" t="n">
        <v>23</v>
      </c>
      <c r="B13571" t="s">
        <v>14</v>
      </c>
      <c r="C13571" t="s">
        <v>22</v>
      </c>
      <c r="D13571" s="2" t="s">
        <f>=HYPERLINK("https://main.knesset.gov.il/APPS/legislation/main/bills/2087402", "הצעת חוק הביטוח הלאומי (תיקון - תוספת דמי אבטלה למי שמתחת לגיל 28 עם ילד אחד לפחות), התש""ף-2020 ")</f>
        <v>26204</v>
      </c>
      <c r="E13571" t="s">
        <v>26204</v>
      </c>
      <c r="F13571" t="s">
        <v>26205</v>
      </c>
      <c r="G13571" t="s">
        <v>14</v>
      </c>
      <c r="H13571">
             </c>
      <c r="I13571" t="s">
        <v>14</v>
      </c>
      <c r="J13571" t="s">
        <v>343</v>
      </c>
      <c r="K13571" t="s">
        <v>14</v>
      </c>
      <c r="L13571" t="s">
        <v>20</v>
      </c>
      <c r="M13571" t="s">
        <v>25941</v>
      </c>
      <c r="N13571" t="s">
        <v>14</v>
      </c>
    </row>
    <row r="13572" x14ac:dyDescent="0.25">
      <c r="A13572" t="n">
        <v>23</v>
      </c>
      <c r="B13572" t="s">
        <v>14</v>
      </c>
      <c r="C13572" t="s">
        <v>22</v>
      </c>
      <c r="D13572" s="2" t="s">
        <f>=HYPERLINK("https://main.knesset.gov.il/APPS/legislation/main/bills/2088068", "הצעת חוק שקיפות הצהרות הון של נבחרי ציבור, התש""ף-2020")</f>
        <v>26206</v>
      </c>
      <c r="E13572" t="s">
        <v>26206</v>
      </c>
      <c r="F13572" t="s">
        <v>26207</v>
      </c>
      <c r="G13572" t="s">
        <v>14</v>
      </c>
      <c r="H13572">
             </c>
      <c r="I13572" t="s">
        <v>14</v>
      </c>
      <c r="J13572" t="s">
        <v>141</v>
      </c>
      <c r="K13572" t="s">
        <v>14</v>
      </c>
      <c r="L13572" t="s">
        <v>20</v>
      </c>
      <c r="M13572" t="s">
        <v>26208</v>
      </c>
      <c r="N13572" t="s">
        <v>14</v>
      </c>
    </row>
    <row r="13573" x14ac:dyDescent="0.25">
      <c r="A13573" t="n">
        <v>23</v>
      </c>
      <c r="B13573" t="s">
        <v>14</v>
      </c>
      <c r="C13573" t="s">
        <v>22</v>
      </c>
      <c r="D13573" s="2" t="s">
        <f>=HYPERLINK("https://main.knesset.gov.il/APPS/legislation/main/bills/2087678", "הצעת חוק רציפות הדיון בהצעות חוק (תיקון - כנסת שלא כוננה בה ממשלה), התש""ף-2020")</f>
        <v>26209</v>
      </c>
      <c r="E13573" t="s">
        <v>26209</v>
      </c>
      <c r="F13573" t="s">
        <v>26210</v>
      </c>
      <c r="G13573" t="s">
        <v>14</v>
      </c>
      <c r="H13573">
             </c>
      <c r="I13573" t="s">
        <v>14</v>
      </c>
      <c r="J13573" t="s">
        <v>141</v>
      </c>
      <c r="K13573" t="s">
        <v>14</v>
      </c>
      <c r="L13573" t="s">
        <v>20</v>
      </c>
      <c r="M13573" t="s">
        <v>26208</v>
      </c>
      <c r="N13573" t="s">
        <v>14</v>
      </c>
    </row>
    <row r="13574" x14ac:dyDescent="0.25">
      <c r="A13574" t="n">
        <v>23</v>
      </c>
      <c r="B13574" t="s">
        <v>14</v>
      </c>
      <c r="C13574" t="s">
        <v>22</v>
      </c>
      <c r="D13574" s="2" t="s">
        <f>=HYPERLINK("https://main.knesset.gov.il/APPS/legislation/main/bills/2087615", "הצעת חוק פנייה לגופים ציבוריים באמצעי קשר דיגיטליים (תיקון - קביעת תור באמצעות האינטרנט), התש""ף-2020")</f>
        <v>26211</v>
      </c>
      <c r="E13574" t="s">
        <v>26211</v>
      </c>
      <c r="F13574" t="s">
        <v>26212</v>
      </c>
      <c r="G13574" t="s">
        <v>14</v>
      </c>
      <c r="H13574">
             </c>
      <c r="I13574" t="s">
        <v>14</v>
      </c>
      <c r="J13574" t="s">
        <v>141</v>
      </c>
      <c r="K13574" t="s">
        <v>14</v>
      </c>
      <c r="L13574" t="s">
        <v>20</v>
      </c>
      <c r="M13574" t="s">
        <v>26208</v>
      </c>
      <c r="N13574" t="s">
        <v>14</v>
      </c>
    </row>
    <row r="13575" x14ac:dyDescent="0.25">
      <c r="A13575" t="n">
        <v>23</v>
      </c>
      <c r="B13575" t="s">
        <v>14</v>
      </c>
      <c r="C13575" t="s">
        <v>22</v>
      </c>
      <c r="D13575" s="2" t="s">
        <f>=HYPERLINK("https://main.knesset.gov.il/APPS/legislation/main/bills/2086752", "הצעת חוק הטבות לניצולי שואה (תיקון - הגדלת מענק שנתי), התש""ף-2020")</f>
        <v>26213</v>
      </c>
      <c r="E13575" t="s">
        <v>26213</v>
      </c>
      <c r="F13575" t="s">
        <v>26214</v>
      </c>
      <c r="G13575" t="s">
        <v>14</v>
      </c>
      <c r="H13575">
             </c>
      <c r="I13575" t="s">
        <v>14</v>
      </c>
      <c r="J13575" t="s">
        <v>141</v>
      </c>
      <c r="K13575" t="s">
        <v>14</v>
      </c>
      <c r="L13575" t="s">
        <v>20</v>
      </c>
      <c r="M13575" t="s">
        <v>26208</v>
      </c>
      <c r="N13575" t="s">
        <v>14</v>
      </c>
    </row>
    <row r="13576" x14ac:dyDescent="0.25">
      <c r="A13576" t="n">
        <v>23</v>
      </c>
      <c r="B13576" t="s">
        <v>14</v>
      </c>
      <c r="C13576" t="s">
        <v>22</v>
      </c>
      <c r="D13576" s="2" t="s">
        <f>=HYPERLINK("https://main.knesset.gov.il/APPS/legislation/main/bills/2086040", "הצעת חוק הטבות לניצולי שואה (תיקון - מענק שנתי למקבלי קצבאות מחוץ לארץ), התש""ף-2020")</f>
        <v>26215</v>
      </c>
      <c r="E13576" t="s">
        <v>26215</v>
      </c>
      <c r="F13576" t="s">
        <v>26216</v>
      </c>
      <c r="G13576" t="s">
        <v>14</v>
      </c>
      <c r="H13576">
             </c>
      <c r="I13576" t="s">
        <v>14</v>
      </c>
      <c r="J13576" t="s">
        <v>141</v>
      </c>
      <c r="K13576" t="s">
        <v>14</v>
      </c>
      <c r="L13576" t="s">
        <v>20</v>
      </c>
      <c r="M13576" t="s">
        <v>26208</v>
      </c>
      <c r="N13576" t="s">
        <v>14</v>
      </c>
    </row>
    <row r="13577" x14ac:dyDescent="0.25">
      <c r="A13577" t="n">
        <v>23</v>
      </c>
      <c r="B13577" t="s">
        <v>14</v>
      </c>
      <c r="C13577" t="s">
        <v>22</v>
      </c>
      <c r="D13577" s="2" t="s">
        <f>=HYPERLINK("https://main.knesset.gov.il/APPS/legislation/main/bills/2087453", "הצעת חוק למניעת הטרדה מינית (תיקון - הרחבת תחולה על עובדים עצמאים ומתנדבים), התש""ף-2020")</f>
        <v>26217</v>
      </c>
      <c r="E13577" t="s">
        <v>26217</v>
      </c>
      <c r="F13577" t="s">
        <v>26218</v>
      </c>
      <c r="G13577" t="s">
        <v>14</v>
      </c>
      <c r="H13577">
             </c>
      <c r="I13577" t="s">
        <v>14</v>
      </c>
      <c r="J13577" t="s">
        <v>141</v>
      </c>
      <c r="K13577" t="s">
        <v>14</v>
      </c>
      <c r="L13577" t="s">
        <v>20</v>
      </c>
      <c r="M13577" t="s">
        <v>26208</v>
      </c>
      <c r="N13577" t="s">
        <v>14</v>
      </c>
    </row>
    <row r="13578" x14ac:dyDescent="0.25">
      <c r="A13578" t="n">
        <v>23</v>
      </c>
      <c r="B13578" t="s">
        <v>14</v>
      </c>
      <c r="C13578" t="s">
        <v>22</v>
      </c>
      <c r="D13578" s="2" t="s">
        <f>=HYPERLINK("https://main.knesset.gov.il/APPS/legislation/main/bills/2087784", "הצעת חוק המסייעים לנטרול תוצאות אסון צ'רנוביל (תיקון - הגדלת מענק שנתי), התש""ף-2020")</f>
        <v>26219</v>
      </c>
      <c r="E13578" t="s">
        <v>26219</v>
      </c>
      <c r="F13578" t="s">
        <v>26220</v>
      </c>
      <c r="G13578" t="s">
        <v>14</v>
      </c>
      <c r="H13578">
             </c>
      <c r="I13578" t="s">
        <v>14</v>
      </c>
      <c r="J13578" t="s">
        <v>141</v>
      </c>
      <c r="K13578" t="s">
        <v>14</v>
      </c>
      <c r="L13578" t="s">
        <v>20</v>
      </c>
      <c r="M13578" t="s">
        <v>26208</v>
      </c>
      <c r="N13578" t="s">
        <v>14</v>
      </c>
    </row>
    <row r="13579" x14ac:dyDescent="0.25">
      <c r="A13579" t="n">
        <v>23</v>
      </c>
      <c r="B13579" t="s">
        <v>14</v>
      </c>
      <c r="C13579" t="s">
        <v>22</v>
      </c>
      <c r="D13579" s="2" t="s">
        <f>=HYPERLINK("https://main.knesset.gov.il/APPS/legislation/main/bills/2087338", "הצעת חוק מעמד ותיקי מלחמת העולם השנייה (תיקון - מענק הטבות לוותיק מלחמה), התש""ף-2020 ")</f>
        <v>26221</v>
      </c>
      <c r="E13579" t="s">
        <v>26221</v>
      </c>
      <c r="F13579" t="s">
        <v>26222</v>
      </c>
      <c r="G13579" t="s">
        <v>14</v>
      </c>
      <c r="H13579">
             </c>
      <c r="I13579" t="s">
        <v>14</v>
      </c>
      <c r="J13579" t="s">
        <v>141</v>
      </c>
      <c r="K13579" t="s">
        <v>14</v>
      </c>
      <c r="L13579" t="s">
        <v>20</v>
      </c>
      <c r="M13579" t="s">
        <v>26208</v>
      </c>
      <c r="N13579" t="s">
        <v>14</v>
      </c>
    </row>
    <row r="13580" x14ac:dyDescent="0.25">
      <c r="A13580" t="n">
        <v>23</v>
      </c>
      <c r="B13580" t="s">
        <v>14</v>
      </c>
      <c r="C13580" t="s">
        <v>22</v>
      </c>
      <c r="D13580" s="2" t="s">
        <f>=HYPERLINK("https://main.knesset.gov.il/APPS/legislation/main/bills/2086612", "הצעת חוק שיווי זכויות האישה (תיקון - ייצוג הולם לנשים בוועדות ציבוריות ברשויות המקומיות), התש""ף-2020")</f>
        <v>24977</v>
      </c>
      <c r="E13580" t="s">
        <v>24977</v>
      </c>
      <c r="F13580" t="s">
        <v>26223</v>
      </c>
      <c r="G13580" t="s">
        <v>14</v>
      </c>
      <c r="H13580">
             </c>
      <c r="I13580" t="s">
        <v>14</v>
      </c>
      <c r="J13580" t="s">
        <v>141</v>
      </c>
      <c r="K13580" t="s">
        <v>14</v>
      </c>
      <c r="L13580" t="s">
        <v>20</v>
      </c>
      <c r="M13580" t="s">
        <v>26208</v>
      </c>
      <c r="N13580" t="s">
        <v>14</v>
      </c>
    </row>
    <row r="13581" x14ac:dyDescent="0.25">
      <c r="A13581" t="n">
        <v>23</v>
      </c>
      <c r="B13581" t="s">
        <v>14</v>
      </c>
      <c r="C13581" t="s">
        <v>22</v>
      </c>
      <c r="D13581" s="2" t="s">
        <f>=HYPERLINK("https://main.knesset.gov.il/APPS/legislation/main/bills/2087177", "הצעת חוק ביטוח בריאות ממלכתי (תיקון - מתן שירותים במרפאה ביישוב קטן לחברי קופה אחרת), התש""ף-2020")</f>
        <v>26224</v>
      </c>
      <c r="E13581" t="s">
        <v>26224</v>
      </c>
      <c r="F13581" t="s">
        <v>26225</v>
      </c>
      <c r="G13581" t="s">
        <v>14</v>
      </c>
      <c r="H13581">
             </c>
      <c r="I13581" t="s">
        <v>14</v>
      </c>
      <c r="J13581" t="s">
        <v>141</v>
      </c>
      <c r="K13581" t="s">
        <v>14</v>
      </c>
      <c r="L13581" t="s">
        <v>20</v>
      </c>
      <c r="M13581" t="s">
        <v>26208</v>
      </c>
      <c r="N13581" t="s">
        <v>14</v>
      </c>
    </row>
    <row r="13582" x14ac:dyDescent="0.25">
      <c r="A13582" t="n">
        <v>23</v>
      </c>
      <c r="B13582" t="s">
        <v>14</v>
      </c>
      <c r="C13582" t="s">
        <v>22</v>
      </c>
      <c r="D13582" s="2" t="s">
        <f>=HYPERLINK("https://main.knesset.gov.il/APPS/legislation/main/bills/2087178", "הצעת חוק שירות לאומי-אזרחי (תיקון - משרת בודד), התש""ף-2020")</f>
        <v>26226</v>
      </c>
      <c r="E13582" t="s">
        <v>26226</v>
      </c>
      <c r="F13582" t="s">
        <v>26227</v>
      </c>
      <c r="G13582" t="s">
        <v>14</v>
      </c>
      <c r="H13582">
             </c>
      <c r="I13582" t="s">
        <v>14</v>
      </c>
      <c r="J13582" t="s">
        <v>141</v>
      </c>
      <c r="K13582" t="s">
        <v>14</v>
      </c>
      <c r="L13582" t="s">
        <v>20</v>
      </c>
      <c r="M13582" t="s">
        <v>26208</v>
      </c>
      <c r="N13582" t="s">
        <v>14</v>
      </c>
    </row>
    <row r="13583" x14ac:dyDescent="0.25">
      <c r="A13583" t="n">
        <v>23</v>
      </c>
      <c r="B13583" t="s">
        <v>14</v>
      </c>
      <c r="C13583" t="s">
        <v>22</v>
      </c>
      <c r="D13583" s="2" t="s">
        <f>=HYPERLINK("https://main.knesset.gov.il/APPS/legislation/main/bills/2086671", "הצעת חוק ההוצאה לפועל (תיקון - ביטול הגבלת רישיון נהיגה), התש""ף-2020")</f>
        <v>23912</v>
      </c>
      <c r="E13583" t="s">
        <v>23912</v>
      </c>
      <c r="F13583" t="s">
        <v>26228</v>
      </c>
      <c r="G13583" t="s">
        <v>14</v>
      </c>
      <c r="H13583">
             </c>
      <c r="I13583" t="s">
        <v>14</v>
      </c>
      <c r="J13583" t="s">
        <v>141</v>
      </c>
      <c r="K13583" t="s">
        <v>14</v>
      </c>
      <c r="L13583" t="s">
        <v>20</v>
      </c>
      <c r="M13583" t="s">
        <v>26208</v>
      </c>
      <c r="N13583" t="s">
        <v>14</v>
      </c>
    </row>
    <row r="13584" x14ac:dyDescent="0.25">
      <c r="A13584" t="n">
        <v>23</v>
      </c>
      <c r="B13584" t="s">
        <v>14</v>
      </c>
      <c r="C13584" t="s">
        <v>22</v>
      </c>
      <c r="D13584" s="2" t="s">
        <f>=HYPERLINK("https://main.knesset.gov.il/APPS/legislation/main/bills/2087047", "הצעת חוק המאבק בטרור (תיקון - החמרת ענישה), התש""ף-2020")</f>
        <v>26229</v>
      </c>
      <c r="E13584" t="s">
        <v>26229</v>
      </c>
      <c r="F13584" t="s">
        <v>26230</v>
      </c>
      <c r="G13584" t="s">
        <v>14</v>
      </c>
      <c r="H13584">
             </c>
      <c r="I13584" t="s">
        <v>14</v>
      </c>
      <c r="J13584" t="s">
        <v>141</v>
      </c>
      <c r="K13584" t="s">
        <v>14</v>
      </c>
      <c r="L13584" t="s">
        <v>20</v>
      </c>
      <c r="M13584" t="s">
        <v>26208</v>
      </c>
      <c r="N13584" t="s">
        <v>14</v>
      </c>
    </row>
    <row r="13585" x14ac:dyDescent="0.25">
      <c r="A13585" t="n">
        <v>23</v>
      </c>
      <c r="B13585" t="s">
        <v>14</v>
      </c>
      <c r="C13585" t="s">
        <v>22</v>
      </c>
      <c r="D13585" s="2" t="s">
        <f>=HYPERLINK("https://main.knesset.gov.il/APPS/legislation/main/bills/2086657", "הצעת חוק למניעת העסקה של עברייני מין במוסדות מסוימים (תיקון - קביעת חובה לחדש את אישור המשטרה), התש""ף-2020")</f>
        <v>26231</v>
      </c>
      <c r="E13585" t="s">
        <v>26231</v>
      </c>
      <c r="F13585" t="s">
        <v>26232</v>
      </c>
      <c r="G13585" t="s">
        <v>14</v>
      </c>
      <c r="H13585">
             </c>
      <c r="I13585" t="s">
        <v>14</v>
      </c>
      <c r="J13585" t="s">
        <v>141</v>
      </c>
      <c r="K13585" t="s">
        <v>14</v>
      </c>
      <c r="L13585" t="s">
        <v>20</v>
      </c>
      <c r="M13585" t="s">
        <v>26208</v>
      </c>
      <c r="N13585" t="s">
        <v>14</v>
      </c>
    </row>
    <row r="13586" x14ac:dyDescent="0.25">
      <c r="A13586" t="n">
        <v>23</v>
      </c>
      <c r="B13586" t="s">
        <v>14</v>
      </c>
      <c r="C13586" t="s">
        <v>22</v>
      </c>
      <c r="D13586" s="2" t="s">
        <f>=HYPERLINK("https://main.knesset.gov.il/APPS/legislation/main/bills/2086282", "הצעת חוק זכויות נפגעי עבירה (תיקון - שמירת דגימה פורנזית של נפגעי עבירת מין לצורך הפקת דנ""א ללא הגבלת זמן), התש""ף-2020")</f>
        <v>26233</v>
      </c>
      <c r="E13586" t="s">
        <v>26233</v>
      </c>
      <c r="F13586" t="s">
        <v>26234</v>
      </c>
      <c r="G13586" t="s">
        <v>14</v>
      </c>
      <c r="H13586">
             </c>
      <c r="I13586" t="s">
        <v>14</v>
      </c>
      <c r="J13586" t="s">
        <v>141</v>
      </c>
      <c r="K13586" t="s">
        <v>14</v>
      </c>
      <c r="L13586" t="s">
        <v>20</v>
      </c>
      <c r="M13586" t="s">
        <v>26208</v>
      </c>
      <c r="N13586" t="s">
        <v>14</v>
      </c>
    </row>
    <row r="13587" x14ac:dyDescent="0.25">
      <c r="A13587" t="n">
        <v>23</v>
      </c>
      <c r="B13587" t="s">
        <v>14</v>
      </c>
      <c r="C13587" t="s">
        <v>22</v>
      </c>
      <c r="D13587" s="2" t="s">
        <f>=HYPERLINK("https://main.knesset.gov.il/APPS/legislation/main/bills/2086048", "הצעת חוק הבחירות לכנסת (תיקון - זכות לשכר ביום הבחירות), התש""ף-2020")</f>
        <v>26235</v>
      </c>
      <c r="E13587" t="s">
        <v>26235</v>
      </c>
      <c r="F13587" t="s">
        <v>26236</v>
      </c>
      <c r="G13587" t="s">
        <v>14</v>
      </c>
      <c r="H13587">
             </c>
      <c r="I13587" t="s">
        <v>14</v>
      </c>
      <c r="J13587" t="s">
        <v>141</v>
      </c>
      <c r="K13587" t="s">
        <v>14</v>
      </c>
      <c r="L13587" t="s">
        <v>20</v>
      </c>
      <c r="M13587" t="s">
        <v>26208</v>
      </c>
      <c r="N13587" t="s">
        <v>14</v>
      </c>
    </row>
    <row r="13588" x14ac:dyDescent="0.25">
      <c r="A13588" t="n">
        <v>23</v>
      </c>
      <c r="B13588" t="s">
        <v>14</v>
      </c>
      <c r="C13588" t="s">
        <v>22</v>
      </c>
      <c r="D13588" s="2" t="s">
        <f>=HYPERLINK("https://main.knesset.gov.il/APPS/legislation/main/bills/2087194", "הצעת חוק הביטוח הלאומי (תיקון - תוספת דחיית קצבה), התש""ף-2020")</f>
        <v>26237</v>
      </c>
      <c r="E13588" t="s">
        <v>26237</v>
      </c>
      <c r="F13588" t="s">
        <v>26238</v>
      </c>
      <c r="G13588" t="s">
        <v>14</v>
      </c>
      <c r="H13588">
             </c>
      <c r="I13588" t="s">
        <v>14</v>
      </c>
      <c r="J13588" t="s">
        <v>141</v>
      </c>
      <c r="K13588" t="s">
        <v>14</v>
      </c>
      <c r="L13588" t="s">
        <v>20</v>
      </c>
      <c r="M13588" t="s">
        <v>26208</v>
      </c>
      <c r="N13588" t="s">
        <v>14</v>
      </c>
    </row>
    <row r="13589" x14ac:dyDescent="0.25">
      <c r="A13589" t="n">
        <v>23</v>
      </c>
      <c r="B13589" t="s">
        <v>14</v>
      </c>
      <c r="C13589" t="s">
        <v>22</v>
      </c>
      <c r="D13589" s="2" t="s">
        <f>=HYPERLINK("https://main.knesset.gov.il/APPS/legislation/main/bills/2088238", "הצעת חוק להנצחת זכרו של הרב עובדיה יוסף, התש""ף-2020")</f>
        <v>26239</v>
      </c>
      <c r="E13589" t="s">
        <v>26239</v>
      </c>
      <c r="F13589" t="s">
        <v>26240</v>
      </c>
      <c r="G13589" t="s">
        <v>14</v>
      </c>
      <c r="H13589">
             </c>
      <c r="I13589" t="s">
        <v>14</v>
      </c>
      <c r="J13589" t="s">
        <v>141</v>
      </c>
      <c r="K13589" t="s">
        <v>14</v>
      </c>
      <c r="L13589" t="s">
        <v>20</v>
      </c>
      <c r="M13589" t="s">
        <v>26208</v>
      </c>
      <c r="N13589" t="s">
        <v>14</v>
      </c>
    </row>
    <row r="13590" x14ac:dyDescent="0.25">
      <c r="A13590" t="n">
        <v>23</v>
      </c>
      <c r="B13590" t="s">
        <v>14</v>
      </c>
      <c r="C13590" t="s">
        <v>22</v>
      </c>
      <c r="D13590" s="2" t="s">
        <f>=HYPERLINK("https://main.knesset.gov.il/APPS/legislation/main/bills/2087134", "הצעת חוק זכויות התלמיד (תיקון - איסור התניית זכות הלימוד בתשלום), התש""ף-2020")</f>
        <v>26241</v>
      </c>
      <c r="E13590" t="s">
        <v>26241</v>
      </c>
      <c r="F13590" t="s">
        <v>26242</v>
      </c>
      <c r="G13590" t="s">
        <v>14</v>
      </c>
      <c r="H13590">
             </c>
      <c r="I13590" t="s">
        <v>14</v>
      </c>
      <c r="J13590" t="s">
        <v>141</v>
      </c>
      <c r="K13590" t="s">
        <v>14</v>
      </c>
      <c r="L13590" t="s">
        <v>20</v>
      </c>
      <c r="M13590" t="s">
        <v>26208</v>
      </c>
      <c r="N13590" t="s">
        <v>14</v>
      </c>
    </row>
    <row r="13591" x14ac:dyDescent="0.25">
      <c r="A13591" t="n">
        <v>23</v>
      </c>
      <c r="B13591" t="s">
        <v>14</v>
      </c>
      <c r="C13591" t="s">
        <v>22</v>
      </c>
      <c r="D13591" s="2" t="s">
        <f>=HYPERLINK("https://main.knesset.gov.il/APPS/legislation/main/bills/2087594", "הצעת חוק המרכז למורשת הערבית, התש""ף-2020")</f>
        <v>26243</v>
      </c>
      <c r="E13591" t="s">
        <v>26243</v>
      </c>
      <c r="F13591" t="s">
        <v>26244</v>
      </c>
      <c r="G13591" t="s">
        <v>14</v>
      </c>
      <c r="H13591">
             </c>
      <c r="I13591" t="s">
        <v>14</v>
      </c>
      <c r="J13591" t="s">
        <v>141</v>
      </c>
      <c r="K13591" t="s">
        <v>14</v>
      </c>
      <c r="L13591" t="s">
        <v>20</v>
      </c>
      <c r="M13591" t="s">
        <v>26208</v>
      </c>
      <c r="N13591" t="s">
        <v>14</v>
      </c>
    </row>
    <row r="13592" x14ac:dyDescent="0.25">
      <c r="A13592" t="n">
        <v>23</v>
      </c>
      <c r="B13592" t="s">
        <v>14</v>
      </c>
      <c r="C13592" t="s">
        <v>22</v>
      </c>
      <c r="D13592" s="2" t="s">
        <f>=HYPERLINK("https://main.knesset.gov.il/APPS/legislation/main/bills/2087768", "הצעת חוק חינוך ממלכתי (תיקון - מטרות החינוך הערבי), התש""ף-2020")</f>
        <v>26245</v>
      </c>
      <c r="E13592" t="s">
        <v>26245</v>
      </c>
      <c r="F13592" t="s">
        <v>26246</v>
      </c>
      <c r="G13592" t="s">
        <v>14</v>
      </c>
      <c r="H13592">
             </c>
      <c r="I13592" t="s">
        <v>14</v>
      </c>
      <c r="J13592" t="s">
        <v>141</v>
      </c>
      <c r="K13592" t="s">
        <v>14</v>
      </c>
      <c r="L13592" t="s">
        <v>20</v>
      </c>
      <c r="M13592" t="s">
        <v>26208</v>
      </c>
      <c r="N13592" t="s">
        <v>14</v>
      </c>
    </row>
    <row r="13593" x14ac:dyDescent="0.25">
      <c r="A13593" t="n">
        <v>23</v>
      </c>
      <c r="B13593" t="s">
        <v>14</v>
      </c>
      <c r="C13593" t="s">
        <v>22</v>
      </c>
      <c r="D13593" s="2" t="s">
        <f>=HYPERLINK("https://main.knesset.gov.il/APPS/legislation/main/bills/2086603", "הצעת חוק שירותי הדת היהודיים (מועצות דתיות - בחירות), התש""ף-2020")</f>
        <v>26247</v>
      </c>
      <c r="E13593" t="s">
        <v>26247</v>
      </c>
      <c r="F13593" t="s">
        <v>26248</v>
      </c>
      <c r="G13593" t="s">
        <v>14</v>
      </c>
      <c r="H13593">
             </c>
      <c r="I13593" t="s">
        <v>14</v>
      </c>
      <c r="J13593" t="s">
        <v>141</v>
      </c>
      <c r="K13593" t="s">
        <v>14</v>
      </c>
      <c r="L13593" t="s">
        <v>20</v>
      </c>
      <c r="M13593" t="s">
        <v>26208</v>
      </c>
      <c r="N13593" t="s">
        <v>14</v>
      </c>
    </row>
    <row r="13594" x14ac:dyDescent="0.25">
      <c r="A13594" t="n">
        <v>23</v>
      </c>
      <c r="B13594" t="s">
        <v>14</v>
      </c>
      <c r="C13594" t="s">
        <v>22</v>
      </c>
      <c r="D13594" s="2" t="s">
        <f>=HYPERLINK("https://main.knesset.gov.il/APPS/legislation/main/bills/2087072", "הצעת חוק צער בעלי חיים (הגנה על בעלי חיים) (תיקון - איסור ניצול בעלי חיים למטרות הימורים), התש""ף-2020")</f>
        <v>26249</v>
      </c>
      <c r="E13594" t="s">
        <v>26249</v>
      </c>
      <c r="F13594" t="s">
        <v>26250</v>
      </c>
      <c r="G13594" t="s">
        <v>14</v>
      </c>
      <c r="H13594">
             </c>
      <c r="I13594" t="s">
        <v>14</v>
      </c>
      <c r="J13594" t="s">
        <v>141</v>
      </c>
      <c r="K13594" t="s">
        <v>14</v>
      </c>
      <c r="L13594" t="s">
        <v>20</v>
      </c>
      <c r="M13594" t="s">
        <v>26208</v>
      </c>
      <c r="N13594" t="s">
        <v>14</v>
      </c>
    </row>
    <row r="13595" x14ac:dyDescent="0.25">
      <c r="A13595" t="n">
        <v>23</v>
      </c>
      <c r="B13595" t="s">
        <v>14</v>
      </c>
      <c r="C13595" t="s">
        <v>22</v>
      </c>
      <c r="D13595" s="2" t="s">
        <f>=HYPERLINK("https://main.knesset.gov.il/APPS/legislation/main/bills/2087587", "הצעת חוק שוויון זכויות לאנשים עם מוגבלות (תיקון - בירור תלונות ופיקוח על שמירת זכויות של אנשים עם מוגבלות במסגרות מגורים), התש""ף-2020")</f>
        <v>26251</v>
      </c>
      <c r="E13595" t="s">
        <v>26251</v>
      </c>
      <c r="F13595" t="s">
        <v>26252</v>
      </c>
      <c r="G13595" t="s">
        <v>14</v>
      </c>
      <c r="H13595">
             </c>
      <c r="I13595" t="s">
        <v>14</v>
      </c>
      <c r="J13595" t="s">
        <v>141</v>
      </c>
      <c r="K13595" t="s">
        <v>14</v>
      </c>
      <c r="L13595" t="s">
        <v>20</v>
      </c>
      <c r="M13595" t="s">
        <v>26208</v>
      </c>
      <c r="N13595" t="s">
        <v>14</v>
      </c>
    </row>
    <row r="13596" x14ac:dyDescent="0.25">
      <c r="A13596" t="n">
        <v>23</v>
      </c>
      <c r="B13596" t="s">
        <v>14</v>
      </c>
      <c r="C13596" t="s">
        <v>22</v>
      </c>
      <c r="D13596" s="2" t="s">
        <f>=HYPERLINK("https://main.knesset.gov.il/APPS/legislation/main/bills/2086558", "הצעת חוק הגישור, התש""ף-2020")</f>
        <v>26253</v>
      </c>
      <c r="E13596" t="s">
        <v>26253</v>
      </c>
      <c r="F13596" t="s">
        <v>26254</v>
      </c>
      <c r="G13596" t="s">
        <v>14</v>
      </c>
      <c r="H13596">
             </c>
      <c r="I13596" t="s">
        <v>14</v>
      </c>
      <c r="J13596" t="s">
        <v>141</v>
      </c>
      <c r="K13596" t="s">
        <v>14</v>
      </c>
      <c r="L13596" t="s">
        <v>20</v>
      </c>
      <c r="M13596" t="s">
        <v>26208</v>
      </c>
      <c r="N13596" t="s">
        <v>14</v>
      </c>
    </row>
    <row r="13597" x14ac:dyDescent="0.25">
      <c r="A13597" t="n">
        <v>23</v>
      </c>
      <c r="B13597" t="s">
        <v>14</v>
      </c>
      <c r="C13597" t="s">
        <v>22</v>
      </c>
      <c r="D13597" s="2" t="s">
        <f>=HYPERLINK("https://main.knesset.gov.il/APPS/legislation/main/bills/2087120", "הצעת חוק שירותי בריאות נפש ממלכתיים, התש""ף-2020")</f>
        <v>26255</v>
      </c>
      <c r="E13597" t="s">
        <v>26255</v>
      </c>
      <c r="F13597" t="s">
        <v>26256</v>
      </c>
      <c r="G13597" t="s">
        <v>14</v>
      </c>
      <c r="H13597">
             </c>
      <c r="I13597" t="s">
        <v>14</v>
      </c>
      <c r="J13597" t="s">
        <v>1123</v>
      </c>
      <c r="K13597" t="s">
        <v>14</v>
      </c>
      <c r="L13597" t="s">
        <v>20</v>
      </c>
      <c r="M13597" t="s">
        <v>26208</v>
      </c>
      <c r="N13597" t="s">
        <v>14</v>
      </c>
    </row>
    <row r="13598" x14ac:dyDescent="0.25">
      <c r="A13598" t="n">
        <v>23</v>
      </c>
      <c r="B13598" t="s">
        <v>14</v>
      </c>
      <c r="C13598" t="s">
        <v>22</v>
      </c>
      <c r="D13598" s="2" t="s">
        <f>=HYPERLINK("https://main.knesset.gov.il/APPS/legislation/main/bills/2087588", "הצעת חוק שוויון זכויות לאנשים עם מוגבלות (תיקון - דיור בקהילה וסיוע אישי), התש""ף-2020")</f>
        <v>26257</v>
      </c>
      <c r="E13598" t="s">
        <v>26257</v>
      </c>
      <c r="F13598" t="s">
        <v>26258</v>
      </c>
      <c r="G13598" t="s">
        <v>14</v>
      </c>
      <c r="H13598">
             </c>
      <c r="I13598" t="s">
        <v>14</v>
      </c>
      <c r="J13598" t="s">
        <v>141</v>
      </c>
      <c r="K13598" t="s">
        <v>14</v>
      </c>
      <c r="L13598" t="s">
        <v>20</v>
      </c>
      <c r="M13598" t="s">
        <v>26208</v>
      </c>
      <c r="N13598" t="s">
        <v>14</v>
      </c>
    </row>
    <row r="13599" x14ac:dyDescent="0.25">
      <c r="A13599" t="n">
        <v>23</v>
      </c>
      <c r="B13599" t="s">
        <v>14</v>
      </c>
      <c r="C13599" t="s">
        <v>22</v>
      </c>
      <c r="D13599" s="2" t="s">
        <f>=HYPERLINK("https://main.knesset.gov.il/APPS/legislation/main/bills/2087139", "הצעת חוק מדד לזכות לקיום אנושי בכבוד, התש""ף-2020")</f>
        <v>26259</v>
      </c>
      <c r="E13599" t="s">
        <v>26259</v>
      </c>
      <c r="F13599" t="s">
        <v>26260</v>
      </c>
      <c r="G13599" t="s">
        <v>14</v>
      </c>
      <c r="H13599">
             </c>
      <c r="I13599" t="s">
        <v>14</v>
      </c>
      <c r="J13599" t="s">
        <v>141</v>
      </c>
      <c r="K13599" t="s">
        <v>14</v>
      </c>
      <c r="L13599" t="s">
        <v>20</v>
      </c>
      <c r="M13599" t="s">
        <v>26208</v>
      </c>
      <c r="N13599" t="s">
        <v>14</v>
      </c>
    </row>
    <row r="13600" x14ac:dyDescent="0.25">
      <c r="A13600" t="n">
        <v>23</v>
      </c>
      <c r="B13600" t="s">
        <v>14</v>
      </c>
      <c r="C13600" t="s">
        <v>22</v>
      </c>
      <c r="D13600" s="2" t="s">
        <f>=HYPERLINK("https://main.knesset.gov.il/APPS/legislation/main/bills/2087114", "הצעת חוק הביטוח הלאומי (תיקון - גמלה בשל דיכאון לאחר לידה), התש""ף-2020")</f>
        <v>26261</v>
      </c>
      <c r="E13600" t="s">
        <v>26261</v>
      </c>
      <c r="F13600" t="s">
        <v>26262</v>
      </c>
      <c r="G13600" t="s">
        <v>14</v>
      </c>
      <c r="H13600">
             </c>
      <c r="I13600" t="s">
        <v>14</v>
      </c>
      <c r="J13600" t="s">
        <v>141</v>
      </c>
      <c r="K13600" t="s">
        <v>14</v>
      </c>
      <c r="L13600" t="s">
        <v>20</v>
      </c>
      <c r="M13600" t="s">
        <v>26208</v>
      </c>
      <c r="N13600" t="s">
        <v>14</v>
      </c>
    </row>
    <row r="13601" x14ac:dyDescent="0.25">
      <c r="A13601" t="n">
        <v>23</v>
      </c>
      <c r="B13601" t="s">
        <v>14</v>
      </c>
      <c r="C13601" t="s">
        <v>22</v>
      </c>
      <c r="D13601" s="2" t="s">
        <f>=HYPERLINK("https://main.knesset.gov.il/APPS/legislation/main/bills/2086608", "הצעת חוק הבחירות לכנסת (תיקון - עדכון כתובת לצורכי בחירות), התש""ף-2020")</f>
        <v>26263</v>
      </c>
      <c r="E13601" t="s">
        <v>26263</v>
      </c>
      <c r="F13601" t="s">
        <v>26264</v>
      </c>
      <c r="G13601" t="s">
        <v>14</v>
      </c>
      <c r="H13601">
             </c>
      <c r="I13601" t="s">
        <v>14</v>
      </c>
      <c r="J13601" t="s">
        <v>141</v>
      </c>
      <c r="K13601" t="s">
        <v>14</v>
      </c>
      <c r="L13601" t="s">
        <v>20</v>
      </c>
      <c r="M13601" t="s">
        <v>26208</v>
      </c>
      <c r="N13601" t="s">
        <v>14</v>
      </c>
    </row>
    <row r="13602" x14ac:dyDescent="0.25">
      <c r="A13602" t="n">
        <v>23</v>
      </c>
      <c r="B13602" t="s">
        <v>14</v>
      </c>
      <c r="C13602" t="s">
        <v>22</v>
      </c>
      <c r="D13602" s="2" t="s">
        <f>=HYPERLINK("https://main.knesset.gov.il/APPS/legislation/main/bills/2087092", "הצעת חוק הבטחת הכנסה (תיקון - גמלאות להורה עצמאי), התש""ף-2020")</f>
        <v>26265</v>
      </c>
      <c r="E13602" t="s">
        <v>26265</v>
      </c>
      <c r="F13602" t="s">
        <v>26266</v>
      </c>
      <c r="G13602" t="s">
        <v>14</v>
      </c>
      <c r="H13602">
             </c>
      <c r="I13602" t="s">
        <v>14</v>
      </c>
      <c r="J13602" t="s">
        <v>141</v>
      </c>
      <c r="K13602" t="s">
        <v>14</v>
      </c>
      <c r="L13602" t="s">
        <v>20</v>
      </c>
      <c r="M13602" t="s">
        <v>26208</v>
      </c>
      <c r="N13602" t="s">
        <v>14</v>
      </c>
    </row>
    <row r="13603" x14ac:dyDescent="0.25">
      <c r="A13603" t="n">
        <v>23</v>
      </c>
      <c r="B13603" t="s">
        <v>14</v>
      </c>
      <c r="C13603" t="s">
        <v>22</v>
      </c>
      <c r="D13603" s="2" t="s">
        <f>=HYPERLINK("https://main.knesset.gov.il/APPS/legislation/main/bills/2086615", "הצעת חוק שיפוט בתי דין רבניים (נישואין וגירושין) (תיקון - איסור ביטול גיור), התש""ף-2020")</f>
        <v>26267</v>
      </c>
      <c r="E13603" t="s">
        <v>26267</v>
      </c>
      <c r="F13603" t="s">
        <v>26268</v>
      </c>
      <c r="G13603" t="s">
        <v>14</v>
      </c>
      <c r="H13603">
             </c>
      <c r="I13603" t="s">
        <v>14</v>
      </c>
      <c r="J13603" t="s">
        <v>141</v>
      </c>
      <c r="K13603" t="s">
        <v>14</v>
      </c>
      <c r="L13603" t="s">
        <v>20</v>
      </c>
      <c r="M13603" t="s">
        <v>26208</v>
      </c>
      <c r="N13603" t="s">
        <v>14</v>
      </c>
    </row>
    <row r="13604" x14ac:dyDescent="0.25">
      <c r="A13604" t="n">
        <v>23</v>
      </c>
      <c r="B13604" t="s">
        <v>14</v>
      </c>
      <c r="C13604" t="s">
        <v>22</v>
      </c>
      <c r="D13604" s="2" t="s">
        <f>=HYPERLINK("https://main.knesset.gov.il/APPS/legislation/main/bills/2086505", "הצעת חוק החברות (תיקון - איסור חברות בדירקטוריון של בנק ושל חברה ציבורית נוספת), התש""ף-2020")</f>
        <v>26269</v>
      </c>
      <c r="E13604" t="s">
        <v>26269</v>
      </c>
      <c r="F13604" t="s">
        <v>26270</v>
      </c>
      <c r="G13604" t="s">
        <v>14</v>
      </c>
      <c r="H13604">
             </c>
      <c r="I13604" t="s">
        <v>14</v>
      </c>
      <c r="J13604" t="s">
        <v>141</v>
      </c>
      <c r="K13604" t="s">
        <v>14</v>
      </c>
      <c r="L13604" t="s">
        <v>20</v>
      </c>
      <c r="M13604" t="s">
        <v>26208</v>
      </c>
      <c r="N13604" t="s">
        <v>14</v>
      </c>
    </row>
    <row r="13605" x14ac:dyDescent="0.25">
      <c r="A13605" t="n">
        <v>23</v>
      </c>
      <c r="B13605" t="s">
        <v>14</v>
      </c>
      <c r="C13605" t="s">
        <v>22</v>
      </c>
      <c r="D13605" s="2" t="s">
        <f>=HYPERLINK("https://main.knesset.gov.il/APPS/legislation/main/bills/2087130", "הצעת חוק קביעת אופן ההעסקה של מטפלות במשפחתונים המפוקחים על ידי משרד העבודה, הרווחה והשירותים החברתיים, התש""ף-2020")</f>
        <v>26271</v>
      </c>
      <c r="E13605" t="s">
        <v>26271</v>
      </c>
      <c r="F13605" t="s">
        <v>26272</v>
      </c>
      <c r="G13605" t="s">
        <v>14</v>
      </c>
      <c r="H13605">
             </c>
      <c r="I13605" t="s">
        <v>14</v>
      </c>
      <c r="J13605" t="s">
        <v>141</v>
      </c>
      <c r="K13605" t="s">
        <v>14</v>
      </c>
      <c r="L13605" t="s">
        <v>20</v>
      </c>
      <c r="M13605" t="s">
        <v>26208</v>
      </c>
      <c r="N13605" t="s">
        <v>14</v>
      </c>
    </row>
    <row r="13606" x14ac:dyDescent="0.25">
      <c r="A13606" t="n">
        <v>23</v>
      </c>
      <c r="B13606" t="s">
        <v>14</v>
      </c>
      <c r="C13606" t="s">
        <v>22</v>
      </c>
      <c r="D13606" s="2" t="s">
        <f>=HYPERLINK("https://main.knesset.gov.il/APPS/legislation/main/bills/2087620", "הצעת חוק הביטוח הלאומי (תיקון - הארכת תקופת הזכאות לדמי אבטלה למובטל שגם בן זוגו מובטל או שהוא הורה עצמאי), התש""ף-2020")</f>
        <v>26273</v>
      </c>
      <c r="E13606" t="s">
        <v>26273</v>
      </c>
      <c r="F13606" t="s">
        <v>26274</v>
      </c>
      <c r="G13606" t="s">
        <v>14</v>
      </c>
      <c r="H13606">
             </c>
      <c r="I13606" t="s">
        <v>14</v>
      </c>
      <c r="J13606" t="s">
        <v>141</v>
      </c>
      <c r="K13606" t="s">
        <v>14</v>
      </c>
      <c r="L13606" t="s">
        <v>20</v>
      </c>
      <c r="M13606" t="s">
        <v>26208</v>
      </c>
      <c r="N13606" t="s">
        <v>14</v>
      </c>
    </row>
    <row r="13607" x14ac:dyDescent="0.25">
      <c r="A13607" t="n">
        <v>23</v>
      </c>
      <c r="B13607" t="s">
        <v>14</v>
      </c>
      <c r="C13607" t="s">
        <v>22</v>
      </c>
      <c r="D13607" s="2" t="s">
        <f>=HYPERLINK("https://main.knesset.gov.il/APPS/legislation/main/bills/2086981", "הצעת חוק האזרחים הוותיקים (תיקון - התקנת לחצן מצוקה לקשיש ואיחוד מוקדי חירום), התש""ף-2020")</f>
        <v>26275</v>
      </c>
      <c r="E13607" t="s">
        <v>26275</v>
      </c>
      <c r="F13607" t="s">
        <v>26276</v>
      </c>
      <c r="G13607" t="s">
        <v>14</v>
      </c>
      <c r="H13607">
             </c>
      <c r="I13607" t="s">
        <v>14</v>
      </c>
      <c r="J13607" t="s">
        <v>141</v>
      </c>
      <c r="K13607" t="s">
        <v>14</v>
      </c>
      <c r="L13607" t="s">
        <v>20</v>
      </c>
      <c r="M13607" t="s">
        <v>26208</v>
      </c>
      <c r="N13607" t="s">
        <v>14</v>
      </c>
    </row>
    <row r="13608" x14ac:dyDescent="0.25">
      <c r="A13608" t="n">
        <v>23</v>
      </c>
      <c r="B13608" t="s">
        <v>14</v>
      </c>
      <c r="C13608" t="s">
        <v>22</v>
      </c>
      <c r="D13608" s="2" t="s">
        <f>=HYPERLINK("https://main.knesset.gov.il/APPS/legislation/main/bills/2086352", "הצעת חוק תאגידי מים וביוב (תיקון - החרגת הפרשי גובה וצפיפות הבנייה בחישוב דמי הקמה של מערכות מים וביוב), התש""ף-2020")</f>
        <v>24759</v>
      </c>
      <c r="E13608" t="s">
        <v>24759</v>
      </c>
      <c r="F13608" t="s">
        <v>26277</v>
      </c>
      <c r="G13608" t="s">
        <v>14</v>
      </c>
      <c r="H13608">
             </c>
      <c r="I13608" t="s">
        <v>14</v>
      </c>
      <c r="J13608" t="s">
        <v>141</v>
      </c>
      <c r="K13608" t="s">
        <v>14</v>
      </c>
      <c r="L13608" t="s">
        <v>20</v>
      </c>
      <c r="M13608" t="s">
        <v>26208</v>
      </c>
      <c r="N13608" t="s">
        <v>14</v>
      </c>
    </row>
    <row r="13609" x14ac:dyDescent="0.25">
      <c r="A13609" t="n">
        <v>23</v>
      </c>
      <c r="B13609" t="s">
        <v>14</v>
      </c>
      <c r="C13609" t="s">
        <v>22</v>
      </c>
      <c r="D13609" s="2" t="s">
        <f>=HYPERLINK("https://main.knesset.gov.il/APPS/legislation/main/bills/2086566", "הצעת חוק הכשרות המשפטית והאפוטרופסות (תיקון - תשלום שכר והוצאות של אפוטרופוס מאוצר המדינה), התש""ף-2020")</f>
        <v>26105</v>
      </c>
      <c r="E13609" t="s">
        <v>26105</v>
      </c>
      <c r="F13609" t="s">
        <v>26278</v>
      </c>
      <c r="G13609" t="s">
        <v>14</v>
      </c>
      <c r="H13609">
             </c>
      <c r="I13609" t="s">
        <v>14</v>
      </c>
      <c r="J13609" t="s">
        <v>141</v>
      </c>
      <c r="K13609" t="s">
        <v>14</v>
      </c>
      <c r="L13609" t="s">
        <v>20</v>
      </c>
      <c r="M13609" t="s">
        <v>26208</v>
      </c>
      <c r="N13609" t="s">
        <v>14</v>
      </c>
    </row>
    <row r="13610" x14ac:dyDescent="0.25">
      <c r="A13610" t="n">
        <v>23</v>
      </c>
      <c r="B13610" t="s">
        <v>14</v>
      </c>
      <c r="C13610" t="s">
        <v>22</v>
      </c>
      <c r="D13610" s="2" t="s">
        <f>=HYPERLINK("https://main.knesset.gov.il/APPS/legislation/main/bills/2087334", "הצעת חוק הנחה לנכים בתחבורה ציבורית, התש""ף-2020")</f>
        <v>26279</v>
      </c>
      <c r="E13610" t="s">
        <v>26279</v>
      </c>
      <c r="F13610" t="s">
        <v>26280</v>
      </c>
      <c r="G13610" t="s">
        <v>14</v>
      </c>
      <c r="H13610">
             </c>
      <c r="I13610" t="s">
        <v>14</v>
      </c>
      <c r="J13610" t="s">
        <v>141</v>
      </c>
      <c r="K13610" t="s">
        <v>14</v>
      </c>
      <c r="L13610" t="s">
        <v>20</v>
      </c>
      <c r="M13610" t="s">
        <v>26208</v>
      </c>
      <c r="N13610" t="s">
        <v>14</v>
      </c>
    </row>
    <row r="13611" x14ac:dyDescent="0.25">
      <c r="A13611" t="n">
        <v>23</v>
      </c>
      <c r="B13611" t="s">
        <v>14</v>
      </c>
      <c r="C13611" t="s">
        <v>22</v>
      </c>
      <c r="D13611" s="2" t="s">
        <f>=HYPERLINK("https://main.knesset.gov.il/APPS/legislation/main/bills/2087493", "הצעת חוק הגנת הצרכן (תיקון - אישור להמשך מתן שירות בעסקה מתמשכת), התש""ף-2020")</f>
        <v>26281</v>
      </c>
      <c r="E13611" t="s">
        <v>26281</v>
      </c>
      <c r="F13611" t="s">
        <v>26282</v>
      </c>
      <c r="G13611" t="s">
        <v>14</v>
      </c>
      <c r="H13611">
             </c>
      <c r="I13611" t="s">
        <v>14</v>
      </c>
      <c r="J13611" t="s">
        <v>141</v>
      </c>
      <c r="K13611" t="s">
        <v>14</v>
      </c>
      <c r="L13611" t="s">
        <v>20</v>
      </c>
      <c r="M13611" t="s">
        <v>26208</v>
      </c>
      <c r="N13611" t="s">
        <v>14</v>
      </c>
    </row>
    <row r="13612" x14ac:dyDescent="0.25">
      <c r="A13612" t="n">
        <v>23</v>
      </c>
      <c r="B13612" t="s">
        <v>14</v>
      </c>
      <c r="C13612" t="s">
        <v>22</v>
      </c>
      <c r="D13612" s="2" t="s">
        <f>=HYPERLINK("https://main.knesset.gov.il/APPS/legislation/main/bills/2086545", "הצעת חוק-יסוד: אוצרות הטבע ומשאבי הסביבה")</f>
        <v>26283</v>
      </c>
      <c r="E13612" t="s">
        <v>26283</v>
      </c>
      <c r="F13612" t="s">
        <v>26284</v>
      </c>
      <c r="G13612" t="s">
        <v>14</v>
      </c>
      <c r="H13612">
             </c>
      <c r="I13612" t="s">
        <v>14</v>
      </c>
      <c r="J13612" t="s">
        <v>141</v>
      </c>
      <c r="K13612" t="s">
        <v>14</v>
      </c>
      <c r="L13612" t="s">
        <v>20</v>
      </c>
      <c r="M13612" t="s">
        <v>26208</v>
      </c>
      <c r="N13612" t="s">
        <v>14</v>
      </c>
    </row>
    <row r="13613" x14ac:dyDescent="0.25">
      <c r="A13613" t="n">
        <v>23</v>
      </c>
      <c r="B13613" t="s">
        <v>14</v>
      </c>
      <c r="C13613" t="s">
        <v>22</v>
      </c>
      <c r="D13613" s="2" t="s">
        <f>=HYPERLINK("https://main.knesset.gov.il/APPS/legislation/main/bills/2086571", "הצעת חוק הבחירות לכנסת (תיקון - הצבעה בקלפיות של בעלי מוגבלויות), התש""ף-2020")</f>
        <v>26285</v>
      </c>
      <c r="E13613" t="s">
        <v>26285</v>
      </c>
      <c r="F13613" t="s">
        <v>26286</v>
      </c>
      <c r="G13613" t="s">
        <v>14</v>
      </c>
      <c r="H13613">
             </c>
      <c r="I13613" t="s">
        <v>14</v>
      </c>
      <c r="J13613" t="s">
        <v>141</v>
      </c>
      <c r="K13613" t="s">
        <v>14</v>
      </c>
      <c r="L13613" t="s">
        <v>20</v>
      </c>
      <c r="M13613" t="s">
        <v>26208</v>
      </c>
      <c r="N13613" t="s">
        <v>14</v>
      </c>
    </row>
    <row r="13614" x14ac:dyDescent="0.25">
      <c r="A13614" t="n">
        <v>23</v>
      </c>
      <c r="B13614" t="s">
        <v>14</v>
      </c>
      <c r="C13614" t="s">
        <v>22</v>
      </c>
      <c r="D13614" s="2" t="s">
        <f>=HYPERLINK("https://main.knesset.gov.il/APPS/legislation/main/bills/2086349", "הצעת חוק משק החשמל (תיקון - איסור ניתוק חשמל), התש""ף-2020")</f>
        <v>26287</v>
      </c>
      <c r="E13614" t="s">
        <v>26287</v>
      </c>
      <c r="F13614" t="s">
        <v>26288</v>
      </c>
      <c r="G13614" t="s">
        <v>14</v>
      </c>
      <c r="H13614">
             </c>
      <c r="I13614" t="s">
        <v>14</v>
      </c>
      <c r="J13614" t="s">
        <v>141</v>
      </c>
      <c r="K13614" t="s">
        <v>14</v>
      </c>
      <c r="L13614" t="s">
        <v>20</v>
      </c>
      <c r="M13614" t="s">
        <v>26208</v>
      </c>
      <c r="N13614" t="s">
        <v>14</v>
      </c>
    </row>
    <row r="13615" x14ac:dyDescent="0.25">
      <c r="A13615" t="n">
        <v>23</v>
      </c>
      <c r="B13615" t="s">
        <v>14</v>
      </c>
      <c r="C13615" t="s">
        <v>22</v>
      </c>
      <c r="D13615" s="2" t="s">
        <f>=HYPERLINK("https://main.knesset.gov.il/APPS/legislation/main/bills/2086891", "הצעת חוק המים (תיקון - הוספת נציג ציבור לעניין איכות הסביבה למועצת רשות המים), התש""ף-2020")</f>
        <v>23964</v>
      </c>
      <c r="E13615" t="s">
        <v>23964</v>
      </c>
      <c r="F13615" t="s">
        <v>26289</v>
      </c>
      <c r="G13615" t="s">
        <v>14</v>
      </c>
      <c r="H13615">
             </c>
      <c r="I13615" t="s">
        <v>14</v>
      </c>
      <c r="J13615" t="s">
        <v>141</v>
      </c>
      <c r="K13615" t="s">
        <v>14</v>
      </c>
      <c r="L13615" t="s">
        <v>20</v>
      </c>
      <c r="M13615" t="s">
        <v>26208</v>
      </c>
      <c r="N13615" t="s">
        <v>14</v>
      </c>
    </row>
    <row r="13616" x14ac:dyDescent="0.25">
      <c r="A13616" t="n">
        <v>23</v>
      </c>
      <c r="B13616" t="s">
        <v>14</v>
      </c>
      <c r="C13616" t="s">
        <v>22</v>
      </c>
      <c r="D13616" s="2" t="s">
        <f>=HYPERLINK("https://main.knesset.gov.il/APPS/legislation/main/bills/2086916", "הצעת חוק איסור הפליה במוצרים, בשירותים ובכניסה למקומות בידור ולמקומות ציבוריים (תיקון - איסור הפרדה), התש""ף-2020")</f>
        <v>23970</v>
      </c>
      <c r="E13616" t="s">
        <v>23970</v>
      </c>
      <c r="F13616" t="s">
        <v>26290</v>
      </c>
      <c r="G13616" t="s">
        <v>14</v>
      </c>
      <c r="H13616">
             </c>
      <c r="I13616" t="s">
        <v>14</v>
      </c>
      <c r="J13616" t="s">
        <v>141</v>
      </c>
      <c r="K13616" t="s">
        <v>14</v>
      </c>
      <c r="L13616" t="s">
        <v>20</v>
      </c>
      <c r="M13616" t="s">
        <v>26208</v>
      </c>
      <c r="N13616" t="s">
        <v>14</v>
      </c>
    </row>
    <row r="13617" x14ac:dyDescent="0.25">
      <c r="A13617" t="n">
        <v>23</v>
      </c>
      <c r="B13617" t="s">
        <v>14</v>
      </c>
      <c r="C13617" t="s">
        <v>22</v>
      </c>
      <c r="D13617" s="2" t="s">
        <f>=HYPERLINK("https://main.knesset.gov.il/APPS/legislation/main/bills/2086879", "הצעת חוק לתיקון פקודת העיריות (שינוי מועד תשלום הארנונה), התש""ף-2020")</f>
        <v>26291</v>
      </c>
      <c r="E13617" t="s">
        <v>26291</v>
      </c>
      <c r="F13617" t="s">
        <v>26292</v>
      </c>
      <c r="G13617" t="s">
        <v>14</v>
      </c>
      <c r="H13617">
             </c>
      <c r="I13617" t="s">
        <v>14</v>
      </c>
      <c r="J13617" t="s">
        <v>141</v>
      </c>
      <c r="K13617" t="s">
        <v>14</v>
      </c>
      <c r="L13617" t="s">
        <v>20</v>
      </c>
      <c r="M13617" t="s">
        <v>26208</v>
      </c>
      <c r="N13617" t="s">
        <v>14</v>
      </c>
    </row>
    <row r="13618" x14ac:dyDescent="0.25">
      <c r="A13618" t="n">
        <v>23</v>
      </c>
      <c r="B13618" t="s">
        <v>14</v>
      </c>
      <c r="C13618" t="s">
        <v>22</v>
      </c>
      <c r="D13618" s="2" t="s">
        <f>=HYPERLINK("https://main.knesset.gov.il/APPS/legislation/main/bills/2086555", "הצעת חוק לתיקון פקודת מס הכנסה (משיכה מקרן השתלמות לרכישת דירה ראשונה), התש""ף-2020")</f>
        <v>26293</v>
      </c>
      <c r="E13618" t="s">
        <v>26293</v>
      </c>
      <c r="F13618" t="s">
        <v>26294</v>
      </c>
      <c r="G13618" t="s">
        <v>14</v>
      </c>
      <c r="H13618">
             </c>
      <c r="I13618" t="s">
        <v>14</v>
      </c>
      <c r="J13618" t="s">
        <v>141</v>
      </c>
      <c r="K13618" t="s">
        <v>14</v>
      </c>
      <c r="L13618" t="s">
        <v>20</v>
      </c>
      <c r="M13618" t="s">
        <v>26208</v>
      </c>
      <c r="N13618" t="s">
        <v>14</v>
      </c>
    </row>
    <row r="13619" x14ac:dyDescent="0.25">
      <c r="A13619" t="n">
        <v>23</v>
      </c>
      <c r="B13619" t="s">
        <v>14</v>
      </c>
      <c r="C13619" t="s">
        <v>22</v>
      </c>
      <c r="D13619" s="2" t="s">
        <f>=HYPERLINK("https://main.knesset.gov.il/APPS/legislation/main/bills/2087305", "הצעת חוק מס רכוש וקרן פיצויים (תיקון - פיצוי בעד נזקי מגפת הקורונה) (הוראת שעה), התש""ף-2020")</f>
        <v>23994</v>
      </c>
      <c r="E13619" t="s">
        <v>23994</v>
      </c>
      <c r="F13619" t="s">
        <v>26295</v>
      </c>
      <c r="G13619" t="s">
        <v>14</v>
      </c>
      <c r="H13619">
             </c>
      <c r="I13619" t="s">
        <v>14</v>
      </c>
      <c r="J13619" t="s">
        <v>141</v>
      </c>
      <c r="K13619" t="s">
        <v>14</v>
      </c>
      <c r="L13619" t="s">
        <v>20</v>
      </c>
      <c r="M13619" t="s">
        <v>26208</v>
      </c>
      <c r="N13619" t="s">
        <v>14</v>
      </c>
    </row>
    <row r="13620" x14ac:dyDescent="0.25">
      <c r="A13620" t="n">
        <v>23</v>
      </c>
      <c r="B13620" t="s">
        <v>14</v>
      </c>
      <c r="C13620" t="s">
        <v>22</v>
      </c>
      <c r="D13620" s="2" t="s">
        <f>=HYPERLINK("https://main.knesset.gov.il/APPS/legislation/main/bills/2087553", "הצעת חוק הפיקוח על שירותים פיננסיים (ביטוח) (תיקון - הוספת רישיון הנפקה), התש""ף-2020")</f>
        <v>26296</v>
      </c>
      <c r="E13620" t="s">
        <v>26296</v>
      </c>
      <c r="F13620" t="s">
        <v>26297</v>
      </c>
      <c r="G13620" t="s">
        <v>14</v>
      </c>
      <c r="H13620">
             </c>
      <c r="I13620" t="s">
        <v>14</v>
      </c>
      <c r="J13620" t="s">
        <v>141</v>
      </c>
      <c r="K13620" t="s">
        <v>14</v>
      </c>
      <c r="L13620" t="s">
        <v>20</v>
      </c>
      <c r="M13620" t="s">
        <v>26208</v>
      </c>
      <c r="N13620" t="s">
        <v>14</v>
      </c>
    </row>
    <row r="13621" x14ac:dyDescent="0.25">
      <c r="A13621" t="n">
        <v>23</v>
      </c>
      <c r="B13621" t="s">
        <v>14</v>
      </c>
      <c r="C13621" t="s">
        <v>22</v>
      </c>
      <c r="D13621" s="2" t="s">
        <f>=HYPERLINK("https://main.knesset.gov.il/APPS/legislation/main/bills/2086375", "הצעת חוק-יסוד: משק המדינה (תיקון - סעיף נוקשות)")</f>
        <v>26298</v>
      </c>
      <c r="E13621" t="s">
        <v>26298</v>
      </c>
      <c r="F13621" t="s">
        <v>26299</v>
      </c>
      <c r="G13621" t="s">
        <v>14</v>
      </c>
      <c r="H13621">
             </c>
      <c r="I13621" t="s">
        <v>14</v>
      </c>
      <c r="J13621" t="s">
        <v>141</v>
      </c>
      <c r="K13621" t="s">
        <v>14</v>
      </c>
      <c r="L13621" t="s">
        <v>20</v>
      </c>
      <c r="M13621" t="s">
        <v>26208</v>
      </c>
      <c r="N13621" t="s">
        <v>14</v>
      </c>
    </row>
    <row r="13622" x14ac:dyDescent="0.25">
      <c r="A13622" t="n">
        <v>23</v>
      </c>
      <c r="B13622" t="s">
        <v>14</v>
      </c>
      <c r="C13622" t="s">
        <v>22</v>
      </c>
      <c r="D13622" s="2" t="s">
        <f>=HYPERLINK("https://main.knesset.gov.il/APPS/legislation/main/bills/2087679", "הצעת חוק לתיקון פקודת מסי העיריה ומסי הממשלה (פיטורין) (החלת חובת תשלום ארנונה על נכסי ממשלה המצויים באזור), התש""ף-2020")</f>
        <v>26300</v>
      </c>
      <c r="E13622" t="s">
        <v>26300</v>
      </c>
      <c r="F13622" t="s">
        <v>26301</v>
      </c>
      <c r="G13622" t="s">
        <v>14</v>
      </c>
      <c r="H13622">
             </c>
      <c r="I13622" t="s">
        <v>14</v>
      </c>
      <c r="J13622" t="s">
        <v>141</v>
      </c>
      <c r="K13622" t="s">
        <v>14</v>
      </c>
      <c r="L13622" t="s">
        <v>20</v>
      </c>
      <c r="M13622" t="s">
        <v>26208</v>
      </c>
      <c r="N13622" t="s">
        <v>14</v>
      </c>
    </row>
    <row r="13623" x14ac:dyDescent="0.25">
      <c r="A13623" t="n">
        <v>23</v>
      </c>
      <c r="B13623" t="s">
        <v>14</v>
      </c>
      <c r="C13623" t="s">
        <v>22</v>
      </c>
      <c r="D13623" s="2" t="s">
        <f>=HYPERLINK("https://main.knesset.gov.il/APPS/legislation/main/bills/2087692", "הצעת חוק לתיקון פקודת מס הכנסה (השוואת תנאים בין שכיר לעצמאי בחיסכון ארוך טווח), התש""ף-2020")</f>
        <v>26302</v>
      </c>
      <c r="E13623" t="s">
        <v>26302</v>
      </c>
      <c r="F13623" t="s">
        <v>26303</v>
      </c>
      <c r="G13623" t="s">
        <v>14</v>
      </c>
      <c r="H13623">
             </c>
      <c r="I13623" t="s">
        <v>14</v>
      </c>
      <c r="J13623" t="s">
        <v>141</v>
      </c>
      <c r="K13623" t="s">
        <v>14</v>
      </c>
      <c r="L13623" t="s">
        <v>20</v>
      </c>
      <c r="M13623" t="s">
        <v>26208</v>
      </c>
      <c r="N13623" t="s">
        <v>14</v>
      </c>
    </row>
    <row r="13624" x14ac:dyDescent="0.25">
      <c r="A13624" t="n">
        <v>23</v>
      </c>
      <c r="B13624" t="s">
        <v>14</v>
      </c>
      <c r="C13624" t="s">
        <v>22</v>
      </c>
      <c r="D13624" s="2" t="s">
        <f>=HYPERLINK("https://main.knesset.gov.il/APPS/legislation/main/bills/2087703", "הצעת חוק לתיקון פקודת המסים (גבייה) (ביטול החוק), התש""ף-2020")</f>
        <v>26304</v>
      </c>
      <c r="E13624" t="s">
        <v>26304</v>
      </c>
      <c r="F13624" t="s">
        <v>26305</v>
      </c>
      <c r="G13624" t="s">
        <v>14</v>
      </c>
      <c r="H13624">
             </c>
      <c r="I13624" t="s">
        <v>14</v>
      </c>
      <c r="J13624" t="s">
        <v>141</v>
      </c>
      <c r="K13624" t="s">
        <v>14</v>
      </c>
      <c r="L13624" t="s">
        <v>20</v>
      </c>
      <c r="M13624" t="s">
        <v>26208</v>
      </c>
      <c r="N13624" t="s">
        <v>14</v>
      </c>
    </row>
    <row r="13625" x14ac:dyDescent="0.25">
      <c r="A13625" t="n">
        <v>23</v>
      </c>
      <c r="B13625" t="s">
        <v>14</v>
      </c>
      <c r="C13625" t="s">
        <v>22</v>
      </c>
      <c r="D13625" s="2" t="s">
        <f>=HYPERLINK("https://main.knesset.gov.il/APPS/legislation/main/bills/2087562", "הצעת חוק מיסוי מקרקעין (שבח ורכישה) (דירה נוספת שלא נעשה בה שימוש), התש""ף-2020")</f>
        <v>26306</v>
      </c>
      <c r="E13625" t="s">
        <v>26306</v>
      </c>
      <c r="F13625" t="s">
        <v>26307</v>
      </c>
      <c r="G13625" t="s">
        <v>14</v>
      </c>
      <c r="H13625">
             </c>
      <c r="I13625" t="s">
        <v>14</v>
      </c>
      <c r="J13625" t="s">
        <v>141</v>
      </c>
      <c r="K13625" t="s">
        <v>14</v>
      </c>
      <c r="L13625" t="s">
        <v>20</v>
      </c>
      <c r="M13625" t="s">
        <v>26208</v>
      </c>
      <c r="N13625" t="s">
        <v>14</v>
      </c>
    </row>
    <row r="13626" x14ac:dyDescent="0.25">
      <c r="A13626" t="n">
        <v>23</v>
      </c>
      <c r="B13626" t="s">
        <v>14</v>
      </c>
      <c r="C13626" t="s">
        <v>22</v>
      </c>
      <c r="D13626" s="2" t="s">
        <f>=HYPERLINK("https://main.knesset.gov.il/APPS/legislation/main/bills/2087698", "הצעת חוק הגנת השכר (תיקון - פיצויי פיטורים בזמן אמת), התש""ף-2020")</f>
        <v>26308</v>
      </c>
      <c r="E13626" t="s">
        <v>26308</v>
      </c>
      <c r="F13626" t="s">
        <v>26309</v>
      </c>
      <c r="G13626" t="s">
        <v>14</v>
      </c>
      <c r="H13626">
             </c>
      <c r="I13626" t="s">
        <v>14</v>
      </c>
      <c r="J13626" t="s">
        <v>141</v>
      </c>
      <c r="K13626" t="s">
        <v>14</v>
      </c>
      <c r="L13626" t="s">
        <v>20</v>
      </c>
      <c r="M13626" t="s">
        <v>26208</v>
      </c>
      <c r="N13626" t="s">
        <v>14</v>
      </c>
    </row>
    <row r="13627" x14ac:dyDescent="0.25">
      <c r="A13627" t="n">
        <v>23</v>
      </c>
      <c r="B13627" t="s">
        <v>14</v>
      </c>
      <c r="C13627" t="s">
        <v>22</v>
      </c>
      <c r="D13627" s="2" t="s">
        <f>=HYPERLINK("https://main.knesset.gov.il/APPS/legislation/main/bills/2086399", "הצעת חוק הביטוח הלאומי (תיקון - חישוב דמי לידה לפי החודש שבו הייתה ההכנסה הגבוהה ביותר), התש""ף-2020")</f>
        <v>26310</v>
      </c>
      <c r="E13627" t="s">
        <v>26310</v>
      </c>
      <c r="F13627" t="s">
        <v>26311</v>
      </c>
      <c r="G13627" t="s">
        <v>14</v>
      </c>
      <c r="H13627">
             </c>
      <c r="I13627" t="s">
        <v>14</v>
      </c>
      <c r="J13627" t="s">
        <v>141</v>
      </c>
      <c r="K13627" t="s">
        <v>14</v>
      </c>
      <c r="L13627" t="s">
        <v>20</v>
      </c>
      <c r="M13627" t="s">
        <v>26208</v>
      </c>
      <c r="N13627" t="s">
        <v>14</v>
      </c>
    </row>
    <row r="13628" x14ac:dyDescent="0.25">
      <c r="A13628" t="n">
        <v>23</v>
      </c>
      <c r="B13628" t="s">
        <v>14</v>
      </c>
      <c r="C13628" t="s">
        <v>22</v>
      </c>
      <c r="D13628" s="2" t="s">
        <f>=HYPERLINK("https://main.knesset.gov.il/APPS/legislation/main/bills/2087696", "הצעת חוק הביטוח הלאומי (תיקון - תוספת קצבה לנכים מונשמים), התש""ף-2020")</f>
        <v>24455</v>
      </c>
      <c r="E13628" t="s">
        <v>24455</v>
      </c>
      <c r="F13628" t="s">
        <v>26312</v>
      </c>
      <c r="G13628" t="s">
        <v>14</v>
      </c>
      <c r="H13628">
             </c>
      <c r="I13628" t="s">
        <v>14</v>
      </c>
      <c r="J13628" t="s">
        <v>141</v>
      </c>
      <c r="K13628" t="s">
        <v>14</v>
      </c>
      <c r="L13628" t="s">
        <v>20</v>
      </c>
      <c r="M13628" t="s">
        <v>26208</v>
      </c>
      <c r="N13628" t="s">
        <v>14</v>
      </c>
    </row>
    <row r="13629" x14ac:dyDescent="0.25">
      <c r="A13629" t="n">
        <v>23</v>
      </c>
      <c r="B13629" t="s">
        <v>14</v>
      </c>
      <c r="C13629" t="s">
        <v>22</v>
      </c>
      <c r="D13629" s="2" t="s">
        <f>=HYPERLINK("https://main.knesset.gov.il/APPS/legislation/main/bills/2086673", "הצעת חוק משק החשמל (תיקון - מניעת הפסקת אספקת חשמל לצרכן נזקק) התש""ף-2020")</f>
        <v>26313</v>
      </c>
      <c r="E13629" t="s">
        <v>26313</v>
      </c>
      <c r="F13629" t="s">
        <v>26314</v>
      </c>
      <c r="G13629" t="s">
        <v>14</v>
      </c>
      <c r="H13629">
             </c>
      <c r="I13629" t="s">
        <v>14</v>
      </c>
      <c r="J13629" t="s">
        <v>141</v>
      </c>
      <c r="K13629" t="s">
        <v>14</v>
      </c>
      <c r="L13629" t="s">
        <v>20</v>
      </c>
      <c r="M13629" t="s">
        <v>26208</v>
      </c>
      <c r="N13629" t="s">
        <v>14</v>
      </c>
    </row>
    <row r="13630" x14ac:dyDescent="0.25">
      <c r="A13630" t="n">
        <v>23</v>
      </c>
      <c r="B13630" t="s">
        <v>14</v>
      </c>
      <c r="C13630" t="s">
        <v>22</v>
      </c>
      <c r="D13630" s="2" t="s">
        <f>=HYPERLINK("https://main.knesset.gov.il/APPS/legislation/main/bills/2087340", "הצעת חוק הפיקוח על שירותים פיננסיים (קופות גמל) (משיכת כספים מקופת גמל) (הוראת שעה), התש""ף-2020")</f>
        <v>26315</v>
      </c>
      <c r="E13630" t="s">
        <v>26315</v>
      </c>
      <c r="F13630" t="s">
        <v>26316</v>
      </c>
      <c r="G13630" t="s">
        <v>14</v>
      </c>
      <c r="H13630">
             </c>
      <c r="I13630" t="s">
        <v>14</v>
      </c>
      <c r="J13630" t="s">
        <v>141</v>
      </c>
      <c r="K13630" t="s">
        <v>14</v>
      </c>
      <c r="L13630" t="s">
        <v>20</v>
      </c>
      <c r="M13630" t="s">
        <v>26208</v>
      </c>
      <c r="N13630" t="s">
        <v>14</v>
      </c>
    </row>
    <row r="13631" x14ac:dyDescent="0.25">
      <c r="A13631" t="n">
        <v>23</v>
      </c>
      <c r="B13631" t="s">
        <v>14</v>
      </c>
      <c r="C13631" t="s">
        <v>22</v>
      </c>
      <c r="D13631" s="2" t="s">
        <f>=HYPERLINK("https://main.knesset.gov.il/APPS/legislation/main/bills/2086678", "הצעת חוק המים (תיקון - מתן הנחות בתעריפי מים לאוכלוסיית נזקקות), התש""ף-2020")</f>
        <v>26317</v>
      </c>
      <c r="E13631" t="s">
        <v>26317</v>
      </c>
      <c r="F13631" t="s">
        <v>26318</v>
      </c>
      <c r="G13631" t="s">
        <v>14</v>
      </c>
      <c r="H13631">
             </c>
      <c r="I13631" t="s">
        <v>14</v>
      </c>
      <c r="J13631" t="s">
        <v>141</v>
      </c>
      <c r="K13631" t="s">
        <v>14</v>
      </c>
      <c r="L13631" t="s">
        <v>20</v>
      </c>
      <c r="M13631" t="s">
        <v>26208</v>
      </c>
      <c r="N13631" t="s">
        <v>14</v>
      </c>
    </row>
    <row r="13632" x14ac:dyDescent="0.25">
      <c r="A13632" t="n">
        <v>23</v>
      </c>
      <c r="B13632" t="s">
        <v>14</v>
      </c>
      <c r="C13632" t="s">
        <v>22</v>
      </c>
      <c r="D13632" s="2" t="s">
        <f>=HYPERLINK("https://main.knesset.gov.il/APPS/legislation/main/bills/2086018", "הצעת חוק הדיינים (תיקון - כשירות דיינים), התש""ף-2020")</f>
        <v>26319</v>
      </c>
      <c r="E13632" t="s">
        <v>26319</v>
      </c>
      <c r="F13632" t="s">
        <v>26320</v>
      </c>
      <c r="G13632" t="s">
        <v>14</v>
      </c>
      <c r="H13632">
             </c>
      <c r="I13632" t="s">
        <v>14</v>
      </c>
      <c r="J13632" t="s">
        <v>141</v>
      </c>
      <c r="K13632" t="s">
        <v>14</v>
      </c>
      <c r="L13632" t="s">
        <v>20</v>
      </c>
      <c r="M13632" t="s">
        <v>26208</v>
      </c>
      <c r="N13632" t="s">
        <v>14</v>
      </c>
    </row>
    <row r="13633" x14ac:dyDescent="0.25">
      <c r="A13633" t="n">
        <v>23</v>
      </c>
      <c r="B13633" t="s">
        <v>14</v>
      </c>
      <c r="C13633" t="s">
        <v>22</v>
      </c>
      <c r="D13633" s="2" t="s">
        <f>=HYPERLINK("https://main.knesset.gov.il/APPS/legislation/main/bills/2087008", "הצעת חוק הגנת הצרכן (תיקון - אחריות מנהל כללי ונושא משרה בשל הפרת הוראות החוק), התש""ף-2020")</f>
        <v>26321</v>
      </c>
      <c r="E13633" t="s">
        <v>26321</v>
      </c>
      <c r="F13633" t="s">
        <v>26322</v>
      </c>
      <c r="G13633" t="s">
        <v>14</v>
      </c>
      <c r="H13633">
             </c>
      <c r="I13633" t="s">
        <v>14</v>
      </c>
      <c r="J13633" t="s">
        <v>141</v>
      </c>
      <c r="K13633" t="s">
        <v>14</v>
      </c>
      <c r="L13633" t="s">
        <v>20</v>
      </c>
      <c r="M13633" t="s">
        <v>26208</v>
      </c>
      <c r="N13633" t="s">
        <v>14</v>
      </c>
    </row>
    <row r="13634" x14ac:dyDescent="0.25">
      <c r="A13634" t="n">
        <v>23</v>
      </c>
      <c r="B13634" t="s">
        <v>14</v>
      </c>
      <c r="C13634" t="s">
        <v>22</v>
      </c>
      <c r="D13634" s="2" t="s">
        <f>=HYPERLINK("https://main.knesset.gov.il/APPS/legislation/main/bills/2087010", "הצעת חוק כרטיסי חיוב (תיקון - ביטול חיוב באשראי בשל עסקה עם ספק מפר), התש""ף-2020")</f>
        <v>26323</v>
      </c>
      <c r="E13634" t="s">
        <v>26323</v>
      </c>
      <c r="F13634" t="s">
        <v>26324</v>
      </c>
      <c r="G13634" t="s">
        <v>14</v>
      </c>
      <c r="H13634">
             </c>
      <c r="I13634" t="s">
        <v>14</v>
      </c>
      <c r="J13634" t="s">
        <v>141</v>
      </c>
      <c r="K13634" t="s">
        <v>14</v>
      </c>
      <c r="L13634" t="s">
        <v>20</v>
      </c>
      <c r="M13634" t="s">
        <v>26208</v>
      </c>
      <c r="N13634" t="s">
        <v>14</v>
      </c>
    </row>
    <row r="13635" x14ac:dyDescent="0.25">
      <c r="A13635" t="n">
        <v>23</v>
      </c>
      <c r="B13635" t="s">
        <v>14</v>
      </c>
      <c r="C13635" t="s">
        <v>22</v>
      </c>
      <c r="D13635" s="2" t="s">
        <f>=HYPERLINK("https://main.knesset.gov.il/APPS/legislation/main/bills/2086280", "הצעת חוק ההוצאה לפועל (תיקון - חייבים מוגנים), התש""ף-2020")</f>
        <v>26325</v>
      </c>
      <c r="E13635" t="s">
        <v>26325</v>
      </c>
      <c r="F13635" t="s">
        <v>26326</v>
      </c>
      <c r="G13635" t="s">
        <v>14</v>
      </c>
      <c r="H13635">
             </c>
      <c r="I13635" t="s">
        <v>14</v>
      </c>
      <c r="J13635" t="s">
        <v>141</v>
      </c>
      <c r="K13635" t="s">
        <v>14</v>
      </c>
      <c r="L13635" t="s">
        <v>20</v>
      </c>
      <c r="M13635" t="s">
        <v>26208</v>
      </c>
      <c r="N13635" t="s">
        <v>14</v>
      </c>
    </row>
    <row r="13636" x14ac:dyDescent="0.25">
      <c r="A13636" t="n">
        <v>23</v>
      </c>
      <c r="B13636" t="s">
        <v>14</v>
      </c>
      <c r="C13636" t="s">
        <v>22</v>
      </c>
      <c r="D13636" s="2" t="s">
        <f>=HYPERLINK("https://main.knesset.gov.il/APPS/legislation/main/bills/2087074", "הצעת חוק כביש אגרה (כביש ארצי לישראל) (תיקון - מידע על עומס תנועה), התש""ף-2020")</f>
        <v>26327</v>
      </c>
      <c r="E13636" t="s">
        <v>26327</v>
      </c>
      <c r="F13636" t="s">
        <v>26328</v>
      </c>
      <c r="G13636" t="s">
        <v>14</v>
      </c>
      <c r="H13636">
             </c>
      <c r="I13636" t="s">
        <v>14</v>
      </c>
      <c r="J13636" t="s">
        <v>141</v>
      </c>
      <c r="K13636" t="s">
        <v>14</v>
      </c>
      <c r="L13636" t="s">
        <v>20</v>
      </c>
      <c r="M13636" t="s">
        <v>26208</v>
      </c>
      <c r="N13636" t="s">
        <v>14</v>
      </c>
    </row>
    <row r="13637" x14ac:dyDescent="0.25">
      <c r="A13637" t="n">
        <v>23</v>
      </c>
      <c r="B13637" t="s">
        <v>14</v>
      </c>
      <c r="C13637" t="s">
        <v>22</v>
      </c>
      <c r="D13637" s="2" t="s">
        <f>=HYPERLINK("https://main.knesset.gov.il/APPS/legislation/main/bills/2086311", "הצעת חוק החברות הממשלתיות (תיקון - נבחרת הדירקטורים), התש""ף-2020")</f>
        <v>26329</v>
      </c>
      <c r="E13637" t="s">
        <v>26329</v>
      </c>
      <c r="F13637" t="s">
        <v>26330</v>
      </c>
      <c r="G13637" t="s">
        <v>14</v>
      </c>
      <c r="H13637">
             </c>
      <c r="I13637" t="s">
        <v>14</v>
      </c>
      <c r="J13637" t="s">
        <v>343</v>
      </c>
      <c r="K13637" t="s">
        <v>14</v>
      </c>
      <c r="L13637" t="s">
        <v>20</v>
      </c>
      <c r="M13637" t="s">
        <v>26208</v>
      </c>
      <c r="N13637" t="s">
        <v>14</v>
      </c>
    </row>
    <row r="13638" x14ac:dyDescent="0.25">
      <c r="A13638" t="n">
        <v>23</v>
      </c>
      <c r="B13638" t="s">
        <v>14</v>
      </c>
      <c r="C13638" t="s">
        <v>22</v>
      </c>
      <c r="D13638" s="2" t="s">
        <f>=HYPERLINK("https://main.knesset.gov.il/APPS/legislation/main/bills/2086354", "הצעת חוק חובת המכרזים (תיקון - הרחבת חובת העדפה של תוצרת הארץ), התש""ף-2020")</f>
        <v>26331</v>
      </c>
      <c r="E13638" t="s">
        <v>26331</v>
      </c>
      <c r="F13638" t="s">
        <v>26332</v>
      </c>
      <c r="G13638" t="s">
        <v>14</v>
      </c>
      <c r="H13638">
             </c>
      <c r="I13638" t="s">
        <v>14</v>
      </c>
      <c r="J13638" t="s">
        <v>141</v>
      </c>
      <c r="K13638" t="s">
        <v>14</v>
      </c>
      <c r="L13638" t="s">
        <v>20</v>
      </c>
      <c r="M13638" t="s">
        <v>26208</v>
      </c>
      <c r="N13638" t="s">
        <v>14</v>
      </c>
    </row>
    <row r="13639" x14ac:dyDescent="0.25">
      <c r="A13639" t="n">
        <v>23</v>
      </c>
      <c r="B13639" t="s">
        <v>14</v>
      </c>
      <c r="C13639" t="s">
        <v>22</v>
      </c>
      <c r="D13639" s="2" t="s">
        <f>=HYPERLINK("https://main.knesset.gov.il/APPS/legislation/main/bills/2087423", "הצעת חוק התקשורת (בזק ושידורים) (תיקון - איסור הפסקה, עיכוב או הגבלה של שירות שיחות אל מוקדי חירום), התש""ף-2020")</f>
        <v>26333</v>
      </c>
      <c r="E13639" t="s">
        <v>26333</v>
      </c>
      <c r="F13639" t="s">
        <v>26334</v>
      </c>
      <c r="G13639" t="s">
        <v>14</v>
      </c>
      <c r="H13639">
             </c>
      <c r="I13639" t="s">
        <v>14</v>
      </c>
      <c r="J13639" t="s">
        <v>141</v>
      </c>
      <c r="K13639" t="s">
        <v>14</v>
      </c>
      <c r="L13639" t="s">
        <v>20</v>
      </c>
      <c r="M13639" t="s">
        <v>26208</v>
      </c>
      <c r="N13639" t="s">
        <v>14</v>
      </c>
    </row>
    <row r="13640" x14ac:dyDescent="0.25">
      <c r="A13640" t="n">
        <v>23</v>
      </c>
      <c r="B13640" t="s">
        <v>14</v>
      </c>
      <c r="C13640" t="s">
        <v>22</v>
      </c>
      <c r="D13640" s="2" t="s">
        <f>=HYPERLINK("https://main.knesset.gov.il/APPS/legislation/main/bills/2086366", "הצעת חוק העונשין (תיקון - החמרת ענישה להריגה בתאונת דרכים בנהיגה תחת השפעת אלכוהול וסמים), התש""ף-2020")</f>
        <v>26335</v>
      </c>
      <c r="E13640" t="s">
        <v>26335</v>
      </c>
      <c r="F13640" t="s">
        <v>26336</v>
      </c>
      <c r="G13640" t="s">
        <v>14</v>
      </c>
      <c r="H13640">
             </c>
      <c r="I13640" t="s">
        <v>14</v>
      </c>
      <c r="J13640" t="s">
        <v>141</v>
      </c>
      <c r="K13640" t="s">
        <v>14</v>
      </c>
      <c r="L13640" t="s">
        <v>20</v>
      </c>
      <c r="M13640" t="s">
        <v>26208</v>
      </c>
      <c r="N13640" t="s">
        <v>14</v>
      </c>
    </row>
    <row r="13641" x14ac:dyDescent="0.25">
      <c r="A13641" t="n">
        <v>23</v>
      </c>
      <c r="B13641" t="s">
        <v>14</v>
      </c>
      <c r="C13641" t="s">
        <v>22</v>
      </c>
      <c r="D13641" s="2" t="s">
        <f>=HYPERLINK("https://main.knesset.gov.il/APPS/legislation/main/bills/2087513", "הצעת חוק הנגשת מוקדי פניות חירום באמצעות שיחוח ומסרון, התש""ף-2020")</f>
        <v>26337</v>
      </c>
      <c r="E13641" t="s">
        <v>26337</v>
      </c>
      <c r="F13641" t="s">
        <v>26338</v>
      </c>
      <c r="G13641" t="s">
        <v>14</v>
      </c>
      <c r="H13641">
             </c>
      <c r="I13641" t="s">
        <v>14</v>
      </c>
      <c r="J13641" t="s">
        <v>141</v>
      </c>
      <c r="K13641" t="s">
        <v>14</v>
      </c>
      <c r="L13641" t="s">
        <v>20</v>
      </c>
      <c r="M13641" t="s">
        <v>26208</v>
      </c>
      <c r="N13641" t="s">
        <v>14</v>
      </c>
    </row>
    <row r="13642" x14ac:dyDescent="0.25">
      <c r="A13642" t="n">
        <v>23</v>
      </c>
      <c r="B13642" t="s">
        <v>14</v>
      </c>
      <c r="C13642" t="s">
        <v>22</v>
      </c>
      <c r="D13642" s="2" t="s">
        <f>=HYPERLINK("https://main.knesset.gov.il/APPS/legislation/main/bills/2087655", "הצעת חוק כביש אגרה (כביש ארצי לישראל) (תיקון - פטור מאגרה בשל האטה ממהירות הנסיעה המותרת), התש""ף-2020")</f>
        <v>25299</v>
      </c>
      <c r="E13642" t="s">
        <v>25299</v>
      </c>
      <c r="F13642" t="s">
        <v>26339</v>
      </c>
      <c r="G13642" t="s">
        <v>14</v>
      </c>
      <c r="H13642">
             </c>
      <c r="I13642" t="s">
        <v>14</v>
      </c>
      <c r="J13642" t="s">
        <v>141</v>
      </c>
      <c r="K13642" t="s">
        <v>14</v>
      </c>
      <c r="L13642" t="s">
        <v>20</v>
      </c>
      <c r="M13642" t="s">
        <v>26208</v>
      </c>
      <c r="N13642" t="s">
        <v>14</v>
      </c>
    </row>
    <row r="13643" x14ac:dyDescent="0.25">
      <c r="A13643" t="n">
        <v>23</v>
      </c>
      <c r="B13643" t="s">
        <v>14</v>
      </c>
      <c r="C13643" t="s">
        <v>22</v>
      </c>
      <c r="D13643" s="2" t="s">
        <f>=HYPERLINK("https://main.knesset.gov.il/APPS/legislation/main/bills/2086371", "הצעת חוק העונשין (תיקון - ענישה על עבירה חוזרת כנגד קטין וחסר ישע), התש""ף-2020")</f>
        <v>26340</v>
      </c>
      <c r="E13643" t="s">
        <v>26340</v>
      </c>
      <c r="F13643" t="s">
        <v>26341</v>
      </c>
      <c r="G13643" t="s">
        <v>14</v>
      </c>
      <c r="H13643">
             </c>
      <c r="I13643" t="s">
        <v>14</v>
      </c>
      <c r="J13643" t="s">
        <v>141</v>
      </c>
      <c r="K13643" t="s">
        <v>14</v>
      </c>
      <c r="L13643" t="s">
        <v>20</v>
      </c>
      <c r="M13643" t="s">
        <v>26208</v>
      </c>
      <c r="N13643" t="s">
        <v>14</v>
      </c>
    </row>
    <row r="13644" x14ac:dyDescent="0.25">
      <c r="A13644" t="n">
        <v>23</v>
      </c>
      <c r="B13644" t="s">
        <v>14</v>
      </c>
      <c r="C13644" t="s">
        <v>22</v>
      </c>
      <c r="D13644" s="2" t="s">
        <f>=HYPERLINK("https://main.knesset.gov.il/APPS/legislation/main/bills/2087659", "הצעת חוק הדואר (תיקון - אחריות לאיחורים וטעויות), התש""ף-2020")</f>
        <v>26342</v>
      </c>
      <c r="E13644" t="s">
        <v>26342</v>
      </c>
      <c r="F13644" t="s">
        <v>26343</v>
      </c>
      <c r="G13644" t="s">
        <v>14</v>
      </c>
      <c r="H13644">
             </c>
      <c r="I13644" t="s">
        <v>14</v>
      </c>
      <c r="J13644" t="s">
        <v>141</v>
      </c>
      <c r="K13644" t="s">
        <v>14</v>
      </c>
      <c r="L13644" t="s">
        <v>20</v>
      </c>
      <c r="M13644" t="s">
        <v>26208</v>
      </c>
      <c r="N13644" t="s">
        <v>14</v>
      </c>
    </row>
    <row r="13645" x14ac:dyDescent="0.25">
      <c r="A13645" t="n">
        <v>23</v>
      </c>
      <c r="B13645" t="s">
        <v>14</v>
      </c>
      <c r="C13645" t="s">
        <v>22</v>
      </c>
      <c r="D13645" s="2" t="s">
        <f>=HYPERLINK("https://main.knesset.gov.il/APPS/legislation/main/bills/2087697", "הצעת חוק משק החשמל (תיקון - איסור ניתוק חשמל), התש""ף-2020")</f>
        <v>26287</v>
      </c>
      <c r="E13645" t="s">
        <v>26287</v>
      </c>
      <c r="F13645" t="s">
        <v>26344</v>
      </c>
      <c r="G13645" t="s">
        <v>14</v>
      </c>
      <c r="H13645">
             </c>
      <c r="I13645" t="s">
        <v>14</v>
      </c>
      <c r="J13645" t="s">
        <v>141</v>
      </c>
      <c r="K13645" t="s">
        <v>14</v>
      </c>
      <c r="L13645" t="s">
        <v>20</v>
      </c>
      <c r="M13645" t="s">
        <v>26208</v>
      </c>
      <c r="N13645" t="s">
        <v>14</v>
      </c>
    </row>
    <row r="13646" x14ac:dyDescent="0.25">
      <c r="A13646" t="n">
        <v>23</v>
      </c>
      <c r="B13646" t="s">
        <v>14</v>
      </c>
      <c r="C13646" t="s">
        <v>22</v>
      </c>
      <c r="D13646" s="2" t="s">
        <f>=HYPERLINK("https://main.knesset.gov.il/APPS/legislation/main/bills/2087699", "הצעת חוק הלוואות לדיור (תיקון - הצמדת סכום ההלוואה למדד), התש""ף-2020")</f>
        <v>26345</v>
      </c>
      <c r="E13646" t="s">
        <v>26345</v>
      </c>
      <c r="F13646" t="s">
        <v>26346</v>
      </c>
      <c r="G13646" t="s">
        <v>14</v>
      </c>
      <c r="H13646">
             </c>
      <c r="I13646" t="s">
        <v>14</v>
      </c>
      <c r="J13646" t="s">
        <v>141</v>
      </c>
      <c r="K13646" t="s">
        <v>14</v>
      </c>
      <c r="L13646" t="s">
        <v>20</v>
      </c>
      <c r="M13646" t="s">
        <v>26208</v>
      </c>
      <c r="N13646" t="s">
        <v>14</v>
      </c>
    </row>
    <row r="13647" x14ac:dyDescent="0.25">
      <c r="A13647" t="n">
        <v>23</v>
      </c>
      <c r="B13647" t="s">
        <v>14</v>
      </c>
      <c r="C13647" t="s">
        <v>22</v>
      </c>
      <c r="D13647" s="2" t="s">
        <f>=HYPERLINK("https://main.knesset.gov.il/APPS/legislation/main/bills/2086085", "הצעת חוק הוועדה למינוי בכירים (תיקוני חקיקה), התש""ף-2020")</f>
        <v>26347</v>
      </c>
      <c r="E13647" t="s">
        <v>26347</v>
      </c>
      <c r="F13647" t="s">
        <v>26348</v>
      </c>
      <c r="G13647" t="s">
        <v>14</v>
      </c>
      <c r="H13647">
             </c>
      <c r="I13647" t="s">
        <v>14</v>
      </c>
      <c r="J13647" t="s">
        <v>141</v>
      </c>
      <c r="K13647" t="s">
        <v>14</v>
      </c>
      <c r="L13647" t="s">
        <v>20</v>
      </c>
      <c r="M13647" t="s">
        <v>26208</v>
      </c>
      <c r="N13647" t="s">
        <v>14</v>
      </c>
    </row>
    <row r="13648" x14ac:dyDescent="0.25">
      <c r="A13648" t="n">
        <v>23</v>
      </c>
      <c r="B13648" t="s">
        <v>14</v>
      </c>
      <c r="C13648" t="s">
        <v>22</v>
      </c>
      <c r="D13648" s="2" t="s">
        <f>=HYPERLINK("https://main.knesset.gov.il/APPS/legislation/main/bills/2086390", "הצעת חוק הבחירות לכנסת (תיקון - קלפי ניידת למרותקים לביתם), התש""ף-2020")</f>
        <v>26349</v>
      </c>
      <c r="E13648" t="s">
        <v>26349</v>
      </c>
      <c r="F13648" t="s">
        <v>26350</v>
      </c>
      <c r="G13648" t="s">
        <v>14</v>
      </c>
      <c r="H13648">
             </c>
      <c r="I13648" t="s">
        <v>14</v>
      </c>
      <c r="J13648" t="s">
        <v>141</v>
      </c>
      <c r="K13648" t="s">
        <v>14</v>
      </c>
      <c r="L13648" t="s">
        <v>20</v>
      </c>
      <c r="M13648" t="s">
        <v>26208</v>
      </c>
      <c r="N13648" t="s">
        <v>14</v>
      </c>
    </row>
    <row r="13649" x14ac:dyDescent="0.25">
      <c r="A13649" t="n">
        <v>23</v>
      </c>
      <c r="B13649" t="s">
        <v>14</v>
      </c>
      <c r="C13649" t="s">
        <v>22</v>
      </c>
      <c r="D13649" s="2" t="s">
        <f>=HYPERLINK("https://main.knesset.gov.il/APPS/legislation/main/bills/2085975", "הצעת חוק שירות המדינה (מינויים) (הכרה בלימודים תורניים גבוהים לעניין תנאי סף), התש""ף-2020")</f>
        <v>26351</v>
      </c>
      <c r="E13649" t="s">
        <v>26351</v>
      </c>
      <c r="F13649" t="s">
        <v>26352</v>
      </c>
      <c r="G13649" t="s">
        <v>14</v>
      </c>
      <c r="H13649">
             </c>
      <c r="I13649" t="s">
        <v>14</v>
      </c>
      <c r="J13649" t="s">
        <v>141</v>
      </c>
      <c r="K13649" t="s">
        <v>14</v>
      </c>
      <c r="L13649" t="s">
        <v>20</v>
      </c>
      <c r="M13649" t="s">
        <v>26208</v>
      </c>
      <c r="N13649" t="s">
        <v>14</v>
      </c>
    </row>
    <row r="13650" x14ac:dyDescent="0.25">
      <c r="A13650" t="n">
        <v>23</v>
      </c>
      <c r="B13650" t="s">
        <v>14</v>
      </c>
      <c r="C13650" t="s">
        <v>22</v>
      </c>
      <c r="D13650" s="2" t="s">
        <f>=HYPERLINK("https://main.knesset.gov.il/APPS/legislation/main/bills/2086293", "הצעת חוק זכויות דיירים בקרקעות מוחכרות שנמכרו, התש""ף-2020")</f>
        <v>26353</v>
      </c>
      <c r="E13650" t="s">
        <v>26353</v>
      </c>
      <c r="F13650" t="s">
        <v>26354</v>
      </c>
      <c r="G13650" t="s">
        <v>14</v>
      </c>
      <c r="H13650">
             </c>
      <c r="I13650" t="s">
        <v>14</v>
      </c>
      <c r="J13650" t="s">
        <v>141</v>
      </c>
      <c r="K13650" t="s">
        <v>14</v>
      </c>
      <c r="L13650" t="s">
        <v>20</v>
      </c>
      <c r="M13650" t="s">
        <v>26208</v>
      </c>
      <c r="N13650" t="s">
        <v>14</v>
      </c>
    </row>
    <row r="13651" x14ac:dyDescent="0.25">
      <c r="A13651" t="n">
        <v>23</v>
      </c>
      <c r="B13651" t="s">
        <v>14</v>
      </c>
      <c r="C13651" t="s">
        <v>22</v>
      </c>
      <c r="D13651" s="2" t="s">
        <f>=HYPERLINK("https://main.knesset.gov.il/APPS/legislation/main/bills/2086043", "הצעת חוק העונשין (תיקון - איסור מתן טיפול המרה לקטין), התש""ף-2020")</f>
        <v>26355</v>
      </c>
      <c r="E13651" t="s">
        <v>26355</v>
      </c>
      <c r="F13651" t="s">
        <v>26356</v>
      </c>
      <c r="G13651" t="s">
        <v>14</v>
      </c>
      <c r="H13651">
             </c>
      <c r="I13651" t="s">
        <v>14</v>
      </c>
      <c r="J13651" t="s">
        <v>141</v>
      </c>
      <c r="K13651" t="s">
        <v>14</v>
      </c>
      <c r="L13651" t="s">
        <v>20</v>
      </c>
      <c r="M13651" t="s">
        <v>26208</v>
      </c>
      <c r="N13651" t="s">
        <v>14</v>
      </c>
    </row>
    <row r="13652" x14ac:dyDescent="0.25">
      <c r="A13652" t="n">
        <v>23</v>
      </c>
      <c r="B13652" t="s">
        <v>14</v>
      </c>
      <c r="C13652" t="s">
        <v>22</v>
      </c>
      <c r="D13652" s="2" t="s">
        <f>=HYPERLINK("https://main.knesset.gov.il/APPS/legislation/main/bills/2086482", "הצעת חוק אימוץ ילדים (תיקון - הוספת סמכות בנושא דתו של המאומץ), התש""ף-2020")</f>
        <v>26357</v>
      </c>
      <c r="E13652" t="s">
        <v>26357</v>
      </c>
      <c r="F13652" t="s">
        <v>26358</v>
      </c>
      <c r="G13652" t="s">
        <v>14</v>
      </c>
      <c r="H13652">
             </c>
      <c r="I13652" t="s">
        <v>14</v>
      </c>
      <c r="J13652" t="s">
        <v>141</v>
      </c>
      <c r="K13652" t="s">
        <v>14</v>
      </c>
      <c r="L13652" t="s">
        <v>20</v>
      </c>
      <c r="M13652" t="s">
        <v>26208</v>
      </c>
      <c r="N13652" t="s">
        <v>14</v>
      </c>
    </row>
    <row r="13653" x14ac:dyDescent="0.25">
      <c r="A13653" t="n">
        <v>23</v>
      </c>
      <c r="B13653" t="s">
        <v>14</v>
      </c>
      <c r="C13653" t="s">
        <v>22</v>
      </c>
      <c r="D13653" s="2" t="s">
        <f>=HYPERLINK("https://main.knesset.gov.il/APPS/legislation/main/bills/2086546", "הצעת חוק ההוצאה לפועל (תיקון - מסלול מקוצר חובה), התש""ף-2020")</f>
        <v>26359</v>
      </c>
      <c r="E13653" t="s">
        <v>26359</v>
      </c>
      <c r="F13653" t="s">
        <v>26360</v>
      </c>
      <c r="G13653" t="s">
        <v>14</v>
      </c>
      <c r="H13653">
             </c>
      <c r="I13653" t="s">
        <v>14</v>
      </c>
      <c r="J13653" t="s">
        <v>141</v>
      </c>
      <c r="K13653" t="s">
        <v>14</v>
      </c>
      <c r="L13653" t="s">
        <v>20</v>
      </c>
      <c r="M13653" t="s">
        <v>26208</v>
      </c>
      <c r="N13653" t="s">
        <v>14</v>
      </c>
    </row>
    <row r="13654" x14ac:dyDescent="0.25">
      <c r="A13654" t="n">
        <v>23</v>
      </c>
      <c r="B13654" t="s">
        <v>14</v>
      </c>
      <c r="C13654" t="s">
        <v>22</v>
      </c>
      <c r="D13654" s="2" t="s">
        <f>=HYPERLINK("https://main.knesset.gov.il/APPS/legislation/main/bills/2086466", "הצעת חוק סדר הדין הפלילי (סמכויות אכיפה - חיפוש בגוף ונטילת אמצעי זיהוי) (תיקון - בדיקה לגילוי נגיף HIV), התש""ף-2020")</f>
        <v>26361</v>
      </c>
      <c r="E13654" t="s">
        <v>26361</v>
      </c>
      <c r="F13654" t="s">
        <v>26362</v>
      </c>
      <c r="G13654" t="s">
        <v>14</v>
      </c>
      <c r="H13654">
             </c>
      <c r="I13654" t="s">
        <v>14</v>
      </c>
      <c r="J13654" t="s">
        <v>141</v>
      </c>
      <c r="K13654" t="s">
        <v>14</v>
      </c>
      <c r="L13654" t="s">
        <v>20</v>
      </c>
      <c r="M13654" t="s">
        <v>26208</v>
      </c>
      <c r="N13654" t="s">
        <v>14</v>
      </c>
    </row>
    <row r="13655" x14ac:dyDescent="0.25">
      <c r="A13655" t="n">
        <v>23</v>
      </c>
      <c r="B13655" t="s">
        <v>14</v>
      </c>
      <c r="C13655" t="s">
        <v>22</v>
      </c>
      <c r="D13655" s="2" t="s">
        <f>=HYPERLINK("https://main.knesset.gov.il/APPS/legislation/main/bills/2086469", "הצעת חוק סדר הדין הפלילי (תיקון - התיישנות בעבירות מין שנעשו במסגרת יחסי תלות או מרות), התש""ף-2020")</f>
        <v>26363</v>
      </c>
      <c r="E13655" t="s">
        <v>26363</v>
      </c>
      <c r="F13655" t="s">
        <v>26364</v>
      </c>
      <c r="G13655" t="s">
        <v>14</v>
      </c>
      <c r="H13655">
             </c>
      <c r="I13655" t="s">
        <v>14</v>
      </c>
      <c r="J13655" t="s">
        <v>141</v>
      </c>
      <c r="K13655" t="s">
        <v>14</v>
      </c>
      <c r="L13655" t="s">
        <v>20</v>
      </c>
      <c r="M13655" t="s">
        <v>26208</v>
      </c>
      <c r="N13655" t="s">
        <v>14</v>
      </c>
    </row>
    <row r="13656" x14ac:dyDescent="0.25">
      <c r="A13656" t="n">
        <v>23</v>
      </c>
      <c r="B13656" t="s">
        <v>14</v>
      </c>
      <c r="C13656" t="s">
        <v>22</v>
      </c>
      <c r="D13656" s="2" t="s">
        <f>=HYPERLINK("https://main.knesset.gov.il/APPS/legislation/main/bills/2086573", "הצעת חוק הממשלה (תיקון - דיווח על נסיעות שרים לחוץ לארץ), התש""ף-2020")</f>
        <v>26365</v>
      </c>
      <c r="E13656" t="s">
        <v>26365</v>
      </c>
      <c r="F13656" t="s">
        <v>26366</v>
      </c>
      <c r="G13656" t="s">
        <v>14</v>
      </c>
      <c r="H13656">
             </c>
      <c r="I13656" t="s">
        <v>14</v>
      </c>
      <c r="J13656" t="s">
        <v>141</v>
      </c>
      <c r="K13656" t="s">
        <v>14</v>
      </c>
      <c r="L13656" t="s">
        <v>20</v>
      </c>
      <c r="M13656" t="s">
        <v>26208</v>
      </c>
      <c r="N13656" t="s">
        <v>14</v>
      </c>
    </row>
    <row r="13657" x14ac:dyDescent="0.25">
      <c r="A13657" t="n">
        <v>23</v>
      </c>
      <c r="B13657" t="s">
        <v>14</v>
      </c>
      <c r="C13657" t="s">
        <v>22</v>
      </c>
      <c r="D13657" s="2" t="s">
        <f>=HYPERLINK("https://main.knesset.gov.il/APPS/legislation/main/bills/2086577", "הצעת חוק חוזה הביטוח (תיקון - הארכת תקופת ההתיישנות לביטוח חיים), התש""ף-2020")</f>
        <v>26367</v>
      </c>
      <c r="E13657" t="s">
        <v>26367</v>
      </c>
      <c r="F13657" t="s">
        <v>26368</v>
      </c>
      <c r="G13657" t="s">
        <v>14</v>
      </c>
      <c r="H13657">
             </c>
      <c r="I13657" t="s">
        <v>14</v>
      </c>
      <c r="J13657" t="s">
        <v>141</v>
      </c>
      <c r="K13657" t="s">
        <v>14</v>
      </c>
      <c r="L13657" t="s">
        <v>20</v>
      </c>
      <c r="M13657" t="s">
        <v>26208</v>
      </c>
      <c r="N13657" t="s">
        <v>14</v>
      </c>
    </row>
    <row r="13658" x14ac:dyDescent="0.25">
      <c r="A13658" t="n">
        <v>23</v>
      </c>
      <c r="B13658" t="s">
        <v>14</v>
      </c>
      <c r="C13658" t="s">
        <v>22</v>
      </c>
      <c r="D13658" s="2" t="s">
        <f>=HYPERLINK("https://main.knesset.gov.il/APPS/legislation/main/bills/2086579", "הצעת חוק העונשין (תיקון - הגדרת גזענות), התש""ף-2020")</f>
        <v>25637</v>
      </c>
      <c r="E13658" t="s">
        <v>25637</v>
      </c>
      <c r="F13658" t="s">
        <v>26369</v>
      </c>
      <c r="G13658" t="s">
        <v>14</v>
      </c>
      <c r="H13658">
             </c>
      <c r="I13658" t="s">
        <v>14</v>
      </c>
      <c r="J13658" t="s">
        <v>141</v>
      </c>
      <c r="K13658" t="s">
        <v>14</v>
      </c>
      <c r="L13658" t="s">
        <v>20</v>
      </c>
      <c r="M13658" t="s">
        <v>26208</v>
      </c>
      <c r="N13658" t="s">
        <v>14</v>
      </c>
    </row>
    <row r="13659" x14ac:dyDescent="0.25">
      <c r="A13659" t="n">
        <v>23</v>
      </c>
      <c r="B13659" t="s">
        <v>14</v>
      </c>
      <c r="C13659" t="s">
        <v>22</v>
      </c>
      <c r="D13659" s="2" t="s">
        <f>=HYPERLINK("https://main.knesset.gov.il/APPS/legislation/main/bills/2087524", "הצעת חוק הביטוח הלאומי (תיקון - סיעוד על ידי בן משפחה), התש""ף-2020")</f>
        <v>26370</v>
      </c>
      <c r="E13659" t="s">
        <v>26370</v>
      </c>
      <c r="F13659" t="s">
        <v>26371</v>
      </c>
      <c r="G13659" t="s">
        <v>14</v>
      </c>
      <c r="H13659">
             </c>
      <c r="I13659" t="s">
        <v>14</v>
      </c>
      <c r="J13659" t="s">
        <v>141</v>
      </c>
      <c r="K13659" t="s">
        <v>14</v>
      </c>
      <c r="L13659" t="s">
        <v>20</v>
      </c>
      <c r="M13659" t="s">
        <v>26208</v>
      </c>
      <c r="N13659" t="s">
        <v>14</v>
      </c>
    </row>
    <row r="13660" x14ac:dyDescent="0.25">
      <c r="A13660" t="n">
        <v>23</v>
      </c>
      <c r="B13660" t="s">
        <v>14</v>
      </c>
      <c r="C13660" t="s">
        <v>22</v>
      </c>
      <c r="D13660" s="2" t="s">
        <f>=HYPERLINK("https://main.knesset.gov.il/APPS/legislation/main/bills/2087701", "הצעת חוק האזרחים הוותיקים (תיקון - הנחה בארנונה לאזרח ותיק המתגורר בדירה שאינה בהחזקתו), התש""ף-2020")</f>
        <v>26372</v>
      </c>
      <c r="E13660" t="s">
        <v>26372</v>
      </c>
      <c r="F13660" t="s">
        <v>26373</v>
      </c>
      <c r="G13660" t="s">
        <v>14</v>
      </c>
      <c r="H13660">
             </c>
      <c r="I13660" t="s">
        <v>14</v>
      </c>
      <c r="J13660" t="s">
        <v>141</v>
      </c>
      <c r="K13660" t="s">
        <v>14</v>
      </c>
      <c r="L13660" t="s">
        <v>20</v>
      </c>
      <c r="M13660" t="s">
        <v>26208</v>
      </c>
      <c r="N13660" t="s">
        <v>14</v>
      </c>
    </row>
    <row r="13661" x14ac:dyDescent="0.25">
      <c r="A13661" t="n">
        <v>23</v>
      </c>
      <c r="B13661" t="s">
        <v>14</v>
      </c>
      <c r="C13661" t="s">
        <v>22</v>
      </c>
      <c r="D13661" s="2" t="s">
        <f>=HYPERLINK("https://main.knesset.gov.il/APPS/legislation/main/bills/2086583", "הצעת חוק בתי דין רבניים (קיום פסקי דין של גירושין) (תיקון - סמכות בית המשפט לענייני משפחה), התש""ף-2020")</f>
        <v>26374</v>
      </c>
      <c r="E13661" t="s">
        <v>26374</v>
      </c>
      <c r="F13661" t="s">
        <v>26375</v>
      </c>
      <c r="G13661" t="s">
        <v>14</v>
      </c>
      <c r="H13661">
             </c>
      <c r="I13661" t="s">
        <v>14</v>
      </c>
      <c r="J13661" t="s">
        <v>141</v>
      </c>
      <c r="K13661" t="s">
        <v>14</v>
      </c>
      <c r="L13661" t="s">
        <v>20</v>
      </c>
      <c r="M13661" t="s">
        <v>26208</v>
      </c>
      <c r="N13661" t="s">
        <v>14</v>
      </c>
    </row>
    <row r="13662" x14ac:dyDescent="0.25">
      <c r="A13662" t="n">
        <v>23</v>
      </c>
      <c r="B13662" t="s">
        <v>14</v>
      </c>
      <c r="C13662" t="s">
        <v>22</v>
      </c>
      <c r="D13662" s="2" t="s">
        <f>=HYPERLINK("https://main.knesset.gov.il/APPS/legislation/main/bills/2087589", "הצעת חוק זכויות למשפחות של אנשים עם מוגבלות, התש""ף-2020")</f>
        <v>26376</v>
      </c>
      <c r="E13662" t="s">
        <v>26376</v>
      </c>
      <c r="F13662" t="s">
        <v>26377</v>
      </c>
      <c r="G13662" t="s">
        <v>14</v>
      </c>
      <c r="H13662">
             </c>
      <c r="I13662" t="s">
        <v>14</v>
      </c>
      <c r="J13662" t="s">
        <v>141</v>
      </c>
      <c r="K13662" t="s">
        <v>14</v>
      </c>
      <c r="L13662" t="s">
        <v>20</v>
      </c>
      <c r="M13662" t="s">
        <v>26208</v>
      </c>
      <c r="N13662" t="s">
        <v>14</v>
      </c>
    </row>
    <row r="13663" x14ac:dyDescent="0.25">
      <c r="A13663" t="n">
        <v>23</v>
      </c>
      <c r="B13663" t="s">
        <v>14</v>
      </c>
      <c r="C13663" t="s">
        <v>22</v>
      </c>
      <c r="D13663" s="2" t="s">
        <f>=HYPERLINK("https://main.knesset.gov.il/APPS/legislation/main/bills/2086584", "הצעת חוק-יסוד: השפיטה (תיקון - משפט חוזר אזרחי)")</f>
        <v>11205</v>
      </c>
      <c r="E13663" t="s">
        <v>11205</v>
      </c>
      <c r="F13663" t="s">
        <v>26378</v>
      </c>
      <c r="G13663" t="s">
        <v>14</v>
      </c>
      <c r="H13663">
             </c>
      <c r="I13663" t="s">
        <v>14</v>
      </c>
      <c r="J13663" t="s">
        <v>141</v>
      </c>
      <c r="K13663" t="s">
        <v>14</v>
      </c>
      <c r="L13663" t="s">
        <v>20</v>
      </c>
      <c r="M13663" t="s">
        <v>26208</v>
      </c>
      <c r="N13663" t="s">
        <v>14</v>
      </c>
    </row>
    <row r="13664" x14ac:dyDescent="0.25">
      <c r="A13664" t="n">
        <v>23</v>
      </c>
      <c r="B13664" t="s">
        <v>14</v>
      </c>
      <c r="C13664" t="s">
        <v>22</v>
      </c>
      <c r="D13664" s="2" t="s">
        <f>=HYPERLINK("https://main.knesset.gov.il/APPS/legislation/main/bills/2086585", "הצעת חוק הדיינים (תיקון - כשירות למנהל בתי הדין הרבניים), התש""ף-2020")</f>
        <v>23936</v>
      </c>
      <c r="E13664" t="s">
        <v>23936</v>
      </c>
      <c r="F13664" t="s">
        <v>26379</v>
      </c>
      <c r="G13664" t="s">
        <v>14</v>
      </c>
      <c r="H13664">
             </c>
      <c r="I13664" t="s">
        <v>14</v>
      </c>
      <c r="J13664" t="s">
        <v>141</v>
      </c>
      <c r="K13664" t="s">
        <v>14</v>
      </c>
      <c r="L13664" t="s">
        <v>20</v>
      </c>
      <c r="M13664" t="s">
        <v>26208</v>
      </c>
      <c r="N13664" t="s">
        <v>14</v>
      </c>
    </row>
    <row r="13665" x14ac:dyDescent="0.25">
      <c r="A13665" t="n">
        <v>23</v>
      </c>
      <c r="B13665" t="s">
        <v>14</v>
      </c>
      <c r="C13665" t="s">
        <v>22</v>
      </c>
      <c r="D13665" s="2" t="s">
        <f>=HYPERLINK("https://main.knesset.gov.il/APPS/legislation/main/bills/2086570", "הצעת חוק הממשלה (תיקון - ועדת שרים לענייני חקיקה), התש""ף-2020")</f>
        <v>25222</v>
      </c>
      <c r="E13665" t="s">
        <v>25222</v>
      </c>
      <c r="F13665" t="s">
        <v>26380</v>
      </c>
      <c r="G13665" t="s">
        <v>14</v>
      </c>
      <c r="H13665">
             </c>
      <c r="I13665" t="s">
        <v>14</v>
      </c>
      <c r="J13665" t="s">
        <v>141</v>
      </c>
      <c r="K13665" t="s">
        <v>14</v>
      </c>
      <c r="L13665" t="s">
        <v>20</v>
      </c>
      <c r="M13665" t="s">
        <v>26208</v>
      </c>
      <c r="N13665" t="s">
        <v>14</v>
      </c>
    </row>
    <row r="13666" x14ac:dyDescent="0.25">
      <c r="A13666" t="n">
        <v>23</v>
      </c>
      <c r="B13666" t="s">
        <v>14</v>
      </c>
      <c r="C13666" t="s">
        <v>22</v>
      </c>
      <c r="D13666" s="2" t="s">
        <f>=HYPERLINK("https://main.knesset.gov.il/APPS/legislation/main/bills/2086578", "הצעת חוק למניעת כפייה מינית, התש""ף-2020")</f>
        <v>26381</v>
      </c>
      <c r="E13666" t="s">
        <v>26381</v>
      </c>
      <c r="F13666" t="s">
        <v>26382</v>
      </c>
      <c r="G13666" t="s">
        <v>14</v>
      </c>
      <c r="H13666">
             </c>
      <c r="I13666" t="s">
        <v>14</v>
      </c>
      <c r="J13666" t="s">
        <v>141</v>
      </c>
      <c r="K13666" t="s">
        <v>14</v>
      </c>
      <c r="L13666" t="s">
        <v>20</v>
      </c>
      <c r="M13666" t="s">
        <v>26208</v>
      </c>
      <c r="N13666" t="s">
        <v>14</v>
      </c>
    </row>
    <row r="13667" x14ac:dyDescent="0.25">
      <c r="A13667" t="n">
        <v>23</v>
      </c>
      <c r="B13667" t="s">
        <v>14</v>
      </c>
      <c r="C13667" t="s">
        <v>22</v>
      </c>
      <c r="D13667" s="2" t="s">
        <f>=HYPERLINK("https://main.knesset.gov.il/APPS/legislation/main/bills/2086401", "הצעת חוק הביטוח הלאומי (תיקון - דמי פגיעה לעובד עצמאי), התש""ף-2020")</f>
        <v>26383</v>
      </c>
      <c r="E13667" t="s">
        <v>26383</v>
      </c>
      <c r="F13667" t="s">
        <v>26384</v>
      </c>
      <c r="G13667" t="s">
        <v>14</v>
      </c>
      <c r="H13667">
             </c>
      <c r="I13667" t="s">
        <v>14</v>
      </c>
      <c r="J13667" t="s">
        <v>141</v>
      </c>
      <c r="K13667" t="s">
        <v>14</v>
      </c>
      <c r="L13667" t="s">
        <v>20</v>
      </c>
      <c r="M13667" t="s">
        <v>26208</v>
      </c>
      <c r="N13667" t="s">
        <v>14</v>
      </c>
    </row>
    <row r="13668" x14ac:dyDescent="0.25">
      <c r="A13668" t="n">
        <v>23</v>
      </c>
      <c r="B13668" t="s">
        <v>14</v>
      </c>
      <c r="C13668" t="s">
        <v>22</v>
      </c>
      <c r="D13668" s="2" t="s">
        <f>=HYPERLINK("https://main.knesset.gov.il/APPS/legislation/main/bills/2086587", "הצעת חוק הגנת הצרכן (תיקון - פיצויים בלא הוכחת נזק בשל חריגה מזמני המתנה במוקד שירות טלפוני), התש""ף-2020")</f>
        <v>26385</v>
      </c>
      <c r="E13668" t="s">
        <v>26385</v>
      </c>
      <c r="F13668" t="s">
        <v>26386</v>
      </c>
      <c r="G13668" t="s">
        <v>14</v>
      </c>
      <c r="H13668">
             </c>
      <c r="I13668" t="s">
        <v>14</v>
      </c>
      <c r="J13668" t="s">
        <v>141</v>
      </c>
      <c r="K13668" t="s">
        <v>14</v>
      </c>
      <c r="L13668" t="s">
        <v>20</v>
      </c>
      <c r="M13668" t="s">
        <v>26208</v>
      </c>
      <c r="N13668" t="s">
        <v>14</v>
      </c>
    </row>
    <row r="13669" x14ac:dyDescent="0.25">
      <c r="A13669" t="n">
        <v>23</v>
      </c>
      <c r="B13669" t="s">
        <v>14</v>
      </c>
      <c r="C13669" t="s">
        <v>22</v>
      </c>
      <c r="D13669" s="2" t="s">
        <f>=HYPERLINK("https://main.knesset.gov.il/APPS/legislation/main/bills/2086582", "הצעת חוק לתיקון פקודת התעבורה (אזורי מנוחה ומפרצי עצירה בדרך בין-עירונית), התש""ף-2020")</f>
        <v>26387</v>
      </c>
      <c r="E13669" t="s">
        <v>26387</v>
      </c>
      <c r="F13669" t="s">
        <v>26388</v>
      </c>
      <c r="G13669" t="s">
        <v>14</v>
      </c>
      <c r="H13669">
             </c>
      <c r="I13669" t="s">
        <v>14</v>
      </c>
      <c r="J13669" t="s">
        <v>141</v>
      </c>
      <c r="K13669" t="s">
        <v>14</v>
      </c>
      <c r="L13669" t="s">
        <v>20</v>
      </c>
      <c r="M13669" t="s">
        <v>26208</v>
      </c>
      <c r="N13669" t="s">
        <v>14</v>
      </c>
    </row>
    <row r="13670" x14ac:dyDescent="0.25">
      <c r="A13670" t="n">
        <v>23</v>
      </c>
      <c r="B13670" t="s">
        <v>14</v>
      </c>
      <c r="C13670" t="s">
        <v>22</v>
      </c>
      <c r="D13670" s="2" t="s">
        <f>=HYPERLINK("https://main.knesset.gov.il/APPS/legislation/main/bills/2086580", "הצעת חוק הגנת הצרכן (תיקון - איסור הפליית מחירים בשל מגדר), התש""ף-2020")</f>
        <v>26389</v>
      </c>
      <c r="E13670" t="s">
        <v>26389</v>
      </c>
      <c r="F13670" t="s">
        <v>26390</v>
      </c>
      <c r="G13670" t="s">
        <v>14</v>
      </c>
      <c r="H13670">
             </c>
      <c r="I13670" t="s">
        <v>14</v>
      </c>
      <c r="J13670" t="s">
        <v>141</v>
      </c>
      <c r="K13670" t="s">
        <v>14</v>
      </c>
      <c r="L13670" t="s">
        <v>20</v>
      </c>
      <c r="M13670" t="s">
        <v>26208</v>
      </c>
      <c r="N13670" t="s">
        <v>14</v>
      </c>
    </row>
    <row r="13671" x14ac:dyDescent="0.25">
      <c r="A13671" t="n">
        <v>23</v>
      </c>
      <c r="B13671" t="s">
        <v>14</v>
      </c>
      <c r="C13671" t="s">
        <v>22</v>
      </c>
      <c r="D13671" s="2" t="s">
        <f>=HYPERLINK("https://main.knesset.gov.il/APPS/legislation/main/bills/2087700", "הצעת חוק עבודת נשים (תיקון - שעות היעדרות מעבודה לאישה בהריון בר-סיכון), התש""ף-2020")</f>
        <v>26391</v>
      </c>
      <c r="E13671" t="s">
        <v>26391</v>
      </c>
      <c r="F13671" t="s">
        <v>26392</v>
      </c>
      <c r="G13671" t="s">
        <v>14</v>
      </c>
      <c r="H13671">
             </c>
      <c r="I13671" t="s">
        <v>14</v>
      </c>
      <c r="J13671" t="s">
        <v>141</v>
      </c>
      <c r="K13671" t="s">
        <v>14</v>
      </c>
      <c r="L13671" t="s">
        <v>20</v>
      </c>
      <c r="M13671" t="s">
        <v>26208</v>
      </c>
      <c r="N13671" t="s">
        <v>14</v>
      </c>
    </row>
    <row r="13672" x14ac:dyDescent="0.25">
      <c r="A13672" t="n">
        <v>23</v>
      </c>
      <c r="B13672" t="s">
        <v>14</v>
      </c>
      <c r="C13672" t="s">
        <v>22</v>
      </c>
      <c r="D13672" s="2" t="s">
        <f>=HYPERLINK("https://main.knesset.gov.il/APPS/legislation/main/bills/2086593", "הצעת חוק שכר מינימום (תיקון - תוספת שלא תובא בחשבון בשכר המינימום), התש""ף-2020")</f>
        <v>26393</v>
      </c>
      <c r="E13672" t="s">
        <v>26393</v>
      </c>
      <c r="F13672" t="s">
        <v>26394</v>
      </c>
      <c r="G13672" t="s">
        <v>14</v>
      </c>
      <c r="H13672">
             </c>
      <c r="I13672" t="s">
        <v>14</v>
      </c>
      <c r="J13672" t="s">
        <v>141</v>
      </c>
      <c r="K13672" t="s">
        <v>14</v>
      </c>
      <c r="L13672" t="s">
        <v>20</v>
      </c>
      <c r="M13672" t="s">
        <v>26208</v>
      </c>
      <c r="N13672" t="s">
        <v>14</v>
      </c>
    </row>
    <row r="13673" x14ac:dyDescent="0.25">
      <c r="A13673" t="n">
        <v>23</v>
      </c>
      <c r="B13673" t="s">
        <v>14</v>
      </c>
      <c r="C13673" t="s">
        <v>22</v>
      </c>
      <c r="D13673" s="2" t="s">
        <f>=HYPERLINK("https://main.knesset.gov.il/APPS/legislation/main/bills/2087525", "הצעת חוק דמי מחלה (תיקון - ניכוי ימי מחלה), התש""ף-2020")</f>
        <v>26395</v>
      </c>
      <c r="E13673" t="s">
        <v>26395</v>
      </c>
      <c r="F13673" t="s">
        <v>26396</v>
      </c>
      <c r="G13673" t="s">
        <v>14</v>
      </c>
      <c r="H13673">
             </c>
      <c r="I13673" t="s">
        <v>14</v>
      </c>
      <c r="J13673" t="s">
        <v>141</v>
      </c>
      <c r="K13673" t="s">
        <v>14</v>
      </c>
      <c r="L13673" t="s">
        <v>20</v>
      </c>
      <c r="M13673" t="s">
        <v>26208</v>
      </c>
      <c r="N13673" t="s">
        <v>14</v>
      </c>
    </row>
    <row r="13674" x14ac:dyDescent="0.25">
      <c r="A13674" t="n">
        <v>23</v>
      </c>
      <c r="B13674" t="s">
        <v>14</v>
      </c>
      <c r="C13674" t="s">
        <v>22</v>
      </c>
      <c r="D13674" s="2" t="s">
        <f>=HYPERLINK("https://main.knesset.gov.il/APPS/legislation/main/bills/2086595", "הצעת חוק הבטחת הכנסה (תיקון - מסגרת שיקומית מזנות), התש""ף-2020")</f>
        <v>24156</v>
      </c>
      <c r="E13674" t="s">
        <v>24156</v>
      </c>
      <c r="F13674" t="s">
        <v>26397</v>
      </c>
      <c r="G13674" t="s">
        <v>14</v>
      </c>
      <c r="H13674">
             </c>
      <c r="I13674" t="s">
        <v>14</v>
      </c>
      <c r="J13674" t="s">
        <v>141</v>
      </c>
      <c r="K13674" t="s">
        <v>14</v>
      </c>
      <c r="L13674" t="s">
        <v>20</v>
      </c>
      <c r="M13674" t="s">
        <v>26208</v>
      </c>
      <c r="N13674" t="s">
        <v>14</v>
      </c>
    </row>
    <row r="13675" x14ac:dyDescent="0.25">
      <c r="A13675" t="n">
        <v>23</v>
      </c>
      <c r="B13675" t="s">
        <v>14</v>
      </c>
      <c r="C13675" t="s">
        <v>22</v>
      </c>
      <c r="D13675" s="2" t="s">
        <f>=HYPERLINK("https://main.knesset.gov.il/APPS/legislation/main/bills/2087531", "הצעת חוק ביטוח בריאות ממלכתי (תיקון - תנאים להחלפת תרופה, טיפול, מטפל, נותן שירותים או מוסד רפואי), התש""ף-2020")</f>
        <v>26398</v>
      </c>
      <c r="E13675" t="s">
        <v>26398</v>
      </c>
      <c r="F13675" t="s">
        <v>26399</v>
      </c>
      <c r="G13675" t="s">
        <v>14</v>
      </c>
      <c r="H13675">
             </c>
      <c r="I13675" t="s">
        <v>14</v>
      </c>
      <c r="J13675" t="s">
        <v>141</v>
      </c>
      <c r="K13675" t="s">
        <v>14</v>
      </c>
      <c r="L13675" t="s">
        <v>20</v>
      </c>
      <c r="M13675" t="s">
        <v>26208</v>
      </c>
      <c r="N13675" t="s">
        <v>14</v>
      </c>
    </row>
    <row r="13676" x14ac:dyDescent="0.25">
      <c r="A13676" t="n">
        <v>23</v>
      </c>
      <c r="B13676" t="s">
        <v>14</v>
      </c>
      <c r="C13676" t="s">
        <v>22</v>
      </c>
      <c r="D13676" s="2" t="s">
        <f>=HYPERLINK("https://main.knesset.gov.il/APPS/legislation/main/bills/2087038", "הצעת חוק זכויות החולה (תיקון - איסור הפליה בשל מקום מגורים), התש""ף-2020")</f>
        <v>26400</v>
      </c>
      <c r="E13676" t="s">
        <v>26400</v>
      </c>
      <c r="F13676" t="s">
        <v>26401</v>
      </c>
      <c r="G13676" t="s">
        <v>14</v>
      </c>
      <c r="H13676">
             </c>
      <c r="I13676" t="s">
        <v>14</v>
      </c>
      <c r="J13676" t="s">
        <v>141</v>
      </c>
      <c r="K13676" t="s">
        <v>14</v>
      </c>
      <c r="L13676" t="s">
        <v>20</v>
      </c>
      <c r="M13676" t="s">
        <v>26208</v>
      </c>
      <c r="N13676" t="s">
        <v>14</v>
      </c>
    </row>
    <row r="13677" x14ac:dyDescent="0.25">
      <c r="A13677" t="n">
        <v>23</v>
      </c>
      <c r="B13677" t="s">
        <v>14</v>
      </c>
      <c r="C13677" t="s">
        <v>22</v>
      </c>
      <c r="D13677" s="2" t="s">
        <f>=HYPERLINK("https://main.knesset.gov.il/APPS/legislation/main/bills/2086592", "הצעת חוק הסדרת מעמדם של פליטים ומבקשי מקלט, התש""ף-2020")</f>
        <v>26402</v>
      </c>
      <c r="E13677" t="s">
        <v>26402</v>
      </c>
      <c r="F13677" t="s">
        <v>26403</v>
      </c>
      <c r="G13677" t="s">
        <v>14</v>
      </c>
      <c r="H13677">
             </c>
      <c r="I13677" t="s">
        <v>14</v>
      </c>
      <c r="J13677" t="s">
        <v>141</v>
      </c>
      <c r="K13677" t="s">
        <v>14</v>
      </c>
      <c r="L13677" t="s">
        <v>20</v>
      </c>
      <c r="M13677" t="s">
        <v>26208</v>
      </c>
      <c r="N13677" t="s">
        <v>14</v>
      </c>
    </row>
    <row r="13678" x14ac:dyDescent="0.25">
      <c r="A13678" t="n">
        <v>23</v>
      </c>
      <c r="B13678" t="s">
        <v>14</v>
      </c>
      <c r="C13678" t="s">
        <v>22</v>
      </c>
      <c r="D13678" s="2" t="s">
        <f>=HYPERLINK("https://main.knesset.gov.il/APPS/legislation/main/bills/2086988", "הצעת חוק קליטת חיילים משוחררים (תיקון - התקשרות להענקת זכויות במקרקעין ביישוב מיעוטים עם מי שנבצר ממנו להשלים את שירותו הצבאי), התש""ף-2020")</f>
        <v>26404</v>
      </c>
      <c r="E13678" t="s">
        <v>26404</v>
      </c>
      <c r="F13678" t="s">
        <v>26405</v>
      </c>
      <c r="G13678" t="s">
        <v>14</v>
      </c>
      <c r="H13678">
             </c>
      <c r="I13678" t="s">
        <v>14</v>
      </c>
      <c r="J13678" t="s">
        <v>141</v>
      </c>
      <c r="K13678" t="s">
        <v>14</v>
      </c>
      <c r="L13678" t="s">
        <v>20</v>
      </c>
      <c r="M13678" t="s">
        <v>26208</v>
      </c>
      <c r="N13678" t="s">
        <v>14</v>
      </c>
    </row>
    <row r="13679" x14ac:dyDescent="0.25">
      <c r="A13679" t="n">
        <v>23</v>
      </c>
      <c r="B13679" t="s">
        <v>14</v>
      </c>
      <c r="C13679" t="s">
        <v>22</v>
      </c>
      <c r="D13679" s="2" t="s">
        <f>=HYPERLINK("https://main.knesset.gov.il/APPS/legislation/main/bills/2086594", "הצעת חוק שירותי הדת היהודיים (תיקון - דין משמעתי לרבני ערים), התש""ף-2020")</f>
        <v>26406</v>
      </c>
      <c r="E13679" t="s">
        <v>26406</v>
      </c>
      <c r="F13679" t="s">
        <v>26407</v>
      </c>
      <c r="G13679" t="s">
        <v>14</v>
      </c>
      <c r="H13679">
             </c>
      <c r="I13679" t="s">
        <v>14</v>
      </c>
      <c r="J13679" t="s">
        <v>141</v>
      </c>
      <c r="K13679" t="s">
        <v>14</v>
      </c>
      <c r="L13679" t="s">
        <v>20</v>
      </c>
      <c r="M13679" t="s">
        <v>26208</v>
      </c>
      <c r="N13679" t="s">
        <v>14</v>
      </c>
    </row>
    <row r="13680" x14ac:dyDescent="0.25">
      <c r="A13680" t="n">
        <v>23</v>
      </c>
      <c r="B13680" t="s">
        <v>14</v>
      </c>
      <c r="C13680" t="s">
        <v>22</v>
      </c>
      <c r="D13680" s="2" t="s">
        <f>=HYPERLINK("https://main.knesset.gov.il/APPS/legislation/main/bills/2086569", "הצעת חוק שימוש חוזר במים אפורים, התש""ף-2020")</f>
        <v>26408</v>
      </c>
      <c r="E13680" t="s">
        <v>26408</v>
      </c>
      <c r="F13680" t="s">
        <v>26409</v>
      </c>
      <c r="G13680" t="s">
        <v>14</v>
      </c>
      <c r="H13680">
             </c>
      <c r="I13680" t="s">
        <v>14</v>
      </c>
      <c r="J13680" t="s">
        <v>141</v>
      </c>
      <c r="K13680" t="s">
        <v>14</v>
      </c>
      <c r="L13680" t="s">
        <v>20</v>
      </c>
      <c r="M13680" t="s">
        <v>26208</v>
      </c>
      <c r="N13680" t="s">
        <v>14</v>
      </c>
    </row>
    <row r="13681" x14ac:dyDescent="0.25">
      <c r="A13681" t="n">
        <v>23</v>
      </c>
      <c r="B13681" t="s">
        <v>14</v>
      </c>
      <c r="C13681" t="s">
        <v>22</v>
      </c>
      <c r="D13681" s="2" t="s">
        <f>=HYPERLINK("https://main.knesset.gov.il/APPS/legislation/main/bills/2086575", "הצעת חוק שירותי הדת היהודיים (תיקון - הנחה ברכישת קבר זוגי), התש""ף-2020")</f>
        <v>26410</v>
      </c>
      <c r="E13681" t="s">
        <v>26410</v>
      </c>
      <c r="F13681" t="s">
        <v>26411</v>
      </c>
      <c r="G13681" t="s">
        <v>14</v>
      </c>
      <c r="H13681">
             </c>
      <c r="I13681" t="s">
        <v>14</v>
      </c>
      <c r="J13681" t="s">
        <v>141</v>
      </c>
      <c r="K13681" t="s">
        <v>14</v>
      </c>
      <c r="L13681" t="s">
        <v>20</v>
      </c>
      <c r="M13681" t="s">
        <v>26208</v>
      </c>
      <c r="N13681" t="s">
        <v>14</v>
      </c>
    </row>
    <row r="13682" x14ac:dyDescent="0.25">
      <c r="A13682" t="n">
        <v>23</v>
      </c>
      <c r="B13682" t="s">
        <v>14</v>
      </c>
      <c r="C13682" t="s">
        <v>22</v>
      </c>
      <c r="D13682" s="2" t="s">
        <f>=HYPERLINK("https://main.knesset.gov.il/APPS/legislation/main/bills/2086990", "הצעת חוק משפחות חיילים שנספו במערכה (תגמולים ושיקום) (תיקון - תשלום לבן זוגו של שכול שנפטר), התש""ף-2020")</f>
        <v>26412</v>
      </c>
      <c r="E13682" t="s">
        <v>26412</v>
      </c>
      <c r="F13682" t="s">
        <v>26413</v>
      </c>
      <c r="G13682" t="s">
        <v>14</v>
      </c>
      <c r="H13682">
             </c>
      <c r="I13682" t="s">
        <v>14</v>
      </c>
      <c r="J13682" t="s">
        <v>141</v>
      </c>
      <c r="K13682" t="s">
        <v>14</v>
      </c>
      <c r="L13682" t="s">
        <v>20</v>
      </c>
      <c r="M13682" t="s">
        <v>26208</v>
      </c>
      <c r="N13682" t="s">
        <v>14</v>
      </c>
    </row>
    <row r="13683" x14ac:dyDescent="0.25">
      <c r="A13683" t="n">
        <v>23</v>
      </c>
      <c r="B13683" t="s">
        <v>14</v>
      </c>
      <c r="C13683" t="s">
        <v>22</v>
      </c>
      <c r="D13683" s="2" t="s">
        <f>=HYPERLINK("https://main.knesset.gov.il/APPS/legislation/main/bills/2086588", "הצעת חוק מרשם האוכלוסין (תיקון - רישום בת זוג או בן זוג כהורה), התש""ף-2020")</f>
        <v>26414</v>
      </c>
      <c r="E13683" t="s">
        <v>26414</v>
      </c>
      <c r="F13683" t="s">
        <v>26415</v>
      </c>
      <c r="G13683" t="s">
        <v>14</v>
      </c>
      <c r="H13683">
             </c>
      <c r="I13683" t="s">
        <v>14</v>
      </c>
      <c r="J13683" t="s">
        <v>141</v>
      </c>
      <c r="K13683" t="s">
        <v>14</v>
      </c>
      <c r="L13683" t="s">
        <v>20</v>
      </c>
      <c r="M13683" t="s">
        <v>26208</v>
      </c>
      <c r="N13683" t="s">
        <v>14</v>
      </c>
    </row>
    <row r="13684" x14ac:dyDescent="0.25">
      <c r="A13684" t="n">
        <v>23</v>
      </c>
      <c r="B13684" t="s">
        <v>14</v>
      </c>
      <c r="C13684" t="s">
        <v>22</v>
      </c>
      <c r="D13684" s="2" t="s">
        <f>=HYPERLINK("https://main.knesset.gov.il/APPS/legislation/main/bills/2086565", "הצעת חוק איסור הונאה בכשרות (תיקון - פיקוח על מחירי תעודת הכשר), התש""ף-2020")</f>
        <v>26416</v>
      </c>
      <c r="E13684" t="s">
        <v>26416</v>
      </c>
      <c r="F13684" t="s">
        <v>26417</v>
      </c>
      <c r="G13684" t="s">
        <v>14</v>
      </c>
      <c r="H13684">
             </c>
      <c r="I13684" t="s">
        <v>14</v>
      </c>
      <c r="J13684" t="s">
        <v>141</v>
      </c>
      <c r="K13684" t="s">
        <v>14</v>
      </c>
      <c r="L13684" t="s">
        <v>20</v>
      </c>
      <c r="M13684" t="s">
        <v>26208</v>
      </c>
      <c r="N13684" t="s">
        <v>14</v>
      </c>
    </row>
    <row r="13685" x14ac:dyDescent="0.25">
      <c r="A13685" t="n">
        <v>23</v>
      </c>
      <c r="B13685" t="s">
        <v>14</v>
      </c>
      <c r="C13685" t="s">
        <v>22</v>
      </c>
      <c r="D13685" s="2" t="s">
        <f>=HYPERLINK("https://main.knesset.gov.il/APPS/legislation/main/bills/2086796", "הצעת חוק נסיעות חיילים ברכבת ישראל, הרכבת הקלה ובאוטובוסים ציבוריים, התש""ף-2020")</f>
        <v>26418</v>
      </c>
      <c r="E13685" t="s">
        <v>26418</v>
      </c>
      <c r="F13685" t="s">
        <v>26419</v>
      </c>
      <c r="G13685" t="s">
        <v>14</v>
      </c>
      <c r="H13685">
             </c>
      <c r="I13685" t="s">
        <v>14</v>
      </c>
      <c r="J13685" t="s">
        <v>141</v>
      </c>
      <c r="K13685" t="s">
        <v>14</v>
      </c>
      <c r="L13685" t="s">
        <v>20</v>
      </c>
      <c r="M13685" t="s">
        <v>26208</v>
      </c>
      <c r="N13685" t="s">
        <v>14</v>
      </c>
    </row>
    <row r="13686" x14ac:dyDescent="0.25">
      <c r="A13686" t="n">
        <v>23</v>
      </c>
      <c r="B13686" t="s">
        <v>14</v>
      </c>
      <c r="C13686" t="s">
        <v>22</v>
      </c>
      <c r="D13686" s="2" t="s">
        <f>=HYPERLINK("https://main.knesset.gov.il/APPS/legislation/main/bills/2087040", "הצעת חוק הקמת חדרי מיון בקרית שמונה ושדרות, התש""ף-2020")</f>
        <v>26420</v>
      </c>
      <c r="E13686" t="s">
        <v>26420</v>
      </c>
      <c r="F13686" t="s">
        <v>26421</v>
      </c>
      <c r="G13686" t="s">
        <v>14</v>
      </c>
      <c r="H13686">
             </c>
      <c r="I13686" t="s">
        <v>14</v>
      </c>
      <c r="J13686" t="s">
        <v>141</v>
      </c>
      <c r="K13686" t="s">
        <v>14</v>
      </c>
      <c r="L13686" t="s">
        <v>20</v>
      </c>
      <c r="M13686" t="s">
        <v>26208</v>
      </c>
      <c r="N13686" t="s">
        <v>14</v>
      </c>
    </row>
    <row r="13687" x14ac:dyDescent="0.25">
      <c r="A13687" t="n">
        <v>23</v>
      </c>
      <c r="B13687" t="s">
        <v>14</v>
      </c>
      <c r="C13687" t="s">
        <v>22</v>
      </c>
      <c r="D13687" s="2" t="s">
        <f>=HYPERLINK("https://main.knesset.gov.il/APPS/legislation/main/bills/2086933", "הצעת חוק לתיקון פקודת המשטרה (ביטול הצורך בקבלת רישיון להפגנה), התש""ף-2020")</f>
        <v>26422</v>
      </c>
      <c r="E13687" t="s">
        <v>26422</v>
      </c>
      <c r="F13687" t="s">
        <v>26423</v>
      </c>
      <c r="G13687" t="s">
        <v>14</v>
      </c>
      <c r="H13687">
             </c>
      <c r="I13687" t="s">
        <v>14</v>
      </c>
      <c r="J13687" t="s">
        <v>343</v>
      </c>
      <c r="K13687" t="s">
        <v>14</v>
      </c>
      <c r="L13687" t="s">
        <v>20</v>
      </c>
      <c r="M13687" t="s">
        <v>26208</v>
      </c>
      <c r="N13687" t="s">
        <v>14</v>
      </c>
    </row>
    <row r="13688" x14ac:dyDescent="0.25">
      <c r="A13688" t="n">
        <v>23</v>
      </c>
      <c r="B13688" t="s">
        <v>14</v>
      </c>
      <c r="C13688" t="s">
        <v>22</v>
      </c>
      <c r="D13688" s="2" t="s">
        <f>=HYPERLINK("https://main.knesset.gov.il/APPS/legislation/main/bills/2086927", "הצעת חוק שירות ביטחון (תיקון - השוואת תהליכי המיון, השיבוץ, התקינה וההכשרה, המסלולים המקצועיים ואופקי הקידום לנשים וגברים), התש""ף-2020")</f>
        <v>26424</v>
      </c>
      <c r="E13688" t="s">
        <v>26424</v>
      </c>
      <c r="F13688" t="s">
        <v>26425</v>
      </c>
      <c r="G13688" t="s">
        <v>14</v>
      </c>
      <c r="H13688">
             </c>
      <c r="I13688" t="s">
        <v>14</v>
      </c>
      <c r="J13688" t="s">
        <v>141</v>
      </c>
      <c r="K13688" t="s">
        <v>14</v>
      </c>
      <c r="L13688" t="s">
        <v>20</v>
      </c>
      <c r="M13688" t="s">
        <v>26208</v>
      </c>
      <c r="N13688" t="s">
        <v>14</v>
      </c>
    </row>
    <row r="13689" x14ac:dyDescent="0.25">
      <c r="A13689" t="n">
        <v>23</v>
      </c>
      <c r="B13689" t="s">
        <v>14</v>
      </c>
      <c r="C13689" t="s">
        <v>22</v>
      </c>
      <c r="D13689" s="2" t="s">
        <f>=HYPERLINK("https://main.knesset.gov.il/APPS/legislation/main/bills/2086646", "הצעת חוק שירות ביטחון (תיקון - פטור מטעמי הכרה דתית), התש""ף-2020")</f>
        <v>26426</v>
      </c>
      <c r="E13689" t="s">
        <v>26426</v>
      </c>
      <c r="F13689" t="s">
        <v>26427</v>
      </c>
      <c r="G13689" t="s">
        <v>14</v>
      </c>
      <c r="H13689">
             </c>
      <c r="I13689" t="s">
        <v>14</v>
      </c>
      <c r="J13689" t="s">
        <v>141</v>
      </c>
      <c r="K13689" t="s">
        <v>14</v>
      </c>
      <c r="L13689" t="s">
        <v>20</v>
      </c>
      <c r="M13689" t="s">
        <v>26208</v>
      </c>
      <c r="N13689" t="s">
        <v>14</v>
      </c>
    </row>
    <row r="13690" x14ac:dyDescent="0.25">
      <c r="A13690" t="n">
        <v>23</v>
      </c>
      <c r="B13690" t="s">
        <v>14</v>
      </c>
      <c r="C13690" t="s">
        <v>22</v>
      </c>
      <c r="D13690" s="2" t="s">
        <f>=HYPERLINK("https://main.knesset.gov.il/APPS/legislation/main/bills/2087028", "הצעת חוק הבטחת הכנסה (תיקון - החרגת הכנסתו של עובד בענף הסיעוד), התש""ף-2020")</f>
        <v>26428</v>
      </c>
      <c r="E13690" t="s">
        <v>26428</v>
      </c>
      <c r="F13690" t="s">
        <v>26429</v>
      </c>
      <c r="G13690" t="s">
        <v>14</v>
      </c>
      <c r="H13690">
             </c>
      <c r="I13690" t="s">
        <v>14</v>
      </c>
      <c r="J13690" t="s">
        <v>141</v>
      </c>
      <c r="K13690" t="s">
        <v>14</v>
      </c>
      <c r="L13690" t="s">
        <v>20</v>
      </c>
      <c r="M13690" t="s">
        <v>26208</v>
      </c>
      <c r="N13690" t="s">
        <v>14</v>
      </c>
    </row>
    <row r="13691" x14ac:dyDescent="0.25">
      <c r="A13691" t="n">
        <v>23</v>
      </c>
      <c r="B13691" t="s">
        <v>14</v>
      </c>
      <c r="C13691" t="s">
        <v>22</v>
      </c>
      <c r="D13691" s="2" t="s">
        <f>=HYPERLINK("https://main.knesset.gov.il/APPS/legislation/main/bills/2086638", "הצעת חוק היערכות אזרחית למצבי חירום, התש""ף-2020")</f>
        <v>26430</v>
      </c>
      <c r="E13691" t="s">
        <v>26430</v>
      </c>
      <c r="F13691" t="s">
        <v>26431</v>
      </c>
      <c r="G13691" t="s">
        <v>14</v>
      </c>
      <c r="H13691">
             </c>
      <c r="I13691" t="s">
        <v>14</v>
      </c>
      <c r="J13691" t="s">
        <v>141</v>
      </c>
      <c r="K13691" t="s">
        <v>14</v>
      </c>
      <c r="L13691" t="s">
        <v>20</v>
      </c>
      <c r="M13691" t="s">
        <v>26208</v>
      </c>
      <c r="N13691" t="s">
        <v>14</v>
      </c>
    </row>
    <row r="13692" x14ac:dyDescent="0.25">
      <c r="A13692" t="n">
        <v>23</v>
      </c>
      <c r="B13692" t="s">
        <v>14</v>
      </c>
      <c r="C13692" t="s">
        <v>22</v>
      </c>
      <c r="D13692" s="2" t="s">
        <f>=HYPERLINK("https://main.knesset.gov.il/APPS/legislation/main/bills/2086637", "הצעת חוק שירות המילואים, התש""ף-2020")</f>
        <v>26432</v>
      </c>
      <c r="E13692" t="s">
        <v>26432</v>
      </c>
      <c r="F13692" t="s">
        <v>26433</v>
      </c>
      <c r="G13692" t="s">
        <v>14</v>
      </c>
      <c r="H13692">
             </c>
      <c r="I13692" t="s">
        <v>14</v>
      </c>
      <c r="J13692" t="s">
        <v>141</v>
      </c>
      <c r="K13692" t="s">
        <v>14</v>
      </c>
      <c r="L13692" t="s">
        <v>20</v>
      </c>
      <c r="M13692" t="s">
        <v>26208</v>
      </c>
      <c r="N13692" t="s">
        <v>14</v>
      </c>
    </row>
    <row r="13693" x14ac:dyDescent="0.25">
      <c r="A13693" t="n">
        <v>23</v>
      </c>
      <c r="B13693" t="s">
        <v>14</v>
      </c>
      <c r="C13693" t="s">
        <v>22</v>
      </c>
      <c r="D13693" s="2" t="s">
        <f>=HYPERLINK("https://main.knesset.gov.il/APPS/legislation/main/bills/2087053", "הצעת חוק המהנדסים והאדריכלים (תיקון - ביטול תעודה ומחיקת רישום בשל הרשעה חלוטה בעבירה שגרמה למותו של אדם), התש""ף-2020")</f>
        <v>26434</v>
      </c>
      <c r="E13693" t="s">
        <v>26434</v>
      </c>
      <c r="F13693" t="s">
        <v>26435</v>
      </c>
      <c r="G13693" t="s">
        <v>14</v>
      </c>
      <c r="H13693">
             </c>
      <c r="I13693" t="s">
        <v>14</v>
      </c>
      <c r="J13693" t="s">
        <v>141</v>
      </c>
      <c r="K13693" t="s">
        <v>14</v>
      </c>
      <c r="L13693" t="s">
        <v>20</v>
      </c>
      <c r="M13693" t="s">
        <v>26208</v>
      </c>
      <c r="N13693" t="s">
        <v>14</v>
      </c>
    </row>
    <row r="13694" x14ac:dyDescent="0.25">
      <c r="A13694" t="n">
        <v>23</v>
      </c>
      <c r="B13694" t="s">
        <v>14</v>
      </c>
      <c r="C13694" t="s">
        <v>22</v>
      </c>
      <c r="D13694" s="2" t="s">
        <f>=HYPERLINK("https://main.knesset.gov.il/APPS/legislation/main/bills/2087059", "הצעת חוק שוויון זכויות לאנשים עם מוגבלות (תיקון - מניעת הפליה במחיר של שירות ציבורי או מוצר שהם נגישים), התש""ף-2020")</f>
        <v>26436</v>
      </c>
      <c r="E13694" t="s">
        <v>26436</v>
      </c>
      <c r="F13694" t="s">
        <v>26437</v>
      </c>
      <c r="G13694" t="s">
        <v>14</v>
      </c>
      <c r="H13694">
             </c>
      <c r="I13694" t="s">
        <v>14</v>
      </c>
      <c r="J13694" t="s">
        <v>141</v>
      </c>
      <c r="K13694" t="s">
        <v>14</v>
      </c>
      <c r="L13694" t="s">
        <v>20</v>
      </c>
      <c r="M13694" t="s">
        <v>26208</v>
      </c>
      <c r="N13694" t="s">
        <v>14</v>
      </c>
    </row>
    <row r="13695" x14ac:dyDescent="0.25">
      <c r="A13695" t="n">
        <v>23</v>
      </c>
      <c r="B13695" t="s">
        <v>14</v>
      </c>
      <c r="C13695" t="s">
        <v>22</v>
      </c>
      <c r="D13695" s="2" t="s">
        <f>=HYPERLINK("https://main.knesset.gov.il/APPS/legislation/main/bills/2086617", "הצעת חוק הגבלת פעולות אנשי דת בלתי מורשים בצבא הגנה לישראל ובמשטרת ישראל, התש""ף-2020")</f>
        <v>26438</v>
      </c>
      <c r="E13695" t="s">
        <v>26438</v>
      </c>
      <c r="F13695" t="s">
        <v>26439</v>
      </c>
      <c r="G13695" t="s">
        <v>14</v>
      </c>
      <c r="H13695">
             </c>
      <c r="I13695" t="s">
        <v>14</v>
      </c>
      <c r="J13695" t="s">
        <v>141</v>
      </c>
      <c r="K13695" t="s">
        <v>14</v>
      </c>
      <c r="L13695" t="s">
        <v>20</v>
      </c>
      <c r="M13695" t="s">
        <v>26208</v>
      </c>
      <c r="N13695" t="s">
        <v>14</v>
      </c>
    </row>
    <row r="13696" x14ac:dyDescent="0.25">
      <c r="A13696" t="n">
        <v>23</v>
      </c>
      <c r="B13696" t="s">
        <v>14</v>
      </c>
      <c r="C13696" t="s">
        <v>22</v>
      </c>
      <c r="D13696" s="2" t="s">
        <f>=HYPERLINK("https://main.knesset.gov.il/APPS/legislation/main/bills/2086495", "הצעת חוק להסדרת מינויים בשירות החוץ, התש""ף-2020")</f>
        <v>26440</v>
      </c>
      <c r="E13696" t="s">
        <v>26440</v>
      </c>
      <c r="F13696" t="s">
        <v>26441</v>
      </c>
      <c r="G13696" t="s">
        <v>14</v>
      </c>
      <c r="H13696">
             </c>
      <c r="I13696" t="s">
        <v>14</v>
      </c>
      <c r="J13696" t="s">
        <v>141</v>
      </c>
      <c r="K13696" t="s">
        <v>14</v>
      </c>
      <c r="L13696" t="s">
        <v>20</v>
      </c>
      <c r="M13696" t="s">
        <v>26208</v>
      </c>
      <c r="N13696" t="s">
        <v>14</v>
      </c>
    </row>
    <row r="13697" x14ac:dyDescent="0.25">
      <c r="A13697" t="n">
        <v>23</v>
      </c>
      <c r="B13697" t="s">
        <v>14</v>
      </c>
      <c r="C13697" t="s">
        <v>22</v>
      </c>
      <c r="D13697" s="2" t="s">
        <f>=HYPERLINK("https://main.knesset.gov.il/APPS/legislation/main/bills/2086316", "הצעת חוק עובדים זרים (תיקון - ביטול הצורך בהיתר להעסקת עובד זר מומחה לתקופה קצרה), התש""ף-2020")</f>
        <v>26442</v>
      </c>
      <c r="E13697" t="s">
        <v>26442</v>
      </c>
      <c r="F13697" t="s">
        <v>26443</v>
      </c>
      <c r="G13697" t="s">
        <v>14</v>
      </c>
      <c r="H13697">
             </c>
      <c r="I13697" t="s">
        <v>14</v>
      </c>
      <c r="J13697" t="s">
        <v>141</v>
      </c>
      <c r="K13697" t="s">
        <v>14</v>
      </c>
      <c r="L13697" t="s">
        <v>20</v>
      </c>
      <c r="M13697" t="s">
        <v>26208</v>
      </c>
      <c r="N13697" t="s">
        <v>14</v>
      </c>
    </row>
    <row r="13698" x14ac:dyDescent="0.25">
      <c r="A13698" t="n">
        <v>23</v>
      </c>
      <c r="B13698" t="s">
        <v>14</v>
      </c>
      <c r="C13698" t="s">
        <v>22</v>
      </c>
      <c r="D13698" s="2" t="s">
        <f>=HYPERLINK("https://main.knesset.gov.il/APPS/legislation/main/bills/2086703", "הצעת חוק הבטחת הכנסה (תיקון - הגדלת הסכום להשתכרות בנוסף לקיצבה), התש""ף-2020")</f>
        <v>24802</v>
      </c>
      <c r="E13698" t="s">
        <v>24802</v>
      </c>
      <c r="F13698" t="s">
        <v>26444</v>
      </c>
      <c r="G13698" t="s">
        <v>14</v>
      </c>
      <c r="H13698">
             </c>
      <c r="I13698" t="s">
        <v>14</v>
      </c>
      <c r="J13698" t="s">
        <v>141</v>
      </c>
      <c r="K13698" t="s">
        <v>14</v>
      </c>
      <c r="L13698" t="s">
        <v>20</v>
      </c>
      <c r="M13698" t="s">
        <v>26208</v>
      </c>
      <c r="N13698" t="s">
        <v>14</v>
      </c>
    </row>
    <row r="13699" x14ac:dyDescent="0.25">
      <c r="A13699" t="n">
        <v>23</v>
      </c>
      <c r="B13699" t="s">
        <v>14</v>
      </c>
      <c r="C13699" t="s">
        <v>22</v>
      </c>
      <c r="D13699" s="2" t="s">
        <f>=HYPERLINK("https://main.knesset.gov.il/APPS/legislation/main/bills/2086738", "הצעת חוק הביטוח הלאומי (תיקון - גמלת אבל), התש""ף-2020")</f>
        <v>26116</v>
      </c>
      <c r="E13699" t="s">
        <v>26116</v>
      </c>
      <c r="F13699" t="s">
        <v>26445</v>
      </c>
      <c r="G13699" t="s">
        <v>14</v>
      </c>
      <c r="H13699">
             </c>
      <c r="I13699" t="s">
        <v>14</v>
      </c>
      <c r="J13699" t="s">
        <v>141</v>
      </c>
      <c r="K13699" t="s">
        <v>14</v>
      </c>
      <c r="L13699" t="s">
        <v>20</v>
      </c>
      <c r="M13699" t="s">
        <v>26208</v>
      </c>
      <c r="N13699" t="s">
        <v>14</v>
      </c>
    </row>
    <row r="13700" x14ac:dyDescent="0.25">
      <c r="A13700" t="n">
        <v>23</v>
      </c>
      <c r="B13700" t="s">
        <v>14</v>
      </c>
      <c r="C13700" t="s">
        <v>22</v>
      </c>
      <c r="D13700" s="2" t="s">
        <f>=HYPERLINK("https://main.knesset.gov.il/APPS/legislation/main/bills/2086728", "הצעת חוק האזרחים הוותיקים (תיקון - הנחה בארנונה לאזרח ותיק המתגורר בדירה שאינה בהחזקתו), התש""ף-2020")</f>
        <v>26372</v>
      </c>
      <c r="E13700" t="s">
        <v>26372</v>
      </c>
      <c r="F13700" t="s">
        <v>26446</v>
      </c>
      <c r="G13700" t="s">
        <v>14</v>
      </c>
      <c r="H13700">
             </c>
      <c r="I13700" t="s">
        <v>14</v>
      </c>
      <c r="J13700" t="s">
        <v>141</v>
      </c>
      <c r="K13700" t="s">
        <v>14</v>
      </c>
      <c r="L13700" t="s">
        <v>20</v>
      </c>
      <c r="M13700" t="s">
        <v>26208</v>
      </c>
      <c r="N13700" t="s">
        <v>14</v>
      </c>
    </row>
    <row r="13701" x14ac:dyDescent="0.25">
      <c r="A13701" t="n">
        <v>23</v>
      </c>
      <c r="B13701" t="s">
        <v>14</v>
      </c>
      <c r="C13701" t="s">
        <v>22</v>
      </c>
      <c r="D13701" s="2" t="s">
        <f>=HYPERLINK("https://main.knesset.gov.il/APPS/legislation/main/bills/2086742", "הצעת חוק הביטוח הלאומי (תיקון - דמי פגיעה לעצמאי), התש""ף-2020")</f>
        <v>23225</v>
      </c>
      <c r="E13701" t="s">
        <v>23225</v>
      </c>
      <c r="F13701" t="s">
        <v>26447</v>
      </c>
      <c r="G13701" t="s">
        <v>14</v>
      </c>
      <c r="H13701">
             </c>
      <c r="I13701" t="s">
        <v>14</v>
      </c>
      <c r="J13701" t="s">
        <v>141</v>
      </c>
      <c r="K13701" t="s">
        <v>14</v>
      </c>
      <c r="L13701" t="s">
        <v>20</v>
      </c>
      <c r="M13701" t="s">
        <v>26208</v>
      </c>
      <c r="N13701" t="s">
        <v>14</v>
      </c>
    </row>
    <row r="13702" x14ac:dyDescent="0.25">
      <c r="A13702" t="n">
        <v>23</v>
      </c>
      <c r="B13702" t="s">
        <v>14</v>
      </c>
      <c r="C13702" t="s">
        <v>22</v>
      </c>
      <c r="D13702" s="2" t="s">
        <f>=HYPERLINK("https://main.knesset.gov.il/APPS/legislation/main/bills/2086347", "הצעת חוק הביטוח הלאומי (תיקון - עבודות טבחות, תחזוקה וניקיון במסעדות ובתי אוכל כעבודה מועדפת), התש""ף-2020")</f>
        <v>26448</v>
      </c>
      <c r="E13702" t="s">
        <v>26448</v>
      </c>
      <c r="F13702" t="s">
        <v>26449</v>
      </c>
      <c r="G13702" t="s">
        <v>14</v>
      </c>
      <c r="H13702">
             </c>
      <c r="I13702" t="s">
        <v>14</v>
      </c>
      <c r="J13702" t="s">
        <v>141</v>
      </c>
      <c r="K13702" t="s">
        <v>14</v>
      </c>
      <c r="L13702" t="s">
        <v>20</v>
      </c>
      <c r="M13702" t="s">
        <v>26208</v>
      </c>
      <c r="N13702" t="s">
        <v>14</v>
      </c>
    </row>
    <row r="13703" x14ac:dyDescent="0.25">
      <c r="A13703" t="n">
        <v>23</v>
      </c>
      <c r="B13703" t="s">
        <v>14</v>
      </c>
      <c r="C13703" t="s">
        <v>22</v>
      </c>
      <c r="D13703" s="2" t="s">
        <f>=HYPERLINK("https://main.knesset.gov.il/APPS/legislation/main/bills/2086368", "הצעת חוק שוויון זכויות לאנשים עם מוגבלות (תיקון - בירור תלונות ופיקוח על שמירת זכויות של אנשים עם מוגבלות במסגרות מגורים), התש""ף-2020")</f>
        <v>26251</v>
      </c>
      <c r="E13703" t="s">
        <v>26251</v>
      </c>
      <c r="F13703" t="s">
        <v>26450</v>
      </c>
      <c r="G13703" t="s">
        <v>14</v>
      </c>
      <c r="H13703">
             </c>
      <c r="I13703" t="s">
        <v>14</v>
      </c>
      <c r="J13703" t="s">
        <v>141</v>
      </c>
      <c r="K13703" t="s">
        <v>14</v>
      </c>
      <c r="L13703" t="s">
        <v>20</v>
      </c>
      <c r="M13703" t="s">
        <v>26208</v>
      </c>
      <c r="N13703" t="s">
        <v>14</v>
      </c>
    </row>
    <row r="13704" x14ac:dyDescent="0.25">
      <c r="A13704" t="n">
        <v>23</v>
      </c>
      <c r="B13704" t="s">
        <v>14</v>
      </c>
      <c r="C13704" t="s">
        <v>22</v>
      </c>
      <c r="D13704" s="2" t="s">
        <f>=HYPERLINK("https://main.knesset.gov.il/APPS/legislation/main/bills/2087592", "הצעת חוק הרשויות המקומיות (בחירת ראש הרשות וסגניו וכהונתם) (תיקון - סגן ראש רשות ברשות מעורבת), התש""ף-2020 ")</f>
        <v>26451</v>
      </c>
      <c r="E13704" t="s">
        <v>26451</v>
      </c>
      <c r="F13704" t="s">
        <v>26452</v>
      </c>
      <c r="G13704" t="s">
        <v>14</v>
      </c>
      <c r="H13704">
             </c>
      <c r="I13704" t="s">
        <v>14</v>
      </c>
      <c r="J13704" t="s">
        <v>343</v>
      </c>
      <c r="K13704" t="s">
        <v>14</v>
      </c>
      <c r="L13704" t="s">
        <v>20</v>
      </c>
      <c r="M13704" t="s">
        <v>26208</v>
      </c>
      <c r="N13704" t="s">
        <v>14</v>
      </c>
    </row>
    <row r="13705" x14ac:dyDescent="0.25">
      <c r="A13705" t="n">
        <v>23</v>
      </c>
      <c r="B13705" t="s">
        <v>14</v>
      </c>
      <c r="C13705" t="s">
        <v>22</v>
      </c>
      <c r="D13705" s="2" t="s">
        <f>=HYPERLINK("https://main.knesset.gov.il/APPS/legislation/main/bills/2087609", "הצעת חוק התכנון והבנייה (תיקון - חדרי הנקה בבניינים ציבוריים), התש""ף-2020 ")</f>
        <v>26453</v>
      </c>
      <c r="E13705" t="s">
        <v>26453</v>
      </c>
      <c r="F13705" t="s">
        <v>26454</v>
      </c>
      <c r="G13705" t="s">
        <v>14</v>
      </c>
      <c r="H13705">
             </c>
      <c r="I13705" t="s">
        <v>14</v>
      </c>
      <c r="J13705" t="s">
        <v>141</v>
      </c>
      <c r="K13705" t="s">
        <v>14</v>
      </c>
      <c r="L13705" t="s">
        <v>20</v>
      </c>
      <c r="M13705" t="s">
        <v>26208</v>
      </c>
      <c r="N13705" t="s">
        <v>14</v>
      </c>
    </row>
    <row r="13706" x14ac:dyDescent="0.25">
      <c r="A13706" t="n">
        <v>23</v>
      </c>
      <c r="B13706" t="s">
        <v>14</v>
      </c>
      <c r="C13706" t="s">
        <v>22</v>
      </c>
      <c r="D13706" s="2" t="s">
        <f>=HYPERLINK("https://main.knesset.gov.il/APPS/legislation/main/bills/2086384", "הצעת חוק לתיקון פקודת העיריות (שקיפות פיננסית), התש""ף-2020")</f>
        <v>26455</v>
      </c>
      <c r="E13706" t="s">
        <v>26455</v>
      </c>
      <c r="F13706" t="s">
        <v>26456</v>
      </c>
      <c r="G13706" t="s">
        <v>14</v>
      </c>
      <c r="H13706">
             </c>
      <c r="I13706" t="s">
        <v>14</v>
      </c>
      <c r="J13706" t="s">
        <v>141</v>
      </c>
      <c r="K13706" t="s">
        <v>14</v>
      </c>
      <c r="L13706" t="s">
        <v>20</v>
      </c>
      <c r="M13706" t="s">
        <v>26208</v>
      </c>
      <c r="N13706" t="s">
        <v>14</v>
      </c>
    </row>
    <row r="13707" x14ac:dyDescent="0.25">
      <c r="A13707" t="n">
        <v>23</v>
      </c>
      <c r="B13707" t="s">
        <v>14</v>
      </c>
      <c r="C13707" t="s">
        <v>22</v>
      </c>
      <c r="D13707" s="2" t="s">
        <f>=HYPERLINK("https://main.knesset.gov.il/APPS/legislation/main/bills/2086362", "הצעת חוק הפיקוח על מצרכים ושירותים (תיקון - סייגים לעסקאות בציוד צבאי), התש""ף-2020")</f>
        <v>26457</v>
      </c>
      <c r="E13707" t="s">
        <v>26457</v>
      </c>
      <c r="F13707" t="s">
        <v>26458</v>
      </c>
      <c r="G13707" t="s">
        <v>14</v>
      </c>
      <c r="H13707">
             </c>
      <c r="I13707" t="s">
        <v>14</v>
      </c>
      <c r="J13707" t="s">
        <v>141</v>
      </c>
      <c r="K13707" t="s">
        <v>14</v>
      </c>
      <c r="L13707" t="s">
        <v>20</v>
      </c>
      <c r="M13707" t="s">
        <v>26208</v>
      </c>
      <c r="N13707" t="s">
        <v>14</v>
      </c>
    </row>
    <row r="13708" x14ac:dyDescent="0.25">
      <c r="A13708" t="n">
        <v>23</v>
      </c>
      <c r="B13708" t="s">
        <v>14</v>
      </c>
      <c r="C13708" t="s">
        <v>22</v>
      </c>
      <c r="D13708" s="2" t="s">
        <f>=HYPERLINK("https://main.knesset.gov.il/APPS/legislation/main/bills/2086014", "הצעת חוק הביטוח הלאומי (תיקון - פטור מתשלום דמי ביטוח), התש""ף-2020")</f>
        <v>24566</v>
      </c>
      <c r="E13708" t="s">
        <v>24566</v>
      </c>
      <c r="F13708" t="s">
        <v>26459</v>
      </c>
      <c r="G13708" t="s">
        <v>14</v>
      </c>
      <c r="H13708">
             </c>
      <c r="I13708" t="s">
        <v>14</v>
      </c>
      <c r="J13708" t="s">
        <v>141</v>
      </c>
      <c r="K13708" t="s">
        <v>14</v>
      </c>
      <c r="L13708" t="s">
        <v>20</v>
      </c>
      <c r="M13708" t="s">
        <v>26208</v>
      </c>
      <c r="N13708" t="s">
        <v>14</v>
      </c>
    </row>
    <row r="13709" x14ac:dyDescent="0.25">
      <c r="A13709" t="n">
        <v>23</v>
      </c>
      <c r="B13709" t="s">
        <v>14</v>
      </c>
      <c r="C13709" t="s">
        <v>22</v>
      </c>
      <c r="D13709" s="2" t="s">
        <f>=HYPERLINK("https://main.knesset.gov.il/APPS/legislation/main/bills/2086782", "הצעת חוק קליטת חיילים משוחררים (תיקון - מימון שכר לימוד), התש""ף-2020")</f>
        <v>24869</v>
      </c>
      <c r="E13709" t="s">
        <v>24869</v>
      </c>
      <c r="F13709" t="s">
        <v>26460</v>
      </c>
      <c r="G13709" t="s">
        <v>14</v>
      </c>
      <c r="H13709">
             </c>
      <c r="I13709" t="s">
        <v>14</v>
      </c>
      <c r="J13709" t="s">
        <v>141</v>
      </c>
      <c r="K13709" t="s">
        <v>14</v>
      </c>
      <c r="L13709" t="s">
        <v>20</v>
      </c>
      <c r="M13709" t="s">
        <v>26208</v>
      </c>
      <c r="N13709" t="s">
        <v>14</v>
      </c>
    </row>
    <row r="13710" x14ac:dyDescent="0.25">
      <c r="A13710" t="n">
        <v>23</v>
      </c>
      <c r="B13710" t="s">
        <v>14</v>
      </c>
      <c r="C13710" t="s">
        <v>22</v>
      </c>
      <c r="D13710" s="2" t="s">
        <f>=HYPERLINK("https://main.knesset.gov.il/APPS/legislation/main/bills/2086358", "הצעת חוק המאבק בטרור (תיקון - איסור החזרת גופות מחבלים), התש""ף-2020")</f>
        <v>24385</v>
      </c>
      <c r="E13710" t="s">
        <v>24385</v>
      </c>
      <c r="F13710" t="s">
        <v>26461</v>
      </c>
      <c r="G13710" t="s">
        <v>14</v>
      </c>
      <c r="H13710">
             </c>
      <c r="I13710" t="s">
        <v>14</v>
      </c>
      <c r="J13710" t="s">
        <v>141</v>
      </c>
      <c r="K13710" t="s">
        <v>14</v>
      </c>
      <c r="L13710" t="s">
        <v>20</v>
      </c>
      <c r="M13710" t="s">
        <v>26208</v>
      </c>
      <c r="N13710" t="s">
        <v>14</v>
      </c>
    </row>
    <row r="13711" x14ac:dyDescent="0.25">
      <c r="A13711" t="n">
        <v>23</v>
      </c>
      <c r="B13711" t="s">
        <v>14</v>
      </c>
      <c r="C13711" t="s">
        <v>22</v>
      </c>
      <c r="D13711" s="2" t="s">
        <f>=HYPERLINK("https://main.knesset.gov.il/APPS/legislation/main/bills/2086336", "הצעת חוק שירות אזרחי (תיקון - הפסקת פעילותו של גוף מוכר שדיווח דיווחים כוזבים), התש""ף-2020")</f>
        <v>26462</v>
      </c>
      <c r="E13711" t="s">
        <v>26462</v>
      </c>
      <c r="F13711" t="s">
        <v>26463</v>
      </c>
      <c r="G13711" t="s">
        <v>14</v>
      </c>
      <c r="H13711">
             </c>
      <c r="I13711" t="s">
        <v>14</v>
      </c>
      <c r="J13711" t="s">
        <v>141</v>
      </c>
      <c r="K13711" t="s">
        <v>14</v>
      </c>
      <c r="L13711" t="s">
        <v>20</v>
      </c>
      <c r="M13711" t="s">
        <v>26208</v>
      </c>
      <c r="N13711" t="s">
        <v>14</v>
      </c>
    </row>
    <row r="13712" x14ac:dyDescent="0.25">
      <c r="A13712" t="n">
        <v>23</v>
      </c>
      <c r="B13712" t="s">
        <v>14</v>
      </c>
      <c r="C13712" t="s">
        <v>22</v>
      </c>
      <c r="D13712" s="2" t="s">
        <f>=HYPERLINK("https://main.knesset.gov.il/APPS/legislation/main/bills/2086261", "הצעת חוק עיקול ותפיסה מידתיים של נכסים המוחזקים בידי צד שלישי (תיקוני חקיקה), התש""ף-2020")</f>
        <v>26464</v>
      </c>
      <c r="E13712" t="s">
        <v>26464</v>
      </c>
      <c r="F13712" t="s">
        <v>26465</v>
      </c>
      <c r="G13712" t="s">
        <v>14</v>
      </c>
      <c r="H13712">
             </c>
      <c r="I13712" t="s">
        <v>14</v>
      </c>
      <c r="J13712" t="s">
        <v>141</v>
      </c>
      <c r="K13712" t="s">
        <v>14</v>
      </c>
      <c r="L13712" t="s">
        <v>20</v>
      </c>
      <c r="M13712" t="s">
        <v>26466</v>
      </c>
      <c r="N13712" t="s">
        <v>14</v>
      </c>
    </row>
    <row r="13713" x14ac:dyDescent="0.25">
      <c r="A13713" t="n">
        <v>23</v>
      </c>
      <c r="B13713" t="s">
        <v>14</v>
      </c>
      <c r="C13713" t="s">
        <v>22</v>
      </c>
      <c r="D13713" s="2" t="s">
        <f>=HYPERLINK("https://main.knesset.gov.il/APPS/legislation/main/bills/2086257", "הצעת חוק יום שבתון בבחירות לעובד שהוא אזרח ישראל (תיקוני חקיקה), התש""ף-2020")</f>
        <v>26467</v>
      </c>
      <c r="E13713" t="s">
        <v>26467</v>
      </c>
      <c r="F13713" t="s">
        <v>26468</v>
      </c>
      <c r="G13713" t="s">
        <v>14</v>
      </c>
      <c r="H13713">
             </c>
      <c r="I13713" t="s">
        <v>14</v>
      </c>
      <c r="J13713" t="s">
        <v>141</v>
      </c>
      <c r="K13713" t="s">
        <v>14</v>
      </c>
      <c r="L13713" t="s">
        <v>20</v>
      </c>
      <c r="M13713" t="s">
        <v>26466</v>
      </c>
      <c r="N13713" t="s">
        <v>14</v>
      </c>
    </row>
    <row r="13714" x14ac:dyDescent="0.25">
      <c r="A13714" t="n">
        <v>23</v>
      </c>
      <c r="B13714" t="s">
        <v>14</v>
      </c>
      <c r="C13714" t="s">
        <v>22</v>
      </c>
      <c r="D13714" s="2" t="s">
        <f>=HYPERLINK("https://main.knesset.gov.il/APPS/legislation/main/bills/2085825", "הצעת חוק הגנה על הציבור מפני עבריינים שביצעו עבירות אלימות חמורות, התש""ף-2020")</f>
        <v>26469</v>
      </c>
      <c r="E13714" t="s">
        <v>26469</v>
      </c>
      <c r="F13714" t="s">
        <v>26470</v>
      </c>
      <c r="G13714" t="s">
        <v>14</v>
      </c>
      <c r="H13714">
             </c>
      <c r="I13714" t="s">
        <v>14</v>
      </c>
      <c r="J13714" t="s">
        <v>141</v>
      </c>
      <c r="K13714" t="s">
        <v>14</v>
      </c>
      <c r="L13714" t="s">
        <v>20</v>
      </c>
      <c r="M13714" t="s">
        <v>26466</v>
      </c>
      <c r="N13714" t="s">
        <v>14</v>
      </c>
    </row>
    <row r="13715" x14ac:dyDescent="0.25">
      <c r="A13715" t="n">
        <v>23</v>
      </c>
      <c r="B13715" t="s">
        <v>14</v>
      </c>
      <c r="C13715" t="s">
        <v>22</v>
      </c>
      <c r="D13715" s="2" t="s">
        <f>=HYPERLINK("https://main.knesset.gov.il/APPS/legislation/main/bills/2087685", "הצעת חוק אומנה לילדים (תיקון - תשלום קצבת ילדים להורי אומנה)(הוראת שעה), התש""ף-2020")</f>
        <v>26471</v>
      </c>
      <c r="E13715" t="s">
        <v>26471</v>
      </c>
      <c r="F13715" t="s">
        <v>26472</v>
      </c>
      <c r="G13715" t="s">
        <v>14</v>
      </c>
      <c r="H13715">
             </c>
      <c r="I13715" t="s">
        <v>14</v>
      </c>
      <c r="J13715" t="s">
        <v>141</v>
      </c>
      <c r="K13715" t="s">
        <v>14</v>
      </c>
      <c r="L13715" t="s">
        <v>20</v>
      </c>
      <c r="M13715" t="s">
        <v>26466</v>
      </c>
      <c r="N13715" t="s">
        <v>14</v>
      </c>
    </row>
    <row r="13716" x14ac:dyDescent="0.25">
      <c r="A13716" t="n">
        <v>23</v>
      </c>
      <c r="B13716" t="s">
        <v>14</v>
      </c>
      <c r="C13716" t="s">
        <v>22</v>
      </c>
      <c r="D13716" s="2" t="s">
        <f>=HYPERLINK("https://main.knesset.gov.il/APPS/legislation/main/bills/2087584", "הצעת חוק הביטוח הלאומי (תיקון - דמי אבטלה לעצמאים), התש""ף-2020")</f>
        <v>24370</v>
      </c>
      <c r="E13716" t="s">
        <v>24370</v>
      </c>
      <c r="F13716" t="s">
        <v>26473</v>
      </c>
      <c r="G13716" t="s">
        <v>14</v>
      </c>
      <c r="H13716">
             </c>
      <c r="I13716" t="s">
        <v>14</v>
      </c>
      <c r="J13716" t="s">
        <v>141</v>
      </c>
      <c r="K13716" t="s">
        <v>14</v>
      </c>
      <c r="L13716" t="s">
        <v>20</v>
      </c>
      <c r="M13716" t="s">
        <v>26466</v>
      </c>
      <c r="N13716" t="s">
        <v>14</v>
      </c>
    </row>
    <row r="13717" x14ac:dyDescent="0.25">
      <c r="A13717" t="n">
        <v>23</v>
      </c>
      <c r="B13717" t="s">
        <v>14</v>
      </c>
      <c r="C13717" t="s">
        <v>22</v>
      </c>
      <c r="D13717" s="2" t="s">
        <f>=HYPERLINK("https://main.knesset.gov.il/APPS/legislation/main/bills/2087713", "הצעת חוק הבטחת הכנסה (תיקון - אופן חישוב דמי אבטלה כהכנסה) (הוראת שעה), התש""ף-2020")</f>
        <v>26474</v>
      </c>
      <c r="E13717" t="s">
        <v>26474</v>
      </c>
      <c r="F13717" t="s">
        <v>26475</v>
      </c>
      <c r="G13717" t="s">
        <v>14</v>
      </c>
      <c r="H13717">
             </c>
      <c r="I13717" t="s">
        <v>14</v>
      </c>
      <c r="J13717" t="s">
        <v>141</v>
      </c>
      <c r="K13717" t="s">
        <v>14</v>
      </c>
      <c r="L13717" t="s">
        <v>20</v>
      </c>
      <c r="M13717" t="s">
        <v>26466</v>
      </c>
      <c r="N13717" t="s">
        <v>14</v>
      </c>
    </row>
    <row r="13718" x14ac:dyDescent="0.25">
      <c r="A13718" t="n">
        <v>23</v>
      </c>
      <c r="B13718" t="s">
        <v>14</v>
      </c>
      <c r="C13718" t="s">
        <v>22</v>
      </c>
      <c r="D13718" s="2" t="s">
        <f>=HYPERLINK("https://main.knesset.gov.il/APPS/legislation/main/bills/2087769", "הצעת חוק הביטוח הלאומי (תיקון - תקופת הזכאות לדמי אבטלה למובטל שגם בן זוגו מובטל או שהוא הורה עצמאי אשר מתגוררים בעיר אילת)(הוראת שעה), התש""ף-2020")</f>
        <v>26476</v>
      </c>
      <c r="E13718" t="s">
        <v>26476</v>
      </c>
      <c r="F13718" t="s">
        <v>26477</v>
      </c>
      <c r="G13718" t="s">
        <v>14</v>
      </c>
      <c r="H13718">
             </c>
      <c r="I13718" t="s">
        <v>14</v>
      </c>
      <c r="J13718" t="s">
        <v>141</v>
      </c>
      <c r="K13718" t="s">
        <v>14</v>
      </c>
      <c r="L13718" t="s">
        <v>20</v>
      </c>
      <c r="M13718" t="s">
        <v>26466</v>
      </c>
      <c r="N13718" t="s">
        <v>14</v>
      </c>
    </row>
    <row r="13719" x14ac:dyDescent="0.25">
      <c r="A13719" t="n">
        <v>23</v>
      </c>
      <c r="B13719" t="s">
        <v>14</v>
      </c>
      <c r="C13719" t="s">
        <v>22</v>
      </c>
      <c r="D13719" s="2" t="s">
        <f>=HYPERLINK("https://main.knesset.gov.il/APPS/legislation/main/bills/2087057", "הצעת חוק מרשם האוכלוסין (תיקון - רישום הורה נוסף), התש""ף-2020")</f>
        <v>23854</v>
      </c>
      <c r="E13719" t="s">
        <v>23854</v>
      </c>
      <c r="F13719" t="s">
        <v>26478</v>
      </c>
      <c r="G13719" t="s">
        <v>14</v>
      </c>
      <c r="H13719">
             </c>
      <c r="I13719" t="s">
        <v>14</v>
      </c>
      <c r="J13719" t="s">
        <v>141</v>
      </c>
      <c r="K13719" t="s">
        <v>14</v>
      </c>
      <c r="L13719" t="s">
        <v>20</v>
      </c>
      <c r="M13719" t="s">
        <v>26466</v>
      </c>
      <c r="N13719" t="s">
        <v>14</v>
      </c>
    </row>
    <row r="13720" x14ac:dyDescent="0.25">
      <c r="A13720" t="n">
        <v>23</v>
      </c>
      <c r="B13720" t="s">
        <v>14</v>
      </c>
      <c r="C13720" t="s">
        <v>22</v>
      </c>
      <c r="D13720" s="2" t="s">
        <f>=HYPERLINK("https://main.knesset.gov.il/APPS/legislation/main/bills/2086422", "הצעת חוק עבודת נשים (תיקון - תקופת לידה והורות להורה יחיד), התש""ף-2020")</f>
        <v>25584</v>
      </c>
      <c r="E13720" t="s">
        <v>25584</v>
      </c>
      <c r="F13720" t="s">
        <v>26479</v>
      </c>
      <c r="G13720" t="s">
        <v>14</v>
      </c>
      <c r="H13720">
             </c>
      <c r="I13720" t="s">
        <v>14</v>
      </c>
      <c r="J13720" t="s">
        <v>141</v>
      </c>
      <c r="K13720" t="s">
        <v>14</v>
      </c>
      <c r="L13720" t="s">
        <v>20</v>
      </c>
      <c r="M13720" t="s">
        <v>26466</v>
      </c>
      <c r="N13720" t="s">
        <v>14</v>
      </c>
    </row>
    <row r="13721" x14ac:dyDescent="0.25">
      <c r="A13721" t="n">
        <v>23</v>
      </c>
      <c r="B13721" t="s">
        <v>14</v>
      </c>
      <c r="C13721" t="s">
        <v>22</v>
      </c>
      <c r="D13721" s="2" t="s">
        <f>=HYPERLINK("https://main.knesset.gov.il/APPS/legislation/main/bills/2086418", "הצעת חוק הבטחת הכנסה (תיקון - הגדלת הסכום להשתכרות בנוסף לקיצבה), התש""ף-2020")</f>
        <v>24802</v>
      </c>
      <c r="E13721" t="s">
        <v>24802</v>
      </c>
      <c r="F13721" t="s">
        <v>26480</v>
      </c>
      <c r="G13721" t="s">
        <v>14</v>
      </c>
      <c r="H13721">
             </c>
      <c r="I13721" t="s">
        <v>14</v>
      </c>
      <c r="J13721" t="s">
        <v>141</v>
      </c>
      <c r="K13721" t="s">
        <v>14</v>
      </c>
      <c r="L13721" t="s">
        <v>20</v>
      </c>
      <c r="M13721" t="s">
        <v>26466</v>
      </c>
      <c r="N13721" t="s">
        <v>14</v>
      </c>
    </row>
    <row r="13722" x14ac:dyDescent="0.25">
      <c r="A13722" t="n">
        <v>23</v>
      </c>
      <c r="B13722" t="s">
        <v>14</v>
      </c>
      <c r="C13722" t="s">
        <v>22</v>
      </c>
      <c r="D13722" s="2" t="s">
        <f>=HYPERLINK("https://main.knesset.gov.il/APPS/legislation/main/bills/2086451", "הצעת חוק האזרחים הוותיקים (תיקון - הנחה בארנונה לאזרח ותיק המתגורר בדירה שאינה בהחזקתו), התש""ף-2020")</f>
        <v>26372</v>
      </c>
      <c r="E13722" t="s">
        <v>26372</v>
      </c>
      <c r="F13722" t="s">
        <v>26481</v>
      </c>
      <c r="G13722" t="s">
        <v>14</v>
      </c>
      <c r="H13722">
             </c>
      <c r="I13722" t="s">
        <v>14</v>
      </c>
      <c r="J13722" t="s">
        <v>141</v>
      </c>
      <c r="K13722" t="s">
        <v>14</v>
      </c>
      <c r="L13722" t="s">
        <v>20</v>
      </c>
      <c r="M13722" t="s">
        <v>26466</v>
      </c>
      <c r="N13722" t="s">
        <v>14</v>
      </c>
    </row>
    <row r="13723" x14ac:dyDescent="0.25">
      <c r="A13723" t="n">
        <v>23</v>
      </c>
      <c r="B13723" t="s">
        <v>14</v>
      </c>
      <c r="C13723" t="s">
        <v>22</v>
      </c>
      <c r="D13723" s="2" t="s">
        <f>=HYPERLINK("https://main.knesset.gov.il/APPS/legislation/main/bills/2087329", "הצעת חוק פיצויים בעד נזק עקב אסון טבע, התש""ף-2020")</f>
        <v>26482</v>
      </c>
      <c r="E13723" t="s">
        <v>26482</v>
      </c>
      <c r="F13723" t="s">
        <v>26483</v>
      </c>
      <c r="G13723" t="s">
        <v>14</v>
      </c>
      <c r="H13723">
             </c>
      <c r="I13723" t="s">
        <v>14</v>
      </c>
      <c r="J13723" t="s">
        <v>141</v>
      </c>
      <c r="K13723" t="s">
        <v>14</v>
      </c>
      <c r="L13723" t="s">
        <v>20</v>
      </c>
      <c r="M13723" t="s">
        <v>26466</v>
      </c>
      <c r="N13723" t="s">
        <v>14</v>
      </c>
    </row>
    <row r="13724" x14ac:dyDescent="0.25">
      <c r="A13724" t="n">
        <v>23</v>
      </c>
      <c r="B13724" t="s">
        <v>14</v>
      </c>
      <c r="C13724" t="s">
        <v>22</v>
      </c>
      <c r="D13724" s="2" t="s">
        <f>=HYPERLINK("https://main.knesset.gov.il/APPS/legislation/main/bills/2086784", "הצעת חוק שירות המילואים (תיקון - תוספת גמול לימי מילואים נוספים), התש""ף-2020")</f>
        <v>26484</v>
      </c>
      <c r="E13724" t="s">
        <v>26484</v>
      </c>
      <c r="F13724" t="s">
        <v>26485</v>
      </c>
      <c r="G13724" t="s">
        <v>14</v>
      </c>
      <c r="H13724">
             </c>
      <c r="I13724" t="s">
        <v>14</v>
      </c>
      <c r="J13724" t="s">
        <v>141</v>
      </c>
      <c r="K13724" t="s">
        <v>14</v>
      </c>
      <c r="L13724" t="s">
        <v>20</v>
      </c>
      <c r="M13724" t="s">
        <v>26466</v>
      </c>
      <c r="N13724" t="s">
        <v>14</v>
      </c>
    </row>
    <row r="13725" x14ac:dyDescent="0.25">
      <c r="A13725" t="n">
        <v>23</v>
      </c>
      <c r="B13725" t="s">
        <v>14</v>
      </c>
      <c r="C13725" t="s">
        <v>22</v>
      </c>
      <c r="D13725" s="2" t="s">
        <f>=HYPERLINK("https://main.knesset.gov.il/APPS/legislation/main/bills/2086641", "הצעת חוק בתי קברות צבאיים (תיקון - חיילים זכאי חוק השבות), התש""ף-2020")</f>
        <v>26486</v>
      </c>
      <c r="E13725" t="s">
        <v>26486</v>
      </c>
      <c r="F13725" t="s">
        <v>26487</v>
      </c>
      <c r="G13725" t="s">
        <v>14</v>
      </c>
      <c r="H13725">
             </c>
      <c r="I13725" t="s">
        <v>14</v>
      </c>
      <c r="J13725" t="s">
        <v>141</v>
      </c>
      <c r="K13725" t="s">
        <v>14</v>
      </c>
      <c r="L13725" t="s">
        <v>20</v>
      </c>
      <c r="M13725" t="s">
        <v>26466</v>
      </c>
      <c r="N13725" t="s">
        <v>14</v>
      </c>
    </row>
    <row r="13726" x14ac:dyDescent="0.25">
      <c r="A13726" t="n">
        <v>23</v>
      </c>
      <c r="B13726" t="s">
        <v>14</v>
      </c>
      <c r="C13726" t="s">
        <v>22</v>
      </c>
      <c r="D13726" s="2" t="s">
        <f>=HYPERLINK("https://main.knesset.gov.il/APPS/legislation/main/bills/2086536", "הצעת חוק הצמדת תשלומים לחיילים בודדים למדד המחירים לצרכן, התש""ף-2020")</f>
        <v>26488</v>
      </c>
      <c r="E13726" t="s">
        <v>26488</v>
      </c>
      <c r="F13726" t="s">
        <v>26489</v>
      </c>
      <c r="G13726" t="s">
        <v>14</v>
      </c>
      <c r="H13726">
             </c>
      <c r="I13726" t="s">
        <v>14</v>
      </c>
      <c r="J13726" t="s">
        <v>141</v>
      </c>
      <c r="K13726" t="s">
        <v>14</v>
      </c>
      <c r="L13726" t="s">
        <v>20</v>
      </c>
      <c r="M13726" t="s">
        <v>26466</v>
      </c>
      <c r="N13726" t="s">
        <v>14</v>
      </c>
    </row>
    <row r="13727" x14ac:dyDescent="0.25">
      <c r="A13727" t="n">
        <v>23</v>
      </c>
      <c r="B13727" t="s">
        <v>14</v>
      </c>
      <c r="C13727" t="s">
        <v>22</v>
      </c>
      <c r="D13727" s="2" t="s">
        <f>=HYPERLINK("https://main.knesset.gov.il/APPS/legislation/main/bills/2086707", "הצעת חוק הרשויות המקומיות (פטור חיילים, נפגעי מלחמה ושוטרים מארנונה) (תיקון - פטור לחייל בודד בדירת שותפים), התש""ף-2020")</f>
        <v>26490</v>
      </c>
      <c r="E13727" t="s">
        <v>26490</v>
      </c>
      <c r="F13727" t="s">
        <v>26491</v>
      </c>
      <c r="G13727" t="s">
        <v>14</v>
      </c>
      <c r="H13727">
             </c>
      <c r="I13727" t="s">
        <v>14</v>
      </c>
      <c r="J13727" t="s">
        <v>141</v>
      </c>
      <c r="K13727" t="s">
        <v>14</v>
      </c>
      <c r="L13727" t="s">
        <v>20</v>
      </c>
      <c r="M13727" t="s">
        <v>26466</v>
      </c>
      <c r="N13727" t="s">
        <v>14</v>
      </c>
    </row>
    <row r="13728" x14ac:dyDescent="0.25">
      <c r="A13728" t="n">
        <v>23</v>
      </c>
      <c r="B13728" t="s">
        <v>14</v>
      </c>
      <c r="C13728" t="s">
        <v>22</v>
      </c>
      <c r="D13728" s="2" t="s">
        <f>=HYPERLINK("https://main.knesset.gov.il/APPS/legislation/main/bills/2086460", "הצעת חוק הביטוח הלאומי (תיקון - דמי אבטלה למי שנמצא בהכשרה מקצועית), התש""ף-2020")</f>
        <v>26492</v>
      </c>
      <c r="E13728" t="s">
        <v>26492</v>
      </c>
      <c r="F13728" t="s">
        <v>26493</v>
      </c>
      <c r="G13728" t="s">
        <v>14</v>
      </c>
      <c r="H13728">
             </c>
      <c r="I13728" t="s">
        <v>14</v>
      </c>
      <c r="J13728" t="s">
        <v>141</v>
      </c>
      <c r="K13728" t="s">
        <v>14</v>
      </c>
      <c r="L13728" t="s">
        <v>20</v>
      </c>
      <c r="M13728" t="s">
        <v>26466</v>
      </c>
      <c r="N13728" t="s">
        <v>14</v>
      </c>
    </row>
    <row r="13729" x14ac:dyDescent="0.25">
      <c r="A13729" t="n">
        <v>23</v>
      </c>
      <c r="B13729" t="s">
        <v>14</v>
      </c>
      <c r="C13729" t="s">
        <v>22</v>
      </c>
      <c r="D13729" s="2" t="s">
        <f>=HYPERLINK("https://main.knesset.gov.il/APPS/legislation/main/bills/2086521", "הצעת חוק המזונות (הבטחת תשלום) (תיקון - סכום שלא יובא בחשבון במבחן ההכנסה), התש""ף-2020")</f>
        <v>25398</v>
      </c>
      <c r="E13729" t="s">
        <v>25398</v>
      </c>
      <c r="F13729" t="s">
        <v>26494</v>
      </c>
      <c r="G13729" t="s">
        <v>14</v>
      </c>
      <c r="H13729">
             </c>
      <c r="I13729" t="s">
        <v>14</v>
      </c>
      <c r="J13729" t="s">
        <v>141</v>
      </c>
      <c r="K13729" t="s">
        <v>14</v>
      </c>
      <c r="L13729" t="s">
        <v>20</v>
      </c>
      <c r="M13729" t="s">
        <v>26466</v>
      </c>
      <c r="N13729" t="s">
        <v>14</v>
      </c>
    </row>
    <row r="13730" x14ac:dyDescent="0.25">
      <c r="A13730" t="n">
        <v>23</v>
      </c>
      <c r="B13730" t="s">
        <v>14</v>
      </c>
      <c r="C13730" t="s">
        <v>22</v>
      </c>
      <c r="D13730" s="2" t="s">
        <f>=HYPERLINK("https://main.knesset.gov.il/APPS/legislation/main/bills/2086021", "הצעת חוק לעידוד מחקר, פיתוח וחדשנות טכנולוגית בתעשייה (תיקון - תקציב הרשות הלאומית לחדשנות טכנולוגית), התש""ף-2020")</f>
        <v>23984</v>
      </c>
      <c r="E13730" t="s">
        <v>23984</v>
      </c>
      <c r="F13730" t="s">
        <v>26495</v>
      </c>
      <c r="G13730" t="s">
        <v>14</v>
      </c>
      <c r="H13730">
             </c>
      <c r="I13730" t="s">
        <v>14</v>
      </c>
      <c r="J13730" t="s">
        <v>141</v>
      </c>
      <c r="K13730" t="s">
        <v>14</v>
      </c>
      <c r="L13730" t="s">
        <v>20</v>
      </c>
      <c r="M13730" t="s">
        <v>26466</v>
      </c>
      <c r="N13730" t="s">
        <v>14</v>
      </c>
    </row>
    <row r="13731" x14ac:dyDescent="0.25">
      <c r="A13731" t="n">
        <v>23</v>
      </c>
      <c r="B13731" t="s">
        <v>14</v>
      </c>
      <c r="C13731" t="s">
        <v>22</v>
      </c>
      <c r="D13731" s="2" t="s">
        <f>=HYPERLINK("https://main.knesset.gov.il/APPS/legislation/main/bills/2086363", "הצעת חוק המזונות (הבטחת תשלום) (תיקון - סכום שלא יובא בחשבון במבחן ההכנסה), התש""ף - 2020")</f>
        <v>26496</v>
      </c>
      <c r="E13731" t="s">
        <v>26496</v>
      </c>
      <c r="F13731" t="s">
        <v>26497</v>
      </c>
      <c r="G13731" t="s">
        <v>14</v>
      </c>
      <c r="H13731">
             </c>
      <c r="I13731" t="s">
        <v>14</v>
      </c>
      <c r="J13731" t="s">
        <v>141</v>
      </c>
      <c r="K13731" t="s">
        <v>14</v>
      </c>
      <c r="L13731" t="s">
        <v>20</v>
      </c>
      <c r="M13731" t="s">
        <v>26466</v>
      </c>
      <c r="N13731" t="s">
        <v>14</v>
      </c>
    </row>
    <row r="13732" x14ac:dyDescent="0.25">
      <c r="A13732" t="n">
        <v>23</v>
      </c>
      <c r="B13732" t="s">
        <v>14</v>
      </c>
      <c r="C13732" t="s">
        <v>22</v>
      </c>
      <c r="D13732" s="2" t="s">
        <f>=HYPERLINK("https://main.knesset.gov.il/APPS/legislation/main/bills/2085928", "הצעת חוק הביטוח הלאומי (תיקון - עדכון קצבת אזרח ותיק בהתאם לשכר המינימום), התש""ף-2020")</f>
        <v>25575</v>
      </c>
      <c r="E13732" t="s">
        <v>25575</v>
      </c>
      <c r="F13732" t="s">
        <v>26498</v>
      </c>
      <c r="G13732" t="s">
        <v>14</v>
      </c>
      <c r="H13732">
             </c>
      <c r="I13732" t="s">
        <v>14</v>
      </c>
      <c r="J13732" t="s">
        <v>141</v>
      </c>
      <c r="K13732" t="s">
        <v>14</v>
      </c>
      <c r="L13732" t="s">
        <v>20</v>
      </c>
      <c r="M13732" t="s">
        <v>26466</v>
      </c>
      <c r="N13732" t="s">
        <v>14</v>
      </c>
    </row>
    <row r="13733" x14ac:dyDescent="0.25">
      <c r="A13733" t="n">
        <v>23</v>
      </c>
      <c r="B13733" t="s">
        <v>14</v>
      </c>
      <c r="C13733" t="s">
        <v>22</v>
      </c>
      <c r="D13733" s="2" t="s">
        <f>=HYPERLINK("https://main.knesset.gov.il/APPS/legislation/main/bills/2086222", "הצעת חוק סיוע לבוגרי מסגרת השמה חוץ ביתית, התש""ף-2020")</f>
        <v>26499</v>
      </c>
      <c r="E13733" t="s">
        <v>26499</v>
      </c>
      <c r="F13733" t="s">
        <v>26500</v>
      </c>
      <c r="G13733" t="s">
        <v>14</v>
      </c>
      <c r="H13733">
             </c>
      <c r="I13733" t="s">
        <v>14</v>
      </c>
      <c r="J13733" t="s">
        <v>141</v>
      </c>
      <c r="K13733" t="s">
        <v>14</v>
      </c>
      <c r="L13733" t="s">
        <v>20</v>
      </c>
      <c r="M13733" t="s">
        <v>26466</v>
      </c>
      <c r="N13733" t="s">
        <v>14</v>
      </c>
    </row>
    <row r="13734" x14ac:dyDescent="0.25">
      <c r="A13734" t="n">
        <v>23</v>
      </c>
      <c r="B13734" t="s">
        <v>14</v>
      </c>
      <c r="C13734" t="s">
        <v>22</v>
      </c>
      <c r="D13734" s="2" t="s">
        <f>=HYPERLINK("https://main.knesset.gov.il/APPS/legislation/main/bills/2086614", "הצעת חוק שירות הקבע בצבא הגנה לישראל (גמלאות) (תיקון - גמלה לאלמנה שנישאה מחדש), התש""ף-2020")</f>
        <v>26501</v>
      </c>
      <c r="E13734" t="s">
        <v>26501</v>
      </c>
      <c r="F13734" t="s">
        <v>26502</v>
      </c>
      <c r="G13734" t="s">
        <v>14</v>
      </c>
      <c r="H13734">
             </c>
      <c r="I13734" t="s">
        <v>14</v>
      </c>
      <c r="J13734" t="s">
        <v>141</v>
      </c>
      <c r="K13734" t="s">
        <v>14</v>
      </c>
      <c r="L13734" t="s">
        <v>20</v>
      </c>
      <c r="M13734" t="s">
        <v>26466</v>
      </c>
      <c r="N13734" t="s">
        <v>14</v>
      </c>
    </row>
    <row r="13735" x14ac:dyDescent="0.25">
      <c r="A13735" t="n">
        <v>23</v>
      </c>
      <c r="B13735" t="s">
        <v>14</v>
      </c>
      <c r="C13735" t="s">
        <v>22</v>
      </c>
      <c r="D13735" s="2" t="s">
        <f>=HYPERLINK("https://main.knesset.gov.il/APPS/legislation/main/bills/2085942", "הצעת חוק הביטוח הלאומי (תיקון - ערעור על החלטת ועדה לעררים), התש""ף-2020")</f>
        <v>25428</v>
      </c>
      <c r="E13735" t="s">
        <v>25428</v>
      </c>
      <c r="F13735" t="s">
        <v>26503</v>
      </c>
      <c r="G13735" t="s">
        <v>14</v>
      </c>
      <c r="H13735">
             </c>
      <c r="I13735" t="s">
        <v>14</v>
      </c>
      <c r="J13735" t="s">
        <v>141</v>
      </c>
      <c r="K13735" t="s">
        <v>14</v>
      </c>
      <c r="L13735" t="s">
        <v>20</v>
      </c>
      <c r="M13735" t="s">
        <v>26466</v>
      </c>
      <c r="N13735" t="s">
        <v>14</v>
      </c>
    </row>
    <row r="13736" x14ac:dyDescent="0.25">
      <c r="A13736" t="n">
        <v>23</v>
      </c>
      <c r="B13736" t="s">
        <v>14</v>
      </c>
      <c r="C13736" t="s">
        <v>22</v>
      </c>
      <c r="D13736" s="2" t="s">
        <f>=HYPERLINK("https://main.knesset.gov.il/APPS/legislation/main/bills/2086226", "הצעת חוק ביטוח בריאות ממלכתי (תיקון - עיגון זכאות לשירותים לילדים עם אוטיזם), התש""ף-2020")</f>
        <v>26504</v>
      </c>
      <c r="E13736" t="s">
        <v>26504</v>
      </c>
      <c r="F13736" t="s">
        <v>26505</v>
      </c>
      <c r="G13736" t="s">
        <v>14</v>
      </c>
      <c r="H13736">
             </c>
      <c r="I13736" t="s">
        <v>14</v>
      </c>
      <c r="J13736" t="s">
        <v>141</v>
      </c>
      <c r="K13736" t="s">
        <v>14</v>
      </c>
      <c r="L13736" t="s">
        <v>20</v>
      </c>
      <c r="M13736" t="s">
        <v>26466</v>
      </c>
      <c r="N13736" t="s">
        <v>14</v>
      </c>
    </row>
    <row r="13737" x14ac:dyDescent="0.25">
      <c r="A13737" t="n">
        <v>23</v>
      </c>
      <c r="B13737" t="s">
        <v>14</v>
      </c>
      <c r="C13737" t="s">
        <v>22</v>
      </c>
      <c r="D13737" s="2" t="s">
        <f>=HYPERLINK("https://main.knesset.gov.il/APPS/legislation/main/bills/2086496", "הצעת חוק טיפול בחולי נפש (תיקון - החלת הוראות על בגיר שסובל מאנורקסיה נרבוזה), התש""ף-2020")</f>
        <v>26506</v>
      </c>
      <c r="E13737" t="s">
        <v>26506</v>
      </c>
      <c r="F13737" t="s">
        <v>26507</v>
      </c>
      <c r="G13737" t="s">
        <v>14</v>
      </c>
      <c r="H13737">
             </c>
      <c r="I13737" t="s">
        <v>14</v>
      </c>
      <c r="J13737" t="s">
        <v>141</v>
      </c>
      <c r="K13737" t="s">
        <v>14</v>
      </c>
      <c r="L13737" t="s">
        <v>20</v>
      </c>
      <c r="M13737" t="s">
        <v>26466</v>
      </c>
      <c r="N13737" t="s">
        <v>14</v>
      </c>
    </row>
    <row r="13738" x14ac:dyDescent="0.25">
      <c r="A13738" t="n">
        <v>23</v>
      </c>
      <c r="B13738" t="s">
        <v>14</v>
      </c>
      <c r="C13738" t="s">
        <v>22</v>
      </c>
      <c r="D13738" s="2" t="s">
        <f>=HYPERLINK("https://main.knesset.gov.il/APPS/legislation/main/bills/2086712", "הצעת חוק הביטוח הלאומי (תיקון - הצמדת קצבת אזרח ותיק לשכר הממוצע לפחות), התש""ף-2020")</f>
        <v>26508</v>
      </c>
      <c r="E13738" t="s">
        <v>26508</v>
      </c>
      <c r="F13738" t="s">
        <v>26509</v>
      </c>
      <c r="G13738" t="s">
        <v>14</v>
      </c>
      <c r="H13738">
             </c>
      <c r="I13738" t="s">
        <v>14</v>
      </c>
      <c r="J13738" t="s">
        <v>141</v>
      </c>
      <c r="K13738" t="s">
        <v>14</v>
      </c>
      <c r="L13738" t="s">
        <v>20</v>
      </c>
      <c r="M13738" t="s">
        <v>26466</v>
      </c>
      <c r="N13738" t="s">
        <v>14</v>
      </c>
    </row>
    <row r="13739" x14ac:dyDescent="0.25">
      <c r="A13739" t="n">
        <v>23</v>
      </c>
      <c r="B13739" t="s">
        <v>14</v>
      </c>
      <c r="C13739" t="s">
        <v>22</v>
      </c>
      <c r="D13739" s="2" t="s">
        <f>=HYPERLINK("https://main.knesset.gov.il/APPS/legislation/main/bills/2086062", "הצעת חוק הביטוח הלאומי (תיקון- קצבת אזרח ותיק ראויה), התש""ף-2020")</f>
        <v>26510</v>
      </c>
      <c r="E13739" t="s">
        <v>26510</v>
      </c>
      <c r="F13739" t="s">
        <v>26511</v>
      </c>
      <c r="G13739" t="s">
        <v>14</v>
      </c>
      <c r="H13739">
             </c>
      <c r="I13739" t="s">
        <v>14</v>
      </c>
      <c r="J13739" t="s">
        <v>141</v>
      </c>
      <c r="K13739" t="s">
        <v>14</v>
      </c>
      <c r="L13739" t="s">
        <v>20</v>
      </c>
      <c r="M13739" t="s">
        <v>26466</v>
      </c>
      <c r="N13739" t="s">
        <v>14</v>
      </c>
    </row>
    <row r="13740" x14ac:dyDescent="0.25">
      <c r="A13740" t="n">
        <v>23</v>
      </c>
      <c r="B13740" t="s">
        <v>14</v>
      </c>
      <c r="C13740" t="s">
        <v>22</v>
      </c>
      <c r="D13740" s="2" t="s">
        <f>=HYPERLINK("https://main.knesset.gov.il/APPS/legislation/main/bills/2086534", "הצעת חוק חזקת הסכמה לתרומת אברים (תיקוני חקיקה), התש""ף-2020")</f>
        <v>26512</v>
      </c>
      <c r="E13740" t="s">
        <v>26512</v>
      </c>
      <c r="F13740" t="s">
        <v>26513</v>
      </c>
      <c r="G13740" t="s">
        <v>14</v>
      </c>
      <c r="H13740">
             </c>
      <c r="I13740" t="s">
        <v>14</v>
      </c>
      <c r="J13740" t="s">
        <v>141</v>
      </c>
      <c r="K13740" t="s">
        <v>14</v>
      </c>
      <c r="L13740" t="s">
        <v>20</v>
      </c>
      <c r="M13740" t="s">
        <v>26466</v>
      </c>
      <c r="N13740" t="s">
        <v>14</v>
      </c>
    </row>
    <row r="13741" x14ac:dyDescent="0.25">
      <c r="A13741" t="n">
        <v>23</v>
      </c>
      <c r="B13741" t="s">
        <v>14</v>
      </c>
      <c r="C13741" t="s">
        <v>22</v>
      </c>
      <c r="D13741" s="2" t="s">
        <f>=HYPERLINK("https://main.knesset.gov.il/APPS/legislation/main/bills/2086381", "הצעת חוק סיוע לצעירים חסרי עורף משפחתי, התש""ף-2020")</f>
        <v>23339</v>
      </c>
      <c r="E13741" t="s">
        <v>23339</v>
      </c>
      <c r="F13741" t="s">
        <v>26514</v>
      </c>
      <c r="G13741" t="s">
        <v>14</v>
      </c>
      <c r="H13741">
             </c>
      <c r="I13741" t="s">
        <v>14</v>
      </c>
      <c r="J13741" t="s">
        <v>1123</v>
      </c>
      <c r="K13741" t="s">
        <v>14</v>
      </c>
      <c r="L13741" t="s">
        <v>20</v>
      </c>
      <c r="M13741" t="s">
        <v>26466</v>
      </c>
      <c r="N13741" t="s">
        <v>14</v>
      </c>
    </row>
    <row r="13742" x14ac:dyDescent="0.25">
      <c r="A13742" t="n">
        <v>23</v>
      </c>
      <c r="B13742" t="s">
        <v>14</v>
      </c>
      <c r="C13742" t="s">
        <v>22</v>
      </c>
      <c r="D13742" s="2" t="s">
        <f>=HYPERLINK("https://main.knesset.gov.il/APPS/legislation/main/bills/2086168", "הצעת חוק שבת יום המנוחה, התש""ף-2020")</f>
        <v>26515</v>
      </c>
      <c r="E13742" t="s">
        <v>26515</v>
      </c>
      <c r="F13742" t="s">
        <v>26516</v>
      </c>
      <c r="G13742" t="s">
        <v>14</v>
      </c>
      <c r="H13742">
             </c>
      <c r="I13742" t="s">
        <v>14</v>
      </c>
      <c r="J13742" t="s">
        <v>141</v>
      </c>
      <c r="K13742" t="s">
        <v>14</v>
      </c>
      <c r="L13742" t="s">
        <v>20</v>
      </c>
      <c r="M13742" t="s">
        <v>26466</v>
      </c>
      <c r="N13742" t="s">
        <v>14</v>
      </c>
    </row>
    <row r="13743" x14ac:dyDescent="0.25">
      <c r="A13743" t="n">
        <v>23</v>
      </c>
      <c r="B13743" t="s">
        <v>14</v>
      </c>
      <c r="C13743" t="s">
        <v>22</v>
      </c>
      <c r="D13743" s="2" t="s">
        <f>=HYPERLINK("https://main.knesset.gov.il/APPS/legislation/main/bills/2086172", "הצעת חוק הביטוח הלאומי (תיקון - דמי מחלה לעובד עצמאי), התש""ף-2020")</f>
        <v>24158</v>
      </c>
      <c r="E13743" t="s">
        <v>24158</v>
      </c>
      <c r="F13743" t="s">
        <v>26517</v>
      </c>
      <c r="G13743" t="s">
        <v>14</v>
      </c>
      <c r="H13743">
             </c>
      <c r="I13743" t="s">
        <v>14</v>
      </c>
      <c r="J13743" t="s">
        <v>141</v>
      </c>
      <c r="K13743" t="s">
        <v>14</v>
      </c>
      <c r="L13743" t="s">
        <v>20</v>
      </c>
      <c r="M13743" t="s">
        <v>26466</v>
      </c>
      <c r="N13743" t="s">
        <v>14</v>
      </c>
    </row>
    <row r="13744" x14ac:dyDescent="0.25">
      <c r="A13744" t="n">
        <v>23</v>
      </c>
      <c r="B13744" t="s">
        <v>14</v>
      </c>
      <c r="C13744" t="s">
        <v>22</v>
      </c>
      <c r="D13744" s="2" t="s">
        <f>=HYPERLINK("https://main.knesset.gov.il/APPS/legislation/main/bills/2085741", "הצעת חוק הרשויות המקומיות (ייעוד כספי הקצבות למטרות שירותי סידור חוץ-ביתי הולם לילדים), התש""ף-2020")</f>
        <v>26518</v>
      </c>
      <c r="E13744" t="s">
        <v>26518</v>
      </c>
      <c r="F13744" t="s">
        <v>26519</v>
      </c>
      <c r="G13744" t="s">
        <v>14</v>
      </c>
      <c r="H13744">
             </c>
      <c r="I13744" t="s">
        <v>14</v>
      </c>
      <c r="J13744" t="s">
        <v>141</v>
      </c>
      <c r="K13744" t="s">
        <v>14</v>
      </c>
      <c r="L13744" t="s">
        <v>20</v>
      </c>
      <c r="M13744" t="s">
        <v>26466</v>
      </c>
      <c r="N13744" t="s">
        <v>14</v>
      </c>
    </row>
    <row r="13745" x14ac:dyDescent="0.25">
      <c r="A13745" t="n">
        <v>23</v>
      </c>
      <c r="B13745" t="s">
        <v>14</v>
      </c>
      <c r="C13745" t="s">
        <v>22</v>
      </c>
      <c r="D13745" s="2" t="s">
        <f>=HYPERLINK("https://main.knesset.gov.il/APPS/legislation/main/bills/2087182", "הצעת חוק הביטוח הלאומי (תיקון - דמי אבטלה לעצמאיים), התש""ף-2020")</f>
        <v>25135</v>
      </c>
      <c r="E13745" t="s">
        <v>25135</v>
      </c>
      <c r="F13745" t="s">
        <v>26520</v>
      </c>
      <c r="G13745" t="s">
        <v>14</v>
      </c>
      <c r="H13745">
             </c>
      <c r="I13745" t="s">
        <v>14</v>
      </c>
      <c r="J13745" t="s">
        <v>141</v>
      </c>
      <c r="K13745" t="s">
        <v>14</v>
      </c>
      <c r="L13745" t="s">
        <v>20</v>
      </c>
      <c r="M13745" t="s">
        <v>26466</v>
      </c>
      <c r="N13745" t="s">
        <v>14</v>
      </c>
    </row>
    <row r="13746" x14ac:dyDescent="0.25">
      <c r="A13746" t="n">
        <v>23</v>
      </c>
      <c r="B13746" t="s">
        <v>14</v>
      </c>
      <c r="C13746" t="s">
        <v>22</v>
      </c>
      <c r="D13746" s="2" t="s">
        <f>=HYPERLINK("https://main.knesset.gov.il/APPS/legislation/main/bills/2087165", "הצעת חוק הביטוח הלאומי (תיקון - דמי אבטלה לעצמאיים), התש""ף-2020")</f>
        <v>25135</v>
      </c>
      <c r="E13746" t="s">
        <v>25135</v>
      </c>
      <c r="F13746" t="s">
        <v>26521</v>
      </c>
      <c r="G13746" t="s">
        <v>14</v>
      </c>
      <c r="H13746">
             </c>
      <c r="I13746" t="s">
        <v>14</v>
      </c>
      <c r="J13746" t="s">
        <v>141</v>
      </c>
      <c r="K13746" t="s">
        <v>14</v>
      </c>
      <c r="L13746" t="s">
        <v>20</v>
      </c>
      <c r="M13746" t="s">
        <v>26466</v>
      </c>
      <c r="N13746" t="s">
        <v>14</v>
      </c>
    </row>
    <row r="13747" x14ac:dyDescent="0.25">
      <c r="A13747" t="n">
        <v>23</v>
      </c>
      <c r="B13747" t="s">
        <v>14</v>
      </c>
      <c r="C13747" t="s">
        <v>22</v>
      </c>
      <c r="D13747" s="2" t="s">
        <f>=HYPERLINK("https://main.knesset.gov.il/APPS/legislation/main/bills/2086876", "הצעת חוק לתיקון פקודת התעבורה (הדרכה בנהיגה בשפות שאינן עברית), התש""ף-2020")</f>
        <v>26522</v>
      </c>
      <c r="E13747" t="s">
        <v>26522</v>
      </c>
      <c r="F13747" t="s">
        <v>26523</v>
      </c>
      <c r="G13747" t="s">
        <v>14</v>
      </c>
      <c r="H13747">
             </c>
      <c r="I13747" t="s">
        <v>14</v>
      </c>
      <c r="J13747" t="s">
        <v>141</v>
      </c>
      <c r="K13747" t="s">
        <v>14</v>
      </c>
      <c r="L13747" t="s">
        <v>20</v>
      </c>
      <c r="M13747" t="s">
        <v>26466</v>
      </c>
      <c r="N13747" t="s">
        <v>14</v>
      </c>
    </row>
    <row r="13748" x14ac:dyDescent="0.25">
      <c r="A13748" t="n">
        <v>23</v>
      </c>
      <c r="B13748" t="s">
        <v>14</v>
      </c>
      <c r="C13748" t="s">
        <v>22</v>
      </c>
      <c r="D13748" s="2" t="s">
        <f>=HYPERLINK("https://main.knesset.gov.il/APPS/legislation/main/bills/2087007", "הצעת חוק הביטוח הלאומי (תיקון - דמי אבטלה לעצמאיים), התש""ף-2020")</f>
        <v>25135</v>
      </c>
      <c r="E13748" t="s">
        <v>25135</v>
      </c>
      <c r="F13748" t="s">
        <v>26524</v>
      </c>
      <c r="G13748" t="s">
        <v>14</v>
      </c>
      <c r="H13748">
             </c>
      <c r="I13748" t="s">
        <v>14</v>
      </c>
      <c r="J13748" t="s">
        <v>141</v>
      </c>
      <c r="K13748" t="s">
        <v>14</v>
      </c>
      <c r="L13748" t="s">
        <v>20</v>
      </c>
      <c r="M13748" t="s">
        <v>26466</v>
      </c>
      <c r="N13748" t="s">
        <v>14</v>
      </c>
    </row>
    <row r="13749" x14ac:dyDescent="0.25">
      <c r="A13749" t="n">
        <v>23</v>
      </c>
      <c r="B13749" t="s">
        <v>14</v>
      </c>
      <c r="C13749" t="s">
        <v>22</v>
      </c>
      <c r="D13749" s="2" t="s">
        <f>=HYPERLINK("https://main.knesset.gov.il/APPS/legislation/main/bills/2087009", "הצעת חוק הגנת הצרכן (תיקון - ביטול החרגת תאגידים בנקאיים וביטוחיים), התש""ף-2020")</f>
        <v>26525</v>
      </c>
      <c r="E13749" t="s">
        <v>26525</v>
      </c>
      <c r="F13749" t="s">
        <v>26526</v>
      </c>
      <c r="G13749" t="s">
        <v>14</v>
      </c>
      <c r="H13749">
             </c>
      <c r="I13749" t="s">
        <v>14</v>
      </c>
      <c r="J13749" t="s">
        <v>141</v>
      </c>
      <c r="K13749" t="s">
        <v>14</v>
      </c>
      <c r="L13749" t="s">
        <v>20</v>
      </c>
      <c r="M13749" t="s">
        <v>26466</v>
      </c>
      <c r="N13749" t="s">
        <v>14</v>
      </c>
    </row>
    <row r="13750" x14ac:dyDescent="0.25">
      <c r="A13750" t="n">
        <v>23</v>
      </c>
      <c r="B13750" t="s">
        <v>14</v>
      </c>
      <c r="C13750" t="s">
        <v>22</v>
      </c>
      <c r="D13750" s="2" t="s">
        <f>=HYPERLINK("https://main.knesset.gov.il/APPS/legislation/main/bills/2086581", "הצעת חוק הגנת הצרכן (תיקון - סיכום פניה), התש""ף-2020")</f>
        <v>26527</v>
      </c>
      <c r="E13750" t="s">
        <v>26527</v>
      </c>
      <c r="F13750" t="s">
        <v>26528</v>
      </c>
      <c r="G13750" t="s">
        <v>14</v>
      </c>
      <c r="H13750">
             </c>
      <c r="I13750" t="s">
        <v>14</v>
      </c>
      <c r="J13750" t="s">
        <v>141</v>
      </c>
      <c r="K13750" t="s">
        <v>14</v>
      </c>
      <c r="L13750" t="s">
        <v>20</v>
      </c>
      <c r="M13750" t="s">
        <v>26466</v>
      </c>
      <c r="N13750" t="s">
        <v>14</v>
      </c>
    </row>
    <row r="13751" x14ac:dyDescent="0.25">
      <c r="A13751" t="n">
        <v>23</v>
      </c>
      <c r="B13751" t="s">
        <v>14</v>
      </c>
      <c r="C13751" t="s">
        <v>22</v>
      </c>
      <c r="D13751" s="2" t="s">
        <f>=HYPERLINK("https://main.knesset.gov.il/APPS/legislation/main/bills/2086233", "הצעת חוק הביטוח הלאומי (תיקון - דמי אבטלה לעובד עצמאי), התש""ף-2020")</f>
        <v>26529</v>
      </c>
      <c r="E13751" t="s">
        <v>26529</v>
      </c>
      <c r="F13751" t="s">
        <v>26530</v>
      </c>
      <c r="G13751" t="s">
        <v>14</v>
      </c>
      <c r="H13751">
             </c>
      <c r="I13751" t="s">
        <v>14</v>
      </c>
      <c r="J13751" t="s">
        <v>141</v>
      </c>
      <c r="K13751" t="s">
        <v>14</v>
      </c>
      <c r="L13751" t="s">
        <v>20</v>
      </c>
      <c r="M13751" t="s">
        <v>26466</v>
      </c>
      <c r="N13751" t="s">
        <v>14</v>
      </c>
    </row>
    <row r="13752" x14ac:dyDescent="0.25">
      <c r="A13752" t="n">
        <v>23</v>
      </c>
      <c r="B13752" t="s">
        <v>14</v>
      </c>
      <c r="C13752" t="s">
        <v>22</v>
      </c>
      <c r="D13752" s="2" t="s">
        <f>=HYPERLINK("https://main.knesset.gov.il/APPS/legislation/main/bills/2085604", "הצעת חוק משק החשמל (תיקון - איסור ניתוק חשמל), התש""ף-2020")</f>
        <v>26287</v>
      </c>
      <c r="E13752" t="s">
        <v>26287</v>
      </c>
      <c r="F13752" t="s">
        <v>26531</v>
      </c>
      <c r="G13752" t="s">
        <v>14</v>
      </c>
      <c r="H13752">
             </c>
      <c r="I13752" t="s">
        <v>14</v>
      </c>
      <c r="J13752" t="s">
        <v>141</v>
      </c>
      <c r="K13752" t="s">
        <v>14</v>
      </c>
      <c r="L13752" t="s">
        <v>20</v>
      </c>
      <c r="M13752" t="s">
        <v>26466</v>
      </c>
      <c r="N13752" t="s">
        <v>14</v>
      </c>
    </row>
    <row r="13753" x14ac:dyDescent="0.25">
      <c r="A13753" t="n">
        <v>23</v>
      </c>
      <c r="B13753" t="s">
        <v>14</v>
      </c>
      <c r="C13753" t="s">
        <v>22</v>
      </c>
      <c r="D13753" s="2" t="s">
        <f>=HYPERLINK("https://main.knesset.gov.il/APPS/legislation/main/bills/2086746", "הצעת חוק הבטחת הכנסה (תיקון - מענק קירור), התש""ף-2020")</f>
        <v>24396</v>
      </c>
      <c r="E13753" t="s">
        <v>24396</v>
      </c>
      <c r="F13753" t="s">
        <v>26532</v>
      </c>
      <c r="G13753" t="s">
        <v>14</v>
      </c>
      <c r="H13753">
             </c>
      <c r="I13753" t="s">
        <v>14</v>
      </c>
      <c r="J13753" t="s">
        <v>141</v>
      </c>
      <c r="K13753" t="s">
        <v>14</v>
      </c>
      <c r="L13753" t="s">
        <v>20</v>
      </c>
      <c r="M13753" t="s">
        <v>26466</v>
      </c>
      <c r="N13753" t="s">
        <v>14</v>
      </c>
    </row>
    <row r="13754" x14ac:dyDescent="0.25">
      <c r="A13754" t="n">
        <v>23</v>
      </c>
      <c r="B13754" t="s">
        <v>14</v>
      </c>
      <c r="C13754" t="s">
        <v>22</v>
      </c>
      <c r="D13754" s="2" t="s">
        <f>=HYPERLINK("https://main.knesset.gov.il/APPS/legislation/main/bills/2085632", "הצעת חוק הטבות מענק מקום לרכישת דירה בפריפריה, לזכאים לרכישת דירה בתכנית מחיר למשתכן שאין התכנית פועלת בעירם, התש""ף-2020")</f>
        <v>26533</v>
      </c>
      <c r="E13754" t="s">
        <v>26533</v>
      </c>
      <c r="F13754" t="s">
        <v>26534</v>
      </c>
      <c r="G13754" t="s">
        <v>14</v>
      </c>
      <c r="H13754">
             </c>
      <c r="I13754" t="s">
        <v>14</v>
      </c>
      <c r="J13754" t="s">
        <v>141</v>
      </c>
      <c r="K13754" t="s">
        <v>14</v>
      </c>
      <c r="L13754" t="s">
        <v>20</v>
      </c>
      <c r="M13754" t="s">
        <v>26466</v>
      </c>
      <c r="N13754" t="s">
        <v>14</v>
      </c>
    </row>
    <row r="13755" x14ac:dyDescent="0.25">
      <c r="A13755" t="n">
        <v>23</v>
      </c>
      <c r="B13755" t="s">
        <v>14</v>
      </c>
      <c r="C13755" t="s">
        <v>22</v>
      </c>
      <c r="D13755" s="2" t="s">
        <f>=HYPERLINK("https://main.knesset.gov.il/APPS/legislation/main/bills/2086455", "הצעת חוק הבטחת הכנסה (תיקון - מענק קירור), התש""ף-2020")</f>
        <v>24396</v>
      </c>
      <c r="E13755" t="s">
        <v>24396</v>
      </c>
      <c r="F13755" t="s">
        <v>26535</v>
      </c>
      <c r="G13755" t="s">
        <v>14</v>
      </c>
      <c r="H13755">
             </c>
      <c r="I13755" t="s">
        <v>14</v>
      </c>
      <c r="J13755" t="s">
        <v>141</v>
      </c>
      <c r="K13755" t="s">
        <v>14</v>
      </c>
      <c r="L13755" t="s">
        <v>20</v>
      </c>
      <c r="M13755" t="s">
        <v>26466</v>
      </c>
      <c r="N13755" t="s">
        <v>14</v>
      </c>
    </row>
    <row r="13756" x14ac:dyDescent="0.25">
      <c r="A13756" t="n">
        <v>23</v>
      </c>
      <c r="B13756" t="s">
        <v>14</v>
      </c>
      <c r="C13756" t="s">
        <v>22</v>
      </c>
      <c r="D13756" s="2" t="s">
        <f>=HYPERLINK("https://main.knesset.gov.il/APPS/legislation/main/bills/2086034", "הצעת חוק הטבות לניצולי שואה (תיקון - הטבות לניצולים שעלו לאחר שנת 1953), התש""ף-2020")</f>
        <v>24711</v>
      </c>
      <c r="E13756" t="s">
        <v>24711</v>
      </c>
      <c r="F13756" t="s">
        <v>26536</v>
      </c>
      <c r="G13756" t="s">
        <v>14</v>
      </c>
      <c r="H13756">
             </c>
      <c r="I13756" t="s">
        <v>14</v>
      </c>
      <c r="J13756" t="s">
        <v>141</v>
      </c>
      <c r="K13756" t="s">
        <v>14</v>
      </c>
      <c r="L13756" t="s">
        <v>20</v>
      </c>
      <c r="M13756" t="s">
        <v>26466</v>
      </c>
      <c r="N13756" t="s">
        <v>14</v>
      </c>
    </row>
    <row r="13757" x14ac:dyDescent="0.25">
      <c r="A13757" t="n">
        <v>23</v>
      </c>
      <c r="B13757" t="s">
        <v>14</v>
      </c>
      <c r="C13757" t="s">
        <v>22</v>
      </c>
      <c r="D13757" s="2" t="s">
        <f>=HYPERLINK("https://main.knesset.gov.il/APPS/legislation/main/bills/2086097", "הצעת חוק הגנה כלכלית על חסרי ישע (תעודת יושר) (תיקוני חקיקה), התש""ף-2020")</f>
        <v>26537</v>
      </c>
      <c r="E13757" t="s">
        <v>26537</v>
      </c>
      <c r="F13757" t="s">
        <v>26538</v>
      </c>
      <c r="G13757" t="s">
        <v>14</v>
      </c>
      <c r="H13757">
             </c>
      <c r="I13757" t="s">
        <v>14</v>
      </c>
      <c r="J13757" t="s">
        <v>141</v>
      </c>
      <c r="K13757" t="s">
        <v>14</v>
      </c>
      <c r="L13757" t="s">
        <v>20</v>
      </c>
      <c r="M13757" t="s">
        <v>26466</v>
      </c>
      <c r="N13757" t="s">
        <v>14</v>
      </c>
    </row>
    <row r="13758" x14ac:dyDescent="0.25">
      <c r="A13758" t="n">
        <v>23</v>
      </c>
      <c r="B13758" t="s">
        <v>14</v>
      </c>
      <c r="C13758" t="s">
        <v>22</v>
      </c>
      <c r="D13758" s="2" t="s">
        <f>=HYPERLINK("https://main.knesset.gov.il/APPS/legislation/main/bills/2086160", "הצעת חוק קליטת חיילים משוחררים (תיקון - מימון שכר לימוד), התש""ף-2020")</f>
        <v>24869</v>
      </c>
      <c r="E13758" t="s">
        <v>24869</v>
      </c>
      <c r="F13758" t="s">
        <v>26539</v>
      </c>
      <c r="G13758" t="s">
        <v>14</v>
      </c>
      <c r="H13758">
             </c>
      <c r="I13758" t="s">
        <v>14</v>
      </c>
      <c r="J13758" t="s">
        <v>141</v>
      </c>
      <c r="K13758" t="s">
        <v>14</v>
      </c>
      <c r="L13758" t="s">
        <v>20</v>
      </c>
      <c r="M13758" t="s">
        <v>26466</v>
      </c>
      <c r="N13758" t="s">
        <v>14</v>
      </c>
    </row>
    <row r="13759" x14ac:dyDescent="0.25">
      <c r="A13759" t="n">
        <v>23</v>
      </c>
      <c r="B13759" t="s">
        <v>14</v>
      </c>
      <c r="C13759" t="s">
        <v>22</v>
      </c>
      <c r="D13759" s="2" t="s">
        <f>=HYPERLINK("https://main.knesset.gov.il/APPS/legislation/main/bills/2086694", "הצעת חוק האזרחים הוותיקים (תיקון - סבסוד מלא של נסיעות בתחבורה ציבורית לניצולי שואה ולאסירי ציון), התש""ף-2020")</f>
        <v>26540</v>
      </c>
      <c r="E13759" t="s">
        <v>26540</v>
      </c>
      <c r="F13759" t="s">
        <v>26541</v>
      </c>
      <c r="G13759" t="s">
        <v>14</v>
      </c>
      <c r="H13759">
             </c>
      <c r="I13759" t="s">
        <v>14</v>
      </c>
      <c r="J13759" t="s">
        <v>141</v>
      </c>
      <c r="K13759" t="s">
        <v>14</v>
      </c>
      <c r="L13759" t="s">
        <v>20</v>
      </c>
      <c r="M13759" t="s">
        <v>26466</v>
      </c>
      <c r="N13759" t="s">
        <v>14</v>
      </c>
    </row>
    <row r="13760" x14ac:dyDescent="0.25">
      <c r="A13760" t="n">
        <v>23</v>
      </c>
      <c r="B13760" t="s">
        <v>14</v>
      </c>
      <c r="C13760" t="s">
        <v>22</v>
      </c>
      <c r="D13760" s="2" t="s">
        <f>=HYPERLINK("https://main.knesset.gov.il/APPS/legislation/main/bills/2086452", "הצעת חוק האזרחים הוותיקים (תיקון - סבסוד מלא של נסיעות בתחבורה ציבורית לניצולי שואה ולאסירי ציון), התש""ף-2020")</f>
        <v>26540</v>
      </c>
      <c r="E13760" t="s">
        <v>26540</v>
      </c>
      <c r="F13760" t="s">
        <v>26542</v>
      </c>
      <c r="G13760" t="s">
        <v>14</v>
      </c>
      <c r="H13760">
             </c>
      <c r="I13760" t="s">
        <v>14</v>
      </c>
      <c r="J13760" t="s">
        <v>141</v>
      </c>
      <c r="K13760" t="s">
        <v>14</v>
      </c>
      <c r="L13760" t="s">
        <v>20</v>
      </c>
      <c r="M13760" t="s">
        <v>26466</v>
      </c>
      <c r="N13760" t="s">
        <v>14</v>
      </c>
    </row>
    <row r="13761" x14ac:dyDescent="0.25">
      <c r="A13761" t="n">
        <v>23</v>
      </c>
      <c r="B13761" t="s">
        <v>14</v>
      </c>
      <c r="C13761" t="s">
        <v>22</v>
      </c>
      <c r="D13761" s="2" t="s">
        <f>=HYPERLINK("https://main.knesset.gov.il/APPS/legislation/main/bills/2086568", "הצעת חוק שירות הציבור (הגבלות לאחר פרישה) (תיקון - תקופת צינון לנושאי משרה בכירה בשירות הציבור), התש""ף-2020")</f>
        <v>26543</v>
      </c>
      <c r="E13761" t="s">
        <v>26543</v>
      </c>
      <c r="F13761" t="s">
        <v>26544</v>
      </c>
      <c r="G13761" t="s">
        <v>14</v>
      </c>
      <c r="H13761">
             </c>
      <c r="I13761" t="s">
        <v>14</v>
      </c>
      <c r="J13761" t="s">
        <v>141</v>
      </c>
      <c r="K13761" t="s">
        <v>14</v>
      </c>
      <c r="L13761" t="s">
        <v>20</v>
      </c>
      <c r="M13761" t="s">
        <v>26466</v>
      </c>
      <c r="N13761" t="s">
        <v>14</v>
      </c>
    </row>
    <row r="13762" x14ac:dyDescent="0.25">
      <c r="A13762" t="n">
        <v>23</v>
      </c>
      <c r="B13762" t="s">
        <v>14</v>
      </c>
      <c r="C13762" t="s">
        <v>22</v>
      </c>
      <c r="D13762" s="2" t="s">
        <f>=HYPERLINK("https://main.knesset.gov.il/APPS/legislation/main/bills/2086660", "הצעת חוק דמי מחלה (היעדרות בשל מחלת ילד) (תיקון - היעדרות בשל מחלת ילדו של בן זוג), התש""ף-2020")</f>
        <v>26545</v>
      </c>
      <c r="E13762" t="s">
        <v>26545</v>
      </c>
      <c r="F13762" t="s">
        <v>26546</v>
      </c>
      <c r="G13762" t="s">
        <v>14</v>
      </c>
      <c r="H13762">
             </c>
      <c r="I13762" t="s">
        <v>14</v>
      </c>
      <c r="J13762" t="s">
        <v>141</v>
      </c>
      <c r="K13762" t="s">
        <v>14</v>
      </c>
      <c r="L13762" t="s">
        <v>20</v>
      </c>
      <c r="M13762" t="s">
        <v>26466</v>
      </c>
      <c r="N13762" t="s">
        <v>14</v>
      </c>
    </row>
    <row r="13763" x14ac:dyDescent="0.25">
      <c r="A13763" t="n">
        <v>23</v>
      </c>
      <c r="B13763" t="s">
        <v>14</v>
      </c>
      <c r="C13763" t="s">
        <v>22</v>
      </c>
      <c r="D13763" s="2" t="s">
        <f>=HYPERLINK("https://main.knesset.gov.il/APPS/legislation/main/bills/2086369", "הצעת חוק דמי מחלה (היעדרות בשל מחלת ילד) (תיקון - היעדרות בשל מחלת ילדו של בן זוג), התש""ף-2020")</f>
        <v>26545</v>
      </c>
      <c r="E13763" t="s">
        <v>26545</v>
      </c>
      <c r="F13763" t="s">
        <v>26547</v>
      </c>
      <c r="G13763" t="s">
        <v>14</v>
      </c>
      <c r="H13763">
             </c>
      <c r="I13763" t="s">
        <v>14</v>
      </c>
      <c r="J13763" t="s">
        <v>141</v>
      </c>
      <c r="K13763" t="s">
        <v>14</v>
      </c>
      <c r="L13763" t="s">
        <v>20</v>
      </c>
      <c r="M13763" t="s">
        <v>26466</v>
      </c>
      <c r="N13763" t="s">
        <v>14</v>
      </c>
    </row>
    <row r="13764" x14ac:dyDescent="0.25">
      <c r="A13764" t="n">
        <v>23</v>
      </c>
      <c r="B13764" t="s">
        <v>14</v>
      </c>
      <c r="C13764" t="s">
        <v>22</v>
      </c>
      <c r="D13764" s="2" t="s">
        <f>=HYPERLINK("https://main.knesset.gov.il/APPS/legislation/main/bills/2087036", "הצעת חוק ביטוח בריאות ממלכתי (תיקון - קציבת מועדים לקבלת טיפול רפואי או פארא-רפואי), התש""ף-2020")</f>
        <v>26548</v>
      </c>
      <c r="E13764" t="s">
        <v>26548</v>
      </c>
      <c r="F13764" t="s">
        <v>26549</v>
      </c>
      <c r="G13764" t="s">
        <v>14</v>
      </c>
      <c r="H13764">
             </c>
      <c r="I13764" t="s">
        <v>14</v>
      </c>
      <c r="J13764" t="s">
        <v>141</v>
      </c>
      <c r="K13764" t="s">
        <v>14</v>
      </c>
      <c r="L13764" t="s">
        <v>20</v>
      </c>
      <c r="M13764" t="s">
        <v>26466</v>
      </c>
      <c r="N13764" t="s">
        <v>14</v>
      </c>
    </row>
    <row r="13765" x14ac:dyDescent="0.25">
      <c r="A13765" t="n">
        <v>23</v>
      </c>
      <c r="B13765" t="s">
        <v>14</v>
      </c>
      <c r="C13765" t="s">
        <v>22</v>
      </c>
      <c r="D13765" s="2" t="s">
        <f>=HYPERLINK("https://main.knesset.gov.il/APPS/legislation/main/bills/2086383", "הצעת חוק שוויון זכויות לאנשים עם מוגבלות (תיקון - הנגשת אוטובוסים בין עירוניים), התש""ף-2020")</f>
        <v>26550</v>
      </c>
      <c r="E13765" t="s">
        <v>26550</v>
      </c>
      <c r="F13765" t="s">
        <v>26551</v>
      </c>
      <c r="G13765" t="s">
        <v>14</v>
      </c>
      <c r="H13765">
             </c>
      <c r="I13765" t="s">
        <v>14</v>
      </c>
      <c r="J13765" t="s">
        <v>141</v>
      </c>
      <c r="K13765" t="s">
        <v>14</v>
      </c>
      <c r="L13765" t="s">
        <v>20</v>
      </c>
      <c r="M13765" t="s">
        <v>26466</v>
      </c>
      <c r="N13765" t="s">
        <v>14</v>
      </c>
    </row>
    <row r="13766" x14ac:dyDescent="0.25">
      <c r="A13766" t="n">
        <v>23</v>
      </c>
      <c r="B13766" t="s">
        <v>14</v>
      </c>
      <c r="C13766" t="s">
        <v>22</v>
      </c>
      <c r="D13766" s="2" t="s">
        <f>=HYPERLINK("https://main.knesset.gov.il/APPS/legislation/main/bills/2086586", "הצעת חוק-יסוד: הכנסת (תיקון - ייצוג מינימלי לשני המינים ברשימת מועמדים לכנסת)")</f>
        <v>1843</v>
      </c>
      <c r="E13766" t="s">
        <v>1843</v>
      </c>
      <c r="F13766" t="s">
        <v>26552</v>
      </c>
      <c r="G13766" t="s">
        <v>14</v>
      </c>
      <c r="H13766">
             </c>
      <c r="I13766" t="s">
        <v>14</v>
      </c>
      <c r="J13766" t="s">
        <v>141</v>
      </c>
      <c r="K13766" t="s">
        <v>14</v>
      </c>
      <c r="L13766" t="s">
        <v>20</v>
      </c>
      <c r="M13766" t="s">
        <v>26466</v>
      </c>
      <c r="N13766" t="s">
        <v>14</v>
      </c>
    </row>
    <row r="13767" x14ac:dyDescent="0.25">
      <c r="A13767" t="n">
        <v>23</v>
      </c>
      <c r="B13767" t="s">
        <v>14</v>
      </c>
      <c r="C13767" t="s">
        <v>22</v>
      </c>
      <c r="D13767" s="2" t="s">
        <f>=HYPERLINK("https://main.knesset.gov.il/APPS/legislation/main/bills/2086269", "הצעת חוק הביטוח הלאומי (תיקון - דמי פגיעה לעצמאי), התש""ף-2020")</f>
        <v>23225</v>
      </c>
      <c r="E13767" t="s">
        <v>23225</v>
      </c>
      <c r="F13767" t="s">
        <v>26553</v>
      </c>
      <c r="G13767" t="s">
        <v>14</v>
      </c>
      <c r="H13767">
             </c>
      <c r="I13767" t="s">
        <v>14</v>
      </c>
      <c r="J13767" t="s">
        <v>141</v>
      </c>
      <c r="K13767" t="s">
        <v>14</v>
      </c>
      <c r="L13767" t="s">
        <v>20</v>
      </c>
      <c r="M13767" t="s">
        <v>26466</v>
      </c>
      <c r="N13767" t="s">
        <v>14</v>
      </c>
    </row>
    <row r="13768" x14ac:dyDescent="0.25">
      <c r="A13768" t="n">
        <v>23</v>
      </c>
      <c r="B13768" t="s">
        <v>14</v>
      </c>
      <c r="C13768" t="s">
        <v>22</v>
      </c>
      <c r="D13768" s="2" t="s">
        <f>=HYPERLINK("https://main.knesset.gov.il/APPS/legislation/main/bills/2085906", "הצעת חוק הביטוח הלאומי (תיקון - דמי פגיעה לעצמאי), התש""ף-2020")</f>
        <v>23225</v>
      </c>
      <c r="E13768" t="s">
        <v>23225</v>
      </c>
      <c r="F13768" t="s">
        <v>26554</v>
      </c>
      <c r="G13768" t="s">
        <v>14</v>
      </c>
      <c r="H13768">
             </c>
      <c r="I13768" t="s">
        <v>14</v>
      </c>
      <c r="J13768" t="s">
        <v>141</v>
      </c>
      <c r="K13768" t="s">
        <v>14</v>
      </c>
      <c r="L13768" t="s">
        <v>20</v>
      </c>
      <c r="M13768" t="s">
        <v>26466</v>
      </c>
      <c r="N13768" t="s">
        <v>14</v>
      </c>
    </row>
    <row r="13769" x14ac:dyDescent="0.25">
      <c r="A13769" t="n">
        <v>23</v>
      </c>
      <c r="B13769" t="s">
        <v>14</v>
      </c>
      <c r="C13769" t="s">
        <v>22</v>
      </c>
      <c r="D13769" s="2" t="s">
        <f>=HYPERLINK("https://main.knesset.gov.il/APPS/legislation/main/bills/2086663", "הצעת חוק ביטוח בריאות ממלכתי (תיקון - שירותי בריאות נוספים לשוהים במוסדות לילדים ונוער בסיכון), התש""ף-2020")</f>
        <v>26555</v>
      </c>
      <c r="E13769" t="s">
        <v>26555</v>
      </c>
      <c r="F13769" t="s">
        <v>26556</v>
      </c>
      <c r="G13769" t="s">
        <v>14</v>
      </c>
      <c r="H13769">
             </c>
      <c r="I13769" t="s">
        <v>14</v>
      </c>
      <c r="J13769" t="s">
        <v>141</v>
      </c>
      <c r="K13769" t="s">
        <v>14</v>
      </c>
      <c r="L13769" t="s">
        <v>20</v>
      </c>
      <c r="M13769" t="s">
        <v>26466</v>
      </c>
      <c r="N13769" t="s">
        <v>14</v>
      </c>
    </row>
    <row r="13770" x14ac:dyDescent="0.25">
      <c r="A13770" t="n">
        <v>23</v>
      </c>
      <c r="B13770" t="s">
        <v>14</v>
      </c>
      <c r="C13770" t="s">
        <v>22</v>
      </c>
      <c r="D13770" s="2" t="s">
        <f>=HYPERLINK("https://main.knesset.gov.il/APPS/legislation/main/bills/2086009", "הצעת חוק ביטוח בריאות ממלכתי (תיקון - שירותי בריאות נוספים לשוהים במוסדות לילדים ונוער בסיכון), התש""ף-2020")</f>
        <v>26555</v>
      </c>
      <c r="E13770" t="s">
        <v>26555</v>
      </c>
      <c r="F13770" t="s">
        <v>26557</v>
      </c>
      <c r="G13770" t="s">
        <v>14</v>
      </c>
      <c r="H13770">
             </c>
      <c r="I13770" t="s">
        <v>14</v>
      </c>
      <c r="J13770" t="s">
        <v>141</v>
      </c>
      <c r="K13770" t="s">
        <v>14</v>
      </c>
      <c r="L13770" t="s">
        <v>20</v>
      </c>
      <c r="M13770" t="s">
        <v>26466</v>
      </c>
      <c r="N13770" t="s">
        <v>14</v>
      </c>
    </row>
    <row r="13771" x14ac:dyDescent="0.25">
      <c r="A13771" t="n">
        <v>23</v>
      </c>
      <c r="B13771" t="s">
        <v>14</v>
      </c>
      <c r="C13771" t="s">
        <v>22</v>
      </c>
      <c r="D13771" s="2" t="s">
        <f>=HYPERLINK("https://main.knesset.gov.il/APPS/legislation/main/bills/2087530", "הצעת חוק דמי מחלה (היעדרות בשל מחלת ילד) (תיקון - היעדרות בשל אשפוז ממושך של ילד), התש""ף-2020")</f>
        <v>26558</v>
      </c>
      <c r="E13771" t="s">
        <v>26558</v>
      </c>
      <c r="F13771" t="s">
        <v>26559</v>
      </c>
      <c r="G13771" t="s">
        <v>14</v>
      </c>
      <c r="H13771">
             </c>
      <c r="I13771" t="s">
        <v>14</v>
      </c>
      <c r="J13771" t="s">
        <v>141</v>
      </c>
      <c r="K13771" t="s">
        <v>14</v>
      </c>
      <c r="L13771" t="s">
        <v>20</v>
      </c>
      <c r="M13771" t="s">
        <v>26466</v>
      </c>
      <c r="N13771" t="s">
        <v>14</v>
      </c>
    </row>
    <row r="13772" x14ac:dyDescent="0.25">
      <c r="A13772" t="n">
        <v>23</v>
      </c>
      <c r="B13772" t="s">
        <v>14</v>
      </c>
      <c r="C13772" t="s">
        <v>22</v>
      </c>
      <c r="D13772" s="2" t="s">
        <f>=HYPERLINK("https://main.knesset.gov.il/APPS/legislation/main/bills/2086183", "הצעת חוק המזונות (הבטחת תשלום) (תיקון - סכום שלא יובא בחשבון במבחן ההכנסה), התש""ף-2020")</f>
        <v>25398</v>
      </c>
      <c r="E13772" t="s">
        <v>25398</v>
      </c>
      <c r="F13772" t="s">
        <v>26560</v>
      </c>
      <c r="G13772" t="s">
        <v>14</v>
      </c>
      <c r="H13772">
             </c>
      <c r="I13772" t="s">
        <v>14</v>
      </c>
      <c r="J13772" t="s">
        <v>141</v>
      </c>
      <c r="K13772" t="s">
        <v>14</v>
      </c>
      <c r="L13772" t="s">
        <v>20</v>
      </c>
      <c r="M13772" t="s">
        <v>26466</v>
      </c>
      <c r="N13772" t="s">
        <v>14</v>
      </c>
    </row>
    <row r="13773" x14ac:dyDescent="0.25">
      <c r="A13773" t="n">
        <v>23</v>
      </c>
      <c r="B13773" t="s">
        <v>14</v>
      </c>
      <c r="C13773" t="s">
        <v>22</v>
      </c>
      <c r="D13773" s="2" t="s">
        <f>=HYPERLINK("https://main.knesset.gov.il/APPS/legislation/main/bills/2086658", "הצעת חוק עבודת נשים (תיקון - חלוקת תקופת הלידה וההורות בין סטודנטית לבן זוגה), התש""ף-2020")</f>
        <v>26561</v>
      </c>
      <c r="E13773" t="s">
        <v>26561</v>
      </c>
      <c r="F13773" t="s">
        <v>26562</v>
      </c>
      <c r="G13773" t="s">
        <v>14</v>
      </c>
      <c r="H13773">
             </c>
      <c r="I13773" t="s">
        <v>14</v>
      </c>
      <c r="J13773" t="s">
        <v>141</v>
      </c>
      <c r="K13773" t="s">
        <v>14</v>
      </c>
      <c r="L13773" t="s">
        <v>20</v>
      </c>
      <c r="M13773" t="s">
        <v>26466</v>
      </c>
      <c r="N13773" t="s">
        <v>14</v>
      </c>
    </row>
    <row r="13774" x14ac:dyDescent="0.25">
      <c r="A13774" t="n">
        <v>23</v>
      </c>
      <c r="B13774" t="s">
        <v>14</v>
      </c>
      <c r="C13774" t="s">
        <v>22</v>
      </c>
      <c r="D13774" s="2" t="s">
        <f>=HYPERLINK("https://main.knesset.gov.il/APPS/legislation/main/bills/2086690", "הצעת חוק הבטחת הכנסה (תיקון - הכנסת מינימום לאזרח ותיק), התש""ף-2020")</f>
        <v>26563</v>
      </c>
      <c r="E13774" t="s">
        <v>26563</v>
      </c>
      <c r="F13774" t="s">
        <v>26564</v>
      </c>
      <c r="G13774" t="s">
        <v>14</v>
      </c>
      <c r="H13774">
             </c>
      <c r="I13774" t="s">
        <v>14</v>
      </c>
      <c r="J13774" t="s">
        <v>141</v>
      </c>
      <c r="K13774" t="s">
        <v>14</v>
      </c>
      <c r="L13774" t="s">
        <v>20</v>
      </c>
      <c r="M13774" t="s">
        <v>26466</v>
      </c>
      <c r="N13774" t="s">
        <v>14</v>
      </c>
    </row>
    <row r="13775" x14ac:dyDescent="0.25">
      <c r="A13775" t="n">
        <v>23</v>
      </c>
      <c r="B13775" t="s">
        <v>14</v>
      </c>
      <c r="C13775" t="s">
        <v>22</v>
      </c>
      <c r="D13775" s="2" t="s">
        <f>=HYPERLINK("https://main.knesset.gov.il/APPS/legislation/main/bills/2085997", "הצעת חוק שירותי רווחה לאנשים עם מוגבלות, התש""ף-2020")</f>
        <v>26565</v>
      </c>
      <c r="E13775" t="s">
        <v>26565</v>
      </c>
      <c r="F13775" t="s">
        <v>26566</v>
      </c>
      <c r="G13775" t="s">
        <v>14</v>
      </c>
      <c r="H13775">
             </c>
      <c r="I13775" t="s">
        <v>14</v>
      </c>
      <c r="J13775" t="s">
        <v>141</v>
      </c>
      <c r="K13775" t="s">
        <v>14</v>
      </c>
      <c r="L13775" t="s">
        <v>20</v>
      </c>
      <c r="M13775" t="s">
        <v>26466</v>
      </c>
      <c r="N13775" t="s">
        <v>14</v>
      </c>
    </row>
    <row r="13776" x14ac:dyDescent="0.25">
      <c r="A13776" t="n">
        <v>23</v>
      </c>
      <c r="B13776" t="s">
        <v>14</v>
      </c>
      <c r="C13776" t="s">
        <v>22</v>
      </c>
      <c r="D13776" s="2" t="s">
        <f>=HYPERLINK("https://main.knesset.gov.il/APPS/legislation/main/bills/2086270", "הצעת חוק הבטחת הכנסה (תיקון - הגדלת הסכום להשתכרות בנוסף לקיצבה), התש""ף-2020")</f>
        <v>24802</v>
      </c>
      <c r="E13776" t="s">
        <v>24802</v>
      </c>
      <c r="F13776" t="s">
        <v>26567</v>
      </c>
      <c r="G13776" t="s">
        <v>14</v>
      </c>
      <c r="H13776">
             </c>
      <c r="I13776" t="s">
        <v>14</v>
      </c>
      <c r="J13776" t="s">
        <v>141</v>
      </c>
      <c r="K13776" t="s">
        <v>14</v>
      </c>
      <c r="L13776" t="s">
        <v>20</v>
      </c>
      <c r="M13776" t="s">
        <v>26466</v>
      </c>
      <c r="N13776" t="s">
        <v>14</v>
      </c>
    </row>
    <row r="13777" x14ac:dyDescent="0.25">
      <c r="A13777" t="n">
        <v>23</v>
      </c>
      <c r="B13777" t="s">
        <v>14</v>
      </c>
      <c r="C13777" t="s">
        <v>22</v>
      </c>
      <c r="D13777" s="2" t="s">
        <f>=HYPERLINK("https://main.knesset.gov.il/APPS/legislation/main/bills/2086214", "הצעת חוק תגמולים לחיילים ולבני משפחותיהם (חבלה שלא בעת מילוי תפקיד) (תיקון - חבלה או מחלה של לוחם), התש""ף-2020")</f>
        <v>26568</v>
      </c>
      <c r="E13777" t="s">
        <v>26568</v>
      </c>
      <c r="F13777" t="s">
        <v>26569</v>
      </c>
      <c r="G13777" t="s">
        <v>14</v>
      </c>
      <c r="H13777">
             </c>
      <c r="I13777" t="s">
        <v>14</v>
      </c>
      <c r="J13777" t="s">
        <v>141</v>
      </c>
      <c r="K13777" t="s">
        <v>14</v>
      </c>
      <c r="L13777" t="s">
        <v>20</v>
      </c>
      <c r="M13777" t="s">
        <v>26466</v>
      </c>
      <c r="N13777" t="s">
        <v>14</v>
      </c>
    </row>
    <row r="13778" x14ac:dyDescent="0.25">
      <c r="A13778" t="n">
        <v>23</v>
      </c>
      <c r="B13778" t="s">
        <v>14</v>
      </c>
      <c r="C13778" t="s">
        <v>22</v>
      </c>
      <c r="D13778" s="2" t="s">
        <f>=HYPERLINK("https://main.knesset.gov.il/APPS/legislation/main/bills/2086147", "הצעת חוק איסור טיפול המרה לקטין, התש""ף-2020")</f>
        <v>26570</v>
      </c>
      <c r="E13778" t="s">
        <v>26570</v>
      </c>
      <c r="F13778" t="s">
        <v>26571</v>
      </c>
      <c r="G13778" t="s">
        <v>14</v>
      </c>
      <c r="H13778">
             </c>
      <c r="I13778" t="s">
        <v>14</v>
      </c>
      <c r="J13778" t="s">
        <v>141</v>
      </c>
      <c r="K13778" t="s">
        <v>14</v>
      </c>
      <c r="L13778" t="s">
        <v>20</v>
      </c>
      <c r="M13778" t="s">
        <v>26466</v>
      </c>
      <c r="N13778" t="s">
        <v>14</v>
      </c>
    </row>
    <row r="13779" x14ac:dyDescent="0.25">
      <c r="A13779" t="n">
        <v>23</v>
      </c>
      <c r="B13779" t="s">
        <v>14</v>
      </c>
      <c r="C13779" t="s">
        <v>22</v>
      </c>
      <c r="D13779" s="2" t="s">
        <f>=HYPERLINK("https://main.knesset.gov.il/APPS/legislation/main/bills/2086634", "הצעת חוק שיעור ריבית פיגורים מקסימלי (תיקוני חקיקה), התש""ף-2020")</f>
        <v>26572</v>
      </c>
      <c r="E13779" t="s">
        <v>26572</v>
      </c>
      <c r="F13779" t="s">
        <v>26573</v>
      </c>
      <c r="G13779" t="s">
        <v>14</v>
      </c>
      <c r="H13779">
             </c>
      <c r="I13779" t="s">
        <v>14</v>
      </c>
      <c r="J13779" t="s">
        <v>141</v>
      </c>
      <c r="K13779" t="s">
        <v>14</v>
      </c>
      <c r="L13779" t="s">
        <v>20</v>
      </c>
      <c r="M13779" t="s">
        <v>26466</v>
      </c>
      <c r="N13779" t="s">
        <v>14</v>
      </c>
    </row>
    <row r="13780" x14ac:dyDescent="0.25">
      <c r="A13780" t="n">
        <v>23</v>
      </c>
      <c r="B13780" t="s">
        <v>14</v>
      </c>
      <c r="C13780" t="s">
        <v>22</v>
      </c>
      <c r="D13780" s="2" t="s">
        <f>=HYPERLINK("https://main.knesset.gov.il/APPS/legislation/main/bills/2086417", "הצעת חוק המאבק בטרור (תיקון - גילוי הזדהות עם ארגון טרור ברשת חברתית), התש""ף-2020")</f>
        <v>26574</v>
      </c>
      <c r="E13780" t="s">
        <v>26574</v>
      </c>
      <c r="F13780" t="s">
        <v>26575</v>
      </c>
      <c r="G13780" t="s">
        <v>14</v>
      </c>
      <c r="H13780">
             </c>
      <c r="I13780" t="s">
        <v>14</v>
      </c>
      <c r="J13780" t="s">
        <v>141</v>
      </c>
      <c r="K13780" t="s">
        <v>14</v>
      </c>
      <c r="L13780" t="s">
        <v>20</v>
      </c>
      <c r="M13780" t="s">
        <v>26466</v>
      </c>
      <c r="N13780" t="s">
        <v>14</v>
      </c>
    </row>
    <row r="13781" x14ac:dyDescent="0.25">
      <c r="A13781" t="n">
        <v>23</v>
      </c>
      <c r="B13781" t="s">
        <v>14</v>
      </c>
      <c r="C13781" t="s">
        <v>22</v>
      </c>
      <c r="D13781" s="2" t="s">
        <f>=HYPERLINK("https://main.knesset.gov.il/APPS/legislation/main/bills/2087247", "הצעת חוק גירוש משפחות מחבלים, התש""ף-2020")</f>
        <v>26576</v>
      </c>
      <c r="E13781" t="s">
        <v>26576</v>
      </c>
      <c r="F13781" t="s">
        <v>26577</v>
      </c>
      <c r="G13781" t="s">
        <v>14</v>
      </c>
      <c r="H13781">
             </c>
      <c r="I13781" t="s">
        <v>14</v>
      </c>
      <c r="J13781" t="s">
        <v>141</v>
      </c>
      <c r="K13781" t="s">
        <v>14</v>
      </c>
      <c r="L13781" t="s">
        <v>20</v>
      </c>
      <c r="M13781" t="s">
        <v>26466</v>
      </c>
      <c r="N13781" t="s">
        <v>14</v>
      </c>
    </row>
    <row r="13782" x14ac:dyDescent="0.25">
      <c r="A13782" t="n">
        <v>23</v>
      </c>
      <c r="B13782" t="s">
        <v>14</v>
      </c>
      <c r="C13782" t="s">
        <v>22</v>
      </c>
      <c r="D13782" s="2" t="s">
        <f>=HYPERLINK("https://main.knesset.gov.il/APPS/legislation/main/bills/2086711", "הצעת חוק התכנון והבנייה (תיקון - חובת התקנת מערכות סולריות בבניינים המיועדים לשימוש במגזר התעשייתי, המסחרי והציבורי), התש""ף-2020")</f>
        <v>26578</v>
      </c>
      <c r="E13782" t="s">
        <v>26578</v>
      </c>
      <c r="F13782" t="s">
        <v>26579</v>
      </c>
      <c r="G13782" t="s">
        <v>14</v>
      </c>
      <c r="H13782">
             </c>
      <c r="I13782" t="s">
        <v>14</v>
      </c>
      <c r="J13782" t="s">
        <v>141</v>
      </c>
      <c r="K13782" t="s">
        <v>14</v>
      </c>
      <c r="L13782" t="s">
        <v>20</v>
      </c>
      <c r="M13782" t="s">
        <v>26466</v>
      </c>
      <c r="N13782" t="s">
        <v>14</v>
      </c>
    </row>
    <row r="13783" x14ac:dyDescent="0.25">
      <c r="A13783" t="n">
        <v>23</v>
      </c>
      <c r="B13783" t="s">
        <v>14</v>
      </c>
      <c r="C13783" t="s">
        <v>22</v>
      </c>
      <c r="D13783" s="2" t="s">
        <f>=HYPERLINK("https://main.knesset.gov.il/APPS/legislation/main/bills/2086234", "הצעת חוק פיקוח על מחירי מצרכים ושירותים (תיקון - הגבלת מרווחי שיווק על ירקות), התש""ף-2020")</f>
        <v>26580</v>
      </c>
      <c r="E13783" t="s">
        <v>26580</v>
      </c>
      <c r="F13783" t="s">
        <v>26581</v>
      </c>
      <c r="G13783" t="s">
        <v>14</v>
      </c>
      <c r="H13783">
             </c>
      <c r="I13783" t="s">
        <v>14</v>
      </c>
      <c r="J13783" t="s">
        <v>141</v>
      </c>
      <c r="K13783" t="s">
        <v>14</v>
      </c>
      <c r="L13783" t="s">
        <v>20</v>
      </c>
      <c r="M13783" t="s">
        <v>26466</v>
      </c>
      <c r="N13783" t="s">
        <v>14</v>
      </c>
    </row>
    <row r="13784" x14ac:dyDescent="0.25">
      <c r="A13784" t="n">
        <v>23</v>
      </c>
      <c r="B13784" t="s">
        <v>14</v>
      </c>
      <c r="C13784" t="s">
        <v>22</v>
      </c>
      <c r="D13784" s="2" t="s">
        <f>=HYPERLINK("https://main.knesset.gov.il/APPS/legislation/main/bills/2086203", "הצעת חוק התקשורת (בזק ושידורים) (תיקון - חובת סינון אתרים פוגעניים), התש""ף-2020")</f>
        <v>26582</v>
      </c>
      <c r="E13784" t="s">
        <v>26582</v>
      </c>
      <c r="F13784" t="s">
        <v>26583</v>
      </c>
      <c r="G13784" t="s">
        <v>14</v>
      </c>
      <c r="H13784">
             </c>
      <c r="I13784" t="s">
        <v>14</v>
      </c>
      <c r="J13784" t="s">
        <v>141</v>
      </c>
      <c r="K13784" t="s">
        <v>14</v>
      </c>
      <c r="L13784" t="s">
        <v>20</v>
      </c>
      <c r="M13784" t="s">
        <v>26466</v>
      </c>
      <c r="N13784" t="s">
        <v>14</v>
      </c>
    </row>
    <row r="13785" x14ac:dyDescent="0.25">
      <c r="A13785" t="n">
        <v>23</v>
      </c>
      <c r="B13785" t="s">
        <v>14</v>
      </c>
      <c r="C13785" t="s">
        <v>22</v>
      </c>
      <c r="D13785" s="2" t="s">
        <f>=HYPERLINK("https://main.knesset.gov.il/APPS/legislation/main/bills/2086503", "הצעת חוק הגנת הצרכן (תיקון - סימון שינוי בכמות המצרך), התש""ף-2020")</f>
        <v>26584</v>
      </c>
      <c r="E13785" t="s">
        <v>26584</v>
      </c>
      <c r="F13785" t="s">
        <v>26585</v>
      </c>
      <c r="G13785" t="s">
        <v>14</v>
      </c>
      <c r="H13785">
             </c>
      <c r="I13785" t="s">
        <v>14</v>
      </c>
      <c r="J13785" t="s">
        <v>141</v>
      </c>
      <c r="K13785" t="s">
        <v>14</v>
      </c>
      <c r="L13785" t="s">
        <v>20</v>
      </c>
      <c r="M13785" t="s">
        <v>26466</v>
      </c>
      <c r="N13785" t="s">
        <v>14</v>
      </c>
    </row>
    <row r="13786" x14ac:dyDescent="0.25">
      <c r="A13786" t="n">
        <v>23</v>
      </c>
      <c r="B13786" t="s">
        <v>14</v>
      </c>
      <c r="C13786" t="s">
        <v>22</v>
      </c>
      <c r="D13786" s="2" t="s">
        <f>=HYPERLINK("https://main.knesset.gov.il/APPS/legislation/main/bills/2087510", "הצעת חוק סינון אתרים פוגעניים במקומות ציבוריים, התש""ף-2020")</f>
        <v>26586</v>
      </c>
      <c r="E13786" t="s">
        <v>26586</v>
      </c>
      <c r="F13786" t="s">
        <v>26587</v>
      </c>
      <c r="G13786" t="s">
        <v>14</v>
      </c>
      <c r="H13786">
             </c>
      <c r="I13786" t="s">
        <v>14</v>
      </c>
      <c r="J13786" t="s">
        <v>141</v>
      </c>
      <c r="K13786" t="s">
        <v>14</v>
      </c>
      <c r="L13786" t="s">
        <v>20</v>
      </c>
      <c r="M13786" t="s">
        <v>26466</v>
      </c>
      <c r="N13786" t="s">
        <v>14</v>
      </c>
    </row>
    <row r="13787" x14ac:dyDescent="0.25">
      <c r="A13787" t="n">
        <v>23</v>
      </c>
      <c r="B13787" t="s">
        <v>14</v>
      </c>
      <c r="C13787" t="s">
        <v>22</v>
      </c>
      <c r="D13787" s="2" t="s">
        <f>=HYPERLINK("https://main.knesset.gov.il/APPS/legislation/main/bills/2086991", "הצעת חוק לתיקון פקודת התעבורה (איסור שימוש בטלפון נייד או באוזניות במעבר חציה), התש""ף-2020")</f>
        <v>26588</v>
      </c>
      <c r="E13787" t="s">
        <v>26588</v>
      </c>
      <c r="F13787" t="s">
        <v>26589</v>
      </c>
      <c r="G13787" t="s">
        <v>14</v>
      </c>
      <c r="H13787">
             </c>
      <c r="I13787" t="s">
        <v>14</v>
      </c>
      <c r="J13787" t="s">
        <v>141</v>
      </c>
      <c r="K13787" t="s">
        <v>14</v>
      </c>
      <c r="L13787" t="s">
        <v>20</v>
      </c>
      <c r="M13787" t="s">
        <v>26466</v>
      </c>
      <c r="N13787" t="s">
        <v>14</v>
      </c>
    </row>
    <row r="13788" x14ac:dyDescent="0.25">
      <c r="A13788" t="n">
        <v>23</v>
      </c>
      <c r="B13788" t="s">
        <v>14</v>
      </c>
      <c r="C13788" t="s">
        <v>22</v>
      </c>
      <c r="D13788" s="2" t="s">
        <f>=HYPERLINK("https://main.knesset.gov.il/APPS/legislation/main/bills/2086995", "הצעת חוק לתיקון פקודת התעבורה (מאסר מינימום למי שהפקיר אדם שנפגע בתאונה), התש""ף-2020")</f>
        <v>26590</v>
      </c>
      <c r="E13788" t="s">
        <v>26590</v>
      </c>
      <c r="F13788" t="s">
        <v>26591</v>
      </c>
      <c r="G13788" t="s">
        <v>14</v>
      </c>
      <c r="H13788">
             </c>
      <c r="I13788" t="s">
        <v>14</v>
      </c>
      <c r="J13788" t="s">
        <v>141</v>
      </c>
      <c r="K13788" t="s">
        <v>14</v>
      </c>
      <c r="L13788" t="s">
        <v>20</v>
      </c>
      <c r="M13788" t="s">
        <v>26466</v>
      </c>
      <c r="N13788" t="s">
        <v>14</v>
      </c>
    </row>
    <row r="13789" x14ac:dyDescent="0.25">
      <c r="A13789" t="n">
        <v>23</v>
      </c>
      <c r="B13789" t="s">
        <v>14</v>
      </c>
      <c r="C13789" t="s">
        <v>22</v>
      </c>
      <c r="D13789" s="2" t="s">
        <f>=HYPERLINK("https://main.knesset.gov.il/APPS/legislation/main/bills/2086190", "הצעת חוק זכויות הדייר בדיור הציבורי (תיקון - עיגון זכויות דייר ממשיך בדיור הציבורי), התש""ף-2020")</f>
        <v>26592</v>
      </c>
      <c r="E13789" t="s">
        <v>26592</v>
      </c>
      <c r="F13789" t="s">
        <v>26593</v>
      </c>
      <c r="G13789" t="s">
        <v>14</v>
      </c>
      <c r="H13789">
             </c>
      <c r="I13789" t="s">
        <v>14</v>
      </c>
      <c r="J13789" t="s">
        <v>141</v>
      </c>
      <c r="K13789" t="s">
        <v>14</v>
      </c>
      <c r="L13789" t="s">
        <v>20</v>
      </c>
      <c r="M13789" t="s">
        <v>26466</v>
      </c>
      <c r="N13789" t="s">
        <v>14</v>
      </c>
    </row>
    <row r="13790" x14ac:dyDescent="0.25">
      <c r="A13790" t="n">
        <v>23</v>
      </c>
      <c r="B13790" t="s">
        <v>14</v>
      </c>
      <c r="C13790" t="s">
        <v>22</v>
      </c>
      <c r="D13790" s="2" t="s">
        <f>=HYPERLINK("https://main.knesset.gov.il/APPS/legislation/main/bills/2086086", "הצעת חוק לתיקון פקודת התעבורה (הגבלת תשלום בעד חניה במוסד רפואי), התש""ף-2020")</f>
        <v>25983</v>
      </c>
      <c r="E13790" t="s">
        <v>25983</v>
      </c>
      <c r="F13790" t="s">
        <v>26594</v>
      </c>
      <c r="G13790" t="s">
        <v>14</v>
      </c>
      <c r="H13790">
             </c>
      <c r="I13790" t="s">
        <v>14</v>
      </c>
      <c r="J13790" t="s">
        <v>141</v>
      </c>
      <c r="K13790" t="s">
        <v>14</v>
      </c>
      <c r="L13790" t="s">
        <v>20</v>
      </c>
      <c r="M13790" t="s">
        <v>26466</v>
      </c>
      <c r="N13790" t="s">
        <v>14</v>
      </c>
    </row>
    <row r="13791" x14ac:dyDescent="0.25">
      <c r="A13791" t="n">
        <v>23</v>
      </c>
      <c r="B13791" t="s">
        <v>14</v>
      </c>
      <c r="C13791" t="s">
        <v>22</v>
      </c>
      <c r="D13791" s="2" t="s">
        <f>=HYPERLINK("https://main.knesset.gov.il/APPS/legislation/main/bills/2086054", "הצעת חוק הדיור הציבורי (הגדלת המלאי), התש""ף-2020")</f>
        <v>26595</v>
      </c>
      <c r="E13791" t="s">
        <v>26595</v>
      </c>
      <c r="F13791" t="s">
        <v>26596</v>
      </c>
      <c r="G13791" t="s">
        <v>14</v>
      </c>
      <c r="H13791">
             </c>
      <c r="I13791" t="s">
        <v>14</v>
      </c>
      <c r="J13791" t="s">
        <v>141</v>
      </c>
      <c r="K13791" t="s">
        <v>14</v>
      </c>
      <c r="L13791" t="s">
        <v>20</v>
      </c>
      <c r="M13791" t="s">
        <v>26466</v>
      </c>
      <c r="N13791" t="s">
        <v>14</v>
      </c>
    </row>
    <row r="13792" x14ac:dyDescent="0.25">
      <c r="A13792" t="n">
        <v>23</v>
      </c>
      <c r="B13792" t="s">
        <v>14</v>
      </c>
      <c r="C13792" t="s">
        <v>22</v>
      </c>
      <c r="D13792" s="2" t="s">
        <f>=HYPERLINK("https://main.knesset.gov.il/APPS/legislation/main/bills/2085823", "הצעת חוק התקשורת (בזק ושידורים) (תיקון - צבירת יחידות של שירותי גלישה באינטרנט באמצעות רט""ן), התש""ף-2020")</f>
        <v>26597</v>
      </c>
      <c r="E13792" t="s">
        <v>26597</v>
      </c>
      <c r="F13792" t="s">
        <v>26598</v>
      </c>
      <c r="G13792" t="s">
        <v>14</v>
      </c>
      <c r="H13792">
             </c>
      <c r="I13792" t="s">
        <v>14</v>
      </c>
      <c r="J13792" t="s">
        <v>141</v>
      </c>
      <c r="K13792" t="s">
        <v>14</v>
      </c>
      <c r="L13792" t="s">
        <v>20</v>
      </c>
      <c r="M13792" t="s">
        <v>26466</v>
      </c>
      <c r="N13792" t="s">
        <v>14</v>
      </c>
    </row>
    <row r="13793" x14ac:dyDescent="0.25">
      <c r="A13793" t="n">
        <v>23</v>
      </c>
      <c r="B13793" t="s">
        <v>14</v>
      </c>
      <c r="C13793" t="s">
        <v>22</v>
      </c>
      <c r="D13793" s="2" t="s">
        <f>=HYPERLINK("https://main.knesset.gov.il/APPS/legislation/main/bills/2086304", "הצעת חוק גיל פרישה (תיקון - העלאת גיל הפרישה לנשים וקביעת צעדים תומכים לנשים בגילאי העבודה), התש""ף-2020")</f>
        <v>25346</v>
      </c>
      <c r="E13793" t="s">
        <v>25346</v>
      </c>
      <c r="F13793" t="s">
        <v>26599</v>
      </c>
      <c r="G13793" t="s">
        <v>14</v>
      </c>
      <c r="H13793">
             </c>
      <c r="I13793" t="s">
        <v>14</v>
      </c>
      <c r="J13793" t="s">
        <v>141</v>
      </c>
      <c r="K13793" t="s">
        <v>14</v>
      </c>
      <c r="L13793" t="s">
        <v>20</v>
      </c>
      <c r="M13793" t="s">
        <v>26466</v>
      </c>
      <c r="N13793" t="s">
        <v>14</v>
      </c>
    </row>
    <row r="13794" x14ac:dyDescent="0.25">
      <c r="A13794" t="n">
        <v>23</v>
      </c>
      <c r="B13794" t="s">
        <v>14</v>
      </c>
      <c r="C13794" t="s">
        <v>22</v>
      </c>
      <c r="D13794" s="2" t="s">
        <f>=HYPERLINK("https://main.knesset.gov.il/APPS/legislation/main/bills/2087614", "הצעת חוק לעידוד מחקר, פיתוח וחדשנות טכנולוגית בתעשייה (תיקון - תקציב הרשות הלאומית לחדשנות טכנולוגית), התש""ף-2020")</f>
        <v>23984</v>
      </c>
      <c r="E13794" t="s">
        <v>23984</v>
      </c>
      <c r="F13794" t="s">
        <v>26600</v>
      </c>
      <c r="G13794" t="s">
        <v>14</v>
      </c>
      <c r="H13794">
             </c>
      <c r="I13794" t="s">
        <v>14</v>
      </c>
      <c r="J13794" t="s">
        <v>141</v>
      </c>
      <c r="K13794" t="s">
        <v>14</v>
      </c>
      <c r="L13794" t="s">
        <v>20</v>
      </c>
      <c r="M13794" t="s">
        <v>26466</v>
      </c>
      <c r="N13794" t="s">
        <v>14</v>
      </c>
    </row>
    <row r="13795" x14ac:dyDescent="0.25">
      <c r="A13795" t="n">
        <v>23</v>
      </c>
      <c r="B13795" t="s">
        <v>14</v>
      </c>
      <c r="C13795" t="s">
        <v>22</v>
      </c>
      <c r="D13795" s="2" t="s">
        <f>=HYPERLINK("https://main.knesset.gov.il/APPS/legislation/main/bills/2086786", "הצעת חוק המקרקעין (תיקון - התקנת מעלית מטעמים מיוחדים), התש""ף-2020")</f>
        <v>26601</v>
      </c>
      <c r="E13795" t="s">
        <v>26601</v>
      </c>
      <c r="F13795" t="s">
        <v>26602</v>
      </c>
      <c r="G13795" t="s">
        <v>14</v>
      </c>
      <c r="H13795">
             </c>
      <c r="I13795" t="s">
        <v>14</v>
      </c>
      <c r="J13795" t="s">
        <v>141</v>
      </c>
      <c r="K13795" t="s">
        <v>14</v>
      </c>
      <c r="L13795" t="s">
        <v>20</v>
      </c>
      <c r="M13795" t="s">
        <v>26466</v>
      </c>
      <c r="N13795" t="s">
        <v>14</v>
      </c>
    </row>
    <row r="13796" x14ac:dyDescent="0.25">
      <c r="A13796" t="n">
        <v>23</v>
      </c>
      <c r="B13796" t="s">
        <v>14</v>
      </c>
      <c r="C13796" t="s">
        <v>22</v>
      </c>
      <c r="D13796" s="2" t="s">
        <f>=HYPERLINK("https://main.knesset.gov.il/APPS/legislation/main/bills/2086073", "הצעת חוק ידועים בציבור, התש""ף-2020")</f>
        <v>26603</v>
      </c>
      <c r="E13796" t="s">
        <v>26603</v>
      </c>
      <c r="F13796" t="s">
        <v>26604</v>
      </c>
      <c r="G13796" t="s">
        <v>14</v>
      </c>
      <c r="H13796">
             </c>
      <c r="I13796" t="s">
        <v>14</v>
      </c>
      <c r="J13796" t="s">
        <v>141</v>
      </c>
      <c r="K13796" t="s">
        <v>14</v>
      </c>
      <c r="L13796" t="s">
        <v>20</v>
      </c>
      <c r="M13796" t="s">
        <v>26466</v>
      </c>
      <c r="N13796" t="s">
        <v>14</v>
      </c>
    </row>
    <row r="13797" x14ac:dyDescent="0.25">
      <c r="A13797" t="n">
        <v>23</v>
      </c>
      <c r="B13797" t="s">
        <v>14</v>
      </c>
      <c r="C13797" t="s">
        <v>22</v>
      </c>
      <c r="D13797" s="2" t="s">
        <f>=HYPERLINK("https://main.knesset.gov.il/APPS/legislation/main/bills/2087133", "הצעת חוק מס ערך מוסף (תיקון - פטור ממס במכירת תרופות מצילות חיים שאינן כלולות בסל הבריאות), התש""ף-2020")</f>
        <v>25350</v>
      </c>
      <c r="E13797" t="s">
        <v>25350</v>
      </c>
      <c r="F13797" t="s">
        <v>26605</v>
      </c>
      <c r="G13797" t="s">
        <v>14</v>
      </c>
      <c r="H13797">
             </c>
      <c r="I13797" t="s">
        <v>14</v>
      </c>
      <c r="J13797" t="s">
        <v>141</v>
      </c>
      <c r="K13797" t="s">
        <v>14</v>
      </c>
      <c r="L13797" t="s">
        <v>20</v>
      </c>
      <c r="M13797" t="s">
        <v>26466</v>
      </c>
      <c r="N13797" t="s">
        <v>14</v>
      </c>
    </row>
    <row r="13798" x14ac:dyDescent="0.25">
      <c r="A13798" t="n">
        <v>23</v>
      </c>
      <c r="B13798" t="s">
        <v>14</v>
      </c>
      <c r="C13798" t="s">
        <v>22</v>
      </c>
      <c r="D13798" s="2" t="s">
        <f>=HYPERLINK("https://main.knesset.gov.il/APPS/legislation/main/bills/2087192", "הצעת חוק לתיקון פקודת מס הכנסה (עידוד צמיחה לעסקים עצמאיים קטנים ובינוניים), התש""ף-2020")</f>
        <v>24106</v>
      </c>
      <c r="E13798" t="s">
        <v>24106</v>
      </c>
      <c r="F13798" t="s">
        <v>26606</v>
      </c>
      <c r="G13798" t="s">
        <v>14</v>
      </c>
      <c r="H13798">
             </c>
      <c r="I13798" t="s">
        <v>14</v>
      </c>
      <c r="J13798" t="s">
        <v>141</v>
      </c>
      <c r="K13798" t="s">
        <v>14</v>
      </c>
      <c r="L13798" t="s">
        <v>20</v>
      </c>
      <c r="M13798" t="s">
        <v>26466</v>
      </c>
      <c r="N13798" t="s">
        <v>14</v>
      </c>
    </row>
    <row r="13799" x14ac:dyDescent="0.25">
      <c r="A13799" t="n">
        <v>23</v>
      </c>
      <c r="B13799" t="s">
        <v>14</v>
      </c>
      <c r="C13799" t="s">
        <v>22</v>
      </c>
      <c r="D13799" s="2" t="s">
        <f>=HYPERLINK("https://main.knesset.gov.il/APPS/legislation/main/bills/2087314", "הצעת חוק מס רכוש וקרן פיצויים (תיקון - פיצוי בעד נזקי מגפת הקורונה) (הוראת שעה), התש""ף-2020")</f>
        <v>23994</v>
      </c>
      <c r="E13799" t="s">
        <v>23994</v>
      </c>
      <c r="F13799" t="s">
        <v>26607</v>
      </c>
      <c r="G13799" t="s">
        <v>14</v>
      </c>
      <c r="H13799">
             </c>
      <c r="I13799" t="s">
        <v>14</v>
      </c>
      <c r="J13799" t="s">
        <v>141</v>
      </c>
      <c r="K13799" t="s">
        <v>14</v>
      </c>
      <c r="L13799" t="s">
        <v>20</v>
      </c>
      <c r="M13799" t="s">
        <v>26466</v>
      </c>
      <c r="N13799" t="s">
        <v>14</v>
      </c>
    </row>
    <row r="13800" x14ac:dyDescent="0.25">
      <c r="A13800" t="n">
        <v>23</v>
      </c>
      <c r="B13800" t="s">
        <v>14</v>
      </c>
      <c r="C13800" t="s">
        <v>22</v>
      </c>
      <c r="D13800" s="2" t="s">
        <f>=HYPERLINK("https://main.knesset.gov.il/APPS/legislation/main/bills/2085726", "הצעת חוק הכשרות המשפטית והאפוטרופסות (תיקון - הכרעה דחופה בנוגע לילד להורים בהליכי גירושין), התש""ף-2020 ")</f>
        <v>26608</v>
      </c>
      <c r="E13800" t="s">
        <v>26608</v>
      </c>
      <c r="F13800" t="s">
        <v>26609</v>
      </c>
      <c r="G13800" t="s">
        <v>14</v>
      </c>
      <c r="H13800">
             </c>
      <c r="I13800" t="s">
        <v>14</v>
      </c>
      <c r="J13800" t="s">
        <v>141</v>
      </c>
      <c r="K13800" t="s">
        <v>14</v>
      </c>
      <c r="L13800" t="s">
        <v>20</v>
      </c>
      <c r="M13800" t="s">
        <v>26466</v>
      </c>
      <c r="N13800" t="s">
        <v>14</v>
      </c>
    </row>
    <row r="13801" x14ac:dyDescent="0.25">
      <c r="A13801" t="n">
        <v>23</v>
      </c>
      <c r="B13801" t="s">
        <v>14</v>
      </c>
      <c r="C13801" t="s">
        <v>22</v>
      </c>
      <c r="D13801" s="2" t="s">
        <f>=HYPERLINK("https://main.knesset.gov.il/APPS/legislation/main/bills/2085674", "הצעת חוק ההתיישנות (תיקון - הארכת התיישנות של תובענה בגין עבירת מין), התש""ף-2020")</f>
        <v>26610</v>
      </c>
      <c r="E13801" t="s">
        <v>26610</v>
      </c>
      <c r="F13801" t="s">
        <v>26611</v>
      </c>
      <c r="G13801" t="s">
        <v>14</v>
      </c>
      <c r="H13801">
             </c>
      <c r="I13801" t="s">
        <v>14</v>
      </c>
      <c r="J13801" t="s">
        <v>141</v>
      </c>
      <c r="K13801" t="s">
        <v>14</v>
      </c>
      <c r="L13801" t="s">
        <v>20</v>
      </c>
      <c r="M13801" t="s">
        <v>26466</v>
      </c>
      <c r="N13801" t="s">
        <v>14</v>
      </c>
    </row>
    <row r="13802" x14ac:dyDescent="0.25">
      <c r="A13802" t="n">
        <v>23</v>
      </c>
      <c r="B13802" t="s">
        <v>14</v>
      </c>
      <c r="C13802" t="s">
        <v>22</v>
      </c>
      <c r="D13802" s="2" t="s">
        <f>=HYPERLINK("https://main.knesset.gov.il/APPS/legislation/main/bills/2087532", "הצעת חוק מס הכנסה (פטור ממס על הכנסה מהשכרת דירת מגורים) (תיקון - פטור למוסד חינוך), התש""ף-2020")</f>
        <v>26612</v>
      </c>
      <c r="E13802" t="s">
        <v>26612</v>
      </c>
      <c r="F13802" t="s">
        <v>26613</v>
      </c>
      <c r="G13802" t="s">
        <v>14</v>
      </c>
      <c r="H13802">
             </c>
      <c r="I13802" t="s">
        <v>14</v>
      </c>
      <c r="J13802" t="s">
        <v>141</v>
      </c>
      <c r="K13802" t="s">
        <v>14</v>
      </c>
      <c r="L13802" t="s">
        <v>20</v>
      </c>
      <c r="M13802" t="s">
        <v>26466</v>
      </c>
      <c r="N13802" t="s">
        <v>14</v>
      </c>
    </row>
    <row r="13803" x14ac:dyDescent="0.25">
      <c r="A13803" t="n">
        <v>23</v>
      </c>
      <c r="B13803" t="s">
        <v>14</v>
      </c>
      <c r="C13803" t="s">
        <v>22</v>
      </c>
      <c r="D13803" s="2" t="s">
        <f>=HYPERLINK("https://main.knesset.gov.il/APPS/legislation/main/bills/2086683", "הצעת חוק לתיקון פקודת מס הכנסה (פטור ממס על משיכה הונית מקופת גמל), התש""ף- 2020")</f>
        <v>26614</v>
      </c>
      <c r="E13803" t="s">
        <v>26614</v>
      </c>
      <c r="F13803" t="s">
        <v>26615</v>
      </c>
      <c r="G13803" t="s">
        <v>14</v>
      </c>
      <c r="H13803">
             </c>
      <c r="I13803" t="s">
        <v>14</v>
      </c>
      <c r="J13803" t="s">
        <v>141</v>
      </c>
      <c r="K13803" t="s">
        <v>14</v>
      </c>
      <c r="L13803" t="s">
        <v>20</v>
      </c>
      <c r="M13803" t="s">
        <v>26466</v>
      </c>
      <c r="N13803" t="s">
        <v>14</v>
      </c>
    </row>
    <row r="13804" x14ac:dyDescent="0.25">
      <c r="A13804" t="n">
        <v>23</v>
      </c>
      <c r="B13804" t="s">
        <v>14</v>
      </c>
      <c r="C13804" t="s">
        <v>22</v>
      </c>
      <c r="D13804" s="2" t="s">
        <f>=HYPERLINK("https://main.knesset.gov.il/APPS/legislation/main/bills/2086992", "הצעת חוק מס ערך מוסף (תיקון - פטור ממס במכירת תרופות מצילות חיים שאינן כלולות בסל הבריאות), התש""ף-2020")</f>
        <v>25350</v>
      </c>
      <c r="E13804" t="s">
        <v>25350</v>
      </c>
      <c r="F13804" t="s">
        <v>26616</v>
      </c>
      <c r="G13804" t="s">
        <v>14</v>
      </c>
      <c r="H13804">
             </c>
      <c r="I13804" t="s">
        <v>14</v>
      </c>
      <c r="J13804" t="s">
        <v>141</v>
      </c>
      <c r="K13804" t="s">
        <v>14</v>
      </c>
      <c r="L13804" t="s">
        <v>20</v>
      </c>
      <c r="M13804" t="s">
        <v>26466</v>
      </c>
      <c r="N13804" t="s">
        <v>14</v>
      </c>
    </row>
    <row r="13805" x14ac:dyDescent="0.25">
      <c r="A13805" t="n">
        <v>23</v>
      </c>
      <c r="B13805" t="s">
        <v>14</v>
      </c>
      <c r="C13805" t="s">
        <v>22</v>
      </c>
      <c r="D13805" s="2" t="s">
        <f>=HYPERLINK("https://main.knesset.gov.il/APPS/legislation/main/bills/2086689", "הצעת חוק לתיקון פקודת המשטרה (הרכב המחלקה לחקירת שוטרים) , התש""ף-2020")</f>
        <v>26617</v>
      </c>
      <c r="E13805" t="s">
        <v>26617</v>
      </c>
      <c r="F13805" t="s">
        <v>26618</v>
      </c>
      <c r="G13805" t="s">
        <v>14</v>
      </c>
      <c r="H13805">
             </c>
      <c r="I13805" t="s">
        <v>14</v>
      </c>
      <c r="J13805" t="s">
        <v>141</v>
      </c>
      <c r="K13805" t="s">
        <v>14</v>
      </c>
      <c r="L13805" t="s">
        <v>20</v>
      </c>
      <c r="M13805" t="s">
        <v>26466</v>
      </c>
      <c r="N13805" t="s">
        <v>14</v>
      </c>
    </row>
    <row r="13806" x14ac:dyDescent="0.25">
      <c r="A13806" t="n">
        <v>23</v>
      </c>
      <c r="B13806" t="s">
        <v>14</v>
      </c>
      <c r="C13806" t="s">
        <v>22</v>
      </c>
      <c r="D13806" s="2" t="s">
        <f>=HYPERLINK("https://main.knesset.gov.il/APPS/legislation/main/bills/2086740", "הצעת חוק כביש אגרה (כביש ארצי לישראל) (תיקון - פטור מאגרה לחיילי מילואים בדרכם לשירות), התש""ף-2020")</f>
        <v>26619</v>
      </c>
      <c r="E13806" t="s">
        <v>26619</v>
      </c>
      <c r="F13806" t="s">
        <v>26620</v>
      </c>
      <c r="G13806" t="s">
        <v>14</v>
      </c>
      <c r="H13806">
             </c>
      <c r="I13806" t="s">
        <v>14</v>
      </c>
      <c r="J13806" t="s">
        <v>141</v>
      </c>
      <c r="K13806" t="s">
        <v>14</v>
      </c>
      <c r="L13806" t="s">
        <v>20</v>
      </c>
      <c r="M13806" t="s">
        <v>26466</v>
      </c>
      <c r="N13806" t="s">
        <v>14</v>
      </c>
    </row>
    <row r="13807" x14ac:dyDescent="0.25">
      <c r="A13807" t="n">
        <v>23</v>
      </c>
      <c r="B13807" t="s">
        <v>14</v>
      </c>
      <c r="C13807" t="s">
        <v>22</v>
      </c>
      <c r="D13807" s="2" t="s">
        <f>=HYPERLINK("https://main.knesset.gov.il/APPS/legislation/main/bills/2087175", "הצעת חוק לתיקון פקודת המשטרה (הוספת השפה הערבית לתג זיהוי), התש""ף-2020")</f>
        <v>26621</v>
      </c>
      <c r="E13807" t="s">
        <v>26621</v>
      </c>
      <c r="F13807" t="s">
        <v>26622</v>
      </c>
      <c r="G13807" t="s">
        <v>14</v>
      </c>
      <c r="H13807">
             </c>
      <c r="I13807" t="s">
        <v>14</v>
      </c>
      <c r="J13807" t="s">
        <v>141</v>
      </c>
      <c r="K13807" t="s">
        <v>14</v>
      </c>
      <c r="L13807" t="s">
        <v>20</v>
      </c>
      <c r="M13807" t="s">
        <v>26466</v>
      </c>
      <c r="N13807" t="s">
        <v>14</v>
      </c>
    </row>
    <row r="13808" x14ac:dyDescent="0.25">
      <c r="A13808" t="n">
        <v>23</v>
      </c>
      <c r="B13808" t="s">
        <v>14</v>
      </c>
      <c r="C13808" t="s">
        <v>22</v>
      </c>
      <c r="D13808" s="2" t="s">
        <f>=HYPERLINK("https://main.knesset.gov.il/APPS/legislation/main/bills/2087242", "הצעת חוק החלת ריבונות על בקעת הירדן, גוש עציון, גבעת זאב, מעלה אדומים, ביתר עילית ועפרה, התש""ף-2020")</f>
        <v>26623</v>
      </c>
      <c r="E13808" t="s">
        <v>26623</v>
      </c>
      <c r="F13808" t="s">
        <v>26624</v>
      </c>
      <c r="G13808" t="s">
        <v>14</v>
      </c>
      <c r="H13808">
             </c>
      <c r="I13808" t="s">
        <v>14</v>
      </c>
      <c r="J13808" t="s">
        <v>141</v>
      </c>
      <c r="K13808" t="s">
        <v>14</v>
      </c>
      <c r="L13808" t="s">
        <v>20</v>
      </c>
      <c r="M13808" t="s">
        <v>26466</v>
      </c>
      <c r="N13808" t="s">
        <v>14</v>
      </c>
    </row>
    <row r="13809" x14ac:dyDescent="0.25">
      <c r="A13809" t="n">
        <v>23</v>
      </c>
      <c r="B13809" t="s">
        <v>14</v>
      </c>
      <c r="C13809" t="s">
        <v>22</v>
      </c>
      <c r="D13809" s="2" t="s">
        <f>=HYPERLINK("https://main.knesset.gov.il/APPS/legislation/main/bills/2086930", "הצעת חוק החלת הריבונות הישראלית על בקעת הירדן, התש""ף-2020")</f>
        <v>26625</v>
      </c>
      <c r="E13809" t="s">
        <v>26625</v>
      </c>
      <c r="F13809" t="s">
        <v>26626</v>
      </c>
      <c r="G13809" t="s">
        <v>14</v>
      </c>
      <c r="H13809">
             </c>
      <c r="I13809" t="s">
        <v>14</v>
      </c>
      <c r="J13809" t="s">
        <v>141</v>
      </c>
      <c r="K13809" t="s">
        <v>14</v>
      </c>
      <c r="L13809" t="s">
        <v>20</v>
      </c>
      <c r="M13809" t="s">
        <v>26466</v>
      </c>
      <c r="N13809" t="s">
        <v>14</v>
      </c>
    </row>
    <row r="13810" x14ac:dyDescent="0.25">
      <c r="A13810" t="n">
        <v>23</v>
      </c>
      <c r="B13810" t="s">
        <v>14</v>
      </c>
      <c r="C13810" t="s">
        <v>22</v>
      </c>
      <c r="D13810" s="2" t="s">
        <f>=HYPERLINK("https://main.knesset.gov.il/APPS/legislation/main/bills/2086260", "הצעת חוק הפיקוח על יצוא ביטחוני (תיקון - הוספת שיקול בדבר הפרות חמורות של זכויות אדם במסגרת מתן רישיון), התש""ף-2020")</f>
        <v>26627</v>
      </c>
      <c r="E13810" t="s">
        <v>26627</v>
      </c>
      <c r="F13810" t="s">
        <v>26628</v>
      </c>
      <c r="G13810" t="s">
        <v>14</v>
      </c>
      <c r="H13810">
             </c>
      <c r="I13810" t="s">
        <v>14</v>
      </c>
      <c r="J13810" t="s">
        <v>141</v>
      </c>
      <c r="K13810" t="s">
        <v>14</v>
      </c>
      <c r="L13810" t="s">
        <v>20</v>
      </c>
      <c r="M13810" t="s">
        <v>26466</v>
      </c>
      <c r="N13810" t="s">
        <v>14</v>
      </c>
    </row>
    <row r="13811" x14ac:dyDescent="0.25">
      <c r="A13811" t="n">
        <v>23</v>
      </c>
      <c r="B13811" t="s">
        <v>14</v>
      </c>
      <c r="C13811" t="s">
        <v>22</v>
      </c>
      <c r="D13811" s="2" t="s">
        <f>=HYPERLINK("https://main.knesset.gov.il/APPS/legislation/main/bills/2086493", "הצעת חוק מערך החוץ וההסברה, התש""ף-2020")</f>
        <v>26629</v>
      </c>
      <c r="E13811" t="s">
        <v>26629</v>
      </c>
      <c r="F13811" t="s">
        <v>26630</v>
      </c>
      <c r="G13811" t="s">
        <v>14</v>
      </c>
      <c r="H13811">
             </c>
      <c r="I13811" t="s">
        <v>14</v>
      </c>
      <c r="J13811" t="s">
        <v>141</v>
      </c>
      <c r="K13811" t="s">
        <v>14</v>
      </c>
      <c r="L13811" t="s">
        <v>20</v>
      </c>
      <c r="M13811" t="s">
        <v>26466</v>
      </c>
      <c r="N13811" t="s">
        <v>14</v>
      </c>
    </row>
    <row r="13812" x14ac:dyDescent="0.25">
      <c r="A13812" t="n">
        <v>23</v>
      </c>
      <c r="B13812" t="s">
        <v>14</v>
      </c>
      <c r="C13812" t="s">
        <v>22</v>
      </c>
      <c r="D13812" s="2" t="s">
        <f>=HYPERLINK("https://main.knesset.gov.il/APPS/legislation/main/bills/2086489", "הצעת חוק נציבות תלונות אסירים, התש""ף-2020")</f>
        <v>26631</v>
      </c>
      <c r="E13812" t="s">
        <v>26631</v>
      </c>
      <c r="F13812" t="s">
        <v>26632</v>
      </c>
      <c r="G13812" t="s">
        <v>14</v>
      </c>
      <c r="H13812">
             </c>
      <c r="I13812" t="s">
        <v>14</v>
      </c>
      <c r="J13812" t="s">
        <v>141</v>
      </c>
      <c r="K13812" t="s">
        <v>14</v>
      </c>
      <c r="L13812" t="s">
        <v>20</v>
      </c>
      <c r="M13812" t="s">
        <v>26466</v>
      </c>
      <c r="N13812" t="s">
        <v>14</v>
      </c>
    </row>
    <row r="13813" x14ac:dyDescent="0.25">
      <c r="A13813" t="n">
        <v>23</v>
      </c>
      <c r="B13813" t="s">
        <v>14</v>
      </c>
      <c r="C13813" t="s">
        <v>22</v>
      </c>
      <c r="D13813" s="2" t="s">
        <f>=HYPERLINK("https://main.knesset.gov.il/APPS/legislation/main/bills/2086331", "הצעת חוק שירות אזרחי (תיקון - צמצום יכולת ההשפעה של חשודים על התנהלות גוף מוכר), התש""ף-2020")</f>
        <v>26633</v>
      </c>
      <c r="E13813" t="s">
        <v>26633</v>
      </c>
      <c r="F13813" t="s">
        <v>26634</v>
      </c>
      <c r="G13813" t="s">
        <v>14</v>
      </c>
      <c r="H13813">
             </c>
      <c r="I13813" t="s">
        <v>14</v>
      </c>
      <c r="J13813" t="s">
        <v>141</v>
      </c>
      <c r="K13813" t="s">
        <v>14</v>
      </c>
      <c r="L13813" t="s">
        <v>20</v>
      </c>
      <c r="M13813" t="s">
        <v>26466</v>
      </c>
      <c r="N13813" t="s">
        <v>14</v>
      </c>
    </row>
    <row r="13814" x14ac:dyDescent="0.25">
      <c r="A13814" t="n">
        <v>23</v>
      </c>
      <c r="B13814" t="s">
        <v>14</v>
      </c>
      <c r="C13814" t="s">
        <v>22</v>
      </c>
      <c r="D13814" s="2" t="s">
        <f>=HYPERLINK("https://main.knesset.gov.il/APPS/legislation/main/bills/2085967", "הצעת חוק החלת ריבונות ישראל בשטח בקעת הירדן, התש""ף-2020")</f>
        <v>26635</v>
      </c>
      <c r="E13814" t="s">
        <v>26635</v>
      </c>
      <c r="F13814" t="s">
        <v>26636</v>
      </c>
      <c r="G13814" t="s">
        <v>14</v>
      </c>
      <c r="H13814">
             </c>
      <c r="I13814" t="s">
        <v>14</v>
      </c>
      <c r="J13814" t="s">
        <v>141</v>
      </c>
      <c r="K13814" t="s">
        <v>14</v>
      </c>
      <c r="L13814" t="s">
        <v>20</v>
      </c>
      <c r="M13814" t="s">
        <v>26466</v>
      </c>
      <c r="N13814" t="s">
        <v>14</v>
      </c>
    </row>
    <row r="13815" x14ac:dyDescent="0.25">
      <c r="A13815" t="n">
        <v>23</v>
      </c>
      <c r="B13815" t="s">
        <v>14</v>
      </c>
      <c r="C13815" t="s">
        <v>22</v>
      </c>
      <c r="D13815" s="2" t="s">
        <f>=HYPERLINK("https://main.knesset.gov.il/APPS/legislation/main/bills/2086042", "הצעת חוק שירות ביטחון (שוויון בנטל), התש""ף-2020")</f>
        <v>26637</v>
      </c>
      <c r="E13815" t="s">
        <v>26637</v>
      </c>
      <c r="F13815" t="s">
        <v>26638</v>
      </c>
      <c r="G13815" t="s">
        <v>14</v>
      </c>
      <c r="H13815">
             </c>
      <c r="I13815" t="s">
        <v>14</v>
      </c>
      <c r="J13815" t="s">
        <v>141</v>
      </c>
      <c r="K13815" t="s">
        <v>14</v>
      </c>
      <c r="L13815" t="s">
        <v>20</v>
      </c>
      <c r="M13815" t="s">
        <v>26466</v>
      </c>
      <c r="N13815" t="s">
        <v>14</v>
      </c>
    </row>
    <row r="13816" x14ac:dyDescent="0.25">
      <c r="A13816" t="n">
        <v>23</v>
      </c>
      <c r="B13816" t="s">
        <v>14</v>
      </c>
      <c r="C13816" t="s">
        <v>22</v>
      </c>
      <c r="D13816" s="2" t="s">
        <f>=HYPERLINK("https://main.knesset.gov.il/APPS/legislation/main/bills/2086012", "הצעת חוק המאבק בשחיתות הציבורית - הרשעה בעבירה שיש עמה קלון (תיקוני חקיקה), התש""ף-2020")</f>
        <v>26639</v>
      </c>
      <c r="E13816" t="s">
        <v>26639</v>
      </c>
      <c r="F13816" t="s">
        <v>26640</v>
      </c>
      <c r="G13816" t="s">
        <v>14</v>
      </c>
      <c r="H13816">
             </c>
      <c r="I13816" t="s">
        <v>14</v>
      </c>
      <c r="J13816" t="s">
        <v>141</v>
      </c>
      <c r="K13816" t="s">
        <v>14</v>
      </c>
      <c r="L13816" t="s">
        <v>20</v>
      </c>
      <c r="M13816" t="s">
        <v>26466</v>
      </c>
      <c r="N13816" t="s">
        <v>14</v>
      </c>
    </row>
    <row r="13817" x14ac:dyDescent="0.25">
      <c r="A13817" t="n">
        <v>23</v>
      </c>
      <c r="B13817" t="s">
        <v>14</v>
      </c>
      <c r="C13817" t="s">
        <v>22</v>
      </c>
      <c r="D13817" s="2" t="s">
        <f>=HYPERLINK("https://main.knesset.gov.il/APPS/legislation/main/bills/2086926", "הצעת חוק גנים לאומיים, שמורות טבע, אתרים לאומיים ואתרי הנצחה (תיקון - הסדרת תחבורה ציבורית), התש""ף-2020")</f>
        <v>26641</v>
      </c>
      <c r="E13817" t="s">
        <v>26641</v>
      </c>
      <c r="F13817" t="s">
        <v>26642</v>
      </c>
      <c r="G13817" t="s">
        <v>14</v>
      </c>
      <c r="H13817">
             </c>
      <c r="I13817" t="s">
        <v>14</v>
      </c>
      <c r="J13817" t="s">
        <v>141</v>
      </c>
      <c r="K13817" t="s">
        <v>14</v>
      </c>
      <c r="L13817" t="s">
        <v>20</v>
      </c>
      <c r="M13817" t="s">
        <v>26466</v>
      </c>
      <c r="N13817" t="s">
        <v>14</v>
      </c>
    </row>
    <row r="13818" x14ac:dyDescent="0.25">
      <c r="A13818" t="n">
        <v>23</v>
      </c>
      <c r="B13818" t="s">
        <v>14</v>
      </c>
      <c r="C13818" t="s">
        <v>22</v>
      </c>
      <c r="D13818" s="2" t="s">
        <f>=HYPERLINK("https://main.knesset.gov.il/APPS/legislation/main/bills/2086813", "הצעת חוק מיסוי מקרקעין (שבח ורכישה) (תיקון - שיעור מס הרכישה והוראת שעה), התש""ף-2020")</f>
        <v>26643</v>
      </c>
      <c r="E13818" t="s">
        <v>26643</v>
      </c>
      <c r="F13818" t="s">
        <v>26644</v>
      </c>
      <c r="G13818" t="s">
        <v>14</v>
      </c>
      <c r="H13818">
             </c>
      <c r="I13818" t="s">
        <v>14</v>
      </c>
      <c r="J13818" t="s">
        <v>141</v>
      </c>
      <c r="K13818" t="s">
        <v>14</v>
      </c>
      <c r="L13818" t="s">
        <v>20</v>
      </c>
      <c r="M13818" t="s">
        <v>26466</v>
      </c>
      <c r="N13818" t="s">
        <v>14</v>
      </c>
    </row>
    <row r="13819" x14ac:dyDescent="0.25">
      <c r="A13819" t="n">
        <v>23</v>
      </c>
      <c r="B13819" t="s">
        <v>14</v>
      </c>
      <c r="C13819" t="s">
        <v>22</v>
      </c>
      <c r="D13819" s="2" t="s">
        <f>=HYPERLINK("https://main.knesset.gov.il/APPS/legislation/main/bills/2085668", "הצעת חוק ערבות למשכנתאות (תיקון - ערבות מדינה לדירה יחידה), התש""ף-2020")</f>
        <v>26645</v>
      </c>
      <c r="E13819" t="s">
        <v>26645</v>
      </c>
      <c r="F13819" t="s">
        <v>26646</v>
      </c>
      <c r="G13819" t="s">
        <v>14</v>
      </c>
      <c r="H13819">
             </c>
      <c r="I13819" t="s">
        <v>14</v>
      </c>
      <c r="J13819" t="s">
        <v>141</v>
      </c>
      <c r="K13819" t="s">
        <v>14</v>
      </c>
      <c r="L13819" t="s">
        <v>20</v>
      </c>
      <c r="M13819" t="s">
        <v>26466</v>
      </c>
      <c r="N13819" t="s">
        <v>14</v>
      </c>
    </row>
    <row r="13820" x14ac:dyDescent="0.25">
      <c r="A13820" t="n">
        <v>23</v>
      </c>
      <c r="B13820" t="s">
        <v>14</v>
      </c>
      <c r="C13820" t="s">
        <v>22</v>
      </c>
      <c r="D13820" s="2" t="s">
        <f>=HYPERLINK("https://main.knesset.gov.il/APPS/legislation/main/bills/2086310", "הצעת חוק המכר (דירות) (הבטחת השקעות של רוכשי דירות) (תיקון - התחדשות עירונית), התש""ף - 2020")</f>
        <v>26647</v>
      </c>
      <c r="E13820" t="s">
        <v>26647</v>
      </c>
      <c r="F13820" t="s">
        <v>26648</v>
      </c>
      <c r="G13820" t="s">
        <v>14</v>
      </c>
      <c r="H13820">
             </c>
      <c r="I13820" t="s">
        <v>14</v>
      </c>
      <c r="J13820" t="s">
        <v>141</v>
      </c>
      <c r="K13820" t="s">
        <v>14</v>
      </c>
      <c r="L13820" t="s">
        <v>20</v>
      </c>
      <c r="M13820" t="s">
        <v>26466</v>
      </c>
      <c r="N13820" t="s">
        <v>14</v>
      </c>
    </row>
    <row r="13821" x14ac:dyDescent="0.25">
      <c r="A13821" t="n">
        <v>23</v>
      </c>
      <c r="B13821" t="s">
        <v>14</v>
      </c>
      <c r="C13821" t="s">
        <v>22</v>
      </c>
      <c r="D13821" s="2" t="s">
        <f>=HYPERLINK("https://main.knesset.gov.il/APPS/legislation/main/bills/2086982", "הצעת חוק התכנון והבנייה (תיקון - הקמת ועדה מיוחדת לקידום והסדרת התכנון ביישובים הדרוזים) (הוראת שעה), התש""ף-2020")</f>
        <v>26649</v>
      </c>
      <c r="E13821" t="s">
        <v>26649</v>
      </c>
      <c r="F13821" t="s">
        <v>26650</v>
      </c>
      <c r="G13821" t="s">
        <v>14</v>
      </c>
      <c r="H13821">
             </c>
      <c r="I13821" t="s">
        <v>14</v>
      </c>
      <c r="J13821" t="s">
        <v>141</v>
      </c>
      <c r="K13821" t="s">
        <v>14</v>
      </c>
      <c r="L13821" t="s">
        <v>20</v>
      </c>
      <c r="M13821" t="s">
        <v>26466</v>
      </c>
      <c r="N13821" t="s">
        <v>14</v>
      </c>
    </row>
    <row r="13822" x14ac:dyDescent="0.25">
      <c r="A13822" t="n">
        <v>23</v>
      </c>
      <c r="B13822" t="s">
        <v>14</v>
      </c>
      <c r="C13822" t="s">
        <v>22</v>
      </c>
      <c r="D13822" s="2" t="s">
        <f>=HYPERLINK("https://main.knesset.gov.il/APPS/legislation/main/bills/2087071", "הצעת חוק המרכז להנצחת מורשתו של הנשיא יצחק נבון, התש""ף-2020")</f>
        <v>26651</v>
      </c>
      <c r="E13822" t="s">
        <v>26651</v>
      </c>
      <c r="F13822" t="s">
        <v>26652</v>
      </c>
      <c r="G13822" t="s">
        <v>14</v>
      </c>
      <c r="H13822">
             </c>
      <c r="I13822" t="s">
        <v>14</v>
      </c>
      <c r="J13822" t="s">
        <v>343</v>
      </c>
      <c r="K13822" t="s">
        <v>14</v>
      </c>
      <c r="L13822" t="s">
        <v>20</v>
      </c>
      <c r="M13822" t="s">
        <v>26466</v>
      </c>
      <c r="N13822" t="s">
        <v>14</v>
      </c>
    </row>
    <row r="13823" x14ac:dyDescent="0.25">
      <c r="A13823" t="n">
        <v>23</v>
      </c>
      <c r="B13823" t="s">
        <v>14</v>
      </c>
      <c r="C13823" t="s">
        <v>22</v>
      </c>
      <c r="D13823" s="2" t="s">
        <f>=HYPERLINK("https://main.knesset.gov.il/APPS/legislation/main/bills/2086989", "הצעת חוק הקמת יישוב עירוני חדש לאוכלוסייה הדרוזית, התש""ף-2020")</f>
        <v>26653</v>
      </c>
      <c r="E13823" t="s">
        <v>26653</v>
      </c>
      <c r="F13823" t="s">
        <v>26654</v>
      </c>
      <c r="G13823" t="s">
        <v>14</v>
      </c>
      <c r="H13823">
             </c>
      <c r="I13823" t="s">
        <v>14</v>
      </c>
      <c r="J13823" t="s">
        <v>141</v>
      </c>
      <c r="K13823" t="s">
        <v>14</v>
      </c>
      <c r="L13823" t="s">
        <v>20</v>
      </c>
      <c r="M13823" t="s">
        <v>26466</v>
      </c>
      <c r="N13823" t="s">
        <v>14</v>
      </c>
    </row>
    <row r="13824" x14ac:dyDescent="0.25">
      <c r="A13824" t="n">
        <v>23</v>
      </c>
      <c r="B13824" t="s">
        <v>14</v>
      </c>
      <c r="C13824" t="s">
        <v>22</v>
      </c>
      <c r="D13824" s="2" t="s">
        <f>=HYPERLINK("https://main.knesset.gov.il/APPS/legislation/main/bills/2086739", "הצעת חוק יום לציון רצח העם הארמני, התש""ף-2020")</f>
        <v>25301</v>
      </c>
      <c r="E13824" t="s">
        <v>25301</v>
      </c>
      <c r="F13824" t="s">
        <v>26655</v>
      </c>
      <c r="G13824" t="s">
        <v>14</v>
      </c>
      <c r="H13824">
             </c>
      <c r="I13824" t="s">
        <v>14</v>
      </c>
      <c r="J13824" t="s">
        <v>141</v>
      </c>
      <c r="K13824" t="s">
        <v>14</v>
      </c>
      <c r="L13824" t="s">
        <v>20</v>
      </c>
      <c r="M13824" t="s">
        <v>26466</v>
      </c>
      <c r="N13824" t="s">
        <v>14</v>
      </c>
    </row>
    <row r="13825" x14ac:dyDescent="0.25">
      <c r="A13825" t="n">
        <v>23</v>
      </c>
      <c r="B13825" t="s">
        <v>14</v>
      </c>
      <c r="C13825" t="s">
        <v>22</v>
      </c>
      <c r="D13825" s="2" t="s">
        <f>=HYPERLINK("https://main.knesset.gov.il/APPS/legislation/main/bills/2086377", "הצעת חוק המים (תיקון - איסור הפקעת מבנה המשמש מוסד ללא כוונת רווח), התש""ף-2020")</f>
        <v>26656</v>
      </c>
      <c r="E13825" t="s">
        <v>26656</v>
      </c>
      <c r="F13825" t="s">
        <v>26657</v>
      </c>
      <c r="G13825" t="s">
        <v>14</v>
      </c>
      <c r="H13825">
             </c>
      <c r="I13825" t="s">
        <v>14</v>
      </c>
      <c r="J13825" t="s">
        <v>141</v>
      </c>
      <c r="K13825" t="s">
        <v>14</v>
      </c>
      <c r="L13825" t="s">
        <v>20</v>
      </c>
      <c r="M13825" t="s">
        <v>26466</v>
      </c>
      <c r="N13825" t="s">
        <v>14</v>
      </c>
    </row>
    <row r="13826" x14ac:dyDescent="0.25">
      <c r="A13826" t="n">
        <v>23</v>
      </c>
      <c r="B13826" t="s">
        <v>14</v>
      </c>
      <c r="C13826" t="s">
        <v>22</v>
      </c>
      <c r="D13826" s="2" t="s">
        <f>=HYPERLINK("https://main.knesset.gov.il/APPS/legislation/main/bills/2087000", "הצעת חוק לתיקון פקודת התעבורה (סימון המדרכה לפני מעבר חציה), התש""ף-2020")</f>
        <v>26658</v>
      </c>
      <c r="E13826" t="s">
        <v>26658</v>
      </c>
      <c r="F13826" t="s">
        <v>26659</v>
      </c>
      <c r="G13826" t="s">
        <v>14</v>
      </c>
      <c r="H13826">
             </c>
      <c r="I13826" t="s">
        <v>14</v>
      </c>
      <c r="J13826" t="s">
        <v>141</v>
      </c>
      <c r="K13826" t="s">
        <v>14</v>
      </c>
      <c r="L13826" t="s">
        <v>20</v>
      </c>
      <c r="M13826" t="s">
        <v>26466</v>
      </c>
      <c r="N13826" t="s">
        <v>14</v>
      </c>
    </row>
    <row r="13827" x14ac:dyDescent="0.25">
      <c r="A13827" t="n">
        <v>23</v>
      </c>
      <c r="B13827" t="s">
        <v>14</v>
      </c>
      <c r="C13827" t="s">
        <v>22</v>
      </c>
      <c r="D13827" s="2" t="s">
        <f>=HYPERLINK("https://main.knesset.gov.il/APPS/legislation/main/bills/2087002", "הצעת חוק לתיקון פקודת התעבורה (חובת בדיקת תקינות כריות האוויר ברכב בעת מתן רישיון רכב, חידושו או העברתו), התש""ף-2020")</f>
        <v>26660</v>
      </c>
      <c r="E13827" t="s">
        <v>26660</v>
      </c>
      <c r="F13827" t="s">
        <v>26661</v>
      </c>
      <c r="G13827" t="s">
        <v>14</v>
      </c>
      <c r="H13827">
             </c>
      <c r="I13827" t="s">
        <v>14</v>
      </c>
      <c r="J13827" t="s">
        <v>141</v>
      </c>
      <c r="K13827" t="s">
        <v>14</v>
      </c>
      <c r="L13827" t="s">
        <v>20</v>
      </c>
      <c r="M13827" t="s">
        <v>26466</v>
      </c>
      <c r="N13827" t="s">
        <v>14</v>
      </c>
    </row>
    <row r="13828" x14ac:dyDescent="0.25">
      <c r="A13828" t="n">
        <v>23</v>
      </c>
      <c r="B13828" t="s">
        <v>14</v>
      </c>
      <c r="C13828" t="s">
        <v>22</v>
      </c>
      <c r="D13828" s="2" t="s">
        <f>=HYPERLINK("https://main.knesset.gov.il/APPS/legislation/main/bills/2086994", "הצעת חוק לתיקון פקודת התעבורה (חובת התקנת מערכות לגילוי וכיבוי אש באוטובוסים), התש""ף-2020")</f>
        <v>26662</v>
      </c>
      <c r="E13828" t="s">
        <v>26662</v>
      </c>
      <c r="F13828" t="s">
        <v>26663</v>
      </c>
      <c r="G13828" t="s">
        <v>14</v>
      </c>
      <c r="H13828">
             </c>
      <c r="I13828" t="s">
        <v>14</v>
      </c>
      <c r="J13828" t="s">
        <v>141</v>
      </c>
      <c r="K13828" t="s">
        <v>14</v>
      </c>
      <c r="L13828" t="s">
        <v>20</v>
      </c>
      <c r="M13828" t="s">
        <v>26466</v>
      </c>
      <c r="N13828" t="s">
        <v>14</v>
      </c>
    </row>
    <row r="13829" x14ac:dyDescent="0.25">
      <c r="A13829" t="n">
        <v>23</v>
      </c>
      <c r="B13829" t="s">
        <v>14</v>
      </c>
      <c r="C13829" t="s">
        <v>22</v>
      </c>
      <c r="D13829" s="2" t="s">
        <f>=HYPERLINK("https://main.knesset.gov.il/APPS/legislation/main/bills/2086978", "הצעת חוק התכנון והבנייה (תיקון - חיבור לחשמל) (הוראת שעה), התש""ף-2020")</f>
        <v>26664</v>
      </c>
      <c r="E13829" t="s">
        <v>26664</v>
      </c>
      <c r="F13829" t="s">
        <v>26665</v>
      </c>
      <c r="G13829" t="s">
        <v>14</v>
      </c>
      <c r="H13829">
             </c>
      <c r="I13829" t="s">
        <v>14</v>
      </c>
      <c r="J13829" t="s">
        <v>141</v>
      </c>
      <c r="K13829" t="s">
        <v>14</v>
      </c>
      <c r="L13829" t="s">
        <v>20</v>
      </c>
      <c r="M13829" t="s">
        <v>26466</v>
      </c>
      <c r="N13829" t="s">
        <v>14</v>
      </c>
    </row>
    <row r="13830" x14ac:dyDescent="0.25">
      <c r="A13830" t="n">
        <v>23</v>
      </c>
      <c r="B13830" t="s">
        <v>14</v>
      </c>
      <c r="C13830" t="s">
        <v>22</v>
      </c>
      <c r="D13830" s="2" t="s">
        <f>=HYPERLINK("https://main.knesset.gov.il/APPS/legislation/main/bills/2087509", "הצעת חוק הגנת הצרכן (תיקון - איסור התניית עסקה באופן תשלום), התש""ף-2020")</f>
        <v>26666</v>
      </c>
      <c r="E13830" t="s">
        <v>26666</v>
      </c>
      <c r="F13830" t="s">
        <v>26667</v>
      </c>
      <c r="G13830" t="s">
        <v>14</v>
      </c>
      <c r="H13830">
             </c>
      <c r="I13830" t="s">
        <v>14</v>
      </c>
      <c r="J13830" t="s">
        <v>141</v>
      </c>
      <c r="K13830" t="s">
        <v>14</v>
      </c>
      <c r="L13830" t="s">
        <v>20</v>
      </c>
      <c r="M13830" t="s">
        <v>26466</v>
      </c>
      <c r="N13830" t="s">
        <v>14</v>
      </c>
    </row>
    <row r="13831" x14ac:dyDescent="0.25">
      <c r="A13831" t="n">
        <v>23</v>
      </c>
      <c r="B13831" t="s">
        <v>14</v>
      </c>
      <c r="C13831" t="s">
        <v>22</v>
      </c>
      <c r="D13831" s="2" t="s">
        <f>=HYPERLINK("https://main.knesset.gov.il/APPS/legislation/main/bills/2087516", "הצעת חוק הגנת הצרכן (תיקון - חובת פרסום שם יצרן ודגם מוצר), התש""ף-2020")</f>
        <v>26668</v>
      </c>
      <c r="E13831" t="s">
        <v>26668</v>
      </c>
      <c r="F13831" t="s">
        <v>26669</v>
      </c>
      <c r="G13831" t="s">
        <v>14</v>
      </c>
      <c r="H13831">
             </c>
      <c r="I13831" t="s">
        <v>14</v>
      </c>
      <c r="J13831" t="s">
        <v>141</v>
      </c>
      <c r="K13831" t="s">
        <v>14</v>
      </c>
      <c r="L13831" t="s">
        <v>20</v>
      </c>
      <c r="M13831" t="s">
        <v>26466</v>
      </c>
      <c r="N13831" t="s">
        <v>14</v>
      </c>
    </row>
    <row r="13832" x14ac:dyDescent="0.25">
      <c r="A13832" t="n">
        <v>23</v>
      </c>
      <c r="B13832" t="s">
        <v>14</v>
      </c>
      <c r="C13832" t="s">
        <v>22</v>
      </c>
      <c r="D13832" s="2" t="s">
        <f>=HYPERLINK("https://main.knesset.gov.il/APPS/legislation/main/bills/2087043", "הצעת חוק הגנת הצרכן (תיקון - הנגשת שירותים ממשלתיים לאזרח), התש""ף-2020")</f>
        <v>26670</v>
      </c>
      <c r="E13832" t="s">
        <v>26670</v>
      </c>
      <c r="F13832" t="s">
        <v>26671</v>
      </c>
      <c r="G13832" t="s">
        <v>14</v>
      </c>
      <c r="H13832">
             </c>
      <c r="I13832" t="s">
        <v>14</v>
      </c>
      <c r="J13832" t="s">
        <v>141</v>
      </c>
      <c r="K13832" t="s">
        <v>14</v>
      </c>
      <c r="L13832" t="s">
        <v>20</v>
      </c>
      <c r="M13832" t="s">
        <v>26466</v>
      </c>
      <c r="N13832" t="s">
        <v>14</v>
      </c>
    </row>
    <row r="13833" x14ac:dyDescent="0.25">
      <c r="A13833" t="n">
        <v>23</v>
      </c>
      <c r="B13833" t="s">
        <v>14</v>
      </c>
      <c r="C13833" t="s">
        <v>22</v>
      </c>
      <c r="D13833" s="2" t="s">
        <f>=HYPERLINK("https://main.knesset.gov.il/APPS/legislation/main/bills/2086562", "הצעת חוק הבנקאות (שירות ללקוח) (תיקון - ריבית על יתרת זכות), התש""ף-2020")</f>
        <v>26672</v>
      </c>
      <c r="E13833" t="s">
        <v>26672</v>
      </c>
      <c r="F13833" t="s">
        <v>26673</v>
      </c>
      <c r="G13833" t="s">
        <v>14</v>
      </c>
      <c r="H13833">
             </c>
      <c r="I13833" t="s">
        <v>14</v>
      </c>
      <c r="J13833" t="s">
        <v>141</v>
      </c>
      <c r="K13833" t="s">
        <v>14</v>
      </c>
      <c r="L13833" t="s">
        <v>20</v>
      </c>
      <c r="M13833" t="s">
        <v>26466</v>
      </c>
      <c r="N13833" t="s">
        <v>14</v>
      </c>
    </row>
    <row r="13834" x14ac:dyDescent="0.25">
      <c r="A13834" t="n">
        <v>23</v>
      </c>
      <c r="B13834" t="s">
        <v>14</v>
      </c>
      <c r="C13834" t="s">
        <v>22</v>
      </c>
      <c r="D13834" s="2" t="s">
        <f>=HYPERLINK("https://main.knesset.gov.il/APPS/legislation/main/bills/2086949", "הצעת חוק להגנת חיית הבר (תיקון - איסור מכירת פרוות), התש""ף-2020")</f>
        <v>26674</v>
      </c>
      <c r="E13834" t="s">
        <v>26674</v>
      </c>
      <c r="F13834" t="s">
        <v>26675</v>
      </c>
      <c r="G13834" t="s">
        <v>14</v>
      </c>
      <c r="H13834">
             </c>
      <c r="I13834" t="s">
        <v>14</v>
      </c>
      <c r="J13834" t="s">
        <v>141</v>
      </c>
      <c r="K13834" t="s">
        <v>14</v>
      </c>
      <c r="L13834" t="s">
        <v>20</v>
      </c>
      <c r="M13834" t="s">
        <v>26466</v>
      </c>
      <c r="N13834" t="s">
        <v>14</v>
      </c>
    </row>
    <row r="13835" x14ac:dyDescent="0.25">
      <c r="A13835" t="n">
        <v>23</v>
      </c>
      <c r="B13835" t="s">
        <v>14</v>
      </c>
      <c r="C13835" t="s">
        <v>22</v>
      </c>
      <c r="D13835" s="2" t="s">
        <f>=HYPERLINK("https://main.knesset.gov.il/APPS/legislation/main/bills/2086072", "הצעת חוק הבנקאות (שירות ללקוח) (תיקון - דיווח על ניצול קשיש או חסר ישע), התש""ף-2020")</f>
        <v>25872</v>
      </c>
      <c r="E13835" t="s">
        <v>25872</v>
      </c>
      <c r="F13835" t="s">
        <v>26676</v>
      </c>
      <c r="G13835" t="s">
        <v>14</v>
      </c>
      <c r="H13835">
             </c>
      <c r="I13835" t="s">
        <v>14</v>
      </c>
      <c r="J13835" t="s">
        <v>141</v>
      </c>
      <c r="K13835" t="s">
        <v>14</v>
      </c>
      <c r="L13835" t="s">
        <v>20</v>
      </c>
      <c r="M13835" t="s">
        <v>26466</v>
      </c>
      <c r="N13835" t="s">
        <v>14</v>
      </c>
    </row>
    <row r="13836" x14ac:dyDescent="0.25">
      <c r="A13836" t="n">
        <v>23</v>
      </c>
      <c r="B13836" t="s">
        <v>14</v>
      </c>
      <c r="C13836" t="s">
        <v>22</v>
      </c>
      <c r="D13836" s="2" t="s">
        <f>=HYPERLINK("https://main.knesset.gov.il/APPS/legislation/main/bills/2086659", "הצעת חוק המכינות הקדם-צבאיות (תיקון - שלילת הכרה ממכינות המעודדות סירוב פקודה והסתה), התש""ף-2020")</f>
        <v>24485</v>
      </c>
      <c r="E13836" t="s">
        <v>24485</v>
      </c>
      <c r="F13836" t="s">
        <v>26677</v>
      </c>
      <c r="G13836" t="s">
        <v>14</v>
      </c>
      <c r="H13836">
             </c>
      <c r="I13836" t="s">
        <v>14</v>
      </c>
      <c r="J13836" t="s">
        <v>141</v>
      </c>
      <c r="K13836" t="s">
        <v>14</v>
      </c>
      <c r="L13836" t="s">
        <v>20</v>
      </c>
      <c r="M13836" t="s">
        <v>26466</v>
      </c>
      <c r="N13836" t="s">
        <v>14</v>
      </c>
    </row>
    <row r="13837" x14ac:dyDescent="0.25">
      <c r="A13837" t="n">
        <v>23</v>
      </c>
      <c r="B13837" t="s">
        <v>14</v>
      </c>
      <c r="C13837" t="s">
        <v>22</v>
      </c>
      <c r="D13837" s="2" t="s">
        <f>=HYPERLINK("https://main.knesset.gov.il/APPS/legislation/main/bills/2086901", "הצעת חוק איסור הפליה במוצרים, בשירותים ובכניסה למקומות בידור ולמקומות ציבוריים (תיקון - איסור בקשה לשינוי בהסדר במתן השירות), התש""ף-2020")</f>
        <v>26678</v>
      </c>
      <c r="E13837" t="s">
        <v>26678</v>
      </c>
      <c r="F13837" t="s">
        <v>26679</v>
      </c>
      <c r="G13837" t="s">
        <v>14</v>
      </c>
      <c r="H13837">
             </c>
      <c r="I13837" t="s">
        <v>14</v>
      </c>
      <c r="J13837" t="s">
        <v>141</v>
      </c>
      <c r="K13837" t="s">
        <v>14</v>
      </c>
      <c r="L13837" t="s">
        <v>20</v>
      </c>
      <c r="M13837" t="s">
        <v>26466</v>
      </c>
      <c r="N13837" t="s">
        <v>14</v>
      </c>
    </row>
    <row r="13838" x14ac:dyDescent="0.25">
      <c r="A13838" t="n">
        <v>23</v>
      </c>
      <c r="B13838" t="s">
        <v>14</v>
      </c>
      <c r="C13838" t="s">
        <v>22</v>
      </c>
      <c r="D13838" s="2" t="s">
        <f>=HYPERLINK("https://main.knesset.gov.il/APPS/legislation/main/bills/2086950", "הצעת חוק לתיקון פקודת העיריות (ייצוג הולם בשמות מקומות ציבוריים), התש""ף-2020")</f>
        <v>25971</v>
      </c>
      <c r="E13838" t="s">
        <v>25971</v>
      </c>
      <c r="F13838" t="s">
        <v>26680</v>
      </c>
      <c r="G13838" t="s">
        <v>14</v>
      </c>
      <c r="H13838">
             </c>
      <c r="I13838" t="s">
        <v>14</v>
      </c>
      <c r="J13838" t="s">
        <v>141</v>
      </c>
      <c r="K13838" t="s">
        <v>14</v>
      </c>
      <c r="L13838" t="s">
        <v>20</v>
      </c>
      <c r="M13838" t="s">
        <v>26466</v>
      </c>
      <c r="N13838" t="s">
        <v>14</v>
      </c>
    </row>
    <row r="13839" x14ac:dyDescent="0.25">
      <c r="A13839" t="n">
        <v>23</v>
      </c>
      <c r="B13839" t="s">
        <v>14</v>
      </c>
      <c r="C13839" t="s">
        <v>22</v>
      </c>
      <c r="D13839" s="2" t="s">
        <f>=HYPERLINK("https://main.knesset.gov.il/APPS/legislation/main/bills/2086591", "הצעת חוק יום חינוך ארוך ולימודי העשרה (תיקון - תחולת החוק), התש""ף-2020")</f>
        <v>26681</v>
      </c>
      <c r="E13839" t="s">
        <v>26681</v>
      </c>
      <c r="F13839" t="s">
        <v>26682</v>
      </c>
      <c r="G13839" t="s">
        <v>14</v>
      </c>
      <c r="H13839">
             </c>
      <c r="I13839" t="s">
        <v>14</v>
      </c>
      <c r="J13839" t="s">
        <v>141</v>
      </c>
      <c r="K13839" t="s">
        <v>14</v>
      </c>
      <c r="L13839" t="s">
        <v>20</v>
      </c>
      <c r="M13839" t="s">
        <v>26466</v>
      </c>
      <c r="N13839" t="s">
        <v>14</v>
      </c>
    </row>
    <row r="13840" x14ac:dyDescent="0.25">
      <c r="A13840" t="n">
        <v>23</v>
      </c>
      <c r="B13840" t="s">
        <v>14</v>
      </c>
      <c r="C13840" t="s">
        <v>22</v>
      </c>
      <c r="D13840" s="2" t="s">
        <f>=HYPERLINK("https://main.knesset.gov.il/APPS/legislation/main/bills/2086524", "הצעת חוק המרכז להנצחת מורשתו של הנשיא יצחק נבון, התש""ף-2020")</f>
        <v>26651</v>
      </c>
      <c r="E13840" t="s">
        <v>26651</v>
      </c>
      <c r="F13840" t="s">
        <v>26683</v>
      </c>
      <c r="G13840" t="s">
        <v>14</v>
      </c>
      <c r="H13840">
             </c>
      <c r="I13840" t="s">
        <v>14</v>
      </c>
      <c r="J13840" t="s">
        <v>141</v>
      </c>
      <c r="K13840" t="s">
        <v>14</v>
      </c>
      <c r="L13840" t="s">
        <v>20</v>
      </c>
      <c r="M13840" t="s">
        <v>26466</v>
      </c>
      <c r="N13840" t="s">
        <v>14</v>
      </c>
    </row>
    <row r="13841" x14ac:dyDescent="0.25">
      <c r="A13841" t="n">
        <v>23</v>
      </c>
      <c r="B13841" t="s">
        <v>14</v>
      </c>
      <c r="C13841" t="s">
        <v>22</v>
      </c>
      <c r="D13841" s="2" t="s">
        <f>=HYPERLINK("https://main.knesset.gov.il/APPS/legislation/main/bills/2086432", "הצעת חוק ארוחה יומית לתלמיד (תיקון - הכללת תוכנית ציל""ה בחוק), התש""ף-2020")</f>
        <v>26684</v>
      </c>
      <c r="E13841" t="s">
        <v>26684</v>
      </c>
      <c r="F13841" t="s">
        <v>26685</v>
      </c>
      <c r="G13841" t="s">
        <v>14</v>
      </c>
      <c r="H13841">
             </c>
      <c r="I13841" t="s">
        <v>14</v>
      </c>
      <c r="J13841" t="s">
        <v>141</v>
      </c>
      <c r="K13841" t="s">
        <v>14</v>
      </c>
      <c r="L13841" t="s">
        <v>20</v>
      </c>
      <c r="M13841" t="s">
        <v>26466</v>
      </c>
      <c r="N13841" t="s">
        <v>14</v>
      </c>
    </row>
    <row r="13842" x14ac:dyDescent="0.25">
      <c r="A13842" t="n">
        <v>23</v>
      </c>
      <c r="B13842" t="s">
        <v>14</v>
      </c>
      <c r="C13842" t="s">
        <v>22</v>
      </c>
      <c r="D13842" s="2" t="s">
        <f>=HYPERLINK("https://main.knesset.gov.il/APPS/legislation/main/bills/2086430", "הצעת חוק ארוחה יומית לתלמיד (תיקון - ביטול השתתפות עצמית של ההורים), התש""ף-2020")</f>
        <v>26686</v>
      </c>
      <c r="E13842" t="s">
        <v>26686</v>
      </c>
      <c r="F13842" t="s">
        <v>26687</v>
      </c>
      <c r="G13842" t="s">
        <v>14</v>
      </c>
      <c r="H13842">
             </c>
      <c r="I13842" t="s">
        <v>14</v>
      </c>
      <c r="J13842" t="s">
        <v>141</v>
      </c>
      <c r="K13842" t="s">
        <v>14</v>
      </c>
      <c r="L13842" t="s">
        <v>20</v>
      </c>
      <c r="M13842" t="s">
        <v>26466</v>
      </c>
      <c r="N13842" t="s">
        <v>14</v>
      </c>
    </row>
    <row r="13843" x14ac:dyDescent="0.25">
      <c r="A13843" t="n">
        <v>23</v>
      </c>
      <c r="B13843" t="s">
        <v>14</v>
      </c>
      <c r="C13843" t="s">
        <v>22</v>
      </c>
      <c r="D13843" s="2" t="s">
        <f>=HYPERLINK("https://main.knesset.gov.il/APPS/legislation/main/bills/2086424", "הצעת חוק אחריות לעבודות שיפוצים, התש""ף-2020")</f>
        <v>26688</v>
      </c>
      <c r="E13843" t="s">
        <v>26688</v>
      </c>
      <c r="F13843" t="s">
        <v>26689</v>
      </c>
      <c r="G13843" t="s">
        <v>14</v>
      </c>
      <c r="H13843">
             </c>
      <c r="I13843" t="s">
        <v>14</v>
      </c>
      <c r="J13843" t="s">
        <v>141</v>
      </c>
      <c r="K13843" t="s">
        <v>14</v>
      </c>
      <c r="L13843" t="s">
        <v>20</v>
      </c>
      <c r="M13843" t="s">
        <v>26466</v>
      </c>
      <c r="N13843" t="s">
        <v>14</v>
      </c>
    </row>
    <row r="13844" x14ac:dyDescent="0.25">
      <c r="A13844" t="n">
        <v>23</v>
      </c>
      <c r="B13844" t="s">
        <v>14</v>
      </c>
      <c r="C13844" t="s">
        <v>22</v>
      </c>
      <c r="D13844" s="2" t="s">
        <f>=HYPERLINK("https://main.knesset.gov.il/APPS/legislation/main/bills/2086023", "הצעת חוק רשות מקרקעי ישראל (תיקון - החכר מימוני לדירות), התש""ף-2020")</f>
        <v>26690</v>
      </c>
      <c r="E13844" t="s">
        <v>26690</v>
      </c>
      <c r="F13844" t="s">
        <v>26691</v>
      </c>
      <c r="G13844" t="s">
        <v>14</v>
      </c>
      <c r="H13844">
             </c>
      <c r="I13844" t="s">
        <v>14</v>
      </c>
      <c r="J13844" t="s">
        <v>141</v>
      </c>
      <c r="K13844" t="s">
        <v>14</v>
      </c>
      <c r="L13844" t="s">
        <v>20</v>
      </c>
      <c r="M13844" t="s">
        <v>26466</v>
      </c>
      <c r="N13844" t="s">
        <v>14</v>
      </c>
    </row>
    <row r="13845" x14ac:dyDescent="0.25">
      <c r="A13845" t="n">
        <v>23</v>
      </c>
      <c r="B13845" t="s">
        <v>14</v>
      </c>
      <c r="C13845" t="s">
        <v>22</v>
      </c>
      <c r="D13845" s="2" t="s">
        <f>=HYPERLINK("https://main.knesset.gov.il/APPS/legislation/main/bills/2086163", "הצעת חוק רשות מקרקעי ישראל (תיקון - העדפת בני המקום בשיווק קרקעות), התש""ף-2020")</f>
        <v>26692</v>
      </c>
      <c r="E13845" t="s">
        <v>26692</v>
      </c>
      <c r="F13845" t="s">
        <v>26693</v>
      </c>
      <c r="G13845" t="s">
        <v>14</v>
      </c>
      <c r="H13845">
             </c>
      <c r="I13845" t="s">
        <v>14</v>
      </c>
      <c r="J13845" t="s">
        <v>141</v>
      </c>
      <c r="K13845" t="s">
        <v>14</v>
      </c>
      <c r="L13845" t="s">
        <v>20</v>
      </c>
      <c r="M13845" t="s">
        <v>26466</v>
      </c>
      <c r="N13845" t="s">
        <v>14</v>
      </c>
    </row>
    <row r="13846" x14ac:dyDescent="0.25">
      <c r="A13846" t="n">
        <v>23</v>
      </c>
      <c r="B13846" t="s">
        <v>14</v>
      </c>
      <c r="C13846" t="s">
        <v>22</v>
      </c>
      <c r="D13846" s="2" t="s">
        <f>=HYPERLINK("https://main.knesset.gov.il/APPS/legislation/main/bills/2086049", "הצעת חוק רשות מקרקעי ישראל (תיקון - העדפת בני המקום בשיווק קרקעות בפריפריה), התש""ף-2020")</f>
        <v>26694</v>
      </c>
      <c r="E13846" t="s">
        <v>26694</v>
      </c>
      <c r="F13846" t="s">
        <v>26695</v>
      </c>
      <c r="G13846" t="s">
        <v>14</v>
      </c>
      <c r="H13846">
             </c>
      <c r="I13846" t="s">
        <v>14</v>
      </c>
      <c r="J13846" t="s">
        <v>141</v>
      </c>
      <c r="K13846" t="s">
        <v>14</v>
      </c>
      <c r="L13846" t="s">
        <v>20</v>
      </c>
      <c r="M13846" t="s">
        <v>26466</v>
      </c>
      <c r="N13846" t="s">
        <v>14</v>
      </c>
    </row>
    <row r="13847" x14ac:dyDescent="0.25">
      <c r="A13847" t="n">
        <v>23</v>
      </c>
      <c r="B13847" t="s">
        <v>14</v>
      </c>
      <c r="C13847" t="s">
        <v>22</v>
      </c>
      <c r="D13847" s="2" t="s">
        <f>=HYPERLINK("https://main.knesset.gov.il/APPS/legislation/main/bills/2087719", "הצעת חוק לתיקון פקודת התעבורה (פטור מאגרת רישיון לרכב חשמלי), התש""ף-2020")</f>
        <v>25102</v>
      </c>
      <c r="E13847" t="s">
        <v>25102</v>
      </c>
      <c r="F13847" t="s">
        <v>26696</v>
      </c>
      <c r="G13847" t="s">
        <v>14</v>
      </c>
      <c r="H13847">
             </c>
      <c r="I13847" t="s">
        <v>14</v>
      </c>
      <c r="J13847" t="s">
        <v>141</v>
      </c>
      <c r="K13847" t="s">
        <v>14</v>
      </c>
      <c r="L13847" t="s">
        <v>20</v>
      </c>
      <c r="M13847" t="s">
        <v>26466</v>
      </c>
      <c r="N13847" t="s">
        <v>14</v>
      </c>
    </row>
    <row r="13848" x14ac:dyDescent="0.25">
      <c r="A13848" t="n">
        <v>23</v>
      </c>
      <c r="B13848" t="s">
        <v>14</v>
      </c>
      <c r="C13848" t="s">
        <v>22</v>
      </c>
      <c r="D13848" s="2" t="s">
        <f>=HYPERLINK("https://main.knesset.gov.il/APPS/legislation/main/bills/2086523", "הצעת חוק המכינות הקדם-צבאיות (תיקון - שלילת הכרה ממכינות המעודדות סירוב פקודה והסתה), התש""ף-2020")</f>
        <v>24485</v>
      </c>
      <c r="E13848" t="s">
        <v>24485</v>
      </c>
      <c r="F13848" t="s">
        <v>26697</v>
      </c>
      <c r="G13848" t="s">
        <v>14</v>
      </c>
      <c r="H13848">
             </c>
      <c r="I13848" t="s">
        <v>14</v>
      </c>
      <c r="J13848" t="s">
        <v>141</v>
      </c>
      <c r="K13848" t="s">
        <v>14</v>
      </c>
      <c r="L13848" t="s">
        <v>20</v>
      </c>
      <c r="M13848" t="s">
        <v>26466</v>
      </c>
      <c r="N13848" t="s">
        <v>14</v>
      </c>
    </row>
    <row r="13849" x14ac:dyDescent="0.25">
      <c r="A13849" t="n">
        <v>23</v>
      </c>
      <c r="B13849" t="s">
        <v>14</v>
      </c>
      <c r="C13849" t="s">
        <v>22</v>
      </c>
      <c r="D13849" s="2" t="s">
        <f>=HYPERLINK("https://main.knesset.gov.il/APPS/legislation/main/bills/2087517", "הצעת חוק לתיקון פקודת התעבורה (חובת התקנת מערכת למניעת השארת ילדים ברכב סגור), התש""ף-2020")</f>
        <v>26698</v>
      </c>
      <c r="E13849" t="s">
        <v>26698</v>
      </c>
      <c r="F13849" t="s">
        <v>26699</v>
      </c>
      <c r="G13849" t="s">
        <v>14</v>
      </c>
      <c r="H13849">
             </c>
      <c r="I13849" t="s">
        <v>14</v>
      </c>
      <c r="J13849" t="s">
        <v>141</v>
      </c>
      <c r="K13849" t="s">
        <v>14</v>
      </c>
      <c r="L13849" t="s">
        <v>20</v>
      </c>
      <c r="M13849" t="s">
        <v>26466</v>
      </c>
      <c r="N13849" t="s">
        <v>14</v>
      </c>
    </row>
    <row r="13850" x14ac:dyDescent="0.25">
      <c r="A13850" t="n">
        <v>23</v>
      </c>
      <c r="B13850" t="s">
        <v>14</v>
      </c>
      <c r="C13850" t="s">
        <v>22</v>
      </c>
      <c r="D13850" s="2" t="s">
        <f>=HYPERLINK("https://main.knesset.gov.il/APPS/legislation/main/bills/2087523", "הצעת חוק המכר (דירות) (תיקון - חובת מסירת תכניות הדירה לקונה), התש""ף-2020")</f>
        <v>26700</v>
      </c>
      <c r="E13850" t="s">
        <v>26700</v>
      </c>
      <c r="F13850" t="s">
        <v>26701</v>
      </c>
      <c r="G13850" t="s">
        <v>14</v>
      </c>
      <c r="H13850">
             </c>
      <c r="I13850" t="s">
        <v>14</v>
      </c>
      <c r="J13850" t="s">
        <v>141</v>
      </c>
      <c r="K13850" t="s">
        <v>14</v>
      </c>
      <c r="L13850" t="s">
        <v>20</v>
      </c>
      <c r="M13850" t="s">
        <v>26466</v>
      </c>
      <c r="N13850" t="s">
        <v>14</v>
      </c>
    </row>
    <row r="13851" x14ac:dyDescent="0.25">
      <c r="A13851" t="n">
        <v>23</v>
      </c>
      <c r="B13851" t="s">
        <v>14</v>
      </c>
      <c r="C13851" t="s">
        <v>22</v>
      </c>
      <c r="D13851" s="2" t="s">
        <f>=HYPERLINK("https://main.knesset.gov.il/APPS/legislation/main/bills/2086425", "הצעת חוק איסור הפליה של תלמידים במערכת החינוך (תיקוני חקיקה), התש""ף-2020")</f>
        <v>24471</v>
      </c>
      <c r="E13851" t="s">
        <v>24471</v>
      </c>
      <c r="F13851" t="s">
        <v>26702</v>
      </c>
      <c r="G13851" t="s">
        <v>14</v>
      </c>
      <c r="H13851">
             </c>
      <c r="I13851" t="s">
        <v>14</v>
      </c>
      <c r="J13851" t="s">
        <v>141</v>
      </c>
      <c r="K13851" t="s">
        <v>14</v>
      </c>
      <c r="L13851" t="s">
        <v>20</v>
      </c>
      <c r="M13851" t="s">
        <v>26466</v>
      </c>
      <c r="N13851" t="s">
        <v>14</v>
      </c>
    </row>
    <row r="13852" x14ac:dyDescent="0.25">
      <c r="A13852" t="n">
        <v>23</v>
      </c>
      <c r="B13852" t="s">
        <v>14</v>
      </c>
      <c r="C13852" t="s">
        <v>22</v>
      </c>
      <c r="D13852" s="2" t="s">
        <f>=HYPERLINK("https://main.knesset.gov.il/APPS/legislation/main/bills/2087200", "הצעת חוק איסור הונאה בכשרות (תיקון - כללים אחידים למתן תעודת הכשר), התש""ף-2020")</f>
        <v>25557</v>
      </c>
      <c r="E13852" t="s">
        <v>25557</v>
      </c>
      <c r="F13852" t="s">
        <v>26703</v>
      </c>
      <c r="G13852" t="s">
        <v>14</v>
      </c>
      <c r="H13852">
             </c>
      <c r="I13852" t="s">
        <v>14</v>
      </c>
      <c r="J13852" t="s">
        <v>141</v>
      </c>
      <c r="K13852" t="s">
        <v>14</v>
      </c>
      <c r="L13852" t="s">
        <v>20</v>
      </c>
      <c r="M13852" t="s">
        <v>26466</v>
      </c>
      <c r="N13852" t="s">
        <v>14</v>
      </c>
    </row>
    <row r="13853" x14ac:dyDescent="0.25">
      <c r="A13853" t="n">
        <v>23</v>
      </c>
      <c r="B13853" t="s">
        <v>14</v>
      </c>
      <c r="C13853" t="s">
        <v>22</v>
      </c>
      <c r="D13853" s="2" t="s">
        <f>=HYPERLINK("https://main.knesset.gov.il/APPS/legislation/main/bills/2087014", "הצעת חוק הגנת הצרכן (תיקון - מאגר צרכנים להגבלת שיחות שיווק מרחוק), התש""ף-2020")</f>
        <v>23860</v>
      </c>
      <c r="E13853" t="s">
        <v>23860</v>
      </c>
      <c r="F13853" t="s">
        <v>26704</v>
      </c>
      <c r="G13853" t="s">
        <v>14</v>
      </c>
      <c r="H13853">
             </c>
      <c r="I13853" t="s">
        <v>14</v>
      </c>
      <c r="J13853" t="s">
        <v>141</v>
      </c>
      <c r="K13853" t="s">
        <v>14</v>
      </c>
      <c r="L13853" t="s">
        <v>20</v>
      </c>
      <c r="M13853" t="s">
        <v>26466</v>
      </c>
      <c r="N13853" t="s">
        <v>14</v>
      </c>
    </row>
    <row r="13854" x14ac:dyDescent="0.25">
      <c r="A13854" t="n">
        <v>23</v>
      </c>
      <c r="B13854" t="s">
        <v>14</v>
      </c>
      <c r="C13854" t="s">
        <v>22</v>
      </c>
      <c r="D13854" s="2" t="s">
        <f>=HYPERLINK("https://main.knesset.gov.il/APPS/legislation/main/bills/2086327", "הצעת חוק חינוך ממלכתי (תיקון - הקניית ידע פיננסי וכישורי חיים), התש""ף-2020")</f>
        <v>26705</v>
      </c>
      <c r="E13854" t="s">
        <v>26705</v>
      </c>
      <c r="F13854" t="s">
        <v>26706</v>
      </c>
      <c r="G13854" t="s">
        <v>14</v>
      </c>
      <c r="H13854">
             </c>
      <c r="I13854" t="s">
        <v>14</v>
      </c>
      <c r="J13854" t="s">
        <v>141</v>
      </c>
      <c r="K13854" t="s">
        <v>14</v>
      </c>
      <c r="L13854" t="s">
        <v>20</v>
      </c>
      <c r="M13854" t="s">
        <v>26466</v>
      </c>
      <c r="N13854" t="s">
        <v>14</v>
      </c>
    </row>
    <row r="13855" x14ac:dyDescent="0.25">
      <c r="A13855" t="n">
        <v>23</v>
      </c>
      <c r="B13855" t="s">
        <v>14</v>
      </c>
      <c r="C13855" t="s">
        <v>22</v>
      </c>
      <c r="D13855" s="2" t="s">
        <f>=HYPERLINK("https://main.knesset.gov.il/APPS/legislation/main/bills/2087052", "הצעת חוק הבנקאות (שירות ללקוח) (תיקון - פרסום מדד עמלות למשקי בית), התש""ף-2020")</f>
        <v>26707</v>
      </c>
      <c r="E13855" t="s">
        <v>26707</v>
      </c>
      <c r="F13855" t="s">
        <v>26708</v>
      </c>
      <c r="G13855" t="s">
        <v>14</v>
      </c>
      <c r="H13855">
             </c>
      <c r="I13855" t="s">
        <v>14</v>
      </c>
      <c r="J13855" t="s">
        <v>141</v>
      </c>
      <c r="K13855" t="s">
        <v>14</v>
      </c>
      <c r="L13855" t="s">
        <v>20</v>
      </c>
      <c r="M13855" t="s">
        <v>26466</v>
      </c>
      <c r="N13855" t="s">
        <v>14</v>
      </c>
    </row>
    <row r="13856" x14ac:dyDescent="0.25">
      <c r="A13856" t="n">
        <v>23</v>
      </c>
      <c r="B13856" t="s">
        <v>14</v>
      </c>
      <c r="C13856" t="s">
        <v>22</v>
      </c>
      <c r="D13856" s="2" t="s">
        <f>=HYPERLINK("https://main.knesset.gov.il/APPS/legislation/main/bills/2087055", "הצעת חוק הרשויות המקומיות (יועצת לענייני מעמד האשה) (תיקון - תקציב ייעודי וייחוד הכהונה), התש""ף-2020")</f>
        <v>26709</v>
      </c>
      <c r="E13856" t="s">
        <v>26709</v>
      </c>
      <c r="F13856" t="s">
        <v>26710</v>
      </c>
      <c r="G13856" t="s">
        <v>14</v>
      </c>
      <c r="H13856">
             </c>
      <c r="I13856" t="s">
        <v>14</v>
      </c>
      <c r="J13856" t="s">
        <v>141</v>
      </c>
      <c r="K13856" t="s">
        <v>14</v>
      </c>
      <c r="L13856" t="s">
        <v>20</v>
      </c>
      <c r="M13856" t="s">
        <v>26466</v>
      </c>
      <c r="N13856" t="s">
        <v>14</v>
      </c>
    </row>
    <row r="13857" x14ac:dyDescent="0.25">
      <c r="A13857" t="n">
        <v>23</v>
      </c>
      <c r="B13857" t="s">
        <v>14</v>
      </c>
      <c r="C13857" t="s">
        <v>22</v>
      </c>
      <c r="D13857" s="2" t="s">
        <f>=HYPERLINK("https://main.knesset.gov.il/APPS/legislation/main/bills/2086611", "הצעת חוק להנצחת זכרה של גולדה מאיר, התש""ף-2020")</f>
        <v>26711</v>
      </c>
      <c r="E13857" t="s">
        <v>26711</v>
      </c>
      <c r="F13857" t="s">
        <v>26712</v>
      </c>
      <c r="G13857" t="s">
        <v>14</v>
      </c>
      <c r="H13857">
             </c>
      <c r="I13857" t="s">
        <v>14</v>
      </c>
      <c r="J13857" t="s">
        <v>141</v>
      </c>
      <c r="K13857" t="s">
        <v>14</v>
      </c>
      <c r="L13857" t="s">
        <v>20</v>
      </c>
      <c r="M13857" t="s">
        <v>26466</v>
      </c>
      <c r="N13857" t="s">
        <v>14</v>
      </c>
    </row>
    <row r="13858" x14ac:dyDescent="0.25">
      <c r="A13858" t="n">
        <v>23</v>
      </c>
      <c r="B13858" t="s">
        <v>14</v>
      </c>
      <c r="C13858" t="s">
        <v>22</v>
      </c>
      <c r="D13858" s="2" t="s">
        <f>=HYPERLINK("https://main.knesset.gov.il/APPS/legislation/main/bills/2087723", "הצעת חוק לימוד חובה (תיקון - חינוך חינם לפעוטות), התש""ף-2020")</f>
        <v>24477</v>
      </c>
      <c r="E13858" t="s">
        <v>24477</v>
      </c>
      <c r="F13858" t="s">
        <v>26713</v>
      </c>
      <c r="G13858" t="s">
        <v>14</v>
      </c>
      <c r="H13858">
             </c>
      <c r="I13858" t="s">
        <v>14</v>
      </c>
      <c r="J13858" t="s">
        <v>141</v>
      </c>
      <c r="K13858" t="s">
        <v>14</v>
      </c>
      <c r="L13858" t="s">
        <v>20</v>
      </c>
      <c r="M13858" t="s">
        <v>26466</v>
      </c>
      <c r="N13858" t="s">
        <v>14</v>
      </c>
    </row>
    <row r="13859" x14ac:dyDescent="0.25">
      <c r="A13859" t="n">
        <v>23</v>
      </c>
      <c r="B13859" t="s">
        <v>14</v>
      </c>
      <c r="C13859" t="s">
        <v>22</v>
      </c>
      <c r="D13859" s="2" t="s">
        <f>=HYPERLINK("https://main.knesset.gov.il/APPS/legislation/main/bills/2087069", "הצעת חוק הגבלת פרסומות ושיווק של הלוואות (תיקוני חקיקה), התש""ף-2020")</f>
        <v>26714</v>
      </c>
      <c r="E13859" t="s">
        <v>26714</v>
      </c>
      <c r="F13859" t="s">
        <v>26715</v>
      </c>
      <c r="G13859" t="s">
        <v>14</v>
      </c>
      <c r="H13859">
             </c>
      <c r="I13859" t="s">
        <v>14</v>
      </c>
      <c r="J13859" t="s">
        <v>141</v>
      </c>
      <c r="K13859" t="s">
        <v>14</v>
      </c>
      <c r="L13859" t="s">
        <v>20</v>
      </c>
      <c r="M13859" t="s">
        <v>26466</v>
      </c>
      <c r="N13859" t="s">
        <v>14</v>
      </c>
    </row>
    <row r="13860" x14ac:dyDescent="0.25">
      <c r="A13860" t="n">
        <v>23</v>
      </c>
      <c r="B13860" t="s">
        <v>14</v>
      </c>
      <c r="C13860" t="s">
        <v>22</v>
      </c>
      <c r="D13860" s="2" t="s">
        <f>=HYPERLINK("https://main.knesset.gov.il/APPS/legislation/main/bills/2086999", "הצעת חוק לתיקון פקודת התעבורה (הצגת משך הזמן שנותר לאותות ברמזורים), התש""ף-2020")</f>
        <v>26716</v>
      </c>
      <c r="E13860" t="s">
        <v>26716</v>
      </c>
      <c r="F13860" t="s">
        <v>26717</v>
      </c>
      <c r="G13860" t="s">
        <v>14</v>
      </c>
      <c r="H13860">
             </c>
      <c r="I13860" t="s">
        <v>14</v>
      </c>
      <c r="J13860" t="s">
        <v>141</v>
      </c>
      <c r="K13860" t="s">
        <v>14</v>
      </c>
      <c r="L13860" t="s">
        <v>20</v>
      </c>
      <c r="M13860" t="s">
        <v>26466</v>
      </c>
      <c r="N13860" t="s">
        <v>14</v>
      </c>
    </row>
    <row r="13861" x14ac:dyDescent="0.25">
      <c r="A13861" t="n">
        <v>23</v>
      </c>
      <c r="B13861" t="s">
        <v>14</v>
      </c>
      <c r="C13861" t="s">
        <v>22</v>
      </c>
      <c r="D13861" s="2" t="s">
        <f>=HYPERLINK("https://main.knesset.gov.il/APPS/legislation/main/bills/2085760", "הצעת חוק לימודי יסוד במערכת החינוך, התש""ף-2020")</f>
        <v>26718</v>
      </c>
      <c r="E13861" t="s">
        <v>26718</v>
      </c>
      <c r="F13861" t="s">
        <v>26719</v>
      </c>
      <c r="G13861" t="s">
        <v>14</v>
      </c>
      <c r="H13861">
             </c>
      <c r="I13861" t="s">
        <v>14</v>
      </c>
      <c r="J13861" t="s">
        <v>141</v>
      </c>
      <c r="K13861" t="s">
        <v>14</v>
      </c>
      <c r="L13861" t="s">
        <v>20</v>
      </c>
      <c r="M13861" t="s">
        <v>26466</v>
      </c>
      <c r="N13861" t="s">
        <v>14</v>
      </c>
    </row>
    <row r="13862" x14ac:dyDescent="0.25">
      <c r="A13862" t="n">
        <v>23</v>
      </c>
      <c r="B13862" t="s">
        <v>14</v>
      </c>
      <c r="C13862" t="s">
        <v>22</v>
      </c>
      <c r="D13862" s="2" t="s">
        <f>=HYPERLINK("https://main.knesset.gov.il/APPS/legislation/main/bills/2086308", "הצעת חוק לתיקון פקודת התעבורה (התניית מתן רישיון רכב או חידושו בהתקנת מערכת המונעת השארת ילדים ברכב), התש""ף-2020")</f>
        <v>26720</v>
      </c>
      <c r="E13862" t="s">
        <v>26720</v>
      </c>
      <c r="F13862" t="s">
        <v>26721</v>
      </c>
      <c r="G13862" t="s">
        <v>14</v>
      </c>
      <c r="H13862">
             </c>
      <c r="I13862" t="s">
        <v>14</v>
      </c>
      <c r="J13862" t="s">
        <v>141</v>
      </c>
      <c r="K13862" t="s">
        <v>14</v>
      </c>
      <c r="L13862" t="s">
        <v>20</v>
      </c>
      <c r="M13862" t="s">
        <v>26466</v>
      </c>
      <c r="N13862" t="s">
        <v>14</v>
      </c>
    </row>
    <row r="13863" x14ac:dyDescent="0.25">
      <c r="A13863" t="n">
        <v>23</v>
      </c>
      <c r="B13863" t="s">
        <v>14</v>
      </c>
      <c r="C13863" t="s">
        <v>22</v>
      </c>
      <c r="D13863" s="2" t="s">
        <f>=HYPERLINK("https://main.knesset.gov.il/APPS/legislation/main/bills/2087330", "הצעת חוק לימוד חובה (תיקון - חובת לימודי ליבה), התש""ף-2020")</f>
        <v>26722</v>
      </c>
      <c r="E13863" t="s">
        <v>26722</v>
      </c>
      <c r="F13863" t="s">
        <v>26723</v>
      </c>
      <c r="G13863" t="s">
        <v>14</v>
      </c>
      <c r="H13863">
             </c>
      <c r="I13863" t="s">
        <v>14</v>
      </c>
      <c r="J13863" t="s">
        <v>141</v>
      </c>
      <c r="K13863" t="s">
        <v>14</v>
      </c>
      <c r="L13863" t="s">
        <v>20</v>
      </c>
      <c r="M13863" t="s">
        <v>26466</v>
      </c>
      <c r="N13863" t="s">
        <v>14</v>
      </c>
    </row>
    <row r="13864" x14ac:dyDescent="0.25">
      <c r="A13864" t="n">
        <v>23</v>
      </c>
      <c r="B13864" t="s">
        <v>14</v>
      </c>
      <c r="C13864" t="s">
        <v>22</v>
      </c>
      <c r="D13864" s="2" t="s">
        <f>=HYPERLINK("https://main.knesset.gov.il/APPS/legislation/main/bills/2087015", "הצעת חוק מרשם האוכלוסין (תיקון - רישום הורה נוסף), התש""ף-2020")</f>
        <v>23854</v>
      </c>
      <c r="E13864" t="s">
        <v>23854</v>
      </c>
      <c r="F13864" t="s">
        <v>26724</v>
      </c>
      <c r="G13864" t="s">
        <v>14</v>
      </c>
      <c r="H13864">
             </c>
      <c r="I13864" t="s">
        <v>14</v>
      </c>
      <c r="J13864" t="s">
        <v>141</v>
      </c>
      <c r="K13864" t="s">
        <v>14</v>
      </c>
      <c r="L13864" t="s">
        <v>20</v>
      </c>
      <c r="M13864" t="s">
        <v>26466</v>
      </c>
      <c r="N13864" t="s">
        <v>14</v>
      </c>
    </row>
    <row r="13865" x14ac:dyDescent="0.25">
      <c r="A13865" t="n">
        <v>23</v>
      </c>
      <c r="B13865" t="s">
        <v>14</v>
      </c>
      <c r="C13865" t="s">
        <v>22</v>
      </c>
      <c r="D13865" s="2" t="s">
        <f>=HYPERLINK("https://main.knesset.gov.il/APPS/legislation/main/bills/2086246", "הצעת חוק לתיקון פקודת התעבורה (הגבלת דמי חניה בחניוני בתי החולים), התש""ף-2020")</f>
        <v>26725</v>
      </c>
      <c r="E13865" t="s">
        <v>26725</v>
      </c>
      <c r="F13865" t="s">
        <v>26726</v>
      </c>
      <c r="G13865" t="s">
        <v>14</v>
      </c>
      <c r="H13865">
             </c>
      <c r="I13865" t="s">
        <v>14</v>
      </c>
      <c r="J13865" t="s">
        <v>141</v>
      </c>
      <c r="K13865" t="s">
        <v>14</v>
      </c>
      <c r="L13865" t="s">
        <v>20</v>
      </c>
      <c r="M13865" t="s">
        <v>26466</v>
      </c>
      <c r="N13865" t="s">
        <v>14</v>
      </c>
    </row>
    <row r="13866" x14ac:dyDescent="0.25">
      <c r="A13866" t="n">
        <v>23</v>
      </c>
      <c r="B13866" t="s">
        <v>14</v>
      </c>
      <c r="C13866" t="s">
        <v>22</v>
      </c>
      <c r="D13866" s="2" t="s">
        <f>=HYPERLINK("https://main.knesset.gov.il/APPS/legislation/main/bills/2087377", "הצעת חוק המועצה להשכלה גבוהה (תיקון - איסור הגבלת גיל במוסד להשכלה גבוהה), התש""ף-2020")</f>
        <v>26727</v>
      </c>
      <c r="E13866" t="s">
        <v>26727</v>
      </c>
      <c r="F13866" t="s">
        <v>26728</v>
      </c>
      <c r="G13866" t="s">
        <v>14</v>
      </c>
      <c r="H13866">
             </c>
      <c r="I13866" t="s">
        <v>14</v>
      </c>
      <c r="J13866" t="s">
        <v>141</v>
      </c>
      <c r="K13866" t="s">
        <v>14</v>
      </c>
      <c r="L13866" t="s">
        <v>20</v>
      </c>
      <c r="M13866" t="s">
        <v>26466</v>
      </c>
      <c r="N13866" t="s">
        <v>14</v>
      </c>
    </row>
    <row r="13867" x14ac:dyDescent="0.25">
      <c r="A13867" t="n">
        <v>23</v>
      </c>
      <c r="B13867" t="s">
        <v>14</v>
      </c>
      <c r="C13867" t="s">
        <v>22</v>
      </c>
      <c r="D13867" s="2" t="s">
        <f>=HYPERLINK("https://main.knesset.gov.il/APPS/legislation/main/bills/2087068", "הצעת חוק הרשויות המקומיות (בחירת ראש הרשות וסגניו וכהונתם) (תיקון - הליך ההשעיה בגין הגשת כתב אישום), התש""ף-2020 ")</f>
        <v>26729</v>
      </c>
      <c r="E13867" t="s">
        <v>26729</v>
      </c>
      <c r="F13867" t="s">
        <v>26730</v>
      </c>
      <c r="G13867" t="s">
        <v>14</v>
      </c>
      <c r="H13867">
             </c>
      <c r="I13867" t="s">
        <v>14</v>
      </c>
      <c r="J13867" t="s">
        <v>141</v>
      </c>
      <c r="K13867" t="s">
        <v>14</v>
      </c>
      <c r="L13867" t="s">
        <v>20</v>
      </c>
      <c r="M13867" t="s">
        <v>26466</v>
      </c>
      <c r="N13867" t="s">
        <v>14</v>
      </c>
    </row>
    <row r="13868" x14ac:dyDescent="0.25">
      <c r="A13868" t="n">
        <v>23</v>
      </c>
      <c r="B13868" t="s">
        <v>14</v>
      </c>
      <c r="C13868" t="s">
        <v>22</v>
      </c>
      <c r="D13868" s="2" t="s">
        <f>=HYPERLINK("https://main.knesset.gov.il/APPS/legislation/main/bills/2087374", "הצעת חוק הספורט (תיקון - ייצוג הולם לאוכלוסייה הערבית), התש""ף-2020")</f>
        <v>26731</v>
      </c>
      <c r="E13868" t="s">
        <v>26731</v>
      </c>
      <c r="F13868" t="s">
        <v>26732</v>
      </c>
      <c r="G13868" t="s">
        <v>14</v>
      </c>
      <c r="H13868">
             </c>
      <c r="I13868" t="s">
        <v>14</v>
      </c>
      <c r="J13868" t="s">
        <v>141</v>
      </c>
      <c r="K13868" t="s">
        <v>14</v>
      </c>
      <c r="L13868" t="s">
        <v>20</v>
      </c>
      <c r="M13868" t="s">
        <v>26466</v>
      </c>
      <c r="N13868" t="s">
        <v>14</v>
      </c>
    </row>
    <row r="13869" x14ac:dyDescent="0.25">
      <c r="A13869" t="n">
        <v>23</v>
      </c>
      <c r="B13869" t="s">
        <v>14</v>
      </c>
      <c r="C13869" t="s">
        <v>22</v>
      </c>
      <c r="D13869" s="2" t="s">
        <f>=HYPERLINK("https://main.knesset.gov.il/APPS/legislation/main/bills/2086239", "הצעת חוק הבטחת פיצויים לתושבי מתחם כפר שלם, התש""ף-2020")</f>
        <v>26733</v>
      </c>
      <c r="E13869" t="s">
        <v>26733</v>
      </c>
      <c r="F13869" t="s">
        <v>26734</v>
      </c>
      <c r="G13869" t="s">
        <v>14</v>
      </c>
      <c r="H13869">
             </c>
      <c r="I13869" t="s">
        <v>14</v>
      </c>
      <c r="J13869" t="s">
        <v>141</v>
      </c>
      <c r="K13869" t="s">
        <v>14</v>
      </c>
      <c r="L13869" t="s">
        <v>20</v>
      </c>
      <c r="M13869" t="s">
        <v>26466</v>
      </c>
      <c r="N13869" t="s">
        <v>14</v>
      </c>
    </row>
    <row r="13870" x14ac:dyDescent="0.25">
      <c r="A13870" t="n">
        <v>23</v>
      </c>
      <c r="B13870" t="s">
        <v>14</v>
      </c>
      <c r="C13870" t="s">
        <v>22</v>
      </c>
      <c r="D13870" s="2" t="s">
        <f>=HYPERLINK("https://main.knesset.gov.il/APPS/legislation/main/bills/2085620", "הצעת חוק הפעלת תחבורה ציבורית בשבת, התש""ף-2020")</f>
        <v>26735</v>
      </c>
      <c r="E13870" t="s">
        <v>26735</v>
      </c>
      <c r="F13870" t="s">
        <v>26736</v>
      </c>
      <c r="G13870" t="s">
        <v>14</v>
      </c>
      <c r="H13870">
             </c>
      <c r="I13870" t="s">
        <v>14</v>
      </c>
      <c r="J13870" t="s">
        <v>141</v>
      </c>
      <c r="K13870" t="s">
        <v>14</v>
      </c>
      <c r="L13870" t="s">
        <v>20</v>
      </c>
      <c r="M13870" t="s">
        <v>26466</v>
      </c>
      <c r="N13870" t="s">
        <v>14</v>
      </c>
    </row>
    <row r="13871" x14ac:dyDescent="0.25">
      <c r="A13871" t="n">
        <v>23</v>
      </c>
      <c r="B13871" t="s">
        <v>14</v>
      </c>
      <c r="C13871" t="s">
        <v>22</v>
      </c>
      <c r="D13871" s="2" t="s">
        <f>=HYPERLINK("https://main.knesset.gov.il/APPS/legislation/main/bills/2086867", "הצעת חוק מרשם האוכלוסין (תיקון - הגדרת יהודי), התש""ף-2020")</f>
        <v>26737</v>
      </c>
      <c r="E13871" t="s">
        <v>26737</v>
      </c>
      <c r="F13871" t="s">
        <v>26738</v>
      </c>
      <c r="G13871" t="s">
        <v>14</v>
      </c>
      <c r="H13871">
             </c>
      <c r="I13871" t="s">
        <v>14</v>
      </c>
      <c r="J13871" t="s">
        <v>141</v>
      </c>
      <c r="K13871" t="s">
        <v>14</v>
      </c>
      <c r="L13871" t="s">
        <v>20</v>
      </c>
      <c r="M13871" t="s">
        <v>26466</v>
      </c>
      <c r="N13871" t="s">
        <v>14</v>
      </c>
    </row>
    <row r="13872" x14ac:dyDescent="0.25">
      <c r="A13872" t="n">
        <v>23</v>
      </c>
      <c r="B13872" t="s">
        <v>14</v>
      </c>
      <c r="C13872" t="s">
        <v>22</v>
      </c>
      <c r="D13872" s="2" t="s">
        <f>=HYPERLINK("https://main.knesset.gov.il/APPS/legislation/main/bills/2086283", "הצעת חוק פנימיות הנוער, התש""ף-2020")</f>
        <v>26739</v>
      </c>
      <c r="E13872" t="s">
        <v>26739</v>
      </c>
      <c r="F13872" t="s">
        <v>26740</v>
      </c>
      <c r="G13872" t="s">
        <v>14</v>
      </c>
      <c r="H13872">
             </c>
      <c r="I13872" t="s">
        <v>14</v>
      </c>
      <c r="J13872" t="s">
        <v>141</v>
      </c>
      <c r="K13872" t="s">
        <v>14</v>
      </c>
      <c r="L13872" t="s">
        <v>20</v>
      </c>
      <c r="M13872" t="s">
        <v>26466</v>
      </c>
      <c r="N13872" t="s">
        <v>14</v>
      </c>
    </row>
    <row r="13873" x14ac:dyDescent="0.25">
      <c r="A13873" t="n">
        <v>23</v>
      </c>
      <c r="B13873" t="s">
        <v>14</v>
      </c>
      <c r="C13873" t="s">
        <v>22</v>
      </c>
      <c r="D13873" s="2" t="s">
        <f>=HYPERLINK("https://main.knesset.gov.il/APPS/legislation/main/bills/2087638", "חוק-יסוד: הממשלה (תיקון מס' 8 והוראת שעה) ")</f>
        <v>26741</v>
      </c>
      <c r="E13873" t="s">
        <v>26741</v>
      </c>
      <c r="F13873" t="s">
        <v>26742</v>
      </c>
      <c r="G13873" t="s">
        <v>26743</v>
      </c>
      <c r="H13873" t="n">
        <v>2795</v>
      </c>
      <c r="I13873" t="s">
        <v>14</v>
      </c>
      <c r="J13873" t="s">
        <v>91</v>
      </c>
      <c r="K13873" t="s">
        <v>26744</v>
      </c>
      <c r="L13873" t="s">
        <v>20</v>
      </c>
      <c r="M13873" t="s">
        <v>26745</v>
      </c>
      <c r="N13873" t="s">
        <v>26746</v>
      </c>
    </row>
    <row r="13874" x14ac:dyDescent="0.25">
      <c r="A13874" t="n">
        <v>23</v>
      </c>
      <c r="B13874" t="s">
        <v>14</v>
      </c>
      <c r="C13874" t="s">
        <v>22</v>
      </c>
      <c r="D13874" s="2" t="s">
        <f>=HYPERLINK("https://main.knesset.gov.il/APPS/legislation/main/bills/2087822", "חוק ממשלת חילופים (תיקון חקיקה והוראת שעה), התש""ף-2020 ")</f>
        <v>26747</v>
      </c>
      <c r="E13874" t="s">
        <v>26747</v>
      </c>
      <c r="F13874" t="s">
        <v>26742</v>
      </c>
      <c r="G13874" t="s">
        <v>26743</v>
      </c>
      <c r="H13874" t="n">
        <v>2795</v>
      </c>
      <c r="I13874" t="s">
        <v>14</v>
      </c>
      <c r="J13874" t="s">
        <v>91</v>
      </c>
      <c r="K13874" t="s">
        <v>26744</v>
      </c>
      <c r="L13874" t="s">
        <v>20</v>
      </c>
      <c r="M13874" t="s">
        <v>26748</v>
      </c>
      <c r="N13874" t="s">
        <v>26749</v>
      </c>
    </row>
    <row r="13875" x14ac:dyDescent="0.25">
      <c r="A13875" t="n">
        <v>23</v>
      </c>
      <c r="B13875" t="s">
        <v>14</v>
      </c>
      <c r="C13875" t="s">
        <v>15</v>
      </c>
      <c r="D13875" s="2" t="s">
        <f>=HYPERLINK("https://main.knesset.gov.il/APPS/legislation/main/bills/2088150", "הצעת חוק הארכת תקופות ודחיית מועדים (כהונות, הסמכות, אישורים רגולטוריים ועיצומים כספיים) (הוראת שעה - נגיף הקורונה החדש), התש""ף-2020")</f>
        <v>26750</v>
      </c>
      <c r="E13875" t="s">
        <v>26750</v>
      </c>
      <c r="F13875" t="s">
        <v>14</v>
      </c>
      <c r="G13875" t="s">
        <v>26751</v>
      </c>
      <c r="H13875">
             </c>
      <c r="I13875" t="s">
        <v>14</v>
      </c>
      <c r="J13875" t="s">
        <v>69</v>
      </c>
      <c r="K13875" t="s">
        <v>14</v>
      </c>
      <c r="L13875" t="s">
        <v>20</v>
      </c>
      <c r="M13875" t="s">
        <v>26748</v>
      </c>
      <c r="N13875" t="s">
        <v>14</v>
      </c>
    </row>
    <row r="13876" x14ac:dyDescent="0.25">
      <c r="A13876" t="n">
        <v>23</v>
      </c>
      <c r="B13876" t="s">
        <v>14</v>
      </c>
      <c r="C13876" t="s">
        <v>22</v>
      </c>
      <c r="D13876" s="2" t="s">
        <f>=HYPERLINK("https://main.knesset.gov.il/APPS/legislation/main/bills/2086142", "הצעת חוק הביטוח הלאומי (תיקון - הכרה בלקות שמיעה באחת האוזניים), התש""ף-2020")</f>
        <v>26752</v>
      </c>
      <c r="E13876" t="s">
        <v>26752</v>
      </c>
      <c r="F13876" t="s">
        <v>26753</v>
      </c>
      <c r="G13876" t="s">
        <v>14</v>
      </c>
      <c r="H13876">
             </c>
      <c r="I13876" t="s">
        <v>14</v>
      </c>
      <c r="J13876" t="s">
        <v>141</v>
      </c>
      <c r="K13876" t="s">
        <v>14</v>
      </c>
      <c r="L13876" t="s">
        <v>20</v>
      </c>
      <c r="M13876" t="s">
        <v>26754</v>
      </c>
      <c r="N13876" t="s">
        <v>14</v>
      </c>
    </row>
    <row r="13877" x14ac:dyDescent="0.25">
      <c r="A13877" t="n">
        <v>23</v>
      </c>
      <c r="B13877" t="s">
        <v>14</v>
      </c>
      <c r="C13877" t="s">
        <v>22</v>
      </c>
      <c r="D13877" s="2" t="s">
        <f>=HYPERLINK("https://main.knesset.gov.il/APPS/legislation/main/bills/2086494", "הצעת חוק לימודי יסוד במערכת החינוך, התש""ף-2020")</f>
        <v>26718</v>
      </c>
      <c r="E13877" t="s">
        <v>26718</v>
      </c>
      <c r="F13877" t="s">
        <v>26755</v>
      </c>
      <c r="G13877" t="s">
        <v>14</v>
      </c>
      <c r="H13877">
             </c>
      <c r="I13877" t="s">
        <v>14</v>
      </c>
      <c r="J13877" t="s">
        <v>141</v>
      </c>
      <c r="K13877" t="s">
        <v>14</v>
      </c>
      <c r="L13877" t="s">
        <v>20</v>
      </c>
      <c r="M13877" t="s">
        <v>26754</v>
      </c>
      <c r="N13877" t="s">
        <v>14</v>
      </c>
    </row>
    <row r="13878" x14ac:dyDescent="0.25">
      <c r="A13878" t="n">
        <v>23</v>
      </c>
      <c r="B13878" t="s">
        <v>14</v>
      </c>
      <c r="C13878" t="s">
        <v>22</v>
      </c>
      <c r="D13878" s="2" t="s">
        <f>=HYPERLINK("https://main.knesset.gov.il/APPS/legislation/main/bills/2086105", "הצעות חוק תובענות ייצוגיות (תיקון - הוספת גביית קנס שלא כדין לעילות התביעה), התש""ף-2020")</f>
        <v>26756</v>
      </c>
      <c r="E13878" t="s">
        <v>26756</v>
      </c>
      <c r="F13878" t="s">
        <v>26757</v>
      </c>
      <c r="G13878" t="s">
        <v>14</v>
      </c>
      <c r="H13878">
             </c>
      <c r="I13878" t="s">
        <v>14</v>
      </c>
      <c r="J13878" t="s">
        <v>141</v>
      </c>
      <c r="K13878" t="s">
        <v>14</v>
      </c>
      <c r="L13878" t="s">
        <v>20</v>
      </c>
      <c r="M13878" t="s">
        <v>26754</v>
      </c>
      <c r="N13878" t="s">
        <v>14</v>
      </c>
    </row>
    <row r="13879" x14ac:dyDescent="0.25">
      <c r="A13879" t="n">
        <v>23</v>
      </c>
      <c r="B13879" t="s">
        <v>14</v>
      </c>
      <c r="C13879" t="s">
        <v>22</v>
      </c>
      <c r="D13879" s="2" t="s">
        <f>=HYPERLINK("https://main.knesset.gov.il/APPS/legislation/main/bills/2086100", "הצעת חוק בתי המשפט (תיקון - שופט משנה), התש""ף-2020")</f>
        <v>26758</v>
      </c>
      <c r="E13879" t="s">
        <v>26758</v>
      </c>
      <c r="F13879" t="s">
        <v>26759</v>
      </c>
      <c r="G13879" t="s">
        <v>14</v>
      </c>
      <c r="H13879">
             </c>
      <c r="I13879" t="s">
        <v>14</v>
      </c>
      <c r="J13879" t="s">
        <v>141</v>
      </c>
      <c r="K13879" t="s">
        <v>14</v>
      </c>
      <c r="L13879" t="s">
        <v>20</v>
      </c>
      <c r="M13879" t="s">
        <v>26754</v>
      </c>
      <c r="N13879" t="s">
        <v>14</v>
      </c>
    </row>
    <row r="13880" x14ac:dyDescent="0.25">
      <c r="A13880" t="n">
        <v>23</v>
      </c>
      <c r="B13880" t="s">
        <v>14</v>
      </c>
      <c r="C13880" t="s">
        <v>22</v>
      </c>
      <c r="D13880" s="2" t="s">
        <f>=HYPERLINK("https://main.knesset.gov.il/APPS/legislation/main/bills/2086083", "הצעת חוק לתיקון פקודת העיריות (תשלום עבור המצאת מסמכי מכרז), התש""ף-2020")</f>
        <v>26760</v>
      </c>
      <c r="E13880" t="s">
        <v>26760</v>
      </c>
      <c r="F13880" t="s">
        <v>26761</v>
      </c>
      <c r="G13880" t="s">
        <v>14</v>
      </c>
      <c r="H13880">
             </c>
      <c r="I13880" t="s">
        <v>14</v>
      </c>
      <c r="J13880" t="s">
        <v>141</v>
      </c>
      <c r="K13880" t="s">
        <v>14</v>
      </c>
      <c r="L13880" t="s">
        <v>20</v>
      </c>
      <c r="M13880" t="s">
        <v>26754</v>
      </c>
      <c r="N13880" t="s">
        <v>14</v>
      </c>
    </row>
    <row r="13881" x14ac:dyDescent="0.25">
      <c r="A13881" t="n">
        <v>23</v>
      </c>
      <c r="B13881" t="s">
        <v>14</v>
      </c>
      <c r="C13881" t="s">
        <v>22</v>
      </c>
      <c r="D13881" s="2" t="s">
        <f>=HYPERLINK("https://main.knesset.gov.il/APPS/legislation/main/bills/2086213", "הצעת חוק שירותי הדת היהודיים (תיקון - דין משמעתי לרבני ערים), התש""ף-2020")</f>
        <v>26406</v>
      </c>
      <c r="E13881" t="s">
        <v>26406</v>
      </c>
      <c r="F13881" t="s">
        <v>26762</v>
      </c>
      <c r="G13881" t="s">
        <v>14</v>
      </c>
      <c r="H13881">
             </c>
      <c r="I13881" t="s">
        <v>14</v>
      </c>
      <c r="J13881" t="s">
        <v>141</v>
      </c>
      <c r="K13881" t="s">
        <v>14</v>
      </c>
      <c r="L13881" t="s">
        <v>20</v>
      </c>
      <c r="M13881" t="s">
        <v>26754</v>
      </c>
      <c r="N13881" t="s">
        <v>14</v>
      </c>
    </row>
    <row r="13882" x14ac:dyDescent="0.25">
      <c r="A13882" t="n">
        <v>23</v>
      </c>
      <c r="B13882" t="s">
        <v>14</v>
      </c>
      <c r="C13882" t="s">
        <v>22</v>
      </c>
      <c r="D13882" s="2" t="s">
        <f>=HYPERLINK("https://main.knesset.gov.il/APPS/legislation/main/bills/2085587", "הצעת חוק הביטוח הלאומי (תיקון - דמי אבטלה לעצמאיים), התש""ף-2020")</f>
        <v>25135</v>
      </c>
      <c r="E13882" t="s">
        <v>25135</v>
      </c>
      <c r="F13882" t="s">
        <v>26763</v>
      </c>
      <c r="G13882" t="s">
        <v>14</v>
      </c>
      <c r="H13882">
             </c>
      <c r="I13882" t="s">
        <v>14</v>
      </c>
      <c r="J13882" t="s">
        <v>141</v>
      </c>
      <c r="K13882" t="s">
        <v>14</v>
      </c>
      <c r="L13882" t="s">
        <v>20</v>
      </c>
      <c r="M13882" t="s">
        <v>26754</v>
      </c>
      <c r="N13882" t="s">
        <v>14</v>
      </c>
    </row>
    <row r="13883" x14ac:dyDescent="0.25">
      <c r="A13883" t="n">
        <v>23</v>
      </c>
      <c r="B13883" t="s">
        <v>14</v>
      </c>
      <c r="C13883" t="s">
        <v>22</v>
      </c>
      <c r="D13883" s="2" t="s">
        <f>=HYPERLINK("https://main.knesset.gov.il/APPS/legislation/main/bills/2086544", "הצעת חוק צער בעלי חיים (הגנה על בעלי חיים) (תיקון - איסור מכירת פרוות), התש""ף-2020")</f>
        <v>26764</v>
      </c>
      <c r="E13883" t="s">
        <v>26764</v>
      </c>
      <c r="F13883" t="s">
        <v>26765</v>
      </c>
      <c r="G13883" t="s">
        <v>14</v>
      </c>
      <c r="H13883">
             </c>
      <c r="I13883" t="s">
        <v>14</v>
      </c>
      <c r="J13883" t="s">
        <v>141</v>
      </c>
      <c r="K13883" t="s">
        <v>14</v>
      </c>
      <c r="L13883" t="s">
        <v>20</v>
      </c>
      <c r="M13883" t="s">
        <v>26754</v>
      </c>
      <c r="N13883" t="s">
        <v>14</v>
      </c>
    </row>
    <row r="13884" x14ac:dyDescent="0.25">
      <c r="A13884" t="n">
        <v>23</v>
      </c>
      <c r="B13884" t="s">
        <v>14</v>
      </c>
      <c r="C13884" t="s">
        <v>22</v>
      </c>
      <c r="D13884" s="2" t="s">
        <f>=HYPERLINK("https://main.knesset.gov.il/APPS/legislation/main/bills/2087709", "הצעת חוק-יסוד: כבוד האדם וחירותו (תיקון - תוקפו של חוק חורג בעניין מסתננים) ")</f>
        <v>7000</v>
      </c>
      <c r="E13884" t="s">
        <v>7000</v>
      </c>
      <c r="F13884" t="s">
        <v>26766</v>
      </c>
      <c r="G13884" t="s">
        <v>14</v>
      </c>
      <c r="H13884">
             </c>
      <c r="I13884" t="s">
        <v>14</v>
      </c>
      <c r="J13884" t="s">
        <v>141</v>
      </c>
      <c r="K13884" t="s">
        <v>14</v>
      </c>
      <c r="L13884" t="s">
        <v>20</v>
      </c>
      <c r="M13884" t="s">
        <v>26754</v>
      </c>
      <c r="N13884" t="s">
        <v>14</v>
      </c>
    </row>
    <row r="13885" x14ac:dyDescent="0.25">
      <c r="A13885" t="n">
        <v>23</v>
      </c>
      <c r="B13885" t="s">
        <v>14</v>
      </c>
      <c r="C13885" t="s">
        <v>22</v>
      </c>
      <c r="D13885" s="2" t="s">
        <f>=HYPERLINK("https://main.knesset.gov.il/APPS/legislation/main/bills/2086065", "הצעת חוק-יסוד: כבוד האדם וחירותו (תיקון - פסקת התגברות)")</f>
        <v>13607</v>
      </c>
      <c r="E13885" t="s">
        <v>13607</v>
      </c>
      <c r="F13885" t="s">
        <v>26767</v>
      </c>
      <c r="G13885" t="s">
        <v>14</v>
      </c>
      <c r="H13885">
             </c>
      <c r="I13885" t="s">
        <v>14</v>
      </c>
      <c r="J13885" t="s">
        <v>141</v>
      </c>
      <c r="K13885" t="s">
        <v>14</v>
      </c>
      <c r="L13885" t="s">
        <v>20</v>
      </c>
      <c r="M13885" t="s">
        <v>26754</v>
      </c>
      <c r="N13885" t="s">
        <v>14</v>
      </c>
    </row>
    <row r="13886" x14ac:dyDescent="0.25">
      <c r="A13886" t="n">
        <v>23</v>
      </c>
      <c r="B13886" t="s">
        <v>14</v>
      </c>
      <c r="C13886" t="s">
        <v>22</v>
      </c>
      <c r="D13886" s="2" t="s">
        <f>=HYPERLINK("https://main.knesset.gov.il/APPS/legislation/main/bills/2086058", "הצעת חוק-יסוד: ההתגברות (תיקוני חקיקה)")</f>
        <v>13726</v>
      </c>
      <c r="E13886" t="s">
        <v>13726</v>
      </c>
      <c r="F13886" t="s">
        <v>26768</v>
      </c>
      <c r="G13886" t="s">
        <v>14</v>
      </c>
      <c r="H13886">
             </c>
      <c r="I13886" t="s">
        <v>14</v>
      </c>
      <c r="J13886" t="s">
        <v>141</v>
      </c>
      <c r="K13886" t="s">
        <v>14</v>
      </c>
      <c r="L13886" t="s">
        <v>20</v>
      </c>
      <c r="M13886" t="s">
        <v>26754</v>
      </c>
      <c r="N13886" t="s">
        <v>14</v>
      </c>
    </row>
    <row r="13887" x14ac:dyDescent="0.25">
      <c r="A13887" t="n">
        <v>23</v>
      </c>
      <c r="B13887" t="s">
        <v>14</v>
      </c>
      <c r="C13887" t="s">
        <v>22</v>
      </c>
      <c r="D13887" s="2" t="s">
        <f>=HYPERLINK("https://main.knesset.gov.il/APPS/legislation/main/bills/2085838", "הצעת חוק-יסוד : ההתגברות (תיקוני חקיקה)")</f>
        <v>26769</v>
      </c>
      <c r="E13887" t="s">
        <v>26769</v>
      </c>
      <c r="F13887" t="s">
        <v>26770</v>
      </c>
      <c r="G13887" t="s">
        <v>14</v>
      </c>
      <c r="H13887">
             </c>
      <c r="I13887" t="s">
        <v>14</v>
      </c>
      <c r="J13887" t="s">
        <v>141</v>
      </c>
      <c r="K13887" t="s">
        <v>14</v>
      </c>
      <c r="L13887" t="s">
        <v>20</v>
      </c>
      <c r="M13887" t="s">
        <v>26754</v>
      </c>
      <c r="N13887" t="s">
        <v>14</v>
      </c>
    </row>
    <row r="13888" x14ac:dyDescent="0.25">
      <c r="A13888" t="n">
        <v>23</v>
      </c>
      <c r="B13888" t="s">
        <v>14</v>
      </c>
      <c r="C13888" t="s">
        <v>22</v>
      </c>
      <c r="D13888" s="2" t="s">
        <f>=HYPERLINK("https://main.knesset.gov.il/APPS/legislation/main/bills/2085621", "הצעת חוק-יסוד: פסקת ההתגברות (תיקוני חקיקה) ")</f>
        <v>26771</v>
      </c>
      <c r="E13888" t="s">
        <v>26771</v>
      </c>
      <c r="F13888" t="s">
        <v>26772</v>
      </c>
      <c r="G13888" t="s">
        <v>14</v>
      </c>
      <c r="H13888">
             </c>
      <c r="I13888" t="s">
        <v>14</v>
      </c>
      <c r="J13888" t="s">
        <v>141</v>
      </c>
      <c r="K13888" t="s">
        <v>14</v>
      </c>
      <c r="L13888" t="s">
        <v>20</v>
      </c>
      <c r="M13888" t="s">
        <v>26754</v>
      </c>
      <c r="N13888" t="s">
        <v>14</v>
      </c>
    </row>
    <row r="13889" x14ac:dyDescent="0.25">
      <c r="A13889" t="n">
        <v>23</v>
      </c>
      <c r="B13889" t="s">
        <v>14</v>
      </c>
      <c r="C13889" t="s">
        <v>22</v>
      </c>
      <c r="D13889" s="2" t="s">
        <f>=HYPERLINK("https://main.knesset.gov.il/APPS/legislation/main/bills/2086380", "הצעת חוק לעידוד השקעות הון (תיקון - הטבות מס למפעלים תעשיתיים חדשים), התש""ף-2020")</f>
        <v>26773</v>
      </c>
      <c r="E13889" t="s">
        <v>26773</v>
      </c>
      <c r="F13889" t="s">
        <v>26774</v>
      </c>
      <c r="G13889" t="s">
        <v>14</v>
      </c>
      <c r="H13889">
             </c>
      <c r="I13889" t="s">
        <v>14</v>
      </c>
      <c r="J13889" t="s">
        <v>141</v>
      </c>
      <c r="K13889" t="s">
        <v>14</v>
      </c>
      <c r="L13889" t="s">
        <v>20</v>
      </c>
      <c r="M13889" t="s">
        <v>26754</v>
      </c>
      <c r="N13889" t="s">
        <v>14</v>
      </c>
    </row>
    <row r="13890" x14ac:dyDescent="0.25">
      <c r="A13890" t="n">
        <v>23</v>
      </c>
      <c r="B13890" t="s">
        <v>14</v>
      </c>
      <c r="C13890" t="s">
        <v>22</v>
      </c>
      <c r="D13890" s="2" t="s">
        <f>=HYPERLINK("https://main.knesset.gov.il/APPS/legislation/main/bills/2086080", "הצעת חוק לתיקון פקודת העיריות (חלוקת הכנסות), התש""ף-2020")</f>
        <v>24443</v>
      </c>
      <c r="E13890" t="s">
        <v>24443</v>
      </c>
      <c r="F13890" t="s">
        <v>26775</v>
      </c>
      <c r="G13890" t="s">
        <v>14</v>
      </c>
      <c r="H13890">
             </c>
      <c r="I13890" t="s">
        <v>14</v>
      </c>
      <c r="J13890" t="s">
        <v>141</v>
      </c>
      <c r="K13890" t="s">
        <v>14</v>
      </c>
      <c r="L13890" t="s">
        <v>20</v>
      </c>
      <c r="M13890" t="s">
        <v>26754</v>
      </c>
      <c r="N13890" t="s">
        <v>14</v>
      </c>
    </row>
    <row r="13891" x14ac:dyDescent="0.25">
      <c r="A13891" t="n">
        <v>23</v>
      </c>
      <c r="B13891" t="s">
        <v>14</v>
      </c>
      <c r="C13891" t="s">
        <v>22</v>
      </c>
      <c r="D13891" s="2" t="s">
        <f>=HYPERLINK("https://main.knesset.gov.il/APPS/legislation/main/bills/2086134", "הצעת חוק לתיקון פקודת בריאות העם (סמכות לקביעת כללים למתן רישיון למכשירים רפואיים מיוחדים) (הוראת שעה), התש""ף-2020")</f>
        <v>26776</v>
      </c>
      <c r="E13891" t="s">
        <v>26776</v>
      </c>
      <c r="F13891" t="s">
        <v>26777</v>
      </c>
      <c r="G13891" t="s">
        <v>14</v>
      </c>
      <c r="H13891">
             </c>
      <c r="I13891" t="s">
        <v>14</v>
      </c>
      <c r="J13891" t="s">
        <v>141</v>
      </c>
      <c r="K13891" t="s">
        <v>14</v>
      </c>
      <c r="L13891" t="s">
        <v>20</v>
      </c>
      <c r="M13891" t="s">
        <v>26754</v>
      </c>
      <c r="N13891" t="s">
        <v>14</v>
      </c>
    </row>
    <row r="13892" x14ac:dyDescent="0.25">
      <c r="A13892" t="n">
        <v>23</v>
      </c>
      <c r="B13892" t="s">
        <v>14</v>
      </c>
      <c r="C13892" t="s">
        <v>22</v>
      </c>
      <c r="D13892" s="2" t="s">
        <f>=HYPERLINK("https://main.knesset.gov.il/APPS/legislation/main/bills/2085648", "הצעת חוק טיפול בחולי נפש (תיקון - הגבלת השימוש באמצעי כפיה), התש""ף-2020")</f>
        <v>26778</v>
      </c>
      <c r="E13892" t="s">
        <v>26778</v>
      </c>
      <c r="F13892" t="s">
        <v>26779</v>
      </c>
      <c r="G13892" t="s">
        <v>14</v>
      </c>
      <c r="H13892">
             </c>
      <c r="I13892" t="s">
        <v>14</v>
      </c>
      <c r="J13892" t="s">
        <v>141</v>
      </c>
      <c r="K13892" t="s">
        <v>14</v>
      </c>
      <c r="L13892" t="s">
        <v>20</v>
      </c>
      <c r="M13892" t="s">
        <v>26754</v>
      </c>
      <c r="N13892" t="s">
        <v>14</v>
      </c>
    </row>
    <row r="13893" x14ac:dyDescent="0.25">
      <c r="A13893" t="n">
        <v>23</v>
      </c>
      <c r="B13893" t="s">
        <v>14</v>
      </c>
      <c r="C13893" t="s">
        <v>22</v>
      </c>
      <c r="D13893" s="2" t="s">
        <f>=HYPERLINK("https://main.knesset.gov.il/APPS/legislation/main/bills/2086374", "הצעת חוק לתיקון פקודת הבנקאות (בדיקה ודיווח לבקשת ועדת הכספים של הכנסת), התש""ף-2020")</f>
        <v>26780</v>
      </c>
      <c r="E13893" t="s">
        <v>26780</v>
      </c>
      <c r="F13893" t="s">
        <v>26781</v>
      </c>
      <c r="G13893" t="s">
        <v>14</v>
      </c>
      <c r="H13893">
             </c>
      <c r="I13893" t="s">
        <v>14</v>
      </c>
      <c r="J13893" t="s">
        <v>141</v>
      </c>
      <c r="K13893" t="s">
        <v>14</v>
      </c>
      <c r="L13893" t="s">
        <v>20</v>
      </c>
      <c r="M13893" t="s">
        <v>26754</v>
      </c>
      <c r="N13893" t="s">
        <v>14</v>
      </c>
    </row>
    <row r="13894" x14ac:dyDescent="0.25">
      <c r="A13894" t="n">
        <v>23</v>
      </c>
      <c r="B13894" t="s">
        <v>14</v>
      </c>
      <c r="C13894" t="s">
        <v>22</v>
      </c>
      <c r="D13894" s="2" t="s">
        <f>=HYPERLINK("https://main.knesset.gov.il/APPS/legislation/main/bills/2086075", "הצעת חוק לתיקון פקודת העיריות (מענק הבירה), התש""ף-2020")</f>
        <v>26782</v>
      </c>
      <c r="E13894" t="s">
        <v>26782</v>
      </c>
      <c r="F13894" t="s">
        <v>26783</v>
      </c>
      <c r="G13894" t="s">
        <v>14</v>
      </c>
      <c r="H13894">
             </c>
      <c r="I13894" t="s">
        <v>14</v>
      </c>
      <c r="J13894" t="s">
        <v>141</v>
      </c>
      <c r="K13894" t="s">
        <v>14</v>
      </c>
      <c r="L13894" t="s">
        <v>20</v>
      </c>
      <c r="M13894" t="s">
        <v>26754</v>
      </c>
      <c r="N13894" t="s">
        <v>14</v>
      </c>
    </row>
    <row r="13895" x14ac:dyDescent="0.25">
      <c r="A13895" t="n">
        <v>23</v>
      </c>
      <c r="B13895" t="s">
        <v>14</v>
      </c>
      <c r="C13895" t="s">
        <v>22</v>
      </c>
      <c r="D13895" s="2" t="s">
        <f>=HYPERLINK("https://main.knesset.gov.il/APPS/legislation/main/bills/2086121", "הצעת חוק לתיקון פקודת מס הכנסה (ניכוי תשלומים לעצמאים), התש""ף-2020")</f>
        <v>24208</v>
      </c>
      <c r="E13895" t="s">
        <v>24208</v>
      </c>
      <c r="F13895" t="s">
        <v>26784</v>
      </c>
      <c r="G13895" t="s">
        <v>14</v>
      </c>
      <c r="H13895">
             </c>
      <c r="I13895" t="s">
        <v>14</v>
      </c>
      <c r="J13895" t="s">
        <v>141</v>
      </c>
      <c r="K13895" t="s">
        <v>14</v>
      </c>
      <c r="L13895" t="s">
        <v>20</v>
      </c>
      <c r="M13895" t="s">
        <v>26754</v>
      </c>
      <c r="N13895" t="s">
        <v>14</v>
      </c>
    </row>
    <row r="13896" x14ac:dyDescent="0.25">
      <c r="A13896" t="n">
        <v>23</v>
      </c>
      <c r="B13896" t="s">
        <v>14</v>
      </c>
      <c r="C13896" t="s">
        <v>22</v>
      </c>
      <c r="D13896" s="2" t="s">
        <f>=HYPERLINK("https://main.knesset.gov.il/APPS/legislation/main/bills/2085628", "הצעת חוק הפיקוח על המעונות (תיקון - פיקוח של מנהל מעון), התש""ף-2020")</f>
        <v>26785</v>
      </c>
      <c r="E13896" t="s">
        <v>26785</v>
      </c>
      <c r="F13896" t="s">
        <v>26786</v>
      </c>
      <c r="G13896" t="s">
        <v>14</v>
      </c>
      <c r="H13896">
             </c>
      <c r="I13896" t="s">
        <v>14</v>
      </c>
      <c r="J13896" t="s">
        <v>141</v>
      </c>
      <c r="K13896" t="s">
        <v>14</v>
      </c>
      <c r="L13896" t="s">
        <v>20</v>
      </c>
      <c r="M13896" t="s">
        <v>26754</v>
      </c>
      <c r="N13896" t="s">
        <v>14</v>
      </c>
    </row>
    <row r="13897" x14ac:dyDescent="0.25">
      <c r="A13897" t="n">
        <v>23</v>
      </c>
      <c r="B13897" t="s">
        <v>14</v>
      </c>
      <c r="C13897" t="s">
        <v>22</v>
      </c>
      <c r="D13897" s="2" t="s">
        <f>=HYPERLINK("https://main.knesset.gov.il/APPS/legislation/main/bills/2086361", "הצעת חוק מיסוי מקרקעין (שבח ורכישה) (תיקון - ביטול הפטור ממס שבח לתושב חוץ), התש""ף-2020")</f>
        <v>26787</v>
      </c>
      <c r="E13897" t="s">
        <v>26787</v>
      </c>
      <c r="F13897" t="s">
        <v>26788</v>
      </c>
      <c r="G13897" t="s">
        <v>14</v>
      </c>
      <c r="H13897">
             </c>
      <c r="I13897" t="s">
        <v>14</v>
      </c>
      <c r="J13897" t="s">
        <v>141</v>
      </c>
      <c r="K13897" t="s">
        <v>14</v>
      </c>
      <c r="L13897" t="s">
        <v>20</v>
      </c>
      <c r="M13897" t="s">
        <v>26754</v>
      </c>
      <c r="N13897" t="s">
        <v>14</v>
      </c>
    </row>
    <row r="13898" x14ac:dyDescent="0.25">
      <c r="A13898" t="n">
        <v>23</v>
      </c>
      <c r="B13898" t="s">
        <v>14</v>
      </c>
      <c r="C13898" t="s">
        <v>22</v>
      </c>
      <c r="D13898" s="2" t="s">
        <f>=HYPERLINK("https://main.knesset.gov.il/APPS/legislation/main/bills/2086388", "הצעת חוק ההוצאה לפועל (תיקון - החרגת עיקול ביטוח רפואי בידי צד שלישי), התש""ף-2020")</f>
        <v>26789</v>
      </c>
      <c r="E13898" t="s">
        <v>26789</v>
      </c>
      <c r="F13898" t="s">
        <v>26790</v>
      </c>
      <c r="G13898" t="s">
        <v>14</v>
      </c>
      <c r="H13898">
             </c>
      <c r="I13898" t="s">
        <v>14</v>
      </c>
      <c r="J13898" t="s">
        <v>141</v>
      </c>
      <c r="K13898" t="s">
        <v>14</v>
      </c>
      <c r="L13898" t="s">
        <v>20</v>
      </c>
      <c r="M13898" t="s">
        <v>26754</v>
      </c>
      <c r="N13898" t="s">
        <v>14</v>
      </c>
    </row>
    <row r="13899" x14ac:dyDescent="0.25">
      <c r="A13899" t="n">
        <v>23</v>
      </c>
      <c r="B13899" t="s">
        <v>14</v>
      </c>
      <c r="C13899" t="s">
        <v>22</v>
      </c>
      <c r="D13899" s="2" t="s">
        <f>=HYPERLINK("https://main.knesset.gov.il/APPS/legislation/main/bills/2085619", "הצעת חוק הביטוח הלאומי (תיקון - חובת נוכחות מתורגמן בדיוני ועדה רפואית), התש""ף-2020")</f>
        <v>25567</v>
      </c>
      <c r="E13899" t="s">
        <v>25567</v>
      </c>
      <c r="F13899" t="s">
        <v>26791</v>
      </c>
      <c r="G13899" t="s">
        <v>14</v>
      </c>
      <c r="H13899">
             </c>
      <c r="I13899" t="s">
        <v>14</v>
      </c>
      <c r="J13899" t="s">
        <v>141</v>
      </c>
      <c r="K13899" t="s">
        <v>14</v>
      </c>
      <c r="L13899" t="s">
        <v>20</v>
      </c>
      <c r="M13899" t="s">
        <v>26754</v>
      </c>
      <c r="N13899" t="s">
        <v>14</v>
      </c>
    </row>
    <row r="13900" x14ac:dyDescent="0.25">
      <c r="A13900" t="n">
        <v>23</v>
      </c>
      <c r="B13900" t="s">
        <v>14</v>
      </c>
      <c r="C13900" t="s">
        <v>22</v>
      </c>
      <c r="D13900" s="2" t="s">
        <f>=HYPERLINK("https://main.knesset.gov.il/APPS/legislation/main/bills/2086357", "הצעת חוק המקרקעין (תיקון - התקנת מעלית מטעמים מיוחדים), התש""ף-2020")</f>
        <v>26601</v>
      </c>
      <c r="E13900" t="s">
        <v>26601</v>
      </c>
      <c r="F13900" t="s">
        <v>26792</v>
      </c>
      <c r="G13900" t="s">
        <v>14</v>
      </c>
      <c r="H13900">
             </c>
      <c r="I13900" t="s">
        <v>14</v>
      </c>
      <c r="J13900" t="s">
        <v>141</v>
      </c>
      <c r="K13900" t="s">
        <v>14</v>
      </c>
      <c r="L13900" t="s">
        <v>20</v>
      </c>
      <c r="M13900" t="s">
        <v>26754</v>
      </c>
      <c r="N13900" t="s">
        <v>14</v>
      </c>
    </row>
    <row r="13901" x14ac:dyDescent="0.25">
      <c r="A13901" t="n">
        <v>23</v>
      </c>
      <c r="B13901" t="s">
        <v>14</v>
      </c>
      <c r="C13901" t="s">
        <v>22</v>
      </c>
      <c r="D13901" s="2" t="s">
        <f>=HYPERLINK("https://main.knesset.gov.il/APPS/legislation/main/bills/2086046", "הצעת חוק להגדלת שיעור ההשתתפות בכוח העבודה ולצמצום פערים חברתיים (מענק עבודה) (תיקון - זכות במקרקעין בקבוצת רכישה), התש""ף-2020")</f>
        <v>26793</v>
      </c>
      <c r="E13901" t="s">
        <v>26793</v>
      </c>
      <c r="F13901" t="s">
        <v>26794</v>
      </c>
      <c r="G13901" t="s">
        <v>14</v>
      </c>
      <c r="H13901">
             </c>
      <c r="I13901" t="s">
        <v>14</v>
      </c>
      <c r="J13901" t="s">
        <v>141</v>
      </c>
      <c r="K13901" t="s">
        <v>14</v>
      </c>
      <c r="L13901" t="s">
        <v>20</v>
      </c>
      <c r="M13901" t="s">
        <v>26754</v>
      </c>
      <c r="N13901" t="s">
        <v>14</v>
      </c>
    </row>
    <row r="13902" x14ac:dyDescent="0.25">
      <c r="A13902" t="n">
        <v>23</v>
      </c>
      <c r="B13902" t="s">
        <v>14</v>
      </c>
      <c r="C13902" t="s">
        <v>22</v>
      </c>
      <c r="D13902" s="2" t="s">
        <f>=HYPERLINK("https://main.knesset.gov.il/APPS/legislation/main/bills/2085970", "הצעת חוק האזרחים הוותיקים (תיקון - הנחה בארנונה), התש""ף-2020")</f>
        <v>26795</v>
      </c>
      <c r="E13902" t="s">
        <v>26795</v>
      </c>
      <c r="F13902" t="s">
        <v>26796</v>
      </c>
      <c r="G13902" t="s">
        <v>14</v>
      </c>
      <c r="H13902">
             </c>
      <c r="I13902" t="s">
        <v>14</v>
      </c>
      <c r="J13902" t="s">
        <v>141</v>
      </c>
      <c r="K13902" t="s">
        <v>14</v>
      </c>
      <c r="L13902" t="s">
        <v>20</v>
      </c>
      <c r="M13902" t="s">
        <v>26754</v>
      </c>
      <c r="N13902" t="s">
        <v>14</v>
      </c>
    </row>
    <row r="13903" x14ac:dyDescent="0.25">
      <c r="A13903" t="n">
        <v>23</v>
      </c>
      <c r="B13903" t="s">
        <v>14</v>
      </c>
      <c r="C13903" t="s">
        <v>22</v>
      </c>
      <c r="D13903" s="2" t="s">
        <f>=HYPERLINK("https://main.knesset.gov.il/APPS/legislation/main/bills/2086210", "הצעת חוק שירותי הדת היהודיים (תיקון - ביטול אגרות רישום לנישואין), התש""ף-2020")</f>
        <v>26797</v>
      </c>
      <c r="E13903" t="s">
        <v>26797</v>
      </c>
      <c r="F13903" t="s">
        <v>26798</v>
      </c>
      <c r="G13903" t="s">
        <v>14</v>
      </c>
      <c r="H13903">
             </c>
      <c r="I13903" t="s">
        <v>14</v>
      </c>
      <c r="J13903" t="s">
        <v>343</v>
      </c>
      <c r="K13903" t="s">
        <v>14</v>
      </c>
      <c r="L13903" t="s">
        <v>20</v>
      </c>
      <c r="M13903" t="s">
        <v>26754</v>
      </c>
      <c r="N13903" t="s">
        <v>14</v>
      </c>
    </row>
    <row r="13904" x14ac:dyDescent="0.25">
      <c r="A13904" t="n">
        <v>23</v>
      </c>
      <c r="B13904" t="s">
        <v>14</v>
      </c>
      <c r="C13904" t="s">
        <v>22</v>
      </c>
      <c r="D13904" s="2" t="s">
        <f>=HYPERLINK("https://main.knesset.gov.il/APPS/legislation/main/bills/2086171", "הצעת חוק נכי רדיפות הנאצים (תיקון - ביטול התלות בין בעיה רפואית להכרה במחלה בגין המלחמה), התש""ף-2020")</f>
        <v>26799</v>
      </c>
      <c r="E13904" t="s">
        <v>26799</v>
      </c>
      <c r="F13904" t="s">
        <v>26800</v>
      </c>
      <c r="G13904" t="s">
        <v>14</v>
      </c>
      <c r="H13904">
             </c>
      <c r="I13904" t="s">
        <v>14</v>
      </c>
      <c r="J13904" t="s">
        <v>141</v>
      </c>
      <c r="K13904" t="s">
        <v>14</v>
      </c>
      <c r="L13904" t="s">
        <v>20</v>
      </c>
      <c r="M13904" t="s">
        <v>26754</v>
      </c>
      <c r="N13904" t="s">
        <v>14</v>
      </c>
    </row>
    <row r="13905" x14ac:dyDescent="0.25">
      <c r="A13905" t="n">
        <v>23</v>
      </c>
      <c r="B13905" t="s">
        <v>14</v>
      </c>
      <c r="C13905" t="s">
        <v>22</v>
      </c>
      <c r="D13905" s="2" t="s">
        <f>=HYPERLINK("https://main.knesset.gov.il/APPS/legislation/main/bills/2086115", "הצעת חוק התכנון והבנייה (תיקון - שומה מתוקנת מוסכמת), התש""ף-2020")</f>
        <v>26801</v>
      </c>
      <c r="E13905" t="s">
        <v>26801</v>
      </c>
      <c r="F13905" t="s">
        <v>26802</v>
      </c>
      <c r="G13905" t="s">
        <v>14</v>
      </c>
      <c r="H13905">
             </c>
      <c r="I13905" t="s">
        <v>14</v>
      </c>
      <c r="J13905" t="s">
        <v>141</v>
      </c>
      <c r="K13905" t="s">
        <v>14</v>
      </c>
      <c r="L13905" t="s">
        <v>20</v>
      </c>
      <c r="M13905" t="s">
        <v>26754</v>
      </c>
      <c r="N13905" t="s">
        <v>14</v>
      </c>
    </row>
    <row r="13906" x14ac:dyDescent="0.25">
      <c r="A13906" t="n">
        <v>23</v>
      </c>
      <c r="B13906" t="s">
        <v>14</v>
      </c>
      <c r="C13906" t="s">
        <v>22</v>
      </c>
      <c r="D13906" s="2" t="s">
        <f>=HYPERLINK("https://main.knesset.gov.il/APPS/legislation/main/bills/2085606", "הצעת חוק אימוץ ילדים (תיקון - איסור הפרדה בין אחים בהליך אימוץ), התש""ף-2020")</f>
        <v>26803</v>
      </c>
      <c r="E13906" t="s">
        <v>26803</v>
      </c>
      <c r="F13906" t="s">
        <v>26804</v>
      </c>
      <c r="G13906" t="s">
        <v>14</v>
      </c>
      <c r="H13906">
             </c>
      <c r="I13906" t="s">
        <v>14</v>
      </c>
      <c r="J13906" t="s">
        <v>141</v>
      </c>
      <c r="K13906" t="s">
        <v>14</v>
      </c>
      <c r="L13906" t="s">
        <v>20</v>
      </c>
      <c r="M13906" t="s">
        <v>26754</v>
      </c>
      <c r="N13906" t="s">
        <v>14</v>
      </c>
    </row>
    <row r="13907" x14ac:dyDescent="0.25">
      <c r="A13907" t="n">
        <v>23</v>
      </c>
      <c r="B13907" t="s">
        <v>14</v>
      </c>
      <c r="C13907" t="s">
        <v>22</v>
      </c>
      <c r="D13907" s="2" t="s">
        <f>=HYPERLINK("https://main.knesset.gov.il/APPS/legislation/main/bills/2086350", "הצעת חוק לצמצום רגולציה ושעורי אגרות לעסקים קטנים, התש""ף-2020")</f>
        <v>26805</v>
      </c>
      <c r="E13907" t="s">
        <v>26805</v>
      </c>
      <c r="F13907" t="s">
        <v>26806</v>
      </c>
      <c r="G13907" t="s">
        <v>14</v>
      </c>
      <c r="H13907">
             </c>
      <c r="I13907" t="s">
        <v>14</v>
      </c>
      <c r="J13907" t="s">
        <v>141</v>
      </c>
      <c r="K13907" t="s">
        <v>14</v>
      </c>
      <c r="L13907" t="s">
        <v>20</v>
      </c>
      <c r="M13907" t="s">
        <v>26754</v>
      </c>
      <c r="N13907" t="s">
        <v>14</v>
      </c>
    </row>
    <row r="13908" x14ac:dyDescent="0.25">
      <c r="A13908" t="n">
        <v>23</v>
      </c>
      <c r="B13908" t="s">
        <v>14</v>
      </c>
      <c r="C13908" t="s">
        <v>22</v>
      </c>
      <c r="D13908" s="2" t="s">
        <f>=HYPERLINK("https://main.knesset.gov.il/APPS/legislation/main/bills/2086110", "הצעת חוק לצמצום רגולציה ושעורי אגרות לעסקים קטנים, התש""ף-2020")</f>
        <v>26805</v>
      </c>
      <c r="E13908" t="s">
        <v>26805</v>
      </c>
      <c r="F13908" t="s">
        <v>26807</v>
      </c>
      <c r="G13908" t="s">
        <v>14</v>
      </c>
      <c r="H13908">
             </c>
      <c r="I13908" t="s">
        <v>14</v>
      </c>
      <c r="J13908" t="s">
        <v>141</v>
      </c>
      <c r="K13908" t="s">
        <v>14</v>
      </c>
      <c r="L13908" t="s">
        <v>20</v>
      </c>
      <c r="M13908" t="s">
        <v>26754</v>
      </c>
      <c r="N13908" t="s">
        <v>14</v>
      </c>
    </row>
    <row r="13909" x14ac:dyDescent="0.25">
      <c r="A13909" t="n">
        <v>23</v>
      </c>
      <c r="B13909" t="s">
        <v>14</v>
      </c>
      <c r="C13909" t="s">
        <v>22</v>
      </c>
      <c r="D13909" s="2" t="s">
        <f>=HYPERLINK("https://main.knesset.gov.il/APPS/legislation/main/bills/2086039", "הצעת חוק לתיקון פקודת מסי העיריה ומסי הממשלה (פיטורין) (פטור מארנונה למעון), התש""ף-2020")</f>
        <v>26808</v>
      </c>
      <c r="E13909" t="s">
        <v>26808</v>
      </c>
      <c r="F13909" t="s">
        <v>26809</v>
      </c>
      <c r="G13909" t="s">
        <v>14</v>
      </c>
      <c r="H13909">
             </c>
      <c r="I13909" t="s">
        <v>14</v>
      </c>
      <c r="J13909" t="s">
        <v>141</v>
      </c>
      <c r="K13909" t="s">
        <v>14</v>
      </c>
      <c r="L13909" t="s">
        <v>20</v>
      </c>
      <c r="M13909" t="s">
        <v>26754</v>
      </c>
      <c r="N13909" t="s">
        <v>14</v>
      </c>
    </row>
    <row r="13910" x14ac:dyDescent="0.25">
      <c r="A13910" t="n">
        <v>23</v>
      </c>
      <c r="B13910" t="s">
        <v>14</v>
      </c>
      <c r="C13910" t="s">
        <v>22</v>
      </c>
      <c r="D13910" s="2" t="s">
        <f>=HYPERLINK("https://main.knesset.gov.il/APPS/legislation/main/bills/2086204", "הצעת חוק שירותי הדת היהודיים (תיקון - בחירת רבני עיר), התש""ף-2020")</f>
        <v>26810</v>
      </c>
      <c r="E13910" t="s">
        <v>26810</v>
      </c>
      <c r="F13910" t="s">
        <v>26811</v>
      </c>
      <c r="G13910" t="s">
        <v>14</v>
      </c>
      <c r="H13910">
             </c>
      <c r="I13910" t="s">
        <v>14</v>
      </c>
      <c r="J13910" t="s">
        <v>141</v>
      </c>
      <c r="K13910" t="s">
        <v>14</v>
      </c>
      <c r="L13910" t="s">
        <v>20</v>
      </c>
      <c r="M13910" t="s">
        <v>26754</v>
      </c>
      <c r="N13910" t="s">
        <v>14</v>
      </c>
    </row>
    <row r="13911" x14ac:dyDescent="0.25">
      <c r="A13911" t="n">
        <v>23</v>
      </c>
      <c r="B13911" t="s">
        <v>14</v>
      </c>
      <c r="C13911" t="s">
        <v>22</v>
      </c>
      <c r="D13911" s="2" t="s">
        <f>=HYPERLINK("https://main.knesset.gov.il/APPS/legislation/main/bills/2086169", "הצעת חוק לתיקון פקודת מס הכנסה (ניכוי ריבית על משכנתא וסיוע ברכישת דירה), התש""ף-2020")</f>
        <v>26812</v>
      </c>
      <c r="E13911" t="s">
        <v>26812</v>
      </c>
      <c r="F13911" t="s">
        <v>26813</v>
      </c>
      <c r="G13911" t="s">
        <v>14</v>
      </c>
      <c r="H13911">
             </c>
      <c r="I13911" t="s">
        <v>14</v>
      </c>
      <c r="J13911" t="s">
        <v>141</v>
      </c>
      <c r="K13911" t="s">
        <v>14</v>
      </c>
      <c r="L13911" t="s">
        <v>20</v>
      </c>
      <c r="M13911" t="s">
        <v>26754</v>
      </c>
      <c r="N13911" t="s">
        <v>14</v>
      </c>
    </row>
    <row r="13912" x14ac:dyDescent="0.25">
      <c r="A13912" t="n">
        <v>23</v>
      </c>
      <c r="B13912" t="s">
        <v>14</v>
      </c>
      <c r="C13912" t="s">
        <v>22</v>
      </c>
      <c r="D13912" s="2" t="s">
        <f>=HYPERLINK("https://main.knesset.gov.il/APPS/legislation/main/bills/2086216", "הצעת חוק לימוד חובה (תיקון - חינוך חינם לפעוטות ולילדים), התש""ף-2020")</f>
        <v>22476</v>
      </c>
      <c r="E13912" t="s">
        <v>22476</v>
      </c>
      <c r="F13912" t="s">
        <v>26814</v>
      </c>
      <c r="G13912" t="s">
        <v>14</v>
      </c>
      <c r="H13912">
             </c>
      <c r="I13912" t="s">
        <v>14</v>
      </c>
      <c r="J13912" t="s">
        <v>141</v>
      </c>
      <c r="K13912" t="s">
        <v>14</v>
      </c>
      <c r="L13912" t="s">
        <v>20</v>
      </c>
      <c r="M13912" t="s">
        <v>26754</v>
      </c>
      <c r="N13912" t="s">
        <v>14</v>
      </c>
    </row>
    <row r="13913" x14ac:dyDescent="0.25">
      <c r="A13913" t="n">
        <v>23</v>
      </c>
      <c r="B13913" t="s">
        <v>14</v>
      </c>
      <c r="C13913" t="s">
        <v>22</v>
      </c>
      <c r="D13913" s="2" t="s">
        <f>=HYPERLINK("https://main.knesset.gov.il/APPS/legislation/main/bills/2086088", "הצעת חוק להסדר התדיינויות בסכסוכי משפחה (הוראת שעה) (תיקון - הוספת גירושין בשיתוף פעולה), התש""ף-2020")</f>
        <v>26815</v>
      </c>
      <c r="E13913" t="s">
        <v>26815</v>
      </c>
      <c r="F13913" t="s">
        <v>26816</v>
      </c>
      <c r="G13913" t="s">
        <v>14</v>
      </c>
      <c r="H13913">
             </c>
      <c r="I13913" t="s">
        <v>14</v>
      </c>
      <c r="J13913" t="s">
        <v>141</v>
      </c>
      <c r="K13913" t="s">
        <v>14</v>
      </c>
      <c r="L13913" t="s">
        <v>20</v>
      </c>
      <c r="M13913" t="s">
        <v>26754</v>
      </c>
      <c r="N13913" t="s">
        <v>14</v>
      </c>
    </row>
    <row r="13914" x14ac:dyDescent="0.25">
      <c r="A13914" t="n">
        <v>23</v>
      </c>
      <c r="B13914" t="s">
        <v>14</v>
      </c>
      <c r="C13914" t="s">
        <v>22</v>
      </c>
      <c r="D13914" s="2" t="s">
        <f>=HYPERLINK("https://main.knesset.gov.il/APPS/legislation/main/bills/2085599", "הצעת חוק הביטוח הלאומי (תיקון - הכרה בפגיעה מינית בעבודה כפגיעה בעבודה), התש""ף-2020")</f>
        <v>26817</v>
      </c>
      <c r="E13914" t="s">
        <v>26817</v>
      </c>
      <c r="F13914" t="s">
        <v>26818</v>
      </c>
      <c r="G13914" t="s">
        <v>14</v>
      </c>
      <c r="H13914">
             </c>
      <c r="I13914" t="s">
        <v>14</v>
      </c>
      <c r="J13914" t="s">
        <v>141</v>
      </c>
      <c r="K13914" t="s">
        <v>14</v>
      </c>
      <c r="L13914" t="s">
        <v>20</v>
      </c>
      <c r="M13914" t="s">
        <v>26754</v>
      </c>
      <c r="N13914" t="s">
        <v>14</v>
      </c>
    </row>
    <row r="13915" x14ac:dyDescent="0.25">
      <c r="A13915" t="n">
        <v>23</v>
      </c>
      <c r="B13915" t="s">
        <v>14</v>
      </c>
      <c r="C13915" t="s">
        <v>22</v>
      </c>
      <c r="D13915" s="2" t="s">
        <f>=HYPERLINK("https://main.knesset.gov.il/APPS/legislation/main/bills/2086344", "הצעת חוק הקרן הקיימת לישראל (תחולת דיני המס), התש""ף-2020")</f>
        <v>26819</v>
      </c>
      <c r="E13915" t="s">
        <v>26819</v>
      </c>
      <c r="F13915" t="s">
        <v>26820</v>
      </c>
      <c r="G13915" t="s">
        <v>14</v>
      </c>
      <c r="H13915">
             </c>
      <c r="I13915" t="s">
        <v>14</v>
      </c>
      <c r="J13915" t="s">
        <v>141</v>
      </c>
      <c r="K13915" t="s">
        <v>14</v>
      </c>
      <c r="L13915" t="s">
        <v>20</v>
      </c>
      <c r="M13915" t="s">
        <v>26754</v>
      </c>
      <c r="N13915" t="s">
        <v>14</v>
      </c>
    </row>
    <row r="13916" x14ac:dyDescent="0.25">
      <c r="A13916" t="n">
        <v>23</v>
      </c>
      <c r="B13916" t="s">
        <v>14</v>
      </c>
      <c r="C13916" t="s">
        <v>22</v>
      </c>
      <c r="D13916" s="2" t="s">
        <f>=HYPERLINK("https://main.knesset.gov.il/APPS/legislation/main/bills/2086029", "הצעת חוק מיסוי מקרקעין (שבח ורכישה) (תיקון - ייצוג נישום על ידי רואה חשבון), התש""ף-2020")</f>
        <v>26821</v>
      </c>
      <c r="E13916" t="s">
        <v>26821</v>
      </c>
      <c r="F13916" t="s">
        <v>26822</v>
      </c>
      <c r="G13916" t="s">
        <v>14</v>
      </c>
      <c r="H13916">
             </c>
      <c r="I13916" t="s">
        <v>14</v>
      </c>
      <c r="J13916" t="s">
        <v>141</v>
      </c>
      <c r="K13916" t="s">
        <v>14</v>
      </c>
      <c r="L13916" t="s">
        <v>20</v>
      </c>
      <c r="M13916" t="s">
        <v>26754</v>
      </c>
      <c r="N13916" t="s">
        <v>14</v>
      </c>
    </row>
    <row r="13917" x14ac:dyDescent="0.25">
      <c r="A13917" t="n">
        <v>23</v>
      </c>
      <c r="B13917" t="s">
        <v>14</v>
      </c>
      <c r="C13917" t="s">
        <v>22</v>
      </c>
      <c r="D13917" s="2" t="s">
        <f>=HYPERLINK("https://main.knesset.gov.il/APPS/legislation/main/bills/2086200", "הצעת חוק שירותי הדת היהודיים (תיקון - בחירת רב יישוב ורב אזורי וכהונתם), התש""ף-2020")</f>
        <v>26823</v>
      </c>
      <c r="E13917" t="s">
        <v>26823</v>
      </c>
      <c r="F13917" t="s">
        <v>26824</v>
      </c>
      <c r="G13917" t="s">
        <v>14</v>
      </c>
      <c r="H13917">
             </c>
      <c r="I13917" t="s">
        <v>14</v>
      </c>
      <c r="J13917" t="s">
        <v>141</v>
      </c>
      <c r="K13917" t="s">
        <v>14</v>
      </c>
      <c r="L13917" t="s">
        <v>20</v>
      </c>
      <c r="M13917" t="s">
        <v>26754</v>
      </c>
      <c r="N13917" t="s">
        <v>14</v>
      </c>
    </row>
    <row r="13918" x14ac:dyDescent="0.25">
      <c r="A13918" t="n">
        <v>23</v>
      </c>
      <c r="B13918" t="s">
        <v>14</v>
      </c>
      <c r="C13918" t="s">
        <v>22</v>
      </c>
      <c r="D13918" s="2" t="s">
        <f>=HYPERLINK("https://main.knesset.gov.il/APPS/legislation/main/bills/2086162", "הצעת חוק לתיקון פקודת מס הכנסה (ניכוי בגין הוצאות טיפול בילדים), התש""ף-2020")</f>
        <v>23036</v>
      </c>
      <c r="E13918" t="s">
        <v>23036</v>
      </c>
      <c r="F13918" t="s">
        <v>26825</v>
      </c>
      <c r="G13918" t="s">
        <v>14</v>
      </c>
      <c r="H13918">
             </c>
      <c r="I13918" t="s">
        <v>14</v>
      </c>
      <c r="J13918" t="s">
        <v>141</v>
      </c>
      <c r="K13918" t="s">
        <v>14</v>
      </c>
      <c r="L13918" t="s">
        <v>20</v>
      </c>
      <c r="M13918" t="s">
        <v>26754</v>
      </c>
      <c r="N13918" t="s">
        <v>14</v>
      </c>
    </row>
    <row r="13919" x14ac:dyDescent="0.25">
      <c r="A13919" t="n">
        <v>23</v>
      </c>
      <c r="B13919" t="s">
        <v>14</v>
      </c>
      <c r="C13919" t="s">
        <v>22</v>
      </c>
      <c r="D13919" s="2" t="s">
        <f>=HYPERLINK("https://main.knesset.gov.il/APPS/legislation/main/bills/2086191", "הצעת חוק לתיקון פקודת מס הכנסה (נקודות זיכוי בעד ילדים), התש""ף-2020")</f>
        <v>26826</v>
      </c>
      <c r="E13919" t="s">
        <v>26826</v>
      </c>
      <c r="F13919" t="s">
        <v>26827</v>
      </c>
      <c r="G13919" t="s">
        <v>14</v>
      </c>
      <c r="H13919">
             </c>
      <c r="I13919" t="s">
        <v>14</v>
      </c>
      <c r="J13919" t="s">
        <v>141</v>
      </c>
      <c r="K13919" t="s">
        <v>14</v>
      </c>
      <c r="L13919" t="s">
        <v>20</v>
      </c>
      <c r="M13919" t="s">
        <v>26754</v>
      </c>
      <c r="N13919" t="s">
        <v>14</v>
      </c>
    </row>
    <row r="13920" x14ac:dyDescent="0.25">
      <c r="A13920" t="n">
        <v>23</v>
      </c>
      <c r="B13920" t="s">
        <v>14</v>
      </c>
      <c r="C13920" t="s">
        <v>22</v>
      </c>
      <c r="D13920" s="2" t="s">
        <f>=HYPERLINK("https://main.knesset.gov.il/APPS/legislation/main/bills/2085940", "הצעת חוק המוסד העליון ללשון העברית (תיקון - הנגשת מאגרים), התש""ף-2020")</f>
        <v>26828</v>
      </c>
      <c r="E13920" t="s">
        <v>26828</v>
      </c>
      <c r="F13920" t="s">
        <v>26829</v>
      </c>
      <c r="G13920" t="s">
        <v>14</v>
      </c>
      <c r="H13920">
             </c>
      <c r="I13920" t="s">
        <v>14</v>
      </c>
      <c r="J13920" t="s">
        <v>141</v>
      </c>
      <c r="K13920" t="s">
        <v>14</v>
      </c>
      <c r="L13920" t="s">
        <v>20</v>
      </c>
      <c r="M13920" t="s">
        <v>26754</v>
      </c>
      <c r="N13920" t="s">
        <v>14</v>
      </c>
    </row>
    <row r="13921" x14ac:dyDescent="0.25">
      <c r="A13921" t="n">
        <v>23</v>
      </c>
      <c r="B13921" t="s">
        <v>14</v>
      </c>
      <c r="C13921" t="s">
        <v>22</v>
      </c>
      <c r="D13921" s="2" t="s">
        <f>=HYPERLINK("https://main.knesset.gov.il/APPS/legislation/main/bills/2086079", "הצעת חוק יחסי ממון בין בני זוג (תיקון - הפקעת זכות האיזון מבן זוג שהורשע ברצח בן הזוג השני), התש""ף-2020")</f>
        <v>26830</v>
      </c>
      <c r="E13921" t="s">
        <v>26830</v>
      </c>
      <c r="F13921" t="s">
        <v>26831</v>
      </c>
      <c r="G13921" t="s">
        <v>14</v>
      </c>
      <c r="H13921">
             </c>
      <c r="I13921" t="s">
        <v>14</v>
      </c>
      <c r="J13921" t="s">
        <v>141</v>
      </c>
      <c r="K13921" t="s">
        <v>14</v>
      </c>
      <c r="L13921" t="s">
        <v>20</v>
      </c>
      <c r="M13921" t="s">
        <v>26754</v>
      </c>
      <c r="N13921" t="s">
        <v>14</v>
      </c>
    </row>
    <row r="13922" x14ac:dyDescent="0.25">
      <c r="A13922" t="n">
        <v>23</v>
      </c>
      <c r="B13922" t="s">
        <v>14</v>
      </c>
      <c r="C13922" t="s">
        <v>22</v>
      </c>
      <c r="D13922" s="2" t="s">
        <f>=HYPERLINK("https://main.knesset.gov.il/APPS/legislation/main/bills/2085594", "הצעת חוק יחסי ממון בין בני זוג (תיקון - הפקעת זכות האיזון מבן זוג שהורשע ברצח בן הזוג השני), התש""ף-2020")</f>
        <v>26830</v>
      </c>
      <c r="E13922" t="s">
        <v>26830</v>
      </c>
      <c r="F13922" t="s">
        <v>26832</v>
      </c>
      <c r="G13922" t="s">
        <v>14</v>
      </c>
      <c r="H13922">
             </c>
      <c r="I13922" t="s">
        <v>14</v>
      </c>
      <c r="J13922" t="s">
        <v>141</v>
      </c>
      <c r="K13922" t="s">
        <v>14</v>
      </c>
      <c r="L13922" t="s">
        <v>20</v>
      </c>
      <c r="M13922" t="s">
        <v>26754</v>
      </c>
      <c r="N13922" t="s">
        <v>14</v>
      </c>
    </row>
    <row r="13923" x14ac:dyDescent="0.25">
      <c r="A13923" t="n">
        <v>23</v>
      </c>
      <c r="B13923" t="s">
        <v>14</v>
      </c>
      <c r="C13923" t="s">
        <v>22</v>
      </c>
      <c r="D13923" s="2" t="s">
        <f>=HYPERLINK("https://main.knesset.gov.il/APPS/legislation/main/bills/2086510", "הצעת חוק ההוצאה לפועל (תיקון - הגבלת עיקול מיטלטליו של קשיש), התש""ף-2020")</f>
        <v>25371</v>
      </c>
      <c r="E13923" t="s">
        <v>25371</v>
      </c>
      <c r="F13923" t="s">
        <v>26833</v>
      </c>
      <c r="G13923" t="s">
        <v>14</v>
      </c>
      <c r="H13923">
             </c>
      <c r="I13923" t="s">
        <v>14</v>
      </c>
      <c r="J13923" t="s">
        <v>141</v>
      </c>
      <c r="K13923" t="s">
        <v>14</v>
      </c>
      <c r="L13923" t="s">
        <v>20</v>
      </c>
      <c r="M13923" t="s">
        <v>26754</v>
      </c>
      <c r="N13923" t="s">
        <v>14</v>
      </c>
    </row>
    <row r="13924" x14ac:dyDescent="0.25">
      <c r="A13924" t="n">
        <v>23</v>
      </c>
      <c r="B13924" t="s">
        <v>14</v>
      </c>
      <c r="C13924" t="s">
        <v>22</v>
      </c>
      <c r="D13924" s="2" t="s">
        <f>=HYPERLINK("https://main.knesset.gov.il/APPS/legislation/main/bills/2086132", "הצעת חוק ההוצאה לפועל (תיקון - הגבלת עיקול מיטלטליו של קשיש), התש""ף-2020")</f>
        <v>25371</v>
      </c>
      <c r="E13924" t="s">
        <v>25371</v>
      </c>
      <c r="F13924" t="s">
        <v>26834</v>
      </c>
      <c r="G13924" t="s">
        <v>14</v>
      </c>
      <c r="H13924">
             </c>
      <c r="I13924" t="s">
        <v>14</v>
      </c>
      <c r="J13924" t="s">
        <v>141</v>
      </c>
      <c r="K13924" t="s">
        <v>14</v>
      </c>
      <c r="L13924" t="s">
        <v>20</v>
      </c>
      <c r="M13924" t="s">
        <v>26754</v>
      </c>
      <c r="N13924" t="s">
        <v>14</v>
      </c>
    </row>
    <row r="13925" x14ac:dyDescent="0.25">
      <c r="A13925" t="n">
        <v>23</v>
      </c>
      <c r="B13925" t="s">
        <v>14</v>
      </c>
      <c r="C13925" t="s">
        <v>22</v>
      </c>
      <c r="D13925" s="2" t="s">
        <f>=HYPERLINK("https://main.knesset.gov.il/APPS/legislation/main/bills/2086338", "הצעת חוק הפיקוח על שירותים פיננסיים (ביטוח) (תיקון - היתר לשיווק ומכירה של ביטוח נסיעות לחו""ל), התש""ף-2020")</f>
        <v>26835</v>
      </c>
      <c r="E13925" t="s">
        <v>26835</v>
      </c>
      <c r="F13925" t="s">
        <v>26836</v>
      </c>
      <c r="G13925" t="s">
        <v>14</v>
      </c>
      <c r="H13925">
             </c>
      <c r="I13925" t="s">
        <v>14</v>
      </c>
      <c r="J13925" t="s">
        <v>141</v>
      </c>
      <c r="K13925" t="s">
        <v>14</v>
      </c>
      <c r="L13925" t="s">
        <v>20</v>
      </c>
      <c r="M13925" t="s">
        <v>26754</v>
      </c>
      <c r="N13925" t="s">
        <v>14</v>
      </c>
    </row>
    <row r="13926" x14ac:dyDescent="0.25">
      <c r="A13926" t="n">
        <v>23</v>
      </c>
      <c r="B13926" t="s">
        <v>14</v>
      </c>
      <c r="C13926" t="s">
        <v>22</v>
      </c>
      <c r="D13926" s="2" t="s">
        <f>=HYPERLINK("https://main.knesset.gov.il/APPS/legislation/main/bills/2085948", "הצעת חוק המים (תיקון - איסוף מי גשמים), התש""ף-2020")</f>
        <v>26837</v>
      </c>
      <c r="E13926" t="s">
        <v>26837</v>
      </c>
      <c r="F13926" t="s">
        <v>26838</v>
      </c>
      <c r="G13926" t="s">
        <v>14</v>
      </c>
      <c r="H13926">
             </c>
      <c r="I13926" t="s">
        <v>14</v>
      </c>
      <c r="J13926" t="s">
        <v>141</v>
      </c>
      <c r="K13926" t="s">
        <v>14</v>
      </c>
      <c r="L13926" t="s">
        <v>20</v>
      </c>
      <c r="M13926" t="s">
        <v>26754</v>
      </c>
      <c r="N13926" t="s">
        <v>14</v>
      </c>
    </row>
    <row r="13927" x14ac:dyDescent="0.25">
      <c r="A13927" t="n">
        <v>23</v>
      </c>
      <c r="B13927" t="s">
        <v>14</v>
      </c>
      <c r="C13927" t="s">
        <v>22</v>
      </c>
      <c r="D13927" s="2" t="s">
        <f>=HYPERLINK("https://main.knesset.gov.il/APPS/legislation/main/bills/2085715", "הצעת חוק הפיקדון על מכלי משקה (תיקון - החלת החוק על מכלי משקה גדולים), התש""ף-2020")</f>
        <v>26046</v>
      </c>
      <c r="E13927" t="s">
        <v>26046</v>
      </c>
      <c r="F13927" t="s">
        <v>26839</v>
      </c>
      <c r="G13927" t="s">
        <v>14</v>
      </c>
      <c r="H13927">
             </c>
      <c r="I13927" t="s">
        <v>14</v>
      </c>
      <c r="J13927" t="s">
        <v>141</v>
      </c>
      <c r="K13927" t="s">
        <v>14</v>
      </c>
      <c r="L13927" t="s">
        <v>20</v>
      </c>
      <c r="M13927" t="s">
        <v>26754</v>
      </c>
      <c r="N13927" t="s">
        <v>14</v>
      </c>
    </row>
    <row r="13928" x14ac:dyDescent="0.25">
      <c r="A13928" t="n">
        <v>23</v>
      </c>
      <c r="B13928" t="s">
        <v>14</v>
      </c>
      <c r="C13928" t="s">
        <v>22</v>
      </c>
      <c r="D13928" s="2" t="s">
        <f>=HYPERLINK("https://main.knesset.gov.il/APPS/legislation/main/bills/2086024", "הצעת חוק המועצה להשכלה גבוהה (תיקון - עידוד הנגשה להשכלה גבוהה), התש""ף-2020")</f>
        <v>25707</v>
      </c>
      <c r="E13928" t="s">
        <v>25707</v>
      </c>
      <c r="F13928" t="s">
        <v>26840</v>
      </c>
      <c r="G13928" t="s">
        <v>14</v>
      </c>
      <c r="H13928">
             </c>
      <c r="I13928" t="s">
        <v>14</v>
      </c>
      <c r="J13928" t="s">
        <v>141</v>
      </c>
      <c r="K13928" t="s">
        <v>14</v>
      </c>
      <c r="L13928" t="s">
        <v>20</v>
      </c>
      <c r="M13928" t="s">
        <v>26754</v>
      </c>
      <c r="N13928" t="s">
        <v>14</v>
      </c>
    </row>
    <row r="13929" x14ac:dyDescent="0.25">
      <c r="A13929" t="n">
        <v>23</v>
      </c>
      <c r="B13929" t="s">
        <v>14</v>
      </c>
      <c r="C13929" t="s">
        <v>22</v>
      </c>
      <c r="D13929" s="2" t="s">
        <f>=HYPERLINK("https://main.knesset.gov.il/APPS/legislation/main/bills/2086090", "הצעת חוק לתיקון פקודת התעבורה (ביטול קנס בשל רכישת מערכות בטיחות מתקדמות), התש""ף-2020")</f>
        <v>26841</v>
      </c>
      <c r="E13929" t="s">
        <v>26841</v>
      </c>
      <c r="F13929" t="s">
        <v>26842</v>
      </c>
      <c r="G13929" t="s">
        <v>14</v>
      </c>
      <c r="H13929">
             </c>
      <c r="I13929" t="s">
        <v>14</v>
      </c>
      <c r="J13929" t="s">
        <v>141</v>
      </c>
      <c r="K13929" t="s">
        <v>14</v>
      </c>
      <c r="L13929" t="s">
        <v>20</v>
      </c>
      <c r="M13929" t="s">
        <v>26754</v>
      </c>
      <c r="N13929" t="s">
        <v>14</v>
      </c>
    </row>
    <row r="13930" x14ac:dyDescent="0.25">
      <c r="A13930" t="n">
        <v>23</v>
      </c>
      <c r="B13930" t="s">
        <v>14</v>
      </c>
      <c r="C13930" t="s">
        <v>22</v>
      </c>
      <c r="D13930" s="2" t="s">
        <f>=HYPERLINK("https://main.knesset.gov.il/APPS/legislation/main/bills/2085984", "הצעת חוק סיוע למשפחות שבראשן הורה עצמאי (תיקון – הגנה מפני עיקול של כספי סיוע), התש""ף–2020")</f>
        <v>26843</v>
      </c>
      <c r="E13930" t="s">
        <v>26843</v>
      </c>
      <c r="F13930" t="s">
        <v>26844</v>
      </c>
      <c r="G13930" t="s">
        <v>14</v>
      </c>
      <c r="H13930">
             </c>
      <c r="I13930" t="s">
        <v>14</v>
      </c>
      <c r="J13930" t="s">
        <v>343</v>
      </c>
      <c r="K13930" t="s">
        <v>14</v>
      </c>
      <c r="L13930" t="s">
        <v>20</v>
      </c>
      <c r="M13930" t="s">
        <v>26754</v>
      </c>
      <c r="N13930" t="s">
        <v>14</v>
      </c>
    </row>
    <row r="13931" x14ac:dyDescent="0.25">
      <c r="A13931" t="n">
        <v>23</v>
      </c>
      <c r="B13931" t="s">
        <v>14</v>
      </c>
      <c r="C13931" t="s">
        <v>22</v>
      </c>
      <c r="D13931" s="2" t="s">
        <f>=HYPERLINK("https://main.knesset.gov.il/APPS/legislation/main/bills/2086564", "הצעת חוק אוויר נקי (תיקון - איסור הפעלת מפוחים), התש""ף-2020")</f>
        <v>26845</v>
      </c>
      <c r="E13931" t="s">
        <v>26845</v>
      </c>
      <c r="F13931" t="s">
        <v>26846</v>
      </c>
      <c r="G13931" t="s">
        <v>14</v>
      </c>
      <c r="H13931">
             </c>
      <c r="I13931" t="s">
        <v>14</v>
      </c>
      <c r="J13931" t="s">
        <v>141</v>
      </c>
      <c r="K13931" t="s">
        <v>14</v>
      </c>
      <c r="L13931" t="s">
        <v>20</v>
      </c>
      <c r="M13931" t="s">
        <v>26754</v>
      </c>
      <c r="N13931" t="s">
        <v>14</v>
      </c>
    </row>
    <row r="13932" x14ac:dyDescent="0.25">
      <c r="A13932" t="n">
        <v>23</v>
      </c>
      <c r="B13932" t="s">
        <v>14</v>
      </c>
      <c r="C13932" t="s">
        <v>22</v>
      </c>
      <c r="D13932" s="2" t="s">
        <f>=HYPERLINK("https://main.knesset.gov.il/APPS/legislation/main/bills/2086367", "הצעת חוק התכנון והבנייה (תיקון - הוראות שונות לעניין היטל השבחה), התש""ף-2020")</f>
        <v>26847</v>
      </c>
      <c r="E13932" t="s">
        <v>26847</v>
      </c>
      <c r="F13932" t="s">
        <v>26848</v>
      </c>
      <c r="G13932" t="s">
        <v>14</v>
      </c>
      <c r="H13932">
             </c>
      <c r="I13932" t="s">
        <v>14</v>
      </c>
      <c r="J13932" t="s">
        <v>141</v>
      </c>
      <c r="K13932" t="s">
        <v>14</v>
      </c>
      <c r="L13932" t="s">
        <v>20</v>
      </c>
      <c r="M13932" t="s">
        <v>26754</v>
      </c>
      <c r="N13932" t="s">
        <v>14</v>
      </c>
    </row>
    <row r="13933" x14ac:dyDescent="0.25">
      <c r="A13933" t="n">
        <v>23</v>
      </c>
      <c r="B13933" t="s">
        <v>14</v>
      </c>
      <c r="C13933" t="s">
        <v>22</v>
      </c>
      <c r="D13933" s="2" t="s">
        <f>=HYPERLINK("https://main.knesset.gov.il/APPS/legislation/main/bills/2086199", "הצעת חוק שיפוט בתי דין רבניים (נישואין וגירושין) (תיקון - קציבת זמן לכריכת ענייני ממון ומשמורת), התש""ף-2020")</f>
        <v>26849</v>
      </c>
      <c r="E13933" t="s">
        <v>26849</v>
      </c>
      <c r="F13933" t="s">
        <v>26850</v>
      </c>
      <c r="G13933" t="s">
        <v>14</v>
      </c>
      <c r="H13933">
             </c>
      <c r="I13933" t="s">
        <v>14</v>
      </c>
      <c r="J13933" t="s">
        <v>141</v>
      </c>
      <c r="K13933" t="s">
        <v>14</v>
      </c>
      <c r="L13933" t="s">
        <v>20</v>
      </c>
      <c r="M13933" t="s">
        <v>26754</v>
      </c>
      <c r="N13933" t="s">
        <v>14</v>
      </c>
    </row>
    <row r="13934" x14ac:dyDescent="0.25">
      <c r="A13934" t="n">
        <v>23</v>
      </c>
      <c r="B13934" t="s">
        <v>14</v>
      </c>
      <c r="C13934" t="s">
        <v>22</v>
      </c>
      <c r="D13934" s="2" t="s">
        <f>=HYPERLINK("https://main.knesset.gov.il/APPS/legislation/main/bills/2085764", "הצעת חוק צער בעלי חיים (הגנה על בעלי חיים) (תיקון - רישיון לזיווג או למכירה של כלבים וחתולים), התש""ף-2020")</f>
        <v>26851</v>
      </c>
      <c r="E13934" t="s">
        <v>26851</v>
      </c>
      <c r="F13934" t="s">
        <v>26852</v>
      </c>
      <c r="G13934" t="s">
        <v>14</v>
      </c>
      <c r="H13934">
             </c>
      <c r="I13934" t="s">
        <v>14</v>
      </c>
      <c r="J13934" t="s">
        <v>141</v>
      </c>
      <c r="K13934" t="s">
        <v>14</v>
      </c>
      <c r="L13934" t="s">
        <v>20</v>
      </c>
      <c r="M13934" t="s">
        <v>26754</v>
      </c>
      <c r="N13934" t="s">
        <v>14</v>
      </c>
    </row>
    <row r="13935" x14ac:dyDescent="0.25">
      <c r="A13935" t="n">
        <v>23</v>
      </c>
      <c r="B13935" t="s">
        <v>14</v>
      </c>
      <c r="C13935" t="s">
        <v>22</v>
      </c>
      <c r="D13935" s="2" t="s">
        <f>=HYPERLINK("https://main.knesset.gov.il/APPS/legislation/main/bills/2086561", "הצעת חוק שירותי הדת היהודיים (תיקון - משך כהונת רב עיר), התש""ף-2020")</f>
        <v>26853</v>
      </c>
      <c r="E13935" t="s">
        <v>26853</v>
      </c>
      <c r="F13935" t="s">
        <v>26854</v>
      </c>
      <c r="G13935" t="s">
        <v>14</v>
      </c>
      <c r="H13935">
             </c>
      <c r="I13935" t="s">
        <v>14</v>
      </c>
      <c r="J13935" t="s">
        <v>141</v>
      </c>
      <c r="K13935" t="s">
        <v>14</v>
      </c>
      <c r="L13935" t="s">
        <v>20</v>
      </c>
      <c r="M13935" t="s">
        <v>26754</v>
      </c>
      <c r="N13935" t="s">
        <v>14</v>
      </c>
    </row>
    <row r="13936" x14ac:dyDescent="0.25">
      <c r="A13936" t="n">
        <v>23</v>
      </c>
      <c r="B13936" t="s">
        <v>14</v>
      </c>
      <c r="C13936" t="s">
        <v>22</v>
      </c>
      <c r="D13936" s="2" t="s">
        <f>=HYPERLINK("https://main.knesset.gov.il/APPS/legislation/main/bills/2086101", "הצעת חוק זכאות לאבחון לקויות למידה לילדים ממשפחות מעוטות יכולת, התש""ף-2020")</f>
        <v>26855</v>
      </c>
      <c r="E13936" t="s">
        <v>26855</v>
      </c>
      <c r="F13936" t="s">
        <v>26856</v>
      </c>
      <c r="G13936" t="s">
        <v>14</v>
      </c>
      <c r="H13936">
             </c>
      <c r="I13936" t="s">
        <v>14</v>
      </c>
      <c r="J13936" t="s">
        <v>141</v>
      </c>
      <c r="K13936" t="s">
        <v>14</v>
      </c>
      <c r="L13936" t="s">
        <v>20</v>
      </c>
      <c r="M13936" t="s">
        <v>26754</v>
      </c>
      <c r="N13936" t="s">
        <v>14</v>
      </c>
    </row>
    <row r="13937" x14ac:dyDescent="0.25">
      <c r="A13937" t="n">
        <v>23</v>
      </c>
      <c r="B13937" t="s">
        <v>14</v>
      </c>
      <c r="C13937" t="s">
        <v>22</v>
      </c>
      <c r="D13937" s="2" t="s">
        <f>=HYPERLINK("https://main.knesset.gov.il/APPS/legislation/main/bills/2086360", "הצעת חוק הביטוח הלאומי (תיקון - שמירה חקלאית כעבודה מועדפת), התש""ף-2020")</f>
        <v>26857</v>
      </c>
      <c r="E13937" t="s">
        <v>26857</v>
      </c>
      <c r="F13937" t="s">
        <v>26858</v>
      </c>
      <c r="G13937" t="s">
        <v>14</v>
      </c>
      <c r="H13937">
             </c>
      <c r="I13937" t="s">
        <v>14</v>
      </c>
      <c r="J13937" t="s">
        <v>141</v>
      </c>
      <c r="K13937" t="s">
        <v>14</v>
      </c>
      <c r="L13937" t="s">
        <v>20</v>
      </c>
      <c r="M13937" t="s">
        <v>26754</v>
      </c>
      <c r="N13937" t="s">
        <v>14</v>
      </c>
    </row>
    <row r="13938" x14ac:dyDescent="0.25">
      <c r="A13938" t="n">
        <v>23</v>
      </c>
      <c r="B13938" t="s">
        <v>14</v>
      </c>
      <c r="C13938" t="s">
        <v>22</v>
      </c>
      <c r="D13938" s="2" t="s">
        <f>=HYPERLINK("https://main.knesset.gov.il/APPS/legislation/main/bills/2085931", "הצעת חוק המועצות האזוריות (בחירת ראש המועצה) (תיקון - הגשת רשימה על ידי סיעה או מפלגה), התש""ף-2020")</f>
        <v>26859</v>
      </c>
      <c r="E13938" t="s">
        <v>26859</v>
      </c>
      <c r="F13938" t="s">
        <v>26860</v>
      </c>
      <c r="G13938" t="s">
        <v>14</v>
      </c>
      <c r="H13938">
             </c>
      <c r="I13938" t="s">
        <v>14</v>
      </c>
      <c r="J13938" t="s">
        <v>141</v>
      </c>
      <c r="K13938" t="s">
        <v>14</v>
      </c>
      <c r="L13938" t="s">
        <v>20</v>
      </c>
      <c r="M13938" t="s">
        <v>26754</v>
      </c>
      <c r="N13938" t="s">
        <v>14</v>
      </c>
    </row>
    <row r="13939" x14ac:dyDescent="0.25">
      <c r="A13939" t="n">
        <v>23</v>
      </c>
      <c r="B13939" t="s">
        <v>14</v>
      </c>
      <c r="C13939" t="s">
        <v>22</v>
      </c>
      <c r="D13939" s="2" t="s">
        <f>=HYPERLINK("https://main.knesset.gov.il/APPS/legislation/main/bills/2086554", "הצעת חוק השמירה על המקומות הקדושים (תיקון - הבטחת פלורליזם דתי), התש""ף-2020")</f>
        <v>26861</v>
      </c>
      <c r="E13939" t="s">
        <v>26861</v>
      </c>
      <c r="F13939" t="s">
        <v>26862</v>
      </c>
      <c r="G13939" t="s">
        <v>14</v>
      </c>
      <c r="H13939">
             </c>
      <c r="I13939" t="s">
        <v>14</v>
      </c>
      <c r="J13939" t="s">
        <v>141</v>
      </c>
      <c r="K13939" t="s">
        <v>14</v>
      </c>
      <c r="L13939" t="s">
        <v>20</v>
      </c>
      <c r="M13939" t="s">
        <v>26754</v>
      </c>
      <c r="N13939" t="s">
        <v>14</v>
      </c>
    </row>
    <row r="13940" x14ac:dyDescent="0.25">
      <c r="A13940" t="n">
        <v>23</v>
      </c>
      <c r="B13940" t="s">
        <v>14</v>
      </c>
      <c r="C13940" t="s">
        <v>22</v>
      </c>
      <c r="D13940" s="2" t="s">
        <f>=HYPERLINK("https://main.knesset.gov.il/APPS/legislation/main/bills/2086359", "הצעת חוק אחריות לעבודות שיפוצים, התש""ף-2020")</f>
        <v>26688</v>
      </c>
      <c r="E13940" t="s">
        <v>26688</v>
      </c>
      <c r="F13940" t="s">
        <v>26863</v>
      </c>
      <c r="G13940" t="s">
        <v>14</v>
      </c>
      <c r="H13940">
             </c>
      <c r="I13940" t="s">
        <v>14</v>
      </c>
      <c r="J13940" t="s">
        <v>141</v>
      </c>
      <c r="K13940" t="s">
        <v>14</v>
      </c>
      <c r="L13940" t="s">
        <v>20</v>
      </c>
      <c r="M13940" t="s">
        <v>26754</v>
      </c>
      <c r="N13940" t="s">
        <v>14</v>
      </c>
    </row>
    <row r="13941" x14ac:dyDescent="0.25">
      <c r="A13941" t="n">
        <v>23</v>
      </c>
      <c r="B13941" t="s">
        <v>14</v>
      </c>
      <c r="C13941" t="s">
        <v>22</v>
      </c>
      <c r="D13941" s="2" t="s">
        <f>=HYPERLINK("https://main.knesset.gov.il/APPS/legislation/main/bills/2086059", "הצעת חוק זכויות נפגעי עבירה (תיקון - חובת מסירת הודעה בדבר כניסה, יציאה ושחרור של נידון ממעון נעול), התש""ף-2020")</f>
        <v>26864</v>
      </c>
      <c r="E13941" t="s">
        <v>26864</v>
      </c>
      <c r="F13941" t="s">
        <v>26865</v>
      </c>
      <c r="G13941" t="s">
        <v>14</v>
      </c>
      <c r="H13941">
             </c>
      <c r="I13941" t="s">
        <v>14</v>
      </c>
      <c r="J13941" t="s">
        <v>141</v>
      </c>
      <c r="K13941" t="s">
        <v>14</v>
      </c>
      <c r="L13941" t="s">
        <v>20</v>
      </c>
      <c r="M13941" t="s">
        <v>26754</v>
      </c>
      <c r="N13941" t="s">
        <v>14</v>
      </c>
    </row>
    <row r="13942" x14ac:dyDescent="0.25">
      <c r="A13942" t="n">
        <v>23</v>
      </c>
      <c r="B13942" t="s">
        <v>14</v>
      </c>
      <c r="C13942" t="s">
        <v>22</v>
      </c>
      <c r="D13942" s="2" t="s">
        <f>=HYPERLINK("https://main.knesset.gov.il/APPS/legislation/main/bills/2086255", "הצעת חוק האגודות העותומניות (רישום ופיקוח), התש""ף-2020")</f>
        <v>24556</v>
      </c>
      <c r="E13942" t="s">
        <v>24556</v>
      </c>
      <c r="F13942" t="s">
        <v>26866</v>
      </c>
      <c r="G13942" t="s">
        <v>14</v>
      </c>
      <c r="H13942">
             </c>
      <c r="I13942" t="s">
        <v>14</v>
      </c>
      <c r="J13942" t="s">
        <v>141</v>
      </c>
      <c r="K13942" t="s">
        <v>14</v>
      </c>
      <c r="L13942" t="s">
        <v>20</v>
      </c>
      <c r="M13942" t="s">
        <v>26754</v>
      </c>
      <c r="N13942" t="s">
        <v>14</v>
      </c>
    </row>
    <row r="13943" x14ac:dyDescent="0.25">
      <c r="A13943" t="n">
        <v>23</v>
      </c>
      <c r="B13943" t="s">
        <v>14</v>
      </c>
      <c r="C13943" t="s">
        <v>22</v>
      </c>
      <c r="D13943" s="2" t="s">
        <f>=HYPERLINK("https://main.knesset.gov.il/APPS/legislation/main/bills/2085964", "הצעת חוק האגודות העותומניות (רישום ופיקוח), התש""ף-2020")</f>
        <v>24556</v>
      </c>
      <c r="E13943" t="s">
        <v>24556</v>
      </c>
      <c r="F13943" t="s">
        <v>26867</v>
      </c>
      <c r="G13943" t="s">
        <v>14</v>
      </c>
      <c r="H13943">
             </c>
      <c r="I13943" t="s">
        <v>14</v>
      </c>
      <c r="J13943" t="s">
        <v>141</v>
      </c>
      <c r="K13943" t="s">
        <v>14</v>
      </c>
      <c r="L13943" t="s">
        <v>20</v>
      </c>
      <c r="M13943" t="s">
        <v>26754</v>
      </c>
      <c r="N13943" t="s">
        <v>14</v>
      </c>
    </row>
    <row r="13944" x14ac:dyDescent="0.25">
      <c r="A13944" t="n">
        <v>23</v>
      </c>
      <c r="B13944" t="s">
        <v>14</v>
      </c>
      <c r="C13944" t="s">
        <v>22</v>
      </c>
      <c r="D13944" s="2" t="s">
        <f>=HYPERLINK("https://main.knesset.gov.il/APPS/legislation/main/bills/2086600", "הצעת חוק החלת תקצוב מגדרי על תקציבים ציבוריים בישראל, התש""ף-2020")</f>
        <v>26868</v>
      </c>
      <c r="E13944" t="s">
        <v>26868</v>
      </c>
      <c r="F13944" t="s">
        <v>26869</v>
      </c>
      <c r="G13944" t="s">
        <v>14</v>
      </c>
      <c r="H13944">
             </c>
      <c r="I13944" t="s">
        <v>14</v>
      </c>
      <c r="J13944" t="s">
        <v>141</v>
      </c>
      <c r="K13944" t="s">
        <v>14</v>
      </c>
      <c r="L13944" t="s">
        <v>20</v>
      </c>
      <c r="M13944" t="s">
        <v>26754</v>
      </c>
      <c r="N13944" t="s">
        <v>14</v>
      </c>
    </row>
    <row r="13945" x14ac:dyDescent="0.25">
      <c r="A13945" t="n">
        <v>23</v>
      </c>
      <c r="B13945" t="s">
        <v>14</v>
      </c>
      <c r="C13945" t="s">
        <v>22</v>
      </c>
      <c r="D13945" s="2" t="s">
        <f>=HYPERLINK("https://main.knesset.gov.il/APPS/legislation/main/bills/2086365", "הצעת חוק הביטוח לאומי (תיקון - ביטוח זכויות עצמאי שעיקר הכנסתו מעסק שמצוי בפשיטת רגל או בפירוק), התש""ף-2020")</f>
        <v>26142</v>
      </c>
      <c r="E13945" t="s">
        <v>26142</v>
      </c>
      <c r="F13945" t="s">
        <v>26870</v>
      </c>
      <c r="G13945" t="s">
        <v>14</v>
      </c>
      <c r="H13945">
             </c>
      <c r="I13945" t="s">
        <v>14</v>
      </c>
      <c r="J13945" t="s">
        <v>141</v>
      </c>
      <c r="K13945" t="s">
        <v>14</v>
      </c>
      <c r="L13945" t="s">
        <v>20</v>
      </c>
      <c r="M13945" t="s">
        <v>26754</v>
      </c>
      <c r="N13945" t="s">
        <v>14</v>
      </c>
    </row>
    <row r="13946" x14ac:dyDescent="0.25">
      <c r="A13946" t="n">
        <v>23</v>
      </c>
      <c r="B13946" t="s">
        <v>14</v>
      </c>
      <c r="C13946" t="s">
        <v>22</v>
      </c>
      <c r="D13946" s="2" t="s">
        <f>=HYPERLINK("https://main.knesset.gov.il/APPS/legislation/main/bills/2086321", "הצעת חוק מס ערך מוסף (תיקון - מועד הוצאת חשבונית מס), התש""ף-2020")</f>
        <v>26871</v>
      </c>
      <c r="E13946" t="s">
        <v>26871</v>
      </c>
      <c r="F13946" t="s">
        <v>26872</v>
      </c>
      <c r="G13946" t="s">
        <v>14</v>
      </c>
      <c r="H13946">
             </c>
      <c r="I13946" t="s">
        <v>14</v>
      </c>
      <c r="J13946" t="s">
        <v>141</v>
      </c>
      <c r="K13946" t="s">
        <v>14</v>
      </c>
      <c r="L13946" t="s">
        <v>20</v>
      </c>
      <c r="M13946" t="s">
        <v>26754</v>
      </c>
      <c r="N13946" t="s">
        <v>14</v>
      </c>
    </row>
    <row r="13947" x14ac:dyDescent="0.25">
      <c r="A13947" t="n">
        <v>23</v>
      </c>
      <c r="B13947" t="s">
        <v>14</v>
      </c>
      <c r="C13947" t="s">
        <v>22</v>
      </c>
      <c r="D13947" s="2" t="s">
        <f>=HYPERLINK("https://main.knesset.gov.il/APPS/legislation/main/bills/2086116", "הצעת חוק מס ערך מוסף (תיקון - מועד הוצאת חשבונית מס), התש""ף-2020")</f>
        <v>26871</v>
      </c>
      <c r="E13947" t="s">
        <v>26871</v>
      </c>
      <c r="F13947" t="s">
        <v>26873</v>
      </c>
      <c r="G13947" t="s">
        <v>14</v>
      </c>
      <c r="H13947">
             </c>
      <c r="I13947" t="s">
        <v>14</v>
      </c>
      <c r="J13947" t="s">
        <v>141</v>
      </c>
      <c r="K13947" t="s">
        <v>14</v>
      </c>
      <c r="L13947" t="s">
        <v>20</v>
      </c>
      <c r="M13947" t="s">
        <v>26754</v>
      </c>
      <c r="N13947" t="s">
        <v>14</v>
      </c>
    </row>
    <row r="13948" x14ac:dyDescent="0.25">
      <c r="A13948" t="n">
        <v>23</v>
      </c>
      <c r="B13948" t="s">
        <v>14</v>
      </c>
      <c r="C13948" t="s">
        <v>22</v>
      </c>
      <c r="D13948" s="2" t="s">
        <f>=HYPERLINK("https://main.knesset.gov.il/APPS/legislation/main/bills/2085960", "הצעת חוק לתיקון פקודת היערות (הגברת ההגנה על עצים בוגרים), התש""ף-2020")</f>
        <v>26874</v>
      </c>
      <c r="E13948" t="s">
        <v>26874</v>
      </c>
      <c r="F13948" t="s">
        <v>26875</v>
      </c>
      <c r="G13948" t="s">
        <v>14</v>
      </c>
      <c r="H13948">
             </c>
      <c r="I13948" t="s">
        <v>14</v>
      </c>
      <c r="J13948" t="s">
        <v>343</v>
      </c>
      <c r="K13948" t="s">
        <v>14</v>
      </c>
      <c r="L13948" t="s">
        <v>20</v>
      </c>
      <c r="M13948" t="s">
        <v>26754</v>
      </c>
      <c r="N13948" t="s">
        <v>14</v>
      </c>
    </row>
    <row r="13949" x14ac:dyDescent="0.25">
      <c r="A13949" t="n">
        <v>23</v>
      </c>
      <c r="B13949" t="s">
        <v>14</v>
      </c>
      <c r="C13949" t="s">
        <v>22</v>
      </c>
      <c r="D13949" s="2" t="s">
        <f>=HYPERLINK("https://main.knesset.gov.il/APPS/legislation/main/bills/2086020", "הצעת חוק שיקים ללא כיסוי (תיקון - חשבון פרטי וחשבון עסקי), התש""ף-2020")</f>
        <v>26876</v>
      </c>
      <c r="E13949" t="s">
        <v>26876</v>
      </c>
      <c r="F13949" t="s">
        <v>26877</v>
      </c>
      <c r="G13949" t="s">
        <v>14</v>
      </c>
      <c r="H13949">
             </c>
      <c r="I13949" t="s">
        <v>14</v>
      </c>
      <c r="J13949" t="s">
        <v>141</v>
      </c>
      <c r="K13949" t="s">
        <v>14</v>
      </c>
      <c r="L13949" t="s">
        <v>20</v>
      </c>
      <c r="M13949" t="s">
        <v>26754</v>
      </c>
      <c r="N13949" t="s">
        <v>14</v>
      </c>
    </row>
    <row r="13950" x14ac:dyDescent="0.25">
      <c r="A13950" t="n">
        <v>23</v>
      </c>
      <c r="B13950" t="s">
        <v>14</v>
      </c>
      <c r="C13950" t="s">
        <v>22</v>
      </c>
      <c r="D13950" s="2" t="s">
        <f>=HYPERLINK("https://main.knesset.gov.il/APPS/legislation/main/bills/2085977", "הצעת חוק הביטוח הלאומי (תיקון - ביטול מעמד עקרת הבית), התש""ף-2020")</f>
        <v>24076</v>
      </c>
      <c r="E13950" t="s">
        <v>24076</v>
      </c>
      <c r="F13950" t="s">
        <v>26878</v>
      </c>
      <c r="G13950" t="s">
        <v>14</v>
      </c>
      <c r="H13950">
             </c>
      <c r="I13950" t="s">
        <v>14</v>
      </c>
      <c r="J13950" t="s">
        <v>141</v>
      </c>
      <c r="K13950" t="s">
        <v>14</v>
      </c>
      <c r="L13950" t="s">
        <v>20</v>
      </c>
      <c r="M13950" t="s">
        <v>26754</v>
      </c>
      <c r="N13950" t="s">
        <v>14</v>
      </c>
    </row>
    <row r="13951" x14ac:dyDescent="0.25">
      <c r="A13951" t="n">
        <v>23</v>
      </c>
      <c r="B13951" t="s">
        <v>14</v>
      </c>
      <c r="C13951" t="s">
        <v>22</v>
      </c>
      <c r="D13951" s="2" t="s">
        <f>=HYPERLINK("https://main.knesset.gov.il/APPS/legislation/main/bills/2086197", "הצעת חוק שינוי תקופת הצינון לבכירי מערכת הביטחון (תיקוני חקיקה), התש""ף-2020")</f>
        <v>26879</v>
      </c>
      <c r="E13951" t="s">
        <v>26879</v>
      </c>
      <c r="F13951" t="s">
        <v>26880</v>
      </c>
      <c r="G13951" t="s">
        <v>14</v>
      </c>
      <c r="H13951">
             </c>
      <c r="I13951" t="s">
        <v>14</v>
      </c>
      <c r="J13951" t="s">
        <v>141</v>
      </c>
      <c r="K13951" t="s">
        <v>14</v>
      </c>
      <c r="L13951" t="s">
        <v>20</v>
      </c>
      <c r="M13951" t="s">
        <v>26754</v>
      </c>
      <c r="N13951" t="s">
        <v>14</v>
      </c>
    </row>
    <row r="13952" x14ac:dyDescent="0.25">
      <c r="A13952" t="n">
        <v>23</v>
      </c>
      <c r="B13952" t="s">
        <v>14</v>
      </c>
      <c r="C13952" t="s">
        <v>22</v>
      </c>
      <c r="D13952" s="2" t="s">
        <f>=HYPERLINK("https://main.knesset.gov.il/APPS/legislation/main/bills/2085582", "הצעת חוק הבטחת הכנסה (תיקון - הצמדת הגמלה בגיל פרישה לשכר הממוצע במשק), התש""ף-2020")</f>
        <v>26881</v>
      </c>
      <c r="E13952" t="s">
        <v>26881</v>
      </c>
      <c r="F13952" t="s">
        <v>26882</v>
      </c>
      <c r="G13952" t="s">
        <v>14</v>
      </c>
      <c r="H13952">
             </c>
      <c r="I13952" t="s">
        <v>14</v>
      </c>
      <c r="J13952" t="s">
        <v>141</v>
      </c>
      <c r="K13952" t="s">
        <v>14</v>
      </c>
      <c r="L13952" t="s">
        <v>20</v>
      </c>
      <c r="M13952" t="s">
        <v>26754</v>
      </c>
      <c r="N13952" t="s">
        <v>14</v>
      </c>
    </row>
    <row r="13953" x14ac:dyDescent="0.25">
      <c r="A13953" t="n">
        <v>23</v>
      </c>
      <c r="B13953" t="s">
        <v>14</v>
      </c>
      <c r="C13953" t="s">
        <v>22</v>
      </c>
      <c r="D13953" s="2" t="s">
        <f>=HYPERLINK("https://main.knesset.gov.il/APPS/legislation/main/bills/2086015", "הצעת חוק לימוד חובה (תיקון - יועץ חינוכי בכל מוסד חינוך), התש""ף-2020")</f>
        <v>26883</v>
      </c>
      <c r="E13953" t="s">
        <v>26883</v>
      </c>
      <c r="F13953" t="s">
        <v>26884</v>
      </c>
      <c r="G13953" t="s">
        <v>14</v>
      </c>
      <c r="H13953">
             </c>
      <c r="I13953" t="s">
        <v>14</v>
      </c>
      <c r="J13953" t="s">
        <v>141</v>
      </c>
      <c r="K13953" t="s">
        <v>14</v>
      </c>
      <c r="L13953" t="s">
        <v>20</v>
      </c>
      <c r="M13953" t="s">
        <v>26754</v>
      </c>
      <c r="N13953" t="s">
        <v>14</v>
      </c>
    </row>
    <row r="13954" x14ac:dyDescent="0.25">
      <c r="A13954" t="n">
        <v>23</v>
      </c>
      <c r="B13954" t="s">
        <v>14</v>
      </c>
      <c r="C13954" t="s">
        <v>22</v>
      </c>
      <c r="D13954" s="2" t="s">
        <f>=HYPERLINK("https://main.knesset.gov.il/APPS/legislation/main/bills/2086212", "הצעת חוק שירותי הדת היהודיים (תיקון - ביטול המועצות הדתיות), התש""ף-2020")</f>
        <v>26885</v>
      </c>
      <c r="E13954" t="s">
        <v>26885</v>
      </c>
      <c r="F13954" t="s">
        <v>26886</v>
      </c>
      <c r="G13954" t="s">
        <v>14</v>
      </c>
      <c r="H13954">
             </c>
      <c r="I13954" t="s">
        <v>14</v>
      </c>
      <c r="J13954" t="s">
        <v>141</v>
      </c>
      <c r="K13954" t="s">
        <v>14</v>
      </c>
      <c r="L13954" t="s">
        <v>20</v>
      </c>
      <c r="M13954" t="s">
        <v>26754</v>
      </c>
      <c r="N13954" t="s">
        <v>14</v>
      </c>
    </row>
    <row r="13955" x14ac:dyDescent="0.25">
      <c r="A13955" t="n">
        <v>23</v>
      </c>
      <c r="B13955" t="s">
        <v>14</v>
      </c>
      <c r="C13955" t="s">
        <v>22</v>
      </c>
      <c r="D13955" s="2" t="s">
        <f>=HYPERLINK("https://main.knesset.gov.il/APPS/legislation/main/bills/2086107", "הצעת חוק לתיקון פקודת התעבורה (תשלום קנס בתשלומים), התש""ף-2020")</f>
        <v>26887</v>
      </c>
      <c r="E13955" t="s">
        <v>26887</v>
      </c>
      <c r="F13955" t="s">
        <v>26888</v>
      </c>
      <c r="G13955" t="s">
        <v>14</v>
      </c>
      <c r="H13955">
             </c>
      <c r="I13955" t="s">
        <v>14</v>
      </c>
      <c r="J13955" t="s">
        <v>141</v>
      </c>
      <c r="K13955" t="s">
        <v>14</v>
      </c>
      <c r="L13955" t="s">
        <v>20</v>
      </c>
      <c r="M13955" t="s">
        <v>26754</v>
      </c>
      <c r="N13955" t="s">
        <v>14</v>
      </c>
    </row>
    <row r="13956" x14ac:dyDescent="0.25">
      <c r="A13956" t="n">
        <v>23</v>
      </c>
      <c r="B13956" t="s">
        <v>14</v>
      </c>
      <c r="C13956" t="s">
        <v>22</v>
      </c>
      <c r="D13956" s="2" t="s">
        <f>=HYPERLINK("https://main.knesset.gov.il/APPS/legislation/main/bills/2086351", "הצעת חוק הבנקאות (שירות ללקוח) (תיקון - חובת הצבת מכשיר אוטומטי למשיכת והפקדת מזומנים ושיקים), התש""ף-2020")</f>
        <v>26889</v>
      </c>
      <c r="E13956" t="s">
        <v>26889</v>
      </c>
      <c r="F13956" t="s">
        <v>26890</v>
      </c>
      <c r="G13956" t="s">
        <v>14</v>
      </c>
      <c r="H13956">
             </c>
      <c r="I13956" t="s">
        <v>14</v>
      </c>
      <c r="J13956" t="s">
        <v>141</v>
      </c>
      <c r="K13956" t="s">
        <v>14</v>
      </c>
      <c r="L13956" t="s">
        <v>20</v>
      </c>
      <c r="M13956" t="s">
        <v>26754</v>
      </c>
      <c r="N13956" t="s">
        <v>14</v>
      </c>
    </row>
    <row r="13957" x14ac:dyDescent="0.25">
      <c r="A13957" t="n">
        <v>23</v>
      </c>
      <c r="B13957" t="s">
        <v>14</v>
      </c>
      <c r="C13957" t="s">
        <v>22</v>
      </c>
      <c r="D13957" s="2" t="s">
        <f>=HYPERLINK("https://main.knesset.gov.il/APPS/legislation/main/bills/2086022", "הצעת חוק חניה לנכים (תיקון - החלטה בבקשה לתג נכה), התש""ף-2020")</f>
        <v>26891</v>
      </c>
      <c r="E13957" t="s">
        <v>26891</v>
      </c>
      <c r="F13957" t="s">
        <v>26892</v>
      </c>
      <c r="G13957" t="s">
        <v>14</v>
      </c>
      <c r="H13957">
             </c>
      <c r="I13957" t="s">
        <v>14</v>
      </c>
      <c r="J13957" t="s">
        <v>141</v>
      </c>
      <c r="K13957" t="s">
        <v>14</v>
      </c>
      <c r="L13957" t="s">
        <v>20</v>
      </c>
      <c r="M13957" t="s">
        <v>26754</v>
      </c>
      <c r="N13957" t="s">
        <v>14</v>
      </c>
    </row>
    <row r="13958" x14ac:dyDescent="0.25">
      <c r="A13958" t="n">
        <v>23</v>
      </c>
      <c r="B13958" t="s">
        <v>14</v>
      </c>
      <c r="C13958" t="s">
        <v>22</v>
      </c>
      <c r="D13958" s="2" t="s">
        <f>=HYPERLINK("https://main.knesset.gov.il/APPS/legislation/main/bills/2086008", "הצעת חוק שכר ותנאי עבודה לנהגי תחבורה ציבורית, התש""ף-2020")</f>
        <v>26893</v>
      </c>
      <c r="E13958" t="s">
        <v>26893</v>
      </c>
      <c r="F13958" t="s">
        <v>26894</v>
      </c>
      <c r="G13958" t="s">
        <v>14</v>
      </c>
      <c r="H13958">
             </c>
      <c r="I13958" t="s">
        <v>14</v>
      </c>
      <c r="J13958" t="s">
        <v>141</v>
      </c>
      <c r="K13958" t="s">
        <v>14</v>
      </c>
      <c r="L13958" t="s">
        <v>20</v>
      </c>
      <c r="M13958" t="s">
        <v>26754</v>
      </c>
      <c r="N13958" t="s">
        <v>14</v>
      </c>
    </row>
    <row r="13959" x14ac:dyDescent="0.25">
      <c r="A13959" t="n">
        <v>23</v>
      </c>
      <c r="B13959" t="s">
        <v>14</v>
      </c>
      <c r="C13959" t="s">
        <v>22</v>
      </c>
      <c r="D13959" s="2" t="s">
        <f>=HYPERLINK("https://main.knesset.gov.il/APPS/legislation/main/bills/2085883", "הצעת חוק להסדרת הפיקוח על כלבים (תיקון - איסור המתת כלבים בריאים), התש""ף-2020")</f>
        <v>24614</v>
      </c>
      <c r="E13959" t="s">
        <v>24614</v>
      </c>
      <c r="F13959" t="s">
        <v>26895</v>
      </c>
      <c r="G13959" t="s">
        <v>14</v>
      </c>
      <c r="H13959">
             </c>
      <c r="I13959" t="s">
        <v>14</v>
      </c>
      <c r="J13959" t="s">
        <v>141</v>
      </c>
      <c r="K13959" t="s">
        <v>14</v>
      </c>
      <c r="L13959" t="s">
        <v>20</v>
      </c>
      <c r="M13959" t="s">
        <v>26754</v>
      </c>
      <c r="N13959" t="s">
        <v>14</v>
      </c>
    </row>
    <row r="13960" x14ac:dyDescent="0.25">
      <c r="A13960" t="n">
        <v>23</v>
      </c>
      <c r="B13960" t="s">
        <v>14</v>
      </c>
      <c r="C13960" t="s">
        <v>22</v>
      </c>
      <c r="D13960" s="2" t="s">
        <f>=HYPERLINK("https://main.knesset.gov.il/APPS/legislation/main/bills/2086164", "הצעת חוק הגנת הצרכן (תיקון - איסור גביית עמלה בעסקה שבוצעה באמצעות האינטרנט), התש""ף-2020")</f>
        <v>26896</v>
      </c>
      <c r="E13960" t="s">
        <v>26896</v>
      </c>
      <c r="F13960" t="s">
        <v>26897</v>
      </c>
      <c r="G13960" t="s">
        <v>14</v>
      </c>
      <c r="H13960">
             </c>
      <c r="I13960" t="s">
        <v>14</v>
      </c>
      <c r="J13960" t="s">
        <v>141</v>
      </c>
      <c r="K13960" t="s">
        <v>14</v>
      </c>
      <c r="L13960" t="s">
        <v>20</v>
      </c>
      <c r="M13960" t="s">
        <v>26754</v>
      </c>
      <c r="N13960" t="s">
        <v>14</v>
      </c>
    </row>
    <row r="13961" x14ac:dyDescent="0.25">
      <c r="A13961" t="n">
        <v>23</v>
      </c>
      <c r="B13961" t="s">
        <v>14</v>
      </c>
      <c r="C13961" t="s">
        <v>22</v>
      </c>
      <c r="D13961" s="2" t="s">
        <f>=HYPERLINK("https://main.knesset.gov.il/APPS/legislation/main/bills/2086567", "הצעת חוק ברל כצנלסון (ציון זכרו ופועלו), התש""ף-2020")</f>
        <v>26898</v>
      </c>
      <c r="E13961" t="s">
        <v>26898</v>
      </c>
      <c r="F13961" t="s">
        <v>26899</v>
      </c>
      <c r="G13961" t="s">
        <v>14</v>
      </c>
      <c r="H13961">
             </c>
      <c r="I13961" t="s">
        <v>14</v>
      </c>
      <c r="J13961" t="s">
        <v>141</v>
      </c>
      <c r="K13961" t="s">
        <v>14</v>
      </c>
      <c r="L13961" t="s">
        <v>20</v>
      </c>
      <c r="M13961" t="s">
        <v>26754</v>
      </c>
      <c r="N13961" t="s">
        <v>14</v>
      </c>
    </row>
    <row r="13962" x14ac:dyDescent="0.25">
      <c r="A13962" t="n">
        <v>23</v>
      </c>
      <c r="B13962" t="s">
        <v>14</v>
      </c>
      <c r="C13962" t="s">
        <v>22</v>
      </c>
      <c r="D13962" s="2" t="s">
        <f>=HYPERLINK("https://main.knesset.gov.il/APPS/legislation/main/bills/2086161", "הצעת חוק לתיקון פקודת התעבורה (שירותי תחבורה ציבורית ללא תשלום), התש""ף-2020")</f>
        <v>26900</v>
      </c>
      <c r="E13962" t="s">
        <v>26900</v>
      </c>
      <c r="F13962" t="s">
        <v>26901</v>
      </c>
      <c r="G13962" t="s">
        <v>14</v>
      </c>
      <c r="H13962">
             </c>
      <c r="I13962" t="s">
        <v>14</v>
      </c>
      <c r="J13962" t="s">
        <v>141</v>
      </c>
      <c r="K13962" t="s">
        <v>14</v>
      </c>
      <c r="L13962" t="s">
        <v>20</v>
      </c>
      <c r="M13962" t="s">
        <v>26754</v>
      </c>
      <c r="N13962" t="s">
        <v>14</v>
      </c>
    </row>
    <row r="13963" x14ac:dyDescent="0.25">
      <c r="A13963" t="n">
        <v>23</v>
      </c>
      <c r="B13963" t="s">
        <v>14</v>
      </c>
      <c r="C13963" t="s">
        <v>22</v>
      </c>
      <c r="D13963" s="2" t="s">
        <f>=HYPERLINK("https://main.knesset.gov.il/APPS/legislation/main/bills/2086551", "הצעת חוק צער בעלי חיים (הגנה על בעלי חיים) (תיקון - איסור משלוחים חיים לשחיטה), התש""ף-2020")</f>
        <v>25487</v>
      </c>
      <c r="E13963" t="s">
        <v>25487</v>
      </c>
      <c r="F13963" t="s">
        <v>26902</v>
      </c>
      <c r="G13963" t="s">
        <v>14</v>
      </c>
      <c r="H13963">
             </c>
      <c r="I13963" t="s">
        <v>14</v>
      </c>
      <c r="J13963" t="s">
        <v>141</v>
      </c>
      <c r="K13963" t="s">
        <v>14</v>
      </c>
      <c r="L13963" t="s">
        <v>20</v>
      </c>
      <c r="M13963" t="s">
        <v>26754</v>
      </c>
      <c r="N13963" t="s">
        <v>14</v>
      </c>
    </row>
    <row r="13964" x14ac:dyDescent="0.25">
      <c r="A13964" t="n">
        <v>23</v>
      </c>
      <c r="B13964" t="s">
        <v>14</v>
      </c>
      <c r="C13964" t="s">
        <v>22</v>
      </c>
      <c r="D13964" s="2" t="s">
        <f>=HYPERLINK("https://main.knesset.gov.il/APPS/legislation/main/bills/2086550", "הצעת חוק למניעת התעמרות בעבודה, התש""ף-2020")</f>
        <v>26903</v>
      </c>
      <c r="E13964" t="s">
        <v>26903</v>
      </c>
      <c r="F13964" t="s">
        <v>26904</v>
      </c>
      <c r="G13964" t="s">
        <v>14</v>
      </c>
      <c r="H13964">
             </c>
      <c r="I13964" t="s">
        <v>14</v>
      </c>
      <c r="J13964" t="s">
        <v>141</v>
      </c>
      <c r="K13964" t="s">
        <v>14</v>
      </c>
      <c r="L13964" t="s">
        <v>20</v>
      </c>
      <c r="M13964" t="s">
        <v>26754</v>
      </c>
      <c r="N13964" t="s">
        <v>14</v>
      </c>
    </row>
    <row r="13965" x14ac:dyDescent="0.25">
      <c r="A13965" t="n">
        <v>23</v>
      </c>
      <c r="B13965" t="s">
        <v>14</v>
      </c>
      <c r="C13965" t="s">
        <v>22</v>
      </c>
      <c r="D13965" s="2" t="s">
        <f>=HYPERLINK("https://main.knesset.gov.il/APPS/legislation/main/bills/2086306", "הצעת חוק קרן קיימת לישראל (תיקון - החברה החדשה - גוף מבוקר), התש""ף-2020")</f>
        <v>26905</v>
      </c>
      <c r="E13965" t="s">
        <v>26905</v>
      </c>
      <c r="F13965" t="s">
        <v>26906</v>
      </c>
      <c r="G13965" t="s">
        <v>14</v>
      </c>
      <c r="H13965">
             </c>
      <c r="I13965" t="s">
        <v>14</v>
      </c>
      <c r="J13965" t="s">
        <v>141</v>
      </c>
      <c r="K13965" t="s">
        <v>14</v>
      </c>
      <c r="L13965" t="s">
        <v>20</v>
      </c>
      <c r="M13965" t="s">
        <v>26754</v>
      </c>
      <c r="N13965" t="s">
        <v>14</v>
      </c>
    </row>
    <row r="13966" x14ac:dyDescent="0.25">
      <c r="A13966" t="n">
        <v>23</v>
      </c>
      <c r="B13966" t="s">
        <v>14</v>
      </c>
      <c r="C13966" t="s">
        <v>22</v>
      </c>
      <c r="D13966" s="2" t="s">
        <f>=HYPERLINK("https://main.knesset.gov.il/APPS/legislation/main/bills/2086549", "הצעת חוק עבודת נשים (תיקון - תקופת לידה והורות מדורגת), התש""ף-2020")</f>
        <v>26907</v>
      </c>
      <c r="E13966" t="s">
        <v>26907</v>
      </c>
      <c r="F13966" t="s">
        <v>26908</v>
      </c>
      <c r="G13966" t="s">
        <v>14</v>
      </c>
      <c r="H13966">
             </c>
      <c r="I13966" t="s">
        <v>14</v>
      </c>
      <c r="J13966" t="s">
        <v>141</v>
      </c>
      <c r="K13966" t="s">
        <v>14</v>
      </c>
      <c r="L13966" t="s">
        <v>20</v>
      </c>
      <c r="M13966" t="s">
        <v>26754</v>
      </c>
      <c r="N13966" t="s">
        <v>14</v>
      </c>
    </row>
    <row r="13967" x14ac:dyDescent="0.25">
      <c r="A13967" t="n">
        <v>23</v>
      </c>
      <c r="B13967" t="s">
        <v>14</v>
      </c>
      <c r="C13967" t="s">
        <v>22</v>
      </c>
      <c r="D13967" s="2" t="s">
        <f>=HYPERLINK("https://main.knesset.gov.il/APPS/legislation/main/bills/2086303", "הצעת חוק הרשויות המקומיות (בחירת ראש הרשות וסגניו וכהונתם) (תיקון - מילוי מקום ראש רשות שהושעה מכהונה בשל הגשת כתב אישום ושב ונבחר), התש""ף-2020")</f>
        <v>26909</v>
      </c>
      <c r="E13967" t="s">
        <v>26909</v>
      </c>
      <c r="F13967" t="s">
        <v>26910</v>
      </c>
      <c r="G13967" t="s">
        <v>14</v>
      </c>
      <c r="H13967">
             </c>
      <c r="I13967" t="s">
        <v>14</v>
      </c>
      <c r="J13967" t="s">
        <v>141</v>
      </c>
      <c r="K13967" t="s">
        <v>14</v>
      </c>
      <c r="L13967" t="s">
        <v>20</v>
      </c>
      <c r="M13967" t="s">
        <v>26754</v>
      </c>
      <c r="N13967" t="s">
        <v>14</v>
      </c>
    </row>
    <row r="13968" x14ac:dyDescent="0.25">
      <c r="A13968" t="n">
        <v>23</v>
      </c>
      <c r="B13968" t="s">
        <v>14</v>
      </c>
      <c r="C13968" t="s">
        <v>22</v>
      </c>
      <c r="D13968" s="2" t="s">
        <f>=HYPERLINK("https://main.knesset.gov.il/APPS/legislation/main/bills/2086153", "הצעת חוק מתן פטור מתשלום חשבונות עבור שירותים חיוניים לחיילים בודדים, התש""ף-2020")</f>
        <v>26911</v>
      </c>
      <c r="E13968" t="s">
        <v>26911</v>
      </c>
      <c r="F13968" t="s">
        <v>26912</v>
      </c>
      <c r="G13968" t="s">
        <v>14</v>
      </c>
      <c r="H13968">
             </c>
      <c r="I13968" t="s">
        <v>14</v>
      </c>
      <c r="J13968" t="s">
        <v>141</v>
      </c>
      <c r="K13968" t="s">
        <v>14</v>
      </c>
      <c r="L13968" t="s">
        <v>20</v>
      </c>
      <c r="M13968" t="s">
        <v>26754</v>
      </c>
      <c r="N13968" t="s">
        <v>14</v>
      </c>
    </row>
    <row r="13969" x14ac:dyDescent="0.25">
      <c r="A13969" t="n">
        <v>23</v>
      </c>
      <c r="B13969" t="s">
        <v>14</v>
      </c>
      <c r="C13969" t="s">
        <v>22</v>
      </c>
      <c r="D13969" s="2" t="s">
        <f>=HYPERLINK("https://main.knesset.gov.il/APPS/legislation/main/bills/2086243", "הצעת חוק האזרחים הוותיקים (תיקון - הנחה בארנונה לאזרח ותיק המתגורר בדירה שאינה בחזקתו), התש""ף-2020")</f>
        <v>26913</v>
      </c>
      <c r="E13969" t="s">
        <v>26913</v>
      </c>
      <c r="F13969" t="s">
        <v>26914</v>
      </c>
      <c r="G13969" t="s">
        <v>14</v>
      </c>
      <c r="H13969">
             </c>
      <c r="I13969" t="s">
        <v>14</v>
      </c>
      <c r="J13969" t="s">
        <v>141</v>
      </c>
      <c r="K13969" t="s">
        <v>14</v>
      </c>
      <c r="L13969" t="s">
        <v>20</v>
      </c>
      <c r="M13969" t="s">
        <v>26754</v>
      </c>
      <c r="N13969" t="s">
        <v>14</v>
      </c>
    </row>
    <row r="13970" x14ac:dyDescent="0.25">
      <c r="A13970" t="n">
        <v>23</v>
      </c>
      <c r="B13970" t="s">
        <v>14</v>
      </c>
      <c r="C13970" t="s">
        <v>22</v>
      </c>
      <c r="D13970" s="2" t="s">
        <f>=HYPERLINK("https://main.knesset.gov.il/APPS/legislation/main/bills/2086543", "הצעת חוק משפחות חיילים שנספו במערכה (תגמולים ושיקום) (תיקון - הגדרת אלמן ושכול), התש""ף-2020")</f>
        <v>26915</v>
      </c>
      <c r="E13970" t="s">
        <v>26915</v>
      </c>
      <c r="F13970" t="s">
        <v>26916</v>
      </c>
      <c r="G13970" t="s">
        <v>14</v>
      </c>
      <c r="H13970">
             </c>
      <c r="I13970" t="s">
        <v>14</v>
      </c>
      <c r="J13970" t="s">
        <v>141</v>
      </c>
      <c r="K13970" t="s">
        <v>14</v>
      </c>
      <c r="L13970" t="s">
        <v>20</v>
      </c>
      <c r="M13970" t="s">
        <v>26754</v>
      </c>
      <c r="N13970" t="s">
        <v>14</v>
      </c>
    </row>
    <row r="13971" x14ac:dyDescent="0.25">
      <c r="A13971" t="n">
        <v>23</v>
      </c>
      <c r="B13971" t="s">
        <v>14</v>
      </c>
      <c r="C13971" t="s">
        <v>22</v>
      </c>
      <c r="D13971" s="2" t="s">
        <f>=HYPERLINK("https://main.knesset.gov.il/APPS/legislation/main/bills/2086307", "הצעת חוק הבנקאות (רישוי) (תיקון - אישור ועדת הכספים של הכנסת לרכישת תאגיד בנקאי על ידי תאגיד בנקאי אחר), התש""ף-2020")</f>
        <v>26917</v>
      </c>
      <c r="E13971" t="s">
        <v>26917</v>
      </c>
      <c r="F13971" t="s">
        <v>26918</v>
      </c>
      <c r="G13971" t="s">
        <v>14</v>
      </c>
      <c r="H13971">
             </c>
      <c r="I13971" t="s">
        <v>14</v>
      </c>
      <c r="J13971" t="s">
        <v>141</v>
      </c>
      <c r="K13971" t="s">
        <v>14</v>
      </c>
      <c r="L13971" t="s">
        <v>20</v>
      </c>
      <c r="M13971" t="s">
        <v>26754</v>
      </c>
      <c r="N13971" t="s">
        <v>14</v>
      </c>
    </row>
    <row r="13972" x14ac:dyDescent="0.25">
      <c r="A13972" t="n">
        <v>23</v>
      </c>
      <c r="B13972" t="s">
        <v>14</v>
      </c>
      <c r="C13972" t="s">
        <v>22</v>
      </c>
      <c r="D13972" s="2" t="s">
        <f>=HYPERLINK("https://main.knesset.gov.il/APPS/legislation/main/bills/2086150", "הצעת חוק לתיקון פקודת תעריף המכס והפטורים (העלאת רף הפטור ממכס על חפצים ל-400 דולר), התש""ף-2020 ")</f>
        <v>26919</v>
      </c>
      <c r="E13972" t="s">
        <v>26919</v>
      </c>
      <c r="F13972" t="s">
        <v>26920</v>
      </c>
      <c r="G13972" t="s">
        <v>14</v>
      </c>
      <c r="H13972">
             </c>
      <c r="I13972" t="s">
        <v>14</v>
      </c>
      <c r="J13972" t="s">
        <v>141</v>
      </c>
      <c r="K13972" t="s">
        <v>14</v>
      </c>
      <c r="L13972" t="s">
        <v>20</v>
      </c>
      <c r="M13972" t="s">
        <v>26754</v>
      </c>
      <c r="N13972" t="s">
        <v>14</v>
      </c>
    </row>
    <row r="13973" x14ac:dyDescent="0.25">
      <c r="A13973" t="n">
        <v>23</v>
      </c>
      <c r="B13973" t="s">
        <v>14</v>
      </c>
      <c r="C13973" t="s">
        <v>22</v>
      </c>
      <c r="D13973" s="2" t="s">
        <f>=HYPERLINK("https://main.knesset.gov.il/APPS/legislation/main/bills/2086175", "הצעת חוק אמנת הפליט להסדרת מעמד מבקשי מקלט ופליטים בישראל, התש""ף-2020")</f>
        <v>26921</v>
      </c>
      <c r="E13973" t="s">
        <v>26921</v>
      </c>
      <c r="F13973" t="s">
        <v>26922</v>
      </c>
      <c r="G13973" t="s">
        <v>14</v>
      </c>
      <c r="H13973">
             </c>
      <c r="I13973" t="s">
        <v>14</v>
      </c>
      <c r="J13973" t="s">
        <v>141</v>
      </c>
      <c r="K13973" t="s">
        <v>14</v>
      </c>
      <c r="L13973" t="s">
        <v>20</v>
      </c>
      <c r="M13973" t="s">
        <v>26754</v>
      </c>
      <c r="N13973" t="s">
        <v>14</v>
      </c>
    </row>
    <row r="13974" x14ac:dyDescent="0.25">
      <c r="A13974" t="n">
        <v>23</v>
      </c>
      <c r="B13974" t="s">
        <v>14</v>
      </c>
      <c r="C13974" t="s">
        <v>22</v>
      </c>
      <c r="D13974" s="2" t="s">
        <f>=HYPERLINK("https://main.knesset.gov.il/APPS/legislation/main/bills/2086298", "הצעת חוק לתיקון פקודת העיריות (חובת הקלטת דיונים, ניהול פרוטוקול ופרסומם), התש""ף-2020")</f>
        <v>26923</v>
      </c>
      <c r="E13974" t="s">
        <v>26923</v>
      </c>
      <c r="F13974" t="s">
        <v>26924</v>
      </c>
      <c r="G13974" t="s">
        <v>14</v>
      </c>
      <c r="H13974">
             </c>
      <c r="I13974" t="s">
        <v>14</v>
      </c>
      <c r="J13974" t="s">
        <v>141</v>
      </c>
      <c r="K13974" t="s">
        <v>14</v>
      </c>
      <c r="L13974" t="s">
        <v>20</v>
      </c>
      <c r="M13974" t="s">
        <v>26754</v>
      </c>
      <c r="N13974" t="s">
        <v>14</v>
      </c>
    </row>
    <row r="13975" x14ac:dyDescent="0.25">
      <c r="A13975" t="n">
        <v>23</v>
      </c>
      <c r="B13975" t="s">
        <v>14</v>
      </c>
      <c r="C13975" t="s">
        <v>22</v>
      </c>
      <c r="D13975" s="2" t="s">
        <f>=HYPERLINK("https://main.knesset.gov.il/APPS/legislation/main/bills/2085915", "הצעת חוק העונשין (תיקון - החרגת טורניר מהגדרת משחק אסור), התש""ף-2020")</f>
        <v>26925</v>
      </c>
      <c r="E13975" t="s">
        <v>26925</v>
      </c>
      <c r="F13975" t="s">
        <v>26926</v>
      </c>
      <c r="G13975" t="s">
        <v>14</v>
      </c>
      <c r="H13975">
             </c>
      <c r="I13975" t="s">
        <v>14</v>
      </c>
      <c r="J13975" t="s">
        <v>141</v>
      </c>
      <c r="K13975" t="s">
        <v>14</v>
      </c>
      <c r="L13975" t="s">
        <v>20</v>
      </c>
      <c r="M13975" t="s">
        <v>26754</v>
      </c>
      <c r="N13975" t="s">
        <v>14</v>
      </c>
    </row>
    <row r="13976" x14ac:dyDescent="0.25">
      <c r="A13976" t="n">
        <v>23</v>
      </c>
      <c r="B13976" t="s">
        <v>14</v>
      </c>
      <c r="C13976" t="s">
        <v>22</v>
      </c>
      <c r="D13976" s="2" t="s">
        <f>=HYPERLINK("https://main.knesset.gov.il/APPS/legislation/main/bills/2085895", "הצעת חוק יישוב סכסוכי עבודה (תיקון - בוררות חובה בשירותים חיוניים), התש""ף-2020")</f>
        <v>25472</v>
      </c>
      <c r="E13976" t="s">
        <v>25472</v>
      </c>
      <c r="F13976" t="s">
        <v>26927</v>
      </c>
      <c r="G13976" t="s">
        <v>14</v>
      </c>
      <c r="H13976">
             </c>
      <c r="I13976" t="s">
        <v>14</v>
      </c>
      <c r="J13976" t="s">
        <v>141</v>
      </c>
      <c r="K13976" t="s">
        <v>14</v>
      </c>
      <c r="L13976" t="s">
        <v>20</v>
      </c>
      <c r="M13976" t="s">
        <v>26754</v>
      </c>
      <c r="N13976" t="s">
        <v>14</v>
      </c>
    </row>
    <row r="13977" x14ac:dyDescent="0.25">
      <c r="A13977" t="n">
        <v>23</v>
      </c>
      <c r="B13977" t="s">
        <v>14</v>
      </c>
      <c r="C13977" t="s">
        <v>22</v>
      </c>
      <c r="D13977" s="2" t="s">
        <f>=HYPERLINK("https://main.knesset.gov.il/APPS/legislation/main/bills/2086299", "הצעת חוק הסדרים במשק המדינה (תיקוני חקיקה להשגת יעדי התקציב) (תיקון - ארנונה על מבנה מגורים שאינו בשימוש), התש""ף-2020")</f>
        <v>26928</v>
      </c>
      <c r="E13977" t="s">
        <v>26928</v>
      </c>
      <c r="F13977" t="s">
        <v>26929</v>
      </c>
      <c r="G13977" t="s">
        <v>14</v>
      </c>
      <c r="H13977">
             </c>
      <c r="I13977" t="s">
        <v>14</v>
      </c>
      <c r="J13977" t="s">
        <v>141</v>
      </c>
      <c r="K13977" t="s">
        <v>14</v>
      </c>
      <c r="L13977" t="s">
        <v>20</v>
      </c>
      <c r="M13977" t="s">
        <v>26754</v>
      </c>
      <c r="N13977" t="s">
        <v>14</v>
      </c>
    </row>
    <row r="13978" x14ac:dyDescent="0.25">
      <c r="A13978" t="n">
        <v>23</v>
      </c>
      <c r="B13978" t="s">
        <v>14</v>
      </c>
      <c r="C13978" t="s">
        <v>22</v>
      </c>
      <c r="D13978" s="2" t="s">
        <f>=HYPERLINK("https://main.knesset.gov.il/APPS/legislation/main/bills/2086145", "הצעת חוק לתיקון פקודת התעבורה (המבקש להישפט על עבירות קנס), התש""ף-2020")</f>
        <v>26930</v>
      </c>
      <c r="E13978" t="s">
        <v>26930</v>
      </c>
      <c r="F13978" t="s">
        <v>26931</v>
      </c>
      <c r="G13978" t="s">
        <v>14</v>
      </c>
      <c r="H13978">
             </c>
      <c r="I13978" t="s">
        <v>14</v>
      </c>
      <c r="J13978" t="s">
        <v>141</v>
      </c>
      <c r="K13978" t="s">
        <v>14</v>
      </c>
      <c r="L13978" t="s">
        <v>20</v>
      </c>
      <c r="M13978" t="s">
        <v>26754</v>
      </c>
      <c r="N13978" t="s">
        <v>14</v>
      </c>
    </row>
    <row r="13979" x14ac:dyDescent="0.25">
      <c r="A13979" t="n">
        <v>23</v>
      </c>
      <c r="B13979" t="s">
        <v>14</v>
      </c>
      <c r="C13979" t="s">
        <v>22</v>
      </c>
      <c r="D13979" s="2" t="s">
        <f>=HYPERLINK("https://main.knesset.gov.il/APPS/legislation/main/bills/2086616", "הצעת חוק שיווי זכויות האישה (תיקון - ייצוג לנשים בוועדות איתור), התש""ף-2020")</f>
        <v>26932</v>
      </c>
      <c r="E13979" t="s">
        <v>26932</v>
      </c>
      <c r="F13979" t="s">
        <v>26933</v>
      </c>
      <c r="G13979" t="s">
        <v>14</v>
      </c>
      <c r="H13979">
             </c>
      <c r="I13979" t="s">
        <v>14</v>
      </c>
      <c r="J13979" t="s">
        <v>141</v>
      </c>
      <c r="K13979" t="s">
        <v>14</v>
      </c>
      <c r="L13979" t="s">
        <v>20</v>
      </c>
      <c r="M13979" t="s">
        <v>26754</v>
      </c>
      <c r="N13979" t="s">
        <v>14</v>
      </c>
    </row>
    <row r="13980" x14ac:dyDescent="0.25">
      <c r="A13980" t="n">
        <v>23</v>
      </c>
      <c r="B13980" t="s">
        <v>14</v>
      </c>
      <c r="C13980" t="s">
        <v>22</v>
      </c>
      <c r="D13980" s="2" t="s">
        <f>=HYPERLINK("https://main.knesset.gov.il/APPS/legislation/main/bills/2086170", "הצעת חוק שוויון זכויות האישה (תיקון - ייצוג לנשים בוועדות איתור), התש""ף-2020")</f>
        <v>26934</v>
      </c>
      <c r="E13980" t="s">
        <v>26934</v>
      </c>
      <c r="F13980" t="s">
        <v>26935</v>
      </c>
      <c r="G13980" t="s">
        <v>14</v>
      </c>
      <c r="H13980">
             </c>
      <c r="I13980" t="s">
        <v>14</v>
      </c>
      <c r="J13980" t="s">
        <v>141</v>
      </c>
      <c r="K13980" t="s">
        <v>14</v>
      </c>
      <c r="L13980" t="s">
        <v>20</v>
      </c>
      <c r="M13980" t="s">
        <v>26754</v>
      </c>
      <c r="N13980" t="s">
        <v>14</v>
      </c>
    </row>
    <row r="13981" x14ac:dyDescent="0.25">
      <c r="A13981" t="n">
        <v>23</v>
      </c>
      <c r="B13981" t="s">
        <v>14</v>
      </c>
      <c r="C13981" t="s">
        <v>22</v>
      </c>
      <c r="D13981" s="2" t="s">
        <f>=HYPERLINK("https://main.knesset.gov.il/APPS/legislation/main/bills/2085887", "הצעת חוק יישוב סכסוכי עבודה (תיקון - סכסוך עבודה פוליטי), התש""ף-2020")</f>
        <v>26936</v>
      </c>
      <c r="E13981" t="s">
        <v>26936</v>
      </c>
      <c r="F13981" t="s">
        <v>26937</v>
      </c>
      <c r="G13981" t="s">
        <v>14</v>
      </c>
      <c r="H13981">
             </c>
      <c r="I13981" t="s">
        <v>14</v>
      </c>
      <c r="J13981" t="s">
        <v>141</v>
      </c>
      <c r="K13981" t="s">
        <v>14</v>
      </c>
      <c r="L13981" t="s">
        <v>20</v>
      </c>
      <c r="M13981" t="s">
        <v>26754</v>
      </c>
      <c r="N13981" t="s">
        <v>14</v>
      </c>
    </row>
    <row r="13982" x14ac:dyDescent="0.25">
      <c r="A13982" t="n">
        <v>23</v>
      </c>
      <c r="B13982" t="s">
        <v>14</v>
      </c>
      <c r="C13982" t="s">
        <v>22</v>
      </c>
      <c r="D13982" s="2" t="s">
        <f>=HYPERLINK("https://main.knesset.gov.il/APPS/legislation/main/bills/2085611", "הצעת חוק לתיקון פקודת התעבורה (החרגת בעלי רישיון שימוש בקנבוס רפואי), התש""ף-2020")</f>
        <v>26938</v>
      </c>
      <c r="E13982" t="s">
        <v>26938</v>
      </c>
      <c r="F13982" t="s">
        <v>26939</v>
      </c>
      <c r="G13982" t="s">
        <v>14</v>
      </c>
      <c r="H13982">
             </c>
      <c r="I13982" t="s">
        <v>14</v>
      </c>
      <c r="J13982" t="s">
        <v>141</v>
      </c>
      <c r="K13982" t="s">
        <v>14</v>
      </c>
      <c r="L13982" t="s">
        <v>20</v>
      </c>
      <c r="M13982" t="s">
        <v>26754</v>
      </c>
      <c r="N13982" t="s">
        <v>14</v>
      </c>
    </row>
    <row r="13983" x14ac:dyDescent="0.25">
      <c r="A13983" t="n">
        <v>23</v>
      </c>
      <c r="B13983" t="s">
        <v>14</v>
      </c>
      <c r="C13983" t="s">
        <v>22</v>
      </c>
      <c r="D13983" s="2" t="s">
        <f>=HYPERLINK("https://main.knesset.gov.il/APPS/legislation/main/bills/2085704", "הצעת חוק מתן סמכויות פיקוח והסמכת מפקחים ופקחים (תיקוני חקיקה), התש""ף-2020")</f>
        <v>26940</v>
      </c>
      <c r="E13983" t="s">
        <v>26940</v>
      </c>
      <c r="F13983" t="s">
        <v>26941</v>
      </c>
      <c r="G13983" t="s">
        <v>14</v>
      </c>
      <c r="H13983">
             </c>
      <c r="I13983" t="s">
        <v>14</v>
      </c>
      <c r="J13983" t="s">
        <v>141</v>
      </c>
      <c r="K13983" t="s">
        <v>14</v>
      </c>
      <c r="L13983" t="s">
        <v>20</v>
      </c>
      <c r="M13983" t="s">
        <v>26754</v>
      </c>
      <c r="N13983" t="s">
        <v>14</v>
      </c>
    </row>
    <row r="13984" x14ac:dyDescent="0.25">
      <c r="A13984" t="n">
        <v>23</v>
      </c>
      <c r="B13984" t="s">
        <v>14</v>
      </c>
      <c r="C13984" t="s">
        <v>22</v>
      </c>
      <c r="D13984" s="2" t="s">
        <f>=HYPERLINK("https://main.knesset.gov.il/APPS/legislation/main/bills/2086130", "הצעת חוק יום אבל במות קרוב מדרגה שנייה, התש""ף-2020")</f>
        <v>26942</v>
      </c>
      <c r="E13984" t="s">
        <v>26942</v>
      </c>
      <c r="F13984" t="s">
        <v>26943</v>
      </c>
      <c r="G13984" t="s">
        <v>14</v>
      </c>
      <c r="H13984">
             </c>
      <c r="I13984" t="s">
        <v>14</v>
      </c>
      <c r="J13984" t="s">
        <v>141</v>
      </c>
      <c r="K13984" t="s">
        <v>14</v>
      </c>
      <c r="L13984" t="s">
        <v>20</v>
      </c>
      <c r="M13984" t="s">
        <v>26754</v>
      </c>
      <c r="N13984" t="s">
        <v>14</v>
      </c>
    </row>
    <row r="13985" x14ac:dyDescent="0.25">
      <c r="A13985" t="n">
        <v>23</v>
      </c>
      <c r="B13985" t="s">
        <v>14</v>
      </c>
      <c r="C13985" t="s">
        <v>22</v>
      </c>
      <c r="D13985" s="2" t="s">
        <f>=HYPERLINK("https://main.knesset.gov.il/APPS/legislation/main/bills/2086802", "הצעת חוק למניעת הטרדה מינית (תיקון - הרחבת תחולה על עובד של קבלן שירות המועסק אצל מזמין השירות), התש""ף-2020")</f>
        <v>26944</v>
      </c>
      <c r="E13985" t="s">
        <v>26944</v>
      </c>
      <c r="F13985" t="s">
        <v>26945</v>
      </c>
      <c r="G13985" t="s">
        <v>14</v>
      </c>
      <c r="H13985">
             </c>
      <c r="I13985" t="s">
        <v>14</v>
      </c>
      <c r="J13985" t="s">
        <v>141</v>
      </c>
      <c r="K13985" t="s">
        <v>14</v>
      </c>
      <c r="L13985" t="s">
        <v>20</v>
      </c>
      <c r="M13985" t="s">
        <v>26754</v>
      </c>
      <c r="N13985" t="s">
        <v>14</v>
      </c>
    </row>
    <row r="13986" x14ac:dyDescent="0.25">
      <c r="A13986" t="n">
        <v>23</v>
      </c>
      <c r="B13986" t="s">
        <v>14</v>
      </c>
      <c r="C13986" t="s">
        <v>22</v>
      </c>
      <c r="D13986" s="2" t="s">
        <f>=HYPERLINK("https://main.knesset.gov.il/APPS/legislation/main/bills/2086126", "הצעת חוק הפרטת תאגיד השידור הציבורי הישראלי, התש""ף-2020")</f>
        <v>23863</v>
      </c>
      <c r="E13986" t="s">
        <v>23863</v>
      </c>
      <c r="F13986" t="s">
        <v>26946</v>
      </c>
      <c r="G13986" t="s">
        <v>14</v>
      </c>
      <c r="H13986">
             </c>
      <c r="I13986" t="s">
        <v>14</v>
      </c>
      <c r="J13986" t="s">
        <v>141</v>
      </c>
      <c r="K13986" t="s">
        <v>14</v>
      </c>
      <c r="L13986" t="s">
        <v>20</v>
      </c>
      <c r="M13986" t="s">
        <v>26754</v>
      </c>
      <c r="N13986" t="s">
        <v>14</v>
      </c>
    </row>
    <row r="13987" x14ac:dyDescent="0.25">
      <c r="A13987" t="n">
        <v>23</v>
      </c>
      <c r="B13987" t="s">
        <v>14</v>
      </c>
      <c r="C13987" t="s">
        <v>22</v>
      </c>
      <c r="D13987" s="2" t="s">
        <f>=HYPERLINK("https://main.knesset.gov.il/APPS/legislation/main/bills/2086157", "הצעת חוק עקרונות לפדיון שבויים ונעדרים, התש""ף-2020")</f>
        <v>26947</v>
      </c>
      <c r="E13987" t="s">
        <v>26947</v>
      </c>
      <c r="F13987" t="s">
        <v>26948</v>
      </c>
      <c r="G13987" t="s">
        <v>14</v>
      </c>
      <c r="H13987">
             </c>
      <c r="I13987" t="s">
        <v>14</v>
      </c>
      <c r="J13987" t="s">
        <v>141</v>
      </c>
      <c r="K13987" t="s">
        <v>14</v>
      </c>
      <c r="L13987" t="s">
        <v>20</v>
      </c>
      <c r="M13987" t="s">
        <v>26754</v>
      </c>
      <c r="N13987" t="s">
        <v>14</v>
      </c>
    </row>
    <row r="13988" x14ac:dyDescent="0.25">
      <c r="A13988" t="n">
        <v>23</v>
      </c>
      <c r="B13988" t="s">
        <v>14</v>
      </c>
      <c r="C13988" t="s">
        <v>22</v>
      </c>
      <c r="D13988" s="2" t="s">
        <f>=HYPERLINK("https://main.knesset.gov.il/APPS/legislation/main/bills/2086236", "הצעת חוק ההתגוננות האזרחית (תיקון - הקמת תשתית חיבור לרשת אינטרנט אלחוטית במקלטים שביישובי קו העימות), התש""ף-2020")</f>
        <v>26949</v>
      </c>
      <c r="E13988" t="s">
        <v>26949</v>
      </c>
      <c r="F13988" t="s">
        <v>26950</v>
      </c>
      <c r="G13988" t="s">
        <v>14</v>
      </c>
      <c r="H13988">
             </c>
      <c r="I13988" t="s">
        <v>14</v>
      </c>
      <c r="J13988" t="s">
        <v>141</v>
      </c>
      <c r="K13988" t="s">
        <v>14</v>
      </c>
      <c r="L13988" t="s">
        <v>20</v>
      </c>
      <c r="M13988" t="s">
        <v>26754</v>
      </c>
      <c r="N13988" t="s">
        <v>14</v>
      </c>
    </row>
    <row r="13989" x14ac:dyDescent="0.25">
      <c r="A13989" t="n">
        <v>23</v>
      </c>
      <c r="B13989" t="s">
        <v>14</v>
      </c>
      <c r="C13989" t="s">
        <v>22</v>
      </c>
      <c r="D13989" s="2" t="s">
        <f>=HYPERLINK("https://main.knesset.gov.il/APPS/legislation/main/bills/2086122", "הצעת חוק הפרטת גלי צה""ל, התש""ף-2020")</f>
        <v>26951</v>
      </c>
      <c r="E13989" t="s">
        <v>26951</v>
      </c>
      <c r="F13989" t="s">
        <v>26952</v>
      </c>
      <c r="G13989" t="s">
        <v>14</v>
      </c>
      <c r="H13989">
             </c>
      <c r="I13989" t="s">
        <v>14</v>
      </c>
      <c r="J13989" t="s">
        <v>141</v>
      </c>
      <c r="K13989" t="s">
        <v>14</v>
      </c>
      <c r="L13989" t="s">
        <v>20</v>
      </c>
      <c r="M13989" t="s">
        <v>26754</v>
      </c>
      <c r="N13989" t="s">
        <v>14</v>
      </c>
    </row>
    <row r="13990" x14ac:dyDescent="0.25">
      <c r="A13990" t="n">
        <v>23</v>
      </c>
      <c r="B13990" t="s">
        <v>14</v>
      </c>
      <c r="C13990" t="s">
        <v>22</v>
      </c>
      <c r="D13990" s="2" t="s">
        <f>=HYPERLINK("https://main.knesset.gov.il/APPS/legislation/main/bills/2085988", "הצעת חוק לימודי יסוד במערכת החינוך, התש""ף-2020")</f>
        <v>26718</v>
      </c>
      <c r="E13990" t="s">
        <v>26718</v>
      </c>
      <c r="F13990" t="s">
        <v>26953</v>
      </c>
      <c r="G13990" t="s">
        <v>14</v>
      </c>
      <c r="H13990">
             </c>
      <c r="I13990" t="s">
        <v>14</v>
      </c>
      <c r="J13990" t="s">
        <v>141</v>
      </c>
      <c r="K13990" t="s">
        <v>14</v>
      </c>
      <c r="L13990" t="s">
        <v>20</v>
      </c>
      <c r="M13990" t="s">
        <v>26754</v>
      </c>
      <c r="N13990" t="s">
        <v>14</v>
      </c>
    </row>
    <row r="13991" x14ac:dyDescent="0.25">
      <c r="A13991" t="n">
        <v>23</v>
      </c>
      <c r="B13991" t="s">
        <v>14</v>
      </c>
      <c r="C13991" t="s">
        <v>22</v>
      </c>
      <c r="D13991" s="2" t="s">
        <f>=HYPERLINK("https://main.knesset.gov.il/APPS/legislation/main/bills/2086111", "הצעת חוק-יסוד: הכנסת (תיקון - סייג להגשת עתירה בידי חבר הכנסת בעניין שהוחלט בכנסת)")</f>
        <v>26954</v>
      </c>
      <c r="E13991" t="s">
        <v>26954</v>
      </c>
      <c r="F13991" t="s">
        <v>26955</v>
      </c>
      <c r="G13991" t="s">
        <v>14</v>
      </c>
      <c r="H13991">
             </c>
      <c r="I13991" t="s">
        <v>14</v>
      </c>
      <c r="J13991" t="s">
        <v>141</v>
      </c>
      <c r="K13991" t="s">
        <v>14</v>
      </c>
      <c r="L13991" t="s">
        <v>20</v>
      </c>
      <c r="M13991" t="s">
        <v>26754</v>
      </c>
      <c r="N13991" t="s">
        <v>14</v>
      </c>
    </row>
    <row r="13992" x14ac:dyDescent="0.25">
      <c r="A13992" t="n">
        <v>23</v>
      </c>
      <c r="B13992" t="s">
        <v>14</v>
      </c>
      <c r="C13992" t="s">
        <v>22</v>
      </c>
      <c r="D13992" s="2" t="s">
        <f>=HYPERLINK("https://main.knesset.gov.il/APPS/legislation/main/bills/2086066", "הצעת חוק הגנת הצרכן (תיקון - סימון מוצרים מהאיחוד האירופי), התש""ף-2020")</f>
        <v>26956</v>
      </c>
      <c r="E13992" t="s">
        <v>26956</v>
      </c>
      <c r="F13992" t="s">
        <v>26957</v>
      </c>
      <c r="G13992" t="s">
        <v>14</v>
      </c>
      <c r="H13992">
             </c>
      <c r="I13992" t="s">
        <v>14</v>
      </c>
      <c r="J13992" t="s">
        <v>141</v>
      </c>
      <c r="K13992" t="s">
        <v>14</v>
      </c>
      <c r="L13992" t="s">
        <v>20</v>
      </c>
      <c r="M13992" t="s">
        <v>26754</v>
      </c>
      <c r="N13992" t="s">
        <v>14</v>
      </c>
    </row>
    <row r="13993" x14ac:dyDescent="0.25">
      <c r="A13993" t="n">
        <v>23</v>
      </c>
      <c r="B13993" t="s">
        <v>14</v>
      </c>
      <c r="C13993" t="s">
        <v>22</v>
      </c>
      <c r="D13993" s="2" t="s">
        <f>=HYPERLINK("https://main.knesset.gov.il/APPS/legislation/main/bills/2086032", "הצעת חוק לתיקון פקודת מס הכנסה (מיסוי הכנסה לגורמים זרים), התש""ף-2020")</f>
        <v>26958</v>
      </c>
      <c r="E13993" t="s">
        <v>26958</v>
      </c>
      <c r="F13993" t="s">
        <v>26959</v>
      </c>
      <c r="G13993" t="s">
        <v>14</v>
      </c>
      <c r="H13993">
             </c>
      <c r="I13993" t="s">
        <v>14</v>
      </c>
      <c r="J13993" t="s">
        <v>141</v>
      </c>
      <c r="K13993" t="s">
        <v>14</v>
      </c>
      <c r="L13993" t="s">
        <v>20</v>
      </c>
      <c r="M13993" t="s">
        <v>26754</v>
      </c>
      <c r="N13993" t="s">
        <v>14</v>
      </c>
    </row>
    <row r="13994" x14ac:dyDescent="0.25">
      <c r="A13994" t="n">
        <v>23</v>
      </c>
      <c r="B13994" t="s">
        <v>14</v>
      </c>
      <c r="C13994" t="s">
        <v>22</v>
      </c>
      <c r="D13994" s="2" t="s">
        <f>=HYPERLINK("https://main.knesset.gov.il/APPS/legislation/main/bills/2086055", "הצעת חוק הקמת חדרי מיון קדמיים, התש""ף-2020")</f>
        <v>26960</v>
      </c>
      <c r="E13994" t="s">
        <v>26960</v>
      </c>
      <c r="F13994" t="s">
        <v>26961</v>
      </c>
      <c r="G13994" t="s">
        <v>14</v>
      </c>
      <c r="H13994">
             </c>
      <c r="I13994" t="s">
        <v>14</v>
      </c>
      <c r="J13994" t="s">
        <v>141</v>
      </c>
      <c r="K13994" t="s">
        <v>14</v>
      </c>
      <c r="L13994" t="s">
        <v>20</v>
      </c>
      <c r="M13994" t="s">
        <v>26754</v>
      </c>
      <c r="N13994" t="s">
        <v>14</v>
      </c>
    </row>
    <row r="13995" x14ac:dyDescent="0.25">
      <c r="A13995" t="n">
        <v>23</v>
      </c>
      <c r="B13995" t="s">
        <v>14</v>
      </c>
      <c r="C13995" t="s">
        <v>22</v>
      </c>
      <c r="D13995" s="2" t="s">
        <f>=HYPERLINK("https://main.knesset.gov.il/APPS/legislation/main/bills/2086028", "הצעת חוק זכויות הסטודנט (תיקון - ביטול ארגון סטודנטים יציג), התש""ף-2020")</f>
        <v>26962</v>
      </c>
      <c r="E13995" t="s">
        <v>26962</v>
      </c>
      <c r="F13995" t="s">
        <v>26963</v>
      </c>
      <c r="G13995" t="s">
        <v>14</v>
      </c>
      <c r="H13995">
             </c>
      <c r="I13995" t="s">
        <v>14</v>
      </c>
      <c r="J13995" t="s">
        <v>141</v>
      </c>
      <c r="K13995" t="s">
        <v>14</v>
      </c>
      <c r="L13995" t="s">
        <v>20</v>
      </c>
      <c r="M13995" t="s">
        <v>26754</v>
      </c>
      <c r="N13995" t="s">
        <v>14</v>
      </c>
    </row>
    <row r="13996" x14ac:dyDescent="0.25">
      <c r="A13996" t="n">
        <v>23</v>
      </c>
      <c r="B13996" t="s">
        <v>14</v>
      </c>
      <c r="C13996" t="s">
        <v>22</v>
      </c>
      <c r="D13996" s="2" t="s">
        <f>=HYPERLINK("https://main.knesset.gov.il/APPS/legislation/main/bills/2085899", "הצעת חוק זכויות הסטודנט (תיקון - ביטול ארגון סטודנטים יציג), התש""ף-2020")</f>
        <v>26962</v>
      </c>
      <c r="E13996" t="s">
        <v>26962</v>
      </c>
      <c r="F13996" t="s">
        <v>26964</v>
      </c>
      <c r="G13996" t="s">
        <v>14</v>
      </c>
      <c r="H13996">
             </c>
      <c r="I13996" t="s">
        <v>14</v>
      </c>
      <c r="J13996" t="s">
        <v>141</v>
      </c>
      <c r="K13996" t="s">
        <v>14</v>
      </c>
      <c r="L13996" t="s">
        <v>20</v>
      </c>
      <c r="M13996" t="s">
        <v>26754</v>
      </c>
      <c r="N13996" t="s">
        <v>14</v>
      </c>
    </row>
    <row r="13997" x14ac:dyDescent="0.25">
      <c r="A13997" t="n">
        <v>23</v>
      </c>
      <c r="B13997" t="s">
        <v>14</v>
      </c>
      <c r="C13997" t="s">
        <v>22</v>
      </c>
      <c r="D13997" s="2" t="s">
        <f>=HYPERLINK("https://main.knesset.gov.il/APPS/legislation/main/bills/2086025", "הצעת חוק הביטוח לאומי (תיקון - ביטוח זכויות עצמאי שעיקר הכנסתו מעסק המצוי בפשיטת רגל או בפירוק), התש""ף-2020")</f>
        <v>26965</v>
      </c>
      <c r="E13997" t="s">
        <v>26965</v>
      </c>
      <c r="F13997" t="s">
        <v>26966</v>
      </c>
      <c r="G13997" t="s">
        <v>14</v>
      </c>
      <c r="H13997">
             </c>
      <c r="I13997" t="s">
        <v>14</v>
      </c>
      <c r="J13997" t="s">
        <v>141</v>
      </c>
      <c r="K13997" t="s">
        <v>14</v>
      </c>
      <c r="L13997" t="s">
        <v>20</v>
      </c>
      <c r="M13997" t="s">
        <v>26754</v>
      </c>
      <c r="N13997" t="s">
        <v>14</v>
      </c>
    </row>
    <row r="13998" x14ac:dyDescent="0.25">
      <c r="A13998" t="n">
        <v>23</v>
      </c>
      <c r="B13998" t="s">
        <v>14</v>
      </c>
      <c r="C13998" t="s">
        <v>22</v>
      </c>
      <c r="D13998" s="2" t="s">
        <f>=HYPERLINK("https://main.knesset.gov.il/APPS/legislation/main/bills/2086016", "הצעת חוק כביש אגרה (כביש ארצי לישראל) (תיקון - הפחתת ריבית פיגורים על חוב חלוט), התש""ף-2020")</f>
        <v>26967</v>
      </c>
      <c r="E13998" t="s">
        <v>26967</v>
      </c>
      <c r="F13998" t="s">
        <v>26968</v>
      </c>
      <c r="G13998" t="s">
        <v>14</v>
      </c>
      <c r="H13998">
             </c>
      <c r="I13998" t="s">
        <v>14</v>
      </c>
      <c r="J13998" t="s">
        <v>141</v>
      </c>
      <c r="K13998" t="s">
        <v>14</v>
      </c>
      <c r="L13998" t="s">
        <v>20</v>
      </c>
      <c r="M13998" t="s">
        <v>26754</v>
      </c>
      <c r="N13998" t="s">
        <v>14</v>
      </c>
    </row>
    <row r="13999" x14ac:dyDescent="0.25">
      <c r="A13999" t="n">
        <v>23</v>
      </c>
      <c r="B13999" t="s">
        <v>14</v>
      </c>
      <c r="C13999" t="s">
        <v>22</v>
      </c>
      <c r="D13999" s="2" t="s">
        <f>=HYPERLINK("https://main.knesset.gov.il/APPS/legislation/main/bills/2086011", "הצעת חוק פיצוי לנפגעי פוליו (תיקון - הכרה באחוזי נכות של נפגע פוליו לצורך דינים אחרים), התש""ף-2020")</f>
        <v>26969</v>
      </c>
      <c r="E13999" t="s">
        <v>26969</v>
      </c>
      <c r="F13999" t="s">
        <v>26970</v>
      </c>
      <c r="G13999" t="s">
        <v>14</v>
      </c>
      <c r="H13999">
             </c>
      <c r="I13999" t="s">
        <v>14</v>
      </c>
      <c r="J13999" t="s">
        <v>141</v>
      </c>
      <c r="K13999" t="s">
        <v>14</v>
      </c>
      <c r="L13999" t="s">
        <v>20</v>
      </c>
      <c r="M13999" t="s">
        <v>26754</v>
      </c>
      <c r="N13999" t="s">
        <v>14</v>
      </c>
    </row>
    <row r="14000" x14ac:dyDescent="0.25">
      <c r="A14000" t="n">
        <v>23</v>
      </c>
      <c r="B14000" t="s">
        <v>14</v>
      </c>
      <c r="C14000" t="s">
        <v>22</v>
      </c>
      <c r="D14000" s="2" t="s">
        <f>=HYPERLINK("https://main.knesset.gov.il/APPS/legislation/main/bills/2086007", "הצעת חוק שמירת הקדושה של הכותל המערבי ורחבתו, התש""ף-2020")</f>
        <v>26971</v>
      </c>
      <c r="E14000" t="s">
        <v>26971</v>
      </c>
      <c r="F14000" t="s">
        <v>26972</v>
      </c>
      <c r="G14000" t="s">
        <v>14</v>
      </c>
      <c r="H14000">
             </c>
      <c r="I14000" t="s">
        <v>14</v>
      </c>
      <c r="J14000" t="s">
        <v>141</v>
      </c>
      <c r="K14000" t="s">
        <v>14</v>
      </c>
      <c r="L14000" t="s">
        <v>20</v>
      </c>
      <c r="M14000" t="s">
        <v>26754</v>
      </c>
      <c r="N14000" t="s">
        <v>14</v>
      </c>
    </row>
    <row r="14001" x14ac:dyDescent="0.25">
      <c r="A14001" t="n">
        <v>23</v>
      </c>
      <c r="B14001" t="s">
        <v>14</v>
      </c>
      <c r="C14001" t="s">
        <v>22</v>
      </c>
      <c r="D14001" s="2" t="s">
        <f>=HYPERLINK("https://main.knesset.gov.il/APPS/legislation/main/bills/2086003", "הצעת חוק הביטוח הלאומי (תיקון - דמי לידה לעצמאיות - מתן זכות לעבודה חלקית), התש""ף-2020")</f>
        <v>24457</v>
      </c>
      <c r="E14001" t="s">
        <v>24457</v>
      </c>
      <c r="F14001" t="s">
        <v>26973</v>
      </c>
      <c r="G14001" t="s">
        <v>14</v>
      </c>
      <c r="H14001">
             </c>
      <c r="I14001" t="s">
        <v>14</v>
      </c>
      <c r="J14001" t="s">
        <v>141</v>
      </c>
      <c r="K14001" t="s">
        <v>14</v>
      </c>
      <c r="L14001" t="s">
        <v>20</v>
      </c>
      <c r="M14001" t="s">
        <v>26754</v>
      </c>
      <c r="N14001" t="s">
        <v>14</v>
      </c>
    </row>
    <row r="14002" x14ac:dyDescent="0.25">
      <c r="A14002" t="n">
        <v>23</v>
      </c>
      <c r="B14002" t="s">
        <v>14</v>
      </c>
      <c r="C14002" t="s">
        <v>22</v>
      </c>
      <c r="D14002" s="2" t="s">
        <f>=HYPERLINK("https://main.knesset.gov.il/APPS/legislation/main/bills/2086002", "הצעת חוק הביטוח הלאומי (תיקון - הארכת המועד להגשת תביעה לגמלה והתקופה שבעדה תשולם), תש""ף-2020")</f>
        <v>26974</v>
      </c>
      <c r="E14002" t="s">
        <v>26974</v>
      </c>
      <c r="F14002" t="s">
        <v>26975</v>
      </c>
      <c r="G14002" t="s">
        <v>14</v>
      </c>
      <c r="H14002">
             </c>
      <c r="I14002" t="s">
        <v>14</v>
      </c>
      <c r="J14002" t="s">
        <v>141</v>
      </c>
      <c r="K14002" t="s">
        <v>14</v>
      </c>
      <c r="L14002" t="s">
        <v>20</v>
      </c>
      <c r="M14002" t="s">
        <v>26754</v>
      </c>
      <c r="N14002" t="s">
        <v>14</v>
      </c>
    </row>
    <row r="14003" x14ac:dyDescent="0.25">
      <c r="A14003" t="n">
        <v>23</v>
      </c>
      <c r="B14003" t="s">
        <v>14</v>
      </c>
      <c r="C14003" t="s">
        <v>22</v>
      </c>
      <c r="D14003" s="2" t="s">
        <f>=HYPERLINK("https://main.knesset.gov.il/APPS/legislation/main/bills/2085998", "הצעת חוק מס ערך מוסף (תיקון - עידוד פתיחת עסקים חדשים), התש""ף-2020")</f>
        <v>26976</v>
      </c>
      <c r="E14003" t="s">
        <v>26976</v>
      </c>
      <c r="F14003" t="s">
        <v>26977</v>
      </c>
      <c r="G14003" t="s">
        <v>14</v>
      </c>
      <c r="H14003">
             </c>
      <c r="I14003" t="s">
        <v>14</v>
      </c>
      <c r="J14003" t="s">
        <v>141</v>
      </c>
      <c r="K14003" t="s">
        <v>14</v>
      </c>
      <c r="L14003" t="s">
        <v>20</v>
      </c>
      <c r="M14003" t="s">
        <v>26754</v>
      </c>
      <c r="N14003" t="s">
        <v>14</v>
      </c>
    </row>
    <row r="14004" x14ac:dyDescent="0.25">
      <c r="A14004" t="n">
        <v>23</v>
      </c>
      <c r="B14004" t="s">
        <v>14</v>
      </c>
      <c r="C14004" t="s">
        <v>22</v>
      </c>
      <c r="D14004" s="2" t="s">
        <f>=HYPERLINK("https://main.knesset.gov.il/APPS/legislation/main/bills/2085991", "הצעת חוק הביטוח הלאומי (תיקון - פטור מתשלום דמי ביטוח לסטודנטים בשל הכנסות הוריהם), התש""ף-2020")</f>
        <v>26978</v>
      </c>
      <c r="E14004" t="s">
        <v>26978</v>
      </c>
      <c r="F14004" t="s">
        <v>26979</v>
      </c>
      <c r="G14004" t="s">
        <v>14</v>
      </c>
      <c r="H14004">
             </c>
      <c r="I14004" t="s">
        <v>14</v>
      </c>
      <c r="J14004" t="s">
        <v>141</v>
      </c>
      <c r="K14004" t="s">
        <v>14</v>
      </c>
      <c r="L14004" t="s">
        <v>20</v>
      </c>
      <c r="M14004" t="s">
        <v>26754</v>
      </c>
      <c r="N14004" t="s">
        <v>14</v>
      </c>
    </row>
    <row r="14005" x14ac:dyDescent="0.25">
      <c r="A14005" t="n">
        <v>23</v>
      </c>
      <c r="B14005" t="s">
        <v>14</v>
      </c>
      <c r="C14005" t="s">
        <v>22</v>
      </c>
      <c r="D14005" s="2" t="s">
        <f>=HYPERLINK("https://main.knesset.gov.il/APPS/legislation/main/bills/2085990", "הצעת חוק מיסוי מקרקעין (שבח ורכישה) (תיקון - תשלום המס בתשלומים), התש""ף-2020")</f>
        <v>26980</v>
      </c>
      <c r="E14005" t="s">
        <v>26980</v>
      </c>
      <c r="F14005" t="s">
        <v>26981</v>
      </c>
      <c r="G14005" t="s">
        <v>14</v>
      </c>
      <c r="H14005">
             </c>
      <c r="I14005" t="s">
        <v>14</v>
      </c>
      <c r="J14005" t="s">
        <v>141</v>
      </c>
      <c r="K14005" t="s">
        <v>14</v>
      </c>
      <c r="L14005" t="s">
        <v>20</v>
      </c>
      <c r="M14005" t="s">
        <v>26754</v>
      </c>
      <c r="N14005" t="s">
        <v>14</v>
      </c>
    </row>
    <row r="14006" x14ac:dyDescent="0.25">
      <c r="A14006" t="n">
        <v>23</v>
      </c>
      <c r="B14006" t="s">
        <v>14</v>
      </c>
      <c r="C14006" t="s">
        <v>22</v>
      </c>
      <c r="D14006" s="2" t="s">
        <f>=HYPERLINK("https://main.knesset.gov.il/APPS/legislation/main/bills/2085981", "הצעת חוק מיסוי מקרקעין (שבח ורכישה) (תיקון - רכישת דירה על ידי ילד יתום), התש""ף-2020")</f>
        <v>26982</v>
      </c>
      <c r="E14006" t="s">
        <v>26982</v>
      </c>
      <c r="F14006" t="s">
        <v>26983</v>
      </c>
      <c r="G14006" t="s">
        <v>14</v>
      </c>
      <c r="H14006">
             </c>
      <c r="I14006" t="s">
        <v>14</v>
      </c>
      <c r="J14006" t="s">
        <v>141</v>
      </c>
      <c r="K14006" t="s">
        <v>14</v>
      </c>
      <c r="L14006" t="s">
        <v>20</v>
      </c>
      <c r="M14006" t="s">
        <v>26754</v>
      </c>
      <c r="N14006" t="s">
        <v>14</v>
      </c>
    </row>
    <row r="14007" x14ac:dyDescent="0.25">
      <c r="A14007" t="n">
        <v>23</v>
      </c>
      <c r="B14007" t="s">
        <v>14</v>
      </c>
      <c r="C14007" t="s">
        <v>22</v>
      </c>
      <c r="D14007" s="2" t="s">
        <f>=HYPERLINK("https://main.knesset.gov.il/APPS/legislation/main/bills/2085972", "הצעת חוק מיסוי מקרקעין (שבח ורכישה) (תיקון - חזקת דירה יחידה), התש""ף-2020")</f>
        <v>26984</v>
      </c>
      <c r="E14007" t="s">
        <v>26984</v>
      </c>
      <c r="F14007" t="s">
        <v>26985</v>
      </c>
      <c r="G14007" t="s">
        <v>14</v>
      </c>
      <c r="H14007">
             </c>
      <c r="I14007" t="s">
        <v>14</v>
      </c>
      <c r="J14007" t="s">
        <v>141</v>
      </c>
      <c r="K14007" t="s">
        <v>14</v>
      </c>
      <c r="L14007" t="s">
        <v>20</v>
      </c>
      <c r="M14007" t="s">
        <v>26754</v>
      </c>
      <c r="N14007" t="s">
        <v>14</v>
      </c>
    </row>
    <row r="14008" x14ac:dyDescent="0.25">
      <c r="A14008" t="n">
        <v>23</v>
      </c>
      <c r="B14008" t="s">
        <v>14</v>
      </c>
      <c r="C14008" t="s">
        <v>22</v>
      </c>
      <c r="D14008" s="2" t="s">
        <f>=HYPERLINK("https://main.knesset.gov.il/APPS/legislation/main/bills/2085953", "הצעת חוק שוויון זכויות לאנשים עם מוגבלות (תיקון - חובת נגישות באוטובוסים בין-עירוניים), התש""ף-2020")</f>
        <v>26986</v>
      </c>
      <c r="E14008" t="s">
        <v>26986</v>
      </c>
      <c r="F14008" t="s">
        <v>26987</v>
      </c>
      <c r="G14008" t="s">
        <v>14</v>
      </c>
      <c r="H14008">
             </c>
      <c r="I14008" t="s">
        <v>14</v>
      </c>
      <c r="J14008" t="s">
        <v>141</v>
      </c>
      <c r="K14008" t="s">
        <v>14</v>
      </c>
      <c r="L14008" t="s">
        <v>20</v>
      </c>
      <c r="M14008" t="s">
        <v>26754</v>
      </c>
      <c r="N14008" t="s">
        <v>14</v>
      </c>
    </row>
    <row r="14009" x14ac:dyDescent="0.25">
      <c r="A14009" t="n">
        <v>23</v>
      </c>
      <c r="B14009" t="s">
        <v>14</v>
      </c>
      <c r="C14009" t="s">
        <v>22</v>
      </c>
      <c r="D14009" s="2" t="s">
        <f>=HYPERLINK("https://main.knesset.gov.il/APPS/legislation/main/bills/2085968", "הצעת חוק בתי המשפט (תיקון - פרסום פסיקה בענייני משפחה), התש""ף-2020")</f>
        <v>26988</v>
      </c>
      <c r="E14009" t="s">
        <v>26988</v>
      </c>
      <c r="F14009" t="s">
        <v>26989</v>
      </c>
      <c r="G14009" t="s">
        <v>14</v>
      </c>
      <c r="H14009">
             </c>
      <c r="I14009" t="s">
        <v>14</v>
      </c>
      <c r="J14009" t="s">
        <v>141</v>
      </c>
      <c r="K14009" t="s">
        <v>14</v>
      </c>
      <c r="L14009" t="s">
        <v>20</v>
      </c>
      <c r="M14009" t="s">
        <v>26754</v>
      </c>
      <c r="N14009" t="s">
        <v>14</v>
      </c>
    </row>
    <row r="14010" x14ac:dyDescent="0.25">
      <c r="A14010" t="n">
        <v>23</v>
      </c>
      <c r="B14010" t="s">
        <v>14</v>
      </c>
      <c r="C14010" t="s">
        <v>22</v>
      </c>
      <c r="D14010" s="2" t="s">
        <f>=HYPERLINK("https://main.knesset.gov.il/APPS/legislation/main/bills/2085946", "הצעת חוק שוויון זכויות לאנשים עם מוגבלות (תיקון - הכשרה מתאימה לממונה תעסוקה), התש""ף-2020")</f>
        <v>26990</v>
      </c>
      <c r="E14010" t="s">
        <v>26990</v>
      </c>
      <c r="F14010" t="s">
        <v>26991</v>
      </c>
      <c r="G14010" t="s">
        <v>14</v>
      </c>
      <c r="H14010">
             </c>
      <c r="I14010" t="s">
        <v>14</v>
      </c>
      <c r="J14010" t="s">
        <v>141</v>
      </c>
      <c r="K14010" t="s">
        <v>14</v>
      </c>
      <c r="L14010" t="s">
        <v>20</v>
      </c>
      <c r="M14010" t="s">
        <v>26754</v>
      </c>
      <c r="N14010" t="s">
        <v>14</v>
      </c>
    </row>
    <row r="14011" x14ac:dyDescent="0.25">
      <c r="A14011" t="n">
        <v>23</v>
      </c>
      <c r="B14011" t="s">
        <v>14</v>
      </c>
      <c r="C14011" t="s">
        <v>22</v>
      </c>
      <c r="D14011" s="2" t="s">
        <f>=HYPERLINK("https://main.knesset.gov.il/APPS/legislation/main/bills/2085918", "הצעת חוק התכנון והבנייה (תיקון - תסקירי השפעה על הסביבה ועל הבריאות), התש""ף-2020")</f>
        <v>26992</v>
      </c>
      <c r="E14011" t="s">
        <v>26992</v>
      </c>
      <c r="F14011" t="s">
        <v>26993</v>
      </c>
      <c r="G14011" t="s">
        <v>14</v>
      </c>
      <c r="H14011">
             </c>
      <c r="I14011" t="s">
        <v>14</v>
      </c>
      <c r="J14011" t="s">
        <v>141</v>
      </c>
      <c r="K14011" t="s">
        <v>14</v>
      </c>
      <c r="L14011" t="s">
        <v>20</v>
      </c>
      <c r="M14011" t="s">
        <v>26754</v>
      </c>
      <c r="N14011" t="s">
        <v>14</v>
      </c>
    </row>
    <row r="14012" x14ac:dyDescent="0.25">
      <c r="A14012" t="n">
        <v>23</v>
      </c>
      <c r="B14012" t="s">
        <v>14</v>
      </c>
      <c r="C14012" t="s">
        <v>22</v>
      </c>
      <c r="D14012" s="2" t="s">
        <f>=HYPERLINK("https://main.knesset.gov.il/APPS/legislation/main/bills/2085917", "הצעת חוק הודעה לעובד ולמועמד לעבודה (תנאי עבודה והליכי מיון וקבלה לעבודה) (תיקון - הגברת השקיפות בעניין הפרשות לפנסיה), התש""ף-2020")</f>
        <v>26994</v>
      </c>
      <c r="E14012" t="s">
        <v>26994</v>
      </c>
      <c r="F14012" t="s">
        <v>26995</v>
      </c>
      <c r="G14012" t="s">
        <v>14</v>
      </c>
      <c r="H14012">
             </c>
      <c r="I14012" t="s">
        <v>14</v>
      </c>
      <c r="J14012" t="s">
        <v>141</v>
      </c>
      <c r="K14012" t="s">
        <v>14</v>
      </c>
      <c r="L14012" t="s">
        <v>20</v>
      </c>
      <c r="M14012" t="s">
        <v>26754</v>
      </c>
      <c r="N14012" t="s">
        <v>14</v>
      </c>
    </row>
    <row r="14013" x14ac:dyDescent="0.25">
      <c r="A14013" t="n">
        <v>23</v>
      </c>
      <c r="B14013" t="s">
        <v>14</v>
      </c>
      <c r="C14013" t="s">
        <v>22</v>
      </c>
      <c r="D14013" s="2" t="s">
        <f>=HYPERLINK("https://main.knesset.gov.il/APPS/legislation/main/bills/2085912", "הצעת חוק צער בעלי חיים (הגנה על בעלי חיים) (תיקון - איסור משלוחים חיים לשחיטה), התש""ף-2020")</f>
        <v>25487</v>
      </c>
      <c r="E14013" t="s">
        <v>25487</v>
      </c>
      <c r="F14013" t="s">
        <v>26996</v>
      </c>
      <c r="G14013" t="s">
        <v>14</v>
      </c>
      <c r="H14013">
             </c>
      <c r="I14013" t="s">
        <v>14</v>
      </c>
      <c r="J14013" t="s">
        <v>141</v>
      </c>
      <c r="K14013" t="s">
        <v>14</v>
      </c>
      <c r="L14013" t="s">
        <v>20</v>
      </c>
      <c r="M14013" t="s">
        <v>26754</v>
      </c>
      <c r="N14013" t="s">
        <v>14</v>
      </c>
    </row>
    <row r="14014" x14ac:dyDescent="0.25">
      <c r="A14014" t="n">
        <v>23</v>
      </c>
      <c r="B14014" t="s">
        <v>14</v>
      </c>
      <c r="C14014" t="s">
        <v>22</v>
      </c>
      <c r="D14014" s="2" t="s">
        <f>=HYPERLINK("https://main.knesset.gov.il/APPS/legislation/main/bills/2085907", "הצעת חוק הרשויות המקומיות (אכיפה סביבתית - סמכויות פקחים) (תיקון - הסמכת פקחים באיגוד ערים לווטרינריה), התש""ף-2020")</f>
        <v>26997</v>
      </c>
      <c r="E14014" t="s">
        <v>26997</v>
      </c>
      <c r="F14014" t="s">
        <v>26998</v>
      </c>
      <c r="G14014" t="s">
        <v>14</v>
      </c>
      <c r="H14014">
             </c>
      <c r="I14014" t="s">
        <v>14</v>
      </c>
      <c r="J14014" t="s">
        <v>141</v>
      </c>
      <c r="K14014" t="s">
        <v>14</v>
      </c>
      <c r="L14014" t="s">
        <v>20</v>
      </c>
      <c r="M14014" t="s">
        <v>26754</v>
      </c>
      <c r="N14014" t="s">
        <v>14</v>
      </c>
    </row>
    <row r="14015" x14ac:dyDescent="0.25">
      <c r="A14015" t="n">
        <v>23</v>
      </c>
      <c r="B14015" t="s">
        <v>14</v>
      </c>
      <c r="C14015" t="s">
        <v>22</v>
      </c>
      <c r="D14015" s="2" t="s">
        <f>=HYPERLINK("https://main.knesset.gov.il/APPS/legislation/main/bills/2085905", "הצעת חוק זכויות הדייר בדיור הציבורי (תיקון - סיוע ריאלי בשכר דירה), התש""ף-2020")</f>
        <v>26999</v>
      </c>
      <c r="E14015" t="s">
        <v>26999</v>
      </c>
      <c r="F14015" t="s">
        <v>27000</v>
      </c>
      <c r="G14015" t="s">
        <v>14</v>
      </c>
      <c r="H14015">
             </c>
      <c r="I14015" t="s">
        <v>14</v>
      </c>
      <c r="J14015" t="s">
        <v>141</v>
      </c>
      <c r="K14015" t="s">
        <v>14</v>
      </c>
      <c r="L14015" t="s">
        <v>20</v>
      </c>
      <c r="M14015" t="s">
        <v>26754</v>
      </c>
      <c r="N14015" t="s">
        <v>14</v>
      </c>
    </row>
    <row r="14016" x14ac:dyDescent="0.25">
      <c r="A14016" t="n">
        <v>23</v>
      </c>
      <c r="B14016" t="s">
        <v>14</v>
      </c>
      <c r="C14016" t="s">
        <v>22</v>
      </c>
      <c r="D14016" s="2" t="s">
        <f>=HYPERLINK("https://main.knesset.gov.il/APPS/legislation/main/bills/2085903", "הצעת חוק צער בעלי חיים (הגנה על בעלי חיים) (תיקון - ביטול כלובים בתעשיית הביצים), התש""ף-2020 ")</f>
        <v>27001</v>
      </c>
      <c r="E14016" t="s">
        <v>27001</v>
      </c>
      <c r="F14016" t="s">
        <v>27002</v>
      </c>
      <c r="G14016" t="s">
        <v>14</v>
      </c>
      <c r="H14016">
             </c>
      <c r="I14016" t="s">
        <v>14</v>
      </c>
      <c r="J14016" t="s">
        <v>141</v>
      </c>
      <c r="K14016" t="s">
        <v>14</v>
      </c>
      <c r="L14016" t="s">
        <v>20</v>
      </c>
      <c r="M14016" t="s">
        <v>26754</v>
      </c>
      <c r="N14016" t="s">
        <v>14</v>
      </c>
    </row>
    <row r="14017" x14ac:dyDescent="0.25">
      <c r="A14017" t="n">
        <v>23</v>
      </c>
      <c r="B14017" t="s">
        <v>14</v>
      </c>
      <c r="C14017" t="s">
        <v>22</v>
      </c>
      <c r="D14017" s="2" t="s">
        <f>=HYPERLINK("https://main.knesset.gov.il/APPS/legislation/main/bills/2085896", "הצעת חוק צער בעלי חיים (הגנה על בעלי חיים) (תיקון - איסור משלוחים חיים לשחיטה), התש""ף-2020")</f>
        <v>25487</v>
      </c>
      <c r="E14017" t="s">
        <v>25487</v>
      </c>
      <c r="F14017" t="s">
        <v>27003</v>
      </c>
      <c r="G14017" t="s">
        <v>14</v>
      </c>
      <c r="H14017">
             </c>
      <c r="I14017" t="s">
        <v>14</v>
      </c>
      <c r="J14017" t="s">
        <v>343</v>
      </c>
      <c r="K14017" t="s">
        <v>14</v>
      </c>
      <c r="L14017" t="s">
        <v>20</v>
      </c>
      <c r="M14017" t="s">
        <v>26754</v>
      </c>
      <c r="N14017" t="s">
        <v>14</v>
      </c>
    </row>
    <row r="14018" x14ac:dyDescent="0.25">
      <c r="A14018" t="n">
        <v>23</v>
      </c>
      <c r="B14018" t="s">
        <v>14</v>
      </c>
      <c r="C14018" t="s">
        <v>22</v>
      </c>
      <c r="D14018" s="2" t="s">
        <f>=HYPERLINK("https://main.knesset.gov.il/APPS/legislation/main/bills/2085875", "הצעת חוק צער בעלי חיים (הגנה על בעלי חיים) (תיקון - איחוד סמכויות), התש""ף-2020")</f>
        <v>25303</v>
      </c>
      <c r="E14018" t="s">
        <v>25303</v>
      </c>
      <c r="F14018" t="s">
        <v>27004</v>
      </c>
      <c r="G14018" t="s">
        <v>14</v>
      </c>
      <c r="H14018">
             </c>
      <c r="I14018" t="s">
        <v>14</v>
      </c>
      <c r="J14018" t="s">
        <v>141</v>
      </c>
      <c r="K14018" t="s">
        <v>14</v>
      </c>
      <c r="L14018" t="s">
        <v>20</v>
      </c>
      <c r="M14018" t="s">
        <v>26754</v>
      </c>
      <c r="N14018" t="s">
        <v>14</v>
      </c>
    </row>
    <row r="14019" x14ac:dyDescent="0.25">
      <c r="A14019" t="n">
        <v>23</v>
      </c>
      <c r="B14019" t="s">
        <v>14</v>
      </c>
      <c r="C14019" t="s">
        <v>22</v>
      </c>
      <c r="D14019" s="2" t="s">
        <f>=HYPERLINK("https://main.knesset.gov.il/APPS/legislation/main/bills/2085659", "הצעת חוק הרשות לטיפול בנפגעי הלם קרב, התש""ף-2020")</f>
        <v>27005</v>
      </c>
      <c r="E14019" t="s">
        <v>27005</v>
      </c>
      <c r="F14019" t="s">
        <v>27006</v>
      </c>
      <c r="G14019" t="s">
        <v>14</v>
      </c>
      <c r="H14019">
             </c>
      <c r="I14019" t="s">
        <v>14</v>
      </c>
      <c r="J14019" t="s">
        <v>141</v>
      </c>
      <c r="K14019" t="s">
        <v>14</v>
      </c>
      <c r="L14019" t="s">
        <v>20</v>
      </c>
      <c r="M14019" t="s">
        <v>26754</v>
      </c>
      <c r="N14019" t="s">
        <v>14</v>
      </c>
    </row>
    <row r="14020" x14ac:dyDescent="0.25">
      <c r="A14020" t="n">
        <v>23</v>
      </c>
      <c r="B14020" t="s">
        <v>14</v>
      </c>
      <c r="C14020" t="s">
        <v>22</v>
      </c>
      <c r="D14020" s="2" t="s">
        <f>=HYPERLINK("https://main.knesset.gov.il/APPS/legislation/main/bills/2085790", "הצעת חוק לתיקון פקודת מס הכנסה (החזר הוצאות על מסגרות לילדים בשעות הצהרים), התש""ף-2020")</f>
        <v>27007</v>
      </c>
      <c r="E14020" t="s">
        <v>27007</v>
      </c>
      <c r="F14020" t="s">
        <v>27008</v>
      </c>
      <c r="G14020" t="s">
        <v>14</v>
      </c>
      <c r="H14020">
             </c>
      <c r="I14020" t="s">
        <v>14</v>
      </c>
      <c r="J14020" t="s">
        <v>141</v>
      </c>
      <c r="K14020" t="s">
        <v>14</v>
      </c>
      <c r="L14020" t="s">
        <v>20</v>
      </c>
      <c r="M14020" t="s">
        <v>26754</v>
      </c>
      <c r="N14020" t="s">
        <v>14</v>
      </c>
    </row>
    <row r="14021" x14ac:dyDescent="0.25">
      <c r="A14021" t="n">
        <v>23</v>
      </c>
      <c r="B14021" t="s">
        <v>14</v>
      </c>
      <c r="C14021" t="s">
        <v>22</v>
      </c>
      <c r="D14021" s="2" t="s">
        <f>=HYPERLINK("https://main.knesset.gov.il/APPS/legislation/main/bills/2085849", "הצעת חוק להגנת חיית הבר (תיקון - איסור שימוש ברעל ובחומרי הדברה), התש""ף-2020 ")</f>
        <v>27009</v>
      </c>
      <c r="E14021" t="s">
        <v>27009</v>
      </c>
      <c r="F14021" t="s">
        <v>27010</v>
      </c>
      <c r="G14021" t="s">
        <v>14</v>
      </c>
      <c r="H14021">
             </c>
      <c r="I14021" t="s">
        <v>14</v>
      </c>
      <c r="J14021" t="s">
        <v>141</v>
      </c>
      <c r="K14021" t="s">
        <v>14</v>
      </c>
      <c r="L14021" t="s">
        <v>20</v>
      </c>
      <c r="M14021" t="s">
        <v>26754</v>
      </c>
      <c r="N14021" t="s">
        <v>14</v>
      </c>
    </row>
    <row r="14022" x14ac:dyDescent="0.25">
      <c r="A14022" t="n">
        <v>23</v>
      </c>
      <c r="B14022" t="s">
        <v>14</v>
      </c>
      <c r="C14022" t="s">
        <v>22</v>
      </c>
      <c r="D14022" s="2" t="s">
        <f>=HYPERLINK("https://main.knesset.gov.il/APPS/legislation/main/bills/2085950", "הצעת חוק הגנת השכר (תיקון - הגבלת ניכוי דמי חבר ודמי טיפול מקצועי ארגוני), התש""ף-2020")</f>
        <v>27011</v>
      </c>
      <c r="E14022" t="s">
        <v>27011</v>
      </c>
      <c r="F14022" t="s">
        <v>27012</v>
      </c>
      <c r="G14022" t="s">
        <v>14</v>
      </c>
      <c r="H14022">
             </c>
      <c r="I14022" t="s">
        <v>14</v>
      </c>
      <c r="J14022" t="s">
        <v>141</v>
      </c>
      <c r="K14022" t="s">
        <v>14</v>
      </c>
      <c r="L14022" t="s">
        <v>20</v>
      </c>
      <c r="M14022" t="s">
        <v>26754</v>
      </c>
      <c r="N14022" t="s">
        <v>14</v>
      </c>
    </row>
    <row r="14023" x14ac:dyDescent="0.25">
      <c r="A14023" t="n">
        <v>23</v>
      </c>
      <c r="B14023" t="s">
        <v>14</v>
      </c>
      <c r="C14023" t="s">
        <v>22</v>
      </c>
      <c r="D14023" s="2" t="s">
        <f>=HYPERLINK("https://main.knesset.gov.il/APPS/legislation/main/bills/2085877", "הצעת חוק להסדרת רעיית דבורים וייצור דבש, התש""ף-2020")</f>
        <v>27013</v>
      </c>
      <c r="E14023" t="s">
        <v>27013</v>
      </c>
      <c r="F14023" t="s">
        <v>27014</v>
      </c>
      <c r="G14023" t="s">
        <v>14</v>
      </c>
      <c r="H14023">
             </c>
      <c r="I14023" t="s">
        <v>14</v>
      </c>
      <c r="J14023" t="s">
        <v>141</v>
      </c>
      <c r="K14023" t="s">
        <v>14</v>
      </c>
      <c r="L14023" t="s">
        <v>20</v>
      </c>
      <c r="M14023" t="s">
        <v>26754</v>
      </c>
      <c r="N14023" t="s">
        <v>14</v>
      </c>
    </row>
    <row r="14024" x14ac:dyDescent="0.25">
      <c r="A14024" t="n">
        <v>23</v>
      </c>
      <c r="B14024" t="s">
        <v>14</v>
      </c>
      <c r="C14024" t="s">
        <v>22</v>
      </c>
      <c r="D14024" s="2" t="s">
        <f>=HYPERLINK("https://main.knesset.gov.il/APPS/legislation/main/bills/2085945", "הצעת חוק החלת החוק הישראלי בשטח בקעת הירדן (הליך קבלת אזרחות), התש""ף-2020")</f>
        <v>27015</v>
      </c>
      <c r="E14024" t="s">
        <v>27015</v>
      </c>
      <c r="F14024" t="s">
        <v>27016</v>
      </c>
      <c r="G14024" t="s">
        <v>14</v>
      </c>
      <c r="H14024">
             </c>
      <c r="I14024" t="s">
        <v>14</v>
      </c>
      <c r="J14024" t="s">
        <v>141</v>
      </c>
      <c r="K14024" t="s">
        <v>14</v>
      </c>
      <c r="L14024" t="s">
        <v>20</v>
      </c>
      <c r="M14024" t="s">
        <v>26754</v>
      </c>
      <c r="N14024" t="s">
        <v>14</v>
      </c>
    </row>
    <row r="14025" x14ac:dyDescent="0.25">
      <c r="A14025" t="n">
        <v>23</v>
      </c>
      <c r="B14025" t="s">
        <v>14</v>
      </c>
      <c r="C14025" t="s">
        <v>22</v>
      </c>
      <c r="D14025" s="2" t="s">
        <f>=HYPERLINK("https://main.knesset.gov.il/APPS/legislation/main/bills/2085577", "הצעת חוק בית המשפט לענייני משפחה (תיקון - פטור מתשלום אגרה למקבלי הבטחת הכנסה), התש""ף-2020 ")</f>
        <v>27017</v>
      </c>
      <c r="E14025" t="s">
        <v>27017</v>
      </c>
      <c r="F14025" t="s">
        <v>27018</v>
      </c>
      <c r="G14025" t="s">
        <v>14</v>
      </c>
      <c r="H14025">
             </c>
      <c r="I14025" t="s">
        <v>14</v>
      </c>
      <c r="J14025" t="s">
        <v>141</v>
      </c>
      <c r="K14025" t="s">
        <v>14</v>
      </c>
      <c r="L14025" t="s">
        <v>20</v>
      </c>
      <c r="M14025" t="s">
        <v>26754</v>
      </c>
      <c r="N14025" t="s">
        <v>14</v>
      </c>
    </row>
    <row r="14026" x14ac:dyDescent="0.25">
      <c r="A14026" t="n">
        <v>23</v>
      </c>
      <c r="B14026" t="s">
        <v>14</v>
      </c>
      <c r="C14026" t="s">
        <v>15</v>
      </c>
      <c r="D14026" s="2" t="s">
        <f>=HYPERLINK("https://main.knesset.gov.il/APPS/legislation/main/bills/2088033", "הצעת חוק מכסת מפוקחים בפיקוח אלקטרוני (הוראת שעה - נגיף הקורונה החדש), התש""ף-2020")</f>
        <v>27019</v>
      </c>
      <c r="E14026" t="s">
        <v>27019</v>
      </c>
      <c r="F14026" t="s">
        <v>14</v>
      </c>
      <c r="G14026" t="s">
        <v>27020</v>
      </c>
      <c r="H14026">
             </c>
      <c r="I14026" t="s">
        <v>14</v>
      </c>
      <c r="J14026" t="s">
        <v>1141</v>
      </c>
      <c r="K14026" t="s">
        <v>14</v>
      </c>
      <c r="L14026" t="s">
        <v>20</v>
      </c>
      <c r="M14026" t="s">
        <v>26754</v>
      </c>
      <c r="N14026" t="s">
        <v>14</v>
      </c>
    </row>
    <row r="14027" x14ac:dyDescent="0.25">
      <c r="A14027" t="n">
        <v>23</v>
      </c>
      <c r="B14027" t="s">
        <v>14</v>
      </c>
      <c r="C14027" t="s">
        <v>15</v>
      </c>
      <c r="D14027" s="2" t="s">
        <f>=HYPERLINK("https://main.knesset.gov.il/APPS/legislation/main/bills/2088034", "הצעת חוק דחיית מועדים לתשלום קנסות (נגיף הקורונה החדש), התש""ף-2020")</f>
        <v>27021</v>
      </c>
      <c r="E14027" t="s">
        <v>27021</v>
      </c>
      <c r="F14027" t="s">
        <v>14</v>
      </c>
      <c r="G14027" t="s">
        <v>27022</v>
      </c>
      <c r="H14027">
             </c>
      <c r="I14027" t="s">
        <v>14</v>
      </c>
      <c r="J14027" t="s">
        <v>1141</v>
      </c>
      <c r="K14027" t="s">
        <v>14</v>
      </c>
      <c r="L14027" t="s">
        <v>20</v>
      </c>
      <c r="M14027" t="s">
        <v>26754</v>
      </c>
      <c r="N14027" t="s">
        <v>14</v>
      </c>
    </row>
    <row r="14028" x14ac:dyDescent="0.25">
      <c r="A14028" t="n">
        <v>23</v>
      </c>
      <c r="B14028" t="s">
        <v>14</v>
      </c>
      <c r="C14028" t="s">
        <v>22</v>
      </c>
      <c r="D14028" s="2" t="s">
        <f>=HYPERLINK("https://main.knesset.gov.il/APPS/legislation/main/bills/2087658", "הצעת חוק החלת החוק הישראלי בשטחי בקעת הירדן צפון ים המלח והישובים היהודיים ביהודה והשומרון, התש""ף-2020")</f>
        <v>27023</v>
      </c>
      <c r="E14028" t="s">
        <v>27023</v>
      </c>
      <c r="F14028" t="s">
        <v>27024</v>
      </c>
      <c r="G14028" t="s">
        <v>14</v>
      </c>
      <c r="H14028">
             </c>
      <c r="I14028" t="s">
        <v>14</v>
      </c>
      <c r="J14028" t="s">
        <v>141</v>
      </c>
      <c r="K14028" t="s">
        <v>14</v>
      </c>
      <c r="L14028" t="s">
        <v>20</v>
      </c>
      <c r="M14028" t="s">
        <v>27025</v>
      </c>
      <c r="N14028" t="s">
        <v>14</v>
      </c>
    </row>
    <row r="14029" x14ac:dyDescent="0.25">
      <c r="A14029" t="n">
        <v>23</v>
      </c>
      <c r="B14029" t="s">
        <v>14</v>
      </c>
      <c r="C14029" t="s">
        <v>22</v>
      </c>
      <c r="D14029" s="2" t="s">
        <f>=HYPERLINK("https://main.knesset.gov.il/APPS/legislation/main/bills/2086497", "הצעת חוק זכויות הסטודנט (תיקון - פעילות ציבורית), התש""ף-2020")</f>
        <v>25297</v>
      </c>
      <c r="E14029" t="s">
        <v>25297</v>
      </c>
      <c r="F14029" t="s">
        <v>27026</v>
      </c>
      <c r="G14029" t="s">
        <v>14</v>
      </c>
      <c r="H14029">
             </c>
      <c r="I14029" t="s">
        <v>14</v>
      </c>
      <c r="J14029" t="s">
        <v>141</v>
      </c>
      <c r="K14029" t="s">
        <v>14</v>
      </c>
      <c r="L14029" t="s">
        <v>20</v>
      </c>
      <c r="M14029" t="s">
        <v>27025</v>
      </c>
      <c r="N14029" t="s">
        <v>14</v>
      </c>
    </row>
    <row r="14030" x14ac:dyDescent="0.25">
      <c r="A14030" t="n">
        <v>23</v>
      </c>
      <c r="B14030" t="s">
        <v>14</v>
      </c>
      <c r="C14030" t="s">
        <v>22</v>
      </c>
      <c r="D14030" s="2" t="s">
        <f>=HYPERLINK("https://main.knesset.gov.il/APPS/legislation/main/bills/2086285", "הצעת חוק סדר הדין הפלילי (תיקון - ביטול האיסור המוטל על המשטרה למסור לפרקליטות עמדה בכתב לעניין מכלול התשתית הראייתית), התש""ף-2020")</f>
        <v>26022</v>
      </c>
      <c r="E14030" t="s">
        <v>26022</v>
      </c>
      <c r="F14030" t="s">
        <v>27027</v>
      </c>
      <c r="G14030" t="s">
        <v>14</v>
      </c>
      <c r="H14030">
             </c>
      <c r="I14030" t="s">
        <v>14</v>
      </c>
      <c r="J14030" t="s">
        <v>141</v>
      </c>
      <c r="K14030" t="s">
        <v>14</v>
      </c>
      <c r="L14030" t="s">
        <v>20</v>
      </c>
      <c r="M14030" t="s">
        <v>27025</v>
      </c>
      <c r="N14030" t="s">
        <v>14</v>
      </c>
    </row>
    <row r="14031" x14ac:dyDescent="0.25">
      <c r="A14031" t="n">
        <v>23</v>
      </c>
      <c r="B14031" t="s">
        <v>14</v>
      </c>
      <c r="C14031" t="s">
        <v>22</v>
      </c>
      <c r="D14031" s="2" t="s">
        <f>=HYPERLINK("https://main.knesset.gov.il/APPS/legislation/main/bills/2086235", "הצעת חוק סיוע לקטינים נפגעי עבירות מין או אלימות (תיקון - טיפול נפשי לילדים נפגעי אלימות במשפחה או חשופים לאלימות במשפחה), התש""ף-2020")</f>
        <v>27028</v>
      </c>
      <c r="E14031" t="s">
        <v>27028</v>
      </c>
      <c r="F14031" t="s">
        <v>27029</v>
      </c>
      <c r="G14031" t="s">
        <v>14</v>
      </c>
      <c r="H14031">
             </c>
      <c r="I14031" t="s">
        <v>14</v>
      </c>
      <c r="J14031" t="s">
        <v>141</v>
      </c>
      <c r="K14031" t="s">
        <v>14</v>
      </c>
      <c r="L14031" t="s">
        <v>20</v>
      </c>
      <c r="M14031" t="s">
        <v>27025</v>
      </c>
      <c r="N14031" t="s">
        <v>14</v>
      </c>
    </row>
    <row r="14032" x14ac:dyDescent="0.25">
      <c r="A14032" t="n">
        <v>23</v>
      </c>
      <c r="B14032" t="s">
        <v>14</v>
      </c>
      <c r="C14032" t="s">
        <v>22</v>
      </c>
      <c r="D14032" s="2" t="s">
        <f>=HYPERLINK("https://main.knesset.gov.il/APPS/legislation/main/bills/2086013", "הצעת חוק אימוץ ילדים (תיקון - אימוץ על ידי בני הזוג), התש""ף-2020")</f>
        <v>27030</v>
      </c>
      <c r="E14032" t="s">
        <v>27030</v>
      </c>
      <c r="F14032" t="s">
        <v>27031</v>
      </c>
      <c r="G14032" t="s">
        <v>14</v>
      </c>
      <c r="H14032">
             </c>
      <c r="I14032" t="s">
        <v>14</v>
      </c>
      <c r="J14032" t="s">
        <v>141</v>
      </c>
      <c r="K14032" t="s">
        <v>14</v>
      </c>
      <c r="L14032" t="s">
        <v>20</v>
      </c>
      <c r="M14032" t="s">
        <v>27025</v>
      </c>
      <c r="N14032" t="s">
        <v>14</v>
      </c>
    </row>
    <row r="14033" x14ac:dyDescent="0.25">
      <c r="A14033" t="n">
        <v>23</v>
      </c>
      <c r="B14033" t="s">
        <v>14</v>
      </c>
      <c r="C14033" t="s">
        <v>22</v>
      </c>
      <c r="D14033" s="2" t="s">
        <f>=HYPERLINK("https://main.knesset.gov.il/APPS/legislation/main/bills/2085987", "הצעת חוק המקרקעין (תיקון - התקנת מעלית מטעמים מיוחדים), התש""ף-2020")</f>
        <v>26601</v>
      </c>
      <c r="E14033" t="s">
        <v>26601</v>
      </c>
      <c r="F14033" t="s">
        <v>27032</v>
      </c>
      <c r="G14033" t="s">
        <v>14</v>
      </c>
      <c r="H14033">
             </c>
      <c r="I14033" t="s">
        <v>14</v>
      </c>
      <c r="J14033" t="s">
        <v>141</v>
      </c>
      <c r="K14033" t="s">
        <v>14</v>
      </c>
      <c r="L14033" t="s">
        <v>20</v>
      </c>
      <c r="M14033" t="s">
        <v>27025</v>
      </c>
      <c r="N14033" t="s">
        <v>14</v>
      </c>
    </row>
    <row r="14034" x14ac:dyDescent="0.25">
      <c r="A14034" t="n">
        <v>23</v>
      </c>
      <c r="B14034" t="s">
        <v>14</v>
      </c>
      <c r="C14034" t="s">
        <v>22</v>
      </c>
      <c r="D14034" s="2" t="s">
        <f>=HYPERLINK("https://main.knesset.gov.il/APPS/legislation/main/bills/2086297", "הצעת חוק הקצאת דירות שנבנו במסגרת תכנית מחיר למשתכן למחוסרי דיור או לדיור הציבורי, התש""ף-2020")</f>
        <v>27033</v>
      </c>
      <c r="E14034" t="s">
        <v>27033</v>
      </c>
      <c r="F14034" t="s">
        <v>27034</v>
      </c>
      <c r="G14034" t="s">
        <v>14</v>
      </c>
      <c r="H14034">
             </c>
      <c r="I14034" t="s">
        <v>14</v>
      </c>
      <c r="J14034" t="s">
        <v>141</v>
      </c>
      <c r="K14034" t="s">
        <v>14</v>
      </c>
      <c r="L14034" t="s">
        <v>20</v>
      </c>
      <c r="M14034" t="s">
        <v>27025</v>
      </c>
      <c r="N14034" t="s">
        <v>14</v>
      </c>
    </row>
    <row r="14035" x14ac:dyDescent="0.25">
      <c r="A14035" t="n">
        <v>23</v>
      </c>
      <c r="B14035" t="s">
        <v>14</v>
      </c>
      <c r="C14035" t="s">
        <v>22</v>
      </c>
      <c r="D14035" s="2" t="s">
        <f>=HYPERLINK("https://main.knesset.gov.il/APPS/legislation/main/bills/2086278", "הצעת חוק חג המימונה, התש""ף-2020")</f>
        <v>27035</v>
      </c>
      <c r="E14035" t="s">
        <v>27035</v>
      </c>
      <c r="F14035" t="s">
        <v>27036</v>
      </c>
      <c r="G14035" t="s">
        <v>14</v>
      </c>
      <c r="H14035">
             </c>
      <c r="I14035" t="s">
        <v>14</v>
      </c>
      <c r="J14035" t="s">
        <v>141</v>
      </c>
      <c r="K14035" t="s">
        <v>14</v>
      </c>
      <c r="L14035" t="s">
        <v>20</v>
      </c>
      <c r="M14035" t="s">
        <v>27025</v>
      </c>
      <c r="N14035" t="s">
        <v>14</v>
      </c>
    </row>
    <row r="14036" x14ac:dyDescent="0.25">
      <c r="A14036" t="n">
        <v>23</v>
      </c>
      <c r="B14036" t="s">
        <v>14</v>
      </c>
      <c r="C14036" t="s">
        <v>22</v>
      </c>
      <c r="D14036" s="2" t="s">
        <f>=HYPERLINK("https://main.knesset.gov.il/APPS/legislation/main/bills/2086296", "הצעת חוק לתיקון פקודת התעבורה (הגבלת מתן רישיון נהיגה לטרקטורון), התש""ף-2020 ")</f>
        <v>27037</v>
      </c>
      <c r="E14036" t="s">
        <v>27037</v>
      </c>
      <c r="F14036" t="s">
        <v>27038</v>
      </c>
      <c r="G14036" t="s">
        <v>14</v>
      </c>
      <c r="H14036">
             </c>
      <c r="I14036" t="s">
        <v>14</v>
      </c>
      <c r="J14036" t="s">
        <v>141</v>
      </c>
      <c r="K14036" t="s">
        <v>14</v>
      </c>
      <c r="L14036" t="s">
        <v>20</v>
      </c>
      <c r="M14036" t="s">
        <v>27025</v>
      </c>
      <c r="N14036" t="s">
        <v>14</v>
      </c>
    </row>
    <row r="14037" x14ac:dyDescent="0.25">
      <c r="A14037" t="n">
        <v>23</v>
      </c>
      <c r="B14037" t="s">
        <v>14</v>
      </c>
      <c r="C14037" t="s">
        <v>22</v>
      </c>
      <c r="D14037" s="2" t="s">
        <f>=HYPERLINK("https://main.knesset.gov.il/APPS/legislation/main/bills/2086276", "הצעת חוק זכויות הדייר בדיור הציבורי (תיקון - הארכת תוקף זכאות לדירה ציבורית), התש""ף-2020")</f>
        <v>27039</v>
      </c>
      <c r="E14037" t="s">
        <v>27039</v>
      </c>
      <c r="F14037" t="s">
        <v>27040</v>
      </c>
      <c r="G14037" t="s">
        <v>14</v>
      </c>
      <c r="H14037">
             </c>
      <c r="I14037" t="s">
        <v>14</v>
      </c>
      <c r="J14037" t="s">
        <v>141</v>
      </c>
      <c r="K14037" t="s">
        <v>14</v>
      </c>
      <c r="L14037" t="s">
        <v>20</v>
      </c>
      <c r="M14037" t="s">
        <v>27025</v>
      </c>
      <c r="N14037" t="s">
        <v>14</v>
      </c>
    </row>
    <row r="14038" x14ac:dyDescent="0.25">
      <c r="A14038" t="n">
        <v>23</v>
      </c>
      <c r="B14038" t="s">
        <v>14</v>
      </c>
      <c r="C14038" t="s">
        <v>22</v>
      </c>
      <c r="D14038" s="2" t="s">
        <f>=HYPERLINK("https://main.knesset.gov.il/APPS/legislation/main/bills/2086109", "הצעת חוק חופשה שנתית (תיקון - היעדרות בשל פטירת סב), התש""ף-2020")</f>
        <v>27041</v>
      </c>
      <c r="E14038" t="s">
        <v>27041</v>
      </c>
      <c r="F14038" t="s">
        <v>27042</v>
      </c>
      <c r="G14038" t="s">
        <v>14</v>
      </c>
      <c r="H14038">
             </c>
      <c r="I14038" t="s">
        <v>14</v>
      </c>
      <c r="J14038" t="s">
        <v>141</v>
      </c>
      <c r="K14038" t="s">
        <v>14</v>
      </c>
      <c r="L14038" t="s">
        <v>20</v>
      </c>
      <c r="M14038" t="s">
        <v>27025</v>
      </c>
      <c r="N14038" t="s">
        <v>14</v>
      </c>
    </row>
    <row r="14039" x14ac:dyDescent="0.25">
      <c r="A14039" t="n">
        <v>23</v>
      </c>
      <c r="B14039" t="s">
        <v>14</v>
      </c>
      <c r="C14039" t="s">
        <v>22</v>
      </c>
      <c r="D14039" s="2" t="s">
        <f>=HYPERLINK("https://main.knesset.gov.il/APPS/legislation/main/bills/2086295", "הצעת חוק המכר (דירות) (תיקון - הסדרת בנייה במסגרת קבוצות רכישה), התש""ף-2020")</f>
        <v>27043</v>
      </c>
      <c r="E14039" t="s">
        <v>27043</v>
      </c>
      <c r="F14039" t="s">
        <v>27044</v>
      </c>
      <c r="G14039" t="s">
        <v>14</v>
      </c>
      <c r="H14039">
             </c>
      <c r="I14039" t="s">
        <v>14</v>
      </c>
      <c r="J14039" t="s">
        <v>141</v>
      </c>
      <c r="K14039" t="s">
        <v>14</v>
      </c>
      <c r="L14039" t="s">
        <v>20</v>
      </c>
      <c r="M14039" t="s">
        <v>27025</v>
      </c>
      <c r="N14039" t="s">
        <v>14</v>
      </c>
    </row>
    <row r="14040" x14ac:dyDescent="0.25">
      <c r="A14040" t="n">
        <v>23</v>
      </c>
      <c r="B14040" t="s">
        <v>14</v>
      </c>
      <c r="C14040" t="s">
        <v>22</v>
      </c>
      <c r="D14040" s="2" t="s">
        <f>=HYPERLINK("https://main.knesset.gov.il/APPS/legislation/main/bills/2086541", "הצעת חוק העסקת עובדים על ידי קבלני כוח אדם (תיקון - מגבלות ברישוי קבלני כוח אדם), התש""ף-2020")</f>
        <v>27045</v>
      </c>
      <c r="E14040" t="s">
        <v>27045</v>
      </c>
      <c r="F14040" t="s">
        <v>27046</v>
      </c>
      <c r="G14040" t="s">
        <v>14</v>
      </c>
      <c r="H14040">
             </c>
      <c r="I14040" t="s">
        <v>14</v>
      </c>
      <c r="J14040" t="s">
        <v>141</v>
      </c>
      <c r="K14040" t="s">
        <v>14</v>
      </c>
      <c r="L14040" t="s">
        <v>20</v>
      </c>
      <c r="M14040" t="s">
        <v>27025</v>
      </c>
      <c r="N14040" t="s">
        <v>14</v>
      </c>
    </row>
    <row r="14041" x14ac:dyDescent="0.25">
      <c r="A14041" t="n">
        <v>23</v>
      </c>
      <c r="B14041" t="s">
        <v>14</v>
      </c>
      <c r="C14041" t="s">
        <v>22</v>
      </c>
      <c r="D14041" s="2" t="s">
        <f>=HYPERLINK("https://main.knesset.gov.il/APPS/legislation/main/bills/2086275", "הצעת חוק מתן סיוע ריאלי בשכר דירה לזכאים, התש""ף-2020")</f>
        <v>27047</v>
      </c>
      <c r="E14041" t="s">
        <v>27047</v>
      </c>
      <c r="F14041" t="s">
        <v>27048</v>
      </c>
      <c r="G14041" t="s">
        <v>14</v>
      </c>
      <c r="H14041">
             </c>
      <c r="I14041" t="s">
        <v>14</v>
      </c>
      <c r="J14041" t="s">
        <v>141</v>
      </c>
      <c r="K14041" t="s">
        <v>14</v>
      </c>
      <c r="L14041" t="s">
        <v>20</v>
      </c>
      <c r="M14041" t="s">
        <v>27025</v>
      </c>
      <c r="N14041" t="s">
        <v>14</v>
      </c>
    </row>
    <row r="14042" x14ac:dyDescent="0.25">
      <c r="A14042" t="n">
        <v>23</v>
      </c>
      <c r="B14042" t="s">
        <v>14</v>
      </c>
      <c r="C14042" t="s">
        <v>22</v>
      </c>
      <c r="D14042" s="2" t="s">
        <f>=HYPERLINK("https://main.knesset.gov.il/APPS/legislation/main/bills/2086294", "הצעת חוק העונשין (תיקון - חילוט רווחי סרסרות), התש""ף-2020")</f>
        <v>23951</v>
      </c>
      <c r="E14042" t="s">
        <v>23951</v>
      </c>
      <c r="F14042" t="s">
        <v>27049</v>
      </c>
      <c r="G14042" t="s">
        <v>14</v>
      </c>
      <c r="H14042">
             </c>
      <c r="I14042" t="s">
        <v>14</v>
      </c>
      <c r="J14042" t="s">
        <v>141</v>
      </c>
      <c r="K14042" t="s">
        <v>14</v>
      </c>
      <c r="L14042" t="s">
        <v>20</v>
      </c>
      <c r="M14042" t="s">
        <v>27025</v>
      </c>
      <c r="N14042" t="s">
        <v>14</v>
      </c>
    </row>
    <row r="14043" x14ac:dyDescent="0.25">
      <c r="A14043" t="n">
        <v>23</v>
      </c>
      <c r="B14043" t="s">
        <v>14</v>
      </c>
      <c r="C14043" t="s">
        <v>22</v>
      </c>
      <c r="D14043" s="2" t="s">
        <f>=HYPERLINK("https://main.knesset.gov.il/APPS/legislation/main/bills/2086274", "הצעת חוק מגן דוד אדום (תיקון - פריסת ניידות טיפול נמרץ ברחבי המדינה), התש""ף-2020")</f>
        <v>27050</v>
      </c>
      <c r="E14043" t="s">
        <v>27050</v>
      </c>
      <c r="F14043" t="s">
        <v>27051</v>
      </c>
      <c r="G14043" t="s">
        <v>14</v>
      </c>
      <c r="H14043">
             </c>
      <c r="I14043" t="s">
        <v>14</v>
      </c>
      <c r="J14043" t="s">
        <v>141</v>
      </c>
      <c r="K14043" t="s">
        <v>14</v>
      </c>
      <c r="L14043" t="s">
        <v>20</v>
      </c>
      <c r="M14043" t="s">
        <v>27025</v>
      </c>
      <c r="N14043" t="s">
        <v>14</v>
      </c>
    </row>
    <row r="14044" x14ac:dyDescent="0.25">
      <c r="A14044" t="n">
        <v>23</v>
      </c>
      <c r="B14044" t="s">
        <v>14</v>
      </c>
      <c r="C14044" t="s">
        <v>22</v>
      </c>
      <c r="D14044" s="2" t="s">
        <f>=HYPERLINK("https://main.knesset.gov.il/APPS/legislation/main/bills/2086082", "הצעת חוק הרבנות הראשית לישראל (תיקון - רב ראשי אחד), התש""ף-2020")</f>
        <v>27052</v>
      </c>
      <c r="E14044" t="s">
        <v>27052</v>
      </c>
      <c r="F14044" t="s">
        <v>27053</v>
      </c>
      <c r="G14044" t="s">
        <v>14</v>
      </c>
      <c r="H14044">
             </c>
      <c r="I14044" t="s">
        <v>14</v>
      </c>
      <c r="J14044" t="s">
        <v>141</v>
      </c>
      <c r="K14044" t="s">
        <v>14</v>
      </c>
      <c r="L14044" t="s">
        <v>20</v>
      </c>
      <c r="M14044" t="s">
        <v>27025</v>
      </c>
      <c r="N14044" t="s">
        <v>14</v>
      </c>
    </row>
    <row r="14045" x14ac:dyDescent="0.25">
      <c r="A14045" t="n">
        <v>23</v>
      </c>
      <c r="B14045" t="s">
        <v>14</v>
      </c>
      <c r="C14045" t="s">
        <v>22</v>
      </c>
      <c r="D14045" s="2" t="s">
        <f>=HYPERLINK("https://main.knesset.gov.il/APPS/legislation/main/bills/2086249", "הצעת חוק הביטוח הלאומי (תיקון - הצמדת קצבת אזרח ותיק לשכר הממוצע לפחות), התש""ף-2020")</f>
        <v>26508</v>
      </c>
      <c r="E14045" t="s">
        <v>26508</v>
      </c>
      <c r="F14045" t="s">
        <v>27054</v>
      </c>
      <c r="G14045" t="s">
        <v>14</v>
      </c>
      <c r="H14045">
             </c>
      <c r="I14045" t="s">
        <v>14</v>
      </c>
      <c r="J14045" t="s">
        <v>141</v>
      </c>
      <c r="K14045" t="s">
        <v>14</v>
      </c>
      <c r="L14045" t="s">
        <v>20</v>
      </c>
      <c r="M14045" t="s">
        <v>27025</v>
      </c>
      <c r="N14045" t="s">
        <v>14</v>
      </c>
    </row>
    <row r="14046" x14ac:dyDescent="0.25">
      <c r="A14046" t="n">
        <v>23</v>
      </c>
      <c r="B14046" t="s">
        <v>14</v>
      </c>
      <c r="C14046" t="s">
        <v>22</v>
      </c>
      <c r="D14046" s="2" t="s">
        <f>=HYPERLINK("https://main.knesset.gov.il/APPS/legislation/main/bills/2086527", "הצעת חוק הרבנות הראשית לישראל (תיקון - ביטול החוק), התש""ף-2020")</f>
        <v>27055</v>
      </c>
      <c r="E14046" t="s">
        <v>27055</v>
      </c>
      <c r="F14046" t="s">
        <v>27056</v>
      </c>
      <c r="G14046" t="s">
        <v>14</v>
      </c>
      <c r="H14046">
             </c>
      <c r="I14046" t="s">
        <v>14</v>
      </c>
      <c r="J14046" t="s">
        <v>141</v>
      </c>
      <c r="K14046" t="s">
        <v>14</v>
      </c>
      <c r="L14046" t="s">
        <v>20</v>
      </c>
      <c r="M14046" t="s">
        <v>27025</v>
      </c>
      <c r="N14046" t="s">
        <v>14</v>
      </c>
    </row>
    <row r="14047" x14ac:dyDescent="0.25">
      <c r="A14047" t="n">
        <v>23</v>
      </c>
      <c r="B14047" t="s">
        <v>14</v>
      </c>
      <c r="C14047" t="s">
        <v>22</v>
      </c>
      <c r="D14047" s="2" t="s">
        <f>=HYPERLINK("https://main.knesset.gov.il/APPS/legislation/main/bills/2085982", "הצעת חוק הגנת הצרכן (תיקון - פרסומת ודרכי שיווק אסורים במוסד חינוך), התש""ף-2020")</f>
        <v>27057</v>
      </c>
      <c r="E14047" t="s">
        <v>27057</v>
      </c>
      <c r="F14047" t="s">
        <v>27058</v>
      </c>
      <c r="G14047" t="s">
        <v>14</v>
      </c>
      <c r="H14047">
             </c>
      <c r="I14047" t="s">
        <v>14</v>
      </c>
      <c r="J14047" t="s">
        <v>141</v>
      </c>
      <c r="K14047" t="s">
        <v>14</v>
      </c>
      <c r="L14047" t="s">
        <v>20</v>
      </c>
      <c r="M14047" t="s">
        <v>27025</v>
      </c>
      <c r="N14047" t="s">
        <v>14</v>
      </c>
    </row>
    <row r="14048" x14ac:dyDescent="0.25">
      <c r="A14048" t="n">
        <v>23</v>
      </c>
      <c r="B14048" t="s">
        <v>14</v>
      </c>
      <c r="C14048" t="s">
        <v>22</v>
      </c>
      <c r="D14048" s="2" t="s">
        <f>=HYPERLINK("https://main.knesset.gov.il/APPS/legislation/main/bills/2086511", "הצעת חוק חינוך ממלכתי (תיקון - ביטול השתתפות רשות מקומית בתקציבי מוסדות חינוך מוכרים לא רשמיים), התש""ף-2020")</f>
        <v>27059</v>
      </c>
      <c r="E14048" t="s">
        <v>27059</v>
      </c>
      <c r="F14048" t="s">
        <v>27060</v>
      </c>
      <c r="G14048" t="s">
        <v>14</v>
      </c>
      <c r="H14048">
             </c>
      <c r="I14048" t="s">
        <v>14</v>
      </c>
      <c r="J14048" t="s">
        <v>141</v>
      </c>
      <c r="K14048" t="s">
        <v>14</v>
      </c>
      <c r="L14048" t="s">
        <v>20</v>
      </c>
      <c r="M14048" t="s">
        <v>27025</v>
      </c>
      <c r="N14048" t="s">
        <v>14</v>
      </c>
    </row>
    <row r="14049" x14ac:dyDescent="0.25">
      <c r="A14049" t="n">
        <v>23</v>
      </c>
      <c r="B14049" t="s">
        <v>14</v>
      </c>
      <c r="C14049" t="s">
        <v>22</v>
      </c>
      <c r="D14049" s="2" t="s">
        <f>=HYPERLINK("https://main.knesset.gov.il/APPS/legislation/main/bills/2086026", "הצעת חוק הביטוח הלאומי (תיקון - דמי ביטוח מופחתים למעסיק קולט עלייה), התש""ף-2020")</f>
        <v>27061</v>
      </c>
      <c r="E14049" t="s">
        <v>27061</v>
      </c>
      <c r="F14049" t="s">
        <v>27062</v>
      </c>
      <c r="G14049" t="s">
        <v>14</v>
      </c>
      <c r="H14049">
             </c>
      <c r="I14049" t="s">
        <v>14</v>
      </c>
      <c r="J14049" t="s">
        <v>141</v>
      </c>
      <c r="K14049" t="s">
        <v>14</v>
      </c>
      <c r="L14049" t="s">
        <v>20</v>
      </c>
      <c r="M14049" t="s">
        <v>27025</v>
      </c>
      <c r="N14049" t="s">
        <v>14</v>
      </c>
    </row>
    <row r="14050" x14ac:dyDescent="0.25">
      <c r="A14050" t="n">
        <v>23</v>
      </c>
      <c r="B14050" t="s">
        <v>14</v>
      </c>
      <c r="C14050" t="s">
        <v>22</v>
      </c>
      <c r="D14050" s="2" t="s">
        <f>=HYPERLINK("https://main.knesset.gov.il/APPS/legislation/main/bills/2086509", "הצעת חוק עבודת נשים (תיקון - הגנה לעובדת העוברת טיפולי פוריות), התש""ף-2020")</f>
        <v>27063</v>
      </c>
      <c r="E14050" t="s">
        <v>27063</v>
      </c>
      <c r="F14050" t="s">
        <v>27064</v>
      </c>
      <c r="G14050" t="s">
        <v>14</v>
      </c>
      <c r="H14050">
             </c>
      <c r="I14050" t="s">
        <v>14</v>
      </c>
      <c r="J14050" t="s">
        <v>141</v>
      </c>
      <c r="K14050" t="s">
        <v>14</v>
      </c>
      <c r="L14050" t="s">
        <v>20</v>
      </c>
      <c r="M14050" t="s">
        <v>27025</v>
      </c>
      <c r="N14050" t="s">
        <v>14</v>
      </c>
    </row>
    <row r="14051" x14ac:dyDescent="0.25">
      <c r="A14051" t="n">
        <v>23</v>
      </c>
      <c r="B14051" t="s">
        <v>14</v>
      </c>
      <c r="C14051" t="s">
        <v>22</v>
      </c>
      <c r="D14051" s="2" t="s">
        <f>=HYPERLINK("https://main.knesset.gov.il/APPS/legislation/main/bills/2086507", "הצעת חוק התגמולים לנפגעי פעולות איבה (תיקון - פשעי שנאה), התש""ף-2020")</f>
        <v>27065</v>
      </c>
      <c r="E14051" t="s">
        <v>27065</v>
      </c>
      <c r="F14051" t="s">
        <v>27066</v>
      </c>
      <c r="G14051" t="s">
        <v>14</v>
      </c>
      <c r="H14051">
             </c>
      <c r="I14051" t="s">
        <v>14</v>
      </c>
      <c r="J14051" t="s">
        <v>141</v>
      </c>
      <c r="K14051" t="s">
        <v>14</v>
      </c>
      <c r="L14051" t="s">
        <v>20</v>
      </c>
      <c r="M14051" t="s">
        <v>27025</v>
      </c>
      <c r="N14051" t="s">
        <v>14</v>
      </c>
    </row>
    <row r="14052" x14ac:dyDescent="0.25">
      <c r="A14052" t="n">
        <v>23</v>
      </c>
      <c r="B14052" t="s">
        <v>14</v>
      </c>
      <c r="C14052" t="s">
        <v>22</v>
      </c>
      <c r="D14052" s="2" t="s">
        <f>=HYPERLINK("https://main.knesset.gov.il/APPS/legislation/main/bills/2085966", "הצעת חוק המוזיאונים (תיקון - מוזיאונים להנצחה ולהנחלה של זכר השואה והגבורה), התש""ף-2020")</f>
        <v>27067</v>
      </c>
      <c r="E14052" t="s">
        <v>27067</v>
      </c>
      <c r="F14052" t="s">
        <v>27068</v>
      </c>
      <c r="G14052" t="s">
        <v>14</v>
      </c>
      <c r="H14052">
             </c>
      <c r="I14052" t="s">
        <v>14</v>
      </c>
      <c r="J14052" t="s">
        <v>141</v>
      </c>
      <c r="K14052" t="s">
        <v>14</v>
      </c>
      <c r="L14052" t="s">
        <v>20</v>
      </c>
      <c r="M14052" t="s">
        <v>27025</v>
      </c>
      <c r="N14052" t="s">
        <v>14</v>
      </c>
    </row>
    <row r="14053" x14ac:dyDescent="0.25">
      <c r="A14053" t="n">
        <v>23</v>
      </c>
      <c r="B14053" t="s">
        <v>14</v>
      </c>
      <c r="C14053" t="s">
        <v>22</v>
      </c>
      <c r="D14053" s="2" t="s">
        <f>=HYPERLINK("https://main.knesset.gov.il/APPS/legislation/main/bills/2086501", "הצעת חוק זכויות, שירותים והתאמות בחינוך לילדים עם צרכים מיוחדים, התש""ף-2020")</f>
        <v>27069</v>
      </c>
      <c r="E14053" t="s">
        <v>27069</v>
      </c>
      <c r="F14053" t="s">
        <v>27070</v>
      </c>
      <c r="G14053" t="s">
        <v>14</v>
      </c>
      <c r="H14053">
             </c>
      <c r="I14053" t="s">
        <v>14</v>
      </c>
      <c r="J14053" t="s">
        <v>141</v>
      </c>
      <c r="K14053" t="s">
        <v>14</v>
      </c>
      <c r="L14053" t="s">
        <v>20</v>
      </c>
      <c r="M14053" t="s">
        <v>27025</v>
      </c>
      <c r="N14053" t="s">
        <v>14</v>
      </c>
    </row>
    <row r="14054" x14ac:dyDescent="0.25">
      <c r="A14054" t="n">
        <v>23</v>
      </c>
      <c r="B14054" t="s">
        <v>14</v>
      </c>
      <c r="C14054" t="s">
        <v>22</v>
      </c>
      <c r="D14054" s="2" t="s">
        <f>=HYPERLINK("https://main.knesset.gov.il/APPS/legislation/main/bills/2086490", "הצעת חוק איסור הפליה במוצרים, בשירותים ובכניסה למקומות בידור ולמקומות ציבוריים (תיקון - הגדלת סכום הפיצוי בלא הוכחת נזק), התש""ף-2020")</f>
        <v>27071</v>
      </c>
      <c r="E14054" t="s">
        <v>27071</v>
      </c>
      <c r="F14054" t="s">
        <v>27072</v>
      </c>
      <c r="G14054" t="s">
        <v>14</v>
      </c>
      <c r="H14054">
             </c>
      <c r="I14054" t="s">
        <v>14</v>
      </c>
      <c r="J14054" t="s">
        <v>141</v>
      </c>
      <c r="K14054" t="s">
        <v>14</v>
      </c>
      <c r="L14054" t="s">
        <v>20</v>
      </c>
      <c r="M14054" t="s">
        <v>27025</v>
      </c>
      <c r="N14054" t="s">
        <v>14</v>
      </c>
    </row>
    <row r="14055" x14ac:dyDescent="0.25">
      <c r="A14055" t="n">
        <v>23</v>
      </c>
      <c r="B14055" t="s">
        <v>14</v>
      </c>
      <c r="C14055" t="s">
        <v>22</v>
      </c>
      <c r="D14055" s="2" t="s">
        <f>=HYPERLINK("https://main.knesset.gov.il/APPS/legislation/main/bills/2086271", "הצעת חוק הנכים (תגמולים ושיקום) (תיקון - הגבלת שכר טרחת עורך דין), התש""ף-2020")</f>
        <v>24288</v>
      </c>
      <c r="E14055" t="s">
        <v>24288</v>
      </c>
      <c r="F14055" t="s">
        <v>27073</v>
      </c>
      <c r="G14055" t="s">
        <v>14</v>
      </c>
      <c r="H14055">
             </c>
      <c r="I14055" t="s">
        <v>14</v>
      </c>
      <c r="J14055" t="s">
        <v>141</v>
      </c>
      <c r="K14055" t="s">
        <v>14</v>
      </c>
      <c r="L14055" t="s">
        <v>20</v>
      </c>
      <c r="M14055" t="s">
        <v>27025</v>
      </c>
      <c r="N14055" t="s">
        <v>14</v>
      </c>
    </row>
    <row r="14056" x14ac:dyDescent="0.25">
      <c r="A14056" t="n">
        <v>23</v>
      </c>
      <c r="B14056" t="s">
        <v>14</v>
      </c>
      <c r="C14056" t="s">
        <v>22</v>
      </c>
      <c r="D14056" s="2" t="s">
        <f>=HYPERLINK("https://main.knesset.gov.il/APPS/legislation/main/bills/2086051", "הצעת חוק הענקת אזרחות כבוד לחללי מלחמת הקוממיות (תיקון - הענקת אזרחות ישראלית), התש""ף-2020")</f>
        <v>27074</v>
      </c>
      <c r="E14056" t="s">
        <v>27074</v>
      </c>
      <c r="F14056" t="s">
        <v>27075</v>
      </c>
      <c r="G14056" t="s">
        <v>14</v>
      </c>
      <c r="H14056">
             </c>
      <c r="I14056" t="s">
        <v>14</v>
      </c>
      <c r="J14056" t="s">
        <v>141</v>
      </c>
      <c r="K14056" t="s">
        <v>14</v>
      </c>
      <c r="L14056" t="s">
        <v>20</v>
      </c>
      <c r="M14056" t="s">
        <v>27025</v>
      </c>
      <c r="N14056" t="s">
        <v>14</v>
      </c>
    </row>
    <row r="14057" x14ac:dyDescent="0.25">
      <c r="A14057" t="n">
        <v>23</v>
      </c>
      <c r="B14057" t="s">
        <v>14</v>
      </c>
      <c r="C14057" t="s">
        <v>22</v>
      </c>
      <c r="D14057" s="2" t="s">
        <f>=HYPERLINK("https://main.knesset.gov.il/APPS/legislation/main/bills/2085957", "הצעת חוק הרשות לטקסים ולסמלים ממלכתיים, התש""ף-2020")</f>
        <v>27076</v>
      </c>
      <c r="E14057" t="s">
        <v>27076</v>
      </c>
      <c r="F14057" t="s">
        <v>27077</v>
      </c>
      <c r="G14057" t="s">
        <v>14</v>
      </c>
      <c r="H14057">
             </c>
      <c r="I14057" t="s">
        <v>14</v>
      </c>
      <c r="J14057" t="s">
        <v>141</v>
      </c>
      <c r="K14057" t="s">
        <v>14</v>
      </c>
      <c r="L14057" t="s">
        <v>20</v>
      </c>
      <c r="M14057" t="s">
        <v>27025</v>
      </c>
      <c r="N14057" t="s">
        <v>14</v>
      </c>
    </row>
    <row r="14058" x14ac:dyDescent="0.25">
      <c r="A14058" t="n">
        <v>23</v>
      </c>
      <c r="B14058" t="s">
        <v>14</v>
      </c>
      <c r="C14058" t="s">
        <v>22</v>
      </c>
      <c r="D14058" s="2" t="s">
        <f>=HYPERLINK("https://main.knesset.gov.il/APPS/legislation/main/bills/2085999", "הצעת חוק מרשם האוכלוסין (תיקון - רישום בת זוג או בן זוג כהורה), התש""ף-2020")</f>
        <v>26414</v>
      </c>
      <c r="E14058" t="s">
        <v>26414</v>
      </c>
      <c r="F14058" t="s">
        <v>27078</v>
      </c>
      <c r="G14058" t="s">
        <v>14</v>
      </c>
      <c r="H14058">
             </c>
      <c r="I14058" t="s">
        <v>14</v>
      </c>
      <c r="J14058" t="s">
        <v>141</v>
      </c>
      <c r="K14058" t="s">
        <v>14</v>
      </c>
      <c r="L14058" t="s">
        <v>20</v>
      </c>
      <c r="M14058" t="s">
        <v>27025</v>
      </c>
      <c r="N14058" t="s">
        <v>14</v>
      </c>
    </row>
    <row r="14059" x14ac:dyDescent="0.25">
      <c r="A14059" t="n">
        <v>23</v>
      </c>
      <c r="B14059" t="s">
        <v>14</v>
      </c>
      <c r="C14059" t="s">
        <v>22</v>
      </c>
      <c r="D14059" s="2" t="s">
        <f>=HYPERLINK("https://main.knesset.gov.il/APPS/legislation/main/bills/2086481", "הצעת חוק העסקת עובדי הוראה, התש""ף-2020")</f>
        <v>26077</v>
      </c>
      <c r="E14059" t="s">
        <v>26077</v>
      </c>
      <c r="F14059" t="s">
        <v>27079</v>
      </c>
      <c r="G14059" t="s">
        <v>14</v>
      </c>
      <c r="H14059">
             </c>
      <c r="I14059" t="s">
        <v>14</v>
      </c>
      <c r="J14059" t="s">
        <v>141</v>
      </c>
      <c r="K14059" t="s">
        <v>14</v>
      </c>
      <c r="L14059" t="s">
        <v>20</v>
      </c>
      <c r="M14059" t="s">
        <v>27025</v>
      </c>
      <c r="N14059" t="s">
        <v>14</v>
      </c>
    </row>
    <row r="14060" x14ac:dyDescent="0.25">
      <c r="A14060" t="n">
        <v>23</v>
      </c>
      <c r="B14060" t="s">
        <v>14</v>
      </c>
      <c r="C14060" t="s">
        <v>22</v>
      </c>
      <c r="D14060" s="2" t="s">
        <f>=HYPERLINK("https://main.knesset.gov.il/APPS/legislation/main/bills/2086290", "הצעת חוק לתיקון פקודת העיריות (ערר על החלטת שר הפנים לעניין חוקי עזר), התש""ף-2020")</f>
        <v>27080</v>
      </c>
      <c r="E14060" t="s">
        <v>27080</v>
      </c>
      <c r="F14060" t="s">
        <v>27081</v>
      </c>
      <c r="G14060" t="s">
        <v>14</v>
      </c>
      <c r="H14060">
             </c>
      <c r="I14060" t="s">
        <v>14</v>
      </c>
      <c r="J14060" t="s">
        <v>141</v>
      </c>
      <c r="K14060" t="s">
        <v>14</v>
      </c>
      <c r="L14060" t="s">
        <v>20</v>
      </c>
      <c r="M14060" t="s">
        <v>27025</v>
      </c>
      <c r="N14060" t="s">
        <v>14</v>
      </c>
    </row>
    <row r="14061" x14ac:dyDescent="0.25">
      <c r="A14061" t="n">
        <v>23</v>
      </c>
      <c r="B14061" t="s">
        <v>14</v>
      </c>
      <c r="C14061" t="s">
        <v>22</v>
      </c>
      <c r="D14061" s="2" t="s">
        <f>=HYPERLINK("https://main.knesset.gov.il/APPS/legislation/main/bills/2086264", "הצעת חוק נתוני אשראי (תיקון - קיצור תקופת שמירת הנתונים במאגר נתוני אשראי), התש""ף-2020")</f>
        <v>27082</v>
      </c>
      <c r="E14061" t="s">
        <v>27082</v>
      </c>
      <c r="F14061" t="s">
        <v>27083</v>
      </c>
      <c r="G14061" t="s">
        <v>14</v>
      </c>
      <c r="H14061">
             </c>
      <c r="I14061" t="s">
        <v>14</v>
      </c>
      <c r="J14061" t="s">
        <v>141</v>
      </c>
      <c r="K14061" t="s">
        <v>14</v>
      </c>
      <c r="L14061" t="s">
        <v>20</v>
      </c>
      <c r="M14061" t="s">
        <v>27025</v>
      </c>
      <c r="N14061" t="s">
        <v>14</v>
      </c>
    </row>
    <row r="14062" x14ac:dyDescent="0.25">
      <c r="A14062" t="n">
        <v>23</v>
      </c>
      <c r="B14062" t="s">
        <v>14</v>
      </c>
      <c r="C14062" t="s">
        <v>22</v>
      </c>
      <c r="D14062" s="2" t="s">
        <f>=HYPERLINK("https://main.knesset.gov.il/APPS/legislation/main/bills/2086045", "הצעת חוק המכינות הקדם-צבאיות (תיקון - ביטול הכרה במכינות הפועלות נגד צבא הגנה לישראל), התש""ף-2020")</f>
        <v>27084</v>
      </c>
      <c r="E14062" t="s">
        <v>27084</v>
      </c>
      <c r="F14062" t="s">
        <v>27085</v>
      </c>
      <c r="G14062" t="s">
        <v>14</v>
      </c>
      <c r="H14062">
             </c>
      <c r="I14062" t="s">
        <v>14</v>
      </c>
      <c r="J14062" t="s">
        <v>141</v>
      </c>
      <c r="K14062" t="s">
        <v>14</v>
      </c>
      <c r="L14062" t="s">
        <v>20</v>
      </c>
      <c r="M14062" t="s">
        <v>27025</v>
      </c>
      <c r="N14062" t="s">
        <v>14</v>
      </c>
    </row>
    <row r="14063" x14ac:dyDescent="0.25">
      <c r="A14063" t="n">
        <v>23</v>
      </c>
      <c r="B14063" t="s">
        <v>14</v>
      </c>
      <c r="C14063" t="s">
        <v>22</v>
      </c>
      <c r="D14063" s="2" t="s">
        <f>=HYPERLINK("https://main.knesset.gov.il/APPS/legislation/main/bills/2086127", "הצעת חוק תגמולים לאסירי ציון ולבני משפחותיהם (תיקון - שינוי מועד יום ציון פועלם של אסירי ציון וקביעת פעולות לציונו), התש""ף-2020")</f>
        <v>27086</v>
      </c>
      <c r="E14063" t="s">
        <v>27086</v>
      </c>
      <c r="F14063" t="s">
        <v>27087</v>
      </c>
      <c r="G14063" t="s">
        <v>14</v>
      </c>
      <c r="H14063">
             </c>
      <c r="I14063" t="s">
        <v>14</v>
      </c>
      <c r="J14063" t="s">
        <v>141</v>
      </c>
      <c r="K14063" t="s">
        <v>14</v>
      </c>
      <c r="L14063" t="s">
        <v>20</v>
      </c>
      <c r="M14063" t="s">
        <v>27025</v>
      </c>
      <c r="N14063" t="s">
        <v>14</v>
      </c>
    </row>
    <row r="14064" x14ac:dyDescent="0.25">
      <c r="A14064" t="n">
        <v>23</v>
      </c>
      <c r="B14064" t="s">
        <v>14</v>
      </c>
      <c r="C14064" t="s">
        <v>22</v>
      </c>
      <c r="D14064" s="2" t="s">
        <f>=HYPERLINK("https://main.knesset.gov.il/APPS/legislation/main/bills/2086253", "הצעת חוק הגנת הפרטיות (תיקון - פרטיות קטינים), התש""ף-2020")</f>
        <v>27088</v>
      </c>
      <c r="E14064" t="s">
        <v>27088</v>
      </c>
      <c r="F14064" t="s">
        <v>27089</v>
      </c>
      <c r="G14064" t="s">
        <v>14</v>
      </c>
      <c r="H14064">
             </c>
      <c r="I14064" t="s">
        <v>14</v>
      </c>
      <c r="J14064" t="s">
        <v>141</v>
      </c>
      <c r="K14064" t="s">
        <v>14</v>
      </c>
      <c r="L14064" t="s">
        <v>20</v>
      </c>
      <c r="M14064" t="s">
        <v>27025</v>
      </c>
      <c r="N14064" t="s">
        <v>14</v>
      </c>
    </row>
    <row r="14065" x14ac:dyDescent="0.25">
      <c r="A14065" t="n">
        <v>23</v>
      </c>
      <c r="B14065" t="s">
        <v>14</v>
      </c>
      <c r="C14065" t="s">
        <v>22</v>
      </c>
      <c r="D14065" s="2" t="s">
        <f>=HYPERLINK("https://main.knesset.gov.il/APPS/legislation/main/bills/2086755", "הצעת חוק לתיקון פקודת התעבורה (הגבלת דמי חניה בחניוני בתי חולים), התש""ף-2020")</f>
        <v>25870</v>
      </c>
      <c r="E14065" t="s">
        <v>25870</v>
      </c>
      <c r="F14065" t="s">
        <v>27090</v>
      </c>
      <c r="G14065" t="s">
        <v>14</v>
      </c>
      <c r="H14065">
             </c>
      <c r="I14065" t="s">
        <v>14</v>
      </c>
      <c r="J14065" t="s">
        <v>141</v>
      </c>
      <c r="K14065" t="s">
        <v>14</v>
      </c>
      <c r="L14065" t="s">
        <v>20</v>
      </c>
      <c r="M14065" t="s">
        <v>27025</v>
      </c>
      <c r="N14065" t="s">
        <v>14</v>
      </c>
    </row>
    <row r="14066" x14ac:dyDescent="0.25">
      <c r="A14066" t="n">
        <v>23</v>
      </c>
      <c r="B14066" t="s">
        <v>14</v>
      </c>
      <c r="C14066" t="s">
        <v>22</v>
      </c>
      <c r="D14066" s="2" t="s">
        <f>=HYPERLINK("https://main.knesset.gov.il/APPS/legislation/main/bills/2086477", "הצעת חוק הקמת שדה תעופה בנבטים, התש""ף-2020")</f>
        <v>27091</v>
      </c>
      <c r="E14066" t="s">
        <v>27091</v>
      </c>
      <c r="F14066" t="s">
        <v>27092</v>
      </c>
      <c r="G14066" t="s">
        <v>14</v>
      </c>
      <c r="H14066">
             </c>
      <c r="I14066" t="s">
        <v>14</v>
      </c>
      <c r="J14066" t="s">
        <v>141</v>
      </c>
      <c r="K14066" t="s">
        <v>14</v>
      </c>
      <c r="L14066" t="s">
        <v>20</v>
      </c>
      <c r="M14066" t="s">
        <v>27025</v>
      </c>
      <c r="N14066" t="s">
        <v>14</v>
      </c>
    </row>
    <row r="14067" x14ac:dyDescent="0.25">
      <c r="A14067" t="n">
        <v>23</v>
      </c>
      <c r="B14067" t="s">
        <v>14</v>
      </c>
      <c r="C14067" t="s">
        <v>22</v>
      </c>
      <c r="D14067" s="2" t="s">
        <f>=HYPERLINK("https://main.knesset.gov.il/APPS/legislation/main/bills/2086289", "הצעת חוק לתיקון פקודת העיריות (חיזוק שלטון החוק וטוהר המידות בשלטון המקומי), התש""ף-2020")</f>
        <v>27093</v>
      </c>
      <c r="E14067" t="s">
        <v>27093</v>
      </c>
      <c r="F14067" t="s">
        <v>27094</v>
      </c>
      <c r="G14067" t="s">
        <v>14</v>
      </c>
      <c r="H14067">
             </c>
      <c r="I14067" t="s">
        <v>14</v>
      </c>
      <c r="J14067" t="s">
        <v>141</v>
      </c>
      <c r="K14067" t="s">
        <v>14</v>
      </c>
      <c r="L14067" t="s">
        <v>20</v>
      </c>
      <c r="M14067" t="s">
        <v>27025</v>
      </c>
      <c r="N14067" t="s">
        <v>14</v>
      </c>
    </row>
    <row r="14068" x14ac:dyDescent="0.25">
      <c r="A14068" t="n">
        <v>23</v>
      </c>
      <c r="B14068" t="s">
        <v>14</v>
      </c>
      <c r="C14068" t="s">
        <v>22</v>
      </c>
      <c r="D14068" s="2" t="s">
        <f>=HYPERLINK("https://main.knesset.gov.il/APPS/legislation/main/bills/2086131", "הצעת חוק החובה למתן חינוך בלתי פורמאלי לילדים ולנוער, התש""ף-2020")</f>
        <v>27095</v>
      </c>
      <c r="E14068" t="s">
        <v>27095</v>
      </c>
      <c r="F14068" t="s">
        <v>27096</v>
      </c>
      <c r="G14068" t="s">
        <v>14</v>
      </c>
      <c r="H14068">
             </c>
      <c r="I14068" t="s">
        <v>14</v>
      </c>
      <c r="J14068" t="s">
        <v>141</v>
      </c>
      <c r="K14068" t="s">
        <v>14</v>
      </c>
      <c r="L14068" t="s">
        <v>20</v>
      </c>
      <c r="M14068" t="s">
        <v>27025</v>
      </c>
      <c r="N14068" t="s">
        <v>14</v>
      </c>
    </row>
    <row r="14069" x14ac:dyDescent="0.25">
      <c r="A14069" t="n">
        <v>23</v>
      </c>
      <c r="B14069" t="s">
        <v>14</v>
      </c>
      <c r="C14069" t="s">
        <v>22</v>
      </c>
      <c r="D14069" s="2" t="s">
        <f>=HYPERLINK("https://main.knesset.gov.il/APPS/legislation/main/bills/2085985", "הצעת חוק הדיור המוגן (תיקון - קבלת דייר הזקוק לסיוע), התש""ף-2020")</f>
        <v>27097</v>
      </c>
      <c r="E14069" t="s">
        <v>27097</v>
      </c>
      <c r="F14069" t="s">
        <v>27098</v>
      </c>
      <c r="G14069" t="s">
        <v>14</v>
      </c>
      <c r="H14069">
             </c>
      <c r="I14069" t="s">
        <v>14</v>
      </c>
      <c r="J14069" t="s">
        <v>141</v>
      </c>
      <c r="K14069" t="s">
        <v>14</v>
      </c>
      <c r="L14069" t="s">
        <v>20</v>
      </c>
      <c r="M14069" t="s">
        <v>27025</v>
      </c>
      <c r="N14069" t="s">
        <v>14</v>
      </c>
    </row>
    <row r="14070" x14ac:dyDescent="0.25">
      <c r="A14070" t="n">
        <v>23</v>
      </c>
      <c r="B14070" t="s">
        <v>14</v>
      </c>
      <c r="C14070" t="s">
        <v>22</v>
      </c>
      <c r="D14070" s="2" t="s">
        <f>=HYPERLINK("https://main.knesset.gov.il/APPS/legislation/main/bills/2086093", "הצעת חוק פינוי ההתנחלות יצהר ותשעת המאחזים הסמוכים אליה, התש""ף-2020 ")</f>
        <v>27099</v>
      </c>
      <c r="E14070" t="s">
        <v>27099</v>
      </c>
      <c r="F14070" t="s">
        <v>27100</v>
      </c>
      <c r="G14070" t="s">
        <v>14</v>
      </c>
      <c r="H14070">
             </c>
      <c r="I14070" t="s">
        <v>14</v>
      </c>
      <c r="J14070" t="s">
        <v>141</v>
      </c>
      <c r="K14070" t="s">
        <v>14</v>
      </c>
      <c r="L14070" t="s">
        <v>20</v>
      </c>
      <c r="M14070" t="s">
        <v>27025</v>
      </c>
      <c r="N14070" t="s">
        <v>14</v>
      </c>
    </row>
    <row r="14071" x14ac:dyDescent="0.25">
      <c r="A14071" t="n">
        <v>23</v>
      </c>
      <c r="B14071" t="s">
        <v>14</v>
      </c>
      <c r="C14071" t="s">
        <v>22</v>
      </c>
      <c r="D14071" s="2" t="s">
        <f>=HYPERLINK("https://main.knesset.gov.il/APPS/legislation/main/bills/2086112", "הצעת חוק שירות המילואים (תיקון - תוספת גמול לימי מילואים נוספים), התש""ף-2020")</f>
        <v>26484</v>
      </c>
      <c r="E14071" t="s">
        <v>26484</v>
      </c>
      <c r="F14071" t="s">
        <v>27101</v>
      </c>
      <c r="G14071" t="s">
        <v>14</v>
      </c>
      <c r="H14071">
             </c>
      <c r="I14071" t="s">
        <v>14</v>
      </c>
      <c r="J14071" t="s">
        <v>141</v>
      </c>
      <c r="K14071" t="s">
        <v>14</v>
      </c>
      <c r="L14071" t="s">
        <v>20</v>
      </c>
      <c r="M14071" t="s">
        <v>27025</v>
      </c>
      <c r="N14071" t="s">
        <v>14</v>
      </c>
    </row>
    <row r="14072" x14ac:dyDescent="0.25">
      <c r="A14072" t="n">
        <v>23</v>
      </c>
      <c r="B14072" t="s">
        <v>14</v>
      </c>
      <c r="C14072" t="s">
        <v>22</v>
      </c>
      <c r="D14072" s="2" t="s">
        <f>=HYPERLINK("https://main.knesset.gov.il/APPS/legislation/main/bills/2086104", "הצעת חוק למניעת הטרדה מינית (תיקון - הטרדת קטין), התש""ף-2020")</f>
        <v>24186</v>
      </c>
      <c r="E14072" t="s">
        <v>24186</v>
      </c>
      <c r="F14072" t="s">
        <v>27102</v>
      </c>
      <c r="G14072" t="s">
        <v>14</v>
      </c>
      <c r="H14072">
             </c>
      <c r="I14072" t="s">
        <v>14</v>
      </c>
      <c r="J14072" t="s">
        <v>141</v>
      </c>
      <c r="K14072" t="s">
        <v>14</v>
      </c>
      <c r="L14072" t="s">
        <v>20</v>
      </c>
      <c r="M14072" t="s">
        <v>27025</v>
      </c>
      <c r="N14072" t="s">
        <v>14</v>
      </c>
    </row>
    <row r="14073" x14ac:dyDescent="0.25">
      <c r="A14073" t="n">
        <v>23</v>
      </c>
      <c r="B14073" t="s">
        <v>14</v>
      </c>
      <c r="C14073" t="s">
        <v>22</v>
      </c>
      <c r="D14073" s="2" t="s">
        <f>=HYPERLINK("https://main.knesset.gov.il/APPS/legislation/main/bills/2086067", "הצעת חוק חינוך ממלכתי (תיקון - חינוך לשוויון מגדרי חובה), התש""ף-2020")</f>
        <v>27103</v>
      </c>
      <c r="E14073" t="s">
        <v>27103</v>
      </c>
      <c r="F14073" t="s">
        <v>27104</v>
      </c>
      <c r="G14073" t="s">
        <v>14</v>
      </c>
      <c r="H14073">
             </c>
      <c r="I14073" t="s">
        <v>14</v>
      </c>
      <c r="J14073" t="s">
        <v>141</v>
      </c>
      <c r="K14073" t="s">
        <v>14</v>
      </c>
      <c r="L14073" t="s">
        <v>20</v>
      </c>
      <c r="M14073" t="s">
        <v>27025</v>
      </c>
      <c r="N14073" t="s">
        <v>14</v>
      </c>
    </row>
    <row r="14074" x14ac:dyDescent="0.25">
      <c r="A14074" t="n">
        <v>23</v>
      </c>
      <c r="B14074" t="s">
        <v>14</v>
      </c>
      <c r="C14074" t="s">
        <v>22</v>
      </c>
      <c r="D14074" s="2" t="s">
        <f>=HYPERLINK("https://main.knesset.gov.il/APPS/legislation/main/bills/2085983", "הצעת חוק להסדרת זכויות המגורים והרכישה של תושבי עמק התימנים בשכונת עין כרם בירושלים, התש""ף-2020")</f>
        <v>27105</v>
      </c>
      <c r="E14074" t="s">
        <v>27105</v>
      </c>
      <c r="F14074" t="s">
        <v>27106</v>
      </c>
      <c r="G14074" t="s">
        <v>14</v>
      </c>
      <c r="H14074">
             </c>
      <c r="I14074" t="s">
        <v>14</v>
      </c>
      <c r="J14074" t="s">
        <v>141</v>
      </c>
      <c r="K14074" t="s">
        <v>14</v>
      </c>
      <c r="L14074" t="s">
        <v>20</v>
      </c>
      <c r="M14074" t="s">
        <v>27025</v>
      </c>
      <c r="N14074" t="s">
        <v>14</v>
      </c>
    </row>
    <row r="14075" x14ac:dyDescent="0.25">
      <c r="A14075" t="n">
        <v>23</v>
      </c>
      <c r="B14075" t="s">
        <v>14</v>
      </c>
      <c r="C14075" t="s">
        <v>22</v>
      </c>
      <c r="D14075" s="2" t="s">
        <f>=HYPERLINK("https://main.knesset.gov.il/APPS/legislation/main/bills/2085965", "הצעת חוק לתיקון פקודת מס הכנסה (חישוב שווי שימוש ברכב לשומרי שבת וחג), התש""ף-2020")</f>
        <v>24648</v>
      </c>
      <c r="E14075" t="s">
        <v>24648</v>
      </c>
      <c r="F14075" t="s">
        <v>27107</v>
      </c>
      <c r="G14075" t="s">
        <v>14</v>
      </c>
      <c r="H14075">
             </c>
      <c r="I14075" t="s">
        <v>14</v>
      </c>
      <c r="J14075" t="s">
        <v>141</v>
      </c>
      <c r="K14075" t="s">
        <v>14</v>
      </c>
      <c r="L14075" t="s">
        <v>20</v>
      </c>
      <c r="M14075" t="s">
        <v>27025</v>
      </c>
      <c r="N14075" t="s">
        <v>14</v>
      </c>
    </row>
    <row r="14076" x14ac:dyDescent="0.25">
      <c r="A14076" t="n">
        <v>23</v>
      </c>
      <c r="B14076" t="s">
        <v>14</v>
      </c>
      <c r="C14076" t="s">
        <v>22</v>
      </c>
      <c r="D14076" s="2" t="s">
        <f>=HYPERLINK("https://main.knesset.gov.il/APPS/legislation/main/bills/2086091", "הצעת חוק לחינוך נגד גזענות, התש""ף-2020")</f>
        <v>27108</v>
      </c>
      <c r="E14076" t="s">
        <v>27108</v>
      </c>
      <c r="F14076" t="s">
        <v>27109</v>
      </c>
      <c r="G14076" t="s">
        <v>14</v>
      </c>
      <c r="H14076">
             </c>
      <c r="I14076" t="s">
        <v>14</v>
      </c>
      <c r="J14076" t="s">
        <v>141</v>
      </c>
      <c r="K14076" t="s">
        <v>14</v>
      </c>
      <c r="L14076" t="s">
        <v>20</v>
      </c>
      <c r="M14076" t="s">
        <v>27025</v>
      </c>
      <c r="N14076" t="s">
        <v>14</v>
      </c>
    </row>
    <row r="14077" x14ac:dyDescent="0.25">
      <c r="A14077" t="n">
        <v>23</v>
      </c>
      <c r="B14077" t="s">
        <v>14</v>
      </c>
      <c r="C14077" t="s">
        <v>22</v>
      </c>
      <c r="D14077" s="2" t="s">
        <f>=HYPERLINK("https://main.knesset.gov.il/APPS/legislation/main/bills/2085979", "הצעת חוק האזרחים הוותיקים (תיקון - סבסוד מלא של נסיעות בתחבורה ציבורית לניצולי שואה ולאסירי ציון), התש""ף-2020")</f>
        <v>26540</v>
      </c>
      <c r="E14077" t="s">
        <v>26540</v>
      </c>
      <c r="F14077" t="s">
        <v>27110</v>
      </c>
      <c r="G14077" t="s">
        <v>14</v>
      </c>
      <c r="H14077">
             </c>
      <c r="I14077" t="s">
        <v>14</v>
      </c>
      <c r="J14077" t="s">
        <v>141</v>
      </c>
      <c r="K14077" t="s">
        <v>14</v>
      </c>
      <c r="L14077" t="s">
        <v>20</v>
      </c>
      <c r="M14077" t="s">
        <v>27025</v>
      </c>
      <c r="N14077" t="s">
        <v>14</v>
      </c>
    </row>
    <row r="14078" x14ac:dyDescent="0.25">
      <c r="A14078" t="n">
        <v>23</v>
      </c>
      <c r="B14078" t="s">
        <v>14</v>
      </c>
      <c r="C14078" t="s">
        <v>22</v>
      </c>
      <c r="D14078" s="2" t="s">
        <f>=HYPERLINK("https://main.knesset.gov.il/APPS/legislation/main/bills/2085969", "הצעת חוק התכנון והבנייה (תיקון - שומה מתוקנת מוסכמת), התש""ף-2020")</f>
        <v>26801</v>
      </c>
      <c r="E14078" t="s">
        <v>26801</v>
      </c>
      <c r="F14078" t="s">
        <v>27111</v>
      </c>
      <c r="G14078" t="s">
        <v>14</v>
      </c>
      <c r="H14078">
             </c>
      <c r="I14078" t="s">
        <v>14</v>
      </c>
      <c r="J14078" t="s">
        <v>141</v>
      </c>
      <c r="K14078" t="s">
        <v>14</v>
      </c>
      <c r="L14078" t="s">
        <v>20</v>
      </c>
      <c r="M14078" t="s">
        <v>27025</v>
      </c>
      <c r="N14078" t="s">
        <v>14</v>
      </c>
    </row>
    <row r="14079" x14ac:dyDescent="0.25">
      <c r="A14079" t="n">
        <v>23</v>
      </c>
      <c r="B14079" t="s">
        <v>14</v>
      </c>
      <c r="C14079" t="s">
        <v>22</v>
      </c>
      <c r="D14079" s="2" t="s">
        <f>=HYPERLINK("https://main.knesset.gov.il/APPS/legislation/main/bills/2085956", "הצעת חוק לתיקון פקודת התעבורה (פטור מתשלום דמי חניה לרכב של כונן רפואת חירום עם ציוד), התש""ף-2020")</f>
        <v>27112</v>
      </c>
      <c r="E14079" t="s">
        <v>27112</v>
      </c>
      <c r="F14079" t="s">
        <v>27113</v>
      </c>
      <c r="G14079" t="s">
        <v>14</v>
      </c>
      <c r="H14079">
             </c>
      <c r="I14079" t="s">
        <v>14</v>
      </c>
      <c r="J14079" t="s">
        <v>141</v>
      </c>
      <c r="K14079" t="s">
        <v>14</v>
      </c>
      <c r="L14079" t="s">
        <v>20</v>
      </c>
      <c r="M14079" t="s">
        <v>27025</v>
      </c>
      <c r="N14079" t="s">
        <v>14</v>
      </c>
    </row>
    <row r="14080" x14ac:dyDescent="0.25">
      <c r="A14080" t="n">
        <v>23</v>
      </c>
      <c r="B14080" t="s">
        <v>14</v>
      </c>
      <c r="C14080" t="s">
        <v>22</v>
      </c>
      <c r="D14080" s="2" t="s">
        <f>=HYPERLINK("https://main.knesset.gov.il/APPS/legislation/main/bills/2086252", "הצעת חוק זכויות, שירותים והתאמות בחינוך לילדים עם צרכים מיוחדים, התש""ף-2020")</f>
        <v>27069</v>
      </c>
      <c r="E14080" t="s">
        <v>27069</v>
      </c>
      <c r="F14080" t="s">
        <v>27114</v>
      </c>
      <c r="G14080" t="s">
        <v>14</v>
      </c>
      <c r="H14080">
             </c>
      <c r="I14080" t="s">
        <v>14</v>
      </c>
      <c r="J14080" t="s">
        <v>141</v>
      </c>
      <c r="K14080" t="s">
        <v>14</v>
      </c>
      <c r="L14080" t="s">
        <v>20</v>
      </c>
      <c r="M14080" t="s">
        <v>27025</v>
      </c>
      <c r="N14080" t="s">
        <v>14</v>
      </c>
    </row>
    <row r="14081" x14ac:dyDescent="0.25">
      <c r="A14081" t="n">
        <v>23</v>
      </c>
      <c r="B14081" t="s">
        <v>14</v>
      </c>
      <c r="C14081" t="s">
        <v>22</v>
      </c>
      <c r="D14081" s="2" t="s">
        <f>=HYPERLINK("https://main.knesset.gov.il/APPS/legislation/main/bills/2086242", "הצעת חוק הכשרות לאנשי מקצוע בנושא זיהוי ודיווח על התעללות בילדים, התש""ף-2020")</f>
        <v>27115</v>
      </c>
      <c r="E14081" t="s">
        <v>27115</v>
      </c>
      <c r="F14081" t="s">
        <v>27116</v>
      </c>
      <c r="G14081" t="s">
        <v>14</v>
      </c>
      <c r="H14081">
             </c>
      <c r="I14081" t="s">
        <v>14</v>
      </c>
      <c r="J14081" t="s">
        <v>141</v>
      </c>
      <c r="K14081" t="s">
        <v>14</v>
      </c>
      <c r="L14081" t="s">
        <v>20</v>
      </c>
      <c r="M14081" t="s">
        <v>27025</v>
      </c>
      <c r="N14081" t="s">
        <v>14</v>
      </c>
    </row>
    <row r="14082" x14ac:dyDescent="0.25">
      <c r="A14082" t="n">
        <v>23</v>
      </c>
      <c r="B14082" t="s">
        <v>14</v>
      </c>
      <c r="C14082" t="s">
        <v>22</v>
      </c>
      <c r="D14082" s="2" t="s">
        <f>=HYPERLINK("https://main.knesset.gov.il/APPS/legislation/main/bills/2086378", "הצעת חוק סיוע למשפחות שבראשן הורה עצמאי (תיקון - הרחבת התחולה), התש""ף-2020")</f>
        <v>27117</v>
      </c>
      <c r="E14082" t="s">
        <v>27117</v>
      </c>
      <c r="F14082" t="s">
        <v>27118</v>
      </c>
      <c r="G14082" t="s">
        <v>14</v>
      </c>
      <c r="H14082">
             </c>
      <c r="I14082" t="s">
        <v>14</v>
      </c>
      <c r="J14082" t="s">
        <v>141</v>
      </c>
      <c r="K14082" t="s">
        <v>14</v>
      </c>
      <c r="L14082" t="s">
        <v>20</v>
      </c>
      <c r="M14082" t="s">
        <v>27025</v>
      </c>
      <c r="N14082" t="s">
        <v>14</v>
      </c>
    </row>
    <row r="14083" x14ac:dyDescent="0.25">
      <c r="A14083" t="n">
        <v>23</v>
      </c>
      <c r="B14083" t="s">
        <v>14</v>
      </c>
      <c r="C14083" t="s">
        <v>22</v>
      </c>
      <c r="D14083" s="2" t="s">
        <f>=HYPERLINK("https://main.knesset.gov.il/APPS/legislation/main/bills/2086412", "הצעת חוק הדגל, הסמל והמנון המדינה (תיקון - שלילת תמיכה), התש""ף-2020")</f>
        <v>27119</v>
      </c>
      <c r="E14083" t="s">
        <v>27119</v>
      </c>
      <c r="F14083" t="s">
        <v>27120</v>
      </c>
      <c r="G14083" t="s">
        <v>14</v>
      </c>
      <c r="H14083">
             </c>
      <c r="I14083" t="s">
        <v>14</v>
      </c>
      <c r="J14083" t="s">
        <v>141</v>
      </c>
      <c r="K14083" t="s">
        <v>14</v>
      </c>
      <c r="L14083" t="s">
        <v>20</v>
      </c>
      <c r="M14083" t="s">
        <v>27025</v>
      </c>
      <c r="N14083" t="s">
        <v>14</v>
      </c>
    </row>
    <row r="14084" x14ac:dyDescent="0.25">
      <c r="A14084" t="n">
        <v>23</v>
      </c>
      <c r="B14084" t="s">
        <v>14</v>
      </c>
      <c r="C14084" t="s">
        <v>22</v>
      </c>
      <c r="D14084" s="2" t="s">
        <f>=HYPERLINK("https://main.knesset.gov.il/APPS/legislation/main/bills/2086052", "הצעת חוק כרטיסי חיוב (תיקון - ביטול חיוב באשראי בשל עסקה עם ספק מפר), התש""ף-2020")</f>
        <v>26323</v>
      </c>
      <c r="E14084" t="s">
        <v>26323</v>
      </c>
      <c r="F14084" t="s">
        <v>27121</v>
      </c>
      <c r="G14084" t="s">
        <v>14</v>
      </c>
      <c r="H14084">
             </c>
      <c r="I14084" t="s">
        <v>14</v>
      </c>
      <c r="J14084" t="s">
        <v>141</v>
      </c>
      <c r="K14084" t="s">
        <v>14</v>
      </c>
      <c r="L14084" t="s">
        <v>20</v>
      </c>
      <c r="M14084" t="s">
        <v>27025</v>
      </c>
      <c r="N14084" t="s">
        <v>14</v>
      </c>
    </row>
    <row r="14085" x14ac:dyDescent="0.25">
      <c r="A14085" t="n">
        <v>23</v>
      </c>
      <c r="B14085" t="s">
        <v>14</v>
      </c>
      <c r="C14085" t="s">
        <v>22</v>
      </c>
      <c r="D14085" s="2" t="s">
        <f>=HYPERLINK("https://main.knesset.gov.il/APPS/legislation/main/bills/2086287", "הצעת חוק הרשויות המקומיות (בחירת ראש הרשות וסגניו וכהונתם) (תיקון - השעיית ראש רשות או סגנו שהוגש נגדו כתב אישום), התש""ף-2020 ")</f>
        <v>27122</v>
      </c>
      <c r="E14085" t="s">
        <v>27122</v>
      </c>
      <c r="F14085" t="s">
        <v>27123</v>
      </c>
      <c r="G14085" t="s">
        <v>14</v>
      </c>
      <c r="H14085">
             </c>
      <c r="I14085" t="s">
        <v>14</v>
      </c>
      <c r="J14085" t="s">
        <v>141</v>
      </c>
      <c r="K14085" t="s">
        <v>14</v>
      </c>
      <c r="L14085" t="s">
        <v>20</v>
      </c>
      <c r="M14085" t="s">
        <v>27025</v>
      </c>
      <c r="N14085" t="s">
        <v>14</v>
      </c>
    </row>
    <row r="14086" x14ac:dyDescent="0.25">
      <c r="A14086" t="n">
        <v>23</v>
      </c>
      <c r="B14086" t="s">
        <v>14</v>
      </c>
      <c r="C14086" t="s">
        <v>22</v>
      </c>
      <c r="D14086" s="2" t="s">
        <f>=HYPERLINK("https://main.knesset.gov.il/APPS/legislation/main/bills/2086286", "הצעת חוק הבנקאות (שירות ללקוח) (תיקון - הגבלת עמלת ביטול עסקה בעד שירותי סליקה שמשלם עסק זעיר, קטן או בינוני), התש""ף-2020")</f>
        <v>27124</v>
      </c>
      <c r="E14086" t="s">
        <v>27124</v>
      </c>
      <c r="F14086" t="s">
        <v>27125</v>
      </c>
      <c r="G14086" t="s">
        <v>14</v>
      </c>
      <c r="H14086">
             </c>
      <c r="I14086" t="s">
        <v>14</v>
      </c>
      <c r="J14086" t="s">
        <v>141</v>
      </c>
      <c r="K14086" t="s">
        <v>14</v>
      </c>
      <c r="L14086" t="s">
        <v>20</v>
      </c>
      <c r="M14086" t="s">
        <v>27025</v>
      </c>
      <c r="N14086" t="s">
        <v>14</v>
      </c>
    </row>
    <row r="14087" x14ac:dyDescent="0.25">
      <c r="A14087" t="n">
        <v>23</v>
      </c>
      <c r="B14087" t="s">
        <v>14</v>
      </c>
      <c r="C14087" t="s">
        <v>22</v>
      </c>
      <c r="D14087" s="2" t="s">
        <f>=HYPERLINK("https://main.knesset.gov.il/APPS/legislation/main/bills/2086125", "הצעת חוק החברה למתנ""סים, התש""ף-2020")</f>
        <v>27126</v>
      </c>
      <c r="E14087" t="s">
        <v>27126</v>
      </c>
      <c r="F14087" t="s">
        <v>27127</v>
      </c>
      <c r="G14087" t="s">
        <v>14</v>
      </c>
      <c r="H14087">
             </c>
      <c r="I14087" t="s">
        <v>14</v>
      </c>
      <c r="J14087" t="s">
        <v>141</v>
      </c>
      <c r="K14087" t="s">
        <v>14</v>
      </c>
      <c r="L14087" t="s">
        <v>20</v>
      </c>
      <c r="M14087" t="s">
        <v>27025</v>
      </c>
      <c r="N14087" t="s">
        <v>14</v>
      </c>
    </row>
    <row r="14088" x14ac:dyDescent="0.25">
      <c r="A14088" t="n">
        <v>23</v>
      </c>
      <c r="B14088" t="s">
        <v>14</v>
      </c>
      <c r="C14088" t="s">
        <v>22</v>
      </c>
      <c r="D14088" s="2" t="s">
        <f>=HYPERLINK("https://main.knesset.gov.il/APPS/legislation/main/bills/2087042", "הצעת חוק זכויות התלמיד (תיקון - פיצוי בשל הפליית תלמידים), התש""ף-2020")</f>
        <v>27128</v>
      </c>
      <c r="E14088" t="s">
        <v>27128</v>
      </c>
      <c r="F14088" t="s">
        <v>27129</v>
      </c>
      <c r="G14088" t="s">
        <v>14</v>
      </c>
      <c r="H14088">
             </c>
      <c r="I14088" t="s">
        <v>14</v>
      </c>
      <c r="J14088" t="s">
        <v>141</v>
      </c>
      <c r="K14088" t="s">
        <v>14</v>
      </c>
      <c r="L14088" t="s">
        <v>20</v>
      </c>
      <c r="M14088" t="s">
        <v>27025</v>
      </c>
      <c r="N14088" t="s">
        <v>14</v>
      </c>
    </row>
    <row r="14089" x14ac:dyDescent="0.25">
      <c r="A14089" t="n">
        <v>23</v>
      </c>
      <c r="B14089" t="s">
        <v>14</v>
      </c>
      <c r="C14089" t="s">
        <v>22</v>
      </c>
      <c r="D14089" s="2" t="s">
        <f>=HYPERLINK("https://main.knesset.gov.il/APPS/legislation/main/bills/2086143", "הצעת חוק בתי המשפט (תיקון - שימוע ובחירות חשאיות לשופטי בית המשפט העליון), התש""ף-2020")</f>
        <v>27130</v>
      </c>
      <c r="E14089" t="s">
        <v>27130</v>
      </c>
      <c r="F14089" t="s">
        <v>27131</v>
      </c>
      <c r="G14089" t="s">
        <v>14</v>
      </c>
      <c r="H14089">
             </c>
      <c r="I14089" t="s">
        <v>14</v>
      </c>
      <c r="J14089" t="s">
        <v>141</v>
      </c>
      <c r="K14089" t="s">
        <v>14</v>
      </c>
      <c r="L14089" t="s">
        <v>20</v>
      </c>
      <c r="M14089" t="s">
        <v>27025</v>
      </c>
      <c r="N14089" t="s">
        <v>14</v>
      </c>
    </row>
    <row r="14090" x14ac:dyDescent="0.25">
      <c r="A14090" t="n">
        <v>23</v>
      </c>
      <c r="B14090" t="s">
        <v>14</v>
      </c>
      <c r="C14090" t="s">
        <v>22</v>
      </c>
      <c r="D14090" s="2" t="s">
        <f>=HYPERLINK("https://main.knesset.gov.il/APPS/legislation/main/bills/2086087", "הצעת חוק מיסוי מקרקעין (שבח ורכישה) (תיקון - מס רכישה מופחת לעולה חדש), התש""ף-2020")</f>
        <v>27132</v>
      </c>
      <c r="E14090" t="s">
        <v>27132</v>
      </c>
      <c r="F14090" t="s">
        <v>27133</v>
      </c>
      <c r="G14090" t="s">
        <v>14</v>
      </c>
      <c r="H14090">
             </c>
      <c r="I14090" t="s">
        <v>14</v>
      </c>
      <c r="J14090" t="s">
        <v>141</v>
      </c>
      <c r="K14090" t="s">
        <v>14</v>
      </c>
      <c r="L14090" t="s">
        <v>20</v>
      </c>
      <c r="M14090" t="s">
        <v>27025</v>
      </c>
      <c r="N14090" t="s">
        <v>14</v>
      </c>
    </row>
    <row r="14091" x14ac:dyDescent="0.25">
      <c r="A14091" t="n">
        <v>23</v>
      </c>
      <c r="B14091" t="s">
        <v>14</v>
      </c>
      <c r="C14091" t="s">
        <v>22</v>
      </c>
      <c r="D14091" s="2" t="s">
        <f>=HYPERLINK("https://main.knesset.gov.il/APPS/legislation/main/bills/2086144", "הצעת חוק הפעלת תחבורה ציבורית מצומצמת ביום המנוחה השבועי, התש""ף-2020")</f>
        <v>27134</v>
      </c>
      <c r="E14091" t="s">
        <v>27134</v>
      </c>
      <c r="F14091" t="s">
        <v>27135</v>
      </c>
      <c r="G14091" t="s">
        <v>14</v>
      </c>
      <c r="H14091">
             </c>
      <c r="I14091" t="s">
        <v>14</v>
      </c>
      <c r="J14091" t="s">
        <v>141</v>
      </c>
      <c r="K14091" t="s">
        <v>14</v>
      </c>
      <c r="L14091" t="s">
        <v>20</v>
      </c>
      <c r="M14091" t="s">
        <v>27025</v>
      </c>
      <c r="N14091" t="s">
        <v>14</v>
      </c>
    </row>
    <row r="14092" x14ac:dyDescent="0.25">
      <c r="A14092" t="n">
        <v>23</v>
      </c>
      <c r="B14092" t="s">
        <v>14</v>
      </c>
      <c r="C14092" t="s">
        <v>22</v>
      </c>
      <c r="D14092" s="2" t="s">
        <f>=HYPERLINK("https://main.knesset.gov.il/APPS/legislation/main/bills/2086238", "הצעת חוק למניעת אלימות כלכלית בין בני זוג ובני משפחה, התש""ף-2020")</f>
        <v>24991</v>
      </c>
      <c r="E14092" t="s">
        <v>24991</v>
      </c>
      <c r="F14092" t="s">
        <v>27136</v>
      </c>
      <c r="G14092" t="s">
        <v>14</v>
      </c>
      <c r="H14092">
             </c>
      <c r="I14092" t="s">
        <v>14</v>
      </c>
      <c r="J14092" t="s">
        <v>141</v>
      </c>
      <c r="K14092" t="s">
        <v>14</v>
      </c>
      <c r="L14092" t="s">
        <v>20</v>
      </c>
      <c r="M14092" t="s">
        <v>27025</v>
      </c>
      <c r="N14092" t="s">
        <v>14</v>
      </c>
    </row>
    <row r="14093" x14ac:dyDescent="0.25">
      <c r="A14093" t="n">
        <v>23</v>
      </c>
      <c r="B14093" t="s">
        <v>14</v>
      </c>
      <c r="C14093" t="s">
        <v>22</v>
      </c>
      <c r="D14093" s="2" t="s">
        <f>=HYPERLINK("https://main.knesset.gov.il/APPS/legislation/main/bills/2086552", "הצעת חוק הפקדות וזכויות סוציאליות לעצמאים (תיקוני חקיקה), התש""ף-2020")</f>
        <v>25505</v>
      </c>
      <c r="E14093" t="s">
        <v>25505</v>
      </c>
      <c r="F14093" t="s">
        <v>27137</v>
      </c>
      <c r="G14093" t="s">
        <v>14</v>
      </c>
      <c r="H14093">
             </c>
      <c r="I14093" t="s">
        <v>14</v>
      </c>
      <c r="J14093" t="s">
        <v>141</v>
      </c>
      <c r="K14093" t="s">
        <v>14</v>
      </c>
      <c r="L14093" t="s">
        <v>20</v>
      </c>
      <c r="M14093" t="s">
        <v>27025</v>
      </c>
      <c r="N14093" t="s">
        <v>14</v>
      </c>
    </row>
    <row r="14094" x14ac:dyDescent="0.25">
      <c r="A14094" t="n">
        <v>23</v>
      </c>
      <c r="B14094" t="s">
        <v>14</v>
      </c>
      <c r="C14094" t="s">
        <v>22</v>
      </c>
      <c r="D14094" s="2" t="s">
        <f>=HYPERLINK("https://main.knesset.gov.il/APPS/legislation/main/bills/2087039", "הצעת חוק שלילת תקצוב מוסדות חינוך המפלים תלמידים ברישום אליהם (תיקוני חקיקה), התש""ף-2020")</f>
        <v>27138</v>
      </c>
      <c r="E14094" t="s">
        <v>27138</v>
      </c>
      <c r="F14094" t="s">
        <v>27139</v>
      </c>
      <c r="G14094" t="s">
        <v>14</v>
      </c>
      <c r="H14094">
             </c>
      <c r="I14094" t="s">
        <v>14</v>
      </c>
      <c r="J14094" t="s">
        <v>141</v>
      </c>
      <c r="K14094" t="s">
        <v>14</v>
      </c>
      <c r="L14094" t="s">
        <v>20</v>
      </c>
      <c r="M14094" t="s">
        <v>27025</v>
      </c>
      <c r="N14094" t="s">
        <v>14</v>
      </c>
    </row>
    <row r="14095" x14ac:dyDescent="0.25">
      <c r="A14095" t="n">
        <v>23</v>
      </c>
      <c r="B14095" t="s">
        <v>14</v>
      </c>
      <c r="C14095" t="s">
        <v>22</v>
      </c>
      <c r="D14095" s="2" t="s">
        <f>=HYPERLINK("https://main.knesset.gov.il/APPS/legislation/main/bills/2086240", "הצעת חוק יסודות התקציב (תיקון - הקצאת תקציבים ליישובים הדרוזים והצ'רקסים) (הוראת שעה), התש""ף-2020")</f>
        <v>27140</v>
      </c>
      <c r="E14095" t="s">
        <v>27140</v>
      </c>
      <c r="F14095" t="s">
        <v>27141</v>
      </c>
      <c r="G14095" t="s">
        <v>14</v>
      </c>
      <c r="H14095">
             </c>
      <c r="I14095" t="s">
        <v>14</v>
      </c>
      <c r="J14095" t="s">
        <v>141</v>
      </c>
      <c r="K14095" t="s">
        <v>14</v>
      </c>
      <c r="L14095" t="s">
        <v>20</v>
      </c>
      <c r="M14095" t="s">
        <v>27025</v>
      </c>
      <c r="N14095" t="s">
        <v>14</v>
      </c>
    </row>
    <row r="14096" x14ac:dyDescent="0.25">
      <c r="A14096" t="n">
        <v>23</v>
      </c>
      <c r="B14096" t="s">
        <v>14</v>
      </c>
      <c r="C14096" t="s">
        <v>22</v>
      </c>
      <c r="D14096" s="2" t="s">
        <f>=HYPERLINK("https://main.knesset.gov.il/APPS/legislation/main/bills/2086138", "הצעת חוק בית הדין לעבודה (תיקון - ערעור לפני בית המשפט העליון), התש""ף-2020")</f>
        <v>27142</v>
      </c>
      <c r="E14096" t="s">
        <v>27142</v>
      </c>
      <c r="F14096" t="s">
        <v>27143</v>
      </c>
      <c r="G14096" t="s">
        <v>14</v>
      </c>
      <c r="H14096">
             </c>
      <c r="I14096" t="s">
        <v>14</v>
      </c>
      <c r="J14096" t="s">
        <v>141</v>
      </c>
      <c r="K14096" t="s">
        <v>14</v>
      </c>
      <c r="L14096" t="s">
        <v>20</v>
      </c>
      <c r="M14096" t="s">
        <v>27025</v>
      </c>
      <c r="N14096" t="s">
        <v>14</v>
      </c>
    </row>
    <row r="14097" x14ac:dyDescent="0.25">
      <c r="A14097" t="n">
        <v>23</v>
      </c>
      <c r="B14097" t="s">
        <v>14</v>
      </c>
      <c r="C14097" t="s">
        <v>22</v>
      </c>
      <c r="D14097" s="2" t="s">
        <f>=HYPERLINK("https://main.knesset.gov.il/APPS/legislation/main/bills/2086069", "הצעת חוק לתיקון פקודת התעבורה (סמכות שוטר בעבירות הנוגעות לשימוש בטלפון נייד), התש""ף-2020")</f>
        <v>27144</v>
      </c>
      <c r="E14097" t="s">
        <v>27144</v>
      </c>
      <c r="F14097" t="s">
        <v>27145</v>
      </c>
      <c r="G14097" t="s">
        <v>14</v>
      </c>
      <c r="H14097">
             </c>
      <c r="I14097" t="s">
        <v>14</v>
      </c>
      <c r="J14097" t="s">
        <v>343</v>
      </c>
      <c r="K14097" t="s">
        <v>14</v>
      </c>
      <c r="L14097" t="s">
        <v>20</v>
      </c>
      <c r="M14097" t="s">
        <v>27025</v>
      </c>
      <c r="N14097" t="s">
        <v>14</v>
      </c>
    </row>
    <row r="14098" x14ac:dyDescent="0.25">
      <c r="A14098" t="n">
        <v>23</v>
      </c>
      <c r="B14098" t="s">
        <v>14</v>
      </c>
      <c r="C14098" t="s">
        <v>22</v>
      </c>
      <c r="D14098" s="2" t="s">
        <f>=HYPERLINK("https://main.knesset.gov.il/APPS/legislation/main/bills/2086061", "הצעת חוק לתיקון פקודת מס הכנסה (הטבות מס לעולים חדשים), התש""ף-2020")</f>
        <v>27146</v>
      </c>
      <c r="E14098" t="s">
        <v>27146</v>
      </c>
      <c r="F14098" t="s">
        <v>27147</v>
      </c>
      <c r="G14098" t="s">
        <v>14</v>
      </c>
      <c r="H14098">
             </c>
      <c r="I14098" t="s">
        <v>14</v>
      </c>
      <c r="J14098" t="s">
        <v>141</v>
      </c>
      <c r="K14098" t="s">
        <v>14</v>
      </c>
      <c r="L14098" t="s">
        <v>20</v>
      </c>
      <c r="M14098" t="s">
        <v>27025</v>
      </c>
      <c r="N14098" t="s">
        <v>14</v>
      </c>
    </row>
    <row r="14099" x14ac:dyDescent="0.25">
      <c r="A14099" t="n">
        <v>23</v>
      </c>
      <c r="B14099" t="s">
        <v>14</v>
      </c>
      <c r="C14099" t="s">
        <v>22</v>
      </c>
      <c r="D14099" s="2" t="s">
        <f>=HYPERLINK("https://main.knesset.gov.il/APPS/legislation/main/bills/2086010", "הצעת חוק קליטת חיילים משוחררים (תיקון - הקרן להעצמת המשרתים בשירות צבאי), התש""ף-2020")</f>
        <v>27148</v>
      </c>
      <c r="E14099" t="s">
        <v>27148</v>
      </c>
      <c r="F14099" t="s">
        <v>27149</v>
      </c>
      <c r="G14099" t="s">
        <v>14</v>
      </c>
      <c r="H14099">
             </c>
      <c r="I14099" t="s">
        <v>14</v>
      </c>
      <c r="J14099" t="s">
        <v>141</v>
      </c>
      <c r="K14099" t="s">
        <v>14</v>
      </c>
      <c r="L14099" t="s">
        <v>20</v>
      </c>
      <c r="M14099" t="s">
        <v>27025</v>
      </c>
      <c r="N14099" t="s">
        <v>14</v>
      </c>
    </row>
    <row r="14100" x14ac:dyDescent="0.25">
      <c r="A14100" t="n">
        <v>23</v>
      </c>
      <c r="B14100" t="s">
        <v>14</v>
      </c>
      <c r="C14100" t="s">
        <v>22</v>
      </c>
      <c r="D14100" s="2" t="s">
        <f>=HYPERLINK("https://main.knesset.gov.il/APPS/legislation/main/bills/2085994", "הצעת חוק הגנת הצרכן (תיקון - חובת הקלטה של עסקה טלפונית), התש""ף-2020")</f>
        <v>24753</v>
      </c>
      <c r="E14100" t="s">
        <v>24753</v>
      </c>
      <c r="F14100" t="s">
        <v>27150</v>
      </c>
      <c r="G14100" t="s">
        <v>14</v>
      </c>
      <c r="H14100">
             </c>
      <c r="I14100" t="s">
        <v>14</v>
      </c>
      <c r="J14100" t="s">
        <v>141</v>
      </c>
      <c r="K14100" t="s">
        <v>14</v>
      </c>
      <c r="L14100" t="s">
        <v>20</v>
      </c>
      <c r="M14100" t="s">
        <v>27025</v>
      </c>
      <c r="N14100" t="s">
        <v>14</v>
      </c>
    </row>
    <row r="14101" x14ac:dyDescent="0.25">
      <c r="A14101" t="n">
        <v>23</v>
      </c>
      <c r="B14101" t="s">
        <v>14</v>
      </c>
      <c r="C14101" t="s">
        <v>22</v>
      </c>
      <c r="D14101" s="2" t="s">
        <f>=HYPERLINK("https://main.knesset.gov.il/APPS/legislation/main/bills/2085989", "הצעת חוק ביטוח בריאות ממלכתי (תיקון - יצירת מדד לאומי לשוויון בשירותי בריאות), התש""ף-2020")</f>
        <v>27151</v>
      </c>
      <c r="E14101" t="s">
        <v>27151</v>
      </c>
      <c r="F14101" t="s">
        <v>27152</v>
      </c>
      <c r="G14101" t="s">
        <v>14</v>
      </c>
      <c r="H14101">
             </c>
      <c r="I14101" t="s">
        <v>14</v>
      </c>
      <c r="J14101" t="s">
        <v>141</v>
      </c>
      <c r="K14101" t="s">
        <v>14</v>
      </c>
      <c r="L14101" t="s">
        <v>20</v>
      </c>
      <c r="M14101" t="s">
        <v>27025</v>
      </c>
      <c r="N14101" t="s">
        <v>14</v>
      </c>
    </row>
    <row r="14102" x14ac:dyDescent="0.25">
      <c r="A14102" t="n">
        <v>23</v>
      </c>
      <c r="B14102" t="s">
        <v>14</v>
      </c>
      <c r="C14102" t="s">
        <v>22</v>
      </c>
      <c r="D14102" s="2" t="s">
        <f>=HYPERLINK("https://main.knesset.gov.il/APPS/legislation/main/bills/2085952", "הצעת חוק לימוד חובה (תיקון - תקופת שנת הלימודים וחופשות), התש""ף-2020")</f>
        <v>27153</v>
      </c>
      <c r="E14102" t="s">
        <v>27153</v>
      </c>
      <c r="F14102" t="s">
        <v>27154</v>
      </c>
      <c r="G14102" t="s">
        <v>14</v>
      </c>
      <c r="H14102">
             </c>
      <c r="I14102" t="s">
        <v>14</v>
      </c>
      <c r="J14102" t="s">
        <v>141</v>
      </c>
      <c r="K14102" t="s">
        <v>14</v>
      </c>
      <c r="L14102" t="s">
        <v>20</v>
      </c>
      <c r="M14102" t="s">
        <v>27025</v>
      </c>
      <c r="N14102" t="s">
        <v>14</v>
      </c>
    </row>
    <row r="14103" x14ac:dyDescent="0.25">
      <c r="A14103" t="n">
        <v>23</v>
      </c>
      <c r="B14103" t="s">
        <v>14</v>
      </c>
      <c r="C14103" t="s">
        <v>22</v>
      </c>
      <c r="D14103" s="2" t="s">
        <f>=HYPERLINK("https://main.knesset.gov.il/APPS/legislation/main/bills/2085943", "הצעת חוק עבודת נשים (תיקון - תקופת לידה והורות לגבר), התש""ף-2020")</f>
        <v>27155</v>
      </c>
      <c r="E14103" t="s">
        <v>27155</v>
      </c>
      <c r="F14103" t="s">
        <v>27156</v>
      </c>
      <c r="G14103" t="s">
        <v>14</v>
      </c>
      <c r="H14103">
             </c>
      <c r="I14103" t="s">
        <v>14</v>
      </c>
      <c r="J14103" t="s">
        <v>141</v>
      </c>
      <c r="K14103" t="s">
        <v>14</v>
      </c>
      <c r="L14103" t="s">
        <v>20</v>
      </c>
      <c r="M14103" t="s">
        <v>27025</v>
      </c>
      <c r="N14103" t="s">
        <v>14</v>
      </c>
    </row>
    <row r="14104" x14ac:dyDescent="0.25">
      <c r="A14104" t="n">
        <v>23</v>
      </c>
      <c r="B14104" t="s">
        <v>14</v>
      </c>
      <c r="C14104" t="s">
        <v>22</v>
      </c>
      <c r="D14104" s="2" t="s">
        <f>=HYPERLINK("https://main.knesset.gov.il/APPS/legislation/main/bills/2085938", "הצעת חוק הגנה על עובדים בעת אירוע חירום אזרחי, התש""ף-2020")</f>
        <v>27157</v>
      </c>
      <c r="E14104" t="s">
        <v>27157</v>
      </c>
      <c r="F14104" t="s">
        <v>27158</v>
      </c>
      <c r="G14104" t="s">
        <v>14</v>
      </c>
      <c r="H14104">
             </c>
      <c r="I14104" t="s">
        <v>14</v>
      </c>
      <c r="J14104" t="s">
        <v>141</v>
      </c>
      <c r="K14104" t="s">
        <v>14</v>
      </c>
      <c r="L14104" t="s">
        <v>20</v>
      </c>
      <c r="M14104" t="s">
        <v>27025</v>
      </c>
      <c r="N14104" t="s">
        <v>14</v>
      </c>
    </row>
    <row r="14105" x14ac:dyDescent="0.25">
      <c r="A14105" t="n">
        <v>23</v>
      </c>
      <c r="B14105" t="s">
        <v>14</v>
      </c>
      <c r="C14105" t="s">
        <v>22</v>
      </c>
      <c r="D14105" s="2" t="s">
        <f>=HYPERLINK("https://main.knesset.gov.il/APPS/legislation/main/bills/2085937", "הצעת חוק עבודת נשים (תיקון - תקופת לידה והורות לבנות זוג מאותו המין), התש""ף-2020")</f>
        <v>27159</v>
      </c>
      <c r="E14105" t="s">
        <v>27159</v>
      </c>
      <c r="F14105" t="s">
        <v>27160</v>
      </c>
      <c r="G14105" t="s">
        <v>14</v>
      </c>
      <c r="H14105">
             </c>
      <c r="I14105" t="s">
        <v>14</v>
      </c>
      <c r="J14105" t="s">
        <v>141</v>
      </c>
      <c r="K14105" t="s">
        <v>14</v>
      </c>
      <c r="L14105" t="s">
        <v>20</v>
      </c>
      <c r="M14105" t="s">
        <v>27025</v>
      </c>
      <c r="N14105" t="s">
        <v>14</v>
      </c>
    </row>
    <row r="14106" x14ac:dyDescent="0.25">
      <c r="A14106" t="n">
        <v>23</v>
      </c>
      <c r="B14106" t="s">
        <v>14</v>
      </c>
      <c r="C14106" t="s">
        <v>22</v>
      </c>
      <c r="D14106" s="2" t="s">
        <f>=HYPERLINK("https://main.knesset.gov.il/APPS/legislation/main/bills/2085933", "הצעת חוק עבודת נשים (תיקון - הוספת חלקו של חודש במניין), התש""ף-2020")</f>
        <v>27161</v>
      </c>
      <c r="E14106" t="s">
        <v>27161</v>
      </c>
      <c r="F14106" t="s">
        <v>27162</v>
      </c>
      <c r="G14106" t="s">
        <v>14</v>
      </c>
      <c r="H14106">
             </c>
      <c r="I14106" t="s">
        <v>14</v>
      </c>
      <c r="J14106" t="s">
        <v>141</v>
      </c>
      <c r="K14106" t="s">
        <v>14</v>
      </c>
      <c r="L14106" t="s">
        <v>20</v>
      </c>
      <c r="M14106" t="s">
        <v>27025</v>
      </c>
      <c r="N14106" t="s">
        <v>14</v>
      </c>
    </row>
    <row r="14107" x14ac:dyDescent="0.25">
      <c r="A14107" t="n">
        <v>23</v>
      </c>
      <c r="B14107" t="s">
        <v>14</v>
      </c>
      <c r="C14107" t="s">
        <v>22</v>
      </c>
      <c r="D14107" s="2" t="s">
        <f>=HYPERLINK("https://main.knesset.gov.il/APPS/legislation/main/bills/2085916", "הצעת חוק בית המשפט לענייני משפחה (תיקון - בני הזוג מאותו המין), התש""ף-2020")</f>
        <v>27163</v>
      </c>
      <c r="E14107" t="s">
        <v>27163</v>
      </c>
      <c r="F14107" t="s">
        <v>27164</v>
      </c>
      <c r="G14107" t="s">
        <v>14</v>
      </c>
      <c r="H14107">
             </c>
      <c r="I14107" t="s">
        <v>14</v>
      </c>
      <c r="J14107" t="s">
        <v>141</v>
      </c>
      <c r="K14107" t="s">
        <v>14</v>
      </c>
      <c r="L14107" t="s">
        <v>20</v>
      </c>
      <c r="M14107" t="s">
        <v>27025</v>
      </c>
      <c r="N14107" t="s">
        <v>14</v>
      </c>
    </row>
    <row r="14108" x14ac:dyDescent="0.25">
      <c r="A14108" t="n">
        <v>23</v>
      </c>
      <c r="B14108" t="s">
        <v>14</v>
      </c>
      <c r="C14108" t="s">
        <v>22</v>
      </c>
      <c r="D14108" s="2" t="s">
        <f>=HYPERLINK("https://main.knesset.gov.il/APPS/legislation/main/bills/2085909", "הצעת חוק עבודת נשים (תיקון - תקופת לידה והורות להורה יחיד), התש""ף-2020")</f>
        <v>25584</v>
      </c>
      <c r="E14108" t="s">
        <v>25584</v>
      </c>
      <c r="F14108" t="s">
        <v>27165</v>
      </c>
      <c r="G14108" t="s">
        <v>14</v>
      </c>
      <c r="H14108">
             </c>
      <c r="I14108" t="s">
        <v>14</v>
      </c>
      <c r="J14108" t="s">
        <v>343</v>
      </c>
      <c r="K14108" t="s">
        <v>14</v>
      </c>
      <c r="L14108" t="s">
        <v>20</v>
      </c>
      <c r="M14108" t="s">
        <v>27025</v>
      </c>
      <c r="N14108" t="s">
        <v>14</v>
      </c>
    </row>
    <row r="14109" x14ac:dyDescent="0.25">
      <c r="A14109" t="n">
        <v>23</v>
      </c>
      <c r="B14109" t="s">
        <v>14</v>
      </c>
      <c r="C14109" t="s">
        <v>22</v>
      </c>
      <c r="D14109" s="2" t="s">
        <f>=HYPERLINK("https://main.knesset.gov.il/APPS/legislation/main/bills/2085901", "הצעת חוק הביטוח הלאומי (תיקון - דמי פגיעה לעצמאי), התש""ף-2020")</f>
        <v>23225</v>
      </c>
      <c r="E14109" t="s">
        <v>23225</v>
      </c>
      <c r="F14109" t="s">
        <v>27166</v>
      </c>
      <c r="G14109" t="s">
        <v>14</v>
      </c>
      <c r="H14109">
             </c>
      <c r="I14109" t="s">
        <v>14</v>
      </c>
      <c r="J14109" t="s">
        <v>141</v>
      </c>
      <c r="K14109" t="s">
        <v>14</v>
      </c>
      <c r="L14109" t="s">
        <v>20</v>
      </c>
      <c r="M14109" t="s">
        <v>27025</v>
      </c>
      <c r="N14109" t="s">
        <v>14</v>
      </c>
    </row>
    <row r="14110" x14ac:dyDescent="0.25">
      <c r="A14110" t="n">
        <v>23</v>
      </c>
      <c r="B14110" t="s">
        <v>14</v>
      </c>
      <c r="C14110" t="s">
        <v>22</v>
      </c>
      <c r="D14110" s="2" t="s">
        <f>=HYPERLINK("https://main.knesset.gov.il/APPS/legislation/main/bills/2085804", "הצעת חוק איסור הונאה בכשרות (תיקון - קיצור משך זמן ההחלטה בערעור), התש""ף-2020")</f>
        <v>27167</v>
      </c>
      <c r="E14110" t="s">
        <v>27167</v>
      </c>
      <c r="F14110" t="s">
        <v>27168</v>
      </c>
      <c r="G14110" t="s">
        <v>14</v>
      </c>
      <c r="H14110">
             </c>
      <c r="I14110" t="s">
        <v>14</v>
      </c>
      <c r="J14110" t="s">
        <v>141</v>
      </c>
      <c r="K14110" t="s">
        <v>14</v>
      </c>
      <c r="L14110" t="s">
        <v>20</v>
      </c>
      <c r="M14110" t="s">
        <v>27025</v>
      </c>
      <c r="N14110" t="s">
        <v>14</v>
      </c>
    </row>
    <row r="14111" x14ac:dyDescent="0.25">
      <c r="A14111" t="n">
        <v>23</v>
      </c>
      <c r="B14111" t="s">
        <v>14</v>
      </c>
      <c r="C14111" t="s">
        <v>22</v>
      </c>
      <c r="D14111" s="2" t="s">
        <f>=HYPERLINK("https://main.knesset.gov.il/APPS/legislation/main/bills/2086618", "הצעת חוק הפסקת תשלום קצבה מאוצר המדינה לחבר כנסת (תיקוני חקיקה), התש""ף-2020")</f>
        <v>27169</v>
      </c>
      <c r="E14111" t="s">
        <v>27169</v>
      </c>
      <c r="F14111" t="s">
        <v>27170</v>
      </c>
      <c r="G14111" t="s">
        <v>14</v>
      </c>
      <c r="H14111">
             </c>
      <c r="I14111" t="s">
        <v>14</v>
      </c>
      <c r="J14111" t="s">
        <v>1123</v>
      </c>
      <c r="K14111" t="s">
        <v>14</v>
      </c>
      <c r="L14111" t="s">
        <v>20</v>
      </c>
      <c r="M14111" t="s">
        <v>27025</v>
      </c>
      <c r="N14111" t="s">
        <v>14</v>
      </c>
    </row>
    <row r="14112" x14ac:dyDescent="0.25">
      <c r="A14112" t="n">
        <v>23</v>
      </c>
      <c r="B14112" t="s">
        <v>14</v>
      </c>
      <c r="C14112" t="s">
        <v>22</v>
      </c>
      <c r="D14112" s="2" t="s">
        <f>=HYPERLINK("https://main.knesset.gov.il/APPS/legislation/main/bills/2086035", "הצעת חוק שכר נושאי משרה ברשויות השלטון, התש""ף-2020")</f>
        <v>25648</v>
      </c>
      <c r="E14112" t="s">
        <v>25648</v>
      </c>
      <c r="F14112" t="s">
        <v>27171</v>
      </c>
      <c r="G14112" t="s">
        <v>14</v>
      </c>
      <c r="H14112">
             </c>
      <c r="I14112" t="s">
        <v>14</v>
      </c>
      <c r="J14112" t="s">
        <v>141</v>
      </c>
      <c r="K14112" t="s">
        <v>14</v>
      </c>
      <c r="L14112" t="s">
        <v>20</v>
      </c>
      <c r="M14112" t="s">
        <v>27025</v>
      </c>
      <c r="N14112" t="s">
        <v>14</v>
      </c>
    </row>
    <row r="14113" x14ac:dyDescent="0.25">
      <c r="A14113" t="n">
        <v>23</v>
      </c>
      <c r="B14113" t="s">
        <v>14</v>
      </c>
      <c r="C14113" t="s">
        <v>22</v>
      </c>
      <c r="D14113" s="2" t="s">
        <f>=HYPERLINK("https://main.knesset.gov.il/APPS/legislation/main/bills/2086047", "הצעת חוק-יסוד: שכר נושאי משרה ברשויות השלטון (תיקוני חקיקה)")</f>
        <v>10175</v>
      </c>
      <c r="E14113" t="s">
        <v>10175</v>
      </c>
      <c r="F14113" t="s">
        <v>27172</v>
      </c>
      <c r="G14113" t="s">
        <v>14</v>
      </c>
      <c r="H14113">
             </c>
      <c r="I14113" t="s">
        <v>14</v>
      </c>
      <c r="J14113" t="s">
        <v>141</v>
      </c>
      <c r="K14113" t="s">
        <v>14</v>
      </c>
      <c r="L14113" t="s">
        <v>20</v>
      </c>
      <c r="M14113" t="s">
        <v>27025</v>
      </c>
      <c r="N14113" t="s">
        <v>14</v>
      </c>
    </row>
    <row r="14114" x14ac:dyDescent="0.25">
      <c r="A14114" t="n">
        <v>23</v>
      </c>
      <c r="B14114" t="s">
        <v>14</v>
      </c>
      <c r="C14114" t="s">
        <v>22</v>
      </c>
      <c r="D14114" s="2" t="s">
        <f>=HYPERLINK("https://main.knesset.gov.il/APPS/legislation/main/bills/2085908", "הצעת חוק בית המשפט לענייני משפחה (תיקון – מימון ניהול ההליך המשפטי), התש""ף–2020")</f>
        <v>27173</v>
      </c>
      <c r="E14114" t="s">
        <v>27173</v>
      </c>
      <c r="F14114" t="s">
        <v>27174</v>
      </c>
      <c r="G14114" t="s">
        <v>14</v>
      </c>
      <c r="H14114">
             </c>
      <c r="I14114" t="s">
        <v>14</v>
      </c>
      <c r="J14114" t="s">
        <v>141</v>
      </c>
      <c r="K14114" t="s">
        <v>14</v>
      </c>
      <c r="L14114" t="s">
        <v>20</v>
      </c>
      <c r="M14114" t="s">
        <v>27025</v>
      </c>
      <c r="N14114" t="s">
        <v>14</v>
      </c>
    </row>
    <row r="14115" x14ac:dyDescent="0.25">
      <c r="A14115" t="n">
        <v>23</v>
      </c>
      <c r="B14115" t="s">
        <v>14</v>
      </c>
      <c r="C14115" t="s">
        <v>22</v>
      </c>
      <c r="D14115" s="2" t="s">
        <f>=HYPERLINK("https://main.knesset.gov.il/APPS/legislation/main/bills/2085914", "הצעת חוק שירות המילואים (תיקון - משרת מילואים פעיל), התש""ף-2020")</f>
        <v>27175</v>
      </c>
      <c r="E14115" t="s">
        <v>27175</v>
      </c>
      <c r="F14115" t="s">
        <v>27176</v>
      </c>
      <c r="G14115" t="s">
        <v>14</v>
      </c>
      <c r="H14115">
             </c>
      <c r="I14115" t="s">
        <v>14</v>
      </c>
      <c r="J14115" t="s">
        <v>141</v>
      </c>
      <c r="K14115" t="s">
        <v>14</v>
      </c>
      <c r="L14115" t="s">
        <v>20</v>
      </c>
      <c r="M14115" t="s">
        <v>27025</v>
      </c>
      <c r="N14115" t="s">
        <v>14</v>
      </c>
    </row>
    <row r="14116" x14ac:dyDescent="0.25">
      <c r="A14116" t="n">
        <v>23</v>
      </c>
      <c r="B14116" t="s">
        <v>14</v>
      </c>
      <c r="C14116" t="s">
        <v>22</v>
      </c>
      <c r="D14116" s="2" t="s">
        <f>=HYPERLINK("https://main.knesset.gov.il/APPS/legislation/main/bills/2085958", "הצעת חוק חינוך פיננסי, התש""ף-2020")</f>
        <v>24695</v>
      </c>
      <c r="E14116" t="s">
        <v>24695</v>
      </c>
      <c r="F14116" t="s">
        <v>27177</v>
      </c>
      <c r="G14116" t="s">
        <v>14</v>
      </c>
      <c r="H14116">
             </c>
      <c r="I14116" t="s">
        <v>14</v>
      </c>
      <c r="J14116" t="s">
        <v>141</v>
      </c>
      <c r="K14116" t="s">
        <v>14</v>
      </c>
      <c r="L14116" t="s">
        <v>20</v>
      </c>
      <c r="M14116" t="s">
        <v>27025</v>
      </c>
      <c r="N14116" t="s">
        <v>14</v>
      </c>
    </row>
    <row r="14117" x14ac:dyDescent="0.25">
      <c r="A14117" t="n">
        <v>23</v>
      </c>
      <c r="B14117" t="s">
        <v>14</v>
      </c>
      <c r="C14117" t="s">
        <v>22</v>
      </c>
      <c r="D14117" s="2" t="s">
        <f>=HYPERLINK("https://main.knesset.gov.il/APPS/legislation/main/bills/2085941", "הצעת חוק לתיקון פקודת התעבורה (חובת נשיאת לוחית זיהוי באופניים ממונעים ובקורקינט ממונע), התש""ף-2020")</f>
        <v>27178</v>
      </c>
      <c r="E14117" t="s">
        <v>27178</v>
      </c>
      <c r="F14117" t="s">
        <v>27179</v>
      </c>
      <c r="G14117" t="s">
        <v>14</v>
      </c>
      <c r="H14117">
             </c>
      <c r="I14117" t="s">
        <v>14</v>
      </c>
      <c r="J14117" t="s">
        <v>141</v>
      </c>
      <c r="K14117" t="s">
        <v>14</v>
      </c>
      <c r="L14117" t="s">
        <v>20</v>
      </c>
      <c r="M14117" t="s">
        <v>27025</v>
      </c>
      <c r="N14117" t="s">
        <v>14</v>
      </c>
    </row>
    <row r="14118" x14ac:dyDescent="0.25">
      <c r="A14118" t="n">
        <v>23</v>
      </c>
      <c r="B14118" t="s">
        <v>14</v>
      </c>
      <c r="C14118" t="s">
        <v>15</v>
      </c>
      <c r="D14118" s="2" t="s">
        <f>=HYPERLINK("https://main.knesset.gov.il/APPS/legislation/main/bills/2087390", "חוק סדר הדין הפלילי (סמכויות אכיפה – מעצרים) (הוראת שעה – נגיף הקורונה החדש) (מעצר חשוד בעת מניעה לקדם חקירה), התש""ף-2020 ")</f>
        <v>27180</v>
      </c>
      <c r="E14118" t="s">
        <v>27180</v>
      </c>
      <c r="F14118" t="s">
        <v>14</v>
      </c>
      <c r="G14118" t="s">
        <v>27181</v>
      </c>
      <c r="H14118" t="n">
        <v>2794</v>
      </c>
      <c r="I14118" t="s">
        <v>14</v>
      </c>
      <c r="J14118" t="s">
        <v>91</v>
      </c>
      <c r="K14118" t="s">
        <v>27182</v>
      </c>
      <c r="L14118" t="s">
        <v>20</v>
      </c>
      <c r="M14118" t="s">
        <v>27183</v>
      </c>
      <c r="N14118" t="s">
        <v>27184</v>
      </c>
    </row>
    <row r="14119" x14ac:dyDescent="0.25">
      <c r="A14119" t="n">
        <v>23</v>
      </c>
      <c r="B14119" t="s">
        <v>14</v>
      </c>
      <c r="C14119" t="s">
        <v>22</v>
      </c>
      <c r="D14119" s="2" t="s">
        <f>=HYPERLINK("https://main.knesset.gov.il/APPS/legislation/main/bills/2085806", "הצעת חוק ביטוח פיקדונות בתאגיד בנקאי, התש""ף-2020")</f>
        <v>27185</v>
      </c>
      <c r="E14119" t="s">
        <v>27185</v>
      </c>
      <c r="F14119" t="s">
        <v>27186</v>
      </c>
      <c r="G14119" t="s">
        <v>14</v>
      </c>
      <c r="H14119">
             </c>
      <c r="I14119" t="s">
        <v>14</v>
      </c>
      <c r="J14119" t="s">
        <v>141</v>
      </c>
      <c r="K14119" t="s">
        <v>14</v>
      </c>
      <c r="L14119" t="s">
        <v>20</v>
      </c>
      <c r="M14119" t="s">
        <v>27183</v>
      </c>
      <c r="N14119" t="s">
        <v>14</v>
      </c>
    </row>
    <row r="14120" x14ac:dyDescent="0.25">
      <c r="A14120" t="n">
        <v>23</v>
      </c>
      <c r="B14120" t="s">
        <v>14</v>
      </c>
      <c r="C14120" t="s">
        <v>22</v>
      </c>
      <c r="D14120" s="2" t="s">
        <f>=HYPERLINK("https://main.knesset.gov.il/APPS/legislation/main/bills/2085703", "הצעת חוק לתיקון פקודת הסמים המסוכנים (הוספת חומר קנבוס כחומר בעל תועלת רפואית), התש""ף-2020")</f>
        <v>27187</v>
      </c>
      <c r="E14120" t="s">
        <v>27187</v>
      </c>
      <c r="F14120" t="s">
        <v>27188</v>
      </c>
      <c r="G14120" t="s">
        <v>14</v>
      </c>
      <c r="H14120">
             </c>
      <c r="I14120" t="s">
        <v>14</v>
      </c>
      <c r="J14120" t="s">
        <v>141</v>
      </c>
      <c r="K14120" t="s">
        <v>14</v>
      </c>
      <c r="L14120" t="s">
        <v>20</v>
      </c>
      <c r="M14120" t="s">
        <v>27183</v>
      </c>
      <c r="N14120" t="s">
        <v>14</v>
      </c>
    </row>
    <row r="14121" x14ac:dyDescent="0.25">
      <c r="A14121" t="n">
        <v>23</v>
      </c>
      <c r="B14121" t="s">
        <v>14</v>
      </c>
      <c r="C14121" t="s">
        <v>22</v>
      </c>
      <c r="D14121" s="2" t="s">
        <f>=HYPERLINK("https://main.knesset.gov.il/APPS/legislation/main/bills/2085711", "הצעת חוק לתיקון פקודת הסמים המסוכנים (זנים תעשייתיים של קנבוס), התש""ף-2020")</f>
        <v>27189</v>
      </c>
      <c r="E14121" t="s">
        <v>27189</v>
      </c>
      <c r="F14121" t="s">
        <v>27190</v>
      </c>
      <c r="G14121" t="s">
        <v>14</v>
      </c>
      <c r="H14121">
             </c>
      <c r="I14121" t="s">
        <v>14</v>
      </c>
      <c r="J14121" t="s">
        <v>141</v>
      </c>
      <c r="K14121" t="s">
        <v>14</v>
      </c>
      <c r="L14121" t="s">
        <v>20</v>
      </c>
      <c r="M14121" t="s">
        <v>27183</v>
      </c>
      <c r="N14121" t="s">
        <v>14</v>
      </c>
    </row>
    <row r="14122" x14ac:dyDescent="0.25">
      <c r="A14122" t="n">
        <v>23</v>
      </c>
      <c r="B14122" t="s">
        <v>14</v>
      </c>
      <c r="C14122" t="s">
        <v>22</v>
      </c>
      <c r="D14122" s="2" t="s">
        <f>=HYPERLINK("https://main.knesset.gov.il/APPS/legislation/main/bills/2085772", "הצעת חוק הביטוח הלאומי (תיקון - ניכוי הכנסה חודשית שלא מעבודה או ממשלח יד), התש""ף-2020 ")</f>
        <v>27191</v>
      </c>
      <c r="E14122" t="s">
        <v>27191</v>
      </c>
      <c r="F14122" t="s">
        <v>27192</v>
      </c>
      <c r="G14122" t="s">
        <v>14</v>
      </c>
      <c r="H14122">
             </c>
      <c r="I14122" t="s">
        <v>14</v>
      </c>
      <c r="J14122" t="s">
        <v>141</v>
      </c>
      <c r="K14122" t="s">
        <v>14</v>
      </c>
      <c r="L14122" t="s">
        <v>20</v>
      </c>
      <c r="M14122" t="s">
        <v>27183</v>
      </c>
      <c r="N14122" t="s">
        <v>14</v>
      </c>
    </row>
    <row r="14123" x14ac:dyDescent="0.25">
      <c r="A14123" t="n">
        <v>23</v>
      </c>
      <c r="B14123" t="s">
        <v>14</v>
      </c>
      <c r="C14123" t="s">
        <v>22</v>
      </c>
      <c r="D14123" s="2" t="s">
        <f>=HYPERLINK("https://main.knesset.gov.il/APPS/legislation/main/bills/2085818", "הצעת חוק החזר דמי נסיעה במונית לבית החולים (תיקוני חקיקה), התש""ף-2020")</f>
        <v>27193</v>
      </c>
      <c r="E14123" t="s">
        <v>27193</v>
      </c>
      <c r="F14123" t="s">
        <v>27194</v>
      </c>
      <c r="G14123" t="s">
        <v>14</v>
      </c>
      <c r="H14123">
             </c>
      <c r="I14123" t="s">
        <v>14</v>
      </c>
      <c r="J14123" t="s">
        <v>141</v>
      </c>
      <c r="K14123" t="s">
        <v>14</v>
      </c>
      <c r="L14123" t="s">
        <v>20</v>
      </c>
      <c r="M14123" t="s">
        <v>27183</v>
      </c>
      <c r="N14123" t="s">
        <v>14</v>
      </c>
    </row>
    <row r="14124" x14ac:dyDescent="0.25">
      <c r="A14124" t="n">
        <v>23</v>
      </c>
      <c r="B14124" t="s">
        <v>14</v>
      </c>
      <c r="C14124" t="s">
        <v>22</v>
      </c>
      <c r="D14124" s="2" t="s">
        <f>=HYPERLINK("https://main.knesset.gov.il/APPS/legislation/main/bills/2085842", "הצעת חוק למניעת העישון במקומות ציבוריים והחשיפה לעישון (תיקון - הוספת מקומות ציבוריים שהעישון בהם אסור), התש""ף-2020")</f>
        <v>27195</v>
      </c>
      <c r="E14124" t="s">
        <v>27195</v>
      </c>
      <c r="F14124" t="s">
        <v>27196</v>
      </c>
      <c r="G14124" t="s">
        <v>14</v>
      </c>
      <c r="H14124">
             </c>
      <c r="I14124" t="s">
        <v>14</v>
      </c>
      <c r="J14124" t="s">
        <v>141</v>
      </c>
      <c r="K14124" t="s">
        <v>14</v>
      </c>
      <c r="L14124" t="s">
        <v>20</v>
      </c>
      <c r="M14124" t="s">
        <v>27183</v>
      </c>
      <c r="N14124" t="s">
        <v>14</v>
      </c>
    </row>
    <row r="14125" x14ac:dyDescent="0.25">
      <c r="A14125" t="n">
        <v>23</v>
      </c>
      <c r="B14125" t="s">
        <v>14</v>
      </c>
      <c r="C14125" t="s">
        <v>22</v>
      </c>
      <c r="D14125" s="2" t="s">
        <f>=HYPERLINK("https://main.knesset.gov.il/APPS/legislation/main/bills/2085848", "הצעת חוק הביטוח הלאומי (תיקון - הרחבת הזכאות למענק פטירה), התש""ף-2020")</f>
        <v>27197</v>
      </c>
      <c r="E14125" t="s">
        <v>27197</v>
      </c>
      <c r="F14125" t="s">
        <v>27198</v>
      </c>
      <c r="G14125" t="s">
        <v>14</v>
      </c>
      <c r="H14125">
             </c>
      <c r="I14125" t="s">
        <v>14</v>
      </c>
      <c r="J14125" t="s">
        <v>141</v>
      </c>
      <c r="K14125" t="s">
        <v>14</v>
      </c>
      <c r="L14125" t="s">
        <v>20</v>
      </c>
      <c r="M14125" t="s">
        <v>27183</v>
      </c>
      <c r="N14125" t="s">
        <v>14</v>
      </c>
    </row>
    <row r="14126" x14ac:dyDescent="0.25">
      <c r="A14126" t="n">
        <v>23</v>
      </c>
      <c r="B14126" t="s">
        <v>14</v>
      </c>
      <c r="C14126" t="s">
        <v>22</v>
      </c>
      <c r="D14126" s="2" t="s">
        <f>=HYPERLINK("https://main.knesset.gov.il/APPS/legislation/main/bills/2085857", "הצעת חוק התכנון והבנייה (תיקון - תוקף היתר הבנייה), התש""ף-2020")</f>
        <v>27199</v>
      </c>
      <c r="E14126" t="s">
        <v>27199</v>
      </c>
      <c r="F14126" t="s">
        <v>27200</v>
      </c>
      <c r="G14126" t="s">
        <v>14</v>
      </c>
      <c r="H14126">
             </c>
      <c r="I14126" t="s">
        <v>14</v>
      </c>
      <c r="J14126" t="s">
        <v>141</v>
      </c>
      <c r="K14126" t="s">
        <v>14</v>
      </c>
      <c r="L14126" t="s">
        <v>20</v>
      </c>
      <c r="M14126" t="s">
        <v>27183</v>
      </c>
      <c r="N14126" t="s">
        <v>14</v>
      </c>
    </row>
    <row r="14127" x14ac:dyDescent="0.25">
      <c r="A14127" t="n">
        <v>23</v>
      </c>
      <c r="B14127" t="s">
        <v>14</v>
      </c>
      <c r="C14127" t="s">
        <v>22</v>
      </c>
      <c r="D14127" s="2" t="s">
        <f>=HYPERLINK("https://main.knesset.gov.il/APPS/legislation/main/bills/2085874", "הצעת חוק פסילת חבר מועצה מועמד למלא מקום ראש רשות מקומית שהושעה בשל הגשת כתב אישום (תיקוני חקיקה), התש""ף-2020")</f>
        <v>27201</v>
      </c>
      <c r="E14127" t="s">
        <v>27201</v>
      </c>
      <c r="F14127" t="s">
        <v>27202</v>
      </c>
      <c r="G14127" t="s">
        <v>14</v>
      </c>
      <c r="H14127">
             </c>
      <c r="I14127" t="s">
        <v>14</v>
      </c>
      <c r="J14127" t="s">
        <v>141</v>
      </c>
      <c r="K14127" t="s">
        <v>14</v>
      </c>
      <c r="L14127" t="s">
        <v>20</v>
      </c>
      <c r="M14127" t="s">
        <v>27183</v>
      </c>
      <c r="N14127" t="s">
        <v>14</v>
      </c>
    </row>
    <row r="14128" x14ac:dyDescent="0.25">
      <c r="A14128" t="n">
        <v>23</v>
      </c>
      <c r="B14128" t="s">
        <v>14</v>
      </c>
      <c r="C14128" t="s">
        <v>22</v>
      </c>
      <c r="D14128" s="2" t="s">
        <f>=HYPERLINK("https://main.knesset.gov.il/APPS/legislation/main/bills/2085862", "הצעת חוק הביטוח הלאומי (תיקון - פטור מתשלום דמי ביטוח לסטודנטים בשל הכנסות הוריהם), התש""ף-2020")</f>
        <v>26978</v>
      </c>
      <c r="E14128" t="s">
        <v>26978</v>
      </c>
      <c r="F14128" t="s">
        <v>27203</v>
      </c>
      <c r="G14128" t="s">
        <v>14</v>
      </c>
      <c r="H14128">
             </c>
      <c r="I14128" t="s">
        <v>14</v>
      </c>
      <c r="J14128" t="s">
        <v>141</v>
      </c>
      <c r="K14128" t="s">
        <v>14</v>
      </c>
      <c r="L14128" t="s">
        <v>20</v>
      </c>
      <c r="M14128" t="s">
        <v>27183</v>
      </c>
      <c r="N14128" t="s">
        <v>14</v>
      </c>
    </row>
    <row r="14129" x14ac:dyDescent="0.25">
      <c r="A14129" t="n">
        <v>23</v>
      </c>
      <c r="B14129" t="s">
        <v>14</v>
      </c>
      <c r="C14129" t="s">
        <v>22</v>
      </c>
      <c r="D14129" s="2" t="s">
        <f>=HYPERLINK("https://main.knesset.gov.il/APPS/legislation/main/bills/2085893", "הצעת חוק שירות המילואים (תיקון - מטרת שירות המילואים), התש""ף-2020")</f>
        <v>27204</v>
      </c>
      <c r="E14129" t="s">
        <v>27204</v>
      </c>
      <c r="F14129" t="s">
        <v>27205</v>
      </c>
      <c r="G14129" t="s">
        <v>14</v>
      </c>
      <c r="H14129">
             </c>
      <c r="I14129" t="s">
        <v>14</v>
      </c>
      <c r="J14129" t="s">
        <v>141</v>
      </c>
      <c r="K14129" t="s">
        <v>14</v>
      </c>
      <c r="L14129" t="s">
        <v>20</v>
      </c>
      <c r="M14129" t="s">
        <v>27183</v>
      </c>
      <c r="N14129" t="s">
        <v>14</v>
      </c>
    </row>
    <row r="14130" x14ac:dyDescent="0.25">
      <c r="A14130" t="n">
        <v>23</v>
      </c>
      <c r="B14130" t="s">
        <v>14</v>
      </c>
      <c r="C14130" t="s">
        <v>22</v>
      </c>
      <c r="D14130" s="2" t="s">
        <f>=HYPERLINK("https://main.knesset.gov.il/APPS/legislation/main/bills/2085889", "הצעת חוק השוואת תשלומים לחיילים בודדים ילידי ישראל וחיילים בודדים שנולדו מחוץ לישראל, התש""ף-2020")</f>
        <v>27206</v>
      </c>
      <c r="E14130" t="s">
        <v>27206</v>
      </c>
      <c r="F14130" t="s">
        <v>27207</v>
      </c>
      <c r="G14130" t="s">
        <v>14</v>
      </c>
      <c r="H14130">
             </c>
      <c r="I14130" t="s">
        <v>14</v>
      </c>
      <c r="J14130" t="s">
        <v>141</v>
      </c>
      <c r="K14130" t="s">
        <v>14</v>
      </c>
      <c r="L14130" t="s">
        <v>20</v>
      </c>
      <c r="M14130" t="s">
        <v>27183</v>
      </c>
      <c r="N14130" t="s">
        <v>14</v>
      </c>
    </row>
    <row r="14131" x14ac:dyDescent="0.25">
      <c r="A14131" t="n">
        <v>23</v>
      </c>
      <c r="B14131" t="s">
        <v>14</v>
      </c>
      <c r="C14131" t="s">
        <v>22</v>
      </c>
      <c r="D14131" s="2" t="s">
        <f>=HYPERLINK("https://main.knesset.gov.il/APPS/legislation/main/bills/2085881", "הצעת חוק הצמדת תשלומים לחיילים בודדים למדד המחירים לצרכן, התש""ף-2020")</f>
        <v>26488</v>
      </c>
      <c r="E14131" t="s">
        <v>26488</v>
      </c>
      <c r="F14131" t="s">
        <v>27208</v>
      </c>
      <c r="G14131" t="s">
        <v>14</v>
      </c>
      <c r="H14131">
             </c>
      <c r="I14131" t="s">
        <v>14</v>
      </c>
      <c r="J14131" t="s">
        <v>141</v>
      </c>
      <c r="K14131" t="s">
        <v>14</v>
      </c>
      <c r="L14131" t="s">
        <v>20</v>
      </c>
      <c r="M14131" t="s">
        <v>27183</v>
      </c>
      <c r="N14131" t="s">
        <v>14</v>
      </c>
    </row>
    <row r="14132" x14ac:dyDescent="0.25">
      <c r="A14132" t="n">
        <v>23</v>
      </c>
      <c r="B14132" t="s">
        <v>14</v>
      </c>
      <c r="C14132" t="s">
        <v>22</v>
      </c>
      <c r="D14132" s="2" t="s">
        <f>=HYPERLINK("https://main.knesset.gov.il/APPS/legislation/main/bills/2085876", "הצעת חוק שירות ביטחון (תיקון - עיון חוזר בפטור מטעמי הכרה דתית שהושג במרמה), התש""ף-2020")</f>
        <v>27209</v>
      </c>
      <c r="E14132" t="s">
        <v>27209</v>
      </c>
      <c r="F14132" t="s">
        <v>27210</v>
      </c>
      <c r="G14132" t="s">
        <v>14</v>
      </c>
      <c r="H14132">
             </c>
      <c r="I14132" t="s">
        <v>14</v>
      </c>
      <c r="J14132" t="s">
        <v>141</v>
      </c>
      <c r="K14132" t="s">
        <v>14</v>
      </c>
      <c r="L14132" t="s">
        <v>20</v>
      </c>
      <c r="M14132" t="s">
        <v>27183</v>
      </c>
      <c r="N14132" t="s">
        <v>14</v>
      </c>
    </row>
    <row r="14133" x14ac:dyDescent="0.25">
      <c r="A14133" t="n">
        <v>23</v>
      </c>
      <c r="B14133" t="s">
        <v>14</v>
      </c>
      <c r="C14133" t="s">
        <v>22</v>
      </c>
      <c r="D14133" s="2" t="s">
        <f>=HYPERLINK("https://main.knesset.gov.il/APPS/legislation/main/bills/2085852", "הצעת חוק הפיקוח על יצוא ביטחוני (תיקון - הגבלות על יצוא ביטחוני לכוחות ביטחון שביצעו הפרות חמורות של זכויות אדם), התש""ף-2020")</f>
        <v>27211</v>
      </c>
      <c r="E14133" t="s">
        <v>27211</v>
      </c>
      <c r="F14133" t="s">
        <v>27212</v>
      </c>
      <c r="G14133" t="s">
        <v>14</v>
      </c>
      <c r="H14133">
             </c>
      <c r="I14133" t="s">
        <v>14</v>
      </c>
      <c r="J14133" t="s">
        <v>343</v>
      </c>
      <c r="K14133" t="s">
        <v>14</v>
      </c>
      <c r="L14133" t="s">
        <v>20</v>
      </c>
      <c r="M14133" t="s">
        <v>27183</v>
      </c>
      <c r="N14133" t="s">
        <v>14</v>
      </c>
    </row>
    <row r="14134" x14ac:dyDescent="0.25">
      <c r="A14134" t="n">
        <v>23</v>
      </c>
      <c r="B14134" t="s">
        <v>14</v>
      </c>
      <c r="C14134" t="s">
        <v>22</v>
      </c>
      <c r="D14134" s="2" t="s">
        <f>=HYPERLINK("https://main.knesset.gov.il/APPS/legislation/main/bills/2085827", "הצעת חוק החלת ריבונות ישראל בשטח בקעת הירדן, התש""ף-2020")</f>
        <v>26635</v>
      </c>
      <c r="E14134" t="s">
        <v>26635</v>
      </c>
      <c r="F14134" t="s">
        <v>27213</v>
      </c>
      <c r="G14134" t="s">
        <v>14</v>
      </c>
      <c r="H14134">
             </c>
      <c r="I14134" t="s">
        <v>14</v>
      </c>
      <c r="J14134" t="s">
        <v>141</v>
      </c>
      <c r="K14134" t="s">
        <v>14</v>
      </c>
      <c r="L14134" t="s">
        <v>20</v>
      </c>
      <c r="M14134" t="s">
        <v>27183</v>
      </c>
      <c r="N14134" t="s">
        <v>14</v>
      </c>
    </row>
    <row r="14135" x14ac:dyDescent="0.25">
      <c r="A14135" t="n">
        <v>23</v>
      </c>
      <c r="B14135" t="s">
        <v>14</v>
      </c>
      <c r="C14135" t="s">
        <v>22</v>
      </c>
      <c r="D14135" s="2" t="s">
        <f>=HYPERLINK("https://main.knesset.gov.il/APPS/legislation/main/bills/2085731", "הצעת חוק החלת ריבונות ישראל בשטח בקעת הירדן וצפון ים המלח, התש""ף-2020")</f>
        <v>27214</v>
      </c>
      <c r="E14135" t="s">
        <v>27214</v>
      </c>
      <c r="F14135" t="s">
        <v>27215</v>
      </c>
      <c r="G14135" t="s">
        <v>14</v>
      </c>
      <c r="H14135">
             </c>
      <c r="I14135" t="s">
        <v>14</v>
      </c>
      <c r="J14135" t="s">
        <v>141</v>
      </c>
      <c r="K14135" t="s">
        <v>14</v>
      </c>
      <c r="L14135" t="s">
        <v>20</v>
      </c>
      <c r="M14135" t="s">
        <v>27183</v>
      </c>
      <c r="N14135" t="s">
        <v>14</v>
      </c>
    </row>
    <row r="14136" x14ac:dyDescent="0.25">
      <c r="A14136" t="n">
        <v>23</v>
      </c>
      <c r="B14136" t="s">
        <v>14</v>
      </c>
      <c r="C14136" t="s">
        <v>22</v>
      </c>
      <c r="D14136" s="2" t="s">
        <f>=HYPERLINK("https://main.knesset.gov.il/APPS/legislation/main/bills/2085708", "הצעת חוק הנחה לחיילי צה""ל בשירות סדיר בדמי נסיעה בתחבורה ציבורית, התש""ף-2020")</f>
        <v>27216</v>
      </c>
      <c r="E14136" t="s">
        <v>27216</v>
      </c>
      <c r="F14136" t="s">
        <v>27217</v>
      </c>
      <c r="G14136" t="s">
        <v>14</v>
      </c>
      <c r="H14136">
             </c>
      <c r="I14136" t="s">
        <v>14</v>
      </c>
      <c r="J14136" t="s">
        <v>141</v>
      </c>
      <c r="K14136" t="s">
        <v>14</v>
      </c>
      <c r="L14136" t="s">
        <v>20</v>
      </c>
      <c r="M14136" t="s">
        <v>27183</v>
      </c>
      <c r="N14136" t="s">
        <v>14</v>
      </c>
    </row>
    <row r="14137" x14ac:dyDescent="0.25">
      <c r="A14137" t="n">
        <v>23</v>
      </c>
      <c r="B14137" t="s">
        <v>14</v>
      </c>
      <c r="C14137" t="s">
        <v>22</v>
      </c>
      <c r="D14137" s="2" t="s">
        <f>=HYPERLINK("https://main.knesset.gov.il/APPS/legislation/main/bills/2085705", "הצעת חוק החלת ריבונות ישראל בשטח בקעת הירדן וצפון ים המלח, התש""ף-2020")</f>
        <v>27214</v>
      </c>
      <c r="E14137" t="s">
        <v>27214</v>
      </c>
      <c r="F14137" t="s">
        <v>27218</v>
      </c>
      <c r="G14137" t="s">
        <v>14</v>
      </c>
      <c r="H14137">
             </c>
      <c r="I14137" t="s">
        <v>14</v>
      </c>
      <c r="J14137" t="s">
        <v>141</v>
      </c>
      <c r="K14137" t="s">
        <v>14</v>
      </c>
      <c r="L14137" t="s">
        <v>20</v>
      </c>
      <c r="M14137" t="s">
        <v>27183</v>
      </c>
      <c r="N14137" t="s">
        <v>14</v>
      </c>
    </row>
    <row r="14138" x14ac:dyDescent="0.25">
      <c r="A14138" t="n">
        <v>23</v>
      </c>
      <c r="B14138" t="s">
        <v>14</v>
      </c>
      <c r="C14138" t="s">
        <v>22</v>
      </c>
      <c r="D14138" s="2" t="s">
        <f>=HYPERLINK("https://main.knesset.gov.il/APPS/legislation/main/bills/2085689", "הצעת חוק הממשלה (תיקון - ועדת שרים לענייני ביטחון לאומי), התש""ף-2020")</f>
        <v>27219</v>
      </c>
      <c r="E14138" t="s">
        <v>27219</v>
      </c>
      <c r="F14138" t="s">
        <v>27220</v>
      </c>
      <c r="G14138" t="s">
        <v>14</v>
      </c>
      <c r="H14138">
             </c>
      <c r="I14138" t="s">
        <v>14</v>
      </c>
      <c r="J14138" t="s">
        <v>141</v>
      </c>
      <c r="K14138" t="s">
        <v>14</v>
      </c>
      <c r="L14138" t="s">
        <v>20</v>
      </c>
      <c r="M14138" t="s">
        <v>27183</v>
      </c>
      <c r="N14138" t="s">
        <v>14</v>
      </c>
    </row>
    <row r="14139" x14ac:dyDescent="0.25">
      <c r="A14139" t="n">
        <v>23</v>
      </c>
      <c r="B14139" t="s">
        <v>14</v>
      </c>
      <c r="C14139" t="s">
        <v>22</v>
      </c>
      <c r="D14139" s="2" t="s">
        <f>=HYPERLINK("https://main.knesset.gov.il/APPS/legislation/main/bills/2085598", "הצעת חוק בתי קברות צבאיים (תיקון - כיתוב על מצבה צבאית), התש""ף-2020")</f>
        <v>27221</v>
      </c>
      <c r="E14139" t="s">
        <v>27221</v>
      </c>
      <c r="F14139" t="s">
        <v>27222</v>
      </c>
      <c r="G14139" t="s">
        <v>14</v>
      </c>
      <c r="H14139">
             </c>
      <c r="I14139" t="s">
        <v>14</v>
      </c>
      <c r="J14139" t="s">
        <v>141</v>
      </c>
      <c r="K14139" t="s">
        <v>14</v>
      </c>
      <c r="L14139" t="s">
        <v>20</v>
      </c>
      <c r="M14139" t="s">
        <v>27183</v>
      </c>
      <c r="N14139" t="s">
        <v>14</v>
      </c>
    </row>
    <row r="14140" x14ac:dyDescent="0.25">
      <c r="A14140" t="n">
        <v>23</v>
      </c>
      <c r="B14140" t="s">
        <v>14</v>
      </c>
      <c r="C14140" t="s">
        <v>22</v>
      </c>
      <c r="D14140" s="2" t="s">
        <f>=HYPERLINK("https://main.knesset.gov.il/APPS/legislation/main/bills/2085581", "הצעת חוק מערך החוץ וההסברה, התש""ף-2020")</f>
        <v>26629</v>
      </c>
      <c r="E14140" t="s">
        <v>26629</v>
      </c>
      <c r="F14140" t="s">
        <v>27223</v>
      </c>
      <c r="G14140" t="s">
        <v>14</v>
      </c>
      <c r="H14140">
             </c>
      <c r="I14140" t="s">
        <v>14</v>
      </c>
      <c r="J14140" t="s">
        <v>141</v>
      </c>
      <c r="K14140" t="s">
        <v>14</v>
      </c>
      <c r="L14140" t="s">
        <v>20</v>
      </c>
      <c r="M14140" t="s">
        <v>27183</v>
      </c>
      <c r="N14140" t="s">
        <v>14</v>
      </c>
    </row>
    <row r="14141" x14ac:dyDescent="0.25">
      <c r="A14141" t="n">
        <v>23</v>
      </c>
      <c r="B14141" t="s">
        <v>14</v>
      </c>
      <c r="C14141" t="s">
        <v>22</v>
      </c>
      <c r="D14141" s="2" t="s">
        <f>=HYPERLINK("https://main.knesset.gov.il/APPS/legislation/main/bills/2085866", "הצעת חוק עובדים זרים (תיקון - ביטול הצורך בהיתר להעסקת עובד זר מומחה לתקופה קצרה), התש""ף-2020")</f>
        <v>26442</v>
      </c>
      <c r="E14141" t="s">
        <v>26442</v>
      </c>
      <c r="F14141" t="s">
        <v>27224</v>
      </c>
      <c r="G14141" t="s">
        <v>14</v>
      </c>
      <c r="H14141">
             </c>
      <c r="I14141" t="s">
        <v>14</v>
      </c>
      <c r="J14141" t="s">
        <v>141</v>
      </c>
      <c r="K14141" t="s">
        <v>14</v>
      </c>
      <c r="L14141" t="s">
        <v>20</v>
      </c>
      <c r="M14141" t="s">
        <v>27183</v>
      </c>
      <c r="N14141" t="s">
        <v>14</v>
      </c>
    </row>
    <row r="14142" x14ac:dyDescent="0.25">
      <c r="A14142" t="n">
        <v>23</v>
      </c>
      <c r="B14142" t="s">
        <v>14</v>
      </c>
      <c r="C14142" t="s">
        <v>22</v>
      </c>
      <c r="D14142" s="2" t="s">
        <f>=HYPERLINK("https://main.knesset.gov.il/APPS/legislation/main/bills/2085791", "הצעת חוק זכויות נפגעי מערכות ישראל ופעולות איבה בהליכי חקירה, התש""ף-2020")</f>
        <v>27225</v>
      </c>
      <c r="E14142" t="s">
        <v>27225</v>
      </c>
      <c r="F14142" t="s">
        <v>27226</v>
      </c>
      <c r="G14142" t="s">
        <v>14</v>
      </c>
      <c r="H14142">
             </c>
      <c r="I14142" t="s">
        <v>14</v>
      </c>
      <c r="J14142" t="s">
        <v>141</v>
      </c>
      <c r="K14142" t="s">
        <v>14</v>
      </c>
      <c r="L14142" t="s">
        <v>20</v>
      </c>
      <c r="M14142" t="s">
        <v>27183</v>
      </c>
      <c r="N14142" t="s">
        <v>14</v>
      </c>
    </row>
    <row r="14143" x14ac:dyDescent="0.25">
      <c r="A14143" t="n">
        <v>23</v>
      </c>
      <c r="B14143" t="s">
        <v>14</v>
      </c>
      <c r="C14143" t="s">
        <v>22</v>
      </c>
      <c r="D14143" s="2" t="s">
        <f>=HYPERLINK("https://main.knesset.gov.il/APPS/legislation/main/bills/2085871", "הצעת חוק הביטוח הלאומי (תיקון - תשלום גמלה בעד תקופה שקדמה להגשת התביעה), ")</f>
        <v>27227</v>
      </c>
      <c r="E14143" t="s">
        <v>27227</v>
      </c>
      <c r="F14143" t="s">
        <v>27228</v>
      </c>
      <c r="G14143" t="s">
        <v>14</v>
      </c>
      <c r="H14143">
             </c>
      <c r="I14143" t="s">
        <v>14</v>
      </c>
      <c r="J14143" t="s">
        <v>141</v>
      </c>
      <c r="K14143" t="s">
        <v>14</v>
      </c>
      <c r="L14143" t="s">
        <v>20</v>
      </c>
      <c r="M14143" t="s">
        <v>27183</v>
      </c>
      <c r="N14143" t="s">
        <v>14</v>
      </c>
    </row>
    <row r="14144" x14ac:dyDescent="0.25">
      <c r="A14144" t="n">
        <v>23</v>
      </c>
      <c r="B14144" t="s">
        <v>14</v>
      </c>
      <c r="C14144" t="s">
        <v>22</v>
      </c>
      <c r="D14144" s="2" t="s">
        <f>=HYPERLINK("https://main.knesset.gov.il/APPS/legislation/main/bills/2085873", "הצעת חוק ביטוח בריאות ממלכתי (תיקון - זמן סביר לעניין שירות רפואי), התש""ף-2020")</f>
        <v>27229</v>
      </c>
      <c r="E14144" t="s">
        <v>27229</v>
      </c>
      <c r="F14144" t="s">
        <v>27230</v>
      </c>
      <c r="G14144" t="s">
        <v>14</v>
      </c>
      <c r="H14144">
             </c>
      <c r="I14144" t="s">
        <v>14</v>
      </c>
      <c r="J14144" t="s">
        <v>141</v>
      </c>
      <c r="K14144" t="s">
        <v>14</v>
      </c>
      <c r="L14144" t="s">
        <v>20</v>
      </c>
      <c r="M14144" t="s">
        <v>27183</v>
      </c>
      <c r="N14144" t="s">
        <v>14</v>
      </c>
    </row>
    <row r="14145" x14ac:dyDescent="0.25">
      <c r="A14145" t="n">
        <v>23</v>
      </c>
      <c r="B14145" t="s">
        <v>14</v>
      </c>
      <c r="C14145" t="s">
        <v>22</v>
      </c>
      <c r="D14145" s="2" t="s">
        <f>=HYPERLINK("https://main.knesset.gov.il/APPS/legislation/main/bills/2085882", "הצעת חוק הביטוח הלאומי (תיקון - תנאי זכאות לדמי לידה), התש""ף-2020")</f>
        <v>27231</v>
      </c>
      <c r="E14145" t="s">
        <v>27231</v>
      </c>
      <c r="F14145" t="s">
        <v>27232</v>
      </c>
      <c r="G14145" t="s">
        <v>14</v>
      </c>
      <c r="H14145">
             </c>
      <c r="I14145" t="s">
        <v>14</v>
      </c>
      <c r="J14145" t="s">
        <v>141</v>
      </c>
      <c r="K14145" t="s">
        <v>14</v>
      </c>
      <c r="L14145" t="s">
        <v>20</v>
      </c>
      <c r="M14145" t="s">
        <v>27183</v>
      </c>
      <c r="N14145" t="s">
        <v>14</v>
      </c>
    </row>
    <row r="14146" x14ac:dyDescent="0.25">
      <c r="A14146" t="n">
        <v>23</v>
      </c>
      <c r="B14146" t="s">
        <v>14</v>
      </c>
      <c r="C14146" t="s">
        <v>22</v>
      </c>
      <c r="D14146" s="2" t="s">
        <f>=HYPERLINK("https://main.knesset.gov.il/APPS/legislation/main/bills/2085888", "הצעת חוק זכויות החולה (תיקון - זכות מטופל לקבל רשומות רפואיות), התש""ף-2020")</f>
        <v>27233</v>
      </c>
      <c r="E14146" t="s">
        <v>27233</v>
      </c>
      <c r="F14146" t="s">
        <v>27234</v>
      </c>
      <c r="G14146" t="s">
        <v>14</v>
      </c>
      <c r="H14146">
             </c>
      <c r="I14146" t="s">
        <v>14</v>
      </c>
      <c r="J14146" t="s">
        <v>141</v>
      </c>
      <c r="K14146" t="s">
        <v>14</v>
      </c>
      <c r="L14146" t="s">
        <v>20</v>
      </c>
      <c r="M14146" t="s">
        <v>27183</v>
      </c>
      <c r="N14146" t="s">
        <v>14</v>
      </c>
    </row>
    <row r="14147" x14ac:dyDescent="0.25">
      <c r="A14147" t="n">
        <v>23</v>
      </c>
      <c r="B14147" t="s">
        <v>14</v>
      </c>
      <c r="C14147" t="s">
        <v>22</v>
      </c>
      <c r="D14147" s="2" t="s">
        <f>=HYPERLINK("https://main.knesset.gov.il/APPS/legislation/main/bills/2085892", "הצעת חוק ביטוח בריאות ממלכתי (תיקון - תוספת קבועה לסל שירותי הבריאות לעדכון טכנולוגיות רפואיות חדשות, תרופות, מכשור ושיטות טיפול), התש""ף-2020")</f>
        <v>26144</v>
      </c>
      <c r="E14147" t="s">
        <v>26144</v>
      </c>
      <c r="F14147" t="s">
        <v>27235</v>
      </c>
      <c r="G14147" t="s">
        <v>14</v>
      </c>
      <c r="H14147">
             </c>
      <c r="I14147" t="s">
        <v>14</v>
      </c>
      <c r="J14147" t="s">
        <v>141</v>
      </c>
      <c r="K14147" t="s">
        <v>14</v>
      </c>
      <c r="L14147" t="s">
        <v>20</v>
      </c>
      <c r="M14147" t="s">
        <v>27183</v>
      </c>
      <c r="N14147" t="s">
        <v>14</v>
      </c>
    </row>
    <row r="14148" x14ac:dyDescent="0.25">
      <c r="A14148" t="n">
        <v>23</v>
      </c>
      <c r="B14148" t="s">
        <v>14</v>
      </c>
      <c r="C14148" t="s">
        <v>22</v>
      </c>
      <c r="D14148" s="2" t="s">
        <f>=HYPERLINK("https://main.knesset.gov.il/APPS/legislation/main/bills/2085762", "הצעת חוק הביטוח הלאומי (תיקון - זכות המוסד לתביעה), התש""ף-2020")</f>
        <v>27236</v>
      </c>
      <c r="E14148" t="s">
        <v>27236</v>
      </c>
      <c r="F14148" t="s">
        <v>27237</v>
      </c>
      <c r="G14148" t="s">
        <v>14</v>
      </c>
      <c r="H14148">
             </c>
      <c r="I14148" t="s">
        <v>14</v>
      </c>
      <c r="J14148" t="s">
        <v>141</v>
      </c>
      <c r="K14148" t="s">
        <v>14</v>
      </c>
      <c r="L14148" t="s">
        <v>20</v>
      </c>
      <c r="M14148" t="s">
        <v>27183</v>
      </c>
      <c r="N14148" t="s">
        <v>14</v>
      </c>
    </row>
    <row r="14149" x14ac:dyDescent="0.25">
      <c r="A14149" t="n">
        <v>23</v>
      </c>
      <c r="B14149" t="s">
        <v>14</v>
      </c>
      <c r="C14149" t="s">
        <v>22</v>
      </c>
      <c r="D14149" s="2" t="s">
        <f>=HYPERLINK("https://main.knesset.gov.il/APPS/legislation/main/bills/2085614", "הצעת חוק המשתתף החופשי, התש""ף-2020")</f>
        <v>24057</v>
      </c>
      <c r="E14149" t="s">
        <v>24057</v>
      </c>
      <c r="F14149" t="s">
        <v>27238</v>
      </c>
      <c r="G14149" t="s">
        <v>14</v>
      </c>
      <c r="H14149">
             </c>
      <c r="I14149" t="s">
        <v>14</v>
      </c>
      <c r="J14149" t="s">
        <v>141</v>
      </c>
      <c r="K14149" t="s">
        <v>14</v>
      </c>
      <c r="L14149" t="s">
        <v>20</v>
      </c>
      <c r="M14149" t="s">
        <v>27183</v>
      </c>
      <c r="N14149" t="s">
        <v>14</v>
      </c>
    </row>
    <row r="14150" x14ac:dyDescent="0.25">
      <c r="A14150" t="n">
        <v>23</v>
      </c>
      <c r="B14150" t="s">
        <v>14</v>
      </c>
      <c r="C14150" t="s">
        <v>22</v>
      </c>
      <c r="D14150" s="2" t="s">
        <f>=HYPERLINK("https://main.knesset.gov.il/APPS/legislation/main/bills/2085630", "הצעת חוק הפנסיה (מועד תחילת הביטוח הפנסיוני), התש""ף-2020")</f>
        <v>27239</v>
      </c>
      <c r="E14150" t="s">
        <v>27239</v>
      </c>
      <c r="F14150" t="s">
        <v>27240</v>
      </c>
      <c r="G14150" t="s">
        <v>14</v>
      </c>
      <c r="H14150">
             </c>
      <c r="I14150" t="s">
        <v>14</v>
      </c>
      <c r="J14150" t="s">
        <v>141</v>
      </c>
      <c r="K14150" t="s">
        <v>14</v>
      </c>
      <c r="L14150" t="s">
        <v>20</v>
      </c>
      <c r="M14150" t="s">
        <v>27183</v>
      </c>
      <c r="N14150" t="s">
        <v>14</v>
      </c>
    </row>
    <row r="14151" x14ac:dyDescent="0.25">
      <c r="A14151" t="n">
        <v>23</v>
      </c>
      <c r="B14151" t="s">
        <v>14</v>
      </c>
      <c r="C14151" t="s">
        <v>22</v>
      </c>
      <c r="D14151" s="2" t="s">
        <f>=HYPERLINK("https://main.knesset.gov.il/APPS/legislation/main/bills/2085641", "הצעת חוק הצבת מכשירי החייאה במקומות ציבוריים (תיקון - בדיקות תקינות שנתיות ותיעודן), התש""ף-2020")</f>
        <v>27241</v>
      </c>
      <c r="E14151" t="s">
        <v>27241</v>
      </c>
      <c r="F14151" t="s">
        <v>27242</v>
      </c>
      <c r="G14151" t="s">
        <v>14</v>
      </c>
      <c r="H14151">
             </c>
      <c r="I14151" t="s">
        <v>14</v>
      </c>
      <c r="J14151" t="s">
        <v>141</v>
      </c>
      <c r="K14151" t="s">
        <v>14</v>
      </c>
      <c r="L14151" t="s">
        <v>20</v>
      </c>
      <c r="M14151" t="s">
        <v>27183</v>
      </c>
      <c r="N14151" t="s">
        <v>14</v>
      </c>
    </row>
    <row r="14152" x14ac:dyDescent="0.25">
      <c r="A14152" t="n">
        <v>23</v>
      </c>
      <c r="B14152" t="s">
        <v>14</v>
      </c>
      <c r="C14152" t="s">
        <v>22</v>
      </c>
      <c r="D14152" s="2" t="s">
        <f>=HYPERLINK("https://main.knesset.gov.il/APPS/legislation/main/bills/2085652", "הצעת חוק השוואת תנאי שכר לקבוצות שאסור להפלותן (תיקוני חקיקה), התש""ף-2020")</f>
        <v>27243</v>
      </c>
      <c r="E14152" t="s">
        <v>27243</v>
      </c>
      <c r="F14152" t="s">
        <v>27244</v>
      </c>
      <c r="G14152" t="s">
        <v>14</v>
      </c>
      <c r="H14152">
             </c>
      <c r="I14152" t="s">
        <v>14</v>
      </c>
      <c r="J14152" t="s">
        <v>141</v>
      </c>
      <c r="K14152" t="s">
        <v>14</v>
      </c>
      <c r="L14152" t="s">
        <v>20</v>
      </c>
      <c r="M14152" t="s">
        <v>27183</v>
      </c>
      <c r="N14152" t="s">
        <v>14</v>
      </c>
    </row>
    <row r="14153" x14ac:dyDescent="0.25">
      <c r="A14153" t="n">
        <v>23</v>
      </c>
      <c r="B14153" t="s">
        <v>14</v>
      </c>
      <c r="C14153" t="s">
        <v>22</v>
      </c>
      <c r="D14153" s="2" t="s">
        <f>=HYPERLINK("https://main.knesset.gov.il/APPS/legislation/main/bills/2085702", "הצעת חוק שוויון זכויות לאנשים עם מוגבלות (תיקון - בירור תלונות ופיקוח על שמירת זכויות של אנשים עם מוגבלות במסגרות מגורים), התש""ף-2020")</f>
        <v>26251</v>
      </c>
      <c r="E14153" t="s">
        <v>26251</v>
      </c>
      <c r="F14153" t="s">
        <v>27245</v>
      </c>
      <c r="G14153" t="s">
        <v>14</v>
      </c>
      <c r="H14153">
             </c>
      <c r="I14153" t="s">
        <v>14</v>
      </c>
      <c r="J14153" t="s">
        <v>141</v>
      </c>
      <c r="K14153" t="s">
        <v>14</v>
      </c>
      <c r="L14153" t="s">
        <v>20</v>
      </c>
      <c r="M14153" t="s">
        <v>27183</v>
      </c>
      <c r="N14153" t="s">
        <v>14</v>
      </c>
    </row>
    <row r="14154" x14ac:dyDescent="0.25">
      <c r="A14154" t="n">
        <v>23</v>
      </c>
      <c r="B14154" t="s">
        <v>14</v>
      </c>
      <c r="C14154" t="s">
        <v>22</v>
      </c>
      <c r="D14154" s="2" t="s">
        <f>=HYPERLINK("https://main.knesset.gov.il/APPS/legislation/main/bills/2085785", "הצעת חוק הביטוח הלאומי (תיקון - התפטרות הורה על מנת לטפל בילדו), התש""ף-2020")</f>
        <v>27246</v>
      </c>
      <c r="E14154" t="s">
        <v>27246</v>
      </c>
      <c r="F14154" t="s">
        <v>27247</v>
      </c>
      <c r="G14154" t="s">
        <v>14</v>
      </c>
      <c r="H14154">
             </c>
      <c r="I14154" t="s">
        <v>14</v>
      </c>
      <c r="J14154" t="s">
        <v>141</v>
      </c>
      <c r="K14154" t="s">
        <v>14</v>
      </c>
      <c r="L14154" t="s">
        <v>20</v>
      </c>
      <c r="M14154" t="s">
        <v>27183</v>
      </c>
      <c r="N14154" t="s">
        <v>14</v>
      </c>
    </row>
    <row r="14155" x14ac:dyDescent="0.25">
      <c r="A14155" t="n">
        <v>23</v>
      </c>
      <c r="B14155" t="s">
        <v>14</v>
      </c>
      <c r="C14155" t="s">
        <v>22</v>
      </c>
      <c r="D14155" s="2" t="s">
        <f>=HYPERLINK("https://main.knesset.gov.il/APPS/legislation/main/bills/2085712", "הצעת חוק שוויון זכויות לאנשים עם מוגבלות (תיקון - דיור בקהילה וסיוע אישי), התש""ף-2020")</f>
        <v>26257</v>
      </c>
      <c r="E14155" t="s">
        <v>26257</v>
      </c>
      <c r="F14155" t="s">
        <v>27248</v>
      </c>
      <c r="G14155" t="s">
        <v>14</v>
      </c>
      <c r="H14155">
             </c>
      <c r="I14155" t="s">
        <v>14</v>
      </c>
      <c r="J14155" t="s">
        <v>141</v>
      </c>
      <c r="K14155" t="s">
        <v>14</v>
      </c>
      <c r="L14155" t="s">
        <v>20</v>
      </c>
      <c r="M14155" t="s">
        <v>27183</v>
      </c>
      <c r="N14155" t="s">
        <v>14</v>
      </c>
    </row>
    <row r="14156" x14ac:dyDescent="0.25">
      <c r="A14156" t="n">
        <v>23</v>
      </c>
      <c r="B14156" t="s">
        <v>14</v>
      </c>
      <c r="C14156" t="s">
        <v>22</v>
      </c>
      <c r="D14156" s="2" t="s">
        <f>=HYPERLINK("https://main.knesset.gov.il/APPS/legislation/main/bills/2085723", "הצעת חוק שכר מינימום (תיקון - עוולה נזיקית וקובלנה), התש""ף-2020")</f>
        <v>27249</v>
      </c>
      <c r="E14156" t="s">
        <v>27249</v>
      </c>
      <c r="F14156" t="s">
        <v>27250</v>
      </c>
      <c r="G14156" t="s">
        <v>14</v>
      </c>
      <c r="H14156">
             </c>
      <c r="I14156" t="s">
        <v>14</v>
      </c>
      <c r="J14156" t="s">
        <v>141</v>
      </c>
      <c r="K14156" t="s">
        <v>14</v>
      </c>
      <c r="L14156" t="s">
        <v>20</v>
      </c>
      <c r="M14156" t="s">
        <v>27183</v>
      </c>
      <c r="N14156" t="s">
        <v>14</v>
      </c>
    </row>
    <row r="14157" x14ac:dyDescent="0.25">
      <c r="A14157" t="n">
        <v>23</v>
      </c>
      <c r="B14157" t="s">
        <v>14</v>
      </c>
      <c r="C14157" t="s">
        <v>22</v>
      </c>
      <c r="D14157" s="2" t="s">
        <f>=HYPERLINK("https://main.knesset.gov.il/APPS/legislation/main/bills/2085737", "הצעת חוק הרחבת ההגדרה ""חבלת שירות"" לעניין תגמולים ושיקום (תיקוני חקיקה), התש""ף-2020")</f>
        <v>27251</v>
      </c>
      <c r="E14157" t="s">
        <v>27251</v>
      </c>
      <c r="F14157" t="s">
        <v>27252</v>
      </c>
      <c r="G14157" t="s">
        <v>14</v>
      </c>
      <c r="H14157">
             </c>
      <c r="I14157" t="s">
        <v>14</v>
      </c>
      <c r="J14157" t="s">
        <v>141</v>
      </c>
      <c r="K14157" t="s">
        <v>14</v>
      </c>
      <c r="L14157" t="s">
        <v>20</v>
      </c>
      <c r="M14157" t="s">
        <v>27183</v>
      </c>
      <c r="N14157" t="s">
        <v>14</v>
      </c>
    </row>
    <row r="14158" x14ac:dyDescent="0.25">
      <c r="A14158" t="n">
        <v>23</v>
      </c>
      <c r="B14158" t="s">
        <v>14</v>
      </c>
      <c r="C14158" t="s">
        <v>22</v>
      </c>
      <c r="D14158" s="2" t="s">
        <f>=HYPERLINK("https://main.knesset.gov.il/APPS/legislation/main/bills/2085717", "הצעת חוק החלת הריבונות של מדינת ישראל בחבלי יהודה והשומרון, התש""ף-2020")</f>
        <v>24925</v>
      </c>
      <c r="E14158" t="s">
        <v>24925</v>
      </c>
      <c r="F14158" t="s">
        <v>27253</v>
      </c>
      <c r="G14158" t="s">
        <v>14</v>
      </c>
      <c r="H14158">
             </c>
      <c r="I14158" t="s">
        <v>14</v>
      </c>
      <c r="J14158" t="s">
        <v>141</v>
      </c>
      <c r="K14158" t="s">
        <v>14</v>
      </c>
      <c r="L14158" t="s">
        <v>20</v>
      </c>
      <c r="M14158" t="s">
        <v>27183</v>
      </c>
      <c r="N14158" t="s">
        <v>14</v>
      </c>
    </row>
    <row r="14159" x14ac:dyDescent="0.25">
      <c r="A14159" t="n">
        <v>23</v>
      </c>
      <c r="B14159" t="s">
        <v>14</v>
      </c>
      <c r="C14159" t="s">
        <v>22</v>
      </c>
      <c r="D14159" s="2" t="s">
        <f>=HYPERLINK("https://main.knesset.gov.il/APPS/legislation/main/bills/2085793", "הצעת חוק הביטוח הלאומי (תיקון - ביטול מבחן ההכנסה לצורך קבלת גמלת סיעוד), התש""ף-2020")</f>
        <v>27254</v>
      </c>
      <c r="E14159" t="s">
        <v>27254</v>
      </c>
      <c r="F14159" t="s">
        <v>27255</v>
      </c>
      <c r="G14159" t="s">
        <v>14</v>
      </c>
      <c r="H14159">
             </c>
      <c r="I14159" t="s">
        <v>14</v>
      </c>
      <c r="J14159" t="s">
        <v>141</v>
      </c>
      <c r="K14159" t="s">
        <v>14</v>
      </c>
      <c r="L14159" t="s">
        <v>20</v>
      </c>
      <c r="M14159" t="s">
        <v>27183</v>
      </c>
      <c r="N14159" t="s">
        <v>14</v>
      </c>
    </row>
    <row r="14160" x14ac:dyDescent="0.25">
      <c r="A14160" t="n">
        <v>23</v>
      </c>
      <c r="B14160" t="s">
        <v>14</v>
      </c>
      <c r="C14160" t="s">
        <v>22</v>
      </c>
      <c r="D14160" s="2" t="s">
        <f>=HYPERLINK("https://main.knesset.gov.il/APPS/legislation/main/bills/2085743", "הצעת חוק ביטוח בריאות ממלכתי (תיקון - ביטול הגבלת זכותו של תושב גלמוד ששהה מחוץ לישראל), התש""ף-2020")</f>
        <v>27256</v>
      </c>
      <c r="E14160" t="s">
        <v>27256</v>
      </c>
      <c r="F14160" t="s">
        <v>27257</v>
      </c>
      <c r="G14160" t="s">
        <v>14</v>
      </c>
      <c r="H14160">
             </c>
      <c r="I14160" t="s">
        <v>14</v>
      </c>
      <c r="J14160" t="s">
        <v>141</v>
      </c>
      <c r="K14160" t="s">
        <v>14</v>
      </c>
      <c r="L14160" t="s">
        <v>20</v>
      </c>
      <c r="M14160" t="s">
        <v>27183</v>
      </c>
      <c r="N14160" t="s">
        <v>14</v>
      </c>
    </row>
    <row r="14161" x14ac:dyDescent="0.25">
      <c r="A14161" t="n">
        <v>23</v>
      </c>
      <c r="B14161" t="s">
        <v>14</v>
      </c>
      <c r="C14161" t="s">
        <v>22</v>
      </c>
      <c r="D14161" s="2" t="s">
        <f>=HYPERLINK("https://main.knesset.gov.il/APPS/legislation/main/bills/2085799", "הצעת חוק הביטוח הלאומי (תיקון - מענק לידה אחיד מילד שני ואילך), התש""ף-2020")</f>
        <v>27258</v>
      </c>
      <c r="E14161" t="s">
        <v>27258</v>
      </c>
      <c r="F14161" t="s">
        <v>27259</v>
      </c>
      <c r="G14161" t="s">
        <v>14</v>
      </c>
      <c r="H14161">
             </c>
      <c r="I14161" t="s">
        <v>14</v>
      </c>
      <c r="J14161" t="s">
        <v>141</v>
      </c>
      <c r="K14161" t="s">
        <v>14</v>
      </c>
      <c r="L14161" t="s">
        <v>20</v>
      </c>
      <c r="M14161" t="s">
        <v>27183</v>
      </c>
      <c r="N14161" t="s">
        <v>14</v>
      </c>
    </row>
    <row r="14162" x14ac:dyDescent="0.25">
      <c r="A14162" t="n">
        <v>23</v>
      </c>
      <c r="B14162" t="s">
        <v>14</v>
      </c>
      <c r="C14162" t="s">
        <v>22</v>
      </c>
      <c r="D14162" s="2" t="s">
        <f>=HYPERLINK("https://main.knesset.gov.il/APPS/legislation/main/bills/2085713", "הצעת חוק החלת הריבונות של מדינת ישראל בחבלי יהודה ושומרון, התש""ף-2020")</f>
        <v>27260</v>
      </c>
      <c r="E14162" t="s">
        <v>27260</v>
      </c>
      <c r="F14162" t="s">
        <v>27261</v>
      </c>
      <c r="G14162" t="s">
        <v>14</v>
      </c>
      <c r="H14162">
             </c>
      <c r="I14162" t="s">
        <v>14</v>
      </c>
      <c r="J14162" t="s">
        <v>141</v>
      </c>
      <c r="K14162" t="s">
        <v>14</v>
      </c>
      <c r="L14162" t="s">
        <v>20</v>
      </c>
      <c r="M14162" t="s">
        <v>27183</v>
      </c>
      <c r="N14162" t="s">
        <v>14</v>
      </c>
    </row>
    <row r="14163" x14ac:dyDescent="0.25">
      <c r="A14163" t="n">
        <v>23</v>
      </c>
      <c r="B14163" t="s">
        <v>14</v>
      </c>
      <c r="C14163" t="s">
        <v>22</v>
      </c>
      <c r="D14163" s="2" t="s">
        <f>=HYPERLINK("https://main.knesset.gov.il/APPS/legislation/main/bills/2085756", "הצעת חוק הביטוח הלאומי (תיקון - דמי אבטלה למתמחים), התש""ף-2020")</f>
        <v>27262</v>
      </c>
      <c r="E14163" t="s">
        <v>27262</v>
      </c>
      <c r="F14163" t="s">
        <v>27263</v>
      </c>
      <c r="G14163" t="s">
        <v>14</v>
      </c>
      <c r="H14163">
             </c>
      <c r="I14163" t="s">
        <v>14</v>
      </c>
      <c r="J14163" t="s">
        <v>141</v>
      </c>
      <c r="K14163" t="s">
        <v>14</v>
      </c>
      <c r="L14163" t="s">
        <v>20</v>
      </c>
      <c r="M14163" t="s">
        <v>27183</v>
      </c>
      <c r="N14163" t="s">
        <v>14</v>
      </c>
    </row>
    <row r="14164" x14ac:dyDescent="0.25">
      <c r="A14164" t="n">
        <v>23</v>
      </c>
      <c r="B14164" t="s">
        <v>14</v>
      </c>
      <c r="C14164" t="s">
        <v>22</v>
      </c>
      <c r="D14164" s="2" t="s">
        <f>=HYPERLINK("https://main.knesset.gov.il/APPS/legislation/main/bills/2085801", "הצעת חוק דמי מחלה (תיקון - הצהרת מחלה), התש""ף-2020")</f>
        <v>27264</v>
      </c>
      <c r="E14164" t="s">
        <v>27264</v>
      </c>
      <c r="F14164" t="s">
        <v>27265</v>
      </c>
      <c r="G14164" t="s">
        <v>14</v>
      </c>
      <c r="H14164">
             </c>
      <c r="I14164" t="s">
        <v>14</v>
      </c>
      <c r="J14164" t="s">
        <v>141</v>
      </c>
      <c r="K14164" t="s">
        <v>14</v>
      </c>
      <c r="L14164" t="s">
        <v>20</v>
      </c>
      <c r="M14164" t="s">
        <v>27183</v>
      </c>
      <c r="N14164" t="s">
        <v>14</v>
      </c>
    </row>
    <row r="14165" x14ac:dyDescent="0.25">
      <c r="A14165" t="n">
        <v>23</v>
      </c>
      <c r="B14165" t="s">
        <v>14</v>
      </c>
      <c r="C14165" t="s">
        <v>22</v>
      </c>
      <c r="D14165" s="2" t="s">
        <f>=HYPERLINK("https://main.knesset.gov.il/APPS/legislation/main/bills/2085759", "הצעת חוק דמי מחלה (תיקון - הצהרת מחלה), התש""ף-2020")</f>
        <v>27264</v>
      </c>
      <c r="E14165" t="s">
        <v>27264</v>
      </c>
      <c r="F14165" t="s">
        <v>27266</v>
      </c>
      <c r="G14165" t="s">
        <v>14</v>
      </c>
      <c r="H14165">
             </c>
      <c r="I14165" t="s">
        <v>14</v>
      </c>
      <c r="J14165" t="s">
        <v>141</v>
      </c>
      <c r="K14165" t="s">
        <v>14</v>
      </c>
      <c r="L14165" t="s">
        <v>20</v>
      </c>
      <c r="M14165" t="s">
        <v>27183</v>
      </c>
      <c r="N14165" t="s">
        <v>14</v>
      </c>
    </row>
    <row r="14166" x14ac:dyDescent="0.25">
      <c r="A14166" t="n">
        <v>23</v>
      </c>
      <c r="B14166" t="s">
        <v>14</v>
      </c>
      <c r="C14166" t="s">
        <v>22</v>
      </c>
      <c r="D14166" s="2" t="s">
        <f>=HYPERLINK("https://main.knesset.gov.il/APPS/legislation/main/bills/2085767", "הצעת חוק האזרחים הוותיקים (תיקון - חניה חינם לאזרח ותיק שמלאו לו 70 שנים), התש""ף-2020")</f>
        <v>27267</v>
      </c>
      <c r="E14166" t="s">
        <v>27267</v>
      </c>
      <c r="F14166" t="s">
        <v>27268</v>
      </c>
      <c r="G14166" t="s">
        <v>14</v>
      </c>
      <c r="H14166">
             </c>
      <c r="I14166" t="s">
        <v>14</v>
      </c>
      <c r="J14166" t="s">
        <v>141</v>
      </c>
      <c r="K14166" t="s">
        <v>14</v>
      </c>
      <c r="L14166" t="s">
        <v>20</v>
      </c>
      <c r="M14166" t="s">
        <v>27183</v>
      </c>
      <c r="N14166" t="s">
        <v>14</v>
      </c>
    </row>
    <row r="14167" x14ac:dyDescent="0.25">
      <c r="A14167" t="n">
        <v>23</v>
      </c>
      <c r="B14167" t="s">
        <v>14</v>
      </c>
      <c r="C14167" t="s">
        <v>22</v>
      </c>
      <c r="D14167" s="2" t="s">
        <f>=HYPERLINK("https://main.knesset.gov.il/APPS/legislation/main/bills/2085629", "הצעת חוק החלת הריבונות של מדינת ישראל על אזור יהודה והשומרון ובקעת הירדן, התש""ף-2020")</f>
        <v>27269</v>
      </c>
      <c r="E14167" t="s">
        <v>27269</v>
      </c>
      <c r="F14167" t="s">
        <v>27270</v>
      </c>
      <c r="G14167" t="s">
        <v>14</v>
      </c>
      <c r="H14167">
             </c>
      <c r="I14167" t="s">
        <v>14</v>
      </c>
      <c r="J14167" t="s">
        <v>141</v>
      </c>
      <c r="K14167" t="s">
        <v>14</v>
      </c>
      <c r="L14167" t="s">
        <v>20</v>
      </c>
      <c r="M14167" t="s">
        <v>27183</v>
      </c>
      <c r="N14167" t="s">
        <v>14</v>
      </c>
    </row>
    <row r="14168" x14ac:dyDescent="0.25">
      <c r="A14168" t="n">
        <v>23</v>
      </c>
      <c r="B14168" t="s">
        <v>14</v>
      </c>
      <c r="C14168" t="s">
        <v>22</v>
      </c>
      <c r="D14168" s="2" t="s">
        <f>=HYPERLINK("https://main.knesset.gov.il/APPS/legislation/main/bills/2085771", "הצעת חוק לתיקון פקודת בריאות העם (ביטול - העדפות מתן רשיון למכשור רפואי בפריפריה), התש""ף-2020")</f>
        <v>27271</v>
      </c>
      <c r="E14168" t="s">
        <v>27271</v>
      </c>
      <c r="F14168" t="s">
        <v>27272</v>
      </c>
      <c r="G14168" t="s">
        <v>14</v>
      </c>
      <c r="H14168">
             </c>
      <c r="I14168" t="s">
        <v>14</v>
      </c>
      <c r="J14168" t="s">
        <v>141</v>
      </c>
      <c r="K14168" t="s">
        <v>14</v>
      </c>
      <c r="L14168" t="s">
        <v>20</v>
      </c>
      <c r="M14168" t="s">
        <v>27183</v>
      </c>
      <c r="N14168" t="s">
        <v>14</v>
      </c>
    </row>
    <row r="14169" x14ac:dyDescent="0.25">
      <c r="A14169" t="n">
        <v>23</v>
      </c>
      <c r="B14169" t="s">
        <v>14</v>
      </c>
      <c r="C14169" t="s">
        <v>22</v>
      </c>
      <c r="D14169" s="2" t="s">
        <f>=HYPERLINK("https://main.knesset.gov.il/APPS/legislation/main/bills/2085776", "הצעת חוק הבטחת הכנסה (תיקון - הצמדת הגמלה בגיל פרישה לשכר הממוצע במשק), התש""ף-2020")</f>
        <v>26881</v>
      </c>
      <c r="E14169" t="s">
        <v>26881</v>
      </c>
      <c r="F14169" t="s">
        <v>27273</v>
      </c>
      <c r="G14169" t="s">
        <v>14</v>
      </c>
      <c r="H14169">
             </c>
      <c r="I14169" t="s">
        <v>14</v>
      </c>
      <c r="J14169" t="s">
        <v>141</v>
      </c>
      <c r="K14169" t="s">
        <v>14</v>
      </c>
      <c r="L14169" t="s">
        <v>20</v>
      </c>
      <c r="M14169" t="s">
        <v>27183</v>
      </c>
      <c r="N14169" t="s">
        <v>14</v>
      </c>
    </row>
    <row r="14170" x14ac:dyDescent="0.25">
      <c r="A14170" t="n">
        <v>23</v>
      </c>
      <c r="B14170" t="s">
        <v>14</v>
      </c>
      <c r="C14170" t="s">
        <v>22</v>
      </c>
      <c r="D14170" s="2" t="s">
        <f>=HYPERLINK("https://main.knesset.gov.il/APPS/legislation/main/bills/2085813", "הצעת חוק הביטוח הלאומי (תיקון - פטור מתשלום דמי ביטוח לתלמיד על יסודי), התש""ף-2020")</f>
        <v>24118</v>
      </c>
      <c r="E14170" t="s">
        <v>24118</v>
      </c>
      <c r="F14170" t="s">
        <v>27274</v>
      </c>
      <c r="G14170" t="s">
        <v>14</v>
      </c>
      <c r="H14170">
             </c>
      <c r="I14170" t="s">
        <v>14</v>
      </c>
      <c r="J14170" t="s">
        <v>141</v>
      </c>
      <c r="K14170" t="s">
        <v>14</v>
      </c>
      <c r="L14170" t="s">
        <v>20</v>
      </c>
      <c r="M14170" t="s">
        <v>27183</v>
      </c>
      <c r="N14170" t="s">
        <v>14</v>
      </c>
    </row>
    <row r="14171" x14ac:dyDescent="0.25">
      <c r="A14171" t="n">
        <v>23</v>
      </c>
      <c r="B14171" t="s">
        <v>14</v>
      </c>
      <c r="C14171" t="s">
        <v>22</v>
      </c>
      <c r="D14171" s="2" t="s">
        <f>=HYPERLINK("https://main.knesset.gov.il/APPS/legislation/main/bills/2085816", "הצעת חוק הביטוח הלאומי (תיקון - ביטול מבחן הכנסה לצורך קביעת זכאות ניצול שואה לגמלת סיעוד), התש""ף-2020")</f>
        <v>27275</v>
      </c>
      <c r="E14171" t="s">
        <v>27275</v>
      </c>
      <c r="F14171" t="s">
        <v>27276</v>
      </c>
      <c r="G14171" t="s">
        <v>14</v>
      </c>
      <c r="H14171">
             </c>
      <c r="I14171" t="s">
        <v>14</v>
      </c>
      <c r="J14171" t="s">
        <v>141</v>
      </c>
      <c r="K14171" t="s">
        <v>14</v>
      </c>
      <c r="L14171" t="s">
        <v>20</v>
      </c>
      <c r="M14171" t="s">
        <v>27183</v>
      </c>
      <c r="N14171" t="s">
        <v>14</v>
      </c>
    </row>
    <row r="14172" x14ac:dyDescent="0.25">
      <c r="A14172" t="n">
        <v>23</v>
      </c>
      <c r="B14172" t="s">
        <v>14</v>
      </c>
      <c r="C14172" t="s">
        <v>22</v>
      </c>
      <c r="D14172" s="2" t="s">
        <f>=HYPERLINK("https://main.knesset.gov.il/APPS/legislation/main/bills/2085826", "הצעת חוק הביטוח הלאומי (תיקון - דמי אבטלה למי שנמצא בהכשרה מקצועית), התש""ף-2020")</f>
        <v>26492</v>
      </c>
      <c r="E14172" t="s">
        <v>26492</v>
      </c>
      <c r="F14172" t="s">
        <v>27277</v>
      </c>
      <c r="G14172" t="s">
        <v>14</v>
      </c>
      <c r="H14172">
             </c>
      <c r="I14172" t="s">
        <v>14</v>
      </c>
      <c r="J14172" t="s">
        <v>141</v>
      </c>
      <c r="K14172" t="s">
        <v>14</v>
      </c>
      <c r="L14172" t="s">
        <v>20</v>
      </c>
      <c r="M14172" t="s">
        <v>27183</v>
      </c>
      <c r="N14172" t="s">
        <v>14</v>
      </c>
    </row>
    <row r="14173" x14ac:dyDescent="0.25">
      <c r="A14173" t="n">
        <v>23</v>
      </c>
      <c r="B14173" t="s">
        <v>14</v>
      </c>
      <c r="C14173" t="s">
        <v>22</v>
      </c>
      <c r="D14173" s="2" t="s">
        <f>=HYPERLINK("https://main.knesset.gov.il/APPS/legislation/main/bills/2085837", "הצעת חוק העונשין (תיקון - הרחבת הגדרת הגזענות), התש""ף-2020")</f>
        <v>23747</v>
      </c>
      <c r="E14173" t="s">
        <v>23747</v>
      </c>
      <c r="F14173" t="s">
        <v>27278</v>
      </c>
      <c r="G14173" t="s">
        <v>14</v>
      </c>
      <c r="H14173">
             </c>
      <c r="I14173" t="s">
        <v>14</v>
      </c>
      <c r="J14173" t="s">
        <v>141</v>
      </c>
      <c r="K14173" t="s">
        <v>14</v>
      </c>
      <c r="L14173" t="s">
        <v>20</v>
      </c>
      <c r="M14173" t="s">
        <v>27183</v>
      </c>
      <c r="N14173" t="s">
        <v>14</v>
      </c>
    </row>
    <row r="14174" x14ac:dyDescent="0.25">
      <c r="A14174" t="n">
        <v>23</v>
      </c>
      <c r="B14174" t="s">
        <v>14</v>
      </c>
      <c r="C14174" t="s">
        <v>22</v>
      </c>
      <c r="D14174" s="2" t="s">
        <f>=HYPERLINK("https://main.knesset.gov.il/APPS/legislation/main/bills/2086057", "הצעת חוק לתיקון פקודת התעבורה (הפעלה של רמזור), התש""ף-2020")</f>
        <v>27279</v>
      </c>
      <c r="E14174" t="s">
        <v>27279</v>
      </c>
      <c r="F14174" t="s">
        <v>27280</v>
      </c>
      <c r="G14174" t="s">
        <v>14</v>
      </c>
      <c r="H14174">
             </c>
      <c r="I14174" t="s">
        <v>14</v>
      </c>
      <c r="J14174" t="s">
        <v>141</v>
      </c>
      <c r="K14174" t="s">
        <v>14</v>
      </c>
      <c r="L14174" t="s">
        <v>20</v>
      </c>
      <c r="M14174" t="s">
        <v>27183</v>
      </c>
      <c r="N14174" t="s">
        <v>14</v>
      </c>
    </row>
    <row r="14175" x14ac:dyDescent="0.25">
      <c r="A14175" t="n">
        <v>23</v>
      </c>
      <c r="B14175" t="s">
        <v>14</v>
      </c>
      <c r="C14175" t="s">
        <v>22</v>
      </c>
      <c r="D14175" s="2" t="s">
        <f>=HYPERLINK("https://main.knesset.gov.il/APPS/legislation/main/bills/2086001", "הצעת חוק להגברת השקיפות בפעילותם של גופים פיננסיים (תיקוני חקיקה), התש""ף-2020")</f>
        <v>27281</v>
      </c>
      <c r="E14175" t="s">
        <v>27281</v>
      </c>
      <c r="F14175" t="s">
        <v>27282</v>
      </c>
      <c r="G14175" t="s">
        <v>14</v>
      </c>
      <c r="H14175">
             </c>
      <c r="I14175" t="s">
        <v>14</v>
      </c>
      <c r="J14175" t="s">
        <v>141</v>
      </c>
      <c r="K14175" t="s">
        <v>14</v>
      </c>
      <c r="L14175" t="s">
        <v>20</v>
      </c>
      <c r="M14175" t="s">
        <v>27183</v>
      </c>
      <c r="N14175" t="s">
        <v>14</v>
      </c>
    </row>
    <row r="14176" x14ac:dyDescent="0.25">
      <c r="A14176" t="n">
        <v>23</v>
      </c>
      <c r="B14176" t="s">
        <v>14</v>
      </c>
      <c r="C14176" t="s">
        <v>22</v>
      </c>
      <c r="D14176" s="2" t="s">
        <f>=HYPERLINK("https://main.knesset.gov.il/APPS/legislation/main/bills/2085843", "הצעת חוק חוזה הביטוח (תיקון - מניעת כפל ביטוחים), התש""ף-2020")</f>
        <v>23813</v>
      </c>
      <c r="E14176" t="s">
        <v>23813</v>
      </c>
      <c r="F14176" t="s">
        <v>27283</v>
      </c>
      <c r="G14176" t="s">
        <v>14</v>
      </c>
      <c r="H14176">
             </c>
      <c r="I14176" t="s">
        <v>14</v>
      </c>
      <c r="J14176" t="s">
        <v>141</v>
      </c>
      <c r="K14176" t="s">
        <v>14</v>
      </c>
      <c r="L14176" t="s">
        <v>20</v>
      </c>
      <c r="M14176" t="s">
        <v>27183</v>
      </c>
      <c r="N14176" t="s">
        <v>14</v>
      </c>
    </row>
    <row r="14177" x14ac:dyDescent="0.25">
      <c r="A14177" t="n">
        <v>23</v>
      </c>
      <c r="B14177" t="s">
        <v>14</v>
      </c>
      <c r="C14177" t="s">
        <v>22</v>
      </c>
      <c r="D14177" s="2" t="s">
        <f>=HYPERLINK("https://main.knesset.gov.il/APPS/legislation/main/bills/2085884", "הצעת חוק בית המשפט לענייני משפחה (תיקון - בני זוג מאותו המין), התש""ף-2020")</f>
        <v>24562</v>
      </c>
      <c r="E14177" t="s">
        <v>24562</v>
      </c>
      <c r="F14177" t="s">
        <v>27284</v>
      </c>
      <c r="G14177" t="s">
        <v>14</v>
      </c>
      <c r="H14177">
             </c>
      <c r="I14177" t="s">
        <v>14</v>
      </c>
      <c r="J14177" t="s">
        <v>141</v>
      </c>
      <c r="K14177" t="s">
        <v>14</v>
      </c>
      <c r="L14177" t="s">
        <v>20</v>
      </c>
      <c r="M14177" t="s">
        <v>27183</v>
      </c>
      <c r="N14177" t="s">
        <v>14</v>
      </c>
    </row>
    <row r="14178" x14ac:dyDescent="0.25">
      <c r="A14178" t="n">
        <v>23</v>
      </c>
      <c r="B14178" t="s">
        <v>14</v>
      </c>
      <c r="C14178" t="s">
        <v>22</v>
      </c>
      <c r="D14178" s="2" t="s">
        <f>=HYPERLINK("https://main.knesset.gov.il/APPS/legislation/main/bills/2085858", "הצעת חוק השכירות והשאילה (תיקון - הגבלה על העלאת דמי השכירות), התש""ף-2020")</f>
        <v>27285</v>
      </c>
      <c r="E14178" t="s">
        <v>27285</v>
      </c>
      <c r="F14178" t="s">
        <v>27286</v>
      </c>
      <c r="G14178" t="s">
        <v>14</v>
      </c>
      <c r="H14178">
             </c>
      <c r="I14178" t="s">
        <v>14</v>
      </c>
      <c r="J14178" t="s">
        <v>141</v>
      </c>
      <c r="K14178" t="s">
        <v>14</v>
      </c>
      <c r="L14178" t="s">
        <v>20</v>
      </c>
      <c r="M14178" t="s">
        <v>27183</v>
      </c>
      <c r="N14178" t="s">
        <v>14</v>
      </c>
    </row>
    <row r="14179" x14ac:dyDescent="0.25">
      <c r="A14179" t="n">
        <v>23</v>
      </c>
      <c r="B14179" t="s">
        <v>14</v>
      </c>
      <c r="C14179" t="s">
        <v>22</v>
      </c>
      <c r="D14179" s="2" t="s">
        <f>=HYPERLINK("https://main.knesset.gov.il/APPS/legislation/main/bills/2085890", "הצעת חוק הממשלה (תיקון - ועדת שרים לענייני חקיקה), התש""ף-2020")</f>
        <v>25222</v>
      </c>
      <c r="E14179" t="s">
        <v>25222</v>
      </c>
      <c r="F14179" t="s">
        <v>27287</v>
      </c>
      <c r="G14179" t="s">
        <v>14</v>
      </c>
      <c r="H14179">
             </c>
      <c r="I14179" t="s">
        <v>14</v>
      </c>
      <c r="J14179" t="s">
        <v>141</v>
      </c>
      <c r="K14179" t="s">
        <v>14</v>
      </c>
      <c r="L14179" t="s">
        <v>20</v>
      </c>
      <c r="M14179" t="s">
        <v>27183</v>
      </c>
      <c r="N14179" t="s">
        <v>14</v>
      </c>
    </row>
    <row r="14180" x14ac:dyDescent="0.25">
      <c r="A14180" t="n">
        <v>23</v>
      </c>
      <c r="B14180" t="s">
        <v>14</v>
      </c>
      <c r="C14180" t="s">
        <v>22</v>
      </c>
      <c r="D14180" s="2" t="s">
        <f>=HYPERLINK("https://main.knesset.gov.il/APPS/legislation/main/bills/2085593", "הצעת חוק לתיקון פקודת העדה הדתית (המרה) (גיור על ידי רב מקומי וראש ישיבה), התש""ף-2020")</f>
        <v>27288</v>
      </c>
      <c r="E14180" t="s">
        <v>27288</v>
      </c>
      <c r="F14180" t="s">
        <v>27289</v>
      </c>
      <c r="G14180" t="s">
        <v>14</v>
      </c>
      <c r="H14180">
             </c>
      <c r="I14180" t="s">
        <v>14</v>
      </c>
      <c r="J14180" t="s">
        <v>343</v>
      </c>
      <c r="K14180" t="s">
        <v>14</v>
      </c>
      <c r="L14180" t="s">
        <v>20</v>
      </c>
      <c r="M14180" t="s">
        <v>27183</v>
      </c>
      <c r="N14180" t="s">
        <v>14</v>
      </c>
    </row>
    <row r="14181" x14ac:dyDescent="0.25">
      <c r="A14181" t="n">
        <v>23</v>
      </c>
      <c r="B14181" t="s">
        <v>14</v>
      </c>
      <c r="C14181" t="s">
        <v>22</v>
      </c>
      <c r="D14181" s="2" t="s">
        <f>=HYPERLINK("https://main.knesset.gov.il/APPS/legislation/main/bills/2086610", "הצעת חוק שיקום שכונות דרום תל-אביב ותמריצים לפיזור גאוגרפי של מסתננים (הוראת שעה), התש""ף-2020")</f>
        <v>27290</v>
      </c>
      <c r="E14181" t="s">
        <v>27290</v>
      </c>
      <c r="F14181" t="s">
        <v>27291</v>
      </c>
      <c r="G14181" t="s">
        <v>14</v>
      </c>
      <c r="H14181">
             </c>
      <c r="I14181" t="s">
        <v>14</v>
      </c>
      <c r="J14181" t="s">
        <v>141</v>
      </c>
      <c r="K14181" t="s">
        <v>14</v>
      </c>
      <c r="L14181" t="s">
        <v>20</v>
      </c>
      <c r="M14181" t="s">
        <v>27183</v>
      </c>
      <c r="N14181" t="s">
        <v>14</v>
      </c>
    </row>
    <row r="14182" x14ac:dyDescent="0.25">
      <c r="A14182" t="n">
        <v>23</v>
      </c>
      <c r="B14182" t="s">
        <v>14</v>
      </c>
      <c r="C14182" t="s">
        <v>22</v>
      </c>
      <c r="D14182" s="2" t="s">
        <f>=HYPERLINK("https://main.knesset.gov.il/APPS/legislation/main/bills/2085666", "הצעת חוק לתיקון פקודת המועצות המקומיות (חובת קריאת שמות רחובות), התש""ף-2020")</f>
        <v>27292</v>
      </c>
      <c r="E14182" t="s">
        <v>27292</v>
      </c>
      <c r="F14182" t="s">
        <v>27293</v>
      </c>
      <c r="G14182" t="s">
        <v>14</v>
      </c>
      <c r="H14182">
             </c>
      <c r="I14182" t="s">
        <v>14</v>
      </c>
      <c r="J14182" t="s">
        <v>141</v>
      </c>
      <c r="K14182" t="s">
        <v>14</v>
      </c>
      <c r="L14182" t="s">
        <v>20</v>
      </c>
      <c r="M14182" t="s">
        <v>27183</v>
      </c>
      <c r="N14182" t="s">
        <v>14</v>
      </c>
    </row>
    <row r="14183" x14ac:dyDescent="0.25">
      <c r="A14183" t="n">
        <v>23</v>
      </c>
      <c r="B14183" t="s">
        <v>14</v>
      </c>
      <c r="C14183" t="s">
        <v>22</v>
      </c>
      <c r="D14183" s="2" t="s">
        <f>=HYPERLINK("https://main.knesset.gov.il/APPS/legislation/main/bills/2086484", "הצעת חוק מס ערך מוסף (תיקון - שיעור מס מופחת על מוצרי מזון בסיסיים), התש""ף-2020")</f>
        <v>24508</v>
      </c>
      <c r="E14183" t="s">
        <v>24508</v>
      </c>
      <c r="F14183" t="s">
        <v>27294</v>
      </c>
      <c r="G14183" t="s">
        <v>14</v>
      </c>
      <c r="H14183">
             </c>
      <c r="I14183" t="s">
        <v>14</v>
      </c>
      <c r="J14183" t="s">
        <v>141</v>
      </c>
      <c r="K14183" t="s">
        <v>14</v>
      </c>
      <c r="L14183" t="s">
        <v>20</v>
      </c>
      <c r="M14183" t="s">
        <v>27183</v>
      </c>
      <c r="N14183" t="s">
        <v>14</v>
      </c>
    </row>
    <row r="14184" x14ac:dyDescent="0.25">
      <c r="A14184" t="n">
        <v>23</v>
      </c>
      <c r="B14184" t="s">
        <v>14</v>
      </c>
      <c r="C14184" t="s">
        <v>22</v>
      </c>
      <c r="D14184" s="2" t="s">
        <f>=HYPERLINK("https://main.knesset.gov.il/APPS/legislation/main/bills/2086539", "הצעת חוק יסודות התקציב (תיקון - אישור הוועדה המשותפת לתקציב הביטחון להחלטות הממשלה להצטיידות או התעצמות), התש""ף-2020")</f>
        <v>27295</v>
      </c>
      <c r="E14184" t="s">
        <v>27295</v>
      </c>
      <c r="F14184" t="s">
        <v>27296</v>
      </c>
      <c r="G14184" t="s">
        <v>14</v>
      </c>
      <c r="H14184">
             </c>
      <c r="I14184" t="s">
        <v>14</v>
      </c>
      <c r="J14184" t="s">
        <v>141</v>
      </c>
      <c r="K14184" t="s">
        <v>14</v>
      </c>
      <c r="L14184" t="s">
        <v>20</v>
      </c>
      <c r="M14184" t="s">
        <v>27183</v>
      </c>
      <c r="N14184" t="s">
        <v>14</v>
      </c>
    </row>
    <row r="14185" x14ac:dyDescent="0.25">
      <c r="A14185" t="n">
        <v>23</v>
      </c>
      <c r="B14185" t="s">
        <v>14</v>
      </c>
      <c r="C14185" t="s">
        <v>22</v>
      </c>
      <c r="D14185" s="2" t="s">
        <f>=HYPERLINK("https://main.knesset.gov.il/APPS/legislation/main/bills/2085860", "הצעת חוק להגדלת שיעור ההשתתפות בכוח העבודה ולצמצום פערים חברתיים (מענק עבודה) (תיקון - גיל העובד), התש""ף-2020")</f>
        <v>27297</v>
      </c>
      <c r="E14185" t="s">
        <v>27297</v>
      </c>
      <c r="F14185" t="s">
        <v>27298</v>
      </c>
      <c r="G14185" t="s">
        <v>14</v>
      </c>
      <c r="H14185">
             </c>
      <c r="I14185" t="s">
        <v>14</v>
      </c>
      <c r="J14185" t="s">
        <v>141</v>
      </c>
      <c r="K14185" t="s">
        <v>14</v>
      </c>
      <c r="L14185" t="s">
        <v>20</v>
      </c>
      <c r="M14185" t="s">
        <v>27183</v>
      </c>
      <c r="N14185" t="s">
        <v>14</v>
      </c>
    </row>
    <row r="14186" x14ac:dyDescent="0.25">
      <c r="A14186" t="n">
        <v>23</v>
      </c>
      <c r="B14186" t="s">
        <v>14</v>
      </c>
      <c r="C14186" t="s">
        <v>22</v>
      </c>
      <c r="D14186" s="2" t="s">
        <f>=HYPERLINK("https://main.knesset.gov.il/APPS/legislation/main/bills/2085898", "הצעת חוק זכויות הדייר בדיור הציבורי (תיקון - הארכת תוקף זכאות לדירה ציבורית), התש""ף-2020")</f>
        <v>27039</v>
      </c>
      <c r="E14186" t="s">
        <v>27039</v>
      </c>
      <c r="F14186" t="s">
        <v>27299</v>
      </c>
      <c r="G14186" t="s">
        <v>14</v>
      </c>
      <c r="H14186">
             </c>
      <c r="I14186" t="s">
        <v>14</v>
      </c>
      <c r="J14186" t="s">
        <v>141</v>
      </c>
      <c r="K14186" t="s">
        <v>14</v>
      </c>
      <c r="L14186" t="s">
        <v>20</v>
      </c>
      <c r="M14186" t="s">
        <v>27183</v>
      </c>
      <c r="N14186" t="s">
        <v>14</v>
      </c>
    </row>
    <row r="14187" x14ac:dyDescent="0.25">
      <c r="A14187" t="n">
        <v>23</v>
      </c>
      <c r="B14187" t="s">
        <v>14</v>
      </c>
      <c r="C14187" t="s">
        <v>22</v>
      </c>
      <c r="D14187" s="2" t="s">
        <f>=HYPERLINK("https://main.knesset.gov.il/APPS/legislation/main/bills/2085850", "הצעת חוק איסור הפליה במוצרים, בשירותים ובכניסה למקומות בידור ולמקומות ציבוריים (תיקון - קיום אירועי תרבות בהפרדה מגדרית בשל טעמי דת), התש""ף-2020")</f>
        <v>27300</v>
      </c>
      <c r="E14187" t="s">
        <v>27300</v>
      </c>
      <c r="F14187" t="s">
        <v>27301</v>
      </c>
      <c r="G14187" t="s">
        <v>14</v>
      </c>
      <c r="H14187">
             </c>
      <c r="I14187" t="s">
        <v>14</v>
      </c>
      <c r="J14187" t="s">
        <v>141</v>
      </c>
      <c r="K14187" t="s">
        <v>14</v>
      </c>
      <c r="L14187" t="s">
        <v>20</v>
      </c>
      <c r="M14187" t="s">
        <v>27183</v>
      </c>
      <c r="N14187" t="s">
        <v>14</v>
      </c>
    </row>
    <row r="14188" x14ac:dyDescent="0.25">
      <c r="A14188" t="n">
        <v>23</v>
      </c>
      <c r="B14188" t="s">
        <v>14</v>
      </c>
      <c r="C14188" t="s">
        <v>22</v>
      </c>
      <c r="D14188" s="2" t="s">
        <f>=HYPERLINK("https://main.knesset.gov.il/APPS/legislation/main/bills/2085845", "הצעת חוק הגנת הצרכן (תיקון - הגנה על צרכנים שאינם דוברי עברית), התש""ף-2020")</f>
        <v>27302</v>
      </c>
      <c r="E14188" t="s">
        <v>27302</v>
      </c>
      <c r="F14188" t="s">
        <v>27303</v>
      </c>
      <c r="G14188" t="s">
        <v>14</v>
      </c>
      <c r="H14188">
             </c>
      <c r="I14188" t="s">
        <v>14</v>
      </c>
      <c r="J14188" t="s">
        <v>141</v>
      </c>
      <c r="K14188" t="s">
        <v>14</v>
      </c>
      <c r="L14188" t="s">
        <v>20</v>
      </c>
      <c r="M14188" t="s">
        <v>27183</v>
      </c>
      <c r="N14188" t="s">
        <v>14</v>
      </c>
    </row>
    <row r="14189" x14ac:dyDescent="0.25">
      <c r="A14189" t="n">
        <v>23</v>
      </c>
      <c r="B14189" t="s">
        <v>14</v>
      </c>
      <c r="C14189" t="s">
        <v>22</v>
      </c>
      <c r="D14189" s="2" t="s">
        <f>=HYPERLINK("https://main.knesset.gov.il/APPS/legislation/main/bills/2086559", "הצעת חוק לקידום התחרות ולצמצום הריכוזיות (תיקון - קביעת תאגיד שאינו מדווח או שותפות כחברת שכבה), התש""ף-2020")</f>
        <v>26188</v>
      </c>
      <c r="E14189" t="s">
        <v>26188</v>
      </c>
      <c r="F14189" t="s">
        <v>27304</v>
      </c>
      <c r="G14189" t="s">
        <v>14</v>
      </c>
      <c r="H14189">
             </c>
      <c r="I14189" t="s">
        <v>14</v>
      </c>
      <c r="J14189" t="s">
        <v>141</v>
      </c>
      <c r="K14189" t="s">
        <v>14</v>
      </c>
      <c r="L14189" t="s">
        <v>20</v>
      </c>
      <c r="M14189" t="s">
        <v>27183</v>
      </c>
      <c r="N14189" t="s">
        <v>14</v>
      </c>
    </row>
    <row r="14190" x14ac:dyDescent="0.25">
      <c r="A14190" t="n">
        <v>23</v>
      </c>
      <c r="B14190" t="s">
        <v>14</v>
      </c>
      <c r="C14190" t="s">
        <v>22</v>
      </c>
      <c r="D14190" s="2" t="s">
        <f>=HYPERLINK("https://main.knesset.gov.il/APPS/legislation/main/bills/2085835", "הצעת חוק הגנת הצרכן (תיקון - סימון תאריך ייצור ומועד תפוגה עברי), התש""ף-2020")</f>
        <v>27305</v>
      </c>
      <c r="E14190" t="s">
        <v>27305</v>
      </c>
      <c r="F14190" t="s">
        <v>27306</v>
      </c>
      <c r="G14190" t="s">
        <v>14</v>
      </c>
      <c r="H14190">
             </c>
      <c r="I14190" t="s">
        <v>14</v>
      </c>
      <c r="J14190" t="s">
        <v>141</v>
      </c>
      <c r="K14190" t="s">
        <v>14</v>
      </c>
      <c r="L14190" t="s">
        <v>20</v>
      </c>
      <c r="M14190" t="s">
        <v>27183</v>
      </c>
      <c r="N14190" t="s">
        <v>14</v>
      </c>
    </row>
    <row r="14191" x14ac:dyDescent="0.25">
      <c r="A14191" t="n">
        <v>23</v>
      </c>
      <c r="B14191" t="s">
        <v>14</v>
      </c>
      <c r="C14191" t="s">
        <v>22</v>
      </c>
      <c r="D14191" s="2" t="s">
        <f>=HYPERLINK("https://main.knesset.gov.il/APPS/legislation/main/bills/2085828", "הצעת חוק הגנת הצרכן (תיקון - השוואת תנאי צרכן ונותן שירות בעניין החזרת טובין), התש""ף-2020")</f>
        <v>27307</v>
      </c>
      <c r="E14191" t="s">
        <v>27307</v>
      </c>
      <c r="F14191" t="s">
        <v>27308</v>
      </c>
      <c r="G14191" t="s">
        <v>14</v>
      </c>
      <c r="H14191">
             </c>
      <c r="I14191" t="s">
        <v>14</v>
      </c>
      <c r="J14191" t="s">
        <v>141</v>
      </c>
      <c r="K14191" t="s">
        <v>14</v>
      </c>
      <c r="L14191" t="s">
        <v>20</v>
      </c>
      <c r="M14191" t="s">
        <v>27183</v>
      </c>
      <c r="N14191" t="s">
        <v>14</v>
      </c>
    </row>
    <row r="14192" x14ac:dyDescent="0.25">
      <c r="A14192" t="n">
        <v>23</v>
      </c>
      <c r="B14192" t="s">
        <v>14</v>
      </c>
      <c r="C14192" t="s">
        <v>22</v>
      </c>
      <c r="D14192" s="2" t="s">
        <f>=HYPERLINK("https://main.knesset.gov.il/APPS/legislation/main/bills/2085809", "הצעת חוק הגנת הצרכן (תיקון - הארכת תקופת האחריות), התש""ף-2020")</f>
        <v>27309</v>
      </c>
      <c r="E14192" t="s">
        <v>27309</v>
      </c>
      <c r="F14192" t="s">
        <v>27310</v>
      </c>
      <c r="G14192" t="s">
        <v>14</v>
      </c>
      <c r="H14192">
             </c>
      <c r="I14192" t="s">
        <v>14</v>
      </c>
      <c r="J14192" t="s">
        <v>141</v>
      </c>
      <c r="K14192" t="s">
        <v>14</v>
      </c>
      <c r="L14192" t="s">
        <v>20</v>
      </c>
      <c r="M14192" t="s">
        <v>27183</v>
      </c>
      <c r="N14192" t="s">
        <v>14</v>
      </c>
    </row>
    <row r="14193" x14ac:dyDescent="0.25">
      <c r="A14193" t="n">
        <v>23</v>
      </c>
      <c r="B14193" t="s">
        <v>14</v>
      </c>
      <c r="C14193" t="s">
        <v>22</v>
      </c>
      <c r="D14193" s="2" t="s">
        <f>=HYPERLINK("https://main.knesset.gov.il/APPS/legislation/main/bills/2085800", "הצעת חוק הבנקאות (שירות ללקוח) (תיקון - שירות מקוון ללקוח), התש""ף-2020")</f>
        <v>27311</v>
      </c>
      <c r="E14193" t="s">
        <v>27311</v>
      </c>
      <c r="F14193" t="s">
        <v>27312</v>
      </c>
      <c r="G14193" t="s">
        <v>14</v>
      </c>
      <c r="H14193">
             </c>
      <c r="I14193" t="s">
        <v>14</v>
      </c>
      <c r="J14193" t="s">
        <v>141</v>
      </c>
      <c r="K14193" t="s">
        <v>14</v>
      </c>
      <c r="L14193" t="s">
        <v>20</v>
      </c>
      <c r="M14193" t="s">
        <v>27183</v>
      </c>
      <c r="N14193" t="s">
        <v>14</v>
      </c>
    </row>
    <row r="14194" x14ac:dyDescent="0.25">
      <c r="A14194" t="n">
        <v>23</v>
      </c>
      <c r="B14194" t="s">
        <v>14</v>
      </c>
      <c r="C14194" t="s">
        <v>22</v>
      </c>
      <c r="D14194" s="2" t="s">
        <f>=HYPERLINK("https://main.knesset.gov.il/APPS/legislation/main/bills/2085789", "הצעת חוק הבנקאות (שירות ללקוח) (תיקון - מועדי החזר של הלוואה לדיור), התש""ף-2020")</f>
        <v>27313</v>
      </c>
      <c r="E14194" t="s">
        <v>27313</v>
      </c>
      <c r="F14194" t="s">
        <v>27314</v>
      </c>
      <c r="G14194" t="s">
        <v>14</v>
      </c>
      <c r="H14194">
             </c>
      <c r="I14194" t="s">
        <v>14</v>
      </c>
      <c r="J14194" t="s">
        <v>141</v>
      </c>
      <c r="K14194" t="s">
        <v>14</v>
      </c>
      <c r="L14194" t="s">
        <v>20</v>
      </c>
      <c r="M14194" t="s">
        <v>27183</v>
      </c>
      <c r="N14194" t="s">
        <v>14</v>
      </c>
    </row>
    <row r="14195" x14ac:dyDescent="0.25">
      <c r="A14195" t="n">
        <v>23</v>
      </c>
      <c r="B14195" t="s">
        <v>14</v>
      </c>
      <c r="C14195" t="s">
        <v>22</v>
      </c>
      <c r="D14195" s="2" t="s">
        <f>=HYPERLINK("https://main.knesset.gov.il/APPS/legislation/main/bills/2085794", "הצעת חוק לתיקון פקודת הבנקאות (הגבלת עמלת פירעון מוקדם של הלוואה לדיור), התש""ף-2020")</f>
        <v>27315</v>
      </c>
      <c r="E14195" t="s">
        <v>27315</v>
      </c>
      <c r="F14195" t="s">
        <v>27316</v>
      </c>
      <c r="G14195" t="s">
        <v>14</v>
      </c>
      <c r="H14195">
             </c>
      <c r="I14195" t="s">
        <v>14</v>
      </c>
      <c r="J14195" t="s">
        <v>141</v>
      </c>
      <c r="K14195" t="s">
        <v>14</v>
      </c>
      <c r="L14195" t="s">
        <v>20</v>
      </c>
      <c r="M14195" t="s">
        <v>27183</v>
      </c>
      <c r="N14195" t="s">
        <v>14</v>
      </c>
    </row>
    <row r="14196" x14ac:dyDescent="0.25">
      <c r="A14196" t="n">
        <v>23</v>
      </c>
      <c r="B14196" t="s">
        <v>14</v>
      </c>
      <c r="C14196" t="s">
        <v>22</v>
      </c>
      <c r="D14196" s="2" t="s">
        <f>=HYPERLINK("https://main.knesset.gov.il/APPS/legislation/main/bills/2085751", "הצעת חוק הגנת הצרכן (תיקון - ביטול עסקת מכר מרחוק למתן שירותי תיירות), התש""ף-2020")</f>
        <v>27317</v>
      </c>
      <c r="E14196" t="s">
        <v>27317</v>
      </c>
      <c r="F14196" t="s">
        <v>27318</v>
      </c>
      <c r="G14196" t="s">
        <v>14</v>
      </c>
      <c r="H14196">
             </c>
      <c r="I14196" t="s">
        <v>14</v>
      </c>
      <c r="J14196" t="s">
        <v>141</v>
      </c>
      <c r="K14196" t="s">
        <v>14</v>
      </c>
      <c r="L14196" t="s">
        <v>20</v>
      </c>
      <c r="M14196" t="s">
        <v>27183</v>
      </c>
      <c r="N14196" t="s">
        <v>14</v>
      </c>
    </row>
    <row r="14197" x14ac:dyDescent="0.25">
      <c r="A14197" t="n">
        <v>23</v>
      </c>
      <c r="B14197" t="s">
        <v>14</v>
      </c>
      <c r="C14197" t="s">
        <v>22</v>
      </c>
      <c r="D14197" s="2" t="s">
        <f>=HYPERLINK("https://main.knesset.gov.il/APPS/legislation/main/bills/2085739", "הצעת חוק משק החשמל (תיקון - גביית תשלומים), התש""ף-2020")</f>
        <v>27319</v>
      </c>
      <c r="E14197" t="s">
        <v>27319</v>
      </c>
      <c r="F14197" t="s">
        <v>27320</v>
      </c>
      <c r="G14197" t="s">
        <v>14</v>
      </c>
      <c r="H14197">
             </c>
      <c r="I14197" t="s">
        <v>14</v>
      </c>
      <c r="J14197" t="s">
        <v>141</v>
      </c>
      <c r="K14197" t="s">
        <v>14</v>
      </c>
      <c r="L14197" t="s">
        <v>20</v>
      </c>
      <c r="M14197" t="s">
        <v>27183</v>
      </c>
      <c r="N14197" t="s">
        <v>14</v>
      </c>
    </row>
    <row r="14198" x14ac:dyDescent="0.25">
      <c r="A14198" t="n">
        <v>23</v>
      </c>
      <c r="B14198" t="s">
        <v>14</v>
      </c>
      <c r="C14198" t="s">
        <v>22</v>
      </c>
      <c r="D14198" s="2" t="s">
        <f>=HYPERLINK("https://main.knesset.gov.il/APPS/legislation/main/bills/2085724", "הצעת חוק דמי נסיעה לסטודנטים בתחבורה ציבורית (תיקוני חקיקה), התש""ף-2020")</f>
        <v>27321</v>
      </c>
      <c r="E14198" t="s">
        <v>27321</v>
      </c>
      <c r="F14198" t="s">
        <v>27322</v>
      </c>
      <c r="G14198" t="s">
        <v>14</v>
      </c>
      <c r="H14198">
             </c>
      <c r="I14198" t="s">
        <v>14</v>
      </c>
      <c r="J14198" t="s">
        <v>343</v>
      </c>
      <c r="K14198" t="s">
        <v>14</v>
      </c>
      <c r="L14198" t="s">
        <v>20</v>
      </c>
      <c r="M14198" t="s">
        <v>27183</v>
      </c>
      <c r="N14198" t="s">
        <v>14</v>
      </c>
    </row>
    <row r="14199" x14ac:dyDescent="0.25">
      <c r="A14199" t="n">
        <v>23</v>
      </c>
      <c r="B14199" t="s">
        <v>14</v>
      </c>
      <c r="C14199" t="s">
        <v>22</v>
      </c>
      <c r="D14199" s="2" t="s">
        <f>=HYPERLINK("https://main.knesset.gov.il/APPS/legislation/main/bills/2085696", "הצעת חוק לתיקון פקודת התעבורה (הקמת מערך מידע וניתוח נתונים לשיפור התחבורה הציבורית), התש""ף-2020")</f>
        <v>27323</v>
      </c>
      <c r="E14199" t="s">
        <v>27323</v>
      </c>
      <c r="F14199" t="s">
        <v>27324</v>
      </c>
      <c r="G14199" t="s">
        <v>14</v>
      </c>
      <c r="H14199">
             </c>
      <c r="I14199" t="s">
        <v>14</v>
      </c>
      <c r="J14199" t="s">
        <v>141</v>
      </c>
      <c r="K14199" t="s">
        <v>14</v>
      </c>
      <c r="L14199" t="s">
        <v>20</v>
      </c>
      <c r="M14199" t="s">
        <v>27183</v>
      </c>
      <c r="N14199" t="s">
        <v>14</v>
      </c>
    </row>
    <row r="14200" x14ac:dyDescent="0.25">
      <c r="A14200" t="n">
        <v>23</v>
      </c>
      <c r="B14200" t="s">
        <v>14</v>
      </c>
      <c r="C14200" t="s">
        <v>22</v>
      </c>
      <c r="D14200" s="2" t="s">
        <f>=HYPERLINK("https://main.knesset.gov.il/APPS/legislation/main/bills/2085684", "הצעת חוק לתיקון פקודת התעבורה (מאגר מידע של ניקוד מסוכנות לעניין נהגים מקצועיים), התש""ף-2020")</f>
        <v>27325</v>
      </c>
      <c r="E14200" t="s">
        <v>27325</v>
      </c>
      <c r="F14200" t="s">
        <v>27326</v>
      </c>
      <c r="G14200" t="s">
        <v>14</v>
      </c>
      <c r="H14200">
             </c>
      <c r="I14200" t="s">
        <v>14</v>
      </c>
      <c r="J14200" t="s">
        <v>141</v>
      </c>
      <c r="K14200" t="s">
        <v>14</v>
      </c>
      <c r="L14200" t="s">
        <v>20</v>
      </c>
      <c r="M14200" t="s">
        <v>27183</v>
      </c>
      <c r="N14200" t="s">
        <v>14</v>
      </c>
    </row>
    <row r="14201" x14ac:dyDescent="0.25">
      <c r="A14201" t="n">
        <v>23</v>
      </c>
      <c r="B14201" t="s">
        <v>14</v>
      </c>
      <c r="C14201" t="s">
        <v>22</v>
      </c>
      <c r="D14201" s="2" t="s">
        <f>=HYPERLINK("https://main.knesset.gov.il/APPS/legislation/main/bills/2085675", "הצעת חוק חניה לנכים (תיקון - תג נכה אישי), התש""ף-2020")</f>
        <v>27327</v>
      </c>
      <c r="E14201" t="s">
        <v>27327</v>
      </c>
      <c r="F14201" t="s">
        <v>27328</v>
      </c>
      <c r="G14201" t="s">
        <v>14</v>
      </c>
      <c r="H14201">
             </c>
      <c r="I14201" t="s">
        <v>14</v>
      </c>
      <c r="J14201" t="s">
        <v>141</v>
      </c>
      <c r="K14201" t="s">
        <v>14</v>
      </c>
      <c r="L14201" t="s">
        <v>20</v>
      </c>
      <c r="M14201" t="s">
        <v>27183</v>
      </c>
      <c r="N14201" t="s">
        <v>14</v>
      </c>
    </row>
    <row r="14202" x14ac:dyDescent="0.25">
      <c r="A14202" t="n">
        <v>23</v>
      </c>
      <c r="B14202" t="s">
        <v>14</v>
      </c>
      <c r="C14202" t="s">
        <v>22</v>
      </c>
      <c r="D14202" s="2" t="s">
        <f>=HYPERLINK("https://main.knesset.gov.il/APPS/legislation/main/bills/2085667", "הצעת חוק החזר גביית יתר (תיקוני חקיקה), התש""ף-2020")</f>
        <v>27329</v>
      </c>
      <c r="E14202" t="s">
        <v>27329</v>
      </c>
      <c r="F14202" t="s">
        <v>27330</v>
      </c>
      <c r="G14202" t="s">
        <v>14</v>
      </c>
      <c r="H14202">
             </c>
      <c r="I14202" t="s">
        <v>14</v>
      </c>
      <c r="J14202" t="s">
        <v>141</v>
      </c>
      <c r="K14202" t="s">
        <v>14</v>
      </c>
      <c r="L14202" t="s">
        <v>20</v>
      </c>
      <c r="M14202" t="s">
        <v>27183</v>
      </c>
      <c r="N14202" t="s">
        <v>14</v>
      </c>
    </row>
    <row r="14203" x14ac:dyDescent="0.25">
      <c r="A14203" t="n">
        <v>23</v>
      </c>
      <c r="B14203" t="s">
        <v>14</v>
      </c>
      <c r="C14203" t="s">
        <v>22</v>
      </c>
      <c r="D14203" s="2" t="s">
        <f>=HYPERLINK("https://main.knesset.gov.il/APPS/legislation/main/bills/2085655", "הצעת חוק פיקוח על מחירי מצרכים ושירותים (תיקון - פיקוח על מוצרי מזון לתינוקות), התש""ף-2020")</f>
        <v>27331</v>
      </c>
      <c r="E14203" t="s">
        <v>27331</v>
      </c>
      <c r="F14203" t="s">
        <v>27332</v>
      </c>
      <c r="G14203" t="s">
        <v>14</v>
      </c>
      <c r="H14203">
             </c>
      <c r="I14203" t="s">
        <v>14</v>
      </c>
      <c r="J14203" t="s">
        <v>141</v>
      </c>
      <c r="K14203" t="s">
        <v>14</v>
      </c>
      <c r="L14203" t="s">
        <v>20</v>
      </c>
      <c r="M14203" t="s">
        <v>27183</v>
      </c>
      <c r="N14203" t="s">
        <v>14</v>
      </c>
    </row>
    <row r="14204" x14ac:dyDescent="0.25">
      <c r="A14204" t="n">
        <v>23</v>
      </c>
      <c r="B14204" t="s">
        <v>14</v>
      </c>
      <c r="C14204" t="s">
        <v>22</v>
      </c>
      <c r="D14204" s="2" t="s">
        <f>=HYPERLINK("https://main.knesset.gov.il/APPS/legislation/main/bills/2085605", "הצעת חוק הגנת הצרכן (תיקון - סימון תאריך ייצור ומועד תפוגה עברי), התש""ף-2020")</f>
        <v>27305</v>
      </c>
      <c r="E14204" t="s">
        <v>27305</v>
      </c>
      <c r="F14204" t="s">
        <v>27333</v>
      </c>
      <c r="G14204" t="s">
        <v>14</v>
      </c>
      <c r="H14204">
             </c>
      <c r="I14204" t="s">
        <v>14</v>
      </c>
      <c r="J14204" t="s">
        <v>141</v>
      </c>
      <c r="K14204" t="s">
        <v>14</v>
      </c>
      <c r="L14204" t="s">
        <v>20</v>
      </c>
      <c r="M14204" t="s">
        <v>27183</v>
      </c>
      <c r="N14204" t="s">
        <v>14</v>
      </c>
    </row>
    <row r="14205" x14ac:dyDescent="0.25">
      <c r="A14205" t="n">
        <v>23</v>
      </c>
      <c r="B14205" t="s">
        <v>14</v>
      </c>
      <c r="C14205" t="s">
        <v>22</v>
      </c>
      <c r="D14205" s="2" t="s">
        <f>=HYPERLINK("https://main.knesset.gov.il/APPS/legislation/main/bills/2085595", "הצעת חוק החזר גביית יתר (תיקוני חקיקה), התש""ף-2020")</f>
        <v>27329</v>
      </c>
      <c r="E14205" t="s">
        <v>27329</v>
      </c>
      <c r="F14205" t="s">
        <v>27334</v>
      </c>
      <c r="G14205" t="s">
        <v>14</v>
      </c>
      <c r="H14205">
             </c>
      <c r="I14205" t="s">
        <v>14</v>
      </c>
      <c r="J14205" t="s">
        <v>141</v>
      </c>
      <c r="K14205" t="s">
        <v>14</v>
      </c>
      <c r="L14205" t="s">
        <v>20</v>
      </c>
      <c r="M14205" t="s">
        <v>27183</v>
      </c>
      <c r="N14205" t="s">
        <v>14</v>
      </c>
    </row>
    <row r="14206" x14ac:dyDescent="0.25">
      <c r="A14206" t="n">
        <v>23</v>
      </c>
      <c r="B14206" t="s">
        <v>14</v>
      </c>
      <c r="C14206" t="s">
        <v>22</v>
      </c>
      <c r="D14206" s="2" t="s">
        <f>=HYPERLINK("https://main.knesset.gov.il/APPS/legislation/main/bills/2085583", "הצעת חוק חובת תשלום בשוברים, התש""ף-2020")</f>
        <v>27335</v>
      </c>
      <c r="E14206" t="s">
        <v>27335</v>
      </c>
      <c r="F14206" t="s">
        <v>27336</v>
      </c>
      <c r="G14206" t="s">
        <v>14</v>
      </c>
      <c r="H14206">
             </c>
      <c r="I14206" t="s">
        <v>14</v>
      </c>
      <c r="J14206" t="s">
        <v>141</v>
      </c>
      <c r="K14206" t="s">
        <v>14</v>
      </c>
      <c r="L14206" t="s">
        <v>20</v>
      </c>
      <c r="M14206" t="s">
        <v>27183</v>
      </c>
      <c r="N14206" t="s">
        <v>14</v>
      </c>
    </row>
    <row r="14207" x14ac:dyDescent="0.25">
      <c r="A14207" t="n">
        <v>23</v>
      </c>
      <c r="B14207" t="s">
        <v>14</v>
      </c>
      <c r="C14207" t="s">
        <v>22</v>
      </c>
      <c r="D14207" s="2" t="s">
        <f>=HYPERLINK("https://main.knesset.gov.il/APPS/legislation/main/bills/2085865", "הצעת חוק צער בעלי חיים (הגנה על בעלי חיים) (תיקון - איסור מכירת פרוות), התש""ף-2020")</f>
        <v>26764</v>
      </c>
      <c r="E14207" t="s">
        <v>26764</v>
      </c>
      <c r="F14207" t="s">
        <v>27337</v>
      </c>
      <c r="G14207" t="s">
        <v>14</v>
      </c>
      <c r="H14207">
             </c>
      <c r="I14207" t="s">
        <v>14</v>
      </c>
      <c r="J14207" t="s">
        <v>141</v>
      </c>
      <c r="K14207" t="s">
        <v>14</v>
      </c>
      <c r="L14207" t="s">
        <v>20</v>
      </c>
      <c r="M14207" t="s">
        <v>27183</v>
      </c>
      <c r="N14207" t="s">
        <v>14</v>
      </c>
    </row>
    <row r="14208" x14ac:dyDescent="0.25">
      <c r="A14208" t="n">
        <v>23</v>
      </c>
      <c r="B14208" t="s">
        <v>14</v>
      </c>
      <c r="C14208" t="s">
        <v>22</v>
      </c>
      <c r="D14208" s="2" t="s">
        <f>=HYPERLINK("https://main.knesset.gov.il/APPS/legislation/main/bills/2085867", "הצעת חוק סדנאות הכשרה לשוויון מגדרי בגיל הרך, התש""ף-2020")</f>
        <v>27338</v>
      </c>
      <c r="E14208" t="s">
        <v>27338</v>
      </c>
      <c r="F14208" t="s">
        <v>27339</v>
      </c>
      <c r="G14208" t="s">
        <v>14</v>
      </c>
      <c r="H14208">
             </c>
      <c r="I14208" t="s">
        <v>14</v>
      </c>
      <c r="J14208" t="s">
        <v>141</v>
      </c>
      <c r="K14208" t="s">
        <v>14</v>
      </c>
      <c r="L14208" t="s">
        <v>20</v>
      </c>
      <c r="M14208" t="s">
        <v>27183</v>
      </c>
      <c r="N14208" t="s">
        <v>14</v>
      </c>
    </row>
    <row r="14209" x14ac:dyDescent="0.25">
      <c r="A14209" t="n">
        <v>23</v>
      </c>
      <c r="B14209" t="s">
        <v>14</v>
      </c>
      <c r="C14209" t="s">
        <v>22</v>
      </c>
      <c r="D14209" s="2" t="s">
        <f>=HYPERLINK("https://main.knesset.gov.il/APPS/legislation/main/bills/2085750", "הצעת חוק הרשויות המקומיות (מנהל מחלקת תרבות), התש""ף-2020")</f>
        <v>27340</v>
      </c>
      <c r="E14209" t="s">
        <v>27340</v>
      </c>
      <c r="F14209" t="s">
        <v>27341</v>
      </c>
      <c r="G14209" t="s">
        <v>14</v>
      </c>
      <c r="H14209">
             </c>
      <c r="I14209" t="s">
        <v>14</v>
      </c>
      <c r="J14209" t="s">
        <v>141</v>
      </c>
      <c r="K14209" t="s">
        <v>14</v>
      </c>
      <c r="L14209" t="s">
        <v>20</v>
      </c>
      <c r="M14209" t="s">
        <v>27183</v>
      </c>
      <c r="N14209" t="s">
        <v>14</v>
      </c>
    </row>
    <row r="14210" x14ac:dyDescent="0.25">
      <c r="A14210" t="n">
        <v>23</v>
      </c>
      <c r="B14210" t="s">
        <v>14</v>
      </c>
      <c r="C14210" t="s">
        <v>22</v>
      </c>
      <c r="D14210" s="2" t="s">
        <f>=HYPERLINK("https://main.knesset.gov.il/APPS/legislation/main/bills/2085701", "הצעת חוק יום ציון לאומי לתרומתה ולפועלה של העדה הדרוזית (תיקון - חובת לימוד במוסדות חינוך), התש""ף-2020")</f>
        <v>27342</v>
      </c>
      <c r="E14210" t="s">
        <v>27342</v>
      </c>
      <c r="F14210" t="s">
        <v>27343</v>
      </c>
      <c r="G14210" t="s">
        <v>14</v>
      </c>
      <c r="H14210">
             </c>
      <c r="I14210" t="s">
        <v>14</v>
      </c>
      <c r="J14210" t="s">
        <v>141</v>
      </c>
      <c r="K14210" t="s">
        <v>14</v>
      </c>
      <c r="L14210" t="s">
        <v>20</v>
      </c>
      <c r="M14210" t="s">
        <v>27183</v>
      </c>
      <c r="N14210" t="s">
        <v>14</v>
      </c>
    </row>
    <row r="14211" x14ac:dyDescent="0.25">
      <c r="A14211" t="n">
        <v>23</v>
      </c>
      <c r="B14211" t="s">
        <v>14</v>
      </c>
      <c r="C14211" t="s">
        <v>22</v>
      </c>
      <c r="D14211" s="2" t="s">
        <f>=HYPERLINK("https://main.knesset.gov.il/APPS/legislation/main/bills/2085722", "הצעת חוק להנצחת הרב עובדיה יוסף (ציון זכרו ופועלו), התש""ף-2020")</f>
        <v>27344</v>
      </c>
      <c r="E14211" t="s">
        <v>27344</v>
      </c>
      <c r="F14211" t="s">
        <v>27345</v>
      </c>
      <c r="G14211" t="s">
        <v>14</v>
      </c>
      <c r="H14211">
             </c>
      <c r="I14211" t="s">
        <v>14</v>
      </c>
      <c r="J14211" t="s">
        <v>141</v>
      </c>
      <c r="K14211" t="s">
        <v>14</v>
      </c>
      <c r="L14211" t="s">
        <v>20</v>
      </c>
      <c r="M14211" t="s">
        <v>27183</v>
      </c>
      <c r="N14211" t="s">
        <v>14</v>
      </c>
    </row>
    <row r="14212" x14ac:dyDescent="0.25">
      <c r="A14212" t="n">
        <v>23</v>
      </c>
      <c r="B14212" t="s">
        <v>14</v>
      </c>
      <c r="C14212" t="s">
        <v>22</v>
      </c>
      <c r="D14212" s="2" t="s">
        <f>=HYPERLINK("https://main.knesset.gov.il/APPS/legislation/main/bills/2085812", "הצעת חוק צער בעלי חיים (הגנה על בעלי חיים) (תיקון - איסור על זיווג ומכירה של כלבים וחתולים), התש""ף-2020")</f>
        <v>27346</v>
      </c>
      <c r="E14212" t="s">
        <v>27346</v>
      </c>
      <c r="F14212" t="s">
        <v>27347</v>
      </c>
      <c r="G14212" t="s">
        <v>14</v>
      </c>
      <c r="H14212">
             </c>
      <c r="I14212" t="s">
        <v>14</v>
      </c>
      <c r="J14212" t="s">
        <v>141</v>
      </c>
      <c r="K14212" t="s">
        <v>14</v>
      </c>
      <c r="L14212" t="s">
        <v>20</v>
      </c>
      <c r="M14212" t="s">
        <v>27183</v>
      </c>
      <c r="N14212" t="s">
        <v>14</v>
      </c>
    </row>
    <row r="14213" x14ac:dyDescent="0.25">
      <c r="A14213" t="n">
        <v>23</v>
      </c>
      <c r="B14213" t="s">
        <v>14</v>
      </c>
      <c r="C14213" t="s">
        <v>22</v>
      </c>
      <c r="D14213" s="2" t="s">
        <f>=HYPERLINK("https://main.knesset.gov.il/APPS/legislation/main/bills/2087473", "הצעת חוק מענק הסתגלות מיוחד לבני 67 ומעלה (הוראת שעה - נגיף הקורונה), התש""ף-2020")</f>
        <v>27348</v>
      </c>
      <c r="E14213" t="s">
        <v>27348</v>
      </c>
      <c r="F14213" t="s">
        <v>27349</v>
      </c>
      <c r="G14213" t="s">
        <v>14</v>
      </c>
      <c r="H14213">
             </c>
      <c r="I14213" t="s">
        <v>14</v>
      </c>
      <c r="J14213" t="s">
        <v>141</v>
      </c>
      <c r="K14213" t="s">
        <v>14</v>
      </c>
      <c r="L14213" t="s">
        <v>20</v>
      </c>
      <c r="M14213" t="s">
        <v>27183</v>
      </c>
      <c r="N14213" t="s">
        <v>14</v>
      </c>
    </row>
    <row r="14214" x14ac:dyDescent="0.25">
      <c r="A14214" t="n">
        <v>23</v>
      </c>
      <c r="B14214" t="s">
        <v>14</v>
      </c>
      <c r="C14214" t="s">
        <v>22</v>
      </c>
      <c r="D14214" s="2" t="s">
        <f>=HYPERLINK("https://main.knesset.gov.il/APPS/legislation/main/bills/2086136", "הצעת חוק כהונתם של ראשי גופים ביטחוניים, התש""ף-2020")</f>
        <v>27350</v>
      </c>
      <c r="E14214" t="s">
        <v>27350</v>
      </c>
      <c r="F14214" t="s">
        <v>27351</v>
      </c>
      <c r="G14214" t="s">
        <v>14</v>
      </c>
      <c r="H14214">
             </c>
      <c r="I14214" t="s">
        <v>14</v>
      </c>
      <c r="J14214" t="s">
        <v>141</v>
      </c>
      <c r="K14214" t="s">
        <v>14</v>
      </c>
      <c r="L14214" t="s">
        <v>20</v>
      </c>
      <c r="M14214" t="s">
        <v>27183</v>
      </c>
      <c r="N14214" t="s">
        <v>14</v>
      </c>
    </row>
    <row r="14215" x14ac:dyDescent="0.25">
      <c r="A14215" t="n">
        <v>23</v>
      </c>
      <c r="B14215" t="s">
        <v>14</v>
      </c>
      <c r="C14215" t="s">
        <v>22</v>
      </c>
      <c r="D14215" s="2" t="s">
        <f>=HYPERLINK("https://main.knesset.gov.il/APPS/legislation/main/bills/2085904", "הצעת חוק בתי קברות צבאיים (תיקון - חיילים זכאי חוק השבות), התש""ף-2020")</f>
        <v>26486</v>
      </c>
      <c r="E14215" t="s">
        <v>26486</v>
      </c>
      <c r="F14215" t="s">
        <v>27352</v>
      </c>
      <c r="G14215" t="s">
        <v>14</v>
      </c>
      <c r="H14215">
             </c>
      <c r="I14215" t="s">
        <v>14</v>
      </c>
      <c r="J14215" t="s">
        <v>141</v>
      </c>
      <c r="K14215" t="s">
        <v>14</v>
      </c>
      <c r="L14215" t="s">
        <v>20</v>
      </c>
      <c r="M14215" t="s">
        <v>27183</v>
      </c>
      <c r="N14215" t="s">
        <v>14</v>
      </c>
    </row>
    <row r="14216" x14ac:dyDescent="0.25">
      <c r="A14216" t="n">
        <v>23</v>
      </c>
      <c r="B14216" t="s">
        <v>14</v>
      </c>
      <c r="C14216" t="s">
        <v>22</v>
      </c>
      <c r="D14216" s="2" t="s">
        <f>=HYPERLINK("https://main.knesset.gov.il/APPS/legislation/main/bills/2085773", "הצעת חוק השוואת תשלומים לחיילים בודדים ילידי ישראל וחיילים בודדים שנולדו מחוץ לישראל, התש""ף-2020 ")</f>
        <v>27353</v>
      </c>
      <c r="E14216" t="s">
        <v>27353</v>
      </c>
      <c r="F14216" t="s">
        <v>27354</v>
      </c>
      <c r="G14216" t="s">
        <v>14</v>
      </c>
      <c r="H14216">
             </c>
      <c r="I14216" t="s">
        <v>14</v>
      </c>
      <c r="J14216" t="s">
        <v>141</v>
      </c>
      <c r="K14216" t="s">
        <v>14</v>
      </c>
      <c r="L14216" t="s">
        <v>20</v>
      </c>
      <c r="M14216" t="s">
        <v>27183</v>
      </c>
      <c r="N14216" t="s">
        <v>14</v>
      </c>
    </row>
    <row r="14217" x14ac:dyDescent="0.25">
      <c r="A14217" t="n">
        <v>23</v>
      </c>
      <c r="B14217" t="s">
        <v>14</v>
      </c>
      <c r="C14217" t="s">
        <v>15</v>
      </c>
      <c r="D14217" s="2" t="s">
        <f>=HYPERLINK("https://main.knesset.gov.il/APPS/legislation/main/bills/2087389", "הצעת חוק סדר הדין הפלילי (סמכויות אכיפה – נתוני תקשורת) (הוראת שעה – נגיף הקורונה החדש) (קבלת נתוני מיקום לצורך פיקוח על קיום הוראות הבידוד), התש""ף-2020 ")</f>
        <v>27355</v>
      </c>
      <c r="E14217" t="s">
        <v>27355</v>
      </c>
      <c r="F14217" t="s">
        <v>14</v>
      </c>
      <c r="G14217" t="s">
        <v>27356</v>
      </c>
      <c r="H14217">
             </c>
      <c r="I14217" t="s">
        <v>14</v>
      </c>
      <c r="J14217" t="s">
        <v>18</v>
      </c>
      <c r="K14217" t="s">
        <v>114</v>
      </c>
      <c r="L14217" t="s">
        <v>20</v>
      </c>
      <c r="M14217" t="s">
        <v>27357</v>
      </c>
      <c r="N14217" t="s">
        <v>14</v>
      </c>
    </row>
    <row r="14218" x14ac:dyDescent="0.25">
      <c r="A14218" t="n">
        <v>23</v>
      </c>
      <c r="B14218" t="s">
        <v>14</v>
      </c>
      <c r="C14218" t="s">
        <v>15</v>
      </c>
      <c r="D14218" s="2" t="s">
        <f>=HYPERLINK("https://main.knesset.gov.il/APPS/legislation/main/bills/2087470", "חוק שמירת הניקיון (הוראת שעה - נגיף הקורונה החדש) (מענק לרשויות מקומיות), התש""ף-2020")</f>
        <v>27358</v>
      </c>
      <c r="E14218" t="s">
        <v>27358</v>
      </c>
      <c r="F14218" t="s">
        <v>14</v>
      </c>
      <c r="G14218" t="s">
        <v>27359</v>
      </c>
      <c r="H14218" t="n">
        <v>2793</v>
      </c>
      <c r="I14218" t="s">
        <v>14</v>
      </c>
      <c r="J14218" t="s">
        <v>91</v>
      </c>
      <c r="K14218" t="s">
        <v>85</v>
      </c>
      <c r="L14218" t="s">
        <v>20</v>
      </c>
      <c r="M14218" t="s">
        <v>27357</v>
      </c>
      <c r="N14218" t="s">
        <v>27360</v>
      </c>
    </row>
    <row r="14219" x14ac:dyDescent="0.25">
      <c r="A14219" t="n">
        <v>23</v>
      </c>
      <c r="B14219" t="s">
        <v>14</v>
      </c>
      <c r="C14219" t="s">
        <v>22</v>
      </c>
      <c r="D14219" s="2" t="s">
        <f>=HYPERLINK("https://main.knesset.gov.il/APPS/legislation/main/bills/2086642", "הצעת חוק-יסוד: הממשלה (תיקון - חובת מינוי ממלא מקום ראש הממשלה)")</f>
        <v>2485</v>
      </c>
      <c r="E14219" t="s">
        <v>2485</v>
      </c>
      <c r="F14219" t="s">
        <v>27361</v>
      </c>
      <c r="G14219" t="s">
        <v>14</v>
      </c>
      <c r="H14219">
             </c>
      <c r="I14219" t="s">
        <v>14</v>
      </c>
      <c r="J14219" t="s">
        <v>141</v>
      </c>
      <c r="K14219" t="s">
        <v>14</v>
      </c>
      <c r="L14219" t="s">
        <v>20</v>
      </c>
      <c r="M14219" t="s">
        <v>27362</v>
      </c>
      <c r="N14219" t="s">
        <v>14</v>
      </c>
    </row>
    <row r="14220" x14ac:dyDescent="0.25">
      <c r="A14220" t="n">
        <v>23</v>
      </c>
      <c r="B14220" t="s">
        <v>14</v>
      </c>
      <c r="C14220" t="s">
        <v>22</v>
      </c>
      <c r="D14220" s="2" t="s">
        <f>=HYPERLINK("https://main.knesset.gov.il/APPS/legislation/main/bills/2086273", "הצעת חוק-יסוד: הממשלה (תיקון - חובת מינוי ממלא מקום ראש הממשלה)")</f>
        <v>2485</v>
      </c>
      <c r="E14220" t="s">
        <v>2485</v>
      </c>
      <c r="F14220" t="s">
        <v>27363</v>
      </c>
      <c r="G14220" t="s">
        <v>14</v>
      </c>
      <c r="H14220">
             </c>
      <c r="I14220" t="s">
        <v>14</v>
      </c>
      <c r="J14220" t="s">
        <v>141</v>
      </c>
      <c r="K14220" t="s">
        <v>14</v>
      </c>
      <c r="L14220" t="s">
        <v>20</v>
      </c>
      <c r="M14220" t="s">
        <v>27362</v>
      </c>
      <c r="N14220" t="s">
        <v>14</v>
      </c>
    </row>
    <row r="14221" x14ac:dyDescent="0.25">
      <c r="A14221" t="n">
        <v>23</v>
      </c>
      <c r="B14221" t="s">
        <v>14</v>
      </c>
      <c r="C14221" t="s">
        <v>22</v>
      </c>
      <c r="D14221" s="2" t="s">
        <f>=HYPERLINK("https://main.knesset.gov.il/APPS/legislation/main/bills/2086117", "הצעת חוק-יסוד: הממשלה (תיקון - בחירה ישירה לראש הממשלה וחלוקת מנדטים לסיעות הקואליציה)")</f>
        <v>14184</v>
      </c>
      <c r="E14221" t="s">
        <v>14184</v>
      </c>
      <c r="F14221" t="s">
        <v>27364</v>
      </c>
      <c r="G14221" t="s">
        <v>14</v>
      </c>
      <c r="H14221">
             </c>
      <c r="I14221" t="s">
        <v>14</v>
      </c>
      <c r="J14221" t="s">
        <v>141</v>
      </c>
      <c r="K14221" t="s">
        <v>14</v>
      </c>
      <c r="L14221" t="s">
        <v>20</v>
      </c>
      <c r="M14221" t="s">
        <v>27362</v>
      </c>
      <c r="N14221" t="s">
        <v>14</v>
      </c>
    </row>
    <row r="14222" x14ac:dyDescent="0.25">
      <c r="A14222" t="n">
        <v>23</v>
      </c>
      <c r="B14222" t="s">
        <v>14</v>
      </c>
      <c r="C14222" t="s">
        <v>22</v>
      </c>
      <c r="D14222" s="2" t="s">
        <f>=HYPERLINK("https://main.knesset.gov.il/APPS/legislation/main/bills/2087362", "הצעת חוק דחיית תשלומי הלוואה (נגיף קורונה החדש) (הוראת שעה), התש""ף-2020")</f>
        <v>27365</v>
      </c>
      <c r="E14222" t="s">
        <v>27365</v>
      </c>
      <c r="F14222" t="s">
        <v>27366</v>
      </c>
      <c r="G14222" t="s">
        <v>14</v>
      </c>
      <c r="H14222">
             </c>
      <c r="I14222" t="s">
        <v>14</v>
      </c>
      <c r="J14222" t="s">
        <v>141</v>
      </c>
      <c r="K14222" t="s">
        <v>14</v>
      </c>
      <c r="L14222" t="s">
        <v>20</v>
      </c>
      <c r="M14222" t="s">
        <v>27362</v>
      </c>
      <c r="N14222" t="s">
        <v>14</v>
      </c>
    </row>
    <row r="14223" x14ac:dyDescent="0.25">
      <c r="A14223" t="n">
        <v>23</v>
      </c>
      <c r="B14223" t="s">
        <v>14</v>
      </c>
      <c r="C14223" t="s">
        <v>22</v>
      </c>
      <c r="D14223" s="2" t="s">
        <f>=HYPERLINK("https://main.knesset.gov.il/APPS/legislation/main/bills/2085878", "הצעת חוק-יסוד: הממשלה (תיקון - סייג להטלת התפקיד להרכיב ממשלה)")</f>
        <v>13344</v>
      </c>
      <c r="E14223" t="s">
        <v>13344</v>
      </c>
      <c r="F14223" t="s">
        <v>27367</v>
      </c>
      <c r="G14223" t="s">
        <v>14</v>
      </c>
      <c r="H14223">
             </c>
      <c r="I14223" t="s">
        <v>14</v>
      </c>
      <c r="J14223" t="s">
        <v>141</v>
      </c>
      <c r="K14223" t="s">
        <v>14</v>
      </c>
      <c r="L14223" t="s">
        <v>20</v>
      </c>
      <c r="M14223" t="s">
        <v>27362</v>
      </c>
      <c r="N14223" t="s">
        <v>14</v>
      </c>
    </row>
    <row r="14224" x14ac:dyDescent="0.25">
      <c r="A14224" t="n">
        <v>23</v>
      </c>
      <c r="B14224" t="s">
        <v>14</v>
      </c>
      <c r="C14224" t="s">
        <v>22</v>
      </c>
      <c r="D14224" s="2" t="s">
        <f>=HYPERLINK("https://main.knesset.gov.il/APPS/legislation/main/bills/2085610", "הצעת חוק-יסוד: הממשלה (תיקון - הגבלת כהונת ראש הממשלה לשתי תקופות כהונה רצופות)")</f>
        <v>1247</v>
      </c>
      <c r="E14224" t="s">
        <v>1247</v>
      </c>
      <c r="F14224" t="s">
        <v>27368</v>
      </c>
      <c r="G14224" t="s">
        <v>14</v>
      </c>
      <c r="H14224">
             </c>
      <c r="I14224" t="s">
        <v>14</v>
      </c>
      <c r="J14224" t="s">
        <v>141</v>
      </c>
      <c r="K14224" t="s">
        <v>14</v>
      </c>
      <c r="L14224" t="s">
        <v>20</v>
      </c>
      <c r="M14224" t="s">
        <v>27362</v>
      </c>
      <c r="N14224" t="s">
        <v>14</v>
      </c>
    </row>
    <row r="14225" x14ac:dyDescent="0.25">
      <c r="A14225" t="n">
        <v>23</v>
      </c>
      <c r="B14225" t="s">
        <v>14</v>
      </c>
      <c r="C14225" t="s">
        <v>22</v>
      </c>
      <c r="D14225" s="2" t="s">
        <f>=HYPERLINK("https://main.knesset.gov.il/APPS/legislation/main/bills/2086262", "הצעת חוק לפיצוי לנפגעי נגיף הקורונה, התש""ף-2020 ")</f>
        <v>27369</v>
      </c>
      <c r="E14225" t="s">
        <v>27369</v>
      </c>
      <c r="F14225" t="s">
        <v>27370</v>
      </c>
      <c r="G14225" t="s">
        <v>14</v>
      </c>
      <c r="H14225">
             </c>
      <c r="I14225" t="s">
        <v>14</v>
      </c>
      <c r="J14225" t="s">
        <v>141</v>
      </c>
      <c r="K14225" t="s">
        <v>14</v>
      </c>
      <c r="L14225" t="s">
        <v>20</v>
      </c>
      <c r="M14225" t="s">
        <v>27362</v>
      </c>
      <c r="N14225" t="s">
        <v>14</v>
      </c>
    </row>
    <row r="14226" x14ac:dyDescent="0.25">
      <c r="A14226" t="n">
        <v>23</v>
      </c>
      <c r="B14226" t="s">
        <v>14</v>
      </c>
      <c r="C14226" t="s">
        <v>22</v>
      </c>
      <c r="D14226" s="2" t="s">
        <f>=HYPERLINK("https://main.knesset.gov.il/APPS/legislation/main/bills/2086265", "הצעת חוק יסודות התקציב (תיקון - תקציב המוקצה למאבק בנגיף הקורונה) (הוראת שעה), התש""ף-2020")</f>
        <v>27371</v>
      </c>
      <c r="E14226" t="s">
        <v>27371</v>
      </c>
      <c r="F14226" t="s">
        <v>27372</v>
      </c>
      <c r="G14226" t="s">
        <v>14</v>
      </c>
      <c r="H14226">
             </c>
      <c r="I14226" t="s">
        <v>14</v>
      </c>
      <c r="J14226" t="s">
        <v>141</v>
      </c>
      <c r="K14226" t="s">
        <v>14</v>
      </c>
      <c r="L14226" t="s">
        <v>20</v>
      </c>
      <c r="M14226" t="s">
        <v>27362</v>
      </c>
      <c r="N14226" t="s">
        <v>14</v>
      </c>
    </row>
    <row r="14227" x14ac:dyDescent="0.25">
      <c r="A14227" t="n">
        <v>23</v>
      </c>
      <c r="B14227" t="s">
        <v>14</v>
      </c>
      <c r="C14227" t="s">
        <v>22</v>
      </c>
      <c r="D14227" s="2" t="s">
        <f>=HYPERLINK("https://main.knesset.gov.il/APPS/legislation/main/bills/2085955", "הצעת חוק הביטוח הלאומי (תיקון - ביטול מענק עבודה מועדפת), התש""ף-2020")</f>
        <v>27373</v>
      </c>
      <c r="E14227" t="s">
        <v>27373</v>
      </c>
      <c r="F14227" t="s">
        <v>27374</v>
      </c>
      <c r="G14227" t="s">
        <v>14</v>
      </c>
      <c r="H14227">
             </c>
      <c r="I14227" t="s">
        <v>14</v>
      </c>
      <c r="J14227" t="s">
        <v>141</v>
      </c>
      <c r="K14227" t="s">
        <v>14</v>
      </c>
      <c r="L14227" t="s">
        <v>20</v>
      </c>
      <c r="M14227" t="s">
        <v>27362</v>
      </c>
      <c r="N14227" t="s">
        <v>14</v>
      </c>
    </row>
    <row r="14228" x14ac:dyDescent="0.25">
      <c r="A14228" t="n">
        <v>23</v>
      </c>
      <c r="B14228" t="s">
        <v>14</v>
      </c>
      <c r="C14228" t="s">
        <v>22</v>
      </c>
      <c r="D14228" s="2" t="s">
        <f>=HYPERLINK("https://main.knesset.gov.il/APPS/legislation/main/bills/2085961", "הצעת חוק שוויון זכויות לאנשים עם מוגבלות (תיקון - פטור מהמתנה בתור לנכי גפיים), התש""ף-2020")</f>
        <v>27375</v>
      </c>
      <c r="E14228" t="s">
        <v>27375</v>
      </c>
      <c r="F14228" t="s">
        <v>27376</v>
      </c>
      <c r="G14228" t="s">
        <v>14</v>
      </c>
      <c r="H14228">
             </c>
      <c r="I14228" t="s">
        <v>14</v>
      </c>
      <c r="J14228" t="s">
        <v>141</v>
      </c>
      <c r="K14228" t="s">
        <v>14</v>
      </c>
      <c r="L14228" t="s">
        <v>20</v>
      </c>
      <c r="M14228" t="s">
        <v>27362</v>
      </c>
      <c r="N14228" t="s">
        <v>14</v>
      </c>
    </row>
    <row r="14229" x14ac:dyDescent="0.25">
      <c r="A14229" t="n">
        <v>23</v>
      </c>
      <c r="B14229" t="s">
        <v>14</v>
      </c>
      <c r="C14229" t="s">
        <v>22</v>
      </c>
      <c r="D14229" s="2" t="s">
        <f>=HYPERLINK("https://main.knesset.gov.il/APPS/legislation/main/bills/2086036", "הצעת חוק הכשרות לאנשי מקצוע בנושא זיהוי ודיווח על התעללות בילדים, התש""ף-2020")</f>
        <v>27115</v>
      </c>
      <c r="E14229" t="s">
        <v>27115</v>
      </c>
      <c r="F14229" t="s">
        <v>27377</v>
      </c>
      <c r="G14229" t="s">
        <v>14</v>
      </c>
      <c r="H14229">
             </c>
      <c r="I14229" t="s">
        <v>14</v>
      </c>
      <c r="J14229" t="s">
        <v>141</v>
      </c>
      <c r="K14229" t="s">
        <v>14</v>
      </c>
      <c r="L14229" t="s">
        <v>20</v>
      </c>
      <c r="M14229" t="s">
        <v>27362</v>
      </c>
      <c r="N14229" t="s">
        <v>14</v>
      </c>
    </row>
    <row r="14230" x14ac:dyDescent="0.25">
      <c r="A14230" t="n">
        <v>23</v>
      </c>
      <c r="B14230" t="s">
        <v>14</v>
      </c>
      <c r="C14230" t="s">
        <v>22</v>
      </c>
      <c r="D14230" s="2" t="s">
        <f>=HYPERLINK("https://main.knesset.gov.il/APPS/legislation/main/bills/2085935", "הצעת חוק עבודת נשים (תיקון - שעות היעדרות מעבודה לאישה בהריון בר-סיכון), התש""ף-2020")</f>
        <v>26391</v>
      </c>
      <c r="E14230" t="s">
        <v>26391</v>
      </c>
      <c r="F14230" t="s">
        <v>27378</v>
      </c>
      <c r="G14230" t="s">
        <v>14</v>
      </c>
      <c r="H14230">
             </c>
      <c r="I14230" t="s">
        <v>14</v>
      </c>
      <c r="J14230" t="s">
        <v>141</v>
      </c>
      <c r="K14230" t="s">
        <v>14</v>
      </c>
      <c r="L14230" t="s">
        <v>20</v>
      </c>
      <c r="M14230" t="s">
        <v>27362</v>
      </c>
      <c r="N14230" t="s">
        <v>14</v>
      </c>
    </row>
    <row r="14231" x14ac:dyDescent="0.25">
      <c r="A14231" t="n">
        <v>23</v>
      </c>
      <c r="B14231" t="s">
        <v>14</v>
      </c>
      <c r="C14231" t="s">
        <v>22</v>
      </c>
      <c r="D14231" s="2" t="s">
        <f>=HYPERLINK("https://main.knesset.gov.il/APPS/legislation/main/bills/2086267", "הצעת חוק ההתייעלות הכלכלית (תיקוני חקיקה ליישום התכנית הכלכלית לשנים 2009 ו-2010) (תיקון - סיוע לעסקים קטנים ובינוניים בהתמודדות עם נגיף הקורונה) (הוראת שעה), התש""ף-2020")</f>
        <v>27379</v>
      </c>
      <c r="E14231" t="s">
        <v>27379</v>
      </c>
      <c r="F14231" t="s">
        <v>27380</v>
      </c>
      <c r="G14231" t="s">
        <v>14</v>
      </c>
      <c r="H14231">
             </c>
      <c r="I14231" t="s">
        <v>14</v>
      </c>
      <c r="J14231" t="s">
        <v>141</v>
      </c>
      <c r="K14231" t="s">
        <v>14</v>
      </c>
      <c r="L14231" t="s">
        <v>20</v>
      </c>
      <c r="M14231" t="s">
        <v>27362</v>
      </c>
      <c r="N14231" t="s">
        <v>14</v>
      </c>
    </row>
    <row r="14232" x14ac:dyDescent="0.25">
      <c r="A14232" t="n">
        <v>23</v>
      </c>
      <c r="B14232" t="s">
        <v>14</v>
      </c>
      <c r="C14232" t="s">
        <v>22</v>
      </c>
      <c r="D14232" s="2" t="s">
        <f>=HYPERLINK("https://main.knesset.gov.il/APPS/legislation/main/bills/2085829", "הצעת חוק הסעה בטיחותית לילדים ולפעוטות עם מוגבלות (תיקון - הרחבת ההגדרה מוסד חינוך), התש""ף-2020")</f>
        <v>27381</v>
      </c>
      <c r="E14232" t="s">
        <v>27381</v>
      </c>
      <c r="F14232" t="s">
        <v>27382</v>
      </c>
      <c r="G14232" t="s">
        <v>14</v>
      </c>
      <c r="H14232">
             </c>
      <c r="I14232" t="s">
        <v>14</v>
      </c>
      <c r="J14232" t="s">
        <v>141</v>
      </c>
      <c r="K14232" t="s">
        <v>14</v>
      </c>
      <c r="L14232" t="s">
        <v>20</v>
      </c>
      <c r="M14232" t="s">
        <v>27362</v>
      </c>
      <c r="N14232" t="s">
        <v>14</v>
      </c>
    </row>
    <row r="14233" x14ac:dyDescent="0.25">
      <c r="A14233" t="n">
        <v>23</v>
      </c>
      <c r="B14233" t="s">
        <v>14</v>
      </c>
      <c r="C14233" t="s">
        <v>22</v>
      </c>
      <c r="D14233" s="2" t="s">
        <f>=HYPERLINK("https://main.knesset.gov.il/APPS/legislation/main/bills/2085853", "הצעת חוק חינוך מיוחד (תיקון - הרחבה לגבי מוסדות שאינם מוכרים), התש""ף-2020")</f>
        <v>27383</v>
      </c>
      <c r="E14233" t="s">
        <v>27383</v>
      </c>
      <c r="F14233" t="s">
        <v>27384</v>
      </c>
      <c r="G14233" t="s">
        <v>14</v>
      </c>
      <c r="H14233">
             </c>
      <c r="I14233" t="s">
        <v>14</v>
      </c>
      <c r="J14233" t="s">
        <v>343</v>
      </c>
      <c r="K14233" t="s">
        <v>14</v>
      </c>
      <c r="L14233" t="s">
        <v>20</v>
      </c>
      <c r="M14233" t="s">
        <v>27362</v>
      </c>
      <c r="N14233" t="s">
        <v>14</v>
      </c>
    </row>
    <row r="14234" x14ac:dyDescent="0.25">
      <c r="A14234" t="n">
        <v>23</v>
      </c>
      <c r="B14234" t="s">
        <v>14</v>
      </c>
      <c r="C14234" t="s">
        <v>22</v>
      </c>
      <c r="D14234" s="2" t="s">
        <f>=HYPERLINK("https://main.knesset.gov.il/APPS/legislation/main/bills/2086098", "הצעת חוק זיכרון השואה (תמיכה במוסדות הנצחה), התש""ף-2020")</f>
        <v>27385</v>
      </c>
      <c r="E14234" t="s">
        <v>27385</v>
      </c>
      <c r="F14234" t="s">
        <v>27386</v>
      </c>
      <c r="G14234" t="s">
        <v>14</v>
      </c>
      <c r="H14234">
             </c>
      <c r="I14234" t="s">
        <v>14</v>
      </c>
      <c r="J14234" t="s">
        <v>141</v>
      </c>
      <c r="K14234" t="s">
        <v>14</v>
      </c>
      <c r="L14234" t="s">
        <v>20</v>
      </c>
      <c r="M14234" t="s">
        <v>27362</v>
      </c>
      <c r="N14234" t="s">
        <v>14</v>
      </c>
    </row>
    <row r="14235" x14ac:dyDescent="0.25">
      <c r="A14235" t="n">
        <v>23</v>
      </c>
      <c r="B14235" t="s">
        <v>14</v>
      </c>
      <c r="C14235" t="s">
        <v>22</v>
      </c>
      <c r="D14235" s="2" t="s">
        <f>=HYPERLINK("https://main.knesset.gov.il/APPS/legislation/main/bills/2086135", "הצעת חוק לימוד חובה (תיקון - איסור על גביית תשלומי הורים), התש""ף-2020")</f>
        <v>27387</v>
      </c>
      <c r="E14235" t="s">
        <v>27387</v>
      </c>
      <c r="F14235" t="s">
        <v>27388</v>
      </c>
      <c r="G14235" t="s">
        <v>14</v>
      </c>
      <c r="H14235">
             </c>
      <c r="I14235" t="s">
        <v>14</v>
      </c>
      <c r="J14235" t="s">
        <v>141</v>
      </c>
      <c r="K14235" t="s">
        <v>14</v>
      </c>
      <c r="L14235" t="s">
        <v>20</v>
      </c>
      <c r="M14235" t="s">
        <v>27362</v>
      </c>
      <c r="N14235" t="s">
        <v>14</v>
      </c>
    </row>
    <row r="14236" x14ac:dyDescent="0.25">
      <c r="A14236" t="n">
        <v>23</v>
      </c>
      <c r="B14236" t="s">
        <v>14</v>
      </c>
      <c r="C14236" t="s">
        <v>22</v>
      </c>
      <c r="D14236" s="2" t="s">
        <f>=HYPERLINK("https://main.knesset.gov.il/APPS/legislation/main/bills/2086146", "הצעת חוק איסור אלימות בספורט (תיקון - איסור התבטאות גזענית מטעמים של זהות מגדרית או נטייה מינית), התש""ף-2020")</f>
        <v>27389</v>
      </c>
      <c r="E14236" t="s">
        <v>27389</v>
      </c>
      <c r="F14236" t="s">
        <v>27390</v>
      </c>
      <c r="G14236" t="s">
        <v>14</v>
      </c>
      <c r="H14236">
             </c>
      <c r="I14236" t="s">
        <v>14</v>
      </c>
      <c r="J14236" t="s">
        <v>141</v>
      </c>
      <c r="K14236" t="s">
        <v>14</v>
      </c>
      <c r="L14236" t="s">
        <v>20</v>
      </c>
      <c r="M14236" t="s">
        <v>27362</v>
      </c>
      <c r="N14236" t="s">
        <v>14</v>
      </c>
    </row>
    <row r="14237" x14ac:dyDescent="0.25">
      <c r="A14237" t="n">
        <v>23</v>
      </c>
      <c r="B14237" t="s">
        <v>14</v>
      </c>
      <c r="C14237" t="s">
        <v>22</v>
      </c>
      <c r="D14237" s="2" t="s">
        <f>=HYPERLINK("https://main.knesset.gov.il/APPS/legislation/main/bills/2086324", "הצעת חוק הפיקוח על שירותים פיננסיים (עיסוק בייעוץ מימון דיור), התש""ף-2020")</f>
        <v>27391</v>
      </c>
      <c r="E14237" t="s">
        <v>27391</v>
      </c>
      <c r="F14237" t="s">
        <v>27392</v>
      </c>
      <c r="G14237" t="s">
        <v>14</v>
      </c>
      <c r="H14237">
             </c>
      <c r="I14237" t="s">
        <v>14</v>
      </c>
      <c r="J14237" t="s">
        <v>141</v>
      </c>
      <c r="K14237" t="s">
        <v>14</v>
      </c>
      <c r="L14237" t="s">
        <v>20</v>
      </c>
      <c r="M14237" t="s">
        <v>27362</v>
      </c>
      <c r="N14237" t="s">
        <v>14</v>
      </c>
    </row>
    <row r="14238" x14ac:dyDescent="0.25">
      <c r="A14238" t="n">
        <v>23</v>
      </c>
      <c r="B14238" t="s">
        <v>14</v>
      </c>
      <c r="C14238" t="s">
        <v>22</v>
      </c>
      <c r="D14238" s="2" t="s">
        <f>=HYPERLINK("https://main.knesset.gov.il/APPS/legislation/main/bills/2086540", "הצעת חוק לתיקון פקודת המסים (גבייה) (ביטול החוק), התש""ף-2020")</f>
        <v>26304</v>
      </c>
      <c r="E14238" t="s">
        <v>26304</v>
      </c>
      <c r="F14238" t="s">
        <v>27393</v>
      </c>
      <c r="G14238" t="s">
        <v>14</v>
      </c>
      <c r="H14238">
             </c>
      <c r="I14238" t="s">
        <v>14</v>
      </c>
      <c r="J14238" t="s">
        <v>141</v>
      </c>
      <c r="K14238" t="s">
        <v>14</v>
      </c>
      <c r="L14238" t="s">
        <v>20</v>
      </c>
      <c r="M14238" t="s">
        <v>27362</v>
      </c>
      <c r="N14238" t="s">
        <v>14</v>
      </c>
    </row>
    <row r="14239" x14ac:dyDescent="0.25">
      <c r="A14239" t="n">
        <v>23</v>
      </c>
      <c r="B14239" t="s">
        <v>14</v>
      </c>
      <c r="C14239" t="s">
        <v>22</v>
      </c>
      <c r="D14239" s="2" t="s">
        <f>=HYPERLINK("https://main.knesset.gov.il/APPS/legislation/main/bills/2086548", "הצעת חוק לתיקון פקודת מס הכנסה (פטור ממס על מלגה לחוקר), התש""ף-2020")</f>
        <v>27394</v>
      </c>
      <c r="E14239" t="s">
        <v>27394</v>
      </c>
      <c r="F14239" t="s">
        <v>27395</v>
      </c>
      <c r="G14239" t="s">
        <v>14</v>
      </c>
      <c r="H14239">
             </c>
      <c r="I14239" t="s">
        <v>14</v>
      </c>
      <c r="J14239" t="s">
        <v>141</v>
      </c>
      <c r="K14239" t="s">
        <v>14</v>
      </c>
      <c r="L14239" t="s">
        <v>20</v>
      </c>
      <c r="M14239" t="s">
        <v>27362</v>
      </c>
      <c r="N14239" t="s">
        <v>14</v>
      </c>
    </row>
    <row r="14240" x14ac:dyDescent="0.25">
      <c r="A14240" t="n">
        <v>23</v>
      </c>
      <c r="B14240" t="s">
        <v>14</v>
      </c>
      <c r="C14240" t="s">
        <v>22</v>
      </c>
      <c r="D14240" s="2" t="s">
        <f>=HYPERLINK("https://main.knesset.gov.il/APPS/legislation/main/bills/2086553", "הצעת חוק הפיקוח על שירותים פיננסיים (קופות גמל) (תיקון - הגבלת דמי ניהול לעמית שסיים את עבודתו), התש""ף-2020")</f>
        <v>27396</v>
      </c>
      <c r="E14240" t="s">
        <v>27396</v>
      </c>
      <c r="F14240" t="s">
        <v>27397</v>
      </c>
      <c r="G14240" t="s">
        <v>14</v>
      </c>
      <c r="H14240">
             </c>
      <c r="I14240" t="s">
        <v>14</v>
      </c>
      <c r="J14240" t="s">
        <v>141</v>
      </c>
      <c r="K14240" t="s">
        <v>14</v>
      </c>
      <c r="L14240" t="s">
        <v>20</v>
      </c>
      <c r="M14240" t="s">
        <v>27362</v>
      </c>
      <c r="N14240" t="s">
        <v>14</v>
      </c>
    </row>
    <row r="14241" x14ac:dyDescent="0.25">
      <c r="A14241" t="n">
        <v>23</v>
      </c>
      <c r="B14241" t="s">
        <v>14</v>
      </c>
      <c r="C14241" t="s">
        <v>22</v>
      </c>
      <c r="D14241" s="2" t="s">
        <f>=HYPERLINK("https://main.knesset.gov.il/APPS/legislation/main/bills/2086123", "הצעת חוק לתיקון פקודת מס הכנסה (זיכוי וניכוי בגין הוצאות טיפול בילדים), התש""ף-2020")</f>
        <v>27398</v>
      </c>
      <c r="E14241" t="s">
        <v>27398</v>
      </c>
      <c r="F14241" t="s">
        <v>27399</v>
      </c>
      <c r="G14241" t="s">
        <v>14</v>
      </c>
      <c r="H14241">
             </c>
      <c r="I14241" t="s">
        <v>14</v>
      </c>
      <c r="J14241" t="s">
        <v>141</v>
      </c>
      <c r="K14241" t="s">
        <v>14</v>
      </c>
      <c r="L14241" t="s">
        <v>20</v>
      </c>
      <c r="M14241" t="s">
        <v>27362</v>
      </c>
      <c r="N14241" t="s">
        <v>14</v>
      </c>
    </row>
    <row r="14242" x14ac:dyDescent="0.25">
      <c r="A14242" t="n">
        <v>23</v>
      </c>
      <c r="B14242" t="s">
        <v>14</v>
      </c>
      <c r="C14242" t="s">
        <v>22</v>
      </c>
      <c r="D14242" s="2" t="s">
        <f>=HYPERLINK("https://main.knesset.gov.il/APPS/legislation/main/bills/2086102", "הצעת חוק הכנסת (תיקון - הוראות מיוחדות לעניין ראש אופוזיציה מסיעה קטנה), התש""ף-2020")</f>
        <v>27400</v>
      </c>
      <c r="E14242" t="s">
        <v>27400</v>
      </c>
      <c r="F14242" t="s">
        <v>27401</v>
      </c>
      <c r="G14242" t="s">
        <v>14</v>
      </c>
      <c r="H14242">
             </c>
      <c r="I14242" t="s">
        <v>14</v>
      </c>
      <c r="J14242" t="s">
        <v>141</v>
      </c>
      <c r="K14242" t="s">
        <v>14</v>
      </c>
      <c r="L14242" t="s">
        <v>20</v>
      </c>
      <c r="M14242" t="s">
        <v>27362</v>
      </c>
      <c r="N14242" t="s">
        <v>14</v>
      </c>
    </row>
    <row r="14243" x14ac:dyDescent="0.25">
      <c r="A14243" t="n">
        <v>23</v>
      </c>
      <c r="B14243" t="s">
        <v>14</v>
      </c>
      <c r="C14243" t="s">
        <v>22</v>
      </c>
      <c r="D14243" s="2" t="s">
        <f>=HYPERLINK("https://main.knesset.gov.il/APPS/legislation/main/bills/2086589", "הצעת חוק קרן לאזרחי ישראל (תיקון - צמצום אי השוויון החברתי-כלכלי בישראל), התש""ף-2020")</f>
        <v>27402</v>
      </c>
      <c r="E14243" t="s">
        <v>27402</v>
      </c>
      <c r="F14243" t="s">
        <v>27403</v>
      </c>
      <c r="G14243" t="s">
        <v>14</v>
      </c>
      <c r="H14243">
             </c>
      <c r="I14243" t="s">
        <v>14</v>
      </c>
      <c r="J14243" t="s">
        <v>141</v>
      </c>
      <c r="K14243" t="s">
        <v>14</v>
      </c>
      <c r="L14243" t="s">
        <v>20</v>
      </c>
      <c r="M14243" t="s">
        <v>27362</v>
      </c>
      <c r="N14243" t="s">
        <v>14</v>
      </c>
    </row>
    <row r="14244" x14ac:dyDescent="0.25">
      <c r="A14244" t="n">
        <v>23</v>
      </c>
      <c r="B14244" t="s">
        <v>14</v>
      </c>
      <c r="C14244" t="s">
        <v>22</v>
      </c>
      <c r="D14244" s="2" t="s">
        <f>=HYPERLINK("https://main.knesset.gov.il/APPS/legislation/main/bills/2086560", "הצעת חוק חסינות חברי הכנסת, זכויותיהם וחובותיהם (תיקון - הצהרה על חשבונות בנק בחוץ לארץ), התש""ף-2020")</f>
        <v>27404</v>
      </c>
      <c r="E14244" t="s">
        <v>27404</v>
      </c>
      <c r="F14244" t="s">
        <v>27405</v>
      </c>
      <c r="G14244" t="s">
        <v>14</v>
      </c>
      <c r="H14244">
             </c>
      <c r="I14244" t="s">
        <v>14</v>
      </c>
      <c r="J14244" t="s">
        <v>141</v>
      </c>
      <c r="K14244" t="s">
        <v>14</v>
      </c>
      <c r="L14244" t="s">
        <v>20</v>
      </c>
      <c r="M14244" t="s">
        <v>27362</v>
      </c>
      <c r="N14244" t="s">
        <v>14</v>
      </c>
    </row>
    <row r="14245" x14ac:dyDescent="0.25">
      <c r="A14245" t="n">
        <v>23</v>
      </c>
      <c r="B14245" t="s">
        <v>14</v>
      </c>
      <c r="C14245" t="s">
        <v>22</v>
      </c>
      <c r="D14245" s="2" t="s">
        <f>=HYPERLINK("https://main.knesset.gov.il/APPS/legislation/main/bills/2085770", "הצעת חוק מניעת בריונות ברשת, התש""ף-2020")</f>
        <v>27406</v>
      </c>
      <c r="E14245" t="s">
        <v>27406</v>
      </c>
      <c r="F14245" t="s">
        <v>27407</v>
      </c>
      <c r="G14245" t="s">
        <v>14</v>
      </c>
      <c r="H14245">
             </c>
      <c r="I14245" t="s">
        <v>14</v>
      </c>
      <c r="J14245" t="s">
        <v>141</v>
      </c>
      <c r="K14245" t="s">
        <v>14</v>
      </c>
      <c r="L14245" t="s">
        <v>20</v>
      </c>
      <c r="M14245" t="s">
        <v>27362</v>
      </c>
      <c r="N14245" t="s">
        <v>14</v>
      </c>
    </row>
    <row r="14246" x14ac:dyDescent="0.25">
      <c r="A14246" t="n">
        <v>23</v>
      </c>
      <c r="B14246" t="s">
        <v>14</v>
      </c>
      <c r="C14246" t="s">
        <v>22</v>
      </c>
      <c r="D14246" s="2" t="s">
        <f>=HYPERLINK("https://main.knesset.gov.il/APPS/legislation/main/bills/2085763", "הצעת חוק איסור הונאה בכשרות (תיקון - מתן תעודת הכשר על ידי רב מקומי), התש""ף-2020")</f>
        <v>27408</v>
      </c>
      <c r="E14246" t="s">
        <v>27408</v>
      </c>
      <c r="F14246" t="s">
        <v>27409</v>
      </c>
      <c r="G14246" t="s">
        <v>14</v>
      </c>
      <c r="H14246">
             </c>
      <c r="I14246" t="s">
        <v>14</v>
      </c>
      <c r="J14246" t="s">
        <v>141</v>
      </c>
      <c r="K14246" t="s">
        <v>14</v>
      </c>
      <c r="L14246" t="s">
        <v>20</v>
      </c>
      <c r="M14246" t="s">
        <v>27362</v>
      </c>
      <c r="N14246" t="s">
        <v>14</v>
      </c>
    </row>
    <row r="14247" x14ac:dyDescent="0.25">
      <c r="A14247" t="n">
        <v>23</v>
      </c>
      <c r="B14247" t="s">
        <v>14</v>
      </c>
      <c r="C14247" t="s">
        <v>22</v>
      </c>
      <c r="D14247" s="2" t="s">
        <f>=HYPERLINK("https://main.knesset.gov.il/APPS/legislation/main/bills/2085678", "הצעת חוק לתיקון פקודת העיריות (שקיפות פיננסית), התש""ף-2020")</f>
        <v>26455</v>
      </c>
      <c r="E14247" t="s">
        <v>26455</v>
      </c>
      <c r="F14247" t="s">
        <v>27410</v>
      </c>
      <c r="G14247" t="s">
        <v>14</v>
      </c>
      <c r="H14247">
             </c>
      <c r="I14247" t="s">
        <v>14</v>
      </c>
      <c r="J14247" t="s">
        <v>141</v>
      </c>
      <c r="K14247" t="s">
        <v>14</v>
      </c>
      <c r="L14247" t="s">
        <v>20</v>
      </c>
      <c r="M14247" t="s">
        <v>27362</v>
      </c>
      <c r="N14247" t="s">
        <v>14</v>
      </c>
    </row>
    <row r="14248" x14ac:dyDescent="0.25">
      <c r="A14248" t="n">
        <v>23</v>
      </c>
      <c r="B14248" t="s">
        <v>14</v>
      </c>
      <c r="C14248" t="s">
        <v>22</v>
      </c>
      <c r="D14248" s="2" t="s">
        <f>=HYPERLINK("https://main.knesset.gov.il/APPS/legislation/main/bills/2085803", "הצעת חוק שמירת הסביבה החופית (תיקון - התאמת תכניות ישנות), התש""ף-2020")</f>
        <v>24550</v>
      </c>
      <c r="E14248" t="s">
        <v>24550</v>
      </c>
      <c r="F14248" t="s">
        <v>27411</v>
      </c>
      <c r="G14248" t="s">
        <v>14</v>
      </c>
      <c r="H14248">
             </c>
      <c r="I14248" t="s">
        <v>14</v>
      </c>
      <c r="J14248" t="s">
        <v>141</v>
      </c>
      <c r="K14248" t="s">
        <v>14</v>
      </c>
      <c r="L14248" t="s">
        <v>20</v>
      </c>
      <c r="M14248" t="s">
        <v>27362</v>
      </c>
      <c r="N14248" t="s">
        <v>14</v>
      </c>
    </row>
    <row r="14249" x14ac:dyDescent="0.25">
      <c r="A14249" t="n">
        <v>23</v>
      </c>
      <c r="B14249" t="s">
        <v>14</v>
      </c>
      <c r="C14249" t="s">
        <v>22</v>
      </c>
      <c r="D14249" s="2" t="s">
        <f>=HYPERLINK("https://main.knesset.gov.il/APPS/legislation/main/bills/2085817", "הצעת חוק התכנון והבנייה (תיקון - שימוש חורג בקרקע חקלאית), התש""ף-2020")</f>
        <v>27412</v>
      </c>
      <c r="E14249" t="s">
        <v>27412</v>
      </c>
      <c r="F14249" t="s">
        <v>27413</v>
      </c>
      <c r="G14249" t="s">
        <v>14</v>
      </c>
      <c r="H14249">
             </c>
      <c r="I14249" t="s">
        <v>14</v>
      </c>
      <c r="J14249" t="s">
        <v>141</v>
      </c>
      <c r="K14249" t="s">
        <v>14</v>
      </c>
      <c r="L14249" t="s">
        <v>20</v>
      </c>
      <c r="M14249" t="s">
        <v>27362</v>
      </c>
      <c r="N14249" t="s">
        <v>14</v>
      </c>
    </row>
    <row r="14250" x14ac:dyDescent="0.25">
      <c r="A14250" t="n">
        <v>23</v>
      </c>
      <c r="B14250" t="s">
        <v>14</v>
      </c>
      <c r="C14250" t="s">
        <v>22</v>
      </c>
      <c r="D14250" s="2" t="s">
        <f>=HYPERLINK("https://main.knesset.gov.il/APPS/legislation/main/bills/2085839", "הצעת חוק להגנת חיית הבר (תיקון - איסור מכירת פרוות), התש""ף-2020")</f>
        <v>26674</v>
      </c>
      <c r="E14250" t="s">
        <v>26674</v>
      </c>
      <c r="F14250" t="s">
        <v>27414</v>
      </c>
      <c r="G14250" t="s">
        <v>14</v>
      </c>
      <c r="H14250">
             </c>
      <c r="I14250" t="s">
        <v>14</v>
      </c>
      <c r="J14250" t="s">
        <v>141</v>
      </c>
      <c r="K14250" t="s">
        <v>14</v>
      </c>
      <c r="L14250" t="s">
        <v>20</v>
      </c>
      <c r="M14250" t="s">
        <v>27362</v>
      </c>
      <c r="N14250" t="s">
        <v>14</v>
      </c>
    </row>
    <row r="14251" x14ac:dyDescent="0.25">
      <c r="A14251" t="n">
        <v>23</v>
      </c>
      <c r="B14251" t="s">
        <v>14</v>
      </c>
      <c r="C14251" t="s">
        <v>22</v>
      </c>
      <c r="D14251" s="2" t="s">
        <f>=HYPERLINK("https://main.knesset.gov.il/APPS/legislation/main/bills/2085769", "הצעת חוק הגנת הצרכן (תיקון - מענה אנושי בשירות טלפוני לאזרח ותיק), התש""ף-2020")</f>
        <v>25333</v>
      </c>
      <c r="E14251" t="s">
        <v>25333</v>
      </c>
      <c r="F14251" t="s">
        <v>27415</v>
      </c>
      <c r="G14251" t="s">
        <v>14</v>
      </c>
      <c r="H14251">
             </c>
      <c r="I14251" t="s">
        <v>14</v>
      </c>
      <c r="J14251" t="s">
        <v>141</v>
      </c>
      <c r="K14251" t="s">
        <v>14</v>
      </c>
      <c r="L14251" t="s">
        <v>20</v>
      </c>
      <c r="M14251" t="s">
        <v>27362</v>
      </c>
      <c r="N14251" t="s">
        <v>14</v>
      </c>
    </row>
    <row r="14252" x14ac:dyDescent="0.25">
      <c r="A14252" t="n">
        <v>23</v>
      </c>
      <c r="B14252" t="s">
        <v>14</v>
      </c>
      <c r="C14252" t="s">
        <v>22</v>
      </c>
      <c r="D14252" s="2" t="s">
        <f>=HYPERLINK("https://main.knesset.gov.il/APPS/legislation/main/bills/2085788", "הצעת חוק פנייה לגופים ציבוריים באמצעי קשר דיגיטליים (תיקון - קביעת תור באמצעות האינטרנט), התש""ף-2020")</f>
        <v>26211</v>
      </c>
      <c r="E14252" t="s">
        <v>26211</v>
      </c>
      <c r="F14252" t="s">
        <v>27416</v>
      </c>
      <c r="G14252" t="s">
        <v>14</v>
      </c>
      <c r="H14252">
             </c>
      <c r="I14252" t="s">
        <v>14</v>
      </c>
      <c r="J14252" t="s">
        <v>141</v>
      </c>
      <c r="K14252" t="s">
        <v>14</v>
      </c>
      <c r="L14252" t="s">
        <v>20</v>
      </c>
      <c r="M14252" t="s">
        <v>27362</v>
      </c>
      <c r="N14252" t="s">
        <v>14</v>
      </c>
    </row>
    <row r="14253" x14ac:dyDescent="0.25">
      <c r="A14253" t="n">
        <v>23</v>
      </c>
      <c r="B14253" t="s">
        <v>14</v>
      </c>
      <c r="C14253" t="s">
        <v>22</v>
      </c>
      <c r="D14253" s="2" t="s">
        <f>=HYPERLINK("https://main.knesset.gov.il/APPS/legislation/main/bills/2085894", "הצעת חוק העמותות (תיקון - חובת גילוי תרומה אנונימית), התש""ף-2020")</f>
        <v>27417</v>
      </c>
      <c r="E14253" t="s">
        <v>27417</v>
      </c>
      <c r="F14253" t="s">
        <v>27418</v>
      </c>
      <c r="G14253" t="s">
        <v>14</v>
      </c>
      <c r="H14253">
             </c>
      <c r="I14253" t="s">
        <v>14</v>
      </c>
      <c r="J14253" t="s">
        <v>141</v>
      </c>
      <c r="K14253" t="s">
        <v>14</v>
      </c>
      <c r="L14253" t="s">
        <v>20</v>
      </c>
      <c r="M14253" t="s">
        <v>27362</v>
      </c>
      <c r="N14253" t="s">
        <v>14</v>
      </c>
    </row>
    <row r="14254" x14ac:dyDescent="0.25">
      <c r="A14254" t="n">
        <v>23</v>
      </c>
      <c r="B14254" t="s">
        <v>14</v>
      </c>
      <c r="C14254" t="s">
        <v>22</v>
      </c>
      <c r="D14254" s="2" t="s">
        <f>=HYPERLINK("https://main.knesset.gov.il/APPS/legislation/main/bills/2085657", "הצעת חוק זכות ייצוג לקטין המתנגד לאשפוז פסיכיאטרי (תיקוני חקיקה), התש""ף-2020")</f>
        <v>25226</v>
      </c>
      <c r="E14254" t="s">
        <v>25226</v>
      </c>
      <c r="F14254" t="s">
        <v>27419</v>
      </c>
      <c r="G14254" t="s">
        <v>14</v>
      </c>
      <c r="H14254">
             </c>
      <c r="I14254" t="s">
        <v>14</v>
      </c>
      <c r="J14254" t="s">
        <v>141</v>
      </c>
      <c r="K14254" t="s">
        <v>14</v>
      </c>
      <c r="L14254" t="s">
        <v>20</v>
      </c>
      <c r="M14254" t="s">
        <v>27362</v>
      </c>
      <c r="N14254" t="s">
        <v>14</v>
      </c>
    </row>
    <row r="14255" x14ac:dyDescent="0.25">
      <c r="A14255" t="n">
        <v>23</v>
      </c>
      <c r="B14255" t="s">
        <v>14</v>
      </c>
      <c r="C14255" t="s">
        <v>22</v>
      </c>
      <c r="D14255" s="2" t="s">
        <f>=HYPERLINK("https://main.knesset.gov.il/APPS/legislation/main/bills/2085851", "הצעת חוק חופש המידע (תיקון - מידע על נגישות), התש""ף-2020")</f>
        <v>27420</v>
      </c>
      <c r="E14255" t="s">
        <v>27420</v>
      </c>
      <c r="F14255" t="s">
        <v>27421</v>
      </c>
      <c r="G14255" t="s">
        <v>14</v>
      </c>
      <c r="H14255">
             </c>
      <c r="I14255" t="s">
        <v>14</v>
      </c>
      <c r="J14255" t="s">
        <v>141</v>
      </c>
      <c r="K14255" t="s">
        <v>14</v>
      </c>
      <c r="L14255" t="s">
        <v>20</v>
      </c>
      <c r="M14255" t="s">
        <v>27362</v>
      </c>
      <c r="N14255" t="s">
        <v>14</v>
      </c>
    </row>
    <row r="14256" x14ac:dyDescent="0.25">
      <c r="A14256" t="n">
        <v>23</v>
      </c>
      <c r="B14256" t="s">
        <v>14</v>
      </c>
      <c r="C14256" t="s">
        <v>22</v>
      </c>
      <c r="D14256" s="2" t="s">
        <f>=HYPERLINK("https://main.knesset.gov.il/APPS/legislation/main/bills/2085662", "הצעת חוק חופש המידע (תיקון - מידע על נגישות), התש""ף-2020")</f>
        <v>27420</v>
      </c>
      <c r="E14256" t="s">
        <v>27420</v>
      </c>
      <c r="F14256" t="s">
        <v>27422</v>
      </c>
      <c r="G14256" t="s">
        <v>14</v>
      </c>
      <c r="H14256">
             </c>
      <c r="I14256" t="s">
        <v>14</v>
      </c>
      <c r="J14256" t="s">
        <v>141</v>
      </c>
      <c r="K14256" t="s">
        <v>14</v>
      </c>
      <c r="L14256" t="s">
        <v>20</v>
      </c>
      <c r="M14256" t="s">
        <v>27362</v>
      </c>
      <c r="N14256" t="s">
        <v>14</v>
      </c>
    </row>
    <row r="14257" x14ac:dyDescent="0.25">
      <c r="A14257" t="n">
        <v>23</v>
      </c>
      <c r="B14257" t="s">
        <v>14</v>
      </c>
      <c r="C14257" t="s">
        <v>22</v>
      </c>
      <c r="D14257" s="2" t="s">
        <f>=HYPERLINK("https://main.knesset.gov.il/APPS/legislation/main/bills/2085930", "הצעת חוק לתיקון פקודת המסים (גבייה) (פיצוי עקב טעות), התש""ף-2020")</f>
        <v>27423</v>
      </c>
      <c r="E14257" t="s">
        <v>27423</v>
      </c>
      <c r="F14257" t="s">
        <v>27424</v>
      </c>
      <c r="G14257" t="s">
        <v>14</v>
      </c>
      <c r="H14257">
             </c>
      <c r="I14257" t="s">
        <v>14</v>
      </c>
      <c r="J14257" t="s">
        <v>141</v>
      </c>
      <c r="K14257" t="s">
        <v>14</v>
      </c>
      <c r="L14257" t="s">
        <v>20</v>
      </c>
      <c r="M14257" t="s">
        <v>27362</v>
      </c>
      <c r="N14257" t="s">
        <v>14</v>
      </c>
    </row>
    <row r="14258" x14ac:dyDescent="0.25">
      <c r="A14258" t="n">
        <v>23</v>
      </c>
      <c r="B14258" t="s">
        <v>14</v>
      </c>
      <c r="C14258" t="s">
        <v>22</v>
      </c>
      <c r="D14258" s="2" t="s">
        <f>=HYPERLINK("https://main.knesset.gov.il/APPS/legislation/main/bills/2085936", "הצעת חוק לתיקון פקודת מס הכנסה (הוצאות אש""ל לעצמאיים), התש""ף-2020")</f>
        <v>27425</v>
      </c>
      <c r="E14258" t="s">
        <v>27425</v>
      </c>
      <c r="F14258" t="s">
        <v>27426</v>
      </c>
      <c r="G14258" t="s">
        <v>14</v>
      </c>
      <c r="H14258">
             </c>
      <c r="I14258" t="s">
        <v>14</v>
      </c>
      <c r="J14258" t="s">
        <v>141</v>
      </c>
      <c r="K14258" t="s">
        <v>14</v>
      </c>
      <c r="L14258" t="s">
        <v>20</v>
      </c>
      <c r="M14258" t="s">
        <v>27362</v>
      </c>
      <c r="N14258" t="s">
        <v>14</v>
      </c>
    </row>
    <row r="14259" x14ac:dyDescent="0.25">
      <c r="A14259" t="n">
        <v>23</v>
      </c>
      <c r="B14259" t="s">
        <v>14</v>
      </c>
      <c r="C14259" t="s">
        <v>22</v>
      </c>
      <c r="D14259" s="2" t="s">
        <f>=HYPERLINK("https://main.knesset.gov.il/APPS/legislation/main/bills/2085782", "הצעת חוק לתיקון פקודת הבנקאות (תקופת צינון למפקח על הבנקים), התש""ף-2020")</f>
        <v>27427</v>
      </c>
      <c r="E14259" t="s">
        <v>27427</v>
      </c>
      <c r="F14259" t="s">
        <v>27428</v>
      </c>
      <c r="G14259" t="s">
        <v>14</v>
      </c>
      <c r="H14259">
             </c>
      <c r="I14259" t="s">
        <v>14</v>
      </c>
      <c r="J14259" t="s">
        <v>141</v>
      </c>
      <c r="K14259" t="s">
        <v>14</v>
      </c>
      <c r="L14259" t="s">
        <v>20</v>
      </c>
      <c r="M14259" t="s">
        <v>27362</v>
      </c>
      <c r="N14259" t="s">
        <v>14</v>
      </c>
    </row>
    <row r="14260" x14ac:dyDescent="0.25">
      <c r="A14260" t="n">
        <v>23</v>
      </c>
      <c r="B14260" t="s">
        <v>14</v>
      </c>
      <c r="C14260" t="s">
        <v>22</v>
      </c>
      <c r="D14260" s="2" t="s">
        <f>=HYPERLINK("https://main.knesset.gov.il/APPS/legislation/main/bills/2085670", "הצעת חוק לתיקון פקודת מס הכנסה (פטור ממס על משיכה הונית מקופת גמל), התש""ף-2020")</f>
        <v>27429</v>
      </c>
      <c r="E14260" t="s">
        <v>27429</v>
      </c>
      <c r="F14260" t="s">
        <v>27430</v>
      </c>
      <c r="G14260" t="s">
        <v>14</v>
      </c>
      <c r="H14260">
             </c>
      <c r="I14260" t="s">
        <v>14</v>
      </c>
      <c r="J14260" t="s">
        <v>141</v>
      </c>
      <c r="K14260" t="s">
        <v>14</v>
      </c>
      <c r="L14260" t="s">
        <v>20</v>
      </c>
      <c r="M14260" t="s">
        <v>27362</v>
      </c>
      <c r="N14260" t="s">
        <v>14</v>
      </c>
    </row>
    <row r="14261" x14ac:dyDescent="0.25">
      <c r="A14261" t="n">
        <v>23</v>
      </c>
      <c r="B14261" t="s">
        <v>14</v>
      </c>
      <c r="C14261" t="s">
        <v>22</v>
      </c>
      <c r="D14261" s="2" t="s">
        <f>=HYPERLINK("https://main.knesset.gov.il/APPS/legislation/main/bills/2086176", "הצעת חוק העונשין (תיקון - גזר דין עונש מוות למורשע ברצח בנסיבות טרור), התש""ף-2020")</f>
        <v>27431</v>
      </c>
      <c r="E14261" t="s">
        <v>27431</v>
      </c>
      <c r="F14261" t="s">
        <v>27432</v>
      </c>
      <c r="G14261" t="s">
        <v>14</v>
      </c>
      <c r="H14261">
             </c>
      <c r="I14261" t="s">
        <v>14</v>
      </c>
      <c r="J14261" t="s">
        <v>141</v>
      </c>
      <c r="K14261" t="s">
        <v>14</v>
      </c>
      <c r="L14261" t="s">
        <v>20</v>
      </c>
      <c r="M14261" t="s">
        <v>27362</v>
      </c>
      <c r="N14261" t="s">
        <v>14</v>
      </c>
    </row>
    <row r="14262" x14ac:dyDescent="0.25">
      <c r="A14262" t="n">
        <v>23</v>
      </c>
      <c r="B14262" t="s">
        <v>14</v>
      </c>
      <c r="C14262" t="s">
        <v>22</v>
      </c>
      <c r="D14262" s="2" t="s">
        <f>=HYPERLINK("https://main.knesset.gov.il/APPS/legislation/main/bills/2086128", "הצעת חוק העונשין (תיקון - גזר דין עונש מוות למורשע ברצח בנסיבות טרור), התש""ף-2020")</f>
        <v>27431</v>
      </c>
      <c r="E14262" t="s">
        <v>27431</v>
      </c>
      <c r="F14262" t="s">
        <v>27433</v>
      </c>
      <c r="G14262" t="s">
        <v>14</v>
      </c>
      <c r="H14262">
             </c>
      <c r="I14262" t="s">
        <v>14</v>
      </c>
      <c r="J14262" t="s">
        <v>141</v>
      </c>
      <c r="K14262" t="s">
        <v>14</v>
      </c>
      <c r="L14262" t="s">
        <v>20</v>
      </c>
      <c r="M14262" t="s">
        <v>27362</v>
      </c>
      <c r="N14262" t="s">
        <v>14</v>
      </c>
    </row>
    <row r="14263" x14ac:dyDescent="0.25">
      <c r="A14263" t="n">
        <v>23</v>
      </c>
      <c r="B14263" t="s">
        <v>14</v>
      </c>
      <c r="C14263" t="s">
        <v>22</v>
      </c>
      <c r="D14263" s="2" t="s">
        <f>=HYPERLINK("https://main.knesset.gov.il/APPS/legislation/main/bills/2086248", "הצעת חוק המועצה להשכלה גבוהה (תיקון - ביטול דרישת מבחני כניסה וציון פסיכומטרי), התש""ף-2020")</f>
        <v>27434</v>
      </c>
      <c r="E14263" t="s">
        <v>27434</v>
      </c>
      <c r="F14263" t="s">
        <v>27435</v>
      </c>
      <c r="G14263" t="s">
        <v>14</v>
      </c>
      <c r="H14263">
             </c>
      <c r="I14263" t="s">
        <v>14</v>
      </c>
      <c r="J14263" t="s">
        <v>141</v>
      </c>
      <c r="K14263" t="s">
        <v>14</v>
      </c>
      <c r="L14263" t="s">
        <v>20</v>
      </c>
      <c r="M14263" t="s">
        <v>27362</v>
      </c>
      <c r="N14263" t="s">
        <v>14</v>
      </c>
    </row>
    <row r="14264" x14ac:dyDescent="0.25">
      <c r="A14264" t="n">
        <v>23</v>
      </c>
      <c r="B14264" t="s">
        <v>14</v>
      </c>
      <c r="C14264" t="s">
        <v>22</v>
      </c>
      <c r="D14264" s="2" t="s">
        <f>=HYPERLINK("https://main.knesset.gov.il/APPS/legislation/main/bills/2086177", "הצעת חוק שיקום, פיצוי וסיוע משפטי לנפגעי עבירות מין, התש""ף-2020")</f>
        <v>27436</v>
      </c>
      <c r="E14264" t="s">
        <v>27436</v>
      </c>
      <c r="F14264" t="s">
        <v>27437</v>
      </c>
      <c r="G14264" t="s">
        <v>14</v>
      </c>
      <c r="H14264">
             </c>
      <c r="I14264" t="s">
        <v>14</v>
      </c>
      <c r="J14264" t="s">
        <v>141</v>
      </c>
      <c r="K14264" t="s">
        <v>14</v>
      </c>
      <c r="L14264" t="s">
        <v>20</v>
      </c>
      <c r="M14264" t="s">
        <v>27362</v>
      </c>
      <c r="N14264" t="s">
        <v>14</v>
      </c>
    </row>
    <row r="14265" x14ac:dyDescent="0.25">
      <c r="A14265" t="n">
        <v>23</v>
      </c>
      <c r="B14265" t="s">
        <v>14</v>
      </c>
      <c r="C14265" t="s">
        <v>22</v>
      </c>
      <c r="D14265" s="2" t="s">
        <f>=HYPERLINK("https://main.knesset.gov.il/APPS/legislation/main/bills/2086272", "הצעת חוק הקלות במס על רכישת מכשיר ניידות מסוג קלנועית (תיקוני חקיקה), התש""ף-2020")</f>
        <v>24489</v>
      </c>
      <c r="E14265" t="s">
        <v>24489</v>
      </c>
      <c r="F14265" t="s">
        <v>27438</v>
      </c>
      <c r="G14265" t="s">
        <v>14</v>
      </c>
      <c r="H14265">
             </c>
      <c r="I14265" t="s">
        <v>14</v>
      </c>
      <c r="J14265" t="s">
        <v>141</v>
      </c>
      <c r="K14265" t="s">
        <v>14</v>
      </c>
      <c r="L14265" t="s">
        <v>20</v>
      </c>
      <c r="M14265" t="s">
        <v>27362</v>
      </c>
      <c r="N14265" t="s">
        <v>14</v>
      </c>
    </row>
    <row r="14266" x14ac:dyDescent="0.25">
      <c r="A14266" t="n">
        <v>23</v>
      </c>
      <c r="B14266" t="s">
        <v>14</v>
      </c>
      <c r="C14266" t="s">
        <v>22</v>
      </c>
      <c r="D14266" s="2" t="s">
        <f>=HYPERLINK("https://main.knesset.gov.il/APPS/legislation/main/bills/2086370", "הצעת חוק הכנסת (תיקון - קביעת שכר חברי הכנסת בידי ועדה ציבורית), התש""ף-2020")</f>
        <v>24040</v>
      </c>
      <c r="E14266" t="s">
        <v>24040</v>
      </c>
      <c r="F14266" t="s">
        <v>27439</v>
      </c>
      <c r="G14266" t="s">
        <v>14</v>
      </c>
      <c r="H14266">
             </c>
      <c r="I14266" t="s">
        <v>14</v>
      </c>
      <c r="J14266" t="s">
        <v>141</v>
      </c>
      <c r="K14266" t="s">
        <v>14</v>
      </c>
      <c r="L14266" t="s">
        <v>20</v>
      </c>
      <c r="M14266" t="s">
        <v>27362</v>
      </c>
      <c r="N14266" t="s">
        <v>14</v>
      </c>
    </row>
    <row r="14267" x14ac:dyDescent="0.25">
      <c r="A14267" t="n">
        <v>23</v>
      </c>
      <c r="B14267" t="s">
        <v>14</v>
      </c>
      <c r="C14267" t="s">
        <v>22</v>
      </c>
      <c r="D14267" s="2" t="s">
        <f>=HYPERLINK("https://main.knesset.gov.il/APPS/legislation/main/bills/2085765", "הצעת חוק חובת הודעה להורים על אי-הגעת ילד למוסד חינוך או למעון יום (תיקוני חקיקה), התש""ף-2020")</f>
        <v>27440</v>
      </c>
      <c r="E14267" t="s">
        <v>27440</v>
      </c>
      <c r="F14267" t="s">
        <v>27441</v>
      </c>
      <c r="G14267" t="s">
        <v>14</v>
      </c>
      <c r="H14267">
             </c>
      <c r="I14267" t="s">
        <v>14</v>
      </c>
      <c r="J14267" t="s">
        <v>141</v>
      </c>
      <c r="K14267" t="s">
        <v>14</v>
      </c>
      <c r="L14267" t="s">
        <v>20</v>
      </c>
      <c r="M14267" t="s">
        <v>27362</v>
      </c>
      <c r="N14267" t="s">
        <v>14</v>
      </c>
    </row>
    <row r="14268" x14ac:dyDescent="0.25">
      <c r="A14268" t="n">
        <v>23</v>
      </c>
      <c r="B14268" t="s">
        <v>14</v>
      </c>
      <c r="C14268" t="s">
        <v>22</v>
      </c>
      <c r="D14268" s="2" t="s">
        <f>=HYPERLINK("https://main.knesset.gov.il/APPS/legislation/main/bills/2085792", "הצעת חוק הביטוח הלאומי (תיקון - קצבה יחסית לאזרח ותיק), התש""ף-2020 ")</f>
        <v>26148</v>
      </c>
      <c r="E14268" t="s">
        <v>26148</v>
      </c>
      <c r="F14268" t="s">
        <v>27442</v>
      </c>
      <c r="G14268" t="s">
        <v>14</v>
      </c>
      <c r="H14268">
             </c>
      <c r="I14268" t="s">
        <v>14</v>
      </c>
      <c r="J14268" t="s">
        <v>141</v>
      </c>
      <c r="K14268" t="s">
        <v>14</v>
      </c>
      <c r="L14268" t="s">
        <v>20</v>
      </c>
      <c r="M14268" t="s">
        <v>27362</v>
      </c>
      <c r="N14268" t="s">
        <v>14</v>
      </c>
    </row>
    <row r="14269" x14ac:dyDescent="0.25">
      <c r="A14269" t="n">
        <v>23</v>
      </c>
      <c r="B14269" t="s">
        <v>14</v>
      </c>
      <c r="C14269" t="s">
        <v>22</v>
      </c>
      <c r="D14269" s="2" t="s">
        <f>=HYPERLINK("https://main.knesset.gov.il/APPS/legislation/main/bills/2085811", "הצעת חוק הביטוח הלאומי (תיקון - גמלת אבל), התש""ף-2020")</f>
        <v>26116</v>
      </c>
      <c r="E14269" t="s">
        <v>26116</v>
      </c>
      <c r="F14269" t="s">
        <v>27443</v>
      </c>
      <c r="G14269" t="s">
        <v>14</v>
      </c>
      <c r="H14269">
             </c>
      <c r="I14269" t="s">
        <v>14</v>
      </c>
      <c r="J14269" t="s">
        <v>141</v>
      </c>
      <c r="K14269" t="s">
        <v>14</v>
      </c>
      <c r="L14269" t="s">
        <v>20</v>
      </c>
      <c r="M14269" t="s">
        <v>27362</v>
      </c>
      <c r="N14269" t="s">
        <v>14</v>
      </c>
    </row>
    <row r="14270" x14ac:dyDescent="0.25">
      <c r="A14270" t="n">
        <v>23</v>
      </c>
      <c r="B14270" t="s">
        <v>14</v>
      </c>
      <c r="C14270" t="s">
        <v>22</v>
      </c>
      <c r="D14270" s="2" t="s">
        <f>=HYPERLINK("https://main.knesset.gov.il/APPS/legislation/main/bills/2085836", "הצעת חוק השמירה על המקומות הקדושים (תיקון - הבטחת פלורליזם דתי), התש""ף-2020")</f>
        <v>26861</v>
      </c>
      <c r="E14270" t="s">
        <v>26861</v>
      </c>
      <c r="F14270" t="s">
        <v>27444</v>
      </c>
      <c r="G14270" t="s">
        <v>14</v>
      </c>
      <c r="H14270">
             </c>
      <c r="I14270" t="s">
        <v>14</v>
      </c>
      <c r="J14270" t="s">
        <v>141</v>
      </c>
      <c r="K14270" t="s">
        <v>14</v>
      </c>
      <c r="L14270" t="s">
        <v>20</v>
      </c>
      <c r="M14270" t="s">
        <v>27362</v>
      </c>
      <c r="N14270" t="s">
        <v>14</v>
      </c>
    </row>
    <row r="14271" x14ac:dyDescent="0.25">
      <c r="A14271" t="n">
        <v>23</v>
      </c>
      <c r="B14271" t="s">
        <v>14</v>
      </c>
      <c r="C14271" t="s">
        <v>22</v>
      </c>
      <c r="D14271" s="2" t="s">
        <f>=HYPERLINK("https://main.knesset.gov.il/APPS/legislation/main/bills/2085752", "הצעת חוק הקמת מערכת סולארית בבית משותף שהוקם במסגרת עסקת פינוי ובינוי, התש""ף-2020")</f>
        <v>27445</v>
      </c>
      <c r="E14271" t="s">
        <v>27445</v>
      </c>
      <c r="F14271" t="s">
        <v>27446</v>
      </c>
      <c r="G14271" t="s">
        <v>14</v>
      </c>
      <c r="H14271">
             </c>
      <c r="I14271" t="s">
        <v>14</v>
      </c>
      <c r="J14271" t="s">
        <v>141</v>
      </c>
      <c r="K14271" t="s">
        <v>14</v>
      </c>
      <c r="L14271" t="s">
        <v>20</v>
      </c>
      <c r="M14271" t="s">
        <v>27362</v>
      </c>
      <c r="N14271" t="s">
        <v>14</v>
      </c>
    </row>
    <row r="14272" x14ac:dyDescent="0.25">
      <c r="A14272" t="n">
        <v>23</v>
      </c>
      <c r="B14272" t="s">
        <v>14</v>
      </c>
      <c r="C14272" t="s">
        <v>22</v>
      </c>
      <c r="D14272" s="2" t="s">
        <f>=HYPERLINK("https://main.knesset.gov.il/APPS/legislation/main/bills/2085815", "הצעת חוק לאיחוד קווי החירום הטלפוניים, התש""ף-2020")</f>
        <v>24939</v>
      </c>
      <c r="E14272" t="s">
        <v>24939</v>
      </c>
      <c r="F14272" t="s">
        <v>27447</v>
      </c>
      <c r="G14272" t="s">
        <v>14</v>
      </c>
      <c r="H14272">
             </c>
      <c r="I14272" t="s">
        <v>14</v>
      </c>
      <c r="J14272" t="s">
        <v>141</v>
      </c>
      <c r="K14272" t="s">
        <v>14</v>
      </c>
      <c r="L14272" t="s">
        <v>20</v>
      </c>
      <c r="M14272" t="s">
        <v>27362</v>
      </c>
      <c r="N14272" t="s">
        <v>14</v>
      </c>
    </row>
    <row r="14273" x14ac:dyDescent="0.25">
      <c r="A14273" t="n">
        <v>23</v>
      </c>
      <c r="B14273" t="s">
        <v>14</v>
      </c>
      <c r="C14273" t="s">
        <v>22</v>
      </c>
      <c r="D14273" s="2" t="s">
        <f>=HYPERLINK("https://main.knesset.gov.il/APPS/legislation/main/bills/2085716", "הצעת חוק הסכמים לנשיאת עוברים (אישור הסכם ומעמד היילוד) (תיקון - הרחבת הגדרת הורים מיועדים), התש""ף-2020")</f>
        <v>27448</v>
      </c>
      <c r="E14273" t="s">
        <v>27448</v>
      </c>
      <c r="F14273" t="s">
        <v>27449</v>
      </c>
      <c r="G14273" t="s">
        <v>14</v>
      </c>
      <c r="H14273">
             </c>
      <c r="I14273" t="s">
        <v>14</v>
      </c>
      <c r="J14273" t="s">
        <v>141</v>
      </c>
      <c r="K14273" t="s">
        <v>14</v>
      </c>
      <c r="L14273" t="s">
        <v>20</v>
      </c>
      <c r="M14273" t="s">
        <v>27362</v>
      </c>
      <c r="N14273" t="s">
        <v>14</v>
      </c>
    </row>
    <row r="14274" x14ac:dyDescent="0.25">
      <c r="A14274" t="n">
        <v>23</v>
      </c>
      <c r="B14274" t="s">
        <v>14</v>
      </c>
      <c r="C14274" t="s">
        <v>22</v>
      </c>
      <c r="D14274" s="2" t="s">
        <f>=HYPERLINK("https://main.knesset.gov.il/APPS/legislation/main/bills/2085749", "הצעת חוק ביטוח בריאות ממלכתי (תיקון - החזר אגרת נסיעה באמבולנס), התש""ף-2020")</f>
        <v>27450</v>
      </c>
      <c r="E14274" t="s">
        <v>27450</v>
      </c>
      <c r="F14274" t="s">
        <v>27451</v>
      </c>
      <c r="G14274" t="s">
        <v>14</v>
      </c>
      <c r="H14274">
             </c>
      <c r="I14274" t="s">
        <v>14</v>
      </c>
      <c r="J14274" t="s">
        <v>141</v>
      </c>
      <c r="K14274" t="s">
        <v>14</v>
      </c>
      <c r="L14274" t="s">
        <v>20</v>
      </c>
      <c r="M14274" t="s">
        <v>27362</v>
      </c>
      <c r="N14274" t="s">
        <v>14</v>
      </c>
    </row>
    <row r="14275" x14ac:dyDescent="0.25">
      <c r="A14275" t="n">
        <v>23</v>
      </c>
      <c r="B14275" t="s">
        <v>14</v>
      </c>
      <c r="C14275" t="s">
        <v>22</v>
      </c>
      <c r="D14275" s="2" t="s">
        <f>=HYPERLINK("https://main.knesset.gov.il/APPS/legislation/main/bills/2085709", "הצעת חוק ביטוח בריאות ממלכתי (תיקון - תוספת קבועה לסל שירותי הבריאות לעדכון טכנולוגיות רפואיות חדשות, תרופות, מכשור ושיטות טיפול), התש""ף-2020")</f>
        <v>26144</v>
      </c>
      <c r="E14275" t="s">
        <v>26144</v>
      </c>
      <c r="F14275" t="s">
        <v>27452</v>
      </c>
      <c r="G14275" t="s">
        <v>14</v>
      </c>
      <c r="H14275">
             </c>
      <c r="I14275" t="s">
        <v>14</v>
      </c>
      <c r="J14275" t="s">
        <v>141</v>
      </c>
      <c r="K14275" t="s">
        <v>14</v>
      </c>
      <c r="L14275" t="s">
        <v>20</v>
      </c>
      <c r="M14275" t="s">
        <v>27362</v>
      </c>
      <c r="N14275" t="s">
        <v>14</v>
      </c>
    </row>
    <row r="14276" x14ac:dyDescent="0.25">
      <c r="A14276" t="n">
        <v>23</v>
      </c>
      <c r="B14276" t="s">
        <v>14</v>
      </c>
      <c r="C14276" t="s">
        <v>22</v>
      </c>
      <c r="D14276" s="2" t="s">
        <f>=HYPERLINK("https://main.knesset.gov.il/APPS/legislation/main/bills/2085732", "הצעת חוק הביטוח הלאומי (תיקון - שמירה חקלאית כעבודה מועדפת), התש""ף-2020")</f>
        <v>26857</v>
      </c>
      <c r="E14276" t="s">
        <v>26857</v>
      </c>
      <c r="F14276" t="s">
        <v>27453</v>
      </c>
      <c r="G14276" t="s">
        <v>14</v>
      </c>
      <c r="H14276">
             </c>
      <c r="I14276" t="s">
        <v>14</v>
      </c>
      <c r="J14276" t="s">
        <v>141</v>
      </c>
      <c r="K14276" t="s">
        <v>14</v>
      </c>
      <c r="L14276" t="s">
        <v>20</v>
      </c>
      <c r="M14276" t="s">
        <v>27362</v>
      </c>
      <c r="N14276" t="s">
        <v>14</v>
      </c>
    </row>
    <row r="14277" x14ac:dyDescent="0.25">
      <c r="A14277" t="n">
        <v>23</v>
      </c>
      <c r="B14277" t="s">
        <v>14</v>
      </c>
      <c r="C14277" t="s">
        <v>22</v>
      </c>
      <c r="D14277" s="2" t="s">
        <f>=HYPERLINK("https://main.knesset.gov.il/APPS/legislation/main/bills/2085720", "הצעת חוק איסור הונאה בכשרות (תיקון - כשרות לבית אוכל שאינו מחלל שבת), התש""ף-2020")</f>
        <v>27454</v>
      </c>
      <c r="E14277" t="s">
        <v>27454</v>
      </c>
      <c r="F14277" t="s">
        <v>27455</v>
      </c>
      <c r="G14277" t="s">
        <v>14</v>
      </c>
      <c r="H14277">
             </c>
      <c r="I14277" t="s">
        <v>14</v>
      </c>
      <c r="J14277" t="s">
        <v>141</v>
      </c>
      <c r="K14277" t="s">
        <v>14</v>
      </c>
      <c r="L14277" t="s">
        <v>20</v>
      </c>
      <c r="M14277" t="s">
        <v>27362</v>
      </c>
      <c r="N14277" t="s">
        <v>14</v>
      </c>
    </row>
    <row r="14278" x14ac:dyDescent="0.25">
      <c r="A14278" t="n">
        <v>23</v>
      </c>
      <c r="B14278" t="s">
        <v>14</v>
      </c>
      <c r="C14278" t="s">
        <v>22</v>
      </c>
      <c r="D14278" s="2" t="s">
        <f>=HYPERLINK("https://main.knesset.gov.il/APPS/legislation/main/bills/2085733", "הצעת חוק חובת דיווח שנתי על מצב הטבע והמגוון הביולוגי בישראל, התש""ף-2020 ")</f>
        <v>27456</v>
      </c>
      <c r="E14278" t="s">
        <v>27456</v>
      </c>
      <c r="F14278" t="s">
        <v>27457</v>
      </c>
      <c r="G14278" t="s">
        <v>14</v>
      </c>
      <c r="H14278">
             </c>
      <c r="I14278" t="s">
        <v>14</v>
      </c>
      <c r="J14278" t="s">
        <v>141</v>
      </c>
      <c r="K14278" t="s">
        <v>14</v>
      </c>
      <c r="L14278" t="s">
        <v>20</v>
      </c>
      <c r="M14278" t="s">
        <v>27362</v>
      </c>
      <c r="N14278" t="s">
        <v>14</v>
      </c>
    </row>
    <row r="14279" x14ac:dyDescent="0.25">
      <c r="A14279" t="n">
        <v>23</v>
      </c>
      <c r="B14279" t="s">
        <v>14</v>
      </c>
      <c r="C14279" t="s">
        <v>22</v>
      </c>
      <c r="D14279" s="2" t="s">
        <f>=HYPERLINK("https://main.knesset.gov.il/APPS/legislation/main/bills/2085729", "הצעת חוק איסור הונאה בכשרות (תיקון - מתן תעודת הכשר על ידי רב מקומי), התש""ף-2020")</f>
        <v>27408</v>
      </c>
      <c r="E14279" t="s">
        <v>27408</v>
      </c>
      <c r="F14279" t="s">
        <v>27458</v>
      </c>
      <c r="G14279" t="s">
        <v>14</v>
      </c>
      <c r="H14279">
             </c>
      <c r="I14279" t="s">
        <v>14</v>
      </c>
      <c r="J14279" t="s">
        <v>141</v>
      </c>
      <c r="K14279" t="s">
        <v>14</v>
      </c>
      <c r="L14279" t="s">
        <v>20</v>
      </c>
      <c r="M14279" t="s">
        <v>27362</v>
      </c>
      <c r="N14279" t="s">
        <v>14</v>
      </c>
    </row>
    <row r="14280" x14ac:dyDescent="0.25">
      <c r="A14280" t="n">
        <v>23</v>
      </c>
      <c r="B14280" t="s">
        <v>14</v>
      </c>
      <c r="C14280" t="s">
        <v>22</v>
      </c>
      <c r="D14280" s="2" t="s">
        <f>=HYPERLINK("https://main.knesset.gov.il/APPS/legislation/main/bills/2085728", "הצעת חוק מכר סיטונאי חקלאי, התש""ף-2020")</f>
        <v>27459</v>
      </c>
      <c r="E14280" t="s">
        <v>27459</v>
      </c>
      <c r="F14280" t="s">
        <v>27460</v>
      </c>
      <c r="G14280" t="s">
        <v>14</v>
      </c>
      <c r="H14280">
             </c>
      <c r="I14280" t="s">
        <v>14</v>
      </c>
      <c r="J14280" t="s">
        <v>141</v>
      </c>
      <c r="K14280" t="s">
        <v>14</v>
      </c>
      <c r="L14280" t="s">
        <v>20</v>
      </c>
      <c r="M14280" t="s">
        <v>27362</v>
      </c>
      <c r="N14280" t="s">
        <v>14</v>
      </c>
    </row>
    <row r="14281" x14ac:dyDescent="0.25">
      <c r="A14281" t="n">
        <v>23</v>
      </c>
      <c r="B14281" t="s">
        <v>14</v>
      </c>
      <c r="C14281" t="s">
        <v>22</v>
      </c>
      <c r="D14281" s="2" t="s">
        <f>=HYPERLINK("https://main.knesset.gov.il/APPS/legislation/main/bills/2085742", "הצעת חוק הבנקאות (שירות ללקוח) (תיקון - הפחתת יוקר תשלומי הלוואה לדיור), התש""ף-2020")</f>
        <v>27461</v>
      </c>
      <c r="E14281" t="s">
        <v>27461</v>
      </c>
      <c r="F14281" t="s">
        <v>27462</v>
      </c>
      <c r="G14281" t="s">
        <v>14</v>
      </c>
      <c r="H14281">
             </c>
      <c r="I14281" t="s">
        <v>14</v>
      </c>
      <c r="J14281" t="s">
        <v>141</v>
      </c>
      <c r="K14281" t="s">
        <v>14</v>
      </c>
      <c r="L14281" t="s">
        <v>20</v>
      </c>
      <c r="M14281" t="s">
        <v>27362</v>
      </c>
      <c r="N14281" t="s">
        <v>14</v>
      </c>
    </row>
    <row r="14282" x14ac:dyDescent="0.25">
      <c r="A14282" t="n">
        <v>23</v>
      </c>
      <c r="B14282" t="s">
        <v>14</v>
      </c>
      <c r="C14282" t="s">
        <v>22</v>
      </c>
      <c r="D14282" s="2" t="s">
        <f>=HYPERLINK("https://main.knesset.gov.il/APPS/legislation/main/bills/2085746", "הצעת חוק לתיקון פקודת ביטוח רכב מנועי (פוליסה לשני כלי רכב של נהג יחיד), התש""ף-2020")</f>
        <v>27463</v>
      </c>
      <c r="E14282" t="s">
        <v>27463</v>
      </c>
      <c r="F14282" t="s">
        <v>27464</v>
      </c>
      <c r="G14282" t="s">
        <v>14</v>
      </c>
      <c r="H14282">
             </c>
      <c r="I14282" t="s">
        <v>14</v>
      </c>
      <c r="J14282" t="s">
        <v>141</v>
      </c>
      <c r="K14282" t="s">
        <v>14</v>
      </c>
      <c r="L14282" t="s">
        <v>20</v>
      </c>
      <c r="M14282" t="s">
        <v>27362</v>
      </c>
      <c r="N14282" t="s">
        <v>14</v>
      </c>
    </row>
    <row r="14283" x14ac:dyDescent="0.25">
      <c r="A14283" t="n">
        <v>23</v>
      </c>
      <c r="B14283" t="s">
        <v>14</v>
      </c>
      <c r="C14283" t="s">
        <v>22</v>
      </c>
      <c r="D14283" s="2" t="s">
        <f>=HYPERLINK("https://main.knesset.gov.il/APPS/legislation/main/bills/2085710", "הצעת חוק המקרקעין (תיקון - התקנת מעלית מטעמים מיוחדים), התש""ף-2020")</f>
        <v>26601</v>
      </c>
      <c r="E14283" t="s">
        <v>26601</v>
      </c>
      <c r="F14283" t="s">
        <v>27465</v>
      </c>
      <c r="G14283" t="s">
        <v>14</v>
      </c>
      <c r="H14283">
             </c>
      <c r="I14283" t="s">
        <v>14</v>
      </c>
      <c r="J14283" t="s">
        <v>141</v>
      </c>
      <c r="K14283" t="s">
        <v>14</v>
      </c>
      <c r="L14283" t="s">
        <v>20</v>
      </c>
      <c r="M14283" t="s">
        <v>27362</v>
      </c>
      <c r="N14283" t="s">
        <v>14</v>
      </c>
    </row>
    <row r="14284" x14ac:dyDescent="0.25">
      <c r="A14284" t="n">
        <v>23</v>
      </c>
      <c r="B14284" t="s">
        <v>14</v>
      </c>
      <c r="C14284" t="s">
        <v>22</v>
      </c>
      <c r="D14284" s="2" t="s">
        <f>=HYPERLINK("https://main.knesset.gov.il/APPS/legislation/main/bills/2085697", "הצעת חוק האזרחים הוותיקים (תיקון - פטור מתשלום בתחבורה ציבורית), התש""ף-2020")</f>
        <v>24252</v>
      </c>
      <c r="E14284" t="s">
        <v>24252</v>
      </c>
      <c r="F14284" t="s">
        <v>27466</v>
      </c>
      <c r="G14284" t="s">
        <v>14</v>
      </c>
      <c r="H14284">
             </c>
      <c r="I14284" t="s">
        <v>14</v>
      </c>
      <c r="J14284" t="s">
        <v>141</v>
      </c>
      <c r="K14284" t="s">
        <v>14</v>
      </c>
      <c r="L14284" t="s">
        <v>20</v>
      </c>
      <c r="M14284" t="s">
        <v>27362</v>
      </c>
      <c r="N14284" t="s">
        <v>14</v>
      </c>
    </row>
    <row r="14285" x14ac:dyDescent="0.25">
      <c r="A14285" t="n">
        <v>23</v>
      </c>
      <c r="B14285" t="s">
        <v>14</v>
      </c>
      <c r="C14285" t="s">
        <v>22</v>
      </c>
      <c r="D14285" s="2" t="s">
        <f>=HYPERLINK("https://main.knesset.gov.il/APPS/legislation/main/bills/2085643", "הצעת חוק הביטוח הלאומי (תיקון - השוואת קצבת נכות לשכר המינימום), התש""ף-2020")</f>
        <v>24748</v>
      </c>
      <c r="E14285" t="s">
        <v>24748</v>
      </c>
      <c r="F14285" t="s">
        <v>27467</v>
      </c>
      <c r="G14285" t="s">
        <v>14</v>
      </c>
      <c r="H14285">
             </c>
      <c r="I14285" t="s">
        <v>14</v>
      </c>
      <c r="J14285" t="s">
        <v>141</v>
      </c>
      <c r="K14285" t="s">
        <v>14</v>
      </c>
      <c r="L14285" t="s">
        <v>20</v>
      </c>
      <c r="M14285" t="s">
        <v>27362</v>
      </c>
      <c r="N14285" t="s">
        <v>14</v>
      </c>
    </row>
    <row r="14286" x14ac:dyDescent="0.25">
      <c r="A14286" t="n">
        <v>23</v>
      </c>
      <c r="B14286" t="s">
        <v>14</v>
      </c>
      <c r="C14286" t="s">
        <v>22</v>
      </c>
      <c r="D14286" s="2" t="s">
        <f>=HYPERLINK("https://main.knesset.gov.il/APPS/legislation/main/bills/2085693", "הצעת חוק צער בעלי חיים (הגנה על בעלי חיים) (תיקון - איסור משלוחים חיים לשחיטה), התש""ף-2020")</f>
        <v>25487</v>
      </c>
      <c r="E14286" t="s">
        <v>25487</v>
      </c>
      <c r="F14286" t="s">
        <v>27468</v>
      </c>
      <c r="G14286" t="s">
        <v>14</v>
      </c>
      <c r="H14286">
             </c>
      <c r="I14286" t="s">
        <v>14</v>
      </c>
      <c r="J14286" t="s">
        <v>141</v>
      </c>
      <c r="K14286" t="s">
        <v>14</v>
      </c>
      <c r="L14286" t="s">
        <v>20</v>
      </c>
      <c r="M14286" t="s">
        <v>27362</v>
      </c>
      <c r="N14286" t="s">
        <v>14</v>
      </c>
    </row>
    <row r="14287" x14ac:dyDescent="0.25">
      <c r="A14287" t="n">
        <v>23</v>
      </c>
      <c r="B14287" t="s">
        <v>14</v>
      </c>
      <c r="C14287" t="s">
        <v>22</v>
      </c>
      <c r="D14287" s="2" t="s">
        <f>=HYPERLINK("https://main.knesset.gov.il/APPS/legislation/main/bills/2085690", "הצעת חוק התכנון והבנייה (תיקון - חיבור לחשמל) (הוראת שעה), התש""ף-2020")</f>
        <v>26664</v>
      </c>
      <c r="E14287" t="s">
        <v>26664</v>
      </c>
      <c r="F14287" t="s">
        <v>27469</v>
      </c>
      <c r="G14287" t="s">
        <v>14</v>
      </c>
      <c r="H14287">
             </c>
      <c r="I14287" t="s">
        <v>14</v>
      </c>
      <c r="J14287" t="s">
        <v>141</v>
      </c>
      <c r="K14287" t="s">
        <v>14</v>
      </c>
      <c r="L14287" t="s">
        <v>20</v>
      </c>
      <c r="M14287" t="s">
        <v>27362</v>
      </c>
      <c r="N14287" t="s">
        <v>14</v>
      </c>
    </row>
    <row r="14288" x14ac:dyDescent="0.25">
      <c r="A14288" t="n">
        <v>23</v>
      </c>
      <c r="B14288" t="s">
        <v>14</v>
      </c>
      <c r="C14288" t="s">
        <v>22</v>
      </c>
      <c r="D14288" s="2" t="s">
        <f>=HYPERLINK("https://main.knesset.gov.il/APPS/legislation/main/bills/2085694", "הצעת חוק לתיקון פקודת התעבורה (הגבלת תשלום בעד חניה במוסד רפואי), התש""ף-2020")</f>
        <v>25983</v>
      </c>
      <c r="E14288" t="s">
        <v>25983</v>
      </c>
      <c r="F14288" t="s">
        <v>27470</v>
      </c>
      <c r="G14288" t="s">
        <v>14</v>
      </c>
      <c r="H14288">
             </c>
      <c r="I14288" t="s">
        <v>14</v>
      </c>
      <c r="J14288" t="s">
        <v>141</v>
      </c>
      <c r="K14288" t="s">
        <v>14</v>
      </c>
      <c r="L14288" t="s">
        <v>20</v>
      </c>
      <c r="M14288" t="s">
        <v>27362</v>
      </c>
      <c r="N14288" t="s">
        <v>14</v>
      </c>
    </row>
    <row r="14289" x14ac:dyDescent="0.25">
      <c r="A14289" t="n">
        <v>23</v>
      </c>
      <c r="B14289" t="s">
        <v>14</v>
      </c>
      <c r="C14289" t="s">
        <v>22</v>
      </c>
      <c r="D14289" s="2" t="s">
        <f>=HYPERLINK("https://main.knesset.gov.il/APPS/legislation/main/bills/2085672", "הצעת חוק איסור פרסום והפצת שמות נפגעים, התש""ף-2020 ")</f>
        <v>27471</v>
      </c>
      <c r="E14289" t="s">
        <v>27471</v>
      </c>
      <c r="F14289" t="s">
        <v>27472</v>
      </c>
      <c r="G14289" t="s">
        <v>14</v>
      </c>
      <c r="H14289">
             </c>
      <c r="I14289" t="s">
        <v>14</v>
      </c>
      <c r="J14289" t="s">
        <v>141</v>
      </c>
      <c r="K14289" t="s">
        <v>14</v>
      </c>
      <c r="L14289" t="s">
        <v>20</v>
      </c>
      <c r="M14289" t="s">
        <v>27362</v>
      </c>
      <c r="N14289" t="s">
        <v>14</v>
      </c>
    </row>
    <row r="14290" x14ac:dyDescent="0.25">
      <c r="A14290" t="n">
        <v>23</v>
      </c>
      <c r="B14290" t="s">
        <v>14</v>
      </c>
      <c r="C14290" t="s">
        <v>22</v>
      </c>
      <c r="D14290" s="2" t="s">
        <f>=HYPERLINK("https://main.knesset.gov.il/APPS/legislation/main/bills/2086044", "הצעת חוק התכנון והבנייה (תיקון מס' 116) (תיקון - ביטול החוק), התש""ף-2020")</f>
        <v>27473</v>
      </c>
      <c r="E14290" t="s">
        <v>27473</v>
      </c>
      <c r="F14290" t="s">
        <v>27474</v>
      </c>
      <c r="G14290" t="s">
        <v>14</v>
      </c>
      <c r="H14290">
             </c>
      <c r="I14290" t="s">
        <v>14</v>
      </c>
      <c r="J14290" t="s">
        <v>141</v>
      </c>
      <c r="K14290" t="s">
        <v>14</v>
      </c>
      <c r="L14290" t="s">
        <v>20</v>
      </c>
      <c r="M14290" t="s">
        <v>27362</v>
      </c>
      <c r="N14290" t="s">
        <v>14</v>
      </c>
    </row>
    <row r="14291" x14ac:dyDescent="0.25">
      <c r="A14291" t="n">
        <v>23</v>
      </c>
      <c r="B14291" t="s">
        <v>14</v>
      </c>
      <c r="C14291" t="s">
        <v>22</v>
      </c>
      <c r="D14291" s="2" t="s">
        <f>=HYPERLINK("https://main.knesset.gov.il/APPS/legislation/main/bills/2085745", "הצעת חוק הגנת הצרכן (תיקון - שינוי פרטים בכרטיס טיסה או בכרטיס לשיט), התש""ף-2020")</f>
        <v>25295</v>
      </c>
      <c r="E14291" t="s">
        <v>25295</v>
      </c>
      <c r="F14291" t="s">
        <v>27475</v>
      </c>
      <c r="G14291" t="s">
        <v>14</v>
      </c>
      <c r="H14291">
             </c>
      <c r="I14291" t="s">
        <v>14</v>
      </c>
      <c r="J14291" t="s">
        <v>141</v>
      </c>
      <c r="K14291" t="s">
        <v>14</v>
      </c>
      <c r="L14291" t="s">
        <v>20</v>
      </c>
      <c r="M14291" t="s">
        <v>27362</v>
      </c>
      <c r="N14291" t="s">
        <v>14</v>
      </c>
    </row>
    <row r="14292" x14ac:dyDescent="0.25">
      <c r="A14292" t="n">
        <v>23</v>
      </c>
      <c r="B14292" t="s">
        <v>14</v>
      </c>
      <c r="C14292" t="s">
        <v>22</v>
      </c>
      <c r="D14292" s="2" t="s">
        <f>=HYPERLINK("https://main.knesset.gov.il/APPS/legislation/main/bills/2085880", "הצעת חוק בתי המשפט (תיקון - קביעת מועד למתן פסק דין בערעור בתביעת קשיש), התש""ף-2020")</f>
        <v>27476</v>
      </c>
      <c r="E14292" t="s">
        <v>27476</v>
      </c>
      <c r="F14292" t="s">
        <v>27477</v>
      </c>
      <c r="G14292" t="s">
        <v>14</v>
      </c>
      <c r="H14292">
             </c>
      <c r="I14292" t="s">
        <v>14</v>
      </c>
      <c r="J14292" t="s">
        <v>141</v>
      </c>
      <c r="K14292" t="s">
        <v>14</v>
      </c>
      <c r="L14292" t="s">
        <v>20</v>
      </c>
      <c r="M14292" t="s">
        <v>27362</v>
      </c>
      <c r="N14292" t="s">
        <v>14</v>
      </c>
    </row>
    <row r="14293" x14ac:dyDescent="0.25">
      <c r="A14293" t="n">
        <v>23</v>
      </c>
      <c r="B14293" t="s">
        <v>14</v>
      </c>
      <c r="C14293" t="s">
        <v>22</v>
      </c>
      <c r="D14293" s="2" t="s">
        <f>=HYPERLINK("https://main.knesset.gov.il/APPS/legislation/main/bills/2085861", "הצעת חוק נציבות הדורות הבאים, התש""ף-2020")</f>
        <v>25918</v>
      </c>
      <c r="E14293" t="s">
        <v>25918</v>
      </c>
      <c r="F14293" t="s">
        <v>27478</v>
      </c>
      <c r="G14293" t="s">
        <v>14</v>
      </c>
      <c r="H14293">
             </c>
      <c r="I14293" t="s">
        <v>14</v>
      </c>
      <c r="J14293" t="s">
        <v>141</v>
      </c>
      <c r="K14293" t="s">
        <v>14</v>
      </c>
      <c r="L14293" t="s">
        <v>20</v>
      </c>
      <c r="M14293" t="s">
        <v>27362</v>
      </c>
      <c r="N14293" t="s">
        <v>14</v>
      </c>
    </row>
    <row r="14294" x14ac:dyDescent="0.25">
      <c r="A14294" t="n">
        <v>23</v>
      </c>
      <c r="B14294" t="s">
        <v>14</v>
      </c>
      <c r="C14294" t="s">
        <v>22</v>
      </c>
      <c r="D14294" s="2" t="s">
        <f>=HYPERLINK("https://main.knesset.gov.il/APPS/legislation/main/bills/2085951", "הצעת חוק שירות המדינה (מינויים) (תיקון - ייצוג הולם ללוחמים), התש""ף-2020")</f>
        <v>27479</v>
      </c>
      <c r="E14294" t="s">
        <v>27479</v>
      </c>
      <c r="F14294" t="s">
        <v>27480</v>
      </c>
      <c r="G14294" t="s">
        <v>14</v>
      </c>
      <c r="H14294">
             </c>
      <c r="I14294" t="s">
        <v>14</v>
      </c>
      <c r="J14294" t="s">
        <v>141</v>
      </c>
      <c r="K14294" t="s">
        <v>14</v>
      </c>
      <c r="L14294" t="s">
        <v>20</v>
      </c>
      <c r="M14294" t="s">
        <v>27362</v>
      </c>
      <c r="N14294" t="s">
        <v>14</v>
      </c>
    </row>
    <row r="14295" x14ac:dyDescent="0.25">
      <c r="A14295" t="n">
        <v>23</v>
      </c>
      <c r="B14295" t="s">
        <v>14</v>
      </c>
      <c r="C14295" t="s">
        <v>22</v>
      </c>
      <c r="D14295" s="2" t="s">
        <f>=HYPERLINK("https://main.knesset.gov.il/APPS/legislation/main/bills/2085996", "הצעת חוק הביטוח הלאומי (תיקון - קביעת אחוזי נכות ללקויי שמיעה - דו-צידי וחד-צידי), התש""ף-2020")</f>
        <v>27481</v>
      </c>
      <c r="E14295" t="s">
        <v>27481</v>
      </c>
      <c r="F14295" t="s">
        <v>27482</v>
      </c>
      <c r="G14295" t="s">
        <v>14</v>
      </c>
      <c r="H14295">
             </c>
      <c r="I14295" t="s">
        <v>14</v>
      </c>
      <c r="J14295" t="s">
        <v>141</v>
      </c>
      <c r="K14295" t="s">
        <v>14</v>
      </c>
      <c r="L14295" t="s">
        <v>20</v>
      </c>
      <c r="M14295" t="s">
        <v>27362</v>
      </c>
      <c r="N14295" t="s">
        <v>14</v>
      </c>
    </row>
    <row r="14296" x14ac:dyDescent="0.25">
      <c r="A14296" t="n">
        <v>23</v>
      </c>
      <c r="B14296" t="s">
        <v>14</v>
      </c>
      <c r="C14296" t="s">
        <v>22</v>
      </c>
      <c r="D14296" s="2" t="s">
        <f>=HYPERLINK("https://main.knesset.gov.il/APPS/legislation/main/bills/2085864", "הצעת חוק ירושלים ובנותיה, התש""ף-2020")</f>
        <v>27483</v>
      </c>
      <c r="E14296" t="s">
        <v>27483</v>
      </c>
      <c r="F14296" t="s">
        <v>27484</v>
      </c>
      <c r="G14296" t="s">
        <v>14</v>
      </c>
      <c r="H14296">
             </c>
      <c r="I14296" t="s">
        <v>14</v>
      </c>
      <c r="J14296" t="s">
        <v>141</v>
      </c>
      <c r="K14296" t="s">
        <v>14</v>
      </c>
      <c r="L14296" t="s">
        <v>20</v>
      </c>
      <c r="M14296" t="s">
        <v>27362</v>
      </c>
      <c r="N14296" t="s">
        <v>14</v>
      </c>
    </row>
    <row r="14297" x14ac:dyDescent="0.25">
      <c r="A14297" t="n">
        <v>23</v>
      </c>
      <c r="B14297" t="s">
        <v>14</v>
      </c>
      <c r="C14297" t="s">
        <v>22</v>
      </c>
      <c r="D14297" s="2" t="s">
        <f>=HYPERLINK("https://main.knesset.gov.il/APPS/legislation/main/bills/2085735", "הצעת חוק חובת המכרזים (תיקון - עידוד העסקת עובדים מאוכלוסיות ייחודיות), התש""ף-2020")</f>
        <v>25205</v>
      </c>
      <c r="E14297" t="s">
        <v>25205</v>
      </c>
      <c r="F14297" t="s">
        <v>27485</v>
      </c>
      <c r="G14297" t="s">
        <v>14</v>
      </c>
      <c r="H14297">
             </c>
      <c r="I14297" t="s">
        <v>14</v>
      </c>
      <c r="J14297" t="s">
        <v>141</v>
      </c>
      <c r="K14297" t="s">
        <v>14</v>
      </c>
      <c r="L14297" t="s">
        <v>20</v>
      </c>
      <c r="M14297" t="s">
        <v>27362</v>
      </c>
      <c r="N14297" t="s">
        <v>14</v>
      </c>
    </row>
    <row r="14298" x14ac:dyDescent="0.25">
      <c r="A14298" t="n">
        <v>23</v>
      </c>
      <c r="B14298" t="s">
        <v>14</v>
      </c>
      <c r="C14298" t="s">
        <v>22</v>
      </c>
      <c r="D14298" s="2" t="s">
        <f>=HYPERLINK("https://main.knesset.gov.il/APPS/legislation/main/bills/2086141", "הצעת חוק התכנון והבנייה (תיקון מס' 116) (תיקון - ביטול החוק), התש""ף-2020")</f>
        <v>27473</v>
      </c>
      <c r="E14298" t="s">
        <v>27473</v>
      </c>
      <c r="F14298" t="s">
        <v>27486</v>
      </c>
      <c r="G14298" t="s">
        <v>14</v>
      </c>
      <c r="H14298">
             </c>
      <c r="I14298" t="s">
        <v>14</v>
      </c>
      <c r="J14298" t="s">
        <v>141</v>
      </c>
      <c r="K14298" t="s">
        <v>14</v>
      </c>
      <c r="L14298" t="s">
        <v>20</v>
      </c>
      <c r="M14298" t="s">
        <v>27362</v>
      </c>
      <c r="N14298" t="s">
        <v>14</v>
      </c>
    </row>
    <row r="14299" x14ac:dyDescent="0.25">
      <c r="A14299" t="n">
        <v>23</v>
      </c>
      <c r="B14299" t="s">
        <v>14</v>
      </c>
      <c r="C14299" t="s">
        <v>22</v>
      </c>
      <c r="D14299" s="2" t="s">
        <f>=HYPERLINK("https://main.knesset.gov.il/APPS/legislation/main/bills/2085820", "הצעת חוק מרשם האוכלוסין (תיקון - רישום הורה נוסף), התש""ף-2020")</f>
        <v>23854</v>
      </c>
      <c r="E14299" t="s">
        <v>23854</v>
      </c>
      <c r="F14299" t="s">
        <v>27487</v>
      </c>
      <c r="G14299" t="s">
        <v>14</v>
      </c>
      <c r="H14299">
             </c>
      <c r="I14299" t="s">
        <v>14</v>
      </c>
      <c r="J14299" t="s">
        <v>141</v>
      </c>
      <c r="K14299" t="s">
        <v>14</v>
      </c>
      <c r="L14299" t="s">
        <v>20</v>
      </c>
      <c r="M14299" t="s">
        <v>27362</v>
      </c>
      <c r="N14299" t="s">
        <v>14</v>
      </c>
    </row>
    <row r="14300" x14ac:dyDescent="0.25">
      <c r="A14300" t="n">
        <v>23</v>
      </c>
      <c r="B14300" t="s">
        <v>14</v>
      </c>
      <c r="C14300" t="s">
        <v>22</v>
      </c>
      <c r="D14300" s="2" t="s">
        <f>=HYPERLINK("https://main.knesset.gov.il/APPS/legislation/main/bills/2085854", "הצעת חוק חובת הדיווח של מוסדות פיננסים על כספים ללא דורש, התש""ף-2020")</f>
        <v>27488</v>
      </c>
      <c r="E14300" t="s">
        <v>27488</v>
      </c>
      <c r="F14300" t="s">
        <v>27489</v>
      </c>
      <c r="G14300" t="s">
        <v>14</v>
      </c>
      <c r="H14300">
             </c>
      <c r="I14300" t="s">
        <v>14</v>
      </c>
      <c r="J14300" t="s">
        <v>141</v>
      </c>
      <c r="K14300" t="s">
        <v>14</v>
      </c>
      <c r="L14300" t="s">
        <v>20</v>
      </c>
      <c r="M14300" t="s">
        <v>27362</v>
      </c>
      <c r="N14300" t="s">
        <v>14</v>
      </c>
    </row>
    <row r="14301" x14ac:dyDescent="0.25">
      <c r="A14301" t="n">
        <v>23</v>
      </c>
      <c r="B14301" t="s">
        <v>14</v>
      </c>
      <c r="C14301" t="s">
        <v>22</v>
      </c>
      <c r="D14301" s="2" t="s">
        <f>=HYPERLINK("https://main.knesset.gov.il/APPS/legislation/main/bills/2085939", "הצעת חוק יום לציון רצח העם הארמני, התש""ף-2020")</f>
        <v>25301</v>
      </c>
      <c r="E14301" t="s">
        <v>25301</v>
      </c>
      <c r="F14301" t="s">
        <v>27490</v>
      </c>
      <c r="G14301" t="s">
        <v>14</v>
      </c>
      <c r="H14301">
             </c>
      <c r="I14301" t="s">
        <v>14</v>
      </c>
      <c r="J14301" t="s">
        <v>141</v>
      </c>
      <c r="K14301" t="s">
        <v>14</v>
      </c>
      <c r="L14301" t="s">
        <v>20</v>
      </c>
      <c r="M14301" t="s">
        <v>27362</v>
      </c>
      <c r="N14301" t="s">
        <v>14</v>
      </c>
    </row>
    <row r="14302" x14ac:dyDescent="0.25">
      <c r="A14302" t="n">
        <v>23</v>
      </c>
      <c r="B14302" t="s">
        <v>14</v>
      </c>
      <c r="C14302" t="s">
        <v>22</v>
      </c>
      <c r="D14302" s="2" t="s">
        <f>=HYPERLINK("https://main.knesset.gov.il/APPS/legislation/main/bills/2085597", "הצעת חוק מס ערך מוסף (תיקון - פטור ממס במכירת תרופות מצילות חיים שאינן כלולות בסל הבריאות), התש""ף-2020")</f>
        <v>25350</v>
      </c>
      <c r="E14302" t="s">
        <v>25350</v>
      </c>
      <c r="F14302" t="s">
        <v>27491</v>
      </c>
      <c r="G14302" t="s">
        <v>14</v>
      </c>
      <c r="H14302">
             </c>
      <c r="I14302" t="s">
        <v>14</v>
      </c>
      <c r="J14302" t="s">
        <v>141</v>
      </c>
      <c r="K14302" t="s">
        <v>14</v>
      </c>
      <c r="L14302" t="s">
        <v>20</v>
      </c>
      <c r="M14302" t="s">
        <v>27362</v>
      </c>
      <c r="N14302" t="s">
        <v>14</v>
      </c>
    </row>
    <row r="14303" x14ac:dyDescent="0.25">
      <c r="A14303" t="n">
        <v>23</v>
      </c>
      <c r="B14303" t="s">
        <v>14</v>
      </c>
      <c r="C14303" t="s">
        <v>22</v>
      </c>
      <c r="D14303" s="2" t="s">
        <f>=HYPERLINK("https://main.knesset.gov.il/APPS/legislation/main/bills/2085821", "הצעת חוק להגדלת שיעור ההשתתפות בכוח העבודה ולצמצום פערים חברתיים (מענק עבודה) (תיקון - גיל העובד), התש""ף-2020")</f>
        <v>27297</v>
      </c>
      <c r="E14303" t="s">
        <v>27297</v>
      </c>
      <c r="F14303" t="s">
        <v>27492</v>
      </c>
      <c r="G14303" t="s">
        <v>14</v>
      </c>
      <c r="H14303">
             </c>
      <c r="I14303" t="s">
        <v>14</v>
      </c>
      <c r="J14303" t="s">
        <v>141</v>
      </c>
      <c r="K14303" t="s">
        <v>14</v>
      </c>
      <c r="L14303" t="s">
        <v>20</v>
      </c>
      <c r="M14303" t="s">
        <v>27362</v>
      </c>
      <c r="N14303" t="s">
        <v>14</v>
      </c>
    </row>
    <row r="14304" x14ac:dyDescent="0.25">
      <c r="A14304" t="n">
        <v>23</v>
      </c>
      <c r="B14304" t="s">
        <v>14</v>
      </c>
      <c r="C14304" t="s">
        <v>22</v>
      </c>
      <c r="D14304" s="2" t="s">
        <f>=HYPERLINK("https://main.knesset.gov.il/APPS/legislation/main/bills/2085665", "הצעת חוק הרשויות המקומיות (פטור חיילים, נפגעי מלחמה ושוטרים מארנונה) (תיקון - החרגת ההגבלה סייג לדירות גדולות לחיילים בודדים), התש""ף-2020")</f>
        <v>27493</v>
      </c>
      <c r="E14304" t="s">
        <v>27493</v>
      </c>
      <c r="F14304" t="s">
        <v>27494</v>
      </c>
      <c r="G14304" t="s">
        <v>14</v>
      </c>
      <c r="H14304">
             </c>
      <c r="I14304" t="s">
        <v>14</v>
      </c>
      <c r="J14304" t="s">
        <v>141</v>
      </c>
      <c r="K14304" t="s">
        <v>14</v>
      </c>
      <c r="L14304" t="s">
        <v>20</v>
      </c>
      <c r="M14304" t="s">
        <v>27362</v>
      </c>
      <c r="N14304" t="s">
        <v>14</v>
      </c>
    </row>
    <row r="14305" x14ac:dyDescent="0.25">
      <c r="A14305" t="n">
        <v>23</v>
      </c>
      <c r="B14305" t="s">
        <v>14</v>
      </c>
      <c r="C14305" t="s">
        <v>22</v>
      </c>
      <c r="D14305" s="2" t="s">
        <f>=HYPERLINK("https://main.knesset.gov.il/APPS/legislation/main/bills/2085721", "הצעת חוק מס ערך מוסף (תיקון - פטור ממס על תשר), התש""ף-2020")</f>
        <v>27495</v>
      </c>
      <c r="E14305" t="s">
        <v>27495</v>
      </c>
      <c r="F14305" t="s">
        <v>27496</v>
      </c>
      <c r="G14305" t="s">
        <v>14</v>
      </c>
      <c r="H14305">
             </c>
      <c r="I14305" t="s">
        <v>14</v>
      </c>
      <c r="J14305" t="s">
        <v>141</v>
      </c>
      <c r="K14305" t="s">
        <v>14</v>
      </c>
      <c r="L14305" t="s">
        <v>20</v>
      </c>
      <c r="M14305" t="s">
        <v>27362</v>
      </c>
      <c r="N14305" t="s">
        <v>14</v>
      </c>
    </row>
    <row r="14306" x14ac:dyDescent="0.25">
      <c r="A14306" t="n">
        <v>23</v>
      </c>
      <c r="B14306" t="s">
        <v>14</v>
      </c>
      <c r="C14306" t="s">
        <v>22</v>
      </c>
      <c r="D14306" s="2" t="s">
        <f>=HYPERLINK("https://main.knesset.gov.il/APPS/legislation/main/bills/2086113", "הצעת חוק לתיקון פקודת הראיות (פסילת ראיה), התש""ף-2020")</f>
        <v>27497</v>
      </c>
      <c r="E14306" t="s">
        <v>27497</v>
      </c>
      <c r="F14306" t="s">
        <v>27498</v>
      </c>
      <c r="G14306" t="s">
        <v>14</v>
      </c>
      <c r="H14306">
             </c>
      <c r="I14306" t="s">
        <v>14</v>
      </c>
      <c r="J14306" t="s">
        <v>343</v>
      </c>
      <c r="K14306" t="s">
        <v>14</v>
      </c>
      <c r="L14306" t="s">
        <v>20</v>
      </c>
      <c r="M14306" t="s">
        <v>27362</v>
      </c>
      <c r="N14306" t="s">
        <v>14</v>
      </c>
    </row>
    <row r="14307" x14ac:dyDescent="0.25">
      <c r="A14307" t="n">
        <v>23</v>
      </c>
      <c r="B14307" t="s">
        <v>14</v>
      </c>
      <c r="C14307" t="s">
        <v>22</v>
      </c>
      <c r="D14307" s="2" t="s">
        <f>=HYPERLINK("https://main.knesset.gov.il/APPS/legislation/main/bills/2085755", "הצעת חוק להגברת השקיפות בפעילותם של גופים פיננסיים (תיקוני חקיקה), התש""ף-2020")</f>
        <v>27281</v>
      </c>
      <c r="E14307" t="s">
        <v>27281</v>
      </c>
      <c r="F14307" t="s">
        <v>27499</v>
      </c>
      <c r="G14307" t="s">
        <v>14</v>
      </c>
      <c r="H14307">
             </c>
      <c r="I14307" t="s">
        <v>14</v>
      </c>
      <c r="J14307" t="s">
        <v>141</v>
      </c>
      <c r="K14307" t="s">
        <v>14</v>
      </c>
      <c r="L14307" t="s">
        <v>20</v>
      </c>
      <c r="M14307" t="s">
        <v>27362</v>
      </c>
      <c r="N14307" t="s">
        <v>14</v>
      </c>
    </row>
    <row r="14308" x14ac:dyDescent="0.25">
      <c r="A14308" t="n">
        <v>23</v>
      </c>
      <c r="B14308" t="s">
        <v>14</v>
      </c>
      <c r="C14308" t="s">
        <v>22</v>
      </c>
      <c r="D14308" s="2" t="s">
        <f>=HYPERLINK("https://main.knesset.gov.il/APPS/legislation/main/bills/2085986", "הצעת חוק הכנסת (תיקון - ועדה לפיקוח על רשויות פיקוח פיננסיות), התש""ף-2020")</f>
        <v>27500</v>
      </c>
      <c r="E14308" t="s">
        <v>27500</v>
      </c>
      <c r="F14308" t="s">
        <v>27501</v>
      </c>
      <c r="G14308" t="s">
        <v>14</v>
      </c>
      <c r="H14308">
             </c>
      <c r="I14308" t="s">
        <v>14</v>
      </c>
      <c r="J14308" t="s">
        <v>141</v>
      </c>
      <c r="K14308" t="s">
        <v>14</v>
      </c>
      <c r="L14308" t="s">
        <v>20</v>
      </c>
      <c r="M14308" t="s">
        <v>27362</v>
      </c>
      <c r="N14308" t="s">
        <v>14</v>
      </c>
    </row>
    <row r="14309" x14ac:dyDescent="0.25">
      <c r="A14309" t="n">
        <v>23</v>
      </c>
      <c r="B14309" t="s">
        <v>14</v>
      </c>
      <c r="C14309" t="s">
        <v>22</v>
      </c>
      <c r="D14309" s="2" t="s">
        <f>=HYPERLINK("https://main.knesset.gov.il/APPS/legislation/main/bills/2086140", "הצעת חוק אימוץ ילדים (תיקון – כשירות המאמץ), התשפ""א–2021")</f>
        <v>27502</v>
      </c>
      <c r="E14309" t="s">
        <v>27502</v>
      </c>
      <c r="F14309" t="s">
        <v>27503</v>
      </c>
      <c r="G14309" t="s">
        <v>14</v>
      </c>
      <c r="H14309">
             </c>
      <c r="I14309" t="s">
        <v>14</v>
      </c>
      <c r="J14309" t="s">
        <v>141</v>
      </c>
      <c r="K14309" t="s">
        <v>14</v>
      </c>
      <c r="L14309" t="s">
        <v>20</v>
      </c>
      <c r="M14309" t="s">
        <v>27362</v>
      </c>
      <c r="N14309" t="s">
        <v>14</v>
      </c>
    </row>
    <row r="14310" x14ac:dyDescent="0.25">
      <c r="A14310" t="n">
        <v>23</v>
      </c>
      <c r="B14310" t="s">
        <v>14</v>
      </c>
      <c r="C14310" t="s">
        <v>22</v>
      </c>
      <c r="D14310" s="2" t="s">
        <f>=HYPERLINK("https://main.knesset.gov.il/APPS/legislation/main/bills/2085768", "הצעת חוק הכנסת (תיקון - ועדה לפיקוח על רשויות פיקוח פיננסיות), התש""ף-2020")</f>
        <v>27500</v>
      </c>
      <c r="E14310" t="s">
        <v>27500</v>
      </c>
      <c r="F14310" t="s">
        <v>27504</v>
      </c>
      <c r="G14310" t="s">
        <v>14</v>
      </c>
      <c r="H14310">
             </c>
      <c r="I14310" t="s">
        <v>14</v>
      </c>
      <c r="J14310" t="s">
        <v>141</v>
      </c>
      <c r="K14310" t="s">
        <v>14</v>
      </c>
      <c r="L14310" t="s">
        <v>20</v>
      </c>
      <c r="M14310" t="s">
        <v>27362</v>
      </c>
      <c r="N14310" t="s">
        <v>14</v>
      </c>
    </row>
    <row r="14311" x14ac:dyDescent="0.25">
      <c r="A14311" t="n">
        <v>23</v>
      </c>
      <c r="B14311" t="s">
        <v>14</v>
      </c>
      <c r="C14311" t="s">
        <v>22</v>
      </c>
      <c r="D14311" s="2" t="s">
        <f>=HYPERLINK("https://main.knesset.gov.il/APPS/legislation/main/bills/2085642", "הצעת חוק פרסום אסמכתאות בדבר השכלה ותעסוקה של נבחרי ציבור (תיקוני חקיקה), התש""ף-2020")</f>
        <v>27505</v>
      </c>
      <c r="E14311" t="s">
        <v>27505</v>
      </c>
      <c r="F14311" t="s">
        <v>27506</v>
      </c>
      <c r="G14311" t="s">
        <v>14</v>
      </c>
      <c r="H14311">
             </c>
      <c r="I14311" t="s">
        <v>14</v>
      </c>
      <c r="J14311" t="s">
        <v>141</v>
      </c>
      <c r="K14311" t="s">
        <v>14</v>
      </c>
      <c r="L14311" t="s">
        <v>20</v>
      </c>
      <c r="M14311" t="s">
        <v>27362</v>
      </c>
      <c r="N14311" t="s">
        <v>14</v>
      </c>
    </row>
    <row r="14312" x14ac:dyDescent="0.25">
      <c r="A14312" t="n">
        <v>23</v>
      </c>
      <c r="B14312" t="s">
        <v>14</v>
      </c>
      <c r="C14312" t="s">
        <v>22</v>
      </c>
      <c r="D14312" s="2" t="s">
        <f>=HYPERLINK("https://main.knesset.gov.il/APPS/legislation/main/bills/2086231", "הצעת חוק לתיקון פקודת מס הכנסה (פטור ממס לדמי הבראה), התש""ף-2020")</f>
        <v>27507</v>
      </c>
      <c r="E14312" t="s">
        <v>27507</v>
      </c>
      <c r="F14312" t="s">
        <v>27508</v>
      </c>
      <c r="G14312" t="s">
        <v>14</v>
      </c>
      <c r="H14312">
             </c>
      <c r="I14312" t="s">
        <v>14</v>
      </c>
      <c r="J14312" t="s">
        <v>141</v>
      </c>
      <c r="K14312" t="s">
        <v>14</v>
      </c>
      <c r="L14312" t="s">
        <v>20</v>
      </c>
      <c r="M14312" t="s">
        <v>27362</v>
      </c>
      <c r="N14312" t="s">
        <v>14</v>
      </c>
    </row>
    <row r="14313" x14ac:dyDescent="0.25">
      <c r="A14313" t="n">
        <v>23</v>
      </c>
      <c r="B14313" t="s">
        <v>14</v>
      </c>
      <c r="C14313" t="s">
        <v>22</v>
      </c>
      <c r="D14313" s="2" t="s">
        <f>=HYPERLINK("https://main.knesset.gov.il/APPS/legislation/main/bills/2086106", "הצעת חוק ההתייעלות הכלכלית (תיקוני חקיקה להשגת יעדי התקציב לשנות התקציב 2017 ו-2018) (תיקון - מעמד ערי עולים), התש""ף-2020")</f>
        <v>27509</v>
      </c>
      <c r="E14313" t="s">
        <v>27509</v>
      </c>
      <c r="F14313" t="s">
        <v>27510</v>
      </c>
      <c r="G14313" t="s">
        <v>14</v>
      </c>
      <c r="H14313">
             </c>
      <c r="I14313" t="s">
        <v>14</v>
      </c>
      <c r="J14313" t="s">
        <v>141</v>
      </c>
      <c r="K14313" t="s">
        <v>14</v>
      </c>
      <c r="L14313" t="s">
        <v>20</v>
      </c>
      <c r="M14313" t="s">
        <v>27362</v>
      </c>
      <c r="N14313" t="s">
        <v>14</v>
      </c>
    </row>
    <row r="14314" x14ac:dyDescent="0.25">
      <c r="A14314" t="n">
        <v>23</v>
      </c>
      <c r="B14314" t="s">
        <v>14</v>
      </c>
      <c r="C14314" t="s">
        <v>22</v>
      </c>
      <c r="D14314" s="2" t="s">
        <f>=HYPERLINK("https://main.knesset.gov.il/APPS/legislation/main/bills/2086124", "הצעת חוק חסינות חברי הכנסת, זכויותיהם וחובותיהם (תיקון - ועדה ציבורית לבחינת הצהרות ההון של חברי הכנסת), התש""ף-2020")</f>
        <v>27511</v>
      </c>
      <c r="E14314" t="s">
        <v>27511</v>
      </c>
      <c r="F14314" t="s">
        <v>27512</v>
      </c>
      <c r="G14314" t="s">
        <v>14</v>
      </c>
      <c r="H14314">
             </c>
      <c r="I14314" t="s">
        <v>14</v>
      </c>
      <c r="J14314" t="s">
        <v>141</v>
      </c>
      <c r="K14314" t="s">
        <v>14</v>
      </c>
      <c r="L14314" t="s">
        <v>20</v>
      </c>
      <c r="M14314" t="s">
        <v>27362</v>
      </c>
      <c r="N14314" t="s">
        <v>14</v>
      </c>
    </row>
    <row r="14315" x14ac:dyDescent="0.25">
      <c r="A14315" t="n">
        <v>23</v>
      </c>
      <c r="B14315" t="s">
        <v>14</v>
      </c>
      <c r="C14315" t="s">
        <v>22</v>
      </c>
      <c r="D14315" s="2" t="s">
        <f>=HYPERLINK("https://main.knesset.gov.il/APPS/legislation/main/bills/2085600", "הצעת חוק הסדרת שוק הכשרות בישראל, התש""ף-2020")</f>
        <v>27513</v>
      </c>
      <c r="E14315" t="s">
        <v>27513</v>
      </c>
      <c r="F14315" t="s">
        <v>27514</v>
      </c>
      <c r="G14315" t="s">
        <v>14</v>
      </c>
      <c r="H14315">
             </c>
      <c r="I14315" t="s">
        <v>14</v>
      </c>
      <c r="J14315" t="s">
        <v>141</v>
      </c>
      <c r="K14315" t="s">
        <v>14</v>
      </c>
      <c r="L14315" t="s">
        <v>20</v>
      </c>
      <c r="M14315" t="s">
        <v>27362</v>
      </c>
      <c r="N14315" t="s">
        <v>14</v>
      </c>
    </row>
    <row r="14316" x14ac:dyDescent="0.25">
      <c r="A14316" t="n">
        <v>23</v>
      </c>
      <c r="B14316" t="s">
        <v>14</v>
      </c>
      <c r="C14316" t="s">
        <v>22</v>
      </c>
      <c r="D14316" s="2" t="s">
        <f>=HYPERLINK("https://main.knesset.gov.il/APPS/legislation/main/bills/2085603", "הצעת חוק המים (תיקון - הנחות לאוכלוסיות זכאיות), התש""ף-2020")</f>
        <v>25743</v>
      </c>
      <c r="E14316" t="s">
        <v>25743</v>
      </c>
      <c r="F14316" t="s">
        <v>27515</v>
      </c>
      <c r="G14316" t="s">
        <v>14</v>
      </c>
      <c r="H14316">
             </c>
      <c r="I14316" t="s">
        <v>14</v>
      </c>
      <c r="J14316" t="s">
        <v>141</v>
      </c>
      <c r="K14316" t="s">
        <v>14</v>
      </c>
      <c r="L14316" t="s">
        <v>20</v>
      </c>
      <c r="M14316" t="s">
        <v>27362</v>
      </c>
      <c r="N14316" t="s">
        <v>14</v>
      </c>
    </row>
    <row r="14317" x14ac:dyDescent="0.25">
      <c r="A14317" t="n">
        <v>23</v>
      </c>
      <c r="B14317" t="s">
        <v>14</v>
      </c>
      <c r="C14317" t="s">
        <v>22</v>
      </c>
      <c r="D14317" s="2" t="s">
        <f>=HYPERLINK("https://main.knesset.gov.il/APPS/legislation/main/bills/2085623", "הצעת חוק התרת נישואין אזרחיים (תיקוני חקיקה), התש""ף-2020")</f>
        <v>24110</v>
      </c>
      <c r="E14317" t="s">
        <v>24110</v>
      </c>
      <c r="F14317" t="s">
        <v>27516</v>
      </c>
      <c r="G14317" t="s">
        <v>14</v>
      </c>
      <c r="H14317">
             </c>
      <c r="I14317" t="s">
        <v>14</v>
      </c>
      <c r="J14317" t="s">
        <v>141</v>
      </c>
      <c r="K14317" t="s">
        <v>14</v>
      </c>
      <c r="L14317" t="s">
        <v>20</v>
      </c>
      <c r="M14317" t="s">
        <v>27362</v>
      </c>
      <c r="N14317" t="s">
        <v>14</v>
      </c>
    </row>
    <row r="14318" x14ac:dyDescent="0.25">
      <c r="A14318" t="n">
        <v>23</v>
      </c>
      <c r="B14318" t="s">
        <v>14</v>
      </c>
      <c r="C14318" t="s">
        <v>22</v>
      </c>
      <c r="D14318" s="2" t="s">
        <f>=HYPERLINK("https://main.knesset.gov.il/APPS/legislation/main/bills/2085638", "הצעת חוק הגנת הפרטיות (תיקון - הזכות להישכח), התש""ף-2020")</f>
        <v>27517</v>
      </c>
      <c r="E14318" t="s">
        <v>27517</v>
      </c>
      <c r="F14318" t="s">
        <v>27518</v>
      </c>
      <c r="G14318" t="s">
        <v>14</v>
      </c>
      <c r="H14318">
             </c>
      <c r="I14318" t="s">
        <v>14</v>
      </c>
      <c r="J14318" t="s">
        <v>141</v>
      </c>
      <c r="K14318" t="s">
        <v>14</v>
      </c>
      <c r="L14318" t="s">
        <v>20</v>
      </c>
      <c r="M14318" t="s">
        <v>27362</v>
      </c>
      <c r="N14318" t="s">
        <v>14</v>
      </c>
    </row>
    <row r="14319" x14ac:dyDescent="0.25">
      <c r="A14319" t="n">
        <v>23</v>
      </c>
      <c r="B14319" t="s">
        <v>14</v>
      </c>
      <c r="C14319" t="s">
        <v>22</v>
      </c>
      <c r="D14319" s="2" t="s">
        <f>=HYPERLINK("https://main.knesset.gov.il/APPS/legislation/main/bills/2085645", "הצעת חוק חוזה הביטוח (תיקון - בחינת סבירות פעולות מבטח, העברת נטל ועיצום כספי), התש""ף-2020")</f>
        <v>27519</v>
      </c>
      <c r="E14319" t="s">
        <v>27519</v>
      </c>
      <c r="F14319" t="s">
        <v>27520</v>
      </c>
      <c r="G14319" t="s">
        <v>14</v>
      </c>
      <c r="H14319">
             </c>
      <c r="I14319" t="s">
        <v>14</v>
      </c>
      <c r="J14319" t="s">
        <v>141</v>
      </c>
      <c r="K14319" t="s">
        <v>14</v>
      </c>
      <c r="L14319" t="s">
        <v>20</v>
      </c>
      <c r="M14319" t="s">
        <v>27362</v>
      </c>
      <c r="N14319" t="s">
        <v>14</v>
      </c>
    </row>
    <row r="14320" x14ac:dyDescent="0.25">
      <c r="A14320" t="n">
        <v>23</v>
      </c>
      <c r="B14320" t="s">
        <v>14</v>
      </c>
      <c r="C14320" t="s">
        <v>22</v>
      </c>
      <c r="D14320" s="2" t="s">
        <f>=HYPERLINK("https://main.knesset.gov.il/APPS/legislation/main/bills/2085636", "הצעת חוק לתיקון פקודת מסי העירייה ומסי הממשלה (פטורין) (פטור מארנונה לבתי חיילים), התש""ף-2020")</f>
        <v>27521</v>
      </c>
      <c r="E14320" t="s">
        <v>27521</v>
      </c>
      <c r="F14320" t="s">
        <v>27522</v>
      </c>
      <c r="G14320" t="s">
        <v>14</v>
      </c>
      <c r="H14320">
             </c>
      <c r="I14320" t="s">
        <v>14</v>
      </c>
      <c r="J14320" t="s">
        <v>141</v>
      </c>
      <c r="K14320" t="s">
        <v>14</v>
      </c>
      <c r="L14320" t="s">
        <v>20</v>
      </c>
      <c r="M14320" t="s">
        <v>27362</v>
      </c>
      <c r="N14320" t="s">
        <v>14</v>
      </c>
    </row>
    <row r="14321" x14ac:dyDescent="0.25">
      <c r="A14321" t="n">
        <v>23</v>
      </c>
      <c r="B14321" t="s">
        <v>14</v>
      </c>
      <c r="C14321" t="s">
        <v>22</v>
      </c>
      <c r="D14321" s="2" t="s">
        <f>=HYPERLINK("https://main.knesset.gov.il/APPS/legislation/main/bills/2086877", "הצעת חוק-יסוד: הכנסת (תיקון - השתתפות בדיון ובהצבעה מרחוק במצב חירום) (הוראת שעה)")</f>
        <v>27523</v>
      </c>
      <c r="E14321" t="s">
        <v>27523</v>
      </c>
      <c r="F14321" t="s">
        <v>27524</v>
      </c>
      <c r="G14321" t="s">
        <v>14</v>
      </c>
      <c r="H14321">
             </c>
      <c r="I14321" t="s">
        <v>14</v>
      </c>
      <c r="J14321" t="s">
        <v>141</v>
      </c>
      <c r="K14321" t="s">
        <v>14</v>
      </c>
      <c r="L14321" t="s">
        <v>20</v>
      </c>
      <c r="M14321" t="s">
        <v>27362</v>
      </c>
      <c r="N14321" t="s">
        <v>14</v>
      </c>
    </row>
    <row r="14322" x14ac:dyDescent="0.25">
      <c r="A14322" t="n">
        <v>23</v>
      </c>
      <c r="B14322" t="s">
        <v>14</v>
      </c>
      <c r="C14322" t="s">
        <v>22</v>
      </c>
      <c r="D14322" s="2" t="s">
        <f>=HYPERLINK("https://main.knesset.gov.il/APPS/legislation/main/bills/2085761", "הצעת חוק לעידוד מחקר, פיתוח וחדשנות טכנולוגית בתעשייה (תיקון - תקציב הרשות הלאומית לחדשנות טכנולוגית), התש""ף-2020")</f>
        <v>23984</v>
      </c>
      <c r="E14322" t="s">
        <v>23984</v>
      </c>
      <c r="F14322" t="s">
        <v>27525</v>
      </c>
      <c r="G14322" t="s">
        <v>14</v>
      </c>
      <c r="H14322">
             </c>
      <c r="I14322" t="s">
        <v>14</v>
      </c>
      <c r="J14322" t="s">
        <v>141</v>
      </c>
      <c r="K14322" t="s">
        <v>14</v>
      </c>
      <c r="L14322" t="s">
        <v>20</v>
      </c>
      <c r="M14322" t="s">
        <v>27362</v>
      </c>
      <c r="N14322" t="s">
        <v>14</v>
      </c>
    </row>
    <row r="14323" x14ac:dyDescent="0.25">
      <c r="A14323" t="n">
        <v>23</v>
      </c>
      <c r="B14323" t="s">
        <v>14</v>
      </c>
      <c r="C14323" t="s">
        <v>22</v>
      </c>
      <c r="D14323" s="2" t="s">
        <f>=HYPERLINK("https://main.knesset.gov.il/APPS/legislation/main/bills/2085819", "הצעת חוק העונשין (תיקון - ביטול העבירה על העלבת עובד ציבור), התש""ף-2020")</f>
        <v>27526</v>
      </c>
      <c r="E14323" t="s">
        <v>27526</v>
      </c>
      <c r="F14323" t="s">
        <v>27527</v>
      </c>
      <c r="G14323" t="s">
        <v>14</v>
      </c>
      <c r="H14323">
             </c>
      <c r="I14323" t="s">
        <v>14</v>
      </c>
      <c r="J14323" t="s">
        <v>141</v>
      </c>
      <c r="K14323" t="s">
        <v>14</v>
      </c>
      <c r="L14323" t="s">
        <v>20</v>
      </c>
      <c r="M14323" t="s">
        <v>27362</v>
      </c>
      <c r="N14323" t="s">
        <v>14</v>
      </c>
    </row>
    <row r="14324" x14ac:dyDescent="0.25">
      <c r="A14324" t="n">
        <v>23</v>
      </c>
      <c r="B14324" t="s">
        <v>14</v>
      </c>
      <c r="C14324" t="s">
        <v>22</v>
      </c>
      <c r="D14324" s="2" t="s">
        <f>=HYPERLINK("https://main.knesset.gov.il/APPS/legislation/main/bills/2085846", "הצעת חוק פיצויים בעד נזק עקב אסון טבע, התש""ף-2020")</f>
        <v>26482</v>
      </c>
      <c r="E14324" t="s">
        <v>26482</v>
      </c>
      <c r="F14324" t="s">
        <v>27528</v>
      </c>
      <c r="G14324" t="s">
        <v>14</v>
      </c>
      <c r="H14324">
             </c>
      <c r="I14324" t="s">
        <v>14</v>
      </c>
      <c r="J14324" t="s">
        <v>141</v>
      </c>
      <c r="K14324" t="s">
        <v>14</v>
      </c>
      <c r="L14324" t="s">
        <v>20</v>
      </c>
      <c r="M14324" t="s">
        <v>27362</v>
      </c>
      <c r="N14324" t="s">
        <v>14</v>
      </c>
    </row>
    <row r="14325" x14ac:dyDescent="0.25">
      <c r="A14325" t="n">
        <v>23</v>
      </c>
      <c r="B14325" t="s">
        <v>14</v>
      </c>
      <c r="C14325" t="s">
        <v>22</v>
      </c>
      <c r="D14325" s="2" t="s">
        <f>=HYPERLINK("https://main.knesset.gov.il/APPS/legislation/main/bills/2085658", "הצעת חוק הביטוח הלאומי (תיקון - דמי אבטלה למי שנמצא בהכשרה מקצועית), התש""ף-2020")</f>
        <v>26492</v>
      </c>
      <c r="E14325" t="s">
        <v>26492</v>
      </c>
      <c r="F14325" t="s">
        <v>27529</v>
      </c>
      <c r="G14325" t="s">
        <v>14</v>
      </c>
      <c r="H14325">
             </c>
      <c r="I14325" t="s">
        <v>14</v>
      </c>
      <c r="J14325" t="s">
        <v>141</v>
      </c>
      <c r="K14325" t="s">
        <v>14</v>
      </c>
      <c r="L14325" t="s">
        <v>20</v>
      </c>
      <c r="M14325" t="s">
        <v>27362</v>
      </c>
      <c r="N14325" t="s">
        <v>14</v>
      </c>
    </row>
    <row r="14326" x14ac:dyDescent="0.25">
      <c r="A14326" t="n">
        <v>23</v>
      </c>
      <c r="B14326" t="s">
        <v>14</v>
      </c>
      <c r="C14326" t="s">
        <v>22</v>
      </c>
      <c r="D14326" s="2" t="s">
        <f>=HYPERLINK("https://main.knesset.gov.il/APPS/legislation/main/bills/2085661", "הצעת חוק שוויון זכויות לאנשים עם מוגבלות (תיקון - הוראות לעניין מוסד על-תיכוני להשכלה תורנית או דתית), התש""ף-2020")</f>
        <v>27530</v>
      </c>
      <c r="E14326" t="s">
        <v>27530</v>
      </c>
      <c r="F14326" t="s">
        <v>27531</v>
      </c>
      <c r="G14326" t="s">
        <v>14</v>
      </c>
      <c r="H14326">
             </c>
      <c r="I14326" t="s">
        <v>14</v>
      </c>
      <c r="J14326" t="s">
        <v>141</v>
      </c>
      <c r="K14326" t="s">
        <v>14</v>
      </c>
      <c r="L14326" t="s">
        <v>20</v>
      </c>
      <c r="M14326" t="s">
        <v>27362</v>
      </c>
      <c r="N14326" t="s">
        <v>14</v>
      </c>
    </row>
    <row r="14327" x14ac:dyDescent="0.25">
      <c r="A14327" t="n">
        <v>23</v>
      </c>
      <c r="B14327" t="s">
        <v>14</v>
      </c>
      <c r="C14327" t="s">
        <v>22</v>
      </c>
      <c r="D14327" s="2" t="s">
        <f>=HYPERLINK("https://main.knesset.gov.il/APPS/legislation/main/bills/2085676", "הצעת חוק התגמולים לנפגעי פעולות איבה (תיקון - פגיעה מנפל), התש""ף-2020")</f>
        <v>27532</v>
      </c>
      <c r="E14327" t="s">
        <v>27532</v>
      </c>
      <c r="F14327" t="s">
        <v>27533</v>
      </c>
      <c r="G14327" t="s">
        <v>14</v>
      </c>
      <c r="H14327">
             </c>
      <c r="I14327" t="s">
        <v>14</v>
      </c>
      <c r="J14327" t="s">
        <v>141</v>
      </c>
      <c r="K14327" t="s">
        <v>14</v>
      </c>
      <c r="L14327" t="s">
        <v>20</v>
      </c>
      <c r="M14327" t="s">
        <v>27362</v>
      </c>
      <c r="N14327" t="s">
        <v>14</v>
      </c>
    </row>
    <row r="14328" x14ac:dyDescent="0.25">
      <c r="A14328" t="n">
        <v>23</v>
      </c>
      <c r="B14328" t="s">
        <v>14</v>
      </c>
      <c r="C14328" t="s">
        <v>22</v>
      </c>
      <c r="D14328" s="2" t="s">
        <f>=HYPERLINK("https://main.knesset.gov.il/APPS/legislation/main/bills/2085686", "הצעת חוק שוויון זכויות לאנשים עם מוגבלות (תיקון - מסירת תעודות לבעלי מוגבלות), התש""ף-2020")</f>
        <v>27534</v>
      </c>
      <c r="E14328" t="s">
        <v>27534</v>
      </c>
      <c r="F14328" t="s">
        <v>27535</v>
      </c>
      <c r="G14328" t="s">
        <v>14</v>
      </c>
      <c r="H14328">
             </c>
      <c r="I14328" t="s">
        <v>14</v>
      </c>
      <c r="J14328" t="s">
        <v>141</v>
      </c>
      <c r="K14328" t="s">
        <v>14</v>
      </c>
      <c r="L14328" t="s">
        <v>20</v>
      </c>
      <c r="M14328" t="s">
        <v>27362</v>
      </c>
      <c r="N14328" t="s">
        <v>14</v>
      </c>
    </row>
    <row r="14329" x14ac:dyDescent="0.25">
      <c r="A14329" t="n">
        <v>23</v>
      </c>
      <c r="B14329" t="s">
        <v>14</v>
      </c>
      <c r="C14329" t="s">
        <v>22</v>
      </c>
      <c r="D14329" s="2" t="s">
        <f>=HYPERLINK("https://main.knesset.gov.il/APPS/legislation/main/bills/2085738", "הצעת חוק הסדרת העיסוק של מעצבי השיער, התש""ף-2020")</f>
        <v>27536</v>
      </c>
      <c r="E14329" t="s">
        <v>27536</v>
      </c>
      <c r="F14329" t="s">
        <v>27537</v>
      </c>
      <c r="G14329" t="s">
        <v>14</v>
      </c>
      <c r="H14329">
             </c>
      <c r="I14329" t="s">
        <v>14</v>
      </c>
      <c r="J14329" t="s">
        <v>141</v>
      </c>
      <c r="K14329" t="s">
        <v>14</v>
      </c>
      <c r="L14329" t="s">
        <v>20</v>
      </c>
      <c r="M14329" t="s">
        <v>27362</v>
      </c>
      <c r="N14329" t="s">
        <v>14</v>
      </c>
    </row>
    <row r="14330" x14ac:dyDescent="0.25">
      <c r="A14330" t="n">
        <v>23</v>
      </c>
      <c r="B14330" t="s">
        <v>14</v>
      </c>
      <c r="C14330" t="s">
        <v>22</v>
      </c>
      <c r="D14330" s="2" t="s">
        <f>=HYPERLINK("https://main.knesset.gov.il/APPS/legislation/main/bills/2085692", "הצעת חוק ביטוח בריאות ממלכתי (תיקון - צמצום פערים בין הפריפריה למרכז), התש""ף-2020")</f>
        <v>26138</v>
      </c>
      <c r="E14330" t="s">
        <v>26138</v>
      </c>
      <c r="F14330" t="s">
        <v>27538</v>
      </c>
      <c r="G14330" t="s">
        <v>14</v>
      </c>
      <c r="H14330">
             </c>
      <c r="I14330" t="s">
        <v>14</v>
      </c>
      <c r="J14330" t="s">
        <v>141</v>
      </c>
      <c r="K14330" t="s">
        <v>14</v>
      </c>
      <c r="L14330" t="s">
        <v>20</v>
      </c>
      <c r="M14330" t="s">
        <v>27362</v>
      </c>
      <c r="N14330" t="s">
        <v>14</v>
      </c>
    </row>
    <row r="14331" x14ac:dyDescent="0.25">
      <c r="A14331" t="n">
        <v>23</v>
      </c>
      <c r="B14331" t="s">
        <v>14</v>
      </c>
      <c r="C14331" t="s">
        <v>22</v>
      </c>
      <c r="D14331" s="2" t="s">
        <f>=HYPERLINK("https://main.knesset.gov.il/APPS/legislation/main/bills/2085748", "הצעת חוק הגנת הצרכן (תיקון - אחריות מנהל כללי ונושא משרה בשל הפרת הוראות החוק), התש""ף-2020 ")</f>
        <v>27539</v>
      </c>
      <c r="E14331" t="s">
        <v>27539</v>
      </c>
      <c r="F14331" t="s">
        <v>27540</v>
      </c>
      <c r="G14331" t="s">
        <v>14</v>
      </c>
      <c r="H14331">
             </c>
      <c r="I14331" t="s">
        <v>14</v>
      </c>
      <c r="J14331" t="s">
        <v>141</v>
      </c>
      <c r="K14331" t="s">
        <v>14</v>
      </c>
      <c r="L14331" t="s">
        <v>20</v>
      </c>
      <c r="M14331" t="s">
        <v>27362</v>
      </c>
      <c r="N14331" t="s">
        <v>14</v>
      </c>
    </row>
    <row r="14332" x14ac:dyDescent="0.25">
      <c r="A14332" t="n">
        <v>23</v>
      </c>
      <c r="B14332" t="s">
        <v>14</v>
      </c>
      <c r="C14332" t="s">
        <v>22</v>
      </c>
      <c r="D14332" s="2" t="s">
        <f>=HYPERLINK("https://main.knesset.gov.il/APPS/legislation/main/bills/2085691", "הצעת חוק הכרה ברצח העם הארמני וציון יום זיכרון, התש""ף-2020")</f>
        <v>27541</v>
      </c>
      <c r="E14332" t="s">
        <v>27541</v>
      </c>
      <c r="F14332" t="s">
        <v>27542</v>
      </c>
      <c r="G14332" t="s">
        <v>14</v>
      </c>
      <c r="H14332">
             </c>
      <c r="I14332" t="s">
        <v>14</v>
      </c>
      <c r="J14332" t="s">
        <v>141</v>
      </c>
      <c r="K14332" t="s">
        <v>14</v>
      </c>
      <c r="L14332" t="s">
        <v>20</v>
      </c>
      <c r="M14332" t="s">
        <v>27362</v>
      </c>
      <c r="N14332" t="s">
        <v>14</v>
      </c>
    </row>
    <row r="14333" x14ac:dyDescent="0.25">
      <c r="A14333" t="n">
        <v>23</v>
      </c>
      <c r="B14333" t="s">
        <v>14</v>
      </c>
      <c r="C14333" t="s">
        <v>22</v>
      </c>
      <c r="D14333" s="2" t="s">
        <f>=HYPERLINK("https://main.knesset.gov.il/APPS/legislation/main/bills/2085664", "הצעת חוק איסור הונאה בכשרות (תיקון - כשרות בלבד ובית אוכל הפתוח בשבת), התש""ף-2020")</f>
        <v>27543</v>
      </c>
      <c r="E14333" t="s">
        <v>27543</v>
      </c>
      <c r="F14333" t="s">
        <v>27544</v>
      </c>
      <c r="G14333" t="s">
        <v>14</v>
      </c>
      <c r="H14333">
             </c>
      <c r="I14333" t="s">
        <v>14</v>
      </c>
      <c r="J14333" t="s">
        <v>141</v>
      </c>
      <c r="K14333" t="s">
        <v>14</v>
      </c>
      <c r="L14333" t="s">
        <v>20</v>
      </c>
      <c r="M14333" t="s">
        <v>27362</v>
      </c>
      <c r="N14333" t="s">
        <v>14</v>
      </c>
    </row>
    <row r="14334" x14ac:dyDescent="0.25">
      <c r="A14334" t="n">
        <v>23</v>
      </c>
      <c r="B14334" t="s">
        <v>14</v>
      </c>
      <c r="C14334" t="s">
        <v>22</v>
      </c>
      <c r="D14334" s="2" t="s">
        <f>=HYPERLINK("https://main.knesset.gov.il/APPS/legislation/main/bills/2085660", "הצעת חוק איסור ייבוא ומכירת כבד של בעלי חיים שעברו התעללות, התש""ף-2020")</f>
        <v>27545</v>
      </c>
      <c r="E14334" t="s">
        <v>27545</v>
      </c>
      <c r="F14334" t="s">
        <v>27546</v>
      </c>
      <c r="G14334" t="s">
        <v>14</v>
      </c>
      <c r="H14334">
             </c>
      <c r="I14334" t="s">
        <v>14</v>
      </c>
      <c r="J14334" t="s">
        <v>141</v>
      </c>
      <c r="K14334" t="s">
        <v>14</v>
      </c>
      <c r="L14334" t="s">
        <v>20</v>
      </c>
      <c r="M14334" t="s">
        <v>27362</v>
      </c>
      <c r="N14334" t="s">
        <v>14</v>
      </c>
    </row>
    <row r="14335" x14ac:dyDescent="0.25">
      <c r="A14335" t="n">
        <v>23</v>
      </c>
      <c r="B14335" t="s">
        <v>14</v>
      </c>
      <c r="C14335" t="s">
        <v>22</v>
      </c>
      <c r="D14335" s="2" t="s">
        <f>=HYPERLINK("https://main.knesset.gov.il/APPS/legislation/main/bills/2085700", "הצעת חוק לשכת עורכי הדין (תיקון - ייצוג בפני בוררות המתנהלת על פי דין דתי), התש""ף-2020")</f>
        <v>27547</v>
      </c>
      <c r="E14335" t="s">
        <v>27547</v>
      </c>
      <c r="F14335" t="s">
        <v>27548</v>
      </c>
      <c r="G14335" t="s">
        <v>14</v>
      </c>
      <c r="H14335">
             </c>
      <c r="I14335" t="s">
        <v>14</v>
      </c>
      <c r="J14335" t="s">
        <v>141</v>
      </c>
      <c r="K14335" t="s">
        <v>14</v>
      </c>
      <c r="L14335" t="s">
        <v>20</v>
      </c>
      <c r="M14335" t="s">
        <v>27362</v>
      </c>
      <c r="N14335" t="s">
        <v>14</v>
      </c>
    </row>
    <row r="14336" x14ac:dyDescent="0.25">
      <c r="A14336" t="n">
        <v>23</v>
      </c>
      <c r="B14336" t="s">
        <v>14</v>
      </c>
      <c r="C14336" t="s">
        <v>22</v>
      </c>
      <c r="D14336" s="2" t="s">
        <f>=HYPERLINK("https://main.knesset.gov.il/APPS/legislation/main/bills/2085699", "הצעת חוק זכות יוצרים (תיקון - התרת ביצוע פומבי של יצירה מוסיקלית בעסק קטן), התש""ף-2020")</f>
        <v>27549</v>
      </c>
      <c r="E14336" t="s">
        <v>27549</v>
      </c>
      <c r="F14336" t="s">
        <v>27550</v>
      </c>
      <c r="G14336" t="s">
        <v>14</v>
      </c>
      <c r="H14336">
             </c>
      <c r="I14336" t="s">
        <v>14</v>
      </c>
      <c r="J14336" t="s">
        <v>141</v>
      </c>
      <c r="K14336" t="s">
        <v>14</v>
      </c>
      <c r="L14336" t="s">
        <v>20</v>
      </c>
      <c r="M14336" t="s">
        <v>27362</v>
      </c>
      <c r="N14336" t="s">
        <v>14</v>
      </c>
    </row>
    <row r="14337" x14ac:dyDescent="0.25">
      <c r="A14337" t="n">
        <v>23</v>
      </c>
      <c r="B14337" t="s">
        <v>14</v>
      </c>
      <c r="C14337" t="s">
        <v>22</v>
      </c>
      <c r="D14337" s="2" t="s">
        <f>=HYPERLINK("https://main.knesset.gov.il/APPS/legislation/main/bills/2085787", "הצעת חוק אימוץ ילדים (תיקון - אימוץ על ידי הורה יחיד), התש""ף-2020")</f>
        <v>22721</v>
      </c>
      <c r="E14337" t="s">
        <v>22721</v>
      </c>
      <c r="F14337" t="s">
        <v>27551</v>
      </c>
      <c r="G14337" t="s">
        <v>14</v>
      </c>
      <c r="H14337">
             </c>
      <c r="I14337" t="s">
        <v>14</v>
      </c>
      <c r="J14337" t="s">
        <v>141</v>
      </c>
      <c r="K14337" t="s">
        <v>14</v>
      </c>
      <c r="L14337" t="s">
        <v>20</v>
      </c>
      <c r="M14337" t="s">
        <v>27362</v>
      </c>
      <c r="N14337" t="s">
        <v>14</v>
      </c>
    </row>
    <row r="14338" x14ac:dyDescent="0.25">
      <c r="A14338" t="n">
        <v>23</v>
      </c>
      <c r="B14338" t="s">
        <v>14</v>
      </c>
      <c r="C14338" t="s">
        <v>22</v>
      </c>
      <c r="D14338" s="2" t="s">
        <f>=HYPERLINK("https://main.knesset.gov.il/APPS/legislation/main/bills/2085744", "הצעת חוק העונשין (תיקון - פרסום מודעות שעולה מהן הפליה), התש""ף-2020")</f>
        <v>27552</v>
      </c>
      <c r="E14338" t="s">
        <v>27552</v>
      </c>
      <c r="F14338" t="s">
        <v>27553</v>
      </c>
      <c r="G14338" t="s">
        <v>14</v>
      </c>
      <c r="H14338">
             </c>
      <c r="I14338" t="s">
        <v>14</v>
      </c>
      <c r="J14338" t="s">
        <v>141</v>
      </c>
      <c r="K14338" t="s">
        <v>14</v>
      </c>
      <c r="L14338" t="s">
        <v>20</v>
      </c>
      <c r="M14338" t="s">
        <v>27362</v>
      </c>
      <c r="N14338" t="s">
        <v>14</v>
      </c>
    </row>
    <row r="14339" x14ac:dyDescent="0.25">
      <c r="A14339" t="n">
        <v>23</v>
      </c>
      <c r="B14339" t="s">
        <v>14</v>
      </c>
      <c r="C14339" t="s">
        <v>22</v>
      </c>
      <c r="D14339" s="2" t="s">
        <f>=HYPERLINK("https://main.knesset.gov.il/APPS/legislation/main/bills/2085797", "הצעת חוק הבחירות לכנסת (תיקון - הצבעת אזרחים מחוץ לישראל), התש""ף-2020")</f>
        <v>27554</v>
      </c>
      <c r="E14339" t="s">
        <v>27554</v>
      </c>
      <c r="F14339" t="s">
        <v>27555</v>
      </c>
      <c r="G14339" t="s">
        <v>14</v>
      </c>
      <c r="H14339">
             </c>
      <c r="I14339" t="s">
        <v>14</v>
      </c>
      <c r="J14339" t="s">
        <v>343</v>
      </c>
      <c r="K14339" t="s">
        <v>14</v>
      </c>
      <c r="L14339" t="s">
        <v>20</v>
      </c>
      <c r="M14339" t="s">
        <v>27362</v>
      </c>
      <c r="N14339" t="s">
        <v>14</v>
      </c>
    </row>
    <row r="14340" x14ac:dyDescent="0.25">
      <c r="A14340" t="n">
        <v>23</v>
      </c>
      <c r="B14340" t="s">
        <v>14</v>
      </c>
      <c r="C14340" t="s">
        <v>22</v>
      </c>
      <c r="D14340" s="2" t="s">
        <f>=HYPERLINK("https://main.knesset.gov.il/APPS/legislation/main/bills/2085634", "הצעת חוק הביטוח לאומי (תיקון - ביטוח זכויות עצמאי שעיקר הכנסתו מעסק שמצוי בפשיטת רגל או בפירוק), התש""ף-2020")</f>
        <v>26142</v>
      </c>
      <c r="E14340" t="s">
        <v>26142</v>
      </c>
      <c r="F14340" t="s">
        <v>27556</v>
      </c>
      <c r="G14340" t="s">
        <v>14</v>
      </c>
      <c r="H14340">
             </c>
      <c r="I14340" t="s">
        <v>14</v>
      </c>
      <c r="J14340" t="s">
        <v>141</v>
      </c>
      <c r="K14340" t="s">
        <v>14</v>
      </c>
      <c r="L14340" t="s">
        <v>20</v>
      </c>
      <c r="M14340" t="s">
        <v>27362</v>
      </c>
      <c r="N14340" t="s">
        <v>14</v>
      </c>
    </row>
    <row r="14341" x14ac:dyDescent="0.25">
      <c r="A14341" t="n">
        <v>23</v>
      </c>
      <c r="B14341" t="s">
        <v>14</v>
      </c>
      <c r="C14341" t="s">
        <v>22</v>
      </c>
      <c r="D14341" s="2" t="s">
        <f>=HYPERLINK("https://main.knesset.gov.il/APPS/legislation/main/bills/2085685", "הצעת חוק-יסוד: הכנסת (תיקון - מניין חברי הכנסת במליאה)")</f>
        <v>3333</v>
      </c>
      <c r="E14341" t="s">
        <v>3333</v>
      </c>
      <c r="F14341" t="s">
        <v>27557</v>
      </c>
      <c r="G14341" t="s">
        <v>14</v>
      </c>
      <c r="H14341">
             </c>
      <c r="I14341" t="s">
        <v>14</v>
      </c>
      <c r="J14341" t="s">
        <v>141</v>
      </c>
      <c r="K14341" t="s">
        <v>14</v>
      </c>
      <c r="L14341" t="s">
        <v>20</v>
      </c>
      <c r="M14341" t="s">
        <v>27362</v>
      </c>
      <c r="N14341" t="s">
        <v>14</v>
      </c>
    </row>
    <row r="14342" x14ac:dyDescent="0.25">
      <c r="A14342" t="n">
        <v>23</v>
      </c>
      <c r="B14342" t="s">
        <v>14</v>
      </c>
      <c r="C14342" t="s">
        <v>22</v>
      </c>
      <c r="D14342" s="2" t="s">
        <f>=HYPERLINK("https://main.knesset.gov.il/APPS/legislation/main/bills/2085607", "הצעת חוק דמי מחלה (היעדרות בשל מחלת ילד) (תיקון - מחלת תינוק), התש""ף-2020")</f>
        <v>27558</v>
      </c>
      <c r="E14342" t="s">
        <v>27558</v>
      </c>
      <c r="F14342" t="s">
        <v>27559</v>
      </c>
      <c r="G14342" t="s">
        <v>14</v>
      </c>
      <c r="H14342">
             </c>
      <c r="I14342" t="s">
        <v>14</v>
      </c>
      <c r="J14342" t="s">
        <v>141</v>
      </c>
      <c r="K14342" t="s">
        <v>14</v>
      </c>
      <c r="L14342" t="s">
        <v>20</v>
      </c>
      <c r="M14342" t="s">
        <v>27362</v>
      </c>
      <c r="N14342" t="s">
        <v>14</v>
      </c>
    </row>
    <row r="14343" x14ac:dyDescent="0.25">
      <c r="A14343" t="n">
        <v>23</v>
      </c>
      <c r="B14343" t="s">
        <v>14</v>
      </c>
      <c r="C14343" t="s">
        <v>22</v>
      </c>
      <c r="D14343" s="2" t="s">
        <f>=HYPERLINK("https://main.knesset.gov.il/APPS/legislation/main/bills/2085625", "הצעת חוק משפחות חיילים שנספו במערכה (תגמולים ושיקום) (תיקון - גמול לאח הנספה), התש""ף-2020")</f>
        <v>27560</v>
      </c>
      <c r="E14343" t="s">
        <v>27560</v>
      </c>
      <c r="F14343" t="s">
        <v>27561</v>
      </c>
      <c r="G14343" t="s">
        <v>14</v>
      </c>
      <c r="H14343">
             </c>
      <c r="I14343" t="s">
        <v>14</v>
      </c>
      <c r="J14343" t="s">
        <v>141</v>
      </c>
      <c r="K14343" t="s">
        <v>14</v>
      </c>
      <c r="L14343" t="s">
        <v>20</v>
      </c>
      <c r="M14343" t="s">
        <v>27362</v>
      </c>
      <c r="N14343" t="s">
        <v>14</v>
      </c>
    </row>
    <row r="14344" x14ac:dyDescent="0.25">
      <c r="A14344" t="n">
        <v>23</v>
      </c>
      <c r="B14344" t="s">
        <v>14</v>
      </c>
      <c r="C14344" t="s">
        <v>22</v>
      </c>
      <c r="D14344" s="2" t="s">
        <f>=HYPERLINK("https://main.knesset.gov.il/APPS/legislation/main/bills/2085654", "הצעת חוק ביטוח בריאות ממלכתי (תיקון - הרחבת הסדרי הבחירה), התש""ף-2020")</f>
        <v>27562</v>
      </c>
      <c r="E14344" t="s">
        <v>27562</v>
      </c>
      <c r="F14344" t="s">
        <v>27563</v>
      </c>
      <c r="G14344" t="s">
        <v>14</v>
      </c>
      <c r="H14344">
             </c>
      <c r="I14344" t="s">
        <v>14</v>
      </c>
      <c r="J14344" t="s">
        <v>141</v>
      </c>
      <c r="K14344" t="s">
        <v>14</v>
      </c>
      <c r="L14344" t="s">
        <v>20</v>
      </c>
      <c r="M14344" t="s">
        <v>27362</v>
      </c>
      <c r="N14344" t="s">
        <v>14</v>
      </c>
    </row>
    <row r="14345" x14ac:dyDescent="0.25">
      <c r="A14345" t="n">
        <v>23</v>
      </c>
      <c r="B14345" t="s">
        <v>14</v>
      </c>
      <c r="C14345" t="s">
        <v>22</v>
      </c>
      <c r="D14345" s="2" t="s">
        <f>=HYPERLINK("https://main.knesset.gov.il/APPS/legislation/main/bills/2085647", "הצעת חוק חינוך ממלכתי (תיקון - מימון מוסדות חינוך מוכרים לא רשמיים), התש""ף-2020")</f>
        <v>27564</v>
      </c>
      <c r="E14345" t="s">
        <v>27564</v>
      </c>
      <c r="F14345" t="s">
        <v>27565</v>
      </c>
      <c r="G14345" t="s">
        <v>14</v>
      </c>
      <c r="H14345">
             </c>
      <c r="I14345" t="s">
        <v>14</v>
      </c>
      <c r="J14345" t="s">
        <v>141</v>
      </c>
      <c r="K14345" t="s">
        <v>14</v>
      </c>
      <c r="L14345" t="s">
        <v>20</v>
      </c>
      <c r="M14345" t="s">
        <v>27362</v>
      </c>
      <c r="N14345" t="s">
        <v>14</v>
      </c>
    </row>
    <row r="14346" x14ac:dyDescent="0.25">
      <c r="A14346" t="n">
        <v>23</v>
      </c>
      <c r="B14346" t="s">
        <v>14</v>
      </c>
      <c r="C14346" t="s">
        <v>22</v>
      </c>
      <c r="D14346" s="2" t="s">
        <f>=HYPERLINK("https://main.knesset.gov.il/APPS/legislation/main/bills/2085612", "הצעת חוק חג המצות (איסורי חמץ) (תיקון - ביטול החוק), התש""ף-2019")</f>
        <v>27566</v>
      </c>
      <c r="E14346" t="s">
        <v>27566</v>
      </c>
      <c r="F14346" t="s">
        <v>27567</v>
      </c>
      <c r="G14346" t="s">
        <v>14</v>
      </c>
      <c r="H14346">
             </c>
      <c r="I14346" t="s">
        <v>14</v>
      </c>
      <c r="J14346" t="s">
        <v>141</v>
      </c>
      <c r="K14346" t="s">
        <v>14</v>
      </c>
      <c r="L14346" t="s">
        <v>20</v>
      </c>
      <c r="M14346" t="s">
        <v>27362</v>
      </c>
      <c r="N14346" t="s">
        <v>14</v>
      </c>
    </row>
    <row r="14347" x14ac:dyDescent="0.25">
      <c r="A14347" t="n">
        <v>23</v>
      </c>
      <c r="B14347" t="s">
        <v>14</v>
      </c>
      <c r="C14347" t="s">
        <v>22</v>
      </c>
      <c r="D14347" s="2" t="s">
        <f>=HYPERLINK("https://main.knesset.gov.il/APPS/legislation/main/bills/2085653", "הצעת חוק הדחת נציג ציבור התומך במאבק מזוין נגד מדינת ישראל (תיקוני חקיקה), התש""ף-2020")</f>
        <v>24431</v>
      </c>
      <c r="E14347" t="s">
        <v>24431</v>
      </c>
      <c r="F14347" t="s">
        <v>27568</v>
      </c>
      <c r="G14347" t="s">
        <v>14</v>
      </c>
      <c r="H14347">
             </c>
      <c r="I14347" t="s">
        <v>14</v>
      </c>
      <c r="J14347" t="s">
        <v>141</v>
      </c>
      <c r="K14347" t="s">
        <v>14</v>
      </c>
      <c r="L14347" t="s">
        <v>20</v>
      </c>
      <c r="M14347" t="s">
        <v>27362</v>
      </c>
      <c r="N14347" t="s">
        <v>14</v>
      </c>
    </row>
    <row r="14348" x14ac:dyDescent="0.25">
      <c r="A14348" t="n">
        <v>23</v>
      </c>
      <c r="B14348" t="s">
        <v>14</v>
      </c>
      <c r="C14348" t="s">
        <v>22</v>
      </c>
      <c r="D14348" s="2" t="s">
        <f>=HYPERLINK("https://main.knesset.gov.il/APPS/legislation/main/bills/2085601", "הצעת חוק הגנת הצרכן (תיקון - חובת הקלטה של עסקה טלפונית), התש""ף-2020")</f>
        <v>24753</v>
      </c>
      <c r="E14348" t="s">
        <v>24753</v>
      </c>
      <c r="F14348" t="s">
        <v>27569</v>
      </c>
      <c r="G14348" t="s">
        <v>14</v>
      </c>
      <c r="H14348">
             </c>
      <c r="I14348" t="s">
        <v>14</v>
      </c>
      <c r="J14348" t="s">
        <v>141</v>
      </c>
      <c r="K14348" t="s">
        <v>14</v>
      </c>
      <c r="L14348" t="s">
        <v>20</v>
      </c>
      <c r="M14348" t="s">
        <v>27362</v>
      </c>
      <c r="N14348" t="s">
        <v>14</v>
      </c>
    </row>
    <row r="14349" x14ac:dyDescent="0.25">
      <c r="A14349" t="n">
        <v>23</v>
      </c>
      <c r="B14349" t="s">
        <v>14</v>
      </c>
      <c r="C14349" t="s">
        <v>22</v>
      </c>
      <c r="D14349" s="2" t="s">
        <f>=HYPERLINK("https://main.knesset.gov.il/APPS/legislation/main/bills/2085615", "הצעת חוק לתיקון פקודת התעבורה (פטור מאגרת רישיון לרכב חשמלי), התש""ף-2020")</f>
        <v>25102</v>
      </c>
      <c r="E14349" t="s">
        <v>25102</v>
      </c>
      <c r="F14349" t="s">
        <v>27570</v>
      </c>
      <c r="G14349" t="s">
        <v>14</v>
      </c>
      <c r="H14349">
             </c>
      <c r="I14349" t="s">
        <v>14</v>
      </c>
      <c r="J14349" t="s">
        <v>141</v>
      </c>
      <c r="K14349" t="s">
        <v>14</v>
      </c>
      <c r="L14349" t="s">
        <v>20</v>
      </c>
      <c r="M14349" t="s">
        <v>27362</v>
      </c>
      <c r="N14349" t="s">
        <v>14</v>
      </c>
    </row>
    <row r="14350" x14ac:dyDescent="0.25">
      <c r="A14350" t="n">
        <v>23</v>
      </c>
      <c r="B14350" t="s">
        <v>14</v>
      </c>
      <c r="C14350" t="s">
        <v>22</v>
      </c>
      <c r="D14350" s="2" t="s">
        <f>=HYPERLINK("https://main.knesset.gov.il/APPS/legislation/main/bills/2085617", "הצעת חוק הגנת הצרכן (תיקון - מאגר צרכנים להגבלת שיחות שיווק מרחוק), התש""ף-2020")</f>
        <v>23860</v>
      </c>
      <c r="E14350" t="s">
        <v>23860</v>
      </c>
      <c r="F14350" t="s">
        <v>27571</v>
      </c>
      <c r="G14350" t="s">
        <v>14</v>
      </c>
      <c r="H14350">
             </c>
      <c r="I14350" t="s">
        <v>14</v>
      </c>
      <c r="J14350" t="s">
        <v>141</v>
      </c>
      <c r="K14350" t="s">
        <v>14</v>
      </c>
      <c r="L14350" t="s">
        <v>20</v>
      </c>
      <c r="M14350" t="s">
        <v>27362</v>
      </c>
      <c r="N14350" t="s">
        <v>14</v>
      </c>
    </row>
    <row r="14351" x14ac:dyDescent="0.25">
      <c r="A14351" t="n">
        <v>23</v>
      </c>
      <c r="B14351" t="s">
        <v>14</v>
      </c>
      <c r="C14351" t="s">
        <v>22</v>
      </c>
      <c r="D14351" s="2" t="s">
        <f>=HYPERLINK("https://main.knesset.gov.il/APPS/legislation/main/bills/2085626", "הצעת חוק הביטוח הלאומי (תיקון - תגמול למשרתים במילואים), התש""ף-2020")</f>
        <v>27572</v>
      </c>
      <c r="E14351" t="s">
        <v>27572</v>
      </c>
      <c r="F14351" t="s">
        <v>27573</v>
      </c>
      <c r="G14351" t="s">
        <v>14</v>
      </c>
      <c r="H14351">
             </c>
      <c r="I14351" t="s">
        <v>14</v>
      </c>
      <c r="J14351" t="s">
        <v>141</v>
      </c>
      <c r="K14351" t="s">
        <v>14</v>
      </c>
      <c r="L14351" t="s">
        <v>20</v>
      </c>
      <c r="M14351" t="s">
        <v>27362</v>
      </c>
      <c r="N14351" t="s">
        <v>14</v>
      </c>
    </row>
    <row r="14352" x14ac:dyDescent="0.25">
      <c r="A14352" t="n">
        <v>23</v>
      </c>
      <c r="B14352" t="s">
        <v>14</v>
      </c>
      <c r="C14352" t="s">
        <v>22</v>
      </c>
      <c r="D14352" s="2" t="s">
        <f>=HYPERLINK("https://main.knesset.gov.il/APPS/legislation/main/bills/2085650", "הצעת חוק העונשין (תיקון - איסור תיעוד של חיילי צבא ההגנה לישראל), התש""ף-2020")</f>
        <v>27574</v>
      </c>
      <c r="E14352" t="s">
        <v>27574</v>
      </c>
      <c r="F14352" t="s">
        <v>27575</v>
      </c>
      <c r="G14352" t="s">
        <v>14</v>
      </c>
      <c r="H14352">
             </c>
      <c r="I14352" t="s">
        <v>14</v>
      </c>
      <c r="J14352" t="s">
        <v>141</v>
      </c>
      <c r="K14352" t="s">
        <v>14</v>
      </c>
      <c r="L14352" t="s">
        <v>20</v>
      </c>
      <c r="M14352" t="s">
        <v>27362</v>
      </c>
      <c r="N14352" t="s">
        <v>14</v>
      </c>
    </row>
    <row r="14353" x14ac:dyDescent="0.25">
      <c r="A14353" t="n">
        <v>23</v>
      </c>
      <c r="B14353" t="s">
        <v>14</v>
      </c>
      <c r="C14353" t="s">
        <v>22</v>
      </c>
      <c r="D14353" s="2" t="s">
        <f>=HYPERLINK("https://main.knesset.gov.il/APPS/legislation/main/bills/2085616", "הצעת חוק הלוואות לדיור (תיקון - הלוואה כהון עצמי) (הוראת שעה), התש""ף-2020")</f>
        <v>27576</v>
      </c>
      <c r="E14353" t="s">
        <v>27576</v>
      </c>
      <c r="F14353" t="s">
        <v>27577</v>
      </c>
      <c r="G14353" t="s">
        <v>14</v>
      </c>
      <c r="H14353">
             </c>
      <c r="I14353" t="s">
        <v>14</v>
      </c>
      <c r="J14353" t="s">
        <v>141</v>
      </c>
      <c r="K14353" t="s">
        <v>14</v>
      </c>
      <c r="L14353" t="s">
        <v>20</v>
      </c>
      <c r="M14353" t="s">
        <v>27362</v>
      </c>
      <c r="N14353" t="s">
        <v>14</v>
      </c>
    </row>
    <row r="14354" x14ac:dyDescent="0.25">
      <c r="A14354" t="n">
        <v>23</v>
      </c>
      <c r="B14354" t="s">
        <v>14</v>
      </c>
      <c r="C14354" t="s">
        <v>22</v>
      </c>
      <c r="D14354" s="2" t="s">
        <f>=HYPERLINK("https://main.knesset.gov.il/APPS/legislation/main/bills/2085589", "הצעת חוק איסור פרסום והפצת שמות נפגעים, התש""ף-2020")</f>
        <v>24825</v>
      </c>
      <c r="E14354" t="s">
        <v>24825</v>
      </c>
      <c r="F14354" t="s">
        <v>27578</v>
      </c>
      <c r="G14354" t="s">
        <v>14</v>
      </c>
      <c r="H14354">
             </c>
      <c r="I14354" t="s">
        <v>14</v>
      </c>
      <c r="J14354" t="s">
        <v>141</v>
      </c>
      <c r="K14354" t="s">
        <v>14</v>
      </c>
      <c r="L14354" t="s">
        <v>20</v>
      </c>
      <c r="M14354" t="s">
        <v>27362</v>
      </c>
      <c r="N14354" t="s">
        <v>14</v>
      </c>
    </row>
    <row r="14355" x14ac:dyDescent="0.25">
      <c r="A14355" t="n">
        <v>23</v>
      </c>
      <c r="B14355" t="s">
        <v>14</v>
      </c>
      <c r="C14355" t="s">
        <v>22</v>
      </c>
      <c r="D14355" s="2" t="s">
        <f>=HYPERLINK("https://main.knesset.gov.il/APPS/legislation/main/bills/2085585", "הצעת חוק הביטוח הלאומי (תיקון - נכה שהגיע לגיל פרישה), התש""ף-2020")</f>
        <v>27579</v>
      </c>
      <c r="E14355" t="s">
        <v>27579</v>
      </c>
      <c r="F14355" t="s">
        <v>27580</v>
      </c>
      <c r="G14355" t="s">
        <v>14</v>
      </c>
      <c r="H14355">
             </c>
      <c r="I14355" t="s">
        <v>14</v>
      </c>
      <c r="J14355" t="s">
        <v>141</v>
      </c>
      <c r="K14355" t="s">
        <v>14</v>
      </c>
      <c r="L14355" t="s">
        <v>20</v>
      </c>
      <c r="M14355" t="s">
        <v>27362</v>
      </c>
      <c r="N14355" t="s">
        <v>14</v>
      </c>
    </row>
    <row r="14356" x14ac:dyDescent="0.25">
      <c r="A14356" t="n">
        <v>23</v>
      </c>
      <c r="B14356" t="s">
        <v>14</v>
      </c>
      <c r="C14356" t="s">
        <v>22</v>
      </c>
      <c r="D14356" s="2" t="s">
        <f>=HYPERLINK("https://main.knesset.gov.il/APPS/legislation/main/bills/2085578", "הצעת חוק זכויות החולה (תיקון - זכות מטופל לקבל רשומות רפואיות), התש""ף-2020")</f>
        <v>27233</v>
      </c>
      <c r="E14356" t="s">
        <v>27233</v>
      </c>
      <c r="F14356" t="s">
        <v>27581</v>
      </c>
      <c r="G14356" t="s">
        <v>14</v>
      </c>
      <c r="H14356">
             </c>
      <c r="I14356" t="s">
        <v>14</v>
      </c>
      <c r="J14356" t="s">
        <v>141</v>
      </c>
      <c r="K14356" t="s">
        <v>14</v>
      </c>
      <c r="L14356" t="s">
        <v>20</v>
      </c>
      <c r="M14356" t="s">
        <v>27362</v>
      </c>
      <c r="N14356" t="s">
        <v>14</v>
      </c>
    </row>
    <row r="14357" x14ac:dyDescent="0.25">
      <c r="A14357" t="n">
        <v>23</v>
      </c>
      <c r="B14357" t="s">
        <v>14</v>
      </c>
      <c r="C14357" t="s">
        <v>22</v>
      </c>
      <c r="D14357" s="2" t="s">
        <f>=HYPERLINK("https://main.knesset.gov.il/APPS/legislation/main/bills/2085576", "הצעת חוק-יסוד: הממשלה (תיקון - הפסקת כהונה של ראש ממשלה בממשלת מעבר שהוגש נגדו כתב אישום)")</f>
        <v>27582</v>
      </c>
      <c r="E14357" t="s">
        <v>27582</v>
      </c>
      <c r="F14357" t="s">
        <v>27583</v>
      </c>
      <c r="G14357" t="s">
        <v>14</v>
      </c>
      <c r="H14357">
             </c>
      <c r="I14357" t="s">
        <v>14</v>
      </c>
      <c r="J14357" t="s">
        <v>141</v>
      </c>
      <c r="K14357" t="s">
        <v>14</v>
      </c>
      <c r="L14357" t="s">
        <v>20</v>
      </c>
      <c r="M14357" t="s">
        <v>27362</v>
      </c>
      <c r="N14357" t="s">
        <v>14</v>
      </c>
    </row>
    <row r="14358" x14ac:dyDescent="0.25">
      <c r="A14358" t="n">
        <v>23</v>
      </c>
      <c r="B14358" t="s">
        <v>14</v>
      </c>
      <c r="C14358" t="s">
        <v>22</v>
      </c>
      <c r="D14358" s="2" t="s">
        <f>=HYPERLINK("https://main.knesset.gov.il/APPS/legislation/main/bills/2085575", "הצעת חוק לקביעת שעות ההצבעה בקלפיות ולקביעת היקף יום השבתון בבחירות לכנסת ולרשויות המקומיות (תיקוני חקיקה), התש""ף-2020")</f>
        <v>27584</v>
      </c>
      <c r="E14358" t="s">
        <v>27584</v>
      </c>
      <c r="F14358" t="s">
        <v>27585</v>
      </c>
      <c r="G14358" t="s">
        <v>14</v>
      </c>
      <c r="H14358">
             </c>
      <c r="I14358" t="s">
        <v>14</v>
      </c>
      <c r="J14358" t="s">
        <v>141</v>
      </c>
      <c r="K14358" t="s">
        <v>14</v>
      </c>
      <c r="L14358" t="s">
        <v>20</v>
      </c>
      <c r="M14358" t="s">
        <v>27362</v>
      </c>
      <c r="N14358" t="s">
        <v>14</v>
      </c>
    </row>
    <row r="14359" x14ac:dyDescent="0.25">
      <c r="A14359" t="n">
        <v>23</v>
      </c>
      <c r="B14359" t="s">
        <v>14</v>
      </c>
      <c r="C14359" t="s">
        <v>22</v>
      </c>
      <c r="D14359" s="2" t="s">
        <f>=HYPERLINK("https://main.knesset.gov.il/APPS/legislation/main/bills/2085573", "הצעת חוק איסור הפליה במוצרים, בשירותים ובכניסה למקומות בידור ולמקומות ציבוריים (תיקון - הגדלת סכום הפיצוי בלא הוכחת נזק), התש""ף-2020")</f>
        <v>27071</v>
      </c>
      <c r="E14359" t="s">
        <v>27071</v>
      </c>
      <c r="F14359" t="s">
        <v>27586</v>
      </c>
      <c r="G14359" t="s">
        <v>14</v>
      </c>
      <c r="H14359">
             </c>
      <c r="I14359" t="s">
        <v>14</v>
      </c>
      <c r="J14359" t="s">
        <v>141</v>
      </c>
      <c r="K14359" t="s">
        <v>14</v>
      </c>
      <c r="L14359" t="s">
        <v>20</v>
      </c>
      <c r="M14359" t="s">
        <v>27362</v>
      </c>
      <c r="N14359" t="s">
        <v>14</v>
      </c>
    </row>
    <row r="14360" x14ac:dyDescent="0.25">
      <c r="A14360" t="n">
        <v>23</v>
      </c>
      <c r="B14360" t="s">
        <v>14</v>
      </c>
      <c r="C14360" t="s">
        <v>15</v>
      </c>
      <c r="D14360" s="2" t="s">
        <f>=HYPERLINK("https://main.knesset.gov.il/APPS/legislation/main/bills/2087343", "חוק הביטוח הלאומי (תיקון מס' 213 והוראת שעה - נגיף הקורונה החדש) (קביעת ועדה), התש""ף-2020")</f>
        <v>27587</v>
      </c>
      <c r="E14360" t="s">
        <v>27587</v>
      </c>
      <c r="F14360" t="s">
        <v>14</v>
      </c>
      <c r="G14360" t="s">
        <v>27588</v>
      </c>
      <c r="H14360" t="n">
        <v>2792</v>
      </c>
      <c r="I14360" t="s">
        <v>14</v>
      </c>
      <c r="J14360" t="s">
        <v>91</v>
      </c>
      <c r="K14360" t="s">
        <v>85</v>
      </c>
      <c r="L14360" t="s">
        <v>20</v>
      </c>
      <c r="M14360" t="s">
        <v>27589</v>
      </c>
      <c r="N14360" t="s">
        <v>27590</v>
      </c>
    </row>
    <row r="14361" x14ac:dyDescent="0.25">
      <c r="A14361" t="n">
        <v>23</v>
      </c>
      <c r="B14361" t="s">
        <v>14</v>
      </c>
      <c r="C14361" t="s">
        <v>15</v>
      </c>
      <c r="D14361" s="2" t="s">
        <f>=HYPERLINK("https://main.knesset.gov.il/APPS/legislation/main/bills/2087322", "חוק-יסוד: משק המדינה (תיקון מס' 10 והוראת שעה לשנת 2020)")</f>
        <v>27591</v>
      </c>
      <c r="E14361" t="s">
        <v>27591</v>
      </c>
      <c r="F14361" t="s">
        <v>14</v>
      </c>
      <c r="G14361" t="s">
        <v>27592</v>
      </c>
      <c r="H14361" t="n">
        <v>2791</v>
      </c>
      <c r="I14361" t="s">
        <v>14</v>
      </c>
      <c r="J14361" t="s">
        <v>91</v>
      </c>
      <c r="K14361" t="s">
        <v>85</v>
      </c>
      <c r="L14361" t="s">
        <v>20</v>
      </c>
      <c r="M14361" t="s">
        <v>27589</v>
      </c>
      <c r="N14361" t="s">
        <v>27593</v>
      </c>
    </row>
    <row r="14362" x14ac:dyDescent="0.25">
      <c r="A14362" t="n">
        <v>22</v>
      </c>
      <c r="B14362" t="s">
        <v>14</v>
      </c>
      <c r="C14362" t="s">
        <v>15</v>
      </c>
      <c r="D14362" s="2" t="s">
        <f>=HYPERLINK("https://main.knesset.gov.il/APPS/legislation/main/bills/2084505", "חוק שירותי תשלום (תיקון), התש""ף-2020")</f>
        <v>27594</v>
      </c>
      <c r="E14362" t="s">
        <v>27594</v>
      </c>
      <c r="F14362" t="s">
        <v>14</v>
      </c>
      <c r="G14362" t="s">
        <v>27595</v>
      </c>
      <c r="H14362" t="n">
        <v>2790</v>
      </c>
      <c r="I14362" t="s">
        <v>14</v>
      </c>
      <c r="J14362" t="s">
        <v>91</v>
      </c>
      <c r="K14362" t="s">
        <v>85</v>
      </c>
      <c r="L14362" t="s">
        <v>20</v>
      </c>
      <c r="M14362" t="s">
        <v>27596</v>
      </c>
      <c r="N14362" t="s">
        <v>27597</v>
      </c>
    </row>
    <row r="14363" x14ac:dyDescent="0.25">
      <c r="A14363" t="n">
        <v>22</v>
      </c>
      <c r="B14363" t="s">
        <v>14</v>
      </c>
      <c r="C14363" t="s">
        <v>15</v>
      </c>
      <c r="D14363" s="2" t="s">
        <f>=HYPERLINK("https://main.knesset.gov.il/APPS/legislation/main/bills/2084506", "חוק רישוי שירותים ומקצועות בענף הרכב (תיקון מס' 6), התש""ף-2020")</f>
        <v>27598</v>
      </c>
      <c r="E14363" t="s">
        <v>27598</v>
      </c>
      <c r="F14363" t="s">
        <v>14</v>
      </c>
      <c r="G14363" t="s">
        <v>27599</v>
      </c>
      <c r="H14363" t="n">
        <v>2790</v>
      </c>
      <c r="I14363" t="s">
        <v>14</v>
      </c>
      <c r="J14363" t="s">
        <v>91</v>
      </c>
      <c r="K14363" t="s">
        <v>85</v>
      </c>
      <c r="L14363" t="s">
        <v>20</v>
      </c>
      <c r="M14363" t="s">
        <v>27596</v>
      </c>
      <c r="N14363" t="s">
        <v>27600</v>
      </c>
    </row>
    <row r="14364" x14ac:dyDescent="0.25">
      <c r="A14364" t="n">
        <v>22</v>
      </c>
      <c r="B14364" t="s">
        <v>14</v>
      </c>
      <c r="C14364" t="s">
        <v>15</v>
      </c>
      <c r="D14364" s="2" t="s">
        <f>=HYPERLINK("https://main.knesset.gov.il/APPS/legislation/main/bills/2084507", "חוק לתיקון פקודת התעבורה (מס' 120) (תיקון), התש""ף-2020")</f>
        <v>27601</v>
      </c>
      <c r="E14364" t="s">
        <v>27601</v>
      </c>
      <c r="F14364" t="s">
        <v>14</v>
      </c>
      <c r="G14364" t="s">
        <v>27602</v>
      </c>
      <c r="H14364" t="n">
        <v>2790</v>
      </c>
      <c r="I14364" t="s">
        <v>14</v>
      </c>
      <c r="J14364" t="s">
        <v>91</v>
      </c>
      <c r="K14364" t="s">
        <v>85</v>
      </c>
      <c r="L14364" t="s">
        <v>20</v>
      </c>
      <c r="M14364" t="s">
        <v>27596</v>
      </c>
      <c r="N14364" t="s">
        <v>27603</v>
      </c>
    </row>
    <row r="14365" x14ac:dyDescent="0.25">
      <c r="A14365" t="n">
        <v>22</v>
      </c>
      <c r="B14365" t="s">
        <v>14</v>
      </c>
      <c r="C14365" t="s">
        <v>22</v>
      </c>
      <c r="D14365" s="2" t="s">
        <f>=HYPERLINK("https://main.knesset.gov.il/APPS/legislation/main/bills/2084459", "חוק הבחירות לכנסת העשרים ושלוש (הוראות מיוחדות), התש""ף–2019")</f>
        <v>27604</v>
      </c>
      <c r="E14365" t="s">
        <v>27604</v>
      </c>
      <c r="F14365" t="s">
        <v>27605</v>
      </c>
      <c r="G14365" t="s">
        <v>27606</v>
      </c>
      <c r="H14365" t="n">
        <v>2789</v>
      </c>
      <c r="I14365" t="s">
        <v>14</v>
      </c>
      <c r="J14365" t="s">
        <v>91</v>
      </c>
      <c r="K14365" t="s">
        <v>27607</v>
      </c>
      <c r="L14365" t="s">
        <v>20</v>
      </c>
      <c r="M14365" t="s">
        <v>27608</v>
      </c>
      <c r="N14365" t="s">
        <v>14</v>
      </c>
    </row>
    <row r="14366" x14ac:dyDescent="0.25">
      <c r="A14366" t="n">
        <v>22</v>
      </c>
      <c r="B14366" t="s">
        <v>14</v>
      </c>
      <c r="C14366" t="s">
        <v>22</v>
      </c>
      <c r="D14366" s="2" t="s">
        <f>=HYPERLINK("https://main.knesset.gov.il/APPS/legislation/main/bills/2084458", "חוק התפזרות הכנסת העשרים ושתיים והקדמת הבחירות, התש""ף–2019")</f>
        <v>27609</v>
      </c>
      <c r="E14366" t="s">
        <v>27609</v>
      </c>
      <c r="F14366" t="s">
        <v>27610</v>
      </c>
      <c r="G14366" t="s">
        <v>27606</v>
      </c>
      <c r="H14366" t="n">
        <v>2788</v>
      </c>
      <c r="I14366" t="s">
        <v>14</v>
      </c>
      <c r="J14366" t="s">
        <v>91</v>
      </c>
      <c r="K14366" t="s">
        <v>27607</v>
      </c>
      <c r="L14366" t="s">
        <v>20</v>
      </c>
      <c r="M14366" t="s">
        <v>27608</v>
      </c>
      <c r="N14366" t="s">
        <v>14</v>
      </c>
    </row>
    <row r="14367" x14ac:dyDescent="0.25">
      <c r="A14367" t="n">
        <v>22</v>
      </c>
      <c r="B14367" t="s">
        <v>14</v>
      </c>
      <c r="C14367" t="s">
        <v>22</v>
      </c>
      <c r="D14367" s="2" t="s">
        <f>=HYPERLINK("https://main.knesset.gov.il/APPS/legislation/main/bills/2083334", "חוק יסודות התקציב (תיקון מס' 52 - הוראת שעה), התש""ף-2019")</f>
        <v>27611</v>
      </c>
      <c r="E14367" t="s">
        <v>27611</v>
      </c>
      <c r="F14367" t="s">
        <v>27612</v>
      </c>
      <c r="G14367" t="s">
        <v>27613</v>
      </c>
      <c r="H14367" t="n">
        <v>2787</v>
      </c>
      <c r="I14367" t="s">
        <v>14</v>
      </c>
      <c r="J14367" t="s">
        <v>91</v>
      </c>
      <c r="K14367" t="s">
        <v>85</v>
      </c>
      <c r="L14367" t="s">
        <v>20</v>
      </c>
      <c r="M14367" t="s">
        <v>27614</v>
      </c>
      <c r="N14367" t="s">
        <v>27615</v>
      </c>
    </row>
    <row r="14368" x14ac:dyDescent="0.25">
      <c r="A14368" t="n">
        <v>22</v>
      </c>
      <c r="B14368" t="s">
        <v>14</v>
      </c>
      <c r="C14368" t="s">
        <v>22</v>
      </c>
      <c r="D14368" s="2" t="s">
        <f>=HYPERLINK("https://main.knesset.gov.il/APPS/legislation/main/bills/2083476", "הצעת חוק לחילופי מידע בין גופי הביטחון, המודיעין והאכיפה ובין נפגעי טרור, התש""ף-2019")</f>
        <v>27616</v>
      </c>
      <c r="E14368" t="s">
        <v>27616</v>
      </c>
      <c r="F14368" t="s">
        <v>27617</v>
      </c>
      <c r="G14368" t="s">
        <v>14</v>
      </c>
      <c r="H14368">
             </c>
      <c r="I14368" t="s">
        <v>14</v>
      </c>
      <c r="J14368" t="s">
        <v>141</v>
      </c>
      <c r="K14368" t="s">
        <v>14</v>
      </c>
      <c r="L14368" t="s">
        <v>20</v>
      </c>
      <c r="M14368" t="s">
        <v>27614</v>
      </c>
      <c r="N14368" t="s">
        <v>14</v>
      </c>
    </row>
    <row r="14369" x14ac:dyDescent="0.25">
      <c r="A14369" t="n">
        <v>22</v>
      </c>
      <c r="B14369" t="s">
        <v>14</v>
      </c>
      <c r="C14369" t="s">
        <v>22</v>
      </c>
      <c r="D14369" s="2" t="s">
        <f>=HYPERLINK("https://main.knesset.gov.il/APPS/legislation/main/bills/2082448", "הצעת חוק הבטחת הכנסה (תיקון - גמלאות להורה יחיד), התש""ף-2019")</f>
        <v>27618</v>
      </c>
      <c r="E14369" t="s">
        <v>27618</v>
      </c>
      <c r="F14369" t="s">
        <v>27619</v>
      </c>
      <c r="G14369" t="s">
        <v>14</v>
      </c>
      <c r="H14369">
             </c>
      <c r="I14369" t="s">
        <v>14</v>
      </c>
      <c r="J14369" t="s">
        <v>141</v>
      </c>
      <c r="K14369" t="s">
        <v>14</v>
      </c>
      <c r="L14369" t="s">
        <v>20</v>
      </c>
      <c r="M14369" t="s">
        <v>27614</v>
      </c>
      <c r="N14369" t="s">
        <v>14</v>
      </c>
    </row>
    <row r="14370" x14ac:dyDescent="0.25">
      <c r="A14370" t="n">
        <v>22</v>
      </c>
      <c r="B14370" t="s">
        <v>14</v>
      </c>
      <c r="C14370" t="s">
        <v>22</v>
      </c>
      <c r="D14370" s="2" t="s">
        <f>=HYPERLINK("https://main.knesset.gov.il/APPS/legislation/main/bills/2082427", "הצעת חוק שעות עבודה ומנוחה (תיקון - קיצור שבוע העבודה), התש""ף-2019")</f>
        <v>27620</v>
      </c>
      <c r="E14370" t="s">
        <v>27620</v>
      </c>
      <c r="F14370" t="s">
        <v>27621</v>
      </c>
      <c r="G14370" t="s">
        <v>14</v>
      </c>
      <c r="H14370">
             </c>
      <c r="I14370" t="s">
        <v>14</v>
      </c>
      <c r="J14370" t="s">
        <v>141</v>
      </c>
      <c r="K14370" t="s">
        <v>14</v>
      </c>
      <c r="L14370" t="s">
        <v>20</v>
      </c>
      <c r="M14370" t="s">
        <v>27614</v>
      </c>
      <c r="N14370" t="s">
        <v>14</v>
      </c>
    </row>
    <row r="14371" x14ac:dyDescent="0.25">
      <c r="A14371" t="n">
        <v>22</v>
      </c>
      <c r="B14371" t="s">
        <v>14</v>
      </c>
      <c r="C14371" t="s">
        <v>22</v>
      </c>
      <c r="D14371" s="2" t="s">
        <f>=HYPERLINK("https://main.knesset.gov.il/APPS/legislation/main/bills/2082431", "הצעת חוק קביעת אופן ההעסקה של מטפלות במשפחתונים המפוקחים על ידי האגף למעונות יום ומשפחתונים במשרד העבודה, הרווחה והשירותים החברתיים, התש""ף-2019")</f>
        <v>27622</v>
      </c>
      <c r="E14371" t="s">
        <v>27622</v>
      </c>
      <c r="F14371" t="s">
        <v>27623</v>
      </c>
      <c r="G14371" t="s">
        <v>14</v>
      </c>
      <c r="H14371">
             </c>
      <c r="I14371" t="s">
        <v>14</v>
      </c>
      <c r="J14371" t="s">
        <v>141</v>
      </c>
      <c r="K14371" t="s">
        <v>14</v>
      </c>
      <c r="L14371" t="s">
        <v>20</v>
      </c>
      <c r="M14371" t="s">
        <v>27614</v>
      </c>
      <c r="N14371" t="s">
        <v>14</v>
      </c>
    </row>
    <row r="14372" x14ac:dyDescent="0.25">
      <c r="A14372" t="n">
        <v>22</v>
      </c>
      <c r="B14372" t="s">
        <v>14</v>
      </c>
      <c r="C14372" t="s">
        <v>22</v>
      </c>
      <c r="D14372" s="2" t="s">
        <f>=HYPERLINK("https://main.knesset.gov.il/APPS/legislation/main/bills/2083017", "הצעת חוק העונשין (תיקון - איסור תיעוד של חיילי צבא הגנה לישראל), התש""ף-2019")</f>
        <v>27624</v>
      </c>
      <c r="E14372" t="s">
        <v>27624</v>
      </c>
      <c r="F14372" t="s">
        <v>27625</v>
      </c>
      <c r="G14372" t="s">
        <v>14</v>
      </c>
      <c r="H14372">
             </c>
      <c r="I14372" t="s">
        <v>14</v>
      </c>
      <c r="J14372" t="s">
        <v>141</v>
      </c>
      <c r="K14372" t="s">
        <v>14</v>
      </c>
      <c r="L14372" t="s">
        <v>20</v>
      </c>
      <c r="M14372" t="s">
        <v>27614</v>
      </c>
      <c r="N14372" t="s">
        <v>14</v>
      </c>
    </row>
    <row r="14373" x14ac:dyDescent="0.25">
      <c r="A14373" t="n">
        <v>22</v>
      </c>
      <c r="B14373" t="s">
        <v>14</v>
      </c>
      <c r="C14373" t="s">
        <v>22</v>
      </c>
      <c r="D14373" s="2" t="s">
        <f>=HYPERLINK("https://main.knesset.gov.il/APPS/legislation/main/bills/2083459", "הצעת חוק המקרקעין (חיזוק בתים משותפים מפני רעידות אדמה) (תיקון - סידור חלוף ארעי), התש""ף-2019")</f>
        <v>27626</v>
      </c>
      <c r="E14373" t="s">
        <v>27626</v>
      </c>
      <c r="F14373" t="s">
        <v>27627</v>
      </c>
      <c r="G14373" t="s">
        <v>14</v>
      </c>
      <c r="H14373">
             </c>
      <c r="I14373" t="s">
        <v>14</v>
      </c>
      <c r="J14373" t="s">
        <v>141</v>
      </c>
      <c r="K14373" t="s">
        <v>14</v>
      </c>
      <c r="L14373" t="s">
        <v>20</v>
      </c>
      <c r="M14373" t="s">
        <v>27614</v>
      </c>
      <c r="N14373" t="s">
        <v>14</v>
      </c>
    </row>
    <row r="14374" x14ac:dyDescent="0.25">
      <c r="A14374" t="n">
        <v>22</v>
      </c>
      <c r="B14374" t="s">
        <v>14</v>
      </c>
      <c r="C14374" t="s">
        <v>22</v>
      </c>
      <c r="D14374" s="2" t="s">
        <f>=HYPERLINK("https://main.knesset.gov.il/APPS/legislation/main/bills/2083139", "הצעת חוק התכנון והבנייה (תיקון - הגבלת תקופת ההפקעה לייעוד ציבורי), התש""ף-2019")</f>
        <v>27628</v>
      </c>
      <c r="E14374" t="s">
        <v>27628</v>
      </c>
      <c r="F14374" t="s">
        <v>27629</v>
      </c>
      <c r="G14374" t="s">
        <v>14</v>
      </c>
      <c r="H14374">
             </c>
      <c r="I14374" t="s">
        <v>14</v>
      </c>
      <c r="J14374" t="s">
        <v>141</v>
      </c>
      <c r="K14374" t="s">
        <v>14</v>
      </c>
      <c r="L14374" t="s">
        <v>20</v>
      </c>
      <c r="M14374" t="s">
        <v>27614</v>
      </c>
      <c r="N14374" t="s">
        <v>14</v>
      </c>
    </row>
    <row r="14375" x14ac:dyDescent="0.25">
      <c r="A14375" t="n">
        <v>22</v>
      </c>
      <c r="B14375" t="s">
        <v>14</v>
      </c>
      <c r="C14375" t="s">
        <v>22</v>
      </c>
      <c r="D14375" s="2" t="s">
        <f>=HYPERLINK("https://main.knesset.gov.il/APPS/legislation/main/bills/2082631", "הצעת חוק השמירה על המקומות הקדושים (תיקון - הבטחת פלורליזם דתי), התש""ף-2019")</f>
        <v>27630</v>
      </c>
      <c r="E14375" t="s">
        <v>27630</v>
      </c>
      <c r="F14375" t="s">
        <v>27631</v>
      </c>
      <c r="G14375" t="s">
        <v>14</v>
      </c>
      <c r="H14375">
             </c>
      <c r="I14375" t="s">
        <v>14</v>
      </c>
      <c r="J14375" t="s">
        <v>141</v>
      </c>
      <c r="K14375" t="s">
        <v>14</v>
      </c>
      <c r="L14375" t="s">
        <v>20</v>
      </c>
      <c r="M14375" t="s">
        <v>27614</v>
      </c>
      <c r="N14375" t="s">
        <v>14</v>
      </c>
    </row>
    <row r="14376" x14ac:dyDescent="0.25">
      <c r="A14376" t="n">
        <v>22</v>
      </c>
      <c r="B14376" t="s">
        <v>14</v>
      </c>
      <c r="C14376" t="s">
        <v>22</v>
      </c>
      <c r="D14376" s="2" t="s">
        <f>=HYPERLINK("https://main.knesset.gov.il/APPS/legislation/main/bills/2083138", "הצעת חוק התכנון והבנייה (תיקון - ייצוג הולם לאוכלוסייה הערבית במוסדות התכנון), התש""ף-2019")</f>
        <v>27632</v>
      </c>
      <c r="E14376" t="s">
        <v>27632</v>
      </c>
      <c r="F14376" t="s">
        <v>27633</v>
      </c>
      <c r="G14376" t="s">
        <v>14</v>
      </c>
      <c r="H14376">
             </c>
      <c r="I14376" t="s">
        <v>14</v>
      </c>
      <c r="J14376" t="s">
        <v>141</v>
      </c>
      <c r="K14376" t="s">
        <v>14</v>
      </c>
      <c r="L14376" t="s">
        <v>20</v>
      </c>
      <c r="M14376" t="s">
        <v>27614</v>
      </c>
      <c r="N14376" t="s">
        <v>14</v>
      </c>
    </row>
    <row r="14377" x14ac:dyDescent="0.25">
      <c r="A14377" t="n">
        <v>22</v>
      </c>
      <c r="B14377" t="s">
        <v>14</v>
      </c>
      <c r="C14377" t="s">
        <v>22</v>
      </c>
      <c r="D14377" s="2" t="s">
        <f>=HYPERLINK("https://main.knesset.gov.il/APPS/legislation/main/bills/2083442", "הצעת חוק התכנון והבנייה (תיקון - חיבור לחשמל) (הוראת שעה), התש""ף-2019")</f>
        <v>27634</v>
      </c>
      <c r="E14377" t="s">
        <v>27634</v>
      </c>
      <c r="F14377" t="s">
        <v>27635</v>
      </c>
      <c r="G14377" t="s">
        <v>14</v>
      </c>
      <c r="H14377">
             </c>
      <c r="I14377" t="s">
        <v>14</v>
      </c>
      <c r="J14377" t="s">
        <v>141</v>
      </c>
      <c r="K14377" t="s">
        <v>14</v>
      </c>
      <c r="L14377" t="s">
        <v>20</v>
      </c>
      <c r="M14377" t="s">
        <v>27614</v>
      </c>
      <c r="N14377" t="s">
        <v>14</v>
      </c>
    </row>
    <row r="14378" x14ac:dyDescent="0.25">
      <c r="A14378" t="n">
        <v>22</v>
      </c>
      <c r="B14378" t="s">
        <v>14</v>
      </c>
      <c r="C14378" t="s">
        <v>22</v>
      </c>
      <c r="D14378" s="2" t="s">
        <f>=HYPERLINK("https://main.knesset.gov.il/APPS/legislation/main/bills/2083526", "הצעת חוק התכנון והבנייה (תיקון - הקמת ועדה מיוחדת לקידום והסדרת התכנון ביישובים הדרוזיים) (הוראת שעה), התש""ף-2019")</f>
        <v>27636</v>
      </c>
      <c r="E14378" t="s">
        <v>27636</v>
      </c>
      <c r="F14378" t="s">
        <v>27637</v>
      </c>
      <c r="G14378" t="s">
        <v>14</v>
      </c>
      <c r="H14378">
             </c>
      <c r="I14378" t="s">
        <v>14</v>
      </c>
      <c r="J14378" t="s">
        <v>141</v>
      </c>
      <c r="K14378" t="s">
        <v>14</v>
      </c>
      <c r="L14378" t="s">
        <v>20</v>
      </c>
      <c r="M14378" t="s">
        <v>27614</v>
      </c>
      <c r="N14378" t="s">
        <v>14</v>
      </c>
    </row>
    <row r="14379" x14ac:dyDescent="0.25">
      <c r="A14379" t="n">
        <v>22</v>
      </c>
      <c r="B14379" t="s">
        <v>14</v>
      </c>
      <c r="C14379" t="s">
        <v>22</v>
      </c>
      <c r="D14379" s="2" t="s">
        <f>=HYPERLINK("https://main.knesset.gov.il/APPS/legislation/main/bills/2083156", "הצעת חוק הגנת הצרכן (תיקון - חובת הקלטה של עסקה טלפונית), התש""ף-2019")</f>
        <v>27638</v>
      </c>
      <c r="E14379" t="s">
        <v>27638</v>
      </c>
      <c r="F14379" t="s">
        <v>27639</v>
      </c>
      <c r="G14379" t="s">
        <v>14</v>
      </c>
      <c r="H14379">
             </c>
      <c r="I14379" t="s">
        <v>14</v>
      </c>
      <c r="J14379" t="s">
        <v>141</v>
      </c>
      <c r="K14379" t="s">
        <v>14</v>
      </c>
      <c r="L14379" t="s">
        <v>20</v>
      </c>
      <c r="M14379" t="s">
        <v>27614</v>
      </c>
      <c r="N14379" t="s">
        <v>14</v>
      </c>
    </row>
    <row r="14380" x14ac:dyDescent="0.25">
      <c r="A14380" t="n">
        <v>22</v>
      </c>
      <c r="B14380" t="s">
        <v>14</v>
      </c>
      <c r="C14380" t="s">
        <v>22</v>
      </c>
      <c r="D14380" s="2" t="s">
        <f>=HYPERLINK("https://main.knesset.gov.il/APPS/legislation/main/bills/2083434", "הצעת חוק הקמת יישוב עירוני חדש לאוכלוסייה הדרוזית, התש""ף-2019")</f>
        <v>27640</v>
      </c>
      <c r="E14380" t="s">
        <v>27640</v>
      </c>
      <c r="F14380" t="s">
        <v>27641</v>
      </c>
      <c r="G14380" t="s">
        <v>14</v>
      </c>
      <c r="H14380">
             </c>
      <c r="I14380" t="s">
        <v>14</v>
      </c>
      <c r="J14380" t="s">
        <v>141</v>
      </c>
      <c r="K14380" t="s">
        <v>14</v>
      </c>
      <c r="L14380" t="s">
        <v>20</v>
      </c>
      <c r="M14380" t="s">
        <v>27614</v>
      </c>
      <c r="N14380" t="s">
        <v>14</v>
      </c>
    </row>
    <row r="14381" x14ac:dyDescent="0.25">
      <c r="A14381" t="n">
        <v>22</v>
      </c>
      <c r="B14381" t="s">
        <v>14</v>
      </c>
      <c r="C14381" t="s">
        <v>22</v>
      </c>
      <c r="D14381" s="2" t="s">
        <f>=HYPERLINK("https://main.knesset.gov.il/APPS/legislation/main/bills/2083608", "הצעת חוק איסור הפליה במוצרים, בשירותים ובכניסה למקומות בידור ולמקומות ציבוריים (תיקון - הגדלת סכום הפיצוי בלא הוכחת נזק), התש""ף-2019")</f>
        <v>27642</v>
      </c>
      <c r="E14381" t="s">
        <v>27642</v>
      </c>
      <c r="F14381" t="s">
        <v>27643</v>
      </c>
      <c r="G14381" t="s">
        <v>14</v>
      </c>
      <c r="H14381">
             </c>
      <c r="I14381" t="s">
        <v>14</v>
      </c>
      <c r="J14381" t="s">
        <v>141</v>
      </c>
      <c r="K14381" t="s">
        <v>14</v>
      </c>
      <c r="L14381" t="s">
        <v>20</v>
      </c>
      <c r="M14381" t="s">
        <v>27614</v>
      </c>
      <c r="N14381" t="s">
        <v>14</v>
      </c>
    </row>
    <row r="14382" x14ac:dyDescent="0.25">
      <c r="A14382" t="n">
        <v>22</v>
      </c>
      <c r="B14382" t="s">
        <v>14</v>
      </c>
      <c r="C14382" t="s">
        <v>22</v>
      </c>
      <c r="D14382" s="2" t="s">
        <f>=HYPERLINK("https://main.knesset.gov.il/APPS/legislation/main/bills/2083431", "הצעת חוק לתיקון פקודת התעבורה (מאסר מינימום למי שהפקיר אדם שנפגע בתאונה), התש""ף-2019")</f>
        <v>27644</v>
      </c>
      <c r="E14382" t="s">
        <v>27644</v>
      </c>
      <c r="F14382" t="s">
        <v>27645</v>
      </c>
      <c r="G14382" t="s">
        <v>14</v>
      </c>
      <c r="H14382">
             </c>
      <c r="I14382" t="s">
        <v>14</v>
      </c>
      <c r="J14382" t="s">
        <v>141</v>
      </c>
      <c r="K14382" t="s">
        <v>14</v>
      </c>
      <c r="L14382" t="s">
        <v>20</v>
      </c>
      <c r="M14382" t="s">
        <v>27614</v>
      </c>
      <c r="N14382" t="s">
        <v>14</v>
      </c>
    </row>
    <row r="14383" x14ac:dyDescent="0.25">
      <c r="A14383" t="n">
        <v>22</v>
      </c>
      <c r="B14383" t="s">
        <v>14</v>
      </c>
      <c r="C14383" t="s">
        <v>22</v>
      </c>
      <c r="D14383" s="2" t="s">
        <f>=HYPERLINK("https://main.knesset.gov.il/APPS/legislation/main/bills/2083022", "הצעת חוק העונשין (תיקון - גזר דין עונש מוות למורשע ברצח בנסיבות טרור), התש""ף-2019")</f>
        <v>27646</v>
      </c>
      <c r="E14383" t="s">
        <v>27646</v>
      </c>
      <c r="F14383" t="s">
        <v>27647</v>
      </c>
      <c r="G14383" t="s">
        <v>14</v>
      </c>
      <c r="H14383">
             </c>
      <c r="I14383" t="s">
        <v>14</v>
      </c>
      <c r="J14383" t="s">
        <v>141</v>
      </c>
      <c r="K14383" t="s">
        <v>14</v>
      </c>
      <c r="L14383" t="s">
        <v>20</v>
      </c>
      <c r="M14383" t="s">
        <v>27614</v>
      </c>
      <c r="N14383" t="s">
        <v>14</v>
      </c>
    </row>
    <row r="14384" x14ac:dyDescent="0.25">
      <c r="A14384" t="n">
        <v>22</v>
      </c>
      <c r="B14384" t="s">
        <v>14</v>
      </c>
      <c r="C14384" t="s">
        <v>22</v>
      </c>
      <c r="D14384" s="2" t="s">
        <f>=HYPERLINK("https://main.knesset.gov.il/APPS/legislation/main/bills/2083818", "הצעת חוק הביטוח הלאומי (תיקון - הארכת המועד להגשת תביעה לגמלה והתקופה שבעדה תשולם), התש""ף-2019 ")</f>
        <v>27648</v>
      </c>
      <c r="E14384" t="s">
        <v>27648</v>
      </c>
      <c r="F14384" t="s">
        <v>27649</v>
      </c>
      <c r="G14384" t="s">
        <v>14</v>
      </c>
      <c r="H14384">
             </c>
      <c r="I14384" t="s">
        <v>14</v>
      </c>
      <c r="J14384" t="s">
        <v>141</v>
      </c>
      <c r="K14384" t="s">
        <v>14</v>
      </c>
      <c r="L14384" t="s">
        <v>20</v>
      </c>
      <c r="M14384" t="s">
        <v>27614</v>
      </c>
      <c r="N14384" t="s">
        <v>14</v>
      </c>
    </row>
    <row r="14385" x14ac:dyDescent="0.25">
      <c r="A14385" t="n">
        <v>22</v>
      </c>
      <c r="B14385" t="s">
        <v>14</v>
      </c>
      <c r="C14385" t="s">
        <v>22</v>
      </c>
      <c r="D14385" s="2" t="s">
        <f>=HYPERLINK("https://main.knesset.gov.il/APPS/legislation/main/bills/2082787", "הצעת חוק זכויות, שירותים והתאמות בחינוך לילדים עם צרכים מיוחדים, התש""ף-2019")</f>
        <v>27650</v>
      </c>
      <c r="E14385" t="s">
        <v>27650</v>
      </c>
      <c r="F14385" t="s">
        <v>27651</v>
      </c>
      <c r="G14385" t="s">
        <v>14</v>
      </c>
      <c r="H14385">
             </c>
      <c r="I14385" t="s">
        <v>14</v>
      </c>
      <c r="J14385" t="s">
        <v>141</v>
      </c>
      <c r="K14385" t="s">
        <v>14</v>
      </c>
      <c r="L14385" t="s">
        <v>20</v>
      </c>
      <c r="M14385" t="s">
        <v>27614</v>
      </c>
      <c r="N14385" t="s">
        <v>14</v>
      </c>
    </row>
    <row r="14386" x14ac:dyDescent="0.25">
      <c r="A14386" t="n">
        <v>22</v>
      </c>
      <c r="B14386" t="s">
        <v>14</v>
      </c>
      <c r="C14386" t="s">
        <v>22</v>
      </c>
      <c r="D14386" s="2" t="s">
        <f>=HYPERLINK("https://main.knesset.gov.il/APPS/legislation/main/bills/2082820", "הצעת חוק מס ערך מוסף (תיקון - שיעור מס מופחת על מוצרי מזון בסיסיים), התש""ף-2019")</f>
        <v>27652</v>
      </c>
      <c r="E14386" t="s">
        <v>27652</v>
      </c>
      <c r="F14386" t="s">
        <v>27653</v>
      </c>
      <c r="G14386" t="s">
        <v>14</v>
      </c>
      <c r="H14386">
             </c>
      <c r="I14386" t="s">
        <v>14</v>
      </c>
      <c r="J14386" t="s">
        <v>141</v>
      </c>
      <c r="K14386" t="s">
        <v>14</v>
      </c>
      <c r="L14386" t="s">
        <v>20</v>
      </c>
      <c r="M14386" t="s">
        <v>27614</v>
      </c>
      <c r="N14386" t="s">
        <v>14</v>
      </c>
    </row>
    <row r="14387" x14ac:dyDescent="0.25">
      <c r="A14387" t="n">
        <v>22</v>
      </c>
      <c r="B14387" t="s">
        <v>14</v>
      </c>
      <c r="C14387" t="s">
        <v>22</v>
      </c>
      <c r="D14387" s="2" t="s">
        <f>=HYPERLINK("https://main.knesset.gov.il/APPS/legislation/main/bills/2082761", "הצעת חוק האפוטרופוס הכללי (תיקון - הקמת מאגר מידע לעניין כספים ללא דורש), התש""ף-2019")</f>
        <v>27654</v>
      </c>
      <c r="E14387" t="s">
        <v>27654</v>
      </c>
      <c r="F14387" t="s">
        <v>27655</v>
      </c>
      <c r="G14387" t="s">
        <v>14</v>
      </c>
      <c r="H14387">
             </c>
      <c r="I14387" t="s">
        <v>14</v>
      </c>
      <c r="J14387" t="s">
        <v>141</v>
      </c>
      <c r="K14387" t="s">
        <v>14</v>
      </c>
      <c r="L14387" t="s">
        <v>20</v>
      </c>
      <c r="M14387" t="s">
        <v>27614</v>
      </c>
      <c r="N14387" t="s">
        <v>14</v>
      </c>
    </row>
    <row r="14388" x14ac:dyDescent="0.25">
      <c r="A14388" t="n">
        <v>22</v>
      </c>
      <c r="B14388" t="s">
        <v>14</v>
      </c>
      <c r="C14388" t="s">
        <v>22</v>
      </c>
      <c r="D14388" s="2" t="s">
        <f>=HYPERLINK("https://main.knesset.gov.il/APPS/legislation/main/bills/2083162", "הצעת חוק החלת ריבונות על בקעת הירדן, גוש עציון, גבעת זאב, מעלה אדומים, ביתר עילית ועפרה, התש""ף-2019")</f>
        <v>27656</v>
      </c>
      <c r="E14388" t="s">
        <v>27656</v>
      </c>
      <c r="F14388" t="s">
        <v>27657</v>
      </c>
      <c r="G14388" t="s">
        <v>14</v>
      </c>
      <c r="H14388">
             </c>
      <c r="I14388" t="s">
        <v>14</v>
      </c>
      <c r="J14388" t="s">
        <v>141</v>
      </c>
      <c r="K14388" t="s">
        <v>14</v>
      </c>
      <c r="L14388" t="s">
        <v>20</v>
      </c>
      <c r="M14388" t="s">
        <v>27614</v>
      </c>
      <c r="N14388" t="s">
        <v>14</v>
      </c>
    </row>
    <row r="14389" x14ac:dyDescent="0.25">
      <c r="A14389" t="n">
        <v>22</v>
      </c>
      <c r="B14389" t="s">
        <v>14</v>
      </c>
      <c r="C14389" t="s">
        <v>22</v>
      </c>
      <c r="D14389" s="2" t="s">
        <f>=HYPERLINK("https://main.knesset.gov.il/APPS/legislation/main/bills/2082760", "הצעת חוק הרבנות הראשית לישראל (תיקון - ביטול החוק), התש""ף-2019")</f>
        <v>27658</v>
      </c>
      <c r="E14389" t="s">
        <v>27658</v>
      </c>
      <c r="F14389" t="s">
        <v>27659</v>
      </c>
      <c r="G14389" t="s">
        <v>14</v>
      </c>
      <c r="H14389">
             </c>
      <c r="I14389" t="s">
        <v>14</v>
      </c>
      <c r="J14389" t="s">
        <v>141</v>
      </c>
      <c r="K14389" t="s">
        <v>14</v>
      </c>
      <c r="L14389" t="s">
        <v>20</v>
      </c>
      <c r="M14389" t="s">
        <v>27614</v>
      </c>
      <c r="N14389" t="s">
        <v>14</v>
      </c>
    </row>
    <row r="14390" x14ac:dyDescent="0.25">
      <c r="A14390" t="n">
        <v>22</v>
      </c>
      <c r="B14390" t="s">
        <v>14</v>
      </c>
      <c r="C14390" t="s">
        <v>22</v>
      </c>
      <c r="D14390" s="2" t="s">
        <f>=HYPERLINK("https://main.knesset.gov.il/APPS/legislation/main/bills/2082700", "הצעת חוק-יסוד: אוצרות הטבע ומשאבי הסביבה")</f>
        <v>26283</v>
      </c>
      <c r="E14390" t="s">
        <v>26283</v>
      </c>
      <c r="F14390" t="s">
        <v>27660</v>
      </c>
      <c r="G14390" t="s">
        <v>14</v>
      </c>
      <c r="H14390">
             </c>
      <c r="I14390" t="s">
        <v>14</v>
      </c>
      <c r="J14390" t="s">
        <v>141</v>
      </c>
      <c r="K14390" t="s">
        <v>14</v>
      </c>
      <c r="L14390" t="s">
        <v>20</v>
      </c>
      <c r="M14390" t="s">
        <v>27614</v>
      </c>
      <c r="N14390" t="s">
        <v>14</v>
      </c>
    </row>
    <row r="14391" x14ac:dyDescent="0.25">
      <c r="A14391" t="n">
        <v>22</v>
      </c>
      <c r="B14391" t="s">
        <v>14</v>
      </c>
      <c r="C14391" t="s">
        <v>22</v>
      </c>
      <c r="D14391" s="2" t="s">
        <f>=HYPERLINK("https://main.knesset.gov.il/APPS/legislation/main/bills/2082917", "הצעת חוק-יסוד: הכנסת (תיקון - שלילת סמכותו של בית המשפט העליון מלהתערב בהחלטת ועדת הבחירות המרכזית לעניין אישור או פסילת מועמד או רשימה מלהשתתף בבחירות)")</f>
        <v>27661</v>
      </c>
      <c r="E14391" t="s">
        <v>27661</v>
      </c>
      <c r="F14391" t="s">
        <v>27662</v>
      </c>
      <c r="G14391" t="s">
        <v>14</v>
      </c>
      <c r="H14391">
             </c>
      <c r="I14391" t="s">
        <v>14</v>
      </c>
      <c r="J14391" t="s">
        <v>141</v>
      </c>
      <c r="K14391" t="s">
        <v>14</v>
      </c>
      <c r="L14391" t="s">
        <v>20</v>
      </c>
      <c r="M14391" t="s">
        <v>27614</v>
      </c>
      <c r="N14391" t="s">
        <v>14</v>
      </c>
    </row>
    <row r="14392" x14ac:dyDescent="0.25">
      <c r="A14392" t="n">
        <v>22</v>
      </c>
      <c r="B14392" t="s">
        <v>14</v>
      </c>
      <c r="C14392" t="s">
        <v>22</v>
      </c>
      <c r="D14392" s="2" t="s">
        <f>=HYPERLINK("https://main.knesset.gov.il/APPS/legislation/main/bills/2082779", "הצעת חוק החברות (תיקון - איסור חברות בדירקטוריון של בנק ושל חברה ציבורית נוספת), התש""ף-2019")</f>
        <v>27663</v>
      </c>
      <c r="E14392" t="s">
        <v>27663</v>
      </c>
      <c r="F14392" t="s">
        <v>27664</v>
      </c>
      <c r="G14392" t="s">
        <v>14</v>
      </c>
      <c r="H14392">
             </c>
      <c r="I14392" t="s">
        <v>14</v>
      </c>
      <c r="J14392" t="s">
        <v>141</v>
      </c>
      <c r="K14392" t="s">
        <v>14</v>
      </c>
      <c r="L14392" t="s">
        <v>20</v>
      </c>
      <c r="M14392" t="s">
        <v>27614</v>
      </c>
      <c r="N14392" t="s">
        <v>14</v>
      </c>
    </row>
    <row r="14393" x14ac:dyDescent="0.25">
      <c r="A14393" t="n">
        <v>22</v>
      </c>
      <c r="B14393" t="s">
        <v>14</v>
      </c>
      <c r="C14393" t="s">
        <v>22</v>
      </c>
      <c r="D14393" s="2" t="s">
        <f>=HYPERLINK("https://main.knesset.gov.il/APPS/legislation/main/bills/2083572", "הצעת חוק החברות הממשלתיות (תיקון - ייצוג הולם לאוכלוסייה הערבית), התש""ף-2019")</f>
        <v>27665</v>
      </c>
      <c r="E14393" t="s">
        <v>27665</v>
      </c>
      <c r="F14393" t="s">
        <v>27666</v>
      </c>
      <c r="G14393" t="s">
        <v>14</v>
      </c>
      <c r="H14393">
             </c>
      <c r="I14393" t="s">
        <v>14</v>
      </c>
      <c r="J14393" t="s">
        <v>141</v>
      </c>
      <c r="K14393" t="s">
        <v>14</v>
      </c>
      <c r="L14393" t="s">
        <v>20</v>
      </c>
      <c r="M14393" t="s">
        <v>27614</v>
      </c>
      <c r="N14393" t="s">
        <v>14</v>
      </c>
    </row>
    <row r="14394" x14ac:dyDescent="0.25">
      <c r="A14394" t="n">
        <v>22</v>
      </c>
      <c r="B14394" t="s">
        <v>14</v>
      </c>
      <c r="C14394" t="s">
        <v>22</v>
      </c>
      <c r="D14394" s="2" t="s">
        <f>=HYPERLINK("https://main.knesset.gov.il/APPS/legislation/main/bills/2082765", "הצעת חוק ההוצאה לפועל (תיקון - הגבלת עיקול מיטלטליו של קשיש), התש""ף-2019")</f>
        <v>27667</v>
      </c>
      <c r="E14394" t="s">
        <v>27667</v>
      </c>
      <c r="F14394" t="s">
        <v>27668</v>
      </c>
      <c r="G14394" t="s">
        <v>14</v>
      </c>
      <c r="H14394">
             </c>
      <c r="I14394" t="s">
        <v>14</v>
      </c>
      <c r="J14394" t="s">
        <v>141</v>
      </c>
      <c r="K14394" t="s">
        <v>14</v>
      </c>
      <c r="L14394" t="s">
        <v>20</v>
      </c>
      <c r="M14394" t="s">
        <v>27614</v>
      </c>
      <c r="N14394" t="s">
        <v>14</v>
      </c>
    </row>
    <row r="14395" x14ac:dyDescent="0.25">
      <c r="A14395" t="n">
        <v>22</v>
      </c>
      <c r="B14395" t="s">
        <v>14</v>
      </c>
      <c r="C14395" t="s">
        <v>22</v>
      </c>
      <c r="D14395" s="2" t="s">
        <f>=HYPERLINK("https://main.knesset.gov.il/APPS/legislation/main/bills/2083276", "הצעת חוק עיקול ותפיסה מידתיים של נכסים המוחזקים בידי צד שלישי (תיקוני חקיקה), התש""ף-2019")</f>
        <v>27669</v>
      </c>
      <c r="E14395" t="s">
        <v>27669</v>
      </c>
      <c r="F14395" t="s">
        <v>27670</v>
      </c>
      <c r="G14395" t="s">
        <v>14</v>
      </c>
      <c r="H14395">
             </c>
      <c r="I14395" t="s">
        <v>14</v>
      </c>
      <c r="J14395" t="s">
        <v>141</v>
      </c>
      <c r="K14395" t="s">
        <v>14</v>
      </c>
      <c r="L14395" t="s">
        <v>20</v>
      </c>
      <c r="M14395" t="s">
        <v>27614</v>
      </c>
      <c r="N14395" t="s">
        <v>14</v>
      </c>
    </row>
    <row r="14396" x14ac:dyDescent="0.25">
      <c r="A14396" t="n">
        <v>22</v>
      </c>
      <c r="B14396" t="s">
        <v>14</v>
      </c>
      <c r="C14396" t="s">
        <v>22</v>
      </c>
      <c r="D14396" s="2" t="s">
        <f>=HYPERLINK("https://main.knesset.gov.il/APPS/legislation/main/bills/2082729", "הצעת חוק איסור פרסום הפליה (תיקוני חקיקה), התש""ף-2019")</f>
        <v>27671</v>
      </c>
      <c r="E14396" t="s">
        <v>27671</v>
      </c>
      <c r="F14396" t="s">
        <v>27672</v>
      </c>
      <c r="G14396" t="s">
        <v>14</v>
      </c>
      <c r="H14396">
             </c>
      <c r="I14396" t="s">
        <v>14</v>
      </c>
      <c r="J14396" t="s">
        <v>141</v>
      </c>
      <c r="K14396" t="s">
        <v>14</v>
      </c>
      <c r="L14396" t="s">
        <v>20</v>
      </c>
      <c r="M14396" t="s">
        <v>27614</v>
      </c>
      <c r="N14396" t="s">
        <v>14</v>
      </c>
    </row>
    <row r="14397" x14ac:dyDescent="0.25">
      <c r="A14397" t="n">
        <v>22</v>
      </c>
      <c r="B14397" t="s">
        <v>14</v>
      </c>
      <c r="C14397" t="s">
        <v>22</v>
      </c>
      <c r="D14397" s="2" t="s">
        <f>=HYPERLINK("https://main.knesset.gov.il/APPS/legislation/main/bills/2082791", "הצעת חוק להסדרת מינויים בשירות החוץ, התש""ף-2019")</f>
        <v>27673</v>
      </c>
      <c r="E14397" t="s">
        <v>27673</v>
      </c>
      <c r="F14397" t="s">
        <v>27674</v>
      </c>
      <c r="G14397" t="s">
        <v>14</v>
      </c>
      <c r="H14397">
             </c>
      <c r="I14397" t="s">
        <v>14</v>
      </c>
      <c r="J14397" t="s">
        <v>141</v>
      </c>
      <c r="K14397" t="s">
        <v>14</v>
      </c>
      <c r="L14397" t="s">
        <v>20</v>
      </c>
      <c r="M14397" t="s">
        <v>27614</v>
      </c>
      <c r="N14397" t="s">
        <v>14</v>
      </c>
    </row>
    <row r="14398" x14ac:dyDescent="0.25">
      <c r="A14398" t="n">
        <v>22</v>
      </c>
      <c r="B14398" t="s">
        <v>14</v>
      </c>
      <c r="C14398" t="s">
        <v>22</v>
      </c>
      <c r="D14398" s="2" t="s">
        <f>=HYPERLINK("https://main.knesset.gov.il/APPS/legislation/main/bills/2083469", "הצעת חוק בית הדין לעבודה (תיקון - ערעור לפני בית המשפט העליון), התש""ף-2019")</f>
        <v>27675</v>
      </c>
      <c r="E14398" t="s">
        <v>27675</v>
      </c>
      <c r="F14398" t="s">
        <v>27676</v>
      </c>
      <c r="G14398" t="s">
        <v>14</v>
      </c>
      <c r="H14398">
             </c>
      <c r="I14398" t="s">
        <v>14</v>
      </c>
      <c r="J14398" t="s">
        <v>141</v>
      </c>
      <c r="K14398" t="s">
        <v>14</v>
      </c>
      <c r="L14398" t="s">
        <v>20</v>
      </c>
      <c r="M14398" t="s">
        <v>27614</v>
      </c>
      <c r="N14398" t="s">
        <v>14</v>
      </c>
    </row>
    <row r="14399" x14ac:dyDescent="0.25">
      <c r="A14399" t="n">
        <v>22</v>
      </c>
      <c r="B14399" t="s">
        <v>14</v>
      </c>
      <c r="C14399" t="s">
        <v>22</v>
      </c>
      <c r="D14399" s="2" t="s">
        <f>=HYPERLINK("https://main.knesset.gov.il/APPS/legislation/main/bills/2082793", "הצעת חוק לימודי יסוד במערכת החינוך, התש""ף-2019")</f>
        <v>27677</v>
      </c>
      <c r="E14399" t="s">
        <v>27677</v>
      </c>
      <c r="F14399" t="s">
        <v>27678</v>
      </c>
      <c r="G14399" t="s">
        <v>14</v>
      </c>
      <c r="H14399">
             </c>
      <c r="I14399" t="s">
        <v>14</v>
      </c>
      <c r="J14399" t="s">
        <v>141</v>
      </c>
      <c r="K14399" t="s">
        <v>14</v>
      </c>
      <c r="L14399" t="s">
        <v>20</v>
      </c>
      <c r="M14399" t="s">
        <v>27614</v>
      </c>
      <c r="N14399" t="s">
        <v>14</v>
      </c>
    </row>
    <row r="14400" x14ac:dyDescent="0.25">
      <c r="A14400" t="n">
        <v>22</v>
      </c>
      <c r="B14400" t="s">
        <v>14</v>
      </c>
      <c r="C14400" t="s">
        <v>22</v>
      </c>
      <c r="D14400" s="2" t="s">
        <f>=HYPERLINK("https://main.knesset.gov.il/APPS/legislation/main/bills/2083591", "הצעת חוק התכנון והבנייה (תיקון מס' 116) (תיקון - ביטול החוק), התש""ף-2019")</f>
        <v>27679</v>
      </c>
      <c r="E14400" t="s">
        <v>27679</v>
      </c>
      <c r="F14400" t="s">
        <v>27680</v>
      </c>
      <c r="G14400" t="s">
        <v>14</v>
      </c>
      <c r="H14400">
             </c>
      <c r="I14400" t="s">
        <v>14</v>
      </c>
      <c r="J14400" t="s">
        <v>141</v>
      </c>
      <c r="K14400" t="s">
        <v>14</v>
      </c>
      <c r="L14400" t="s">
        <v>20</v>
      </c>
      <c r="M14400" t="s">
        <v>27614</v>
      </c>
      <c r="N14400" t="s">
        <v>14</v>
      </c>
    </row>
    <row r="14401" x14ac:dyDescent="0.25">
      <c r="A14401" t="n">
        <v>22</v>
      </c>
      <c r="B14401" t="s">
        <v>14</v>
      </c>
      <c r="C14401" t="s">
        <v>22</v>
      </c>
      <c r="D14401" s="2" t="s">
        <f>=HYPERLINK("https://main.knesset.gov.il/APPS/legislation/main/bills/2082619", "הצעת חוק איסור שימוש בחקירה של מי שנפגע מינית, בממצאי טיפול נפשי וביומנים אישיים (תיקוני חקיקה), התש""ף-2019")</f>
        <v>27681</v>
      </c>
      <c r="E14401" t="s">
        <v>27681</v>
      </c>
      <c r="F14401" t="s">
        <v>27682</v>
      </c>
      <c r="G14401" t="s">
        <v>14</v>
      </c>
      <c r="H14401">
             </c>
      <c r="I14401" t="s">
        <v>14</v>
      </c>
      <c r="J14401" t="s">
        <v>141</v>
      </c>
      <c r="K14401" t="s">
        <v>14</v>
      </c>
      <c r="L14401" t="s">
        <v>20</v>
      </c>
      <c r="M14401" t="s">
        <v>27614</v>
      </c>
      <c r="N14401" t="s">
        <v>14</v>
      </c>
    </row>
    <row r="14402" x14ac:dyDescent="0.25">
      <c r="A14402" t="n">
        <v>22</v>
      </c>
      <c r="B14402" t="s">
        <v>14</v>
      </c>
      <c r="C14402" t="s">
        <v>22</v>
      </c>
      <c r="D14402" s="2" t="s">
        <f>=HYPERLINK("https://main.knesset.gov.il/APPS/legislation/main/bills/2083473", "הצעת חוק לקביעת שעות ההצבעה בקלפיות ולקביעת היקף יום השבתון בבחירות לכנסת ולרשויות המקומיות (תיקוני חקיקה), התש""ף-2019")</f>
        <v>27683</v>
      </c>
      <c r="E14402" t="s">
        <v>27683</v>
      </c>
      <c r="F14402" t="s">
        <v>27684</v>
      </c>
      <c r="G14402" t="s">
        <v>14</v>
      </c>
      <c r="H14402">
             </c>
      <c r="I14402" t="s">
        <v>14</v>
      </c>
      <c r="J14402" t="s">
        <v>141</v>
      </c>
      <c r="K14402" t="s">
        <v>14</v>
      </c>
      <c r="L14402" t="s">
        <v>20</v>
      </c>
      <c r="M14402" t="s">
        <v>27614</v>
      </c>
      <c r="N14402" t="s">
        <v>14</v>
      </c>
    </row>
    <row r="14403" x14ac:dyDescent="0.25">
      <c r="A14403" t="n">
        <v>22</v>
      </c>
      <c r="B14403" t="s">
        <v>14</v>
      </c>
      <c r="C14403" t="s">
        <v>22</v>
      </c>
      <c r="D14403" s="2" t="s">
        <f>=HYPERLINK("https://main.knesset.gov.il/APPS/legislation/main/bills/2081300", "הצעת חוק-יסוד: החקיקה")</f>
        <v>26020</v>
      </c>
      <c r="E14403" t="s">
        <v>26020</v>
      </c>
      <c r="F14403" t="s">
        <v>27685</v>
      </c>
      <c r="G14403" t="s">
        <v>14</v>
      </c>
      <c r="H14403">
             </c>
      <c r="I14403" t="s">
        <v>14</v>
      </c>
      <c r="J14403" t="s">
        <v>141</v>
      </c>
      <c r="K14403" t="s">
        <v>14</v>
      </c>
      <c r="L14403" t="s">
        <v>20</v>
      </c>
      <c r="M14403" t="s">
        <v>27614</v>
      </c>
      <c r="N14403" t="s">
        <v>14</v>
      </c>
    </row>
    <row r="14404" x14ac:dyDescent="0.25">
      <c r="A14404" t="n">
        <v>22</v>
      </c>
      <c r="B14404" t="s">
        <v>14</v>
      </c>
      <c r="C14404" t="s">
        <v>22</v>
      </c>
      <c r="D14404" s="2" t="s">
        <f>=HYPERLINK("https://main.knesset.gov.il/APPS/legislation/main/bills/2083690", "הצעת חוק סיוע לקטינים נפגעי עבירות מין או אלימות (תיקון - טיפול נפשי לילדים נפגעי אלימות במשפחה לרבות חשיפה לאלימות במשפחה), התש""ף-2019")</f>
        <v>27686</v>
      </c>
      <c r="E14404" t="s">
        <v>27686</v>
      </c>
      <c r="F14404" t="s">
        <v>27687</v>
      </c>
      <c r="G14404" t="s">
        <v>14</v>
      </c>
      <c r="H14404">
             </c>
      <c r="I14404" t="s">
        <v>14</v>
      </c>
      <c r="J14404" t="s">
        <v>141</v>
      </c>
      <c r="K14404" t="s">
        <v>14</v>
      </c>
      <c r="L14404" t="s">
        <v>20</v>
      </c>
      <c r="M14404" t="s">
        <v>27614</v>
      </c>
      <c r="N14404" t="s">
        <v>14</v>
      </c>
    </row>
    <row r="14405" x14ac:dyDescent="0.25">
      <c r="A14405" t="n">
        <v>22</v>
      </c>
      <c r="B14405" t="s">
        <v>14</v>
      </c>
      <c r="C14405" t="s">
        <v>22</v>
      </c>
      <c r="D14405" s="2" t="s">
        <f>=HYPERLINK("https://main.knesset.gov.il/APPS/legislation/main/bills/2082665", "הצעת חוק פיצויים בעד נזק עקב אסון טבע, התש""ף-2019")</f>
        <v>27688</v>
      </c>
      <c r="E14405" t="s">
        <v>27688</v>
      </c>
      <c r="F14405" t="s">
        <v>27689</v>
      </c>
      <c r="G14405" t="s">
        <v>14</v>
      </c>
      <c r="H14405">
             </c>
      <c r="I14405" t="s">
        <v>14</v>
      </c>
      <c r="J14405" t="s">
        <v>141</v>
      </c>
      <c r="K14405" t="s">
        <v>14</v>
      </c>
      <c r="L14405" t="s">
        <v>20</v>
      </c>
      <c r="M14405" t="s">
        <v>27614</v>
      </c>
      <c r="N14405" t="s">
        <v>14</v>
      </c>
    </row>
    <row r="14406" x14ac:dyDescent="0.25">
      <c r="A14406" t="n">
        <v>22</v>
      </c>
      <c r="B14406" t="s">
        <v>14</v>
      </c>
      <c r="C14406" t="s">
        <v>22</v>
      </c>
      <c r="D14406" s="2" t="s">
        <f>=HYPERLINK("https://main.knesset.gov.il/APPS/legislation/main/bills/2082609", "הצעת חוק לקידום התחרות ולצמצום הריכוזיות (תיקון - קביעת תאגיד שאינו מדווח או שותפות כחברת שכבה), התש""ף-2019")</f>
        <v>27690</v>
      </c>
      <c r="E14406" t="s">
        <v>27690</v>
      </c>
      <c r="F14406" t="s">
        <v>27691</v>
      </c>
      <c r="G14406" t="s">
        <v>14</v>
      </c>
      <c r="H14406">
             </c>
      <c r="I14406" t="s">
        <v>14</v>
      </c>
      <c r="J14406" t="s">
        <v>141</v>
      </c>
      <c r="K14406" t="s">
        <v>14</v>
      </c>
      <c r="L14406" t="s">
        <v>20</v>
      </c>
      <c r="M14406" t="s">
        <v>27614</v>
      </c>
      <c r="N14406" t="s">
        <v>14</v>
      </c>
    </row>
    <row r="14407" x14ac:dyDescent="0.25">
      <c r="A14407" t="n">
        <v>22</v>
      </c>
      <c r="B14407" t="s">
        <v>14</v>
      </c>
      <c r="C14407" t="s">
        <v>22</v>
      </c>
      <c r="D14407" s="2" t="s">
        <f>=HYPERLINK("https://main.knesset.gov.il/APPS/legislation/main/bills/2083617", "הצעת חוק להגדלת שיעור ההשתתפות בכוח העבודה ולצמצום פערים חברתיים (מענק עבודה) (תיקון - זכות במקרקעין בקבוצת רכישה), התש""ף-2019")</f>
        <v>27692</v>
      </c>
      <c r="E14407" t="s">
        <v>27692</v>
      </c>
      <c r="F14407" t="s">
        <v>27693</v>
      </c>
      <c r="G14407" t="s">
        <v>14</v>
      </c>
      <c r="H14407">
             </c>
      <c r="I14407" t="s">
        <v>14</v>
      </c>
      <c r="J14407" t="s">
        <v>141</v>
      </c>
      <c r="K14407" t="s">
        <v>14</v>
      </c>
      <c r="L14407" t="s">
        <v>20</v>
      </c>
      <c r="M14407" t="s">
        <v>27614</v>
      </c>
      <c r="N14407" t="s">
        <v>14</v>
      </c>
    </row>
    <row r="14408" x14ac:dyDescent="0.25">
      <c r="A14408" t="n">
        <v>22</v>
      </c>
      <c r="B14408" t="s">
        <v>14</v>
      </c>
      <c r="C14408" t="s">
        <v>22</v>
      </c>
      <c r="D14408" s="2" t="s">
        <f>=HYPERLINK("https://main.knesset.gov.il/APPS/legislation/main/bills/2083232", "הצעת חוק הביטוח הלאומי (תיקון - מינוי ועדות רפואיות), התש""ף-2019")</f>
        <v>27694</v>
      </c>
      <c r="E14408" t="s">
        <v>27694</v>
      </c>
      <c r="F14408" t="s">
        <v>27695</v>
      </c>
      <c r="G14408" t="s">
        <v>14</v>
      </c>
      <c r="H14408">
             </c>
      <c r="I14408" t="s">
        <v>14</v>
      </c>
      <c r="J14408" t="s">
        <v>141</v>
      </c>
      <c r="K14408" t="s">
        <v>14</v>
      </c>
      <c r="L14408" t="s">
        <v>20</v>
      </c>
      <c r="M14408" t="s">
        <v>27614</v>
      </c>
      <c r="N14408" t="s">
        <v>14</v>
      </c>
    </row>
    <row r="14409" x14ac:dyDescent="0.25">
      <c r="A14409" t="n">
        <v>22</v>
      </c>
      <c r="B14409" t="s">
        <v>14</v>
      </c>
      <c r="C14409" t="s">
        <v>22</v>
      </c>
      <c r="D14409" s="2" t="s">
        <f>=HYPERLINK("https://main.knesset.gov.il/APPS/legislation/main/bills/2082630", "הצעת חוק לתיקון פקודת מס הכנסה (משיכה מקרן השתלמות לרכישת דירה ראשונה), התש""ף-2019")</f>
        <v>27696</v>
      </c>
      <c r="E14409" t="s">
        <v>27696</v>
      </c>
      <c r="F14409" t="s">
        <v>27697</v>
      </c>
      <c r="G14409" t="s">
        <v>14</v>
      </c>
      <c r="H14409">
             </c>
      <c r="I14409" t="s">
        <v>14</v>
      </c>
      <c r="J14409" t="s">
        <v>141</v>
      </c>
      <c r="K14409" t="s">
        <v>14</v>
      </c>
      <c r="L14409" t="s">
        <v>20</v>
      </c>
      <c r="M14409" t="s">
        <v>27614</v>
      </c>
      <c r="N14409" t="s">
        <v>14</v>
      </c>
    </row>
    <row r="14410" x14ac:dyDescent="0.25">
      <c r="A14410" t="n">
        <v>22</v>
      </c>
      <c r="B14410" t="s">
        <v>14</v>
      </c>
      <c r="C14410" t="s">
        <v>22</v>
      </c>
      <c r="D14410" s="2" t="s">
        <f>=HYPERLINK("https://main.knesset.gov.il/APPS/legislation/main/bills/2082600", "הצעת חוק חסינות חברי הכנסת, זכויותיהם וחובותיהם (תיקון - הצהרה על חשבונות בנק בחוץ לארץ), התש""ף-2019")</f>
        <v>27698</v>
      </c>
      <c r="E14410" t="s">
        <v>27698</v>
      </c>
      <c r="F14410" t="s">
        <v>27699</v>
      </c>
      <c r="G14410" t="s">
        <v>14</v>
      </c>
      <c r="H14410">
             </c>
      <c r="I14410" t="s">
        <v>14</v>
      </c>
      <c r="J14410" t="s">
        <v>141</v>
      </c>
      <c r="K14410" t="s">
        <v>14</v>
      </c>
      <c r="L14410" t="s">
        <v>20</v>
      </c>
      <c r="M14410" t="s">
        <v>27614</v>
      </c>
      <c r="N14410" t="s">
        <v>14</v>
      </c>
    </row>
    <row r="14411" x14ac:dyDescent="0.25">
      <c r="A14411" t="n">
        <v>22</v>
      </c>
      <c r="B14411" t="s">
        <v>14</v>
      </c>
      <c r="C14411" t="s">
        <v>22</v>
      </c>
      <c r="D14411" s="2" t="s">
        <f>=HYPERLINK("https://main.knesset.gov.il/APPS/legislation/main/bills/2082637", "הצעת חוק הפקדות וזכויות סוציאליות לעצמאים (תיקוני חקיקה), התש""ף-2019")</f>
        <v>27700</v>
      </c>
      <c r="E14411" t="s">
        <v>27700</v>
      </c>
      <c r="F14411" t="s">
        <v>27701</v>
      </c>
      <c r="G14411" t="s">
        <v>14</v>
      </c>
      <c r="H14411">
             </c>
      <c r="I14411" t="s">
        <v>14</v>
      </c>
      <c r="J14411" t="s">
        <v>141</v>
      </c>
      <c r="K14411" t="s">
        <v>14</v>
      </c>
      <c r="L14411" t="s">
        <v>20</v>
      </c>
      <c r="M14411" t="s">
        <v>27614</v>
      </c>
      <c r="N14411" t="s">
        <v>14</v>
      </c>
    </row>
    <row r="14412" x14ac:dyDescent="0.25">
      <c r="A14412" t="n">
        <v>22</v>
      </c>
      <c r="B14412" t="s">
        <v>14</v>
      </c>
      <c r="C14412" t="s">
        <v>22</v>
      </c>
      <c r="D14412" s="2" t="s">
        <f>=HYPERLINK("https://main.knesset.gov.il/APPS/legislation/main/bills/2083619", "הצעת חוק לתיקון פקודת מס הכנסה (הוצאות אש""ל לעצמאיים), התש""ף-2019")</f>
        <v>27702</v>
      </c>
      <c r="E14412" t="s">
        <v>27702</v>
      </c>
      <c r="F14412" t="s">
        <v>27703</v>
      </c>
      <c r="G14412" t="s">
        <v>14</v>
      </c>
      <c r="H14412">
             </c>
      <c r="I14412" t="s">
        <v>14</v>
      </c>
      <c r="J14412" t="s">
        <v>141</v>
      </c>
      <c r="K14412" t="s">
        <v>14</v>
      </c>
      <c r="L14412" t="s">
        <v>20</v>
      </c>
      <c r="M14412" t="s">
        <v>27614</v>
      </c>
      <c r="N14412" t="s">
        <v>14</v>
      </c>
    </row>
    <row r="14413" x14ac:dyDescent="0.25">
      <c r="A14413" t="n">
        <v>22</v>
      </c>
      <c r="B14413" t="s">
        <v>14</v>
      </c>
      <c r="C14413" t="s">
        <v>22</v>
      </c>
      <c r="D14413" s="2" t="s">
        <f>=HYPERLINK("https://main.knesset.gov.il/APPS/legislation/main/bills/2082459", "הצעת חוק רמת הגולן (תיקון - ביטול החוק), התש""ף-2019")</f>
        <v>27704</v>
      </c>
      <c r="E14413" t="s">
        <v>27704</v>
      </c>
      <c r="F14413" t="s">
        <v>27705</v>
      </c>
      <c r="G14413" t="s">
        <v>14</v>
      </c>
      <c r="H14413">
             </c>
      <c r="I14413" t="s">
        <v>14</v>
      </c>
      <c r="J14413" t="s">
        <v>141</v>
      </c>
      <c r="K14413" t="s">
        <v>14</v>
      </c>
      <c r="L14413" t="s">
        <v>20</v>
      </c>
      <c r="M14413" t="s">
        <v>27614</v>
      </c>
      <c r="N14413" t="s">
        <v>14</v>
      </c>
    </row>
    <row r="14414" x14ac:dyDescent="0.25">
      <c r="A14414" t="n">
        <v>22</v>
      </c>
      <c r="B14414" t="s">
        <v>14</v>
      </c>
      <c r="C14414" t="s">
        <v>22</v>
      </c>
      <c r="D14414" s="2" t="s">
        <f>=HYPERLINK("https://main.knesset.gov.il/APPS/legislation/main/bills/2082818", "הצעת חוק נציבות תלונות אסירים, התש""ף-2019")</f>
        <v>27706</v>
      </c>
      <c r="E14414" t="s">
        <v>27706</v>
      </c>
      <c r="F14414" t="s">
        <v>27707</v>
      </c>
      <c r="G14414" t="s">
        <v>14</v>
      </c>
      <c r="H14414">
             </c>
      <c r="I14414" t="s">
        <v>14</v>
      </c>
      <c r="J14414" t="s">
        <v>141</v>
      </c>
      <c r="K14414" t="s">
        <v>14</v>
      </c>
      <c r="L14414" t="s">
        <v>20</v>
      </c>
      <c r="M14414" t="s">
        <v>27614</v>
      </c>
      <c r="N14414" t="s">
        <v>14</v>
      </c>
    </row>
    <row r="14415" x14ac:dyDescent="0.25">
      <c r="A14415" t="n">
        <v>22</v>
      </c>
      <c r="B14415" t="s">
        <v>14</v>
      </c>
      <c r="C14415" t="s">
        <v>22</v>
      </c>
      <c r="D14415" s="2" t="s">
        <f>=HYPERLINK("https://main.knesset.gov.il/APPS/legislation/main/bills/2082810", "הצעת חוק אימוץ ילדים (תיקון - אימוץ על ידי הורה יחיד), התש""ף-2019")</f>
        <v>27708</v>
      </c>
      <c r="E14415" t="s">
        <v>27708</v>
      </c>
      <c r="F14415" t="s">
        <v>27709</v>
      </c>
      <c r="G14415" t="s">
        <v>14</v>
      </c>
      <c r="H14415">
             </c>
      <c r="I14415" t="s">
        <v>14</v>
      </c>
      <c r="J14415" t="s">
        <v>141</v>
      </c>
      <c r="K14415" t="s">
        <v>14</v>
      </c>
      <c r="L14415" t="s">
        <v>20</v>
      </c>
      <c r="M14415" t="s">
        <v>27614</v>
      </c>
      <c r="N14415" t="s">
        <v>14</v>
      </c>
    </row>
    <row r="14416" x14ac:dyDescent="0.25">
      <c r="A14416" t="n">
        <v>22</v>
      </c>
      <c r="B14416" t="s">
        <v>14</v>
      </c>
      <c r="C14416" t="s">
        <v>22</v>
      </c>
      <c r="D14416" s="2" t="s">
        <f>=HYPERLINK("https://main.knesset.gov.il/APPS/legislation/main/bills/2082479", "הצעת חוק האזרחות והכניסה לישראל (הוראת שעה) (תיקון - ביטול החוק), התש""ף-2019")</f>
        <v>25993</v>
      </c>
      <c r="E14416" t="s">
        <v>25993</v>
      </c>
      <c r="F14416" t="s">
        <v>27710</v>
      </c>
      <c r="G14416" t="s">
        <v>14</v>
      </c>
      <c r="H14416">
             </c>
      <c r="I14416" t="s">
        <v>14</v>
      </c>
      <c r="J14416" t="s">
        <v>141</v>
      </c>
      <c r="K14416" t="s">
        <v>14</v>
      </c>
      <c r="L14416" t="s">
        <v>20</v>
      </c>
      <c r="M14416" t="s">
        <v>27614</v>
      </c>
      <c r="N14416" t="s">
        <v>14</v>
      </c>
    </row>
    <row r="14417" x14ac:dyDescent="0.25">
      <c r="A14417" t="n">
        <v>22</v>
      </c>
      <c r="B14417" t="s">
        <v>14</v>
      </c>
      <c r="C14417" t="s">
        <v>22</v>
      </c>
      <c r="D14417" s="2" t="s">
        <f>=HYPERLINK("https://main.knesset.gov.il/APPS/legislation/main/bills/2083896", "הצעת חוק למניעת אלימות כלכלית בין בני זוג ובני משפחה, התש""ף-2019")</f>
        <v>27711</v>
      </c>
      <c r="E14417" t="s">
        <v>27711</v>
      </c>
      <c r="F14417" t="s">
        <v>27712</v>
      </c>
      <c r="G14417" t="s">
        <v>14</v>
      </c>
      <c r="H14417">
             </c>
      <c r="I14417" t="s">
        <v>14</v>
      </c>
      <c r="J14417" t="s">
        <v>141</v>
      </c>
      <c r="K14417" t="s">
        <v>14</v>
      </c>
      <c r="L14417" t="s">
        <v>20</v>
      </c>
      <c r="M14417" t="s">
        <v>27614</v>
      </c>
      <c r="N14417" t="s">
        <v>14</v>
      </c>
    </row>
    <row r="14418" x14ac:dyDescent="0.25">
      <c r="A14418" t="n">
        <v>22</v>
      </c>
      <c r="B14418" t="s">
        <v>14</v>
      </c>
      <c r="C14418" t="s">
        <v>22</v>
      </c>
      <c r="D14418" s="2" t="s">
        <f>=HYPERLINK("https://main.knesset.gov.il/APPS/legislation/main/bills/2083785", "הצעת חוק למניעת אלימות כלכלית בין בני זוג ובני משפחה, התש""ף-2019")</f>
        <v>27711</v>
      </c>
      <c r="E14418" t="s">
        <v>27711</v>
      </c>
      <c r="F14418" t="s">
        <v>27713</v>
      </c>
      <c r="G14418" t="s">
        <v>14</v>
      </c>
      <c r="H14418">
             </c>
      <c r="I14418" t="s">
        <v>14</v>
      </c>
      <c r="J14418" t="s">
        <v>141</v>
      </c>
      <c r="K14418" t="s">
        <v>14</v>
      </c>
      <c r="L14418" t="s">
        <v>20</v>
      </c>
      <c r="M14418" t="s">
        <v>27614</v>
      </c>
      <c r="N14418" t="s">
        <v>14</v>
      </c>
    </row>
    <row r="14419" x14ac:dyDescent="0.25">
      <c r="A14419" t="n">
        <v>22</v>
      </c>
      <c r="B14419" t="s">
        <v>14</v>
      </c>
      <c r="C14419" t="s">
        <v>22</v>
      </c>
      <c r="D14419" s="2" t="s">
        <f>=HYPERLINK("https://main.knesset.gov.il/APPS/legislation/main/bills/2082470", "הצעת חוק לתיקון פקודת המשטרה (העברת המחלקה לחקירת שוטרים למשרד מבקר המדינה וקביעת תקופת צינון), התש""ף-2019")</f>
        <v>27714</v>
      </c>
      <c r="E14419" t="s">
        <v>27714</v>
      </c>
      <c r="F14419" t="s">
        <v>27715</v>
      </c>
      <c r="G14419" t="s">
        <v>14</v>
      </c>
      <c r="H14419">
             </c>
      <c r="I14419" t="s">
        <v>14</v>
      </c>
      <c r="J14419" t="s">
        <v>141</v>
      </c>
      <c r="K14419" t="s">
        <v>14</v>
      </c>
      <c r="L14419" t="s">
        <v>20</v>
      </c>
      <c r="M14419" t="s">
        <v>27614</v>
      </c>
      <c r="N14419" t="s">
        <v>14</v>
      </c>
    </row>
    <row r="14420" x14ac:dyDescent="0.25">
      <c r="A14420" t="n">
        <v>22</v>
      </c>
      <c r="B14420" t="s">
        <v>14</v>
      </c>
      <c r="C14420" t="s">
        <v>22</v>
      </c>
      <c r="D14420" s="2" t="s">
        <f>=HYPERLINK("https://main.knesset.gov.il/APPS/legislation/main/bills/2082229", "הצעת חוק משק החשמל (תיקון - גביית תשלומים), התש""ף-2019")</f>
        <v>27716</v>
      </c>
      <c r="E14420" t="s">
        <v>27716</v>
      </c>
      <c r="F14420" t="s">
        <v>27717</v>
      </c>
      <c r="G14420" t="s">
        <v>14</v>
      </c>
      <c r="H14420">
             </c>
      <c r="I14420" t="s">
        <v>14</v>
      </c>
      <c r="J14420" t="s">
        <v>141</v>
      </c>
      <c r="K14420" t="s">
        <v>14</v>
      </c>
      <c r="L14420" t="s">
        <v>20</v>
      </c>
      <c r="M14420" t="s">
        <v>27614</v>
      </c>
      <c r="N14420" t="s">
        <v>14</v>
      </c>
    </row>
    <row r="14421" x14ac:dyDescent="0.25">
      <c r="A14421" t="n">
        <v>22</v>
      </c>
      <c r="B14421" t="s">
        <v>14</v>
      </c>
      <c r="C14421" t="s">
        <v>22</v>
      </c>
      <c r="D14421" s="2" t="s">
        <f>=HYPERLINK("https://main.knesset.gov.il/APPS/legislation/main/bills/2082712", "הצעת חוק צער בעלי חיים (הגנה על בעלי חיים) (תיקון - איסור מכירת פרוות), התש""ף-2019")</f>
        <v>27718</v>
      </c>
      <c r="E14421" t="s">
        <v>27718</v>
      </c>
      <c r="F14421" t="s">
        <v>27719</v>
      </c>
      <c r="G14421" t="s">
        <v>14</v>
      </c>
      <c r="H14421">
             </c>
      <c r="I14421" t="s">
        <v>14</v>
      </c>
      <c r="J14421" t="s">
        <v>141</v>
      </c>
      <c r="K14421" t="s">
        <v>14</v>
      </c>
      <c r="L14421" t="s">
        <v>20</v>
      </c>
      <c r="M14421" t="s">
        <v>27614</v>
      </c>
      <c r="N14421" t="s">
        <v>14</v>
      </c>
    </row>
    <row r="14422" x14ac:dyDescent="0.25">
      <c r="A14422" t="n">
        <v>22</v>
      </c>
      <c r="B14422" t="s">
        <v>14</v>
      </c>
      <c r="C14422" t="s">
        <v>22</v>
      </c>
      <c r="D14422" s="2" t="s">
        <f>=HYPERLINK("https://main.knesset.gov.il/APPS/legislation/main/bills/2082612", "הצעת חוק לימוד חובה (תיקון - חינוך חינם לפעוטות ולילדים), התש""ף-2019")</f>
        <v>27720</v>
      </c>
      <c r="E14422" t="s">
        <v>27720</v>
      </c>
      <c r="F14422" t="s">
        <v>27721</v>
      </c>
      <c r="G14422" t="s">
        <v>14</v>
      </c>
      <c r="H14422">
             </c>
      <c r="I14422" t="s">
        <v>14</v>
      </c>
      <c r="J14422" t="s">
        <v>141</v>
      </c>
      <c r="K14422" t="s">
        <v>14</v>
      </c>
      <c r="L14422" t="s">
        <v>20</v>
      </c>
      <c r="M14422" t="s">
        <v>27614</v>
      </c>
      <c r="N14422" t="s">
        <v>14</v>
      </c>
    </row>
    <row r="14423" x14ac:dyDescent="0.25">
      <c r="A14423" t="n">
        <v>22</v>
      </c>
      <c r="B14423" t="s">
        <v>14</v>
      </c>
      <c r="C14423" t="s">
        <v>22</v>
      </c>
      <c r="D14423" s="2" t="s">
        <f>=HYPERLINK("https://main.knesset.gov.il/APPS/legislation/main/bills/2082088", "הצעת חוק זכויות הדייר בדיור הציבורי (תיקון - זכאות לאימהות יחידניות המקבלות מזונות ילדים), התש""ף-2019")</f>
        <v>27722</v>
      </c>
      <c r="E14423" t="s">
        <v>27722</v>
      </c>
      <c r="F14423" t="s">
        <v>27723</v>
      </c>
      <c r="G14423" t="s">
        <v>14</v>
      </c>
      <c r="H14423">
             </c>
      <c r="I14423" t="s">
        <v>14</v>
      </c>
      <c r="J14423" t="s">
        <v>141</v>
      </c>
      <c r="K14423" t="s">
        <v>14</v>
      </c>
      <c r="L14423" t="s">
        <v>20</v>
      </c>
      <c r="M14423" t="s">
        <v>27614</v>
      </c>
      <c r="N14423" t="s">
        <v>14</v>
      </c>
    </row>
    <row r="14424" x14ac:dyDescent="0.25">
      <c r="A14424" t="n">
        <v>22</v>
      </c>
      <c r="B14424" t="s">
        <v>14</v>
      </c>
      <c r="C14424" t="s">
        <v>22</v>
      </c>
      <c r="D14424" s="2" t="s">
        <f>=HYPERLINK("https://main.knesset.gov.il/APPS/legislation/main/bills/2083462", "הצעת חוק המכר (דירות) (תיקון - זכות להחלפת חברת ניהול), התש""ף-2019")</f>
        <v>27724</v>
      </c>
      <c r="E14424" t="s">
        <v>27724</v>
      </c>
      <c r="F14424" t="s">
        <v>27725</v>
      </c>
      <c r="G14424" t="s">
        <v>14</v>
      </c>
      <c r="H14424">
             </c>
      <c r="I14424" t="s">
        <v>14</v>
      </c>
      <c r="J14424" t="s">
        <v>141</v>
      </c>
      <c r="K14424" t="s">
        <v>14</v>
      </c>
      <c r="L14424" t="s">
        <v>20</v>
      </c>
      <c r="M14424" t="s">
        <v>27614</v>
      </c>
      <c r="N14424" t="s">
        <v>14</v>
      </c>
    </row>
    <row r="14425" x14ac:dyDescent="0.25">
      <c r="A14425" t="n">
        <v>22</v>
      </c>
      <c r="B14425" t="s">
        <v>14</v>
      </c>
      <c r="C14425" t="s">
        <v>22</v>
      </c>
      <c r="D14425" s="2" t="s">
        <f>=HYPERLINK("https://main.knesset.gov.il/APPS/legislation/main/bills/2082814", "הצעת חוק איסור הפליה במוצרים, בשירותים ובכניסה למקומות בידור ולמקומות ציבוריים (תיקון - הגדלת סכום הפיצוי בלא הוכחת נזק), התש""ף-2019")</f>
        <v>27642</v>
      </c>
      <c r="E14425" t="s">
        <v>27642</v>
      </c>
      <c r="F14425" t="s">
        <v>27726</v>
      </c>
      <c r="G14425" t="s">
        <v>14</v>
      </c>
      <c r="H14425">
             </c>
      <c r="I14425" t="s">
        <v>14</v>
      </c>
      <c r="J14425" t="s">
        <v>141</v>
      </c>
      <c r="K14425" t="s">
        <v>14</v>
      </c>
      <c r="L14425" t="s">
        <v>20</v>
      </c>
      <c r="M14425" t="s">
        <v>27614</v>
      </c>
      <c r="N14425" t="s">
        <v>14</v>
      </c>
    </row>
    <row r="14426" x14ac:dyDescent="0.25">
      <c r="A14426" t="n">
        <v>22</v>
      </c>
      <c r="B14426" t="s">
        <v>14</v>
      </c>
      <c r="C14426" t="s">
        <v>22</v>
      </c>
      <c r="D14426" s="2" t="s">
        <f>=HYPERLINK("https://main.knesset.gov.il/APPS/legislation/main/bills/2083046", "הצעת חוק הקמת שדה תעופה בנבטים, התש""ף-2019")</f>
        <v>27727</v>
      </c>
      <c r="E14426" t="s">
        <v>27727</v>
      </c>
      <c r="F14426" t="s">
        <v>27728</v>
      </c>
      <c r="G14426" t="s">
        <v>14</v>
      </c>
      <c r="H14426">
             </c>
      <c r="I14426" t="s">
        <v>14</v>
      </c>
      <c r="J14426" t="s">
        <v>141</v>
      </c>
      <c r="K14426" t="s">
        <v>14</v>
      </c>
      <c r="L14426" t="s">
        <v>20</v>
      </c>
      <c r="M14426" t="s">
        <v>27614</v>
      </c>
      <c r="N14426" t="s">
        <v>14</v>
      </c>
    </row>
    <row r="14427" x14ac:dyDescent="0.25">
      <c r="A14427" t="n">
        <v>22</v>
      </c>
      <c r="B14427" t="s">
        <v>14</v>
      </c>
      <c r="C14427" t="s">
        <v>22</v>
      </c>
      <c r="D14427" s="2" t="s">
        <f>=HYPERLINK("https://main.knesset.gov.il/APPS/legislation/main/bills/2083227", "הצעת חוק ביטוח בריאות ממלכתי (תיקון - החזר דמי נסיעה באמבולנס למבוטח שהגיע לגיל פרישה), התש""ף-2019")</f>
        <v>27729</v>
      </c>
      <c r="E14427" t="s">
        <v>27729</v>
      </c>
      <c r="F14427" t="s">
        <v>27730</v>
      </c>
      <c r="G14427" t="s">
        <v>14</v>
      </c>
      <c r="H14427">
             </c>
      <c r="I14427" t="s">
        <v>14</v>
      </c>
      <c r="J14427" t="s">
        <v>141</v>
      </c>
      <c r="K14427" t="s">
        <v>14</v>
      </c>
      <c r="L14427" t="s">
        <v>20</v>
      </c>
      <c r="M14427" t="s">
        <v>27614</v>
      </c>
      <c r="N14427" t="s">
        <v>14</v>
      </c>
    </row>
    <row r="14428" x14ac:dyDescent="0.25">
      <c r="A14428" t="n">
        <v>22</v>
      </c>
      <c r="B14428" t="s">
        <v>14</v>
      </c>
      <c r="C14428" t="s">
        <v>22</v>
      </c>
      <c r="D14428" s="2" t="s">
        <f>=HYPERLINK("https://main.knesset.gov.il/APPS/legislation/main/bills/2082732", "הצעת חוק העסקת עובדים על ידי קבלני כוח אדם (תיקון - מגבלות ברישוי קבלני כוח אדם), התש""ף-2019")</f>
        <v>27731</v>
      </c>
      <c r="E14428" t="s">
        <v>27731</v>
      </c>
      <c r="F14428" t="s">
        <v>27732</v>
      </c>
      <c r="G14428" t="s">
        <v>14</v>
      </c>
      <c r="H14428">
             </c>
      <c r="I14428" t="s">
        <v>14</v>
      </c>
      <c r="J14428" t="s">
        <v>141</v>
      </c>
      <c r="K14428" t="s">
        <v>14</v>
      </c>
      <c r="L14428" t="s">
        <v>20</v>
      </c>
      <c r="M14428" t="s">
        <v>27614</v>
      </c>
      <c r="N14428" t="s">
        <v>14</v>
      </c>
    </row>
    <row r="14429" x14ac:dyDescent="0.25">
      <c r="A14429" t="n">
        <v>22</v>
      </c>
      <c r="B14429" t="s">
        <v>14</v>
      </c>
      <c r="C14429" t="s">
        <v>22</v>
      </c>
      <c r="D14429" s="2" t="s">
        <f>=HYPERLINK("https://main.knesset.gov.il/APPS/legislation/main/bills/2082449", "הצעת חוק החזרת תושבי בירעם ואיקרית לבתיהם, התש""ף-2019")</f>
        <v>27733</v>
      </c>
      <c r="E14429" t="s">
        <v>27733</v>
      </c>
      <c r="F14429" t="s">
        <v>27734</v>
      </c>
      <c r="G14429" t="s">
        <v>14</v>
      </c>
      <c r="H14429">
             </c>
      <c r="I14429" t="s">
        <v>14</v>
      </c>
      <c r="J14429" t="s">
        <v>141</v>
      </c>
      <c r="K14429" t="s">
        <v>14</v>
      </c>
      <c r="L14429" t="s">
        <v>20</v>
      </c>
      <c r="M14429" t="s">
        <v>27614</v>
      </c>
      <c r="N14429" t="s">
        <v>14</v>
      </c>
    </row>
    <row r="14430" x14ac:dyDescent="0.25">
      <c r="A14430" t="n">
        <v>22</v>
      </c>
      <c r="B14430" t="s">
        <v>14</v>
      </c>
      <c r="C14430" t="s">
        <v>22</v>
      </c>
      <c r="D14430" s="2" t="s">
        <f>=HYPERLINK("https://main.knesset.gov.il/APPS/legislation/main/bills/2082795", "הצעת חוק מערך החוץ וההסברה, התש""ף-2019")</f>
        <v>27735</v>
      </c>
      <c r="E14430" t="s">
        <v>27735</v>
      </c>
      <c r="F14430" t="s">
        <v>27736</v>
      </c>
      <c r="G14430" t="s">
        <v>14</v>
      </c>
      <c r="H14430">
             </c>
      <c r="I14430" t="s">
        <v>14</v>
      </c>
      <c r="J14430" t="s">
        <v>141</v>
      </c>
      <c r="K14430" t="s">
        <v>14</v>
      </c>
      <c r="L14430" t="s">
        <v>20</v>
      </c>
      <c r="M14430" t="s">
        <v>27614</v>
      </c>
      <c r="N14430" t="s">
        <v>14</v>
      </c>
    </row>
    <row r="14431" x14ac:dyDescent="0.25">
      <c r="A14431" t="n">
        <v>22</v>
      </c>
      <c r="B14431" t="s">
        <v>14</v>
      </c>
      <c r="C14431" t="s">
        <v>22</v>
      </c>
      <c r="D14431" s="2" t="s">
        <f>=HYPERLINK("https://main.knesset.gov.il/APPS/legislation/main/bills/2082300", "הצעת חוק מוסר תשלומים לספקים (תיקון - מועדי תשלום שיחולו על מזמינים שונים והחלה על מוסדות בריאות), התש""ף-2019")</f>
        <v>27737</v>
      </c>
      <c r="E14431" t="s">
        <v>27737</v>
      </c>
      <c r="F14431" t="s">
        <v>27738</v>
      </c>
      <c r="G14431" t="s">
        <v>14</v>
      </c>
      <c r="H14431">
             </c>
      <c r="I14431" t="s">
        <v>14</v>
      </c>
      <c r="J14431" t="s">
        <v>141</v>
      </c>
      <c r="K14431" t="s">
        <v>14</v>
      </c>
      <c r="L14431" t="s">
        <v>20</v>
      </c>
      <c r="M14431" t="s">
        <v>27614</v>
      </c>
      <c r="N14431" t="s">
        <v>14</v>
      </c>
    </row>
    <row r="14432" x14ac:dyDescent="0.25">
      <c r="A14432" t="n">
        <v>22</v>
      </c>
      <c r="B14432" t="s">
        <v>14</v>
      </c>
      <c r="C14432" t="s">
        <v>22</v>
      </c>
      <c r="D14432" s="2" t="s">
        <f>=HYPERLINK("https://main.knesset.gov.il/APPS/legislation/main/bills/2082772", "הצעת חוק התגמולים לנפגעי פעולות איבה (תיקון - פשעי שנאה), התש""ף-2019")</f>
        <v>27739</v>
      </c>
      <c r="E14432" t="s">
        <v>27739</v>
      </c>
      <c r="F14432" t="s">
        <v>27740</v>
      </c>
      <c r="G14432" t="s">
        <v>14</v>
      </c>
      <c r="H14432">
             </c>
      <c r="I14432" t="s">
        <v>14</v>
      </c>
      <c r="J14432" t="s">
        <v>141</v>
      </c>
      <c r="K14432" t="s">
        <v>14</v>
      </c>
      <c r="L14432" t="s">
        <v>20</v>
      </c>
      <c r="M14432" t="s">
        <v>27614</v>
      </c>
      <c r="N14432" t="s">
        <v>14</v>
      </c>
    </row>
    <row r="14433" x14ac:dyDescent="0.25">
      <c r="A14433" t="n">
        <v>22</v>
      </c>
      <c r="B14433" t="s">
        <v>14</v>
      </c>
      <c r="C14433" t="s">
        <v>22</v>
      </c>
      <c r="D14433" s="2" t="s">
        <f>=HYPERLINK("https://main.knesset.gov.il/APPS/legislation/main/bills/2082469", "הצעת חוק שירותי בריאות נפש ממלכתיים, התש""ף-2019")</f>
        <v>27741</v>
      </c>
      <c r="E14433" t="s">
        <v>27741</v>
      </c>
      <c r="F14433" t="s">
        <v>27742</v>
      </c>
      <c r="G14433" t="s">
        <v>14</v>
      </c>
      <c r="H14433">
             </c>
      <c r="I14433" t="s">
        <v>14</v>
      </c>
      <c r="J14433" t="s">
        <v>141</v>
      </c>
      <c r="K14433" t="s">
        <v>14</v>
      </c>
      <c r="L14433" t="s">
        <v>20</v>
      </c>
      <c r="M14433" t="s">
        <v>27614</v>
      </c>
      <c r="N14433" t="s">
        <v>14</v>
      </c>
    </row>
    <row r="14434" x14ac:dyDescent="0.25">
      <c r="A14434" t="n">
        <v>22</v>
      </c>
      <c r="B14434" t="s">
        <v>14</v>
      </c>
      <c r="C14434" t="s">
        <v>22</v>
      </c>
      <c r="D14434" s="2" t="s">
        <f>=HYPERLINK("https://main.knesset.gov.il/APPS/legislation/main/bills/2082642", "הצעת חוק למניעת התעמרות בעבודה, התש""ף-2019")</f>
        <v>27743</v>
      </c>
      <c r="E14434" t="s">
        <v>27743</v>
      </c>
      <c r="F14434" t="s">
        <v>27744</v>
      </c>
      <c r="G14434" t="s">
        <v>14</v>
      </c>
      <c r="H14434">
             </c>
      <c r="I14434" t="s">
        <v>14</v>
      </c>
      <c r="J14434" t="s">
        <v>141</v>
      </c>
      <c r="K14434" t="s">
        <v>14</v>
      </c>
      <c r="L14434" t="s">
        <v>20</v>
      </c>
      <c r="M14434" t="s">
        <v>27614</v>
      </c>
      <c r="N14434" t="s">
        <v>14</v>
      </c>
    </row>
    <row r="14435" x14ac:dyDescent="0.25">
      <c r="A14435" t="n">
        <v>22</v>
      </c>
      <c r="B14435" t="s">
        <v>14</v>
      </c>
      <c r="C14435" t="s">
        <v>22</v>
      </c>
      <c r="D14435" s="2" t="s">
        <f>=HYPERLINK("https://main.knesset.gov.il/APPS/legislation/main/bills/2082738", "הצעת חוק יסודות התקציב (תיקון - אישור הוועדה המשותפת לתקציב הביטחון להחלטות הממשלה להצטיידות או התעצמות), התש""ף-2019")</f>
        <v>27745</v>
      </c>
      <c r="E14435" t="s">
        <v>27745</v>
      </c>
      <c r="F14435" t="s">
        <v>27746</v>
      </c>
      <c r="G14435" t="s">
        <v>14</v>
      </c>
      <c r="H14435">
             </c>
      <c r="I14435" t="s">
        <v>14</v>
      </c>
      <c r="J14435" t="s">
        <v>141</v>
      </c>
      <c r="K14435" t="s">
        <v>14</v>
      </c>
      <c r="L14435" t="s">
        <v>20</v>
      </c>
      <c r="M14435" t="s">
        <v>27614</v>
      </c>
      <c r="N14435" t="s">
        <v>14</v>
      </c>
    </row>
    <row r="14436" x14ac:dyDescent="0.25">
      <c r="A14436" t="n">
        <v>22</v>
      </c>
      <c r="B14436" t="s">
        <v>14</v>
      </c>
      <c r="C14436" t="s">
        <v>22</v>
      </c>
      <c r="D14436" s="2" t="s">
        <f>=HYPERLINK("https://main.knesset.gov.il/APPS/legislation/main/bills/2082452", "הצעת חוק מס ערך מוסף (תיקון - מס בשיעור אפס על ספרי לימוד), התש""ף-2019")</f>
        <v>27747</v>
      </c>
      <c r="E14436" t="s">
        <v>27747</v>
      </c>
      <c r="F14436" t="s">
        <v>27748</v>
      </c>
      <c r="G14436" t="s">
        <v>14</v>
      </c>
      <c r="H14436">
             </c>
      <c r="I14436" t="s">
        <v>14</v>
      </c>
      <c r="J14436" t="s">
        <v>141</v>
      </c>
      <c r="K14436" t="s">
        <v>14</v>
      </c>
      <c r="L14436" t="s">
        <v>20</v>
      </c>
      <c r="M14436" t="s">
        <v>27614</v>
      </c>
      <c r="N14436" t="s">
        <v>14</v>
      </c>
    </row>
    <row r="14437" x14ac:dyDescent="0.25">
      <c r="A14437" t="n">
        <v>22</v>
      </c>
      <c r="B14437" t="s">
        <v>14</v>
      </c>
      <c r="C14437" t="s">
        <v>22</v>
      </c>
      <c r="D14437" s="2" t="s">
        <f>=HYPERLINK("https://main.knesset.gov.il/APPS/legislation/main/bills/2082766", "הצעת חוק עבודת נשים (תיקון - הגנה לעובדת העוברת טיפולי פוריות), התש""ף-2019")</f>
        <v>27749</v>
      </c>
      <c r="E14437" t="s">
        <v>27749</v>
      </c>
      <c r="F14437" t="s">
        <v>27750</v>
      </c>
      <c r="G14437" t="s">
        <v>14</v>
      </c>
      <c r="H14437">
             </c>
      <c r="I14437" t="s">
        <v>14</v>
      </c>
      <c r="J14437" t="s">
        <v>141</v>
      </c>
      <c r="K14437" t="s">
        <v>14</v>
      </c>
      <c r="L14437" t="s">
        <v>20</v>
      </c>
      <c r="M14437" t="s">
        <v>27614</v>
      </c>
      <c r="N14437" t="s">
        <v>14</v>
      </c>
    </row>
    <row r="14438" x14ac:dyDescent="0.25">
      <c r="A14438" t="n">
        <v>22</v>
      </c>
      <c r="B14438" t="s">
        <v>14</v>
      </c>
      <c r="C14438" t="s">
        <v>22</v>
      </c>
      <c r="D14438" s="2" t="s">
        <f>=HYPERLINK("https://main.knesset.gov.il/APPS/legislation/main/bills/2082421", "הצעת חוק מס ערך מוסף (תיקון - פטור ממס במכירת תרופות מצילות חיים שאינן כלולות בסל הבריאות) התש""ף-2019")</f>
        <v>27751</v>
      </c>
      <c r="E14438" t="s">
        <v>27751</v>
      </c>
      <c r="F14438" t="s">
        <v>27752</v>
      </c>
      <c r="G14438" t="s">
        <v>14</v>
      </c>
      <c r="H14438">
             </c>
      <c r="I14438" t="s">
        <v>14</v>
      </c>
      <c r="J14438" t="s">
        <v>141</v>
      </c>
      <c r="K14438" t="s">
        <v>14</v>
      </c>
      <c r="L14438" t="s">
        <v>20</v>
      </c>
      <c r="M14438" t="s">
        <v>27614</v>
      </c>
      <c r="N14438" t="s">
        <v>14</v>
      </c>
    </row>
    <row r="14439" x14ac:dyDescent="0.25">
      <c r="A14439" t="n">
        <v>22</v>
      </c>
      <c r="B14439" t="s">
        <v>14</v>
      </c>
      <c r="C14439" t="s">
        <v>22</v>
      </c>
      <c r="D14439" s="2" t="s">
        <f>=HYPERLINK("https://main.knesset.gov.il/APPS/legislation/main/bills/2082667", "הצעת חוק עבודת נשים (תיקון- תקופת לידה והורות מדורגת), התש""ף-2019")</f>
        <v>27753</v>
      </c>
      <c r="E14439" t="s">
        <v>27753</v>
      </c>
      <c r="F14439" t="s">
        <v>27754</v>
      </c>
      <c r="G14439" t="s">
        <v>14</v>
      </c>
      <c r="H14439">
             </c>
      <c r="I14439" t="s">
        <v>14</v>
      </c>
      <c r="J14439" t="s">
        <v>141</v>
      </c>
      <c r="K14439" t="s">
        <v>14</v>
      </c>
      <c r="L14439" t="s">
        <v>20</v>
      </c>
      <c r="M14439" t="s">
        <v>27614</v>
      </c>
      <c r="N14439" t="s">
        <v>14</v>
      </c>
    </row>
    <row r="14440" x14ac:dyDescent="0.25">
      <c r="A14440" t="n">
        <v>22</v>
      </c>
      <c r="B14440" t="s">
        <v>14</v>
      </c>
      <c r="C14440" t="s">
        <v>22</v>
      </c>
      <c r="D14440" s="2" t="s">
        <f>=HYPERLINK("https://main.knesset.gov.il/APPS/legislation/main/bills/2082115", "הצעת חוק לתיקון פקודת התעבורה (רישיון נהיגה לאופניים עם מנוע עזר), התש""ף-2019")</f>
        <v>27755</v>
      </c>
      <c r="E14440" t="s">
        <v>27755</v>
      </c>
      <c r="F14440" t="s">
        <v>27756</v>
      </c>
      <c r="G14440" t="s">
        <v>14</v>
      </c>
      <c r="H14440">
             </c>
      <c r="I14440" t="s">
        <v>14</v>
      </c>
      <c r="J14440" t="s">
        <v>141</v>
      </c>
      <c r="K14440" t="s">
        <v>14</v>
      </c>
      <c r="L14440" t="s">
        <v>20</v>
      </c>
      <c r="M14440" t="s">
        <v>27614</v>
      </c>
      <c r="N14440" t="s">
        <v>14</v>
      </c>
    </row>
    <row r="14441" x14ac:dyDescent="0.25">
      <c r="A14441" t="n">
        <v>22</v>
      </c>
      <c r="B14441" t="s">
        <v>14</v>
      </c>
      <c r="C14441" t="s">
        <v>22</v>
      </c>
      <c r="D14441" s="2" t="s">
        <f>=HYPERLINK("https://main.knesset.gov.il/APPS/legislation/main/bills/2082610", "הצעת חוק הגישור, התש""ף-2019")</f>
        <v>27757</v>
      </c>
      <c r="E14441" t="s">
        <v>27757</v>
      </c>
      <c r="F14441" t="s">
        <v>27758</v>
      </c>
      <c r="G14441" t="s">
        <v>14</v>
      </c>
      <c r="H14441">
             </c>
      <c r="I14441" t="s">
        <v>14</v>
      </c>
      <c r="J14441" t="s">
        <v>141</v>
      </c>
      <c r="K14441" t="s">
        <v>14</v>
      </c>
      <c r="L14441" t="s">
        <v>20</v>
      </c>
      <c r="M14441" t="s">
        <v>27614</v>
      </c>
      <c r="N14441" t="s">
        <v>14</v>
      </c>
    </row>
    <row r="14442" x14ac:dyDescent="0.25">
      <c r="A14442" t="n">
        <v>22</v>
      </c>
      <c r="B14442" t="s">
        <v>14</v>
      </c>
      <c r="C14442" t="s">
        <v>22</v>
      </c>
      <c r="D14442" s="2" t="s">
        <f>=HYPERLINK("https://main.knesset.gov.il/APPS/legislation/main/bills/2082716", "הצעת חוק משפחות חיילים שנספו במערכה (תגמולים ושיקום) (תיקון - הגדרת אלמן ושכול), התש""ף-2019")</f>
        <v>27759</v>
      </c>
      <c r="E14442" t="s">
        <v>27759</v>
      </c>
      <c r="F14442" t="s">
        <v>27760</v>
      </c>
      <c r="G14442" t="s">
        <v>14</v>
      </c>
      <c r="H14442">
             </c>
      <c r="I14442" t="s">
        <v>14</v>
      </c>
      <c r="J14442" t="s">
        <v>141</v>
      </c>
      <c r="K14442" t="s">
        <v>14</v>
      </c>
      <c r="L14442" t="s">
        <v>20</v>
      </c>
      <c r="M14442" t="s">
        <v>27614</v>
      </c>
      <c r="N14442" t="s">
        <v>14</v>
      </c>
    </row>
    <row r="14443" x14ac:dyDescent="0.25">
      <c r="A14443" t="n">
        <v>22</v>
      </c>
      <c r="B14443" t="s">
        <v>14</v>
      </c>
      <c r="C14443" t="s">
        <v>22</v>
      </c>
      <c r="D14443" s="2" t="s">
        <f>=HYPERLINK("https://main.knesset.gov.il/APPS/legislation/main/bills/2082569", "הצעת חוק לתיקון פקודת בתי הסוהר (מס' 48) (ביטול החוק), התש""ף-2019")</f>
        <v>27761</v>
      </c>
      <c r="E14443" t="s">
        <v>27761</v>
      </c>
      <c r="F14443" t="s">
        <v>27762</v>
      </c>
      <c r="G14443" t="s">
        <v>14</v>
      </c>
      <c r="H14443">
             </c>
      <c r="I14443" t="s">
        <v>14</v>
      </c>
      <c r="J14443" t="s">
        <v>141</v>
      </c>
      <c r="K14443" t="s">
        <v>14</v>
      </c>
      <c r="L14443" t="s">
        <v>20</v>
      </c>
      <c r="M14443" t="s">
        <v>27614</v>
      </c>
      <c r="N14443" t="s">
        <v>14</v>
      </c>
    </row>
    <row r="14444" x14ac:dyDescent="0.25">
      <c r="A14444" t="n">
        <v>22</v>
      </c>
      <c r="B14444" t="s">
        <v>14</v>
      </c>
      <c r="C14444" t="s">
        <v>22</v>
      </c>
      <c r="D14444" s="2" t="s">
        <f>=HYPERLINK("https://main.knesset.gov.il/APPS/legislation/main/bills/2082821", "הצעת חוק אימוץ ילדים (תיקון - הוספת סמכות בנושא דתו של המאומץ), התש""ף-2019")</f>
        <v>27763</v>
      </c>
      <c r="E14444" t="s">
        <v>27763</v>
      </c>
      <c r="F14444" t="s">
        <v>27764</v>
      </c>
      <c r="G14444" t="s">
        <v>14</v>
      </c>
      <c r="H14444">
             </c>
      <c r="I14444" t="s">
        <v>14</v>
      </c>
      <c r="J14444" t="s">
        <v>141</v>
      </c>
      <c r="K14444" t="s">
        <v>14</v>
      </c>
      <c r="L14444" t="s">
        <v>20</v>
      </c>
      <c r="M14444" t="s">
        <v>27614</v>
      </c>
      <c r="N14444" t="s">
        <v>14</v>
      </c>
    </row>
    <row r="14445" x14ac:dyDescent="0.25">
      <c r="A14445" t="n">
        <v>22</v>
      </c>
      <c r="B14445" t="s">
        <v>14</v>
      </c>
      <c r="C14445" t="s">
        <v>22</v>
      </c>
      <c r="D14445" s="2" t="s">
        <f>=HYPERLINK("https://main.knesset.gov.il/APPS/legislation/main/bills/2082694", "הצעת חוק ההוצאה לפועל (תיקון - מסלול מקוצר חובה), התש""ף-2019")</f>
        <v>27765</v>
      </c>
      <c r="E14445" t="s">
        <v>27765</v>
      </c>
      <c r="F14445" t="s">
        <v>27766</v>
      </c>
      <c r="G14445" t="s">
        <v>14</v>
      </c>
      <c r="H14445">
             </c>
      <c r="I14445" t="s">
        <v>14</v>
      </c>
      <c r="J14445" t="s">
        <v>141</v>
      </c>
      <c r="K14445" t="s">
        <v>14</v>
      </c>
      <c r="L14445" t="s">
        <v>20</v>
      </c>
      <c r="M14445" t="s">
        <v>27614</v>
      </c>
      <c r="N14445" t="s">
        <v>14</v>
      </c>
    </row>
    <row r="14446" x14ac:dyDescent="0.25">
      <c r="A14446" t="n">
        <v>22</v>
      </c>
      <c r="B14446" t="s">
        <v>14</v>
      </c>
      <c r="C14446" t="s">
        <v>22</v>
      </c>
      <c r="D14446" s="2" t="s">
        <f>=HYPERLINK("https://main.knesset.gov.il/APPS/legislation/main/bills/2082742", "הצעת חוק הגנה על הציבור מפני ביצוע עבירות מין (תיקון - מתן טיפול שיקום מונע ללא הרשעה), התש""ף-2019")</f>
        <v>27767</v>
      </c>
      <c r="E14446" t="s">
        <v>27767</v>
      </c>
      <c r="F14446" t="s">
        <v>27768</v>
      </c>
      <c r="G14446" t="s">
        <v>14</v>
      </c>
      <c r="H14446">
             </c>
      <c r="I14446" t="s">
        <v>14</v>
      </c>
      <c r="J14446" t="s">
        <v>141</v>
      </c>
      <c r="K14446" t="s">
        <v>14</v>
      </c>
      <c r="L14446" t="s">
        <v>20</v>
      </c>
      <c r="M14446" t="s">
        <v>27614</v>
      </c>
      <c r="N14446" t="s">
        <v>14</v>
      </c>
    </row>
    <row r="14447" x14ac:dyDescent="0.25">
      <c r="A14447" t="n">
        <v>22</v>
      </c>
      <c r="B14447" t="s">
        <v>14</v>
      </c>
      <c r="C14447" t="s">
        <v>22</v>
      </c>
      <c r="D14447" s="2" t="s">
        <f>=HYPERLINK("https://main.knesset.gov.il/APPS/legislation/main/bills/2082477", "הצעת חוק המשטרה (תיקון - התיישנות עבירות) התש""ף-2019")</f>
        <v>27769</v>
      </c>
      <c r="E14447" t="s">
        <v>27769</v>
      </c>
      <c r="F14447" t="s">
        <v>27770</v>
      </c>
      <c r="G14447" t="s">
        <v>14</v>
      </c>
      <c r="H14447">
             </c>
      <c r="I14447" t="s">
        <v>14</v>
      </c>
      <c r="J14447" t="s">
        <v>141</v>
      </c>
      <c r="K14447" t="s">
        <v>14</v>
      </c>
      <c r="L14447" t="s">
        <v>20</v>
      </c>
      <c r="M14447" t="s">
        <v>27614</v>
      </c>
      <c r="N14447" t="s">
        <v>14</v>
      </c>
    </row>
    <row r="14448" x14ac:dyDescent="0.25">
      <c r="A14448" t="n">
        <v>22</v>
      </c>
      <c r="B14448" t="s">
        <v>14</v>
      </c>
      <c r="C14448" t="s">
        <v>22</v>
      </c>
      <c r="D14448" s="2" t="s">
        <f>=HYPERLINK("https://main.knesset.gov.il/APPS/legislation/main/bills/2082635", "הצעת חוק הפיקוח על שירותים פיננסיים (קופות גמל) (תיקון - הגבלת דמי ניהול לעמית שסיים את עבודתו), התש""ף-2019")</f>
        <v>27771</v>
      </c>
      <c r="E14448" t="s">
        <v>27771</v>
      </c>
      <c r="F14448" t="s">
        <v>27772</v>
      </c>
      <c r="G14448" t="s">
        <v>14</v>
      </c>
      <c r="H14448">
             </c>
      <c r="I14448" t="s">
        <v>14</v>
      </c>
      <c r="J14448" t="s">
        <v>141</v>
      </c>
      <c r="K14448" t="s">
        <v>14</v>
      </c>
      <c r="L14448" t="s">
        <v>20</v>
      </c>
      <c r="M14448" t="s">
        <v>27614</v>
      </c>
      <c r="N14448" t="s">
        <v>14</v>
      </c>
    </row>
    <row r="14449" x14ac:dyDescent="0.25">
      <c r="A14449" t="n">
        <v>22</v>
      </c>
      <c r="B14449" t="s">
        <v>14</v>
      </c>
      <c r="C14449" t="s">
        <v>22</v>
      </c>
      <c r="D14449" s="2" t="s">
        <f>=HYPERLINK("https://main.knesset.gov.il/APPS/legislation/main/bills/2082671", "הצעת חוק לתיקון פקודת מס הכנסה (פטור ממס על מלגה לחוקר), התש""ף-2019")</f>
        <v>27773</v>
      </c>
      <c r="E14449" t="s">
        <v>27773</v>
      </c>
      <c r="F14449" t="s">
        <v>27774</v>
      </c>
      <c r="G14449" t="s">
        <v>14</v>
      </c>
      <c r="H14449">
             </c>
      <c r="I14449" t="s">
        <v>14</v>
      </c>
      <c r="J14449" t="s">
        <v>141</v>
      </c>
      <c r="K14449" t="s">
        <v>14</v>
      </c>
      <c r="L14449" t="s">
        <v>20</v>
      </c>
      <c r="M14449" t="s">
        <v>27614</v>
      </c>
      <c r="N14449" t="s">
        <v>14</v>
      </c>
    </row>
    <row r="14450" x14ac:dyDescent="0.25">
      <c r="A14450" t="n">
        <v>22</v>
      </c>
      <c r="B14450" t="s">
        <v>14</v>
      </c>
      <c r="C14450" t="s">
        <v>22</v>
      </c>
      <c r="D14450" s="2" t="s">
        <f>=HYPERLINK("https://main.knesset.gov.il/APPS/legislation/main/bills/2083001", "הצעת חוק המועצה להשכלה גבוהה (תיקון - הקמת מוסדות להשכלה גבוהה), התש""ף-2019")</f>
        <v>27775</v>
      </c>
      <c r="E14450" t="s">
        <v>27775</v>
      </c>
      <c r="F14450" t="s">
        <v>27776</v>
      </c>
      <c r="G14450" t="s">
        <v>14</v>
      </c>
      <c r="H14450">
             </c>
      <c r="I14450" t="s">
        <v>14</v>
      </c>
      <c r="J14450" t="s">
        <v>141</v>
      </c>
      <c r="K14450" t="s">
        <v>14</v>
      </c>
      <c r="L14450" t="s">
        <v>20</v>
      </c>
      <c r="M14450" t="s">
        <v>27614</v>
      </c>
      <c r="N14450" t="s">
        <v>14</v>
      </c>
    </row>
    <row r="14451" x14ac:dyDescent="0.25">
      <c r="A14451" t="n">
        <v>22</v>
      </c>
      <c r="B14451" t="s">
        <v>14</v>
      </c>
      <c r="C14451" t="s">
        <v>22</v>
      </c>
      <c r="D14451" s="2" t="s">
        <f>=HYPERLINK("https://main.knesset.gov.il/APPS/legislation/main/bills/2083998", "הצעת חוק-יסוד: הממשלה (תיקון - בחירות מוקדמות באין ממשלה)")</f>
        <v>25616</v>
      </c>
      <c r="E14451" t="s">
        <v>25616</v>
      </c>
      <c r="F14451" t="s">
        <v>27777</v>
      </c>
      <c r="G14451" t="s">
        <v>14</v>
      </c>
      <c r="H14451">
             </c>
      <c r="I14451" t="s">
        <v>14</v>
      </c>
      <c r="J14451" t="s">
        <v>141</v>
      </c>
      <c r="K14451" t="s">
        <v>14</v>
      </c>
      <c r="L14451" t="s">
        <v>20</v>
      </c>
      <c r="M14451" t="s">
        <v>27614</v>
      </c>
      <c r="N14451" t="s">
        <v>14</v>
      </c>
    </row>
    <row r="14452" x14ac:dyDescent="0.25">
      <c r="A14452" t="n">
        <v>22</v>
      </c>
      <c r="B14452" t="s">
        <v>14</v>
      </c>
      <c r="C14452" t="s">
        <v>22</v>
      </c>
      <c r="D14452" s="2" t="s">
        <f>=HYPERLINK("https://main.knesset.gov.il/APPS/legislation/main/bills/2082759", "הצעת חוק איסור הפליה בשל מין, נטייה מינית או זהות מגדרית (תיקוני חקיקה), התש""ף-2019")</f>
        <v>27778</v>
      </c>
      <c r="E14452" t="s">
        <v>27778</v>
      </c>
      <c r="F14452" t="s">
        <v>27779</v>
      </c>
      <c r="G14452" t="s">
        <v>14</v>
      </c>
      <c r="H14452">
             </c>
      <c r="I14452" t="s">
        <v>14</v>
      </c>
      <c r="J14452" t="s">
        <v>141</v>
      </c>
      <c r="K14452" t="s">
        <v>14</v>
      </c>
      <c r="L14452" t="s">
        <v>20</v>
      </c>
      <c r="M14452" t="s">
        <v>27614</v>
      </c>
      <c r="N14452" t="s">
        <v>14</v>
      </c>
    </row>
    <row r="14453" x14ac:dyDescent="0.25">
      <c r="A14453" t="n">
        <v>22</v>
      </c>
      <c r="B14453" t="s">
        <v>14</v>
      </c>
      <c r="C14453" t="s">
        <v>22</v>
      </c>
      <c r="D14453" s="2" t="s">
        <f>=HYPERLINK("https://main.knesset.gov.il/APPS/legislation/main/bills/2082311", "הצעת חוק רישוי עסקים (תיקון - הארכת תוקף רישיון), התש""ף-2019")</f>
        <v>27780</v>
      </c>
      <c r="E14453" t="s">
        <v>27780</v>
      </c>
      <c r="F14453" t="s">
        <v>27781</v>
      </c>
      <c r="G14453" t="s">
        <v>14</v>
      </c>
      <c r="H14453">
             </c>
      <c r="I14453" t="s">
        <v>14</v>
      </c>
      <c r="J14453" t="s">
        <v>141</v>
      </c>
      <c r="K14453" t="s">
        <v>14</v>
      </c>
      <c r="L14453" t="s">
        <v>20</v>
      </c>
      <c r="M14453" t="s">
        <v>27614</v>
      </c>
      <c r="N14453" t="s">
        <v>14</v>
      </c>
    </row>
    <row r="14454" x14ac:dyDescent="0.25">
      <c r="A14454" t="n">
        <v>22</v>
      </c>
      <c r="B14454" t="s">
        <v>14</v>
      </c>
      <c r="C14454" t="s">
        <v>22</v>
      </c>
      <c r="D14454" s="2" t="s">
        <f>=HYPERLINK("https://main.knesset.gov.il/APPS/legislation/main/bills/2082790", "הצעת חוק טיפול בחולי נפש (תיקון - החלת הוראות על בגיר שסובל מאנורקסיה נרבוזה), התש""ף-2019")</f>
        <v>27782</v>
      </c>
      <c r="E14454" t="s">
        <v>27782</v>
      </c>
      <c r="F14454" t="s">
        <v>27783</v>
      </c>
      <c r="G14454" t="s">
        <v>14</v>
      </c>
      <c r="H14454">
             </c>
      <c r="I14454" t="s">
        <v>14</v>
      </c>
      <c r="J14454" t="s">
        <v>141</v>
      </c>
      <c r="K14454" t="s">
        <v>14</v>
      </c>
      <c r="L14454" t="s">
        <v>20</v>
      </c>
      <c r="M14454" t="s">
        <v>27614</v>
      </c>
      <c r="N14454" t="s">
        <v>14</v>
      </c>
    </row>
    <row r="14455" x14ac:dyDescent="0.25">
      <c r="A14455" t="n">
        <v>22</v>
      </c>
      <c r="B14455" t="s">
        <v>14</v>
      </c>
      <c r="C14455" t="s">
        <v>22</v>
      </c>
      <c r="D14455" s="2" t="s">
        <f>=HYPERLINK("https://main.knesset.gov.il/APPS/legislation/main/bills/2083902", "הצעת חוק-יסוד: הכנסת (תיקון - ביטול יום השבתון ביום הבחירות)")</f>
        <v>27784</v>
      </c>
      <c r="E14455" t="s">
        <v>27784</v>
      </c>
      <c r="F14455" t="s">
        <v>27785</v>
      </c>
      <c r="G14455" t="s">
        <v>14</v>
      </c>
      <c r="H14455">
             </c>
      <c r="I14455" t="s">
        <v>14</v>
      </c>
      <c r="J14455" t="s">
        <v>141</v>
      </c>
      <c r="K14455" t="s">
        <v>14</v>
      </c>
      <c r="L14455" t="s">
        <v>20</v>
      </c>
      <c r="M14455" t="s">
        <v>27614</v>
      </c>
      <c r="N14455" t="s">
        <v>14</v>
      </c>
    </row>
    <row r="14456" x14ac:dyDescent="0.25">
      <c r="A14456" t="n">
        <v>22</v>
      </c>
      <c r="B14456" t="s">
        <v>14</v>
      </c>
      <c r="C14456" t="s">
        <v>22</v>
      </c>
      <c r="D14456" s="2" t="s">
        <f>=HYPERLINK("https://main.knesset.gov.il/APPS/legislation/main/bills/2082822", "הצעת חוק העסקת עובדי הוראה, התש""ף-2019")</f>
        <v>27786</v>
      </c>
      <c r="E14456" t="s">
        <v>27786</v>
      </c>
      <c r="F14456" t="s">
        <v>27787</v>
      </c>
      <c r="G14456" t="s">
        <v>14</v>
      </c>
      <c r="H14456">
             </c>
      <c r="I14456" t="s">
        <v>14</v>
      </c>
      <c r="J14456" t="s">
        <v>141</v>
      </c>
      <c r="K14456" t="s">
        <v>14</v>
      </c>
      <c r="L14456" t="s">
        <v>20</v>
      </c>
      <c r="M14456" t="s">
        <v>27614</v>
      </c>
      <c r="N14456" t="s">
        <v>14</v>
      </c>
    </row>
    <row r="14457" x14ac:dyDescent="0.25">
      <c r="A14457" t="n">
        <v>22</v>
      </c>
      <c r="B14457" t="s">
        <v>14</v>
      </c>
      <c r="C14457" t="s">
        <v>22</v>
      </c>
      <c r="D14457" s="2" t="s">
        <f>=HYPERLINK("https://main.knesset.gov.il/APPS/legislation/main/bills/2082951", "הצעת חוק הבטחת הכנסה (תיקון - ניכוי שכר דירה לעולים חדשים לצורך מבחן הכנסות), התש""ף-2019 ")</f>
        <v>27788</v>
      </c>
      <c r="E14457" t="s">
        <v>27788</v>
      </c>
      <c r="F14457" t="s">
        <v>27789</v>
      </c>
      <c r="G14457" t="s">
        <v>14</v>
      </c>
      <c r="H14457">
             </c>
      <c r="I14457" t="s">
        <v>14</v>
      </c>
      <c r="J14457" t="s">
        <v>141</v>
      </c>
      <c r="K14457" t="s">
        <v>14</v>
      </c>
      <c r="L14457" t="s">
        <v>20</v>
      </c>
      <c r="M14457" t="s">
        <v>27614</v>
      </c>
      <c r="N14457" t="s">
        <v>14</v>
      </c>
    </row>
    <row r="14458" x14ac:dyDescent="0.25">
      <c r="A14458" t="n">
        <v>22</v>
      </c>
      <c r="B14458" t="s">
        <v>14</v>
      </c>
      <c r="C14458" t="s">
        <v>22</v>
      </c>
      <c r="D14458" s="2" t="s">
        <f>=HYPERLINK("https://main.knesset.gov.il/APPS/legislation/main/bills/2082748", "הצעת חוק חזקת הסכמה לתרומת אברים (תיקוני חקיקה), התש""ף-2019")</f>
        <v>27790</v>
      </c>
      <c r="E14458" t="s">
        <v>27790</v>
      </c>
      <c r="F14458" t="s">
        <v>27791</v>
      </c>
      <c r="G14458" t="s">
        <v>14</v>
      </c>
      <c r="H14458">
             </c>
      <c r="I14458" t="s">
        <v>14</v>
      </c>
      <c r="J14458" t="s">
        <v>141</v>
      </c>
      <c r="K14458" t="s">
        <v>14</v>
      </c>
      <c r="L14458" t="s">
        <v>20</v>
      </c>
      <c r="M14458" t="s">
        <v>27614</v>
      </c>
      <c r="N14458" t="s">
        <v>14</v>
      </c>
    </row>
    <row r="14459" x14ac:dyDescent="0.25">
      <c r="A14459" t="n">
        <v>22</v>
      </c>
      <c r="B14459" t="s">
        <v>14</v>
      </c>
      <c r="C14459" t="s">
        <v>22</v>
      </c>
      <c r="D14459" s="2" t="s">
        <f>=HYPERLINK("https://main.knesset.gov.il/APPS/legislation/main/bills/2083336", "הצעת חוק מס ערך מוסף (תיקון - פטור ממס על מתן שירותי בנייה לצורך הוספת מרחב מוגן ומרחב מוגן דירתי ביישובים סמוכי גבול), התש""ף-2019 ")</f>
        <v>27792</v>
      </c>
      <c r="E14459" t="s">
        <v>27792</v>
      </c>
      <c r="F14459" t="s">
        <v>27793</v>
      </c>
      <c r="G14459" t="s">
        <v>14</v>
      </c>
      <c r="H14459">
             </c>
      <c r="I14459" t="s">
        <v>14</v>
      </c>
      <c r="J14459" t="s">
        <v>141</v>
      </c>
      <c r="K14459" t="s">
        <v>14</v>
      </c>
      <c r="L14459" t="s">
        <v>20</v>
      </c>
      <c r="M14459" t="s">
        <v>27614</v>
      </c>
      <c r="N14459" t="s">
        <v>14</v>
      </c>
    </row>
    <row r="14460" x14ac:dyDescent="0.25">
      <c r="A14460" t="n">
        <v>22</v>
      </c>
      <c r="B14460" t="s">
        <v>14</v>
      </c>
      <c r="C14460" t="s">
        <v>22</v>
      </c>
      <c r="D14460" s="2" t="s">
        <f>=HYPERLINK("https://main.knesset.gov.il/APPS/legislation/main/bills/2082762", "הצעת חוק חינוך ממלכתי (תיקון - ביטול השתתפות רשות מקומית בתקציבי מוסדות חינוך מוכרים לא רשמיים), התש""ף-2019")</f>
        <v>27794</v>
      </c>
      <c r="E14460" t="s">
        <v>27794</v>
      </c>
      <c r="F14460" t="s">
        <v>27795</v>
      </c>
      <c r="G14460" t="s">
        <v>14</v>
      </c>
      <c r="H14460">
             </c>
      <c r="I14460" t="s">
        <v>14</v>
      </c>
      <c r="J14460" t="s">
        <v>141</v>
      </c>
      <c r="K14460" t="s">
        <v>14</v>
      </c>
      <c r="L14460" t="s">
        <v>20</v>
      </c>
      <c r="M14460" t="s">
        <v>27614</v>
      </c>
      <c r="N14460" t="s">
        <v>14</v>
      </c>
    </row>
    <row r="14461" x14ac:dyDescent="0.25">
      <c r="A14461" t="n">
        <v>22</v>
      </c>
      <c r="B14461" t="s">
        <v>14</v>
      </c>
      <c r="C14461" t="s">
        <v>22</v>
      </c>
      <c r="D14461" s="2" t="s">
        <f>=HYPERLINK("https://main.knesset.gov.il/APPS/legislation/main/bills/2082476", "הצעת חוק שירות ביטחון (תיקון - פטור מטעמי מצפון), התש""ף-2019")</f>
        <v>27796</v>
      </c>
      <c r="E14461" t="s">
        <v>27796</v>
      </c>
      <c r="F14461" t="s">
        <v>27797</v>
      </c>
      <c r="G14461" t="s">
        <v>14</v>
      </c>
      <c r="H14461">
             </c>
      <c r="I14461" t="s">
        <v>14</v>
      </c>
      <c r="J14461" t="s">
        <v>141</v>
      </c>
      <c r="K14461" t="s">
        <v>14</v>
      </c>
      <c r="L14461" t="s">
        <v>20</v>
      </c>
      <c r="M14461" t="s">
        <v>27614</v>
      </c>
      <c r="N14461" t="s">
        <v>14</v>
      </c>
    </row>
    <row r="14462" x14ac:dyDescent="0.25">
      <c r="A14462" t="n">
        <v>22</v>
      </c>
      <c r="B14462" t="s">
        <v>14</v>
      </c>
      <c r="C14462" t="s">
        <v>22</v>
      </c>
      <c r="D14462" s="2" t="s">
        <f>=HYPERLINK("https://main.knesset.gov.il/APPS/legislation/main/bills/2082926", "הצעת חוק העבירות המינהליות (תיקון - מועד להחלטה מנומקת), התש""ף-2019")</f>
        <v>27798</v>
      </c>
      <c r="E14462" t="s">
        <v>27798</v>
      </c>
      <c r="F14462" t="s">
        <v>27799</v>
      </c>
      <c r="G14462" t="s">
        <v>14</v>
      </c>
      <c r="H14462">
             </c>
      <c r="I14462" t="s">
        <v>14</v>
      </c>
      <c r="J14462" t="s">
        <v>141</v>
      </c>
      <c r="K14462" t="s">
        <v>14</v>
      </c>
      <c r="L14462" t="s">
        <v>20</v>
      </c>
      <c r="M14462" t="s">
        <v>27614</v>
      </c>
      <c r="N14462" t="s">
        <v>14</v>
      </c>
    </row>
    <row r="14463" x14ac:dyDescent="0.25">
      <c r="A14463" t="n">
        <v>22</v>
      </c>
      <c r="B14463" t="s">
        <v>14</v>
      </c>
      <c r="C14463" t="s">
        <v>22</v>
      </c>
      <c r="D14463" s="2" t="s">
        <f>=HYPERLINK("https://main.knesset.gov.il/APPS/legislation/main/bills/2082733", "הצעת חוק לתיקון פקודת המסים (גבייה) (ביטול החוק), התש""ף-2019")</f>
        <v>27800</v>
      </c>
      <c r="E14463" t="s">
        <v>27800</v>
      </c>
      <c r="F14463" t="s">
        <v>27801</v>
      </c>
      <c r="G14463" t="s">
        <v>14</v>
      </c>
      <c r="H14463">
             </c>
      <c r="I14463" t="s">
        <v>14</v>
      </c>
      <c r="J14463" t="s">
        <v>141</v>
      </c>
      <c r="K14463" t="s">
        <v>14</v>
      </c>
      <c r="L14463" t="s">
        <v>20</v>
      </c>
      <c r="M14463" t="s">
        <v>27614</v>
      </c>
      <c r="N14463" t="s">
        <v>14</v>
      </c>
    </row>
    <row r="14464" x14ac:dyDescent="0.25">
      <c r="A14464" t="n">
        <v>22</v>
      </c>
      <c r="B14464" t="s">
        <v>14</v>
      </c>
      <c r="C14464" t="s">
        <v>22</v>
      </c>
      <c r="D14464" s="2" t="s">
        <f>=HYPERLINK("https://main.knesset.gov.il/APPS/legislation/main/bills/2083853", "הצעת חוק הפיקוח על המעונות (תיקון - פיקוח של מנהל מעון), התש""ף-2019")</f>
        <v>27802</v>
      </c>
      <c r="E14464" t="s">
        <v>27802</v>
      </c>
      <c r="F14464" t="s">
        <v>27803</v>
      </c>
      <c r="G14464" t="s">
        <v>14</v>
      </c>
      <c r="H14464">
             </c>
      <c r="I14464" t="s">
        <v>14</v>
      </c>
      <c r="J14464" t="s">
        <v>141</v>
      </c>
      <c r="K14464" t="s">
        <v>14</v>
      </c>
      <c r="L14464" t="s">
        <v>20</v>
      </c>
      <c r="M14464" t="s">
        <v>27614</v>
      </c>
      <c r="N14464" t="s">
        <v>14</v>
      </c>
    </row>
    <row r="14465" x14ac:dyDescent="0.25">
      <c r="A14465" t="n">
        <v>22</v>
      </c>
      <c r="B14465" t="s">
        <v>14</v>
      </c>
      <c r="C14465" t="s">
        <v>22</v>
      </c>
      <c r="D14465" s="2" t="s">
        <f>=HYPERLINK("https://main.knesset.gov.il/APPS/legislation/main/bills/2082575", "הצעת חוק הביטוח הלאומי (תיקון - גמלה בשל דיכאון לאחר לידה), התש""ף-2019")</f>
        <v>27804</v>
      </c>
      <c r="E14465" t="s">
        <v>27804</v>
      </c>
      <c r="F14465" t="s">
        <v>27805</v>
      </c>
      <c r="G14465" t="s">
        <v>14</v>
      </c>
      <c r="H14465">
             </c>
      <c r="I14465" t="s">
        <v>14</v>
      </c>
      <c r="J14465" t="s">
        <v>141</v>
      </c>
      <c r="K14465" t="s">
        <v>14</v>
      </c>
      <c r="L14465" t="s">
        <v>20</v>
      </c>
      <c r="M14465" t="s">
        <v>27614</v>
      </c>
      <c r="N14465" t="s">
        <v>14</v>
      </c>
    </row>
    <row r="14466" x14ac:dyDescent="0.25">
      <c r="A14466" t="n">
        <v>22</v>
      </c>
      <c r="B14466" t="s">
        <v>14</v>
      </c>
      <c r="C14466" t="s">
        <v>22</v>
      </c>
      <c r="D14466" s="2" t="s">
        <f>=HYPERLINK("https://main.knesset.gov.il/APPS/legislation/main/bills/2083815", "הצעת חוק הפיקוח על מעונות (תיקון - חובת פיקוח של מנהל מעון), התש""ף-2019")</f>
        <v>27806</v>
      </c>
      <c r="E14466" t="s">
        <v>27806</v>
      </c>
      <c r="F14466" t="s">
        <v>27807</v>
      </c>
      <c r="G14466" t="s">
        <v>14</v>
      </c>
      <c r="H14466">
             </c>
      <c r="I14466" t="s">
        <v>14</v>
      </c>
      <c r="J14466" t="s">
        <v>141</v>
      </c>
      <c r="K14466" t="s">
        <v>14</v>
      </c>
      <c r="L14466" t="s">
        <v>20</v>
      </c>
      <c r="M14466" t="s">
        <v>27614</v>
      </c>
      <c r="N14466" t="s">
        <v>14</v>
      </c>
    </row>
    <row r="14467" x14ac:dyDescent="0.25">
      <c r="A14467" t="n">
        <v>22</v>
      </c>
      <c r="B14467" t="s">
        <v>14</v>
      </c>
      <c r="C14467" t="s">
        <v>22</v>
      </c>
      <c r="D14467" s="2" t="s">
        <f>=HYPERLINK("https://main.knesset.gov.il/APPS/legislation/main/bills/2082788", "הצעת חוק זכויות הסטודנט (תיקון - פעילות ציבורית), התש""ף-2019")</f>
        <v>27808</v>
      </c>
      <c r="E14467" t="s">
        <v>27808</v>
      </c>
      <c r="F14467" t="s">
        <v>27809</v>
      </c>
      <c r="G14467" t="s">
        <v>14</v>
      </c>
      <c r="H14467">
             </c>
      <c r="I14467" t="s">
        <v>14</v>
      </c>
      <c r="J14467" t="s">
        <v>141</v>
      </c>
      <c r="K14467" t="s">
        <v>14</v>
      </c>
      <c r="L14467" t="s">
        <v>20</v>
      </c>
      <c r="M14467" t="s">
        <v>27614</v>
      </c>
      <c r="N14467" t="s">
        <v>14</v>
      </c>
    </row>
    <row r="14468" x14ac:dyDescent="0.25">
      <c r="A14468" t="n">
        <v>22</v>
      </c>
      <c r="B14468" t="s">
        <v>14</v>
      </c>
      <c r="C14468" t="s">
        <v>22</v>
      </c>
      <c r="D14468" s="2" t="s">
        <f>=HYPERLINK("https://main.knesset.gov.il/APPS/legislation/main/bills/2083578", "הצעת חוק מיסוי מקרקעין (שבח ורכישה) (תיקון - מס רכישה מופחת לעולה חדש), התש""ף-2019")</f>
        <v>27810</v>
      </c>
      <c r="E14468" t="s">
        <v>27810</v>
      </c>
      <c r="F14468" t="s">
        <v>27811</v>
      </c>
      <c r="G14468" t="s">
        <v>14</v>
      </c>
      <c r="H14468">
             </c>
      <c r="I14468" t="s">
        <v>14</v>
      </c>
      <c r="J14468" t="s">
        <v>141</v>
      </c>
      <c r="K14468" t="s">
        <v>14</v>
      </c>
      <c r="L14468" t="s">
        <v>20</v>
      </c>
      <c r="M14468" t="s">
        <v>27614</v>
      </c>
      <c r="N14468" t="s">
        <v>14</v>
      </c>
    </row>
    <row r="14469" x14ac:dyDescent="0.25">
      <c r="A14469" t="n">
        <v>22</v>
      </c>
      <c r="B14469" t="s">
        <v>14</v>
      </c>
      <c r="C14469" t="s">
        <v>22</v>
      </c>
      <c r="D14469" s="2" t="s">
        <f>=HYPERLINK("https://main.knesset.gov.il/APPS/legislation/main/bills/2082672", "הצעת חוק הפסקת היריון, התש""ף-2019")</f>
        <v>27812</v>
      </c>
      <c r="E14469" t="s">
        <v>27812</v>
      </c>
      <c r="F14469" t="s">
        <v>27813</v>
      </c>
      <c r="G14469" t="s">
        <v>14</v>
      </c>
      <c r="H14469">
             </c>
      <c r="I14469" t="s">
        <v>14</v>
      </c>
      <c r="J14469" t="s">
        <v>141</v>
      </c>
      <c r="K14469" t="s">
        <v>14</v>
      </c>
      <c r="L14469" t="s">
        <v>20</v>
      </c>
      <c r="M14469" t="s">
        <v>27614</v>
      </c>
      <c r="N14469" t="s">
        <v>14</v>
      </c>
    </row>
    <row r="14470" x14ac:dyDescent="0.25">
      <c r="A14470" t="n">
        <v>22</v>
      </c>
      <c r="B14470" t="s">
        <v>14</v>
      </c>
      <c r="C14470" t="s">
        <v>22</v>
      </c>
      <c r="D14470" s="2" t="s">
        <f>=HYPERLINK("https://main.knesset.gov.il/APPS/legislation/main/bills/2082181", "הצעת חוק הרשויות המקומיות (בחירות) (תיקון - התניית יום שבתון באישור הצבעה), התש""ף-2019")</f>
        <v>27814</v>
      </c>
      <c r="E14470" t="s">
        <v>27814</v>
      </c>
      <c r="F14470" t="s">
        <v>27815</v>
      </c>
      <c r="G14470" t="s">
        <v>14</v>
      </c>
      <c r="H14470">
             </c>
      <c r="I14470" t="s">
        <v>14</v>
      </c>
      <c r="J14470" t="s">
        <v>141</v>
      </c>
      <c r="K14470" t="s">
        <v>14</v>
      </c>
      <c r="L14470" t="s">
        <v>20</v>
      </c>
      <c r="M14470" t="s">
        <v>27614</v>
      </c>
      <c r="N14470" t="s">
        <v>14</v>
      </c>
    </row>
    <row r="14471" x14ac:dyDescent="0.25">
      <c r="A14471" t="n">
        <v>22</v>
      </c>
      <c r="B14471" t="s">
        <v>14</v>
      </c>
      <c r="C14471" t="s">
        <v>22</v>
      </c>
      <c r="D14471" s="2" t="s">
        <f>=HYPERLINK("https://main.knesset.gov.il/APPS/legislation/main/bills/2082428", "הצעת חוק הביטוח הלאומי (תיקון - הצמדת קצבת אזרח ותיק לשכר המינימום), התש""ף-2019")</f>
        <v>27816</v>
      </c>
      <c r="E14471" t="s">
        <v>27816</v>
      </c>
      <c r="F14471" t="s">
        <v>27817</v>
      </c>
      <c r="G14471" t="s">
        <v>14</v>
      </c>
      <c r="H14471">
             </c>
      <c r="I14471" t="s">
        <v>14</v>
      </c>
      <c r="J14471" t="s">
        <v>141</v>
      </c>
      <c r="K14471" t="s">
        <v>14</v>
      </c>
      <c r="L14471" t="s">
        <v>20</v>
      </c>
      <c r="M14471" t="s">
        <v>27614</v>
      </c>
      <c r="N14471" t="s">
        <v>14</v>
      </c>
    </row>
    <row r="14472" x14ac:dyDescent="0.25">
      <c r="A14472" t="n">
        <v>22</v>
      </c>
      <c r="B14472" t="s">
        <v>14</v>
      </c>
      <c r="C14472" t="s">
        <v>22</v>
      </c>
      <c r="D14472" s="2" t="s">
        <f>=HYPERLINK("https://main.knesset.gov.il/APPS/legislation/main/bills/2082222", "הצעת חוק פיקוח על מחירי מצרכים ושירותים (תיקון - הגבלת מרווחי שיווק על ירקות), התש""ף-2019")</f>
        <v>27818</v>
      </c>
      <c r="E14472" t="s">
        <v>27818</v>
      </c>
      <c r="F14472" t="s">
        <v>27819</v>
      </c>
      <c r="G14472" t="s">
        <v>14</v>
      </c>
      <c r="H14472">
             </c>
      <c r="I14472" t="s">
        <v>14</v>
      </c>
      <c r="J14472" t="s">
        <v>141</v>
      </c>
      <c r="K14472" t="s">
        <v>14</v>
      </c>
      <c r="L14472" t="s">
        <v>20</v>
      </c>
      <c r="M14472" t="s">
        <v>27614</v>
      </c>
      <c r="N14472" t="s">
        <v>14</v>
      </c>
    </row>
    <row r="14473" x14ac:dyDescent="0.25">
      <c r="A14473" t="n">
        <v>22</v>
      </c>
      <c r="B14473" t="s">
        <v>14</v>
      </c>
      <c r="C14473" t="s">
        <v>22</v>
      </c>
      <c r="D14473" s="2" t="s">
        <f>=HYPERLINK("https://main.knesset.gov.il/APPS/legislation/main/bills/2082295", "הצעת חוק עידוד שירות צבאי, אזרחי או לאומי, התש""ף-2019")</f>
        <v>27820</v>
      </c>
      <c r="E14473" t="s">
        <v>27820</v>
      </c>
      <c r="F14473" t="s">
        <v>27821</v>
      </c>
      <c r="G14473" t="s">
        <v>14</v>
      </c>
      <c r="H14473">
             </c>
      <c r="I14473" t="s">
        <v>14</v>
      </c>
      <c r="J14473" t="s">
        <v>141</v>
      </c>
      <c r="K14473" t="s">
        <v>14</v>
      </c>
      <c r="L14473" t="s">
        <v>20</v>
      </c>
      <c r="M14473" t="s">
        <v>27614</v>
      </c>
      <c r="N14473" t="s">
        <v>14</v>
      </c>
    </row>
    <row r="14474" x14ac:dyDescent="0.25">
      <c r="A14474" t="n">
        <v>22</v>
      </c>
      <c r="B14474" t="s">
        <v>14</v>
      </c>
      <c r="C14474" t="s">
        <v>22</v>
      </c>
      <c r="D14474" s="2" t="s">
        <f>=HYPERLINK("https://main.knesset.gov.il/APPS/legislation/main/bills/2082141", "הצעת חוק ערבות למשכנתאות (תיקון - ערבות מדינה לדירה יחידה), התש""ף-2019")</f>
        <v>27822</v>
      </c>
      <c r="E14474" t="s">
        <v>27822</v>
      </c>
      <c r="F14474" t="s">
        <v>27823</v>
      </c>
      <c r="G14474" t="s">
        <v>14</v>
      </c>
      <c r="H14474">
             </c>
      <c r="I14474" t="s">
        <v>14</v>
      </c>
      <c r="J14474" t="s">
        <v>141</v>
      </c>
      <c r="K14474" t="s">
        <v>14</v>
      </c>
      <c r="L14474" t="s">
        <v>20</v>
      </c>
      <c r="M14474" t="s">
        <v>27614</v>
      </c>
      <c r="N14474" t="s">
        <v>14</v>
      </c>
    </row>
    <row r="14475" x14ac:dyDescent="0.25">
      <c r="A14475" t="n">
        <v>22</v>
      </c>
      <c r="B14475" t="s">
        <v>14</v>
      </c>
      <c r="C14475" t="s">
        <v>22</v>
      </c>
      <c r="D14475" s="2" t="s">
        <f>=HYPERLINK("https://main.knesset.gov.il/APPS/legislation/main/bills/2082639", "הצעת חוק צער בעלי חיים (הגנה על בעלי חיים) (תיקון - איסור משלוחים חיים לשחיטה), התש""ף-2019 ")</f>
        <v>27824</v>
      </c>
      <c r="E14475" t="s">
        <v>27824</v>
      </c>
      <c r="F14475" t="s">
        <v>27825</v>
      </c>
      <c r="G14475" t="s">
        <v>14</v>
      </c>
      <c r="H14475">
             </c>
      <c r="I14475" t="s">
        <v>14</v>
      </c>
      <c r="J14475" t="s">
        <v>141</v>
      </c>
      <c r="K14475" t="s">
        <v>14</v>
      </c>
      <c r="L14475" t="s">
        <v>20</v>
      </c>
      <c r="M14475" t="s">
        <v>27614</v>
      </c>
      <c r="N14475" t="s">
        <v>14</v>
      </c>
    </row>
    <row r="14476" x14ac:dyDescent="0.25">
      <c r="A14476" t="n">
        <v>22</v>
      </c>
      <c r="B14476" t="s">
        <v>14</v>
      </c>
      <c r="C14476" t="s">
        <v>22</v>
      </c>
      <c r="D14476" s="2" t="s">
        <f>=HYPERLINK("https://main.knesset.gov.il/APPS/legislation/main/bills/2082921", "הצעת חוק הכרה ברישיונות מקצועיים על בסיס הנחיות האיחוד האירופי (תיקוני חקיקה), התש""ף-2019")</f>
        <v>27826</v>
      </c>
      <c r="E14476" t="s">
        <v>27826</v>
      </c>
      <c r="F14476" t="s">
        <v>27827</v>
      </c>
      <c r="G14476" t="s">
        <v>14</v>
      </c>
      <c r="H14476">
             </c>
      <c r="I14476" t="s">
        <v>14</v>
      </c>
      <c r="J14476" t="s">
        <v>141</v>
      </c>
      <c r="K14476" t="s">
        <v>14</v>
      </c>
      <c r="L14476" t="s">
        <v>20</v>
      </c>
      <c r="M14476" t="s">
        <v>27614</v>
      </c>
      <c r="N14476" t="s">
        <v>14</v>
      </c>
    </row>
    <row r="14477" x14ac:dyDescent="0.25">
      <c r="A14477" t="n">
        <v>22</v>
      </c>
      <c r="B14477" t="s">
        <v>14</v>
      </c>
      <c r="C14477" t="s">
        <v>22</v>
      </c>
      <c r="D14477" s="2" t="s">
        <f>=HYPERLINK("https://main.knesset.gov.il/APPS/legislation/main/bills/2082267", "הצעת חוק הלוואות לדיור (תיקון - הלוואה כהון עצמי) (הוראת שעה), התש""ף-2019")</f>
        <v>27828</v>
      </c>
      <c r="E14477" t="s">
        <v>27828</v>
      </c>
      <c r="F14477" t="s">
        <v>27829</v>
      </c>
      <c r="G14477" t="s">
        <v>14</v>
      </c>
      <c r="H14477">
             </c>
      <c r="I14477" t="s">
        <v>14</v>
      </c>
      <c r="J14477" t="s">
        <v>141</v>
      </c>
      <c r="K14477" t="s">
        <v>14</v>
      </c>
      <c r="L14477" t="s">
        <v>20</v>
      </c>
      <c r="M14477" t="s">
        <v>27614</v>
      </c>
      <c r="N14477" t="s">
        <v>14</v>
      </c>
    </row>
    <row r="14478" x14ac:dyDescent="0.25">
      <c r="A14478" t="n">
        <v>22</v>
      </c>
      <c r="B14478" t="s">
        <v>14</v>
      </c>
      <c r="C14478" t="s">
        <v>22</v>
      </c>
      <c r="D14478" s="2" t="s">
        <f>=HYPERLINK("https://main.knesset.gov.il/APPS/legislation/main/bills/2082819", "הצעת חוק התרבות והאמנות (תיקון - הקצאת תקציב שנתי לתרבות והאמנות), התש""ף-2019")</f>
        <v>27830</v>
      </c>
      <c r="E14478" t="s">
        <v>27830</v>
      </c>
      <c r="F14478" t="s">
        <v>27831</v>
      </c>
      <c r="G14478" t="s">
        <v>14</v>
      </c>
      <c r="H14478">
             </c>
      <c r="I14478" t="s">
        <v>14</v>
      </c>
      <c r="J14478" t="s">
        <v>141</v>
      </c>
      <c r="K14478" t="s">
        <v>14</v>
      </c>
      <c r="L14478" t="s">
        <v>20</v>
      </c>
      <c r="M14478" t="s">
        <v>27614</v>
      </c>
      <c r="N14478" t="s">
        <v>14</v>
      </c>
    </row>
    <row r="14479" x14ac:dyDescent="0.25">
      <c r="A14479" t="n">
        <v>22</v>
      </c>
      <c r="B14479" t="s">
        <v>14</v>
      </c>
      <c r="C14479" t="s">
        <v>22</v>
      </c>
      <c r="D14479" s="2" t="s">
        <f>=HYPERLINK("https://main.knesset.gov.il/APPS/legislation/main/bills/2082236", "הצעת חוק הטבות מענק מקום לרכישת דירה בפריפריה, לזכאים לרכישת דירה בתכנית מחיר למשתכן שאין התכנית פועלת בעירם, התש""ף-2019")</f>
        <v>27832</v>
      </c>
      <c r="E14479" t="s">
        <v>27832</v>
      </c>
      <c r="F14479" t="s">
        <v>27833</v>
      </c>
      <c r="G14479" t="s">
        <v>14</v>
      </c>
      <c r="H14479">
             </c>
      <c r="I14479" t="s">
        <v>14</v>
      </c>
      <c r="J14479" t="s">
        <v>141</v>
      </c>
      <c r="K14479" t="s">
        <v>14</v>
      </c>
      <c r="L14479" t="s">
        <v>20</v>
      </c>
      <c r="M14479" t="s">
        <v>27614</v>
      </c>
      <c r="N14479" t="s">
        <v>14</v>
      </c>
    </row>
    <row r="14480" x14ac:dyDescent="0.25">
      <c r="A14480" t="n">
        <v>22</v>
      </c>
      <c r="B14480" t="s">
        <v>14</v>
      </c>
      <c r="C14480" t="s">
        <v>22</v>
      </c>
      <c r="D14480" s="2" t="s">
        <f>=HYPERLINK("https://main.knesset.gov.il/APPS/legislation/main/bills/2083562", "הצעת חוק האזרחים הוותיקים (תיקון - הנחה בארנונה לאזרח ותיק המתגורר בדירה שאינה בחזקתו), התש""ף-2019")</f>
        <v>27834</v>
      </c>
      <c r="E14480" t="s">
        <v>27834</v>
      </c>
      <c r="F14480" t="s">
        <v>27835</v>
      </c>
      <c r="G14480" t="s">
        <v>14</v>
      </c>
      <c r="H14480">
             </c>
      <c r="I14480" t="s">
        <v>14</v>
      </c>
      <c r="J14480" t="s">
        <v>141</v>
      </c>
      <c r="K14480" t="s">
        <v>14</v>
      </c>
      <c r="L14480" t="s">
        <v>20</v>
      </c>
      <c r="M14480" t="s">
        <v>27614</v>
      </c>
      <c r="N14480" t="s">
        <v>14</v>
      </c>
    </row>
    <row r="14481" x14ac:dyDescent="0.25">
      <c r="A14481" t="n">
        <v>22</v>
      </c>
      <c r="B14481" t="s">
        <v>14</v>
      </c>
      <c r="C14481" t="s">
        <v>22</v>
      </c>
      <c r="D14481" s="2" t="s">
        <f>=HYPERLINK("https://main.knesset.gov.il/APPS/legislation/main/bills/2083852", "הצעת חוק לתיקון פקודת מסי העירייה ומסי הממשלה (פטורין) (פטור מארנונה לבתי חיילים), התש""ף-2019")</f>
        <v>27836</v>
      </c>
      <c r="E14481" t="s">
        <v>27836</v>
      </c>
      <c r="F14481" t="s">
        <v>27837</v>
      </c>
      <c r="G14481" t="s">
        <v>14</v>
      </c>
      <c r="H14481">
             </c>
      <c r="I14481" t="s">
        <v>14</v>
      </c>
      <c r="J14481" t="s">
        <v>141</v>
      </c>
      <c r="K14481" t="s">
        <v>14</v>
      </c>
      <c r="L14481" t="s">
        <v>20</v>
      </c>
      <c r="M14481" t="s">
        <v>27614</v>
      </c>
      <c r="N14481" t="s">
        <v>14</v>
      </c>
    </row>
    <row r="14482" x14ac:dyDescent="0.25">
      <c r="A14482" t="n">
        <v>22</v>
      </c>
      <c r="B14482" t="s">
        <v>14</v>
      </c>
      <c r="C14482" t="s">
        <v>22</v>
      </c>
      <c r="D14482" s="2" t="s">
        <f>=HYPERLINK("https://main.knesset.gov.il/APPS/legislation/main/bills/2082919", "הצעת חוק הסדרת העיסוק במקצועות הבריאות (תיקון - הכרה בפודיאטרים-פודולוגים וסמכויות לפודיאטרים ופודיאטרים מנתחים), התש""ף-2019")</f>
        <v>27838</v>
      </c>
      <c r="E14482" t="s">
        <v>27838</v>
      </c>
      <c r="F14482" t="s">
        <v>27839</v>
      </c>
      <c r="G14482" t="s">
        <v>14</v>
      </c>
      <c r="H14482">
             </c>
      <c r="I14482" t="s">
        <v>14</v>
      </c>
      <c r="J14482" t="s">
        <v>141</v>
      </c>
      <c r="K14482" t="s">
        <v>14</v>
      </c>
      <c r="L14482" t="s">
        <v>20</v>
      </c>
      <c r="M14482" t="s">
        <v>27614</v>
      </c>
      <c r="N14482" t="s">
        <v>14</v>
      </c>
    </row>
    <row r="14483" x14ac:dyDescent="0.25">
      <c r="A14483" t="n">
        <v>22</v>
      </c>
      <c r="B14483" t="s">
        <v>14</v>
      </c>
      <c r="C14483" t="s">
        <v>22</v>
      </c>
      <c r="D14483" s="2" t="s">
        <f>=HYPERLINK("https://main.knesset.gov.il/APPS/legislation/main/bills/2082172", "הצעת חוק הביטוח הלאומי (תיקון - השוואת קצבת נכות לשכר המינימום), התש""ף-2019")</f>
        <v>27840</v>
      </c>
      <c r="E14483" t="s">
        <v>27840</v>
      </c>
      <c r="F14483" t="s">
        <v>27841</v>
      </c>
      <c r="G14483" t="s">
        <v>14</v>
      </c>
      <c r="H14483">
             </c>
      <c r="I14483" t="s">
        <v>14</v>
      </c>
      <c r="J14483" t="s">
        <v>141</v>
      </c>
      <c r="K14483" t="s">
        <v>14</v>
      </c>
      <c r="L14483" t="s">
        <v>20</v>
      </c>
      <c r="M14483" t="s">
        <v>27614</v>
      </c>
      <c r="N14483" t="s">
        <v>14</v>
      </c>
    </row>
    <row r="14484" x14ac:dyDescent="0.25">
      <c r="A14484" t="n">
        <v>22</v>
      </c>
      <c r="B14484" t="s">
        <v>14</v>
      </c>
      <c r="C14484" t="s">
        <v>22</v>
      </c>
      <c r="D14484" s="2" t="s">
        <f>=HYPERLINK("https://main.knesset.gov.il/APPS/legislation/main/bills/2083461", "הצעת חוק חובת הדיווח של מוסדות פיננסיים על כספים ללא דורש, התש""ף-2019")</f>
        <v>27842</v>
      </c>
      <c r="E14484" t="s">
        <v>27842</v>
      </c>
      <c r="F14484" t="s">
        <v>27843</v>
      </c>
      <c r="G14484" t="s">
        <v>14</v>
      </c>
      <c r="H14484">
             </c>
      <c r="I14484" t="s">
        <v>14</v>
      </c>
      <c r="J14484" t="s">
        <v>141</v>
      </c>
      <c r="K14484" t="s">
        <v>14</v>
      </c>
      <c r="L14484" t="s">
        <v>20</v>
      </c>
      <c r="M14484" t="s">
        <v>27614</v>
      </c>
      <c r="N14484" t="s">
        <v>14</v>
      </c>
    </row>
    <row r="14485" x14ac:dyDescent="0.25">
      <c r="A14485" t="n">
        <v>22</v>
      </c>
      <c r="B14485" t="s">
        <v>14</v>
      </c>
      <c r="C14485" t="s">
        <v>22</v>
      </c>
      <c r="D14485" s="2" t="s">
        <f>=HYPERLINK("https://main.knesset.gov.il/APPS/legislation/main/bills/2082053", "הצעת חוק-יסוד: הכנסת (תיקון - תמיכה במאבק מזוין נגד מדינת ישראל) ")</f>
        <v>27844</v>
      </c>
      <c r="E14485" t="s">
        <v>27844</v>
      </c>
      <c r="F14485" t="s">
        <v>27845</v>
      </c>
      <c r="G14485" t="s">
        <v>14</v>
      </c>
      <c r="H14485">
             </c>
      <c r="I14485" t="s">
        <v>14</v>
      </c>
      <c r="J14485" t="s">
        <v>141</v>
      </c>
      <c r="K14485" t="s">
        <v>14</v>
      </c>
      <c r="L14485" t="s">
        <v>20</v>
      </c>
      <c r="M14485" t="s">
        <v>27614</v>
      </c>
      <c r="N14485" t="s">
        <v>14</v>
      </c>
    </row>
    <row r="14486" x14ac:dyDescent="0.25">
      <c r="A14486" t="n">
        <v>22</v>
      </c>
      <c r="B14486" t="s">
        <v>14</v>
      </c>
      <c r="C14486" t="s">
        <v>22</v>
      </c>
      <c r="D14486" s="2" t="s">
        <f>=HYPERLINK("https://main.knesset.gov.il/APPS/legislation/main/bills/2083795", "הצעת חוק לתיקון פקודת מס הכנסה (פטור ממס לדמי הבראה), התש""ף-2019")</f>
        <v>27846</v>
      </c>
      <c r="E14486" t="s">
        <v>27846</v>
      </c>
      <c r="F14486" t="s">
        <v>27847</v>
      </c>
      <c r="G14486" t="s">
        <v>14</v>
      </c>
      <c r="H14486">
             </c>
      <c r="I14486" t="s">
        <v>14</v>
      </c>
      <c r="J14486" t="s">
        <v>141</v>
      </c>
      <c r="K14486" t="s">
        <v>14</v>
      </c>
      <c r="L14486" t="s">
        <v>20</v>
      </c>
      <c r="M14486" t="s">
        <v>27614</v>
      </c>
      <c r="N14486" t="s">
        <v>14</v>
      </c>
    </row>
    <row r="14487" x14ac:dyDescent="0.25">
      <c r="A14487" t="n">
        <v>22</v>
      </c>
      <c r="B14487" t="s">
        <v>14</v>
      </c>
      <c r="C14487" t="s">
        <v>22</v>
      </c>
      <c r="D14487" s="2" t="s">
        <f>=HYPERLINK("https://main.knesset.gov.il/APPS/legislation/main/bills/2083222", "הצעת חוק הביטוח הלאומי (תיקון - קצבת ילדים כפולה בלידת תאומים או יותר), התש""ף-2019")</f>
        <v>27848</v>
      </c>
      <c r="E14487" t="s">
        <v>27848</v>
      </c>
      <c r="F14487" t="s">
        <v>27849</v>
      </c>
      <c r="G14487" t="s">
        <v>14</v>
      </c>
      <c r="H14487">
             </c>
      <c r="I14487" t="s">
        <v>14</v>
      </c>
      <c r="J14487" t="s">
        <v>141</v>
      </c>
      <c r="K14487" t="s">
        <v>14</v>
      </c>
      <c r="L14487" t="s">
        <v>20</v>
      </c>
      <c r="M14487" t="s">
        <v>27614</v>
      </c>
      <c r="N14487" t="s">
        <v>14</v>
      </c>
    </row>
    <row r="14488" x14ac:dyDescent="0.25">
      <c r="A14488" t="n">
        <v>22</v>
      </c>
      <c r="B14488" t="s">
        <v>14</v>
      </c>
      <c r="C14488" t="s">
        <v>22</v>
      </c>
      <c r="D14488" s="2" t="s">
        <f>=HYPERLINK("https://main.knesset.gov.il/APPS/legislation/main/bills/2082339", "הצעת חוק-יסוד: הכנסת (תיקון - הצהרת אמונים)")</f>
        <v>11966</v>
      </c>
      <c r="E14488" t="s">
        <v>11966</v>
      </c>
      <c r="F14488" t="s">
        <v>27850</v>
      </c>
      <c r="G14488" t="s">
        <v>14</v>
      </c>
      <c r="H14488">
             </c>
      <c r="I14488" t="s">
        <v>14</v>
      </c>
      <c r="J14488" t="s">
        <v>141</v>
      </c>
      <c r="K14488" t="s">
        <v>14</v>
      </c>
      <c r="L14488" t="s">
        <v>20</v>
      </c>
      <c r="M14488" t="s">
        <v>27614</v>
      </c>
      <c r="N14488" t="s">
        <v>14</v>
      </c>
    </row>
    <row r="14489" x14ac:dyDescent="0.25">
      <c r="A14489" t="n">
        <v>22</v>
      </c>
      <c r="B14489" t="s">
        <v>14</v>
      </c>
      <c r="C14489" t="s">
        <v>22</v>
      </c>
      <c r="D14489" s="2" t="s">
        <f>=HYPERLINK("https://main.knesset.gov.il/APPS/legislation/main/bills/2082259", "הצעת חוק מניעת בריונות ברשת, התש""ף-2019")</f>
        <v>27851</v>
      </c>
      <c r="E14489" t="s">
        <v>27851</v>
      </c>
      <c r="F14489" t="s">
        <v>27852</v>
      </c>
      <c r="G14489" t="s">
        <v>14</v>
      </c>
      <c r="H14489">
             </c>
      <c r="I14489" t="s">
        <v>14</v>
      </c>
      <c r="J14489" t="s">
        <v>141</v>
      </c>
      <c r="K14489" t="s">
        <v>14</v>
      </c>
      <c r="L14489" t="s">
        <v>20</v>
      </c>
      <c r="M14489" t="s">
        <v>27614</v>
      </c>
      <c r="N14489" t="s">
        <v>14</v>
      </c>
    </row>
    <row r="14490" x14ac:dyDescent="0.25">
      <c r="A14490" t="n">
        <v>22</v>
      </c>
      <c r="B14490" t="s">
        <v>14</v>
      </c>
      <c r="C14490" t="s">
        <v>22</v>
      </c>
      <c r="D14490" s="2" t="s">
        <f>=HYPERLINK("https://main.knesset.gov.il/APPS/legislation/main/bills/2082133", "הצעת חוק הביטוח הלאומי (תיקון - קצבת אזרח ותיק ראויה), התש""ף-2019")</f>
        <v>27853</v>
      </c>
      <c r="E14490" t="s">
        <v>27853</v>
      </c>
      <c r="F14490" t="s">
        <v>27854</v>
      </c>
      <c r="G14490" t="s">
        <v>14</v>
      </c>
      <c r="H14490">
             </c>
      <c r="I14490" t="s">
        <v>14</v>
      </c>
      <c r="J14490" t="s">
        <v>141</v>
      </c>
      <c r="K14490" t="s">
        <v>14</v>
      </c>
      <c r="L14490" t="s">
        <v>20</v>
      </c>
      <c r="M14490" t="s">
        <v>27614</v>
      </c>
      <c r="N14490" t="s">
        <v>14</v>
      </c>
    </row>
    <row r="14491" x14ac:dyDescent="0.25">
      <c r="A14491" t="n">
        <v>22</v>
      </c>
      <c r="B14491" t="s">
        <v>14</v>
      </c>
      <c r="C14491" t="s">
        <v>22</v>
      </c>
      <c r="D14491" s="2" t="s">
        <f>=HYPERLINK("https://main.knesset.gov.il/APPS/legislation/main/bills/2082690", "הצעת חוק הממשלה (תיקון - ועדת שרים לענייני חקיקה), התש""ף-2019")</f>
        <v>27855</v>
      </c>
      <c r="E14491" t="s">
        <v>27855</v>
      </c>
      <c r="F14491" t="s">
        <v>27856</v>
      </c>
      <c r="G14491" t="s">
        <v>14</v>
      </c>
      <c r="H14491">
             </c>
      <c r="I14491" t="s">
        <v>14</v>
      </c>
      <c r="J14491" t="s">
        <v>141</v>
      </c>
      <c r="K14491" t="s">
        <v>14</v>
      </c>
      <c r="L14491" t="s">
        <v>20</v>
      </c>
      <c r="M14491" t="s">
        <v>27614</v>
      </c>
      <c r="N14491" t="s">
        <v>14</v>
      </c>
    </row>
    <row r="14492" x14ac:dyDescent="0.25">
      <c r="A14492" t="n">
        <v>22</v>
      </c>
      <c r="B14492" t="s">
        <v>14</v>
      </c>
      <c r="C14492" t="s">
        <v>22</v>
      </c>
      <c r="D14492" s="2" t="s">
        <f>=HYPERLINK("https://main.knesset.gov.il/APPS/legislation/main/bills/2082621", "הצעת חוק האזרחות והכניסה לישראל (הוראת שעה) (תיקון - איסור הארכת החוק באמצעות צו ושינוי קריטריונים), התש""ף-2019")</f>
        <v>27857</v>
      </c>
      <c r="E14492" t="s">
        <v>27857</v>
      </c>
      <c r="F14492" t="s">
        <v>27858</v>
      </c>
      <c r="G14492" t="s">
        <v>14</v>
      </c>
      <c r="H14492">
             </c>
      <c r="I14492" t="s">
        <v>14</v>
      </c>
      <c r="J14492" t="s">
        <v>141</v>
      </c>
      <c r="K14492" t="s">
        <v>14</v>
      </c>
      <c r="L14492" t="s">
        <v>20</v>
      </c>
      <c r="M14492" t="s">
        <v>27614</v>
      </c>
      <c r="N14492" t="s">
        <v>14</v>
      </c>
    </row>
    <row r="14493" x14ac:dyDescent="0.25">
      <c r="A14493" t="n">
        <v>22</v>
      </c>
      <c r="B14493" t="s">
        <v>14</v>
      </c>
      <c r="C14493" t="s">
        <v>22</v>
      </c>
      <c r="D14493" s="2" t="s">
        <f>=HYPERLINK("https://main.knesset.gov.il/APPS/legislation/main/bills/2083851", "הצעת חוק אימוץ ילדים (תיקון - איסור הפרדה בין אחים בהליך אימוץ), התש""ף-2019")</f>
        <v>27859</v>
      </c>
      <c r="E14493" t="s">
        <v>27859</v>
      </c>
      <c r="F14493" t="s">
        <v>27860</v>
      </c>
      <c r="G14493" t="s">
        <v>14</v>
      </c>
      <c r="H14493">
             </c>
      <c r="I14493" t="s">
        <v>14</v>
      </c>
      <c r="J14493" t="s">
        <v>141</v>
      </c>
      <c r="K14493" t="s">
        <v>14</v>
      </c>
      <c r="L14493" t="s">
        <v>20</v>
      </c>
      <c r="M14493" t="s">
        <v>27614</v>
      </c>
      <c r="N14493" t="s">
        <v>14</v>
      </c>
    </row>
    <row r="14494" x14ac:dyDescent="0.25">
      <c r="A14494" t="n">
        <v>22</v>
      </c>
      <c r="B14494" t="s">
        <v>14</v>
      </c>
      <c r="C14494" t="s">
        <v>22</v>
      </c>
      <c r="D14494" s="2" t="s">
        <f>=HYPERLINK("https://main.knesset.gov.il/APPS/legislation/main/bills/2083457", "הצעת חוק פיקוח על רווחי שיווק בתוצרת חקלאית, התש""ף-2019")</f>
        <v>27861</v>
      </c>
      <c r="E14494" t="s">
        <v>27861</v>
      </c>
      <c r="F14494" t="s">
        <v>27862</v>
      </c>
      <c r="G14494" t="s">
        <v>14</v>
      </c>
      <c r="H14494">
             </c>
      <c r="I14494" t="s">
        <v>14</v>
      </c>
      <c r="J14494" t="s">
        <v>141</v>
      </c>
      <c r="K14494" t="s">
        <v>14</v>
      </c>
      <c r="L14494" t="s">
        <v>20</v>
      </c>
      <c r="M14494" t="s">
        <v>27614</v>
      </c>
      <c r="N14494" t="s">
        <v>14</v>
      </c>
    </row>
    <row r="14495" x14ac:dyDescent="0.25">
      <c r="A14495" t="n">
        <v>22</v>
      </c>
      <c r="B14495" t="s">
        <v>14</v>
      </c>
      <c r="C14495" t="s">
        <v>22</v>
      </c>
      <c r="D14495" s="2" t="s">
        <f>=HYPERLINK("https://main.knesset.gov.il/APPS/legislation/main/bills/2082471", "הצעת חוק הביטוח הלאומי (תיקון - איסור קיזוז קצבת ילדים כנגד חוב לביטוח לאומי), התש""ף-2019")</f>
        <v>27863</v>
      </c>
      <c r="E14495" t="s">
        <v>27863</v>
      </c>
      <c r="F14495" t="s">
        <v>27864</v>
      </c>
      <c r="G14495" t="s">
        <v>14</v>
      </c>
      <c r="H14495">
             </c>
      <c r="I14495" t="s">
        <v>14</v>
      </c>
      <c r="J14495" t="s">
        <v>141</v>
      </c>
      <c r="K14495" t="s">
        <v>14</v>
      </c>
      <c r="L14495" t="s">
        <v>20</v>
      </c>
      <c r="M14495" t="s">
        <v>27614</v>
      </c>
      <c r="N14495" t="s">
        <v>14</v>
      </c>
    </row>
    <row r="14496" x14ac:dyDescent="0.25">
      <c r="A14496" t="n">
        <v>22</v>
      </c>
      <c r="B14496" t="s">
        <v>14</v>
      </c>
      <c r="C14496" t="s">
        <v>22</v>
      </c>
      <c r="D14496" s="2" t="s">
        <f>=HYPERLINK("https://main.knesset.gov.il/APPS/legislation/main/bills/2082655", "הצעת חוק הממשלה (תיקון - דיווח על נסיעות שרים לחוץ לארץ), התש""ף-2019")</f>
        <v>27865</v>
      </c>
      <c r="E14496" t="s">
        <v>27865</v>
      </c>
      <c r="F14496" t="s">
        <v>27866</v>
      </c>
      <c r="G14496" t="s">
        <v>14</v>
      </c>
      <c r="H14496">
             </c>
      <c r="I14496" t="s">
        <v>14</v>
      </c>
      <c r="J14496" t="s">
        <v>141</v>
      </c>
      <c r="K14496" t="s">
        <v>14</v>
      </c>
      <c r="L14496" t="s">
        <v>20</v>
      </c>
      <c r="M14496" t="s">
        <v>27614</v>
      </c>
      <c r="N14496" t="s">
        <v>14</v>
      </c>
    </row>
    <row r="14497" x14ac:dyDescent="0.25">
      <c r="A14497" t="n">
        <v>22</v>
      </c>
      <c r="B14497" t="s">
        <v>14</v>
      </c>
      <c r="C14497" t="s">
        <v>22</v>
      </c>
      <c r="D14497" s="2" t="s">
        <f>=HYPERLINK("https://main.knesset.gov.il/APPS/legislation/main/bills/2083560", "הצעת חוק המזונות (הבטחת תשלום) (תיקון - סכום שלא יובא בחשבון במבחן ההכנסה), התש""ף-2019")</f>
        <v>27867</v>
      </c>
      <c r="E14497" t="s">
        <v>27867</v>
      </c>
      <c r="F14497" t="s">
        <v>27868</v>
      </c>
      <c r="G14497" t="s">
        <v>14</v>
      </c>
      <c r="H14497">
             </c>
      <c r="I14497" t="s">
        <v>14</v>
      </c>
      <c r="J14497" t="s">
        <v>141</v>
      </c>
      <c r="K14497" t="s">
        <v>14</v>
      </c>
      <c r="L14497" t="s">
        <v>20</v>
      </c>
      <c r="M14497" t="s">
        <v>27614</v>
      </c>
      <c r="N14497" t="s">
        <v>14</v>
      </c>
    </row>
    <row r="14498" x14ac:dyDescent="0.25">
      <c r="A14498" t="n">
        <v>22</v>
      </c>
      <c r="B14498" t="s">
        <v>14</v>
      </c>
      <c r="C14498" t="s">
        <v>22</v>
      </c>
      <c r="D14498" s="2" t="s">
        <f>=HYPERLINK("https://main.knesset.gov.il/APPS/legislation/main/bills/2082857", "הצעת חוק להגברת השקיפות בפעילותם של גופים פיננסיים (תיקוני חקיקה), התש""ף-2019")</f>
        <v>27869</v>
      </c>
      <c r="E14498" t="s">
        <v>27869</v>
      </c>
      <c r="F14498" t="s">
        <v>27870</v>
      </c>
      <c r="G14498" t="s">
        <v>14</v>
      </c>
      <c r="H14498">
             </c>
      <c r="I14498" t="s">
        <v>14</v>
      </c>
      <c r="J14498" t="s">
        <v>141</v>
      </c>
      <c r="K14498" t="s">
        <v>14</v>
      </c>
      <c r="L14498" t="s">
        <v>20</v>
      </c>
      <c r="M14498" t="s">
        <v>27614</v>
      </c>
      <c r="N14498" t="s">
        <v>14</v>
      </c>
    </row>
    <row r="14499" x14ac:dyDescent="0.25">
      <c r="A14499" t="n">
        <v>22</v>
      </c>
      <c r="B14499" t="s">
        <v>14</v>
      </c>
      <c r="C14499" t="s">
        <v>22</v>
      </c>
      <c r="D14499" s="2" t="s">
        <f>=HYPERLINK("https://main.knesset.gov.il/APPS/legislation/main/bills/2083367", "הצעת חוק לתיקון דיני הראיות (הגנת ילדים) (דבר מה נוסף), התש""ף-2019")</f>
        <v>27871</v>
      </c>
      <c r="E14499" t="s">
        <v>27871</v>
      </c>
      <c r="F14499" t="s">
        <v>27872</v>
      </c>
      <c r="G14499" t="s">
        <v>14</v>
      </c>
      <c r="H14499">
             </c>
      <c r="I14499" t="s">
        <v>14</v>
      </c>
      <c r="J14499" t="s">
        <v>141</v>
      </c>
      <c r="K14499" t="s">
        <v>14</v>
      </c>
      <c r="L14499" t="s">
        <v>20</v>
      </c>
      <c r="M14499" t="s">
        <v>27614</v>
      </c>
      <c r="N14499" t="s">
        <v>14</v>
      </c>
    </row>
    <row r="14500" x14ac:dyDescent="0.25">
      <c r="A14500" t="n">
        <v>22</v>
      </c>
      <c r="B14500" t="s">
        <v>14</v>
      </c>
      <c r="C14500" t="s">
        <v>22</v>
      </c>
      <c r="D14500" s="2" t="s">
        <f>=HYPERLINK("https://main.knesset.gov.il/APPS/legislation/main/bills/2082848", "הצעת חוק להגברת השקיפות בפעילותם של גופים פיננסיים (תיקוני חקיקה), התש""ף-2019")</f>
        <v>27869</v>
      </c>
      <c r="E14500" t="s">
        <v>27869</v>
      </c>
      <c r="F14500" t="s">
        <v>27873</v>
      </c>
      <c r="G14500" t="s">
        <v>14</v>
      </c>
      <c r="H14500">
             </c>
      <c r="I14500" t="s">
        <v>14</v>
      </c>
      <c r="J14500" t="s">
        <v>141</v>
      </c>
      <c r="K14500" t="s">
        <v>14</v>
      </c>
      <c r="L14500" t="s">
        <v>20</v>
      </c>
      <c r="M14500" t="s">
        <v>27614</v>
      </c>
      <c r="N14500" t="s">
        <v>14</v>
      </c>
    </row>
    <row r="14501" x14ac:dyDescent="0.25">
      <c r="A14501" t="n">
        <v>22</v>
      </c>
      <c r="B14501" t="s">
        <v>14</v>
      </c>
      <c r="C14501" t="s">
        <v>22</v>
      </c>
      <c r="D14501" s="2" t="s">
        <f>=HYPERLINK("https://main.knesset.gov.il/APPS/legislation/main/bills/2083357", "הצעת חוק לקידום דיור בר השגה, התש""ף-2019")</f>
        <v>27874</v>
      </c>
      <c r="E14501" t="s">
        <v>27874</v>
      </c>
      <c r="F14501" t="s">
        <v>27875</v>
      </c>
      <c r="G14501" t="s">
        <v>14</v>
      </c>
      <c r="H14501">
             </c>
      <c r="I14501" t="s">
        <v>14</v>
      </c>
      <c r="J14501" t="s">
        <v>141</v>
      </c>
      <c r="K14501" t="s">
        <v>14</v>
      </c>
      <c r="L14501" t="s">
        <v>20</v>
      </c>
      <c r="M14501" t="s">
        <v>27614</v>
      </c>
      <c r="N14501" t="s">
        <v>14</v>
      </c>
    </row>
    <row r="14502" x14ac:dyDescent="0.25">
      <c r="A14502" t="n">
        <v>22</v>
      </c>
      <c r="B14502" t="s">
        <v>14</v>
      </c>
      <c r="C14502" t="s">
        <v>22</v>
      </c>
      <c r="D14502" s="2" t="s">
        <f>=HYPERLINK("https://main.knesset.gov.il/APPS/legislation/main/bills/2081932", "הצעת חוק המכר (דירות) (תיקון - הסדרת בנייה במסגרת קבוצות רכישה), התש""ף-2019")</f>
        <v>27876</v>
      </c>
      <c r="E14502" t="s">
        <v>27876</v>
      </c>
      <c r="F14502" t="s">
        <v>27877</v>
      </c>
      <c r="G14502" t="s">
        <v>14</v>
      </c>
      <c r="H14502">
             </c>
      <c r="I14502" t="s">
        <v>14</v>
      </c>
      <c r="J14502" t="s">
        <v>141</v>
      </c>
      <c r="K14502" t="s">
        <v>14</v>
      </c>
      <c r="L14502" t="s">
        <v>20</v>
      </c>
      <c r="M14502" t="s">
        <v>27614</v>
      </c>
      <c r="N14502" t="s">
        <v>14</v>
      </c>
    </row>
    <row r="14503" x14ac:dyDescent="0.25">
      <c r="A14503" t="n">
        <v>22</v>
      </c>
      <c r="B14503" t="s">
        <v>14</v>
      </c>
      <c r="C14503" t="s">
        <v>22</v>
      </c>
      <c r="D14503" s="2" t="s">
        <f>=HYPERLINK("https://main.knesset.gov.il/APPS/legislation/main/bills/2081980", "הצעת חוק מרשם האוכלוסין (תיקון - רישום כזרע ישראל), התש""ף-2019")</f>
        <v>27878</v>
      </c>
      <c r="E14503" t="s">
        <v>27878</v>
      </c>
      <c r="F14503" t="s">
        <v>27879</v>
      </c>
      <c r="G14503" t="s">
        <v>14</v>
      </c>
      <c r="H14503">
             </c>
      <c r="I14503" t="s">
        <v>14</v>
      </c>
      <c r="J14503" t="s">
        <v>141</v>
      </c>
      <c r="K14503" t="s">
        <v>14</v>
      </c>
      <c r="L14503" t="s">
        <v>20</v>
      </c>
      <c r="M14503" t="s">
        <v>27614</v>
      </c>
      <c r="N14503" t="s">
        <v>14</v>
      </c>
    </row>
    <row r="14504" x14ac:dyDescent="0.25">
      <c r="A14504" t="n">
        <v>22</v>
      </c>
      <c r="B14504" t="s">
        <v>14</v>
      </c>
      <c r="C14504" t="s">
        <v>22</v>
      </c>
      <c r="D14504" s="2" t="s">
        <f>=HYPERLINK("https://main.knesset.gov.il/APPS/legislation/main/bills/2082783", "הצעת חוק איסור הונאה בכשרות (תיקון - פיקוח על מחירי תעודת הכשר), התש""ף-2019")</f>
        <v>27880</v>
      </c>
      <c r="E14504" t="s">
        <v>27880</v>
      </c>
      <c r="F14504" t="s">
        <v>27881</v>
      </c>
      <c r="G14504" t="s">
        <v>14</v>
      </c>
      <c r="H14504">
             </c>
      <c r="I14504" t="s">
        <v>14</v>
      </c>
      <c r="J14504" t="s">
        <v>141</v>
      </c>
      <c r="K14504" t="s">
        <v>14</v>
      </c>
      <c r="L14504" t="s">
        <v>20</v>
      </c>
      <c r="M14504" t="s">
        <v>27614</v>
      </c>
      <c r="N14504" t="s">
        <v>14</v>
      </c>
    </row>
    <row r="14505" x14ac:dyDescent="0.25">
      <c r="A14505" t="n">
        <v>22</v>
      </c>
      <c r="B14505" t="s">
        <v>14</v>
      </c>
      <c r="C14505" t="s">
        <v>22</v>
      </c>
      <c r="D14505" s="2" t="s">
        <f>=HYPERLINK("https://main.knesset.gov.il/APPS/legislation/main/bills/2083364", "הצעת חוק הכשרות המשפטית והאפוטרופסות (תיקון - הכרעה דחופה בנוגע לילד להורים בהליכי גירושין), התש""ף-2019 ")</f>
        <v>27882</v>
      </c>
      <c r="E14505" t="s">
        <v>27882</v>
      </c>
      <c r="F14505" t="s">
        <v>27883</v>
      </c>
      <c r="G14505" t="s">
        <v>14</v>
      </c>
      <c r="H14505">
             </c>
      <c r="I14505" t="s">
        <v>14</v>
      </c>
      <c r="J14505" t="s">
        <v>141</v>
      </c>
      <c r="K14505" t="s">
        <v>14</v>
      </c>
      <c r="L14505" t="s">
        <v>20</v>
      </c>
      <c r="M14505" t="s">
        <v>27614</v>
      </c>
      <c r="N14505" t="s">
        <v>14</v>
      </c>
    </row>
    <row r="14506" x14ac:dyDescent="0.25">
      <c r="A14506" t="n">
        <v>22</v>
      </c>
      <c r="B14506" t="s">
        <v>14</v>
      </c>
      <c r="C14506" t="s">
        <v>22</v>
      </c>
      <c r="D14506" s="2" t="s">
        <f>=HYPERLINK("https://main.knesset.gov.il/APPS/legislation/main/bills/2083289", "הצעת חוק בית המשפט לענייני משפחה (תיקון - בני זוג מאותו המין), התש""ף-2019")</f>
        <v>27884</v>
      </c>
      <c r="E14506" t="s">
        <v>27884</v>
      </c>
      <c r="F14506" t="s">
        <v>27885</v>
      </c>
      <c r="G14506" t="s">
        <v>14</v>
      </c>
      <c r="H14506">
             </c>
      <c r="I14506" t="s">
        <v>14</v>
      </c>
      <c r="J14506" t="s">
        <v>141</v>
      </c>
      <c r="K14506" t="s">
        <v>14</v>
      </c>
      <c r="L14506" t="s">
        <v>20</v>
      </c>
      <c r="M14506" t="s">
        <v>27614</v>
      </c>
      <c r="N14506" t="s">
        <v>14</v>
      </c>
    </row>
    <row r="14507" x14ac:dyDescent="0.25">
      <c r="A14507" t="n">
        <v>22</v>
      </c>
      <c r="B14507" t="s">
        <v>14</v>
      </c>
      <c r="C14507" t="s">
        <v>22</v>
      </c>
      <c r="D14507" s="2" t="s">
        <f>=HYPERLINK("https://main.knesset.gov.il/APPS/legislation/main/bills/2083348", "הצעת חוק שוויון זכויות לאנשים עם מוגבלות (תיקון - מסירת תעודות לבעלי מוגבלות), התש""ף-2019")</f>
        <v>27886</v>
      </c>
      <c r="E14507" t="s">
        <v>27886</v>
      </c>
      <c r="F14507" t="s">
        <v>27887</v>
      </c>
      <c r="G14507" t="s">
        <v>14</v>
      </c>
      <c r="H14507">
             </c>
      <c r="I14507" t="s">
        <v>14</v>
      </c>
      <c r="J14507" t="s">
        <v>141</v>
      </c>
      <c r="K14507" t="s">
        <v>14</v>
      </c>
      <c r="L14507" t="s">
        <v>20</v>
      </c>
      <c r="M14507" t="s">
        <v>27614</v>
      </c>
      <c r="N14507" t="s">
        <v>14</v>
      </c>
    </row>
    <row r="14508" x14ac:dyDescent="0.25">
      <c r="A14508" t="n">
        <v>22</v>
      </c>
      <c r="B14508" t="s">
        <v>14</v>
      </c>
      <c r="C14508" t="s">
        <v>22</v>
      </c>
      <c r="D14508" s="2" t="s">
        <f>=HYPERLINK("https://main.knesset.gov.il/APPS/legislation/main/bills/2082800", "הצעת חוק בית המשפט לענייני משפחה (תיקון - בני זוג מאותו המין), התש""ף-2019")</f>
        <v>27884</v>
      </c>
      <c r="E14508" t="s">
        <v>27884</v>
      </c>
      <c r="F14508" t="s">
        <v>27888</v>
      </c>
      <c r="G14508" t="s">
        <v>14</v>
      </c>
      <c r="H14508">
             </c>
      <c r="I14508" t="s">
        <v>14</v>
      </c>
      <c r="J14508" t="s">
        <v>141</v>
      </c>
      <c r="K14508" t="s">
        <v>14</v>
      </c>
      <c r="L14508" t="s">
        <v>20</v>
      </c>
      <c r="M14508" t="s">
        <v>27614</v>
      </c>
      <c r="N14508" t="s">
        <v>14</v>
      </c>
    </row>
    <row r="14509" x14ac:dyDescent="0.25">
      <c r="A14509" t="n">
        <v>22</v>
      </c>
      <c r="B14509" t="s">
        <v>14</v>
      </c>
      <c r="C14509" t="s">
        <v>22</v>
      </c>
      <c r="D14509" s="2" t="s">
        <f>=HYPERLINK("https://main.knesset.gov.il/APPS/legislation/main/bills/2082745", "הצעת חוק הכשרות המשפטית והאפוטרופסות (תיקון - תשלום שכר והוצאות של אפוטרופוס מאוצר המדינה), התש""ף-2019")</f>
        <v>27889</v>
      </c>
      <c r="E14509" t="s">
        <v>27889</v>
      </c>
      <c r="F14509" t="s">
        <v>27890</v>
      </c>
      <c r="G14509" t="s">
        <v>14</v>
      </c>
      <c r="H14509">
             </c>
      <c r="I14509" t="s">
        <v>14</v>
      </c>
      <c r="J14509" t="s">
        <v>141</v>
      </c>
      <c r="K14509" t="s">
        <v>14</v>
      </c>
      <c r="L14509" t="s">
        <v>20</v>
      </c>
      <c r="M14509" t="s">
        <v>27614</v>
      </c>
      <c r="N14509" t="s">
        <v>14</v>
      </c>
    </row>
    <row r="14510" x14ac:dyDescent="0.25">
      <c r="A14510" t="n">
        <v>22</v>
      </c>
      <c r="B14510" t="s">
        <v>14</v>
      </c>
      <c r="C14510" t="s">
        <v>22</v>
      </c>
      <c r="D14510" s="2" t="s">
        <f>=HYPERLINK("https://main.knesset.gov.il/APPS/legislation/main/bills/2082249", "הצעת חוק לטיפול בכתות פוגעניות, התש""ף-2019")</f>
        <v>27891</v>
      </c>
      <c r="E14510" t="s">
        <v>27891</v>
      </c>
      <c r="F14510" t="s">
        <v>27892</v>
      </c>
      <c r="G14510" t="s">
        <v>14</v>
      </c>
      <c r="H14510">
             </c>
      <c r="I14510" t="s">
        <v>14</v>
      </c>
      <c r="J14510" t="s">
        <v>141</v>
      </c>
      <c r="K14510" t="s">
        <v>14</v>
      </c>
      <c r="L14510" t="s">
        <v>20</v>
      </c>
      <c r="M14510" t="s">
        <v>27614</v>
      </c>
      <c r="N14510" t="s">
        <v>14</v>
      </c>
    </row>
    <row r="14511" x14ac:dyDescent="0.25">
      <c r="A14511" t="n">
        <v>22</v>
      </c>
      <c r="B14511" t="s">
        <v>14</v>
      </c>
      <c r="C14511" t="s">
        <v>22</v>
      </c>
      <c r="D14511" s="2" t="s">
        <f>=HYPERLINK("https://main.knesset.gov.il/APPS/legislation/main/bills/2082340", "הצעת חוק חובת המכרזים (תיקון - שילוב עסקים קטנים ובינוניים), התש""ף-2019")</f>
        <v>27893</v>
      </c>
      <c r="E14511" t="s">
        <v>27893</v>
      </c>
      <c r="F14511" t="s">
        <v>27894</v>
      </c>
      <c r="G14511" t="s">
        <v>14</v>
      </c>
      <c r="H14511">
             </c>
      <c r="I14511" t="s">
        <v>14</v>
      </c>
      <c r="J14511" t="s">
        <v>141</v>
      </c>
      <c r="K14511" t="s">
        <v>14</v>
      </c>
      <c r="L14511" t="s">
        <v>20</v>
      </c>
      <c r="M14511" t="s">
        <v>27614</v>
      </c>
      <c r="N14511" t="s">
        <v>14</v>
      </c>
    </row>
    <row r="14512" x14ac:dyDescent="0.25">
      <c r="A14512" t="n">
        <v>22</v>
      </c>
      <c r="B14512" t="s">
        <v>14</v>
      </c>
      <c r="C14512" t="s">
        <v>22</v>
      </c>
      <c r="D14512" s="2" t="s">
        <f>=HYPERLINK("https://main.knesset.gov.il/APPS/legislation/main/bills/2082946", "הצעת חוק למניעת פגיעה במדינת ישראל באמצעות חרם (תיקון - הפסקת מימון מוסדות להשכלה גבוהה), התש""ף-2019")</f>
        <v>27895</v>
      </c>
      <c r="E14512" t="s">
        <v>27895</v>
      </c>
      <c r="F14512" t="s">
        <v>27896</v>
      </c>
      <c r="G14512" t="s">
        <v>14</v>
      </c>
      <c r="H14512">
             </c>
      <c r="I14512" t="s">
        <v>14</v>
      </c>
      <c r="J14512" t="s">
        <v>141</v>
      </c>
      <c r="K14512" t="s">
        <v>14</v>
      </c>
      <c r="L14512" t="s">
        <v>20</v>
      </c>
      <c r="M14512" t="s">
        <v>27614</v>
      </c>
      <c r="N14512" t="s">
        <v>14</v>
      </c>
    </row>
    <row r="14513" x14ac:dyDescent="0.25">
      <c r="A14513" t="n">
        <v>22</v>
      </c>
      <c r="B14513" t="s">
        <v>14</v>
      </c>
      <c r="C14513" t="s">
        <v>22</v>
      </c>
      <c r="D14513" s="2" t="s">
        <f>=HYPERLINK("https://main.knesset.gov.il/APPS/legislation/main/bills/2082318", "הצעת חוק לתיקון פקודת הנזיקין (פיצויים לדוגמה בשל מעשה טרור או פגיעת איבה), התש""ף-2019")</f>
        <v>27897</v>
      </c>
      <c r="E14513" t="s">
        <v>27897</v>
      </c>
      <c r="F14513" t="s">
        <v>27898</v>
      </c>
      <c r="G14513" t="s">
        <v>14</v>
      </c>
      <c r="H14513">
             </c>
      <c r="I14513" t="s">
        <v>14</v>
      </c>
      <c r="J14513" t="s">
        <v>141</v>
      </c>
      <c r="K14513" t="s">
        <v>14</v>
      </c>
      <c r="L14513" t="s">
        <v>20</v>
      </c>
      <c r="M14513" t="s">
        <v>27614</v>
      </c>
      <c r="N14513" t="s">
        <v>14</v>
      </c>
    </row>
    <row r="14514" x14ac:dyDescent="0.25">
      <c r="A14514" t="n">
        <v>22</v>
      </c>
      <c r="B14514" t="s">
        <v>14</v>
      </c>
      <c r="C14514" t="s">
        <v>22</v>
      </c>
      <c r="D14514" s="2" t="s">
        <f>=HYPERLINK("https://main.knesset.gov.il/APPS/legislation/main/bills/2082947", "הצעת חוק העונשין (תיקון - החמרת העונש לנבחרי ציבור בעבירות ביטחון המדינה, יחסי חוץ וסודות רשמיים), התש""ף-2019")</f>
        <v>27899</v>
      </c>
      <c r="E14514" t="s">
        <v>27899</v>
      </c>
      <c r="F14514" t="s">
        <v>27900</v>
      </c>
      <c r="G14514" t="s">
        <v>14</v>
      </c>
      <c r="H14514">
             </c>
      <c r="I14514" t="s">
        <v>14</v>
      </c>
      <c r="J14514" t="s">
        <v>141</v>
      </c>
      <c r="K14514" t="s">
        <v>14</v>
      </c>
      <c r="L14514" t="s">
        <v>20</v>
      </c>
      <c r="M14514" t="s">
        <v>27614</v>
      </c>
      <c r="N14514" t="s">
        <v>14</v>
      </c>
    </row>
    <row r="14515" x14ac:dyDescent="0.25">
      <c r="A14515" t="n">
        <v>22</v>
      </c>
      <c r="B14515" t="s">
        <v>14</v>
      </c>
      <c r="C14515" t="s">
        <v>22</v>
      </c>
      <c r="D14515" s="2" t="s">
        <f>=HYPERLINK("https://main.knesset.gov.il/APPS/legislation/main/bills/2082346", "הצעת חוק עידוד שירות צבאי, לאומי או לאומי-אזרחי, התש""ף-2019")</f>
        <v>27901</v>
      </c>
      <c r="E14515" t="s">
        <v>27901</v>
      </c>
      <c r="F14515" t="s">
        <v>27902</v>
      </c>
      <c r="G14515" t="s">
        <v>14</v>
      </c>
      <c r="H14515">
             </c>
      <c r="I14515" t="s">
        <v>14</v>
      </c>
      <c r="J14515" t="s">
        <v>141</v>
      </c>
      <c r="K14515" t="s">
        <v>14</v>
      </c>
      <c r="L14515" t="s">
        <v>20</v>
      </c>
      <c r="M14515" t="s">
        <v>27614</v>
      </c>
      <c r="N14515" t="s">
        <v>14</v>
      </c>
    </row>
    <row r="14516" x14ac:dyDescent="0.25">
      <c r="A14516" t="n">
        <v>22</v>
      </c>
      <c r="B14516" t="s">
        <v>14</v>
      </c>
      <c r="C14516" t="s">
        <v>22</v>
      </c>
      <c r="D14516" s="2" t="s">
        <f>=HYPERLINK("https://main.knesset.gov.il/APPS/legislation/main/bills/2082050", "הצעת חוק איסור הכחשת השואה (תיקון - איסור הבעת אהדה לשלטון הנאצי או הזדהות עמו ואיסור שימוש בסמלים נאציים), התש""ף-2019")</f>
        <v>27903</v>
      </c>
      <c r="E14516" t="s">
        <v>27903</v>
      </c>
      <c r="F14516" t="s">
        <v>27904</v>
      </c>
      <c r="G14516" t="s">
        <v>14</v>
      </c>
      <c r="H14516">
             </c>
      <c r="I14516" t="s">
        <v>14</v>
      </c>
      <c r="J14516" t="s">
        <v>141</v>
      </c>
      <c r="K14516" t="s">
        <v>14</v>
      </c>
      <c r="L14516" t="s">
        <v>20</v>
      </c>
      <c r="M14516" t="s">
        <v>27614</v>
      </c>
      <c r="N14516" t="s">
        <v>14</v>
      </c>
    </row>
    <row r="14517" x14ac:dyDescent="0.25">
      <c r="A14517" t="n">
        <v>22</v>
      </c>
      <c r="B14517" t="s">
        <v>14</v>
      </c>
      <c r="C14517" t="s">
        <v>22</v>
      </c>
      <c r="D14517" s="2" t="s">
        <f>=HYPERLINK("https://main.knesset.gov.il/APPS/legislation/main/bills/2082044", "הצעת חוק פיצויים לבעלי עסקים נפגעי עבודות תשתית מתמשכות, התש""ף-2019")</f>
        <v>27905</v>
      </c>
      <c r="E14517" t="s">
        <v>27905</v>
      </c>
      <c r="F14517" t="s">
        <v>27906</v>
      </c>
      <c r="G14517" t="s">
        <v>14</v>
      </c>
      <c r="H14517">
             </c>
      <c r="I14517" t="s">
        <v>14</v>
      </c>
      <c r="J14517" t="s">
        <v>141</v>
      </c>
      <c r="K14517" t="s">
        <v>14</v>
      </c>
      <c r="L14517" t="s">
        <v>20</v>
      </c>
      <c r="M14517" t="s">
        <v>27614</v>
      </c>
      <c r="N14517" t="s">
        <v>14</v>
      </c>
    </row>
    <row r="14518" x14ac:dyDescent="0.25">
      <c r="A14518" t="n">
        <v>22</v>
      </c>
      <c r="B14518" t="s">
        <v>14</v>
      </c>
      <c r="C14518" t="s">
        <v>22</v>
      </c>
      <c r="D14518" s="2" t="s">
        <f>=HYPERLINK("https://main.knesset.gov.il/APPS/legislation/main/bills/2082958", "הצעת חוק זכויות הדייר בדיור הציבורי (תיקון - זכות לדיור ציבורי ומתן קדימות בשל נכות רפואית בשיעור של 75 אחוזים ומעלה), התש""ף-2019")</f>
        <v>27907</v>
      </c>
      <c r="E14518" t="s">
        <v>27907</v>
      </c>
      <c r="F14518" t="s">
        <v>27908</v>
      </c>
      <c r="G14518" t="s">
        <v>14</v>
      </c>
      <c r="H14518">
             </c>
      <c r="I14518" t="s">
        <v>14</v>
      </c>
      <c r="J14518" t="s">
        <v>141</v>
      </c>
      <c r="K14518" t="s">
        <v>14</v>
      </c>
      <c r="L14518" t="s">
        <v>20</v>
      </c>
      <c r="M14518" t="s">
        <v>27614</v>
      </c>
      <c r="N14518" t="s">
        <v>14</v>
      </c>
    </row>
    <row r="14519" x14ac:dyDescent="0.25">
      <c r="A14519" t="n">
        <v>22</v>
      </c>
      <c r="B14519" t="s">
        <v>14</v>
      </c>
      <c r="C14519" t="s">
        <v>22</v>
      </c>
      <c r="D14519" s="2" t="s">
        <f>=HYPERLINK("https://main.knesset.gov.il/APPS/legislation/main/bills/2082328", "הצעת חוק הרשויות המקומיות (בחירות) (תיקון - בחירה של בעל עסק בתחום רשות מקומית שעסקו רשום בה), התש""ף-2019")</f>
        <v>27909</v>
      </c>
      <c r="E14519" t="s">
        <v>27909</v>
      </c>
      <c r="F14519" t="s">
        <v>27910</v>
      </c>
      <c r="G14519" t="s">
        <v>14</v>
      </c>
      <c r="H14519">
             </c>
      <c r="I14519" t="s">
        <v>14</v>
      </c>
      <c r="J14519" t="s">
        <v>141</v>
      </c>
      <c r="K14519" t="s">
        <v>14</v>
      </c>
      <c r="L14519" t="s">
        <v>20</v>
      </c>
      <c r="M14519" t="s">
        <v>27614</v>
      </c>
      <c r="N14519" t="s">
        <v>14</v>
      </c>
    </row>
    <row r="14520" x14ac:dyDescent="0.25">
      <c r="A14520" t="n">
        <v>22</v>
      </c>
      <c r="B14520" t="s">
        <v>14</v>
      </c>
      <c r="C14520" t="s">
        <v>22</v>
      </c>
      <c r="D14520" s="2" t="s">
        <f>=HYPERLINK("https://main.knesset.gov.il/APPS/legislation/main/bills/2081971", "הצעת חוק הדגל, הסמל והמנון המדינה (תיקון - איסור מניעת כניסה לאסיפה עם דגל המדינה), התש""ף-2019")</f>
        <v>27911</v>
      </c>
      <c r="E14520" t="s">
        <v>27911</v>
      </c>
      <c r="F14520" t="s">
        <v>27912</v>
      </c>
      <c r="G14520" t="s">
        <v>14</v>
      </c>
      <c r="H14520">
             </c>
      <c r="I14520" t="s">
        <v>14</v>
      </c>
      <c r="J14520" t="s">
        <v>141</v>
      </c>
      <c r="K14520" t="s">
        <v>14</v>
      </c>
      <c r="L14520" t="s">
        <v>20</v>
      </c>
      <c r="M14520" t="s">
        <v>27614</v>
      </c>
      <c r="N14520" t="s">
        <v>14</v>
      </c>
    </row>
    <row r="14521" x14ac:dyDescent="0.25">
      <c r="A14521" t="n">
        <v>22</v>
      </c>
      <c r="B14521" t="s">
        <v>14</v>
      </c>
      <c r="C14521" t="s">
        <v>22</v>
      </c>
      <c r="D14521" s="2" t="s">
        <f>=HYPERLINK("https://main.knesset.gov.il/APPS/legislation/main/bills/2082142", "הצעת חוק איסור הונאה בכשרות (תיקון - פתיחת אזורי הכשרות), התש""ף-2019")</f>
        <v>27913</v>
      </c>
      <c r="E14521" t="s">
        <v>27913</v>
      </c>
      <c r="F14521" t="s">
        <v>27914</v>
      </c>
      <c r="G14521" t="s">
        <v>14</v>
      </c>
      <c r="H14521">
             </c>
      <c r="I14521" t="s">
        <v>14</v>
      </c>
      <c r="J14521" t="s">
        <v>141</v>
      </c>
      <c r="K14521" t="s">
        <v>14</v>
      </c>
      <c r="L14521" t="s">
        <v>20</v>
      </c>
      <c r="M14521" t="s">
        <v>27614</v>
      </c>
      <c r="N14521" t="s">
        <v>14</v>
      </c>
    </row>
    <row r="14522" x14ac:dyDescent="0.25">
      <c r="A14522" t="n">
        <v>22</v>
      </c>
      <c r="B14522" t="s">
        <v>14</v>
      </c>
      <c r="C14522" t="s">
        <v>22</v>
      </c>
      <c r="D14522" s="2" t="s">
        <f>=HYPERLINK("https://main.knesset.gov.il/APPS/legislation/main/bills/2082961", "הצעת חוק שירותי הדת היהודיים (תיקון - העברת סמכויות מועצה דתית לרשות מקומית), התש""ף-2019 ")</f>
        <v>27915</v>
      </c>
      <c r="E14522" t="s">
        <v>27915</v>
      </c>
      <c r="F14522" t="s">
        <v>27916</v>
      </c>
      <c r="G14522" t="s">
        <v>14</v>
      </c>
      <c r="H14522">
             </c>
      <c r="I14522" t="s">
        <v>14</v>
      </c>
      <c r="J14522" t="s">
        <v>141</v>
      </c>
      <c r="K14522" t="s">
        <v>14</v>
      </c>
      <c r="L14522" t="s">
        <v>20</v>
      </c>
      <c r="M14522" t="s">
        <v>27614</v>
      </c>
      <c r="N14522" t="s">
        <v>14</v>
      </c>
    </row>
    <row r="14523" x14ac:dyDescent="0.25">
      <c r="A14523" t="n">
        <v>22</v>
      </c>
      <c r="B14523" t="s">
        <v>14</v>
      </c>
      <c r="C14523" t="s">
        <v>22</v>
      </c>
      <c r="D14523" s="2" t="s">
        <f>=HYPERLINK("https://main.knesset.gov.il/APPS/legislation/main/bills/2082345", "הצעת חוק לתיקון פקודת מסי העירייה ומסי הממשלה (פטורין) (פטור מארנונה למבנה ברחוב שמתבצעות בו עבודות פיתוח או תשתית), התש""ף-2019")</f>
        <v>27917</v>
      </c>
      <c r="E14523" t="s">
        <v>27917</v>
      </c>
      <c r="F14523" t="s">
        <v>27918</v>
      </c>
      <c r="G14523" t="s">
        <v>14</v>
      </c>
      <c r="H14523">
             </c>
      <c r="I14523" t="s">
        <v>14</v>
      </c>
      <c r="J14523" t="s">
        <v>141</v>
      </c>
      <c r="K14523" t="s">
        <v>14</v>
      </c>
      <c r="L14523" t="s">
        <v>20</v>
      </c>
      <c r="M14523" t="s">
        <v>27614</v>
      </c>
      <c r="N14523" t="s">
        <v>14</v>
      </c>
    </row>
    <row r="14524" x14ac:dyDescent="0.25">
      <c r="A14524" t="n">
        <v>22</v>
      </c>
      <c r="B14524" t="s">
        <v>14</v>
      </c>
      <c r="C14524" t="s">
        <v>22</v>
      </c>
      <c r="D14524" s="2" t="s">
        <f>=HYPERLINK("https://main.knesset.gov.il/APPS/legislation/main/bills/2082159", "הצעת חוק לתיקון פקודת מס הכנסה (פטור ממס למענק כספי בשל הישג בתחרות ספורט), התש""ף-2019")</f>
        <v>27919</v>
      </c>
      <c r="E14524" t="s">
        <v>27919</v>
      </c>
      <c r="F14524" t="s">
        <v>27920</v>
      </c>
      <c r="G14524" t="s">
        <v>14</v>
      </c>
      <c r="H14524">
             </c>
      <c r="I14524" t="s">
        <v>14</v>
      </c>
      <c r="J14524" t="s">
        <v>141</v>
      </c>
      <c r="K14524" t="s">
        <v>14</v>
      </c>
      <c r="L14524" t="s">
        <v>20</v>
      </c>
      <c r="M14524" t="s">
        <v>27614</v>
      </c>
      <c r="N14524" t="s">
        <v>14</v>
      </c>
    </row>
    <row r="14525" x14ac:dyDescent="0.25">
      <c r="A14525" t="n">
        <v>22</v>
      </c>
      <c r="B14525" t="s">
        <v>14</v>
      </c>
      <c r="C14525" t="s">
        <v>22</v>
      </c>
      <c r="D14525" s="2" t="s">
        <f>=HYPERLINK("https://main.knesset.gov.il/APPS/legislation/main/bills/2082048", "הצעת חוק מס ערך מוסף (תיקון - עידוד התיירות באזורי רמת הגולן והגליל) (הוראת שעה), התש""ף-2019")</f>
        <v>27921</v>
      </c>
      <c r="E14525" t="s">
        <v>27921</v>
      </c>
      <c r="F14525" t="s">
        <v>27922</v>
      </c>
      <c r="G14525" t="s">
        <v>14</v>
      </c>
      <c r="H14525">
             </c>
      <c r="I14525" t="s">
        <v>14</v>
      </c>
      <c r="J14525" t="s">
        <v>141</v>
      </c>
      <c r="K14525" t="s">
        <v>14</v>
      </c>
      <c r="L14525" t="s">
        <v>20</v>
      </c>
      <c r="M14525" t="s">
        <v>27614</v>
      </c>
      <c r="N14525" t="s">
        <v>14</v>
      </c>
    </row>
    <row r="14526" x14ac:dyDescent="0.25">
      <c r="A14526" t="n">
        <v>22</v>
      </c>
      <c r="B14526" t="s">
        <v>14</v>
      </c>
      <c r="C14526" t="s">
        <v>22</v>
      </c>
      <c r="D14526" s="2" t="s">
        <f>=HYPERLINK("https://main.knesset.gov.il/APPS/legislation/main/bills/2082112", "הצעת חוק פיצוי עסקים קטנים בשל אירועי איבה מתמשכים, התש""ף-2019")</f>
        <v>27923</v>
      </c>
      <c r="E14526" t="s">
        <v>27923</v>
      </c>
      <c r="F14526" t="s">
        <v>27924</v>
      </c>
      <c r="G14526" t="s">
        <v>14</v>
      </c>
      <c r="H14526">
             </c>
      <c r="I14526" t="s">
        <v>14</v>
      </c>
      <c r="J14526" t="s">
        <v>141</v>
      </c>
      <c r="K14526" t="s">
        <v>14</v>
      </c>
      <c r="L14526" t="s">
        <v>20</v>
      </c>
      <c r="M14526" t="s">
        <v>27614</v>
      </c>
      <c r="N14526" t="s">
        <v>14</v>
      </c>
    </row>
    <row r="14527" x14ac:dyDescent="0.25">
      <c r="A14527" t="n">
        <v>22</v>
      </c>
      <c r="B14527" t="s">
        <v>14</v>
      </c>
      <c r="C14527" t="s">
        <v>22</v>
      </c>
      <c r="D14527" s="2" t="s">
        <f>=HYPERLINK("https://main.knesset.gov.il/APPS/legislation/main/bills/2082928", "הצעת חוק האזרחות והכניסה לישראל (הוראת שעה) (תיקון - מניעת ריבוי נישואין), התש""ף-2019")</f>
        <v>27925</v>
      </c>
      <c r="E14527" t="s">
        <v>27925</v>
      </c>
      <c r="F14527" t="s">
        <v>27926</v>
      </c>
      <c r="G14527" t="s">
        <v>14</v>
      </c>
      <c r="H14527">
             </c>
      <c r="I14527" t="s">
        <v>14</v>
      </c>
      <c r="J14527" t="s">
        <v>141</v>
      </c>
      <c r="K14527" t="s">
        <v>14</v>
      </c>
      <c r="L14527" t="s">
        <v>20</v>
      </c>
      <c r="M14527" t="s">
        <v>27614</v>
      </c>
      <c r="N14527" t="s">
        <v>14</v>
      </c>
    </row>
    <row r="14528" x14ac:dyDescent="0.25">
      <c r="A14528" t="n">
        <v>22</v>
      </c>
      <c r="B14528" t="s">
        <v>14</v>
      </c>
      <c r="C14528" t="s">
        <v>22</v>
      </c>
      <c r="D14528" s="2" t="s">
        <f>=HYPERLINK("https://main.knesset.gov.il/APPS/legislation/main/bills/2082102", "הצעת חוק לתיקון פקודת העיריות (פרסום מכרז באתר האינטרנט), התש""ף-2019")</f>
        <v>27927</v>
      </c>
      <c r="E14528" t="s">
        <v>27927</v>
      </c>
      <c r="F14528" t="s">
        <v>27928</v>
      </c>
      <c r="G14528" t="s">
        <v>14</v>
      </c>
      <c r="H14528">
             </c>
      <c r="I14528" t="s">
        <v>14</v>
      </c>
      <c r="J14528" t="s">
        <v>141</v>
      </c>
      <c r="K14528" t="s">
        <v>14</v>
      </c>
      <c r="L14528" t="s">
        <v>20</v>
      </c>
      <c r="M14528" t="s">
        <v>27614</v>
      </c>
      <c r="N14528" t="s">
        <v>14</v>
      </c>
    </row>
    <row r="14529" x14ac:dyDescent="0.25">
      <c r="A14529" t="n">
        <v>22</v>
      </c>
      <c r="B14529" t="s">
        <v>14</v>
      </c>
      <c r="C14529" t="s">
        <v>22</v>
      </c>
      <c r="D14529" s="2" t="s">
        <f>=HYPERLINK("https://main.knesset.gov.il/APPS/legislation/main/bills/2082734", "הצעת חוק ברל כצנלסון (ציון זכרו ופועלו), התש""ף-2019")</f>
        <v>27929</v>
      </c>
      <c r="E14529" t="s">
        <v>27929</v>
      </c>
      <c r="F14529" t="s">
        <v>27930</v>
      </c>
      <c r="G14529" t="s">
        <v>14</v>
      </c>
      <c r="H14529">
             </c>
      <c r="I14529" t="s">
        <v>14</v>
      </c>
      <c r="J14529" t="s">
        <v>141</v>
      </c>
      <c r="K14529" t="s">
        <v>14</v>
      </c>
      <c r="L14529" t="s">
        <v>20</v>
      </c>
      <c r="M14529" t="s">
        <v>27614</v>
      </c>
      <c r="N14529" t="s">
        <v>14</v>
      </c>
    </row>
    <row r="14530" x14ac:dyDescent="0.25">
      <c r="A14530" t="n">
        <v>22</v>
      </c>
      <c r="B14530" t="s">
        <v>14</v>
      </c>
      <c r="C14530" t="s">
        <v>22</v>
      </c>
      <c r="D14530" s="2" t="s">
        <f>=HYPERLINK("https://main.knesset.gov.il/APPS/legislation/main/bills/2083225", "הצעת חוק מעונות יום שיקומיים (תיקון - פעוטות עם צרכים רפואיים וחלופה ביתית), התש""ף-2019")</f>
        <v>27931</v>
      </c>
      <c r="E14530" t="s">
        <v>27931</v>
      </c>
      <c r="F14530" t="s">
        <v>27932</v>
      </c>
      <c r="G14530" t="s">
        <v>14</v>
      </c>
      <c r="H14530">
             </c>
      <c r="I14530" t="s">
        <v>14</v>
      </c>
      <c r="J14530" t="s">
        <v>141</v>
      </c>
      <c r="K14530" t="s">
        <v>14</v>
      </c>
      <c r="L14530" t="s">
        <v>20</v>
      </c>
      <c r="M14530" t="s">
        <v>27614</v>
      </c>
      <c r="N14530" t="s">
        <v>14</v>
      </c>
    </row>
    <row r="14531" x14ac:dyDescent="0.25">
      <c r="A14531" t="n">
        <v>22</v>
      </c>
      <c r="B14531" t="s">
        <v>14</v>
      </c>
      <c r="C14531" t="s">
        <v>22</v>
      </c>
      <c r="D14531" s="2" t="s">
        <f>=HYPERLINK("https://main.knesset.gov.il/APPS/legislation/main/bills/2083279", "הצעת חוק הרשות הלאומית לתרבות הג'והורי, התש""ף-2019")</f>
        <v>27933</v>
      </c>
      <c r="E14531" t="s">
        <v>27933</v>
      </c>
      <c r="F14531" t="s">
        <v>27934</v>
      </c>
      <c r="G14531" t="s">
        <v>14</v>
      </c>
      <c r="H14531">
             </c>
      <c r="I14531" t="s">
        <v>14</v>
      </c>
      <c r="J14531" t="s">
        <v>141</v>
      </c>
      <c r="K14531" t="s">
        <v>14</v>
      </c>
      <c r="L14531" t="s">
        <v>20</v>
      </c>
      <c r="M14531" t="s">
        <v>27614</v>
      </c>
      <c r="N14531" t="s">
        <v>14</v>
      </c>
    </row>
    <row r="14532" x14ac:dyDescent="0.25">
      <c r="A14532" t="n">
        <v>22</v>
      </c>
      <c r="B14532" t="s">
        <v>14</v>
      </c>
      <c r="C14532" t="s">
        <v>22</v>
      </c>
      <c r="D14532" s="2" t="s">
        <f>=HYPERLINK("https://main.knesset.gov.il/APPS/legislation/main/bills/2082272", "הצעת חוק הרשויות המקומיות (ייעוד כספי הקצבות למטרות שירותי סידור חוץ-ביתי הולם לילדים), התש""ף-2019")</f>
        <v>27935</v>
      </c>
      <c r="E14532" t="s">
        <v>27935</v>
      </c>
      <c r="F14532" t="s">
        <v>27936</v>
      </c>
      <c r="G14532" t="s">
        <v>14</v>
      </c>
      <c r="H14532">
             </c>
      <c r="I14532" t="s">
        <v>14</v>
      </c>
      <c r="J14532" t="s">
        <v>141</v>
      </c>
      <c r="K14532" t="s">
        <v>14</v>
      </c>
      <c r="L14532" t="s">
        <v>20</v>
      </c>
      <c r="M14532" t="s">
        <v>27614</v>
      </c>
      <c r="N14532" t="s">
        <v>14</v>
      </c>
    </row>
    <row r="14533" x14ac:dyDescent="0.25">
      <c r="A14533" t="n">
        <v>22</v>
      </c>
      <c r="B14533" t="s">
        <v>14</v>
      </c>
      <c r="C14533" t="s">
        <v>22</v>
      </c>
      <c r="D14533" s="2" t="s">
        <f>=HYPERLINK("https://main.knesset.gov.il/APPS/legislation/main/bills/2082673", "הצעת חוק חינוך ממלכתי (תיקון - שלילת השתתפות בתקציב עקב הפליה), התש""ף-2019")</f>
        <v>27937</v>
      </c>
      <c r="E14533" t="s">
        <v>27937</v>
      </c>
      <c r="F14533" t="s">
        <v>27938</v>
      </c>
      <c r="G14533" t="s">
        <v>14</v>
      </c>
      <c r="H14533">
             </c>
      <c r="I14533" t="s">
        <v>14</v>
      </c>
      <c r="J14533" t="s">
        <v>141</v>
      </c>
      <c r="K14533" t="s">
        <v>14</v>
      </c>
      <c r="L14533" t="s">
        <v>20</v>
      </c>
      <c r="M14533" t="s">
        <v>27614</v>
      </c>
      <c r="N14533" t="s">
        <v>14</v>
      </c>
    </row>
    <row r="14534" x14ac:dyDescent="0.25">
      <c r="A14534" t="n">
        <v>22</v>
      </c>
      <c r="B14534" t="s">
        <v>14</v>
      </c>
      <c r="C14534" t="s">
        <v>22</v>
      </c>
      <c r="D14534" s="2" t="s">
        <f>=HYPERLINK("https://main.knesset.gov.il/APPS/legislation/main/bills/2082553", "הצעת חוק הגנת הצרכן (תיקון - סימון שינוי בכמות המצרך), התש""ף-2019")</f>
        <v>27939</v>
      </c>
      <c r="E14534" t="s">
        <v>27939</v>
      </c>
      <c r="F14534" t="s">
        <v>27940</v>
      </c>
      <c r="G14534" t="s">
        <v>14</v>
      </c>
      <c r="H14534">
             </c>
      <c r="I14534" t="s">
        <v>14</v>
      </c>
      <c r="J14534" t="s">
        <v>141</v>
      </c>
      <c r="K14534" t="s">
        <v>14</v>
      </c>
      <c r="L14534" t="s">
        <v>20</v>
      </c>
      <c r="M14534" t="s">
        <v>27614</v>
      </c>
      <c r="N14534" t="s">
        <v>14</v>
      </c>
    </row>
    <row r="14535" x14ac:dyDescent="0.25">
      <c r="A14535" t="n">
        <v>22</v>
      </c>
      <c r="B14535" t="s">
        <v>14</v>
      </c>
      <c r="C14535" t="s">
        <v>22</v>
      </c>
      <c r="D14535" s="2" t="s">
        <f>=HYPERLINK("https://main.knesset.gov.il/APPS/legislation/main/bills/2082330", "הצעת חוק לשיפור השירות במגזר הציבורי ולמניעת התעמרות של עובדי הציבור בתושבי המדינה ובמגזר העסקי, התש""ף-2019")</f>
        <v>27941</v>
      </c>
      <c r="E14535" t="s">
        <v>27941</v>
      </c>
      <c r="F14535" t="s">
        <v>27942</v>
      </c>
      <c r="G14535" t="s">
        <v>14</v>
      </c>
      <c r="H14535">
             </c>
      <c r="I14535" t="s">
        <v>14</v>
      </c>
      <c r="J14535" t="s">
        <v>141</v>
      </c>
      <c r="K14535" t="s">
        <v>14</v>
      </c>
      <c r="L14535" t="s">
        <v>20</v>
      </c>
      <c r="M14535" t="s">
        <v>27614</v>
      </c>
      <c r="N14535" t="s">
        <v>14</v>
      </c>
    </row>
    <row r="14536" x14ac:dyDescent="0.25">
      <c r="A14536" t="n">
        <v>22</v>
      </c>
      <c r="B14536" t="s">
        <v>14</v>
      </c>
      <c r="C14536" t="s">
        <v>22</v>
      </c>
      <c r="D14536" s="2" t="s">
        <f>=HYPERLINK("https://main.knesset.gov.il/APPS/legislation/main/bills/2082338", "הצעת חוק לשכת עורכי הדין (תיקון - בחינות מסכמות כתנאי להתמחות), התש""ף-2019")</f>
        <v>27943</v>
      </c>
      <c r="E14536" t="s">
        <v>27943</v>
      </c>
      <c r="F14536" t="s">
        <v>27944</v>
      </c>
      <c r="G14536" t="s">
        <v>14</v>
      </c>
      <c r="H14536">
             </c>
      <c r="I14536" t="s">
        <v>14</v>
      </c>
      <c r="J14536" t="s">
        <v>141</v>
      </c>
      <c r="K14536" t="s">
        <v>14</v>
      </c>
      <c r="L14536" t="s">
        <v>20</v>
      </c>
      <c r="M14536" t="s">
        <v>27614</v>
      </c>
      <c r="N14536" t="s">
        <v>14</v>
      </c>
    </row>
    <row r="14537" x14ac:dyDescent="0.25">
      <c r="A14537" t="n">
        <v>22</v>
      </c>
      <c r="B14537" t="s">
        <v>14</v>
      </c>
      <c r="C14537" t="s">
        <v>22</v>
      </c>
      <c r="D14537" s="2" t="s">
        <f>=HYPERLINK("https://main.knesset.gov.il/APPS/legislation/main/bills/2082784", "הצעת חוק אוויר נקי (תיקון - איסור הפעלת מפוחים), התש""ף-2019")</f>
        <v>27945</v>
      </c>
      <c r="E14537" t="s">
        <v>27945</v>
      </c>
      <c r="F14537" t="s">
        <v>27946</v>
      </c>
      <c r="G14537" t="s">
        <v>14</v>
      </c>
      <c r="H14537">
             </c>
      <c r="I14537" t="s">
        <v>14</v>
      </c>
      <c r="J14537" t="s">
        <v>141</v>
      </c>
      <c r="K14537" t="s">
        <v>14</v>
      </c>
      <c r="L14537" t="s">
        <v>20</v>
      </c>
      <c r="M14537" t="s">
        <v>27614</v>
      </c>
      <c r="N14537" t="s">
        <v>14</v>
      </c>
    </row>
    <row r="14538" x14ac:dyDescent="0.25">
      <c r="A14538" t="n">
        <v>22</v>
      </c>
      <c r="B14538" t="s">
        <v>14</v>
      </c>
      <c r="C14538" t="s">
        <v>22</v>
      </c>
      <c r="D14538" s="2" t="s">
        <f>=HYPERLINK("https://main.knesset.gov.il/APPS/legislation/main/bills/2082110", "הצעת חוק הביטוח הלאומי (תיקון - קצבת ילד נכה לילד עם תסמונת דאון), התש""ף-2019")</f>
        <v>27947</v>
      </c>
      <c r="E14538" t="s">
        <v>27947</v>
      </c>
      <c r="F14538" t="s">
        <v>27948</v>
      </c>
      <c r="G14538" t="s">
        <v>14</v>
      </c>
      <c r="H14538">
             </c>
      <c r="I14538" t="s">
        <v>14</v>
      </c>
      <c r="J14538" t="s">
        <v>141</v>
      </c>
      <c r="K14538" t="s">
        <v>14</v>
      </c>
      <c r="L14538" t="s">
        <v>20</v>
      </c>
      <c r="M14538" t="s">
        <v>27614</v>
      </c>
      <c r="N14538" t="s">
        <v>14</v>
      </c>
    </row>
    <row r="14539" x14ac:dyDescent="0.25">
      <c r="A14539" t="n">
        <v>22</v>
      </c>
      <c r="B14539" t="s">
        <v>14</v>
      </c>
      <c r="C14539" t="s">
        <v>22</v>
      </c>
      <c r="D14539" s="2" t="s">
        <f>=HYPERLINK("https://main.knesset.gov.il/APPS/legislation/main/bills/2082240", "הצעת חוק הביטוח הלאומי (תיקון - הצמדת קצבת אזרח ותיק לשכר הממוצע במשק), התש""ף-2019")</f>
        <v>27949</v>
      </c>
      <c r="E14539" t="s">
        <v>27949</v>
      </c>
      <c r="F14539" t="s">
        <v>27950</v>
      </c>
      <c r="G14539" t="s">
        <v>14</v>
      </c>
      <c r="H14539">
             </c>
      <c r="I14539" t="s">
        <v>14</v>
      </c>
      <c r="J14539" t="s">
        <v>141</v>
      </c>
      <c r="K14539" t="s">
        <v>14</v>
      </c>
      <c r="L14539" t="s">
        <v>20</v>
      </c>
      <c r="M14539" t="s">
        <v>27614</v>
      </c>
      <c r="N14539" t="s">
        <v>14</v>
      </c>
    </row>
    <row r="14540" x14ac:dyDescent="0.25">
      <c r="A14540" t="n">
        <v>22</v>
      </c>
      <c r="B14540" t="s">
        <v>14</v>
      </c>
      <c r="C14540" t="s">
        <v>22</v>
      </c>
      <c r="D14540" s="2" t="s">
        <f>=HYPERLINK("https://main.knesset.gov.il/APPS/legislation/main/bills/2082813", "הצעת חוק שירותי הדת היהודיים (תיקון - משך כהונת רב עיר), התש""ף-2019")</f>
        <v>27951</v>
      </c>
      <c r="E14540" t="s">
        <v>27951</v>
      </c>
      <c r="F14540" t="s">
        <v>27952</v>
      </c>
      <c r="G14540" t="s">
        <v>14</v>
      </c>
      <c r="H14540">
             </c>
      <c r="I14540" t="s">
        <v>14</v>
      </c>
      <c r="J14540" t="s">
        <v>141</v>
      </c>
      <c r="K14540" t="s">
        <v>14</v>
      </c>
      <c r="L14540" t="s">
        <v>20</v>
      </c>
      <c r="M14540" t="s">
        <v>27614</v>
      </c>
      <c r="N14540" t="s">
        <v>14</v>
      </c>
    </row>
    <row r="14541" x14ac:dyDescent="0.25">
      <c r="A14541" t="n">
        <v>22</v>
      </c>
      <c r="B14541" t="s">
        <v>14</v>
      </c>
      <c r="C14541" t="s">
        <v>22</v>
      </c>
      <c r="D14541" s="2" t="s">
        <f>=HYPERLINK("https://main.knesset.gov.il/APPS/legislation/main/bills/2082682", "הצעת חוק הבחירות לכנסת (תיקון - הצבעה בקלפיות של בעלי מוגבלויות), התש""ף-2019")</f>
        <v>27953</v>
      </c>
      <c r="E14541" t="s">
        <v>27953</v>
      </c>
      <c r="F14541" t="s">
        <v>27954</v>
      </c>
      <c r="G14541" t="s">
        <v>14</v>
      </c>
      <c r="H14541">
             </c>
      <c r="I14541" t="s">
        <v>14</v>
      </c>
      <c r="J14541" t="s">
        <v>141</v>
      </c>
      <c r="K14541" t="s">
        <v>14</v>
      </c>
      <c r="L14541" t="s">
        <v>20</v>
      </c>
      <c r="M14541" t="s">
        <v>27614</v>
      </c>
      <c r="N14541" t="s">
        <v>14</v>
      </c>
    </row>
    <row r="14542" x14ac:dyDescent="0.25">
      <c r="A14542" t="n">
        <v>22</v>
      </c>
      <c r="B14542" t="s">
        <v>14</v>
      </c>
      <c r="C14542" t="s">
        <v>22</v>
      </c>
      <c r="D14542" s="2" t="s">
        <f>=HYPERLINK("https://main.knesset.gov.il/APPS/legislation/main/bills/2082111", "הצעת חוק הגנה על עובדים בשעת חירום (תיקון - תשלום שכר עבודה לעובד שנעדר עקב סגירת מוסד הלימוד של ילדו), התש""ף-2019")</f>
        <v>27955</v>
      </c>
      <c r="E14542" t="s">
        <v>27955</v>
      </c>
      <c r="F14542" t="s">
        <v>27956</v>
      </c>
      <c r="G14542" t="s">
        <v>14</v>
      </c>
      <c r="H14542">
             </c>
      <c r="I14542" t="s">
        <v>14</v>
      </c>
      <c r="J14542" t="s">
        <v>141</v>
      </c>
      <c r="K14542" t="s">
        <v>14</v>
      </c>
      <c r="L14542" t="s">
        <v>20</v>
      </c>
      <c r="M14542" t="s">
        <v>27614</v>
      </c>
      <c r="N14542" t="s">
        <v>14</v>
      </c>
    </row>
    <row r="14543" x14ac:dyDescent="0.25">
      <c r="A14543" t="n">
        <v>22</v>
      </c>
      <c r="B14543" t="s">
        <v>14</v>
      </c>
      <c r="C14543" t="s">
        <v>22</v>
      </c>
      <c r="D14543" s="2" t="s">
        <f>=HYPERLINK("https://main.knesset.gov.il/APPS/legislation/main/bills/2082526", "הצעת חוק הפחתת מחירים במתן שירותים ומכירת מוצרים על ידי גופים ציבוריים, התש""ף-2019")</f>
        <v>27957</v>
      </c>
      <c r="E14543" t="s">
        <v>27957</v>
      </c>
      <c r="F14543" t="s">
        <v>27958</v>
      </c>
      <c r="G14543" t="s">
        <v>14</v>
      </c>
      <c r="H14543">
             </c>
      <c r="I14543" t="s">
        <v>14</v>
      </c>
      <c r="J14543" t="s">
        <v>141</v>
      </c>
      <c r="K14543" t="s">
        <v>14</v>
      </c>
      <c r="L14543" t="s">
        <v>20</v>
      </c>
      <c r="M14543" t="s">
        <v>27614</v>
      </c>
      <c r="N14543" t="s">
        <v>14</v>
      </c>
    </row>
    <row r="14544" x14ac:dyDescent="0.25">
      <c r="A14544" t="n">
        <v>22</v>
      </c>
      <c r="B14544" t="s">
        <v>14</v>
      </c>
      <c r="C14544" t="s">
        <v>22</v>
      </c>
      <c r="D14544" s="2" t="s">
        <f>=HYPERLINK("https://main.knesset.gov.il/APPS/legislation/main/bills/2082122", "הצעת חוק עבודת נשים (תיקון - הארכת תקופת לידה והורות להורי פג), התש""ף-2019")</f>
        <v>27959</v>
      </c>
      <c r="E14544" t="s">
        <v>27959</v>
      </c>
      <c r="F14544" t="s">
        <v>27960</v>
      </c>
      <c r="G14544" t="s">
        <v>14</v>
      </c>
      <c r="H14544">
             </c>
      <c r="I14544" t="s">
        <v>14</v>
      </c>
      <c r="J14544" t="s">
        <v>141</v>
      </c>
      <c r="K14544" t="s">
        <v>14</v>
      </c>
      <c r="L14544" t="s">
        <v>20</v>
      </c>
      <c r="M14544" t="s">
        <v>27614</v>
      </c>
      <c r="N14544" t="s">
        <v>14</v>
      </c>
    </row>
    <row r="14545" x14ac:dyDescent="0.25">
      <c r="A14545" t="n">
        <v>22</v>
      </c>
      <c r="B14545" t="s">
        <v>14</v>
      </c>
      <c r="C14545" t="s">
        <v>22</v>
      </c>
      <c r="D14545" s="2" t="s">
        <f>=HYPERLINK("https://main.knesset.gov.il/APPS/legislation/main/bills/2082916", "הצעת חוק הרבנות הראשית לישראל (תיקון - סמכות בענייני גיור), התש""ף-2019")</f>
        <v>27961</v>
      </c>
      <c r="E14545" t="s">
        <v>27961</v>
      </c>
      <c r="F14545" t="s">
        <v>27962</v>
      </c>
      <c r="G14545" t="s">
        <v>14</v>
      </c>
      <c r="H14545">
             </c>
      <c r="I14545" t="s">
        <v>14</v>
      </c>
      <c r="J14545" t="s">
        <v>141</v>
      </c>
      <c r="K14545" t="s">
        <v>14</v>
      </c>
      <c r="L14545" t="s">
        <v>20</v>
      </c>
      <c r="M14545" t="s">
        <v>27614</v>
      </c>
      <c r="N14545" t="s">
        <v>14</v>
      </c>
    </row>
    <row r="14546" x14ac:dyDescent="0.25">
      <c r="A14546" t="n">
        <v>22</v>
      </c>
      <c r="B14546" t="s">
        <v>14</v>
      </c>
      <c r="C14546" t="s">
        <v>22</v>
      </c>
      <c r="D14546" s="2" t="s">
        <f>=HYPERLINK("https://main.knesset.gov.il/APPS/legislation/main/bills/2083629", "הצעת חוק-יסוד: השוויון")</f>
        <v>11747</v>
      </c>
      <c r="E14546" t="s">
        <v>11747</v>
      </c>
      <c r="F14546" t="s">
        <v>27963</v>
      </c>
      <c r="G14546" t="s">
        <v>14</v>
      </c>
      <c r="H14546">
             </c>
      <c r="I14546" t="s">
        <v>14</v>
      </c>
      <c r="J14546" t="s">
        <v>141</v>
      </c>
      <c r="K14546" t="s">
        <v>14</v>
      </c>
      <c r="L14546" t="s">
        <v>20</v>
      </c>
      <c r="M14546" t="s">
        <v>27614</v>
      </c>
      <c r="N14546" t="s">
        <v>14</v>
      </c>
    </row>
    <row r="14547" x14ac:dyDescent="0.25">
      <c r="A14547" t="n">
        <v>22</v>
      </c>
      <c r="B14547" t="s">
        <v>14</v>
      </c>
      <c r="C14547" t="s">
        <v>22</v>
      </c>
      <c r="D14547" s="2" t="s">
        <f>=HYPERLINK("https://main.knesset.gov.il/APPS/legislation/main/bills/2082531", "הצעת חוק הגנת הצרכן (תיקון - מענה אנושי בשירות טלפוני לאזרח ותיק), התש""ף-2019")</f>
        <v>27964</v>
      </c>
      <c r="E14547" t="s">
        <v>27964</v>
      </c>
      <c r="F14547" t="s">
        <v>27965</v>
      </c>
      <c r="G14547" t="s">
        <v>14</v>
      </c>
      <c r="H14547">
             </c>
      <c r="I14547" t="s">
        <v>14</v>
      </c>
      <c r="J14547" t="s">
        <v>141</v>
      </c>
      <c r="K14547" t="s">
        <v>14</v>
      </c>
      <c r="L14547" t="s">
        <v>20</v>
      </c>
      <c r="M14547" t="s">
        <v>27614</v>
      </c>
      <c r="N14547" t="s">
        <v>14</v>
      </c>
    </row>
    <row r="14548" x14ac:dyDescent="0.25">
      <c r="A14548" t="n">
        <v>22</v>
      </c>
      <c r="B14548" t="s">
        <v>14</v>
      </c>
      <c r="C14548" t="s">
        <v>22</v>
      </c>
      <c r="D14548" s="2" t="s">
        <f>=HYPERLINK("https://main.knesset.gov.il/APPS/legislation/main/bills/2082581", "הצעת חוק זכויות התלמיד (תיקון - איסור התניית זכות הלימוד בתשלום), התש""ף-2019")</f>
        <v>27966</v>
      </c>
      <c r="E14548" t="s">
        <v>27966</v>
      </c>
      <c r="F14548" t="s">
        <v>27967</v>
      </c>
      <c r="G14548" t="s">
        <v>14</v>
      </c>
      <c r="H14548">
             </c>
      <c r="I14548" t="s">
        <v>14</v>
      </c>
      <c r="J14548" t="s">
        <v>141</v>
      </c>
      <c r="K14548" t="s">
        <v>14</v>
      </c>
      <c r="L14548" t="s">
        <v>20</v>
      </c>
      <c r="M14548" t="s">
        <v>27614</v>
      </c>
      <c r="N14548" t="s">
        <v>14</v>
      </c>
    </row>
    <row r="14549" x14ac:dyDescent="0.25">
      <c r="A14549" t="n">
        <v>22</v>
      </c>
      <c r="B14549" t="s">
        <v>14</v>
      </c>
      <c r="C14549" t="s">
        <v>22</v>
      </c>
      <c r="D14549" s="2" t="s">
        <f>=HYPERLINK("https://main.knesset.gov.il/APPS/legislation/main/bills/2083374", "הצעת חוק ביטוח בריאות ממלכתי (תיקון - מימון שירותי בריאות נוספים לאוכלוסיות מסוימות), התש""ף-2019")</f>
        <v>27968</v>
      </c>
      <c r="E14549" t="s">
        <v>27968</v>
      </c>
      <c r="F14549" t="s">
        <v>27969</v>
      </c>
      <c r="G14549" t="s">
        <v>14</v>
      </c>
      <c r="H14549">
             </c>
      <c r="I14549" t="s">
        <v>14</v>
      </c>
      <c r="J14549" t="s">
        <v>141</v>
      </c>
      <c r="K14549" t="s">
        <v>14</v>
      </c>
      <c r="L14549" t="s">
        <v>20</v>
      </c>
      <c r="M14549" t="s">
        <v>27614</v>
      </c>
      <c r="N14549" t="s">
        <v>14</v>
      </c>
    </row>
    <row r="14550" x14ac:dyDescent="0.25">
      <c r="A14550" t="n">
        <v>22</v>
      </c>
      <c r="B14550" t="s">
        <v>14</v>
      </c>
      <c r="C14550" t="s">
        <v>22</v>
      </c>
      <c r="D14550" s="2" t="s">
        <f>=HYPERLINK("https://main.knesset.gov.il/APPS/legislation/main/bills/2082616", "הצעת חוק שירותי הדת היהודיים (תיקון - הנחה ברכישת קבר זוגי), התש""ף-2019")</f>
        <v>27970</v>
      </c>
      <c r="E14550" t="s">
        <v>27970</v>
      </c>
      <c r="F14550" t="s">
        <v>27971</v>
      </c>
      <c r="G14550" t="s">
        <v>14</v>
      </c>
      <c r="H14550">
             </c>
      <c r="I14550" t="s">
        <v>14</v>
      </c>
      <c r="J14550" t="s">
        <v>141</v>
      </c>
      <c r="K14550" t="s">
        <v>14</v>
      </c>
      <c r="L14550" t="s">
        <v>20</v>
      </c>
      <c r="M14550" t="s">
        <v>27614</v>
      </c>
      <c r="N14550" t="s">
        <v>14</v>
      </c>
    </row>
    <row r="14551" x14ac:dyDescent="0.25">
      <c r="A14551" t="n">
        <v>22</v>
      </c>
      <c r="B14551" t="s">
        <v>14</v>
      </c>
      <c r="C14551" t="s">
        <v>22</v>
      </c>
      <c r="D14551" s="2" t="s">
        <f>=HYPERLINK("https://main.knesset.gov.il/APPS/legislation/main/bills/2082420", "הצעת חוק זכויות התלמיד (תיקון - הנחה בתחבורה ציבורית), התש""ף-2019")</f>
        <v>27972</v>
      </c>
      <c r="E14551" t="s">
        <v>27972</v>
      </c>
      <c r="F14551" t="s">
        <v>27973</v>
      </c>
      <c r="G14551" t="s">
        <v>14</v>
      </c>
      <c r="H14551">
             </c>
      <c r="I14551" t="s">
        <v>14</v>
      </c>
      <c r="J14551" t="s">
        <v>141</v>
      </c>
      <c r="K14551" t="s">
        <v>14</v>
      </c>
      <c r="L14551" t="s">
        <v>20</v>
      </c>
      <c r="M14551" t="s">
        <v>27614</v>
      </c>
      <c r="N14551" t="s">
        <v>14</v>
      </c>
    </row>
    <row r="14552" x14ac:dyDescent="0.25">
      <c r="A14552" t="n">
        <v>22</v>
      </c>
      <c r="B14552" t="s">
        <v>14</v>
      </c>
      <c r="C14552" t="s">
        <v>22</v>
      </c>
      <c r="D14552" s="2" t="s">
        <f>=HYPERLINK("https://main.knesset.gov.il/APPS/legislation/main/bills/2083096", "הצעת חוק להסדרת הפיקוח על כלבים (תיקון - מרכז רישום ארצי), התש""ף-2019")</f>
        <v>27974</v>
      </c>
      <c r="E14552" t="s">
        <v>27974</v>
      </c>
      <c r="F14552" t="s">
        <v>27975</v>
      </c>
      <c r="G14552" t="s">
        <v>14</v>
      </c>
      <c r="H14552">
             </c>
      <c r="I14552" t="s">
        <v>14</v>
      </c>
      <c r="J14552" t="s">
        <v>141</v>
      </c>
      <c r="K14552" t="s">
        <v>14</v>
      </c>
      <c r="L14552" t="s">
        <v>20</v>
      </c>
      <c r="M14552" t="s">
        <v>27614</v>
      </c>
      <c r="N14552" t="s">
        <v>14</v>
      </c>
    </row>
    <row r="14553" x14ac:dyDescent="0.25">
      <c r="A14553" t="n">
        <v>22</v>
      </c>
      <c r="B14553" t="s">
        <v>14</v>
      </c>
      <c r="C14553" t="s">
        <v>22</v>
      </c>
      <c r="D14553" s="2" t="s">
        <f>=HYPERLINK("https://main.knesset.gov.il/APPS/legislation/main/bills/2082937", "הצעת חוק ביטוח בריאות ממלכתי (תיקון - חיוב קופות החולים לשלב את רופאי השיניים בין נותני השירותים לקופות), התש""ף-2019")</f>
        <v>27976</v>
      </c>
      <c r="E14553" t="s">
        <v>27976</v>
      </c>
      <c r="F14553" t="s">
        <v>27977</v>
      </c>
      <c r="G14553" t="s">
        <v>14</v>
      </c>
      <c r="H14553">
             </c>
      <c r="I14553" t="s">
        <v>14</v>
      </c>
      <c r="J14553" t="s">
        <v>141</v>
      </c>
      <c r="K14553" t="s">
        <v>14</v>
      </c>
      <c r="L14553" t="s">
        <v>20</v>
      </c>
      <c r="M14553" t="s">
        <v>27614</v>
      </c>
      <c r="N14553" t="s">
        <v>14</v>
      </c>
    </row>
    <row r="14554" x14ac:dyDescent="0.25">
      <c r="A14554" t="n">
        <v>22</v>
      </c>
      <c r="B14554" t="s">
        <v>14</v>
      </c>
      <c r="C14554" t="s">
        <v>22</v>
      </c>
      <c r="D14554" s="2" t="s">
        <f>=HYPERLINK("https://main.knesset.gov.il/APPS/legislation/main/bills/2082939", "הצעת חוק יישוב סכסוכי עבודה (תיקון - שביתה בבתי ספר יסודיים וגני ילדים ללא אישור בית הדין לעבודה), התש""ף-2019")</f>
        <v>27978</v>
      </c>
      <c r="E14554" t="s">
        <v>27978</v>
      </c>
      <c r="F14554" t="s">
        <v>27979</v>
      </c>
      <c r="G14554" t="s">
        <v>14</v>
      </c>
      <c r="H14554">
             </c>
      <c r="I14554" t="s">
        <v>14</v>
      </c>
      <c r="J14554" t="s">
        <v>141</v>
      </c>
      <c r="K14554" t="s">
        <v>14</v>
      </c>
      <c r="L14554" t="s">
        <v>20</v>
      </c>
      <c r="M14554" t="s">
        <v>27614</v>
      </c>
      <c r="N14554" t="s">
        <v>14</v>
      </c>
    </row>
    <row r="14555" x14ac:dyDescent="0.25">
      <c r="A14555" t="n">
        <v>22</v>
      </c>
      <c r="B14555" t="s">
        <v>14</v>
      </c>
      <c r="C14555" t="s">
        <v>22</v>
      </c>
      <c r="D14555" s="2" t="s">
        <f>=HYPERLINK("https://main.knesset.gov.il/APPS/legislation/main/bills/2082262", "הצעת חוק חובת הודעה להורים על אי הגעת ילד למוסד חינוך או למעון יום (תיקוני חקיקה), התש""ף-2019")</f>
        <v>27980</v>
      </c>
      <c r="E14555" t="s">
        <v>27980</v>
      </c>
      <c r="F14555" t="s">
        <v>27981</v>
      </c>
      <c r="G14555" t="s">
        <v>14</v>
      </c>
      <c r="H14555">
             </c>
      <c r="I14555" t="s">
        <v>14</v>
      </c>
      <c r="J14555" t="s">
        <v>141</v>
      </c>
      <c r="K14555" t="s">
        <v>14</v>
      </c>
      <c r="L14555" t="s">
        <v>20</v>
      </c>
      <c r="M14555" t="s">
        <v>27614</v>
      </c>
      <c r="N14555" t="s">
        <v>14</v>
      </c>
    </row>
    <row r="14556" x14ac:dyDescent="0.25">
      <c r="A14556" t="n">
        <v>22</v>
      </c>
      <c r="B14556" t="s">
        <v>14</v>
      </c>
      <c r="C14556" t="s">
        <v>22</v>
      </c>
      <c r="D14556" s="2" t="s">
        <f>=HYPERLINK("https://main.knesset.gov.il/APPS/legislation/main/bills/2082527", "הצעת חוק הגנת הצרכן (תיקון - הקלטת שיחות, שמירתן ומסירתן לצרכן), התש""ף-2019")</f>
        <v>27982</v>
      </c>
      <c r="E14556" t="s">
        <v>27982</v>
      </c>
      <c r="F14556" t="s">
        <v>27983</v>
      </c>
      <c r="G14556" t="s">
        <v>14</v>
      </c>
      <c r="H14556">
             </c>
      <c r="I14556" t="s">
        <v>14</v>
      </c>
      <c r="J14556" t="s">
        <v>141</v>
      </c>
      <c r="K14556" t="s">
        <v>14</v>
      </c>
      <c r="L14556" t="s">
        <v>20</v>
      </c>
      <c r="M14556" t="s">
        <v>27614</v>
      </c>
      <c r="N14556" t="s">
        <v>14</v>
      </c>
    </row>
    <row r="14557" x14ac:dyDescent="0.25">
      <c r="A14557" t="n">
        <v>22</v>
      </c>
      <c r="B14557" t="s">
        <v>14</v>
      </c>
      <c r="C14557" t="s">
        <v>22</v>
      </c>
      <c r="D14557" s="2" t="s">
        <f>=HYPERLINK("https://main.knesset.gov.il/APPS/legislation/main/bills/2082718", "הצעת חוק שימוש חוזר במים אפורים, התש""ף-2019")</f>
        <v>27984</v>
      </c>
      <c r="E14557" t="s">
        <v>27984</v>
      </c>
      <c r="F14557" t="s">
        <v>27985</v>
      </c>
      <c r="G14557" t="s">
        <v>14</v>
      </c>
      <c r="H14557">
             </c>
      <c r="I14557" t="s">
        <v>14</v>
      </c>
      <c r="J14557" t="s">
        <v>141</v>
      </c>
      <c r="K14557" t="s">
        <v>14</v>
      </c>
      <c r="L14557" t="s">
        <v>20</v>
      </c>
      <c r="M14557" t="s">
        <v>27614</v>
      </c>
      <c r="N14557" t="s">
        <v>14</v>
      </c>
    </row>
    <row r="14558" x14ac:dyDescent="0.25">
      <c r="A14558" t="n">
        <v>22</v>
      </c>
      <c r="B14558" t="s">
        <v>14</v>
      </c>
      <c r="C14558" t="s">
        <v>22</v>
      </c>
      <c r="D14558" s="2" t="s">
        <f>=HYPERLINK("https://main.knesset.gov.il/APPS/legislation/main/bills/2083085", "הצעת חוק-יסוד: הממשלה (תיקון - הגבלת תקופת כהונה של ראש הממשלה)")</f>
        <v>12182</v>
      </c>
      <c r="E14558" t="s">
        <v>12182</v>
      </c>
      <c r="F14558" t="s">
        <v>27986</v>
      </c>
      <c r="G14558" t="s">
        <v>14</v>
      </c>
      <c r="H14558">
             </c>
      <c r="I14558" t="s">
        <v>14</v>
      </c>
      <c r="J14558" t="s">
        <v>141</v>
      </c>
      <c r="K14558" t="s">
        <v>14</v>
      </c>
      <c r="L14558" t="s">
        <v>20</v>
      </c>
      <c r="M14558" t="s">
        <v>27614</v>
      </c>
      <c r="N14558" t="s">
        <v>14</v>
      </c>
    </row>
    <row r="14559" x14ac:dyDescent="0.25">
      <c r="A14559" t="n">
        <v>22</v>
      </c>
      <c r="B14559" t="s">
        <v>14</v>
      </c>
      <c r="C14559" t="s">
        <v>22</v>
      </c>
      <c r="D14559" s="2" t="s">
        <f>=HYPERLINK("https://main.knesset.gov.il/APPS/legislation/main/bills/2082355", "הצעת חוק הגנת הצרכן (תיקון - איסור התניית עסקה באופן תשלום), התש""ף-2019")</f>
        <v>27987</v>
      </c>
      <c r="E14559" t="s">
        <v>27987</v>
      </c>
      <c r="F14559" t="s">
        <v>27988</v>
      </c>
      <c r="G14559" t="s">
        <v>14</v>
      </c>
      <c r="H14559">
             </c>
      <c r="I14559" t="s">
        <v>14</v>
      </c>
      <c r="J14559" t="s">
        <v>141</v>
      </c>
      <c r="K14559" t="s">
        <v>14</v>
      </c>
      <c r="L14559" t="s">
        <v>20</v>
      </c>
      <c r="M14559" t="s">
        <v>27614</v>
      </c>
      <c r="N14559" t="s">
        <v>14</v>
      </c>
    </row>
    <row r="14560" x14ac:dyDescent="0.25">
      <c r="A14560" t="n">
        <v>22</v>
      </c>
      <c r="B14560" t="s">
        <v>14</v>
      </c>
      <c r="C14560" t="s">
        <v>22</v>
      </c>
      <c r="D14560" s="2" t="s">
        <f>=HYPERLINK("https://main.knesset.gov.il/APPS/legislation/main/bills/2083534", "הצעת חוק יסודות התקציב (תיקון - הקצאת תקציבים ליישובים הדרוזים והצ'רקסים) (הוראת שעה), התש""ף-2019")</f>
        <v>27989</v>
      </c>
      <c r="E14560" t="s">
        <v>27989</v>
      </c>
      <c r="F14560" t="s">
        <v>27990</v>
      </c>
      <c r="G14560" t="s">
        <v>14</v>
      </c>
      <c r="H14560">
             </c>
      <c r="I14560" t="s">
        <v>14</v>
      </c>
      <c r="J14560" t="s">
        <v>141</v>
      </c>
      <c r="K14560" t="s">
        <v>14</v>
      </c>
      <c r="L14560" t="s">
        <v>20</v>
      </c>
      <c r="M14560" t="s">
        <v>27614</v>
      </c>
      <c r="N14560" t="s">
        <v>14</v>
      </c>
    </row>
    <row r="14561" x14ac:dyDescent="0.25">
      <c r="A14561" t="n">
        <v>22</v>
      </c>
      <c r="B14561" t="s">
        <v>14</v>
      </c>
      <c r="C14561" t="s">
        <v>22</v>
      </c>
      <c r="D14561" s="2" t="s">
        <f>=HYPERLINK("https://main.knesset.gov.il/APPS/legislation/main/bills/2083104", "הצעת חוק להגדלת היצע הדירות לדיור בר השגה ולדיור ציבורי (עסקת קומבינציה), התש""ף-2019")</f>
        <v>27991</v>
      </c>
      <c r="E14561" t="s">
        <v>27991</v>
      </c>
      <c r="F14561" t="s">
        <v>27992</v>
      </c>
      <c r="G14561" t="s">
        <v>14</v>
      </c>
      <c r="H14561">
             </c>
      <c r="I14561" t="s">
        <v>14</v>
      </c>
      <c r="J14561" t="s">
        <v>141</v>
      </c>
      <c r="K14561" t="s">
        <v>14</v>
      </c>
      <c r="L14561" t="s">
        <v>20</v>
      </c>
      <c r="M14561" t="s">
        <v>27614</v>
      </c>
      <c r="N14561" t="s">
        <v>14</v>
      </c>
    </row>
    <row r="14562" x14ac:dyDescent="0.25">
      <c r="A14562" t="n">
        <v>22</v>
      </c>
      <c r="B14562" t="s">
        <v>14</v>
      </c>
      <c r="C14562" t="s">
        <v>22</v>
      </c>
      <c r="D14562" s="2" t="s">
        <f>=HYPERLINK("https://main.knesset.gov.il/APPS/legislation/main/bills/2082944", "הצעת חוק הביטוח הלאומי (תיקון - תגמולים למתנדב בצוות חירום יישובי או שכונתי), התש""ף-2019")</f>
        <v>27993</v>
      </c>
      <c r="E14562" t="s">
        <v>27993</v>
      </c>
      <c r="F14562" t="s">
        <v>27994</v>
      </c>
      <c r="G14562" t="s">
        <v>14</v>
      </c>
      <c r="H14562">
             </c>
      <c r="I14562" t="s">
        <v>14</v>
      </c>
      <c r="J14562" t="s">
        <v>141</v>
      </c>
      <c r="K14562" t="s">
        <v>14</v>
      </c>
      <c r="L14562" t="s">
        <v>20</v>
      </c>
      <c r="M14562" t="s">
        <v>27614</v>
      </c>
      <c r="N14562" t="s">
        <v>14</v>
      </c>
    </row>
    <row r="14563" x14ac:dyDescent="0.25">
      <c r="A14563" t="n">
        <v>22</v>
      </c>
      <c r="B14563" t="s">
        <v>14</v>
      </c>
      <c r="C14563" t="s">
        <v>22</v>
      </c>
      <c r="D14563" s="2" t="s">
        <f>=HYPERLINK("https://main.knesset.gov.il/APPS/legislation/main/bills/2082731", "הצעת חוק שירות הציבור (הגבלות לאחר פרישה) (תיקון - תקופת צינון לנושאי משרה בכירה בשירות הציבור), התש""ף-2019")</f>
        <v>27995</v>
      </c>
      <c r="E14563" t="s">
        <v>27995</v>
      </c>
      <c r="F14563" t="s">
        <v>27996</v>
      </c>
      <c r="G14563" t="s">
        <v>14</v>
      </c>
      <c r="H14563">
             </c>
      <c r="I14563" t="s">
        <v>14</v>
      </c>
      <c r="J14563" t="s">
        <v>141</v>
      </c>
      <c r="K14563" t="s">
        <v>14</v>
      </c>
      <c r="L14563" t="s">
        <v>20</v>
      </c>
      <c r="M14563" t="s">
        <v>27614</v>
      </c>
      <c r="N14563" t="s">
        <v>14</v>
      </c>
    </row>
    <row r="14564" x14ac:dyDescent="0.25">
      <c r="A14564" t="n">
        <v>22</v>
      </c>
      <c r="B14564" t="s">
        <v>14</v>
      </c>
      <c r="C14564" t="s">
        <v>22</v>
      </c>
      <c r="D14564" s="2" t="s">
        <f>=HYPERLINK("https://main.knesset.gov.il/APPS/legislation/main/bills/2083602", "הצעת חוק הפסיכולוגים (תיקון - איסור טיפולי המרה), התש""ף-2019")</f>
        <v>27997</v>
      </c>
      <c r="E14564" t="s">
        <v>27997</v>
      </c>
      <c r="F14564" t="s">
        <v>27998</v>
      </c>
      <c r="G14564" t="s">
        <v>14</v>
      </c>
      <c r="H14564">
             </c>
      <c r="I14564" t="s">
        <v>14</v>
      </c>
      <c r="J14564" t="s">
        <v>141</v>
      </c>
      <c r="K14564" t="s">
        <v>14</v>
      </c>
      <c r="L14564" t="s">
        <v>20</v>
      </c>
      <c r="M14564" t="s">
        <v>27614</v>
      </c>
      <c r="N14564" t="s">
        <v>14</v>
      </c>
    </row>
    <row r="14565" x14ac:dyDescent="0.25">
      <c r="A14565" t="n">
        <v>22</v>
      </c>
      <c r="B14565" t="s">
        <v>14</v>
      </c>
      <c r="C14565" t="s">
        <v>22</v>
      </c>
      <c r="D14565" s="2" t="s">
        <f>=HYPERLINK("https://main.knesset.gov.il/APPS/legislation/main/bills/2083290", "הצעת חוק הפסיכולוגים (תיקון - איסור טיפולי המרה), התש""ף-2019")</f>
        <v>27997</v>
      </c>
      <c r="E14565" t="s">
        <v>27997</v>
      </c>
      <c r="F14565" t="s">
        <v>27999</v>
      </c>
      <c r="G14565" t="s">
        <v>14</v>
      </c>
      <c r="H14565">
             </c>
      <c r="I14565" t="s">
        <v>14</v>
      </c>
      <c r="J14565" t="s">
        <v>141</v>
      </c>
      <c r="K14565" t="s">
        <v>14</v>
      </c>
      <c r="L14565" t="s">
        <v>20</v>
      </c>
      <c r="M14565" t="s">
        <v>27614</v>
      </c>
      <c r="N14565" t="s">
        <v>14</v>
      </c>
    </row>
    <row r="14566" x14ac:dyDescent="0.25">
      <c r="A14566" t="n">
        <v>22</v>
      </c>
      <c r="B14566" t="s">
        <v>14</v>
      </c>
      <c r="C14566" t="s">
        <v>22</v>
      </c>
      <c r="D14566" s="2" t="s">
        <f>=HYPERLINK("https://main.knesset.gov.il/APPS/legislation/main/bills/2083094", "הצעת חוק ההוצאה לפועל (תיקון - הודעה לחייב בטרם הגשת בקשה לביצוע משכנתה), התש""ף-2019")</f>
        <v>28000</v>
      </c>
      <c r="E14566" t="s">
        <v>28000</v>
      </c>
      <c r="F14566" t="s">
        <v>28001</v>
      </c>
      <c r="G14566" t="s">
        <v>14</v>
      </c>
      <c r="H14566">
             </c>
      <c r="I14566" t="s">
        <v>14</v>
      </c>
      <c r="J14566" t="s">
        <v>141</v>
      </c>
      <c r="K14566" t="s">
        <v>14</v>
      </c>
      <c r="L14566" t="s">
        <v>20</v>
      </c>
      <c r="M14566" t="s">
        <v>27614</v>
      </c>
      <c r="N14566" t="s">
        <v>14</v>
      </c>
    </row>
    <row r="14567" x14ac:dyDescent="0.25">
      <c r="A14567" t="n">
        <v>22</v>
      </c>
      <c r="B14567" t="s">
        <v>14</v>
      </c>
      <c r="C14567" t="s">
        <v>22</v>
      </c>
      <c r="D14567" s="2" t="s">
        <f>=HYPERLINK("https://main.knesset.gov.il/APPS/legislation/main/bills/2082263", "הצעת חוק הקמת מערכת סולארית בבית משותף שהוקם במסגרת עסקת פינוי ובינוי, התש""ף-2019")</f>
        <v>28002</v>
      </c>
      <c r="E14567" t="s">
        <v>28002</v>
      </c>
      <c r="F14567" t="s">
        <v>28003</v>
      </c>
      <c r="G14567" t="s">
        <v>14</v>
      </c>
      <c r="H14567">
             </c>
      <c r="I14567" t="s">
        <v>14</v>
      </c>
      <c r="J14567" t="s">
        <v>141</v>
      </c>
      <c r="K14567" t="s">
        <v>14</v>
      </c>
      <c r="L14567" t="s">
        <v>20</v>
      </c>
      <c r="M14567" t="s">
        <v>27614</v>
      </c>
      <c r="N14567" t="s">
        <v>14</v>
      </c>
    </row>
    <row r="14568" x14ac:dyDescent="0.25">
      <c r="A14568" t="n">
        <v>22</v>
      </c>
      <c r="B14568" t="s">
        <v>14</v>
      </c>
      <c r="C14568" t="s">
        <v>22</v>
      </c>
      <c r="D14568" s="2" t="s">
        <f>=HYPERLINK("https://main.knesset.gov.il/APPS/legislation/main/bills/2082408", "הצעת חוק פיקוח על מחירי מצרכים ושירותים (תיקון - קביעת ההפרש בין מחיר מצרך לצרכן ומחיר מצרך לקמעונאי כרווח מרבי), התש""ף-2019")</f>
        <v>28004</v>
      </c>
      <c r="E14568" t="s">
        <v>28004</v>
      </c>
      <c r="F14568" t="s">
        <v>28005</v>
      </c>
      <c r="G14568" t="s">
        <v>14</v>
      </c>
      <c r="H14568">
             </c>
      <c r="I14568" t="s">
        <v>14</v>
      </c>
      <c r="J14568" t="s">
        <v>141</v>
      </c>
      <c r="K14568" t="s">
        <v>14</v>
      </c>
      <c r="L14568" t="s">
        <v>20</v>
      </c>
      <c r="M14568" t="s">
        <v>27614</v>
      </c>
      <c r="N14568" t="s">
        <v>14</v>
      </c>
    </row>
    <row r="14569" x14ac:dyDescent="0.25">
      <c r="A14569" t="n">
        <v>22</v>
      </c>
      <c r="B14569" t="s">
        <v>14</v>
      </c>
      <c r="C14569" t="s">
        <v>22</v>
      </c>
      <c r="D14569" s="2" t="s">
        <f>=HYPERLINK("https://main.knesset.gov.il/APPS/legislation/main/bills/2082304", "הצעת חוק הבטחת הכנסה (תיקון - החרגת תוספת ותק מהכנסה), התש""ף-2019")</f>
        <v>28006</v>
      </c>
      <c r="E14569" t="s">
        <v>28006</v>
      </c>
      <c r="F14569" t="s">
        <v>28007</v>
      </c>
      <c r="G14569" t="s">
        <v>14</v>
      </c>
      <c r="H14569">
             </c>
      <c r="I14569" t="s">
        <v>14</v>
      </c>
      <c r="J14569" t="s">
        <v>141</v>
      </c>
      <c r="K14569" t="s">
        <v>14</v>
      </c>
      <c r="L14569" t="s">
        <v>20</v>
      </c>
      <c r="M14569" t="s">
        <v>27614</v>
      </c>
      <c r="N14569" t="s">
        <v>14</v>
      </c>
    </row>
    <row r="14570" x14ac:dyDescent="0.25">
      <c r="A14570" t="n">
        <v>22</v>
      </c>
      <c r="B14570" t="s">
        <v>14</v>
      </c>
      <c r="C14570" t="s">
        <v>22</v>
      </c>
      <c r="D14570" s="2" t="s">
        <f>=HYPERLINK("https://main.knesset.gov.il/APPS/legislation/main/bills/2083034", "הצעת חוק סביבה בטוחה ונקייה מאלרגנים במוסדות חינוך (תיקוני חקיקה), התש""ף-2019")</f>
        <v>28008</v>
      </c>
      <c r="E14570" t="s">
        <v>28008</v>
      </c>
      <c r="F14570" t="s">
        <v>28009</v>
      </c>
      <c r="G14570" t="s">
        <v>14</v>
      </c>
      <c r="H14570">
             </c>
      <c r="I14570" t="s">
        <v>14</v>
      </c>
      <c r="J14570" t="s">
        <v>141</v>
      </c>
      <c r="K14570" t="s">
        <v>14</v>
      </c>
      <c r="L14570" t="s">
        <v>20</v>
      </c>
      <c r="M14570" t="s">
        <v>27614</v>
      </c>
      <c r="N14570" t="s">
        <v>14</v>
      </c>
    </row>
    <row r="14571" x14ac:dyDescent="0.25">
      <c r="A14571" t="n">
        <v>22</v>
      </c>
      <c r="B14571" t="s">
        <v>14</v>
      </c>
      <c r="C14571" t="s">
        <v>22</v>
      </c>
      <c r="D14571" s="2" t="s">
        <f>=HYPERLINK("https://main.knesset.gov.il/APPS/legislation/main/bills/2082803", "הצעת חוק הבנקאות (שירות ללקוח) (תיקון - ריבית על יתרת זכות), התש""ף-2019")</f>
        <v>28010</v>
      </c>
      <c r="E14571" t="s">
        <v>28010</v>
      </c>
      <c r="F14571" t="s">
        <v>28011</v>
      </c>
      <c r="G14571" t="s">
        <v>14</v>
      </c>
      <c r="H14571">
             </c>
      <c r="I14571" t="s">
        <v>14</v>
      </c>
      <c r="J14571" t="s">
        <v>141</v>
      </c>
      <c r="K14571" t="s">
        <v>14</v>
      </c>
      <c r="L14571" t="s">
        <v>20</v>
      </c>
      <c r="M14571" t="s">
        <v>27614</v>
      </c>
      <c r="N14571" t="s">
        <v>14</v>
      </c>
    </row>
    <row r="14572" x14ac:dyDescent="0.25">
      <c r="A14572" t="n">
        <v>22</v>
      </c>
      <c r="B14572" t="s">
        <v>14</v>
      </c>
      <c r="C14572" t="s">
        <v>22</v>
      </c>
      <c r="D14572" s="2" t="s">
        <f>=HYPERLINK("https://main.knesset.gov.il/APPS/legislation/main/bills/2082371", "הצעת חוק הנגשת מוקדי פניות חירום באמצעות שיחוח ומסרון, התש""ף-2019")</f>
        <v>28012</v>
      </c>
      <c r="E14572" t="s">
        <v>28012</v>
      </c>
      <c r="F14572" t="s">
        <v>28013</v>
      </c>
      <c r="G14572" t="s">
        <v>14</v>
      </c>
      <c r="H14572">
             </c>
      <c r="I14572" t="s">
        <v>14</v>
      </c>
      <c r="J14572" t="s">
        <v>141</v>
      </c>
      <c r="K14572" t="s">
        <v>14</v>
      </c>
      <c r="L14572" t="s">
        <v>20</v>
      </c>
      <c r="M14572" t="s">
        <v>27614</v>
      </c>
      <c r="N14572" t="s">
        <v>14</v>
      </c>
    </row>
    <row r="14573" x14ac:dyDescent="0.25">
      <c r="A14573" t="n">
        <v>22</v>
      </c>
      <c r="B14573" t="s">
        <v>14</v>
      </c>
      <c r="C14573" t="s">
        <v>22</v>
      </c>
      <c r="D14573" s="2" t="s">
        <f>=HYPERLINK("https://main.knesset.gov.il/APPS/legislation/main/bills/2082182", "הצעת חוק החברות (תיקון - עסק חברתי), התש""ף-2019")</f>
        <v>28014</v>
      </c>
      <c r="E14573" t="s">
        <v>28014</v>
      </c>
      <c r="F14573" t="s">
        <v>28015</v>
      </c>
      <c r="G14573" t="s">
        <v>14</v>
      </c>
      <c r="H14573">
             </c>
      <c r="I14573" t="s">
        <v>14</v>
      </c>
      <c r="J14573" t="s">
        <v>141</v>
      </c>
      <c r="K14573" t="s">
        <v>14</v>
      </c>
      <c r="L14573" t="s">
        <v>20</v>
      </c>
      <c r="M14573" t="s">
        <v>27614</v>
      </c>
      <c r="N14573" t="s">
        <v>14</v>
      </c>
    </row>
    <row r="14574" x14ac:dyDescent="0.25">
      <c r="A14574" t="n">
        <v>22</v>
      </c>
      <c r="B14574" t="s">
        <v>14</v>
      </c>
      <c r="C14574" t="s">
        <v>22</v>
      </c>
      <c r="D14574" s="2" t="s">
        <f>=HYPERLINK("https://main.knesset.gov.il/APPS/legislation/main/bills/2082445", "הצעת חוק הכנסת (תיקון - כינוס הכנסת בתקופת הפגרה), התש""ף-2019")</f>
        <v>25891</v>
      </c>
      <c r="E14574" t="s">
        <v>25891</v>
      </c>
      <c r="F14574" t="s">
        <v>28016</v>
      </c>
      <c r="G14574" t="s">
        <v>14</v>
      </c>
      <c r="H14574">
             </c>
      <c r="I14574" t="s">
        <v>14</v>
      </c>
      <c r="J14574" t="s">
        <v>141</v>
      </c>
      <c r="K14574" t="s">
        <v>14</v>
      </c>
      <c r="L14574" t="s">
        <v>20</v>
      </c>
      <c r="M14574" t="s">
        <v>27614</v>
      </c>
      <c r="N14574" t="s">
        <v>14</v>
      </c>
    </row>
    <row r="14575" x14ac:dyDescent="0.25">
      <c r="A14575" t="n">
        <v>22</v>
      </c>
      <c r="B14575" t="s">
        <v>14</v>
      </c>
      <c r="C14575" t="s">
        <v>22</v>
      </c>
      <c r="D14575" s="2" t="s">
        <f>=HYPERLINK("https://main.knesset.gov.il/APPS/legislation/main/bills/2081742", "הצעת חוק לתיקון פקודת בריאות העם (סמכות לקביעת כללים למתן רישיון למכשירים רפואיים מיוחדים) (הוראת שעה), התש""ף-2019")</f>
        <v>28017</v>
      </c>
      <c r="E14575" t="s">
        <v>28017</v>
      </c>
      <c r="F14575" t="s">
        <v>28018</v>
      </c>
      <c r="G14575" t="s">
        <v>14</v>
      </c>
      <c r="H14575">
             </c>
      <c r="I14575" t="s">
        <v>14</v>
      </c>
      <c r="J14575" t="s">
        <v>141</v>
      </c>
      <c r="K14575" t="s">
        <v>14</v>
      </c>
      <c r="L14575" t="s">
        <v>20</v>
      </c>
      <c r="M14575" t="s">
        <v>27614</v>
      </c>
      <c r="N14575" t="s">
        <v>14</v>
      </c>
    </row>
    <row r="14576" x14ac:dyDescent="0.25">
      <c r="A14576" t="n">
        <v>22</v>
      </c>
      <c r="B14576" t="s">
        <v>14</v>
      </c>
      <c r="C14576" t="s">
        <v>22</v>
      </c>
      <c r="D14576" s="2" t="s">
        <f>=HYPERLINK("https://main.knesset.gov.il/APPS/legislation/main/bills/2083369", "הצעת חוק הדיור הציבורי (פתרונות דיור עבור ממתינים לדיור ציבורי), התש""ף-2019")</f>
        <v>28019</v>
      </c>
      <c r="E14576" t="s">
        <v>28019</v>
      </c>
      <c r="F14576" t="s">
        <v>28020</v>
      </c>
      <c r="G14576" t="s">
        <v>14</v>
      </c>
      <c r="H14576">
             </c>
      <c r="I14576" t="s">
        <v>14</v>
      </c>
      <c r="J14576" t="s">
        <v>141</v>
      </c>
      <c r="K14576" t="s">
        <v>14</v>
      </c>
      <c r="L14576" t="s">
        <v>20</v>
      </c>
      <c r="M14576" t="s">
        <v>27614</v>
      </c>
      <c r="N14576" t="s">
        <v>14</v>
      </c>
    </row>
    <row r="14577" x14ac:dyDescent="0.25">
      <c r="A14577" t="n">
        <v>22</v>
      </c>
      <c r="B14577" t="s">
        <v>14</v>
      </c>
      <c r="C14577" t="s">
        <v>22</v>
      </c>
      <c r="D14577" s="2" t="s">
        <f>=HYPERLINK("https://main.knesset.gov.il/APPS/legislation/main/bills/2081434", "הצעת חוק כרטיסי חיוב (תיקון - ביטול חיוב באשראי בשל עסקה עם ספק מפר), התש""ף-2019")</f>
        <v>28021</v>
      </c>
      <c r="E14577" t="s">
        <v>28021</v>
      </c>
      <c r="F14577" t="s">
        <v>28022</v>
      </c>
      <c r="G14577" t="s">
        <v>14</v>
      </c>
      <c r="H14577">
             </c>
      <c r="I14577" t="s">
        <v>14</v>
      </c>
      <c r="J14577" t="s">
        <v>141</v>
      </c>
      <c r="K14577" t="s">
        <v>14</v>
      </c>
      <c r="L14577" t="s">
        <v>20</v>
      </c>
      <c r="M14577" t="s">
        <v>27614</v>
      </c>
      <c r="N14577" t="s">
        <v>14</v>
      </c>
    </row>
    <row r="14578" x14ac:dyDescent="0.25">
      <c r="A14578" t="n">
        <v>22</v>
      </c>
      <c r="B14578" t="s">
        <v>14</v>
      </c>
      <c r="C14578" t="s">
        <v>22</v>
      </c>
      <c r="D14578" s="2" t="s">
        <f>=HYPERLINK("https://main.knesset.gov.il/APPS/legislation/main/bills/2082925", "הצעת חוק שעות עבודה ומנוחה (תיקון - עסקים בתחום ההסעדה והבילוי), התש""ף-2019")</f>
        <v>28023</v>
      </c>
      <c r="E14578" t="s">
        <v>28023</v>
      </c>
      <c r="F14578" t="s">
        <v>28024</v>
      </c>
      <c r="G14578" t="s">
        <v>14</v>
      </c>
      <c r="H14578">
             </c>
      <c r="I14578" t="s">
        <v>14</v>
      </c>
      <c r="J14578" t="s">
        <v>141</v>
      </c>
      <c r="K14578" t="s">
        <v>14</v>
      </c>
      <c r="L14578" t="s">
        <v>20</v>
      </c>
      <c r="M14578" t="s">
        <v>27614</v>
      </c>
      <c r="N14578" t="s">
        <v>14</v>
      </c>
    </row>
    <row r="14579" x14ac:dyDescent="0.25">
      <c r="A14579" t="n">
        <v>22</v>
      </c>
      <c r="B14579" t="s">
        <v>14</v>
      </c>
      <c r="C14579" t="s">
        <v>22</v>
      </c>
      <c r="D14579" s="2" t="s">
        <f>=HYPERLINK("https://main.knesset.gov.il/APPS/legislation/main/bills/2082997", "הצעת חוק-יסוד: הממשלה (תיקון - הגבלות על כהונת שר ביותר ממשרד אחד)")</f>
        <v>806</v>
      </c>
      <c r="E14579" t="s">
        <v>806</v>
      </c>
      <c r="F14579" t="s">
        <v>28025</v>
      </c>
      <c r="G14579" t="s">
        <v>14</v>
      </c>
      <c r="H14579">
             </c>
      <c r="I14579" t="s">
        <v>14</v>
      </c>
      <c r="J14579" t="s">
        <v>141</v>
      </c>
      <c r="K14579" t="s">
        <v>14</v>
      </c>
      <c r="L14579" t="s">
        <v>20</v>
      </c>
      <c r="M14579" t="s">
        <v>27614</v>
      </c>
      <c r="N14579" t="s">
        <v>14</v>
      </c>
    </row>
    <row r="14580" x14ac:dyDescent="0.25">
      <c r="A14580" t="n">
        <v>22</v>
      </c>
      <c r="B14580" t="s">
        <v>14</v>
      </c>
      <c r="C14580" t="s">
        <v>22</v>
      </c>
      <c r="D14580" s="2" t="s">
        <f>=HYPERLINK("https://main.knesset.gov.il/APPS/legislation/main/bills/2082417", "הצעת חוק מדד לזכות לקיום אנושי בכבוד, התש""ף-2019")</f>
        <v>28026</v>
      </c>
      <c r="E14580" t="s">
        <v>28026</v>
      </c>
      <c r="F14580" t="s">
        <v>28027</v>
      </c>
      <c r="G14580" t="s">
        <v>14</v>
      </c>
      <c r="H14580">
             </c>
      <c r="I14580" t="s">
        <v>14</v>
      </c>
      <c r="J14580" t="s">
        <v>141</v>
      </c>
      <c r="K14580" t="s">
        <v>14</v>
      </c>
      <c r="L14580" t="s">
        <v>20</v>
      </c>
      <c r="M14580" t="s">
        <v>27614</v>
      </c>
      <c r="N14580" t="s">
        <v>14</v>
      </c>
    </row>
    <row r="14581" x14ac:dyDescent="0.25">
      <c r="A14581" t="n">
        <v>22</v>
      </c>
      <c r="B14581" t="s">
        <v>14</v>
      </c>
      <c r="C14581" t="s">
        <v>22</v>
      </c>
      <c r="D14581" s="2" t="s">
        <f>=HYPERLINK("https://main.knesset.gov.il/APPS/legislation/main/bills/2083556", "הצעת חוק-יסוד: הכנסת (תיקון - ביטול ההגבלה על חבר כנסת בעל אזרחות כפולה)")</f>
        <v>28028</v>
      </c>
      <c r="E14581" t="s">
        <v>28028</v>
      </c>
      <c r="F14581" t="s">
        <v>28029</v>
      </c>
      <c r="G14581" t="s">
        <v>14</v>
      </c>
      <c r="H14581">
             </c>
      <c r="I14581" t="s">
        <v>14</v>
      </c>
      <c r="J14581" t="s">
        <v>141</v>
      </c>
      <c r="K14581" t="s">
        <v>14</v>
      </c>
      <c r="L14581" t="s">
        <v>20</v>
      </c>
      <c r="M14581" t="s">
        <v>27614</v>
      </c>
      <c r="N14581" t="s">
        <v>14</v>
      </c>
    </row>
    <row r="14582" x14ac:dyDescent="0.25">
      <c r="A14582" t="n">
        <v>22</v>
      </c>
      <c r="B14582" t="s">
        <v>14</v>
      </c>
      <c r="C14582" t="s">
        <v>22</v>
      </c>
      <c r="D14582" s="2" t="s">
        <f>=HYPERLINK("https://main.knesset.gov.il/APPS/legislation/main/bills/2082444", "הצעת חוק הביטוח הלאומי (תיקון - הגדלת קצבת הנכות), התש""ף-2019")</f>
        <v>28030</v>
      </c>
      <c r="E14582" t="s">
        <v>28030</v>
      </c>
      <c r="F14582" t="s">
        <v>28031</v>
      </c>
      <c r="G14582" t="s">
        <v>14</v>
      </c>
      <c r="H14582">
             </c>
      <c r="I14582" t="s">
        <v>14</v>
      </c>
      <c r="J14582" t="s">
        <v>141</v>
      </c>
      <c r="K14582" t="s">
        <v>14</v>
      </c>
      <c r="L14582" t="s">
        <v>20</v>
      </c>
      <c r="M14582" t="s">
        <v>27614</v>
      </c>
      <c r="N14582" t="s">
        <v>14</v>
      </c>
    </row>
    <row r="14583" x14ac:dyDescent="0.25">
      <c r="A14583" t="n">
        <v>22</v>
      </c>
      <c r="B14583" t="s">
        <v>14</v>
      </c>
      <c r="C14583" t="s">
        <v>22</v>
      </c>
      <c r="D14583" s="2" t="s">
        <f>=HYPERLINK("https://main.knesset.gov.il/APPS/legislation/main/bills/2084032", "הצעת חוק-יסוד: הממשלה (תיקון - בחירה ישירה לראש הממשלה וחלוקת מנדטים לסיעות הקואליציה)")</f>
        <v>14184</v>
      </c>
      <c r="E14583" t="s">
        <v>14184</v>
      </c>
      <c r="F14583" t="s">
        <v>28032</v>
      </c>
      <c r="G14583" t="s">
        <v>14</v>
      </c>
      <c r="H14583">
             </c>
      <c r="I14583" t="s">
        <v>14</v>
      </c>
      <c r="J14583" t="s">
        <v>141</v>
      </c>
      <c r="K14583" t="s">
        <v>14</v>
      </c>
      <c r="L14583" t="s">
        <v>20</v>
      </c>
      <c r="M14583" t="s">
        <v>28033</v>
      </c>
      <c r="N14583" t="s">
        <v>14</v>
      </c>
    </row>
    <row r="14584" x14ac:dyDescent="0.25">
      <c r="A14584" t="n">
        <v>22</v>
      </c>
      <c r="B14584" t="s">
        <v>14</v>
      </c>
      <c r="C14584" t="s">
        <v>22</v>
      </c>
      <c r="D14584" s="2" t="s">
        <f>=HYPERLINK("https://main.knesset.gov.il/APPS/legislation/main/bills/2081506", "הצעת חוק למניעת אלימות כלכלית בין בני זוג ובני משפחה, התש""ף-2019")</f>
        <v>27711</v>
      </c>
      <c r="E14584" t="s">
        <v>27711</v>
      </c>
      <c r="F14584" t="s">
        <v>28034</v>
      </c>
      <c r="G14584" t="s">
        <v>14</v>
      </c>
      <c r="H14584">
             </c>
      <c r="I14584" t="s">
        <v>14</v>
      </c>
      <c r="J14584" t="s">
        <v>141</v>
      </c>
      <c r="K14584" t="s">
        <v>14</v>
      </c>
      <c r="L14584" t="s">
        <v>20</v>
      </c>
      <c r="M14584" t="s">
        <v>28033</v>
      </c>
      <c r="N14584" t="s">
        <v>14</v>
      </c>
    </row>
    <row r="14585" x14ac:dyDescent="0.25">
      <c r="A14585" t="n">
        <v>22</v>
      </c>
      <c r="B14585" t="s">
        <v>14</v>
      </c>
      <c r="C14585" t="s">
        <v>22</v>
      </c>
      <c r="D14585" s="2" t="s">
        <f>=HYPERLINK("https://main.knesset.gov.il/APPS/legislation/main/bills/2082879", "הצעת חוק צער בעלי חיים (ניסויים בבעלי חיים) (תיקון - הגברת הפיקוח על ניסויים), התש""ף-2019")</f>
        <v>28035</v>
      </c>
      <c r="E14585" t="s">
        <v>28035</v>
      </c>
      <c r="F14585" t="s">
        <v>28036</v>
      </c>
      <c r="G14585" t="s">
        <v>14</v>
      </c>
      <c r="H14585">
             </c>
      <c r="I14585" t="s">
        <v>14</v>
      </c>
      <c r="J14585" t="s">
        <v>141</v>
      </c>
      <c r="K14585" t="s">
        <v>14</v>
      </c>
      <c r="L14585" t="s">
        <v>20</v>
      </c>
      <c r="M14585" t="s">
        <v>28033</v>
      </c>
      <c r="N14585" t="s">
        <v>14</v>
      </c>
    </row>
    <row r="14586" x14ac:dyDescent="0.25">
      <c r="A14586" t="n">
        <v>22</v>
      </c>
      <c r="B14586" t="s">
        <v>14</v>
      </c>
      <c r="C14586" t="s">
        <v>22</v>
      </c>
      <c r="D14586" s="2" t="s">
        <f>=HYPERLINK("https://main.knesset.gov.il/APPS/legislation/main/bills/2082312", "הצעת חוק הסכמי קדם נישואים, התש""ף-2019")</f>
        <v>28037</v>
      </c>
      <c r="E14586" t="s">
        <v>28037</v>
      </c>
      <c r="F14586" t="s">
        <v>28038</v>
      </c>
      <c r="G14586" t="s">
        <v>14</v>
      </c>
      <c r="H14586">
             </c>
      <c r="I14586" t="s">
        <v>14</v>
      </c>
      <c r="J14586" t="s">
        <v>141</v>
      </c>
      <c r="K14586" t="s">
        <v>14</v>
      </c>
      <c r="L14586" t="s">
        <v>20</v>
      </c>
      <c r="M14586" t="s">
        <v>28033</v>
      </c>
      <c r="N14586" t="s">
        <v>14</v>
      </c>
    </row>
    <row r="14587" x14ac:dyDescent="0.25">
      <c r="A14587" t="n">
        <v>22</v>
      </c>
      <c r="B14587" t="s">
        <v>14</v>
      </c>
      <c r="C14587" t="s">
        <v>22</v>
      </c>
      <c r="D14587" s="2" t="s">
        <f>=HYPERLINK("https://main.knesset.gov.il/APPS/legislation/main/bills/2082091", "הצעת חוק לתיקון פקודת מס הכנסה (ניכוי הוצאות החזקת רכב), התש""ף-2019")</f>
        <v>28039</v>
      </c>
      <c r="E14587" t="s">
        <v>28039</v>
      </c>
      <c r="F14587" t="s">
        <v>28040</v>
      </c>
      <c r="G14587" t="s">
        <v>14</v>
      </c>
      <c r="H14587">
             </c>
      <c r="I14587" t="s">
        <v>14</v>
      </c>
      <c r="J14587" t="s">
        <v>141</v>
      </c>
      <c r="K14587" t="s">
        <v>14</v>
      </c>
      <c r="L14587" t="s">
        <v>20</v>
      </c>
      <c r="M14587" t="s">
        <v>28033</v>
      </c>
      <c r="N14587" t="s">
        <v>14</v>
      </c>
    </row>
    <row r="14588" x14ac:dyDescent="0.25">
      <c r="A14588" t="n">
        <v>22</v>
      </c>
      <c r="B14588" t="s">
        <v>14</v>
      </c>
      <c r="C14588" t="s">
        <v>22</v>
      </c>
      <c r="D14588" s="2" t="s">
        <f>=HYPERLINK("https://main.knesset.gov.il/APPS/legislation/main/bills/2082739", "הצעת חוק החלת תקצוב מגדרי על תקציבים ציבוריים בישראל, התש""ף-2019")</f>
        <v>28041</v>
      </c>
      <c r="E14588" t="s">
        <v>28041</v>
      </c>
      <c r="F14588" t="s">
        <v>28042</v>
      </c>
      <c r="G14588" t="s">
        <v>14</v>
      </c>
      <c r="H14588">
             </c>
      <c r="I14588" t="s">
        <v>14</v>
      </c>
      <c r="J14588" t="s">
        <v>141</v>
      </c>
      <c r="K14588" t="s">
        <v>14</v>
      </c>
      <c r="L14588" t="s">
        <v>20</v>
      </c>
      <c r="M14588" t="s">
        <v>28033</v>
      </c>
      <c r="N14588" t="s">
        <v>14</v>
      </c>
    </row>
    <row r="14589" x14ac:dyDescent="0.25">
      <c r="A14589" t="n">
        <v>22</v>
      </c>
      <c r="B14589" t="s">
        <v>14</v>
      </c>
      <c r="C14589" t="s">
        <v>22</v>
      </c>
      <c r="D14589" s="2" t="s">
        <f>=HYPERLINK("https://main.knesset.gov.il/APPS/legislation/main/bills/2082953", "הצעת חוק לתיקון פקודת מס הכנסה (ביטול מס בגין זקיפה סלולרית), התש""ף-2019")</f>
        <v>28043</v>
      </c>
      <c r="E14589" t="s">
        <v>28043</v>
      </c>
      <c r="F14589" t="s">
        <v>28044</v>
      </c>
      <c r="G14589" t="s">
        <v>14</v>
      </c>
      <c r="H14589">
             </c>
      <c r="I14589" t="s">
        <v>14</v>
      </c>
      <c r="J14589" t="s">
        <v>141</v>
      </c>
      <c r="K14589" t="s">
        <v>14</v>
      </c>
      <c r="L14589" t="s">
        <v>20</v>
      </c>
      <c r="M14589" t="s">
        <v>28033</v>
      </c>
      <c r="N14589" t="s">
        <v>14</v>
      </c>
    </row>
    <row r="14590" x14ac:dyDescent="0.25">
      <c r="A14590" t="n">
        <v>22</v>
      </c>
      <c r="B14590" t="s">
        <v>14</v>
      </c>
      <c r="C14590" t="s">
        <v>22</v>
      </c>
      <c r="D14590" s="2" t="s">
        <f>=HYPERLINK("https://main.knesset.gov.il/APPS/legislation/main/bills/2083361", "הצעת חוק לימוד חובה (תיקון - יועץ חינוכי בכל מוסד חינוך), התש""ף-2019")</f>
        <v>28045</v>
      </c>
      <c r="E14590" t="s">
        <v>28045</v>
      </c>
      <c r="F14590" t="s">
        <v>28046</v>
      </c>
      <c r="G14590" t="s">
        <v>14</v>
      </c>
      <c r="H14590">
             </c>
      <c r="I14590" t="s">
        <v>14</v>
      </c>
      <c r="J14590" t="s">
        <v>141</v>
      </c>
      <c r="K14590" t="s">
        <v>14</v>
      </c>
      <c r="L14590" t="s">
        <v>20</v>
      </c>
      <c r="M14590" t="s">
        <v>28033</v>
      </c>
      <c r="N14590" t="s">
        <v>14</v>
      </c>
    </row>
    <row r="14591" x14ac:dyDescent="0.25">
      <c r="A14591" t="n">
        <v>22</v>
      </c>
      <c r="B14591" t="s">
        <v>14</v>
      </c>
      <c r="C14591" t="s">
        <v>22</v>
      </c>
      <c r="D14591" s="2" t="s">
        <f>=HYPERLINK("https://main.knesset.gov.il/APPS/legislation/main/bills/2082945", "הצעת חוק לתיקון פקודת מסי העירייה ומסי הממשלה (פטורין) (פטור מארנונה למעונות סטודנטים), התש""ף-2019")</f>
        <v>28047</v>
      </c>
      <c r="E14591" t="s">
        <v>28047</v>
      </c>
      <c r="F14591" t="s">
        <v>28048</v>
      </c>
      <c r="G14591" t="s">
        <v>14</v>
      </c>
      <c r="H14591">
             </c>
      <c r="I14591" t="s">
        <v>14</v>
      </c>
      <c r="J14591" t="s">
        <v>141</v>
      </c>
      <c r="K14591" t="s">
        <v>14</v>
      </c>
      <c r="L14591" t="s">
        <v>20</v>
      </c>
      <c r="M14591" t="s">
        <v>28033</v>
      </c>
      <c r="N14591" t="s">
        <v>14</v>
      </c>
    </row>
    <row r="14592" x14ac:dyDescent="0.25">
      <c r="A14592" t="n">
        <v>22</v>
      </c>
      <c r="B14592" t="s">
        <v>14</v>
      </c>
      <c r="C14592" t="s">
        <v>22</v>
      </c>
      <c r="D14592" s="2" t="s">
        <f>=HYPERLINK("https://main.knesset.gov.il/APPS/legislation/main/bills/2082691", "הצעת חוק קרן לאזרחי ישראל (תיקון - צמצום אי השוויון החברתי-כלכלי בישראל), התש""ף-2019")</f>
        <v>28049</v>
      </c>
      <c r="E14592" t="s">
        <v>28049</v>
      </c>
      <c r="F14592" t="s">
        <v>28050</v>
      </c>
      <c r="G14592" t="s">
        <v>14</v>
      </c>
      <c r="H14592">
             </c>
      <c r="I14592" t="s">
        <v>14</v>
      </c>
      <c r="J14592" t="s">
        <v>141</v>
      </c>
      <c r="K14592" t="s">
        <v>14</v>
      </c>
      <c r="L14592" t="s">
        <v>20</v>
      </c>
      <c r="M14592" t="s">
        <v>28033</v>
      </c>
      <c r="N14592" t="s">
        <v>14</v>
      </c>
    </row>
    <row r="14593" x14ac:dyDescent="0.25">
      <c r="A14593" t="n">
        <v>22</v>
      </c>
      <c r="B14593" t="s">
        <v>14</v>
      </c>
      <c r="C14593" t="s">
        <v>22</v>
      </c>
      <c r="D14593" s="2" t="s">
        <f>=HYPERLINK("https://main.knesset.gov.il/APPS/legislation/main/bills/2083118", "הצעת חוק העונשין (תיקון - פיצויים לזכאי במשפט חוזר ובערעור בבית המשפט העליון), התש""ף-2019")</f>
        <v>28051</v>
      </c>
      <c r="E14593" t="s">
        <v>28051</v>
      </c>
      <c r="F14593" t="s">
        <v>28052</v>
      </c>
      <c r="G14593" t="s">
        <v>14</v>
      </c>
      <c r="H14593">
             </c>
      <c r="I14593" t="s">
        <v>14</v>
      </c>
      <c r="J14593" t="s">
        <v>141</v>
      </c>
      <c r="K14593" t="s">
        <v>14</v>
      </c>
      <c r="L14593" t="s">
        <v>20</v>
      </c>
      <c r="M14593" t="s">
        <v>28033</v>
      </c>
      <c r="N14593" t="s">
        <v>14</v>
      </c>
    </row>
    <row r="14594" x14ac:dyDescent="0.25">
      <c r="A14594" t="n">
        <v>22</v>
      </c>
      <c r="B14594" t="s">
        <v>14</v>
      </c>
      <c r="C14594" t="s">
        <v>22</v>
      </c>
      <c r="D14594" s="2" t="s">
        <f>=HYPERLINK("https://main.knesset.gov.il/APPS/legislation/main/bills/2083087", "הצעת חוק הביטוח הלאומי (תיקון - חובת נוכחות מתורגמן בדיוני ועדה רפואית), התש""ף-2019")</f>
        <v>28053</v>
      </c>
      <c r="E14594" t="s">
        <v>28053</v>
      </c>
      <c r="F14594" t="s">
        <v>28054</v>
      </c>
      <c r="G14594" t="s">
        <v>14</v>
      </c>
      <c r="H14594">
             </c>
      <c r="I14594" t="s">
        <v>14</v>
      </c>
      <c r="J14594" t="s">
        <v>141</v>
      </c>
      <c r="K14594" t="s">
        <v>14</v>
      </c>
      <c r="L14594" t="s">
        <v>20</v>
      </c>
      <c r="M14594" t="s">
        <v>28033</v>
      </c>
      <c r="N14594" t="s">
        <v>14</v>
      </c>
    </row>
    <row r="14595" x14ac:dyDescent="0.25">
      <c r="A14595" t="n">
        <v>22</v>
      </c>
      <c r="B14595" t="s">
        <v>14</v>
      </c>
      <c r="C14595" t="s">
        <v>22</v>
      </c>
      <c r="D14595" s="2" t="s">
        <f>=HYPERLINK("https://main.knesset.gov.il/APPS/legislation/main/bills/2083360", "הצעת חוק המזונות (הבטחת תשלום) (תיקון - סכום שלא יובא בחשבון במבחן ההכנסה), התש""ף-2019")</f>
        <v>27867</v>
      </c>
      <c r="E14595" t="s">
        <v>27867</v>
      </c>
      <c r="F14595" t="s">
        <v>28055</v>
      </c>
      <c r="G14595" t="s">
        <v>14</v>
      </c>
      <c r="H14595">
             </c>
      <c r="I14595" t="s">
        <v>14</v>
      </c>
      <c r="J14595" t="s">
        <v>141</v>
      </c>
      <c r="K14595" t="s">
        <v>14</v>
      </c>
      <c r="L14595" t="s">
        <v>20</v>
      </c>
      <c r="M14595" t="s">
        <v>28033</v>
      </c>
      <c r="N14595" t="s">
        <v>14</v>
      </c>
    </row>
    <row r="14596" x14ac:dyDescent="0.25">
      <c r="A14596" t="n">
        <v>22</v>
      </c>
      <c r="B14596" t="s">
        <v>14</v>
      </c>
      <c r="C14596" t="s">
        <v>22</v>
      </c>
      <c r="D14596" s="2" t="s">
        <f>=HYPERLINK("https://main.knesset.gov.il/APPS/legislation/main/bills/2081940", "הצעת חוק הקצאת דירות שנבנו במסגרת תכנית מחיר למשתכן למחוסרי דיור או לדיור הציבורי, התש""ף-2019")</f>
        <v>28056</v>
      </c>
      <c r="E14596" t="s">
        <v>28056</v>
      </c>
      <c r="F14596" t="s">
        <v>28057</v>
      </c>
      <c r="G14596" t="s">
        <v>14</v>
      </c>
      <c r="H14596">
             </c>
      <c r="I14596" t="s">
        <v>14</v>
      </c>
      <c r="J14596" t="s">
        <v>141</v>
      </c>
      <c r="K14596" t="s">
        <v>14</v>
      </c>
      <c r="L14596" t="s">
        <v>20</v>
      </c>
      <c r="M14596" t="s">
        <v>28033</v>
      </c>
      <c r="N14596" t="s">
        <v>14</v>
      </c>
    </row>
    <row r="14597" x14ac:dyDescent="0.25">
      <c r="A14597" t="n">
        <v>22</v>
      </c>
      <c r="B14597" t="s">
        <v>14</v>
      </c>
      <c r="C14597" t="s">
        <v>22</v>
      </c>
      <c r="D14597" s="2" t="s">
        <f>=HYPERLINK("https://main.knesset.gov.il/APPS/legislation/main/bills/2082615", "הצעת חוק להנצחת זכרה של גולדה מאיר, התש""ף-2019")</f>
        <v>28058</v>
      </c>
      <c r="E14597" t="s">
        <v>28058</v>
      </c>
      <c r="F14597" t="s">
        <v>28059</v>
      </c>
      <c r="G14597" t="s">
        <v>14</v>
      </c>
      <c r="H14597">
             </c>
      <c r="I14597" t="s">
        <v>14</v>
      </c>
      <c r="J14597" t="s">
        <v>141</v>
      </c>
      <c r="K14597" t="s">
        <v>14</v>
      </c>
      <c r="L14597" t="s">
        <v>20</v>
      </c>
      <c r="M14597" t="s">
        <v>28033</v>
      </c>
      <c r="N14597" t="s">
        <v>14</v>
      </c>
    </row>
    <row r="14598" x14ac:dyDescent="0.25">
      <c r="A14598" t="n">
        <v>22</v>
      </c>
      <c r="B14598" t="s">
        <v>14</v>
      </c>
      <c r="C14598" t="s">
        <v>22</v>
      </c>
      <c r="D14598" s="2" t="s">
        <f>=HYPERLINK("https://main.knesset.gov.il/APPS/legislation/main/bills/2082294", "הצעת חוק חוזה הביטוח (תיקון - ביטוח סיעודי לפעוטות), התש""ף-2019")</f>
        <v>28060</v>
      </c>
      <c r="E14598" t="s">
        <v>28060</v>
      </c>
      <c r="F14598" t="s">
        <v>28061</v>
      </c>
      <c r="G14598" t="s">
        <v>14</v>
      </c>
      <c r="H14598">
             </c>
      <c r="I14598" t="s">
        <v>14</v>
      </c>
      <c r="J14598" t="s">
        <v>141</v>
      </c>
      <c r="K14598" t="s">
        <v>14</v>
      </c>
      <c r="L14598" t="s">
        <v>20</v>
      </c>
      <c r="M14598" t="s">
        <v>28033</v>
      </c>
      <c r="N14598" t="s">
        <v>14</v>
      </c>
    </row>
    <row r="14599" x14ac:dyDescent="0.25">
      <c r="A14599" t="n">
        <v>22</v>
      </c>
      <c r="B14599" t="s">
        <v>14</v>
      </c>
      <c r="C14599" t="s">
        <v>22</v>
      </c>
      <c r="D14599" s="2" t="s">
        <f>=HYPERLINK("https://main.knesset.gov.il/APPS/legislation/main/bills/2083221", "הצעת חוק המרכז להנצחת מורשתו של הנשיא יצחק נבון, התש""ף-2019")</f>
        <v>28062</v>
      </c>
      <c r="E14599" t="s">
        <v>28062</v>
      </c>
      <c r="F14599" t="s">
        <v>28063</v>
      </c>
      <c r="G14599" t="s">
        <v>14</v>
      </c>
      <c r="H14599">
             </c>
      <c r="I14599" t="s">
        <v>14</v>
      </c>
      <c r="J14599" t="s">
        <v>141</v>
      </c>
      <c r="K14599" t="s">
        <v>14</v>
      </c>
      <c r="L14599" t="s">
        <v>20</v>
      </c>
      <c r="M14599" t="s">
        <v>28033</v>
      </c>
      <c r="N14599" t="s">
        <v>14</v>
      </c>
    </row>
    <row r="14600" x14ac:dyDescent="0.25">
      <c r="A14600" t="n">
        <v>22</v>
      </c>
      <c r="B14600" t="s">
        <v>14</v>
      </c>
      <c r="C14600" t="s">
        <v>22</v>
      </c>
      <c r="D14600" s="2" t="s">
        <f>=HYPERLINK("https://main.knesset.gov.il/APPS/legislation/main/bills/2082669", "הצעת חוק בנק הזרע (הזרעות והפריות חוץ בבני זוג פרודים), התש""ף-2019")</f>
        <v>28064</v>
      </c>
      <c r="E14600" t="s">
        <v>28064</v>
      </c>
      <c r="F14600" t="s">
        <v>28065</v>
      </c>
      <c r="G14600" t="s">
        <v>14</v>
      </c>
      <c r="H14600">
             </c>
      <c r="I14600" t="s">
        <v>14</v>
      </c>
      <c r="J14600" t="s">
        <v>141</v>
      </c>
      <c r="K14600" t="s">
        <v>14</v>
      </c>
      <c r="L14600" t="s">
        <v>20</v>
      </c>
      <c r="M14600" t="s">
        <v>28033</v>
      </c>
      <c r="N14600" t="s">
        <v>14</v>
      </c>
    </row>
    <row r="14601" x14ac:dyDescent="0.25">
      <c r="A14601" t="n">
        <v>22</v>
      </c>
      <c r="B14601" t="s">
        <v>14</v>
      </c>
      <c r="C14601" t="s">
        <v>22</v>
      </c>
      <c r="D14601" s="2" t="s">
        <f>=HYPERLINK("https://main.knesset.gov.il/APPS/legislation/main/bills/2083008", "הצעת חוק הנוער (שפיטה, ענישה ודרכי טיפול) (תיקון מס' 22 - הוראת שעה) (תיקון - ענישת קטין שהורשע בנסיבות טרור כהוראת קבע), התש""ף-2019")</f>
        <v>28066</v>
      </c>
      <c r="E14601" t="s">
        <v>28066</v>
      </c>
      <c r="F14601" t="s">
        <v>28067</v>
      </c>
      <c r="G14601" t="s">
        <v>14</v>
      </c>
      <c r="H14601">
             </c>
      <c r="I14601" t="s">
        <v>14</v>
      </c>
      <c r="J14601" t="s">
        <v>141</v>
      </c>
      <c r="K14601" t="s">
        <v>14</v>
      </c>
      <c r="L14601" t="s">
        <v>20</v>
      </c>
      <c r="M14601" t="s">
        <v>28033</v>
      </c>
      <c r="N14601" t="s">
        <v>14</v>
      </c>
    </row>
    <row r="14602" x14ac:dyDescent="0.25">
      <c r="A14602" t="n">
        <v>22</v>
      </c>
      <c r="B14602" t="s">
        <v>14</v>
      </c>
      <c r="C14602" t="s">
        <v>22</v>
      </c>
      <c r="D14602" s="2" t="s">
        <f>=HYPERLINK("https://main.knesset.gov.il/APPS/legislation/main/bills/2082164", "הצעת חוק חדלות פירעון ושיקום כלכלי (תיקון - מתן זכות קדימה לנפגע תקיפה מינית), התש""ף-2019")</f>
        <v>28068</v>
      </c>
      <c r="E14602" t="s">
        <v>28068</v>
      </c>
      <c r="F14602" t="s">
        <v>28069</v>
      </c>
      <c r="G14602" t="s">
        <v>14</v>
      </c>
      <c r="H14602">
             </c>
      <c r="I14602" t="s">
        <v>14</v>
      </c>
      <c r="J14602" t="s">
        <v>141</v>
      </c>
      <c r="K14602" t="s">
        <v>14</v>
      </c>
      <c r="L14602" t="s">
        <v>20</v>
      </c>
      <c r="M14602" t="s">
        <v>28033</v>
      </c>
      <c r="N14602" t="s">
        <v>14</v>
      </c>
    </row>
    <row r="14603" x14ac:dyDescent="0.25">
      <c r="A14603" t="n">
        <v>22</v>
      </c>
      <c r="B14603" t="s">
        <v>14</v>
      </c>
      <c r="C14603" t="s">
        <v>22</v>
      </c>
      <c r="D14603" s="2" t="s">
        <f>=HYPERLINK("https://main.knesset.gov.il/APPS/legislation/main/bills/2083577", "הצעת חוק שיווי זכויות האישה (תיקון - ייצוג הולם לנשים במקום העבודה), התש""ף-2019")</f>
        <v>28070</v>
      </c>
      <c r="E14603" t="s">
        <v>28070</v>
      </c>
      <c r="F14603" t="s">
        <v>28071</v>
      </c>
      <c r="G14603" t="s">
        <v>14</v>
      </c>
      <c r="H14603">
             </c>
      <c r="I14603" t="s">
        <v>14</v>
      </c>
      <c r="J14603" t="s">
        <v>141</v>
      </c>
      <c r="K14603" t="s">
        <v>14</v>
      </c>
      <c r="L14603" t="s">
        <v>20</v>
      </c>
      <c r="M14603" t="s">
        <v>28033</v>
      </c>
      <c r="N14603" t="s">
        <v>14</v>
      </c>
    </row>
    <row r="14604" x14ac:dyDescent="0.25">
      <c r="A14604" t="n">
        <v>22</v>
      </c>
      <c r="B14604" t="s">
        <v>14</v>
      </c>
      <c r="C14604" t="s">
        <v>22</v>
      </c>
      <c r="D14604" s="2" t="s">
        <f>=HYPERLINK("https://main.knesset.gov.il/APPS/legislation/main/bills/2082881", "הצעת חוק חובת המכרזים (תיקון - העדפת רכב ידידותי לסביבה), התש""ף-2019")</f>
        <v>28072</v>
      </c>
      <c r="E14604" t="s">
        <v>28072</v>
      </c>
      <c r="F14604" t="s">
        <v>28073</v>
      </c>
      <c r="G14604" t="s">
        <v>14</v>
      </c>
      <c r="H14604">
             </c>
      <c r="I14604" t="s">
        <v>14</v>
      </c>
      <c r="J14604" t="s">
        <v>141</v>
      </c>
      <c r="K14604" t="s">
        <v>14</v>
      </c>
      <c r="L14604" t="s">
        <v>20</v>
      </c>
      <c r="M14604" t="s">
        <v>28033</v>
      </c>
      <c r="N14604" t="s">
        <v>14</v>
      </c>
    </row>
    <row r="14605" x14ac:dyDescent="0.25">
      <c r="A14605" t="n">
        <v>22</v>
      </c>
      <c r="B14605" t="s">
        <v>14</v>
      </c>
      <c r="C14605" t="s">
        <v>22</v>
      </c>
      <c r="D14605" s="2" t="s">
        <f>=HYPERLINK("https://main.knesset.gov.il/APPS/legislation/main/bills/2081984", "הצעת חוק תהליך קבלת החלטות בעניין הסכמי סחר בין-לאומיים, התש""ף-2019")</f>
        <v>28074</v>
      </c>
      <c r="E14605" t="s">
        <v>28074</v>
      </c>
      <c r="F14605" t="s">
        <v>28075</v>
      </c>
      <c r="G14605" t="s">
        <v>14</v>
      </c>
      <c r="H14605">
             </c>
      <c r="I14605" t="s">
        <v>14</v>
      </c>
      <c r="J14605" t="s">
        <v>141</v>
      </c>
      <c r="K14605" t="s">
        <v>14</v>
      </c>
      <c r="L14605" t="s">
        <v>20</v>
      </c>
      <c r="M14605" t="s">
        <v>28033</v>
      </c>
      <c r="N14605" t="s">
        <v>14</v>
      </c>
    </row>
    <row r="14606" x14ac:dyDescent="0.25">
      <c r="A14606" t="n">
        <v>22</v>
      </c>
      <c r="B14606" t="s">
        <v>14</v>
      </c>
      <c r="C14606" t="s">
        <v>22</v>
      </c>
      <c r="D14606" s="2" t="s">
        <f>=HYPERLINK("https://main.knesset.gov.il/APPS/legislation/main/bills/2082266", "הצעת חוק ביטוח בריאות ממלכתי (תיקון - תוספת שנתית לסל שירותי הבריאות), התש""ף-2019")</f>
        <v>28076</v>
      </c>
      <c r="E14606" t="s">
        <v>28076</v>
      </c>
      <c r="F14606" t="s">
        <v>28077</v>
      </c>
      <c r="G14606" t="s">
        <v>14</v>
      </c>
      <c r="H14606">
             </c>
      <c r="I14606" t="s">
        <v>14</v>
      </c>
      <c r="J14606" t="s">
        <v>141</v>
      </c>
      <c r="K14606" t="s">
        <v>14</v>
      </c>
      <c r="L14606" t="s">
        <v>20</v>
      </c>
      <c r="M14606" t="s">
        <v>28033</v>
      </c>
      <c r="N14606" t="s">
        <v>14</v>
      </c>
    </row>
    <row r="14607" x14ac:dyDescent="0.25">
      <c r="A14607" t="n">
        <v>22</v>
      </c>
      <c r="B14607" t="s">
        <v>14</v>
      </c>
      <c r="C14607" t="s">
        <v>22</v>
      </c>
      <c r="D14607" s="2" t="s">
        <f>=HYPERLINK("https://main.knesset.gov.il/APPS/legislation/main/bills/2083363", "הצעת חוק ביטוח בריאות ממלכתי (תיקון - שירותי בריאות נוספים לשוהים במוסדות לילדים ונוער בסיכון), התש""ף-2019")</f>
        <v>28078</v>
      </c>
      <c r="E14607" t="s">
        <v>28078</v>
      </c>
      <c r="F14607" t="s">
        <v>28079</v>
      </c>
      <c r="G14607" t="s">
        <v>14</v>
      </c>
      <c r="H14607">
             </c>
      <c r="I14607" t="s">
        <v>14</v>
      </c>
      <c r="J14607" t="s">
        <v>141</v>
      </c>
      <c r="K14607" t="s">
        <v>14</v>
      </c>
      <c r="L14607" t="s">
        <v>20</v>
      </c>
      <c r="M14607" t="s">
        <v>28033</v>
      </c>
      <c r="N14607" t="s">
        <v>14</v>
      </c>
    </row>
    <row r="14608" x14ac:dyDescent="0.25">
      <c r="A14608" t="n">
        <v>22</v>
      </c>
      <c r="B14608" t="s">
        <v>14</v>
      </c>
      <c r="C14608" t="s">
        <v>22</v>
      </c>
      <c r="D14608" s="2" t="s">
        <f>=HYPERLINK("https://main.knesset.gov.il/APPS/legislation/main/bills/2082065", "הצעת חוק הגבלת אשראי למקבלי שירות מאמנים, עיתונאים ומרצים, התש""ף-2019")</f>
        <v>28080</v>
      </c>
      <c r="E14608" t="s">
        <v>28080</v>
      </c>
      <c r="F14608" t="s">
        <v>28081</v>
      </c>
      <c r="G14608" t="s">
        <v>14</v>
      </c>
      <c r="H14608">
             </c>
      <c r="I14608" t="s">
        <v>14</v>
      </c>
      <c r="J14608" t="s">
        <v>141</v>
      </c>
      <c r="K14608" t="s">
        <v>14</v>
      </c>
      <c r="L14608" t="s">
        <v>20</v>
      </c>
      <c r="M14608" t="s">
        <v>28033</v>
      </c>
      <c r="N14608" t="s">
        <v>14</v>
      </c>
    </row>
    <row r="14609" x14ac:dyDescent="0.25">
      <c r="A14609" t="n">
        <v>22</v>
      </c>
      <c r="B14609" t="s">
        <v>14</v>
      </c>
      <c r="C14609" t="s">
        <v>22</v>
      </c>
      <c r="D14609" s="2" t="s">
        <f>=HYPERLINK("https://main.knesset.gov.il/APPS/legislation/main/bills/2083346", "הצעת חוק חופשה שנתית (תיקון - חופשת הורה בגיוס ילדו), התש""ף-2019")</f>
        <v>28082</v>
      </c>
      <c r="E14609" t="s">
        <v>28082</v>
      </c>
      <c r="F14609" t="s">
        <v>28083</v>
      </c>
      <c r="G14609" t="s">
        <v>14</v>
      </c>
      <c r="H14609">
             </c>
      <c r="I14609" t="s">
        <v>14</v>
      </c>
      <c r="J14609" t="s">
        <v>141</v>
      </c>
      <c r="K14609" t="s">
        <v>14</v>
      </c>
      <c r="L14609" t="s">
        <v>20</v>
      </c>
      <c r="M14609" t="s">
        <v>28033</v>
      </c>
      <c r="N14609" t="s">
        <v>14</v>
      </c>
    </row>
    <row r="14610" x14ac:dyDescent="0.25">
      <c r="A14610" t="n">
        <v>22</v>
      </c>
      <c r="B14610" t="s">
        <v>14</v>
      </c>
      <c r="C14610" t="s">
        <v>22</v>
      </c>
      <c r="D14610" s="2" t="s">
        <f>=HYPERLINK("https://main.knesset.gov.il/APPS/legislation/main/bills/2082883", "הצעת חוק ביטוח בריאות ממלכתי (תיקון - זכויות לשירותי בריאות לכל ילד הנמצא בישראל), התש""ף-2019")</f>
        <v>28084</v>
      </c>
      <c r="E14610" t="s">
        <v>28084</v>
      </c>
      <c r="F14610" t="s">
        <v>28085</v>
      </c>
      <c r="G14610" t="s">
        <v>14</v>
      </c>
      <c r="H14610">
             </c>
      <c r="I14610" t="s">
        <v>14</v>
      </c>
      <c r="J14610" t="s">
        <v>141</v>
      </c>
      <c r="K14610" t="s">
        <v>14</v>
      </c>
      <c r="L14610" t="s">
        <v>20</v>
      </c>
      <c r="M14610" t="s">
        <v>28033</v>
      </c>
      <c r="N14610" t="s">
        <v>14</v>
      </c>
    </row>
    <row r="14611" x14ac:dyDescent="0.25">
      <c r="A14611" t="n">
        <v>22</v>
      </c>
      <c r="B14611" t="s">
        <v>14</v>
      </c>
      <c r="C14611" t="s">
        <v>22</v>
      </c>
      <c r="D14611" s="2" t="s">
        <f>=HYPERLINK("https://main.knesset.gov.il/APPS/legislation/main/bills/2082316", "הצעת חוק הפיקוח על שירותים פיננסיים (קופות גמל) (תיקון - השקעה של גוף מוסדי בתעשייה עתירת ידע בישראל), התש""ף-2019")</f>
        <v>28086</v>
      </c>
      <c r="E14611" t="s">
        <v>28086</v>
      </c>
      <c r="F14611" t="s">
        <v>28087</v>
      </c>
      <c r="G14611" t="s">
        <v>14</v>
      </c>
      <c r="H14611">
             </c>
      <c r="I14611" t="s">
        <v>14</v>
      </c>
      <c r="J14611" t="s">
        <v>141</v>
      </c>
      <c r="K14611" t="s">
        <v>14</v>
      </c>
      <c r="L14611" t="s">
        <v>20</v>
      </c>
      <c r="M14611" t="s">
        <v>28033</v>
      </c>
      <c r="N14611" t="s">
        <v>14</v>
      </c>
    </row>
    <row r="14612" x14ac:dyDescent="0.25">
      <c r="A14612" t="n">
        <v>22</v>
      </c>
      <c r="B14612" t="s">
        <v>14</v>
      </c>
      <c r="C14612" t="s">
        <v>22</v>
      </c>
      <c r="D14612" s="2" t="s">
        <f>=HYPERLINK("https://main.knesset.gov.il/APPS/legislation/main/bills/2083039", "הצעת חוק-יסוד: הכנסת (תיקון - גיל הבוחר)")</f>
        <v>20905</v>
      </c>
      <c r="E14612" t="s">
        <v>20905</v>
      </c>
      <c r="F14612" t="s">
        <v>28088</v>
      </c>
      <c r="G14612" t="s">
        <v>14</v>
      </c>
      <c r="H14612">
             </c>
      <c r="I14612" t="s">
        <v>14</v>
      </c>
      <c r="J14612" t="s">
        <v>141</v>
      </c>
      <c r="K14612" t="s">
        <v>14</v>
      </c>
      <c r="L14612" t="s">
        <v>20</v>
      </c>
      <c r="M14612" t="s">
        <v>28033</v>
      </c>
      <c r="N14612" t="s">
        <v>14</v>
      </c>
    </row>
    <row r="14613" x14ac:dyDescent="0.25">
      <c r="A14613" t="n">
        <v>22</v>
      </c>
      <c r="B14613" t="s">
        <v>14</v>
      </c>
      <c r="C14613" t="s">
        <v>22</v>
      </c>
      <c r="D14613" s="2" t="s">
        <f>=HYPERLINK("https://main.knesset.gov.il/APPS/legislation/main/bills/2082884", "הצעת חוק ביטוח בריאות ממלכתי (תיקון - חיזוק הרפואה הציבורית), התש""ף-2019")</f>
        <v>28089</v>
      </c>
      <c r="E14613" t="s">
        <v>28089</v>
      </c>
      <c r="F14613" t="s">
        <v>28090</v>
      </c>
      <c r="G14613" t="s">
        <v>14</v>
      </c>
      <c r="H14613">
             </c>
      <c r="I14613" t="s">
        <v>14</v>
      </c>
      <c r="J14613" t="s">
        <v>141</v>
      </c>
      <c r="K14613" t="s">
        <v>14</v>
      </c>
      <c r="L14613" t="s">
        <v>20</v>
      </c>
      <c r="M14613" t="s">
        <v>28033</v>
      </c>
      <c r="N14613" t="s">
        <v>14</v>
      </c>
    </row>
    <row r="14614" x14ac:dyDescent="0.25">
      <c r="A14614" t="n">
        <v>22</v>
      </c>
      <c r="B14614" t="s">
        <v>14</v>
      </c>
      <c r="C14614" t="s">
        <v>22</v>
      </c>
      <c r="D14614" s="2" t="s">
        <f>=HYPERLINK("https://main.knesset.gov.il/APPS/legislation/main/bills/2083129", "הצעת חוק ההוצאה לפועל (תיקון - הגבלת רישיון נהיגה), התש""ף-2019")</f>
        <v>28091</v>
      </c>
      <c r="E14614" t="s">
        <v>28091</v>
      </c>
      <c r="F14614" t="s">
        <v>28092</v>
      </c>
      <c r="G14614" t="s">
        <v>14</v>
      </c>
      <c r="H14614">
             </c>
      <c r="I14614" t="s">
        <v>14</v>
      </c>
      <c r="J14614" t="s">
        <v>141</v>
      </c>
      <c r="K14614" t="s">
        <v>14</v>
      </c>
      <c r="L14614" t="s">
        <v>20</v>
      </c>
      <c r="M14614" t="s">
        <v>28033</v>
      </c>
      <c r="N14614" t="s">
        <v>14</v>
      </c>
    </row>
    <row r="14615" x14ac:dyDescent="0.25">
      <c r="A14615" t="n">
        <v>22</v>
      </c>
      <c r="B14615" t="s">
        <v>14</v>
      </c>
      <c r="C14615" t="s">
        <v>22</v>
      </c>
      <c r="D14615" s="2" t="s">
        <f>=HYPERLINK("https://main.knesset.gov.il/APPS/legislation/main/bills/2082735", "הצעת חוק שוויון ההזדמנויות בעבודה (תיקון - עצמאות נציבות שוויון ההזדמנויות בעבודה), התש""ף-2019")</f>
        <v>28093</v>
      </c>
      <c r="E14615" t="s">
        <v>28093</v>
      </c>
      <c r="F14615" t="s">
        <v>28094</v>
      </c>
      <c r="G14615" t="s">
        <v>14</v>
      </c>
      <c r="H14615">
             </c>
      <c r="I14615" t="s">
        <v>14</v>
      </c>
      <c r="J14615" t="s">
        <v>141</v>
      </c>
      <c r="K14615" t="s">
        <v>14</v>
      </c>
      <c r="L14615" t="s">
        <v>20</v>
      </c>
      <c r="M14615" t="s">
        <v>28033</v>
      </c>
      <c r="N14615" t="s">
        <v>14</v>
      </c>
    </row>
    <row r="14616" x14ac:dyDescent="0.25">
      <c r="A14616" t="n">
        <v>22</v>
      </c>
      <c r="B14616" t="s">
        <v>14</v>
      </c>
      <c r="C14616" t="s">
        <v>22</v>
      </c>
      <c r="D14616" s="2" t="s">
        <f>=HYPERLINK("https://main.knesset.gov.il/APPS/legislation/main/bills/2082943", "הצעת חוק הסדרים במשק המדינה (תיקוני חקיקה להשגת יעדי התקציב) (תיקון - הנחה מארנונה לעסק חדש בשנת פעילותו הראשונה), התש""ף-2019")</f>
        <v>28095</v>
      </c>
      <c r="E14616" t="s">
        <v>28095</v>
      </c>
      <c r="F14616" t="s">
        <v>28096</v>
      </c>
      <c r="G14616" t="s">
        <v>14</v>
      </c>
      <c r="H14616">
             </c>
      <c r="I14616" t="s">
        <v>14</v>
      </c>
      <c r="J14616" t="s">
        <v>141</v>
      </c>
      <c r="K14616" t="s">
        <v>14</v>
      </c>
      <c r="L14616" t="s">
        <v>20</v>
      </c>
      <c r="M14616" t="s">
        <v>28033</v>
      </c>
      <c r="N14616" t="s">
        <v>14</v>
      </c>
    </row>
    <row r="14617" x14ac:dyDescent="0.25">
      <c r="A14617" t="n">
        <v>22</v>
      </c>
      <c r="B14617" t="s">
        <v>14</v>
      </c>
      <c r="C14617" t="s">
        <v>22</v>
      </c>
      <c r="D14617" s="2" t="s">
        <f>=HYPERLINK("https://main.knesset.gov.il/APPS/legislation/main/bills/2082308", "הצעת חוק רשות מקרקעי ישראל (תיקון - החכר מימוני לדירות), התש""ף-2019")</f>
        <v>28097</v>
      </c>
      <c r="E14617" t="s">
        <v>28097</v>
      </c>
      <c r="F14617" t="s">
        <v>28098</v>
      </c>
      <c r="G14617" t="s">
        <v>14</v>
      </c>
      <c r="H14617">
             </c>
      <c r="I14617" t="s">
        <v>14</v>
      </c>
      <c r="J14617" t="s">
        <v>141</v>
      </c>
      <c r="K14617" t="s">
        <v>14</v>
      </c>
      <c r="L14617" t="s">
        <v>20</v>
      </c>
      <c r="M14617" t="s">
        <v>28033</v>
      </c>
      <c r="N14617" t="s">
        <v>14</v>
      </c>
    </row>
    <row r="14618" x14ac:dyDescent="0.25">
      <c r="A14618" t="n">
        <v>22</v>
      </c>
      <c r="B14618" t="s">
        <v>14</v>
      </c>
      <c r="C14618" t="s">
        <v>22</v>
      </c>
      <c r="D14618" s="2" t="s">
        <f>=HYPERLINK("https://main.knesset.gov.il/APPS/legislation/main/bills/2082930", "הצעת חוק לעידוד השקעות הון (תיקון - הקלה בתנאי סף למפעל קטן) (הוראת שעה), התש""ף-2019")</f>
        <v>28099</v>
      </c>
      <c r="E14618" t="s">
        <v>28099</v>
      </c>
      <c r="F14618" t="s">
        <v>28100</v>
      </c>
      <c r="G14618" t="s">
        <v>14</v>
      </c>
      <c r="H14618">
             </c>
      <c r="I14618" t="s">
        <v>14</v>
      </c>
      <c r="J14618" t="s">
        <v>141</v>
      </c>
      <c r="K14618" t="s">
        <v>14</v>
      </c>
      <c r="L14618" t="s">
        <v>20</v>
      </c>
      <c r="M14618" t="s">
        <v>28033</v>
      </c>
      <c r="N14618" t="s">
        <v>14</v>
      </c>
    </row>
    <row r="14619" x14ac:dyDescent="0.25">
      <c r="A14619" t="n">
        <v>22</v>
      </c>
      <c r="B14619" t="s">
        <v>14</v>
      </c>
      <c r="C14619" t="s">
        <v>22</v>
      </c>
      <c r="D14619" s="2" t="s">
        <f>=HYPERLINK("https://main.knesset.gov.il/APPS/legislation/main/bills/2082908", "הצעת חוק שכר מינימום (תיקון - תוספת שלא תובא בחשבון בשכר המינימום), התש""ף-2019")</f>
        <v>28101</v>
      </c>
      <c r="E14619" t="s">
        <v>28101</v>
      </c>
      <c r="F14619" t="s">
        <v>28102</v>
      </c>
      <c r="G14619" t="s">
        <v>14</v>
      </c>
      <c r="H14619">
             </c>
      <c r="I14619" t="s">
        <v>14</v>
      </c>
      <c r="J14619" t="s">
        <v>141</v>
      </c>
      <c r="K14619" t="s">
        <v>14</v>
      </c>
      <c r="L14619" t="s">
        <v>20</v>
      </c>
      <c r="M14619" t="s">
        <v>28033</v>
      </c>
      <c r="N14619" t="s">
        <v>14</v>
      </c>
    </row>
    <row r="14620" x14ac:dyDescent="0.25">
      <c r="A14620" t="n">
        <v>22</v>
      </c>
      <c r="B14620" t="s">
        <v>14</v>
      </c>
      <c r="C14620" t="s">
        <v>22</v>
      </c>
      <c r="D14620" s="2" t="s">
        <f>=HYPERLINK("https://main.knesset.gov.il/APPS/legislation/main/bills/2082584", "הצעת חוק שיווי זכויות האישה (תיקון - ייצוג הולם לנשים בוועדות ובדירקטוריונים בשלטון המקומי), התש""ף-2019")</f>
        <v>28103</v>
      </c>
      <c r="E14620" t="s">
        <v>28103</v>
      </c>
      <c r="F14620" t="s">
        <v>28104</v>
      </c>
      <c r="G14620" t="s">
        <v>14</v>
      </c>
      <c r="H14620">
             </c>
      <c r="I14620" t="s">
        <v>14</v>
      </c>
      <c r="J14620" t="s">
        <v>141</v>
      </c>
      <c r="K14620" t="s">
        <v>14</v>
      </c>
      <c r="L14620" t="s">
        <v>20</v>
      </c>
      <c r="M14620" t="s">
        <v>28033</v>
      </c>
      <c r="N14620" t="s">
        <v>14</v>
      </c>
    </row>
    <row r="14621" x14ac:dyDescent="0.25">
      <c r="A14621" t="n">
        <v>22</v>
      </c>
      <c r="B14621" t="s">
        <v>14</v>
      </c>
      <c r="C14621" t="s">
        <v>22</v>
      </c>
      <c r="D14621" s="2" t="s">
        <f>=HYPERLINK("https://main.knesset.gov.il/APPS/legislation/main/bills/2082354", "הצעת חוק הגנת הצרכן (תיקון - איסור גביית עמלה בהרשאה לחיוב חשבון בהוראת קבע), התש""ף-2019")</f>
        <v>28105</v>
      </c>
      <c r="E14621" t="s">
        <v>28105</v>
      </c>
      <c r="F14621" t="s">
        <v>28106</v>
      </c>
      <c r="G14621" t="s">
        <v>14</v>
      </c>
      <c r="H14621">
             </c>
      <c r="I14621" t="s">
        <v>14</v>
      </c>
      <c r="J14621" t="s">
        <v>141</v>
      </c>
      <c r="K14621" t="s">
        <v>14</v>
      </c>
      <c r="L14621" t="s">
        <v>20</v>
      </c>
      <c r="M14621" t="s">
        <v>28033</v>
      </c>
      <c r="N14621" t="s">
        <v>14</v>
      </c>
    </row>
    <row r="14622" x14ac:dyDescent="0.25">
      <c r="A14622" t="n">
        <v>22</v>
      </c>
      <c r="B14622" t="s">
        <v>14</v>
      </c>
      <c r="C14622" t="s">
        <v>22</v>
      </c>
      <c r="D14622" s="2" t="s">
        <f>=HYPERLINK("https://main.knesset.gov.il/APPS/legislation/main/bills/2083303", "הצעת חוק הנצחת זכרם של קורבנות הטבח בכפר קאסם, התש""ף-2019")</f>
        <v>28107</v>
      </c>
      <c r="E14622" t="s">
        <v>28107</v>
      </c>
      <c r="F14622" t="s">
        <v>28108</v>
      </c>
      <c r="G14622" t="s">
        <v>14</v>
      </c>
      <c r="H14622">
             </c>
      <c r="I14622" t="s">
        <v>14</v>
      </c>
      <c r="J14622" t="s">
        <v>141</v>
      </c>
      <c r="K14622" t="s">
        <v>14</v>
      </c>
      <c r="L14622" t="s">
        <v>20</v>
      </c>
      <c r="M14622" t="s">
        <v>28033</v>
      </c>
      <c r="N14622" t="s">
        <v>14</v>
      </c>
    </row>
    <row r="14623" x14ac:dyDescent="0.25">
      <c r="A14623" t="n">
        <v>22</v>
      </c>
      <c r="B14623" t="s">
        <v>14</v>
      </c>
      <c r="C14623" t="s">
        <v>22</v>
      </c>
      <c r="D14623" s="2" t="s">
        <f>=HYPERLINK("https://main.knesset.gov.il/APPS/legislation/main/bills/2083569", "הצעת חוק-יסוד: כבוד האדם וחירותו (תיקון - הוספת עקרון השוויון)")</f>
        <v>28109</v>
      </c>
      <c r="E14623" t="s">
        <v>28109</v>
      </c>
      <c r="F14623" t="s">
        <v>28110</v>
      </c>
      <c r="G14623" t="s">
        <v>14</v>
      </c>
      <c r="H14623">
             </c>
      <c r="I14623" t="s">
        <v>14</v>
      </c>
      <c r="J14623" t="s">
        <v>141</v>
      </c>
      <c r="K14623" t="s">
        <v>14</v>
      </c>
      <c r="L14623" t="s">
        <v>20</v>
      </c>
      <c r="M14623" t="s">
        <v>28033</v>
      </c>
      <c r="N14623" t="s">
        <v>14</v>
      </c>
    </row>
    <row r="14624" x14ac:dyDescent="0.25">
      <c r="A14624" t="n">
        <v>22</v>
      </c>
      <c r="B14624" t="s">
        <v>14</v>
      </c>
      <c r="C14624" t="s">
        <v>22</v>
      </c>
      <c r="D14624" s="2" t="s">
        <f>=HYPERLINK("https://main.knesset.gov.il/APPS/legislation/main/bills/2082598", "הצעת חוק שיווי זכויות האישה (תיקון - ייצוג הולם לנשים בוועדות ציבוריות ברשויות המקומיות), התש""ף-2019")</f>
        <v>28111</v>
      </c>
      <c r="E14624" t="s">
        <v>28111</v>
      </c>
      <c r="F14624" t="s">
        <v>28112</v>
      </c>
      <c r="G14624" t="s">
        <v>14</v>
      </c>
      <c r="H14624">
             </c>
      <c r="I14624" t="s">
        <v>14</v>
      </c>
      <c r="J14624" t="s">
        <v>141</v>
      </c>
      <c r="K14624" t="s">
        <v>14</v>
      </c>
      <c r="L14624" t="s">
        <v>20</v>
      </c>
      <c r="M14624" t="s">
        <v>28033</v>
      </c>
      <c r="N14624" t="s">
        <v>14</v>
      </c>
    </row>
    <row r="14625" x14ac:dyDescent="0.25">
      <c r="A14625" t="n">
        <v>22</v>
      </c>
      <c r="B14625" t="s">
        <v>14</v>
      </c>
      <c r="C14625" t="s">
        <v>22</v>
      </c>
      <c r="D14625" s="2" t="s">
        <f>=HYPERLINK("https://main.knesset.gov.il/APPS/legislation/main/bills/2082362", "הצעת חוק הגנת הצרכן (תיקון - מגבלות על חיוב חשבון של צרכן בתשלומים), התש""ף-2019")</f>
        <v>28113</v>
      </c>
      <c r="E14625" t="s">
        <v>28113</v>
      </c>
      <c r="F14625" t="s">
        <v>28114</v>
      </c>
      <c r="G14625" t="s">
        <v>14</v>
      </c>
      <c r="H14625">
             </c>
      <c r="I14625" t="s">
        <v>14</v>
      </c>
      <c r="J14625" t="s">
        <v>141</v>
      </c>
      <c r="K14625" t="s">
        <v>14</v>
      </c>
      <c r="L14625" t="s">
        <v>20</v>
      </c>
      <c r="M14625" t="s">
        <v>28033</v>
      </c>
      <c r="N14625" t="s">
        <v>14</v>
      </c>
    </row>
    <row r="14626" x14ac:dyDescent="0.25">
      <c r="A14626" t="n">
        <v>22</v>
      </c>
      <c r="B14626" t="s">
        <v>14</v>
      </c>
      <c r="C14626" t="s">
        <v>22</v>
      </c>
      <c r="D14626" s="2" t="s">
        <f>=HYPERLINK("https://main.knesset.gov.il/APPS/legislation/main/bills/2081890", "הצעת חוק הגנת הצרכן (תיקון - סימון תאריך ייצור ומועד תפוגה עברי), התש""ף-2019")</f>
        <v>28115</v>
      </c>
      <c r="E14626" t="s">
        <v>28115</v>
      </c>
      <c r="F14626" t="s">
        <v>28116</v>
      </c>
      <c r="G14626" t="s">
        <v>14</v>
      </c>
      <c r="H14626">
             </c>
      <c r="I14626" t="s">
        <v>14</v>
      </c>
      <c r="J14626" t="s">
        <v>141</v>
      </c>
      <c r="K14626" t="s">
        <v>14</v>
      </c>
      <c r="L14626" t="s">
        <v>20</v>
      </c>
      <c r="M14626" t="s">
        <v>28033</v>
      </c>
      <c r="N14626" t="s">
        <v>14</v>
      </c>
    </row>
    <row r="14627" x14ac:dyDescent="0.25">
      <c r="A14627" t="n">
        <v>22</v>
      </c>
      <c r="B14627" t="s">
        <v>14</v>
      </c>
      <c r="C14627" t="s">
        <v>22</v>
      </c>
      <c r="D14627" s="2" t="s">
        <f>=HYPERLINK("https://main.knesset.gov.il/APPS/legislation/main/bills/2083006", "הצעת חוק הגנת הפרטיות (תיקון - מינוי נציג רשמי), התש""ף-2019")</f>
        <v>28117</v>
      </c>
      <c r="E14627" t="s">
        <v>28117</v>
      </c>
      <c r="F14627" t="s">
        <v>28118</v>
      </c>
      <c r="G14627" t="s">
        <v>14</v>
      </c>
      <c r="H14627">
             </c>
      <c r="I14627" t="s">
        <v>14</v>
      </c>
      <c r="J14627" t="s">
        <v>141</v>
      </c>
      <c r="K14627" t="s">
        <v>14</v>
      </c>
      <c r="L14627" t="s">
        <v>20</v>
      </c>
      <c r="M14627" t="s">
        <v>28033</v>
      </c>
      <c r="N14627" t="s">
        <v>14</v>
      </c>
    </row>
    <row r="14628" x14ac:dyDescent="0.25">
      <c r="A14628" t="n">
        <v>22</v>
      </c>
      <c r="B14628" t="s">
        <v>14</v>
      </c>
      <c r="C14628" t="s">
        <v>22</v>
      </c>
      <c r="D14628" s="2" t="s">
        <f>=HYPERLINK("https://main.knesset.gov.il/APPS/legislation/main/bills/2082396", "הצעת חוק לתיקון פקודת התעבורה (פיצוי למתלונן), התש""ף-2019")</f>
        <v>28119</v>
      </c>
      <c r="E14628" t="s">
        <v>28119</v>
      </c>
      <c r="F14628" t="s">
        <v>28120</v>
      </c>
      <c r="G14628" t="s">
        <v>14</v>
      </c>
      <c r="H14628">
             </c>
      <c r="I14628" t="s">
        <v>14</v>
      </c>
      <c r="J14628" t="s">
        <v>141</v>
      </c>
      <c r="K14628" t="s">
        <v>14</v>
      </c>
      <c r="L14628" t="s">
        <v>20</v>
      </c>
      <c r="M14628" t="s">
        <v>28033</v>
      </c>
      <c r="N14628" t="s">
        <v>14</v>
      </c>
    </row>
    <row r="14629" x14ac:dyDescent="0.25">
      <c r="A14629" t="n">
        <v>22</v>
      </c>
      <c r="B14629" t="s">
        <v>14</v>
      </c>
      <c r="C14629" t="s">
        <v>22</v>
      </c>
      <c r="D14629" s="2" t="s">
        <f>=HYPERLINK("https://main.knesset.gov.il/APPS/legislation/main/bills/2081883", "הצעת חוק הגנת הצרכן (תיקון - הארכת תקופת האחריות), התש""ף-2019")</f>
        <v>28121</v>
      </c>
      <c r="E14629" t="s">
        <v>28121</v>
      </c>
      <c r="F14629" t="s">
        <v>28122</v>
      </c>
      <c r="G14629" t="s">
        <v>14</v>
      </c>
      <c r="H14629">
             </c>
      <c r="I14629" t="s">
        <v>14</v>
      </c>
      <c r="J14629" t="s">
        <v>141</v>
      </c>
      <c r="K14629" t="s">
        <v>14</v>
      </c>
      <c r="L14629" t="s">
        <v>20</v>
      </c>
      <c r="M14629" t="s">
        <v>28033</v>
      </c>
      <c r="N14629" t="s">
        <v>14</v>
      </c>
    </row>
    <row r="14630" x14ac:dyDescent="0.25">
      <c r="A14630" t="n">
        <v>22</v>
      </c>
      <c r="B14630" t="s">
        <v>14</v>
      </c>
      <c r="C14630" t="s">
        <v>22</v>
      </c>
      <c r="D14630" s="2" t="s">
        <f>=HYPERLINK("https://main.knesset.gov.il/APPS/legislation/main/bills/2083091", "הצעת חוק לתיקון פקודת הסמים המסוכנים (שידול לייבוא או ייצוא חומר הנחשב לסם בחו""ל), התש""ף-2019")</f>
        <v>28123</v>
      </c>
      <c r="E14630" t="s">
        <v>28123</v>
      </c>
      <c r="F14630" t="s">
        <v>28124</v>
      </c>
      <c r="G14630" t="s">
        <v>14</v>
      </c>
      <c r="H14630">
             </c>
      <c r="I14630" t="s">
        <v>14</v>
      </c>
      <c r="J14630" t="s">
        <v>141</v>
      </c>
      <c r="K14630" t="s">
        <v>14</v>
      </c>
      <c r="L14630" t="s">
        <v>20</v>
      </c>
      <c r="M14630" t="s">
        <v>28033</v>
      </c>
      <c r="N14630" t="s">
        <v>14</v>
      </c>
    </row>
    <row r="14631" x14ac:dyDescent="0.25">
      <c r="A14631" t="n">
        <v>22</v>
      </c>
      <c r="B14631" t="s">
        <v>14</v>
      </c>
      <c r="C14631" t="s">
        <v>22</v>
      </c>
      <c r="D14631" s="2" t="s">
        <f>=HYPERLINK("https://main.knesset.gov.il/APPS/legislation/main/bills/2083609", "הצעת חוק איסור פרסום והפצת שמות נפגעים, התש""ף-2019")</f>
        <v>28125</v>
      </c>
      <c r="E14631" t="s">
        <v>28125</v>
      </c>
      <c r="F14631" t="s">
        <v>28126</v>
      </c>
      <c r="G14631" t="s">
        <v>14</v>
      </c>
      <c r="H14631">
             </c>
      <c r="I14631" t="s">
        <v>14</v>
      </c>
      <c r="J14631" t="s">
        <v>141</v>
      </c>
      <c r="K14631" t="s">
        <v>14</v>
      </c>
      <c r="L14631" t="s">
        <v>20</v>
      </c>
      <c r="M14631" t="s">
        <v>28033</v>
      </c>
      <c r="N14631" t="s">
        <v>14</v>
      </c>
    </row>
    <row r="14632" x14ac:dyDescent="0.25">
      <c r="A14632" t="n">
        <v>22</v>
      </c>
      <c r="B14632" t="s">
        <v>14</v>
      </c>
      <c r="C14632" t="s">
        <v>22</v>
      </c>
      <c r="D14632" s="2" t="s">
        <f>=HYPERLINK("https://main.knesset.gov.il/APPS/legislation/main/bills/2083116", "הצעת חוק לתיקון פקודת הראיות (דרישת הסיוע להרשעה על פי הודיה), התש""ף-2019")</f>
        <v>28127</v>
      </c>
      <c r="E14632" t="s">
        <v>28127</v>
      </c>
      <c r="F14632" t="s">
        <v>28128</v>
      </c>
      <c r="G14632" t="s">
        <v>14</v>
      </c>
      <c r="H14632">
             </c>
      <c r="I14632" t="s">
        <v>14</v>
      </c>
      <c r="J14632" t="s">
        <v>141</v>
      </c>
      <c r="K14632" t="s">
        <v>14</v>
      </c>
      <c r="L14632" t="s">
        <v>20</v>
      </c>
      <c r="M14632" t="s">
        <v>28033</v>
      </c>
      <c r="N14632" t="s">
        <v>14</v>
      </c>
    </row>
    <row r="14633" x14ac:dyDescent="0.25">
      <c r="A14633" t="n">
        <v>22</v>
      </c>
      <c r="B14633" t="s">
        <v>14</v>
      </c>
      <c r="C14633" t="s">
        <v>22</v>
      </c>
      <c r="D14633" s="2" t="s">
        <f>=HYPERLINK("https://main.knesset.gov.il/APPS/legislation/main/bills/2083330", "הצעת חוק חוזה הביטוח (תיקון - הארכת תקופת התיישנות), התש""ף-2019")</f>
        <v>28129</v>
      </c>
      <c r="E14633" t="s">
        <v>28129</v>
      </c>
      <c r="F14633" t="s">
        <v>28130</v>
      </c>
      <c r="G14633" t="s">
        <v>14</v>
      </c>
      <c r="H14633">
             </c>
      <c r="I14633" t="s">
        <v>14</v>
      </c>
      <c r="J14633" t="s">
        <v>141</v>
      </c>
      <c r="K14633" t="s">
        <v>14</v>
      </c>
      <c r="L14633" t="s">
        <v>20</v>
      </c>
      <c r="M14633" t="s">
        <v>28033</v>
      </c>
      <c r="N14633" t="s">
        <v>14</v>
      </c>
    </row>
    <row r="14634" x14ac:dyDescent="0.25">
      <c r="A14634" t="n">
        <v>22</v>
      </c>
      <c r="B14634" t="s">
        <v>14</v>
      </c>
      <c r="C14634" t="s">
        <v>22</v>
      </c>
      <c r="D14634" s="2" t="s">
        <f>=HYPERLINK("https://main.knesset.gov.il/APPS/legislation/main/bills/2083281", "הצעת חוק ההוצאה לפועל (תיקון - ביטול הגבלת רישיון נהיגה), התש""ף-2019")</f>
        <v>28131</v>
      </c>
      <c r="E14634" t="s">
        <v>28131</v>
      </c>
      <c r="F14634" t="s">
        <v>28132</v>
      </c>
      <c r="G14634" t="s">
        <v>14</v>
      </c>
      <c r="H14634">
             </c>
      <c r="I14634" t="s">
        <v>14</v>
      </c>
      <c r="J14634" t="s">
        <v>141</v>
      </c>
      <c r="K14634" t="s">
        <v>14</v>
      </c>
      <c r="L14634" t="s">
        <v>20</v>
      </c>
      <c r="M14634" t="s">
        <v>28033</v>
      </c>
      <c r="N14634" t="s">
        <v>14</v>
      </c>
    </row>
    <row r="14635" x14ac:dyDescent="0.25">
      <c r="A14635" t="n">
        <v>22</v>
      </c>
      <c r="B14635" t="s">
        <v>14</v>
      </c>
      <c r="C14635" t="s">
        <v>22</v>
      </c>
      <c r="D14635" s="2" t="s">
        <f>=HYPERLINK("https://main.knesset.gov.il/APPS/legislation/main/bills/2083799", "הצעת חוק הביטוח הלאומי (תיקון - הצמדת קצבת אזרח ותיק לשכר הממוצע לפחות), התש""ף-2019")</f>
        <v>28133</v>
      </c>
      <c r="E14635" t="s">
        <v>28133</v>
      </c>
      <c r="F14635" t="s">
        <v>28134</v>
      </c>
      <c r="G14635" t="s">
        <v>14</v>
      </c>
      <c r="H14635">
             </c>
      <c r="I14635" t="s">
        <v>14</v>
      </c>
      <c r="J14635" t="s">
        <v>141</v>
      </c>
      <c r="K14635" t="s">
        <v>14</v>
      </c>
      <c r="L14635" t="s">
        <v>20</v>
      </c>
      <c r="M14635" t="s">
        <v>28033</v>
      </c>
      <c r="N14635" t="s">
        <v>14</v>
      </c>
    </row>
    <row r="14636" x14ac:dyDescent="0.25">
      <c r="A14636" t="n">
        <v>22</v>
      </c>
      <c r="B14636" t="s">
        <v>14</v>
      </c>
      <c r="C14636" t="s">
        <v>22</v>
      </c>
      <c r="D14636" s="2" t="s">
        <f>=HYPERLINK("https://main.knesset.gov.il/APPS/legislation/main/bills/2083089", "הצעת חוק זכות ייצוג לקטין המתנגד לאשפוז פסיכיאטרי (תיקוני חקיקה), התש""ף-2019")</f>
        <v>28135</v>
      </c>
      <c r="E14636" t="s">
        <v>28135</v>
      </c>
      <c r="F14636" t="s">
        <v>28136</v>
      </c>
      <c r="G14636" t="s">
        <v>14</v>
      </c>
      <c r="H14636">
             </c>
      <c r="I14636" t="s">
        <v>14</v>
      </c>
      <c r="J14636" t="s">
        <v>141</v>
      </c>
      <c r="K14636" t="s">
        <v>14</v>
      </c>
      <c r="L14636" t="s">
        <v>20</v>
      </c>
      <c r="M14636" t="s">
        <v>28033</v>
      </c>
      <c r="N14636" t="s">
        <v>14</v>
      </c>
    </row>
    <row r="14637" x14ac:dyDescent="0.25">
      <c r="A14637" t="n">
        <v>22</v>
      </c>
      <c r="B14637" t="s">
        <v>14</v>
      </c>
      <c r="C14637" t="s">
        <v>22</v>
      </c>
      <c r="D14637" s="2" t="s">
        <f>=HYPERLINK("https://main.knesset.gov.il/APPS/legislation/main/bills/2083573", "הצעת חוק-יסוד: ישראל - מדינת הלאום של העם היהודי (תיקון - ביטול החוק)")</f>
        <v>4732</v>
      </c>
      <c r="E14637" t="s">
        <v>4732</v>
      </c>
      <c r="F14637" t="s">
        <v>28137</v>
      </c>
      <c r="G14637" t="s">
        <v>14</v>
      </c>
      <c r="H14637">
             </c>
      <c r="I14637" t="s">
        <v>14</v>
      </c>
      <c r="J14637" t="s">
        <v>141</v>
      </c>
      <c r="K14637" t="s">
        <v>14</v>
      </c>
      <c r="L14637" t="s">
        <v>20</v>
      </c>
      <c r="M14637" t="s">
        <v>28033</v>
      </c>
      <c r="N14637" t="s">
        <v>14</v>
      </c>
    </row>
    <row r="14638" x14ac:dyDescent="0.25">
      <c r="A14638" t="n">
        <v>22</v>
      </c>
      <c r="B14638" t="s">
        <v>14</v>
      </c>
      <c r="C14638" t="s">
        <v>22</v>
      </c>
      <c r="D14638" s="2" t="s">
        <f>=HYPERLINK("https://main.knesset.gov.il/APPS/legislation/main/bills/2083523", "הצעת חוק ההוצאה לפועל (תיקון - מגבלת רישיון נהיגה), התש""ף-2019")</f>
        <v>28138</v>
      </c>
      <c r="E14638" t="s">
        <v>28138</v>
      </c>
      <c r="F14638" t="s">
        <v>28139</v>
      </c>
      <c r="G14638" t="s">
        <v>14</v>
      </c>
      <c r="H14638">
             </c>
      <c r="I14638" t="s">
        <v>14</v>
      </c>
      <c r="J14638" t="s">
        <v>141</v>
      </c>
      <c r="K14638" t="s">
        <v>14</v>
      </c>
      <c r="L14638" t="s">
        <v>20</v>
      </c>
      <c r="M14638" t="s">
        <v>28033</v>
      </c>
      <c r="N14638" t="s">
        <v>14</v>
      </c>
    </row>
    <row r="14639" x14ac:dyDescent="0.25">
      <c r="A14639" t="n">
        <v>22</v>
      </c>
      <c r="B14639" t="s">
        <v>14</v>
      </c>
      <c r="C14639" t="s">
        <v>22</v>
      </c>
      <c r="D14639" s="2" t="s">
        <f>=HYPERLINK("https://main.knesset.gov.il/APPS/legislation/main/bills/2083382", "הצעת חוק ארוחה יומית לתלמיד (תיקון - הרחבת תחולת החוק), התש""ף-2019")</f>
        <v>28140</v>
      </c>
      <c r="E14639" t="s">
        <v>28140</v>
      </c>
      <c r="F14639" t="s">
        <v>28141</v>
      </c>
      <c r="G14639" t="s">
        <v>14</v>
      </c>
      <c r="H14639">
             </c>
      <c r="I14639" t="s">
        <v>14</v>
      </c>
      <c r="J14639" t="s">
        <v>141</v>
      </c>
      <c r="K14639" t="s">
        <v>14</v>
      </c>
      <c r="L14639" t="s">
        <v>20</v>
      </c>
      <c r="M14639" t="s">
        <v>28033</v>
      </c>
      <c r="N14639" t="s">
        <v>14</v>
      </c>
    </row>
    <row r="14640" x14ac:dyDescent="0.25">
      <c r="A14640" t="n">
        <v>22</v>
      </c>
      <c r="B14640" t="s">
        <v>14</v>
      </c>
      <c r="C14640" t="s">
        <v>22</v>
      </c>
      <c r="D14640" s="2" t="s">
        <f>=HYPERLINK("https://main.knesset.gov.il/APPS/legislation/main/bills/2083563", "הצעת חוק האזרחות והכניסה לישראל (הוראת שעה) (תיקון - ביטול החוק), התש""ף-2019")</f>
        <v>25993</v>
      </c>
      <c r="E14640" t="s">
        <v>25993</v>
      </c>
      <c r="F14640" t="s">
        <v>28142</v>
      </c>
      <c r="G14640" t="s">
        <v>14</v>
      </c>
      <c r="H14640">
             </c>
      <c r="I14640" t="s">
        <v>14</v>
      </c>
      <c r="J14640" t="s">
        <v>141</v>
      </c>
      <c r="K14640" t="s">
        <v>14</v>
      </c>
      <c r="L14640" t="s">
        <v>20</v>
      </c>
      <c r="M14640" t="s">
        <v>28033</v>
      </c>
      <c r="N14640" t="s">
        <v>14</v>
      </c>
    </row>
    <row r="14641" x14ac:dyDescent="0.25">
      <c r="A14641" t="n">
        <v>22</v>
      </c>
      <c r="B14641" t="s">
        <v>14</v>
      </c>
      <c r="C14641" t="s">
        <v>22</v>
      </c>
      <c r="D14641" s="2" t="s">
        <f>=HYPERLINK("https://main.knesset.gov.il/APPS/legislation/main/bills/2083154", "הצעת חוק מרשם האוכלוסין (תיקון - רישום חסר דת), התש""ף-2019")</f>
        <v>28143</v>
      </c>
      <c r="E14641" t="s">
        <v>28143</v>
      </c>
      <c r="F14641" t="s">
        <v>28144</v>
      </c>
      <c r="G14641" t="s">
        <v>14</v>
      </c>
      <c r="H14641">
             </c>
      <c r="I14641" t="s">
        <v>14</v>
      </c>
      <c r="J14641" t="s">
        <v>141</v>
      </c>
      <c r="K14641" t="s">
        <v>14</v>
      </c>
      <c r="L14641" t="s">
        <v>20</v>
      </c>
      <c r="M14641" t="s">
        <v>28033</v>
      </c>
      <c r="N14641" t="s">
        <v>14</v>
      </c>
    </row>
    <row r="14642" x14ac:dyDescent="0.25">
      <c r="A14642" t="n">
        <v>22</v>
      </c>
      <c r="B14642" t="s">
        <v>14</v>
      </c>
      <c r="C14642" t="s">
        <v>22</v>
      </c>
      <c r="D14642" s="2" t="s">
        <f>=HYPERLINK("https://main.knesset.gov.il/APPS/legislation/main/bills/2083142", "הצעת חוק התכנון והבנייה (תיקון - שיעור היטל השבחה), התש""ף-2019.")</f>
        <v>28145</v>
      </c>
      <c r="E14642" t="s">
        <v>28145</v>
      </c>
      <c r="F14642" t="s">
        <v>28146</v>
      </c>
      <c r="G14642" t="s">
        <v>14</v>
      </c>
      <c r="H14642">
             </c>
      <c r="I14642" t="s">
        <v>14</v>
      </c>
      <c r="J14642" t="s">
        <v>141</v>
      </c>
      <c r="K14642" t="s">
        <v>14</v>
      </c>
      <c r="L14642" t="s">
        <v>20</v>
      </c>
      <c r="M14642" t="s">
        <v>28033</v>
      </c>
      <c r="N14642" t="s">
        <v>14</v>
      </c>
    </row>
    <row r="14643" x14ac:dyDescent="0.25">
      <c r="A14643" t="n">
        <v>22</v>
      </c>
      <c r="B14643" t="s">
        <v>14</v>
      </c>
      <c r="C14643" t="s">
        <v>22</v>
      </c>
      <c r="D14643" s="2" t="s">
        <f>=HYPERLINK("https://main.knesset.gov.il/APPS/legislation/main/bills/2083141", "הצעת חוק התכנון והבנייה (תיקון - חיבור חשמל מטעמים הומניטריים), התש""ף-2019")</f>
        <v>28147</v>
      </c>
      <c r="E14643" t="s">
        <v>28147</v>
      </c>
      <c r="F14643" t="s">
        <v>28148</v>
      </c>
      <c r="G14643" t="s">
        <v>14</v>
      </c>
      <c r="H14643">
             </c>
      <c r="I14643" t="s">
        <v>14</v>
      </c>
      <c r="J14643" t="s">
        <v>141</v>
      </c>
      <c r="K14643" t="s">
        <v>14</v>
      </c>
      <c r="L14643" t="s">
        <v>20</v>
      </c>
      <c r="M14643" t="s">
        <v>28033</v>
      </c>
      <c r="N14643" t="s">
        <v>14</v>
      </c>
    </row>
    <row r="14644" x14ac:dyDescent="0.25">
      <c r="A14644" t="n">
        <v>22</v>
      </c>
      <c r="B14644" t="s">
        <v>14</v>
      </c>
      <c r="C14644" t="s">
        <v>22</v>
      </c>
      <c r="D14644" s="2" t="s">
        <f>=HYPERLINK("https://main.knesset.gov.il/APPS/legislation/main/bills/2081331", "הצעת חוק לתיקון פקודת המועצות המקומיות (חובת קריאת שמות רחובות), התש""ף-2019")</f>
        <v>28149</v>
      </c>
      <c r="E14644" t="s">
        <v>28149</v>
      </c>
      <c r="F14644" t="s">
        <v>28150</v>
      </c>
      <c r="G14644" t="s">
        <v>14</v>
      </c>
      <c r="H14644">
             </c>
      <c r="I14644" t="s">
        <v>14</v>
      </c>
      <c r="J14644" t="s">
        <v>141</v>
      </c>
      <c r="K14644" t="s">
        <v>14</v>
      </c>
      <c r="L14644" t="s">
        <v>20</v>
      </c>
      <c r="M14644" t="s">
        <v>28033</v>
      </c>
      <c r="N14644" t="s">
        <v>14</v>
      </c>
    </row>
    <row r="14645" x14ac:dyDescent="0.25">
      <c r="A14645" t="n">
        <v>22</v>
      </c>
      <c r="B14645" t="s">
        <v>14</v>
      </c>
      <c r="C14645" t="s">
        <v>22</v>
      </c>
      <c r="D14645" s="2" t="s">
        <f>=HYPERLINK("https://main.knesset.gov.il/APPS/legislation/main/bills/2083568", "הצעת חוק התפזרות הכנסת העשרים ושתיים, התש""ף-2019")</f>
        <v>28151</v>
      </c>
      <c r="E14645" t="s">
        <v>28151</v>
      </c>
      <c r="F14645" t="s">
        <v>28152</v>
      </c>
      <c r="G14645" t="s">
        <v>14</v>
      </c>
      <c r="H14645">
             </c>
      <c r="I14645" t="s">
        <v>14</v>
      </c>
      <c r="J14645" t="s">
        <v>141</v>
      </c>
      <c r="K14645" t="s">
        <v>14</v>
      </c>
      <c r="L14645" t="s">
        <v>20</v>
      </c>
      <c r="M14645" t="s">
        <v>28033</v>
      </c>
      <c r="N14645" t="s">
        <v>14</v>
      </c>
    </row>
    <row r="14646" x14ac:dyDescent="0.25">
      <c r="A14646" t="n">
        <v>22</v>
      </c>
      <c r="B14646" t="s">
        <v>14</v>
      </c>
      <c r="C14646" t="s">
        <v>22</v>
      </c>
      <c r="D14646" s="2" t="s">
        <f>=HYPERLINK("https://main.knesset.gov.il/APPS/legislation/main/bills/2083604", "הצעת חוק יחסי ממון בין בני זוג (תיקון - הפקעת זכות האיזון מבן זוג שהורשע ברצח בן הזוג השני), התש""ף-2019")</f>
        <v>28153</v>
      </c>
      <c r="E14646" t="s">
        <v>28153</v>
      </c>
      <c r="F14646" t="s">
        <v>28154</v>
      </c>
      <c r="G14646" t="s">
        <v>14</v>
      </c>
      <c r="H14646">
             </c>
      <c r="I14646" t="s">
        <v>14</v>
      </c>
      <c r="J14646" t="s">
        <v>141</v>
      </c>
      <c r="K14646" t="s">
        <v>14</v>
      </c>
      <c r="L14646" t="s">
        <v>20</v>
      </c>
      <c r="M14646" t="s">
        <v>28033</v>
      </c>
      <c r="N14646" t="s">
        <v>14</v>
      </c>
    </row>
    <row r="14647" x14ac:dyDescent="0.25">
      <c r="A14647" t="n">
        <v>22</v>
      </c>
      <c r="B14647" t="s">
        <v>14</v>
      </c>
      <c r="C14647" t="s">
        <v>22</v>
      </c>
      <c r="D14647" s="2" t="s">
        <f>=HYPERLINK("https://main.knesset.gov.il/APPS/legislation/main/bills/2083470", "הצעת חוק בתי המשפט (תיקון - שימוע ובחירות חשאיות לשופטי בית המשפט העליון), התש""ף-2019")</f>
        <v>28155</v>
      </c>
      <c r="E14647" t="s">
        <v>28155</v>
      </c>
      <c r="F14647" t="s">
        <v>28156</v>
      </c>
      <c r="G14647" t="s">
        <v>14</v>
      </c>
      <c r="H14647">
             </c>
      <c r="I14647" t="s">
        <v>14</v>
      </c>
      <c r="J14647" t="s">
        <v>141</v>
      </c>
      <c r="K14647" t="s">
        <v>14</v>
      </c>
      <c r="L14647" t="s">
        <v>20</v>
      </c>
      <c r="M14647" t="s">
        <v>28033</v>
      </c>
      <c r="N14647" t="s">
        <v>14</v>
      </c>
    </row>
    <row r="14648" x14ac:dyDescent="0.25">
      <c r="A14648" t="n">
        <v>22</v>
      </c>
      <c r="B14648" t="s">
        <v>14</v>
      </c>
      <c r="C14648" t="s">
        <v>22</v>
      </c>
      <c r="D14648" s="2" t="s">
        <f>=HYPERLINK("https://main.knesset.gov.il/APPS/legislation/main/bills/2083099", "הצעת חוק החזר גביית יתר (תיקוני חקיקה), התש""ף-2019")</f>
        <v>28157</v>
      </c>
      <c r="E14648" t="s">
        <v>28157</v>
      </c>
      <c r="F14648" t="s">
        <v>28158</v>
      </c>
      <c r="G14648" t="s">
        <v>14</v>
      </c>
      <c r="H14648">
             </c>
      <c r="I14648" t="s">
        <v>14</v>
      </c>
      <c r="J14648" t="s">
        <v>141</v>
      </c>
      <c r="K14648" t="s">
        <v>14</v>
      </c>
      <c r="L14648" t="s">
        <v>20</v>
      </c>
      <c r="M14648" t="s">
        <v>28033</v>
      </c>
      <c r="N14648" t="s">
        <v>14</v>
      </c>
    </row>
    <row r="14649" x14ac:dyDescent="0.25">
      <c r="A14649" t="n">
        <v>22</v>
      </c>
      <c r="B14649" t="s">
        <v>14</v>
      </c>
      <c r="C14649" t="s">
        <v>22</v>
      </c>
      <c r="D14649" s="2" t="s">
        <f>=HYPERLINK("https://main.knesset.gov.il/APPS/legislation/main/bills/2082036", "הצעת חוק לתיקון פקודת התעבורה (שירותי תחבורה ציבורית ללא תשלום), התש""ף-2019")</f>
        <v>28159</v>
      </c>
      <c r="E14649" t="s">
        <v>28159</v>
      </c>
      <c r="F14649" t="s">
        <v>28160</v>
      </c>
      <c r="G14649" t="s">
        <v>14</v>
      </c>
      <c r="H14649">
             </c>
      <c r="I14649" t="s">
        <v>14</v>
      </c>
      <c r="J14649" t="s">
        <v>141</v>
      </c>
      <c r="K14649" t="s">
        <v>14</v>
      </c>
      <c r="L14649" t="s">
        <v>20</v>
      </c>
      <c r="M14649" t="s">
        <v>28033</v>
      </c>
      <c r="N14649" t="s">
        <v>14</v>
      </c>
    </row>
    <row r="14650" x14ac:dyDescent="0.25">
      <c r="A14650" t="n">
        <v>22</v>
      </c>
      <c r="B14650" t="s">
        <v>14</v>
      </c>
      <c r="C14650" t="s">
        <v>22</v>
      </c>
      <c r="D14650" s="2" t="s">
        <f>=HYPERLINK("https://main.knesset.gov.il/APPS/legislation/main/bills/2083021", "הצעת חוק החינוך המוסיקלי בישראל, התש""ף-2019")</f>
        <v>28161</v>
      </c>
      <c r="E14650" t="s">
        <v>28161</v>
      </c>
      <c r="F14650" t="s">
        <v>28162</v>
      </c>
      <c r="G14650" t="s">
        <v>14</v>
      </c>
      <c r="H14650">
             </c>
      <c r="I14650" t="s">
        <v>14</v>
      </c>
      <c r="J14650" t="s">
        <v>141</v>
      </c>
      <c r="K14650" t="s">
        <v>14</v>
      </c>
      <c r="L14650" t="s">
        <v>20</v>
      </c>
      <c r="M14650" t="s">
        <v>28033</v>
      </c>
      <c r="N14650" t="s">
        <v>14</v>
      </c>
    </row>
    <row r="14651" x14ac:dyDescent="0.25">
      <c r="A14651" t="n">
        <v>22</v>
      </c>
      <c r="B14651" t="s">
        <v>14</v>
      </c>
      <c r="C14651" t="s">
        <v>22</v>
      </c>
      <c r="D14651" s="2" t="s">
        <f>=HYPERLINK("https://main.knesset.gov.il/APPS/legislation/main/bills/2082699", "הצעת חוק שעות עבודה ומנוחה (תיקון - קיצור שבוע העבודה), התש""ף-2019")</f>
        <v>27620</v>
      </c>
      <c r="E14651" t="s">
        <v>27620</v>
      </c>
      <c r="F14651" t="s">
        <v>28163</v>
      </c>
      <c r="G14651" t="s">
        <v>14</v>
      </c>
      <c r="H14651">
             </c>
      <c r="I14651" t="s">
        <v>14</v>
      </c>
      <c r="J14651" t="s">
        <v>141</v>
      </c>
      <c r="K14651" t="s">
        <v>14</v>
      </c>
      <c r="L14651" t="s">
        <v>20</v>
      </c>
      <c r="M14651" t="s">
        <v>28033</v>
      </c>
      <c r="N14651" t="s">
        <v>14</v>
      </c>
    </row>
    <row r="14652" x14ac:dyDescent="0.25">
      <c r="A14652" t="n">
        <v>22</v>
      </c>
      <c r="B14652" t="s">
        <v>14</v>
      </c>
      <c r="C14652" t="s">
        <v>22</v>
      </c>
      <c r="D14652" s="2" t="s">
        <f>=HYPERLINK("https://main.knesset.gov.il/APPS/legislation/main/bills/2082080", "הצעת חוק לתיקון פקודת התעבורה (הגבלת מתן רישיון נהיגה לטרקטורון), התש""ף-2019 ")</f>
        <v>28164</v>
      </c>
      <c r="E14652" t="s">
        <v>28164</v>
      </c>
      <c r="F14652" t="s">
        <v>28165</v>
      </c>
      <c r="G14652" t="s">
        <v>14</v>
      </c>
      <c r="H14652">
             </c>
      <c r="I14652" t="s">
        <v>14</v>
      </c>
      <c r="J14652" t="s">
        <v>141</v>
      </c>
      <c r="K14652" t="s">
        <v>14</v>
      </c>
      <c r="L14652" t="s">
        <v>20</v>
      </c>
      <c r="M14652" t="s">
        <v>28033</v>
      </c>
      <c r="N14652" t="s">
        <v>14</v>
      </c>
    </row>
    <row r="14653" x14ac:dyDescent="0.25">
      <c r="A14653" t="n">
        <v>22</v>
      </c>
      <c r="B14653" t="s">
        <v>14</v>
      </c>
      <c r="C14653" t="s">
        <v>22</v>
      </c>
      <c r="D14653" s="2" t="s">
        <f>=HYPERLINK("https://main.knesset.gov.il/APPS/legislation/main/bills/2082658", "הצעת חוק הגנה על עובדים (חשיפת עבירות ופגיעה בטוהר המידות או במינהל התקין) (תיקון - הגדלת סכום הפיצוי שאינו תלוי בנזק ושינוי נטל ההוכחה), התש""ף-2019")</f>
        <v>28166</v>
      </c>
      <c r="E14653" t="s">
        <v>28166</v>
      </c>
      <c r="F14653" t="s">
        <v>28167</v>
      </c>
      <c r="G14653" t="s">
        <v>14</v>
      </c>
      <c r="H14653">
             </c>
      <c r="I14653" t="s">
        <v>14</v>
      </c>
      <c r="J14653" t="s">
        <v>141</v>
      </c>
      <c r="K14653" t="s">
        <v>14</v>
      </c>
      <c r="L14653" t="s">
        <v>20</v>
      </c>
      <c r="M14653" t="s">
        <v>28033</v>
      </c>
      <c r="N14653" t="s">
        <v>14</v>
      </c>
    </row>
    <row r="14654" x14ac:dyDescent="0.25">
      <c r="A14654" t="n">
        <v>22</v>
      </c>
      <c r="B14654" t="s">
        <v>14</v>
      </c>
      <c r="C14654" t="s">
        <v>22</v>
      </c>
      <c r="D14654" s="2" t="s">
        <f>=HYPERLINK("https://main.knesset.gov.il/APPS/legislation/main/bills/2083092", "הצעת חוק השיפוט הצבאי (תיקון - סייג לגרימת מוות בפעילות מבצעית), התש""ף-2019")</f>
        <v>28168</v>
      </c>
      <c r="E14654" t="s">
        <v>28168</v>
      </c>
      <c r="F14654" t="s">
        <v>28169</v>
      </c>
      <c r="G14654" t="s">
        <v>14</v>
      </c>
      <c r="H14654">
             </c>
      <c r="I14654" t="s">
        <v>14</v>
      </c>
      <c r="J14654" t="s">
        <v>141</v>
      </c>
      <c r="K14654" t="s">
        <v>14</v>
      </c>
      <c r="L14654" t="s">
        <v>20</v>
      </c>
      <c r="M14654" t="s">
        <v>28033</v>
      </c>
      <c r="N14654" t="s">
        <v>14</v>
      </c>
    </row>
    <row r="14655" x14ac:dyDescent="0.25">
      <c r="A14655" t="n">
        <v>22</v>
      </c>
      <c r="B14655" t="s">
        <v>14</v>
      </c>
      <c r="C14655" t="s">
        <v>22</v>
      </c>
      <c r="D14655" s="2" t="s">
        <f>=HYPERLINK("https://main.knesset.gov.il/APPS/legislation/main/bills/2081463", "הצעת חוק חניה לנכים (תיקון - תג נכה אישי), התש""ף-2019")</f>
        <v>28170</v>
      </c>
      <c r="E14655" t="s">
        <v>28170</v>
      </c>
      <c r="F14655" t="s">
        <v>28171</v>
      </c>
      <c r="G14655" t="s">
        <v>14</v>
      </c>
      <c r="H14655">
             </c>
      <c r="I14655" t="s">
        <v>14</v>
      </c>
      <c r="J14655" t="s">
        <v>141</v>
      </c>
      <c r="K14655" t="s">
        <v>14</v>
      </c>
      <c r="L14655" t="s">
        <v>20</v>
      </c>
      <c r="M14655" t="s">
        <v>28033</v>
      </c>
      <c r="N14655" t="s">
        <v>14</v>
      </c>
    </row>
    <row r="14656" x14ac:dyDescent="0.25">
      <c r="A14656" t="n">
        <v>22</v>
      </c>
      <c r="B14656" t="s">
        <v>14</v>
      </c>
      <c r="C14656" t="s">
        <v>22</v>
      </c>
      <c r="D14656" s="2" t="s">
        <f>=HYPERLINK("https://main.knesset.gov.il/APPS/legislation/main/bills/2082347", "הצעת חוק לתיקון פקודת מס הכנסה (פטור ממס בגין משיכה הונית מקופת גמל), התש""ף-2019")</f>
        <v>28172</v>
      </c>
      <c r="E14656" t="s">
        <v>28172</v>
      </c>
      <c r="F14656" t="s">
        <v>28173</v>
      </c>
      <c r="G14656" t="s">
        <v>14</v>
      </c>
      <c r="H14656">
             </c>
      <c r="I14656" t="s">
        <v>14</v>
      </c>
      <c r="J14656" t="s">
        <v>141</v>
      </c>
      <c r="K14656" t="s">
        <v>14</v>
      </c>
      <c r="L14656" t="s">
        <v>20</v>
      </c>
      <c r="M14656" t="s">
        <v>28033</v>
      </c>
      <c r="N14656" t="s">
        <v>14</v>
      </c>
    </row>
    <row r="14657" x14ac:dyDescent="0.25">
      <c r="A14657" t="n">
        <v>22</v>
      </c>
      <c r="B14657" t="s">
        <v>14</v>
      </c>
      <c r="C14657" t="s">
        <v>22</v>
      </c>
      <c r="D14657" s="2" t="s">
        <f>=HYPERLINK("https://main.knesset.gov.il/APPS/legislation/main/bills/2082099", "הצעת חוק הביטוח הלאומי (תיקון - דמי לידה לעצמאיות - מתן זכות לעבודה חלקית), התש""ף-2019")</f>
        <v>28174</v>
      </c>
      <c r="E14657" t="s">
        <v>28174</v>
      </c>
      <c r="F14657" t="s">
        <v>28175</v>
      </c>
      <c r="G14657" t="s">
        <v>14</v>
      </c>
      <c r="H14657">
             </c>
      <c r="I14657" t="s">
        <v>14</v>
      </c>
      <c r="J14657" t="s">
        <v>141</v>
      </c>
      <c r="K14657" t="s">
        <v>14</v>
      </c>
      <c r="L14657" t="s">
        <v>20</v>
      </c>
      <c r="M14657" t="s">
        <v>28033</v>
      </c>
      <c r="N14657" t="s">
        <v>14</v>
      </c>
    </row>
    <row r="14658" x14ac:dyDescent="0.25">
      <c r="A14658" t="n">
        <v>22</v>
      </c>
      <c r="B14658" t="s">
        <v>14</v>
      </c>
      <c r="C14658" t="s">
        <v>22</v>
      </c>
      <c r="D14658" s="2" t="s">
        <f>=HYPERLINK("https://main.knesset.gov.il/APPS/legislation/main/bills/2082324", "הצעת חוק לתיקון פקודת מס הכנסה (ניכוי תשלומים לעצמאים), התש""ף-2019")</f>
        <v>28176</v>
      </c>
      <c r="E14658" t="s">
        <v>28176</v>
      </c>
      <c r="F14658" t="s">
        <v>28177</v>
      </c>
      <c r="G14658" t="s">
        <v>14</v>
      </c>
      <c r="H14658">
             </c>
      <c r="I14658" t="s">
        <v>14</v>
      </c>
      <c r="J14658" t="s">
        <v>141</v>
      </c>
      <c r="K14658" t="s">
        <v>14</v>
      </c>
      <c r="L14658" t="s">
        <v>20</v>
      </c>
      <c r="M14658" t="s">
        <v>28033</v>
      </c>
      <c r="N14658" t="s">
        <v>14</v>
      </c>
    </row>
    <row r="14659" x14ac:dyDescent="0.25">
      <c r="A14659" t="n">
        <v>22</v>
      </c>
      <c r="B14659" t="s">
        <v>14</v>
      </c>
      <c r="C14659" t="s">
        <v>22</v>
      </c>
      <c r="D14659" s="2" t="s">
        <f>=HYPERLINK("https://main.knesset.gov.il/APPS/legislation/main/bills/2083621", "הצעת חוק חינוך פיננסי, התש""ף-2019")</f>
        <v>28178</v>
      </c>
      <c r="E14659" t="s">
        <v>28178</v>
      </c>
      <c r="F14659" t="s">
        <v>28179</v>
      </c>
      <c r="G14659" t="s">
        <v>14</v>
      </c>
      <c r="H14659">
             </c>
      <c r="I14659" t="s">
        <v>14</v>
      </c>
      <c r="J14659" t="s">
        <v>141</v>
      </c>
      <c r="K14659" t="s">
        <v>14</v>
      </c>
      <c r="L14659" t="s">
        <v>20</v>
      </c>
      <c r="M14659" t="s">
        <v>28033</v>
      </c>
      <c r="N14659" t="s">
        <v>14</v>
      </c>
    </row>
    <row r="14660" x14ac:dyDescent="0.25">
      <c r="A14660" t="n">
        <v>22</v>
      </c>
      <c r="B14660" t="s">
        <v>14</v>
      </c>
      <c r="C14660" t="s">
        <v>22</v>
      </c>
      <c r="D14660" s="2" t="s">
        <f>=HYPERLINK("https://main.knesset.gov.il/APPS/legislation/main/bills/2082812", "הצעת חוק שירותי הדת היהודיים (תיקון - דין משמעתי לרבני ערים), התש""ף-2019")</f>
        <v>28180</v>
      </c>
      <c r="E14660" t="s">
        <v>28180</v>
      </c>
      <c r="F14660" t="s">
        <v>28181</v>
      </c>
      <c r="G14660" t="s">
        <v>14</v>
      </c>
      <c r="H14660">
             </c>
      <c r="I14660" t="s">
        <v>14</v>
      </c>
      <c r="J14660" t="s">
        <v>141</v>
      </c>
      <c r="K14660" t="s">
        <v>14</v>
      </c>
      <c r="L14660" t="s">
        <v>20</v>
      </c>
      <c r="M14660" t="s">
        <v>28033</v>
      </c>
      <c r="N14660" t="s">
        <v>14</v>
      </c>
    </row>
    <row r="14661" x14ac:dyDescent="0.25">
      <c r="A14661" t="n">
        <v>22</v>
      </c>
      <c r="B14661" t="s">
        <v>14</v>
      </c>
      <c r="C14661" t="s">
        <v>22</v>
      </c>
      <c r="D14661" s="2" t="s">
        <f>=HYPERLINK("https://main.knesset.gov.il/APPS/legislation/main/bills/2082367", "הצעת חוק המועצה הישראלית לצרכנות (תיקון - ודאות תקציבית), התש""ף-2019")</f>
        <v>28182</v>
      </c>
      <c r="E14661" t="s">
        <v>28182</v>
      </c>
      <c r="F14661" t="s">
        <v>28183</v>
      </c>
      <c r="G14661" t="s">
        <v>14</v>
      </c>
      <c r="H14661">
             </c>
      <c r="I14661" t="s">
        <v>14</v>
      </c>
      <c r="J14661" t="s">
        <v>141</v>
      </c>
      <c r="K14661" t="s">
        <v>14</v>
      </c>
      <c r="L14661" t="s">
        <v>20</v>
      </c>
      <c r="M14661" t="s">
        <v>28033</v>
      </c>
      <c r="N14661" t="s">
        <v>14</v>
      </c>
    </row>
    <row r="14662" x14ac:dyDescent="0.25">
      <c r="A14662" t="n">
        <v>22</v>
      </c>
      <c r="B14662" t="s">
        <v>14</v>
      </c>
      <c r="C14662" t="s">
        <v>22</v>
      </c>
      <c r="D14662" s="2" t="s">
        <f>=HYPERLINK("https://main.knesset.gov.il/APPS/legislation/main/bills/2081729", "הצעת חוק איסור פרסומת והגבלת השיווק של מוצרי טבק ועישון (תיקון - פרסומות מנע של חברות הטבק), התש""ף-2019")</f>
        <v>28184</v>
      </c>
      <c r="E14662" t="s">
        <v>28184</v>
      </c>
      <c r="F14662" t="s">
        <v>28185</v>
      </c>
      <c r="G14662" t="s">
        <v>14</v>
      </c>
      <c r="H14662">
             </c>
      <c r="I14662" t="s">
        <v>14</v>
      </c>
      <c r="J14662" t="s">
        <v>141</v>
      </c>
      <c r="K14662" t="s">
        <v>14</v>
      </c>
      <c r="L14662" t="s">
        <v>20</v>
      </c>
      <c r="M14662" t="s">
        <v>28033</v>
      </c>
      <c r="N14662" t="s">
        <v>14</v>
      </c>
    </row>
    <row r="14663" x14ac:dyDescent="0.25">
      <c r="A14663" t="n">
        <v>22</v>
      </c>
      <c r="B14663" t="s">
        <v>14</v>
      </c>
      <c r="C14663" t="s">
        <v>22</v>
      </c>
      <c r="D14663" s="2" t="s">
        <f>=HYPERLINK("https://main.knesset.gov.il/APPS/legislation/main/bills/2082195", "הצעת חוק הפיקוח על מעונות יום לפעוטות (תיקון - חובת החזקת ערכת עזרה ראשונה), התש""ף-2019")</f>
        <v>28186</v>
      </c>
      <c r="E14663" t="s">
        <v>28186</v>
      </c>
      <c r="F14663" t="s">
        <v>28187</v>
      </c>
      <c r="G14663" t="s">
        <v>14</v>
      </c>
      <c r="H14663">
             </c>
      <c r="I14663" t="s">
        <v>14</v>
      </c>
      <c r="J14663" t="s">
        <v>141</v>
      </c>
      <c r="K14663" t="s">
        <v>14</v>
      </c>
      <c r="L14663" t="s">
        <v>20</v>
      </c>
      <c r="M14663" t="s">
        <v>28033</v>
      </c>
      <c r="N14663" t="s">
        <v>14</v>
      </c>
    </row>
    <row r="14664" x14ac:dyDescent="0.25">
      <c r="A14664" t="n">
        <v>22</v>
      </c>
      <c r="B14664" t="s">
        <v>14</v>
      </c>
      <c r="C14664" t="s">
        <v>22</v>
      </c>
      <c r="D14664" s="2" t="s">
        <f>=HYPERLINK("https://main.knesset.gov.il/APPS/legislation/main/bills/2081470", "הצעת חוק הבטחת הכנסה (תיקון - הגדלת הסכום שלא יובא בחשבון), התש""ף-2019")</f>
        <v>28188</v>
      </c>
      <c r="E14664" t="s">
        <v>28188</v>
      </c>
      <c r="F14664" t="s">
        <v>28189</v>
      </c>
      <c r="G14664" t="s">
        <v>14</v>
      </c>
      <c r="H14664">
             </c>
      <c r="I14664" t="s">
        <v>14</v>
      </c>
      <c r="J14664" t="s">
        <v>141</v>
      </c>
      <c r="K14664" t="s">
        <v>14</v>
      </c>
      <c r="L14664" t="s">
        <v>20</v>
      </c>
      <c r="M14664" t="s">
        <v>28033</v>
      </c>
      <c r="N14664" t="s">
        <v>14</v>
      </c>
    </row>
    <row r="14665" x14ac:dyDescent="0.25">
      <c r="A14665" t="n">
        <v>22</v>
      </c>
      <c r="B14665" t="s">
        <v>14</v>
      </c>
      <c r="C14665" t="s">
        <v>22</v>
      </c>
      <c r="D14665" s="2" t="s">
        <f>=HYPERLINK("https://main.knesset.gov.il/APPS/legislation/main/bills/2083027", "הצעת חוק סייעות במוסדות חינוך, התש""ף-2019")</f>
        <v>28190</v>
      </c>
      <c r="E14665" t="s">
        <v>28190</v>
      </c>
      <c r="F14665" t="s">
        <v>28191</v>
      </c>
      <c r="G14665" t="s">
        <v>14</v>
      </c>
      <c r="H14665">
             </c>
      <c r="I14665" t="s">
        <v>14</v>
      </c>
      <c r="J14665" t="s">
        <v>141</v>
      </c>
      <c r="K14665" t="s">
        <v>14</v>
      </c>
      <c r="L14665" t="s">
        <v>20</v>
      </c>
      <c r="M14665" t="s">
        <v>28033</v>
      </c>
      <c r="N14665" t="s">
        <v>14</v>
      </c>
    </row>
    <row r="14666" x14ac:dyDescent="0.25">
      <c r="A14666" t="n">
        <v>22</v>
      </c>
      <c r="B14666" t="s">
        <v>14</v>
      </c>
      <c r="C14666" t="s">
        <v>22</v>
      </c>
      <c r="D14666" s="2" t="s">
        <f>=HYPERLINK("https://main.knesset.gov.il/APPS/legislation/main/bills/2083465", "הצעת חוק סבסוד קייטנות להורים עובדים בפריפריה, התש""ף-2019")</f>
        <v>28192</v>
      </c>
      <c r="E14666" t="s">
        <v>28192</v>
      </c>
      <c r="F14666" t="s">
        <v>28193</v>
      </c>
      <c r="G14666" t="s">
        <v>14</v>
      </c>
      <c r="H14666">
             </c>
      <c r="I14666" t="s">
        <v>14</v>
      </c>
      <c r="J14666" t="s">
        <v>141</v>
      </c>
      <c r="K14666" t="s">
        <v>14</v>
      </c>
      <c r="L14666" t="s">
        <v>20</v>
      </c>
      <c r="M14666" t="s">
        <v>28033</v>
      </c>
      <c r="N14666" t="s">
        <v>14</v>
      </c>
    </row>
    <row r="14667" x14ac:dyDescent="0.25">
      <c r="A14667" t="n">
        <v>22</v>
      </c>
      <c r="B14667" t="s">
        <v>14</v>
      </c>
      <c r="C14667" t="s">
        <v>22</v>
      </c>
      <c r="D14667" s="2" t="s">
        <f>=HYPERLINK("https://main.knesset.gov.il/APPS/legislation/main/bills/2082929", "הצעת חוק לתיקון פקודת מס הכנסה (ניכוי סכומים שהוצאו לצורך טיפול בילד), התש""ף-2019")</f>
        <v>28194</v>
      </c>
      <c r="E14667" t="s">
        <v>28194</v>
      </c>
      <c r="F14667" t="s">
        <v>28195</v>
      </c>
      <c r="G14667" t="s">
        <v>14</v>
      </c>
      <c r="H14667">
             </c>
      <c r="I14667" t="s">
        <v>14</v>
      </c>
      <c r="J14667" t="s">
        <v>141</v>
      </c>
      <c r="K14667" t="s">
        <v>14</v>
      </c>
      <c r="L14667" t="s">
        <v>20</v>
      </c>
      <c r="M14667" t="s">
        <v>28033</v>
      </c>
      <c r="N14667" t="s">
        <v>14</v>
      </c>
    </row>
    <row r="14668" x14ac:dyDescent="0.25">
      <c r="A14668" t="n">
        <v>22</v>
      </c>
      <c r="B14668" t="s">
        <v>14</v>
      </c>
      <c r="C14668" t="s">
        <v>22</v>
      </c>
      <c r="D14668" s="2" t="s">
        <f>=HYPERLINK("https://main.knesset.gov.il/APPS/legislation/main/bills/2082920", "הצעת חוק הביטוח הלאומי (תיקון - החרגת כספי פנסיה ממדינת חוץ בחישוב הכנסה), התש""ף-2019")</f>
        <v>28196</v>
      </c>
      <c r="E14668" t="s">
        <v>28196</v>
      </c>
      <c r="F14668" t="s">
        <v>28197</v>
      </c>
      <c r="G14668" t="s">
        <v>14</v>
      </c>
      <c r="H14668">
             </c>
      <c r="I14668" t="s">
        <v>14</v>
      </c>
      <c r="J14668" t="s">
        <v>141</v>
      </c>
      <c r="K14668" t="s">
        <v>14</v>
      </c>
      <c r="L14668" t="s">
        <v>20</v>
      </c>
      <c r="M14668" t="s">
        <v>28033</v>
      </c>
      <c r="N14668" t="s">
        <v>14</v>
      </c>
    </row>
    <row r="14669" x14ac:dyDescent="0.25">
      <c r="A14669" t="n">
        <v>22</v>
      </c>
      <c r="B14669" t="s">
        <v>14</v>
      </c>
      <c r="C14669" t="s">
        <v>22</v>
      </c>
      <c r="D14669" s="2" t="s">
        <f>=HYPERLINK("https://main.knesset.gov.il/APPS/legislation/main/bills/2082954", "הצעת חוק הביטוח הלאומי (תיקון - דמי פגיעה לעצמאי), התש""ף-2019")</f>
        <v>28198</v>
      </c>
      <c r="E14669" t="s">
        <v>28198</v>
      </c>
      <c r="F14669" t="s">
        <v>28199</v>
      </c>
      <c r="G14669" t="s">
        <v>14</v>
      </c>
      <c r="H14669">
             </c>
      <c r="I14669" t="s">
        <v>14</v>
      </c>
      <c r="J14669" t="s">
        <v>141</v>
      </c>
      <c r="K14669" t="s">
        <v>14</v>
      </c>
      <c r="L14669" t="s">
        <v>20</v>
      </c>
      <c r="M14669" t="s">
        <v>28033</v>
      </c>
      <c r="N14669" t="s">
        <v>14</v>
      </c>
    </row>
    <row r="14670" x14ac:dyDescent="0.25">
      <c r="A14670" t="n">
        <v>22</v>
      </c>
      <c r="B14670" t="s">
        <v>14</v>
      </c>
      <c r="C14670" t="s">
        <v>22</v>
      </c>
      <c r="D14670" s="2" t="s">
        <f>=HYPERLINK("https://main.knesset.gov.il/APPS/legislation/main/bills/2083371", "הצעת חוק הביטוח הלאומי (תיקון - קצבת תלויים וקצבת אזרח ותיק), התש""ף-2019")</f>
        <v>28200</v>
      </c>
      <c r="E14670" t="s">
        <v>28200</v>
      </c>
      <c r="F14670" t="s">
        <v>28201</v>
      </c>
      <c r="G14670" t="s">
        <v>14</v>
      </c>
      <c r="H14670">
             </c>
      <c r="I14670" t="s">
        <v>14</v>
      </c>
      <c r="J14670" t="s">
        <v>141</v>
      </c>
      <c r="K14670" t="s">
        <v>14</v>
      </c>
      <c r="L14670" t="s">
        <v>20</v>
      </c>
      <c r="M14670" t="s">
        <v>28033</v>
      </c>
      <c r="N14670" t="s">
        <v>14</v>
      </c>
    </row>
    <row r="14671" x14ac:dyDescent="0.25">
      <c r="A14671" t="n">
        <v>22</v>
      </c>
      <c r="B14671" t="s">
        <v>14</v>
      </c>
      <c r="C14671" t="s">
        <v>22</v>
      </c>
      <c r="D14671" s="2" t="s">
        <f>=HYPERLINK("https://main.knesset.gov.il/APPS/legislation/main/bills/2082066", "הצעת חוק שירותי תעופה (פיצוי וסיוע בשל ביטול טיסה או שינוי בתנאיה) (תיקון - שינוי זמני העיכוב המזכים בהחזר כספי או בכרטיס טיסה חלופי), התש""ף-2019")</f>
        <v>28202</v>
      </c>
      <c r="E14671" t="s">
        <v>28202</v>
      </c>
      <c r="F14671" t="s">
        <v>28203</v>
      </c>
      <c r="G14671" t="s">
        <v>14</v>
      </c>
      <c r="H14671">
             </c>
      <c r="I14671" t="s">
        <v>14</v>
      </c>
      <c r="J14671" t="s">
        <v>141</v>
      </c>
      <c r="K14671" t="s">
        <v>14</v>
      </c>
      <c r="L14671" t="s">
        <v>20</v>
      </c>
      <c r="M14671" t="s">
        <v>28033</v>
      </c>
      <c r="N14671" t="s">
        <v>14</v>
      </c>
    </row>
    <row r="14672" x14ac:dyDescent="0.25">
      <c r="A14672" t="n">
        <v>22</v>
      </c>
      <c r="B14672" t="s">
        <v>14</v>
      </c>
      <c r="C14672" t="s">
        <v>22</v>
      </c>
      <c r="D14672" s="2" t="s">
        <f>=HYPERLINK("https://main.knesset.gov.il/APPS/legislation/main/bills/2082970", "הצעת חוק ביטוח בריאות ממלכתי (תיקון - רפואת שיניים לאנשים שמלאו להם 60 שנים), התש""ף-2019")</f>
        <v>28204</v>
      </c>
      <c r="E14672" t="s">
        <v>28204</v>
      </c>
      <c r="F14672" t="s">
        <v>28205</v>
      </c>
      <c r="G14672" t="s">
        <v>14</v>
      </c>
      <c r="H14672">
             </c>
      <c r="I14672" t="s">
        <v>14</v>
      </c>
      <c r="J14672" t="s">
        <v>141</v>
      </c>
      <c r="K14672" t="s">
        <v>14</v>
      </c>
      <c r="L14672" t="s">
        <v>20</v>
      </c>
      <c r="M14672" t="s">
        <v>28033</v>
      </c>
      <c r="N14672" t="s">
        <v>14</v>
      </c>
    </row>
    <row r="14673" x14ac:dyDescent="0.25">
      <c r="A14673" t="n">
        <v>22</v>
      </c>
      <c r="B14673" t="s">
        <v>14</v>
      </c>
      <c r="C14673" t="s">
        <v>22</v>
      </c>
      <c r="D14673" s="2" t="s">
        <f>=HYPERLINK("https://main.knesset.gov.il/APPS/legislation/main/bills/2082225", "הצעת חוק שירות הציבור (הגבלות לאחר פרישה) (תיקון - תקופת צינון של עובדי אגף התקציבים במשרד האוצר במעבר למגזר הפרטי), התש""ף-2019")</f>
        <v>28206</v>
      </c>
      <c r="E14673" t="s">
        <v>28206</v>
      </c>
      <c r="F14673" t="s">
        <v>28207</v>
      </c>
      <c r="G14673" t="s">
        <v>14</v>
      </c>
      <c r="H14673">
             </c>
      <c r="I14673" t="s">
        <v>14</v>
      </c>
      <c r="J14673" t="s">
        <v>141</v>
      </c>
      <c r="K14673" t="s">
        <v>14</v>
      </c>
      <c r="L14673" t="s">
        <v>20</v>
      </c>
      <c r="M14673" t="s">
        <v>28033</v>
      </c>
      <c r="N14673" t="s">
        <v>14</v>
      </c>
    </row>
    <row r="14674" x14ac:dyDescent="0.25">
      <c r="A14674" t="n">
        <v>22</v>
      </c>
      <c r="B14674" t="s">
        <v>14</v>
      </c>
      <c r="C14674" t="s">
        <v>22</v>
      </c>
      <c r="D14674" s="2" t="s">
        <f>=HYPERLINK("https://main.knesset.gov.il/APPS/legislation/main/bills/2082634", "הצעת חוק האזרחים הוותיקים (תיקון - פטור מתשלום עבור שמירת מקום ישיבה בתחבורה ציבורית), התש""ף-2019")</f>
        <v>28208</v>
      </c>
      <c r="E14674" t="s">
        <v>28208</v>
      </c>
      <c r="F14674" t="s">
        <v>28209</v>
      </c>
      <c r="G14674" t="s">
        <v>14</v>
      </c>
      <c r="H14674">
             </c>
      <c r="I14674" t="s">
        <v>14</v>
      </c>
      <c r="J14674" t="s">
        <v>141</v>
      </c>
      <c r="K14674" t="s">
        <v>14</v>
      </c>
      <c r="L14674" t="s">
        <v>20</v>
      </c>
      <c r="M14674" t="s">
        <v>28033</v>
      </c>
      <c r="N14674" t="s">
        <v>14</v>
      </c>
    </row>
    <row r="14675" x14ac:dyDescent="0.25">
      <c r="A14675" t="n">
        <v>22</v>
      </c>
      <c r="B14675" t="s">
        <v>14</v>
      </c>
      <c r="C14675" t="s">
        <v>22</v>
      </c>
      <c r="D14675" s="2" t="s">
        <f>=HYPERLINK("https://main.knesset.gov.il/APPS/legislation/main/bills/2082137", "הצעת חוק הביטוח הלאומי (תיקון - זכאות לקבלת קצבת אזרח ותיק מלאה), התש""ף-2019")</f>
        <v>28210</v>
      </c>
      <c r="E14675" t="s">
        <v>28210</v>
      </c>
      <c r="F14675" t="s">
        <v>28211</v>
      </c>
      <c r="G14675" t="s">
        <v>14</v>
      </c>
      <c r="H14675">
             </c>
      <c r="I14675" t="s">
        <v>14</v>
      </c>
      <c r="J14675" t="s">
        <v>141</v>
      </c>
      <c r="K14675" t="s">
        <v>14</v>
      </c>
      <c r="L14675" t="s">
        <v>20</v>
      </c>
      <c r="M14675" t="s">
        <v>28033</v>
      </c>
      <c r="N14675" t="s">
        <v>14</v>
      </c>
    </row>
    <row r="14676" x14ac:dyDescent="0.25">
      <c r="A14676" t="n">
        <v>22</v>
      </c>
      <c r="B14676" t="s">
        <v>14</v>
      </c>
      <c r="C14676" t="s">
        <v>22</v>
      </c>
      <c r="D14676" s="2" t="s">
        <f>=HYPERLINK("https://main.knesset.gov.il/APPS/legislation/main/bills/2082758", "הצעת חוק הבטחת הכנסה (תיקון - גמלה לאם חד-הורית), התש""ף-2019")</f>
        <v>28212</v>
      </c>
      <c r="E14676" t="s">
        <v>28212</v>
      </c>
      <c r="F14676" t="s">
        <v>28213</v>
      </c>
      <c r="G14676" t="s">
        <v>14</v>
      </c>
      <c r="H14676">
             </c>
      <c r="I14676" t="s">
        <v>14</v>
      </c>
      <c r="J14676" t="s">
        <v>141</v>
      </c>
      <c r="K14676" t="s">
        <v>14</v>
      </c>
      <c r="L14676" t="s">
        <v>20</v>
      </c>
      <c r="M14676" t="s">
        <v>28033</v>
      </c>
      <c r="N14676" t="s">
        <v>14</v>
      </c>
    </row>
    <row r="14677" x14ac:dyDescent="0.25">
      <c r="A14677" t="n">
        <v>22</v>
      </c>
      <c r="B14677" t="s">
        <v>14</v>
      </c>
      <c r="C14677" t="s">
        <v>22</v>
      </c>
      <c r="D14677" s="2" t="s">
        <f>=HYPERLINK("https://main.knesset.gov.il/APPS/legislation/main/bills/2082055", "הצעת חוק שירותי תעופה (פיצוי וסיוע בשל ביטול טיסה או שינוי בתנאיה) (תיקון - פיצוי במקרה של איחור בטיסה), התש""ף-2019")</f>
        <v>28214</v>
      </c>
      <c r="E14677" t="s">
        <v>28214</v>
      </c>
      <c r="F14677" t="s">
        <v>28215</v>
      </c>
      <c r="G14677" t="s">
        <v>14</v>
      </c>
      <c r="H14677">
             </c>
      <c r="I14677" t="s">
        <v>14</v>
      </c>
      <c r="J14677" t="s">
        <v>141</v>
      </c>
      <c r="K14677" t="s">
        <v>14</v>
      </c>
      <c r="L14677" t="s">
        <v>20</v>
      </c>
      <c r="M14677" t="s">
        <v>28033</v>
      </c>
      <c r="N14677" t="s">
        <v>14</v>
      </c>
    </row>
    <row r="14678" x14ac:dyDescent="0.25">
      <c r="A14678" t="n">
        <v>22</v>
      </c>
      <c r="B14678" t="s">
        <v>14</v>
      </c>
      <c r="C14678" t="s">
        <v>22</v>
      </c>
      <c r="D14678" s="2" t="s">
        <f>=HYPERLINK("https://main.knesset.gov.il/APPS/legislation/main/bills/2082282", "הצעת חוק בתי דין רבניים (קיום פסקי דין של גירושין) (תיקון - חובת דיון בהטלת מאסר על סרבן גט), התש""ף-2019")</f>
        <v>28216</v>
      </c>
      <c r="E14678" t="s">
        <v>28216</v>
      </c>
      <c r="F14678" t="s">
        <v>28217</v>
      </c>
      <c r="G14678" t="s">
        <v>14</v>
      </c>
      <c r="H14678">
             </c>
      <c r="I14678" t="s">
        <v>14</v>
      </c>
      <c r="J14678" t="s">
        <v>141</v>
      </c>
      <c r="K14678" t="s">
        <v>14</v>
      </c>
      <c r="L14678" t="s">
        <v>20</v>
      </c>
      <c r="M14678" t="s">
        <v>28033</v>
      </c>
      <c r="N14678" t="s">
        <v>14</v>
      </c>
    </row>
    <row r="14679" x14ac:dyDescent="0.25">
      <c r="A14679" t="n">
        <v>22</v>
      </c>
      <c r="B14679" t="s">
        <v>14</v>
      </c>
      <c r="C14679" t="s">
        <v>22</v>
      </c>
      <c r="D14679" s="2" t="s">
        <f>=HYPERLINK("https://main.knesset.gov.il/APPS/legislation/main/bills/2082722", "הצעת חוק צער בעלי חיים (הגנה על בעלי חיים) (תיקון - איסור ניצול בעלי חיים למטרות הימורים), התש""ף-2019")</f>
        <v>28218</v>
      </c>
      <c r="E14679" t="s">
        <v>28218</v>
      </c>
      <c r="F14679" t="s">
        <v>28219</v>
      </c>
      <c r="G14679" t="s">
        <v>14</v>
      </c>
      <c r="H14679">
             </c>
      <c r="I14679" t="s">
        <v>14</v>
      </c>
      <c r="J14679" t="s">
        <v>141</v>
      </c>
      <c r="K14679" t="s">
        <v>14</v>
      </c>
      <c r="L14679" t="s">
        <v>20</v>
      </c>
      <c r="M14679" t="s">
        <v>28033</v>
      </c>
      <c r="N14679" t="s">
        <v>14</v>
      </c>
    </row>
    <row r="14680" x14ac:dyDescent="0.25">
      <c r="A14680" t="n">
        <v>22</v>
      </c>
      <c r="B14680" t="s">
        <v>14</v>
      </c>
      <c r="C14680" t="s">
        <v>22</v>
      </c>
      <c r="D14680" s="2" t="s">
        <f>=HYPERLINK("https://main.knesset.gov.il/APPS/legislation/main/bills/2082950", "הצעת חוק להסדרה ועידוד של מקצוע ההוראה, התש""ף-2019")</f>
        <v>28220</v>
      </c>
      <c r="E14680" t="s">
        <v>28220</v>
      </c>
      <c r="F14680" t="s">
        <v>28221</v>
      </c>
      <c r="G14680" t="s">
        <v>14</v>
      </c>
      <c r="H14680">
             </c>
      <c r="I14680" t="s">
        <v>14</v>
      </c>
      <c r="J14680" t="s">
        <v>141</v>
      </c>
      <c r="K14680" t="s">
        <v>14</v>
      </c>
      <c r="L14680" t="s">
        <v>20</v>
      </c>
      <c r="M14680" t="s">
        <v>28033</v>
      </c>
      <c r="N14680" t="s">
        <v>14</v>
      </c>
    </row>
    <row r="14681" x14ac:dyDescent="0.25">
      <c r="A14681" t="n">
        <v>22</v>
      </c>
      <c r="B14681" t="s">
        <v>14</v>
      </c>
      <c r="C14681" t="s">
        <v>22</v>
      </c>
      <c r="D14681" s="2" t="s">
        <f>=HYPERLINK("https://main.knesset.gov.il/APPS/legislation/main/bills/2082878", "הצעת חוק צער בעלי חיים (הגנה על בעלי חיים) (תיקון - איסור ניצול בעלי חיים למטרות הימורים), התש""ף-2019")</f>
        <v>28218</v>
      </c>
      <c r="E14681" t="s">
        <v>28218</v>
      </c>
      <c r="F14681" t="s">
        <v>28222</v>
      </c>
      <c r="G14681" t="s">
        <v>14</v>
      </c>
      <c r="H14681">
             </c>
      <c r="I14681" t="s">
        <v>14</v>
      </c>
      <c r="J14681" t="s">
        <v>141</v>
      </c>
      <c r="K14681" t="s">
        <v>14</v>
      </c>
      <c r="L14681" t="s">
        <v>20</v>
      </c>
      <c r="M14681" t="s">
        <v>28033</v>
      </c>
      <c r="N14681" t="s">
        <v>14</v>
      </c>
    </row>
    <row r="14682" x14ac:dyDescent="0.25">
      <c r="A14682" t="n">
        <v>22</v>
      </c>
      <c r="B14682" t="s">
        <v>14</v>
      </c>
      <c r="C14682" t="s">
        <v>22</v>
      </c>
      <c r="D14682" s="2" t="s">
        <f>=HYPERLINK("https://main.knesset.gov.il/APPS/legislation/main/bills/2082853", "הצעת חוק טיפול בחולי נפש (תיקון - בחירת מקום אשפוז), התש""ף-2019")</f>
        <v>28223</v>
      </c>
      <c r="E14682" t="s">
        <v>28223</v>
      </c>
      <c r="F14682" t="s">
        <v>28224</v>
      </c>
      <c r="G14682" t="s">
        <v>14</v>
      </c>
      <c r="H14682">
             </c>
      <c r="I14682" t="s">
        <v>14</v>
      </c>
      <c r="J14682" t="s">
        <v>141</v>
      </c>
      <c r="K14682" t="s">
        <v>14</v>
      </c>
      <c r="L14682" t="s">
        <v>20</v>
      </c>
      <c r="M14682" t="s">
        <v>28033</v>
      </c>
      <c r="N14682" t="s">
        <v>14</v>
      </c>
    </row>
    <row r="14683" x14ac:dyDescent="0.25">
      <c r="A14683" t="n">
        <v>22</v>
      </c>
      <c r="B14683" t="s">
        <v>14</v>
      </c>
      <c r="C14683" t="s">
        <v>22</v>
      </c>
      <c r="D14683" s="2" t="s">
        <f>=HYPERLINK("https://main.knesset.gov.il/APPS/legislation/main/bills/2082126", "הצעת חוק הביטוח הלאומי (תיקון - גמלה לשמירת הריון לאם שילדה פג), התש""ף-2019")</f>
        <v>28225</v>
      </c>
      <c r="E14683" t="s">
        <v>28225</v>
      </c>
      <c r="F14683" t="s">
        <v>28226</v>
      </c>
      <c r="G14683" t="s">
        <v>14</v>
      </c>
      <c r="H14683">
             </c>
      <c r="I14683" t="s">
        <v>14</v>
      </c>
      <c r="J14683" t="s">
        <v>141</v>
      </c>
      <c r="K14683" t="s">
        <v>14</v>
      </c>
      <c r="L14683" t="s">
        <v>20</v>
      </c>
      <c r="M14683" t="s">
        <v>28033</v>
      </c>
      <c r="N14683" t="s">
        <v>14</v>
      </c>
    </row>
    <row r="14684" x14ac:dyDescent="0.25">
      <c r="A14684" t="n">
        <v>22</v>
      </c>
      <c r="B14684" t="s">
        <v>14</v>
      </c>
      <c r="C14684" t="s">
        <v>22</v>
      </c>
      <c r="D14684" s="2" t="s">
        <f>=HYPERLINK("https://main.knesset.gov.il/APPS/legislation/main/bills/2082773", "הצעת חוק הבטחת הכנסה (תיקון - מסגרת שיקומית מזנות), התש""ף-2019")</f>
        <v>28227</v>
      </c>
      <c r="E14684" t="s">
        <v>28227</v>
      </c>
      <c r="F14684" t="s">
        <v>28228</v>
      </c>
      <c r="G14684" t="s">
        <v>14</v>
      </c>
      <c r="H14684">
             </c>
      <c r="I14684" t="s">
        <v>14</v>
      </c>
      <c r="J14684" t="s">
        <v>141</v>
      </c>
      <c r="K14684" t="s">
        <v>14</v>
      </c>
      <c r="L14684" t="s">
        <v>20</v>
      </c>
      <c r="M14684" t="s">
        <v>28033</v>
      </c>
      <c r="N14684" t="s">
        <v>14</v>
      </c>
    </row>
    <row r="14685" x14ac:dyDescent="0.25">
      <c r="A14685" t="n">
        <v>22</v>
      </c>
      <c r="B14685" t="s">
        <v>14</v>
      </c>
      <c r="C14685" t="s">
        <v>22</v>
      </c>
      <c r="D14685" s="2" t="s">
        <f>=HYPERLINK("https://main.knesset.gov.il/APPS/legislation/main/bills/2082924", "הצעת חוק למתן פטור מבחינות לרופאים ולעוסקים במקצועות הבריאות ממדינות מסוימות בחוץ לארץ בעלי ניסיון של חמש שנים (תיקוני חקיקה), התש""ף-2019")</f>
        <v>28229</v>
      </c>
      <c r="E14685" t="s">
        <v>28229</v>
      </c>
      <c r="F14685" t="s">
        <v>28230</v>
      </c>
      <c r="G14685" t="s">
        <v>14</v>
      </c>
      <c r="H14685">
             </c>
      <c r="I14685" t="s">
        <v>14</v>
      </c>
      <c r="J14685" t="s">
        <v>141</v>
      </c>
      <c r="K14685" t="s">
        <v>14</v>
      </c>
      <c r="L14685" t="s">
        <v>20</v>
      </c>
      <c r="M14685" t="s">
        <v>28033</v>
      </c>
      <c r="N14685" t="s">
        <v>14</v>
      </c>
    </row>
    <row r="14686" x14ac:dyDescent="0.25">
      <c r="A14686" t="n">
        <v>22</v>
      </c>
      <c r="B14686" t="s">
        <v>14</v>
      </c>
      <c r="C14686" t="s">
        <v>22</v>
      </c>
      <c r="D14686" s="2" t="s">
        <f>=HYPERLINK("https://main.knesset.gov.il/APPS/legislation/main/bills/2082277", "הצעת חוק למניעת אלימות במשפחה (תיקון - תכניות ומרכזי טיפול באלימות במשפחה), התש""ף-2019")</f>
        <v>28231</v>
      </c>
      <c r="E14686" t="s">
        <v>28231</v>
      </c>
      <c r="F14686" t="s">
        <v>28232</v>
      </c>
      <c r="G14686" t="s">
        <v>14</v>
      </c>
      <c r="H14686">
             </c>
      <c r="I14686" t="s">
        <v>14</v>
      </c>
      <c r="J14686" t="s">
        <v>141</v>
      </c>
      <c r="K14686" t="s">
        <v>14</v>
      </c>
      <c r="L14686" t="s">
        <v>20</v>
      </c>
      <c r="M14686" t="s">
        <v>28033</v>
      </c>
      <c r="N14686" t="s">
        <v>14</v>
      </c>
    </row>
    <row r="14687" x14ac:dyDescent="0.25">
      <c r="A14687" t="n">
        <v>22</v>
      </c>
      <c r="B14687" t="s">
        <v>14</v>
      </c>
      <c r="C14687" t="s">
        <v>22</v>
      </c>
      <c r="D14687" s="2" t="s">
        <f>=HYPERLINK("https://main.knesset.gov.il/APPS/legislation/main/bills/2082933", "הצעת חוק המועצה הלאומית לחינוך, התש""ף-2019 ")</f>
        <v>28233</v>
      </c>
      <c r="E14687" t="s">
        <v>28233</v>
      </c>
      <c r="F14687" t="s">
        <v>28234</v>
      </c>
      <c r="G14687" t="s">
        <v>14</v>
      </c>
      <c r="H14687">
             </c>
      <c r="I14687" t="s">
        <v>14</v>
      </c>
      <c r="J14687" t="s">
        <v>141</v>
      </c>
      <c r="K14687" t="s">
        <v>14</v>
      </c>
      <c r="L14687" t="s">
        <v>20</v>
      </c>
      <c r="M14687" t="s">
        <v>28033</v>
      </c>
      <c r="N14687" t="s">
        <v>14</v>
      </c>
    </row>
    <row r="14688" x14ac:dyDescent="0.25">
      <c r="A14688" t="n">
        <v>22</v>
      </c>
      <c r="B14688" t="s">
        <v>14</v>
      </c>
      <c r="C14688" t="s">
        <v>22</v>
      </c>
      <c r="D14688" s="2" t="s">
        <f>=HYPERLINK("https://main.knesset.gov.il/APPS/legislation/main/bills/2082397", "הצעת חוק לתיקון פקודת התעבורה (שירות טלפוני לדיווח ולקבלת תלונות על עבירות תעבורה או נהיגה מסוכנת של נהג אוטובוס), התש""ף-2019")</f>
        <v>28235</v>
      </c>
      <c r="E14688" t="s">
        <v>28235</v>
      </c>
      <c r="F14688" t="s">
        <v>28236</v>
      </c>
      <c r="G14688" t="s">
        <v>14</v>
      </c>
      <c r="H14688">
             </c>
      <c r="I14688" t="s">
        <v>14</v>
      </c>
      <c r="J14688" t="s">
        <v>141</v>
      </c>
      <c r="K14688" t="s">
        <v>14</v>
      </c>
      <c r="L14688" t="s">
        <v>20</v>
      </c>
      <c r="M14688" t="s">
        <v>28033</v>
      </c>
      <c r="N14688" t="s">
        <v>14</v>
      </c>
    </row>
    <row r="14689" x14ac:dyDescent="0.25">
      <c r="A14689" t="n">
        <v>22</v>
      </c>
      <c r="B14689" t="s">
        <v>14</v>
      </c>
      <c r="C14689" t="s">
        <v>22</v>
      </c>
      <c r="D14689" s="2" t="s">
        <f>=HYPERLINK("https://main.knesset.gov.il/APPS/legislation/main/bills/2082885", "הצעת חוק הלוואות לדיור (תיקון - שוויון בזכאות לבני זוג מאותו המין), התש""ף-2019")</f>
        <v>28237</v>
      </c>
      <c r="E14689" t="s">
        <v>28237</v>
      </c>
      <c r="F14689" t="s">
        <v>28238</v>
      </c>
      <c r="G14689" t="s">
        <v>14</v>
      </c>
      <c r="H14689">
             </c>
      <c r="I14689" t="s">
        <v>14</v>
      </c>
      <c r="J14689" t="s">
        <v>141</v>
      </c>
      <c r="K14689" t="s">
        <v>14</v>
      </c>
      <c r="L14689" t="s">
        <v>20</v>
      </c>
      <c r="M14689" t="s">
        <v>28033</v>
      </c>
      <c r="N14689" t="s">
        <v>14</v>
      </c>
    </row>
    <row r="14690" x14ac:dyDescent="0.25">
      <c r="A14690" t="n">
        <v>22</v>
      </c>
      <c r="B14690" t="s">
        <v>14</v>
      </c>
      <c r="C14690" t="s">
        <v>22</v>
      </c>
      <c r="D14690" s="2" t="s">
        <f>=HYPERLINK("https://main.knesset.gov.il/APPS/legislation/main/bills/2083120", "הצעת חוק לתיקון פקודת בריאות העם (מדיניות חיסונים לאומית ותמריצים להתחסנות), התש""ף-2019")</f>
        <v>28239</v>
      </c>
      <c r="E14690" t="s">
        <v>28239</v>
      </c>
      <c r="F14690" t="s">
        <v>28240</v>
      </c>
      <c r="G14690" t="s">
        <v>14</v>
      </c>
      <c r="H14690">
             </c>
      <c r="I14690" t="s">
        <v>14</v>
      </c>
      <c r="J14690" t="s">
        <v>141</v>
      </c>
      <c r="K14690" t="s">
        <v>14</v>
      </c>
      <c r="L14690" t="s">
        <v>20</v>
      </c>
      <c r="M14690" t="s">
        <v>28033</v>
      </c>
      <c r="N14690" t="s">
        <v>14</v>
      </c>
    </row>
    <row r="14691" x14ac:dyDescent="0.25">
      <c r="A14691" t="n">
        <v>22</v>
      </c>
      <c r="B14691" t="s">
        <v>14</v>
      </c>
      <c r="C14691" t="s">
        <v>22</v>
      </c>
      <c r="D14691" s="2" t="s">
        <f>=HYPERLINK("https://main.knesset.gov.il/APPS/legislation/main/bills/2083029", "הצעת חוק הגנת השכר (תיקון - התיישנות), התש""ף-2019")</f>
        <v>28241</v>
      </c>
      <c r="E14691" t="s">
        <v>28241</v>
      </c>
      <c r="F14691" t="s">
        <v>28242</v>
      </c>
      <c r="G14691" t="s">
        <v>14</v>
      </c>
      <c r="H14691">
             </c>
      <c r="I14691" t="s">
        <v>14</v>
      </c>
      <c r="J14691" t="s">
        <v>141</v>
      </c>
      <c r="K14691" t="s">
        <v>14</v>
      </c>
      <c r="L14691" t="s">
        <v>20</v>
      </c>
      <c r="M14691" t="s">
        <v>28033</v>
      </c>
      <c r="N14691" t="s">
        <v>14</v>
      </c>
    </row>
    <row r="14692" x14ac:dyDescent="0.25">
      <c r="A14692" t="n">
        <v>22</v>
      </c>
      <c r="B14692" t="s">
        <v>14</v>
      </c>
      <c r="C14692" t="s">
        <v>22</v>
      </c>
      <c r="D14692" s="2" t="s">
        <f>=HYPERLINK("https://main.knesset.gov.il/APPS/legislation/main/bills/2083342", "הצעת חוק קליטת חיילים משוחררים (תיקון - מימון שכר לימוד לחיילים), התש""ף-2019")</f>
        <v>28243</v>
      </c>
      <c r="E14692" t="s">
        <v>28243</v>
      </c>
      <c r="F14692" t="s">
        <v>28244</v>
      </c>
      <c r="G14692" t="s">
        <v>14</v>
      </c>
      <c r="H14692">
             </c>
      <c r="I14692" t="s">
        <v>14</v>
      </c>
      <c r="J14692" t="s">
        <v>141</v>
      </c>
      <c r="K14692" t="s">
        <v>14</v>
      </c>
      <c r="L14692" t="s">
        <v>20</v>
      </c>
      <c r="M14692" t="s">
        <v>28033</v>
      </c>
      <c r="N14692" t="s">
        <v>14</v>
      </c>
    </row>
    <row r="14693" x14ac:dyDescent="0.25">
      <c r="A14693" t="n">
        <v>22</v>
      </c>
      <c r="B14693" t="s">
        <v>14</v>
      </c>
      <c r="C14693" t="s">
        <v>22</v>
      </c>
      <c r="D14693" s="2" t="s">
        <f>=HYPERLINK("https://main.knesset.gov.il/APPS/legislation/main/bills/2083463", "הצעת חוק קליטת חיילים משוחררים (תיקון - עידוד לימודי נהיגה), התש""ף-2019")</f>
        <v>28245</v>
      </c>
      <c r="E14693" t="s">
        <v>28245</v>
      </c>
      <c r="F14693" t="s">
        <v>28246</v>
      </c>
      <c r="G14693" t="s">
        <v>14</v>
      </c>
      <c r="H14693">
             </c>
      <c r="I14693" t="s">
        <v>14</v>
      </c>
      <c r="J14693" t="s">
        <v>141</v>
      </c>
      <c r="K14693" t="s">
        <v>14</v>
      </c>
      <c r="L14693" t="s">
        <v>20</v>
      </c>
      <c r="M14693" t="s">
        <v>28033</v>
      </c>
      <c r="N14693" t="s">
        <v>14</v>
      </c>
    </row>
    <row r="14694" x14ac:dyDescent="0.25">
      <c r="A14694" t="n">
        <v>22</v>
      </c>
      <c r="B14694" t="s">
        <v>14</v>
      </c>
      <c r="C14694" t="s">
        <v>22</v>
      </c>
      <c r="D14694" s="2" t="s">
        <f>=HYPERLINK("https://main.knesset.gov.il/APPS/legislation/main/bills/2082322", "הצעת חוק הביטוח הלאומי (תיקון - הוספת ענפי ההסעדה והאבטחה ביישובי הגליל והנגב לרשימת העבודות המועדפות), התש""ף-2019")</f>
        <v>28247</v>
      </c>
      <c r="E14694" t="s">
        <v>28247</v>
      </c>
      <c r="F14694" t="s">
        <v>28248</v>
      </c>
      <c r="G14694" t="s">
        <v>14</v>
      </c>
      <c r="H14694">
             </c>
      <c r="I14694" t="s">
        <v>14</v>
      </c>
      <c r="J14694" t="s">
        <v>141</v>
      </c>
      <c r="K14694" t="s">
        <v>14</v>
      </c>
      <c r="L14694" t="s">
        <v>20</v>
      </c>
      <c r="M14694" t="s">
        <v>28033</v>
      </c>
      <c r="N14694" t="s">
        <v>14</v>
      </c>
    </row>
    <row r="14695" x14ac:dyDescent="0.25">
      <c r="A14695" t="n">
        <v>22</v>
      </c>
      <c r="B14695" t="s">
        <v>14</v>
      </c>
      <c r="C14695" t="s">
        <v>22</v>
      </c>
      <c r="D14695" s="2" t="s">
        <f>=HYPERLINK("https://main.knesset.gov.il/APPS/legislation/main/bills/2082693", "הצעת חוק הביטוח הלאומי (תיקון - קצבת שאירים למי שמנהל משק בית משותף), התש""ף-2019")</f>
        <v>28249</v>
      </c>
      <c r="E14695" t="s">
        <v>28249</v>
      </c>
      <c r="F14695" t="s">
        <v>28250</v>
      </c>
      <c r="G14695" t="s">
        <v>14</v>
      </c>
      <c r="H14695">
             </c>
      <c r="I14695" t="s">
        <v>14</v>
      </c>
      <c r="J14695" t="s">
        <v>141</v>
      </c>
      <c r="K14695" t="s">
        <v>14</v>
      </c>
      <c r="L14695" t="s">
        <v>20</v>
      </c>
      <c r="M14695" t="s">
        <v>28033</v>
      </c>
      <c r="N14695" t="s">
        <v>14</v>
      </c>
    </row>
    <row r="14696" x14ac:dyDescent="0.25">
      <c r="A14696" t="n">
        <v>22</v>
      </c>
      <c r="B14696" t="s">
        <v>14</v>
      </c>
      <c r="C14696" t="s">
        <v>22</v>
      </c>
      <c r="D14696" s="2" t="s">
        <f>=HYPERLINK("https://main.knesset.gov.il/APPS/legislation/main/bills/2082097", "הצעת חוק שיקים ללא כיסוי (תיקון - מניעת הגבלת חשבון בעת שירות מילואים), התש""ף-2019")</f>
        <v>28251</v>
      </c>
      <c r="E14696" t="s">
        <v>28251</v>
      </c>
      <c r="F14696" t="s">
        <v>28252</v>
      </c>
      <c r="G14696" t="s">
        <v>14</v>
      </c>
      <c r="H14696">
             </c>
      <c r="I14696" t="s">
        <v>14</v>
      </c>
      <c r="J14696" t="s">
        <v>141</v>
      </c>
      <c r="K14696" t="s">
        <v>14</v>
      </c>
      <c r="L14696" t="s">
        <v>20</v>
      </c>
      <c r="M14696" t="s">
        <v>28033</v>
      </c>
      <c r="N14696" t="s">
        <v>14</v>
      </c>
    </row>
    <row r="14697" x14ac:dyDescent="0.25">
      <c r="A14697" t="n">
        <v>22</v>
      </c>
      <c r="B14697" t="s">
        <v>14</v>
      </c>
      <c r="C14697" t="s">
        <v>22</v>
      </c>
      <c r="D14697" s="2" t="s">
        <f>=HYPERLINK("https://main.knesset.gov.il/APPS/legislation/main/bills/2082254", "הצעת חוק הדיור הציבורי (הגדלת המלאי), התש""ף-2019")</f>
        <v>28253</v>
      </c>
      <c r="E14697" t="s">
        <v>28253</v>
      </c>
      <c r="F14697" t="s">
        <v>28254</v>
      </c>
      <c r="G14697" t="s">
        <v>14</v>
      </c>
      <c r="H14697">
             </c>
      <c r="I14697" t="s">
        <v>14</v>
      </c>
      <c r="J14697" t="s">
        <v>141</v>
      </c>
      <c r="K14697" t="s">
        <v>14</v>
      </c>
      <c r="L14697" t="s">
        <v>20</v>
      </c>
      <c r="M14697" t="s">
        <v>28033</v>
      </c>
      <c r="N14697" t="s">
        <v>14</v>
      </c>
    </row>
    <row r="14698" x14ac:dyDescent="0.25">
      <c r="A14698" t="n">
        <v>22</v>
      </c>
      <c r="B14698" t="s">
        <v>14</v>
      </c>
      <c r="C14698" t="s">
        <v>22</v>
      </c>
      <c r="D14698" s="2" t="s">
        <f>=HYPERLINK("https://main.knesset.gov.il/APPS/legislation/main/bills/2082721", "הצעת חוק שירותי הדת היהודיים (מועצות דתיות - בחירות), התש""ף-2019")</f>
        <v>28255</v>
      </c>
      <c r="E14698" t="s">
        <v>28255</v>
      </c>
      <c r="F14698" t="s">
        <v>28256</v>
      </c>
      <c r="G14698" t="s">
        <v>14</v>
      </c>
      <c r="H14698">
             </c>
      <c r="I14698" t="s">
        <v>14</v>
      </c>
      <c r="J14698" t="s">
        <v>141</v>
      </c>
      <c r="K14698" t="s">
        <v>14</v>
      </c>
      <c r="L14698" t="s">
        <v>20</v>
      </c>
      <c r="M14698" t="s">
        <v>28033</v>
      </c>
      <c r="N14698" t="s">
        <v>14</v>
      </c>
    </row>
    <row r="14699" x14ac:dyDescent="0.25">
      <c r="A14699" t="n">
        <v>22</v>
      </c>
      <c r="B14699" t="s">
        <v>14</v>
      </c>
      <c r="C14699" t="s">
        <v>22</v>
      </c>
      <c r="D14699" s="2" t="s">
        <f>=HYPERLINK("https://main.knesset.gov.il/APPS/legislation/main/bills/2083024", "הצעת חוק הספורט (תיקון - זכויות ספורטאי בוגר), התש""ף-2019")</f>
        <v>28257</v>
      </c>
      <c r="E14699" t="s">
        <v>28257</v>
      </c>
      <c r="F14699" t="s">
        <v>28258</v>
      </c>
      <c r="G14699" t="s">
        <v>14</v>
      </c>
      <c r="H14699">
             </c>
      <c r="I14699" t="s">
        <v>14</v>
      </c>
      <c r="J14699" t="s">
        <v>141</v>
      </c>
      <c r="K14699" t="s">
        <v>14</v>
      </c>
      <c r="L14699" t="s">
        <v>20</v>
      </c>
      <c r="M14699" t="s">
        <v>28033</v>
      </c>
      <c r="N14699" t="s">
        <v>14</v>
      </c>
    </row>
    <row r="14700" x14ac:dyDescent="0.25">
      <c r="A14700" t="n">
        <v>22</v>
      </c>
      <c r="B14700" t="s">
        <v>14</v>
      </c>
      <c r="C14700" t="s">
        <v>22</v>
      </c>
      <c r="D14700" s="2" t="s">
        <f>=HYPERLINK("https://main.knesset.gov.il/APPS/legislation/main/bills/2082289", "הצעת חוק עבודת נשים (תיקון - אובדן הריון), התש""ף-2019")</f>
        <v>28259</v>
      </c>
      <c r="E14700" t="s">
        <v>28259</v>
      </c>
      <c r="F14700" t="s">
        <v>28260</v>
      </c>
      <c r="G14700" t="s">
        <v>14</v>
      </c>
      <c r="H14700">
             </c>
      <c r="I14700" t="s">
        <v>14</v>
      </c>
      <c r="J14700" t="s">
        <v>141</v>
      </c>
      <c r="K14700" t="s">
        <v>14</v>
      </c>
      <c r="L14700" t="s">
        <v>20</v>
      </c>
      <c r="M14700" t="s">
        <v>28033</v>
      </c>
      <c r="N14700" t="s">
        <v>14</v>
      </c>
    </row>
    <row r="14701" x14ac:dyDescent="0.25">
      <c r="A14701" t="n">
        <v>22</v>
      </c>
      <c r="B14701" t="s">
        <v>14</v>
      </c>
      <c r="C14701" t="s">
        <v>22</v>
      </c>
      <c r="D14701" s="2" t="s">
        <f>=HYPERLINK("https://main.knesset.gov.il/APPS/legislation/main/bills/2083531", "הצעת חוק המועצה להשכלה גבוהה (תיקון - איסור הגבלת גיל במוסד להשכלה גבוהה), התש""ף-2019")</f>
        <v>28261</v>
      </c>
      <c r="E14701" t="s">
        <v>28261</v>
      </c>
      <c r="F14701" t="s">
        <v>28262</v>
      </c>
      <c r="G14701" t="s">
        <v>14</v>
      </c>
      <c r="H14701">
             </c>
      <c r="I14701" t="s">
        <v>14</v>
      </c>
      <c r="J14701" t="s">
        <v>141</v>
      </c>
      <c r="K14701" t="s">
        <v>14</v>
      </c>
      <c r="L14701" t="s">
        <v>20</v>
      </c>
      <c r="M14701" t="s">
        <v>28033</v>
      </c>
      <c r="N14701" t="s">
        <v>14</v>
      </c>
    </row>
    <row r="14702" x14ac:dyDescent="0.25">
      <c r="A14702" t="n">
        <v>22</v>
      </c>
      <c r="B14702" t="s">
        <v>14</v>
      </c>
      <c r="C14702" t="s">
        <v>22</v>
      </c>
      <c r="D14702" s="2" t="s">
        <f>=HYPERLINK("https://main.knesset.gov.il/APPS/legislation/main/bills/2082209", "הצעת חוק תקצוב מיוחד לרשויות חינוך מקומיות מרוחקות, התש""ף-2019")</f>
        <v>28263</v>
      </c>
      <c r="E14702" t="s">
        <v>28263</v>
      </c>
      <c r="F14702" t="s">
        <v>28264</v>
      </c>
      <c r="G14702" t="s">
        <v>14</v>
      </c>
      <c r="H14702">
             </c>
      <c r="I14702" t="s">
        <v>14</v>
      </c>
      <c r="J14702" t="s">
        <v>141</v>
      </c>
      <c r="K14702" t="s">
        <v>14</v>
      </c>
      <c r="L14702" t="s">
        <v>20</v>
      </c>
      <c r="M14702" t="s">
        <v>28033</v>
      </c>
      <c r="N14702" t="s">
        <v>14</v>
      </c>
    </row>
    <row r="14703" x14ac:dyDescent="0.25">
      <c r="A14703" t="n">
        <v>22</v>
      </c>
      <c r="B14703" t="s">
        <v>14</v>
      </c>
      <c r="C14703" t="s">
        <v>22</v>
      </c>
      <c r="D14703" s="2" t="s">
        <f>=HYPERLINK("https://main.knesset.gov.il/APPS/legislation/main/bills/2082270", "הצעת חוק רשות מקרקעי ישראל (תיקון - העדפת בני מקום בשיווק קרקעות בפריפריה), התש""ף-2019")</f>
        <v>28265</v>
      </c>
      <c r="E14703" t="s">
        <v>28265</v>
      </c>
      <c r="F14703" t="s">
        <v>28266</v>
      </c>
      <c r="G14703" t="s">
        <v>14</v>
      </c>
      <c r="H14703">
             </c>
      <c r="I14703" t="s">
        <v>14</v>
      </c>
      <c r="J14703" t="s">
        <v>141</v>
      </c>
      <c r="K14703" t="s">
        <v>14</v>
      </c>
      <c r="L14703" t="s">
        <v>20</v>
      </c>
      <c r="M14703" t="s">
        <v>28033</v>
      </c>
      <c r="N14703" t="s">
        <v>14</v>
      </c>
    </row>
    <row r="14704" x14ac:dyDescent="0.25">
      <c r="A14704" t="n">
        <v>22</v>
      </c>
      <c r="B14704" t="s">
        <v>14</v>
      </c>
      <c r="C14704" t="s">
        <v>22</v>
      </c>
      <c r="D14704" s="2" t="s">
        <f>=HYPERLINK("https://main.knesset.gov.il/APPS/legislation/main/bills/2083026", "הצעת חוק זכויות הסטודנט (תיקון - מסלולי לימוד נפרדים), התש""ף-2019")</f>
        <v>28267</v>
      </c>
      <c r="E14704" t="s">
        <v>28267</v>
      </c>
      <c r="F14704" t="s">
        <v>28268</v>
      </c>
      <c r="G14704" t="s">
        <v>14</v>
      </c>
      <c r="H14704">
             </c>
      <c r="I14704" t="s">
        <v>14</v>
      </c>
      <c r="J14704" t="s">
        <v>141</v>
      </c>
      <c r="K14704" t="s">
        <v>14</v>
      </c>
      <c r="L14704" t="s">
        <v>20</v>
      </c>
      <c r="M14704" t="s">
        <v>28033</v>
      </c>
      <c r="N14704" t="s">
        <v>14</v>
      </c>
    </row>
    <row r="14705" x14ac:dyDescent="0.25">
      <c r="A14705" t="n">
        <v>22</v>
      </c>
      <c r="B14705" t="s">
        <v>14</v>
      </c>
      <c r="C14705" t="s">
        <v>22</v>
      </c>
      <c r="D14705" s="2" t="s">
        <f>=HYPERLINK("https://main.knesset.gov.il/APPS/legislation/main/bills/2081886", "הצעת חוק לתיקון פקודת התעבורה (פטור מתשלום דמי חניה לרכב של כונן רפואת חירום עם ציוד), התש""ף-2019")</f>
        <v>28269</v>
      </c>
      <c r="E14705" t="s">
        <v>28269</v>
      </c>
      <c r="F14705" t="s">
        <v>28270</v>
      </c>
      <c r="G14705" t="s">
        <v>14</v>
      </c>
      <c r="H14705">
             </c>
      <c r="I14705" t="s">
        <v>14</v>
      </c>
      <c r="J14705" t="s">
        <v>141</v>
      </c>
      <c r="K14705" t="s">
        <v>14</v>
      </c>
      <c r="L14705" t="s">
        <v>20</v>
      </c>
      <c r="M14705" t="s">
        <v>28033</v>
      </c>
      <c r="N14705" t="s">
        <v>14</v>
      </c>
    </row>
    <row r="14706" x14ac:dyDescent="0.25">
      <c r="A14706" t="n">
        <v>22</v>
      </c>
      <c r="B14706" t="s">
        <v>14</v>
      </c>
      <c r="C14706" t="s">
        <v>22</v>
      </c>
      <c r="D14706" s="2" t="s">
        <f>=HYPERLINK("https://main.knesset.gov.il/APPS/legislation/main/bills/2082153", "הצעת חוק לתיקון פקודת מס הכנסה (הפקדות לקרן השתלמות לעצמאי), התש""ף-2019")</f>
        <v>28271</v>
      </c>
      <c r="E14706" t="s">
        <v>28271</v>
      </c>
      <c r="F14706" t="s">
        <v>28272</v>
      </c>
      <c r="G14706" t="s">
        <v>14</v>
      </c>
      <c r="H14706">
             </c>
      <c r="I14706" t="s">
        <v>14</v>
      </c>
      <c r="J14706" t="s">
        <v>141</v>
      </c>
      <c r="K14706" t="s">
        <v>14</v>
      </c>
      <c r="L14706" t="s">
        <v>20</v>
      </c>
      <c r="M14706" t="s">
        <v>28033</v>
      </c>
      <c r="N14706" t="s">
        <v>14</v>
      </c>
    </row>
    <row r="14707" x14ac:dyDescent="0.25">
      <c r="A14707" t="n">
        <v>22</v>
      </c>
      <c r="B14707" t="s">
        <v>14</v>
      </c>
      <c r="C14707" t="s">
        <v>22</v>
      </c>
      <c r="D14707" s="2" t="s">
        <f>=HYPERLINK("https://main.knesset.gov.il/APPS/legislation/main/bills/2082842", "הצעת חוק פיצוי נפגעי פוליו (תיקון - נפגעים שנולדו מחוץ לישראל), התש""ף-2019")</f>
        <v>28273</v>
      </c>
      <c r="E14707" t="s">
        <v>28273</v>
      </c>
      <c r="F14707" t="s">
        <v>28274</v>
      </c>
      <c r="G14707" t="s">
        <v>14</v>
      </c>
      <c r="H14707">
             </c>
      <c r="I14707" t="s">
        <v>14</v>
      </c>
      <c r="J14707" t="s">
        <v>141</v>
      </c>
      <c r="K14707" t="s">
        <v>14</v>
      </c>
      <c r="L14707" t="s">
        <v>20</v>
      </c>
      <c r="M14707" t="s">
        <v>28033</v>
      </c>
      <c r="N14707" t="s">
        <v>14</v>
      </c>
    </row>
    <row r="14708" x14ac:dyDescent="0.25">
      <c r="A14708" t="n">
        <v>22</v>
      </c>
      <c r="B14708" t="s">
        <v>14</v>
      </c>
      <c r="C14708" t="s">
        <v>22</v>
      </c>
      <c r="D14708" s="2" t="s">
        <f>=HYPERLINK("https://main.knesset.gov.il/APPS/legislation/main/bills/2082832", "הצעת חוק נכי המלחמה בנאצים (תיקון - חישוב הכנסה לנכה נצרך ונכה נזקק), התש""ף-2019")</f>
        <v>28275</v>
      </c>
      <c r="E14708" t="s">
        <v>28275</v>
      </c>
      <c r="F14708" t="s">
        <v>28276</v>
      </c>
      <c r="G14708" t="s">
        <v>14</v>
      </c>
      <c r="H14708">
             </c>
      <c r="I14708" t="s">
        <v>14</v>
      </c>
      <c r="J14708" t="s">
        <v>141</v>
      </c>
      <c r="K14708" t="s">
        <v>14</v>
      </c>
      <c r="L14708" t="s">
        <v>20</v>
      </c>
      <c r="M14708" t="s">
        <v>28033</v>
      </c>
      <c r="N14708" t="s">
        <v>14</v>
      </c>
    </row>
    <row r="14709" x14ac:dyDescent="0.25">
      <c r="A14709" t="n">
        <v>22</v>
      </c>
      <c r="B14709" t="s">
        <v>14</v>
      </c>
      <c r="C14709" t="s">
        <v>22</v>
      </c>
      <c r="D14709" s="2" t="s">
        <f>=HYPERLINK("https://main.knesset.gov.il/APPS/legislation/main/bills/2082854", "הצעת חוק זכרון השואה והגבורה - יד ושם (תיקון - הגבלות ביקורים של נציגים זרים המעורבים או תומכים בפשעים נגד האנושות, פשעי מלחמה והפרות חמורות של זכויות אדם), התש""ף-2019")</f>
        <v>28277</v>
      </c>
      <c r="E14709" t="s">
        <v>28277</v>
      </c>
      <c r="F14709" t="s">
        <v>28278</v>
      </c>
      <c r="G14709" t="s">
        <v>14</v>
      </c>
      <c r="H14709">
             </c>
      <c r="I14709" t="s">
        <v>14</v>
      </c>
      <c r="J14709" t="s">
        <v>141</v>
      </c>
      <c r="K14709" t="s">
        <v>14</v>
      </c>
      <c r="L14709" t="s">
        <v>20</v>
      </c>
      <c r="M14709" t="s">
        <v>28033</v>
      </c>
      <c r="N14709" t="s">
        <v>14</v>
      </c>
    </row>
    <row r="14710" x14ac:dyDescent="0.25">
      <c r="A14710" t="n">
        <v>22</v>
      </c>
      <c r="B14710" t="s">
        <v>14</v>
      </c>
      <c r="C14710" t="s">
        <v>22</v>
      </c>
      <c r="D14710" s="2" t="s">
        <f>=HYPERLINK("https://main.knesset.gov.il/APPS/legislation/main/bills/2082337", "הצעת חוק קליטת חיילים משוחררים (תיקון - ביטול הפיקדון והגדלת המענק), התש""ף-2019")</f>
        <v>28279</v>
      </c>
      <c r="E14710" t="s">
        <v>28279</v>
      </c>
      <c r="F14710" t="s">
        <v>28280</v>
      </c>
      <c r="G14710" t="s">
        <v>14</v>
      </c>
      <c r="H14710">
             </c>
      <c r="I14710" t="s">
        <v>14</v>
      </c>
      <c r="J14710" t="s">
        <v>141</v>
      </c>
      <c r="K14710" t="s">
        <v>14</v>
      </c>
      <c r="L14710" t="s">
        <v>20</v>
      </c>
      <c r="M14710" t="s">
        <v>28033</v>
      </c>
      <c r="N14710" t="s">
        <v>14</v>
      </c>
    </row>
    <row r="14711" x14ac:dyDescent="0.25">
      <c r="A14711" t="n">
        <v>22</v>
      </c>
      <c r="B14711" t="s">
        <v>14</v>
      </c>
      <c r="C14711" t="s">
        <v>22</v>
      </c>
      <c r="D14711" s="2" t="s">
        <f>=HYPERLINK("https://main.knesset.gov.il/APPS/legislation/main/bills/2082886", "הצעת חוק ביטוח בריאות ממלכתי (תיקון - מחלה נדירה), התש""ף-2019")</f>
        <v>28281</v>
      </c>
      <c r="E14711" t="s">
        <v>28281</v>
      </c>
      <c r="F14711" t="s">
        <v>28282</v>
      </c>
      <c r="G14711" t="s">
        <v>14</v>
      </c>
      <c r="H14711">
             </c>
      <c r="I14711" t="s">
        <v>14</v>
      </c>
      <c r="J14711" t="s">
        <v>141</v>
      </c>
      <c r="K14711" t="s">
        <v>14</v>
      </c>
      <c r="L14711" t="s">
        <v>20</v>
      </c>
      <c r="M14711" t="s">
        <v>28033</v>
      </c>
      <c r="N14711" t="s">
        <v>14</v>
      </c>
    </row>
    <row r="14712" x14ac:dyDescent="0.25">
      <c r="A14712" t="n">
        <v>22</v>
      </c>
      <c r="B14712" t="s">
        <v>14</v>
      </c>
      <c r="C14712" t="s">
        <v>22</v>
      </c>
      <c r="D14712" s="2" t="s">
        <f>=HYPERLINK("https://main.knesset.gov.il/APPS/legislation/main/bills/2082618", "הצעת חוק שיקום שכונות דרום תל-אביב ותמריצים לפיזור גאוגרפי של מסתננים (הוראת שעה), התש""ף-2019")</f>
        <v>28283</v>
      </c>
      <c r="E14712" t="s">
        <v>28283</v>
      </c>
      <c r="F14712" t="s">
        <v>28284</v>
      </c>
      <c r="G14712" t="s">
        <v>14</v>
      </c>
      <c r="H14712">
             </c>
      <c r="I14712" t="s">
        <v>14</v>
      </c>
      <c r="J14712" t="s">
        <v>141</v>
      </c>
      <c r="K14712" t="s">
        <v>14</v>
      </c>
      <c r="L14712" t="s">
        <v>20</v>
      </c>
      <c r="M14712" t="s">
        <v>28033</v>
      </c>
      <c r="N14712" t="s">
        <v>14</v>
      </c>
    </row>
    <row r="14713" x14ac:dyDescent="0.25">
      <c r="A14713" t="n">
        <v>22</v>
      </c>
      <c r="B14713" t="s">
        <v>14</v>
      </c>
      <c r="C14713" t="s">
        <v>22</v>
      </c>
      <c r="D14713" s="2" t="s">
        <f>=HYPERLINK("https://main.knesset.gov.il/APPS/legislation/main/bills/2082636", "הצעת חוק הבחירות לכנסת (תיקון - עדכון כתובת לצורכי בחירות), התש""ף-2019")</f>
        <v>28285</v>
      </c>
      <c r="E14713" t="s">
        <v>28285</v>
      </c>
      <c r="F14713" t="s">
        <v>28286</v>
      </c>
      <c r="G14713" t="s">
        <v>14</v>
      </c>
      <c r="H14713">
             </c>
      <c r="I14713" t="s">
        <v>14</v>
      </c>
      <c r="J14713" t="s">
        <v>141</v>
      </c>
      <c r="K14713" t="s">
        <v>14</v>
      </c>
      <c r="L14713" t="s">
        <v>20</v>
      </c>
      <c r="M14713" t="s">
        <v>28033</v>
      </c>
      <c r="N14713" t="s">
        <v>14</v>
      </c>
    </row>
    <row r="14714" x14ac:dyDescent="0.25">
      <c r="A14714" t="n">
        <v>22</v>
      </c>
      <c r="B14714" t="s">
        <v>14</v>
      </c>
      <c r="C14714" t="s">
        <v>22</v>
      </c>
      <c r="D14714" s="2" t="s">
        <f>=HYPERLINK("https://main.knesset.gov.il/APPS/legislation/main/bills/2083049", "הצעת חוק הבנקאות (שירות ללקוח) (תיקון - איסור גביית עמלה בעד טיפול בירושות ובעזבונות), התש""ף-2019")</f>
        <v>28287</v>
      </c>
      <c r="E14714" t="s">
        <v>28287</v>
      </c>
      <c r="F14714" t="s">
        <v>28288</v>
      </c>
      <c r="G14714" t="s">
        <v>14</v>
      </c>
      <c r="H14714">
             </c>
      <c r="I14714" t="s">
        <v>14</v>
      </c>
      <c r="J14714" t="s">
        <v>141</v>
      </c>
      <c r="K14714" t="s">
        <v>14</v>
      </c>
      <c r="L14714" t="s">
        <v>20</v>
      </c>
      <c r="M14714" t="s">
        <v>28033</v>
      </c>
      <c r="N14714" t="s">
        <v>14</v>
      </c>
    </row>
    <row r="14715" x14ac:dyDescent="0.25">
      <c r="A14715" t="n">
        <v>22</v>
      </c>
      <c r="B14715" t="s">
        <v>14</v>
      </c>
      <c r="C14715" t="s">
        <v>22</v>
      </c>
      <c r="D14715" s="2" t="s">
        <f>=HYPERLINK("https://main.knesset.gov.il/APPS/legislation/main/bills/2082877", "הצעת חוק מעונות יום שיקומיים (תיקון - הפחתת מספר הפעוטות המינימלי במעון יום), התש""ף-2019")</f>
        <v>28289</v>
      </c>
      <c r="E14715" t="s">
        <v>28289</v>
      </c>
      <c r="F14715" t="s">
        <v>28290</v>
      </c>
      <c r="G14715" t="s">
        <v>14</v>
      </c>
      <c r="H14715">
             </c>
      <c r="I14715" t="s">
        <v>14</v>
      </c>
      <c r="J14715" t="s">
        <v>141</v>
      </c>
      <c r="K14715" t="s">
        <v>14</v>
      </c>
      <c r="L14715" t="s">
        <v>20</v>
      </c>
      <c r="M14715" t="s">
        <v>28033</v>
      </c>
      <c r="N14715" t="s">
        <v>14</v>
      </c>
    </row>
    <row r="14716" x14ac:dyDescent="0.25">
      <c r="A14716" t="n">
        <v>22</v>
      </c>
      <c r="B14716" t="s">
        <v>14</v>
      </c>
      <c r="C14716" t="s">
        <v>22</v>
      </c>
      <c r="D14716" s="2" t="s">
        <f>=HYPERLINK("https://main.knesset.gov.il/APPS/legislation/main/bills/2083291", "הצעת חוק העונשין (תיקון - הוספת עילות לעבירות הסתה ופשע שנאה), התש""ף-2019")</f>
        <v>28291</v>
      </c>
      <c r="E14716" t="s">
        <v>28291</v>
      </c>
      <c r="F14716" t="s">
        <v>28292</v>
      </c>
      <c r="G14716" t="s">
        <v>14</v>
      </c>
      <c r="H14716">
             </c>
      <c r="I14716" t="s">
        <v>14</v>
      </c>
      <c r="J14716" t="s">
        <v>141</v>
      </c>
      <c r="K14716" t="s">
        <v>14</v>
      </c>
      <c r="L14716" t="s">
        <v>20</v>
      </c>
      <c r="M14716" t="s">
        <v>28033</v>
      </c>
      <c r="N14716" t="s">
        <v>14</v>
      </c>
    </row>
    <row r="14717" x14ac:dyDescent="0.25">
      <c r="A14717" t="n">
        <v>22</v>
      </c>
      <c r="B14717" t="s">
        <v>14</v>
      </c>
      <c r="C14717" t="s">
        <v>22</v>
      </c>
      <c r="D14717" s="2" t="s">
        <f>=HYPERLINK("https://main.knesset.gov.il/APPS/legislation/main/bills/2081887", "הצעת חוק הבנקאות (שירות ללקוח) (תיקון - מועדי החזר של הלוואה לדיור), התש""ף-2019")</f>
        <v>28293</v>
      </c>
      <c r="E14717" t="s">
        <v>28293</v>
      </c>
      <c r="F14717" t="s">
        <v>28294</v>
      </c>
      <c r="G14717" t="s">
        <v>14</v>
      </c>
      <c r="H14717">
             </c>
      <c r="I14717" t="s">
        <v>14</v>
      </c>
      <c r="J14717" t="s">
        <v>141</v>
      </c>
      <c r="K14717" t="s">
        <v>14</v>
      </c>
      <c r="L14717" t="s">
        <v>20</v>
      </c>
      <c r="M14717" t="s">
        <v>28033</v>
      </c>
      <c r="N14717" t="s">
        <v>14</v>
      </c>
    </row>
    <row r="14718" x14ac:dyDescent="0.25">
      <c r="A14718" t="n">
        <v>22</v>
      </c>
      <c r="B14718" t="s">
        <v>14</v>
      </c>
      <c r="C14718" t="s">
        <v>22</v>
      </c>
      <c r="D14718" s="2" t="s">
        <f>=HYPERLINK("https://main.knesset.gov.il/APPS/legislation/main/bills/2082291", "הצעת חוק לתיקון דיני הראיות (הגנת ילדים) (תיקון - חקירה תוך 48 שעות), התש""ף-2019")</f>
        <v>28295</v>
      </c>
      <c r="E14718" t="s">
        <v>28295</v>
      </c>
      <c r="F14718" t="s">
        <v>28296</v>
      </c>
      <c r="G14718" t="s">
        <v>14</v>
      </c>
      <c r="H14718">
             </c>
      <c r="I14718" t="s">
        <v>14</v>
      </c>
      <c r="J14718" t="s">
        <v>141</v>
      </c>
      <c r="K14718" t="s">
        <v>14</v>
      </c>
      <c r="L14718" t="s">
        <v>20</v>
      </c>
      <c r="M14718" t="s">
        <v>28033</v>
      </c>
      <c r="N14718" t="s">
        <v>14</v>
      </c>
    </row>
    <row r="14719" x14ac:dyDescent="0.25">
      <c r="A14719" t="n">
        <v>22</v>
      </c>
      <c r="B14719" t="s">
        <v>14</v>
      </c>
      <c r="C14719" t="s">
        <v>22</v>
      </c>
      <c r="D14719" s="2" t="s">
        <f>=HYPERLINK("https://main.knesset.gov.il/APPS/legislation/main/bills/2083082", "הצעת חוק ההתגוננות האזרחית (פיקוח על מקלטים משותפים), התש""ף-2019")</f>
        <v>28297</v>
      </c>
      <c r="E14719" t="s">
        <v>28297</v>
      </c>
      <c r="F14719" t="s">
        <v>28298</v>
      </c>
      <c r="G14719" t="s">
        <v>14</v>
      </c>
      <c r="H14719">
             </c>
      <c r="I14719" t="s">
        <v>14</v>
      </c>
      <c r="J14719" t="s">
        <v>141</v>
      </c>
      <c r="K14719" t="s">
        <v>14</v>
      </c>
      <c r="L14719" t="s">
        <v>20</v>
      </c>
      <c r="M14719" t="s">
        <v>28033</v>
      </c>
      <c r="N14719" t="s">
        <v>14</v>
      </c>
    </row>
    <row r="14720" x14ac:dyDescent="0.25">
      <c r="A14720" t="n">
        <v>22</v>
      </c>
      <c r="B14720" t="s">
        <v>14</v>
      </c>
      <c r="C14720" t="s">
        <v>22</v>
      </c>
      <c r="D14720" s="2" t="s">
        <f>=HYPERLINK("https://main.knesset.gov.il/APPS/legislation/main/bills/2083384", "הצעת חוק הפרשנות (תיקון - הגדרת הפליה על רקע נטייה מינית או זהות מגדר), התש""ף-2019")</f>
        <v>28299</v>
      </c>
      <c r="E14720" t="s">
        <v>28299</v>
      </c>
      <c r="F14720" t="s">
        <v>28300</v>
      </c>
      <c r="G14720" t="s">
        <v>14</v>
      </c>
      <c r="H14720">
             </c>
      <c r="I14720" t="s">
        <v>14</v>
      </c>
      <c r="J14720" t="s">
        <v>141</v>
      </c>
      <c r="K14720" t="s">
        <v>14</v>
      </c>
      <c r="L14720" t="s">
        <v>20</v>
      </c>
      <c r="M14720" t="s">
        <v>28033</v>
      </c>
      <c r="N14720" t="s">
        <v>14</v>
      </c>
    </row>
    <row r="14721" x14ac:dyDescent="0.25">
      <c r="A14721" t="n">
        <v>22</v>
      </c>
      <c r="B14721" t="s">
        <v>14</v>
      </c>
      <c r="C14721" t="s">
        <v>22</v>
      </c>
      <c r="D14721" s="2" t="s">
        <f>=HYPERLINK("https://main.knesset.gov.il/APPS/legislation/main/bills/2081840", "הצעת חוק איסור הפליה במוצרים, בשירותים ובכניסה למקומות בידור ולמקומות ציבוריים (תיקון - קיום אירועי תרבות בהפרדה מגדרית בשל טעמי דת), התש""ף-2019")</f>
        <v>28301</v>
      </c>
      <c r="E14721" t="s">
        <v>28301</v>
      </c>
      <c r="F14721" t="s">
        <v>28302</v>
      </c>
      <c r="G14721" t="s">
        <v>14</v>
      </c>
      <c r="H14721">
             </c>
      <c r="I14721" t="s">
        <v>14</v>
      </c>
      <c r="J14721" t="s">
        <v>141</v>
      </c>
      <c r="K14721" t="s">
        <v>14</v>
      </c>
      <c r="L14721" t="s">
        <v>20</v>
      </c>
      <c r="M14721" t="s">
        <v>28033</v>
      </c>
      <c r="N14721" t="s">
        <v>14</v>
      </c>
    </row>
    <row r="14722" x14ac:dyDescent="0.25">
      <c r="A14722" t="n">
        <v>22</v>
      </c>
      <c r="B14722" t="s">
        <v>14</v>
      </c>
      <c r="C14722" t="s">
        <v>22</v>
      </c>
      <c r="D14722" s="2" t="s">
        <f>=HYPERLINK("https://main.knesset.gov.il/APPS/legislation/main/bills/2083013", "הצעת חוק המועצה להשכלה גבוהה (תיקון - עידוד הנגשה להשכלה גבוהה), התש""ף-2019")</f>
        <v>28303</v>
      </c>
      <c r="E14722" t="s">
        <v>28303</v>
      </c>
      <c r="F14722" t="s">
        <v>28304</v>
      </c>
      <c r="G14722" t="s">
        <v>14</v>
      </c>
      <c r="H14722">
             </c>
      <c r="I14722" t="s">
        <v>14</v>
      </c>
      <c r="J14722" t="s">
        <v>141</v>
      </c>
      <c r="K14722" t="s">
        <v>14</v>
      </c>
      <c r="L14722" t="s">
        <v>20</v>
      </c>
      <c r="M14722" t="s">
        <v>28033</v>
      </c>
      <c r="N14722" t="s">
        <v>14</v>
      </c>
    </row>
    <row r="14723" x14ac:dyDescent="0.25">
      <c r="A14723" t="n">
        <v>22</v>
      </c>
      <c r="B14723" t="s">
        <v>14</v>
      </c>
      <c r="C14723" t="s">
        <v>22</v>
      </c>
      <c r="D14723" s="2" t="s">
        <f>=HYPERLINK("https://main.knesset.gov.il/APPS/legislation/main/bills/2083050", "הצעת חוק איסור ניגוד עניינים בגביית חובות (תיקוני חקיקה), התש""ף-2019")</f>
        <v>28305</v>
      </c>
      <c r="E14723" t="s">
        <v>28305</v>
      </c>
      <c r="F14723" t="s">
        <v>28306</v>
      </c>
      <c r="G14723" t="s">
        <v>14</v>
      </c>
      <c r="H14723">
             </c>
      <c r="I14723" t="s">
        <v>14</v>
      </c>
      <c r="J14723" t="s">
        <v>141</v>
      </c>
      <c r="K14723" t="s">
        <v>14</v>
      </c>
      <c r="L14723" t="s">
        <v>20</v>
      </c>
      <c r="M14723" t="s">
        <v>28033</v>
      </c>
      <c r="N14723" t="s">
        <v>14</v>
      </c>
    </row>
    <row r="14724" x14ac:dyDescent="0.25">
      <c r="A14724" t="n">
        <v>22</v>
      </c>
      <c r="B14724" t="s">
        <v>14</v>
      </c>
      <c r="C14724" t="s">
        <v>22</v>
      </c>
      <c r="D14724" s="2" t="s">
        <f>=HYPERLINK("https://main.knesset.gov.il/APPS/legislation/main/bills/2083031", "הצעת חוק פיצויים לנפגעי תאונות דרכים (תיקון - חובת ביטוח אופניים עם מנוע עזר), התש""ף-2019")</f>
        <v>28307</v>
      </c>
      <c r="E14724" t="s">
        <v>28307</v>
      </c>
      <c r="F14724" t="s">
        <v>28308</v>
      </c>
      <c r="G14724" t="s">
        <v>14</v>
      </c>
      <c r="H14724">
             </c>
      <c r="I14724" t="s">
        <v>14</v>
      </c>
      <c r="J14724" t="s">
        <v>141</v>
      </c>
      <c r="K14724" t="s">
        <v>14</v>
      </c>
      <c r="L14724" t="s">
        <v>20</v>
      </c>
      <c r="M14724" t="s">
        <v>28033</v>
      </c>
      <c r="N14724" t="s">
        <v>14</v>
      </c>
    </row>
    <row r="14725" x14ac:dyDescent="0.25">
      <c r="A14725" t="n">
        <v>22</v>
      </c>
      <c r="B14725" t="s">
        <v>14</v>
      </c>
      <c r="C14725" t="s">
        <v>22</v>
      </c>
      <c r="D14725" s="2" t="s">
        <f>=HYPERLINK("https://main.knesset.gov.il/APPS/legislation/main/bills/2083383", "הצעת חוק זכאות למענק להוספת מרחב מוגן דירתי ומרחב מוגן קומתי ביישובים סמוכים לגבול (הוראת שעה), התש""ף-2019")</f>
        <v>28309</v>
      </c>
      <c r="E14725" t="s">
        <v>28309</v>
      </c>
      <c r="F14725" t="s">
        <v>28310</v>
      </c>
      <c r="G14725" t="s">
        <v>14</v>
      </c>
      <c r="H14725">
             </c>
      <c r="I14725" t="s">
        <v>14</v>
      </c>
      <c r="J14725" t="s">
        <v>141</v>
      </c>
      <c r="K14725" t="s">
        <v>14</v>
      </c>
      <c r="L14725" t="s">
        <v>20</v>
      </c>
      <c r="M14725" t="s">
        <v>28033</v>
      </c>
      <c r="N14725" t="s">
        <v>14</v>
      </c>
    </row>
    <row r="14726" x14ac:dyDescent="0.25">
      <c r="A14726" t="n">
        <v>22</v>
      </c>
      <c r="B14726" t="s">
        <v>14</v>
      </c>
      <c r="C14726" t="s">
        <v>22</v>
      </c>
      <c r="D14726" s="2" t="s">
        <f>=HYPERLINK("https://main.knesset.gov.il/APPS/legislation/main/bills/2083028", "הצעת חוק העונשין (תיקון - תקיפת איש כוחות הביטחון וההצלה), התש""ף-2019")</f>
        <v>28311</v>
      </c>
      <c r="E14726" t="s">
        <v>28311</v>
      </c>
      <c r="F14726" t="s">
        <v>28312</v>
      </c>
      <c r="G14726" t="s">
        <v>14</v>
      </c>
      <c r="H14726">
             </c>
      <c r="I14726" t="s">
        <v>14</v>
      </c>
      <c r="J14726" t="s">
        <v>141</v>
      </c>
      <c r="K14726" t="s">
        <v>14</v>
      </c>
      <c r="L14726" t="s">
        <v>20</v>
      </c>
      <c r="M14726" t="s">
        <v>28033</v>
      </c>
      <c r="N14726" t="s">
        <v>14</v>
      </c>
    </row>
    <row r="14727" x14ac:dyDescent="0.25">
      <c r="A14727" t="n">
        <v>22</v>
      </c>
      <c r="B14727" t="s">
        <v>14</v>
      </c>
      <c r="C14727" t="s">
        <v>22</v>
      </c>
      <c r="D14727" s="2" t="s">
        <f>=HYPERLINK("https://main.knesset.gov.il/APPS/legislation/main/bills/2083004", "הצעת חוק עסקאות גופים ציבוריים (תיקון - איסור על התקשרות קבלנית להעסקת עובדים), התש""ף-2019")</f>
        <v>28313</v>
      </c>
      <c r="E14727" t="s">
        <v>28313</v>
      </c>
      <c r="F14727" t="s">
        <v>28314</v>
      </c>
      <c r="G14727" t="s">
        <v>14</v>
      </c>
      <c r="H14727">
             </c>
      <c r="I14727" t="s">
        <v>14</v>
      </c>
      <c r="J14727" t="s">
        <v>141</v>
      </c>
      <c r="K14727" t="s">
        <v>14</v>
      </c>
      <c r="L14727" t="s">
        <v>20</v>
      </c>
      <c r="M14727" t="s">
        <v>28033</v>
      </c>
      <c r="N14727" t="s">
        <v>14</v>
      </c>
    </row>
    <row r="14728" x14ac:dyDescent="0.25">
      <c r="A14728" t="n">
        <v>22</v>
      </c>
      <c r="B14728" t="s">
        <v>14</v>
      </c>
      <c r="C14728" t="s">
        <v>22</v>
      </c>
      <c r="D14728" s="2" t="s">
        <f>=HYPERLINK("https://main.knesset.gov.il/APPS/legislation/main/bills/2083385", "הצעת חוק הארכת מועדים (תיקון - שירות לפי סעיף 8 או 9 לחוק שירות המילואים), התש""ף-2019")</f>
        <v>28315</v>
      </c>
      <c r="E14728" t="s">
        <v>28315</v>
      </c>
      <c r="F14728" t="s">
        <v>28316</v>
      </c>
      <c r="G14728" t="s">
        <v>14</v>
      </c>
      <c r="H14728">
             </c>
      <c r="I14728" t="s">
        <v>14</v>
      </c>
      <c r="J14728" t="s">
        <v>141</v>
      </c>
      <c r="K14728" t="s">
        <v>14</v>
      </c>
      <c r="L14728" t="s">
        <v>20</v>
      </c>
      <c r="M14728" t="s">
        <v>28033</v>
      </c>
      <c r="N14728" t="s">
        <v>14</v>
      </c>
    </row>
    <row r="14729" x14ac:dyDescent="0.25">
      <c r="A14729" t="n">
        <v>22</v>
      </c>
      <c r="B14729" t="s">
        <v>14</v>
      </c>
      <c r="C14729" t="s">
        <v>22</v>
      </c>
      <c r="D14729" s="2" t="s">
        <f>=HYPERLINK("https://main.knesset.gov.il/APPS/legislation/main/bills/2081776", "הצעת חוק חניה לנכים (תיקון - החלטה בבקשה לתג נכה), התש""ף-2019")</f>
        <v>28317</v>
      </c>
      <c r="E14729" t="s">
        <v>28317</v>
      </c>
      <c r="F14729" t="s">
        <v>28318</v>
      </c>
      <c r="G14729" t="s">
        <v>14</v>
      </c>
      <c r="H14729">
             </c>
      <c r="I14729" t="s">
        <v>14</v>
      </c>
      <c r="J14729" t="s">
        <v>141</v>
      </c>
      <c r="K14729" t="s">
        <v>14</v>
      </c>
      <c r="L14729" t="s">
        <v>20</v>
      </c>
      <c r="M14729" t="s">
        <v>28033</v>
      </c>
      <c r="N14729" t="s">
        <v>14</v>
      </c>
    </row>
    <row r="14730" x14ac:dyDescent="0.25">
      <c r="A14730" t="n">
        <v>22</v>
      </c>
      <c r="B14730" t="s">
        <v>14</v>
      </c>
      <c r="C14730" t="s">
        <v>22</v>
      </c>
      <c r="D14730" s="2" t="s">
        <f>=HYPERLINK("https://main.knesset.gov.il/APPS/legislation/main/bills/2083295", "הצעת חוק אימוץ ילדים (תיקון - אימוץ על ידי בני הזוג), התש""ף-2019")</f>
        <v>28319</v>
      </c>
      <c r="E14730" t="s">
        <v>28319</v>
      </c>
      <c r="F14730" t="s">
        <v>28320</v>
      </c>
      <c r="G14730" t="s">
        <v>14</v>
      </c>
      <c r="H14730">
             </c>
      <c r="I14730" t="s">
        <v>14</v>
      </c>
      <c r="J14730" t="s">
        <v>141</v>
      </c>
      <c r="K14730" t="s">
        <v>14</v>
      </c>
      <c r="L14730" t="s">
        <v>20</v>
      </c>
      <c r="M14730" t="s">
        <v>28033</v>
      </c>
      <c r="N14730" t="s">
        <v>14</v>
      </c>
    </row>
    <row r="14731" x14ac:dyDescent="0.25">
      <c r="A14731" t="n">
        <v>22</v>
      </c>
      <c r="B14731" t="s">
        <v>14</v>
      </c>
      <c r="C14731" t="s">
        <v>22</v>
      </c>
      <c r="D14731" s="2" t="s">
        <f>=HYPERLINK("https://main.knesset.gov.il/APPS/legislation/main/bills/2083016", "הצעת חוק הביטוח הלאומי (תיקון - זכאות לכפל גמלאות), התש""ף-2019")</f>
        <v>28321</v>
      </c>
      <c r="E14731" t="s">
        <v>28321</v>
      </c>
      <c r="F14731" t="s">
        <v>28322</v>
      </c>
      <c r="G14731" t="s">
        <v>14</v>
      </c>
      <c r="H14731">
             </c>
      <c r="I14731" t="s">
        <v>14</v>
      </c>
      <c r="J14731" t="s">
        <v>141</v>
      </c>
      <c r="K14731" t="s">
        <v>14</v>
      </c>
      <c r="L14731" t="s">
        <v>20</v>
      </c>
      <c r="M14731" t="s">
        <v>28033</v>
      </c>
      <c r="N14731" t="s">
        <v>14</v>
      </c>
    </row>
    <row r="14732" x14ac:dyDescent="0.25">
      <c r="A14732" t="n">
        <v>22</v>
      </c>
      <c r="B14732" t="s">
        <v>14</v>
      </c>
      <c r="C14732" t="s">
        <v>22</v>
      </c>
      <c r="D14732" s="2" t="s">
        <f>=HYPERLINK("https://main.knesset.gov.il/APPS/legislation/main/bills/2083345", "הצעת חוק משפחות חיילים שנספו במערכה (תגמולים ושיקום) (תיקון - העלאת גיל הזכאות של היתומים לסיוע בשכר לימוד), התש""ף-2019")</f>
        <v>28323</v>
      </c>
      <c r="E14732" t="s">
        <v>28323</v>
      </c>
      <c r="F14732" t="s">
        <v>28324</v>
      </c>
      <c r="G14732" t="s">
        <v>14</v>
      </c>
      <c r="H14732">
             </c>
      <c r="I14732" t="s">
        <v>14</v>
      </c>
      <c r="J14732" t="s">
        <v>141</v>
      </c>
      <c r="K14732" t="s">
        <v>14</v>
      </c>
      <c r="L14732" t="s">
        <v>20</v>
      </c>
      <c r="M14732" t="s">
        <v>28033</v>
      </c>
      <c r="N14732" t="s">
        <v>14</v>
      </c>
    </row>
    <row r="14733" x14ac:dyDescent="0.25">
      <c r="A14733" t="n">
        <v>22</v>
      </c>
      <c r="B14733" t="s">
        <v>14</v>
      </c>
      <c r="C14733" t="s">
        <v>22</v>
      </c>
      <c r="D14733" s="2" t="s">
        <f>=HYPERLINK("https://main.knesset.gov.il/APPS/legislation/main/bills/2082998", "הצעת חוק הביטוח הלאומי (תיקון - מענק פטירה להורה של נכה), התש""ף-2019")</f>
        <v>28325</v>
      </c>
      <c r="E14733" t="s">
        <v>28325</v>
      </c>
      <c r="F14733" t="s">
        <v>28326</v>
      </c>
      <c r="G14733" t="s">
        <v>14</v>
      </c>
      <c r="H14733">
             </c>
      <c r="I14733" t="s">
        <v>14</v>
      </c>
      <c r="J14733" t="s">
        <v>141</v>
      </c>
      <c r="K14733" t="s">
        <v>14</v>
      </c>
      <c r="L14733" t="s">
        <v>20</v>
      </c>
      <c r="M14733" t="s">
        <v>28033</v>
      </c>
      <c r="N14733" t="s">
        <v>14</v>
      </c>
    </row>
    <row r="14734" x14ac:dyDescent="0.25">
      <c r="A14734" t="n">
        <v>22</v>
      </c>
      <c r="B14734" t="s">
        <v>14</v>
      </c>
      <c r="C14734" t="s">
        <v>22</v>
      </c>
      <c r="D14734" s="2" t="s">
        <f>=HYPERLINK("https://main.knesset.gov.il/APPS/legislation/main/bills/2083429", "הצעת חוק משפחות חיילים שנספו במערכה (תגמולים ושיקום)(תיקון - תשלום לבן זוגו של שכול שנפטר), התש""ף-2019")</f>
        <v>28327</v>
      </c>
      <c r="E14734" t="s">
        <v>28327</v>
      </c>
      <c r="F14734" t="s">
        <v>28328</v>
      </c>
      <c r="G14734" t="s">
        <v>14</v>
      </c>
      <c r="H14734">
             </c>
      <c r="I14734" t="s">
        <v>14</v>
      </c>
      <c r="J14734" t="s">
        <v>141</v>
      </c>
      <c r="K14734" t="s">
        <v>14</v>
      </c>
      <c r="L14734" t="s">
        <v>20</v>
      </c>
      <c r="M14734" t="s">
        <v>28033</v>
      </c>
      <c r="N14734" t="s">
        <v>14</v>
      </c>
    </row>
    <row r="14735" x14ac:dyDescent="0.25">
      <c r="A14735" t="n">
        <v>22</v>
      </c>
      <c r="B14735" t="s">
        <v>14</v>
      </c>
      <c r="C14735" t="s">
        <v>22</v>
      </c>
      <c r="D14735" s="2" t="s">
        <f>=HYPERLINK("https://main.knesset.gov.il/APPS/legislation/main/bills/2083377", "הצעת חוק שירות ביטחון (תיקון - שירות בני ישיבות הסדר), התש""ף-2019")</f>
        <v>28329</v>
      </c>
      <c r="E14735" t="s">
        <v>28329</v>
      </c>
      <c r="F14735" t="s">
        <v>28330</v>
      </c>
      <c r="G14735" t="s">
        <v>14</v>
      </c>
      <c r="H14735">
             </c>
      <c r="I14735" t="s">
        <v>14</v>
      </c>
      <c r="J14735" t="s">
        <v>141</v>
      </c>
      <c r="K14735" t="s">
        <v>14</v>
      </c>
      <c r="L14735" t="s">
        <v>20</v>
      </c>
      <c r="M14735" t="s">
        <v>28033</v>
      </c>
      <c r="N14735" t="s">
        <v>14</v>
      </c>
    </row>
    <row r="14736" x14ac:dyDescent="0.25">
      <c r="A14736" t="n">
        <v>22</v>
      </c>
      <c r="B14736" t="s">
        <v>14</v>
      </c>
      <c r="C14736" t="s">
        <v>22</v>
      </c>
      <c r="D14736" s="2" t="s">
        <f>=HYPERLINK("https://main.knesset.gov.il/APPS/legislation/main/bills/2083439", "הצעת חוק קליטת חיילים משוחררים (תיקון - התקשרות להענקת זכויות במקרקעין ביישוב מיעוטים עם מי שנבצר ממנו להשלים את שירותו הצבאי), התש""ף-2019")</f>
        <v>28331</v>
      </c>
      <c r="E14736" t="s">
        <v>28331</v>
      </c>
      <c r="F14736" t="s">
        <v>28332</v>
      </c>
      <c r="G14736" t="s">
        <v>14</v>
      </c>
      <c r="H14736">
             </c>
      <c r="I14736" t="s">
        <v>14</v>
      </c>
      <c r="J14736" t="s">
        <v>141</v>
      </c>
      <c r="K14736" t="s">
        <v>14</v>
      </c>
      <c r="L14736" t="s">
        <v>20</v>
      </c>
      <c r="M14736" t="s">
        <v>28033</v>
      </c>
      <c r="N14736" t="s">
        <v>14</v>
      </c>
    </row>
    <row r="14737" x14ac:dyDescent="0.25">
      <c r="A14737" t="n">
        <v>22</v>
      </c>
      <c r="B14737" t="s">
        <v>14</v>
      </c>
      <c r="C14737" t="s">
        <v>22</v>
      </c>
      <c r="D14737" s="2" t="s">
        <f>=HYPERLINK("https://main.knesset.gov.il/APPS/legislation/main/bills/2083464", "הצעת חוק פיקוח על עסקאות רכש מערכת הביטחון, התש""ף-2019")</f>
        <v>28333</v>
      </c>
      <c r="E14737" t="s">
        <v>28333</v>
      </c>
      <c r="F14737" t="s">
        <v>28334</v>
      </c>
      <c r="G14737" t="s">
        <v>14</v>
      </c>
      <c r="H14737">
             </c>
      <c r="I14737" t="s">
        <v>14</v>
      </c>
      <c r="J14737" t="s">
        <v>141</v>
      </c>
      <c r="K14737" t="s">
        <v>14</v>
      </c>
      <c r="L14737" t="s">
        <v>20</v>
      </c>
      <c r="M14737" t="s">
        <v>28033</v>
      </c>
      <c r="N14737" t="s">
        <v>14</v>
      </c>
    </row>
    <row r="14738" x14ac:dyDescent="0.25">
      <c r="A14738" t="n">
        <v>22</v>
      </c>
      <c r="B14738" t="s">
        <v>14</v>
      </c>
      <c r="C14738" t="s">
        <v>22</v>
      </c>
      <c r="D14738" s="2" t="s">
        <f>=HYPERLINK("https://main.knesset.gov.il/APPS/legislation/main/bills/2082999", "הצעת חוק נכי רדיפות הנאצים (תיקון - הגדרות זכאות), התש""ף-2019")</f>
        <v>28335</v>
      </c>
      <c r="E14738" t="s">
        <v>28335</v>
      </c>
      <c r="F14738" t="s">
        <v>28336</v>
      </c>
      <c r="G14738" t="s">
        <v>14</v>
      </c>
      <c r="H14738">
             </c>
      <c r="I14738" t="s">
        <v>14</v>
      </c>
      <c r="J14738" t="s">
        <v>141</v>
      </c>
      <c r="K14738" t="s">
        <v>14</v>
      </c>
      <c r="L14738" t="s">
        <v>20</v>
      </c>
      <c r="M14738" t="s">
        <v>28033</v>
      </c>
      <c r="N14738" t="s">
        <v>14</v>
      </c>
    </row>
    <row r="14739" x14ac:dyDescent="0.25">
      <c r="A14739" t="n">
        <v>22</v>
      </c>
      <c r="B14739" t="s">
        <v>14</v>
      </c>
      <c r="C14739" t="s">
        <v>22</v>
      </c>
      <c r="D14739" s="2" t="s">
        <f>=HYPERLINK("https://main.knesset.gov.il/APPS/legislation/main/bills/2083121", "הצעת חוק התכנון והבנייה (תיקון - שימוש חורג בקרקע חקלאית), התש""ף-2019")</f>
        <v>28337</v>
      </c>
      <c r="E14739" t="s">
        <v>28337</v>
      </c>
      <c r="F14739" t="s">
        <v>28338</v>
      </c>
      <c r="G14739" t="s">
        <v>14</v>
      </c>
      <c r="H14739">
             </c>
      <c r="I14739" t="s">
        <v>14</v>
      </c>
      <c r="J14739" t="s">
        <v>141</v>
      </c>
      <c r="K14739" t="s">
        <v>14</v>
      </c>
      <c r="L14739" t="s">
        <v>20</v>
      </c>
      <c r="M14739" t="s">
        <v>28033</v>
      </c>
      <c r="N14739" t="s">
        <v>14</v>
      </c>
    </row>
    <row r="14740" x14ac:dyDescent="0.25">
      <c r="A14740" t="n">
        <v>22</v>
      </c>
      <c r="B14740" t="s">
        <v>14</v>
      </c>
      <c r="C14740" t="s">
        <v>22</v>
      </c>
      <c r="D14740" s="2" t="s">
        <f>=HYPERLINK("https://main.knesset.gov.il/APPS/legislation/main/bills/2083292", "הצעת חוק האזרחות והכניסה לישראל (הוראת שעה) (תיקון - ביטול החוק), התש""ף-2019")</f>
        <v>25993</v>
      </c>
      <c r="E14740" t="s">
        <v>25993</v>
      </c>
      <c r="F14740" t="s">
        <v>28339</v>
      </c>
      <c r="G14740" t="s">
        <v>14</v>
      </c>
      <c r="H14740">
             </c>
      <c r="I14740" t="s">
        <v>14</v>
      </c>
      <c r="J14740" t="s">
        <v>141</v>
      </c>
      <c r="K14740" t="s">
        <v>14</v>
      </c>
      <c r="L14740" t="s">
        <v>20</v>
      </c>
      <c r="M14740" t="s">
        <v>28033</v>
      </c>
      <c r="N14740" t="s">
        <v>14</v>
      </c>
    </row>
    <row r="14741" x14ac:dyDescent="0.25">
      <c r="A14741" t="n">
        <v>22</v>
      </c>
      <c r="B14741" t="s">
        <v>14</v>
      </c>
      <c r="C14741" t="s">
        <v>22</v>
      </c>
      <c r="D14741" s="2" t="s">
        <f>=HYPERLINK("https://main.knesset.gov.il/APPS/legislation/main/bills/2083115", "הצעת חוק לתיקון פקודת העיריות (עידוד נשים בעסקים), התש""ף-2019")</f>
        <v>28340</v>
      </c>
      <c r="E14741" t="s">
        <v>28340</v>
      </c>
      <c r="F14741" t="s">
        <v>28341</v>
      </c>
      <c r="G14741" t="s">
        <v>14</v>
      </c>
      <c r="H14741">
             </c>
      <c r="I14741" t="s">
        <v>14</v>
      </c>
      <c r="J14741" t="s">
        <v>141</v>
      </c>
      <c r="K14741" t="s">
        <v>14</v>
      </c>
      <c r="L14741" t="s">
        <v>20</v>
      </c>
      <c r="M14741" t="s">
        <v>28033</v>
      </c>
      <c r="N14741" t="s">
        <v>14</v>
      </c>
    </row>
    <row r="14742" x14ac:dyDescent="0.25">
      <c r="A14742" t="n">
        <v>22</v>
      </c>
      <c r="B14742" t="s">
        <v>14</v>
      </c>
      <c r="C14742" t="s">
        <v>22</v>
      </c>
      <c r="D14742" s="2" t="s">
        <f>=HYPERLINK("https://main.knesset.gov.il/APPS/legislation/main/bills/2083441", "הצעת חוק הדרוזים והצ'רקסים (הבטחת שוויון זכויות), התש""ף-2019")</f>
        <v>28342</v>
      </c>
      <c r="E14742" t="s">
        <v>28342</v>
      </c>
      <c r="F14742" t="s">
        <v>28343</v>
      </c>
      <c r="G14742" t="s">
        <v>14</v>
      </c>
      <c r="H14742">
             </c>
      <c r="I14742" t="s">
        <v>14</v>
      </c>
      <c r="J14742" t="s">
        <v>141</v>
      </c>
      <c r="K14742" t="s">
        <v>14</v>
      </c>
      <c r="L14742" t="s">
        <v>20</v>
      </c>
      <c r="M14742" t="s">
        <v>28033</v>
      </c>
      <c r="N14742" t="s">
        <v>14</v>
      </c>
    </row>
    <row r="14743" x14ac:dyDescent="0.25">
      <c r="A14743" t="n">
        <v>22</v>
      </c>
      <c r="B14743" t="s">
        <v>14</v>
      </c>
      <c r="C14743" t="s">
        <v>22</v>
      </c>
      <c r="D14743" s="2" t="s">
        <f>=HYPERLINK("https://main.knesset.gov.il/APPS/legislation/main/bills/2083397", "הצעת חוק הביטוח הלאומי (תיקון- הקלות לחולים במחלה ממארת), התש""ף-2019")</f>
        <v>28344</v>
      </c>
      <c r="E14743" t="s">
        <v>28344</v>
      </c>
      <c r="F14743" t="s">
        <v>28345</v>
      </c>
      <c r="G14743" t="s">
        <v>14</v>
      </c>
      <c r="H14743">
             </c>
      <c r="I14743" t="s">
        <v>14</v>
      </c>
      <c r="J14743" t="s">
        <v>141</v>
      </c>
      <c r="K14743" t="s">
        <v>14</v>
      </c>
      <c r="L14743" t="s">
        <v>20</v>
      </c>
      <c r="M14743" t="s">
        <v>28033</v>
      </c>
      <c r="N14743" t="s">
        <v>14</v>
      </c>
    </row>
    <row r="14744" x14ac:dyDescent="0.25">
      <c r="A14744" t="n">
        <v>22</v>
      </c>
      <c r="B14744" t="s">
        <v>14</v>
      </c>
      <c r="C14744" t="s">
        <v>22</v>
      </c>
      <c r="D14744" s="2" t="s">
        <f>=HYPERLINK("https://main.knesset.gov.il/APPS/legislation/main/bills/2083412", "הצעת חוק שירותי הסעד (תיקון- גיוון שפתי בקרב עובדים סוציאליים במחלקות לשירותים חברתיים), התש""ף-2019")</f>
        <v>28346</v>
      </c>
      <c r="E14744" t="s">
        <v>28346</v>
      </c>
      <c r="F14744" t="s">
        <v>28347</v>
      </c>
      <c r="G14744" t="s">
        <v>14</v>
      </c>
      <c r="H14744">
             </c>
      <c r="I14744" t="s">
        <v>14</v>
      </c>
      <c r="J14744" t="s">
        <v>141</v>
      </c>
      <c r="K14744" t="s">
        <v>14</v>
      </c>
      <c r="L14744" t="s">
        <v>20</v>
      </c>
      <c r="M14744" t="s">
        <v>28033</v>
      </c>
      <c r="N14744" t="s">
        <v>14</v>
      </c>
    </row>
    <row r="14745" x14ac:dyDescent="0.25">
      <c r="A14745" t="n">
        <v>22</v>
      </c>
      <c r="B14745" t="s">
        <v>14</v>
      </c>
      <c r="C14745" t="s">
        <v>22</v>
      </c>
      <c r="D14745" s="2" t="s">
        <f>=HYPERLINK("https://main.knesset.gov.il/APPS/legislation/main/bills/2082439", "הצעת חוק לתיקון פקודת מס הכנסה (פטור ממס על חיסכון ליחיד מעל גיל 60), התש""ף-2019")</f>
        <v>28348</v>
      </c>
      <c r="E14745" t="s">
        <v>28348</v>
      </c>
      <c r="F14745" t="s">
        <v>28349</v>
      </c>
      <c r="G14745" t="s">
        <v>14</v>
      </c>
      <c r="H14745">
             </c>
      <c r="I14745" t="s">
        <v>14</v>
      </c>
      <c r="J14745" t="s">
        <v>141</v>
      </c>
      <c r="K14745" t="s">
        <v>14</v>
      </c>
      <c r="L14745" t="s">
        <v>20</v>
      </c>
      <c r="M14745" t="s">
        <v>28033</v>
      </c>
      <c r="N14745" t="s">
        <v>14</v>
      </c>
    </row>
    <row r="14746" x14ac:dyDescent="0.25">
      <c r="A14746" t="n">
        <v>22</v>
      </c>
      <c r="B14746" t="s">
        <v>14</v>
      </c>
      <c r="C14746" t="s">
        <v>22</v>
      </c>
      <c r="D14746" s="2" t="s">
        <f>=HYPERLINK("https://main.knesset.gov.il/APPS/legislation/main/bills/2083460", "הצעת חוק הגנת הפרטיות (תיקון - תקופת ההתיישנות), התש""ף-2019")</f>
        <v>28350</v>
      </c>
      <c r="E14746" t="s">
        <v>28350</v>
      </c>
      <c r="F14746" t="s">
        <v>28351</v>
      </c>
      <c r="G14746" t="s">
        <v>14</v>
      </c>
      <c r="H14746">
             </c>
      <c r="I14746" t="s">
        <v>14</v>
      </c>
      <c r="J14746" t="s">
        <v>141</v>
      </c>
      <c r="K14746" t="s">
        <v>14</v>
      </c>
      <c r="L14746" t="s">
        <v>20</v>
      </c>
      <c r="M14746" t="s">
        <v>28033</v>
      </c>
      <c r="N14746" t="s">
        <v>14</v>
      </c>
    </row>
    <row r="14747" x14ac:dyDescent="0.25">
      <c r="A14747" t="n">
        <v>22</v>
      </c>
      <c r="B14747" t="s">
        <v>14</v>
      </c>
      <c r="C14747" t="s">
        <v>22</v>
      </c>
      <c r="D14747" s="2" t="s">
        <f>=HYPERLINK("https://main.knesset.gov.il/APPS/legislation/main/bills/2083438", "הצעת חוק מס ערך מוסף (תיקון - פטור ממס במכירת תרופות מצילות חיים שאינן כלולות בסל הבריאות), התש""ף-2019")</f>
        <v>28352</v>
      </c>
      <c r="E14747" t="s">
        <v>28352</v>
      </c>
      <c r="F14747" t="s">
        <v>28353</v>
      </c>
      <c r="G14747" t="s">
        <v>14</v>
      </c>
      <c r="H14747">
             </c>
      <c r="I14747" t="s">
        <v>14</v>
      </c>
      <c r="J14747" t="s">
        <v>141</v>
      </c>
      <c r="K14747" t="s">
        <v>14</v>
      </c>
      <c r="L14747" t="s">
        <v>20</v>
      </c>
      <c r="M14747" t="s">
        <v>28033</v>
      </c>
      <c r="N14747" t="s">
        <v>14</v>
      </c>
    </row>
    <row r="14748" x14ac:dyDescent="0.25">
      <c r="A14748" t="n">
        <v>22</v>
      </c>
      <c r="B14748" t="s">
        <v>14</v>
      </c>
      <c r="C14748" t="s">
        <v>22</v>
      </c>
      <c r="D14748" s="2" t="s">
        <f>=HYPERLINK("https://main.knesset.gov.il/APPS/legislation/main/bills/2082454", "הצעת חוק ההוצאה לפועל (תיקון - איסור עיקול מיטלטלין המשמשים קטינים), התש""ף-2019")</f>
        <v>28354</v>
      </c>
      <c r="E14748" t="s">
        <v>28354</v>
      </c>
      <c r="F14748" t="s">
        <v>28355</v>
      </c>
      <c r="G14748" t="s">
        <v>14</v>
      </c>
      <c r="H14748">
             </c>
      <c r="I14748" t="s">
        <v>14</v>
      </c>
      <c r="J14748" t="s">
        <v>141</v>
      </c>
      <c r="K14748" t="s">
        <v>14</v>
      </c>
      <c r="L14748" t="s">
        <v>20</v>
      </c>
      <c r="M14748" t="s">
        <v>28033</v>
      </c>
      <c r="N14748" t="s">
        <v>14</v>
      </c>
    </row>
    <row r="14749" x14ac:dyDescent="0.25">
      <c r="A14749" t="n">
        <v>22</v>
      </c>
      <c r="B14749" t="s">
        <v>14</v>
      </c>
      <c r="C14749" t="s">
        <v>22</v>
      </c>
      <c r="D14749" s="2" t="s">
        <f>=HYPERLINK("https://main.knesset.gov.il/APPS/legislation/main/bills/2083019", "הצעת חוק לקידום התחרות ולצמצום הריכוזיות (תיקון - קביעת תאגיד שאינו מדווח או שותפות כחברת שכבה), התש""ף-2019")</f>
        <v>27690</v>
      </c>
      <c r="E14749" t="s">
        <v>27690</v>
      </c>
      <c r="F14749" t="s">
        <v>28356</v>
      </c>
      <c r="G14749" t="s">
        <v>14</v>
      </c>
      <c r="H14749">
             </c>
      <c r="I14749" t="s">
        <v>14</v>
      </c>
      <c r="J14749" t="s">
        <v>141</v>
      </c>
      <c r="K14749" t="s">
        <v>14</v>
      </c>
      <c r="L14749" t="s">
        <v>20</v>
      </c>
      <c r="M14749" t="s">
        <v>28033</v>
      </c>
      <c r="N14749" t="s">
        <v>14</v>
      </c>
    </row>
    <row r="14750" x14ac:dyDescent="0.25">
      <c r="A14750" t="n">
        <v>22</v>
      </c>
      <c r="B14750" t="s">
        <v>14</v>
      </c>
      <c r="C14750" t="s">
        <v>22</v>
      </c>
      <c r="D14750" s="2" t="s">
        <f>=HYPERLINK("https://main.knesset.gov.il/APPS/legislation/main/bills/2082705", "הצעת חוק תכנון משק החלב (תיקון - הארכת תוקף הוראת המעבר לעניין מחירי חלב בקר במכסה), התש''ף-2019")</f>
        <v>28357</v>
      </c>
      <c r="E14750" t="s">
        <v>28357</v>
      </c>
      <c r="F14750" t="s">
        <v>28358</v>
      </c>
      <c r="G14750" t="s">
        <v>14</v>
      </c>
      <c r="H14750">
             </c>
      <c r="I14750" t="s">
        <v>14</v>
      </c>
      <c r="J14750" t="s">
        <v>141</v>
      </c>
      <c r="K14750" t="s">
        <v>14</v>
      </c>
      <c r="L14750" t="s">
        <v>20</v>
      </c>
      <c r="M14750" t="s">
        <v>28033</v>
      </c>
      <c r="N14750" t="s">
        <v>14</v>
      </c>
    </row>
    <row r="14751" x14ac:dyDescent="0.25">
      <c r="A14751" t="n">
        <v>22</v>
      </c>
      <c r="B14751" t="s">
        <v>14</v>
      </c>
      <c r="C14751" t="s">
        <v>22</v>
      </c>
      <c r="D14751" s="2" t="s">
        <f>=HYPERLINK("https://main.knesset.gov.il/APPS/legislation/main/bills/2082781", "הצעת חוק שיווי זכויות האישה (תיקון - ייצוג לנשים בוועדות איתור), התש""ף-2019")</f>
        <v>28359</v>
      </c>
      <c r="E14751" t="s">
        <v>28359</v>
      </c>
      <c r="F14751" t="s">
        <v>28360</v>
      </c>
      <c r="G14751" t="s">
        <v>14</v>
      </c>
      <c r="H14751">
             </c>
      <c r="I14751" t="s">
        <v>14</v>
      </c>
      <c r="J14751" t="s">
        <v>141</v>
      </c>
      <c r="K14751" t="s">
        <v>14</v>
      </c>
      <c r="L14751" t="s">
        <v>20</v>
      </c>
      <c r="M14751" t="s">
        <v>28033</v>
      </c>
      <c r="N14751" t="s">
        <v>14</v>
      </c>
    </row>
    <row r="14752" x14ac:dyDescent="0.25">
      <c r="A14752" t="n">
        <v>22</v>
      </c>
      <c r="B14752" t="s">
        <v>14</v>
      </c>
      <c r="C14752" t="s">
        <v>22</v>
      </c>
      <c r="D14752" s="2" t="s">
        <f>=HYPERLINK("https://main.knesset.gov.il/APPS/legislation/main/bills/2081545", "הצעת חוק התכנון והבנייה (תיקון - תוקף היתר הבנייה), התש""ף-2019")</f>
        <v>28361</v>
      </c>
      <c r="E14752" t="s">
        <v>28361</v>
      </c>
      <c r="F14752" t="s">
        <v>28362</v>
      </c>
      <c r="G14752" t="s">
        <v>14</v>
      </c>
      <c r="H14752">
             </c>
      <c r="I14752" t="s">
        <v>14</v>
      </c>
      <c r="J14752" t="s">
        <v>141</v>
      </c>
      <c r="K14752" t="s">
        <v>14</v>
      </c>
      <c r="L14752" t="s">
        <v>20</v>
      </c>
      <c r="M14752" t="s">
        <v>28033</v>
      </c>
      <c r="N14752" t="s">
        <v>14</v>
      </c>
    </row>
    <row r="14753" x14ac:dyDescent="0.25">
      <c r="A14753" t="n">
        <v>22</v>
      </c>
      <c r="B14753" t="s">
        <v>14</v>
      </c>
      <c r="C14753" t="s">
        <v>22</v>
      </c>
      <c r="D14753" s="2" t="s">
        <f>=HYPERLINK("https://main.knesset.gov.il/APPS/legislation/main/bills/2083018", "הצעת חוק החלת ריבונות ישראל בשטח בקעת הירדן וצפון ים המלח, התש""ף-2019")</f>
        <v>28363</v>
      </c>
      <c r="E14753" t="s">
        <v>28363</v>
      </c>
      <c r="F14753" t="s">
        <v>28364</v>
      </c>
      <c r="G14753" t="s">
        <v>14</v>
      </c>
      <c r="H14753">
             </c>
      <c r="I14753" t="s">
        <v>14</v>
      </c>
      <c r="J14753" t="s">
        <v>141</v>
      </c>
      <c r="K14753" t="s">
        <v>14</v>
      </c>
      <c r="L14753" t="s">
        <v>20</v>
      </c>
      <c r="M14753" t="s">
        <v>28033</v>
      </c>
      <c r="N14753" t="s">
        <v>14</v>
      </c>
    </row>
    <row r="14754" x14ac:dyDescent="0.25">
      <c r="A14754" t="n">
        <v>22</v>
      </c>
      <c r="B14754" t="s">
        <v>14</v>
      </c>
      <c r="C14754" t="s">
        <v>22</v>
      </c>
      <c r="D14754" s="2" t="s">
        <f>=HYPERLINK("https://main.knesset.gov.il/APPS/legislation/main/bills/2083379", "הצעת חוק גדר הביטחון, התש""ף-2019")</f>
        <v>28365</v>
      </c>
      <c r="E14754" t="s">
        <v>28365</v>
      </c>
      <c r="F14754" t="s">
        <v>28366</v>
      </c>
      <c r="G14754" t="s">
        <v>14</v>
      </c>
      <c r="H14754">
             </c>
      <c r="I14754" t="s">
        <v>14</v>
      </c>
      <c r="J14754" t="s">
        <v>141</v>
      </c>
      <c r="K14754" t="s">
        <v>14</v>
      </c>
      <c r="L14754" t="s">
        <v>20</v>
      </c>
      <c r="M14754" t="s">
        <v>28033</v>
      </c>
      <c r="N14754" t="s">
        <v>14</v>
      </c>
    </row>
    <row r="14755" x14ac:dyDescent="0.25">
      <c r="A14755" t="n">
        <v>22</v>
      </c>
      <c r="B14755" t="s">
        <v>14</v>
      </c>
      <c r="C14755" t="s">
        <v>22</v>
      </c>
      <c r="D14755" s="2" t="s">
        <f>=HYPERLINK("https://main.knesset.gov.il/APPS/legislation/main/bills/2083102", "הצעת חוק הבחירות לכנסת (הצבעת אנשי צוות אוויר), התש""ף-2019")</f>
        <v>28367</v>
      </c>
      <c r="E14755" t="s">
        <v>28367</v>
      </c>
      <c r="F14755" t="s">
        <v>28368</v>
      </c>
      <c r="G14755" t="s">
        <v>14</v>
      </c>
      <c r="H14755">
             </c>
      <c r="I14755" t="s">
        <v>14</v>
      </c>
      <c r="J14755" t="s">
        <v>141</v>
      </c>
      <c r="K14755" t="s">
        <v>14</v>
      </c>
      <c r="L14755" t="s">
        <v>20</v>
      </c>
      <c r="M14755" t="s">
        <v>28033</v>
      </c>
      <c r="N14755" t="s">
        <v>14</v>
      </c>
    </row>
    <row r="14756" x14ac:dyDescent="0.25">
      <c r="A14756" t="n">
        <v>22</v>
      </c>
      <c r="B14756" t="s">
        <v>14</v>
      </c>
      <c r="C14756" t="s">
        <v>22</v>
      </c>
      <c r="D14756" s="2" t="s">
        <f>=HYPERLINK("https://main.knesset.gov.il/APPS/legislation/main/bills/2083012", "הצעת חוק-יסוד: הכנסת (תיקון - סייג להגשת עתירה בידי חבר הכנסת בעניין שהוחלט בכנסת)")</f>
        <v>26954</v>
      </c>
      <c r="E14756" t="s">
        <v>26954</v>
      </c>
      <c r="F14756" t="s">
        <v>28369</v>
      </c>
      <c r="G14756" t="s">
        <v>14</v>
      </c>
      <c r="H14756">
             </c>
      <c r="I14756" t="s">
        <v>14</v>
      </c>
      <c r="J14756" t="s">
        <v>141</v>
      </c>
      <c r="K14756" t="s">
        <v>14</v>
      </c>
      <c r="L14756" t="s">
        <v>20</v>
      </c>
      <c r="M14756" t="s">
        <v>28033</v>
      </c>
      <c r="N14756" t="s">
        <v>14</v>
      </c>
    </row>
    <row r="14757" x14ac:dyDescent="0.25">
      <c r="A14757" t="n">
        <v>22</v>
      </c>
      <c r="B14757" t="s">
        <v>14</v>
      </c>
      <c r="C14757" t="s">
        <v>22</v>
      </c>
      <c r="D14757" s="2" t="s">
        <f>=HYPERLINK("https://main.knesset.gov.il/APPS/legislation/main/bills/2083605", "הצעת חוק הביטוח הלאומי (תיקון - הכרה בפגיעה מינית בעבודה כפגיעה בעבודה), התש""ף-2019")</f>
        <v>28370</v>
      </c>
      <c r="E14757" t="s">
        <v>28370</v>
      </c>
      <c r="F14757" t="s">
        <v>28371</v>
      </c>
      <c r="G14757" t="s">
        <v>14</v>
      </c>
      <c r="H14757">
             </c>
      <c r="I14757" t="s">
        <v>14</v>
      </c>
      <c r="J14757" t="s">
        <v>141</v>
      </c>
      <c r="K14757" t="s">
        <v>14</v>
      </c>
      <c r="L14757" t="s">
        <v>20</v>
      </c>
      <c r="M14757" t="s">
        <v>28033</v>
      </c>
      <c r="N14757" t="s">
        <v>14</v>
      </c>
    </row>
    <row r="14758" x14ac:dyDescent="0.25">
      <c r="A14758" t="n">
        <v>22</v>
      </c>
      <c r="B14758" t="s">
        <v>14</v>
      </c>
      <c r="C14758" t="s">
        <v>22</v>
      </c>
      <c r="D14758" s="2" t="s">
        <f>=HYPERLINK("https://main.knesset.gov.il/APPS/legislation/main/bills/2083081", "הצעת חוק הרשויות המקומיות (פטור חיילים, נפגעי מלחמה ושוטרים מארנונה) (תיקון - החרגת ההגבלה סייג לדירות גדולות לחיילים בודדים), התש""ף-2019 ")</f>
        <v>28372</v>
      </c>
      <c r="E14758" t="s">
        <v>28372</v>
      </c>
      <c r="F14758" t="s">
        <v>28373</v>
      </c>
      <c r="G14758" t="s">
        <v>14</v>
      </c>
      <c r="H14758">
             </c>
      <c r="I14758" t="s">
        <v>14</v>
      </c>
      <c r="J14758" t="s">
        <v>141</v>
      </c>
      <c r="K14758" t="s">
        <v>14</v>
      </c>
      <c r="L14758" t="s">
        <v>20</v>
      </c>
      <c r="M14758" t="s">
        <v>28033</v>
      </c>
      <c r="N14758" t="s">
        <v>14</v>
      </c>
    </row>
    <row r="14759" x14ac:dyDescent="0.25">
      <c r="A14759" t="n">
        <v>22</v>
      </c>
      <c r="B14759" t="s">
        <v>14</v>
      </c>
      <c r="C14759" t="s">
        <v>22</v>
      </c>
      <c r="D14759" s="2" t="s">
        <f>=HYPERLINK("https://main.knesset.gov.il/APPS/legislation/main/bills/2083301", "הצעת חוק העסקת עובדים על ידי קבלני כוח אדם (תיקון - ביטול החוק), התש""ף-2019")</f>
        <v>28374</v>
      </c>
      <c r="E14759" t="s">
        <v>28374</v>
      </c>
      <c r="F14759" t="s">
        <v>28375</v>
      </c>
      <c r="G14759" t="s">
        <v>14</v>
      </c>
      <c r="H14759">
             </c>
      <c r="I14759" t="s">
        <v>14</v>
      </c>
      <c r="J14759" t="s">
        <v>141</v>
      </c>
      <c r="K14759" t="s">
        <v>14</v>
      </c>
      <c r="L14759" t="s">
        <v>20</v>
      </c>
      <c r="M14759" t="s">
        <v>28033</v>
      </c>
      <c r="N14759" t="s">
        <v>14</v>
      </c>
    </row>
    <row r="14760" x14ac:dyDescent="0.25">
      <c r="A14760" t="n">
        <v>22</v>
      </c>
      <c r="B14760" t="s">
        <v>14</v>
      </c>
      <c r="C14760" t="s">
        <v>22</v>
      </c>
      <c r="D14760" s="2" t="s">
        <f>=HYPERLINK("https://main.knesset.gov.il/APPS/legislation/main/bills/2082990", "הצעת חוק הביטוח הלאומי (תיקון - הפחתת קצבת ילדים בשל אי חיסון), התש""ף-2019")</f>
        <v>28376</v>
      </c>
      <c r="E14760" t="s">
        <v>28376</v>
      </c>
      <c r="F14760" t="s">
        <v>28377</v>
      </c>
      <c r="G14760" t="s">
        <v>14</v>
      </c>
      <c r="H14760">
             </c>
      <c r="I14760" t="s">
        <v>14</v>
      </c>
      <c r="J14760" t="s">
        <v>141</v>
      </c>
      <c r="K14760" t="s">
        <v>14</v>
      </c>
      <c r="L14760" t="s">
        <v>20</v>
      </c>
      <c r="M14760" t="s">
        <v>28033</v>
      </c>
      <c r="N14760" t="s">
        <v>14</v>
      </c>
    </row>
    <row r="14761" x14ac:dyDescent="0.25">
      <c r="A14761" t="n">
        <v>22</v>
      </c>
      <c r="B14761" t="s">
        <v>14</v>
      </c>
      <c r="C14761" t="s">
        <v>22</v>
      </c>
      <c r="D14761" s="2" t="s">
        <f>=HYPERLINK("https://main.knesset.gov.il/APPS/legislation/main/bills/2083025", "הצעת חוק הדחת נציג ציבור התומך במאבק מזוין נגד מדינת ישראל (תיקוני חקיקה), התש""ף-2019")</f>
        <v>28378</v>
      </c>
      <c r="E14761" t="s">
        <v>28378</v>
      </c>
      <c r="F14761" t="s">
        <v>28379</v>
      </c>
      <c r="G14761" t="s">
        <v>14</v>
      </c>
      <c r="H14761">
             </c>
      <c r="I14761" t="s">
        <v>14</v>
      </c>
      <c r="J14761" t="s">
        <v>141</v>
      </c>
      <c r="K14761" t="s">
        <v>14</v>
      </c>
      <c r="L14761" t="s">
        <v>20</v>
      </c>
      <c r="M14761" t="s">
        <v>28033</v>
      </c>
      <c r="N14761" t="s">
        <v>14</v>
      </c>
    </row>
    <row r="14762" x14ac:dyDescent="0.25">
      <c r="A14762" t="n">
        <v>22</v>
      </c>
      <c r="B14762" t="s">
        <v>14</v>
      </c>
      <c r="C14762" t="s">
        <v>22</v>
      </c>
      <c r="D14762" s="2" t="s">
        <f>=HYPERLINK("https://main.knesset.gov.il/APPS/legislation/main/bills/2082985", "הצעת חוק מידע גנטי (תיקון - איסור שימוש בתוצאות בדיקה גנטית לקביעת השתייכות לעדה דתית), התש""ף-2019")</f>
        <v>28380</v>
      </c>
      <c r="E14762" t="s">
        <v>28380</v>
      </c>
      <c r="F14762" t="s">
        <v>28381</v>
      </c>
      <c r="G14762" t="s">
        <v>14</v>
      </c>
      <c r="H14762">
             </c>
      <c r="I14762" t="s">
        <v>14</v>
      </c>
      <c r="J14762" t="s">
        <v>141</v>
      </c>
      <c r="K14762" t="s">
        <v>14</v>
      </c>
      <c r="L14762" t="s">
        <v>20</v>
      </c>
      <c r="M14762" t="s">
        <v>28033</v>
      </c>
      <c r="N14762" t="s">
        <v>14</v>
      </c>
    </row>
    <row r="14763" x14ac:dyDescent="0.25">
      <c r="A14763" t="n">
        <v>22</v>
      </c>
      <c r="B14763" t="s">
        <v>14</v>
      </c>
      <c r="C14763" t="s">
        <v>22</v>
      </c>
      <c r="D14763" s="2" t="s">
        <f>=HYPERLINK("https://main.knesset.gov.il/APPS/legislation/main/bills/2083119", "הצעת חוק השחתת מודעות על רקע מגדר, התש""ף-2019")</f>
        <v>28382</v>
      </c>
      <c r="E14763" t="s">
        <v>28382</v>
      </c>
      <c r="F14763" t="s">
        <v>28383</v>
      </c>
      <c r="G14763" t="s">
        <v>14</v>
      </c>
      <c r="H14763">
             </c>
      <c r="I14763" t="s">
        <v>14</v>
      </c>
      <c r="J14763" t="s">
        <v>141</v>
      </c>
      <c r="K14763" t="s">
        <v>14</v>
      </c>
      <c r="L14763" t="s">
        <v>20</v>
      </c>
      <c r="M14763" t="s">
        <v>28033</v>
      </c>
      <c r="N14763" t="s">
        <v>14</v>
      </c>
    </row>
    <row r="14764" x14ac:dyDescent="0.25">
      <c r="A14764" t="n">
        <v>22</v>
      </c>
      <c r="B14764" t="s">
        <v>14</v>
      </c>
      <c r="C14764" t="s">
        <v>22</v>
      </c>
      <c r="D14764" s="2" t="s">
        <f>=HYPERLINK("https://main.knesset.gov.il/APPS/legislation/main/bills/2082756", "הצעת חוק שיפוט בתי דין רבניים (נישואין וגירושין) (תיקון - דרישת הסכמה בכתב), התש""ף-2019")</f>
        <v>28384</v>
      </c>
      <c r="E14764" t="s">
        <v>28384</v>
      </c>
      <c r="F14764" t="s">
        <v>28385</v>
      </c>
      <c r="G14764" t="s">
        <v>14</v>
      </c>
      <c r="H14764">
             </c>
      <c r="I14764" t="s">
        <v>14</v>
      </c>
      <c r="J14764" t="s">
        <v>141</v>
      </c>
      <c r="K14764" t="s">
        <v>14</v>
      </c>
      <c r="L14764" t="s">
        <v>20</v>
      </c>
      <c r="M14764" t="s">
        <v>28033</v>
      </c>
      <c r="N14764" t="s">
        <v>14</v>
      </c>
    </row>
    <row r="14765" x14ac:dyDescent="0.25">
      <c r="A14765" t="n">
        <v>22</v>
      </c>
      <c r="B14765" t="s">
        <v>14</v>
      </c>
      <c r="C14765" t="s">
        <v>22</v>
      </c>
      <c r="D14765" s="2" t="s">
        <f>=HYPERLINK("https://main.knesset.gov.il/APPS/legislation/main/bills/2083298", "הצעת חוק אמנות ג'נבה, התש""ף-2019")</f>
        <v>28386</v>
      </c>
      <c r="E14765" t="s">
        <v>28386</v>
      </c>
      <c r="F14765" t="s">
        <v>28387</v>
      </c>
      <c r="G14765" t="s">
        <v>14</v>
      </c>
      <c r="H14765">
             </c>
      <c r="I14765" t="s">
        <v>14</v>
      </c>
      <c r="J14765" t="s">
        <v>141</v>
      </c>
      <c r="K14765" t="s">
        <v>14</v>
      </c>
      <c r="L14765" t="s">
        <v>20</v>
      </c>
      <c r="M14765" t="s">
        <v>28033</v>
      </c>
      <c r="N14765" t="s">
        <v>14</v>
      </c>
    </row>
    <row r="14766" x14ac:dyDescent="0.25">
      <c r="A14766" t="n">
        <v>22</v>
      </c>
      <c r="B14766" t="s">
        <v>14</v>
      </c>
      <c r="C14766" t="s">
        <v>22</v>
      </c>
      <c r="D14766" s="2" t="s">
        <f>=HYPERLINK("https://main.knesset.gov.il/APPS/legislation/main/bills/2083015", "הצעת חוק שכר נושאי משרה ברשויות השלטון, התש""ף-2019")</f>
        <v>28388</v>
      </c>
      <c r="E14766" t="s">
        <v>28388</v>
      </c>
      <c r="F14766" t="s">
        <v>28389</v>
      </c>
      <c r="G14766" t="s">
        <v>14</v>
      </c>
      <c r="H14766">
             </c>
      <c r="I14766" t="s">
        <v>14</v>
      </c>
      <c r="J14766" t="s">
        <v>141</v>
      </c>
      <c r="K14766" t="s">
        <v>14</v>
      </c>
      <c r="L14766" t="s">
        <v>20</v>
      </c>
      <c r="M14766" t="s">
        <v>28033</v>
      </c>
      <c r="N14766" t="s">
        <v>14</v>
      </c>
    </row>
    <row r="14767" x14ac:dyDescent="0.25">
      <c r="A14767" t="n">
        <v>22</v>
      </c>
      <c r="B14767" t="s">
        <v>14</v>
      </c>
      <c r="C14767" t="s">
        <v>22</v>
      </c>
      <c r="D14767" s="2" t="s">
        <f>=HYPERLINK("https://main.knesset.gov.il/APPS/legislation/main/bills/2083020", "הצעת חוק-יסוד: שכר נושאי משרה ברשויות השלטון (תיקוני חקיקה)")</f>
        <v>10175</v>
      </c>
      <c r="E14767" t="s">
        <v>10175</v>
      </c>
      <c r="F14767" t="s">
        <v>28390</v>
      </c>
      <c r="G14767" t="s">
        <v>14</v>
      </c>
      <c r="H14767">
             </c>
      <c r="I14767" t="s">
        <v>14</v>
      </c>
      <c r="J14767" t="s">
        <v>141</v>
      </c>
      <c r="K14767" t="s">
        <v>14</v>
      </c>
      <c r="L14767" t="s">
        <v>20</v>
      </c>
      <c r="M14767" t="s">
        <v>28033</v>
      </c>
      <c r="N14767" t="s">
        <v>14</v>
      </c>
    </row>
    <row r="14768" x14ac:dyDescent="0.25">
      <c r="A14768" t="n">
        <v>22</v>
      </c>
      <c r="B14768" t="s">
        <v>14</v>
      </c>
      <c r="C14768" t="s">
        <v>22</v>
      </c>
      <c r="D14768" s="2" t="s">
        <f>=HYPERLINK("https://main.knesset.gov.il/APPS/legislation/main/bills/2083007", "הצעת חוק מימון מפלגות (תיקון - שלילת מימון ממפלגה שקוראת להטלת חרם על מדינת ישראל), התש""ף-2019")</f>
        <v>28391</v>
      </c>
      <c r="E14768" t="s">
        <v>28391</v>
      </c>
      <c r="F14768" t="s">
        <v>28392</v>
      </c>
      <c r="G14768" t="s">
        <v>14</v>
      </c>
      <c r="H14768">
             </c>
      <c r="I14768" t="s">
        <v>14</v>
      </c>
      <c r="J14768" t="s">
        <v>141</v>
      </c>
      <c r="K14768" t="s">
        <v>14</v>
      </c>
      <c r="L14768" t="s">
        <v>20</v>
      </c>
      <c r="M14768" t="s">
        <v>28033</v>
      </c>
      <c r="N14768" t="s">
        <v>14</v>
      </c>
    </row>
    <row r="14769" x14ac:dyDescent="0.25">
      <c r="A14769" t="n">
        <v>22</v>
      </c>
      <c r="B14769" t="s">
        <v>14</v>
      </c>
      <c r="C14769" t="s">
        <v>22</v>
      </c>
      <c r="D14769" s="2" t="s">
        <f>=HYPERLINK("https://main.knesset.gov.il/APPS/legislation/main/bills/2083164", "הצעת חוק הבטחת הכנסה (תיקון - הגדלת השלמת ההכנסה), התש""ף-2019")</f>
        <v>28393</v>
      </c>
      <c r="E14769" t="s">
        <v>28393</v>
      </c>
      <c r="F14769" t="s">
        <v>28394</v>
      </c>
      <c r="G14769" t="s">
        <v>14</v>
      </c>
      <c r="H14769">
             </c>
      <c r="I14769" t="s">
        <v>14</v>
      </c>
      <c r="J14769" t="s">
        <v>141</v>
      </c>
      <c r="K14769" t="s">
        <v>14</v>
      </c>
      <c r="L14769" t="s">
        <v>20</v>
      </c>
      <c r="M14769" t="s">
        <v>28033</v>
      </c>
      <c r="N14769" t="s">
        <v>14</v>
      </c>
    </row>
    <row r="14770" x14ac:dyDescent="0.25">
      <c r="A14770" t="n">
        <v>22</v>
      </c>
      <c r="B14770" t="s">
        <v>14</v>
      </c>
      <c r="C14770" t="s">
        <v>22</v>
      </c>
      <c r="D14770" s="2" t="s">
        <f>=HYPERLINK("https://main.knesset.gov.il/APPS/legislation/main/bills/2081864", "הצעת חוק שבת יום המנוחה, התש""ף-2019")</f>
        <v>28395</v>
      </c>
      <c r="E14770" t="s">
        <v>28395</v>
      </c>
      <c r="F14770" t="s">
        <v>28396</v>
      </c>
      <c r="G14770" t="s">
        <v>14</v>
      </c>
      <c r="H14770">
             </c>
      <c r="I14770" t="s">
        <v>14</v>
      </c>
      <c r="J14770" t="s">
        <v>141</v>
      </c>
      <c r="K14770" t="s">
        <v>14</v>
      </c>
      <c r="L14770" t="s">
        <v>20</v>
      </c>
      <c r="M14770" t="s">
        <v>28033</v>
      </c>
      <c r="N14770" t="s">
        <v>14</v>
      </c>
    </row>
    <row r="14771" x14ac:dyDescent="0.25">
      <c r="A14771" t="n">
        <v>22</v>
      </c>
      <c r="B14771" t="s">
        <v>14</v>
      </c>
      <c r="C14771" t="s">
        <v>22</v>
      </c>
      <c r="D14771" s="2" t="s">
        <f>=HYPERLINK("https://main.knesset.gov.il/APPS/legislation/main/bills/2082679", "הצעת חוק ביטוח בריאות ממלכתי (תיקון - צמצום הפערים בין הפריפריה למרכז), התש""ף-2019")</f>
        <v>28397</v>
      </c>
      <c r="E14771" t="s">
        <v>28397</v>
      </c>
      <c r="F14771" t="s">
        <v>28398</v>
      </c>
      <c r="G14771" t="s">
        <v>14</v>
      </c>
      <c r="H14771">
             </c>
      <c r="I14771" t="s">
        <v>14</v>
      </c>
      <c r="J14771" t="s">
        <v>141</v>
      </c>
      <c r="K14771" t="s">
        <v>14</v>
      </c>
      <c r="L14771" t="s">
        <v>20</v>
      </c>
      <c r="M14771" t="s">
        <v>28033</v>
      </c>
      <c r="N14771" t="s">
        <v>14</v>
      </c>
    </row>
    <row r="14772" x14ac:dyDescent="0.25">
      <c r="A14772" t="n">
        <v>22</v>
      </c>
      <c r="B14772" t="s">
        <v>14</v>
      </c>
      <c r="C14772" t="s">
        <v>22</v>
      </c>
      <c r="D14772" s="2" t="s">
        <f>=HYPERLINK("https://main.knesset.gov.il/APPS/legislation/main/bills/2083331", "הצעת חוק ביטוח בריאות ממלכתי (תיקון - צמצום פערים בין הפריפריה למרכז), התש""ף-2019")</f>
        <v>28399</v>
      </c>
      <c r="E14772" t="s">
        <v>28399</v>
      </c>
      <c r="F14772" t="s">
        <v>28400</v>
      </c>
      <c r="G14772" t="s">
        <v>14</v>
      </c>
      <c r="H14772">
             </c>
      <c r="I14772" t="s">
        <v>14</v>
      </c>
      <c r="J14772" t="s">
        <v>141</v>
      </c>
      <c r="K14772" t="s">
        <v>14</v>
      </c>
      <c r="L14772" t="s">
        <v>20</v>
      </c>
      <c r="M14772" t="s">
        <v>28033</v>
      </c>
      <c r="N14772" t="s">
        <v>14</v>
      </c>
    </row>
    <row r="14773" x14ac:dyDescent="0.25">
      <c r="A14773" t="n">
        <v>22</v>
      </c>
      <c r="B14773" t="s">
        <v>14</v>
      </c>
      <c r="C14773" t="s">
        <v>22</v>
      </c>
      <c r="D14773" s="2" t="s">
        <f>=HYPERLINK("https://main.knesset.gov.il/APPS/legislation/main/bills/2083347", "הצעת חוק תגמולים לאסירי ציון ולבני משפחותיהם (תיקון - שינוי מועד יום ציון פועלם של אסירי ציון וקביעת פעולות לציונו), התש""ף-2019")</f>
        <v>28401</v>
      </c>
      <c r="E14773" t="s">
        <v>28401</v>
      </c>
      <c r="F14773" t="s">
        <v>28402</v>
      </c>
      <c r="G14773" t="s">
        <v>14</v>
      </c>
      <c r="H14773">
             </c>
      <c r="I14773" t="s">
        <v>14</v>
      </c>
      <c r="J14773" t="s">
        <v>141</v>
      </c>
      <c r="K14773" t="s">
        <v>14</v>
      </c>
      <c r="L14773" t="s">
        <v>20</v>
      </c>
      <c r="M14773" t="s">
        <v>28033</v>
      </c>
      <c r="N14773" t="s">
        <v>14</v>
      </c>
    </row>
    <row r="14774" x14ac:dyDescent="0.25">
      <c r="A14774" t="n">
        <v>22</v>
      </c>
      <c r="B14774" t="s">
        <v>14</v>
      </c>
      <c r="C14774" t="s">
        <v>22</v>
      </c>
      <c r="D14774" s="2" t="s">
        <f>=HYPERLINK("https://main.knesset.gov.il/APPS/legislation/main/bills/2082855", "הצעת חוק הפיקוח על יצוא ביטחוני (תיקון - הגבלות על יצוא ביטחוני לכוחות ביטחון שביצעו הפרות חמורות של זכויות אדם), התש""ף-2019")</f>
        <v>28403</v>
      </c>
      <c r="E14774" t="s">
        <v>28403</v>
      </c>
      <c r="F14774" t="s">
        <v>28404</v>
      </c>
      <c r="G14774" t="s">
        <v>14</v>
      </c>
      <c r="H14774">
             </c>
      <c r="I14774" t="s">
        <v>14</v>
      </c>
      <c r="J14774" t="s">
        <v>141</v>
      </c>
      <c r="K14774" t="s">
        <v>14</v>
      </c>
      <c r="L14774" t="s">
        <v>20</v>
      </c>
      <c r="M14774" t="s">
        <v>28033</v>
      </c>
      <c r="N14774" t="s">
        <v>14</v>
      </c>
    </row>
    <row r="14775" x14ac:dyDescent="0.25">
      <c r="A14775" t="n">
        <v>22</v>
      </c>
      <c r="B14775" t="s">
        <v>14</v>
      </c>
      <c r="C14775" t="s">
        <v>22</v>
      </c>
      <c r="D14775" s="2" t="s">
        <f>=HYPERLINK("https://main.knesset.gov.il/APPS/legislation/main/bills/2083528", "הצעת חוק הביטוח הלאומי (תיקון - פטור לסטודנטים מתשלום דמי ביטוח לאומי), התש""ף-2019")</f>
        <v>28405</v>
      </c>
      <c r="E14775" t="s">
        <v>28405</v>
      </c>
      <c r="F14775" t="s">
        <v>28406</v>
      </c>
      <c r="G14775" t="s">
        <v>14</v>
      </c>
      <c r="H14775">
             </c>
      <c r="I14775" t="s">
        <v>14</v>
      </c>
      <c r="J14775" t="s">
        <v>141</v>
      </c>
      <c r="K14775" t="s">
        <v>14</v>
      </c>
      <c r="L14775" t="s">
        <v>20</v>
      </c>
      <c r="M14775" t="s">
        <v>28033</v>
      </c>
      <c r="N14775" t="s">
        <v>14</v>
      </c>
    </row>
    <row r="14776" x14ac:dyDescent="0.25">
      <c r="A14776" t="n">
        <v>22</v>
      </c>
      <c r="B14776" t="s">
        <v>14</v>
      </c>
      <c r="C14776" t="s">
        <v>22</v>
      </c>
      <c r="D14776" s="2" t="s">
        <f>=HYPERLINK("https://main.knesset.gov.il/APPS/legislation/main/bills/2083576", "הצעת חוק הביטוח הלאומי (תיקון - דמי ביטוח מופחתים למעסיק קולט עלייה), התש""ף-2019")</f>
        <v>28407</v>
      </c>
      <c r="E14776" t="s">
        <v>28407</v>
      </c>
      <c r="F14776" t="s">
        <v>28408</v>
      </c>
      <c r="G14776" t="s">
        <v>14</v>
      </c>
      <c r="H14776">
             </c>
      <c r="I14776" t="s">
        <v>14</v>
      </c>
      <c r="J14776" t="s">
        <v>141</v>
      </c>
      <c r="K14776" t="s">
        <v>14</v>
      </c>
      <c r="L14776" t="s">
        <v>20</v>
      </c>
      <c r="M14776" t="s">
        <v>28033</v>
      </c>
      <c r="N14776" t="s">
        <v>14</v>
      </c>
    </row>
    <row r="14777" x14ac:dyDescent="0.25">
      <c r="A14777" t="n">
        <v>22</v>
      </c>
      <c r="B14777" t="s">
        <v>14</v>
      </c>
      <c r="C14777" t="s">
        <v>22</v>
      </c>
      <c r="D14777" s="2" t="s">
        <f>=HYPERLINK("https://main.knesset.gov.il/APPS/legislation/main/bills/2082717", "הצעת חוק בתי קברות צבאיים (תיקון - חיילים זכאי חוק השבות), התש""ף-2019")</f>
        <v>28409</v>
      </c>
      <c r="E14777" t="s">
        <v>28409</v>
      </c>
      <c r="F14777" t="s">
        <v>28410</v>
      </c>
      <c r="G14777" t="s">
        <v>14</v>
      </c>
      <c r="H14777">
             </c>
      <c r="I14777" t="s">
        <v>14</v>
      </c>
      <c r="J14777" t="s">
        <v>141</v>
      </c>
      <c r="K14777" t="s">
        <v>14</v>
      </c>
      <c r="L14777" t="s">
        <v>20</v>
      </c>
      <c r="M14777" t="s">
        <v>28033</v>
      </c>
      <c r="N14777" t="s">
        <v>14</v>
      </c>
    </row>
    <row r="14778" x14ac:dyDescent="0.25">
      <c r="A14778" t="n">
        <v>22</v>
      </c>
      <c r="B14778" t="s">
        <v>14</v>
      </c>
      <c r="C14778" t="s">
        <v>22</v>
      </c>
      <c r="D14778" s="2" t="s">
        <f>=HYPERLINK("https://main.knesset.gov.il/APPS/legislation/main/bills/2082570", "הצעת חוק הביטוח הלאומי (תיקון - קצבת ילדים כפולה בלידת תאומים או יותר), התש""ף-2019")</f>
        <v>27848</v>
      </c>
      <c r="E14778" t="s">
        <v>27848</v>
      </c>
      <c r="F14778" t="s">
        <v>28411</v>
      </c>
      <c r="G14778" t="s">
        <v>14</v>
      </c>
      <c r="H14778">
             </c>
      <c r="I14778" t="s">
        <v>14</v>
      </c>
      <c r="J14778" t="s">
        <v>141</v>
      </c>
      <c r="K14778" t="s">
        <v>14</v>
      </c>
      <c r="L14778" t="s">
        <v>20</v>
      </c>
      <c r="M14778" t="s">
        <v>28033</v>
      </c>
      <c r="N14778" t="s">
        <v>14</v>
      </c>
    </row>
    <row r="14779" x14ac:dyDescent="0.25">
      <c r="A14779" t="n">
        <v>22</v>
      </c>
      <c r="B14779" t="s">
        <v>14</v>
      </c>
      <c r="C14779" t="s">
        <v>22</v>
      </c>
      <c r="D14779" s="2" t="s">
        <f>=HYPERLINK("https://main.knesset.gov.il/APPS/legislation/main/bills/2082706", "הצעת חוק הביטוח הלאומי (תיקון - זכאות לדמי לידה לחיילות בשירות קבע), התש""ף-2019")</f>
        <v>28412</v>
      </c>
      <c r="E14779" t="s">
        <v>28412</v>
      </c>
      <c r="F14779" t="s">
        <v>28413</v>
      </c>
      <c r="G14779" t="s">
        <v>14</v>
      </c>
      <c r="H14779">
             </c>
      <c r="I14779" t="s">
        <v>14</v>
      </c>
      <c r="J14779" t="s">
        <v>141</v>
      </c>
      <c r="K14779" t="s">
        <v>14</v>
      </c>
      <c r="L14779" t="s">
        <v>20</v>
      </c>
      <c r="M14779" t="s">
        <v>28033</v>
      </c>
      <c r="N14779" t="s">
        <v>14</v>
      </c>
    </row>
    <row r="14780" x14ac:dyDescent="0.25">
      <c r="A14780" t="n">
        <v>22</v>
      </c>
      <c r="B14780" t="s">
        <v>14</v>
      </c>
      <c r="C14780" t="s">
        <v>22</v>
      </c>
      <c r="D14780" s="2" t="s">
        <f>=HYPERLINK("https://main.knesset.gov.il/APPS/legislation/main/bills/2083014", "הצעת חוק ראש המטה הכללי של צבא הגנה לישראל (תקופת כהונה), התש""ף-2019")</f>
        <v>28414</v>
      </c>
      <c r="E14780" t="s">
        <v>28414</v>
      </c>
      <c r="F14780" t="s">
        <v>28415</v>
      </c>
      <c r="G14780" t="s">
        <v>14</v>
      </c>
      <c r="H14780">
             </c>
      <c r="I14780" t="s">
        <v>14</v>
      </c>
      <c r="J14780" t="s">
        <v>141</v>
      </c>
      <c r="K14780" t="s">
        <v>14</v>
      </c>
      <c r="L14780" t="s">
        <v>20</v>
      </c>
      <c r="M14780" t="s">
        <v>28033</v>
      </c>
      <c r="N14780" t="s">
        <v>14</v>
      </c>
    </row>
    <row r="14781" x14ac:dyDescent="0.25">
      <c r="A14781" t="n">
        <v>22</v>
      </c>
      <c r="B14781" t="s">
        <v>14</v>
      </c>
      <c r="C14781" t="s">
        <v>22</v>
      </c>
      <c r="D14781" s="2" t="s">
        <f>=HYPERLINK("https://main.knesset.gov.il/APPS/legislation/main/bills/2082629", "הצעת חוק הגנת השכר (תיקון - צירוף פירוט שעות חודשי לתלוש השכר), התש""ף-2019")</f>
        <v>28416</v>
      </c>
      <c r="E14781" t="s">
        <v>28416</v>
      </c>
      <c r="F14781" t="s">
        <v>28417</v>
      </c>
      <c r="G14781" t="s">
        <v>14</v>
      </c>
      <c r="H14781">
             </c>
      <c r="I14781" t="s">
        <v>14</v>
      </c>
      <c r="J14781" t="s">
        <v>141</v>
      </c>
      <c r="K14781" t="s">
        <v>14</v>
      </c>
      <c r="L14781" t="s">
        <v>20</v>
      </c>
      <c r="M14781" t="s">
        <v>28033</v>
      </c>
      <c r="N14781" t="s">
        <v>14</v>
      </c>
    </row>
    <row r="14782" x14ac:dyDescent="0.25">
      <c r="A14782" t="n">
        <v>22</v>
      </c>
      <c r="B14782" t="s">
        <v>14</v>
      </c>
      <c r="C14782" t="s">
        <v>22</v>
      </c>
      <c r="D14782" s="2" t="s">
        <f>=HYPERLINK("https://main.knesset.gov.il/APPS/legislation/main/bills/2082948", "הצעת חוק שירות ביטחון (תיקון - חובת תשלום מס למי שאינו משרת שירות צבאי או שירות אזרחי), התש""ף-2019")</f>
        <v>28418</v>
      </c>
      <c r="E14782" t="s">
        <v>28418</v>
      </c>
      <c r="F14782" t="s">
        <v>28419</v>
      </c>
      <c r="G14782" t="s">
        <v>14</v>
      </c>
      <c r="H14782">
             </c>
      <c r="I14782" t="s">
        <v>14</v>
      </c>
      <c r="J14782" t="s">
        <v>141</v>
      </c>
      <c r="K14782" t="s">
        <v>14</v>
      </c>
      <c r="L14782" t="s">
        <v>20</v>
      </c>
      <c r="M14782" t="s">
        <v>28033</v>
      </c>
      <c r="N14782" t="s">
        <v>14</v>
      </c>
    </row>
    <row r="14783" x14ac:dyDescent="0.25">
      <c r="A14783" t="n">
        <v>22</v>
      </c>
      <c r="B14783" t="s">
        <v>14</v>
      </c>
      <c r="C14783" t="s">
        <v>22</v>
      </c>
      <c r="D14783" s="2" t="s">
        <f>=HYPERLINK("https://main.knesset.gov.il/APPS/legislation/main/bills/2082117", "הצעת חוק הביטוח הלאומי (תיקון - תוספת קצבה לנכים מונשמים), התש""ף-2019")</f>
        <v>28420</v>
      </c>
      <c r="E14783" t="s">
        <v>28420</v>
      </c>
      <c r="F14783" t="s">
        <v>28421</v>
      </c>
      <c r="G14783" t="s">
        <v>14</v>
      </c>
      <c r="H14783">
             </c>
      <c r="I14783" t="s">
        <v>14</v>
      </c>
      <c r="J14783" t="s">
        <v>141</v>
      </c>
      <c r="K14783" t="s">
        <v>14</v>
      </c>
      <c r="L14783" t="s">
        <v>20</v>
      </c>
      <c r="M14783" t="s">
        <v>28033</v>
      </c>
      <c r="N14783" t="s">
        <v>14</v>
      </c>
    </row>
    <row r="14784" x14ac:dyDescent="0.25">
      <c r="A14784" t="n">
        <v>22</v>
      </c>
      <c r="B14784" t="s">
        <v>14</v>
      </c>
      <c r="C14784" t="s">
        <v>22</v>
      </c>
      <c r="D14784" s="2" t="s">
        <f>=HYPERLINK("https://main.knesset.gov.il/APPS/legislation/main/bills/2082440", "הצעת חוק פינוי יישובים במסגרת הסדר מדיני, התש""ף-2019")</f>
        <v>28422</v>
      </c>
      <c r="E14784" t="s">
        <v>28422</v>
      </c>
      <c r="F14784" t="s">
        <v>28423</v>
      </c>
      <c r="G14784" t="s">
        <v>14</v>
      </c>
      <c r="H14784">
             </c>
      <c r="I14784" t="s">
        <v>14</v>
      </c>
      <c r="J14784" t="s">
        <v>141</v>
      </c>
      <c r="K14784" t="s">
        <v>14</v>
      </c>
      <c r="L14784" t="s">
        <v>20</v>
      </c>
      <c r="M14784" t="s">
        <v>28033</v>
      </c>
      <c r="N14784" t="s">
        <v>14</v>
      </c>
    </row>
    <row r="14785" x14ac:dyDescent="0.25">
      <c r="A14785" t="n">
        <v>22</v>
      </c>
      <c r="B14785" t="s">
        <v>14</v>
      </c>
      <c r="C14785" t="s">
        <v>22</v>
      </c>
      <c r="D14785" s="2" t="s">
        <f>=HYPERLINK("https://main.knesset.gov.il/APPS/legislation/main/bills/2082723", "הצעת חוק הבחירות לכנסת (תיקון - ביטול עקרון הריתוק לקלפי), התש""ף-2019")</f>
        <v>28424</v>
      </c>
      <c r="E14785" t="s">
        <v>28424</v>
      </c>
      <c r="F14785" t="s">
        <v>28425</v>
      </c>
      <c r="G14785" t="s">
        <v>14</v>
      </c>
      <c r="H14785">
             </c>
      <c r="I14785" t="s">
        <v>14</v>
      </c>
      <c r="J14785" t="s">
        <v>141</v>
      </c>
      <c r="K14785" t="s">
        <v>14</v>
      </c>
      <c r="L14785" t="s">
        <v>20</v>
      </c>
      <c r="M14785" t="s">
        <v>28033</v>
      </c>
      <c r="N14785" t="s">
        <v>14</v>
      </c>
    </row>
    <row r="14786" x14ac:dyDescent="0.25">
      <c r="A14786" t="n">
        <v>22</v>
      </c>
      <c r="B14786" t="s">
        <v>14</v>
      </c>
      <c r="C14786" t="s">
        <v>22</v>
      </c>
      <c r="D14786" s="2" t="s">
        <f>=HYPERLINK("https://main.knesset.gov.il/APPS/legislation/main/bills/2083335", "הצעת חוק השקעות זרות, התש""ף-2019")</f>
        <v>28426</v>
      </c>
      <c r="E14786" t="s">
        <v>28426</v>
      </c>
      <c r="F14786" t="s">
        <v>28427</v>
      </c>
      <c r="G14786" t="s">
        <v>14</v>
      </c>
      <c r="H14786">
             </c>
      <c r="I14786" t="s">
        <v>14</v>
      </c>
      <c r="J14786" t="s">
        <v>141</v>
      </c>
      <c r="K14786" t="s">
        <v>14</v>
      </c>
      <c r="L14786" t="s">
        <v>20</v>
      </c>
      <c r="M14786" t="s">
        <v>28033</v>
      </c>
      <c r="N14786" t="s">
        <v>14</v>
      </c>
    </row>
    <row r="14787" x14ac:dyDescent="0.25">
      <c r="A14787" t="n">
        <v>22</v>
      </c>
      <c r="B14787" t="s">
        <v>14</v>
      </c>
      <c r="C14787" t="s">
        <v>22</v>
      </c>
      <c r="D14787" s="2" t="s">
        <f>=HYPERLINK("https://main.knesset.gov.il/APPS/legislation/main/bills/2082875", "הצעת חוק ביטוח בריאות ממלכתי (תיקון - החזר דמי נסיעה באמבולנס למבוטח שהגיע לגיל פרישה), התש""ף-2019")</f>
        <v>27729</v>
      </c>
      <c r="E14787" t="s">
        <v>27729</v>
      </c>
      <c r="F14787" t="s">
        <v>28428</v>
      </c>
      <c r="G14787" t="s">
        <v>14</v>
      </c>
      <c r="H14787">
             </c>
      <c r="I14787" t="s">
        <v>14</v>
      </c>
      <c r="J14787" t="s">
        <v>141</v>
      </c>
      <c r="K14787" t="s">
        <v>14</v>
      </c>
      <c r="L14787" t="s">
        <v>20</v>
      </c>
      <c r="M14787" t="s">
        <v>28033</v>
      </c>
      <c r="N14787" t="s">
        <v>14</v>
      </c>
    </row>
    <row r="14788" x14ac:dyDescent="0.25">
      <c r="A14788" t="n">
        <v>22</v>
      </c>
      <c r="B14788" t="s">
        <v>14</v>
      </c>
      <c r="C14788" t="s">
        <v>22</v>
      </c>
      <c r="D14788" s="2" t="s">
        <f>=HYPERLINK("https://main.knesset.gov.il/APPS/legislation/main/bills/2082247", "הצעת חוק הביטוח הלאומי (תיקון - פירוט החוב במכתב דרישה), התש""ף-2019")</f>
        <v>28429</v>
      </c>
      <c r="E14788" t="s">
        <v>28429</v>
      </c>
      <c r="F14788" t="s">
        <v>28430</v>
      </c>
      <c r="G14788" t="s">
        <v>14</v>
      </c>
      <c r="H14788">
             </c>
      <c r="I14788" t="s">
        <v>14</v>
      </c>
      <c r="J14788" t="s">
        <v>141</v>
      </c>
      <c r="K14788" t="s">
        <v>14</v>
      </c>
      <c r="L14788" t="s">
        <v>20</v>
      </c>
      <c r="M14788" t="s">
        <v>28033</v>
      </c>
      <c r="N14788" t="s">
        <v>14</v>
      </c>
    </row>
    <row r="14789" x14ac:dyDescent="0.25">
      <c r="A14789" t="n">
        <v>22</v>
      </c>
      <c r="B14789" t="s">
        <v>14</v>
      </c>
      <c r="C14789" t="s">
        <v>22</v>
      </c>
      <c r="D14789" s="2" t="s">
        <f>=HYPERLINK("https://main.knesset.gov.il/APPS/legislation/main/bills/2083606", "הצעת חוק טיפול בחולי נפש (תיקון - הגבלת השימוש באמצעי כפיה), התש""ף-2019")</f>
        <v>28431</v>
      </c>
      <c r="E14789" t="s">
        <v>28431</v>
      </c>
      <c r="F14789" t="s">
        <v>28432</v>
      </c>
      <c r="G14789" t="s">
        <v>14</v>
      </c>
      <c r="H14789">
             </c>
      <c r="I14789" t="s">
        <v>14</v>
      </c>
      <c r="J14789" t="s">
        <v>141</v>
      </c>
      <c r="K14789" t="s">
        <v>14</v>
      </c>
      <c r="L14789" t="s">
        <v>20</v>
      </c>
      <c r="M14789" t="s">
        <v>28033</v>
      </c>
      <c r="N14789" t="s">
        <v>14</v>
      </c>
    </row>
    <row r="14790" x14ac:dyDescent="0.25">
      <c r="A14790" t="n">
        <v>22</v>
      </c>
      <c r="B14790" t="s">
        <v>14</v>
      </c>
      <c r="C14790" t="s">
        <v>22</v>
      </c>
      <c r="D14790" s="2" t="s">
        <f>=HYPERLINK("https://main.knesset.gov.il/APPS/legislation/main/bills/2082677", "הצעת חוק הביטוח הלאומי (תיקון - עקר בית), התש""ף-2019")</f>
        <v>28433</v>
      </c>
      <c r="E14790" t="s">
        <v>28433</v>
      </c>
      <c r="F14790" t="s">
        <v>28434</v>
      </c>
      <c r="G14790" t="s">
        <v>14</v>
      </c>
      <c r="H14790">
             </c>
      <c r="I14790" t="s">
        <v>14</v>
      </c>
      <c r="J14790" t="s">
        <v>141</v>
      </c>
      <c r="K14790" t="s">
        <v>14</v>
      </c>
      <c r="L14790" t="s">
        <v>20</v>
      </c>
      <c r="M14790" t="s">
        <v>28033</v>
      </c>
      <c r="N14790" t="s">
        <v>14</v>
      </c>
    </row>
    <row r="14791" x14ac:dyDescent="0.25">
      <c r="A14791" t="n">
        <v>22</v>
      </c>
      <c r="B14791" t="s">
        <v>14</v>
      </c>
      <c r="C14791" t="s">
        <v>22</v>
      </c>
      <c r="D14791" s="2" t="s">
        <f>=HYPERLINK("https://main.knesset.gov.il/APPS/legislation/main/bills/2082931", "הצעת חוק מס ערך מוסף (תיקון - חוברת זכויות), התש""ף-2019")</f>
        <v>28435</v>
      </c>
      <c r="E14791" t="s">
        <v>28435</v>
      </c>
      <c r="F14791" t="s">
        <v>28436</v>
      </c>
      <c r="G14791" t="s">
        <v>14</v>
      </c>
      <c r="H14791">
             </c>
      <c r="I14791" t="s">
        <v>14</v>
      </c>
      <c r="J14791" t="s">
        <v>141</v>
      </c>
      <c r="K14791" t="s">
        <v>14</v>
      </c>
      <c r="L14791" t="s">
        <v>20</v>
      </c>
      <c r="M14791" t="s">
        <v>28033</v>
      </c>
      <c r="N14791" t="s">
        <v>14</v>
      </c>
    </row>
    <row r="14792" x14ac:dyDescent="0.25">
      <c r="A14792" t="n">
        <v>22</v>
      </c>
      <c r="B14792" t="s">
        <v>14</v>
      </c>
      <c r="C14792" t="s">
        <v>22</v>
      </c>
      <c r="D14792" s="2" t="s">
        <f>=HYPERLINK("https://main.knesset.gov.il/APPS/legislation/main/bills/2082830", "הצעת חוק הדיור הציבורי (זכויות רכישה) (תיקון - תנאי זכאות מיוחדים לנכים ולעיוורים), התש""ף-2019")</f>
        <v>28437</v>
      </c>
      <c r="E14792" t="s">
        <v>28437</v>
      </c>
      <c r="F14792" t="s">
        <v>28438</v>
      </c>
      <c r="G14792" t="s">
        <v>14</v>
      </c>
      <c r="H14792">
             </c>
      <c r="I14792" t="s">
        <v>14</v>
      </c>
      <c r="J14792" t="s">
        <v>141</v>
      </c>
      <c r="K14792" t="s">
        <v>14</v>
      </c>
      <c r="L14792" t="s">
        <v>20</v>
      </c>
      <c r="M14792" t="s">
        <v>28033</v>
      </c>
      <c r="N14792" t="s">
        <v>14</v>
      </c>
    </row>
    <row r="14793" x14ac:dyDescent="0.25">
      <c r="A14793" t="n">
        <v>22</v>
      </c>
      <c r="B14793" t="s">
        <v>14</v>
      </c>
      <c r="C14793" t="s">
        <v>22</v>
      </c>
      <c r="D14793" s="2" t="s">
        <f>=HYPERLINK("https://main.knesset.gov.il/APPS/legislation/main/bills/2082116", "הצעת חוק הקמת בנק חלב אם, התש""ף-2019")</f>
        <v>28439</v>
      </c>
      <c r="E14793" t="s">
        <v>28439</v>
      </c>
      <c r="F14793" t="s">
        <v>28440</v>
      </c>
      <c r="G14793" t="s">
        <v>14</v>
      </c>
      <c r="H14793">
             </c>
      <c r="I14793" t="s">
        <v>14</v>
      </c>
      <c r="J14793" t="s">
        <v>141</v>
      </c>
      <c r="K14793" t="s">
        <v>14</v>
      </c>
      <c r="L14793" t="s">
        <v>20</v>
      </c>
      <c r="M14793" t="s">
        <v>28033</v>
      </c>
      <c r="N14793" t="s">
        <v>14</v>
      </c>
    </row>
    <row r="14794" x14ac:dyDescent="0.25">
      <c r="A14794" t="n">
        <v>22</v>
      </c>
      <c r="B14794" t="s">
        <v>14</v>
      </c>
      <c r="C14794" t="s">
        <v>22</v>
      </c>
      <c r="D14794" s="2" t="s">
        <f>=HYPERLINK("https://main.knesset.gov.il/APPS/legislation/main/bills/2083458", "הצעת חוק זכויות החולה (תיקון - איסור פעילות מסחרית בבית חולים), התש""ף-2019")</f>
        <v>28441</v>
      </c>
      <c r="E14794" t="s">
        <v>28441</v>
      </c>
      <c r="F14794" t="s">
        <v>28442</v>
      </c>
      <c r="G14794" t="s">
        <v>14</v>
      </c>
      <c r="H14794">
             </c>
      <c r="I14794" t="s">
        <v>14</v>
      </c>
      <c r="J14794" t="s">
        <v>141</v>
      </c>
      <c r="K14794" t="s">
        <v>14</v>
      </c>
      <c r="L14794" t="s">
        <v>20</v>
      </c>
      <c r="M14794" t="s">
        <v>28033</v>
      </c>
      <c r="N14794" t="s">
        <v>14</v>
      </c>
    </row>
    <row r="14795" x14ac:dyDescent="0.25">
      <c r="A14795" t="n">
        <v>22</v>
      </c>
      <c r="B14795" t="s">
        <v>14</v>
      </c>
      <c r="C14795" t="s">
        <v>22</v>
      </c>
      <c r="D14795" s="2" t="s">
        <f>=HYPERLINK("https://main.knesset.gov.il/APPS/legislation/main/bills/2082806", "הצעת חוק שירות הקבע בצבא הגנה לישראל (גמלאות) (תיקון - גמלה לאלמנה שנישאה מחדש), התש""ף-2019")</f>
        <v>28443</v>
      </c>
      <c r="E14795" t="s">
        <v>28443</v>
      </c>
      <c r="F14795" t="s">
        <v>28444</v>
      </c>
      <c r="G14795" t="s">
        <v>14</v>
      </c>
      <c r="H14795">
             </c>
      <c r="I14795" t="s">
        <v>14</v>
      </c>
      <c r="J14795" t="s">
        <v>141</v>
      </c>
      <c r="K14795" t="s">
        <v>14</v>
      </c>
      <c r="L14795" t="s">
        <v>20</v>
      </c>
      <c r="M14795" t="s">
        <v>28033</v>
      </c>
      <c r="N14795" t="s">
        <v>14</v>
      </c>
    </row>
    <row r="14796" x14ac:dyDescent="0.25">
      <c r="A14796" t="n">
        <v>22</v>
      </c>
      <c r="B14796" t="s">
        <v>14</v>
      </c>
      <c r="C14796" t="s">
        <v>22</v>
      </c>
      <c r="D14796" s="2" t="s">
        <f>=HYPERLINK("https://main.knesset.gov.il/APPS/legislation/main/bills/2082708", "הצעת חוק שירות ביטחון (תיקון - פטור מטעמי הכרה דתית), התש""ף-2019")</f>
        <v>28445</v>
      </c>
      <c r="E14796" t="s">
        <v>28445</v>
      </c>
      <c r="F14796" t="s">
        <v>28446</v>
      </c>
      <c r="G14796" t="s">
        <v>14</v>
      </c>
      <c r="H14796">
             </c>
      <c r="I14796" t="s">
        <v>14</v>
      </c>
      <c r="J14796" t="s">
        <v>141</v>
      </c>
      <c r="K14796" t="s">
        <v>14</v>
      </c>
      <c r="L14796" t="s">
        <v>20</v>
      </c>
      <c r="M14796" t="s">
        <v>28033</v>
      </c>
      <c r="N14796" t="s">
        <v>14</v>
      </c>
    </row>
    <row r="14797" x14ac:dyDescent="0.25">
      <c r="A14797" t="n">
        <v>22</v>
      </c>
      <c r="B14797" t="s">
        <v>14</v>
      </c>
      <c r="C14797" t="s">
        <v>22</v>
      </c>
      <c r="D14797" s="2" t="s">
        <f>=HYPERLINK("https://main.knesset.gov.il/APPS/legislation/main/bills/2083044", "הצעת חוק משפחות חיילים שנספו במערכה (תגמולים ושיקום) (תיקון - שימוש בזרע חייל שנספה), התש""ף-2019")</f>
        <v>28447</v>
      </c>
      <c r="E14797" t="s">
        <v>28447</v>
      </c>
      <c r="F14797" t="s">
        <v>28448</v>
      </c>
      <c r="G14797" t="s">
        <v>14</v>
      </c>
      <c r="H14797">
             </c>
      <c r="I14797" t="s">
        <v>14</v>
      </c>
      <c r="J14797" t="s">
        <v>141</v>
      </c>
      <c r="K14797" t="s">
        <v>14</v>
      </c>
      <c r="L14797" t="s">
        <v>20</v>
      </c>
      <c r="M14797" t="s">
        <v>28033</v>
      </c>
      <c r="N14797" t="s">
        <v>14</v>
      </c>
    </row>
    <row r="14798" x14ac:dyDescent="0.25">
      <c r="A14798" t="n">
        <v>22</v>
      </c>
      <c r="B14798" t="s">
        <v>14</v>
      </c>
      <c r="C14798" t="s">
        <v>22</v>
      </c>
      <c r="D14798" s="2" t="s">
        <f>=HYPERLINK("https://main.knesset.gov.il/APPS/legislation/main/bills/2082838", "הצעת חוק פיצויי פיטורים (תיקון - מניעת פיטורים מחזוריים), התש""ף-2019")</f>
        <v>28449</v>
      </c>
      <c r="E14798" t="s">
        <v>28449</v>
      </c>
      <c r="F14798" t="s">
        <v>28450</v>
      </c>
      <c r="G14798" t="s">
        <v>14</v>
      </c>
      <c r="H14798">
             </c>
      <c r="I14798" t="s">
        <v>14</v>
      </c>
      <c r="J14798" t="s">
        <v>141</v>
      </c>
      <c r="K14798" t="s">
        <v>14</v>
      </c>
      <c r="L14798" t="s">
        <v>20</v>
      </c>
      <c r="M14798" t="s">
        <v>28033</v>
      </c>
      <c r="N14798" t="s">
        <v>14</v>
      </c>
    </row>
    <row r="14799" x14ac:dyDescent="0.25">
      <c r="A14799" t="n">
        <v>22</v>
      </c>
      <c r="B14799" t="s">
        <v>14</v>
      </c>
      <c r="C14799" t="s">
        <v>22</v>
      </c>
      <c r="D14799" s="2" t="s">
        <f>=HYPERLINK("https://main.knesset.gov.il/APPS/legislation/main/bills/2083362", "הצעת חוק הסדרת העיסוק במקצועות הבריאות (תיקון - טיפול באמצעות בעלי חיים), התש""ף-2019")</f>
        <v>28451</v>
      </c>
      <c r="E14799" t="s">
        <v>28451</v>
      </c>
      <c r="F14799" t="s">
        <v>28452</v>
      </c>
      <c r="G14799" t="s">
        <v>14</v>
      </c>
      <c r="H14799">
             </c>
      <c r="I14799" t="s">
        <v>14</v>
      </c>
      <c r="J14799" t="s">
        <v>141</v>
      </c>
      <c r="K14799" t="s">
        <v>14</v>
      </c>
      <c r="L14799" t="s">
        <v>20</v>
      </c>
      <c r="M14799" t="s">
        <v>28033</v>
      </c>
      <c r="N14799" t="s">
        <v>14</v>
      </c>
    </row>
    <row r="14800" x14ac:dyDescent="0.25">
      <c r="A14800" t="n">
        <v>22</v>
      </c>
      <c r="B14800" t="s">
        <v>14</v>
      </c>
      <c r="C14800" t="s">
        <v>22</v>
      </c>
      <c r="D14800" s="2" t="s">
        <f>=HYPERLINK("https://main.knesset.gov.il/APPS/legislation/main/bills/2082994", "הצעת חוק פינוי ההתנחלות יצהר ותשעת המאחזים הסמוכים אליה, התש""ף-2019")</f>
        <v>28453</v>
      </c>
      <c r="E14800" t="s">
        <v>28453</v>
      </c>
      <c r="F14800" t="s">
        <v>28454</v>
      </c>
      <c r="G14800" t="s">
        <v>14</v>
      </c>
      <c r="H14800">
             </c>
      <c r="I14800" t="s">
        <v>14</v>
      </c>
      <c r="J14800" t="s">
        <v>141</v>
      </c>
      <c r="K14800" t="s">
        <v>14</v>
      </c>
      <c r="L14800" t="s">
        <v>20</v>
      </c>
      <c r="M14800" t="s">
        <v>28033</v>
      </c>
      <c r="N14800" t="s">
        <v>14</v>
      </c>
    </row>
    <row r="14801" x14ac:dyDescent="0.25">
      <c r="A14801" t="n">
        <v>22</v>
      </c>
      <c r="B14801" t="s">
        <v>14</v>
      </c>
      <c r="C14801" t="s">
        <v>22</v>
      </c>
      <c r="D14801" s="2" t="s">
        <f>=HYPERLINK("https://main.knesset.gov.il/APPS/legislation/main/bills/2082223", "הצעת חוק סבסוד מוצרים ללא גלוטן, התש""ף-2019")</f>
        <v>28455</v>
      </c>
      <c r="E14801" t="s">
        <v>28455</v>
      </c>
      <c r="F14801" t="s">
        <v>28456</v>
      </c>
      <c r="G14801" t="s">
        <v>14</v>
      </c>
      <c r="H14801">
             </c>
      <c r="I14801" t="s">
        <v>14</v>
      </c>
      <c r="J14801" t="s">
        <v>141</v>
      </c>
      <c r="K14801" t="s">
        <v>14</v>
      </c>
      <c r="L14801" t="s">
        <v>20</v>
      </c>
      <c r="M14801" t="s">
        <v>28033</v>
      </c>
      <c r="N14801" t="s">
        <v>14</v>
      </c>
    </row>
    <row r="14802" x14ac:dyDescent="0.25">
      <c r="A14802" t="n">
        <v>22</v>
      </c>
      <c r="B14802" t="s">
        <v>14</v>
      </c>
      <c r="C14802" t="s">
        <v>22</v>
      </c>
      <c r="D14802" s="2" t="s">
        <f>=HYPERLINK("https://main.knesset.gov.il/APPS/legislation/main/bills/2082640", "הצעת חוק הביטוח לאומי (תיקון - ביטוח זכויות עצמאי שעיקר הכנסתו מעסק שמצוי בפשיטת רגל או בפירוק), התש""ף-2019")</f>
        <v>28457</v>
      </c>
      <c r="E14802" t="s">
        <v>28457</v>
      </c>
      <c r="F14802" t="s">
        <v>28458</v>
      </c>
      <c r="G14802" t="s">
        <v>14</v>
      </c>
      <c r="H14802">
             </c>
      <c r="I14802" t="s">
        <v>14</v>
      </c>
      <c r="J14802" t="s">
        <v>141</v>
      </c>
      <c r="K14802" t="s">
        <v>14</v>
      </c>
      <c r="L14802" t="s">
        <v>20</v>
      </c>
      <c r="M14802" t="s">
        <v>28033</v>
      </c>
      <c r="N14802" t="s">
        <v>14</v>
      </c>
    </row>
    <row r="14803" x14ac:dyDescent="0.25">
      <c r="A14803" t="n">
        <v>22</v>
      </c>
      <c r="B14803" t="s">
        <v>14</v>
      </c>
      <c r="C14803" t="s">
        <v>22</v>
      </c>
      <c r="D14803" s="2" t="s">
        <f>=HYPERLINK("https://main.knesset.gov.il/APPS/legislation/main/bills/2083372", "הצעת חוק זכויות החולה (תיקון - שיכוך כאב בעת מתן טיפול רפואי לקטין), התש""ף-2019")</f>
        <v>28459</v>
      </c>
      <c r="E14803" t="s">
        <v>28459</v>
      </c>
      <c r="F14803" t="s">
        <v>28460</v>
      </c>
      <c r="G14803" t="s">
        <v>14</v>
      </c>
      <c r="H14803">
             </c>
      <c r="I14803" t="s">
        <v>14</v>
      </c>
      <c r="J14803" t="s">
        <v>141</v>
      </c>
      <c r="K14803" t="s">
        <v>14</v>
      </c>
      <c r="L14803" t="s">
        <v>20</v>
      </c>
      <c r="M14803" t="s">
        <v>28033</v>
      </c>
      <c r="N14803" t="s">
        <v>14</v>
      </c>
    </row>
    <row r="14804" x14ac:dyDescent="0.25">
      <c r="A14804" t="n">
        <v>22</v>
      </c>
      <c r="B14804" t="s">
        <v>14</v>
      </c>
      <c r="C14804" t="s">
        <v>22</v>
      </c>
      <c r="D14804" s="2" t="s">
        <f>=HYPERLINK("https://main.knesset.gov.il/APPS/legislation/main/bills/2083002", "הצעת חוק משפחות חיילים שנספו במערכה (תגמולים ושיקום) (תיקון - הגדרת אלמן ושכול), התש""ף-2019")</f>
        <v>27759</v>
      </c>
      <c r="E14804" t="s">
        <v>27759</v>
      </c>
      <c r="F14804" t="s">
        <v>28461</v>
      </c>
      <c r="G14804" t="s">
        <v>14</v>
      </c>
      <c r="H14804">
             </c>
      <c r="I14804" t="s">
        <v>14</v>
      </c>
      <c r="J14804" t="s">
        <v>141</v>
      </c>
      <c r="K14804" t="s">
        <v>14</v>
      </c>
      <c r="L14804" t="s">
        <v>20</v>
      </c>
      <c r="M14804" t="s">
        <v>28033</v>
      </c>
      <c r="N14804" t="s">
        <v>14</v>
      </c>
    </row>
    <row r="14805" x14ac:dyDescent="0.25">
      <c r="A14805" t="n">
        <v>22</v>
      </c>
      <c r="B14805" t="s">
        <v>14</v>
      </c>
      <c r="C14805" t="s">
        <v>22</v>
      </c>
      <c r="D14805" s="2" t="s">
        <f>=HYPERLINK("https://main.knesset.gov.il/APPS/legislation/main/bills/2082833", "הצעת חוק הגנה על עובדים בשעת חירום (תיקון - אובדן ימי עבודה בשל מצב מיוחד בעורף), התש""ף-2019")</f>
        <v>28462</v>
      </c>
      <c r="E14805" t="s">
        <v>28462</v>
      </c>
      <c r="F14805" t="s">
        <v>28463</v>
      </c>
      <c r="G14805" t="s">
        <v>14</v>
      </c>
      <c r="H14805">
             </c>
      <c r="I14805" t="s">
        <v>14</v>
      </c>
      <c r="J14805" t="s">
        <v>141</v>
      </c>
      <c r="K14805" t="s">
        <v>14</v>
      </c>
      <c r="L14805" t="s">
        <v>20</v>
      </c>
      <c r="M14805" t="s">
        <v>28033</v>
      </c>
      <c r="N14805" t="s">
        <v>14</v>
      </c>
    </row>
    <row r="14806" x14ac:dyDescent="0.25">
      <c r="A14806" t="n">
        <v>22</v>
      </c>
      <c r="B14806" t="s">
        <v>14</v>
      </c>
      <c r="C14806" t="s">
        <v>22</v>
      </c>
      <c r="D14806" s="2" t="s">
        <f>=HYPERLINK("https://main.knesset.gov.il/APPS/legislation/main/bills/2082798", "הצעת חוק שיפוט בתי דין רבניים (נישואין וגירושין) (תיקון - איסור ביטול גיור), התש""ף-2019")</f>
        <v>28464</v>
      </c>
      <c r="E14806" t="s">
        <v>28464</v>
      </c>
      <c r="F14806" t="s">
        <v>28465</v>
      </c>
      <c r="G14806" t="s">
        <v>14</v>
      </c>
      <c r="H14806">
             </c>
      <c r="I14806" t="s">
        <v>14</v>
      </c>
      <c r="J14806" t="s">
        <v>141</v>
      </c>
      <c r="K14806" t="s">
        <v>14</v>
      </c>
      <c r="L14806" t="s">
        <v>20</v>
      </c>
      <c r="M14806" t="s">
        <v>28033</v>
      </c>
      <c r="N14806" t="s">
        <v>14</v>
      </c>
    </row>
    <row r="14807" x14ac:dyDescent="0.25">
      <c r="A14807" t="n">
        <v>22</v>
      </c>
      <c r="B14807" t="s">
        <v>14</v>
      </c>
      <c r="C14807" t="s">
        <v>22</v>
      </c>
      <c r="D14807" s="2" t="s">
        <f>=HYPERLINK("https://main.knesset.gov.il/APPS/legislation/main/bills/2082726", "הצעת חוק שיעור ריבית פיגורים מקסימלי (תיקוני חקיקה), התש""ף-2019")</f>
        <v>28466</v>
      </c>
      <c r="E14807" t="s">
        <v>28466</v>
      </c>
      <c r="F14807" t="s">
        <v>28467</v>
      </c>
      <c r="G14807" t="s">
        <v>14</v>
      </c>
      <c r="H14807">
             </c>
      <c r="I14807" t="s">
        <v>14</v>
      </c>
      <c r="J14807" t="s">
        <v>141</v>
      </c>
      <c r="K14807" t="s">
        <v>14</v>
      </c>
      <c r="L14807" t="s">
        <v>20</v>
      </c>
      <c r="M14807" t="s">
        <v>28033</v>
      </c>
      <c r="N14807" t="s">
        <v>14</v>
      </c>
    </row>
    <row r="14808" x14ac:dyDescent="0.25">
      <c r="A14808" t="n">
        <v>22</v>
      </c>
      <c r="B14808" t="s">
        <v>14</v>
      </c>
      <c r="C14808" t="s">
        <v>22</v>
      </c>
      <c r="D14808" s="2" t="s">
        <f>=HYPERLINK("https://main.knesset.gov.il/APPS/legislation/main/bills/2082757", "הצעת חוק המזונות (הבטחת תשלום) (תיקון - סכום שלא יובא בחשבון במבחן ההכנסה), התש""ף-2019")</f>
        <v>27867</v>
      </c>
      <c r="E14808" t="s">
        <v>27867</v>
      </c>
      <c r="F14808" t="s">
        <v>28468</v>
      </c>
      <c r="G14808" t="s">
        <v>14</v>
      </c>
      <c r="H14808">
             </c>
      <c r="I14808" t="s">
        <v>14</v>
      </c>
      <c r="J14808" t="s">
        <v>141</v>
      </c>
      <c r="K14808" t="s">
        <v>14</v>
      </c>
      <c r="L14808" t="s">
        <v>20</v>
      </c>
      <c r="M14808" t="s">
        <v>28033</v>
      </c>
      <c r="N14808" t="s">
        <v>14</v>
      </c>
    </row>
    <row r="14809" x14ac:dyDescent="0.25">
      <c r="A14809" t="n">
        <v>22</v>
      </c>
      <c r="B14809" t="s">
        <v>14</v>
      </c>
      <c r="C14809" t="s">
        <v>22</v>
      </c>
      <c r="D14809" s="2" t="s">
        <f>=HYPERLINK("https://main.knesset.gov.il/APPS/legislation/main/bills/2082334", "הצעת חוק לתיקון פקודת הרופאים (הרחבת הזכאות להיתר מוגבל), התש""ף-2019")</f>
        <v>28469</v>
      </c>
      <c r="E14809" t="s">
        <v>28469</v>
      </c>
      <c r="F14809" t="s">
        <v>28470</v>
      </c>
      <c r="G14809" t="s">
        <v>14</v>
      </c>
      <c r="H14809">
             </c>
      <c r="I14809" t="s">
        <v>14</v>
      </c>
      <c r="J14809" t="s">
        <v>141</v>
      </c>
      <c r="K14809" t="s">
        <v>14</v>
      </c>
      <c r="L14809" t="s">
        <v>20</v>
      </c>
      <c r="M14809" t="s">
        <v>28033</v>
      </c>
      <c r="N14809" t="s">
        <v>14</v>
      </c>
    </row>
    <row r="14810" x14ac:dyDescent="0.25">
      <c r="A14810" t="n">
        <v>22</v>
      </c>
      <c r="B14810" t="s">
        <v>14</v>
      </c>
      <c r="C14810" t="s">
        <v>22</v>
      </c>
      <c r="D14810" s="2" t="s">
        <f>=HYPERLINK("https://main.knesset.gov.il/APPS/legislation/main/bills/2082724", "הצעת חוק היערכות אזרחית למצבי חירום, התש""ף-2019")</f>
        <v>28471</v>
      </c>
      <c r="E14810" t="s">
        <v>28471</v>
      </c>
      <c r="F14810" t="s">
        <v>28472</v>
      </c>
      <c r="G14810" t="s">
        <v>14</v>
      </c>
      <c r="H14810">
             </c>
      <c r="I14810" t="s">
        <v>14</v>
      </c>
      <c r="J14810" t="s">
        <v>141</v>
      </c>
      <c r="K14810" t="s">
        <v>14</v>
      </c>
      <c r="L14810" t="s">
        <v>20</v>
      </c>
      <c r="M14810" t="s">
        <v>28033</v>
      </c>
      <c r="N14810" t="s">
        <v>14</v>
      </c>
    </row>
    <row r="14811" x14ac:dyDescent="0.25">
      <c r="A14811" t="n">
        <v>22</v>
      </c>
      <c r="B14811" t="s">
        <v>14</v>
      </c>
      <c r="C14811" t="s">
        <v>22</v>
      </c>
      <c r="D14811" s="2" t="s">
        <f>=HYPERLINK("https://main.knesset.gov.il/APPS/legislation/main/bills/2082271", "הצעת חוק זכויות ושירותים לילדים ובני נוער עם קשיים נפשיים, התש""ף-2019")</f>
        <v>28473</v>
      </c>
      <c r="E14811" t="s">
        <v>28473</v>
      </c>
      <c r="F14811" t="s">
        <v>28474</v>
      </c>
      <c r="G14811" t="s">
        <v>14</v>
      </c>
      <c r="H14811">
             </c>
      <c r="I14811" t="s">
        <v>14</v>
      </c>
      <c r="J14811" t="s">
        <v>141</v>
      </c>
      <c r="K14811" t="s">
        <v>14</v>
      </c>
      <c r="L14811" t="s">
        <v>20</v>
      </c>
      <c r="M14811" t="s">
        <v>28033</v>
      </c>
      <c r="N14811" t="s">
        <v>14</v>
      </c>
    </row>
    <row r="14812" x14ac:dyDescent="0.25">
      <c r="A14812" t="n">
        <v>22</v>
      </c>
      <c r="B14812" t="s">
        <v>14</v>
      </c>
      <c r="C14812" t="s">
        <v>22</v>
      </c>
      <c r="D14812" s="2" t="s">
        <f>=HYPERLINK("https://main.knesset.gov.il/APPS/legislation/main/bills/2082749", "הצעת חוק הביטוח הלאומי (תיקון - תוספת לקצבה של מי שמעסיק עובד בענף הסיעוד), התש""ף-2019")</f>
        <v>28475</v>
      </c>
      <c r="E14812" t="s">
        <v>28475</v>
      </c>
      <c r="F14812" t="s">
        <v>28476</v>
      </c>
      <c r="G14812" t="s">
        <v>14</v>
      </c>
      <c r="H14812">
             </c>
      <c r="I14812" t="s">
        <v>14</v>
      </c>
      <c r="J14812" t="s">
        <v>141</v>
      </c>
      <c r="K14812" t="s">
        <v>14</v>
      </c>
      <c r="L14812" t="s">
        <v>20</v>
      </c>
      <c r="M14812" t="s">
        <v>28033</v>
      </c>
      <c r="N14812" t="s">
        <v>14</v>
      </c>
    </row>
    <row r="14813" x14ac:dyDescent="0.25">
      <c r="A14813" t="n">
        <v>22</v>
      </c>
      <c r="B14813" t="s">
        <v>14</v>
      </c>
      <c r="C14813" t="s">
        <v>22</v>
      </c>
      <c r="D14813" s="2" t="s">
        <f>=HYPERLINK("https://main.knesset.gov.il/APPS/legislation/main/bills/2082157", "הצעת חוק לתיקון פקודת בתי הסוהר (שלילת זכויות יתר מאסיר ביטחוני המשתייך לארגון טרור), התש""ף-2019")</f>
        <v>28477</v>
      </c>
      <c r="E14813" t="s">
        <v>28477</v>
      </c>
      <c r="F14813" t="s">
        <v>28478</v>
      </c>
      <c r="G14813" t="s">
        <v>14</v>
      </c>
      <c r="H14813">
             </c>
      <c r="I14813" t="s">
        <v>14</v>
      </c>
      <c r="J14813" t="s">
        <v>141</v>
      </c>
      <c r="K14813" t="s">
        <v>14</v>
      </c>
      <c r="L14813" t="s">
        <v>20</v>
      </c>
      <c r="M14813" t="s">
        <v>28033</v>
      </c>
      <c r="N14813" t="s">
        <v>14</v>
      </c>
    </row>
    <row r="14814" x14ac:dyDescent="0.25">
      <c r="A14814" t="n">
        <v>22</v>
      </c>
      <c r="B14814" t="s">
        <v>14</v>
      </c>
      <c r="C14814" t="s">
        <v>22</v>
      </c>
      <c r="D14814" s="2" t="s">
        <f>=HYPERLINK("https://main.knesset.gov.il/APPS/legislation/main/bills/2081564", "הצעת חוק הרשויות המקומיות (אכיפה סביבתית - סמכויות פקחים) (תיקון - הסמכת פקחים באיגוד ערים לווטרינריה), התש""ף-2019")</f>
        <v>28479</v>
      </c>
      <c r="E14814" t="s">
        <v>28479</v>
      </c>
      <c r="F14814" t="s">
        <v>28480</v>
      </c>
      <c r="G14814" t="s">
        <v>14</v>
      </c>
      <c r="H14814">
             </c>
      <c r="I14814" t="s">
        <v>14</v>
      </c>
      <c r="J14814" t="s">
        <v>141</v>
      </c>
      <c r="K14814" t="s">
        <v>14</v>
      </c>
      <c r="L14814" t="s">
        <v>20</v>
      </c>
      <c r="M14814" t="s">
        <v>28033</v>
      </c>
      <c r="N14814" t="s">
        <v>14</v>
      </c>
    </row>
    <row r="14815" x14ac:dyDescent="0.25">
      <c r="A14815" t="n">
        <v>22</v>
      </c>
      <c r="B14815" t="s">
        <v>14</v>
      </c>
      <c r="C14815" t="s">
        <v>22</v>
      </c>
      <c r="D14815" s="2" t="s">
        <f>=HYPERLINK("https://main.knesset.gov.il/APPS/legislation/main/bills/2082206", "הצעת חוק הביטוח הלאומי (תיקון - משלוח הודעה בדבר זכאות המבוטח), התש""ף-2019")</f>
        <v>28481</v>
      </c>
      <c r="E14815" t="s">
        <v>28481</v>
      </c>
      <c r="F14815" t="s">
        <v>28482</v>
      </c>
      <c r="G14815" t="s">
        <v>14</v>
      </c>
      <c r="H14815">
             </c>
      <c r="I14815" t="s">
        <v>14</v>
      </c>
      <c r="J14815" t="s">
        <v>141</v>
      </c>
      <c r="K14815" t="s">
        <v>14</v>
      </c>
      <c r="L14815" t="s">
        <v>20</v>
      </c>
      <c r="M14815" t="s">
        <v>28033</v>
      </c>
      <c r="N14815" t="s">
        <v>14</v>
      </c>
    </row>
    <row r="14816" x14ac:dyDescent="0.25">
      <c r="A14816" t="n">
        <v>22</v>
      </c>
      <c r="B14816" t="s">
        <v>14</v>
      </c>
      <c r="C14816" t="s">
        <v>22</v>
      </c>
      <c r="D14816" s="2" t="s">
        <f>=HYPERLINK("https://main.knesset.gov.il/APPS/legislation/main/bills/2082770", "הצעת חוק הגבלת פעולות אנשי דת בלתי מורשים בצבא הגנה לישראל ובמשטרת ישראל, התש""ף-2019")</f>
        <v>28483</v>
      </c>
      <c r="E14816" t="s">
        <v>28483</v>
      </c>
      <c r="F14816" t="s">
        <v>28484</v>
      </c>
      <c r="G14816" t="s">
        <v>14</v>
      </c>
      <c r="H14816">
             </c>
      <c r="I14816" t="s">
        <v>14</v>
      </c>
      <c r="J14816" t="s">
        <v>141</v>
      </c>
      <c r="K14816" t="s">
        <v>14</v>
      </c>
      <c r="L14816" t="s">
        <v>20</v>
      </c>
      <c r="M14816" t="s">
        <v>28033</v>
      </c>
      <c r="N14816" t="s">
        <v>14</v>
      </c>
    </row>
    <row r="14817" x14ac:dyDescent="0.25">
      <c r="A14817" t="n">
        <v>22</v>
      </c>
      <c r="B14817" t="s">
        <v>14</v>
      </c>
      <c r="C14817" t="s">
        <v>22</v>
      </c>
      <c r="D14817" s="2" t="s">
        <f>=HYPERLINK("https://main.knesset.gov.il/APPS/legislation/main/bills/2082314", "הצעת חוק לתיקון פקודת מס הכנסה (עידוד צמיחה לעסקים עצמאיים קטנים ובינוניים), התש""ף-2019")</f>
        <v>28485</v>
      </c>
      <c r="E14817" t="s">
        <v>28485</v>
      </c>
      <c r="F14817" t="s">
        <v>28486</v>
      </c>
      <c r="G14817" t="s">
        <v>14</v>
      </c>
      <c r="H14817">
             </c>
      <c r="I14817" t="s">
        <v>14</v>
      </c>
      <c r="J14817" t="s">
        <v>141</v>
      </c>
      <c r="K14817" t="s">
        <v>14</v>
      </c>
      <c r="L14817" t="s">
        <v>20</v>
      </c>
      <c r="M14817" t="s">
        <v>28033</v>
      </c>
      <c r="N14817" t="s">
        <v>14</v>
      </c>
    </row>
    <row r="14818" x14ac:dyDescent="0.25">
      <c r="A14818" t="n">
        <v>22</v>
      </c>
      <c r="B14818" t="s">
        <v>14</v>
      </c>
      <c r="C14818" t="s">
        <v>22</v>
      </c>
      <c r="D14818" s="2" t="s">
        <f>=HYPERLINK("https://main.knesset.gov.il/APPS/legislation/main/bills/2082343", "הצעת חוק הביטוח הלאומי (תיקון - דמי מחלה לעובד עצמאי), התש""ף-2019")</f>
        <v>28487</v>
      </c>
      <c r="E14818" t="s">
        <v>28487</v>
      </c>
      <c r="F14818" t="s">
        <v>28488</v>
      </c>
      <c r="G14818" t="s">
        <v>14</v>
      </c>
      <c r="H14818">
             </c>
      <c r="I14818" t="s">
        <v>14</v>
      </c>
      <c r="J14818" t="s">
        <v>141</v>
      </c>
      <c r="K14818" t="s">
        <v>14</v>
      </c>
      <c r="L14818" t="s">
        <v>20</v>
      </c>
      <c r="M14818" t="s">
        <v>28033</v>
      </c>
      <c r="N14818" t="s">
        <v>14</v>
      </c>
    </row>
    <row r="14819" x14ac:dyDescent="0.25">
      <c r="A14819" t="n">
        <v>22</v>
      </c>
      <c r="B14819" t="s">
        <v>14</v>
      </c>
      <c r="C14819" t="s">
        <v>22</v>
      </c>
      <c r="D14819" s="2" t="s">
        <f>=HYPERLINK("https://main.knesset.gov.il/APPS/legislation/main/bills/2082725", "הצעת חוק שירות המילואים, התש""ף-2019")</f>
        <v>28489</v>
      </c>
      <c r="E14819" t="s">
        <v>28489</v>
      </c>
      <c r="F14819" t="s">
        <v>28490</v>
      </c>
      <c r="G14819" t="s">
        <v>14</v>
      </c>
      <c r="H14819">
             </c>
      <c r="I14819" t="s">
        <v>14</v>
      </c>
      <c r="J14819" t="s">
        <v>141</v>
      </c>
      <c r="K14819" t="s">
        <v>14</v>
      </c>
      <c r="L14819" t="s">
        <v>20</v>
      </c>
      <c r="M14819" t="s">
        <v>28033</v>
      </c>
      <c r="N14819" t="s">
        <v>14</v>
      </c>
    </row>
    <row r="14820" x14ac:dyDescent="0.25">
      <c r="A14820" t="n">
        <v>22</v>
      </c>
      <c r="B14820" t="s">
        <v>14</v>
      </c>
      <c r="C14820" t="s">
        <v>22</v>
      </c>
      <c r="D14820" s="2" t="s">
        <f>=HYPERLINK("https://main.knesset.gov.il/APPS/legislation/main/bills/2082755", "הצעת חוק שיפוט בתי דין רבניים (נישואין וגירושין) (תיקון - ביטול כריכה), התש""ף-2019")</f>
        <v>28491</v>
      </c>
      <c r="E14820" t="s">
        <v>28491</v>
      </c>
      <c r="F14820" t="s">
        <v>28492</v>
      </c>
      <c r="G14820" t="s">
        <v>14</v>
      </c>
      <c r="H14820">
             </c>
      <c r="I14820" t="s">
        <v>14</v>
      </c>
      <c r="J14820" t="s">
        <v>141</v>
      </c>
      <c r="K14820" t="s">
        <v>14</v>
      </c>
      <c r="L14820" t="s">
        <v>20</v>
      </c>
      <c r="M14820" t="s">
        <v>28033</v>
      </c>
      <c r="N14820" t="s">
        <v>14</v>
      </c>
    </row>
    <row r="14821" x14ac:dyDescent="0.25">
      <c r="A14821" t="n">
        <v>22</v>
      </c>
      <c r="B14821" t="s">
        <v>14</v>
      </c>
      <c r="C14821" t="s">
        <v>22</v>
      </c>
      <c r="D14821" s="2" t="s">
        <f>=HYPERLINK("https://main.knesset.gov.il/APPS/legislation/main/bills/2082843", "הצעת חוק נכי המלחמה בנאצים (תיקון - כפל קצבה), התש""ף-2019")</f>
        <v>28493</v>
      </c>
      <c r="E14821" t="s">
        <v>28493</v>
      </c>
      <c r="F14821" t="s">
        <v>28494</v>
      </c>
      <c r="G14821" t="s">
        <v>14</v>
      </c>
      <c r="H14821">
             </c>
      <c r="I14821" t="s">
        <v>14</v>
      </c>
      <c r="J14821" t="s">
        <v>141</v>
      </c>
      <c r="K14821" t="s">
        <v>14</v>
      </c>
      <c r="L14821" t="s">
        <v>20</v>
      </c>
      <c r="M14821" t="s">
        <v>28033</v>
      </c>
      <c r="N14821" t="s">
        <v>14</v>
      </c>
    </row>
    <row r="14822" x14ac:dyDescent="0.25">
      <c r="A14822" t="n">
        <v>22</v>
      </c>
      <c r="B14822" t="s">
        <v>14</v>
      </c>
      <c r="C14822" t="s">
        <v>22</v>
      </c>
      <c r="D14822" s="2" t="s">
        <f>=HYPERLINK("https://main.knesset.gov.il/APPS/legislation/main/bills/2083647", "הצעת חוק החלת הריבונות הישראלית על בקעת הירדן, התש""ף-2019")</f>
        <v>28495</v>
      </c>
      <c r="E14822" t="s">
        <v>28495</v>
      </c>
      <c r="F14822" t="s">
        <v>28496</v>
      </c>
      <c r="G14822" t="s">
        <v>14</v>
      </c>
      <c r="H14822">
             </c>
      <c r="I14822" t="s">
        <v>14</v>
      </c>
      <c r="J14822" t="s">
        <v>141</v>
      </c>
      <c r="K14822" t="s">
        <v>14</v>
      </c>
      <c r="L14822" t="s">
        <v>20</v>
      </c>
      <c r="M14822" t="s">
        <v>28033</v>
      </c>
      <c r="N14822" t="s">
        <v>14</v>
      </c>
    </row>
    <row r="14823" x14ac:dyDescent="0.25">
      <c r="A14823" t="n">
        <v>22</v>
      </c>
      <c r="B14823" t="s">
        <v>14</v>
      </c>
      <c r="C14823" t="s">
        <v>22</v>
      </c>
      <c r="D14823" s="2" t="s">
        <f>=HYPERLINK("https://main.knesset.gov.il/APPS/legislation/main/bills/2082113", "הצעת חוק ההגנה על חוסים (תיקון - מחיקת זיקנה מההגדרה), התש""ף-2019")</f>
        <v>28497</v>
      </c>
      <c r="E14823" t="s">
        <v>28497</v>
      </c>
      <c r="F14823" t="s">
        <v>28498</v>
      </c>
      <c r="G14823" t="s">
        <v>14</v>
      </c>
      <c r="H14823">
             </c>
      <c r="I14823" t="s">
        <v>14</v>
      </c>
      <c r="J14823" t="s">
        <v>141</v>
      </c>
      <c r="K14823" t="s">
        <v>14</v>
      </c>
      <c r="L14823" t="s">
        <v>20</v>
      </c>
      <c r="M14823" t="s">
        <v>28033</v>
      </c>
      <c r="N14823" t="s">
        <v>14</v>
      </c>
    </row>
    <row r="14824" x14ac:dyDescent="0.25">
      <c r="A14824" t="n">
        <v>22</v>
      </c>
      <c r="B14824" t="s">
        <v>14</v>
      </c>
      <c r="C14824" t="s">
        <v>22</v>
      </c>
      <c r="D14824" s="2" t="s">
        <f>=HYPERLINK("https://main.knesset.gov.il/APPS/legislation/main/bills/2083043", "הצעת חוק לתיקון פקודת המשטרה (כשירות המפקח הכללי של משטרת ישראל למינוי, תקופת כהונה ומילוי מקום), התש""ף-2019")</f>
        <v>28499</v>
      </c>
      <c r="E14824" t="s">
        <v>28499</v>
      </c>
      <c r="F14824" t="s">
        <v>28500</v>
      </c>
      <c r="G14824" t="s">
        <v>14</v>
      </c>
      <c r="H14824">
             </c>
      <c r="I14824" t="s">
        <v>14</v>
      </c>
      <c r="J14824" t="s">
        <v>141</v>
      </c>
      <c r="K14824" t="s">
        <v>14</v>
      </c>
      <c r="L14824" t="s">
        <v>20</v>
      </c>
      <c r="M14824" t="s">
        <v>28033</v>
      </c>
      <c r="N14824" t="s">
        <v>14</v>
      </c>
    </row>
    <row r="14825" x14ac:dyDescent="0.25">
      <c r="A14825" t="n">
        <v>22</v>
      </c>
      <c r="B14825" t="s">
        <v>14</v>
      </c>
      <c r="C14825" t="s">
        <v>22</v>
      </c>
      <c r="D14825" s="2" t="s">
        <f>=HYPERLINK("https://main.knesset.gov.il/APPS/legislation/main/bills/2082949", "הצעת חוק חסינות חברי הכנסת, זכויותיהם וחובותיהם (תיקון - סייג לחסינות בפני מעצר במקרה של פגיעה בביטחון המדינה), התש""ף-2019")</f>
        <v>28501</v>
      </c>
      <c r="E14825" t="s">
        <v>28501</v>
      </c>
      <c r="F14825" t="s">
        <v>28502</v>
      </c>
      <c r="G14825" t="s">
        <v>14</v>
      </c>
      <c r="H14825">
             </c>
      <c r="I14825" t="s">
        <v>14</v>
      </c>
      <c r="J14825" t="s">
        <v>141</v>
      </c>
      <c r="K14825" t="s">
        <v>14</v>
      </c>
      <c r="L14825" t="s">
        <v>20</v>
      </c>
      <c r="M14825" t="s">
        <v>28033</v>
      </c>
      <c r="N14825" t="s">
        <v>14</v>
      </c>
    </row>
    <row r="14826" x14ac:dyDescent="0.25">
      <c r="A14826" t="n">
        <v>22</v>
      </c>
      <c r="B14826" t="s">
        <v>14</v>
      </c>
      <c r="C14826" t="s">
        <v>22</v>
      </c>
      <c r="D14826" s="2" t="s">
        <f>=HYPERLINK("https://main.knesset.gov.il/APPS/legislation/main/bills/2082620", "הצעת חוק הביטוח הלאומי (תיקון - הוראות לעניין עקרת בית), התש""ף-2019")</f>
        <v>28503</v>
      </c>
      <c r="E14826" t="s">
        <v>28503</v>
      </c>
      <c r="F14826" t="s">
        <v>28504</v>
      </c>
      <c r="G14826" t="s">
        <v>14</v>
      </c>
      <c r="H14826">
             </c>
      <c r="I14826" t="s">
        <v>14</v>
      </c>
      <c r="J14826" t="s">
        <v>141</v>
      </c>
      <c r="K14826" t="s">
        <v>14</v>
      </c>
      <c r="L14826" t="s">
        <v>20</v>
      </c>
      <c r="M14826" t="s">
        <v>28033</v>
      </c>
      <c r="N14826" t="s">
        <v>14</v>
      </c>
    </row>
    <row r="14827" x14ac:dyDescent="0.25">
      <c r="A14827" t="n">
        <v>22</v>
      </c>
      <c r="B14827" t="s">
        <v>14</v>
      </c>
      <c r="C14827" t="s">
        <v>22</v>
      </c>
      <c r="D14827" s="2" t="s">
        <f>=HYPERLINK("https://main.knesset.gov.il/APPS/legislation/main/bills/2082968", "הצעת חוק לתיקון פקודת מס הכנסה (פטור ממס לגמלאים על תשלומי פנסיה), התש""ף-2019")</f>
        <v>28505</v>
      </c>
      <c r="E14827" t="s">
        <v>28505</v>
      </c>
      <c r="F14827" t="s">
        <v>28506</v>
      </c>
      <c r="G14827" t="s">
        <v>14</v>
      </c>
      <c r="H14827">
             </c>
      <c r="I14827" t="s">
        <v>14</v>
      </c>
      <c r="J14827" t="s">
        <v>141</v>
      </c>
      <c r="K14827" t="s">
        <v>14</v>
      </c>
      <c r="L14827" t="s">
        <v>20</v>
      </c>
      <c r="M14827" t="s">
        <v>28033</v>
      </c>
      <c r="N14827" t="s">
        <v>14</v>
      </c>
    </row>
    <row r="14828" x14ac:dyDescent="0.25">
      <c r="A14828" t="n">
        <v>22</v>
      </c>
      <c r="B14828" t="s">
        <v>14</v>
      </c>
      <c r="C14828" t="s">
        <v>22</v>
      </c>
      <c r="D14828" s="2" t="s">
        <f>=HYPERLINK("https://main.knesset.gov.il/APPS/legislation/main/bills/2082286", "הצעת חוק הספורט (תיקון - ביטוח קטינים), התש""ף-2019")</f>
        <v>28507</v>
      </c>
      <c r="E14828" t="s">
        <v>28507</v>
      </c>
      <c r="F14828" t="s">
        <v>28508</v>
      </c>
      <c r="G14828" t="s">
        <v>14</v>
      </c>
      <c r="H14828">
             </c>
      <c r="I14828" t="s">
        <v>14</v>
      </c>
      <c r="J14828" t="s">
        <v>141</v>
      </c>
      <c r="K14828" t="s">
        <v>14</v>
      </c>
      <c r="L14828" t="s">
        <v>20</v>
      </c>
      <c r="M14828" t="s">
        <v>28033</v>
      </c>
      <c r="N14828" t="s">
        <v>14</v>
      </c>
    </row>
    <row r="14829" x14ac:dyDescent="0.25">
      <c r="A14829" t="n">
        <v>22</v>
      </c>
      <c r="B14829" t="s">
        <v>14</v>
      </c>
      <c r="C14829" t="s">
        <v>22</v>
      </c>
      <c r="D14829" s="2" t="s">
        <f>=HYPERLINK("https://main.knesset.gov.il/APPS/legislation/main/bills/2082284", "הצעת חוק לתיקון פקודת התעבורה (הגבלת תשלום בעד חניה במוסד רפואי), התש""ף-2019")</f>
        <v>28509</v>
      </c>
      <c r="E14829" t="s">
        <v>28509</v>
      </c>
      <c r="F14829" t="s">
        <v>28510</v>
      </c>
      <c r="G14829" t="s">
        <v>14</v>
      </c>
      <c r="H14829">
             </c>
      <c r="I14829" t="s">
        <v>14</v>
      </c>
      <c r="J14829" t="s">
        <v>141</v>
      </c>
      <c r="K14829" t="s">
        <v>14</v>
      </c>
      <c r="L14829" t="s">
        <v>20</v>
      </c>
      <c r="M14829" t="s">
        <v>28033</v>
      </c>
      <c r="N14829" t="s">
        <v>14</v>
      </c>
    </row>
    <row r="14830" x14ac:dyDescent="0.25">
      <c r="A14830" t="n">
        <v>22</v>
      </c>
      <c r="B14830" t="s">
        <v>14</v>
      </c>
      <c r="C14830" t="s">
        <v>22</v>
      </c>
      <c r="D14830" s="2" t="s">
        <f>=HYPERLINK("https://main.knesset.gov.il/APPS/legislation/main/bills/2082000", "הצעת חוק אזור סחר חופשי באילת (פטורים והנחות ממסים) (תיקון - פיתוח אילת), התש""ף-2019")</f>
        <v>28511</v>
      </c>
      <c r="E14830" t="s">
        <v>28511</v>
      </c>
      <c r="F14830" t="s">
        <v>28512</v>
      </c>
      <c r="G14830" t="s">
        <v>14</v>
      </c>
      <c r="H14830">
             </c>
      <c r="I14830" t="s">
        <v>14</v>
      </c>
      <c r="J14830" t="s">
        <v>141</v>
      </c>
      <c r="K14830" t="s">
        <v>14</v>
      </c>
      <c r="L14830" t="s">
        <v>20</v>
      </c>
      <c r="M14830" t="s">
        <v>28033</v>
      </c>
      <c r="N14830" t="s">
        <v>14</v>
      </c>
    </row>
    <row r="14831" x14ac:dyDescent="0.25">
      <c r="A14831" t="n">
        <v>22</v>
      </c>
      <c r="B14831" t="s">
        <v>14</v>
      </c>
      <c r="C14831" t="s">
        <v>22</v>
      </c>
      <c r="D14831" s="2" t="s">
        <f>=HYPERLINK("https://main.knesset.gov.il/APPS/legislation/main/bills/2083366", "הצעת חוק האזרחים הוותיקים (תיקון - הקמת קרן למימון תרופות לאזרחים ותיקים מעוטי יכולת), התש""ף-2019")</f>
        <v>28513</v>
      </c>
      <c r="E14831" t="s">
        <v>28513</v>
      </c>
      <c r="F14831" t="s">
        <v>28514</v>
      </c>
      <c r="G14831" t="s">
        <v>14</v>
      </c>
      <c r="H14831">
             </c>
      <c r="I14831" t="s">
        <v>14</v>
      </c>
      <c r="J14831" t="s">
        <v>141</v>
      </c>
      <c r="K14831" t="s">
        <v>14</v>
      </c>
      <c r="L14831" t="s">
        <v>20</v>
      </c>
      <c r="M14831" t="s">
        <v>28033</v>
      </c>
      <c r="N14831" t="s">
        <v>14</v>
      </c>
    </row>
    <row r="14832" x14ac:dyDescent="0.25">
      <c r="A14832" t="n">
        <v>22</v>
      </c>
      <c r="B14832" t="s">
        <v>14</v>
      </c>
      <c r="C14832" t="s">
        <v>22</v>
      </c>
      <c r="D14832" s="2" t="s">
        <f>=HYPERLINK("https://main.knesset.gov.il/APPS/legislation/main/bills/2083011", "הצעת חוק הגנה על זכויות אמנים במוסיקה (תיקון - הגנה על זכויות אמנים), התש""ף-2019")</f>
        <v>28515</v>
      </c>
      <c r="E14832" t="s">
        <v>28515</v>
      </c>
      <c r="F14832" t="s">
        <v>28516</v>
      </c>
      <c r="G14832" t="s">
        <v>14</v>
      </c>
      <c r="H14832">
             </c>
      <c r="I14832" t="s">
        <v>14</v>
      </c>
      <c r="J14832" t="s">
        <v>141</v>
      </c>
      <c r="K14832" t="s">
        <v>14</v>
      </c>
      <c r="L14832" t="s">
        <v>20</v>
      </c>
      <c r="M14832" t="s">
        <v>28033</v>
      </c>
      <c r="N14832" t="s">
        <v>14</v>
      </c>
    </row>
    <row r="14833" x14ac:dyDescent="0.25">
      <c r="A14833" t="n">
        <v>22</v>
      </c>
      <c r="B14833" t="s">
        <v>14</v>
      </c>
      <c r="C14833" t="s">
        <v>22</v>
      </c>
      <c r="D14833" s="2" t="s">
        <f>=HYPERLINK("https://main.knesset.gov.il/APPS/legislation/main/bills/2082840", "הצעת חוק עבודת נשים (תיקון - איסור פיטורים בעת טיפולי פוריות), התש""ף-2019")</f>
        <v>28517</v>
      </c>
      <c r="E14833" t="s">
        <v>28517</v>
      </c>
      <c r="F14833" t="s">
        <v>28518</v>
      </c>
      <c r="G14833" t="s">
        <v>14</v>
      </c>
      <c r="H14833">
             </c>
      <c r="I14833" t="s">
        <v>14</v>
      </c>
      <c r="J14833" t="s">
        <v>141</v>
      </c>
      <c r="K14833" t="s">
        <v>14</v>
      </c>
      <c r="L14833" t="s">
        <v>20</v>
      </c>
      <c r="M14833" t="s">
        <v>28033</v>
      </c>
      <c r="N14833" t="s">
        <v>14</v>
      </c>
    </row>
    <row r="14834" x14ac:dyDescent="0.25">
      <c r="A14834" t="n">
        <v>22</v>
      </c>
      <c r="B14834" t="s">
        <v>14</v>
      </c>
      <c r="C14834" t="s">
        <v>22</v>
      </c>
      <c r="D14834" s="2" t="s">
        <f>=HYPERLINK("https://main.knesset.gov.il/APPS/legislation/main/bills/2082130", "הצעת חוק הביטוח הלאומי (תיקון - ייעוד מענק אשפוז בשל לידת פג למחלקת פגים בלבד), התש""ף-2019")</f>
        <v>28519</v>
      </c>
      <c r="E14834" t="s">
        <v>28519</v>
      </c>
      <c r="F14834" t="s">
        <v>28520</v>
      </c>
      <c r="G14834" t="s">
        <v>14</v>
      </c>
      <c r="H14834">
             </c>
      <c r="I14834" t="s">
        <v>14</v>
      </c>
      <c r="J14834" t="s">
        <v>141</v>
      </c>
      <c r="K14834" t="s">
        <v>14</v>
      </c>
      <c r="L14834" t="s">
        <v>20</v>
      </c>
      <c r="M14834" t="s">
        <v>28033</v>
      </c>
      <c r="N14834" t="s">
        <v>14</v>
      </c>
    </row>
    <row r="14835" x14ac:dyDescent="0.25">
      <c r="A14835" t="n">
        <v>22</v>
      </c>
      <c r="B14835" t="s">
        <v>14</v>
      </c>
      <c r="C14835" t="s">
        <v>22</v>
      </c>
      <c r="D14835" s="2" t="s">
        <f>=HYPERLINK("https://main.knesset.gov.il/APPS/legislation/main/bills/2082302", "הצעת חוק שירות אזרחי (תיקון - שירות אזרחי במוסד רפואי ציבורי), התש""ף-2019")</f>
        <v>28521</v>
      </c>
      <c r="E14835" t="s">
        <v>28521</v>
      </c>
      <c r="F14835" t="s">
        <v>28522</v>
      </c>
      <c r="G14835" t="s">
        <v>14</v>
      </c>
      <c r="H14835">
             </c>
      <c r="I14835" t="s">
        <v>14</v>
      </c>
      <c r="J14835" t="s">
        <v>141</v>
      </c>
      <c r="K14835" t="s">
        <v>14</v>
      </c>
      <c r="L14835" t="s">
        <v>20</v>
      </c>
      <c r="M14835" t="s">
        <v>28033</v>
      </c>
      <c r="N14835" t="s">
        <v>14</v>
      </c>
    </row>
    <row r="14836" x14ac:dyDescent="0.25">
      <c r="A14836" t="n">
        <v>22</v>
      </c>
      <c r="B14836" t="s">
        <v>14</v>
      </c>
      <c r="C14836" t="s">
        <v>22</v>
      </c>
      <c r="D14836" s="2" t="s">
        <f>=HYPERLINK("https://main.knesset.gov.il/APPS/legislation/main/bills/2082264", "הצעת חוק זכאות לאבחון לקויות למידה לילדים ממשפחות מעוטות יכולת, התש""ף-2019")</f>
        <v>28523</v>
      </c>
      <c r="E14836" t="s">
        <v>28523</v>
      </c>
      <c r="F14836" t="s">
        <v>28524</v>
      </c>
      <c r="G14836" t="s">
        <v>14</v>
      </c>
      <c r="H14836">
             </c>
      <c r="I14836" t="s">
        <v>14</v>
      </c>
      <c r="J14836" t="s">
        <v>141</v>
      </c>
      <c r="K14836" t="s">
        <v>14</v>
      </c>
      <c r="L14836" t="s">
        <v>20</v>
      </c>
      <c r="M14836" t="s">
        <v>28033</v>
      </c>
      <c r="N14836" t="s">
        <v>14</v>
      </c>
    </row>
    <row r="14837" x14ac:dyDescent="0.25">
      <c r="A14837" t="n">
        <v>22</v>
      </c>
      <c r="B14837" t="s">
        <v>14</v>
      </c>
      <c r="C14837" t="s">
        <v>22</v>
      </c>
      <c r="D14837" s="2" t="s">
        <f>=HYPERLINK("https://main.knesset.gov.il/APPS/legislation/main/bills/2082243", "הצעת חוק זכויות הדייר בדיור הציבורי (תיקון - עיגון זכויות דייר ממשיך בדיור הציבורי), התש""ף-2019")</f>
        <v>28525</v>
      </c>
      <c r="E14837" t="s">
        <v>28525</v>
      </c>
      <c r="F14837" t="s">
        <v>28526</v>
      </c>
      <c r="G14837" t="s">
        <v>14</v>
      </c>
      <c r="H14837">
             </c>
      <c r="I14837" t="s">
        <v>14</v>
      </c>
      <c r="J14837" t="s">
        <v>141</v>
      </c>
      <c r="K14837" t="s">
        <v>14</v>
      </c>
      <c r="L14837" t="s">
        <v>20</v>
      </c>
      <c r="M14837" t="s">
        <v>28033</v>
      </c>
      <c r="N14837" t="s">
        <v>14</v>
      </c>
    </row>
    <row r="14838" x14ac:dyDescent="0.25">
      <c r="A14838" t="n">
        <v>22</v>
      </c>
      <c r="B14838" t="s">
        <v>14</v>
      </c>
      <c r="C14838" t="s">
        <v>22</v>
      </c>
      <c r="D14838" s="2" t="s">
        <f>=HYPERLINK("https://main.knesset.gov.il/APPS/legislation/main/bills/2082232", "הצעת חוק לתיקון פקודת מס הכנסה (נקודות זיכוי בעד ילדים), התש""ף-2019")</f>
        <v>28527</v>
      </c>
      <c r="E14838" t="s">
        <v>28527</v>
      </c>
      <c r="F14838" t="s">
        <v>28528</v>
      </c>
      <c r="G14838" t="s">
        <v>14</v>
      </c>
      <c r="H14838">
             </c>
      <c r="I14838" t="s">
        <v>14</v>
      </c>
      <c r="J14838" t="s">
        <v>141</v>
      </c>
      <c r="K14838" t="s">
        <v>14</v>
      </c>
      <c r="L14838" t="s">
        <v>20</v>
      </c>
      <c r="M14838" t="s">
        <v>28033</v>
      </c>
      <c r="N14838" t="s">
        <v>14</v>
      </c>
    </row>
    <row r="14839" x14ac:dyDescent="0.25">
      <c r="A14839" t="n">
        <v>22</v>
      </c>
      <c r="B14839" t="s">
        <v>14</v>
      </c>
      <c r="C14839" t="s">
        <v>22</v>
      </c>
      <c r="D14839" s="2" t="s">
        <f>=HYPERLINK("https://main.knesset.gov.il/APPS/legislation/main/bills/2082210", "הצעת חוק מעונות יום שיקומיים (תיקון - מעון יום שיקומי ייעודי לילדים עם אוטיזם), התש""ף-2019")</f>
        <v>28529</v>
      </c>
      <c r="E14839" t="s">
        <v>28529</v>
      </c>
      <c r="F14839" t="s">
        <v>28530</v>
      </c>
      <c r="G14839" t="s">
        <v>14</v>
      </c>
      <c r="H14839">
             </c>
      <c r="I14839" t="s">
        <v>14</v>
      </c>
      <c r="J14839" t="s">
        <v>141</v>
      </c>
      <c r="K14839" t="s">
        <v>14</v>
      </c>
      <c r="L14839" t="s">
        <v>20</v>
      </c>
      <c r="M14839" t="s">
        <v>28033</v>
      </c>
      <c r="N14839" t="s">
        <v>14</v>
      </c>
    </row>
    <row r="14840" x14ac:dyDescent="0.25">
      <c r="A14840" t="n">
        <v>22</v>
      </c>
      <c r="B14840" t="s">
        <v>14</v>
      </c>
      <c r="C14840" t="s">
        <v>22</v>
      </c>
      <c r="D14840" s="2" t="s">
        <f>=HYPERLINK("https://main.knesset.gov.il/APPS/legislation/main/bills/2082862", "הצעת חוק הפרטת תאגיד השידור הציבורי הישראלי והסדרת שידורי הרדיו הציבורי (תיקוני חקיקה), התש""ף-2019")</f>
        <v>28531</v>
      </c>
      <c r="E14840" t="s">
        <v>28531</v>
      </c>
      <c r="F14840" t="s">
        <v>28532</v>
      </c>
      <c r="G14840" t="s">
        <v>14</v>
      </c>
      <c r="H14840">
             </c>
      <c r="I14840" t="s">
        <v>14</v>
      </c>
      <c r="J14840" t="s">
        <v>141</v>
      </c>
      <c r="K14840" t="s">
        <v>14</v>
      </c>
      <c r="L14840" t="s">
        <v>20</v>
      </c>
      <c r="M14840" t="s">
        <v>28033</v>
      </c>
      <c r="N14840" t="s">
        <v>14</v>
      </c>
    </row>
    <row r="14841" x14ac:dyDescent="0.25">
      <c r="A14841" t="n">
        <v>22</v>
      </c>
      <c r="B14841" t="s">
        <v>14</v>
      </c>
      <c r="C14841" t="s">
        <v>22</v>
      </c>
      <c r="D14841" s="2" t="s">
        <f>=HYPERLINK("https://main.knesset.gov.il/APPS/legislation/main/bills/2082285", "הצעת חוק העונשין (תיקון - עבירות מין במשפחה), התש""ף-2019")</f>
        <v>28533</v>
      </c>
      <c r="E14841" t="s">
        <v>28533</v>
      </c>
      <c r="F14841" t="s">
        <v>28534</v>
      </c>
      <c r="G14841" t="s">
        <v>14</v>
      </c>
      <c r="H14841">
             </c>
      <c r="I14841" t="s">
        <v>14</v>
      </c>
      <c r="J14841" t="s">
        <v>141</v>
      </c>
      <c r="K14841" t="s">
        <v>14</v>
      </c>
      <c r="L14841" t="s">
        <v>20</v>
      </c>
      <c r="M14841" t="s">
        <v>28033</v>
      </c>
      <c r="N14841" t="s">
        <v>14</v>
      </c>
    </row>
    <row r="14842" x14ac:dyDescent="0.25">
      <c r="A14842" t="n">
        <v>22</v>
      </c>
      <c r="B14842" t="s">
        <v>14</v>
      </c>
      <c r="C14842" t="s">
        <v>22</v>
      </c>
      <c r="D14842" s="2" t="s">
        <f>=HYPERLINK("https://main.knesset.gov.il/APPS/legislation/main/bills/2082275", "הצעת חוק שיקום, קידום ושילוב אנשים עם אוטיזם בקהילה, התש""ף-2019")</f>
        <v>28535</v>
      </c>
      <c r="E14842" t="s">
        <v>28535</v>
      </c>
      <c r="F14842" t="s">
        <v>28536</v>
      </c>
      <c r="G14842" t="s">
        <v>14</v>
      </c>
      <c r="H14842">
             </c>
      <c r="I14842" t="s">
        <v>14</v>
      </c>
      <c r="J14842" t="s">
        <v>141</v>
      </c>
      <c r="K14842" t="s">
        <v>14</v>
      </c>
      <c r="L14842" t="s">
        <v>20</v>
      </c>
      <c r="M14842" t="s">
        <v>28033</v>
      </c>
      <c r="N14842" t="s">
        <v>14</v>
      </c>
    </row>
    <row r="14843" x14ac:dyDescent="0.25">
      <c r="A14843" t="n">
        <v>22</v>
      </c>
      <c r="B14843" t="s">
        <v>14</v>
      </c>
      <c r="C14843" t="s">
        <v>22</v>
      </c>
      <c r="D14843" s="2" t="s">
        <f>=HYPERLINK("https://main.knesset.gov.il/APPS/legislation/main/bills/2082309", "הצעת חוק קביעת יום לציון הטבעת הספינה אלטלנה, התש""ף-2019")</f>
        <v>28537</v>
      </c>
      <c r="E14843" t="s">
        <v>28537</v>
      </c>
      <c r="F14843" t="s">
        <v>28538</v>
      </c>
      <c r="G14843" t="s">
        <v>14</v>
      </c>
      <c r="H14843">
             </c>
      <c r="I14843" t="s">
        <v>14</v>
      </c>
      <c r="J14843" t="s">
        <v>141</v>
      </c>
      <c r="K14843" t="s">
        <v>14</v>
      </c>
      <c r="L14843" t="s">
        <v>20</v>
      </c>
      <c r="M14843" t="s">
        <v>28539</v>
      </c>
      <c r="N14843" t="s">
        <v>14</v>
      </c>
    </row>
    <row r="14844" x14ac:dyDescent="0.25">
      <c r="A14844" t="n">
        <v>22</v>
      </c>
      <c r="B14844" t="s">
        <v>14</v>
      </c>
      <c r="C14844" t="s">
        <v>22</v>
      </c>
      <c r="D14844" s="2" t="s">
        <f>=HYPERLINK("https://main.knesset.gov.il/APPS/legislation/main/bills/2082162", "הצעת חוק מיסוי מקרקעין (שבח ורכישה) (תיקון - אי תחולת פטור ממס שבח על מי שהשכיר דירת מגורים לשוהה שלא כדין), התש""ף-2019")</f>
        <v>28540</v>
      </c>
      <c r="E14844" t="s">
        <v>28540</v>
      </c>
      <c r="F14844" t="s">
        <v>28541</v>
      </c>
      <c r="G14844" t="s">
        <v>14</v>
      </c>
      <c r="H14844">
             </c>
      <c r="I14844" t="s">
        <v>14</v>
      </c>
      <c r="J14844" t="s">
        <v>141</v>
      </c>
      <c r="K14844" t="s">
        <v>14</v>
      </c>
      <c r="L14844" t="s">
        <v>20</v>
      </c>
      <c r="M14844" t="s">
        <v>28539</v>
      </c>
      <c r="N14844" t="s">
        <v>14</v>
      </c>
    </row>
    <row r="14845" x14ac:dyDescent="0.25">
      <c r="A14845" t="n">
        <v>22</v>
      </c>
      <c r="B14845" t="s">
        <v>14</v>
      </c>
      <c r="C14845" t="s">
        <v>22</v>
      </c>
      <c r="D14845" s="2" t="s">
        <f>=HYPERLINK("https://main.knesset.gov.il/APPS/legislation/main/bills/2082923", "הצעת חוק לימוד חובה (תיקון - תקופת שנת הלימודים וחופשות), התש""ף-2019")</f>
        <v>28542</v>
      </c>
      <c r="E14845" t="s">
        <v>28542</v>
      </c>
      <c r="F14845" t="s">
        <v>28543</v>
      </c>
      <c r="G14845" t="s">
        <v>14</v>
      </c>
      <c r="H14845">
             </c>
      <c r="I14845" t="s">
        <v>14</v>
      </c>
      <c r="J14845" t="s">
        <v>141</v>
      </c>
      <c r="K14845" t="s">
        <v>14</v>
      </c>
      <c r="L14845" t="s">
        <v>20</v>
      </c>
      <c r="M14845" t="s">
        <v>28539</v>
      </c>
      <c r="N14845" t="s">
        <v>14</v>
      </c>
    </row>
    <row r="14846" x14ac:dyDescent="0.25">
      <c r="A14846" t="n">
        <v>22</v>
      </c>
      <c r="B14846" t="s">
        <v>14</v>
      </c>
      <c r="C14846" t="s">
        <v>22</v>
      </c>
      <c r="D14846" s="2" t="s">
        <f>=HYPERLINK("https://main.knesset.gov.il/APPS/legislation/main/bills/2082922", "הצעת חוק המועצה להשכלה גבוהה (תיקון - איסור פעילות פוגענית), התש""ף-2019")</f>
        <v>28544</v>
      </c>
      <c r="E14846" t="s">
        <v>28544</v>
      </c>
      <c r="F14846" t="s">
        <v>28545</v>
      </c>
      <c r="G14846" t="s">
        <v>14</v>
      </c>
      <c r="H14846">
             </c>
      <c r="I14846" t="s">
        <v>14</v>
      </c>
      <c r="J14846" t="s">
        <v>141</v>
      </c>
      <c r="K14846" t="s">
        <v>14</v>
      </c>
      <c r="L14846" t="s">
        <v>20</v>
      </c>
      <c r="M14846" t="s">
        <v>28539</v>
      </c>
      <c r="N14846" t="s">
        <v>14</v>
      </c>
    </row>
    <row r="14847" x14ac:dyDescent="0.25">
      <c r="A14847" t="n">
        <v>22</v>
      </c>
      <c r="B14847" t="s">
        <v>14</v>
      </c>
      <c r="C14847" t="s">
        <v>22</v>
      </c>
      <c r="D14847" s="2" t="s">
        <f>=HYPERLINK("https://main.knesset.gov.il/APPS/legislation/main/bills/2082292", "הצעת חוק לתיקון פקודת מס הכנסה (הכרה בניכוי הפקדות לביטוח סיעודי), התש""ף-2019")</f>
        <v>28546</v>
      </c>
      <c r="E14847" t="s">
        <v>28546</v>
      </c>
      <c r="F14847" t="s">
        <v>28547</v>
      </c>
      <c r="G14847" t="s">
        <v>14</v>
      </c>
      <c r="H14847">
             </c>
      <c r="I14847" t="s">
        <v>14</v>
      </c>
      <c r="J14847" t="s">
        <v>141</v>
      </c>
      <c r="K14847" t="s">
        <v>14</v>
      </c>
      <c r="L14847" t="s">
        <v>20</v>
      </c>
      <c r="M14847" t="s">
        <v>28539</v>
      </c>
      <c r="N14847" t="s">
        <v>14</v>
      </c>
    </row>
    <row r="14848" x14ac:dyDescent="0.25">
      <c r="A14848" t="n">
        <v>22</v>
      </c>
      <c r="B14848" t="s">
        <v>14</v>
      </c>
      <c r="C14848" t="s">
        <v>22</v>
      </c>
      <c r="D14848" s="2" t="s">
        <f>=HYPERLINK("https://main.knesset.gov.il/APPS/legislation/main/bills/2082008", "הצעת חוק תגמול מדליסטים אולימפיים, התש""ף-2019")</f>
        <v>28548</v>
      </c>
      <c r="E14848" t="s">
        <v>28548</v>
      </c>
      <c r="F14848" t="s">
        <v>28549</v>
      </c>
      <c r="G14848" t="s">
        <v>14</v>
      </c>
      <c r="H14848">
             </c>
      <c r="I14848" t="s">
        <v>14</v>
      </c>
      <c r="J14848" t="s">
        <v>141</v>
      </c>
      <c r="K14848" t="s">
        <v>14</v>
      </c>
      <c r="L14848" t="s">
        <v>20</v>
      </c>
      <c r="M14848" t="s">
        <v>28539</v>
      </c>
      <c r="N14848" t="s">
        <v>14</v>
      </c>
    </row>
    <row r="14849" x14ac:dyDescent="0.25">
      <c r="A14849" t="n">
        <v>22</v>
      </c>
      <c r="B14849" t="s">
        <v>14</v>
      </c>
      <c r="C14849" t="s">
        <v>22</v>
      </c>
      <c r="D14849" s="2" t="s">
        <f>=HYPERLINK("https://main.knesset.gov.il/APPS/legislation/main/bills/2082952", "הצעת חוק מס ערך מוסף (תיקון - העברת מס בין עוסקים מורשים), התש""ף-2019")</f>
        <v>28550</v>
      </c>
      <c r="E14849" t="s">
        <v>28550</v>
      </c>
      <c r="F14849" t="s">
        <v>28551</v>
      </c>
      <c r="G14849" t="s">
        <v>14</v>
      </c>
      <c r="H14849">
             </c>
      <c r="I14849" t="s">
        <v>14</v>
      </c>
      <c r="J14849" t="s">
        <v>141</v>
      </c>
      <c r="K14849" t="s">
        <v>14</v>
      </c>
      <c r="L14849" t="s">
        <v>20</v>
      </c>
      <c r="M14849" t="s">
        <v>28539</v>
      </c>
      <c r="N14849" t="s">
        <v>14</v>
      </c>
    </row>
    <row r="14850" x14ac:dyDescent="0.25">
      <c r="A14850" t="n">
        <v>22</v>
      </c>
      <c r="B14850" t="s">
        <v>14</v>
      </c>
      <c r="C14850" t="s">
        <v>22</v>
      </c>
      <c r="D14850" s="2" t="s">
        <f>=HYPERLINK("https://main.knesset.gov.il/APPS/legislation/main/bills/2082927", "הצעת חוק חובת התקנה של מערכת ממוחשבת לשליחת הודעה במקרה של אי הגעת ילד למוסד חינוך או למעון יום (תיקוני חקיקה), התש""ף-2019")</f>
        <v>28552</v>
      </c>
      <c r="E14850" t="s">
        <v>28552</v>
      </c>
      <c r="F14850" t="s">
        <v>28553</v>
      </c>
      <c r="G14850" t="s">
        <v>14</v>
      </c>
      <c r="H14850">
             </c>
      <c r="I14850" t="s">
        <v>14</v>
      </c>
      <c r="J14850" t="s">
        <v>141</v>
      </c>
      <c r="K14850" t="s">
        <v>14</v>
      </c>
      <c r="L14850" t="s">
        <v>20</v>
      </c>
      <c r="M14850" t="s">
        <v>28539</v>
      </c>
      <c r="N14850" t="s">
        <v>14</v>
      </c>
    </row>
    <row r="14851" x14ac:dyDescent="0.25">
      <c r="A14851" t="n">
        <v>22</v>
      </c>
      <c r="B14851" t="s">
        <v>14</v>
      </c>
      <c r="C14851" t="s">
        <v>22</v>
      </c>
      <c r="D14851" s="2" t="s">
        <f>=HYPERLINK("https://main.knesset.gov.il/APPS/legislation/main/bills/2082155", "הצעת חוק לעידוד השקעות הון (תיקון - תחולה על מפעל תעשייתי ביישובים הסמוכים לגבול עימות בצפון, שדרות ויישובי עוטף עזה), התש""ף-2019")</f>
        <v>28554</v>
      </c>
      <c r="E14851" t="s">
        <v>28554</v>
      </c>
      <c r="F14851" t="s">
        <v>28555</v>
      </c>
      <c r="G14851" t="s">
        <v>14</v>
      </c>
      <c r="H14851">
             </c>
      <c r="I14851" t="s">
        <v>14</v>
      </c>
      <c r="J14851" t="s">
        <v>141</v>
      </c>
      <c r="K14851" t="s">
        <v>14</v>
      </c>
      <c r="L14851" t="s">
        <v>20</v>
      </c>
      <c r="M14851" t="s">
        <v>28539</v>
      </c>
      <c r="N14851" t="s">
        <v>14</v>
      </c>
    </row>
    <row r="14852" x14ac:dyDescent="0.25">
      <c r="A14852" t="n">
        <v>22</v>
      </c>
      <c r="B14852" t="s">
        <v>14</v>
      </c>
      <c r="C14852" t="s">
        <v>22</v>
      </c>
      <c r="D14852" s="2" t="s">
        <f>=HYPERLINK("https://main.knesset.gov.il/APPS/legislation/main/bills/2082967", "הצעת חוק הבטחת הכנסה (תיקון - הגדלת שווי רכב המאפשר זכאות לגמלה), התש""ף-2019")</f>
        <v>28556</v>
      </c>
      <c r="E14852" t="s">
        <v>28556</v>
      </c>
      <c r="F14852" t="s">
        <v>28557</v>
      </c>
      <c r="G14852" t="s">
        <v>14</v>
      </c>
      <c r="H14852">
             </c>
      <c r="I14852" t="s">
        <v>14</v>
      </c>
      <c r="J14852" t="s">
        <v>141</v>
      </c>
      <c r="K14852" t="s">
        <v>14</v>
      </c>
      <c r="L14852" t="s">
        <v>20</v>
      </c>
      <c r="M14852" t="s">
        <v>28539</v>
      </c>
      <c r="N14852" t="s">
        <v>14</v>
      </c>
    </row>
    <row r="14853" x14ac:dyDescent="0.25">
      <c r="A14853" t="n">
        <v>22</v>
      </c>
      <c r="B14853" t="s">
        <v>14</v>
      </c>
      <c r="C14853" t="s">
        <v>22</v>
      </c>
      <c r="D14853" s="2" t="s">
        <f>=HYPERLINK("https://main.knesset.gov.il/APPS/legislation/main/bills/2082333", "הצעת חוק התאמת לוח חופשות הלימודים לשעות העבודה והמנוחה במשק (תיקוני חקיקה), התש""ף-2019")</f>
        <v>28558</v>
      </c>
      <c r="E14853" t="s">
        <v>28558</v>
      </c>
      <c r="F14853" t="s">
        <v>28559</v>
      </c>
      <c r="G14853" t="s">
        <v>14</v>
      </c>
      <c r="H14853">
             </c>
      <c r="I14853" t="s">
        <v>14</v>
      </c>
      <c r="J14853" t="s">
        <v>141</v>
      </c>
      <c r="K14853" t="s">
        <v>14</v>
      </c>
      <c r="L14853" t="s">
        <v>20</v>
      </c>
      <c r="M14853" t="s">
        <v>28539</v>
      </c>
      <c r="N14853" t="s">
        <v>14</v>
      </c>
    </row>
    <row r="14854" x14ac:dyDescent="0.25">
      <c r="A14854" t="n">
        <v>22</v>
      </c>
      <c r="B14854" t="s">
        <v>14</v>
      </c>
      <c r="C14854" t="s">
        <v>22</v>
      </c>
      <c r="D14854" s="2" t="s">
        <f>=HYPERLINK("https://main.knesset.gov.il/APPS/legislation/main/bills/2082965", "הצעת חוק הבטחת הכנסה (תיקון - גמלת הבטחת הכנסה לקשיש), התש""ף-2019")</f>
        <v>28560</v>
      </c>
      <c r="E14854" t="s">
        <v>28560</v>
      </c>
      <c r="F14854" t="s">
        <v>28561</v>
      </c>
      <c r="G14854" t="s">
        <v>14</v>
      </c>
      <c r="H14854">
             </c>
      <c r="I14854" t="s">
        <v>14</v>
      </c>
      <c r="J14854" t="s">
        <v>141</v>
      </c>
      <c r="K14854" t="s">
        <v>14</v>
      </c>
      <c r="L14854" t="s">
        <v>20</v>
      </c>
      <c r="M14854" t="s">
        <v>28539</v>
      </c>
      <c r="N14854" t="s">
        <v>14</v>
      </c>
    </row>
    <row r="14855" x14ac:dyDescent="0.25">
      <c r="A14855" t="n">
        <v>22</v>
      </c>
      <c r="B14855" t="s">
        <v>14</v>
      </c>
      <c r="C14855" t="s">
        <v>22</v>
      </c>
      <c r="D14855" s="2" t="s">
        <f>=HYPERLINK("https://main.knesset.gov.il/APPS/legislation/main/bills/2082966", "הצעת חוק ביטוח בריאות ממלכתי (תיקון - ביטול איסור הכללת תרופות מצילות חיים בשב""ן), התש""ף-2019")</f>
        <v>28562</v>
      </c>
      <c r="E14855" t="s">
        <v>28562</v>
      </c>
      <c r="F14855" t="s">
        <v>28563</v>
      </c>
      <c r="G14855" t="s">
        <v>14</v>
      </c>
      <c r="H14855">
             </c>
      <c r="I14855" t="s">
        <v>14</v>
      </c>
      <c r="J14855" t="s">
        <v>141</v>
      </c>
      <c r="K14855" t="s">
        <v>14</v>
      </c>
      <c r="L14855" t="s">
        <v>20</v>
      </c>
      <c r="M14855" t="s">
        <v>28539</v>
      </c>
      <c r="N14855" t="s">
        <v>14</v>
      </c>
    </row>
    <row r="14856" x14ac:dyDescent="0.25">
      <c r="A14856" t="n">
        <v>22</v>
      </c>
      <c r="B14856" t="s">
        <v>14</v>
      </c>
      <c r="C14856" t="s">
        <v>22</v>
      </c>
      <c r="D14856" s="2" t="s">
        <f>=HYPERLINK("https://main.knesset.gov.il/APPS/legislation/main/bills/2082895", "הצעת חוק הבחירות לכנסת (תיקון - הגבלת שכר עבור יום שבתון), התש""ף-2019")</f>
        <v>28564</v>
      </c>
      <c r="E14856" t="s">
        <v>28564</v>
      </c>
      <c r="F14856" t="s">
        <v>28565</v>
      </c>
      <c r="G14856" t="s">
        <v>14</v>
      </c>
      <c r="H14856">
             </c>
      <c r="I14856" t="s">
        <v>14</v>
      </c>
      <c r="J14856" t="s">
        <v>141</v>
      </c>
      <c r="K14856" t="s">
        <v>14</v>
      </c>
      <c r="L14856" t="s">
        <v>20</v>
      </c>
      <c r="M14856" t="s">
        <v>28539</v>
      </c>
      <c r="N14856" t="s">
        <v>14</v>
      </c>
    </row>
    <row r="14857" x14ac:dyDescent="0.25">
      <c r="A14857" t="n">
        <v>22</v>
      </c>
      <c r="B14857" t="s">
        <v>14</v>
      </c>
      <c r="C14857" t="s">
        <v>22</v>
      </c>
      <c r="D14857" s="2" t="s">
        <f>=HYPERLINK("https://main.knesset.gov.il/APPS/legislation/main/bills/2083097", "הצעת חוק התניית יום שבתון בהצבעה בבחירות (תיקוני חקיקה), התש""ף-2019")</f>
        <v>28566</v>
      </c>
      <c r="E14857" t="s">
        <v>28566</v>
      </c>
      <c r="F14857" t="s">
        <v>28567</v>
      </c>
      <c r="G14857" t="s">
        <v>14</v>
      </c>
      <c r="H14857">
             </c>
      <c r="I14857" t="s">
        <v>14</v>
      </c>
      <c r="J14857" t="s">
        <v>141</v>
      </c>
      <c r="K14857" t="s">
        <v>14</v>
      </c>
      <c r="L14857" t="s">
        <v>20</v>
      </c>
      <c r="M14857" t="s">
        <v>28539</v>
      </c>
      <c r="N14857" t="s">
        <v>14</v>
      </c>
    </row>
    <row r="14858" x14ac:dyDescent="0.25">
      <c r="A14858" t="n">
        <v>22</v>
      </c>
      <c r="B14858" t="s">
        <v>14</v>
      </c>
      <c r="C14858" t="s">
        <v>22</v>
      </c>
      <c r="D14858" s="2" t="s">
        <f>=HYPERLINK("https://main.knesset.gov.il/APPS/legislation/main/bills/2082180", "הצעת חוק התניית יום שבתון בהצבעה בבחירות (תיקוני חקיקה), התש""ף-2019")</f>
        <v>28566</v>
      </c>
      <c r="E14858" t="s">
        <v>28566</v>
      </c>
      <c r="F14858" t="s">
        <v>28568</v>
      </c>
      <c r="G14858" t="s">
        <v>14</v>
      </c>
      <c r="H14858">
             </c>
      <c r="I14858" t="s">
        <v>14</v>
      </c>
      <c r="J14858" t="s">
        <v>141</v>
      </c>
      <c r="K14858" t="s">
        <v>14</v>
      </c>
      <c r="L14858" t="s">
        <v>20</v>
      </c>
      <c r="M14858" t="s">
        <v>28539</v>
      </c>
      <c r="N14858" t="s">
        <v>14</v>
      </c>
    </row>
    <row r="14859" x14ac:dyDescent="0.25">
      <c r="A14859" t="n">
        <v>22</v>
      </c>
      <c r="B14859" t="s">
        <v>14</v>
      </c>
      <c r="C14859" t="s">
        <v>22</v>
      </c>
      <c r="D14859" s="2" t="s">
        <f>=HYPERLINK("https://main.knesset.gov.il/APPS/legislation/main/bills/2082627", "הצעת חוק תקופת לידה והורות להורים (תיקוני חקיקה), התש""ף-2019")</f>
        <v>28569</v>
      </c>
      <c r="E14859" t="s">
        <v>28569</v>
      </c>
      <c r="F14859" t="s">
        <v>28570</v>
      </c>
      <c r="G14859" t="s">
        <v>14</v>
      </c>
      <c r="H14859">
             </c>
      <c r="I14859" t="s">
        <v>14</v>
      </c>
      <c r="J14859" t="s">
        <v>141</v>
      </c>
      <c r="K14859" t="s">
        <v>14</v>
      </c>
      <c r="L14859" t="s">
        <v>20</v>
      </c>
      <c r="M14859" t="s">
        <v>28539</v>
      </c>
      <c r="N14859" t="s">
        <v>14</v>
      </c>
    </row>
    <row r="14860" x14ac:dyDescent="0.25">
      <c r="A14860" t="n">
        <v>22</v>
      </c>
      <c r="B14860" t="s">
        <v>14</v>
      </c>
      <c r="C14860" t="s">
        <v>22</v>
      </c>
      <c r="D14860" s="2" t="s">
        <f>=HYPERLINK("https://main.knesset.gov.il/APPS/legislation/main/bills/2082859", "הצעת חוק החלת הריבונות של מדינת ישראל בחבלי יהודה והשומרון, התש""ף-2019")</f>
        <v>28571</v>
      </c>
      <c r="E14860" t="s">
        <v>28571</v>
      </c>
      <c r="F14860" t="s">
        <v>28572</v>
      </c>
      <c r="G14860" t="s">
        <v>14</v>
      </c>
      <c r="H14860">
             </c>
      <c r="I14860" t="s">
        <v>14</v>
      </c>
      <c r="J14860" t="s">
        <v>141</v>
      </c>
      <c r="K14860" t="s">
        <v>14</v>
      </c>
      <c r="L14860" t="s">
        <v>20</v>
      </c>
      <c r="M14860" t="s">
        <v>28539</v>
      </c>
      <c r="N14860" t="s">
        <v>14</v>
      </c>
    </row>
    <row r="14861" x14ac:dyDescent="0.25">
      <c r="A14861" t="n">
        <v>22</v>
      </c>
      <c r="B14861" t="s">
        <v>14</v>
      </c>
      <c r="C14861" t="s">
        <v>22</v>
      </c>
      <c r="D14861" s="2" t="s">
        <f>=HYPERLINK("https://main.knesset.gov.il/APPS/legislation/main/bills/2081599", "הצעת חוק דמי מחלה (היעדרות בשל מחלת ילד) (תיקון - בן זוג לומד), התש""ף-2019")</f>
        <v>28573</v>
      </c>
      <c r="E14861" t="s">
        <v>28573</v>
      </c>
      <c r="F14861" t="s">
        <v>28574</v>
      </c>
      <c r="G14861" t="s">
        <v>14</v>
      </c>
      <c r="H14861">
             </c>
      <c r="I14861" t="s">
        <v>14</v>
      </c>
      <c r="J14861" t="s">
        <v>141</v>
      </c>
      <c r="K14861" t="s">
        <v>14</v>
      </c>
      <c r="L14861" t="s">
        <v>20</v>
      </c>
      <c r="M14861" t="s">
        <v>28539</v>
      </c>
      <c r="N14861" t="s">
        <v>14</v>
      </c>
    </row>
    <row r="14862" x14ac:dyDescent="0.25">
      <c r="A14862" t="n">
        <v>22</v>
      </c>
      <c r="B14862" t="s">
        <v>14</v>
      </c>
      <c r="C14862" t="s">
        <v>22</v>
      </c>
      <c r="D14862" s="2" t="s">
        <f>=HYPERLINK("https://main.knesset.gov.il/APPS/legislation/main/bills/2081259", "הצעת חוק דמי מחלה (היעדרות בשל מחלת ילד) (תיקון - בן זוג לומד), התש""ף-2019")</f>
        <v>28573</v>
      </c>
      <c r="E14862" t="s">
        <v>28573</v>
      </c>
      <c r="F14862" t="s">
        <v>28575</v>
      </c>
      <c r="G14862" t="s">
        <v>14</v>
      </c>
      <c r="H14862">
             </c>
      <c r="I14862" t="s">
        <v>14</v>
      </c>
      <c r="J14862" t="s">
        <v>141</v>
      </c>
      <c r="K14862" t="s">
        <v>14</v>
      </c>
      <c r="L14862" t="s">
        <v>20</v>
      </c>
      <c r="M14862" t="s">
        <v>28539</v>
      </c>
      <c r="N14862" t="s">
        <v>14</v>
      </c>
    </row>
    <row r="14863" x14ac:dyDescent="0.25">
      <c r="A14863" t="n">
        <v>22</v>
      </c>
      <c r="B14863" t="s">
        <v>14</v>
      </c>
      <c r="C14863" t="s">
        <v>22</v>
      </c>
      <c r="D14863" s="2" t="s">
        <f>=HYPERLINK("https://main.knesset.gov.il/APPS/legislation/main/bills/2081889", "הצעת חוק לתיקון פקודת המסים (גבייה) (פיצוי עקב טעות), התש""ף-2019")</f>
        <v>28576</v>
      </c>
      <c r="E14863" t="s">
        <v>28576</v>
      </c>
      <c r="F14863" t="s">
        <v>28577</v>
      </c>
      <c r="G14863" t="s">
        <v>14</v>
      </c>
      <c r="H14863">
             </c>
      <c r="I14863" t="s">
        <v>14</v>
      </c>
      <c r="J14863" t="s">
        <v>141</v>
      </c>
      <c r="K14863" t="s">
        <v>14</v>
      </c>
      <c r="L14863" t="s">
        <v>20</v>
      </c>
      <c r="M14863" t="s">
        <v>28539</v>
      </c>
      <c r="N14863" t="s">
        <v>14</v>
      </c>
    </row>
    <row r="14864" x14ac:dyDescent="0.25">
      <c r="A14864" t="n">
        <v>22</v>
      </c>
      <c r="B14864" t="s">
        <v>14</v>
      </c>
      <c r="C14864" t="s">
        <v>22</v>
      </c>
      <c r="D14864" s="2" t="s">
        <f>=HYPERLINK("https://main.knesset.gov.il/APPS/legislation/main/bills/2082326", "הצעת חוק המאבק בטרור (תיקון - איסור החזרת גופות מחבלים), התש""ף-2019")</f>
        <v>28578</v>
      </c>
      <c r="E14864" t="s">
        <v>28578</v>
      </c>
      <c r="F14864" t="s">
        <v>28579</v>
      </c>
      <c r="G14864" t="s">
        <v>14</v>
      </c>
      <c r="H14864">
             </c>
      <c r="I14864" t="s">
        <v>14</v>
      </c>
      <c r="J14864" t="s">
        <v>141</v>
      </c>
      <c r="K14864" t="s">
        <v>14</v>
      </c>
      <c r="L14864" t="s">
        <v>20</v>
      </c>
      <c r="M14864" t="s">
        <v>28539</v>
      </c>
      <c r="N14864" t="s">
        <v>14</v>
      </c>
    </row>
    <row r="14865" x14ac:dyDescent="0.25">
      <c r="A14865" t="n">
        <v>22</v>
      </c>
      <c r="B14865" t="s">
        <v>14</v>
      </c>
      <c r="C14865" t="s">
        <v>22</v>
      </c>
      <c r="D14865" s="2" t="s">
        <f>=HYPERLINK("https://main.knesset.gov.il/APPS/legislation/main/bills/2081330", "הצעת חוק הביטוח הלאומי (תיקון - גמלה לשמירת היריון לאם שילדה פג), התש""ף-2019")</f>
        <v>28580</v>
      </c>
      <c r="E14865" t="s">
        <v>28580</v>
      </c>
      <c r="F14865" t="s">
        <v>28581</v>
      </c>
      <c r="G14865" t="s">
        <v>14</v>
      </c>
      <c r="H14865">
             </c>
      <c r="I14865" t="s">
        <v>14</v>
      </c>
      <c r="J14865" t="s">
        <v>141</v>
      </c>
      <c r="K14865" t="s">
        <v>14</v>
      </c>
      <c r="L14865" t="s">
        <v>20</v>
      </c>
      <c r="M14865" t="s">
        <v>28539</v>
      </c>
      <c r="N14865" t="s">
        <v>14</v>
      </c>
    </row>
    <row r="14866" x14ac:dyDescent="0.25">
      <c r="A14866" t="n">
        <v>22</v>
      </c>
      <c r="B14866" t="s">
        <v>14</v>
      </c>
      <c r="C14866" t="s">
        <v>22</v>
      </c>
      <c r="D14866" s="2" t="s">
        <f>=HYPERLINK("https://main.knesset.gov.il/APPS/legislation/main/bills/2082720", "הצעת חוק שירות ביטחון (תיקון - השוואת תהליכי המיון, השיבוץ, התקינה וההכשרה, המסלולים המקצועיים ואופקי הקידום לנשים וגברים), התש""ף-2019")</f>
        <v>28582</v>
      </c>
      <c r="E14866" t="s">
        <v>28582</v>
      </c>
      <c r="F14866" t="s">
        <v>28583</v>
      </c>
      <c r="G14866" t="s">
        <v>14</v>
      </c>
      <c r="H14866">
             </c>
      <c r="I14866" t="s">
        <v>14</v>
      </c>
      <c r="J14866" t="s">
        <v>141</v>
      </c>
      <c r="K14866" t="s">
        <v>14</v>
      </c>
      <c r="L14866" t="s">
        <v>20</v>
      </c>
      <c r="M14866" t="s">
        <v>28539</v>
      </c>
      <c r="N14866" t="s">
        <v>14</v>
      </c>
    </row>
    <row r="14867" x14ac:dyDescent="0.25">
      <c r="A14867" t="n">
        <v>22</v>
      </c>
      <c r="B14867" t="s">
        <v>14</v>
      </c>
      <c r="C14867" t="s">
        <v>22</v>
      </c>
      <c r="D14867" s="2" t="s">
        <f>=HYPERLINK("https://main.knesset.gov.il/APPS/legislation/main/bills/2081885", "הצעת חוק שיקים ללא כיסוי (תיקון - חובת הודעה ללקוח טרם סירוב שיק), התש""ף-2019")</f>
        <v>28584</v>
      </c>
      <c r="E14867" t="s">
        <v>28584</v>
      </c>
      <c r="F14867" t="s">
        <v>28585</v>
      </c>
      <c r="G14867" t="s">
        <v>14</v>
      </c>
      <c r="H14867">
             </c>
      <c r="I14867" t="s">
        <v>14</v>
      </c>
      <c r="J14867" t="s">
        <v>141</v>
      </c>
      <c r="K14867" t="s">
        <v>14</v>
      </c>
      <c r="L14867" t="s">
        <v>20</v>
      </c>
      <c r="M14867" t="s">
        <v>28539</v>
      </c>
      <c r="N14867" t="s">
        <v>14</v>
      </c>
    </row>
    <row r="14868" x14ac:dyDescent="0.25">
      <c r="A14868" t="n">
        <v>22</v>
      </c>
      <c r="B14868" t="s">
        <v>14</v>
      </c>
      <c r="C14868" t="s">
        <v>22</v>
      </c>
      <c r="D14868" s="2" t="s">
        <f>=HYPERLINK("https://main.knesset.gov.il/APPS/legislation/main/bills/2082858", "הצעת חוק הכנסת (תיקון - ועדה לפיקוח על רשויות פיקוח פיננסיות), התש""ף-2019")</f>
        <v>28586</v>
      </c>
      <c r="E14868" t="s">
        <v>28586</v>
      </c>
      <c r="F14868" t="s">
        <v>28587</v>
      </c>
      <c r="G14868" t="s">
        <v>14</v>
      </c>
      <c r="H14868">
             </c>
      <c r="I14868" t="s">
        <v>14</v>
      </c>
      <c r="J14868" t="s">
        <v>141</v>
      </c>
      <c r="K14868" t="s">
        <v>14</v>
      </c>
      <c r="L14868" t="s">
        <v>20</v>
      </c>
      <c r="M14868" t="s">
        <v>28539</v>
      </c>
      <c r="N14868" t="s">
        <v>14</v>
      </c>
    </row>
    <row r="14869" x14ac:dyDescent="0.25">
      <c r="A14869" t="n">
        <v>22</v>
      </c>
      <c r="B14869" t="s">
        <v>14</v>
      </c>
      <c r="C14869" t="s">
        <v>22</v>
      </c>
      <c r="D14869" s="2" t="s">
        <f>=HYPERLINK("https://main.knesset.gov.il/APPS/legislation/main/bills/2081879", "הצעת חוק הביטוח הלאומי (תיקון - ניכוי הכנסה חודשית שלא מעבודה או ממשלח יד), התש""ף-2019 ")</f>
        <v>28588</v>
      </c>
      <c r="E14869" t="s">
        <v>28588</v>
      </c>
      <c r="F14869" t="s">
        <v>28589</v>
      </c>
      <c r="G14869" t="s">
        <v>14</v>
      </c>
      <c r="H14869">
             </c>
      <c r="I14869" t="s">
        <v>14</v>
      </c>
      <c r="J14869" t="s">
        <v>141</v>
      </c>
      <c r="K14869" t="s">
        <v>14</v>
      </c>
      <c r="L14869" t="s">
        <v>20</v>
      </c>
      <c r="M14869" t="s">
        <v>28539</v>
      </c>
      <c r="N14869" t="s">
        <v>14</v>
      </c>
    </row>
    <row r="14870" x14ac:dyDescent="0.25">
      <c r="A14870" t="n">
        <v>22</v>
      </c>
      <c r="B14870" t="s">
        <v>14</v>
      </c>
      <c r="C14870" t="s">
        <v>22</v>
      </c>
      <c r="D14870" s="2" t="s">
        <f>=HYPERLINK("https://main.knesset.gov.il/APPS/legislation/main/bills/2082846", "הצעת חוק הכנסת (תיקון - ועדה לפיקוח על רשויות פיקוח פיננסיות), התש""ף-2019")</f>
        <v>28586</v>
      </c>
      <c r="E14870" t="s">
        <v>28586</v>
      </c>
      <c r="F14870" t="s">
        <v>28590</v>
      </c>
      <c r="G14870" t="s">
        <v>14</v>
      </c>
      <c r="H14870">
             </c>
      <c r="I14870" t="s">
        <v>14</v>
      </c>
      <c r="J14870" t="s">
        <v>141</v>
      </c>
      <c r="K14870" t="s">
        <v>14</v>
      </c>
      <c r="L14870" t="s">
        <v>20</v>
      </c>
      <c r="M14870" t="s">
        <v>28539</v>
      </c>
      <c r="N14870" t="s">
        <v>14</v>
      </c>
    </row>
    <row r="14871" x14ac:dyDescent="0.25">
      <c r="A14871" t="n">
        <v>22</v>
      </c>
      <c r="B14871" t="s">
        <v>14</v>
      </c>
      <c r="C14871" t="s">
        <v>22</v>
      </c>
      <c r="D14871" s="2" t="s">
        <f>=HYPERLINK("https://main.knesset.gov.il/APPS/legislation/main/bills/2082860", "הצעת חוק-יסוד: ההתגברות (תיקוני חקיקה)")</f>
        <v>13726</v>
      </c>
      <c r="E14871" t="s">
        <v>13726</v>
      </c>
      <c r="F14871" t="s">
        <v>28591</v>
      </c>
      <c r="G14871" t="s">
        <v>14</v>
      </c>
      <c r="H14871">
             </c>
      <c r="I14871" t="s">
        <v>14</v>
      </c>
      <c r="J14871" t="s">
        <v>141</v>
      </c>
      <c r="K14871" t="s">
        <v>14</v>
      </c>
      <c r="L14871" t="s">
        <v>20</v>
      </c>
      <c r="M14871" t="s">
        <v>28539</v>
      </c>
      <c r="N14871" t="s">
        <v>14</v>
      </c>
    </row>
    <row r="14872" x14ac:dyDescent="0.25">
      <c r="A14872" t="n">
        <v>22</v>
      </c>
      <c r="B14872" t="s">
        <v>14</v>
      </c>
      <c r="C14872" t="s">
        <v>22</v>
      </c>
      <c r="D14872" s="2" t="s">
        <f>=HYPERLINK("https://main.knesset.gov.il/APPS/legislation/main/bills/2081888", "הצעת חוק חוזה הביטוח (תיקון - מניעת כפל ביטוחים), התש""ף-2019")</f>
        <v>28592</v>
      </c>
      <c r="E14872" t="s">
        <v>28592</v>
      </c>
      <c r="F14872" t="s">
        <v>28593</v>
      </c>
      <c r="G14872" t="s">
        <v>14</v>
      </c>
      <c r="H14872">
             </c>
      <c r="I14872" t="s">
        <v>14</v>
      </c>
      <c r="J14872" t="s">
        <v>141</v>
      </c>
      <c r="K14872" t="s">
        <v>14</v>
      </c>
      <c r="L14872" t="s">
        <v>20</v>
      </c>
      <c r="M14872" t="s">
        <v>28539</v>
      </c>
      <c r="N14872" t="s">
        <v>14</v>
      </c>
    </row>
    <row r="14873" x14ac:dyDescent="0.25">
      <c r="A14873" t="n">
        <v>22</v>
      </c>
      <c r="B14873" t="s">
        <v>14</v>
      </c>
      <c r="C14873" t="s">
        <v>22</v>
      </c>
      <c r="D14873" s="2" t="s">
        <f>=HYPERLINK("https://main.knesset.gov.il/APPS/legislation/main/bills/2081892", "הצעת חוק התכנון והבנייה (תיקון מס' 116) (תיקון - ביטול החוק), התש""ף-2019")</f>
        <v>27679</v>
      </c>
      <c r="E14873" t="s">
        <v>27679</v>
      </c>
      <c r="F14873" t="s">
        <v>28594</v>
      </c>
      <c r="G14873" t="s">
        <v>14</v>
      </c>
      <c r="H14873">
             </c>
      <c r="I14873" t="s">
        <v>14</v>
      </c>
      <c r="J14873" t="s">
        <v>141</v>
      </c>
      <c r="K14873" t="s">
        <v>14</v>
      </c>
      <c r="L14873" t="s">
        <v>20</v>
      </c>
      <c r="M14873" t="s">
        <v>28539</v>
      </c>
      <c r="N14873" t="s">
        <v>14</v>
      </c>
    </row>
    <row r="14874" x14ac:dyDescent="0.25">
      <c r="A14874" t="n">
        <v>22</v>
      </c>
      <c r="B14874" t="s">
        <v>14</v>
      </c>
      <c r="C14874" t="s">
        <v>22</v>
      </c>
      <c r="D14874" s="2" t="s">
        <f>=HYPERLINK("https://main.knesset.gov.il/APPS/legislation/main/bills/2082412", "הצעת חוק תובענות ייצוגיות (תיקון - פניה מוקדמת), התש""ף-2019")</f>
        <v>28595</v>
      </c>
      <c r="E14874" t="s">
        <v>28595</v>
      </c>
      <c r="F14874" t="s">
        <v>28596</v>
      </c>
      <c r="G14874" t="s">
        <v>14</v>
      </c>
      <c r="H14874">
             </c>
      <c r="I14874" t="s">
        <v>14</v>
      </c>
      <c r="J14874" t="s">
        <v>141</v>
      </c>
      <c r="K14874" t="s">
        <v>14</v>
      </c>
      <c r="L14874" t="s">
        <v>20</v>
      </c>
      <c r="M14874" t="s">
        <v>28539</v>
      </c>
      <c r="N14874" t="s">
        <v>14</v>
      </c>
    </row>
    <row r="14875" x14ac:dyDescent="0.25">
      <c r="A14875" t="n">
        <v>22</v>
      </c>
      <c r="B14875" t="s">
        <v>14</v>
      </c>
      <c r="C14875" t="s">
        <v>22</v>
      </c>
      <c r="D14875" s="2" t="s">
        <f>=HYPERLINK("https://main.knesset.gov.il/APPS/legislation/main/bills/2082348", "הצעת חוק-יסוד: ישראל - מדינת הלאום של העם היהודי (תיקון - ביטול החוק)")</f>
        <v>4732</v>
      </c>
      <c r="E14875" t="s">
        <v>4732</v>
      </c>
      <c r="F14875" t="s">
        <v>28597</v>
      </c>
      <c r="G14875" t="s">
        <v>14</v>
      </c>
      <c r="H14875">
             </c>
      <c r="I14875" t="s">
        <v>14</v>
      </c>
      <c r="J14875" t="s">
        <v>141</v>
      </c>
      <c r="K14875" t="s">
        <v>14</v>
      </c>
      <c r="L14875" t="s">
        <v>20</v>
      </c>
      <c r="M14875" t="s">
        <v>28539</v>
      </c>
      <c r="N14875" t="s">
        <v>14</v>
      </c>
    </row>
    <row r="14876" x14ac:dyDescent="0.25">
      <c r="A14876" t="n">
        <v>22</v>
      </c>
      <c r="B14876" t="s">
        <v>14</v>
      </c>
      <c r="C14876" t="s">
        <v>22</v>
      </c>
      <c r="D14876" s="2" t="s">
        <f>=HYPERLINK("https://main.knesset.gov.il/APPS/legislation/main/bills/2082194", "הצעת חוק לתיקון פקודת העיריות (הרשאת שימוש במקרקעין למוסד ציבורי), התש""ף-2019")</f>
        <v>28598</v>
      </c>
      <c r="E14876" t="s">
        <v>28598</v>
      </c>
      <c r="F14876" t="s">
        <v>28599</v>
      </c>
      <c r="G14876" t="s">
        <v>14</v>
      </c>
      <c r="H14876">
             </c>
      <c r="I14876" t="s">
        <v>14</v>
      </c>
      <c r="J14876" t="s">
        <v>141</v>
      </c>
      <c r="K14876" t="s">
        <v>14</v>
      </c>
      <c r="L14876" t="s">
        <v>20</v>
      </c>
      <c r="M14876" t="s">
        <v>28539</v>
      </c>
      <c r="N14876" t="s">
        <v>14</v>
      </c>
    </row>
    <row r="14877" x14ac:dyDescent="0.25">
      <c r="A14877" t="n">
        <v>22</v>
      </c>
      <c r="B14877" t="s">
        <v>14</v>
      </c>
      <c r="C14877" t="s">
        <v>22</v>
      </c>
      <c r="D14877" s="2" t="s">
        <f>=HYPERLINK("https://main.knesset.gov.il/APPS/legislation/main/bills/2082074", "הצעת חוק הרשויות המקומיות (בחירת ראש הרשות וסגניו וכהונתם) (תיקון - השעיית ראש רשות או סגנו שהוגש נגדו כתב אישום), התש""ף-2019 ")</f>
        <v>28600</v>
      </c>
      <c r="E14877" t="s">
        <v>28600</v>
      </c>
      <c r="F14877" t="s">
        <v>28601</v>
      </c>
      <c r="G14877" t="s">
        <v>14</v>
      </c>
      <c r="H14877">
             </c>
      <c r="I14877" t="s">
        <v>14</v>
      </c>
      <c r="J14877" t="s">
        <v>141</v>
      </c>
      <c r="K14877" t="s">
        <v>14</v>
      </c>
      <c r="L14877" t="s">
        <v>20</v>
      </c>
      <c r="M14877" t="s">
        <v>28539</v>
      </c>
      <c r="N14877" t="s">
        <v>14</v>
      </c>
    </row>
    <row r="14878" x14ac:dyDescent="0.25">
      <c r="A14878" t="n">
        <v>22</v>
      </c>
      <c r="B14878" t="s">
        <v>14</v>
      </c>
      <c r="C14878" t="s">
        <v>22</v>
      </c>
      <c r="D14878" s="2" t="s">
        <f>=HYPERLINK("https://main.knesset.gov.il/APPS/legislation/main/bills/2082409", "הצעת חוק רישוי עסקים (תיקון - מכירת יין בחנות גדולה), התש""ף-2019")</f>
        <v>28602</v>
      </c>
      <c r="E14878" t="s">
        <v>28602</v>
      </c>
      <c r="F14878" t="s">
        <v>28603</v>
      </c>
      <c r="G14878" t="s">
        <v>14</v>
      </c>
      <c r="H14878">
             </c>
      <c r="I14878" t="s">
        <v>14</v>
      </c>
      <c r="J14878" t="s">
        <v>141</v>
      </c>
      <c r="K14878" t="s">
        <v>14</v>
      </c>
      <c r="L14878" t="s">
        <v>20</v>
      </c>
      <c r="M14878" t="s">
        <v>28539</v>
      </c>
      <c r="N14878" t="s">
        <v>14</v>
      </c>
    </row>
    <row r="14879" x14ac:dyDescent="0.25">
      <c r="A14879" t="n">
        <v>22</v>
      </c>
      <c r="B14879" t="s">
        <v>14</v>
      </c>
      <c r="C14879" t="s">
        <v>22</v>
      </c>
      <c r="D14879" s="2" t="s">
        <f>=HYPERLINK("https://main.knesset.gov.il/APPS/legislation/main/bills/2082485", "הצעת חוק לתיקון דיני הרשויות המקומיות (ביטול סמכות שר הפנים לעניין חוקי עזר בדבר פתיחתם וסגירתם של עסקים בימי מנוחה), התש""ף-2019")</f>
        <v>28604</v>
      </c>
      <c r="E14879" t="s">
        <v>28604</v>
      </c>
      <c r="F14879" t="s">
        <v>28605</v>
      </c>
      <c r="G14879" t="s">
        <v>14</v>
      </c>
      <c r="H14879">
             </c>
      <c r="I14879" t="s">
        <v>14</v>
      </c>
      <c r="J14879" t="s">
        <v>141</v>
      </c>
      <c r="K14879" t="s">
        <v>14</v>
      </c>
      <c r="L14879" t="s">
        <v>20</v>
      </c>
      <c r="M14879" t="s">
        <v>28539</v>
      </c>
      <c r="N14879" t="s">
        <v>14</v>
      </c>
    </row>
    <row r="14880" x14ac:dyDescent="0.25">
      <c r="A14880" t="n">
        <v>22</v>
      </c>
      <c r="B14880" t="s">
        <v>14</v>
      </c>
      <c r="C14880" t="s">
        <v>22</v>
      </c>
      <c r="D14880" s="2" t="s">
        <f>=HYPERLINK("https://main.knesset.gov.il/APPS/legislation/main/bills/2082374", "הצעת חוק התכנון והבנייה (תיקון - החלטה מקדמית לפי תכנית החיזוק), התש""ף-2019")</f>
        <v>28606</v>
      </c>
      <c r="E14880" t="s">
        <v>28606</v>
      </c>
      <c r="F14880" t="s">
        <v>28607</v>
      </c>
      <c r="G14880" t="s">
        <v>14</v>
      </c>
      <c r="H14880">
             </c>
      <c r="I14880" t="s">
        <v>14</v>
      </c>
      <c r="J14880" t="s">
        <v>141</v>
      </c>
      <c r="K14880" t="s">
        <v>14</v>
      </c>
      <c r="L14880" t="s">
        <v>20</v>
      </c>
      <c r="M14880" t="s">
        <v>28539</v>
      </c>
      <c r="N14880" t="s">
        <v>14</v>
      </c>
    </row>
    <row r="14881" x14ac:dyDescent="0.25">
      <c r="A14881" t="n">
        <v>22</v>
      </c>
      <c r="B14881" t="s">
        <v>14</v>
      </c>
      <c r="C14881" t="s">
        <v>22</v>
      </c>
      <c r="D14881" s="2" t="s">
        <f>=HYPERLINK("https://main.knesset.gov.il/APPS/legislation/main/bills/2082298", "הצעת חוק הממשלה (תיקון - פרסום פרוטוקול ועדת השרים לענייני חקיקה), התש""ף-2019")</f>
        <v>28608</v>
      </c>
      <c r="E14881" t="s">
        <v>28608</v>
      </c>
      <c r="F14881" t="s">
        <v>28609</v>
      </c>
      <c r="G14881" t="s">
        <v>14</v>
      </c>
      <c r="H14881">
             </c>
      <c r="I14881" t="s">
        <v>14</v>
      </c>
      <c r="J14881" t="s">
        <v>141</v>
      </c>
      <c r="K14881" t="s">
        <v>14</v>
      </c>
      <c r="L14881" t="s">
        <v>20</v>
      </c>
      <c r="M14881" t="s">
        <v>28539</v>
      </c>
      <c r="N14881" t="s">
        <v>14</v>
      </c>
    </row>
    <row r="14882" x14ac:dyDescent="0.25">
      <c r="A14882" t="n">
        <v>22</v>
      </c>
      <c r="B14882" t="s">
        <v>14</v>
      </c>
      <c r="C14882" t="s">
        <v>22</v>
      </c>
      <c r="D14882" s="2" t="s">
        <f>=HYPERLINK("https://main.knesset.gov.il/APPS/legislation/main/bills/2082487", "הצעת חוק איסור כספים קואליציוניים, התש""ף-2019")</f>
        <v>28610</v>
      </c>
      <c r="E14882" t="s">
        <v>28610</v>
      </c>
      <c r="F14882" t="s">
        <v>28611</v>
      </c>
      <c r="G14882" t="s">
        <v>14</v>
      </c>
      <c r="H14882">
             </c>
      <c r="I14882" t="s">
        <v>14</v>
      </c>
      <c r="J14882" t="s">
        <v>141</v>
      </c>
      <c r="K14882" t="s">
        <v>14</v>
      </c>
      <c r="L14882" t="s">
        <v>20</v>
      </c>
      <c r="M14882" t="s">
        <v>28539</v>
      </c>
      <c r="N14882" t="s">
        <v>14</v>
      </c>
    </row>
    <row r="14883" x14ac:dyDescent="0.25">
      <c r="A14883" t="n">
        <v>22</v>
      </c>
      <c r="B14883" t="s">
        <v>14</v>
      </c>
      <c r="C14883" t="s">
        <v>22</v>
      </c>
      <c r="D14883" s="2" t="s">
        <f>=HYPERLINK("https://main.knesset.gov.il/APPS/legislation/main/bills/2082486", "הצעת חוק הנציבות לצמצום הרגולציה והבירוקרטיה הממשלתית, התש""ף-2019")</f>
        <v>28612</v>
      </c>
      <c r="E14883" t="s">
        <v>28612</v>
      </c>
      <c r="F14883" t="s">
        <v>28613</v>
      </c>
      <c r="G14883" t="s">
        <v>14</v>
      </c>
      <c r="H14883">
             </c>
      <c r="I14883" t="s">
        <v>14</v>
      </c>
      <c r="J14883" t="s">
        <v>141</v>
      </c>
      <c r="K14883" t="s">
        <v>14</v>
      </c>
      <c r="L14883" t="s">
        <v>20</v>
      </c>
      <c r="M14883" t="s">
        <v>28539</v>
      </c>
      <c r="N14883" t="s">
        <v>14</v>
      </c>
    </row>
    <row r="14884" x14ac:dyDescent="0.25">
      <c r="A14884" t="n">
        <v>22</v>
      </c>
      <c r="B14884" t="s">
        <v>14</v>
      </c>
      <c r="C14884" t="s">
        <v>22</v>
      </c>
      <c r="D14884" s="2" t="s">
        <f>=HYPERLINK("https://main.knesset.gov.il/APPS/legislation/main/bills/2081961", "הצעת חוק זכויות התלמיד (תיקון - שוויון בין תלמידים בציוני מגן), התש""ף-2019")</f>
        <v>28614</v>
      </c>
      <c r="E14884" t="s">
        <v>28614</v>
      </c>
      <c r="F14884" t="s">
        <v>28615</v>
      </c>
      <c r="G14884" t="s">
        <v>14</v>
      </c>
      <c r="H14884">
             </c>
      <c r="I14884" t="s">
        <v>14</v>
      </c>
      <c r="J14884" t="s">
        <v>141</v>
      </c>
      <c r="K14884" t="s">
        <v>14</v>
      </c>
      <c r="L14884" t="s">
        <v>20</v>
      </c>
      <c r="M14884" t="s">
        <v>28539</v>
      </c>
      <c r="N14884" t="s">
        <v>14</v>
      </c>
    </row>
    <row r="14885" x14ac:dyDescent="0.25">
      <c r="A14885" t="n">
        <v>22</v>
      </c>
      <c r="B14885" t="s">
        <v>14</v>
      </c>
      <c r="C14885" t="s">
        <v>22</v>
      </c>
      <c r="D14885" s="2" t="s">
        <f>=HYPERLINK("https://main.knesset.gov.il/APPS/legislation/main/bills/2082299", "הצעת חוק לביטול ההתיישנות בעבירות מין במשפחה (תיקוני חקיקה), התש""ף-2019")</f>
        <v>28616</v>
      </c>
      <c r="E14885" t="s">
        <v>28616</v>
      </c>
      <c r="F14885" t="s">
        <v>28617</v>
      </c>
      <c r="G14885" t="s">
        <v>14</v>
      </c>
      <c r="H14885">
             </c>
      <c r="I14885" t="s">
        <v>14</v>
      </c>
      <c r="J14885" t="s">
        <v>141</v>
      </c>
      <c r="K14885" t="s">
        <v>14</v>
      </c>
      <c r="L14885" t="s">
        <v>20</v>
      </c>
      <c r="M14885" t="s">
        <v>28539</v>
      </c>
      <c r="N14885" t="s">
        <v>14</v>
      </c>
    </row>
    <row r="14886" x14ac:dyDescent="0.25">
      <c r="A14886" t="n">
        <v>22</v>
      </c>
      <c r="B14886" t="s">
        <v>14</v>
      </c>
      <c r="C14886" t="s">
        <v>22</v>
      </c>
      <c r="D14886" s="2" t="s">
        <f>=HYPERLINK("https://main.knesset.gov.il/APPS/legislation/main/bills/2081357", "הצעת חוק לתיקון פקודת העיריות (צדק חלוקתי בכל הרשויות המקומיות המתוקצבות בתקציב המדינה), התש""ף-2019")</f>
        <v>28618</v>
      </c>
      <c r="E14886" t="s">
        <v>28618</v>
      </c>
      <c r="F14886" t="s">
        <v>28619</v>
      </c>
      <c r="G14886" t="s">
        <v>14</v>
      </c>
      <c r="H14886">
             </c>
      <c r="I14886" t="s">
        <v>14</v>
      </c>
      <c r="J14886" t="s">
        <v>141</v>
      </c>
      <c r="K14886" t="s">
        <v>14</v>
      </c>
      <c r="L14886" t="s">
        <v>20</v>
      </c>
      <c r="M14886" t="s">
        <v>28539</v>
      </c>
      <c r="N14886" t="s">
        <v>14</v>
      </c>
    </row>
    <row r="14887" x14ac:dyDescent="0.25">
      <c r="A14887" t="n">
        <v>22</v>
      </c>
      <c r="B14887" t="s">
        <v>14</v>
      </c>
      <c r="C14887" t="s">
        <v>22</v>
      </c>
      <c r="D14887" s="2" t="s">
        <f>=HYPERLINK("https://main.knesset.gov.il/APPS/legislation/main/bills/2081334", "הצעת חוק העונשין (תיקון - פרסום מודעות שעולה מהן הפליה), התש""ף-2019")</f>
        <v>28620</v>
      </c>
      <c r="E14887" t="s">
        <v>28620</v>
      </c>
      <c r="F14887" t="s">
        <v>28621</v>
      </c>
      <c r="G14887" t="s">
        <v>14</v>
      </c>
      <c r="H14887">
             </c>
      <c r="I14887" t="s">
        <v>14</v>
      </c>
      <c r="J14887" t="s">
        <v>141</v>
      </c>
      <c r="K14887" t="s">
        <v>14</v>
      </c>
      <c r="L14887" t="s">
        <v>20</v>
      </c>
      <c r="M14887" t="s">
        <v>28539</v>
      </c>
      <c r="N14887" t="s">
        <v>14</v>
      </c>
    </row>
    <row r="14888" x14ac:dyDescent="0.25">
      <c r="A14888" t="n">
        <v>22</v>
      </c>
      <c r="B14888" t="s">
        <v>14</v>
      </c>
      <c r="C14888" t="s">
        <v>22</v>
      </c>
      <c r="D14888" s="2" t="s">
        <f>=HYPERLINK("https://main.knesset.gov.il/APPS/legislation/main/bills/2081356", "הצעת חוק פיקוח על בתי ספר (תיקון - חובת הכנת תסקיר בטיחות), התש""ף-2019")</f>
        <v>28622</v>
      </c>
      <c r="E14888" t="s">
        <v>28622</v>
      </c>
      <c r="F14888" t="s">
        <v>28623</v>
      </c>
      <c r="G14888" t="s">
        <v>14</v>
      </c>
      <c r="H14888">
             </c>
      <c r="I14888" t="s">
        <v>14</v>
      </c>
      <c r="J14888" t="s">
        <v>141</v>
      </c>
      <c r="K14888" t="s">
        <v>14</v>
      </c>
      <c r="L14888" t="s">
        <v>20</v>
      </c>
      <c r="M14888" t="s">
        <v>28539</v>
      </c>
      <c r="N14888" t="s">
        <v>14</v>
      </c>
    </row>
    <row r="14889" x14ac:dyDescent="0.25">
      <c r="A14889" t="n">
        <v>22</v>
      </c>
      <c r="B14889" t="s">
        <v>14</v>
      </c>
      <c r="C14889" t="s">
        <v>22</v>
      </c>
      <c r="D14889" s="2" t="s">
        <f>=HYPERLINK("https://main.knesset.gov.il/APPS/legislation/main/bills/2082321", "הצעת חוק חוזה הביטוח (תיקון - הסדר ביטוח לבעלי אדמה חקלאית), התש""ף-2019")</f>
        <v>28624</v>
      </c>
      <c r="E14889" t="s">
        <v>28624</v>
      </c>
      <c r="F14889" t="s">
        <v>28625</v>
      </c>
      <c r="G14889" t="s">
        <v>14</v>
      </c>
      <c r="H14889">
             </c>
      <c r="I14889" t="s">
        <v>14</v>
      </c>
      <c r="J14889" t="s">
        <v>141</v>
      </c>
      <c r="K14889" t="s">
        <v>14</v>
      </c>
      <c r="L14889" t="s">
        <v>20</v>
      </c>
      <c r="M14889" t="s">
        <v>28539</v>
      </c>
      <c r="N14889" t="s">
        <v>14</v>
      </c>
    </row>
    <row r="14890" x14ac:dyDescent="0.25">
      <c r="A14890" t="n">
        <v>22</v>
      </c>
      <c r="B14890" t="s">
        <v>14</v>
      </c>
      <c r="C14890" t="s">
        <v>22</v>
      </c>
      <c r="D14890" s="2" t="s">
        <f>=HYPERLINK("https://main.knesset.gov.il/APPS/legislation/main/bills/2082406", "הצעת חוק עבודת נשים (תיקון - הארכת תקופת לידה והורות להורי פג), התש""ף-2019")</f>
        <v>27959</v>
      </c>
      <c r="E14890" t="s">
        <v>27959</v>
      </c>
      <c r="F14890" t="s">
        <v>28626</v>
      </c>
      <c r="G14890" t="s">
        <v>14</v>
      </c>
      <c r="H14890">
             </c>
      <c r="I14890" t="s">
        <v>14</v>
      </c>
      <c r="J14890" t="s">
        <v>141</v>
      </c>
      <c r="K14890" t="s">
        <v>14</v>
      </c>
      <c r="L14890" t="s">
        <v>20</v>
      </c>
      <c r="M14890" t="s">
        <v>28539</v>
      </c>
      <c r="N14890" t="s">
        <v>14</v>
      </c>
    </row>
    <row r="14891" x14ac:dyDescent="0.25">
      <c r="A14891" t="n">
        <v>22</v>
      </c>
      <c r="B14891" t="s">
        <v>14</v>
      </c>
      <c r="C14891" t="s">
        <v>22</v>
      </c>
      <c r="D14891" s="2" t="s">
        <f>=HYPERLINK("https://main.knesset.gov.il/APPS/legislation/main/bills/2082395", "הצעת חוק לתיקון פקודת התעבורה (סמכות לאכיפת עבירות חניה בידי רשויות מקומיות באמצעות מצלמות וסימון אזורי האכיפה בתמרור), התש""ף-2019")</f>
        <v>28627</v>
      </c>
      <c r="E14891" t="s">
        <v>28627</v>
      </c>
      <c r="F14891" t="s">
        <v>28628</v>
      </c>
      <c r="G14891" t="s">
        <v>14</v>
      </c>
      <c r="H14891">
             </c>
      <c r="I14891" t="s">
        <v>14</v>
      </c>
      <c r="J14891" t="s">
        <v>141</v>
      </c>
      <c r="K14891" t="s">
        <v>14</v>
      </c>
      <c r="L14891" t="s">
        <v>20</v>
      </c>
      <c r="M14891" t="s">
        <v>28539</v>
      </c>
      <c r="N14891" t="s">
        <v>14</v>
      </c>
    </row>
    <row r="14892" x14ac:dyDescent="0.25">
      <c r="A14892" t="n">
        <v>22</v>
      </c>
      <c r="B14892" t="s">
        <v>14</v>
      </c>
      <c r="C14892" t="s">
        <v>22</v>
      </c>
      <c r="D14892" s="2" t="s">
        <f>=HYPERLINK("https://main.knesset.gov.il/APPS/legislation/main/bills/2082405", "הצעת חוק סינון אתרים פוגעניים במקומות ציבוריים, התש""ף-2019")</f>
        <v>28629</v>
      </c>
      <c r="E14892" t="s">
        <v>28629</v>
      </c>
      <c r="F14892" t="s">
        <v>28630</v>
      </c>
      <c r="G14892" t="s">
        <v>14</v>
      </c>
      <c r="H14892">
             </c>
      <c r="I14892" t="s">
        <v>14</v>
      </c>
      <c r="J14892" t="s">
        <v>141</v>
      </c>
      <c r="K14892" t="s">
        <v>14</v>
      </c>
      <c r="L14892" t="s">
        <v>20</v>
      </c>
      <c r="M14892" t="s">
        <v>28539</v>
      </c>
      <c r="N14892" t="s">
        <v>14</v>
      </c>
    </row>
    <row r="14893" x14ac:dyDescent="0.25">
      <c r="A14893" t="n">
        <v>22</v>
      </c>
      <c r="B14893" t="s">
        <v>14</v>
      </c>
      <c r="C14893" t="s">
        <v>22</v>
      </c>
      <c r="D14893" s="2" t="s">
        <f>=HYPERLINK("https://main.knesset.gov.il/APPS/legislation/main/bills/2082393", "הצעת חוק לתיקון פקודת התעבורה (סדרי דין מיוחדים לעניין שירות לתועלת הציבור בעבירות תעבורה), התש""ף-2019")</f>
        <v>28631</v>
      </c>
      <c r="E14893" t="s">
        <v>28631</v>
      </c>
      <c r="F14893" t="s">
        <v>28632</v>
      </c>
      <c r="G14893" t="s">
        <v>14</v>
      </c>
      <c r="H14893">
             </c>
      <c r="I14893" t="s">
        <v>14</v>
      </c>
      <c r="J14893" t="s">
        <v>141</v>
      </c>
      <c r="K14893" t="s">
        <v>14</v>
      </c>
      <c r="L14893" t="s">
        <v>20</v>
      </c>
      <c r="M14893" t="s">
        <v>28539</v>
      </c>
      <c r="N14893" t="s">
        <v>14</v>
      </c>
    </row>
    <row r="14894" x14ac:dyDescent="0.25">
      <c r="A14894" t="n">
        <v>22</v>
      </c>
      <c r="B14894" t="s">
        <v>14</v>
      </c>
      <c r="C14894" t="s">
        <v>22</v>
      </c>
      <c r="D14894" s="2" t="s">
        <f>=HYPERLINK("https://main.knesset.gov.il/APPS/legislation/main/bills/2082368", "הצעת חוק המים (תיקון - הנחות לאוכלוסיות זכאיות), התש""ף-2019")</f>
        <v>28633</v>
      </c>
      <c r="E14894" t="s">
        <v>28633</v>
      </c>
      <c r="F14894" t="s">
        <v>28634</v>
      </c>
      <c r="G14894" t="s">
        <v>14</v>
      </c>
      <c r="H14894">
             </c>
      <c r="I14894" t="s">
        <v>14</v>
      </c>
      <c r="J14894" t="s">
        <v>141</v>
      </c>
      <c r="K14894" t="s">
        <v>14</v>
      </c>
      <c r="L14894" t="s">
        <v>20</v>
      </c>
      <c r="M14894" t="s">
        <v>28539</v>
      </c>
      <c r="N14894" t="s">
        <v>14</v>
      </c>
    </row>
    <row r="14895" x14ac:dyDescent="0.25">
      <c r="A14895" t="n">
        <v>22</v>
      </c>
      <c r="B14895" t="s">
        <v>14</v>
      </c>
      <c r="C14895" t="s">
        <v>22</v>
      </c>
      <c r="D14895" s="2" t="s">
        <f>=HYPERLINK("https://main.knesset.gov.il/APPS/legislation/main/bills/2082545", "הצעת חוק הבנקאות (שירות ללקוח) (תיקון - דיווח על ניצול קשיש או חסר ישע), התש""ף-2019")</f>
        <v>28635</v>
      </c>
      <c r="E14895" t="s">
        <v>28635</v>
      </c>
      <c r="F14895" t="s">
        <v>28636</v>
      </c>
      <c r="G14895" t="s">
        <v>14</v>
      </c>
      <c r="H14895">
             </c>
      <c r="I14895" t="s">
        <v>14</v>
      </c>
      <c r="J14895" t="s">
        <v>141</v>
      </c>
      <c r="K14895" t="s">
        <v>14</v>
      </c>
      <c r="L14895" t="s">
        <v>20</v>
      </c>
      <c r="M14895" t="s">
        <v>28539</v>
      </c>
      <c r="N14895" t="s">
        <v>14</v>
      </c>
    </row>
    <row r="14896" x14ac:dyDescent="0.25">
      <c r="A14896" t="n">
        <v>22</v>
      </c>
      <c r="B14896" t="s">
        <v>14</v>
      </c>
      <c r="C14896" t="s">
        <v>22</v>
      </c>
      <c r="D14896" s="2" t="s">
        <f>=HYPERLINK("https://main.knesset.gov.il/APPS/legislation/main/bills/2082394", "הצעת חוק לתיקון פקודת התעבורה (סימון שונה במקומות שבהם היתר החניה תלוי בשעות), התש""ף-2019")</f>
        <v>28637</v>
      </c>
      <c r="E14896" t="s">
        <v>28637</v>
      </c>
      <c r="F14896" t="s">
        <v>28638</v>
      </c>
      <c r="G14896" t="s">
        <v>14</v>
      </c>
      <c r="H14896">
             </c>
      <c r="I14896" t="s">
        <v>14</v>
      </c>
      <c r="J14896" t="s">
        <v>141</v>
      </c>
      <c r="K14896" t="s">
        <v>14</v>
      </c>
      <c r="L14896" t="s">
        <v>20</v>
      </c>
      <c r="M14896" t="s">
        <v>28539</v>
      </c>
      <c r="N14896" t="s">
        <v>14</v>
      </c>
    </row>
    <row r="14897" x14ac:dyDescent="0.25">
      <c r="A14897" t="n">
        <v>22</v>
      </c>
      <c r="B14897" t="s">
        <v>14</v>
      </c>
      <c r="C14897" t="s">
        <v>22</v>
      </c>
      <c r="D14897" s="2" t="s">
        <f>=HYPERLINK("https://main.knesset.gov.il/APPS/legislation/main/bills/2082506", "הצעת חוק הבטחת הכנסה (תיקון - הצמדת הגמלה בגיל פרישה לשכר הממוצע במשק), התש""ף-2019")</f>
        <v>28639</v>
      </c>
      <c r="E14897" t="s">
        <v>28639</v>
      </c>
      <c r="F14897" t="s">
        <v>28640</v>
      </c>
      <c r="G14897" t="s">
        <v>14</v>
      </c>
      <c r="H14897">
             </c>
      <c r="I14897" t="s">
        <v>14</v>
      </c>
      <c r="J14897" t="s">
        <v>141</v>
      </c>
      <c r="K14897" t="s">
        <v>14</v>
      </c>
      <c r="L14897" t="s">
        <v>20</v>
      </c>
      <c r="M14897" t="s">
        <v>28539</v>
      </c>
      <c r="N14897" t="s">
        <v>14</v>
      </c>
    </row>
    <row r="14898" x14ac:dyDescent="0.25">
      <c r="A14898" t="n">
        <v>22</v>
      </c>
      <c r="B14898" t="s">
        <v>14</v>
      </c>
      <c r="C14898" t="s">
        <v>22</v>
      </c>
      <c r="D14898" s="2" t="s">
        <f>=HYPERLINK("https://main.knesset.gov.il/APPS/legislation/main/bills/2081233", "הצעת חוק ביטוח בריאות ממלכתי (תיקון - השתתפות בטיפולי שיניים, פה ולסת לנפגעי שיתוק מוחין), התש""ף-2019")</f>
        <v>28641</v>
      </c>
      <c r="E14898" t="s">
        <v>28641</v>
      </c>
      <c r="F14898" t="s">
        <v>28642</v>
      </c>
      <c r="G14898" t="s">
        <v>14</v>
      </c>
      <c r="H14898">
             </c>
      <c r="I14898" t="s">
        <v>14</v>
      </c>
      <c r="J14898" t="s">
        <v>141</v>
      </c>
      <c r="K14898" t="s">
        <v>14</v>
      </c>
      <c r="L14898" t="s">
        <v>20</v>
      </c>
      <c r="M14898" t="s">
        <v>28539</v>
      </c>
      <c r="N14898" t="s">
        <v>14</v>
      </c>
    </row>
    <row r="14899" x14ac:dyDescent="0.25">
      <c r="A14899" t="n">
        <v>22</v>
      </c>
      <c r="B14899" t="s">
        <v>14</v>
      </c>
      <c r="C14899" t="s">
        <v>22</v>
      </c>
      <c r="D14899" s="2" t="s">
        <f>=HYPERLINK("https://main.knesset.gov.il/APPS/legislation/main/bills/2082187", "הצעת חוק חינוך ממלכתי (תיקון - איסור פעילות שיש בה שנאה בשל נטייה מינית, גזענות והדרת נשים במוסדות חינוך רשמיים), התש""ף-2019")</f>
        <v>28643</v>
      </c>
      <c r="E14899" t="s">
        <v>28643</v>
      </c>
      <c r="F14899" t="s">
        <v>28644</v>
      </c>
      <c r="G14899" t="s">
        <v>14</v>
      </c>
      <c r="H14899">
             </c>
      <c r="I14899" t="s">
        <v>14</v>
      </c>
      <c r="J14899" t="s">
        <v>141</v>
      </c>
      <c r="K14899" t="s">
        <v>14</v>
      </c>
      <c r="L14899" t="s">
        <v>20</v>
      </c>
      <c r="M14899" t="s">
        <v>28539</v>
      </c>
      <c r="N14899" t="s">
        <v>14</v>
      </c>
    </row>
    <row r="14900" x14ac:dyDescent="0.25">
      <c r="A14900" t="n">
        <v>22</v>
      </c>
      <c r="B14900" t="s">
        <v>14</v>
      </c>
      <c r="C14900" t="s">
        <v>22</v>
      </c>
      <c r="D14900" s="2" t="s">
        <f>=HYPERLINK("https://main.knesset.gov.il/APPS/legislation/main/bills/2081936", "הצעת חוק לתיקון פקודת העיריות (ערר על החלטת שר הפנים לעניין חוקי עזר), התש""ף-2019")</f>
        <v>28645</v>
      </c>
      <c r="E14900" t="s">
        <v>28645</v>
      </c>
      <c r="F14900" t="s">
        <v>28646</v>
      </c>
      <c r="G14900" t="s">
        <v>14</v>
      </c>
      <c r="H14900">
             </c>
      <c r="I14900" t="s">
        <v>14</v>
      </c>
      <c r="J14900" t="s">
        <v>141</v>
      </c>
      <c r="K14900" t="s">
        <v>14</v>
      </c>
      <c r="L14900" t="s">
        <v>20</v>
      </c>
      <c r="M14900" t="s">
        <v>28539</v>
      </c>
      <c r="N14900" t="s">
        <v>14</v>
      </c>
    </row>
    <row r="14901" x14ac:dyDescent="0.25">
      <c r="A14901" t="n">
        <v>22</v>
      </c>
      <c r="B14901" t="s">
        <v>14</v>
      </c>
      <c r="C14901" t="s">
        <v>22</v>
      </c>
      <c r="D14901" s="2" t="s">
        <f>=HYPERLINK("https://main.knesset.gov.il/APPS/legislation/main/bills/2082165", "הצעת חוק זכויות הסטודנט (תיקון - התאמות לסטודנטית לאחר לידה), התש""ף-2019")</f>
        <v>28647</v>
      </c>
      <c r="E14901" t="s">
        <v>28647</v>
      </c>
      <c r="F14901" t="s">
        <v>28648</v>
      </c>
      <c r="G14901" t="s">
        <v>14</v>
      </c>
      <c r="H14901">
             </c>
      <c r="I14901" t="s">
        <v>14</v>
      </c>
      <c r="J14901" t="s">
        <v>141</v>
      </c>
      <c r="K14901" t="s">
        <v>14</v>
      </c>
      <c r="L14901" t="s">
        <v>20</v>
      </c>
      <c r="M14901" t="s">
        <v>28539</v>
      </c>
      <c r="N14901" t="s">
        <v>14</v>
      </c>
    </row>
    <row r="14902" x14ac:dyDescent="0.25">
      <c r="A14902" t="n">
        <v>22</v>
      </c>
      <c r="B14902" t="s">
        <v>14</v>
      </c>
      <c r="C14902" t="s">
        <v>22</v>
      </c>
      <c r="D14902" s="2" t="s">
        <f>=HYPERLINK("https://main.knesset.gov.il/APPS/legislation/main/bills/2082561", "הצעת חוק צער בעלי חיים (הגנה על בעלי חיים) (תיקון - חינוך למניעת צער בעלי חיים), התש""ף-2019")</f>
        <v>28649</v>
      </c>
      <c r="E14902" t="s">
        <v>28649</v>
      </c>
      <c r="F14902" t="s">
        <v>28650</v>
      </c>
      <c r="G14902" t="s">
        <v>14</v>
      </c>
      <c r="H14902">
             </c>
      <c r="I14902" t="s">
        <v>14</v>
      </c>
      <c r="J14902" t="s">
        <v>141</v>
      </c>
      <c r="K14902" t="s">
        <v>14</v>
      </c>
      <c r="L14902" t="s">
        <v>20</v>
      </c>
      <c r="M14902" t="s">
        <v>28539</v>
      </c>
      <c r="N14902" t="s">
        <v>14</v>
      </c>
    </row>
    <row r="14903" x14ac:dyDescent="0.25">
      <c r="A14903" t="n">
        <v>22</v>
      </c>
      <c r="B14903" t="s">
        <v>14</v>
      </c>
      <c r="C14903" t="s">
        <v>22</v>
      </c>
      <c r="D14903" s="2" t="s">
        <f>=HYPERLINK("https://main.knesset.gov.il/APPS/legislation/main/bills/2082497", "הצעת חוק חינוך ממלכתי (תיקון - ביטול השתתפות רשות מקומית בתקציבי מוסדות חינוך מוכרים לא רשמיים), התש""ף-2019")</f>
        <v>27794</v>
      </c>
      <c r="E14903" t="s">
        <v>27794</v>
      </c>
      <c r="F14903" t="s">
        <v>28651</v>
      </c>
      <c r="G14903" t="s">
        <v>14</v>
      </c>
      <c r="H14903">
             </c>
      <c r="I14903" t="s">
        <v>14</v>
      </c>
      <c r="J14903" t="s">
        <v>141</v>
      </c>
      <c r="K14903" t="s">
        <v>14</v>
      </c>
      <c r="L14903" t="s">
        <v>20</v>
      </c>
      <c r="M14903" t="s">
        <v>28539</v>
      </c>
      <c r="N14903" t="s">
        <v>14</v>
      </c>
    </row>
    <row r="14904" x14ac:dyDescent="0.25">
      <c r="A14904" t="n">
        <v>22</v>
      </c>
      <c r="B14904" t="s">
        <v>14</v>
      </c>
      <c r="C14904" t="s">
        <v>22</v>
      </c>
      <c r="D14904" s="2" t="s">
        <f>=HYPERLINK("https://main.knesset.gov.il/APPS/legislation/main/bills/2083657", "הצעת חוק ההוצאה לפועל (תיקון - הוצאה לפועל במסלול מזונות), התש""ף-2019")</f>
        <v>28652</v>
      </c>
      <c r="E14904" t="s">
        <v>28652</v>
      </c>
      <c r="F14904" t="s">
        <v>28653</v>
      </c>
      <c r="G14904" t="s">
        <v>14</v>
      </c>
      <c r="H14904">
             </c>
      <c r="I14904" t="s">
        <v>14</v>
      </c>
      <c r="J14904" t="s">
        <v>141</v>
      </c>
      <c r="K14904" t="s">
        <v>14</v>
      </c>
      <c r="L14904" t="s">
        <v>20</v>
      </c>
      <c r="M14904" t="s">
        <v>28539</v>
      </c>
      <c r="N14904" t="s">
        <v>14</v>
      </c>
    </row>
    <row r="14905" x14ac:dyDescent="0.25">
      <c r="A14905" t="n">
        <v>22</v>
      </c>
      <c r="B14905" t="s">
        <v>14</v>
      </c>
      <c r="C14905" t="s">
        <v>22</v>
      </c>
      <c r="D14905" s="2" t="s">
        <f>=HYPERLINK("https://main.knesset.gov.il/APPS/legislation/main/bills/2082554", "הצעת חוק צער בעלי חיים (הגנה על בעלי חיים) (תיקון - חובת עיקור או סירוס של כלבים וחתולים), התש""ף-2019")</f>
        <v>28654</v>
      </c>
      <c r="E14905" t="s">
        <v>28654</v>
      </c>
      <c r="F14905" t="s">
        <v>28655</v>
      </c>
      <c r="G14905" t="s">
        <v>14</v>
      </c>
      <c r="H14905">
             </c>
      <c r="I14905" t="s">
        <v>14</v>
      </c>
      <c r="J14905" t="s">
        <v>141</v>
      </c>
      <c r="K14905" t="s">
        <v>14</v>
      </c>
      <c r="L14905" t="s">
        <v>20</v>
      </c>
      <c r="M14905" t="s">
        <v>28539</v>
      </c>
      <c r="N14905" t="s">
        <v>14</v>
      </c>
    </row>
    <row r="14906" x14ac:dyDescent="0.25">
      <c r="A14906" t="n">
        <v>22</v>
      </c>
      <c r="B14906" t="s">
        <v>14</v>
      </c>
      <c r="C14906" t="s">
        <v>22</v>
      </c>
      <c r="D14906" s="2" t="s">
        <f>=HYPERLINK("https://main.knesset.gov.il/APPS/legislation/main/bills/2082198", "הצעת חוק פיקוח על בתי ספר (תיקון - הרחבת תחולה), התש""ף-2019")</f>
        <v>28656</v>
      </c>
      <c r="E14906" t="s">
        <v>28656</v>
      </c>
      <c r="F14906" t="s">
        <v>28657</v>
      </c>
      <c r="G14906" t="s">
        <v>14</v>
      </c>
      <c r="H14906">
             </c>
      <c r="I14906" t="s">
        <v>14</v>
      </c>
      <c r="J14906" t="s">
        <v>141</v>
      </c>
      <c r="K14906" t="s">
        <v>14</v>
      </c>
      <c r="L14906" t="s">
        <v>20</v>
      </c>
      <c r="M14906" t="s">
        <v>28539</v>
      </c>
      <c r="N14906" t="s">
        <v>14</v>
      </c>
    </row>
    <row r="14907" x14ac:dyDescent="0.25">
      <c r="A14907" t="n">
        <v>22</v>
      </c>
      <c r="B14907" t="s">
        <v>14</v>
      </c>
      <c r="C14907" t="s">
        <v>22</v>
      </c>
      <c r="D14907" s="2" t="s">
        <f>=HYPERLINK("https://main.knesset.gov.il/APPS/legislation/main/bills/2082532", "הצעת חוק ארוחה יומית לתלמיד (תיקון - ביטול השתתפות עצמית של ההורים), התש""ף-2019")</f>
        <v>28658</v>
      </c>
      <c r="E14907" t="s">
        <v>28658</v>
      </c>
      <c r="F14907" t="s">
        <v>28659</v>
      </c>
      <c r="G14907" t="s">
        <v>14</v>
      </c>
      <c r="H14907">
             </c>
      <c r="I14907" t="s">
        <v>14</v>
      </c>
      <c r="J14907" t="s">
        <v>141</v>
      </c>
      <c r="K14907" t="s">
        <v>14</v>
      </c>
      <c r="L14907" t="s">
        <v>20</v>
      </c>
      <c r="M14907" t="s">
        <v>28539</v>
      </c>
      <c r="N14907" t="s">
        <v>14</v>
      </c>
    </row>
    <row r="14908" x14ac:dyDescent="0.25">
      <c r="A14908" t="n">
        <v>22</v>
      </c>
      <c r="B14908" t="s">
        <v>14</v>
      </c>
      <c r="C14908" t="s">
        <v>22</v>
      </c>
      <c r="D14908" s="2" t="s">
        <f>=HYPERLINK("https://main.knesset.gov.il/APPS/legislation/main/bills/2082175", "הצעת חוק לתיקון פקודת העיריות (חובת הקלטת דיונים, ניהול פרוטוקול ופרסומם), התש""ף-2019")</f>
        <v>28660</v>
      </c>
      <c r="E14908" t="s">
        <v>28660</v>
      </c>
      <c r="F14908" t="s">
        <v>28661</v>
      </c>
      <c r="G14908" t="s">
        <v>14</v>
      </c>
      <c r="H14908">
             </c>
      <c r="I14908" t="s">
        <v>14</v>
      </c>
      <c r="J14908" t="s">
        <v>141</v>
      </c>
      <c r="K14908" t="s">
        <v>14</v>
      </c>
      <c r="L14908" t="s">
        <v>20</v>
      </c>
      <c r="M14908" t="s">
        <v>28539</v>
      </c>
      <c r="N14908" t="s">
        <v>14</v>
      </c>
    </row>
    <row r="14909" x14ac:dyDescent="0.25">
      <c r="A14909" t="n">
        <v>22</v>
      </c>
      <c r="B14909" t="s">
        <v>14</v>
      </c>
      <c r="C14909" t="s">
        <v>22</v>
      </c>
      <c r="D14909" s="2" t="s">
        <f>=HYPERLINK("https://main.knesset.gov.il/APPS/legislation/main/bills/2082510", "הצעת חוק ארוחה יומית לתלמיד (תיקון - הכללת תכנית ציל""ה בחוק), התש""ף-2019")</f>
        <v>28662</v>
      </c>
      <c r="E14909" t="s">
        <v>28662</v>
      </c>
      <c r="F14909" t="s">
        <v>28663</v>
      </c>
      <c r="G14909" t="s">
        <v>14</v>
      </c>
      <c r="H14909">
             </c>
      <c r="I14909" t="s">
        <v>14</v>
      </c>
      <c r="J14909" t="s">
        <v>141</v>
      </c>
      <c r="K14909" t="s">
        <v>14</v>
      </c>
      <c r="L14909" t="s">
        <v>20</v>
      </c>
      <c r="M14909" t="s">
        <v>28539</v>
      </c>
      <c r="N14909" t="s">
        <v>14</v>
      </c>
    </row>
    <row r="14910" x14ac:dyDescent="0.25">
      <c r="A14910" t="n">
        <v>22</v>
      </c>
      <c r="B14910" t="s">
        <v>14</v>
      </c>
      <c r="C14910" t="s">
        <v>22</v>
      </c>
      <c r="D14910" s="2" t="s">
        <f>=HYPERLINK("https://main.knesset.gov.il/APPS/legislation/main/bills/2082509", "הצעת חוק לימוד חובה (תיקון - מימון טיולים שנתיים לתלמידים שהוריהם אינם יכולים לשלם), התש""ף-2019")</f>
        <v>28664</v>
      </c>
      <c r="E14910" t="s">
        <v>28664</v>
      </c>
      <c r="F14910" t="s">
        <v>28665</v>
      </c>
      <c r="G14910" t="s">
        <v>14</v>
      </c>
      <c r="H14910">
             </c>
      <c r="I14910" t="s">
        <v>14</v>
      </c>
      <c r="J14910" t="s">
        <v>141</v>
      </c>
      <c r="K14910" t="s">
        <v>14</v>
      </c>
      <c r="L14910" t="s">
        <v>20</v>
      </c>
      <c r="M14910" t="s">
        <v>28539</v>
      </c>
      <c r="N14910" t="s">
        <v>14</v>
      </c>
    </row>
    <row r="14911" x14ac:dyDescent="0.25">
      <c r="A14911" t="n">
        <v>22</v>
      </c>
      <c r="B14911" t="s">
        <v>14</v>
      </c>
      <c r="C14911" t="s">
        <v>22</v>
      </c>
      <c r="D14911" s="2" t="s">
        <f>=HYPERLINK("https://main.knesset.gov.il/APPS/legislation/main/bills/2082293", "הצעת חוק הביטוח הלאומי (תיקון - תקופת אכשרה לעובדים בעבודה מחזורית), התש""ף-2019")</f>
        <v>28666</v>
      </c>
      <c r="E14911" t="s">
        <v>28666</v>
      </c>
      <c r="F14911" t="s">
        <v>28667</v>
      </c>
      <c r="G14911" t="s">
        <v>14</v>
      </c>
      <c r="H14911">
             </c>
      <c r="I14911" t="s">
        <v>14</v>
      </c>
      <c r="J14911" t="s">
        <v>141</v>
      </c>
      <c r="K14911" t="s">
        <v>14</v>
      </c>
      <c r="L14911" t="s">
        <v>20</v>
      </c>
      <c r="M14911" t="s">
        <v>28539</v>
      </c>
      <c r="N14911" t="s">
        <v>14</v>
      </c>
    </row>
    <row r="14912" x14ac:dyDescent="0.25">
      <c r="A14912" t="n">
        <v>22</v>
      </c>
      <c r="B14912" t="s">
        <v>14</v>
      </c>
      <c r="C14912" t="s">
        <v>22</v>
      </c>
      <c r="D14912" s="2" t="s">
        <f>=HYPERLINK("https://main.knesset.gov.il/APPS/legislation/main/bills/2082098", "הצעת חוק הרשויות המקומיות (בחירת ראש הרשות וסגניו וכהונתם) (תיקון - מילוי מקום ראש רשות שהושעה מכהונה בשל הגשת כתב אישום ושב ונבחר), התש""ף-2019")</f>
        <v>28668</v>
      </c>
      <c r="E14912" t="s">
        <v>28668</v>
      </c>
      <c r="F14912" t="s">
        <v>28669</v>
      </c>
      <c r="G14912" t="s">
        <v>14</v>
      </c>
      <c r="H14912">
             </c>
      <c r="I14912" t="s">
        <v>14</v>
      </c>
      <c r="J14912" t="s">
        <v>141</v>
      </c>
      <c r="K14912" t="s">
        <v>14</v>
      </c>
      <c r="L14912" t="s">
        <v>20</v>
      </c>
      <c r="M14912" t="s">
        <v>28539</v>
      </c>
      <c r="N14912" t="s">
        <v>14</v>
      </c>
    </row>
    <row r="14913" x14ac:dyDescent="0.25">
      <c r="A14913" t="n">
        <v>22</v>
      </c>
      <c r="B14913" t="s">
        <v>14</v>
      </c>
      <c r="C14913" t="s">
        <v>22</v>
      </c>
      <c r="D14913" s="2" t="s">
        <f>=HYPERLINK("https://main.knesset.gov.il/APPS/legislation/main/bills/2082502", "הצעת חוק חוזה הביטוח (תיקון - הארכת תקופת ההתיישנות), התש""ף-2019")</f>
        <v>28670</v>
      </c>
      <c r="E14913" t="s">
        <v>28670</v>
      </c>
      <c r="F14913" t="s">
        <v>28671</v>
      </c>
      <c r="G14913" t="s">
        <v>14</v>
      </c>
      <c r="H14913">
             </c>
      <c r="I14913" t="s">
        <v>14</v>
      </c>
      <c r="J14913" t="s">
        <v>141</v>
      </c>
      <c r="K14913" t="s">
        <v>14</v>
      </c>
      <c r="L14913" t="s">
        <v>20</v>
      </c>
      <c r="M14913" t="s">
        <v>28539</v>
      </c>
      <c r="N14913" t="s">
        <v>14</v>
      </c>
    </row>
    <row r="14914" x14ac:dyDescent="0.25">
      <c r="A14914" t="n">
        <v>22</v>
      </c>
      <c r="B14914" t="s">
        <v>14</v>
      </c>
      <c r="C14914" t="s">
        <v>22</v>
      </c>
      <c r="D14914" s="2" t="s">
        <f>=HYPERLINK("https://main.knesset.gov.il/APPS/legislation/main/bills/2081613", "הצעת חוק יישוב סכסוכי עבודה (תיקון - איסור שביתה ללא הודעה מראש), התש""ף-2019")</f>
        <v>28672</v>
      </c>
      <c r="E14914" t="s">
        <v>28672</v>
      </c>
      <c r="F14914" t="s">
        <v>28673</v>
      </c>
      <c r="G14914" t="s">
        <v>14</v>
      </c>
      <c r="H14914">
             </c>
      <c r="I14914" t="s">
        <v>14</v>
      </c>
      <c r="J14914" t="s">
        <v>141</v>
      </c>
      <c r="K14914" t="s">
        <v>14</v>
      </c>
      <c r="L14914" t="s">
        <v>20</v>
      </c>
      <c r="M14914" t="s">
        <v>28539</v>
      </c>
      <c r="N14914" t="s">
        <v>14</v>
      </c>
    </row>
    <row r="14915" x14ac:dyDescent="0.25">
      <c r="A14915" t="n">
        <v>22</v>
      </c>
      <c r="B14915" t="s">
        <v>14</v>
      </c>
      <c r="C14915" t="s">
        <v>22</v>
      </c>
      <c r="D14915" s="2" t="s">
        <f>=HYPERLINK("https://main.knesset.gov.il/APPS/legislation/main/bills/2082493", "הצעת חוק הגנה מפני הכחשת השואה (תיקוני חקיקה), התש""ף-2019")</f>
        <v>28674</v>
      </c>
      <c r="E14915" t="s">
        <v>28674</v>
      </c>
      <c r="F14915" t="s">
        <v>28675</v>
      </c>
      <c r="G14915" t="s">
        <v>14</v>
      </c>
      <c r="H14915">
             </c>
      <c r="I14915" t="s">
        <v>14</v>
      </c>
      <c r="J14915" t="s">
        <v>141</v>
      </c>
      <c r="K14915" t="s">
        <v>14</v>
      </c>
      <c r="L14915" t="s">
        <v>20</v>
      </c>
      <c r="M14915" t="s">
        <v>28539</v>
      </c>
      <c r="N14915" t="s">
        <v>14</v>
      </c>
    </row>
    <row r="14916" x14ac:dyDescent="0.25">
      <c r="A14916" t="n">
        <v>22</v>
      </c>
      <c r="B14916" t="s">
        <v>14</v>
      </c>
      <c r="C14916" t="s">
        <v>22</v>
      </c>
      <c r="D14916" s="2" t="s">
        <f>=HYPERLINK("https://main.knesset.gov.il/APPS/legislation/main/bills/2082173", "הצעת חוק התכנון והבנייה (תיקון - חילוט כלי עבודה על ידי רשות מקומית), התש""ף-2019")</f>
        <v>28676</v>
      </c>
      <c r="E14916" t="s">
        <v>28676</v>
      </c>
      <c r="F14916" t="s">
        <v>28677</v>
      </c>
      <c r="G14916" t="s">
        <v>14</v>
      </c>
      <c r="H14916">
             </c>
      <c r="I14916" t="s">
        <v>14</v>
      </c>
      <c r="J14916" t="s">
        <v>141</v>
      </c>
      <c r="K14916" t="s">
        <v>14</v>
      </c>
      <c r="L14916" t="s">
        <v>20</v>
      </c>
      <c r="M14916" t="s">
        <v>28539</v>
      </c>
      <c r="N14916" t="s">
        <v>14</v>
      </c>
    </row>
    <row r="14917" x14ac:dyDescent="0.25">
      <c r="A14917" t="n">
        <v>22</v>
      </c>
      <c r="B14917" t="s">
        <v>14</v>
      </c>
      <c r="C14917" t="s">
        <v>22</v>
      </c>
      <c r="D14917" s="2" t="s">
        <f>=HYPERLINK("https://main.knesset.gov.il/APPS/legislation/main/bills/2081799", "הצעת חוק ההוצאה לפועל (תיקון - ביטול האפשרות לצוות על עיכוב יציאה מהארץ בגין חוב כספי נמוך), התש""ף-2019")</f>
        <v>28678</v>
      </c>
      <c r="E14917" t="s">
        <v>28678</v>
      </c>
      <c r="F14917" t="s">
        <v>28679</v>
      </c>
      <c r="G14917" t="s">
        <v>14</v>
      </c>
      <c r="H14917">
             </c>
      <c r="I14917" t="s">
        <v>14</v>
      </c>
      <c r="J14917" t="s">
        <v>141</v>
      </c>
      <c r="K14917" t="s">
        <v>14</v>
      </c>
      <c r="L14917" t="s">
        <v>20</v>
      </c>
      <c r="M14917" t="s">
        <v>28539</v>
      </c>
      <c r="N14917" t="s">
        <v>14</v>
      </c>
    </row>
    <row r="14918" x14ac:dyDescent="0.25">
      <c r="A14918" t="n">
        <v>22</v>
      </c>
      <c r="B14918" t="s">
        <v>14</v>
      </c>
      <c r="C14918" t="s">
        <v>22</v>
      </c>
      <c r="D14918" s="2" t="s">
        <f>=HYPERLINK("https://main.knesset.gov.il/APPS/legislation/main/bills/2082023", "הצעת חוק למדיניות לאומית לשמירה על שטחים פתוחים, התש""ף-2019")</f>
        <v>28680</v>
      </c>
      <c r="E14918" t="s">
        <v>28680</v>
      </c>
      <c r="F14918" t="s">
        <v>28681</v>
      </c>
      <c r="G14918" t="s">
        <v>14</v>
      </c>
      <c r="H14918">
             </c>
      <c r="I14918" t="s">
        <v>14</v>
      </c>
      <c r="J14918" t="s">
        <v>141</v>
      </c>
      <c r="K14918" t="s">
        <v>14</v>
      </c>
      <c r="L14918" t="s">
        <v>20</v>
      </c>
      <c r="M14918" t="s">
        <v>28539</v>
      </c>
      <c r="N14918" t="s">
        <v>14</v>
      </c>
    </row>
    <row r="14919" x14ac:dyDescent="0.25">
      <c r="A14919" t="n">
        <v>22</v>
      </c>
      <c r="B14919" t="s">
        <v>14</v>
      </c>
      <c r="C14919" t="s">
        <v>22</v>
      </c>
      <c r="D14919" s="2" t="s">
        <f>=HYPERLINK("https://main.knesset.gov.il/APPS/legislation/main/bills/2082380", "הצעת חוק חובת המכרזים (תיקון - חובת שיקולי הגנת צרכן במכרזים), התש""ף-2019")</f>
        <v>28682</v>
      </c>
      <c r="E14919" t="s">
        <v>28682</v>
      </c>
      <c r="F14919" t="s">
        <v>28683</v>
      </c>
      <c r="G14919" t="s">
        <v>14</v>
      </c>
      <c r="H14919">
             </c>
      <c r="I14919" t="s">
        <v>14</v>
      </c>
      <c r="J14919" t="s">
        <v>141</v>
      </c>
      <c r="K14919" t="s">
        <v>14</v>
      </c>
      <c r="L14919" t="s">
        <v>20</v>
      </c>
      <c r="M14919" t="s">
        <v>28539</v>
      </c>
      <c r="N14919" t="s">
        <v>14</v>
      </c>
    </row>
    <row r="14920" x14ac:dyDescent="0.25">
      <c r="A14920" t="n">
        <v>22</v>
      </c>
      <c r="B14920" t="s">
        <v>14</v>
      </c>
      <c r="C14920" t="s">
        <v>22</v>
      </c>
      <c r="D14920" s="2" t="s">
        <f>=HYPERLINK("https://main.knesset.gov.il/APPS/legislation/main/bills/2081719", "הצעת חוק שיקים ללא כיסוי (תיקון - קביעת סכום מינימום להגבלת חשבון בנק והגבלת לקוח), התש""ף-2019")</f>
        <v>28684</v>
      </c>
      <c r="E14920" t="s">
        <v>28684</v>
      </c>
      <c r="F14920" t="s">
        <v>28685</v>
      </c>
      <c r="G14920" t="s">
        <v>14</v>
      </c>
      <c r="H14920">
             </c>
      <c r="I14920" t="s">
        <v>14</v>
      </c>
      <c r="J14920" t="s">
        <v>141</v>
      </c>
      <c r="K14920" t="s">
        <v>14</v>
      </c>
      <c r="L14920" t="s">
        <v>20</v>
      </c>
      <c r="M14920" t="s">
        <v>28539</v>
      </c>
      <c r="N14920" t="s">
        <v>14</v>
      </c>
    </row>
    <row r="14921" x14ac:dyDescent="0.25">
      <c r="A14921" t="n">
        <v>22</v>
      </c>
      <c r="B14921" t="s">
        <v>14</v>
      </c>
      <c r="C14921" t="s">
        <v>22</v>
      </c>
      <c r="D14921" s="2" t="s">
        <f>=HYPERLINK("https://main.knesset.gov.il/APPS/legislation/main/bills/2082183", "הצעת חוק הביטוח הלאומי (תיקון - דמי אבטלה לעצמאיים), התש""ף-2019")</f>
        <v>28686</v>
      </c>
      <c r="E14921" t="s">
        <v>28686</v>
      </c>
      <c r="F14921" t="s">
        <v>28687</v>
      </c>
      <c r="G14921" t="s">
        <v>14</v>
      </c>
      <c r="H14921">
             </c>
      <c r="I14921" t="s">
        <v>14</v>
      </c>
      <c r="J14921" t="s">
        <v>141</v>
      </c>
      <c r="K14921" t="s">
        <v>14</v>
      </c>
      <c r="L14921" t="s">
        <v>20</v>
      </c>
      <c r="M14921" t="s">
        <v>28539</v>
      </c>
      <c r="N14921" t="s">
        <v>14</v>
      </c>
    </row>
    <row r="14922" x14ac:dyDescent="0.25">
      <c r="A14922" t="n">
        <v>22</v>
      </c>
      <c r="B14922" t="s">
        <v>14</v>
      </c>
      <c r="C14922" t="s">
        <v>22</v>
      </c>
      <c r="D14922" s="2" t="s">
        <f>=HYPERLINK("https://main.knesset.gov.il/APPS/legislation/main/bills/2082109", "הצעת חוק לתיקון פקודת העיריות (חיזוק שלטון החוק וטוהר המידות בשלטון המקומי), התש""ף-2019")</f>
        <v>28688</v>
      </c>
      <c r="E14922" t="s">
        <v>28688</v>
      </c>
      <c r="F14922" t="s">
        <v>28689</v>
      </c>
      <c r="G14922" t="s">
        <v>14</v>
      </c>
      <c r="H14922">
             </c>
      <c r="I14922" t="s">
        <v>14</v>
      </c>
      <c r="J14922" t="s">
        <v>141</v>
      </c>
      <c r="K14922" t="s">
        <v>14</v>
      </c>
      <c r="L14922" t="s">
        <v>20</v>
      </c>
      <c r="M14922" t="s">
        <v>28539</v>
      </c>
      <c r="N14922" t="s">
        <v>14</v>
      </c>
    </row>
    <row r="14923" x14ac:dyDescent="0.25">
      <c r="A14923" t="n">
        <v>22</v>
      </c>
      <c r="B14923" t="s">
        <v>14</v>
      </c>
      <c r="C14923" t="s">
        <v>22</v>
      </c>
      <c r="D14923" s="2" t="s">
        <f>=HYPERLINK("https://main.knesset.gov.il/APPS/legislation/main/bills/2082517", "הצעת חוק פיצויי פיטורים (תיקון - מתן פיצויי פיטורים עקב העתקת מקום מגורים לבני זוג ידועים בציבור), התש""ף-2019")</f>
        <v>28690</v>
      </c>
      <c r="E14923" t="s">
        <v>28690</v>
      </c>
      <c r="F14923" t="s">
        <v>28691</v>
      </c>
      <c r="G14923" t="s">
        <v>14</v>
      </c>
      <c r="H14923">
             </c>
      <c r="I14923" t="s">
        <v>14</v>
      </c>
      <c r="J14923" t="s">
        <v>141</v>
      </c>
      <c r="K14923" t="s">
        <v>14</v>
      </c>
      <c r="L14923" t="s">
        <v>20</v>
      </c>
      <c r="M14923" t="s">
        <v>28539</v>
      </c>
      <c r="N14923" t="s">
        <v>14</v>
      </c>
    </row>
    <row r="14924" x14ac:dyDescent="0.25">
      <c r="A14924" t="n">
        <v>22</v>
      </c>
      <c r="B14924" t="s">
        <v>14</v>
      </c>
      <c r="C14924" t="s">
        <v>22</v>
      </c>
      <c r="D14924" s="2" t="s">
        <f>=HYPERLINK("https://main.knesset.gov.il/APPS/legislation/main/bills/2082032", "הצעת חוק התכנון והבנייה (תיקון - פרסום הודעת הפקדה בשפה שאינה עברית), התש""ף-2019 ")</f>
        <v>28692</v>
      </c>
      <c r="E14924" t="s">
        <v>28692</v>
      </c>
      <c r="F14924" t="s">
        <v>28693</v>
      </c>
      <c r="G14924" t="s">
        <v>14</v>
      </c>
      <c r="H14924">
             </c>
      <c r="I14924" t="s">
        <v>14</v>
      </c>
      <c r="J14924" t="s">
        <v>141</v>
      </c>
      <c r="K14924" t="s">
        <v>14</v>
      </c>
      <c r="L14924" t="s">
        <v>20</v>
      </c>
      <c r="M14924" t="s">
        <v>28539</v>
      </c>
      <c r="N14924" t="s">
        <v>14</v>
      </c>
    </row>
    <row r="14925" x14ac:dyDescent="0.25">
      <c r="A14925" t="n">
        <v>22</v>
      </c>
      <c r="B14925" t="s">
        <v>14</v>
      </c>
      <c r="C14925" t="s">
        <v>22</v>
      </c>
      <c r="D14925" s="2" t="s">
        <f>=HYPERLINK("https://main.knesset.gov.il/APPS/legislation/main/bills/2082350", "הצעת חוק הביטוח הלאומי (תיקון - קביעת דרגת נכות לנפגעי עבודה), התש""ף-2019")</f>
        <v>28694</v>
      </c>
      <c r="E14925" t="s">
        <v>28694</v>
      </c>
      <c r="F14925" t="s">
        <v>28695</v>
      </c>
      <c r="G14925" t="s">
        <v>14</v>
      </c>
      <c r="H14925">
             </c>
      <c r="I14925" t="s">
        <v>14</v>
      </c>
      <c r="J14925" t="s">
        <v>141</v>
      </c>
      <c r="K14925" t="s">
        <v>14</v>
      </c>
      <c r="L14925" t="s">
        <v>20</v>
      </c>
      <c r="M14925" t="s">
        <v>28539</v>
      </c>
      <c r="N14925" t="s">
        <v>14</v>
      </c>
    </row>
    <row r="14926" x14ac:dyDescent="0.25">
      <c r="A14926" t="n">
        <v>22</v>
      </c>
      <c r="B14926" t="s">
        <v>14</v>
      </c>
      <c r="C14926" t="s">
        <v>22</v>
      </c>
      <c r="D14926" s="2" t="s">
        <f>=HYPERLINK("https://main.knesset.gov.il/APPS/legislation/main/bills/2082052", "הצעת חוק הסדרת התפילה בכותל המערבי, התש""ף-2019")</f>
        <v>28696</v>
      </c>
      <c r="E14926" t="s">
        <v>28696</v>
      </c>
      <c r="F14926" t="s">
        <v>28697</v>
      </c>
      <c r="G14926" t="s">
        <v>14</v>
      </c>
      <c r="H14926">
             </c>
      <c r="I14926" t="s">
        <v>14</v>
      </c>
      <c r="J14926" t="s">
        <v>141</v>
      </c>
      <c r="K14926" t="s">
        <v>14</v>
      </c>
      <c r="L14926" t="s">
        <v>20</v>
      </c>
      <c r="M14926" t="s">
        <v>28539</v>
      </c>
      <c r="N14926" t="s">
        <v>14</v>
      </c>
    </row>
    <row r="14927" x14ac:dyDescent="0.25">
      <c r="A14927" t="n">
        <v>22</v>
      </c>
      <c r="B14927" t="s">
        <v>14</v>
      </c>
      <c r="C14927" t="s">
        <v>22</v>
      </c>
      <c r="D14927" s="2" t="s">
        <f>=HYPERLINK("https://main.knesset.gov.il/APPS/legislation/main/bills/2082382", "הצעת חוק יישוב סכסוכי עבודה (תיקון - ריכוז מידע על שביתות והשבתות), התש""ף-2019")</f>
        <v>28698</v>
      </c>
      <c r="E14927" t="s">
        <v>28698</v>
      </c>
      <c r="F14927" t="s">
        <v>28699</v>
      </c>
      <c r="G14927" t="s">
        <v>14</v>
      </c>
      <c r="H14927">
             </c>
      <c r="I14927" t="s">
        <v>14</v>
      </c>
      <c r="J14927" t="s">
        <v>141</v>
      </c>
      <c r="K14927" t="s">
        <v>14</v>
      </c>
      <c r="L14927" t="s">
        <v>20</v>
      </c>
      <c r="M14927" t="s">
        <v>28539</v>
      </c>
      <c r="N14927" t="s">
        <v>14</v>
      </c>
    </row>
    <row r="14928" x14ac:dyDescent="0.25">
      <c r="A14928" t="n">
        <v>22</v>
      </c>
      <c r="B14928" t="s">
        <v>14</v>
      </c>
      <c r="C14928" t="s">
        <v>22</v>
      </c>
      <c r="D14928" s="2" t="s">
        <f>=HYPERLINK("https://main.knesset.gov.il/APPS/legislation/main/bills/2081209", "הצעת חוק ארוחת בוקר במוסדות חינוך, התש""ף-2019")</f>
        <v>28700</v>
      </c>
      <c r="E14928" t="s">
        <v>28700</v>
      </c>
      <c r="F14928" t="s">
        <v>28701</v>
      </c>
      <c r="G14928" t="s">
        <v>14</v>
      </c>
      <c r="H14928">
             </c>
      <c r="I14928" t="s">
        <v>14</v>
      </c>
      <c r="J14928" t="s">
        <v>141</v>
      </c>
      <c r="K14928" t="s">
        <v>14</v>
      </c>
      <c r="L14928" t="s">
        <v>20</v>
      </c>
      <c r="M14928" t="s">
        <v>28539</v>
      </c>
      <c r="N14928" t="s">
        <v>14</v>
      </c>
    </row>
    <row r="14929" x14ac:dyDescent="0.25">
      <c r="A14929" t="n">
        <v>22</v>
      </c>
      <c r="B14929" t="s">
        <v>14</v>
      </c>
      <c r="C14929" t="s">
        <v>22</v>
      </c>
      <c r="D14929" s="2" t="s">
        <f>=HYPERLINK("https://main.knesset.gov.il/APPS/legislation/main/bills/2081924", "הצעת חוק התכנון והבנייה (תיקון - הוראות שונות לעניין היטל השבחה), התש""ף-2019")</f>
        <v>28702</v>
      </c>
      <c r="E14929" t="s">
        <v>28702</v>
      </c>
      <c r="F14929" t="s">
        <v>28703</v>
      </c>
      <c r="G14929" t="s">
        <v>14</v>
      </c>
      <c r="H14929">
             </c>
      <c r="I14929" t="s">
        <v>14</v>
      </c>
      <c r="J14929" t="s">
        <v>141</v>
      </c>
      <c r="K14929" t="s">
        <v>14</v>
      </c>
      <c r="L14929" t="s">
        <v>20</v>
      </c>
      <c r="M14929" t="s">
        <v>28539</v>
      </c>
      <c r="N14929" t="s">
        <v>14</v>
      </c>
    </row>
    <row r="14930" x14ac:dyDescent="0.25">
      <c r="A14930" t="n">
        <v>22</v>
      </c>
      <c r="B14930" t="s">
        <v>14</v>
      </c>
      <c r="C14930" t="s">
        <v>22</v>
      </c>
      <c r="D14930" s="2" t="s">
        <f>=HYPERLINK("https://main.knesset.gov.il/APPS/legislation/main/bills/2081620", "הצעת חוק פיקוח על בתי ספר (תיקון - הרחבת תקפו של רישיון), התש""ף-2019")</f>
        <v>28704</v>
      </c>
      <c r="E14930" t="s">
        <v>28704</v>
      </c>
      <c r="F14930" t="s">
        <v>28705</v>
      </c>
      <c r="G14930" t="s">
        <v>14</v>
      </c>
      <c r="H14930">
             </c>
      <c r="I14930" t="s">
        <v>14</v>
      </c>
      <c r="J14930" t="s">
        <v>141</v>
      </c>
      <c r="K14930" t="s">
        <v>14</v>
      </c>
      <c r="L14930" t="s">
        <v>20</v>
      </c>
      <c r="M14930" t="s">
        <v>28539</v>
      </c>
      <c r="N14930" t="s">
        <v>14</v>
      </c>
    </row>
    <row r="14931" x14ac:dyDescent="0.25">
      <c r="A14931" t="n">
        <v>22</v>
      </c>
      <c r="B14931" t="s">
        <v>14</v>
      </c>
      <c r="C14931" t="s">
        <v>22</v>
      </c>
      <c r="D14931" s="2" t="s">
        <f>=HYPERLINK("https://main.knesset.gov.il/APPS/legislation/main/bills/2081973", "הצעת חוק קרן קיימת לישראל (תיקון - החברה החדשה - גוף מבוקר), התש""ף-2019")</f>
        <v>28706</v>
      </c>
      <c r="E14931" t="s">
        <v>28706</v>
      </c>
      <c r="F14931" t="s">
        <v>28707</v>
      </c>
      <c r="G14931" t="s">
        <v>14</v>
      </c>
      <c r="H14931">
             </c>
      <c r="I14931" t="s">
        <v>14</v>
      </c>
      <c r="J14931" t="s">
        <v>141</v>
      </c>
      <c r="K14931" t="s">
        <v>14</v>
      </c>
      <c r="L14931" t="s">
        <v>20</v>
      </c>
      <c r="M14931" t="s">
        <v>28539</v>
      </c>
      <c r="N14931" t="s">
        <v>14</v>
      </c>
    </row>
    <row r="14932" x14ac:dyDescent="0.25">
      <c r="A14932" t="n">
        <v>22</v>
      </c>
      <c r="B14932" t="s">
        <v>14</v>
      </c>
      <c r="C14932" t="s">
        <v>22</v>
      </c>
      <c r="D14932" s="2" t="s">
        <f>=HYPERLINK("https://main.knesset.gov.il/APPS/legislation/main/bills/2082537", "הצעת חוק חוזה הביטוח (תיקון - חובת מסירת הקלטת שיחת טלפון למבוטח), התש""ף-2019")</f>
        <v>28708</v>
      </c>
      <c r="E14932" t="s">
        <v>28708</v>
      </c>
      <c r="F14932" t="s">
        <v>28709</v>
      </c>
      <c r="G14932" t="s">
        <v>14</v>
      </c>
      <c r="H14932">
             </c>
      <c r="I14932" t="s">
        <v>14</v>
      </c>
      <c r="J14932" t="s">
        <v>141</v>
      </c>
      <c r="K14932" t="s">
        <v>14</v>
      </c>
      <c r="L14932" t="s">
        <v>20</v>
      </c>
      <c r="M14932" t="s">
        <v>28539</v>
      </c>
      <c r="N14932" t="s">
        <v>14</v>
      </c>
    </row>
    <row r="14933" x14ac:dyDescent="0.25">
      <c r="A14933" t="n">
        <v>22</v>
      </c>
      <c r="B14933" t="s">
        <v>14</v>
      </c>
      <c r="C14933" t="s">
        <v>22</v>
      </c>
      <c r="D14933" s="2" t="s">
        <f>=HYPERLINK("https://main.knesset.gov.il/APPS/legislation/main/bills/2082491", "הצעת חוק חינוך חינם לילדים חולים (תיקון - הקמת מסגרות ייעודיות לילדים המטופלים בטיפול ממושך), התש""ף-2019")</f>
        <v>28710</v>
      </c>
      <c r="E14933" t="s">
        <v>28710</v>
      </c>
      <c r="F14933" t="s">
        <v>28711</v>
      </c>
      <c r="G14933" t="s">
        <v>14</v>
      </c>
      <c r="H14933">
             </c>
      <c r="I14933" t="s">
        <v>14</v>
      </c>
      <c r="J14933" t="s">
        <v>141</v>
      </c>
      <c r="K14933" t="s">
        <v>14</v>
      </c>
      <c r="L14933" t="s">
        <v>20</v>
      </c>
      <c r="M14933" t="s">
        <v>28539</v>
      </c>
      <c r="N14933" t="s">
        <v>14</v>
      </c>
    </row>
    <row r="14934" x14ac:dyDescent="0.25">
      <c r="A14934" t="n">
        <v>22</v>
      </c>
      <c r="B14934" t="s">
        <v>14</v>
      </c>
      <c r="C14934" t="s">
        <v>22</v>
      </c>
      <c r="D14934" s="2" t="s">
        <f>=HYPERLINK("https://main.knesset.gov.il/APPS/legislation/main/bills/2082534", "הצעת חוק חוזה הביטוח (תיקון - בדיקת תלות בידי רופא מומחה למבוטח מגיל 75), התש""ף-2019")</f>
        <v>28712</v>
      </c>
      <c r="E14934" t="s">
        <v>28712</v>
      </c>
      <c r="F14934" t="s">
        <v>28713</v>
      </c>
      <c r="G14934" t="s">
        <v>14</v>
      </c>
      <c r="H14934">
             </c>
      <c r="I14934" t="s">
        <v>14</v>
      </c>
      <c r="J14934" t="s">
        <v>141</v>
      </c>
      <c r="K14934" t="s">
        <v>14</v>
      </c>
      <c r="L14934" t="s">
        <v>20</v>
      </c>
      <c r="M14934" t="s">
        <v>28539</v>
      </c>
      <c r="N14934" t="s">
        <v>14</v>
      </c>
    </row>
    <row r="14935" x14ac:dyDescent="0.25">
      <c r="A14935" t="n">
        <v>22</v>
      </c>
      <c r="B14935" t="s">
        <v>14</v>
      </c>
      <c r="C14935" t="s">
        <v>22</v>
      </c>
      <c r="D14935" s="2" t="s">
        <f>=HYPERLINK("https://main.knesset.gov.il/APPS/legislation/main/bills/2082560", "הצעת חוק מס רכוש וקרן פיצויים (תיקון - תשלום מקדמות בעת מצב מיוחד בעורף), התש""ף-2019")</f>
        <v>28714</v>
      </c>
      <c r="E14935" t="s">
        <v>28714</v>
      </c>
      <c r="F14935" t="s">
        <v>28715</v>
      </c>
      <c r="G14935" t="s">
        <v>14</v>
      </c>
      <c r="H14935">
             </c>
      <c r="I14935" t="s">
        <v>14</v>
      </c>
      <c r="J14935" t="s">
        <v>141</v>
      </c>
      <c r="K14935" t="s">
        <v>14</v>
      </c>
      <c r="L14935" t="s">
        <v>20</v>
      </c>
      <c r="M14935" t="s">
        <v>28539</v>
      </c>
      <c r="N14935" t="s">
        <v>14</v>
      </c>
    </row>
    <row r="14936" x14ac:dyDescent="0.25">
      <c r="A14936" t="n">
        <v>22</v>
      </c>
      <c r="B14936" t="s">
        <v>14</v>
      </c>
      <c r="C14936" t="s">
        <v>22</v>
      </c>
      <c r="D14936" s="2" t="s">
        <f>=HYPERLINK("https://main.knesset.gov.il/APPS/legislation/main/bills/2082031", "הצעת חוק גיל פרישה (תיקון - העלאת גיל הפרישה לנשים וקביעת צעדים תומכים לנשים בגילאי העבודה), התש""ף-2019")</f>
        <v>28716</v>
      </c>
      <c r="E14936" t="s">
        <v>28716</v>
      </c>
      <c r="F14936" t="s">
        <v>28717</v>
      </c>
      <c r="G14936" t="s">
        <v>14</v>
      </c>
      <c r="H14936">
             </c>
      <c r="I14936" t="s">
        <v>14</v>
      </c>
      <c r="J14936" t="s">
        <v>141</v>
      </c>
      <c r="K14936" t="s">
        <v>14</v>
      </c>
      <c r="L14936" t="s">
        <v>20</v>
      </c>
      <c r="M14936" t="s">
        <v>28539</v>
      </c>
      <c r="N14936" t="s">
        <v>14</v>
      </c>
    </row>
    <row r="14937" x14ac:dyDescent="0.25">
      <c r="A14937" t="n">
        <v>22</v>
      </c>
      <c r="B14937" t="s">
        <v>14</v>
      </c>
      <c r="C14937" t="s">
        <v>22</v>
      </c>
      <c r="D14937" s="2" t="s">
        <f>=HYPERLINK("https://main.knesset.gov.il/APPS/legislation/main/bills/2082533", "הצעת חוק חוזה הביטוח (תיקון - סדרי דין מזורזים בתביעות ביטוח), התש""ף-2019")</f>
        <v>28718</v>
      </c>
      <c r="E14937" t="s">
        <v>28718</v>
      </c>
      <c r="F14937" t="s">
        <v>28719</v>
      </c>
      <c r="G14937" t="s">
        <v>14</v>
      </c>
      <c r="H14937">
             </c>
      <c r="I14937" t="s">
        <v>14</v>
      </c>
      <c r="J14937" t="s">
        <v>141</v>
      </c>
      <c r="K14937" t="s">
        <v>14</v>
      </c>
      <c r="L14937" t="s">
        <v>20</v>
      </c>
      <c r="M14937" t="s">
        <v>28539</v>
      </c>
      <c r="N14937" t="s">
        <v>14</v>
      </c>
    </row>
    <row r="14938" x14ac:dyDescent="0.25">
      <c r="A14938" t="n">
        <v>22</v>
      </c>
      <c r="B14938" t="s">
        <v>14</v>
      </c>
      <c r="C14938" t="s">
        <v>22</v>
      </c>
      <c r="D14938" s="2" t="s">
        <f>=HYPERLINK("https://main.knesset.gov.il/APPS/legislation/main/bills/2082407", "הצעת חוק עבודת נשים (תיקון - זכאות להשתתפות בעלות מעון יום בתקופת הלידה וההורות), התש""ף-2019")</f>
        <v>28720</v>
      </c>
      <c r="E14938" t="s">
        <v>28720</v>
      </c>
      <c r="F14938" t="s">
        <v>28721</v>
      </c>
      <c r="G14938" t="s">
        <v>14</v>
      </c>
      <c r="H14938">
             </c>
      <c r="I14938" t="s">
        <v>14</v>
      </c>
      <c r="J14938" t="s">
        <v>141</v>
      </c>
      <c r="K14938" t="s">
        <v>14</v>
      </c>
      <c r="L14938" t="s">
        <v>20</v>
      </c>
      <c r="M14938" t="s">
        <v>28539</v>
      </c>
      <c r="N14938" t="s">
        <v>14</v>
      </c>
    </row>
    <row r="14939" x14ac:dyDescent="0.25">
      <c r="A14939" t="n">
        <v>22</v>
      </c>
      <c r="B14939" t="s">
        <v>14</v>
      </c>
      <c r="C14939" t="s">
        <v>22</v>
      </c>
      <c r="D14939" s="2" t="s">
        <f>=HYPERLINK("https://main.knesset.gov.il/APPS/legislation/main/bills/2081904", "הצעת חוק החברות הממשלתיות (תיקון - נבחרת הדירקטורים), התש""ף-2019")</f>
        <v>28722</v>
      </c>
      <c r="E14939" t="s">
        <v>28722</v>
      </c>
      <c r="F14939" t="s">
        <v>28723</v>
      </c>
      <c r="G14939" t="s">
        <v>14</v>
      </c>
      <c r="H14939">
             </c>
      <c r="I14939" t="s">
        <v>14</v>
      </c>
      <c r="J14939" t="s">
        <v>141</v>
      </c>
      <c r="K14939" t="s">
        <v>14</v>
      </c>
      <c r="L14939" t="s">
        <v>20</v>
      </c>
      <c r="M14939" t="s">
        <v>28539</v>
      </c>
      <c r="N14939" t="s">
        <v>14</v>
      </c>
    </row>
    <row r="14940" x14ac:dyDescent="0.25">
      <c r="A14940" t="n">
        <v>22</v>
      </c>
      <c r="B14940" t="s">
        <v>14</v>
      </c>
      <c r="C14940" t="s">
        <v>22</v>
      </c>
      <c r="D14940" s="2" t="s">
        <f>=HYPERLINK("https://main.knesset.gov.il/APPS/legislation/main/bills/2081944", "הצעת חוק המכר (דירות) (הבטחת השקעות של רוכשי דירות) (תיקון - התחדשות עירונית), התש""ף-2019")</f>
        <v>28724</v>
      </c>
      <c r="E14940" t="s">
        <v>28724</v>
      </c>
      <c r="F14940" t="s">
        <v>28725</v>
      </c>
      <c r="G14940" t="s">
        <v>14</v>
      </c>
      <c r="H14940">
             </c>
      <c r="I14940" t="s">
        <v>14</v>
      </c>
      <c r="J14940" t="s">
        <v>141</v>
      </c>
      <c r="K14940" t="s">
        <v>14</v>
      </c>
      <c r="L14940" t="s">
        <v>20</v>
      </c>
      <c r="M14940" t="s">
        <v>28539</v>
      </c>
      <c r="N14940" t="s">
        <v>14</v>
      </c>
    </row>
    <row r="14941" x14ac:dyDescent="0.25">
      <c r="A14941" t="n">
        <v>22</v>
      </c>
      <c r="B14941" t="s">
        <v>14</v>
      </c>
      <c r="C14941" t="s">
        <v>22</v>
      </c>
      <c r="D14941" s="2" t="s">
        <f>=HYPERLINK("https://main.knesset.gov.il/APPS/legislation/main/bills/2082228", "הצעת חוק שירות המדינה (מינויים) (תיקון - ייצוג הולם ללוחמים), התש""ף-2019")</f>
        <v>28726</v>
      </c>
      <c r="E14941" t="s">
        <v>28726</v>
      </c>
      <c r="F14941" t="s">
        <v>28727</v>
      </c>
      <c r="G14941" t="s">
        <v>14</v>
      </c>
      <c r="H14941">
             </c>
      <c r="I14941" t="s">
        <v>14</v>
      </c>
      <c r="J14941" t="s">
        <v>141</v>
      </c>
      <c r="K14941" t="s">
        <v>14</v>
      </c>
      <c r="L14941" t="s">
        <v>20</v>
      </c>
      <c r="M14941" t="s">
        <v>28539</v>
      </c>
      <c r="N14941" t="s">
        <v>14</v>
      </c>
    </row>
    <row r="14942" x14ac:dyDescent="0.25">
      <c r="A14942" t="n">
        <v>22</v>
      </c>
      <c r="B14942" t="s">
        <v>14</v>
      </c>
      <c r="C14942" t="s">
        <v>22</v>
      </c>
      <c r="D14942" s="2" t="s">
        <f>=HYPERLINK("https://main.knesset.gov.il/APPS/legislation/main/bills/2081200", "הצעת חוק ארוחה יומית לתלמיד (תיקון - הרחבת תחולת החוק), התש""ף-2019")</f>
        <v>28140</v>
      </c>
      <c r="E14942" t="s">
        <v>28140</v>
      </c>
      <c r="F14942" t="s">
        <v>28728</v>
      </c>
      <c r="G14942" t="s">
        <v>14</v>
      </c>
      <c r="H14942">
             </c>
      <c r="I14942" t="s">
        <v>14</v>
      </c>
      <c r="J14942" t="s">
        <v>141</v>
      </c>
      <c r="K14942" t="s">
        <v>14</v>
      </c>
      <c r="L14942" t="s">
        <v>20</v>
      </c>
      <c r="M14942" t="s">
        <v>28539</v>
      </c>
      <c r="N14942" t="s">
        <v>14</v>
      </c>
    </row>
    <row r="14943" x14ac:dyDescent="0.25">
      <c r="A14943" t="n">
        <v>22</v>
      </c>
      <c r="B14943" t="s">
        <v>14</v>
      </c>
      <c r="C14943" t="s">
        <v>22</v>
      </c>
      <c r="D14943" s="2" t="s">
        <f>=HYPERLINK("https://main.knesset.gov.il/APPS/legislation/main/bills/2082248", "הצעת חוק צער בעלי חיים (הגנה על בעלי חיים) (תיקון - רישיון לזיווג או למכירה של כלבים וחתולים), התש""ף-2019")</f>
        <v>28729</v>
      </c>
      <c r="E14943" t="s">
        <v>28729</v>
      </c>
      <c r="F14943" t="s">
        <v>28730</v>
      </c>
      <c r="G14943" t="s">
        <v>14</v>
      </c>
      <c r="H14943">
             </c>
      <c r="I14943" t="s">
        <v>14</v>
      </c>
      <c r="J14943" t="s">
        <v>141</v>
      </c>
      <c r="K14943" t="s">
        <v>14</v>
      </c>
      <c r="L14943" t="s">
        <v>20</v>
      </c>
      <c r="M14943" t="s">
        <v>28539</v>
      </c>
      <c r="N14943" t="s">
        <v>14</v>
      </c>
    </row>
    <row r="14944" x14ac:dyDescent="0.25">
      <c r="A14944" t="n">
        <v>22</v>
      </c>
      <c r="B14944" t="s">
        <v>14</v>
      </c>
      <c r="C14944" t="s">
        <v>22</v>
      </c>
      <c r="D14944" s="2" t="s">
        <f>=HYPERLINK("https://main.knesset.gov.il/APPS/legislation/main/bills/2082404", "הצעת חוק סיוע לחולי דגנת, התש""ף-2019")</f>
        <v>28731</v>
      </c>
      <c r="E14944" t="s">
        <v>28731</v>
      </c>
      <c r="F14944" t="s">
        <v>28732</v>
      </c>
      <c r="G14944" t="s">
        <v>14</v>
      </c>
      <c r="H14944">
             </c>
      <c r="I14944" t="s">
        <v>14</v>
      </c>
      <c r="J14944" t="s">
        <v>141</v>
      </c>
      <c r="K14944" t="s">
        <v>14</v>
      </c>
      <c r="L14944" t="s">
        <v>20</v>
      </c>
      <c r="M14944" t="s">
        <v>28539</v>
      </c>
      <c r="N14944" t="s">
        <v>14</v>
      </c>
    </row>
    <row r="14945" x14ac:dyDescent="0.25">
      <c r="A14945" t="n">
        <v>22</v>
      </c>
      <c r="B14945" t="s">
        <v>14</v>
      </c>
      <c r="C14945" t="s">
        <v>22</v>
      </c>
      <c r="D14945" s="2" t="s">
        <f>=HYPERLINK("https://main.knesset.gov.il/APPS/legislation/main/bills/2081368", "הצעת חוק להנצחת זכרו של הרב עובדיה יוסף, התש""ף-2019")</f>
        <v>28733</v>
      </c>
      <c r="E14945" t="s">
        <v>28733</v>
      </c>
      <c r="F14945" t="s">
        <v>28734</v>
      </c>
      <c r="G14945" t="s">
        <v>14</v>
      </c>
      <c r="H14945">
             </c>
      <c r="I14945" t="s">
        <v>14</v>
      </c>
      <c r="J14945" t="s">
        <v>141</v>
      </c>
      <c r="K14945" t="s">
        <v>14</v>
      </c>
      <c r="L14945" t="s">
        <v>20</v>
      </c>
      <c r="M14945" t="s">
        <v>28539</v>
      </c>
      <c r="N14945" t="s">
        <v>14</v>
      </c>
    </row>
    <row r="14946" x14ac:dyDescent="0.25">
      <c r="A14946" t="n">
        <v>22</v>
      </c>
      <c r="B14946" t="s">
        <v>14</v>
      </c>
      <c r="C14946" t="s">
        <v>22</v>
      </c>
      <c r="D14946" s="2" t="s">
        <f>=HYPERLINK("https://main.knesset.gov.il/APPS/legislation/main/bills/2082239", "הצעת חוק הביטוח הלאומי (תיקון - רכז תנועות נוער כעבודה מועדפת), התש""ף-2019")</f>
        <v>28735</v>
      </c>
      <c r="E14946" t="s">
        <v>28735</v>
      </c>
      <c r="F14946" t="s">
        <v>28736</v>
      </c>
      <c r="G14946" t="s">
        <v>14</v>
      </c>
      <c r="H14946">
             </c>
      <c r="I14946" t="s">
        <v>14</v>
      </c>
      <c r="J14946" t="s">
        <v>141</v>
      </c>
      <c r="K14946" t="s">
        <v>14</v>
      </c>
      <c r="L14946" t="s">
        <v>20</v>
      </c>
      <c r="M14946" t="s">
        <v>28539</v>
      </c>
      <c r="N14946" t="s">
        <v>14</v>
      </c>
    </row>
    <row r="14947" x14ac:dyDescent="0.25">
      <c r="A14947" t="n">
        <v>22</v>
      </c>
      <c r="B14947" t="s">
        <v>14</v>
      </c>
      <c r="C14947" t="s">
        <v>22</v>
      </c>
      <c r="D14947" s="2" t="s">
        <f>=HYPERLINK("https://main.knesset.gov.il/APPS/legislation/main/bills/2082212", "הצעת חוק קליטת חיילים משוחררים (תיקון - תקצוב על פי מספר חיילים משוחררים הנרשמים ללימודים), התש""ף-2019")</f>
        <v>28737</v>
      </c>
      <c r="E14947" t="s">
        <v>28737</v>
      </c>
      <c r="F14947" t="s">
        <v>28738</v>
      </c>
      <c r="G14947" t="s">
        <v>14</v>
      </c>
      <c r="H14947">
             </c>
      <c r="I14947" t="s">
        <v>14</v>
      </c>
      <c r="J14947" t="s">
        <v>141</v>
      </c>
      <c r="K14947" t="s">
        <v>14</v>
      </c>
      <c r="L14947" t="s">
        <v>20</v>
      </c>
      <c r="M14947" t="s">
        <v>28539</v>
      </c>
      <c r="N14947" t="s">
        <v>14</v>
      </c>
    </row>
    <row r="14948" x14ac:dyDescent="0.25">
      <c r="A14948" t="n">
        <v>22</v>
      </c>
      <c r="B14948" t="s">
        <v>14</v>
      </c>
      <c r="C14948" t="s">
        <v>22</v>
      </c>
      <c r="D14948" s="2" t="s">
        <f>=HYPERLINK("https://main.knesset.gov.il/APPS/legislation/main/bills/2082288", "הצעת חוק הביטוח הלאומי (תיקון - תשלום גמלת שמירת היריון עבור כל תקופת שמירת ההיריון), התש""ף-2019")</f>
        <v>28739</v>
      </c>
      <c r="E14948" t="s">
        <v>28739</v>
      </c>
      <c r="F14948" t="s">
        <v>28740</v>
      </c>
      <c r="G14948" t="s">
        <v>14</v>
      </c>
      <c r="H14948">
             </c>
      <c r="I14948" t="s">
        <v>14</v>
      </c>
      <c r="J14948" t="s">
        <v>141</v>
      </c>
      <c r="K14948" t="s">
        <v>14</v>
      </c>
      <c r="L14948" t="s">
        <v>20</v>
      </c>
      <c r="M14948" t="s">
        <v>28539</v>
      </c>
      <c r="N14948" t="s">
        <v>14</v>
      </c>
    </row>
    <row r="14949" x14ac:dyDescent="0.25">
      <c r="A14949" t="n">
        <v>22</v>
      </c>
      <c r="B14949" t="s">
        <v>14</v>
      </c>
      <c r="C14949" t="s">
        <v>22</v>
      </c>
      <c r="D14949" s="2" t="s">
        <f>=HYPERLINK("https://main.knesset.gov.il/APPS/legislation/main/bills/2082794", "הצעת חוק דמי מחלה (היעדרות בשל מחלת נכד), התש""ף-2019")</f>
        <v>28741</v>
      </c>
      <c r="E14949" t="s">
        <v>28741</v>
      </c>
      <c r="F14949" t="s">
        <v>28742</v>
      </c>
      <c r="G14949" t="s">
        <v>14</v>
      </c>
      <c r="H14949">
             </c>
      <c r="I14949" t="s">
        <v>14</v>
      </c>
      <c r="J14949" t="s">
        <v>141</v>
      </c>
      <c r="K14949" t="s">
        <v>14</v>
      </c>
      <c r="L14949" t="s">
        <v>20</v>
      </c>
      <c r="M14949" t="s">
        <v>28539</v>
      </c>
      <c r="N14949" t="s">
        <v>14</v>
      </c>
    </row>
    <row r="14950" x14ac:dyDescent="0.25">
      <c r="A14950" t="n">
        <v>22</v>
      </c>
      <c r="B14950" t="s">
        <v>14</v>
      </c>
      <c r="C14950" t="s">
        <v>22</v>
      </c>
      <c r="D14950" s="2" t="s">
        <f>=HYPERLINK("https://main.knesset.gov.il/APPS/legislation/main/bills/2082496", "הצעת חוק הביטוח הלאומי (תיקון - הכנסה של עובד סיעוד שלא תובא בחשבון לעניין הזכאות לקצבת אזרח ותיק), התש""ף-2019")</f>
        <v>28743</v>
      </c>
      <c r="E14950" t="s">
        <v>28743</v>
      </c>
      <c r="F14950" t="s">
        <v>28744</v>
      </c>
      <c r="G14950" t="s">
        <v>14</v>
      </c>
      <c r="H14950">
             </c>
      <c r="I14950" t="s">
        <v>14</v>
      </c>
      <c r="J14950" t="s">
        <v>141</v>
      </c>
      <c r="K14950" t="s">
        <v>14</v>
      </c>
      <c r="L14950" t="s">
        <v>20</v>
      </c>
      <c r="M14950" t="s">
        <v>28539</v>
      </c>
      <c r="N14950" t="s">
        <v>14</v>
      </c>
    </row>
    <row r="14951" x14ac:dyDescent="0.25">
      <c r="A14951" t="n">
        <v>22</v>
      </c>
      <c r="B14951" t="s">
        <v>14</v>
      </c>
      <c r="C14951" t="s">
        <v>22</v>
      </c>
      <c r="D14951" s="2" t="s">
        <f>=HYPERLINK("https://main.knesset.gov.il/APPS/legislation/main/bills/2082185", "הצעת חוק דמי מחלה (היעדרות בשל מחלת נכד), התש""ף-2019")</f>
        <v>28741</v>
      </c>
      <c r="E14951" t="s">
        <v>28741</v>
      </c>
      <c r="F14951" t="s">
        <v>28745</v>
      </c>
      <c r="G14951" t="s">
        <v>14</v>
      </c>
      <c r="H14951">
             </c>
      <c r="I14951" t="s">
        <v>14</v>
      </c>
      <c r="J14951" t="s">
        <v>141</v>
      </c>
      <c r="K14951" t="s">
        <v>14</v>
      </c>
      <c r="L14951" t="s">
        <v>20</v>
      </c>
      <c r="M14951" t="s">
        <v>28539</v>
      </c>
      <c r="N14951" t="s">
        <v>14</v>
      </c>
    </row>
    <row r="14952" x14ac:dyDescent="0.25">
      <c r="A14952" t="n">
        <v>22</v>
      </c>
      <c r="B14952" t="s">
        <v>14</v>
      </c>
      <c r="C14952" t="s">
        <v>22</v>
      </c>
      <c r="D14952" s="2" t="s">
        <f>=HYPERLINK("https://main.knesset.gov.il/APPS/legislation/main/bills/2082525", "הצעת חוק הבטחת הכנסה (תיקון - הבטחת זכויות ילדים נטושים), התש""ף-2019")</f>
        <v>28746</v>
      </c>
      <c r="E14952" t="s">
        <v>28746</v>
      </c>
      <c r="F14952" t="s">
        <v>28747</v>
      </c>
      <c r="G14952" t="s">
        <v>14</v>
      </c>
      <c r="H14952">
             </c>
      <c r="I14952" t="s">
        <v>14</v>
      </c>
      <c r="J14952" t="s">
        <v>141</v>
      </c>
      <c r="K14952" t="s">
        <v>14</v>
      </c>
      <c r="L14952" t="s">
        <v>20</v>
      </c>
      <c r="M14952" t="s">
        <v>28539</v>
      </c>
      <c r="N14952" t="s">
        <v>14</v>
      </c>
    </row>
    <row r="14953" x14ac:dyDescent="0.25">
      <c r="A14953" t="n">
        <v>22</v>
      </c>
      <c r="B14953" t="s">
        <v>14</v>
      </c>
      <c r="C14953" t="s">
        <v>22</v>
      </c>
      <c r="D14953" s="2" t="s">
        <f>=HYPERLINK("https://main.knesset.gov.il/APPS/legislation/main/bills/2082200", "הצעת חוק החמרים המסוכנים (תיקון - פרטי התקשרות למרכז רעלים), התש""ף-2019")</f>
        <v>28748</v>
      </c>
      <c r="E14953" t="s">
        <v>28748</v>
      </c>
      <c r="F14953" t="s">
        <v>28749</v>
      </c>
      <c r="G14953" t="s">
        <v>14</v>
      </c>
      <c r="H14953">
             </c>
      <c r="I14953" t="s">
        <v>14</v>
      </c>
      <c r="J14953" t="s">
        <v>141</v>
      </c>
      <c r="K14953" t="s">
        <v>14</v>
      </c>
      <c r="L14953" t="s">
        <v>20</v>
      </c>
      <c r="M14953" t="s">
        <v>28539</v>
      </c>
      <c r="N14953" t="s">
        <v>14</v>
      </c>
    </row>
    <row r="14954" x14ac:dyDescent="0.25">
      <c r="A14954" t="n">
        <v>22</v>
      </c>
      <c r="B14954" t="s">
        <v>14</v>
      </c>
      <c r="C14954" t="s">
        <v>22</v>
      </c>
      <c r="D14954" s="2" t="s">
        <f>=HYPERLINK("https://main.knesset.gov.il/APPS/legislation/main/bills/2082528", "הצעת חוק הביטוח הלאומי (תיקון - הכרה בדלקת הענבית אצל ילדים), התש""ף-2019")</f>
        <v>28750</v>
      </c>
      <c r="E14954" t="s">
        <v>28750</v>
      </c>
      <c r="F14954" t="s">
        <v>28751</v>
      </c>
      <c r="G14954" t="s">
        <v>14</v>
      </c>
      <c r="H14954">
             </c>
      <c r="I14954" t="s">
        <v>14</v>
      </c>
      <c r="J14954" t="s">
        <v>141</v>
      </c>
      <c r="K14954" t="s">
        <v>14</v>
      </c>
      <c r="L14954" t="s">
        <v>20</v>
      </c>
      <c r="M14954" t="s">
        <v>28539</v>
      </c>
      <c r="N14954" t="s">
        <v>14</v>
      </c>
    </row>
    <row r="14955" x14ac:dyDescent="0.25">
      <c r="A14955" t="n">
        <v>22</v>
      </c>
      <c r="B14955" t="s">
        <v>14</v>
      </c>
      <c r="C14955" t="s">
        <v>22</v>
      </c>
      <c r="D14955" s="2" t="s">
        <f>=HYPERLINK("https://main.knesset.gov.il/APPS/legislation/main/bills/2081555", "הצעת חוק האזרחות (תיקון - אזרחות לצאצא אזרח ישראלי המתגורר מחוץ לישראל), התש""ף-2019")</f>
        <v>28752</v>
      </c>
      <c r="E14955" t="s">
        <v>28752</v>
      </c>
      <c r="F14955" t="s">
        <v>28753</v>
      </c>
      <c r="G14955" t="s">
        <v>14</v>
      </c>
      <c r="H14955">
             </c>
      <c r="I14955" t="s">
        <v>14</v>
      </c>
      <c r="J14955" t="s">
        <v>141</v>
      </c>
      <c r="K14955" t="s">
        <v>14</v>
      </c>
      <c r="L14955" t="s">
        <v>20</v>
      </c>
      <c r="M14955" t="s">
        <v>28539</v>
      </c>
      <c r="N14955" t="s">
        <v>14</v>
      </c>
    </row>
    <row r="14956" x14ac:dyDescent="0.25">
      <c r="A14956" t="n">
        <v>22</v>
      </c>
      <c r="B14956" t="s">
        <v>14</v>
      </c>
      <c r="C14956" t="s">
        <v>22</v>
      </c>
      <c r="D14956" s="2" t="s">
        <f>=HYPERLINK("https://main.knesset.gov.il/APPS/legislation/main/bills/2082387", "הצעת חוק לתיקון פקודת בריאות העם (הוספת מגנזיום למי השתייה), התש""ף-2019")</f>
        <v>28754</v>
      </c>
      <c r="E14956" t="s">
        <v>28754</v>
      </c>
      <c r="F14956" t="s">
        <v>28755</v>
      </c>
      <c r="G14956" t="s">
        <v>14</v>
      </c>
      <c r="H14956">
             </c>
      <c r="I14956" t="s">
        <v>14</v>
      </c>
      <c r="J14956" t="s">
        <v>141</v>
      </c>
      <c r="K14956" t="s">
        <v>14</v>
      </c>
      <c r="L14956" t="s">
        <v>20</v>
      </c>
      <c r="M14956" t="s">
        <v>28539</v>
      </c>
      <c r="N14956" t="s">
        <v>14</v>
      </c>
    </row>
    <row r="14957" x14ac:dyDescent="0.25">
      <c r="A14957" t="n">
        <v>22</v>
      </c>
      <c r="B14957" t="s">
        <v>14</v>
      </c>
      <c r="C14957" t="s">
        <v>22</v>
      </c>
      <c r="D14957" s="2" t="s">
        <f>=HYPERLINK("https://main.knesset.gov.il/APPS/legislation/main/bills/2082231", "הצעת חוק ירושלים ובנותיה, התש""ף-2019")</f>
        <v>28756</v>
      </c>
      <c r="E14957" t="s">
        <v>28756</v>
      </c>
      <c r="F14957" t="s">
        <v>28757</v>
      </c>
      <c r="G14957" t="s">
        <v>14</v>
      </c>
      <c r="H14957">
             </c>
      <c r="I14957" t="s">
        <v>14</v>
      </c>
      <c r="J14957" t="s">
        <v>141</v>
      </c>
      <c r="K14957" t="s">
        <v>14</v>
      </c>
      <c r="L14957" t="s">
        <v>20</v>
      </c>
      <c r="M14957" t="s">
        <v>28539</v>
      </c>
      <c r="N14957" t="s">
        <v>14</v>
      </c>
    </row>
    <row r="14958" x14ac:dyDescent="0.25">
      <c r="A14958" t="n">
        <v>22</v>
      </c>
      <c r="B14958" t="s">
        <v>14</v>
      </c>
      <c r="C14958" t="s">
        <v>22</v>
      </c>
      <c r="D14958" s="2" t="s">
        <f>=HYPERLINK("https://main.knesset.gov.il/APPS/legislation/main/bills/2082372", "הצעת חוק התכנון והבנייה (תיקון - איסור התניית היתר בהתקנת מקומות חניה ובניצול חלק קיים משטח דירה), התש""ף-2019")</f>
        <v>28758</v>
      </c>
      <c r="E14958" t="s">
        <v>28758</v>
      </c>
      <c r="F14958" t="s">
        <v>28759</v>
      </c>
      <c r="G14958" t="s">
        <v>14</v>
      </c>
      <c r="H14958">
             </c>
      <c r="I14958" t="s">
        <v>14</v>
      </c>
      <c r="J14958" t="s">
        <v>141</v>
      </c>
      <c r="K14958" t="s">
        <v>14</v>
      </c>
      <c r="L14958" t="s">
        <v>20</v>
      </c>
      <c r="M14958" t="s">
        <v>28539</v>
      </c>
      <c r="N14958" t="s">
        <v>14</v>
      </c>
    </row>
    <row r="14959" x14ac:dyDescent="0.25">
      <c r="A14959" t="n">
        <v>22</v>
      </c>
      <c r="B14959" t="s">
        <v>14</v>
      </c>
      <c r="C14959" t="s">
        <v>22</v>
      </c>
      <c r="D14959" s="2" t="s">
        <f>=HYPERLINK("https://main.knesset.gov.il/APPS/legislation/main/bills/2082508", "הצעת חוק ביטוח בריאות ממלכתי (תיקון - רפואת שיניים לאנשים שמלאו להם 65 שנים), התש""ף-2019")</f>
        <v>28760</v>
      </c>
      <c r="E14959" t="s">
        <v>28760</v>
      </c>
      <c r="F14959" t="s">
        <v>28761</v>
      </c>
      <c r="G14959" t="s">
        <v>14</v>
      </c>
      <c r="H14959">
             </c>
      <c r="I14959" t="s">
        <v>14</v>
      </c>
      <c r="J14959" t="s">
        <v>141</v>
      </c>
      <c r="K14959" t="s">
        <v>14</v>
      </c>
      <c r="L14959" t="s">
        <v>20</v>
      </c>
      <c r="M14959" t="s">
        <v>28539</v>
      </c>
      <c r="N14959" t="s">
        <v>14</v>
      </c>
    </row>
    <row r="14960" x14ac:dyDescent="0.25">
      <c r="A14960" t="n">
        <v>22</v>
      </c>
      <c r="B14960" t="s">
        <v>14</v>
      </c>
      <c r="C14960" t="s">
        <v>22</v>
      </c>
      <c r="D14960" s="2" t="s">
        <f>=HYPERLINK("https://main.knesset.gov.il/APPS/legislation/main/bills/2082391", "הצעת חוק לתיקון פקודת התעבורה (הפחתת גובה קנס בשל תשלום מיידי), התש""ף-2019")</f>
        <v>28762</v>
      </c>
      <c r="E14960" t="s">
        <v>28762</v>
      </c>
      <c r="F14960" t="s">
        <v>28763</v>
      </c>
      <c r="G14960" t="s">
        <v>14</v>
      </c>
      <c r="H14960">
             </c>
      <c r="I14960" t="s">
        <v>14</v>
      </c>
      <c r="J14960" t="s">
        <v>141</v>
      </c>
      <c r="K14960" t="s">
        <v>14</v>
      </c>
      <c r="L14960" t="s">
        <v>20</v>
      </c>
      <c r="M14960" t="s">
        <v>28539</v>
      </c>
      <c r="N14960" t="s">
        <v>14</v>
      </c>
    </row>
    <row r="14961" x14ac:dyDescent="0.25">
      <c r="A14961" t="n">
        <v>22</v>
      </c>
      <c r="B14961" t="s">
        <v>14</v>
      </c>
      <c r="C14961" t="s">
        <v>22</v>
      </c>
      <c r="D14961" s="2" t="s">
        <f>=HYPERLINK("https://main.knesset.gov.il/APPS/legislation/main/bills/2082548", "הצעת חוק ההוצאה לפועל (תיקון - ביטול הגבלת רישיון נהיגה), התש""ף-2019")</f>
        <v>28131</v>
      </c>
      <c r="E14961" t="s">
        <v>28131</v>
      </c>
      <c r="F14961" t="s">
        <v>28764</v>
      </c>
      <c r="G14961" t="s">
        <v>14</v>
      </c>
      <c r="H14961">
             </c>
      <c r="I14961" t="s">
        <v>14</v>
      </c>
      <c r="J14961" t="s">
        <v>141</v>
      </c>
      <c r="K14961" t="s">
        <v>14</v>
      </c>
      <c r="L14961" t="s">
        <v>20</v>
      </c>
      <c r="M14961" t="s">
        <v>28539</v>
      </c>
      <c r="N14961" t="s">
        <v>14</v>
      </c>
    </row>
    <row r="14962" x14ac:dyDescent="0.25">
      <c r="A14962" t="n">
        <v>22</v>
      </c>
      <c r="B14962" t="s">
        <v>14</v>
      </c>
      <c r="C14962" t="s">
        <v>22</v>
      </c>
      <c r="D14962" s="2" t="s">
        <f>=HYPERLINK("https://main.knesset.gov.il/APPS/legislation/main/bills/2082390", "הצעת חוק לתיקון פקודת התעבורה (הסדר ארצי אחיד לעניין גרירת רכב), התש""ף-2019")</f>
        <v>28765</v>
      </c>
      <c r="E14962" t="s">
        <v>28765</v>
      </c>
      <c r="F14962" t="s">
        <v>28766</v>
      </c>
      <c r="G14962" t="s">
        <v>14</v>
      </c>
      <c r="H14962">
             </c>
      <c r="I14962" t="s">
        <v>14</v>
      </c>
      <c r="J14962" t="s">
        <v>141</v>
      </c>
      <c r="K14962" t="s">
        <v>14</v>
      </c>
      <c r="L14962" t="s">
        <v>20</v>
      </c>
      <c r="M14962" t="s">
        <v>28539</v>
      </c>
      <c r="N14962" t="s">
        <v>14</v>
      </c>
    </row>
    <row r="14963" x14ac:dyDescent="0.25">
      <c r="A14963" t="n">
        <v>22</v>
      </c>
      <c r="B14963" t="s">
        <v>14</v>
      </c>
      <c r="C14963" t="s">
        <v>22</v>
      </c>
      <c r="D14963" s="2" t="s">
        <f>=HYPERLINK("https://main.knesset.gov.il/APPS/legislation/main/bills/2082373", "הצעת חוק התכנון והבנייה (תיקון - גני ילדים ומעונות יום), התש""ף-2019")</f>
        <v>28767</v>
      </c>
      <c r="E14963" t="s">
        <v>28767</v>
      </c>
      <c r="F14963" t="s">
        <v>28768</v>
      </c>
      <c r="G14963" t="s">
        <v>14</v>
      </c>
      <c r="H14963">
             </c>
      <c r="I14963" t="s">
        <v>14</v>
      </c>
      <c r="J14963" t="s">
        <v>141</v>
      </c>
      <c r="K14963" t="s">
        <v>14</v>
      </c>
      <c r="L14963" t="s">
        <v>20</v>
      </c>
      <c r="M14963" t="s">
        <v>28539</v>
      </c>
      <c r="N14963" t="s">
        <v>14</v>
      </c>
    </row>
    <row r="14964" x14ac:dyDescent="0.25">
      <c r="A14964" t="n">
        <v>22</v>
      </c>
      <c r="B14964" t="s">
        <v>14</v>
      </c>
      <c r="C14964" t="s">
        <v>22</v>
      </c>
      <c r="D14964" s="2" t="s">
        <f>=HYPERLINK("https://main.knesset.gov.il/APPS/legislation/main/bills/2082403", "הצעת חוק סדר הדין הפלילי (תיקון - ביטול פסק דין שניתן בהיעדרו של הנאשם), התש""ף-2019")</f>
        <v>28769</v>
      </c>
      <c r="E14964" t="s">
        <v>28769</v>
      </c>
      <c r="F14964" t="s">
        <v>28770</v>
      </c>
      <c r="G14964" t="s">
        <v>14</v>
      </c>
      <c r="H14964">
             </c>
      <c r="I14964" t="s">
        <v>14</v>
      </c>
      <c r="J14964" t="s">
        <v>141</v>
      </c>
      <c r="K14964" t="s">
        <v>14</v>
      </c>
      <c r="L14964" t="s">
        <v>20</v>
      </c>
      <c r="M14964" t="s">
        <v>28539</v>
      </c>
      <c r="N14964" t="s">
        <v>14</v>
      </c>
    </row>
    <row r="14965" x14ac:dyDescent="0.25">
      <c r="A14965" t="n">
        <v>22</v>
      </c>
      <c r="B14965" t="s">
        <v>14</v>
      </c>
      <c r="C14965" t="s">
        <v>22</v>
      </c>
      <c r="D14965" s="2" t="s">
        <f>=HYPERLINK("https://main.knesset.gov.il/APPS/legislation/main/bills/2082500", "הצעת חוק חוזה הביטוח (תיקון - איסור התניית תגמולי ביטוח בחובת סודיות), התש""ף-2019")</f>
        <v>28771</v>
      </c>
      <c r="E14965" t="s">
        <v>28771</v>
      </c>
      <c r="F14965" t="s">
        <v>28772</v>
      </c>
      <c r="G14965" t="s">
        <v>14</v>
      </c>
      <c r="H14965">
             </c>
      <c r="I14965" t="s">
        <v>14</v>
      </c>
      <c r="J14965" t="s">
        <v>141</v>
      </c>
      <c r="K14965" t="s">
        <v>14</v>
      </c>
      <c r="L14965" t="s">
        <v>20</v>
      </c>
      <c r="M14965" t="s">
        <v>28539</v>
      </c>
      <c r="N14965" t="s">
        <v>14</v>
      </c>
    </row>
    <row r="14966" x14ac:dyDescent="0.25">
      <c r="A14966" t="n">
        <v>22</v>
      </c>
      <c r="B14966" t="s">
        <v>14</v>
      </c>
      <c r="C14966" t="s">
        <v>22</v>
      </c>
      <c r="D14966" s="2" t="s">
        <f>=HYPERLINK("https://main.knesset.gov.il/APPS/legislation/main/bills/2081792", "הצעת חוק אי-נקיטת הליכים לפני מועדי ישראל (תיקוני חקיקה), התש""ף-2019")</f>
        <v>28773</v>
      </c>
      <c r="E14966" t="s">
        <v>28773</v>
      </c>
      <c r="F14966" t="s">
        <v>28774</v>
      </c>
      <c r="G14966" t="s">
        <v>14</v>
      </c>
      <c r="H14966">
             </c>
      <c r="I14966" t="s">
        <v>14</v>
      </c>
      <c r="J14966" t="s">
        <v>141</v>
      </c>
      <c r="K14966" t="s">
        <v>14</v>
      </c>
      <c r="L14966" t="s">
        <v>20</v>
      </c>
      <c r="M14966" t="s">
        <v>28539</v>
      </c>
      <c r="N14966" t="s">
        <v>14</v>
      </c>
    </row>
    <row r="14967" x14ac:dyDescent="0.25">
      <c r="A14967" t="n">
        <v>22</v>
      </c>
      <c r="B14967" t="s">
        <v>14</v>
      </c>
      <c r="C14967" t="s">
        <v>22</v>
      </c>
      <c r="D14967" s="2" t="s">
        <f>=HYPERLINK("https://main.knesset.gov.il/APPS/legislation/main/bills/2082218", "הצעת חוק מעונות יום שיקומיים (תיקון - מעונות יום עם הגנה חיסונית), התש""ף-2019")</f>
        <v>28775</v>
      </c>
      <c r="E14967" t="s">
        <v>28775</v>
      </c>
      <c r="F14967" t="s">
        <v>28776</v>
      </c>
      <c r="G14967" t="s">
        <v>14</v>
      </c>
      <c r="H14967">
             </c>
      <c r="I14967" t="s">
        <v>14</v>
      </c>
      <c r="J14967" t="s">
        <v>141</v>
      </c>
      <c r="K14967" t="s">
        <v>14</v>
      </c>
      <c r="L14967" t="s">
        <v>20</v>
      </c>
      <c r="M14967" t="s">
        <v>28539</v>
      </c>
      <c r="N14967" t="s">
        <v>14</v>
      </c>
    </row>
    <row r="14968" x14ac:dyDescent="0.25">
      <c r="A14968" t="n">
        <v>22</v>
      </c>
      <c r="B14968" t="s">
        <v>14</v>
      </c>
      <c r="C14968" t="s">
        <v>22</v>
      </c>
      <c r="D14968" s="2" t="s">
        <f>=HYPERLINK("https://main.knesset.gov.il/APPS/legislation/main/bills/2081917", "הצעת חוק-יסוד: ירושלים בירת ישראל (תיקון - משאל עם) ")</f>
        <v>28777</v>
      </c>
      <c r="E14968" t="s">
        <v>28777</v>
      </c>
      <c r="F14968" t="s">
        <v>28778</v>
      </c>
      <c r="G14968" t="s">
        <v>14</v>
      </c>
      <c r="H14968">
             </c>
      <c r="I14968" t="s">
        <v>14</v>
      </c>
      <c r="J14968" t="s">
        <v>141</v>
      </c>
      <c r="K14968" t="s">
        <v>14</v>
      </c>
      <c r="L14968" t="s">
        <v>20</v>
      </c>
      <c r="M14968" t="s">
        <v>28539</v>
      </c>
      <c r="N14968" t="s">
        <v>14</v>
      </c>
    </row>
    <row r="14969" x14ac:dyDescent="0.25">
      <c r="A14969" t="n">
        <v>22</v>
      </c>
      <c r="B14969" t="s">
        <v>14</v>
      </c>
      <c r="C14969" t="s">
        <v>22</v>
      </c>
      <c r="D14969" s="2" t="s">
        <f>=HYPERLINK("https://main.knesset.gov.il/APPS/legislation/main/bills/2082542", "הצעת חוק חוזה הביטוח (תיקון - סדרי דין תביעת תגמולי ביטוח סיעוד), התש""ף-2019")</f>
        <v>28779</v>
      </c>
      <c r="E14969" t="s">
        <v>28779</v>
      </c>
      <c r="F14969" t="s">
        <v>28780</v>
      </c>
      <c r="G14969" t="s">
        <v>14</v>
      </c>
      <c r="H14969">
             </c>
      <c r="I14969" t="s">
        <v>14</v>
      </c>
      <c r="J14969" t="s">
        <v>141</v>
      </c>
      <c r="K14969" t="s">
        <v>14</v>
      </c>
      <c r="L14969" t="s">
        <v>20</v>
      </c>
      <c r="M14969" t="s">
        <v>28539</v>
      </c>
      <c r="N14969" t="s">
        <v>14</v>
      </c>
    </row>
    <row r="14970" x14ac:dyDescent="0.25">
      <c r="A14970" t="n">
        <v>22</v>
      </c>
      <c r="B14970" t="s">
        <v>14</v>
      </c>
      <c r="C14970" t="s">
        <v>22</v>
      </c>
      <c r="D14970" s="2" t="s">
        <f>=HYPERLINK("https://main.knesset.gov.il/APPS/legislation/main/bills/2082541", "הצעת חוק הבטחת הכנסה (תיקון - קצבה מגרמניה שלא תובא בחשבון במבחן ההכנסה), התש""ף-2019 ")</f>
        <v>28781</v>
      </c>
      <c r="E14970" t="s">
        <v>28781</v>
      </c>
      <c r="F14970" t="s">
        <v>28782</v>
      </c>
      <c r="G14970" t="s">
        <v>14</v>
      </c>
      <c r="H14970">
             </c>
      <c r="I14970" t="s">
        <v>14</v>
      </c>
      <c r="J14970" t="s">
        <v>141</v>
      </c>
      <c r="K14970" t="s">
        <v>14</v>
      </c>
      <c r="L14970" t="s">
        <v>20</v>
      </c>
      <c r="M14970" t="s">
        <v>28539</v>
      </c>
      <c r="N14970" t="s">
        <v>14</v>
      </c>
    </row>
    <row r="14971" x14ac:dyDescent="0.25">
      <c r="A14971" t="n">
        <v>22</v>
      </c>
      <c r="B14971" t="s">
        <v>14</v>
      </c>
      <c r="C14971" t="s">
        <v>22</v>
      </c>
      <c r="D14971" s="2" t="s">
        <f>=HYPERLINK("https://main.knesset.gov.il/APPS/legislation/main/bills/2081341", "הצעת חוק המועצה להשכלה גבוהה (תיקון - קביעת תנאי קבלה בידי מוסד), התש""ף-2019")</f>
        <v>28783</v>
      </c>
      <c r="E14971" t="s">
        <v>28783</v>
      </c>
      <c r="F14971" t="s">
        <v>28784</v>
      </c>
      <c r="G14971" t="s">
        <v>14</v>
      </c>
      <c r="H14971">
             </c>
      <c r="I14971" t="s">
        <v>14</v>
      </c>
      <c r="J14971" t="s">
        <v>141</v>
      </c>
      <c r="K14971" t="s">
        <v>14</v>
      </c>
      <c r="L14971" t="s">
        <v>20</v>
      </c>
      <c r="M14971" t="s">
        <v>28539</v>
      </c>
      <c r="N14971" t="s">
        <v>14</v>
      </c>
    </row>
    <row r="14972" x14ac:dyDescent="0.25">
      <c r="A14972" t="n">
        <v>22</v>
      </c>
      <c r="B14972" t="s">
        <v>14</v>
      </c>
      <c r="C14972" t="s">
        <v>22</v>
      </c>
      <c r="D14972" s="2" t="s">
        <f>=HYPERLINK("https://main.knesset.gov.il/APPS/legislation/main/bills/2082024", "הצעת חוק לעידוד בנייה בת קיימא (תיקוני חקיקה), התש""ף-2019")</f>
        <v>28785</v>
      </c>
      <c r="E14972" t="s">
        <v>28785</v>
      </c>
      <c r="F14972" t="s">
        <v>28786</v>
      </c>
      <c r="G14972" t="s">
        <v>14</v>
      </c>
      <c r="H14972">
             </c>
      <c r="I14972" t="s">
        <v>14</v>
      </c>
      <c r="J14972" t="s">
        <v>141</v>
      </c>
      <c r="K14972" t="s">
        <v>14</v>
      </c>
      <c r="L14972" t="s">
        <v>20</v>
      </c>
      <c r="M14972" t="s">
        <v>28539</v>
      </c>
      <c r="N14972" t="s">
        <v>14</v>
      </c>
    </row>
    <row r="14973" x14ac:dyDescent="0.25">
      <c r="A14973" t="n">
        <v>22</v>
      </c>
      <c r="B14973" t="s">
        <v>14</v>
      </c>
      <c r="C14973" t="s">
        <v>22</v>
      </c>
      <c r="D14973" s="2" t="s">
        <f>=HYPERLINK("https://main.knesset.gov.il/APPS/legislation/main/bills/2081929", "הצעת חוק אמנת הפליט להסדרת מעמד מבקשי מקלט ופליטים בישראל, התש""ף-2019")</f>
        <v>28787</v>
      </c>
      <c r="E14973" t="s">
        <v>28787</v>
      </c>
      <c r="F14973" t="s">
        <v>28788</v>
      </c>
      <c r="G14973" t="s">
        <v>14</v>
      </c>
      <c r="H14973">
             </c>
      <c r="I14973" t="s">
        <v>14</v>
      </c>
      <c r="J14973" t="s">
        <v>141</v>
      </c>
      <c r="K14973" t="s">
        <v>14</v>
      </c>
      <c r="L14973" t="s">
        <v>20</v>
      </c>
      <c r="M14973" t="s">
        <v>28539</v>
      </c>
      <c r="N14973" t="s">
        <v>14</v>
      </c>
    </row>
    <row r="14974" x14ac:dyDescent="0.25">
      <c r="A14974" t="n">
        <v>22</v>
      </c>
      <c r="B14974" t="s">
        <v>14</v>
      </c>
      <c r="C14974" t="s">
        <v>22</v>
      </c>
      <c r="D14974" s="2" t="s">
        <f>=HYPERLINK("https://main.knesset.gov.il/APPS/legislation/main/bills/2082167", "הצעת חוק הרשויות המקומיות (פטור חיילים, נפגעי מלחמה ושוטרים מארנונה) (תיקון - פטור לחייל בודד בדירת שותפים), התש""ף-2019")</f>
        <v>28789</v>
      </c>
      <c r="E14974" t="s">
        <v>28789</v>
      </c>
      <c r="F14974" t="s">
        <v>28790</v>
      </c>
      <c r="G14974" t="s">
        <v>14</v>
      </c>
      <c r="H14974">
             </c>
      <c r="I14974" t="s">
        <v>14</v>
      </c>
      <c r="J14974" t="s">
        <v>141</v>
      </c>
      <c r="K14974" t="s">
        <v>14</v>
      </c>
      <c r="L14974" t="s">
        <v>20</v>
      </c>
      <c r="M14974" t="s">
        <v>28539</v>
      </c>
      <c r="N14974" t="s">
        <v>14</v>
      </c>
    </row>
    <row r="14975" x14ac:dyDescent="0.25">
      <c r="A14975" t="n">
        <v>22</v>
      </c>
      <c r="B14975" t="s">
        <v>14</v>
      </c>
      <c r="C14975" t="s">
        <v>22</v>
      </c>
      <c r="D14975" s="2" t="s">
        <f>=HYPERLINK("https://main.knesset.gov.il/APPS/legislation/main/bills/2082020", "הצעת חוק הגנת הסביבה (יחידה סביבתית ברשויות ציבוריות), התש""ף-2019")</f>
        <v>28791</v>
      </c>
      <c r="E14975" t="s">
        <v>28791</v>
      </c>
      <c r="F14975" t="s">
        <v>28792</v>
      </c>
      <c r="G14975" t="s">
        <v>14</v>
      </c>
      <c r="H14975">
             </c>
      <c r="I14975" t="s">
        <v>14</v>
      </c>
      <c r="J14975" t="s">
        <v>141</v>
      </c>
      <c r="K14975" t="s">
        <v>14</v>
      </c>
      <c r="L14975" t="s">
        <v>20</v>
      </c>
      <c r="M14975" t="s">
        <v>28539</v>
      </c>
      <c r="N14975" t="s">
        <v>14</v>
      </c>
    </row>
    <row r="14976" x14ac:dyDescent="0.25">
      <c r="A14976" t="n">
        <v>22</v>
      </c>
      <c r="B14976" t="s">
        <v>14</v>
      </c>
      <c r="C14976" t="s">
        <v>22</v>
      </c>
      <c r="D14976" s="2" t="s">
        <f>=HYPERLINK("https://main.knesset.gov.il/APPS/legislation/main/bills/2082171", "הצעת חוק לתיקון פקודת מס הכנסה (עידוד צמיחה לעסקים עצמאיים קטנים ובינוניים), התש""ף-2019")</f>
        <v>28485</v>
      </c>
      <c r="E14976" t="s">
        <v>28485</v>
      </c>
      <c r="F14976" t="s">
        <v>28793</v>
      </c>
      <c r="G14976" t="s">
        <v>14</v>
      </c>
      <c r="H14976">
             </c>
      <c r="I14976" t="s">
        <v>14</v>
      </c>
      <c r="J14976" t="s">
        <v>141</v>
      </c>
      <c r="K14976" t="s">
        <v>14</v>
      </c>
      <c r="L14976" t="s">
        <v>20</v>
      </c>
      <c r="M14976" t="s">
        <v>28539</v>
      </c>
      <c r="N14976" t="s">
        <v>14</v>
      </c>
    </row>
    <row r="14977" x14ac:dyDescent="0.25">
      <c r="A14977" t="n">
        <v>22</v>
      </c>
      <c r="B14977" t="s">
        <v>14</v>
      </c>
      <c r="C14977" t="s">
        <v>22</v>
      </c>
      <c r="D14977" s="2" t="s">
        <f>=HYPERLINK("https://main.knesset.gov.il/APPS/legislation/main/bills/2081919", "הצעת חוק הגנה על הציבור מפני ביצוע עבירות מין (תיקון - הוצאת צו פיקוח חדש לאחר תום התקופה המרבית), התש""ף-2019")</f>
        <v>28794</v>
      </c>
      <c r="E14977" t="s">
        <v>28794</v>
      </c>
      <c r="F14977" t="s">
        <v>28795</v>
      </c>
      <c r="G14977" t="s">
        <v>14</v>
      </c>
      <c r="H14977">
             </c>
      <c r="I14977" t="s">
        <v>14</v>
      </c>
      <c r="J14977" t="s">
        <v>141</v>
      </c>
      <c r="K14977" t="s">
        <v>14</v>
      </c>
      <c r="L14977" t="s">
        <v>20</v>
      </c>
      <c r="M14977" t="s">
        <v>28539</v>
      </c>
      <c r="N14977" t="s">
        <v>14</v>
      </c>
    </row>
    <row r="14978" x14ac:dyDescent="0.25">
      <c r="A14978" t="n">
        <v>22</v>
      </c>
      <c r="B14978" t="s">
        <v>14</v>
      </c>
      <c r="C14978" t="s">
        <v>22</v>
      </c>
      <c r="D14978" s="2" t="s">
        <f>=HYPERLINK("https://main.knesset.gov.il/APPS/legislation/main/bills/2082136", "הצעת חוק איסור הפליה במוצרים, בשירותים ובכניסה למקומות בידור ולמקומות ציבוריים (תיקון - איסור הפליה בשל הובלת עגלת ילדים), התש""ף-2019")</f>
        <v>28796</v>
      </c>
      <c r="E14978" t="s">
        <v>28796</v>
      </c>
      <c r="F14978" t="s">
        <v>28797</v>
      </c>
      <c r="G14978" t="s">
        <v>14</v>
      </c>
      <c r="H14978">
             </c>
      <c r="I14978" t="s">
        <v>14</v>
      </c>
      <c r="J14978" t="s">
        <v>141</v>
      </c>
      <c r="K14978" t="s">
        <v>14</v>
      </c>
      <c r="L14978" t="s">
        <v>20</v>
      </c>
      <c r="M14978" t="s">
        <v>28539</v>
      </c>
      <c r="N14978" t="s">
        <v>14</v>
      </c>
    </row>
    <row r="14979" x14ac:dyDescent="0.25">
      <c r="A14979" t="n">
        <v>22</v>
      </c>
      <c r="B14979" t="s">
        <v>14</v>
      </c>
      <c r="C14979" t="s">
        <v>22</v>
      </c>
      <c r="D14979" s="2" t="s">
        <f>=HYPERLINK("https://main.knesset.gov.il/APPS/legislation/main/bills/2082057", "הצעת חוק המתווכים במקרקעין (תיקון - אחריות לתשלום דמי תיווך), התש""ף-2019")</f>
        <v>28798</v>
      </c>
      <c r="E14979" t="s">
        <v>28798</v>
      </c>
      <c r="F14979" t="s">
        <v>28799</v>
      </c>
      <c r="G14979" t="s">
        <v>14</v>
      </c>
      <c r="H14979">
             </c>
      <c r="I14979" t="s">
        <v>14</v>
      </c>
      <c r="J14979" t="s">
        <v>141</v>
      </c>
      <c r="K14979" t="s">
        <v>14</v>
      </c>
      <c r="L14979" t="s">
        <v>20</v>
      </c>
      <c r="M14979" t="s">
        <v>28539</v>
      </c>
      <c r="N14979" t="s">
        <v>14</v>
      </c>
    </row>
    <row r="14980" x14ac:dyDescent="0.25">
      <c r="A14980" t="n">
        <v>22</v>
      </c>
      <c r="B14980" t="s">
        <v>14</v>
      </c>
      <c r="C14980" t="s">
        <v>22</v>
      </c>
      <c r="D14980" s="2" t="s">
        <f>=HYPERLINK("https://main.knesset.gov.il/APPS/legislation/main/bills/2082059", "הצעת חוק הגנת הצרכן (תיקון - איסור גביית עמלה בעסקה שבוצעה באמצעות האינטרנט), התש""ף-2019")</f>
        <v>28800</v>
      </c>
      <c r="E14980" t="s">
        <v>28800</v>
      </c>
      <c r="F14980" t="s">
        <v>28801</v>
      </c>
      <c r="G14980" t="s">
        <v>14</v>
      </c>
      <c r="H14980">
             </c>
      <c r="I14980" t="s">
        <v>14</v>
      </c>
      <c r="J14980" t="s">
        <v>141</v>
      </c>
      <c r="K14980" t="s">
        <v>14</v>
      </c>
      <c r="L14980" t="s">
        <v>20</v>
      </c>
      <c r="M14980" t="s">
        <v>28539</v>
      </c>
      <c r="N14980" t="s">
        <v>14</v>
      </c>
    </row>
    <row r="14981" x14ac:dyDescent="0.25">
      <c r="A14981" t="n">
        <v>22</v>
      </c>
      <c r="B14981" t="s">
        <v>14</v>
      </c>
      <c r="C14981" t="s">
        <v>22</v>
      </c>
      <c r="D14981" s="2" t="s">
        <f>=HYPERLINK("https://main.knesset.gov.il/APPS/legislation/main/bills/2081339", "הצעת חוק לתיקון פקודת העיריות (תשלום עבור המצאת מסמכי מכרז), התש""ף-2019")</f>
        <v>28802</v>
      </c>
      <c r="E14981" t="s">
        <v>28802</v>
      </c>
      <c r="F14981" t="s">
        <v>28803</v>
      </c>
      <c r="G14981" t="s">
        <v>14</v>
      </c>
      <c r="H14981">
             </c>
      <c r="I14981" t="s">
        <v>14</v>
      </c>
      <c r="J14981" t="s">
        <v>141</v>
      </c>
      <c r="K14981" t="s">
        <v>14</v>
      </c>
      <c r="L14981" t="s">
        <v>20</v>
      </c>
      <c r="M14981" t="s">
        <v>28539</v>
      </c>
      <c r="N14981" t="s">
        <v>14</v>
      </c>
    </row>
    <row r="14982" x14ac:dyDescent="0.25">
      <c r="A14982" t="n">
        <v>22</v>
      </c>
      <c r="B14982" t="s">
        <v>14</v>
      </c>
      <c r="C14982" t="s">
        <v>22</v>
      </c>
      <c r="D14982" s="2" t="s">
        <f>=HYPERLINK("https://main.knesset.gov.il/APPS/legislation/main/bills/2081303", "הצעת חוק דמי מחלה (תיקון - איסור פיטורים בעת היעדרות בשל מחלת ילד), התש""ף-2019")</f>
        <v>28804</v>
      </c>
      <c r="E14982" t="s">
        <v>28804</v>
      </c>
      <c r="F14982" t="s">
        <v>28805</v>
      </c>
      <c r="G14982" t="s">
        <v>14</v>
      </c>
      <c r="H14982">
             </c>
      <c r="I14982" t="s">
        <v>14</v>
      </c>
      <c r="J14982" t="s">
        <v>141</v>
      </c>
      <c r="K14982" t="s">
        <v>14</v>
      </c>
      <c r="L14982" t="s">
        <v>20</v>
      </c>
      <c r="M14982" t="s">
        <v>28539</v>
      </c>
      <c r="N14982" t="s">
        <v>14</v>
      </c>
    </row>
    <row r="14983" x14ac:dyDescent="0.25">
      <c r="A14983" t="n">
        <v>22</v>
      </c>
      <c r="B14983" t="s">
        <v>14</v>
      </c>
      <c r="C14983" t="s">
        <v>22</v>
      </c>
      <c r="D14983" s="2" t="s">
        <f>=HYPERLINK("https://main.knesset.gov.il/APPS/legislation/main/bills/2082511", "הצעת חוק דמי מחלה (היעדרות בשל מחלת הורה) (תיקון - התאמות נדרשות לעניין הגדרת מחלה), התש""ף-2019")</f>
        <v>28806</v>
      </c>
      <c r="E14983" t="s">
        <v>28806</v>
      </c>
      <c r="F14983" t="s">
        <v>28807</v>
      </c>
      <c r="G14983" t="s">
        <v>14</v>
      </c>
      <c r="H14983">
             </c>
      <c r="I14983" t="s">
        <v>14</v>
      </c>
      <c r="J14983" t="s">
        <v>141</v>
      </c>
      <c r="K14983" t="s">
        <v>14</v>
      </c>
      <c r="L14983" t="s">
        <v>20</v>
      </c>
      <c r="M14983" t="s">
        <v>28539</v>
      </c>
      <c r="N14983" t="s">
        <v>14</v>
      </c>
    </row>
    <row r="14984" x14ac:dyDescent="0.25">
      <c r="A14984" t="n">
        <v>22</v>
      </c>
      <c r="B14984" t="s">
        <v>14</v>
      </c>
      <c r="C14984" t="s">
        <v>22</v>
      </c>
      <c r="D14984" s="2" t="s">
        <f>=HYPERLINK("https://main.knesset.gov.il/APPS/legislation/main/bills/2081813", "הצעת חוק ההתייעלות הכלכלית (תיקוני חקיקה להשגת יעדי התקציב לשנות התקציב 2017 ו-2018) (תיקון - מעמד ערי עולים), התש""ף-2019 ")</f>
        <v>28808</v>
      </c>
      <c r="E14984" t="s">
        <v>28808</v>
      </c>
      <c r="F14984" t="s">
        <v>28809</v>
      </c>
      <c r="G14984" t="s">
        <v>14</v>
      </c>
      <c r="H14984">
             </c>
      <c r="I14984" t="s">
        <v>14</v>
      </c>
      <c r="J14984" t="s">
        <v>141</v>
      </c>
      <c r="K14984" t="s">
        <v>14</v>
      </c>
      <c r="L14984" t="s">
        <v>20</v>
      </c>
      <c r="M14984" t="s">
        <v>28539</v>
      </c>
      <c r="N14984" t="s">
        <v>14</v>
      </c>
    </row>
    <row r="14985" x14ac:dyDescent="0.25">
      <c r="A14985" t="n">
        <v>22</v>
      </c>
      <c r="B14985" t="s">
        <v>14</v>
      </c>
      <c r="C14985" t="s">
        <v>22</v>
      </c>
      <c r="D14985" s="2" t="s">
        <f>=HYPERLINK("https://main.knesset.gov.il/APPS/legislation/main/bills/2082535", "הצעת חוק הביטוח הלאומי (תיקון - דמי אבטלה לעובד שפוטר לאחר שהגיע לגיל פרישה), התש""ף-2019")</f>
        <v>28810</v>
      </c>
      <c r="E14985" t="s">
        <v>28810</v>
      </c>
      <c r="F14985" t="s">
        <v>28811</v>
      </c>
      <c r="G14985" t="s">
        <v>14</v>
      </c>
      <c r="H14985">
             </c>
      <c r="I14985" t="s">
        <v>14</v>
      </c>
      <c r="J14985" t="s">
        <v>141</v>
      </c>
      <c r="K14985" t="s">
        <v>14</v>
      </c>
      <c r="L14985" t="s">
        <v>20</v>
      </c>
      <c r="M14985" t="s">
        <v>28539</v>
      </c>
      <c r="N14985" t="s">
        <v>14</v>
      </c>
    </row>
    <row r="14986" x14ac:dyDescent="0.25">
      <c r="A14986" t="n">
        <v>22</v>
      </c>
      <c r="B14986" t="s">
        <v>14</v>
      </c>
      <c r="C14986" t="s">
        <v>22</v>
      </c>
      <c r="D14986" s="2" t="s">
        <f>=HYPERLINK("https://main.knesset.gov.il/APPS/legislation/main/bills/2081270", "הצעת חוק דמי מחלה (תיקון - איסור פיטורים בעת היעדרות בשל מחלת ילד), התש""ף-2019")</f>
        <v>28804</v>
      </c>
      <c r="E14986" t="s">
        <v>28804</v>
      </c>
      <c r="F14986" t="s">
        <v>28812</v>
      </c>
      <c r="G14986" t="s">
        <v>14</v>
      </c>
      <c r="H14986">
             </c>
      <c r="I14986" t="s">
        <v>14</v>
      </c>
      <c r="J14986" t="s">
        <v>141</v>
      </c>
      <c r="K14986" t="s">
        <v>14</v>
      </c>
      <c r="L14986" t="s">
        <v>20</v>
      </c>
      <c r="M14986" t="s">
        <v>28539</v>
      </c>
      <c r="N14986" t="s">
        <v>14</v>
      </c>
    </row>
    <row r="14987" x14ac:dyDescent="0.25">
      <c r="A14987" t="n">
        <v>22</v>
      </c>
      <c r="B14987" t="s">
        <v>14</v>
      </c>
      <c r="C14987" t="s">
        <v>22</v>
      </c>
      <c r="D14987" s="2" t="s">
        <f>=HYPERLINK("https://main.knesset.gov.il/APPS/legislation/main/bills/2082516", "הצעת חוק דמי מחלה עבור מלווה לבדיקה רפואית (תיקוני חקיקה), התש""ף-2019 ")</f>
        <v>28813</v>
      </c>
      <c r="E14987" t="s">
        <v>28813</v>
      </c>
      <c r="F14987" t="s">
        <v>28814</v>
      </c>
      <c r="G14987" t="s">
        <v>14</v>
      </c>
      <c r="H14987">
             </c>
      <c r="I14987" t="s">
        <v>14</v>
      </c>
      <c r="J14987" t="s">
        <v>141</v>
      </c>
      <c r="K14987" t="s">
        <v>14</v>
      </c>
      <c r="L14987" t="s">
        <v>20</v>
      </c>
      <c r="M14987" t="s">
        <v>28539</v>
      </c>
      <c r="N14987" t="s">
        <v>14</v>
      </c>
    </row>
    <row r="14988" x14ac:dyDescent="0.25">
      <c r="A14988" t="n">
        <v>22</v>
      </c>
      <c r="B14988" t="s">
        <v>14</v>
      </c>
      <c r="C14988" t="s">
        <v>22</v>
      </c>
      <c r="D14988" s="2" t="s">
        <f>=HYPERLINK("https://main.knesset.gov.il/APPS/legislation/main/bills/2082042", "הצעת חוק הבנקאות (רישוי) (תיקון - אישור ועדת הכספים של הכנסת לרכישת תאגיד בנקאי על ידי תאגיד בנקאי אחר), התש""ף-2019")</f>
        <v>28815</v>
      </c>
      <c r="E14988" t="s">
        <v>28815</v>
      </c>
      <c r="F14988" t="s">
        <v>28816</v>
      </c>
      <c r="G14988" t="s">
        <v>14</v>
      </c>
      <c r="H14988">
             </c>
      <c r="I14988" t="s">
        <v>14</v>
      </c>
      <c r="J14988" t="s">
        <v>141</v>
      </c>
      <c r="K14988" t="s">
        <v>14</v>
      </c>
      <c r="L14988" t="s">
        <v>20</v>
      </c>
      <c r="M14988" t="s">
        <v>28539</v>
      </c>
      <c r="N14988" t="s">
        <v>14</v>
      </c>
    </row>
    <row r="14989" x14ac:dyDescent="0.25">
      <c r="A14989" t="n">
        <v>22</v>
      </c>
      <c r="B14989" t="s">
        <v>14</v>
      </c>
      <c r="C14989" t="s">
        <v>22</v>
      </c>
      <c r="D14989" s="2" t="s">
        <f>=HYPERLINK("https://main.knesset.gov.il/APPS/legislation/main/bills/2082546", "הצעת חוק הגנה על בריאות הציבור (מזון) (תיקון - דיווח לציבור בעת חשש להרעלה או לזיהום), התש""ף-2019")</f>
        <v>28817</v>
      </c>
      <c r="E14989" t="s">
        <v>28817</v>
      </c>
      <c r="F14989" t="s">
        <v>28818</v>
      </c>
      <c r="G14989" t="s">
        <v>14</v>
      </c>
      <c r="H14989">
             </c>
      <c r="I14989" t="s">
        <v>14</v>
      </c>
      <c r="J14989" t="s">
        <v>141</v>
      </c>
      <c r="K14989" t="s">
        <v>14</v>
      </c>
      <c r="L14989" t="s">
        <v>20</v>
      </c>
      <c r="M14989" t="s">
        <v>28539</v>
      </c>
      <c r="N14989" t="s">
        <v>14</v>
      </c>
    </row>
    <row r="14990" x14ac:dyDescent="0.25">
      <c r="A14990" t="n">
        <v>22</v>
      </c>
      <c r="B14990" t="s">
        <v>14</v>
      </c>
      <c r="C14990" t="s">
        <v>22</v>
      </c>
      <c r="D14990" s="2" t="s">
        <f>=HYPERLINK("https://main.knesset.gov.il/APPS/legislation/main/bills/2081725", "הצעת חוק יסודות התקציב (תיקון - פיקוח אחיד על שימוש בתמיכה), התש""ף-2019")</f>
        <v>28819</v>
      </c>
      <c r="E14990" t="s">
        <v>28819</v>
      </c>
      <c r="F14990" t="s">
        <v>28820</v>
      </c>
      <c r="G14990" t="s">
        <v>14</v>
      </c>
      <c r="H14990">
             </c>
      <c r="I14990" t="s">
        <v>14</v>
      </c>
      <c r="J14990" t="s">
        <v>141</v>
      </c>
      <c r="K14990" t="s">
        <v>14</v>
      </c>
      <c r="L14990" t="s">
        <v>20</v>
      </c>
      <c r="M14990" t="s">
        <v>28539</v>
      </c>
      <c r="N14990" t="s">
        <v>14</v>
      </c>
    </row>
    <row r="14991" x14ac:dyDescent="0.25">
      <c r="A14991" t="n">
        <v>22</v>
      </c>
      <c r="B14991" t="s">
        <v>14</v>
      </c>
      <c r="C14991" t="s">
        <v>22</v>
      </c>
      <c r="D14991" s="2" t="s">
        <f>=HYPERLINK("https://main.knesset.gov.il/APPS/legislation/main/bills/2082170", "הצעת חוק עידוד השקעות הון (דיור בר השגה - תעודות מס), התש""ף-2019 ")</f>
        <v>28821</v>
      </c>
      <c r="E14991" t="s">
        <v>28821</v>
      </c>
      <c r="F14991" t="s">
        <v>28822</v>
      </c>
      <c r="G14991" t="s">
        <v>14</v>
      </c>
      <c r="H14991">
             </c>
      <c r="I14991" t="s">
        <v>14</v>
      </c>
      <c r="J14991" t="s">
        <v>141</v>
      </c>
      <c r="K14991" t="s">
        <v>14</v>
      </c>
      <c r="L14991" t="s">
        <v>20</v>
      </c>
      <c r="M14991" t="s">
        <v>28539</v>
      </c>
      <c r="N14991" t="s">
        <v>14</v>
      </c>
    </row>
    <row r="14992" x14ac:dyDescent="0.25">
      <c r="A14992" t="n">
        <v>22</v>
      </c>
      <c r="B14992" t="s">
        <v>14</v>
      </c>
      <c r="C14992" t="s">
        <v>22</v>
      </c>
      <c r="D14992" s="2" t="s">
        <f>=HYPERLINK("https://main.knesset.gov.il/APPS/legislation/main/bills/2082087", "הצעת חוק לתיקון פקודת הבנקאות (בדיקה ודיווח לבקשת ועדת הכספים של הכנסת), התש""ף-2019")</f>
        <v>28823</v>
      </c>
      <c r="E14992" t="s">
        <v>28823</v>
      </c>
      <c r="F14992" t="s">
        <v>28824</v>
      </c>
      <c r="G14992" t="s">
        <v>14</v>
      </c>
      <c r="H14992">
             </c>
      <c r="I14992" t="s">
        <v>14</v>
      </c>
      <c r="J14992" t="s">
        <v>141</v>
      </c>
      <c r="K14992" t="s">
        <v>14</v>
      </c>
      <c r="L14992" t="s">
        <v>20</v>
      </c>
      <c r="M14992" t="s">
        <v>28539</v>
      </c>
      <c r="N14992" t="s">
        <v>14</v>
      </c>
    </row>
    <row r="14993" x14ac:dyDescent="0.25">
      <c r="A14993" t="n">
        <v>22</v>
      </c>
      <c r="B14993" t="s">
        <v>14</v>
      </c>
      <c r="C14993" t="s">
        <v>22</v>
      </c>
      <c r="D14993" s="2" t="s">
        <f>=HYPERLINK("https://main.knesset.gov.il/APPS/legislation/main/bills/2082499", "הצעת חוק יסודות התקציב (תיקון - שלילת תקצוב ממוסד שהעומד בראשו מסית נגד שירות ביטחון או שירות לאומי-אזרחי או בעד סירוב פקודה), התש""ף-2019")</f>
        <v>28825</v>
      </c>
      <c r="E14993" t="s">
        <v>28825</v>
      </c>
      <c r="F14993" t="s">
        <v>28826</v>
      </c>
      <c r="G14993" t="s">
        <v>14</v>
      </c>
      <c r="H14993">
             </c>
      <c r="I14993" t="s">
        <v>14</v>
      </c>
      <c r="J14993" t="s">
        <v>141</v>
      </c>
      <c r="K14993" t="s">
        <v>14</v>
      </c>
      <c r="L14993" t="s">
        <v>20</v>
      </c>
      <c r="M14993" t="s">
        <v>28539</v>
      </c>
      <c r="N14993" t="s">
        <v>14</v>
      </c>
    </row>
    <row r="14994" x14ac:dyDescent="0.25">
      <c r="A14994" t="n">
        <v>22</v>
      </c>
      <c r="B14994" t="s">
        <v>14</v>
      </c>
      <c r="C14994" t="s">
        <v>22</v>
      </c>
      <c r="D14994" s="2" t="s">
        <f>=HYPERLINK("https://main.knesset.gov.il/APPS/legislation/main/bills/2082310", "הצעת חוק האזרחים הוותיקים (תיקון - שירות ציבורי שאינו טיפול רפואי), התש""ף-2019")</f>
        <v>28827</v>
      </c>
      <c r="E14994" t="s">
        <v>28827</v>
      </c>
      <c r="F14994" t="s">
        <v>28828</v>
      </c>
      <c r="G14994" t="s">
        <v>14</v>
      </c>
      <c r="H14994">
             </c>
      <c r="I14994" t="s">
        <v>14</v>
      </c>
      <c r="J14994" t="s">
        <v>141</v>
      </c>
      <c r="K14994" t="s">
        <v>14</v>
      </c>
      <c r="L14994" t="s">
        <v>20</v>
      </c>
      <c r="M14994" t="s">
        <v>28539</v>
      </c>
      <c r="N14994" t="s">
        <v>14</v>
      </c>
    </row>
    <row r="14995" x14ac:dyDescent="0.25">
      <c r="A14995" t="n">
        <v>22</v>
      </c>
      <c r="B14995" t="s">
        <v>14</v>
      </c>
      <c r="C14995" t="s">
        <v>22</v>
      </c>
      <c r="D14995" s="2" t="s">
        <f>=HYPERLINK("https://main.knesset.gov.il/APPS/legislation/main/bills/2081314", "הצעת חוק האזרחים הוותיקים (תיקון - לחצן מצוקה לקשיש), התש""ף-2019")</f>
        <v>28829</v>
      </c>
      <c r="E14995" t="s">
        <v>28829</v>
      </c>
      <c r="F14995" t="s">
        <v>28830</v>
      </c>
      <c r="G14995" t="s">
        <v>14</v>
      </c>
      <c r="H14995">
             </c>
      <c r="I14995" t="s">
        <v>14</v>
      </c>
      <c r="J14995" t="s">
        <v>141</v>
      </c>
      <c r="K14995" t="s">
        <v>14</v>
      </c>
      <c r="L14995" t="s">
        <v>20</v>
      </c>
      <c r="M14995" t="s">
        <v>28539</v>
      </c>
      <c r="N14995" t="s">
        <v>14</v>
      </c>
    </row>
    <row r="14996" x14ac:dyDescent="0.25">
      <c r="A14996" t="n">
        <v>22</v>
      </c>
      <c r="B14996" t="s">
        <v>14</v>
      </c>
      <c r="C14996" t="s">
        <v>22</v>
      </c>
      <c r="D14996" s="2" t="s">
        <f>=HYPERLINK("https://main.knesset.gov.il/APPS/legislation/main/bills/2082389", "הצעת חוק לתיקון פקודת הרוקחים (הבטחת מלאי תרופתי), התש""ף-2019")</f>
        <v>28831</v>
      </c>
      <c r="E14996" t="s">
        <v>28831</v>
      </c>
      <c r="F14996" t="s">
        <v>28832</v>
      </c>
      <c r="G14996" t="s">
        <v>14</v>
      </c>
      <c r="H14996">
             </c>
      <c r="I14996" t="s">
        <v>14</v>
      </c>
      <c r="J14996" t="s">
        <v>141</v>
      </c>
      <c r="K14996" t="s">
        <v>14</v>
      </c>
      <c r="L14996" t="s">
        <v>20</v>
      </c>
      <c r="M14996" t="s">
        <v>28539</v>
      </c>
      <c r="N14996" t="s">
        <v>14</v>
      </c>
    </row>
    <row r="14997" x14ac:dyDescent="0.25">
      <c r="A14997" t="n">
        <v>22</v>
      </c>
      <c r="B14997" t="s">
        <v>14</v>
      </c>
      <c r="C14997" t="s">
        <v>22</v>
      </c>
      <c r="D14997" s="2" t="s">
        <f>=HYPERLINK("https://main.knesset.gov.il/APPS/legislation/main/bills/2082303", "הצעת חוק דמי מחלה (היעדרות בשל מחלת הורה) (תיקון - הרחבת הזכאות), התש""ף-2019")</f>
        <v>28833</v>
      </c>
      <c r="E14997" t="s">
        <v>28833</v>
      </c>
      <c r="F14997" t="s">
        <v>28834</v>
      </c>
      <c r="G14997" t="s">
        <v>14</v>
      </c>
      <c r="H14997">
             </c>
      <c r="I14997" t="s">
        <v>14</v>
      </c>
      <c r="J14997" t="s">
        <v>141</v>
      </c>
      <c r="K14997" t="s">
        <v>14</v>
      </c>
      <c r="L14997" t="s">
        <v>20</v>
      </c>
      <c r="M14997" t="s">
        <v>28539</v>
      </c>
      <c r="N14997" t="s">
        <v>14</v>
      </c>
    </row>
    <row r="14998" x14ac:dyDescent="0.25">
      <c r="A14998" t="n">
        <v>22</v>
      </c>
      <c r="B14998" t="s">
        <v>14</v>
      </c>
      <c r="C14998" t="s">
        <v>22</v>
      </c>
      <c r="D14998" s="2" t="s">
        <f>=HYPERLINK("https://main.knesset.gov.il/APPS/legislation/main/bills/2082402", "הצעת חוק מעונות יום שיקומיים (תיקון - הקדמת גיל הזכאות), התש""ף-2019")</f>
        <v>28835</v>
      </c>
      <c r="E14998" t="s">
        <v>28835</v>
      </c>
      <c r="F14998" t="s">
        <v>28836</v>
      </c>
      <c r="G14998" t="s">
        <v>14</v>
      </c>
      <c r="H14998">
             </c>
      <c r="I14998" t="s">
        <v>14</v>
      </c>
      <c r="J14998" t="s">
        <v>141</v>
      </c>
      <c r="K14998" t="s">
        <v>14</v>
      </c>
      <c r="L14998" t="s">
        <v>20</v>
      </c>
      <c r="M14998" t="s">
        <v>28539</v>
      </c>
      <c r="N14998" t="s">
        <v>14</v>
      </c>
    </row>
    <row r="14999" x14ac:dyDescent="0.25">
      <c r="A14999" t="n">
        <v>22</v>
      </c>
      <c r="B14999" t="s">
        <v>14</v>
      </c>
      <c r="C14999" t="s">
        <v>22</v>
      </c>
      <c r="D14999" s="2" t="s">
        <f>=HYPERLINK("https://main.knesset.gov.il/APPS/legislation/main/bills/2082392", "הצעת חוק לתיקון פקודת התעבורה (חובת התקנת מערכת למניעת השארת ילדים ברכב סגור), התש""ף-2019")</f>
        <v>28837</v>
      </c>
      <c r="E14999" t="s">
        <v>28837</v>
      </c>
      <c r="F14999" t="s">
        <v>28838</v>
      </c>
      <c r="G14999" t="s">
        <v>14</v>
      </c>
      <c r="H14999">
             </c>
      <c r="I14999" t="s">
        <v>14</v>
      </c>
      <c r="J14999" t="s">
        <v>141</v>
      </c>
      <c r="K14999" t="s">
        <v>14</v>
      </c>
      <c r="L14999" t="s">
        <v>20</v>
      </c>
      <c r="M14999" t="s">
        <v>28539</v>
      </c>
      <c r="N14999" t="s">
        <v>14</v>
      </c>
    </row>
    <row r="15000" x14ac:dyDescent="0.25">
      <c r="A15000" t="n">
        <v>22</v>
      </c>
      <c r="B15000" t="s">
        <v>14</v>
      </c>
      <c r="C15000" t="s">
        <v>22</v>
      </c>
      <c r="D15000" s="2" t="s">
        <f>=HYPERLINK("https://main.knesset.gov.il/APPS/legislation/main/bills/2082070", "הצעת חוק לתיקון פקודת התעבורה (התניית מתן רישיון רכב או חידושו בהתקנת מערכת המונעת השארת ילדים ברכב), התש""ף-2019")</f>
        <v>28839</v>
      </c>
      <c r="E15000" t="s">
        <v>28839</v>
      </c>
      <c r="F15000" t="s">
        <v>28840</v>
      </c>
      <c r="G15000" t="s">
        <v>14</v>
      </c>
      <c r="H15000">
             </c>
      <c r="I15000" t="s">
        <v>14</v>
      </c>
      <c r="J15000" t="s">
        <v>141</v>
      </c>
      <c r="K15000" t="s">
        <v>14</v>
      </c>
      <c r="L15000" t="s">
        <v>20</v>
      </c>
      <c r="M15000" t="s">
        <v>28539</v>
      </c>
      <c r="N15000" t="s">
        <v>14</v>
      </c>
    </row>
    <row r="15001" x14ac:dyDescent="0.25">
      <c r="A15001" t="n">
        <v>22</v>
      </c>
      <c r="B15001" t="s">
        <v>14</v>
      </c>
      <c r="C15001" t="s">
        <v>22</v>
      </c>
      <c r="D15001" s="2" t="s">
        <f>=HYPERLINK("https://main.knesset.gov.il/APPS/legislation/main/bills/2081326", "הצעת חוק זכויות תלמידים מחוננים ומצטיינים, התש""ף-2019")</f>
        <v>28841</v>
      </c>
      <c r="E15001" t="s">
        <v>28841</v>
      </c>
      <c r="F15001" t="s">
        <v>28842</v>
      </c>
      <c r="G15001" t="s">
        <v>14</v>
      </c>
      <c r="H15001">
             </c>
      <c r="I15001" t="s">
        <v>14</v>
      </c>
      <c r="J15001" t="s">
        <v>141</v>
      </c>
      <c r="K15001" t="s">
        <v>14</v>
      </c>
      <c r="L15001" t="s">
        <v>20</v>
      </c>
      <c r="M15001" t="s">
        <v>28539</v>
      </c>
      <c r="N15001" t="s">
        <v>14</v>
      </c>
    </row>
    <row r="15002" x14ac:dyDescent="0.25">
      <c r="A15002" t="n">
        <v>22</v>
      </c>
      <c r="B15002" t="s">
        <v>14</v>
      </c>
      <c r="C15002" t="s">
        <v>22</v>
      </c>
      <c r="D15002" s="2" t="s">
        <f>=HYPERLINK("https://main.knesset.gov.il/APPS/legislation/main/bills/2082214", "הצעת חוק בנק ישראל (תיקון - אישור פרטי שטרי כסף ומעות), התש""ף-2019")</f>
        <v>28843</v>
      </c>
      <c r="E15002" t="s">
        <v>28843</v>
      </c>
      <c r="F15002" t="s">
        <v>28844</v>
      </c>
      <c r="G15002" t="s">
        <v>14</v>
      </c>
      <c r="H15002">
             </c>
      <c r="I15002" t="s">
        <v>14</v>
      </c>
      <c r="J15002" t="s">
        <v>141</v>
      </c>
      <c r="K15002" t="s">
        <v>14</v>
      </c>
      <c r="L15002" t="s">
        <v>20</v>
      </c>
      <c r="M15002" t="s">
        <v>28539</v>
      </c>
      <c r="N15002" t="s">
        <v>14</v>
      </c>
    </row>
    <row r="15003" x14ac:dyDescent="0.25">
      <c r="A15003" t="n">
        <v>22</v>
      </c>
      <c r="B15003" t="s">
        <v>14</v>
      </c>
      <c r="C15003" t="s">
        <v>22</v>
      </c>
      <c r="D15003" s="2" t="s">
        <f>=HYPERLINK("https://main.knesset.gov.il/APPS/legislation/main/bills/2082325", "הצעת חוק זכויות הסטודנט (תיקון - תמיכה בסטודנטים שהם הורים), התש""ף-2019")</f>
        <v>28845</v>
      </c>
      <c r="E15003" t="s">
        <v>28845</v>
      </c>
      <c r="F15003" t="s">
        <v>28846</v>
      </c>
      <c r="G15003" t="s">
        <v>14</v>
      </c>
      <c r="H15003">
             </c>
      <c r="I15003" t="s">
        <v>14</v>
      </c>
      <c r="J15003" t="s">
        <v>141</v>
      </c>
      <c r="K15003" t="s">
        <v>14</v>
      </c>
      <c r="L15003" t="s">
        <v>20</v>
      </c>
      <c r="M15003" t="s">
        <v>28539</v>
      </c>
      <c r="N15003" t="s">
        <v>14</v>
      </c>
    </row>
    <row r="15004" x14ac:dyDescent="0.25">
      <c r="A15004" t="n">
        <v>22</v>
      </c>
      <c r="B15004" t="s">
        <v>14</v>
      </c>
      <c r="C15004" t="s">
        <v>22</v>
      </c>
      <c r="D15004" s="2" t="s">
        <f>=HYPERLINK("https://main.knesset.gov.il/APPS/legislation/main/bills/2082233", "הצעת חוק שירותי הסעד (תיקון - איסור התניית מימון שירותי רווחה ברשויות מוחלשות), התש""ף-2019")</f>
        <v>28847</v>
      </c>
      <c r="E15004" t="s">
        <v>28847</v>
      </c>
      <c r="F15004" t="s">
        <v>28848</v>
      </c>
      <c r="G15004" t="s">
        <v>14</v>
      </c>
      <c r="H15004">
             </c>
      <c r="I15004" t="s">
        <v>14</v>
      </c>
      <c r="J15004" t="s">
        <v>141</v>
      </c>
      <c r="K15004" t="s">
        <v>14</v>
      </c>
      <c r="L15004" t="s">
        <v>20</v>
      </c>
      <c r="M15004" t="s">
        <v>28539</v>
      </c>
      <c r="N15004" t="s">
        <v>14</v>
      </c>
    </row>
    <row r="15005" x14ac:dyDescent="0.25">
      <c r="A15005" t="n">
        <v>22</v>
      </c>
      <c r="B15005" t="s">
        <v>14</v>
      </c>
      <c r="C15005" t="s">
        <v>22</v>
      </c>
      <c r="D15005" s="2" t="s">
        <f>=HYPERLINK("https://main.knesset.gov.il/APPS/legislation/main/bills/2081265", "הצעת חוק לימוד חובה (תיקון - חינוך חינם לפעוטות ולילדים), התש""ף-2019")</f>
        <v>27720</v>
      </c>
      <c r="E15005" t="s">
        <v>27720</v>
      </c>
      <c r="F15005" t="s">
        <v>28849</v>
      </c>
      <c r="G15005" t="s">
        <v>14</v>
      </c>
      <c r="H15005">
             </c>
      <c r="I15005" t="s">
        <v>14</v>
      </c>
      <c r="J15005" t="s">
        <v>141</v>
      </c>
      <c r="K15005" t="s">
        <v>14</v>
      </c>
      <c r="L15005" t="s">
        <v>20</v>
      </c>
      <c r="M15005" t="s">
        <v>28539</v>
      </c>
      <c r="N15005" t="s">
        <v>14</v>
      </c>
    </row>
    <row r="15006" x14ac:dyDescent="0.25">
      <c r="A15006" t="n">
        <v>22</v>
      </c>
      <c r="B15006" t="s">
        <v>14</v>
      </c>
      <c r="C15006" t="s">
        <v>22</v>
      </c>
      <c r="D15006" s="2" t="s">
        <f>=HYPERLINK("https://main.knesset.gov.il/APPS/legislation/main/bills/2081732", "הצעת חוק הבנקאות (שירות ללקוח) (תיקון - ביטול עמלה בעד שינוי מועד פירעון חודשי של הלוואה לדיור והגבלת גובה עמלות), התש""ף-2019")</f>
        <v>28850</v>
      </c>
      <c r="E15006" t="s">
        <v>28850</v>
      </c>
      <c r="F15006" t="s">
        <v>28851</v>
      </c>
      <c r="G15006" t="s">
        <v>14</v>
      </c>
      <c r="H15006">
             </c>
      <c r="I15006" t="s">
        <v>14</v>
      </c>
      <c r="J15006" t="s">
        <v>141</v>
      </c>
      <c r="K15006" t="s">
        <v>14</v>
      </c>
      <c r="L15006" t="s">
        <v>20</v>
      </c>
      <c r="M15006" t="s">
        <v>28539</v>
      </c>
      <c r="N15006" t="s">
        <v>14</v>
      </c>
    </row>
    <row r="15007" x14ac:dyDescent="0.25">
      <c r="A15007" t="n">
        <v>22</v>
      </c>
      <c r="B15007" t="s">
        <v>14</v>
      </c>
      <c r="C15007" t="s">
        <v>22</v>
      </c>
      <c r="D15007" s="2" t="s">
        <f>=HYPERLINK("https://main.knesset.gov.il/APPS/legislation/main/bills/2082201", "הצעת חוק הגנת הצרכן (תיקון - חובת סימון נפח האריזה וקביעת הנפח בשימוש), התש""ף-2019")</f>
        <v>28852</v>
      </c>
      <c r="E15007" t="s">
        <v>28852</v>
      </c>
      <c r="F15007" t="s">
        <v>28853</v>
      </c>
      <c r="G15007" t="s">
        <v>14</v>
      </c>
      <c r="H15007">
             </c>
      <c r="I15007" t="s">
        <v>14</v>
      </c>
      <c r="J15007" t="s">
        <v>141</v>
      </c>
      <c r="K15007" t="s">
        <v>14</v>
      </c>
      <c r="L15007" t="s">
        <v>20</v>
      </c>
      <c r="M15007" t="s">
        <v>28539</v>
      </c>
      <c r="N15007" t="s">
        <v>14</v>
      </c>
    </row>
    <row r="15008" x14ac:dyDescent="0.25">
      <c r="A15008" t="n">
        <v>22</v>
      </c>
      <c r="B15008" t="s">
        <v>14</v>
      </c>
      <c r="C15008" t="s">
        <v>22</v>
      </c>
      <c r="D15008" s="2" t="s">
        <f>=HYPERLINK("https://main.knesset.gov.il/APPS/legislation/main/bills/2082384", "הצעת חוק כרטיסי חיוב (תיקון - חובת פרסום פרטי ספק), התש""ף-2019")</f>
        <v>28854</v>
      </c>
      <c r="E15008" t="s">
        <v>28854</v>
      </c>
      <c r="F15008" t="s">
        <v>28855</v>
      </c>
      <c r="G15008" t="s">
        <v>14</v>
      </c>
      <c r="H15008">
             </c>
      <c r="I15008" t="s">
        <v>14</v>
      </c>
      <c r="J15008" t="s">
        <v>141</v>
      </c>
      <c r="K15008" t="s">
        <v>14</v>
      </c>
      <c r="L15008" t="s">
        <v>20</v>
      </c>
      <c r="M15008" t="s">
        <v>28539</v>
      </c>
      <c r="N15008" t="s">
        <v>14</v>
      </c>
    </row>
    <row r="15009" x14ac:dyDescent="0.25">
      <c r="A15009" t="n">
        <v>22</v>
      </c>
      <c r="B15009" t="s">
        <v>14</v>
      </c>
      <c r="C15009" t="s">
        <v>22</v>
      </c>
      <c r="D15009" s="2" t="s">
        <f>=HYPERLINK("https://main.knesset.gov.il/APPS/legislation/main/bills/2082361", "הצעת חוק הגנת הצרכן (תיקון - חובת פרסום שם יצרן ודגם מוצר), התש""ף-2019")</f>
        <v>28856</v>
      </c>
      <c r="E15009" t="s">
        <v>28856</v>
      </c>
      <c r="F15009" t="s">
        <v>28857</v>
      </c>
      <c r="G15009" t="s">
        <v>14</v>
      </c>
      <c r="H15009">
             </c>
      <c r="I15009" t="s">
        <v>14</v>
      </c>
      <c r="J15009" t="s">
        <v>141</v>
      </c>
      <c r="K15009" t="s">
        <v>14</v>
      </c>
      <c r="L15009" t="s">
        <v>20</v>
      </c>
      <c r="M15009" t="s">
        <v>28539</v>
      </c>
      <c r="N15009" t="s">
        <v>14</v>
      </c>
    </row>
    <row r="15010" x14ac:dyDescent="0.25">
      <c r="A15010" t="n">
        <v>22</v>
      </c>
      <c r="B15010" t="s">
        <v>14</v>
      </c>
      <c r="C15010" t="s">
        <v>22</v>
      </c>
      <c r="D15010" s="2" t="s">
        <f>=HYPERLINK("https://main.knesset.gov.il/APPS/legislation/main/bills/2082388", "הצעת חוק לתיקון פקודת הראיות (התייחסות איש צוות רפואי שלא תשמש ראיה), התש""ף-2019")</f>
        <v>28858</v>
      </c>
      <c r="E15010" t="s">
        <v>28858</v>
      </c>
      <c r="F15010" t="s">
        <v>28859</v>
      </c>
      <c r="G15010" t="s">
        <v>14</v>
      </c>
      <c r="H15010">
             </c>
      <c r="I15010" t="s">
        <v>14</v>
      </c>
      <c r="J15010" t="s">
        <v>141</v>
      </c>
      <c r="K15010" t="s">
        <v>14</v>
      </c>
      <c r="L15010" t="s">
        <v>20</v>
      </c>
      <c r="M15010" t="s">
        <v>28539</v>
      </c>
      <c r="N15010" t="s">
        <v>14</v>
      </c>
    </row>
    <row r="15011" x14ac:dyDescent="0.25">
      <c r="A15011" t="n">
        <v>22</v>
      </c>
      <c r="B15011" t="s">
        <v>14</v>
      </c>
      <c r="C15011" t="s">
        <v>22</v>
      </c>
      <c r="D15011" s="2" t="s">
        <f>=HYPERLINK("https://main.knesset.gov.il/APPS/legislation/main/bills/2082003", "הצעת חוק-יסוד: הכנסת (תיקון - הגבלת זכות השתיקה)")</f>
        <v>28860</v>
      </c>
      <c r="E15011" t="s">
        <v>28860</v>
      </c>
      <c r="F15011" t="s">
        <v>28861</v>
      </c>
      <c r="G15011" t="s">
        <v>14</v>
      </c>
      <c r="H15011">
             </c>
      <c r="I15011" t="s">
        <v>14</v>
      </c>
      <c r="J15011" t="s">
        <v>141</v>
      </c>
      <c r="K15011" t="s">
        <v>14</v>
      </c>
      <c r="L15011" t="s">
        <v>20</v>
      </c>
      <c r="M15011" t="s">
        <v>28539</v>
      </c>
      <c r="N15011" t="s">
        <v>14</v>
      </c>
    </row>
    <row r="15012" x14ac:dyDescent="0.25">
      <c r="A15012" t="n">
        <v>22</v>
      </c>
      <c r="B15012" t="s">
        <v>14</v>
      </c>
      <c r="C15012" t="s">
        <v>22</v>
      </c>
      <c r="D15012" s="2" t="s">
        <f>=HYPERLINK("https://main.knesset.gov.il/APPS/legislation/main/bills/2082090", "הצעת חוק קליטת חיילים משוחררים (תיקון - לימודים אקדמיים לחיילים משוחררים ששירתו כלוחמים במימון המדינה), התש""ף-2019")</f>
        <v>28862</v>
      </c>
      <c r="E15012" t="s">
        <v>28862</v>
      </c>
      <c r="F15012" t="s">
        <v>28863</v>
      </c>
      <c r="G15012" t="s">
        <v>14</v>
      </c>
      <c r="H15012">
             </c>
      <c r="I15012" t="s">
        <v>14</v>
      </c>
      <c r="J15012" t="s">
        <v>141</v>
      </c>
      <c r="K15012" t="s">
        <v>14</v>
      </c>
      <c r="L15012" t="s">
        <v>20</v>
      </c>
      <c r="M15012" t="s">
        <v>28539</v>
      </c>
      <c r="N15012" t="s">
        <v>14</v>
      </c>
    </row>
    <row r="15013" x14ac:dyDescent="0.25">
      <c r="A15013" t="n">
        <v>22</v>
      </c>
      <c r="B15013" t="s">
        <v>14</v>
      </c>
      <c r="C15013" t="s">
        <v>22</v>
      </c>
      <c r="D15013" s="2" t="s">
        <f>=HYPERLINK("https://main.knesset.gov.il/APPS/legislation/main/bills/2082352", "הצעת חוק הביטוח הלאומי (תיקון - שירותים מיוחדים לילד נכה), התש""ף-2019")</f>
        <v>28864</v>
      </c>
      <c r="E15013" t="s">
        <v>28864</v>
      </c>
      <c r="F15013" t="s">
        <v>28865</v>
      </c>
      <c r="G15013" t="s">
        <v>14</v>
      </c>
      <c r="H15013">
             </c>
      <c r="I15013" t="s">
        <v>14</v>
      </c>
      <c r="J15013" t="s">
        <v>141</v>
      </c>
      <c r="K15013" t="s">
        <v>14</v>
      </c>
      <c r="L15013" t="s">
        <v>20</v>
      </c>
      <c r="M15013" t="s">
        <v>28539</v>
      </c>
      <c r="N15013" t="s">
        <v>14</v>
      </c>
    </row>
    <row r="15014" x14ac:dyDescent="0.25">
      <c r="A15014" t="n">
        <v>22</v>
      </c>
      <c r="B15014" t="s">
        <v>14</v>
      </c>
      <c r="C15014" t="s">
        <v>22</v>
      </c>
      <c r="D15014" s="2" t="s">
        <f>=HYPERLINK("https://main.knesset.gov.il/APPS/legislation/main/bills/2081533", "הצעת חוק-יסוד: כבוד האדם וחירותו (תיקון - הזכות לשוויון) ")</f>
        <v>8311</v>
      </c>
      <c r="E15014" t="s">
        <v>8311</v>
      </c>
      <c r="F15014" t="s">
        <v>28866</v>
      </c>
      <c r="G15014" t="s">
        <v>14</v>
      </c>
      <c r="H15014">
             </c>
      <c r="I15014" t="s">
        <v>14</v>
      </c>
      <c r="J15014" t="s">
        <v>141</v>
      </c>
      <c r="K15014" t="s">
        <v>14</v>
      </c>
      <c r="L15014" t="s">
        <v>20</v>
      </c>
      <c r="M15014" t="s">
        <v>28539</v>
      </c>
      <c r="N15014" t="s">
        <v>14</v>
      </c>
    </row>
    <row r="15015" x14ac:dyDescent="0.25">
      <c r="A15015" t="n">
        <v>22</v>
      </c>
      <c r="B15015" t="s">
        <v>14</v>
      </c>
      <c r="C15015" t="s">
        <v>22</v>
      </c>
      <c r="D15015" s="2" t="s">
        <f>=HYPERLINK("https://main.knesset.gov.il/APPS/legislation/main/bills/2082379", "הצעת חוק זכויות החולה (תיקון - מתן הסכמה לטיפול רפואי), התש""ף-2019")</f>
        <v>28867</v>
      </c>
      <c r="E15015" t="s">
        <v>28867</v>
      </c>
      <c r="F15015" t="s">
        <v>28868</v>
      </c>
      <c r="G15015" t="s">
        <v>14</v>
      </c>
      <c r="H15015">
             </c>
      <c r="I15015" t="s">
        <v>14</v>
      </c>
      <c r="J15015" t="s">
        <v>141</v>
      </c>
      <c r="K15015" t="s">
        <v>14</v>
      </c>
      <c r="L15015" t="s">
        <v>20</v>
      </c>
      <c r="M15015" t="s">
        <v>28539</v>
      </c>
      <c r="N15015" t="s">
        <v>14</v>
      </c>
    </row>
    <row r="15016" x14ac:dyDescent="0.25">
      <c r="A15016" t="n">
        <v>22</v>
      </c>
      <c r="B15016" t="s">
        <v>14</v>
      </c>
      <c r="C15016" t="s">
        <v>22</v>
      </c>
      <c r="D15016" s="2" t="s">
        <f>=HYPERLINK("https://main.knesset.gov.il/APPS/legislation/main/bills/2082353", "הצעת חוק הגנת הפרטיות (תיקון - דיווח על פריצה למאגר מידע), התש""ף-2019")</f>
        <v>28869</v>
      </c>
      <c r="E15016" t="s">
        <v>28869</v>
      </c>
      <c r="F15016" t="s">
        <v>28870</v>
      </c>
      <c r="G15016" t="s">
        <v>14</v>
      </c>
      <c r="H15016">
             </c>
      <c r="I15016" t="s">
        <v>14</v>
      </c>
      <c r="J15016" t="s">
        <v>141</v>
      </c>
      <c r="K15016" t="s">
        <v>14</v>
      </c>
      <c r="L15016" t="s">
        <v>20</v>
      </c>
      <c r="M15016" t="s">
        <v>28539</v>
      </c>
      <c r="N15016" t="s">
        <v>14</v>
      </c>
    </row>
    <row r="15017" x14ac:dyDescent="0.25">
      <c r="A15017" t="n">
        <v>22</v>
      </c>
      <c r="B15017" t="s">
        <v>14</v>
      </c>
      <c r="C15017" t="s">
        <v>22</v>
      </c>
      <c r="D15017" s="2" t="s">
        <f>=HYPERLINK("https://main.knesset.gov.il/APPS/legislation/main/bills/2081943", "הצעת חוק המקרקעין (תיקון - סילוק פולשים), התש""ף-2019")</f>
        <v>28871</v>
      </c>
      <c r="E15017" t="s">
        <v>28871</v>
      </c>
      <c r="F15017" t="s">
        <v>28872</v>
      </c>
      <c r="G15017" t="s">
        <v>14</v>
      </c>
      <c r="H15017">
             </c>
      <c r="I15017" t="s">
        <v>14</v>
      </c>
      <c r="J15017" t="s">
        <v>141</v>
      </c>
      <c r="K15017" t="s">
        <v>14</v>
      </c>
      <c r="L15017" t="s">
        <v>20</v>
      </c>
      <c r="M15017" t="s">
        <v>28539</v>
      </c>
      <c r="N15017" t="s">
        <v>14</v>
      </c>
    </row>
    <row r="15018" x14ac:dyDescent="0.25">
      <c r="A15018" t="n">
        <v>22</v>
      </c>
      <c r="B15018" t="s">
        <v>14</v>
      </c>
      <c r="C15018" t="s">
        <v>22</v>
      </c>
      <c r="D15018" s="2" t="s">
        <f>=HYPERLINK("https://main.knesset.gov.il/APPS/legislation/main/bills/2081985", "הצעת חוק שירות המדינה (מינויים) (תיקון - ועדת איתור למינוי נציב שירות המדינה), התש""ף-2019")</f>
        <v>28873</v>
      </c>
      <c r="E15018" t="s">
        <v>28873</v>
      </c>
      <c r="F15018" t="s">
        <v>28874</v>
      </c>
      <c r="G15018" t="s">
        <v>14</v>
      </c>
      <c r="H15018">
             </c>
      <c r="I15018" t="s">
        <v>14</v>
      </c>
      <c r="J15018" t="s">
        <v>141</v>
      </c>
      <c r="K15018" t="s">
        <v>14</v>
      </c>
      <c r="L15018" t="s">
        <v>20</v>
      </c>
      <c r="M15018" t="s">
        <v>28539</v>
      </c>
      <c r="N15018" t="s">
        <v>14</v>
      </c>
    </row>
    <row r="15019" x14ac:dyDescent="0.25">
      <c r="A15019" t="n">
        <v>22</v>
      </c>
      <c r="B15019" t="s">
        <v>14</v>
      </c>
      <c r="C15019" t="s">
        <v>22</v>
      </c>
      <c r="D15019" s="2" t="s">
        <f>=HYPERLINK("https://main.knesset.gov.il/APPS/legislation/main/bills/2082381", "הצעת חוק חובת המכרזים (תיקון - עידוד העסקת עובדים מאוכלוסיות ייחודיות), התש""ף-2019")</f>
        <v>28875</v>
      </c>
      <c r="E15019" t="s">
        <v>28875</v>
      </c>
      <c r="F15019" t="s">
        <v>28876</v>
      </c>
      <c r="G15019" t="s">
        <v>14</v>
      </c>
      <c r="H15019">
             </c>
      <c r="I15019" t="s">
        <v>14</v>
      </c>
      <c r="J15019" t="s">
        <v>141</v>
      </c>
      <c r="K15019" t="s">
        <v>14</v>
      </c>
      <c r="L15019" t="s">
        <v>20</v>
      </c>
      <c r="M15019" t="s">
        <v>28539</v>
      </c>
      <c r="N15019" t="s">
        <v>14</v>
      </c>
    </row>
    <row r="15020" x14ac:dyDescent="0.25">
      <c r="A15020" t="n">
        <v>22</v>
      </c>
      <c r="B15020" t="s">
        <v>14</v>
      </c>
      <c r="C15020" t="s">
        <v>22</v>
      </c>
      <c r="D15020" s="2" t="s">
        <f>=HYPERLINK("https://main.knesset.gov.il/APPS/legislation/main/bills/2081438", "הצעת חוק העסקת עובדי הוראה, התש""ף-2019")</f>
        <v>27786</v>
      </c>
      <c r="E15020" t="s">
        <v>27786</v>
      </c>
      <c r="F15020" t="s">
        <v>28877</v>
      </c>
      <c r="G15020" t="s">
        <v>14</v>
      </c>
      <c r="H15020">
             </c>
      <c r="I15020" t="s">
        <v>14</v>
      </c>
      <c r="J15020" t="s">
        <v>141</v>
      </c>
      <c r="K15020" t="s">
        <v>14</v>
      </c>
      <c r="L15020" t="s">
        <v>20</v>
      </c>
      <c r="M15020" t="s">
        <v>28539</v>
      </c>
      <c r="N15020" t="s">
        <v>14</v>
      </c>
    </row>
    <row r="15021" x14ac:dyDescent="0.25">
      <c r="A15021" t="n">
        <v>22</v>
      </c>
      <c r="B15021" t="s">
        <v>14</v>
      </c>
      <c r="C15021" t="s">
        <v>22</v>
      </c>
      <c r="D15021" s="2" t="s">
        <f>=HYPERLINK("https://main.knesset.gov.il/APPS/legislation/main/bills/2082547", "הצעת חוק לתיקון פקודת התעבורה (מתקן שמטרתו למנוע שכחת ילד ברכב), התש""ף-2019")</f>
        <v>28878</v>
      </c>
      <c r="E15021" t="s">
        <v>28878</v>
      </c>
      <c r="F15021" t="s">
        <v>28879</v>
      </c>
      <c r="G15021" t="s">
        <v>14</v>
      </c>
      <c r="H15021">
             </c>
      <c r="I15021" t="s">
        <v>14</v>
      </c>
      <c r="J15021" t="s">
        <v>141</v>
      </c>
      <c r="K15021" t="s">
        <v>14</v>
      </c>
      <c r="L15021" t="s">
        <v>20</v>
      </c>
      <c r="M15021" t="s">
        <v>28539</v>
      </c>
      <c r="N15021" t="s">
        <v>14</v>
      </c>
    </row>
    <row r="15022" x14ac:dyDescent="0.25">
      <c r="A15022" t="n">
        <v>22</v>
      </c>
      <c r="B15022" t="s">
        <v>14</v>
      </c>
      <c r="C15022" t="s">
        <v>22</v>
      </c>
      <c r="D15022" s="2" t="s">
        <f>=HYPERLINK("https://main.knesset.gov.il/APPS/legislation/main/bills/2082012", "הצעת חוק צער בעלי חיים (הגנה על בעלי חיים) (תיקון - החמרת ענישה בגין התעללות בבעלי חיים), התש""ף-2019")</f>
        <v>28880</v>
      </c>
      <c r="E15022" t="s">
        <v>28880</v>
      </c>
      <c r="F15022" t="s">
        <v>28881</v>
      </c>
      <c r="G15022" t="s">
        <v>14</v>
      </c>
      <c r="H15022">
             </c>
      <c r="I15022" t="s">
        <v>14</v>
      </c>
      <c r="J15022" t="s">
        <v>141</v>
      </c>
      <c r="K15022" t="s">
        <v>14</v>
      </c>
      <c r="L15022" t="s">
        <v>20</v>
      </c>
      <c r="M15022" t="s">
        <v>28539</v>
      </c>
      <c r="N15022" t="s">
        <v>14</v>
      </c>
    </row>
    <row r="15023" x14ac:dyDescent="0.25">
      <c r="A15023" t="n">
        <v>22</v>
      </c>
      <c r="B15023" t="s">
        <v>14</v>
      </c>
      <c r="C15023" t="s">
        <v>22</v>
      </c>
      <c r="D15023" s="2" t="s">
        <f>=HYPERLINK("https://main.knesset.gov.il/APPS/legislation/main/bills/2083095", "הצעת חוק הכנסת (תיקון - הוראות מיוחדות לעניין ראש אופוזיציה מסיעה קטנה), התש""ף-2019")</f>
        <v>28882</v>
      </c>
      <c r="E15023" t="s">
        <v>28882</v>
      </c>
      <c r="F15023" t="s">
        <v>28883</v>
      </c>
      <c r="G15023" t="s">
        <v>14</v>
      </c>
      <c r="H15023">
             </c>
      <c r="I15023" t="s">
        <v>14</v>
      </c>
      <c r="J15023" t="s">
        <v>141</v>
      </c>
      <c r="K15023" t="s">
        <v>14</v>
      </c>
      <c r="L15023" t="s">
        <v>20</v>
      </c>
      <c r="M15023" t="s">
        <v>28539</v>
      </c>
      <c r="N15023" t="s">
        <v>14</v>
      </c>
    </row>
    <row r="15024" x14ac:dyDescent="0.25">
      <c r="A15024" t="n">
        <v>22</v>
      </c>
      <c r="B15024" t="s">
        <v>14</v>
      </c>
      <c r="C15024" t="s">
        <v>22</v>
      </c>
      <c r="D15024" s="2" t="s">
        <f>=HYPERLINK("https://main.knesset.gov.il/APPS/legislation/main/bills/2082503", "הצעת חוק לעידוד מחקר, פיתוח וחדשנות טכנולוגית בתעשייה (תיקון - תקציב הרשות הלאומית לחדשנות טכנולוגית), התש""ף-2019")</f>
        <v>28884</v>
      </c>
      <c r="E15024" t="s">
        <v>28884</v>
      </c>
      <c r="F15024" t="s">
        <v>28885</v>
      </c>
      <c r="G15024" t="s">
        <v>14</v>
      </c>
      <c r="H15024">
             </c>
      <c r="I15024" t="s">
        <v>14</v>
      </c>
      <c r="J15024" t="s">
        <v>141</v>
      </c>
      <c r="K15024" t="s">
        <v>14</v>
      </c>
      <c r="L15024" t="s">
        <v>20</v>
      </c>
      <c r="M15024" t="s">
        <v>28539</v>
      </c>
      <c r="N15024" t="s">
        <v>14</v>
      </c>
    </row>
    <row r="15025" x14ac:dyDescent="0.25">
      <c r="A15025" t="n">
        <v>22</v>
      </c>
      <c r="B15025" t="s">
        <v>14</v>
      </c>
      <c r="C15025" t="s">
        <v>22</v>
      </c>
      <c r="D15025" s="2" t="s">
        <f>=HYPERLINK("https://main.knesset.gov.il/APPS/legislation/main/bills/2082104", "הצעת חוק הגנת הצרכן (תיקון - שינוי פרטים בכרטיס טיסה או בכרטיס לשיט), התש""ף-2019")</f>
        <v>28886</v>
      </c>
      <c r="E15025" t="s">
        <v>28886</v>
      </c>
      <c r="F15025" t="s">
        <v>28887</v>
      </c>
      <c r="G15025" t="s">
        <v>14</v>
      </c>
      <c r="H15025">
             </c>
      <c r="I15025" t="s">
        <v>14</v>
      </c>
      <c r="J15025" t="s">
        <v>141</v>
      </c>
      <c r="K15025" t="s">
        <v>14</v>
      </c>
      <c r="L15025" t="s">
        <v>20</v>
      </c>
      <c r="M15025" t="s">
        <v>28539</v>
      </c>
      <c r="N15025" t="s">
        <v>14</v>
      </c>
    </row>
    <row r="15026" x14ac:dyDescent="0.25">
      <c r="A15026" t="n">
        <v>22</v>
      </c>
      <c r="B15026" t="s">
        <v>14</v>
      </c>
      <c r="C15026" t="s">
        <v>22</v>
      </c>
      <c r="D15026" s="2" t="s">
        <f>=HYPERLINK("https://main.knesset.gov.il/APPS/legislation/main/bills/2082022", "הצעת חוק ההנדסאים והטכנאים המוסמכים (תיקון - השכלה טכנולוגית), התש""ף-2019")</f>
        <v>28888</v>
      </c>
      <c r="E15026" t="s">
        <v>28888</v>
      </c>
      <c r="F15026" t="s">
        <v>28889</v>
      </c>
      <c r="G15026" t="s">
        <v>14</v>
      </c>
      <c r="H15026">
             </c>
      <c r="I15026" t="s">
        <v>14</v>
      </c>
      <c r="J15026" t="s">
        <v>141</v>
      </c>
      <c r="K15026" t="s">
        <v>14</v>
      </c>
      <c r="L15026" t="s">
        <v>20</v>
      </c>
      <c r="M15026" t="s">
        <v>28539</v>
      </c>
      <c r="N15026" t="s">
        <v>14</v>
      </c>
    </row>
    <row r="15027" x14ac:dyDescent="0.25">
      <c r="A15027" t="n">
        <v>22</v>
      </c>
      <c r="B15027" t="s">
        <v>14</v>
      </c>
      <c r="C15027" t="s">
        <v>22</v>
      </c>
      <c r="D15027" s="2" t="s">
        <f>=HYPERLINK("https://main.knesset.gov.il/APPS/legislation/main/bills/2082224", "הצעת חוק הקמת האקדמיה הלאומית לשפת הסימנים, התש""ף-2019")</f>
        <v>28890</v>
      </c>
      <c r="E15027" t="s">
        <v>28890</v>
      </c>
      <c r="F15027" t="s">
        <v>28891</v>
      </c>
      <c r="G15027" t="s">
        <v>14</v>
      </c>
      <c r="H15027">
             </c>
      <c r="I15027" t="s">
        <v>14</v>
      </c>
      <c r="J15027" t="s">
        <v>141</v>
      </c>
      <c r="K15027" t="s">
        <v>14</v>
      </c>
      <c r="L15027" t="s">
        <v>20</v>
      </c>
      <c r="M15027" t="s">
        <v>28539</v>
      </c>
      <c r="N15027" t="s">
        <v>14</v>
      </c>
    </row>
    <row r="15028" x14ac:dyDescent="0.25">
      <c r="A15028" t="n">
        <v>22</v>
      </c>
      <c r="B15028" t="s">
        <v>14</v>
      </c>
      <c r="C15028" t="s">
        <v>22</v>
      </c>
      <c r="D15028" s="2" t="s">
        <f>=HYPERLINK("https://main.knesset.gov.il/APPS/legislation/main/bills/2081471", "הצעת חוק סיוע לבני משפחה של נפטר ממחלה סופנית, התש""ף-2019")</f>
        <v>28892</v>
      </c>
      <c r="E15028" t="s">
        <v>28892</v>
      </c>
      <c r="F15028" t="s">
        <v>28893</v>
      </c>
      <c r="G15028" t="s">
        <v>14</v>
      </c>
      <c r="H15028">
             </c>
      <c r="I15028" t="s">
        <v>14</v>
      </c>
      <c r="J15028" t="s">
        <v>141</v>
      </c>
      <c r="K15028" t="s">
        <v>14</v>
      </c>
      <c r="L15028" t="s">
        <v>20</v>
      </c>
      <c r="M15028" t="s">
        <v>28539</v>
      </c>
      <c r="N15028" t="s">
        <v>14</v>
      </c>
    </row>
    <row r="15029" x14ac:dyDescent="0.25">
      <c r="A15029" t="n">
        <v>22</v>
      </c>
      <c r="B15029" t="s">
        <v>14</v>
      </c>
      <c r="C15029" t="s">
        <v>22</v>
      </c>
      <c r="D15029" s="2" t="s">
        <f>=HYPERLINK("https://main.knesset.gov.il/APPS/legislation/main/bills/2082037", "הצעת חוק המטה להיערכות הלאומית להזדקנות האוכלוסייה, התש""ף-2019")</f>
        <v>28894</v>
      </c>
      <c r="E15029" t="s">
        <v>28894</v>
      </c>
      <c r="F15029" t="s">
        <v>28895</v>
      </c>
      <c r="G15029" t="s">
        <v>14</v>
      </c>
      <c r="H15029">
             </c>
      <c r="I15029" t="s">
        <v>14</v>
      </c>
      <c r="J15029" t="s">
        <v>141</v>
      </c>
      <c r="K15029" t="s">
        <v>14</v>
      </c>
      <c r="L15029" t="s">
        <v>20</v>
      </c>
      <c r="M15029" t="s">
        <v>28539</v>
      </c>
      <c r="N15029" t="s">
        <v>14</v>
      </c>
    </row>
    <row r="15030" x14ac:dyDescent="0.25">
      <c r="A15030" t="n">
        <v>22</v>
      </c>
      <c r="B15030" t="s">
        <v>14</v>
      </c>
      <c r="C15030" t="s">
        <v>22</v>
      </c>
      <c r="D15030" s="2" t="s">
        <f>=HYPERLINK("https://main.knesset.gov.il/APPS/legislation/main/bills/2082056", "הצעת חוק הביטוח הלאומי (תיקון - שמירה חקלאית כעבודה מועדפת), התש""ף-2019")</f>
        <v>28896</v>
      </c>
      <c r="E15030" t="s">
        <v>28896</v>
      </c>
      <c r="F15030" t="s">
        <v>28897</v>
      </c>
      <c r="G15030" t="s">
        <v>14</v>
      </c>
      <c r="H15030">
             </c>
      <c r="I15030" t="s">
        <v>14</v>
      </c>
      <c r="J15030" t="s">
        <v>141</v>
      </c>
      <c r="K15030" t="s">
        <v>14</v>
      </c>
      <c r="L15030" t="s">
        <v>20</v>
      </c>
      <c r="M15030" t="s">
        <v>28539</v>
      </c>
      <c r="N15030" t="s">
        <v>14</v>
      </c>
    </row>
    <row r="15031" x14ac:dyDescent="0.25">
      <c r="A15031" t="n">
        <v>22</v>
      </c>
      <c r="B15031" t="s">
        <v>14</v>
      </c>
      <c r="C15031" t="s">
        <v>22</v>
      </c>
      <c r="D15031" s="2" t="s">
        <f>=HYPERLINK("https://main.knesset.gov.il/APPS/legislation/main/bills/2082220", "הצעת חוק עבודת נשים (תיקון - חישוב ימי מחלה בתקופת היריון), התש""ף-2019")</f>
        <v>28898</v>
      </c>
      <c r="E15031" t="s">
        <v>28898</v>
      </c>
      <c r="F15031" t="s">
        <v>28899</v>
      </c>
      <c r="G15031" t="s">
        <v>14</v>
      </c>
      <c r="H15031">
             </c>
      <c r="I15031" t="s">
        <v>14</v>
      </c>
      <c r="J15031" t="s">
        <v>141</v>
      </c>
      <c r="K15031" t="s">
        <v>14</v>
      </c>
      <c r="L15031" t="s">
        <v>20</v>
      </c>
      <c r="M15031" t="s">
        <v>28539</v>
      </c>
      <c r="N15031" t="s">
        <v>14</v>
      </c>
    </row>
    <row r="15032" x14ac:dyDescent="0.25">
      <c r="A15032" t="n">
        <v>22</v>
      </c>
      <c r="B15032" t="s">
        <v>14</v>
      </c>
      <c r="C15032" t="s">
        <v>22</v>
      </c>
      <c r="D15032" s="2" t="s">
        <f>=HYPERLINK("https://main.knesset.gov.il/APPS/legislation/main/bills/2081278", "הצעת חוק הביטוח הלאומי (תיקון - הכנסה מביטוח אובדן כושר עבודה), התש""ף-2019")</f>
        <v>28900</v>
      </c>
      <c r="E15032" t="s">
        <v>28900</v>
      </c>
      <c r="F15032" t="s">
        <v>28901</v>
      </c>
      <c r="G15032" t="s">
        <v>14</v>
      </c>
      <c r="H15032">
             </c>
      <c r="I15032" t="s">
        <v>14</v>
      </c>
      <c r="J15032" t="s">
        <v>141</v>
      </c>
      <c r="K15032" t="s">
        <v>14</v>
      </c>
      <c r="L15032" t="s">
        <v>20</v>
      </c>
      <c r="M15032" t="s">
        <v>28539</v>
      </c>
      <c r="N15032" t="s">
        <v>14</v>
      </c>
    </row>
    <row r="15033" x14ac:dyDescent="0.25">
      <c r="A15033" t="n">
        <v>22</v>
      </c>
      <c r="B15033" t="s">
        <v>14</v>
      </c>
      <c r="C15033" t="s">
        <v>22</v>
      </c>
      <c r="D15033" s="2" t="s">
        <f>=HYPERLINK("https://main.knesset.gov.il/APPS/legislation/main/bills/2082049", "הצעת חוק הביטוח הלאומי (תיקון - עבודות טבחות, תחזוקה וניקיון במסעדות ובתי אוכל כעבודה מועדפת), התש""ף-2019")</f>
        <v>28902</v>
      </c>
      <c r="E15033" t="s">
        <v>28902</v>
      </c>
      <c r="F15033" t="s">
        <v>28903</v>
      </c>
      <c r="G15033" t="s">
        <v>14</v>
      </c>
      <c r="H15033">
             </c>
      <c r="I15033" t="s">
        <v>14</v>
      </c>
      <c r="J15033" t="s">
        <v>141</v>
      </c>
      <c r="K15033" t="s">
        <v>14</v>
      </c>
      <c r="L15033" t="s">
        <v>20</v>
      </c>
      <c r="M15033" t="s">
        <v>28539</v>
      </c>
      <c r="N15033" t="s">
        <v>14</v>
      </c>
    </row>
    <row r="15034" x14ac:dyDescent="0.25">
      <c r="A15034" t="n">
        <v>22</v>
      </c>
      <c r="B15034" t="s">
        <v>14</v>
      </c>
      <c r="C15034" t="s">
        <v>22</v>
      </c>
      <c r="D15034" s="2" t="s">
        <f>=HYPERLINK("https://main.knesset.gov.il/APPS/legislation/main/bills/2081966", "הצעת חוק הביטוח הלאומי (תיקון - עדכון קצבת אזרח ותיק בהתאם לשכר המינימום), התש""ף-2019 ")</f>
        <v>28904</v>
      </c>
      <c r="E15034" t="s">
        <v>28904</v>
      </c>
      <c r="F15034" t="s">
        <v>28905</v>
      </c>
      <c r="G15034" t="s">
        <v>14</v>
      </c>
      <c r="H15034">
             </c>
      <c r="I15034" t="s">
        <v>14</v>
      </c>
      <c r="J15034" t="s">
        <v>141</v>
      </c>
      <c r="K15034" t="s">
        <v>14</v>
      </c>
      <c r="L15034" t="s">
        <v>20</v>
      </c>
      <c r="M15034" t="s">
        <v>28539</v>
      </c>
      <c r="N15034" t="s">
        <v>14</v>
      </c>
    </row>
    <row r="15035" x14ac:dyDescent="0.25">
      <c r="A15035" t="n">
        <v>22</v>
      </c>
      <c r="B15035" t="s">
        <v>14</v>
      </c>
      <c r="C15035" t="s">
        <v>22</v>
      </c>
      <c r="D15035" s="2" t="s">
        <f>=HYPERLINK("https://main.knesset.gov.il/APPS/legislation/main/bills/2081211", "הצעת חוק שכר מינימום (תיקון - שכר מינימום לעובד שטרם מלאו לו 18 שנים), התש""ף-2019")</f>
        <v>28906</v>
      </c>
      <c r="E15035" t="s">
        <v>28906</v>
      </c>
      <c r="F15035" t="s">
        <v>28907</v>
      </c>
      <c r="G15035" t="s">
        <v>14</v>
      </c>
      <c r="H15035">
             </c>
      <c r="I15035" t="s">
        <v>14</v>
      </c>
      <c r="J15035" t="s">
        <v>141</v>
      </c>
      <c r="K15035" t="s">
        <v>14</v>
      </c>
      <c r="L15035" t="s">
        <v>20</v>
      </c>
      <c r="M15035" t="s">
        <v>28539</v>
      </c>
      <c r="N15035" t="s">
        <v>14</v>
      </c>
    </row>
    <row r="15036" x14ac:dyDescent="0.25">
      <c r="A15036" t="n">
        <v>22</v>
      </c>
      <c r="B15036" t="s">
        <v>14</v>
      </c>
      <c r="C15036" t="s">
        <v>22</v>
      </c>
      <c r="D15036" s="2" t="s">
        <f>=HYPERLINK("https://main.knesset.gov.il/APPS/legislation/main/bills/2082092", "הצעת חוק עובדים זרים (תיקון - ביטול הצורך בהיתר להעסקת עובד זר מומחה לתקופה קצרה), התש""ף-2019")</f>
        <v>28908</v>
      </c>
      <c r="E15036" t="s">
        <v>28908</v>
      </c>
      <c r="F15036" t="s">
        <v>28909</v>
      </c>
      <c r="G15036" t="s">
        <v>14</v>
      </c>
      <c r="H15036">
             </c>
      <c r="I15036" t="s">
        <v>14</v>
      </c>
      <c r="J15036" t="s">
        <v>141</v>
      </c>
      <c r="K15036" t="s">
        <v>14</v>
      </c>
      <c r="L15036" t="s">
        <v>20</v>
      </c>
      <c r="M15036" t="s">
        <v>28539</v>
      </c>
      <c r="N15036" t="s">
        <v>14</v>
      </c>
    </row>
    <row r="15037" x14ac:dyDescent="0.25">
      <c r="A15037" t="n">
        <v>22</v>
      </c>
      <c r="B15037" t="s">
        <v>14</v>
      </c>
      <c r="C15037" t="s">
        <v>22</v>
      </c>
      <c r="D15037" s="2" t="s">
        <f>=HYPERLINK("https://main.knesset.gov.il/APPS/legislation/main/bills/2082242", "הצעת חוק ביטוח בריאות ממלכתי (תיקון - קבלת שירותים רפואיים סמוך למקום המגורים), התש""ף-2019")</f>
        <v>28910</v>
      </c>
      <c r="E15037" t="s">
        <v>28910</v>
      </c>
      <c r="F15037" t="s">
        <v>28911</v>
      </c>
      <c r="G15037" t="s">
        <v>14</v>
      </c>
      <c r="H15037">
             </c>
      <c r="I15037" t="s">
        <v>14</v>
      </c>
      <c r="J15037" t="s">
        <v>141</v>
      </c>
      <c r="K15037" t="s">
        <v>14</v>
      </c>
      <c r="L15037" t="s">
        <v>20</v>
      </c>
      <c r="M15037" t="s">
        <v>28539</v>
      </c>
      <c r="N15037" t="s">
        <v>14</v>
      </c>
    </row>
    <row r="15038" x14ac:dyDescent="0.25">
      <c r="A15038" t="n">
        <v>22</v>
      </c>
      <c r="B15038" t="s">
        <v>14</v>
      </c>
      <c r="C15038" t="s">
        <v>22</v>
      </c>
      <c r="D15038" s="2" t="s">
        <f>=HYPERLINK("https://main.knesset.gov.il/APPS/legislation/main/bills/2082216", "הצעת חוק ביטוח בריאות ממלכתי (תיקון - מתן שירותים במרפאה ביישוב קטן לחברי קופה אחרת), התש""ף-2019")</f>
        <v>28912</v>
      </c>
      <c r="E15038" t="s">
        <v>28912</v>
      </c>
      <c r="F15038" t="s">
        <v>28913</v>
      </c>
      <c r="G15038" t="s">
        <v>14</v>
      </c>
      <c r="H15038">
             </c>
      <c r="I15038" t="s">
        <v>14</v>
      </c>
      <c r="J15038" t="s">
        <v>141</v>
      </c>
      <c r="K15038" t="s">
        <v>14</v>
      </c>
      <c r="L15038" t="s">
        <v>20</v>
      </c>
      <c r="M15038" t="s">
        <v>28539</v>
      </c>
      <c r="N15038" t="s">
        <v>14</v>
      </c>
    </row>
    <row r="15039" x14ac:dyDescent="0.25">
      <c r="A15039" t="n">
        <v>22</v>
      </c>
      <c r="B15039" t="s">
        <v>14</v>
      </c>
      <c r="C15039" t="s">
        <v>22</v>
      </c>
      <c r="D15039" s="2" t="s">
        <f>=HYPERLINK("https://main.knesset.gov.il/APPS/legislation/main/bills/2082101", "הצעת חוק הביטוח הלאומי (תיקון - הצמדת קצבת אזרח ותיק לשכר הממוצע לפחות), התש""ף-2019")</f>
        <v>28133</v>
      </c>
      <c r="E15039" t="s">
        <v>28133</v>
      </c>
      <c r="F15039" t="s">
        <v>28914</v>
      </c>
      <c r="G15039" t="s">
        <v>14</v>
      </c>
      <c r="H15039">
             </c>
      <c r="I15039" t="s">
        <v>14</v>
      </c>
      <c r="J15039" t="s">
        <v>141</v>
      </c>
      <c r="K15039" t="s">
        <v>14</v>
      </c>
      <c r="L15039" t="s">
        <v>20</v>
      </c>
      <c r="M15039" t="s">
        <v>28539</v>
      </c>
      <c r="N15039" t="s">
        <v>14</v>
      </c>
    </row>
    <row r="15040" x14ac:dyDescent="0.25">
      <c r="A15040" t="n">
        <v>22</v>
      </c>
      <c r="B15040" t="s">
        <v>14</v>
      </c>
      <c r="C15040" t="s">
        <v>22</v>
      </c>
      <c r="D15040" s="2" t="s">
        <f>=HYPERLINK("https://main.knesset.gov.il/APPS/legislation/main/bills/2081234", "הצעת חוק חופשה שנתית (תיקון - קביעת יום פתיחת שנת הלימודים כיום בחירה), התש""ף-2019")</f>
        <v>28915</v>
      </c>
      <c r="E15040" t="s">
        <v>28915</v>
      </c>
      <c r="F15040" t="s">
        <v>28916</v>
      </c>
      <c r="G15040" t="s">
        <v>14</v>
      </c>
      <c r="H15040">
             </c>
      <c r="I15040" t="s">
        <v>14</v>
      </c>
      <c r="J15040" t="s">
        <v>141</v>
      </c>
      <c r="K15040" t="s">
        <v>14</v>
      </c>
      <c r="L15040" t="s">
        <v>20</v>
      </c>
      <c r="M15040" t="s">
        <v>28539</v>
      </c>
      <c r="N15040" t="s">
        <v>14</v>
      </c>
    </row>
    <row r="15041" x14ac:dyDescent="0.25">
      <c r="A15041" t="n">
        <v>22</v>
      </c>
      <c r="B15041" t="s">
        <v>14</v>
      </c>
      <c r="C15041" t="s">
        <v>22</v>
      </c>
      <c r="D15041" s="2" t="s">
        <f>=HYPERLINK("https://main.knesset.gov.il/APPS/legislation/main/bills/2082035", "הצעת חוק האזרחים הוותיקים (תיקון - הטבות למקבלי פנסיה מזערית), התש""ף-2019")</f>
        <v>28917</v>
      </c>
      <c r="E15041" t="s">
        <v>28917</v>
      </c>
      <c r="F15041" t="s">
        <v>28918</v>
      </c>
      <c r="G15041" t="s">
        <v>14</v>
      </c>
      <c r="H15041">
             </c>
      <c r="I15041" t="s">
        <v>14</v>
      </c>
      <c r="J15041" t="s">
        <v>141</v>
      </c>
      <c r="K15041" t="s">
        <v>14</v>
      </c>
      <c r="L15041" t="s">
        <v>20</v>
      </c>
      <c r="M15041" t="s">
        <v>28539</v>
      </c>
      <c r="N15041" t="s">
        <v>14</v>
      </c>
    </row>
    <row r="15042" x14ac:dyDescent="0.25">
      <c r="A15042" t="n">
        <v>22</v>
      </c>
      <c r="B15042" t="s">
        <v>14</v>
      </c>
      <c r="C15042" t="s">
        <v>22</v>
      </c>
      <c r="D15042" s="2" t="s">
        <f>=HYPERLINK("https://main.knesset.gov.il/APPS/legislation/main/bills/2082084", "הצעת חוק שירות אזרחי (תיקון - צמצום יכולת ההשפעה של חשודים על התנהלות גוף מוכר), התש""ף-2019")</f>
        <v>28919</v>
      </c>
      <c r="E15042" t="s">
        <v>28919</v>
      </c>
      <c r="F15042" t="s">
        <v>28920</v>
      </c>
      <c r="G15042" t="s">
        <v>14</v>
      </c>
      <c r="H15042">
             </c>
      <c r="I15042" t="s">
        <v>14</v>
      </c>
      <c r="J15042" t="s">
        <v>141</v>
      </c>
      <c r="K15042" t="s">
        <v>14</v>
      </c>
      <c r="L15042" t="s">
        <v>20</v>
      </c>
      <c r="M15042" t="s">
        <v>28539</v>
      </c>
      <c r="N15042" t="s">
        <v>14</v>
      </c>
    </row>
    <row r="15043" x14ac:dyDescent="0.25">
      <c r="A15043" t="n">
        <v>22</v>
      </c>
      <c r="B15043" t="s">
        <v>14</v>
      </c>
      <c r="C15043" t="s">
        <v>22</v>
      </c>
      <c r="D15043" s="2" t="s">
        <f>=HYPERLINK("https://main.knesset.gov.il/APPS/legislation/main/bills/2082161", "הצעת חוק הביטוח הלאומי (תיקון - פטור מתשלומים של דמי ביטוח בעד ימי מילואים), התש""ף-2019")</f>
        <v>28921</v>
      </c>
      <c r="E15043" t="s">
        <v>28921</v>
      </c>
      <c r="F15043" t="s">
        <v>28922</v>
      </c>
      <c r="G15043" t="s">
        <v>14</v>
      </c>
      <c r="H15043">
             </c>
      <c r="I15043" t="s">
        <v>14</v>
      </c>
      <c r="J15043" t="s">
        <v>141</v>
      </c>
      <c r="K15043" t="s">
        <v>14</v>
      </c>
      <c r="L15043" t="s">
        <v>20</v>
      </c>
      <c r="M15043" t="s">
        <v>28539</v>
      </c>
      <c r="N15043" t="s">
        <v>14</v>
      </c>
    </row>
    <row r="15044" x14ac:dyDescent="0.25">
      <c r="A15044" t="n">
        <v>22</v>
      </c>
      <c r="B15044" t="s">
        <v>14</v>
      </c>
      <c r="C15044" t="s">
        <v>22</v>
      </c>
      <c r="D15044" s="2" t="s">
        <f>=HYPERLINK("https://main.knesset.gov.il/APPS/legislation/main/bills/2082067", "הצעת חוק שירות אזרחי (תיקון - הפסקת פעילותו של גוף מוכר שדיווח דיווחים כוזבים), התש""ף-2019")</f>
        <v>28923</v>
      </c>
      <c r="E15044" t="s">
        <v>28923</v>
      </c>
      <c r="F15044" t="s">
        <v>28924</v>
      </c>
      <c r="G15044" t="s">
        <v>14</v>
      </c>
      <c r="H15044">
             </c>
      <c r="I15044" t="s">
        <v>14</v>
      </c>
      <c r="J15044" t="s">
        <v>141</v>
      </c>
      <c r="K15044" t="s">
        <v>14</v>
      </c>
      <c r="L15044" t="s">
        <v>20</v>
      </c>
      <c r="M15044" t="s">
        <v>28539</v>
      </c>
      <c r="N15044" t="s">
        <v>14</v>
      </c>
    </row>
    <row r="15045" x14ac:dyDescent="0.25">
      <c r="A15045" t="n">
        <v>22</v>
      </c>
      <c r="B15045" t="s">
        <v>14</v>
      </c>
      <c r="C15045" t="s">
        <v>22</v>
      </c>
      <c r="D15045" s="2" t="s">
        <f>=HYPERLINK("https://main.knesset.gov.il/APPS/legislation/main/bills/2082550", "הצעת חוק הביטוח הלאומי (תיקון - ילד הזקוק לטיפול רפואי מיוחד וקבוע), התש""ף-2019")</f>
        <v>28925</v>
      </c>
      <c r="E15045" t="s">
        <v>28925</v>
      </c>
      <c r="F15045" t="s">
        <v>28926</v>
      </c>
      <c r="G15045" t="s">
        <v>14</v>
      </c>
      <c r="H15045">
             </c>
      <c r="I15045" t="s">
        <v>14</v>
      </c>
      <c r="J15045" t="s">
        <v>141</v>
      </c>
      <c r="K15045" t="s">
        <v>14</v>
      </c>
      <c r="L15045" t="s">
        <v>20</v>
      </c>
      <c r="M15045" t="s">
        <v>28539</v>
      </c>
      <c r="N15045" t="s">
        <v>14</v>
      </c>
    </row>
    <row r="15046" x14ac:dyDescent="0.25">
      <c r="A15046" t="n">
        <v>22</v>
      </c>
      <c r="B15046" t="s">
        <v>14</v>
      </c>
      <c r="C15046" t="s">
        <v>22</v>
      </c>
      <c r="D15046" s="2" t="s">
        <f>=HYPERLINK("https://main.knesset.gov.il/APPS/legislation/main/bills/2082027", "הצעת חוק שלילת תקצוב מוסדות חינוך המחנכים להסתה ולשלילת קיומה של מדינת ישראל ומוסדותיה (תיקוני חקיקה), התש""ף-2019 ")</f>
        <v>28927</v>
      </c>
      <c r="E15046" t="s">
        <v>28927</v>
      </c>
      <c r="F15046" t="s">
        <v>28928</v>
      </c>
      <c r="G15046" t="s">
        <v>14</v>
      </c>
      <c r="H15046">
             </c>
      <c r="I15046" t="s">
        <v>14</v>
      </c>
      <c r="J15046" t="s">
        <v>141</v>
      </c>
      <c r="K15046" t="s">
        <v>14</v>
      </c>
      <c r="L15046" t="s">
        <v>20</v>
      </c>
      <c r="M15046" t="s">
        <v>28539</v>
      </c>
      <c r="N15046" t="s">
        <v>14</v>
      </c>
    </row>
    <row r="15047" x14ac:dyDescent="0.25">
      <c r="A15047" t="n">
        <v>22</v>
      </c>
      <c r="B15047" t="s">
        <v>14</v>
      </c>
      <c r="C15047" t="s">
        <v>22</v>
      </c>
      <c r="D15047" s="2" t="s">
        <f>=HYPERLINK("https://main.knesset.gov.il/APPS/legislation/main/bills/2082317", "הצעת חוק הגנת הצרכן (תיקון - איסור על שיווק טלפוני למספר הרשום במאגר ""אל תתקשרו אלי""), התש""ף-2019")</f>
        <v>28929</v>
      </c>
      <c r="E15047" t="s">
        <v>28929</v>
      </c>
      <c r="F15047" t="s">
        <v>28930</v>
      </c>
      <c r="G15047" t="s">
        <v>14</v>
      </c>
      <c r="H15047">
             </c>
      <c r="I15047" t="s">
        <v>14</v>
      </c>
      <c r="J15047" t="s">
        <v>141</v>
      </c>
      <c r="K15047" t="s">
        <v>14</v>
      </c>
      <c r="L15047" t="s">
        <v>20</v>
      </c>
      <c r="M15047" t="s">
        <v>28539</v>
      </c>
      <c r="N15047" t="s">
        <v>14</v>
      </c>
    </row>
    <row r="15048" x14ac:dyDescent="0.25">
      <c r="A15048" t="n">
        <v>22</v>
      </c>
      <c r="B15048" t="s">
        <v>14</v>
      </c>
      <c r="C15048" t="s">
        <v>22</v>
      </c>
      <c r="D15048" s="2" t="s">
        <f>=HYPERLINK("https://main.knesset.gov.il/APPS/legislation/main/bills/2082512", "הצעת חוק ביטוח בריאות ממלכתי (תיקון - הקצאת תוספת שנתית ייעודית לתרופות למחלות יתומות בסל שירותי הבריאות), התש""ף-2019")</f>
        <v>28931</v>
      </c>
      <c r="E15048" t="s">
        <v>28931</v>
      </c>
      <c r="F15048" t="s">
        <v>28932</v>
      </c>
      <c r="G15048" t="s">
        <v>14</v>
      </c>
      <c r="H15048">
             </c>
      <c r="I15048" t="s">
        <v>14</v>
      </c>
      <c r="J15048" t="s">
        <v>141</v>
      </c>
      <c r="K15048" t="s">
        <v>14</v>
      </c>
      <c r="L15048" t="s">
        <v>20</v>
      </c>
      <c r="M15048" t="s">
        <v>28539</v>
      </c>
      <c r="N15048" t="s">
        <v>14</v>
      </c>
    </row>
    <row r="15049" x14ac:dyDescent="0.25">
      <c r="A15049" t="n">
        <v>22</v>
      </c>
      <c r="B15049" t="s">
        <v>14</v>
      </c>
      <c r="C15049" t="s">
        <v>22</v>
      </c>
      <c r="D15049" s="2" t="s">
        <f>=HYPERLINK("https://main.knesset.gov.il/APPS/legislation/main/bills/2081171", "הצעת חוק הגנת הצרכן (תיקון - איסור על שיווק טלפוני למספר הרשום במאגר ""אל תתקשרו אלי""), התש""ף-2019")</f>
        <v>28929</v>
      </c>
      <c r="E15049" t="s">
        <v>28929</v>
      </c>
      <c r="F15049" t="s">
        <v>28933</v>
      </c>
      <c r="G15049" t="s">
        <v>14</v>
      </c>
      <c r="H15049">
             </c>
      <c r="I15049" t="s">
        <v>14</v>
      </c>
      <c r="J15049" t="s">
        <v>141</v>
      </c>
      <c r="K15049" t="s">
        <v>14</v>
      </c>
      <c r="L15049" t="s">
        <v>20</v>
      </c>
      <c r="M15049" t="s">
        <v>28539</v>
      </c>
      <c r="N15049" t="s">
        <v>14</v>
      </c>
    </row>
    <row r="15050" x14ac:dyDescent="0.25">
      <c r="A15050" t="n">
        <v>22</v>
      </c>
      <c r="B15050" t="s">
        <v>14</v>
      </c>
      <c r="C15050" t="s">
        <v>22</v>
      </c>
      <c r="D15050" s="2" t="s">
        <f>=HYPERLINK("https://main.knesset.gov.il/APPS/legislation/main/bills/2082054", "הצעת חוק חינוך ממלכתי (תיקון - הקניית ידע פיננסי וכישורי חיים), התש""ף-2019")</f>
        <v>28934</v>
      </c>
      <c r="E15050" t="s">
        <v>28934</v>
      </c>
      <c r="F15050" t="s">
        <v>28935</v>
      </c>
      <c r="G15050" t="s">
        <v>14</v>
      </c>
      <c r="H15050">
             </c>
      <c r="I15050" t="s">
        <v>14</v>
      </c>
      <c r="J15050" t="s">
        <v>141</v>
      </c>
      <c r="K15050" t="s">
        <v>14</v>
      </c>
      <c r="L15050" t="s">
        <v>20</v>
      </c>
      <c r="M15050" t="s">
        <v>28539</v>
      </c>
      <c r="N15050" t="s">
        <v>14</v>
      </c>
    </row>
    <row r="15051" x14ac:dyDescent="0.25">
      <c r="A15051" t="n">
        <v>22</v>
      </c>
      <c r="B15051" t="s">
        <v>14</v>
      </c>
      <c r="C15051" t="s">
        <v>22</v>
      </c>
      <c r="D15051" s="2" t="s">
        <f>=HYPERLINK("https://main.knesset.gov.il/APPS/legislation/main/bills/2081188", "הצעת חוק זכויות הסטודנט (תיקון - חובת דיווח שנתית בדבר תלונות סטודנטים לוועדת החינוך התרבות והספורט של הכנסת), התש""ף-2019")</f>
        <v>28936</v>
      </c>
      <c r="E15051" t="s">
        <v>28936</v>
      </c>
      <c r="F15051" t="s">
        <v>28937</v>
      </c>
      <c r="G15051" t="s">
        <v>14</v>
      </c>
      <c r="H15051">
             </c>
      <c r="I15051" t="s">
        <v>14</v>
      </c>
      <c r="J15051" t="s">
        <v>141</v>
      </c>
      <c r="K15051" t="s">
        <v>14</v>
      </c>
      <c r="L15051" t="s">
        <v>20</v>
      </c>
      <c r="M15051" t="s">
        <v>28539</v>
      </c>
      <c r="N15051" t="s">
        <v>14</v>
      </c>
    </row>
    <row r="15052" x14ac:dyDescent="0.25">
      <c r="A15052" t="n">
        <v>22</v>
      </c>
      <c r="B15052" t="s">
        <v>14</v>
      </c>
      <c r="C15052" t="s">
        <v>22</v>
      </c>
      <c r="D15052" s="2" t="s">
        <f>=HYPERLINK("https://main.knesset.gov.il/APPS/legislation/main/bills/2082202", "הצעת חוק קליטת חיילים משוחררים (תיקון - הקרן להעצמת המשרתים בשירות צבאי), התש""ף-2019")</f>
        <v>28938</v>
      </c>
      <c r="E15052" t="s">
        <v>28938</v>
      </c>
      <c r="F15052" t="s">
        <v>28939</v>
      </c>
      <c r="G15052" t="s">
        <v>14</v>
      </c>
      <c r="H15052">
             </c>
      <c r="I15052" t="s">
        <v>14</v>
      </c>
      <c r="J15052" t="s">
        <v>141</v>
      </c>
      <c r="K15052" t="s">
        <v>14</v>
      </c>
      <c r="L15052" t="s">
        <v>20</v>
      </c>
      <c r="M15052" t="s">
        <v>28539</v>
      </c>
      <c r="N15052" t="s">
        <v>14</v>
      </c>
    </row>
    <row r="15053" x14ac:dyDescent="0.25">
      <c r="A15053" t="n">
        <v>22</v>
      </c>
      <c r="B15053" t="s">
        <v>14</v>
      </c>
      <c r="C15053" t="s">
        <v>22</v>
      </c>
      <c r="D15053" s="2" t="s">
        <f>=HYPERLINK("https://main.knesset.gov.il/APPS/legislation/main/bills/2082177", "הצעת חוק עבודת נשים (תיקון - תקופת לידה והורות לגבר), התש""ף-2019")</f>
        <v>28940</v>
      </c>
      <c r="E15053" t="s">
        <v>28940</v>
      </c>
      <c r="F15053" t="s">
        <v>28941</v>
      </c>
      <c r="G15053" t="s">
        <v>14</v>
      </c>
      <c r="H15053">
             </c>
      <c r="I15053" t="s">
        <v>14</v>
      </c>
      <c r="J15053" t="s">
        <v>141</v>
      </c>
      <c r="K15053" t="s">
        <v>14</v>
      </c>
      <c r="L15053" t="s">
        <v>20</v>
      </c>
      <c r="M15053" t="s">
        <v>28539</v>
      </c>
      <c r="N15053" t="s">
        <v>14</v>
      </c>
    </row>
    <row r="15054" x14ac:dyDescent="0.25">
      <c r="A15054" t="n">
        <v>22</v>
      </c>
      <c r="B15054" t="s">
        <v>14</v>
      </c>
      <c r="C15054" t="s">
        <v>22</v>
      </c>
      <c r="D15054" s="2" t="s">
        <f>=HYPERLINK("https://main.knesset.gov.il/APPS/legislation/main/bills/2082125", "הצעת חוק לתיקון פקודת מס הכנסה (עידוד צמיחה לעסקים עצמאיים קטנים ובינוניים), התש""ף-2019")</f>
        <v>28485</v>
      </c>
      <c r="E15054" t="s">
        <v>28485</v>
      </c>
      <c r="F15054" t="s">
        <v>28942</v>
      </c>
      <c r="G15054" t="s">
        <v>14</v>
      </c>
      <c r="H15054">
             </c>
      <c r="I15054" t="s">
        <v>14</v>
      </c>
      <c r="J15054" t="s">
        <v>141</v>
      </c>
      <c r="K15054" t="s">
        <v>14</v>
      </c>
      <c r="L15054" t="s">
        <v>20</v>
      </c>
      <c r="M15054" t="s">
        <v>28539</v>
      </c>
      <c r="N15054" t="s">
        <v>14</v>
      </c>
    </row>
    <row r="15055" x14ac:dyDescent="0.25">
      <c r="A15055" t="n">
        <v>22</v>
      </c>
      <c r="B15055" t="s">
        <v>14</v>
      </c>
      <c r="C15055" t="s">
        <v>22</v>
      </c>
      <c r="D15055" s="2" t="s">
        <f>=HYPERLINK("https://main.knesset.gov.il/APPS/legislation/main/bills/2081905", "הצעת חוק המאבק בטרור (תיקון - איסור החזרת גופות מחבלים), התש""ף-2019")</f>
        <v>28578</v>
      </c>
      <c r="E15055" t="s">
        <v>28578</v>
      </c>
      <c r="F15055" t="s">
        <v>28943</v>
      </c>
      <c r="G15055" t="s">
        <v>14</v>
      </c>
      <c r="H15055">
             </c>
      <c r="I15055" t="s">
        <v>14</v>
      </c>
      <c r="J15055" t="s">
        <v>141</v>
      </c>
      <c r="K15055" t="s">
        <v>14</v>
      </c>
      <c r="L15055" t="s">
        <v>20</v>
      </c>
      <c r="M15055" t="s">
        <v>28539</v>
      </c>
      <c r="N15055" t="s">
        <v>14</v>
      </c>
    </row>
    <row r="15056" x14ac:dyDescent="0.25">
      <c r="A15056" t="n">
        <v>22</v>
      </c>
      <c r="B15056" t="s">
        <v>14</v>
      </c>
      <c r="C15056" t="s">
        <v>22</v>
      </c>
      <c r="D15056" s="2" t="s">
        <f>=HYPERLINK("https://main.knesset.gov.il/APPS/legislation/main/bills/2082169", "הצעת חוק לעידוד השקעות הון (תיקון - הוספת מפעלי תעשייה חקלאית), התש""ף-2019")</f>
        <v>28944</v>
      </c>
      <c r="E15056" t="s">
        <v>28944</v>
      </c>
      <c r="F15056" t="s">
        <v>28945</v>
      </c>
      <c r="G15056" t="s">
        <v>14</v>
      </c>
      <c r="H15056">
             </c>
      <c r="I15056" t="s">
        <v>14</v>
      </c>
      <c r="J15056" t="s">
        <v>141</v>
      </c>
      <c r="K15056" t="s">
        <v>14</v>
      </c>
      <c r="L15056" t="s">
        <v>20</v>
      </c>
      <c r="M15056" t="s">
        <v>28539</v>
      </c>
      <c r="N15056" t="s">
        <v>14</v>
      </c>
    </row>
    <row r="15057" x14ac:dyDescent="0.25">
      <c r="A15057" t="n">
        <v>22</v>
      </c>
      <c r="B15057" t="s">
        <v>14</v>
      </c>
      <c r="C15057" t="s">
        <v>22</v>
      </c>
      <c r="D15057" s="2" t="s">
        <f>=HYPERLINK("https://main.knesset.gov.il/APPS/legislation/main/bills/2081960", "הצעת חוק שירות לאומי-אזרחי (תיקון - משרת בודד), התש""ף-2019")</f>
        <v>28946</v>
      </c>
      <c r="E15057" t="s">
        <v>28946</v>
      </c>
      <c r="F15057" t="s">
        <v>28947</v>
      </c>
      <c r="G15057" t="s">
        <v>14</v>
      </c>
      <c r="H15057">
             </c>
      <c r="I15057" t="s">
        <v>14</v>
      </c>
      <c r="J15057" t="s">
        <v>141</v>
      </c>
      <c r="K15057" t="s">
        <v>14</v>
      </c>
      <c r="L15057" t="s">
        <v>20</v>
      </c>
      <c r="M15057" t="s">
        <v>28539</v>
      </c>
      <c r="N15057" t="s">
        <v>14</v>
      </c>
    </row>
    <row r="15058" x14ac:dyDescent="0.25">
      <c r="A15058" t="n">
        <v>22</v>
      </c>
      <c r="B15058" t="s">
        <v>14</v>
      </c>
      <c r="C15058" t="s">
        <v>22</v>
      </c>
      <c r="D15058" s="2" t="s">
        <f>=HYPERLINK("https://main.knesset.gov.il/APPS/legislation/main/bills/2082559", "הצעת חוק לתיקון פקודת מס הכנסה (זיכוי למעסיק שעובדיו משרתים במילואים), התש""ף-2019")</f>
        <v>28948</v>
      </c>
      <c r="E15058" t="s">
        <v>28948</v>
      </c>
      <c r="F15058" t="s">
        <v>28949</v>
      </c>
      <c r="G15058" t="s">
        <v>14</v>
      </c>
      <c r="H15058">
             </c>
      <c r="I15058" t="s">
        <v>14</v>
      </c>
      <c r="J15058" t="s">
        <v>141</v>
      </c>
      <c r="K15058" t="s">
        <v>14</v>
      </c>
      <c r="L15058" t="s">
        <v>20</v>
      </c>
      <c r="M15058" t="s">
        <v>28539</v>
      </c>
      <c r="N15058" t="s">
        <v>14</v>
      </c>
    </row>
    <row r="15059" x14ac:dyDescent="0.25">
      <c r="A15059" t="n">
        <v>22</v>
      </c>
      <c r="B15059" t="s">
        <v>14</v>
      </c>
      <c r="C15059" t="s">
        <v>22</v>
      </c>
      <c r="D15059" s="2" t="s">
        <f>=HYPERLINK("https://main.knesset.gov.il/APPS/legislation/main/bills/2082828", "הצעת חוק ההתגוננות האזרחית (תיקון - התקן בטיחותי על דלת מרחב מוגן דירתי), התש""ף-2020")</f>
        <v>25922</v>
      </c>
      <c r="E15059" t="s">
        <v>25922</v>
      </c>
      <c r="F15059" t="s">
        <v>28950</v>
      </c>
      <c r="G15059" t="s">
        <v>14</v>
      </c>
      <c r="H15059">
             </c>
      <c r="I15059" t="s">
        <v>14</v>
      </c>
      <c r="J15059" t="s">
        <v>141</v>
      </c>
      <c r="K15059" t="s">
        <v>14</v>
      </c>
      <c r="L15059" t="s">
        <v>20</v>
      </c>
      <c r="M15059" t="s">
        <v>28539</v>
      </c>
      <c r="N15059" t="s">
        <v>14</v>
      </c>
    </row>
    <row r="15060" x14ac:dyDescent="0.25">
      <c r="A15060" t="n">
        <v>22</v>
      </c>
      <c r="B15060" t="s">
        <v>14</v>
      </c>
      <c r="C15060" t="s">
        <v>22</v>
      </c>
      <c r="D15060" s="2" t="s">
        <f>=HYPERLINK("https://main.knesset.gov.il/APPS/legislation/main/bills/2082558", "הצעת חוק דמי קיום לחיילים בשירות סדיר, התש""ף-2019")</f>
        <v>28951</v>
      </c>
      <c r="E15060" t="s">
        <v>28951</v>
      </c>
      <c r="F15060" t="s">
        <v>28952</v>
      </c>
      <c r="G15060" t="s">
        <v>14</v>
      </c>
      <c r="H15060">
             </c>
      <c r="I15060" t="s">
        <v>14</v>
      </c>
      <c r="J15060" t="s">
        <v>141</v>
      </c>
      <c r="K15060" t="s">
        <v>14</v>
      </c>
      <c r="L15060" t="s">
        <v>20</v>
      </c>
      <c r="M15060" t="s">
        <v>28539</v>
      </c>
      <c r="N15060" t="s">
        <v>14</v>
      </c>
    </row>
    <row r="15061" x14ac:dyDescent="0.25">
      <c r="A15061" t="n">
        <v>22</v>
      </c>
      <c r="B15061" t="s">
        <v>14</v>
      </c>
      <c r="C15061" t="s">
        <v>22</v>
      </c>
      <c r="D15061" s="2" t="s">
        <f>=HYPERLINK("https://main.knesset.gov.il/APPS/legislation/main/bills/2082107", "הצעת חוק הסדרים במשק המדינה (תיקוני חקיקה להשגת יעדי התקציב) (תיקון – ארנונה על מבנה מגורים שאינו בשימוש), התש""ף–2019")</f>
        <v>28953</v>
      </c>
      <c r="E15061" t="s">
        <v>28953</v>
      </c>
      <c r="F15061" t="s">
        <v>28954</v>
      </c>
      <c r="G15061" t="s">
        <v>14</v>
      </c>
      <c r="H15061">
             </c>
      <c r="I15061" t="s">
        <v>14</v>
      </c>
      <c r="J15061" t="s">
        <v>141</v>
      </c>
      <c r="K15061" t="s">
        <v>14</v>
      </c>
      <c r="L15061" t="s">
        <v>20</v>
      </c>
      <c r="M15061" t="s">
        <v>28539</v>
      </c>
      <c r="N15061" t="s">
        <v>14</v>
      </c>
    </row>
    <row r="15062" x14ac:dyDescent="0.25">
      <c r="A15062" t="n">
        <v>22</v>
      </c>
      <c r="B15062" t="s">
        <v>14</v>
      </c>
      <c r="C15062" t="s">
        <v>22</v>
      </c>
      <c r="D15062" s="2" t="s">
        <f>=HYPERLINK("https://main.knesset.gov.il/APPS/legislation/main/bills/2081574", "הצעת חוק שירות ביטחון (תיקון - ביטול גיוס חובה), התש""ף-2019")</f>
        <v>28955</v>
      </c>
      <c r="E15062" t="s">
        <v>28955</v>
      </c>
      <c r="F15062" t="s">
        <v>28956</v>
      </c>
      <c r="G15062" t="s">
        <v>14</v>
      </c>
      <c r="H15062">
             </c>
      <c r="I15062" t="s">
        <v>14</v>
      </c>
      <c r="J15062" t="s">
        <v>141</v>
      </c>
      <c r="K15062" t="s">
        <v>14</v>
      </c>
      <c r="L15062" t="s">
        <v>20</v>
      </c>
      <c r="M15062" t="s">
        <v>28539</v>
      </c>
      <c r="N15062" t="s">
        <v>14</v>
      </c>
    </row>
    <row r="15063" x14ac:dyDescent="0.25">
      <c r="A15063" t="n">
        <v>22</v>
      </c>
      <c r="B15063" t="s">
        <v>14</v>
      </c>
      <c r="C15063" t="s">
        <v>22</v>
      </c>
      <c r="D15063" s="2" t="s">
        <f>=HYPERLINK("https://main.knesset.gov.il/APPS/legislation/main/bills/2082085", "הצעת חוק הפיקוח על שירותים פיננסיים (עיסוק בייעוץ מימון דיור), התש""ף-2019")</f>
        <v>28957</v>
      </c>
      <c r="E15063" t="s">
        <v>28957</v>
      </c>
      <c r="F15063" t="s">
        <v>28958</v>
      </c>
      <c r="G15063" t="s">
        <v>14</v>
      </c>
      <c r="H15063">
             </c>
      <c r="I15063" t="s">
        <v>14</v>
      </c>
      <c r="J15063" t="s">
        <v>141</v>
      </c>
      <c r="K15063" t="s">
        <v>14</v>
      </c>
      <c r="L15063" t="s">
        <v>20</v>
      </c>
      <c r="M15063" t="s">
        <v>28539</v>
      </c>
      <c r="N15063" t="s">
        <v>14</v>
      </c>
    </row>
    <row r="15064" x14ac:dyDescent="0.25">
      <c r="A15064" t="n">
        <v>22</v>
      </c>
      <c r="B15064" t="s">
        <v>14</v>
      </c>
      <c r="C15064" t="s">
        <v>22</v>
      </c>
      <c r="D15064" s="2" t="s">
        <f>=HYPERLINK("https://main.knesset.gov.il/APPS/legislation/main/bills/2081977", "הצעת חוק הקרן הקיימת לישראל (תחולת דיני המס), התש""ף-2019")</f>
        <v>28959</v>
      </c>
      <c r="E15064" t="s">
        <v>28959</v>
      </c>
      <c r="F15064" t="s">
        <v>28960</v>
      </c>
      <c r="G15064" t="s">
        <v>14</v>
      </c>
      <c r="H15064">
             </c>
      <c r="I15064" t="s">
        <v>14</v>
      </c>
      <c r="J15064" t="s">
        <v>141</v>
      </c>
      <c r="K15064" t="s">
        <v>14</v>
      </c>
      <c r="L15064" t="s">
        <v>20</v>
      </c>
      <c r="M15064" t="s">
        <v>28539</v>
      </c>
      <c r="N15064" t="s">
        <v>14</v>
      </c>
    </row>
    <row r="15065" x14ac:dyDescent="0.25">
      <c r="A15065" t="n">
        <v>22</v>
      </c>
      <c r="B15065" t="s">
        <v>14</v>
      </c>
      <c r="C15065" t="s">
        <v>22</v>
      </c>
      <c r="D15065" s="2" t="s">
        <f>=HYPERLINK("https://main.knesset.gov.il/APPS/legislation/main/bills/2082174", "הצעת חוק הצמדת תשלומים לחיילים בודדים למדד המחירים לצרכן, התש""ף-2019")</f>
        <v>28961</v>
      </c>
      <c r="E15065" t="s">
        <v>28961</v>
      </c>
      <c r="F15065" t="s">
        <v>28962</v>
      </c>
      <c r="G15065" t="s">
        <v>14</v>
      </c>
      <c r="H15065">
             </c>
      <c r="I15065" t="s">
        <v>14</v>
      </c>
      <c r="J15065" t="s">
        <v>141</v>
      </c>
      <c r="K15065" t="s">
        <v>14</v>
      </c>
      <c r="L15065" t="s">
        <v>20</v>
      </c>
      <c r="M15065" t="s">
        <v>28539</v>
      </c>
      <c r="N15065" t="s">
        <v>14</v>
      </c>
    </row>
    <row r="15066" x14ac:dyDescent="0.25">
      <c r="A15066" t="n">
        <v>22</v>
      </c>
      <c r="B15066" t="s">
        <v>14</v>
      </c>
      <c r="C15066" t="s">
        <v>22</v>
      </c>
      <c r="D15066" s="2" t="s">
        <f>=HYPERLINK("https://main.knesset.gov.il/APPS/legislation/main/bills/2082106", "הצעת חוק מס ערך מוסף (תיקון - מועד הוצאת חשבונית מס), התש""ף-2019")</f>
        <v>28963</v>
      </c>
      <c r="E15066" t="s">
        <v>28963</v>
      </c>
      <c r="F15066" t="s">
        <v>28964</v>
      </c>
      <c r="G15066" t="s">
        <v>14</v>
      </c>
      <c r="H15066">
             </c>
      <c r="I15066" t="s">
        <v>14</v>
      </c>
      <c r="J15066" t="s">
        <v>141</v>
      </c>
      <c r="K15066" t="s">
        <v>14</v>
      </c>
      <c r="L15066" t="s">
        <v>20</v>
      </c>
      <c r="M15066" t="s">
        <v>28539</v>
      </c>
      <c r="N15066" t="s">
        <v>14</v>
      </c>
    </row>
    <row r="15067" x14ac:dyDescent="0.25">
      <c r="A15067" t="n">
        <v>22</v>
      </c>
      <c r="B15067" t="s">
        <v>14</v>
      </c>
      <c r="C15067" t="s">
        <v>22</v>
      </c>
      <c r="D15067" s="2" t="s">
        <f>=HYPERLINK("https://main.knesset.gov.il/APPS/legislation/main/bills/2082358", "הצעת חוק הגנת הצרכן (תיקון - חובת גילוי הוזלה במחיר בעסקה מתמשכת), התש""ף-2019")</f>
        <v>28965</v>
      </c>
      <c r="E15067" t="s">
        <v>28965</v>
      </c>
      <c r="F15067" t="s">
        <v>28966</v>
      </c>
      <c r="G15067" t="s">
        <v>14</v>
      </c>
      <c r="H15067">
             </c>
      <c r="I15067" t="s">
        <v>14</v>
      </c>
      <c r="J15067" t="s">
        <v>141</v>
      </c>
      <c r="K15067" t="s">
        <v>14</v>
      </c>
      <c r="L15067" t="s">
        <v>20</v>
      </c>
      <c r="M15067" t="s">
        <v>28539</v>
      </c>
      <c r="N15067" t="s">
        <v>14</v>
      </c>
    </row>
    <row r="15068" x14ac:dyDescent="0.25">
      <c r="A15068" t="n">
        <v>22</v>
      </c>
      <c r="B15068" t="s">
        <v>14</v>
      </c>
      <c r="C15068" t="s">
        <v>22</v>
      </c>
      <c r="D15068" s="2" t="s">
        <f>=HYPERLINK("https://main.knesset.gov.il/APPS/legislation/main/bills/2082038", "הצעת חוק התכנון והבנייה (תיקון - תסקיר גישה ובטיחות בנתיבי תנועה ציבוריים), התש""ף-2019")</f>
        <v>28967</v>
      </c>
      <c r="E15068" t="s">
        <v>28967</v>
      </c>
      <c r="F15068" t="s">
        <v>28968</v>
      </c>
      <c r="G15068" t="s">
        <v>14</v>
      </c>
      <c r="H15068">
             </c>
      <c r="I15068" t="s">
        <v>14</v>
      </c>
      <c r="J15068" t="s">
        <v>141</v>
      </c>
      <c r="K15068" t="s">
        <v>14</v>
      </c>
      <c r="L15068" t="s">
        <v>20</v>
      </c>
      <c r="M15068" t="s">
        <v>28539</v>
      </c>
      <c r="N15068" t="s">
        <v>14</v>
      </c>
    </row>
    <row r="15069" x14ac:dyDescent="0.25">
      <c r="A15069" t="n">
        <v>22</v>
      </c>
      <c r="B15069" t="s">
        <v>14</v>
      </c>
      <c r="C15069" t="s">
        <v>22</v>
      </c>
      <c r="D15069" s="2" t="s">
        <f>=HYPERLINK("https://main.knesset.gov.il/APPS/legislation/main/bills/2081915", "הצעת חוק חובת המכרזים (תיקון - מתן עדיפות לשירותים מתוצרת הארץ), התש""ף-2019")</f>
        <v>28969</v>
      </c>
      <c r="E15069" t="s">
        <v>28969</v>
      </c>
      <c r="F15069" t="s">
        <v>28970</v>
      </c>
      <c r="G15069" t="s">
        <v>14</v>
      </c>
      <c r="H15069">
             </c>
      <c r="I15069" t="s">
        <v>14</v>
      </c>
      <c r="J15069" t="s">
        <v>141</v>
      </c>
      <c r="K15069" t="s">
        <v>14</v>
      </c>
      <c r="L15069" t="s">
        <v>20</v>
      </c>
      <c r="M15069" t="s">
        <v>28539</v>
      </c>
      <c r="N15069" t="s">
        <v>14</v>
      </c>
    </row>
    <row r="15070" x14ac:dyDescent="0.25">
      <c r="A15070" t="n">
        <v>22</v>
      </c>
      <c r="B15070" t="s">
        <v>14</v>
      </c>
      <c r="C15070" t="s">
        <v>22</v>
      </c>
      <c r="D15070" s="2" t="s">
        <f>=HYPERLINK("https://main.knesset.gov.il/APPS/legislation/main/bills/2082127", "הצעת חוק התכנון והבנייה (תיקון - ייצוג הוועדה המקומית), התש""ף-2019")</f>
        <v>28971</v>
      </c>
      <c r="E15070" t="s">
        <v>28971</v>
      </c>
      <c r="F15070" t="s">
        <v>28972</v>
      </c>
      <c r="G15070" t="s">
        <v>14</v>
      </c>
      <c r="H15070">
             </c>
      <c r="I15070" t="s">
        <v>14</v>
      </c>
      <c r="J15070" t="s">
        <v>141</v>
      </c>
      <c r="K15070" t="s">
        <v>14</v>
      </c>
      <c r="L15070" t="s">
        <v>20</v>
      </c>
      <c r="M15070" t="s">
        <v>28539</v>
      </c>
      <c r="N15070" t="s">
        <v>14</v>
      </c>
    </row>
    <row r="15071" x14ac:dyDescent="0.25">
      <c r="A15071" t="n">
        <v>22</v>
      </c>
      <c r="B15071" t="s">
        <v>14</v>
      </c>
      <c r="C15071" t="s">
        <v>22</v>
      </c>
      <c r="D15071" s="2" t="s">
        <f>=HYPERLINK("https://main.knesset.gov.il/APPS/legislation/main/bills/2081969", "הצעת חוק הביקורת הפנימית (תיקון - אחריות ועצמאות המבקר), התש""ף-2019")</f>
        <v>28973</v>
      </c>
      <c r="E15071" t="s">
        <v>28973</v>
      </c>
      <c r="F15071" t="s">
        <v>28974</v>
      </c>
      <c r="G15071" t="s">
        <v>14</v>
      </c>
      <c r="H15071">
             </c>
      <c r="I15071" t="s">
        <v>14</v>
      </c>
      <c r="J15071" t="s">
        <v>141</v>
      </c>
      <c r="K15071" t="s">
        <v>14</v>
      </c>
      <c r="L15071" t="s">
        <v>20</v>
      </c>
      <c r="M15071" t="s">
        <v>28539</v>
      </c>
      <c r="N15071" t="s">
        <v>14</v>
      </c>
    </row>
    <row r="15072" x14ac:dyDescent="0.25">
      <c r="A15072" t="n">
        <v>22</v>
      </c>
      <c r="B15072" t="s">
        <v>14</v>
      </c>
      <c r="C15072" t="s">
        <v>22</v>
      </c>
      <c r="D15072" s="2" t="s">
        <f>=HYPERLINK("https://main.knesset.gov.il/APPS/legislation/main/bills/2082021", "הצעת חוק להגנה על האגן הצפוני של ים המלח, התש""ף-2019")</f>
        <v>28975</v>
      </c>
      <c r="E15072" t="s">
        <v>28975</v>
      </c>
      <c r="F15072" t="s">
        <v>28976</v>
      </c>
      <c r="G15072" t="s">
        <v>14</v>
      </c>
      <c r="H15072">
             </c>
      <c r="I15072" t="s">
        <v>14</v>
      </c>
      <c r="J15072" t="s">
        <v>141</v>
      </c>
      <c r="K15072" t="s">
        <v>14</v>
      </c>
      <c r="L15072" t="s">
        <v>20</v>
      </c>
      <c r="M15072" t="s">
        <v>28539</v>
      </c>
      <c r="N15072" t="s">
        <v>14</v>
      </c>
    </row>
    <row r="15073" x14ac:dyDescent="0.25">
      <c r="A15073" t="n">
        <v>22</v>
      </c>
      <c r="B15073" t="s">
        <v>14</v>
      </c>
      <c r="C15073" t="s">
        <v>22</v>
      </c>
      <c r="D15073" s="2" t="s">
        <f>=HYPERLINK("https://main.knesset.gov.il/APPS/legislation/main/bills/2081376", "הצעת חוק לתיקון פקודת העיריות (מענק הבירה), תש""ף-2019")</f>
        <v>28977</v>
      </c>
      <c r="E15073" t="s">
        <v>28977</v>
      </c>
      <c r="F15073" t="s">
        <v>28978</v>
      </c>
      <c r="G15073" t="s">
        <v>14</v>
      </c>
      <c r="H15073">
             </c>
      <c r="I15073" t="s">
        <v>14</v>
      </c>
      <c r="J15073" t="s">
        <v>141</v>
      </c>
      <c r="K15073" t="s">
        <v>14</v>
      </c>
      <c r="L15073" t="s">
        <v>20</v>
      </c>
      <c r="M15073" t="s">
        <v>28539</v>
      </c>
      <c r="N15073" t="s">
        <v>14</v>
      </c>
    </row>
    <row r="15074" x14ac:dyDescent="0.25">
      <c r="A15074" t="n">
        <v>22</v>
      </c>
      <c r="B15074" t="s">
        <v>14</v>
      </c>
      <c r="C15074" t="s">
        <v>22</v>
      </c>
      <c r="D15074" s="2" t="s">
        <f>=HYPERLINK("https://main.knesset.gov.il/APPS/legislation/main/bills/2081219", "הצעת חוק הביטוח הלאומי (תיקון - זכאות לדמי אבטלה לעובד שהתפטר לשם טיפול בילדו), התש""ף-2019")</f>
        <v>28979</v>
      </c>
      <c r="E15074" t="s">
        <v>28979</v>
      </c>
      <c r="F15074" t="s">
        <v>28980</v>
      </c>
      <c r="G15074" t="s">
        <v>14</v>
      </c>
      <c r="H15074">
             </c>
      <c r="I15074" t="s">
        <v>14</v>
      </c>
      <c r="J15074" t="s">
        <v>141</v>
      </c>
      <c r="K15074" t="s">
        <v>14</v>
      </c>
      <c r="L15074" t="s">
        <v>20</v>
      </c>
      <c r="M15074" t="s">
        <v>28539</v>
      </c>
      <c r="N15074" t="s">
        <v>14</v>
      </c>
    </row>
    <row r="15075" x14ac:dyDescent="0.25">
      <c r="A15075" t="n">
        <v>22</v>
      </c>
      <c r="B15075" t="s">
        <v>14</v>
      </c>
      <c r="C15075" t="s">
        <v>22</v>
      </c>
      <c r="D15075" s="2" t="s">
        <f>=HYPERLINK("https://main.knesset.gov.il/APPS/legislation/main/bills/2081941", "הצעת חוק הביטוח הלאומי (תיקון - זכאות לדמי אבטלה לעובד שהתפטר לשם טיפול בילדו), התש""ף-2019")</f>
        <v>28979</v>
      </c>
      <c r="E15075" t="s">
        <v>28979</v>
      </c>
      <c r="F15075" t="s">
        <v>28981</v>
      </c>
      <c r="G15075" t="s">
        <v>14</v>
      </c>
      <c r="H15075">
             </c>
      <c r="I15075" t="s">
        <v>14</v>
      </c>
      <c r="J15075" t="s">
        <v>141</v>
      </c>
      <c r="K15075" t="s">
        <v>14</v>
      </c>
      <c r="L15075" t="s">
        <v>20</v>
      </c>
      <c r="M15075" t="s">
        <v>28539</v>
      </c>
      <c r="N15075" t="s">
        <v>14</v>
      </c>
    </row>
    <row r="15076" x14ac:dyDescent="0.25">
      <c r="A15076" t="n">
        <v>22</v>
      </c>
      <c r="B15076" t="s">
        <v>14</v>
      </c>
      <c r="C15076" t="s">
        <v>22</v>
      </c>
      <c r="D15076" s="2" t="s">
        <f>=HYPERLINK("https://main.knesset.gov.il/APPS/legislation/main/bills/2081442", "הצעת חוק הביטוח הלאומי (תיקון - התפטרות הורה על מנת לטפל בילדו), התש""ף-2019")</f>
        <v>28982</v>
      </c>
      <c r="E15076" t="s">
        <v>28982</v>
      </c>
      <c r="F15076" t="s">
        <v>28983</v>
      </c>
      <c r="G15076" t="s">
        <v>14</v>
      </c>
      <c r="H15076">
             </c>
      <c r="I15076" t="s">
        <v>14</v>
      </c>
      <c r="J15076" t="s">
        <v>141</v>
      </c>
      <c r="K15076" t="s">
        <v>14</v>
      </c>
      <c r="L15076" t="s">
        <v>20</v>
      </c>
      <c r="M15076" t="s">
        <v>28539</v>
      </c>
      <c r="N15076" t="s">
        <v>14</v>
      </c>
    </row>
    <row r="15077" x14ac:dyDescent="0.25">
      <c r="A15077" t="n">
        <v>22</v>
      </c>
      <c r="B15077" t="s">
        <v>14</v>
      </c>
      <c r="C15077" t="s">
        <v>22</v>
      </c>
      <c r="D15077" s="2" t="s">
        <f>=HYPERLINK("https://main.knesset.gov.il/APPS/legislation/main/bills/2082033", "הצעת חוק שמירת הסביבה החופית (תיקון - התאמת תכניות ישנות), התש""ף-2019")</f>
        <v>28984</v>
      </c>
      <c r="E15077" t="s">
        <v>28984</v>
      </c>
      <c r="F15077" t="s">
        <v>28985</v>
      </c>
      <c r="G15077" t="s">
        <v>14</v>
      </c>
      <c r="H15077">
             </c>
      <c r="I15077" t="s">
        <v>14</v>
      </c>
      <c r="J15077" t="s">
        <v>141</v>
      </c>
      <c r="K15077" t="s">
        <v>14</v>
      </c>
      <c r="L15077" t="s">
        <v>20</v>
      </c>
      <c r="M15077" t="s">
        <v>28539</v>
      </c>
      <c r="N15077" t="s">
        <v>14</v>
      </c>
    </row>
    <row r="15078" x14ac:dyDescent="0.25">
      <c r="A15078" t="n">
        <v>22</v>
      </c>
      <c r="B15078" t="s">
        <v>14</v>
      </c>
      <c r="C15078" t="s">
        <v>22</v>
      </c>
      <c r="D15078" s="2" t="s">
        <f>=HYPERLINK("https://main.knesset.gov.il/APPS/legislation/main/bills/2082208", "הצעת חוק-יסוד: ההתגברות (תיקוני חקיקה)")</f>
        <v>13726</v>
      </c>
      <c r="E15078" t="s">
        <v>13726</v>
      </c>
      <c r="F15078" t="s">
        <v>28986</v>
      </c>
      <c r="G15078" t="s">
        <v>14</v>
      </c>
      <c r="H15078">
             </c>
      <c r="I15078" t="s">
        <v>14</v>
      </c>
      <c r="J15078" t="s">
        <v>141</v>
      </c>
      <c r="K15078" t="s">
        <v>14</v>
      </c>
      <c r="L15078" t="s">
        <v>20</v>
      </c>
      <c r="M15078" t="s">
        <v>28539</v>
      </c>
      <c r="N15078" t="s">
        <v>14</v>
      </c>
    </row>
    <row r="15079" x14ac:dyDescent="0.25">
      <c r="A15079" t="n">
        <v>22</v>
      </c>
      <c r="B15079" t="s">
        <v>14</v>
      </c>
      <c r="C15079" t="s">
        <v>22</v>
      </c>
      <c r="D15079" s="2" t="s">
        <f>=HYPERLINK("https://main.knesset.gov.il/APPS/legislation/main/bills/2082360", "הצעת חוק הגנת הצרכן (תיקון - חובת הצגת מחיר מוצר בעת עריכת החשבון בקופה), התש""ף-2019")</f>
        <v>28987</v>
      </c>
      <c r="E15079" t="s">
        <v>28987</v>
      </c>
      <c r="F15079" t="s">
        <v>28988</v>
      </c>
      <c r="G15079" t="s">
        <v>14</v>
      </c>
      <c r="H15079">
             </c>
      <c r="I15079" t="s">
        <v>14</v>
      </c>
      <c r="J15079" t="s">
        <v>141</v>
      </c>
      <c r="K15079" t="s">
        <v>14</v>
      </c>
      <c r="L15079" t="s">
        <v>20</v>
      </c>
      <c r="M15079" t="s">
        <v>28539</v>
      </c>
      <c r="N15079" t="s">
        <v>14</v>
      </c>
    </row>
    <row r="15080" x14ac:dyDescent="0.25">
      <c r="A15080" t="n">
        <v>22</v>
      </c>
      <c r="B15080" t="s">
        <v>14</v>
      </c>
      <c r="C15080" t="s">
        <v>22</v>
      </c>
      <c r="D15080" s="2" t="s">
        <f>=HYPERLINK("https://main.knesset.gov.il/APPS/legislation/main/bills/2082168", "הצעת חוק הבטחת הכנסה (תיקון - תשלום רטרואקטיבי של גמלת הבטחת הכנסה למקבלי קצבת אזרח ותיק), התש""ף-2019")</f>
        <v>28989</v>
      </c>
      <c r="E15080" t="s">
        <v>28989</v>
      </c>
      <c r="F15080" t="s">
        <v>28990</v>
      </c>
      <c r="G15080" t="s">
        <v>14</v>
      </c>
      <c r="H15080">
             </c>
      <c r="I15080" t="s">
        <v>14</v>
      </c>
      <c r="J15080" t="s">
        <v>141</v>
      </c>
      <c r="K15080" t="s">
        <v>14</v>
      </c>
      <c r="L15080" t="s">
        <v>20</v>
      </c>
      <c r="M15080" t="s">
        <v>28539</v>
      </c>
      <c r="N15080" t="s">
        <v>14</v>
      </c>
    </row>
    <row r="15081" x14ac:dyDescent="0.25">
      <c r="A15081" t="n">
        <v>22</v>
      </c>
      <c r="B15081" t="s">
        <v>14</v>
      </c>
      <c r="C15081" t="s">
        <v>22</v>
      </c>
      <c r="D15081" s="2" t="s">
        <f>=HYPERLINK("https://main.knesset.gov.il/APPS/legislation/main/bills/2082196", "הצעת חוק לתיקון פקודת התעבורה (חובת התקנת חיישן בטיחות), התש""ף-2019")</f>
        <v>28991</v>
      </c>
      <c r="E15081" t="s">
        <v>28991</v>
      </c>
      <c r="F15081" t="s">
        <v>28992</v>
      </c>
      <c r="G15081" t="s">
        <v>14</v>
      </c>
      <c r="H15081">
             </c>
      <c r="I15081" t="s">
        <v>14</v>
      </c>
      <c r="J15081" t="s">
        <v>141</v>
      </c>
      <c r="K15081" t="s">
        <v>14</v>
      </c>
      <c r="L15081" t="s">
        <v>20</v>
      </c>
      <c r="M15081" t="s">
        <v>28539</v>
      </c>
      <c r="N15081" t="s">
        <v>14</v>
      </c>
    </row>
    <row r="15082" x14ac:dyDescent="0.25">
      <c r="A15082" t="n">
        <v>22</v>
      </c>
      <c r="B15082" t="s">
        <v>14</v>
      </c>
      <c r="C15082" t="s">
        <v>22</v>
      </c>
      <c r="D15082" s="2" t="s">
        <f>=HYPERLINK("https://main.knesset.gov.il/APPS/legislation/main/bills/2082357", "הצעת חוק הגנת הצרכן (תיקון - ביטול אפשרות להארכה אוטומטית של עסקה לתקופה קצובה), התש""ף-2019")</f>
        <v>28993</v>
      </c>
      <c r="E15082" t="s">
        <v>28993</v>
      </c>
      <c r="F15082" t="s">
        <v>28994</v>
      </c>
      <c r="G15082" t="s">
        <v>14</v>
      </c>
      <c r="H15082">
             </c>
      <c r="I15082" t="s">
        <v>14</v>
      </c>
      <c r="J15082" t="s">
        <v>141</v>
      </c>
      <c r="K15082" t="s">
        <v>14</v>
      </c>
      <c r="L15082" t="s">
        <v>20</v>
      </c>
      <c r="M15082" t="s">
        <v>28539</v>
      </c>
      <c r="N15082" t="s">
        <v>14</v>
      </c>
    </row>
    <row r="15083" x14ac:dyDescent="0.25">
      <c r="A15083" t="n">
        <v>22</v>
      </c>
      <c r="B15083" t="s">
        <v>14</v>
      </c>
      <c r="C15083" t="s">
        <v>22</v>
      </c>
      <c r="D15083" s="2" t="s">
        <f>=HYPERLINK("https://main.knesset.gov.il/APPS/legislation/main/bills/2081811", "הצעת חוק אבטחה במוסדות חינוך, התש""ף-2019")</f>
        <v>28995</v>
      </c>
      <c r="E15083" t="s">
        <v>28995</v>
      </c>
      <c r="F15083" t="s">
        <v>28996</v>
      </c>
      <c r="G15083" t="s">
        <v>14</v>
      </c>
      <c r="H15083">
             </c>
      <c r="I15083" t="s">
        <v>14</v>
      </c>
      <c r="J15083" t="s">
        <v>141</v>
      </c>
      <c r="K15083" t="s">
        <v>14</v>
      </c>
      <c r="L15083" t="s">
        <v>20</v>
      </c>
      <c r="M15083" t="s">
        <v>28539</v>
      </c>
      <c r="N15083" t="s">
        <v>14</v>
      </c>
    </row>
    <row r="15084" x14ac:dyDescent="0.25">
      <c r="A15084" t="n">
        <v>22</v>
      </c>
      <c r="B15084" t="s">
        <v>14</v>
      </c>
      <c r="C15084" t="s">
        <v>22</v>
      </c>
      <c r="D15084" s="2" t="s">
        <f>=HYPERLINK("https://main.knesset.gov.il/APPS/legislation/main/bills/2082199", "הצעת חוק משק החשמל (תיקון - תשלומי חשמל מופחתים לקשישים נכים), התש""ף-2019")</f>
        <v>28997</v>
      </c>
      <c r="E15084" t="s">
        <v>28997</v>
      </c>
      <c r="F15084" t="s">
        <v>28998</v>
      </c>
      <c r="G15084" t="s">
        <v>14</v>
      </c>
      <c r="H15084">
             </c>
      <c r="I15084" t="s">
        <v>14</v>
      </c>
      <c r="J15084" t="s">
        <v>141</v>
      </c>
      <c r="K15084" t="s">
        <v>14</v>
      </c>
      <c r="L15084" t="s">
        <v>20</v>
      </c>
      <c r="M15084" t="s">
        <v>28539</v>
      </c>
      <c r="N15084" t="s">
        <v>14</v>
      </c>
    </row>
    <row r="15085" x14ac:dyDescent="0.25">
      <c r="A15085" t="n">
        <v>22</v>
      </c>
      <c r="B15085" t="s">
        <v>14</v>
      </c>
      <c r="C15085" t="s">
        <v>22</v>
      </c>
      <c r="D15085" s="2" t="s">
        <f>=HYPERLINK("https://main.knesset.gov.il/APPS/legislation/main/bills/2082017", "הצעת חוק שירות אזרחי (תיקון - עידוד הצטרפות לשירות אזרחי רק למי שפטור משירות סדיר או לא נקרא לו), התש""ף-2019")</f>
        <v>28999</v>
      </c>
      <c r="E15085" t="s">
        <v>28999</v>
      </c>
      <c r="F15085" t="s">
        <v>29000</v>
      </c>
      <c r="G15085" t="s">
        <v>14</v>
      </c>
      <c r="H15085">
             </c>
      <c r="I15085" t="s">
        <v>14</v>
      </c>
      <c r="J15085" t="s">
        <v>141</v>
      </c>
      <c r="K15085" t="s">
        <v>14</v>
      </c>
      <c r="L15085" t="s">
        <v>20</v>
      </c>
      <c r="M15085" t="s">
        <v>28539</v>
      </c>
      <c r="N15085" t="s">
        <v>14</v>
      </c>
    </row>
    <row r="15086" x14ac:dyDescent="0.25">
      <c r="A15086" t="n">
        <v>22</v>
      </c>
      <c r="B15086" t="s">
        <v>14</v>
      </c>
      <c r="C15086" t="s">
        <v>22</v>
      </c>
      <c r="D15086" s="2" t="s">
        <f>=HYPERLINK("https://main.knesset.gov.il/APPS/legislation/main/bills/2082197", "הצעת חוק משק החשמל (תיקון - פיקוח על תעריפי החשמל), התש""ף-2019")</f>
        <v>29001</v>
      </c>
      <c r="E15086" t="s">
        <v>29001</v>
      </c>
      <c r="F15086" t="s">
        <v>29002</v>
      </c>
      <c r="G15086" t="s">
        <v>14</v>
      </c>
      <c r="H15086">
             </c>
      <c r="I15086" t="s">
        <v>14</v>
      </c>
      <c r="J15086" t="s">
        <v>141</v>
      </c>
      <c r="K15086" t="s">
        <v>14</v>
      </c>
      <c r="L15086" t="s">
        <v>20</v>
      </c>
      <c r="M15086" t="s">
        <v>28539</v>
      </c>
      <c r="N15086" t="s">
        <v>14</v>
      </c>
    </row>
    <row r="15087" x14ac:dyDescent="0.25">
      <c r="A15087" t="n">
        <v>22</v>
      </c>
      <c r="B15087" t="s">
        <v>14</v>
      </c>
      <c r="C15087" t="s">
        <v>22</v>
      </c>
      <c r="D15087" s="2" t="s">
        <f>=HYPERLINK("https://main.knesset.gov.il/APPS/legislation/main/bills/2082538", "הצעת חוק להסדרת הפיקוח על כלבים (תיקון - דיווח על המתת כלבים), התש""ף-2019")</f>
        <v>29003</v>
      </c>
      <c r="E15087" t="s">
        <v>29003</v>
      </c>
      <c r="F15087" t="s">
        <v>29004</v>
      </c>
      <c r="G15087" t="s">
        <v>14</v>
      </c>
      <c r="H15087">
             </c>
      <c r="I15087" t="s">
        <v>14</v>
      </c>
      <c r="J15087" t="s">
        <v>141</v>
      </c>
      <c r="K15087" t="s">
        <v>14</v>
      </c>
      <c r="L15087" t="s">
        <v>20</v>
      </c>
      <c r="M15087" t="s">
        <v>28539</v>
      </c>
      <c r="N15087" t="s">
        <v>14</v>
      </c>
    </row>
    <row r="15088" x14ac:dyDescent="0.25">
      <c r="A15088" t="n">
        <v>22</v>
      </c>
      <c r="B15088" t="s">
        <v>14</v>
      </c>
      <c r="C15088" t="s">
        <v>22</v>
      </c>
      <c r="D15088" s="2" t="s">
        <f>=HYPERLINK("https://main.knesset.gov.il/APPS/legislation/main/bills/2082369", "הצעת חוק המכר (דירות) (תיקון - חובת מסירת תכניות הדירה לקונה), התש""ף-2019")</f>
        <v>29005</v>
      </c>
      <c r="E15088" t="s">
        <v>29005</v>
      </c>
      <c r="F15088" t="s">
        <v>29006</v>
      </c>
      <c r="G15088" t="s">
        <v>14</v>
      </c>
      <c r="H15088">
             </c>
      <c r="I15088" t="s">
        <v>14</v>
      </c>
      <c r="J15088" t="s">
        <v>141</v>
      </c>
      <c r="K15088" t="s">
        <v>14</v>
      </c>
      <c r="L15088" t="s">
        <v>20</v>
      </c>
      <c r="M15088" t="s">
        <v>28539</v>
      </c>
      <c r="N15088" t="s">
        <v>14</v>
      </c>
    </row>
    <row r="15089" x14ac:dyDescent="0.25">
      <c r="A15089" t="n">
        <v>22</v>
      </c>
      <c r="B15089" t="s">
        <v>14</v>
      </c>
      <c r="C15089" t="s">
        <v>22</v>
      </c>
      <c r="D15089" s="2" t="s">
        <f>=HYPERLINK("https://main.knesset.gov.il/APPS/legislation/main/bills/2081337", "הצעת חוק הביטוח הלאומי (תיקון - זכות טיעון לפני שלילת גמלה), התש""ף-2019")</f>
        <v>29007</v>
      </c>
      <c r="E15089" t="s">
        <v>29007</v>
      </c>
      <c r="F15089" t="s">
        <v>29008</v>
      </c>
      <c r="G15089" t="s">
        <v>14</v>
      </c>
      <c r="H15089">
             </c>
      <c r="I15089" t="s">
        <v>14</v>
      </c>
      <c r="J15089" t="s">
        <v>141</v>
      </c>
      <c r="K15089" t="s">
        <v>14</v>
      </c>
      <c r="L15089" t="s">
        <v>20</v>
      </c>
      <c r="M15089" t="s">
        <v>28539</v>
      </c>
      <c r="N15089" t="s">
        <v>14</v>
      </c>
    </row>
    <row r="15090" x14ac:dyDescent="0.25">
      <c r="A15090" t="n">
        <v>22</v>
      </c>
      <c r="B15090" t="s">
        <v>14</v>
      </c>
      <c r="C15090" t="s">
        <v>22</v>
      </c>
      <c r="D15090" s="2" t="s">
        <f>=HYPERLINK("https://main.knesset.gov.il/APPS/legislation/main/bills/2082370", "הצעת חוק המתווכים במקרקעין (תיקון - הגבלת תקופת הבלעדיות לשלושה חודשים), התש""ף-2019 ")</f>
        <v>29009</v>
      </c>
      <c r="E15090" t="s">
        <v>29009</v>
      </c>
      <c r="F15090" t="s">
        <v>29010</v>
      </c>
      <c r="G15090" t="s">
        <v>14</v>
      </c>
      <c r="H15090">
             </c>
      <c r="I15090" t="s">
        <v>14</v>
      </c>
      <c r="J15090" t="s">
        <v>141</v>
      </c>
      <c r="K15090" t="s">
        <v>14</v>
      </c>
      <c r="L15090" t="s">
        <v>20</v>
      </c>
      <c r="M15090" t="s">
        <v>28539</v>
      </c>
      <c r="N15090" t="s">
        <v>14</v>
      </c>
    </row>
    <row r="15091" x14ac:dyDescent="0.25">
      <c r="A15091" t="n">
        <v>22</v>
      </c>
      <c r="B15091" t="s">
        <v>14</v>
      </c>
      <c r="C15091" t="s">
        <v>22</v>
      </c>
      <c r="D15091" s="2" t="s">
        <f>=HYPERLINK("https://main.knesset.gov.il/APPS/legislation/main/bills/2082505", "הצעת חוק זכויות הדייר בדיור הציבורי (תיקון - זכויות דייר ממשיך), התש""ף-2019")</f>
        <v>29011</v>
      </c>
      <c r="E15091" t="s">
        <v>29011</v>
      </c>
      <c r="F15091" t="s">
        <v>29012</v>
      </c>
      <c r="G15091" t="s">
        <v>14</v>
      </c>
      <c r="H15091">
             </c>
      <c r="I15091" t="s">
        <v>14</v>
      </c>
      <c r="J15091" t="s">
        <v>141</v>
      </c>
      <c r="K15091" t="s">
        <v>14</v>
      </c>
      <c r="L15091" t="s">
        <v>20</v>
      </c>
      <c r="M15091" t="s">
        <v>28539</v>
      </c>
      <c r="N15091" t="s">
        <v>14</v>
      </c>
    </row>
    <row r="15092" x14ac:dyDescent="0.25">
      <c r="A15092" t="n">
        <v>22</v>
      </c>
      <c r="B15092" t="s">
        <v>14</v>
      </c>
      <c r="C15092" t="s">
        <v>22</v>
      </c>
      <c r="D15092" s="2" t="s">
        <f>=HYPERLINK("https://main.knesset.gov.il/APPS/legislation/main/bills/2082030", "הצעת חוק התכנון והבנייה (תיקון - פרסום בדבר קבלת היתר בנייה ותחילת עבודה), התש""ף-2019")</f>
        <v>29013</v>
      </c>
      <c r="E15092" t="s">
        <v>29013</v>
      </c>
      <c r="F15092" t="s">
        <v>29014</v>
      </c>
      <c r="G15092" t="s">
        <v>14</v>
      </c>
      <c r="H15092">
             </c>
      <c r="I15092" t="s">
        <v>14</v>
      </c>
      <c r="J15092" t="s">
        <v>141</v>
      </c>
      <c r="K15092" t="s">
        <v>14</v>
      </c>
      <c r="L15092" t="s">
        <v>20</v>
      </c>
      <c r="M15092" t="s">
        <v>28539</v>
      </c>
      <c r="N15092" t="s">
        <v>14</v>
      </c>
    </row>
    <row r="15093" x14ac:dyDescent="0.25">
      <c r="A15093" t="n">
        <v>22</v>
      </c>
      <c r="B15093" t="s">
        <v>14</v>
      </c>
      <c r="C15093" t="s">
        <v>22</v>
      </c>
      <c r="D15093" s="2" t="s">
        <f>=HYPERLINK("https://main.knesset.gov.il/APPS/legislation/main/bills/2082166", "הצעת חוק זכויות הדייר בדיור הציבורי (תיקון - הארכת תוקף זכאות לדירה ציבורית), התש""ף-2019")</f>
        <v>29015</v>
      </c>
      <c r="E15093" t="s">
        <v>29015</v>
      </c>
      <c r="F15093" t="s">
        <v>29016</v>
      </c>
      <c r="G15093" t="s">
        <v>14</v>
      </c>
      <c r="H15093">
             </c>
      <c r="I15093" t="s">
        <v>14</v>
      </c>
      <c r="J15093" t="s">
        <v>141</v>
      </c>
      <c r="K15093" t="s">
        <v>14</v>
      </c>
      <c r="L15093" t="s">
        <v>20</v>
      </c>
      <c r="M15093" t="s">
        <v>28539</v>
      </c>
      <c r="N15093" t="s">
        <v>14</v>
      </c>
    </row>
    <row r="15094" x14ac:dyDescent="0.25">
      <c r="A15094" t="n">
        <v>22</v>
      </c>
      <c r="B15094" t="s">
        <v>14</v>
      </c>
      <c r="C15094" t="s">
        <v>22</v>
      </c>
      <c r="D15094" s="2" t="s">
        <f>=HYPERLINK("https://main.knesset.gov.il/APPS/legislation/main/bills/2081906", "הצעת חוק-יסוד: הממשלה (תיקון - נבחר ציבור שהורשע בעבירה שיש עמה קלון)")</f>
        <v>29017</v>
      </c>
      <c r="E15094" t="s">
        <v>29017</v>
      </c>
      <c r="F15094" t="s">
        <v>29018</v>
      </c>
      <c r="G15094" t="s">
        <v>14</v>
      </c>
      <c r="H15094">
             </c>
      <c r="I15094" t="s">
        <v>14</v>
      </c>
      <c r="J15094" t="s">
        <v>141</v>
      </c>
      <c r="K15094" t="s">
        <v>14</v>
      </c>
      <c r="L15094" t="s">
        <v>20</v>
      </c>
      <c r="M15094" t="s">
        <v>28539</v>
      </c>
      <c r="N15094" t="s">
        <v>14</v>
      </c>
    </row>
    <row r="15095" x14ac:dyDescent="0.25">
      <c r="A15095" t="n">
        <v>22</v>
      </c>
      <c r="B15095" t="s">
        <v>14</v>
      </c>
      <c r="C15095" t="s">
        <v>22</v>
      </c>
      <c r="D15095" s="2" t="s">
        <f>=HYPERLINK("https://main.knesset.gov.il/APPS/legislation/main/bills/2081372", "הצעת חוק הביטוח הלאומי (תיקון - ערעור על החלטת ועדה לעררים), התש""ף-2019")</f>
        <v>29019</v>
      </c>
      <c r="E15095" t="s">
        <v>29019</v>
      </c>
      <c r="F15095" t="s">
        <v>29020</v>
      </c>
      <c r="G15095" t="s">
        <v>14</v>
      </c>
      <c r="H15095">
             </c>
      <c r="I15095" t="s">
        <v>14</v>
      </c>
      <c r="J15095" t="s">
        <v>141</v>
      </c>
      <c r="K15095" t="s">
        <v>14</v>
      </c>
      <c r="L15095" t="s">
        <v>20</v>
      </c>
      <c r="M15095" t="s">
        <v>28539</v>
      </c>
      <c r="N15095" t="s">
        <v>14</v>
      </c>
    </row>
    <row r="15096" x14ac:dyDescent="0.25">
      <c r="A15096" t="n">
        <v>22</v>
      </c>
      <c r="B15096" t="s">
        <v>14</v>
      </c>
      <c r="C15096" t="s">
        <v>22</v>
      </c>
      <c r="D15096" s="2" t="s">
        <f>=HYPERLINK("https://main.knesset.gov.il/APPS/legislation/main/bills/2082377", "הצעת חוק התקשורת (בזק ושידורים) (תיקון - חובת מסירת פרטים של שולח פרסומת בניגוד לחוק), התש""ף-2019")</f>
        <v>29021</v>
      </c>
      <c r="E15096" t="s">
        <v>29021</v>
      </c>
      <c r="F15096" t="s">
        <v>29022</v>
      </c>
      <c r="G15096" t="s">
        <v>14</v>
      </c>
      <c r="H15096">
             </c>
      <c r="I15096" t="s">
        <v>14</v>
      </c>
      <c r="J15096" t="s">
        <v>141</v>
      </c>
      <c r="K15096" t="s">
        <v>14</v>
      </c>
      <c r="L15096" t="s">
        <v>20</v>
      </c>
      <c r="M15096" t="s">
        <v>28539</v>
      </c>
      <c r="N15096" t="s">
        <v>14</v>
      </c>
    </row>
    <row r="15097" x14ac:dyDescent="0.25">
      <c r="A15097" t="n">
        <v>22</v>
      </c>
      <c r="B15097" t="s">
        <v>14</v>
      </c>
      <c r="C15097" t="s">
        <v>22</v>
      </c>
      <c r="D15097" s="2" t="s">
        <f>=HYPERLINK("https://main.knesset.gov.il/APPS/legislation/main/bills/2081927", "הצעת חוק-יסוד: הכנסת (תיקון - חבר הכנסת שהוגש נגדו כתב אישום המעלה חשש לסכנה לביטחון המדינה)")</f>
        <v>26024</v>
      </c>
      <c r="E15097" t="s">
        <v>26024</v>
      </c>
      <c r="F15097" t="s">
        <v>29023</v>
      </c>
      <c r="G15097" t="s">
        <v>14</v>
      </c>
      <c r="H15097">
             </c>
      <c r="I15097" t="s">
        <v>14</v>
      </c>
      <c r="J15097" t="s">
        <v>141</v>
      </c>
      <c r="K15097" t="s">
        <v>14</v>
      </c>
      <c r="L15097" t="s">
        <v>20</v>
      </c>
      <c r="M15097" t="s">
        <v>28539</v>
      </c>
      <c r="N15097" t="s">
        <v>14</v>
      </c>
    </row>
    <row r="15098" x14ac:dyDescent="0.25">
      <c r="A15098" t="n">
        <v>22</v>
      </c>
      <c r="B15098" t="s">
        <v>14</v>
      </c>
      <c r="C15098" t="s">
        <v>22</v>
      </c>
      <c r="D15098" s="2" t="s">
        <f>=HYPERLINK("https://main.knesset.gov.il/APPS/legislation/main/bills/2082549", "הצעת חוק פיקוח על רווחי שיווק בתוצרת חקלאית, התש""ף-2019")</f>
        <v>27861</v>
      </c>
      <c r="E15098" t="s">
        <v>27861</v>
      </c>
      <c r="F15098" t="s">
        <v>29024</v>
      </c>
      <c r="G15098" t="s">
        <v>14</v>
      </c>
      <c r="H15098">
             </c>
      <c r="I15098" t="s">
        <v>14</v>
      </c>
      <c r="J15098" t="s">
        <v>141</v>
      </c>
      <c r="K15098" t="s">
        <v>14</v>
      </c>
      <c r="L15098" t="s">
        <v>20</v>
      </c>
      <c r="M15098" t="s">
        <v>28539</v>
      </c>
      <c r="N15098" t="s">
        <v>14</v>
      </c>
    </row>
    <row r="15099" x14ac:dyDescent="0.25">
      <c r="A15099" t="n">
        <v>22</v>
      </c>
      <c r="B15099" t="s">
        <v>14</v>
      </c>
      <c r="C15099" t="s">
        <v>22</v>
      </c>
      <c r="D15099" s="2" t="s">
        <f>=HYPERLINK("https://main.knesset.gov.il/APPS/legislation/main/bills/2082028", "הצעת חוק פיקוח על מחירי מצרכים ושירותים (תיקון - פיקוח על מחיר גז טבעי), התש""ף-2019")</f>
        <v>29025</v>
      </c>
      <c r="E15099" t="s">
        <v>29025</v>
      </c>
      <c r="F15099" t="s">
        <v>29026</v>
      </c>
      <c r="G15099" t="s">
        <v>14</v>
      </c>
      <c r="H15099">
             </c>
      <c r="I15099" t="s">
        <v>14</v>
      </c>
      <c r="J15099" t="s">
        <v>141</v>
      </c>
      <c r="K15099" t="s">
        <v>14</v>
      </c>
      <c r="L15099" t="s">
        <v>20</v>
      </c>
      <c r="M15099" t="s">
        <v>28539</v>
      </c>
      <c r="N15099" t="s">
        <v>14</v>
      </c>
    </row>
    <row r="15100" x14ac:dyDescent="0.25">
      <c r="A15100" t="n">
        <v>22</v>
      </c>
      <c r="B15100" t="s">
        <v>14</v>
      </c>
      <c r="C15100" t="s">
        <v>22</v>
      </c>
      <c r="D15100" s="2" t="s">
        <f>=HYPERLINK("https://main.knesset.gov.il/APPS/legislation/main/bills/2082046", "הצעת חוק הביטוח הלאומי (תיקון - דמי מחלה לעובד עצמאי), התש""ף-2019")</f>
        <v>28487</v>
      </c>
      <c r="E15100" t="s">
        <v>28487</v>
      </c>
      <c r="F15100" t="s">
        <v>29027</v>
      </c>
      <c r="G15100" t="s">
        <v>14</v>
      </c>
      <c r="H15100">
             </c>
      <c r="I15100" t="s">
        <v>14</v>
      </c>
      <c r="J15100" t="s">
        <v>141</v>
      </c>
      <c r="K15100" t="s">
        <v>14</v>
      </c>
      <c r="L15100" t="s">
        <v>20</v>
      </c>
      <c r="M15100" t="s">
        <v>28539</v>
      </c>
      <c r="N15100" t="s">
        <v>14</v>
      </c>
    </row>
    <row r="15101" x14ac:dyDescent="0.25">
      <c r="A15101" t="n">
        <v>22</v>
      </c>
      <c r="B15101" t="s">
        <v>14</v>
      </c>
      <c r="C15101" t="s">
        <v>22</v>
      </c>
      <c r="D15101" s="2" t="s">
        <f>=HYPERLINK("https://main.knesset.gov.il/APPS/legislation/main/bills/2082501", "הצעת חוק שירותי רווחה לאנשים עם מוגבלות, התש""ף-2019 ")</f>
        <v>29028</v>
      </c>
      <c r="E15101" t="s">
        <v>29028</v>
      </c>
      <c r="F15101" t="s">
        <v>29029</v>
      </c>
      <c r="G15101" t="s">
        <v>14</v>
      </c>
      <c r="H15101">
             </c>
      <c r="I15101" t="s">
        <v>14</v>
      </c>
      <c r="J15101" t="s">
        <v>141</v>
      </c>
      <c r="K15101" t="s">
        <v>14</v>
      </c>
      <c r="L15101" t="s">
        <v>20</v>
      </c>
      <c r="M15101" t="s">
        <v>28539</v>
      </c>
      <c r="N15101" t="s">
        <v>14</v>
      </c>
    </row>
    <row r="15102" x14ac:dyDescent="0.25">
      <c r="A15102" t="n">
        <v>22</v>
      </c>
      <c r="B15102" t="s">
        <v>14</v>
      </c>
      <c r="C15102" t="s">
        <v>22</v>
      </c>
      <c r="D15102" s="2" t="s">
        <f>=HYPERLINK("https://main.knesset.gov.il/APPS/legislation/main/bills/2082151", "הצעת חוק הגנת הצרכן (תיקון - פנייה מקדימה בעסקת מכר מרחוק), התש""ף-2019")</f>
        <v>29030</v>
      </c>
      <c r="E15102" t="s">
        <v>29030</v>
      </c>
      <c r="F15102" t="s">
        <v>29031</v>
      </c>
      <c r="G15102" t="s">
        <v>14</v>
      </c>
      <c r="H15102">
             </c>
      <c r="I15102" t="s">
        <v>14</v>
      </c>
      <c r="J15102" t="s">
        <v>141</v>
      </c>
      <c r="K15102" t="s">
        <v>14</v>
      </c>
      <c r="L15102" t="s">
        <v>20</v>
      </c>
      <c r="M15102" t="s">
        <v>28539</v>
      </c>
      <c r="N15102" t="s">
        <v>14</v>
      </c>
    </row>
    <row r="15103" x14ac:dyDescent="0.25">
      <c r="A15103" t="n">
        <v>22</v>
      </c>
      <c r="B15103" t="s">
        <v>14</v>
      </c>
      <c r="C15103" t="s">
        <v>22</v>
      </c>
      <c r="D15103" s="2" t="s">
        <f>=HYPERLINK("https://main.knesset.gov.il/APPS/legislation/main/bills/2082551", "הצעת חוק לתיקון פקודת הכלבת (בידוד בעלי חיים), התש""ף-2019")</f>
        <v>29032</v>
      </c>
      <c r="E15103" t="s">
        <v>29032</v>
      </c>
      <c r="F15103" t="s">
        <v>29033</v>
      </c>
      <c r="G15103" t="s">
        <v>14</v>
      </c>
      <c r="H15103">
             </c>
      <c r="I15103" t="s">
        <v>14</v>
      </c>
      <c r="J15103" t="s">
        <v>141</v>
      </c>
      <c r="K15103" t="s">
        <v>14</v>
      </c>
      <c r="L15103" t="s">
        <v>20</v>
      </c>
      <c r="M15103" t="s">
        <v>28539</v>
      </c>
      <c r="N15103" t="s">
        <v>14</v>
      </c>
    </row>
    <row r="15104" x14ac:dyDescent="0.25">
      <c r="A15104" t="n">
        <v>22</v>
      </c>
      <c r="B15104" t="s">
        <v>14</v>
      </c>
      <c r="C15104" t="s">
        <v>22</v>
      </c>
      <c r="D15104" s="2" t="s">
        <f>=HYPERLINK("https://main.knesset.gov.il/APPS/legislation/main/bills/2081230", "הצעת חוק לתיקון פקודת התעבורה (ביטול קנס בשל רכישת מערכות בטיחות מתקדמות), התש""ף-2019")</f>
        <v>29034</v>
      </c>
      <c r="E15104" t="s">
        <v>29034</v>
      </c>
      <c r="F15104" t="s">
        <v>29035</v>
      </c>
      <c r="G15104" t="s">
        <v>14</v>
      </c>
      <c r="H15104">
             </c>
      <c r="I15104" t="s">
        <v>14</v>
      </c>
      <c r="J15104" t="s">
        <v>141</v>
      </c>
      <c r="K15104" t="s">
        <v>14</v>
      </c>
      <c r="L15104" t="s">
        <v>20</v>
      </c>
      <c r="M15104" t="s">
        <v>28539</v>
      </c>
      <c r="N15104" t="s">
        <v>14</v>
      </c>
    </row>
    <row r="15105" x14ac:dyDescent="0.25">
      <c r="A15105" t="n">
        <v>22</v>
      </c>
      <c r="B15105" t="s">
        <v>14</v>
      </c>
      <c r="C15105" t="s">
        <v>22</v>
      </c>
      <c r="D15105" s="2" t="s">
        <f>=HYPERLINK("https://main.knesset.gov.il/APPS/legislation/main/bills/2082515", "הצעת חוק הפרשנות (תיקון - הגדרת הפליה על רקע נטייה מינית או זהות מגדרית), התש""ף-2019")</f>
        <v>29036</v>
      </c>
      <c r="E15105" t="s">
        <v>29036</v>
      </c>
      <c r="F15105" t="s">
        <v>29037</v>
      </c>
      <c r="G15105" t="s">
        <v>14</v>
      </c>
      <c r="H15105">
             </c>
      <c r="I15105" t="s">
        <v>14</v>
      </c>
      <c r="J15105" t="s">
        <v>141</v>
      </c>
      <c r="K15105" t="s">
        <v>14</v>
      </c>
      <c r="L15105" t="s">
        <v>20</v>
      </c>
      <c r="M15105" t="s">
        <v>28539</v>
      </c>
      <c r="N15105" t="s">
        <v>14</v>
      </c>
    </row>
    <row r="15106" x14ac:dyDescent="0.25">
      <c r="A15106" t="n">
        <v>22</v>
      </c>
      <c r="B15106" t="s">
        <v>14</v>
      </c>
      <c r="C15106" t="s">
        <v>22</v>
      </c>
      <c r="D15106" s="2" t="s">
        <f>=HYPERLINK("https://main.knesset.gov.il/APPS/legislation/main/bills/2081935", "הצעת חוק העונשין (תיקון - החמרת ענישה להריגה בתאונת דרכים בנהיגה תחת השפעת אלכוהול וסמים), התש""ף-2019")</f>
        <v>29038</v>
      </c>
      <c r="E15106" t="s">
        <v>29038</v>
      </c>
      <c r="F15106" t="s">
        <v>29039</v>
      </c>
      <c r="G15106" t="s">
        <v>14</v>
      </c>
      <c r="H15106">
             </c>
      <c r="I15106" t="s">
        <v>14</v>
      </c>
      <c r="J15106" t="s">
        <v>141</v>
      </c>
      <c r="K15106" t="s">
        <v>14</v>
      </c>
      <c r="L15106" t="s">
        <v>20</v>
      </c>
      <c r="M15106" t="s">
        <v>28539</v>
      </c>
      <c r="N15106" t="s">
        <v>14</v>
      </c>
    </row>
    <row r="15107" x14ac:dyDescent="0.25">
      <c r="A15107" t="n">
        <v>22</v>
      </c>
      <c r="B15107" t="s">
        <v>14</v>
      </c>
      <c r="C15107" t="s">
        <v>22</v>
      </c>
      <c r="D15107" s="2" t="s">
        <f>=HYPERLINK("https://main.knesset.gov.il/APPS/legislation/main/bills/2081510", "הצעת חוק הגנת הצרכן (תיקון - סימון תאריך ייצור ומועד תפוגה עברי), התש""ף-2019")</f>
        <v>28115</v>
      </c>
      <c r="E15107" t="s">
        <v>28115</v>
      </c>
      <c r="F15107" t="s">
        <v>29040</v>
      </c>
      <c r="G15107" t="s">
        <v>14</v>
      </c>
      <c r="H15107">
             </c>
      <c r="I15107" t="s">
        <v>14</v>
      </c>
      <c r="J15107" t="s">
        <v>141</v>
      </c>
      <c r="K15107" t="s">
        <v>14</v>
      </c>
      <c r="L15107" t="s">
        <v>20</v>
      </c>
      <c r="M15107" t="s">
        <v>28539</v>
      </c>
      <c r="N15107" t="s">
        <v>14</v>
      </c>
    </row>
    <row r="15108" x14ac:dyDescent="0.25">
      <c r="A15108" t="n">
        <v>22</v>
      </c>
      <c r="B15108" t="s">
        <v>14</v>
      </c>
      <c r="C15108" t="s">
        <v>22</v>
      </c>
      <c r="D15108" s="2" t="s">
        <f>=HYPERLINK("https://main.knesset.gov.il/APPS/legislation/main/bills/2082241", "הצעת חוק איסור קבלת תגמול מגופים העוסקים בתחום הבריאות, התש""ף-2019")</f>
        <v>29041</v>
      </c>
      <c r="E15108" t="s">
        <v>29041</v>
      </c>
      <c r="F15108" t="s">
        <v>29042</v>
      </c>
      <c r="G15108" t="s">
        <v>14</v>
      </c>
      <c r="H15108">
             </c>
      <c r="I15108" t="s">
        <v>14</v>
      </c>
      <c r="J15108" t="s">
        <v>141</v>
      </c>
      <c r="K15108" t="s">
        <v>14</v>
      </c>
      <c r="L15108" t="s">
        <v>20</v>
      </c>
      <c r="M15108" t="s">
        <v>28539</v>
      </c>
      <c r="N15108" t="s">
        <v>14</v>
      </c>
    </row>
    <row r="15109" x14ac:dyDescent="0.25">
      <c r="A15109" t="n">
        <v>22</v>
      </c>
      <c r="B15109" t="s">
        <v>14</v>
      </c>
      <c r="C15109" t="s">
        <v>22</v>
      </c>
      <c r="D15109" s="2" t="s">
        <f>=HYPERLINK("https://main.knesset.gov.il/APPS/legislation/main/bills/2081914", "הצעת חוק חובת המכרזים (תיקון - הרחבת חובת העדפה של תוצרת הארץ), התש""ף-2019")</f>
        <v>29043</v>
      </c>
      <c r="E15109" t="s">
        <v>29043</v>
      </c>
      <c r="F15109" t="s">
        <v>29044</v>
      </c>
      <c r="G15109" t="s">
        <v>14</v>
      </c>
      <c r="H15109">
             </c>
      <c r="I15109" t="s">
        <v>14</v>
      </c>
      <c r="J15109" t="s">
        <v>141</v>
      </c>
      <c r="K15109" t="s">
        <v>14</v>
      </c>
      <c r="L15109" t="s">
        <v>20</v>
      </c>
      <c r="M15109" t="s">
        <v>28539</v>
      </c>
      <c r="N15109" t="s">
        <v>14</v>
      </c>
    </row>
    <row r="15110" x14ac:dyDescent="0.25">
      <c r="A15110" t="n">
        <v>22</v>
      </c>
      <c r="B15110" t="s">
        <v>14</v>
      </c>
      <c r="C15110" t="s">
        <v>22</v>
      </c>
      <c r="D15110" s="2" t="s">
        <f>=HYPERLINK("https://main.knesset.gov.il/APPS/legislation/main/bills/2082235", "הצעת חוק לתיקון פקודת התעבורה (הגבלת דמי חניה בחניוני בתי חולים), התש""ף-2019")</f>
        <v>29045</v>
      </c>
      <c r="E15110" t="s">
        <v>29045</v>
      </c>
      <c r="F15110" t="s">
        <v>29046</v>
      </c>
      <c r="G15110" t="s">
        <v>14</v>
      </c>
      <c r="H15110">
             </c>
      <c r="I15110" t="s">
        <v>14</v>
      </c>
      <c r="J15110" t="s">
        <v>141</v>
      </c>
      <c r="K15110" t="s">
        <v>14</v>
      </c>
      <c r="L15110" t="s">
        <v>20</v>
      </c>
      <c r="M15110" t="s">
        <v>28539</v>
      </c>
      <c r="N15110" t="s">
        <v>14</v>
      </c>
    </row>
    <row r="15111" x14ac:dyDescent="0.25">
      <c r="A15111" t="n">
        <v>22</v>
      </c>
      <c r="B15111" t="s">
        <v>14</v>
      </c>
      <c r="C15111" t="s">
        <v>22</v>
      </c>
      <c r="D15111" s="2" t="s">
        <f>=HYPERLINK("https://main.knesset.gov.il/APPS/legislation/main/bills/2081918", "הצעת חוק ההוצאה לפועל (תיקון - הוראות להגבלת רישיון נהיגה), התש""ף-2019")</f>
        <v>29047</v>
      </c>
      <c r="E15111" t="s">
        <v>29047</v>
      </c>
      <c r="F15111" t="s">
        <v>29048</v>
      </c>
      <c r="G15111" t="s">
        <v>14</v>
      </c>
      <c r="H15111">
             </c>
      <c r="I15111" t="s">
        <v>14</v>
      </c>
      <c r="J15111" t="s">
        <v>141</v>
      </c>
      <c r="K15111" t="s">
        <v>14</v>
      </c>
      <c r="L15111" t="s">
        <v>20</v>
      </c>
      <c r="M15111" t="s">
        <v>28539</v>
      </c>
      <c r="N15111" t="s">
        <v>14</v>
      </c>
    </row>
    <row r="15112" x14ac:dyDescent="0.25">
      <c r="A15112" t="n">
        <v>22</v>
      </c>
      <c r="B15112" t="s">
        <v>14</v>
      </c>
      <c r="C15112" t="s">
        <v>22</v>
      </c>
      <c r="D15112" s="2" t="s">
        <f>=HYPERLINK("https://main.knesset.gov.il/APPS/legislation/main/bills/2081498", "הצעת חוק הגנת הצרכן (תיקון - השוואת תנאי צרכן ונותן שירות בעניין החזרת טובין), התש""ף-2019")</f>
        <v>29049</v>
      </c>
      <c r="E15112" t="s">
        <v>29049</v>
      </c>
      <c r="F15112" t="s">
        <v>29050</v>
      </c>
      <c r="G15112" t="s">
        <v>14</v>
      </c>
      <c r="H15112">
             </c>
      <c r="I15112" t="s">
        <v>14</v>
      </c>
      <c r="J15112" t="s">
        <v>141</v>
      </c>
      <c r="K15112" t="s">
        <v>14</v>
      </c>
      <c r="L15112" t="s">
        <v>20</v>
      </c>
      <c r="M15112" t="s">
        <v>28539</v>
      </c>
      <c r="N15112" t="s">
        <v>14</v>
      </c>
    </row>
    <row r="15113" x14ac:dyDescent="0.25">
      <c r="A15113" t="n">
        <v>22</v>
      </c>
      <c r="B15113" t="s">
        <v>14</v>
      </c>
      <c r="C15113" t="s">
        <v>22</v>
      </c>
      <c r="D15113" s="2" t="s">
        <f>=HYPERLINK("https://main.knesset.gov.il/APPS/legislation/main/bills/2081967", "הצעת חוק-יסוד: משק המדינה (תיקון - סעיף נוקשות)")</f>
        <v>26298</v>
      </c>
      <c r="E15113" t="s">
        <v>26298</v>
      </c>
      <c r="F15113" t="s">
        <v>29051</v>
      </c>
      <c r="G15113" t="s">
        <v>14</v>
      </c>
      <c r="H15113">
             </c>
      <c r="I15113" t="s">
        <v>14</v>
      </c>
      <c r="J15113" t="s">
        <v>141</v>
      </c>
      <c r="K15113" t="s">
        <v>14</v>
      </c>
      <c r="L15113" t="s">
        <v>20</v>
      </c>
      <c r="M15113" t="s">
        <v>28539</v>
      </c>
      <c r="N15113" t="s">
        <v>14</v>
      </c>
    </row>
    <row r="15114" x14ac:dyDescent="0.25">
      <c r="A15114" t="n">
        <v>22</v>
      </c>
      <c r="B15114" t="s">
        <v>14</v>
      </c>
      <c r="C15114" t="s">
        <v>22</v>
      </c>
      <c r="D15114" s="2" t="s">
        <f>=HYPERLINK("https://main.knesset.gov.il/APPS/legislation/main/bills/2082043", "הצעת חוק לתיקון פקודת מס הכנסה (קיזוז הפסדים), התש""ף-2019")</f>
        <v>29052</v>
      </c>
      <c r="E15114" t="s">
        <v>29052</v>
      </c>
      <c r="F15114" t="s">
        <v>29053</v>
      </c>
      <c r="G15114" t="s">
        <v>14</v>
      </c>
      <c r="H15114">
             </c>
      <c r="I15114" t="s">
        <v>14</v>
      </c>
      <c r="J15114" t="s">
        <v>141</v>
      </c>
      <c r="K15114" t="s">
        <v>14</v>
      </c>
      <c r="L15114" t="s">
        <v>20</v>
      </c>
      <c r="M15114" t="s">
        <v>28539</v>
      </c>
      <c r="N15114" t="s">
        <v>14</v>
      </c>
    </row>
    <row r="15115" x14ac:dyDescent="0.25">
      <c r="A15115" t="n">
        <v>22</v>
      </c>
      <c r="B15115" t="s">
        <v>14</v>
      </c>
      <c r="C15115" t="s">
        <v>22</v>
      </c>
      <c r="D15115" s="2" t="s">
        <f>=HYPERLINK("https://main.knesset.gov.il/APPS/legislation/main/bills/2081938", "הצעת חוק שיקום, פיצוי וסיוע משפטי לנפגעי עבירות מין, התש""ף-2019")</f>
        <v>29054</v>
      </c>
      <c r="E15115" t="s">
        <v>29054</v>
      </c>
      <c r="F15115" t="s">
        <v>29055</v>
      </c>
      <c r="G15115" t="s">
        <v>14</v>
      </c>
      <c r="H15115">
             </c>
      <c r="I15115" t="s">
        <v>14</v>
      </c>
      <c r="J15115" t="s">
        <v>141</v>
      </c>
      <c r="K15115" t="s">
        <v>14</v>
      </c>
      <c r="L15115" t="s">
        <v>20</v>
      </c>
      <c r="M15115" t="s">
        <v>28539</v>
      </c>
      <c r="N15115" t="s">
        <v>14</v>
      </c>
    </row>
    <row r="15116" x14ac:dyDescent="0.25">
      <c r="A15116" t="n">
        <v>22</v>
      </c>
      <c r="B15116" t="s">
        <v>14</v>
      </c>
      <c r="C15116" t="s">
        <v>22</v>
      </c>
      <c r="D15116" s="2" t="s">
        <f>=HYPERLINK("https://main.knesset.gov.il/APPS/legislation/main/bills/2082089", "הצעת חוק לתיקון פקודת מס הכנסה (אישור זיכוי מס), התש""ף-2019")</f>
        <v>29056</v>
      </c>
      <c r="E15116" t="s">
        <v>29056</v>
      </c>
      <c r="F15116" t="s">
        <v>29057</v>
      </c>
      <c r="G15116" t="s">
        <v>14</v>
      </c>
      <c r="H15116">
             </c>
      <c r="I15116" t="s">
        <v>14</v>
      </c>
      <c r="J15116" t="s">
        <v>141</v>
      </c>
      <c r="K15116" t="s">
        <v>14</v>
      </c>
      <c r="L15116" t="s">
        <v>20</v>
      </c>
      <c r="M15116" t="s">
        <v>28539</v>
      </c>
      <c r="N15116" t="s">
        <v>14</v>
      </c>
    </row>
    <row r="15117" x14ac:dyDescent="0.25">
      <c r="A15117" t="n">
        <v>22</v>
      </c>
      <c r="B15117" t="s">
        <v>14</v>
      </c>
      <c r="C15117" t="s">
        <v>22</v>
      </c>
      <c r="D15117" s="2" t="s">
        <f>=HYPERLINK("https://main.knesset.gov.il/APPS/legislation/main/bills/2082540", "הצעת חוק הפיקוח על שירותים פיננסיים (ביטוח) (תיקון - מאגר בודקים), התש""ף-2019")</f>
        <v>29058</v>
      </c>
      <c r="E15117" t="s">
        <v>29058</v>
      </c>
      <c r="F15117" t="s">
        <v>29059</v>
      </c>
      <c r="G15117" t="s">
        <v>14</v>
      </c>
      <c r="H15117">
             </c>
      <c r="I15117" t="s">
        <v>14</v>
      </c>
      <c r="J15117" t="s">
        <v>141</v>
      </c>
      <c r="K15117" t="s">
        <v>14</v>
      </c>
      <c r="L15117" t="s">
        <v>20</v>
      </c>
      <c r="M15117" t="s">
        <v>28539</v>
      </c>
      <c r="N15117" t="s">
        <v>14</v>
      </c>
    </row>
    <row r="15118" x14ac:dyDescent="0.25">
      <c r="A15118" t="n">
        <v>22</v>
      </c>
      <c r="B15118" t="s">
        <v>14</v>
      </c>
      <c r="C15118" t="s">
        <v>22</v>
      </c>
      <c r="D15118" s="2" t="s">
        <f>=HYPERLINK("https://main.knesset.gov.il/APPS/legislation/main/bills/2081283", "הצעת חוק לתיקון פקודת התעבורה (תשלום קנס בתשלומים), התש""ף-2019")</f>
        <v>29060</v>
      </c>
      <c r="E15118" t="s">
        <v>29060</v>
      </c>
      <c r="F15118" t="s">
        <v>29061</v>
      </c>
      <c r="G15118" t="s">
        <v>14</v>
      </c>
      <c r="H15118">
             </c>
      <c r="I15118" t="s">
        <v>14</v>
      </c>
      <c r="J15118" t="s">
        <v>141</v>
      </c>
      <c r="K15118" t="s">
        <v>14</v>
      </c>
      <c r="L15118" t="s">
        <v>20</v>
      </c>
      <c r="M15118" t="s">
        <v>28539</v>
      </c>
      <c r="N15118" t="s">
        <v>14</v>
      </c>
    </row>
    <row r="15119" x14ac:dyDescent="0.25">
      <c r="A15119" t="n">
        <v>22</v>
      </c>
      <c r="B15119" t="s">
        <v>14</v>
      </c>
      <c r="C15119" t="s">
        <v>22</v>
      </c>
      <c r="D15119" s="2" t="s">
        <f>=HYPERLINK("https://main.knesset.gov.il/APPS/legislation/main/bills/2082121", "הצעת חוק לתיקון פקודת מס הכנסה (חשבון השקעה), התש""ף-2019")</f>
        <v>29062</v>
      </c>
      <c r="E15119" t="s">
        <v>29062</v>
      </c>
      <c r="F15119" t="s">
        <v>29063</v>
      </c>
      <c r="G15119" t="s">
        <v>14</v>
      </c>
      <c r="H15119">
             </c>
      <c r="I15119" t="s">
        <v>14</v>
      </c>
      <c r="J15119" t="s">
        <v>141</v>
      </c>
      <c r="K15119" t="s">
        <v>14</v>
      </c>
      <c r="L15119" t="s">
        <v>20</v>
      </c>
      <c r="M15119" t="s">
        <v>28539</v>
      </c>
      <c r="N15119" t="s">
        <v>14</v>
      </c>
    </row>
    <row r="15120" x14ac:dyDescent="0.25">
      <c r="A15120" t="n">
        <v>22</v>
      </c>
      <c r="B15120" t="s">
        <v>14</v>
      </c>
      <c r="C15120" t="s">
        <v>22</v>
      </c>
      <c r="D15120" s="2" t="s">
        <f>=HYPERLINK("https://main.knesset.gov.il/APPS/legislation/main/bills/2081419", "הצעת חוק משק החשמל (תיקון - גביית תשלומים), התש""ף-2019")</f>
        <v>27716</v>
      </c>
      <c r="E15120" t="s">
        <v>27716</v>
      </c>
      <c r="F15120" t="s">
        <v>29064</v>
      </c>
      <c r="G15120" t="s">
        <v>14</v>
      </c>
      <c r="H15120">
             </c>
      <c r="I15120" t="s">
        <v>14</v>
      </c>
      <c r="J15120" t="s">
        <v>141</v>
      </c>
      <c r="K15120" t="s">
        <v>14</v>
      </c>
      <c r="L15120" t="s">
        <v>20</v>
      </c>
      <c r="M15120" t="s">
        <v>28539</v>
      </c>
      <c r="N15120" t="s">
        <v>14</v>
      </c>
    </row>
    <row r="15121" x14ac:dyDescent="0.25">
      <c r="A15121" t="n">
        <v>22</v>
      </c>
      <c r="B15121" t="s">
        <v>14</v>
      </c>
      <c r="C15121" t="s">
        <v>22</v>
      </c>
      <c r="D15121" s="2" t="s">
        <f>=HYPERLINK("https://main.knesset.gov.il/APPS/legislation/main/bills/2082041", "הצעת חוק הפיקוח על שירותים פיננסיים (ביטוח) (תיקון - היתר לשיווק ומכירה של ביטוח נסיעות לחו""ל), התש""ף-2019")</f>
        <v>29065</v>
      </c>
      <c r="E15121" t="s">
        <v>29065</v>
      </c>
      <c r="F15121" t="s">
        <v>29066</v>
      </c>
      <c r="G15121" t="s">
        <v>14</v>
      </c>
      <c r="H15121">
             </c>
      <c r="I15121" t="s">
        <v>14</v>
      </c>
      <c r="J15121" t="s">
        <v>141</v>
      </c>
      <c r="K15121" t="s">
        <v>14</v>
      </c>
      <c r="L15121" t="s">
        <v>20</v>
      </c>
      <c r="M15121" t="s">
        <v>28539</v>
      </c>
      <c r="N15121" t="s">
        <v>14</v>
      </c>
    </row>
    <row r="15122" x14ac:dyDescent="0.25">
      <c r="A15122" t="n">
        <v>22</v>
      </c>
      <c r="B15122" t="s">
        <v>14</v>
      </c>
      <c r="C15122" t="s">
        <v>22</v>
      </c>
      <c r="D15122" s="2" t="s">
        <f>=HYPERLINK("https://main.knesset.gov.il/APPS/legislation/main/bills/2081814", "הצעת חוק הדיור הציבורי (זכות לדירה ציבורית), התש""ף-2019")</f>
        <v>29067</v>
      </c>
      <c r="E15122" t="s">
        <v>29067</v>
      </c>
      <c r="F15122" t="s">
        <v>29068</v>
      </c>
      <c r="G15122" t="s">
        <v>14</v>
      </c>
      <c r="H15122">
             </c>
      <c r="I15122" t="s">
        <v>14</v>
      </c>
      <c r="J15122" t="s">
        <v>141</v>
      </c>
      <c r="K15122" t="s">
        <v>14</v>
      </c>
      <c r="L15122" t="s">
        <v>20</v>
      </c>
      <c r="M15122" t="s">
        <v>28539</v>
      </c>
      <c r="N15122" t="s">
        <v>14</v>
      </c>
    </row>
    <row r="15123" x14ac:dyDescent="0.25">
      <c r="A15123" t="n">
        <v>22</v>
      </c>
      <c r="B15123" t="s">
        <v>14</v>
      </c>
      <c r="C15123" t="s">
        <v>22</v>
      </c>
      <c r="D15123" s="2" t="s">
        <f>=HYPERLINK("https://main.knesset.gov.il/APPS/legislation/main/bills/2082520", "הצעת חוק לתיקון פקודת מס הכנסה (זיכוי בעד הוצאות החזקת קרוב במוסד וזיכוי בעד נטול יכולת), התש""ף-2019")</f>
        <v>29069</v>
      </c>
      <c r="E15123" t="s">
        <v>29069</v>
      </c>
      <c r="F15123" t="s">
        <v>29070</v>
      </c>
      <c r="G15123" t="s">
        <v>14</v>
      </c>
      <c r="H15123">
             </c>
      <c r="I15123" t="s">
        <v>14</v>
      </c>
      <c r="J15123" t="s">
        <v>141</v>
      </c>
      <c r="K15123" t="s">
        <v>14</v>
      </c>
      <c r="L15123" t="s">
        <v>20</v>
      </c>
      <c r="M15123" t="s">
        <v>28539</v>
      </c>
      <c r="N15123" t="s">
        <v>14</v>
      </c>
    </row>
    <row r="15124" x14ac:dyDescent="0.25">
      <c r="A15124" t="n">
        <v>22</v>
      </c>
      <c r="B15124" t="s">
        <v>14</v>
      </c>
      <c r="C15124" t="s">
        <v>22</v>
      </c>
      <c r="D15124" s="2" t="s">
        <f>=HYPERLINK("https://main.knesset.gov.il/APPS/legislation/main/bills/2082071", "הצעת חוק הרשויות המקומיות (דירות מקלט), התש""ף-2019")</f>
        <v>29071</v>
      </c>
      <c r="E15124" t="s">
        <v>29071</v>
      </c>
      <c r="F15124" t="s">
        <v>29072</v>
      </c>
      <c r="G15124" t="s">
        <v>14</v>
      </c>
      <c r="H15124">
             </c>
      <c r="I15124" t="s">
        <v>14</v>
      </c>
      <c r="J15124" t="s">
        <v>141</v>
      </c>
      <c r="K15124" t="s">
        <v>14</v>
      </c>
      <c r="L15124" t="s">
        <v>20</v>
      </c>
      <c r="M15124" t="s">
        <v>28539</v>
      </c>
      <c r="N15124" t="s">
        <v>14</v>
      </c>
    </row>
    <row r="15125" x14ac:dyDescent="0.25">
      <c r="A15125" t="n">
        <v>22</v>
      </c>
      <c r="B15125" t="s">
        <v>14</v>
      </c>
      <c r="C15125" t="s">
        <v>22</v>
      </c>
      <c r="D15125" s="2" t="s">
        <f>=HYPERLINK("https://main.knesset.gov.il/APPS/legislation/main/bills/2081951", "הצעת חוק הסדרים במשק המדינה (תיקוני חקיקה להשגת יעדי התקציב) (תיקון - פטור מארנונה לנשים ששהו במקלט לנשים מוכות), התש""ף-2019")</f>
        <v>29073</v>
      </c>
      <c r="E15125" t="s">
        <v>29073</v>
      </c>
      <c r="F15125" t="s">
        <v>29074</v>
      </c>
      <c r="G15125" t="s">
        <v>14</v>
      </c>
      <c r="H15125">
             </c>
      <c r="I15125" t="s">
        <v>14</v>
      </c>
      <c r="J15125" t="s">
        <v>141</v>
      </c>
      <c r="K15125" t="s">
        <v>14</v>
      </c>
      <c r="L15125" t="s">
        <v>20</v>
      </c>
      <c r="M15125" t="s">
        <v>29075</v>
      </c>
      <c r="N15125" t="s">
        <v>14</v>
      </c>
    </row>
    <row r="15126" x14ac:dyDescent="0.25">
      <c r="A15126" t="n">
        <v>22</v>
      </c>
      <c r="B15126" t="s">
        <v>14</v>
      </c>
      <c r="C15126" t="s">
        <v>22</v>
      </c>
      <c r="D15126" s="2" t="s">
        <f>=HYPERLINK("https://main.knesset.gov.il/APPS/legislation/main/bills/2082013", "הצעת חוק חובת המכרזים (תיקון - העדפת טובין ממוחזרים), התש""ף-2019")</f>
        <v>29076</v>
      </c>
      <c r="E15126" t="s">
        <v>29076</v>
      </c>
      <c r="F15126" t="s">
        <v>29077</v>
      </c>
      <c r="G15126" t="s">
        <v>14</v>
      </c>
      <c r="H15126">
             </c>
      <c r="I15126" t="s">
        <v>14</v>
      </c>
      <c r="J15126" t="s">
        <v>141</v>
      </c>
      <c r="K15126" t="s">
        <v>14</v>
      </c>
      <c r="L15126" t="s">
        <v>20</v>
      </c>
      <c r="M15126" t="s">
        <v>29075</v>
      </c>
      <c r="N15126" t="s">
        <v>14</v>
      </c>
    </row>
    <row r="15127" x14ac:dyDescent="0.25">
      <c r="A15127" t="n">
        <v>22</v>
      </c>
      <c r="B15127" t="s">
        <v>14</v>
      </c>
      <c r="C15127" t="s">
        <v>22</v>
      </c>
      <c r="D15127" s="2" t="s">
        <f>=HYPERLINK("https://main.knesset.gov.il/APPS/legislation/main/bills/2082514", "הצעת חוק המכינות הקדם-צבאיות (תיקון - שלילת הכרה ממכינות המעודדות סירוב פקודה והסתה), התש""ף-2019")</f>
        <v>29078</v>
      </c>
      <c r="E15127" t="s">
        <v>29078</v>
      </c>
      <c r="F15127" t="s">
        <v>29079</v>
      </c>
      <c r="G15127" t="s">
        <v>14</v>
      </c>
      <c r="H15127">
             </c>
      <c r="I15127" t="s">
        <v>14</v>
      </c>
      <c r="J15127" t="s">
        <v>141</v>
      </c>
      <c r="K15127" t="s">
        <v>14</v>
      </c>
      <c r="L15127" t="s">
        <v>20</v>
      </c>
      <c r="M15127" t="s">
        <v>29075</v>
      </c>
      <c r="N15127" t="s">
        <v>14</v>
      </c>
    </row>
    <row r="15128" x14ac:dyDescent="0.25">
      <c r="A15128" t="n">
        <v>22</v>
      </c>
      <c r="B15128" t="s">
        <v>14</v>
      </c>
      <c r="C15128" t="s">
        <v>22</v>
      </c>
      <c r="D15128" s="2" t="s">
        <f>=HYPERLINK("https://main.knesset.gov.il/APPS/legislation/main/bills/2082555", "הצעת חוק זכויות הדייר בדיור הציבורי (תיקון - סיוע ריאלי בשכר דירה), התש""ף-2019")</f>
        <v>29080</v>
      </c>
      <c r="E15128" t="s">
        <v>29080</v>
      </c>
      <c r="F15128" t="s">
        <v>29081</v>
      </c>
      <c r="G15128" t="s">
        <v>14</v>
      </c>
      <c r="H15128">
             </c>
      <c r="I15128" t="s">
        <v>14</v>
      </c>
      <c r="J15128" t="s">
        <v>141</v>
      </c>
      <c r="K15128" t="s">
        <v>14</v>
      </c>
      <c r="L15128" t="s">
        <v>20</v>
      </c>
      <c r="M15128" t="s">
        <v>29075</v>
      </c>
      <c r="N15128" t="s">
        <v>14</v>
      </c>
    </row>
    <row r="15129" x14ac:dyDescent="0.25">
      <c r="A15129" t="n">
        <v>22</v>
      </c>
      <c r="B15129" t="s">
        <v>14</v>
      </c>
      <c r="C15129" t="s">
        <v>22</v>
      </c>
      <c r="D15129" s="2" t="s">
        <f>=HYPERLINK("https://main.knesset.gov.il/APPS/legislation/main/bills/2082160", "הצעת חוק הביטוח לאומי (תיקון - ביטוח זכויות עצמאי שעיקר הכנסתו מעסק שמצוי בפשיטת רגל או בפירוק), התש""ף-2019")</f>
        <v>28457</v>
      </c>
      <c r="E15129" t="s">
        <v>28457</v>
      </c>
      <c r="F15129" t="s">
        <v>29082</v>
      </c>
      <c r="G15129" t="s">
        <v>14</v>
      </c>
      <c r="H15129">
             </c>
      <c r="I15129" t="s">
        <v>14</v>
      </c>
      <c r="J15129" t="s">
        <v>141</v>
      </c>
      <c r="K15129" t="s">
        <v>14</v>
      </c>
      <c r="L15129" t="s">
        <v>20</v>
      </c>
      <c r="M15129" t="s">
        <v>29075</v>
      </c>
      <c r="N15129" t="s">
        <v>14</v>
      </c>
    </row>
    <row r="15130" x14ac:dyDescent="0.25">
      <c r="A15130" t="n">
        <v>22</v>
      </c>
      <c r="B15130" t="s">
        <v>14</v>
      </c>
      <c r="C15130" t="s">
        <v>22</v>
      </c>
      <c r="D15130" s="2" t="s">
        <f>=HYPERLINK("https://main.knesset.gov.il/APPS/legislation/main/bills/2082063", "הצעת חוק האגודות העותומניות (רישום ופיקוח), התש""ף-2019")</f>
        <v>29083</v>
      </c>
      <c r="E15130" t="s">
        <v>29083</v>
      </c>
      <c r="F15130" t="s">
        <v>29084</v>
      </c>
      <c r="G15130" t="s">
        <v>14</v>
      </c>
      <c r="H15130">
             </c>
      <c r="I15130" t="s">
        <v>14</v>
      </c>
      <c r="J15130" t="s">
        <v>141</v>
      </c>
      <c r="K15130" t="s">
        <v>14</v>
      </c>
      <c r="L15130" t="s">
        <v>20</v>
      </c>
      <c r="M15130" t="s">
        <v>29075</v>
      </c>
      <c r="N15130" t="s">
        <v>14</v>
      </c>
    </row>
    <row r="15131" x14ac:dyDescent="0.25">
      <c r="A15131" t="n">
        <v>22</v>
      </c>
      <c r="B15131" t="s">
        <v>14</v>
      </c>
      <c r="C15131" t="s">
        <v>22</v>
      </c>
      <c r="D15131" s="2" t="s">
        <f>=HYPERLINK("https://main.knesset.gov.il/APPS/legislation/main/bills/2082523", "הצעת חוק הביטוח הלאומי (תיקון - איסור קיזוז קצבת ילדים כנגד חוב לביטוח הלאומי), התש""ף-2019")</f>
        <v>29085</v>
      </c>
      <c r="E15131" t="s">
        <v>29085</v>
      </c>
      <c r="F15131" t="s">
        <v>29086</v>
      </c>
      <c r="G15131" t="s">
        <v>14</v>
      </c>
      <c r="H15131">
             </c>
      <c r="I15131" t="s">
        <v>14</v>
      </c>
      <c r="J15131" t="s">
        <v>141</v>
      </c>
      <c r="K15131" t="s">
        <v>14</v>
      </c>
      <c r="L15131" t="s">
        <v>20</v>
      </c>
      <c r="M15131" t="s">
        <v>29075</v>
      </c>
      <c r="N15131" t="s">
        <v>14</v>
      </c>
    </row>
    <row r="15132" x14ac:dyDescent="0.25">
      <c r="A15132" t="n">
        <v>22</v>
      </c>
      <c r="B15132" t="s">
        <v>14</v>
      </c>
      <c r="C15132" t="s">
        <v>22</v>
      </c>
      <c r="D15132" s="2" t="s">
        <f>=HYPERLINK("https://main.knesset.gov.il/APPS/legislation/main/bills/2081311", "הצעת חוק הסדרת העיסוק במקצועות הבריאות (תיקון - הסדרת מקצוע הרנטגנאות והדימות), התש""ף-2019 ")</f>
        <v>29087</v>
      </c>
      <c r="E15132" t="s">
        <v>29087</v>
      </c>
      <c r="F15132" t="s">
        <v>29088</v>
      </c>
      <c r="G15132" t="s">
        <v>14</v>
      </c>
      <c r="H15132">
             </c>
      <c r="I15132" t="s">
        <v>14</v>
      </c>
      <c r="J15132" t="s">
        <v>141</v>
      </c>
      <c r="K15132" t="s">
        <v>14</v>
      </c>
      <c r="L15132" t="s">
        <v>20</v>
      </c>
      <c r="M15132" t="s">
        <v>29075</v>
      </c>
      <c r="N15132" t="s">
        <v>14</v>
      </c>
    </row>
    <row r="15133" x14ac:dyDescent="0.25">
      <c r="A15133" t="n">
        <v>22</v>
      </c>
      <c r="B15133" t="s">
        <v>14</v>
      </c>
      <c r="C15133" t="s">
        <v>22</v>
      </c>
      <c r="D15133" s="2" t="s">
        <f>=HYPERLINK("https://main.knesset.gov.il/APPS/legislation/main/bills/2081217", "הצעת חוק ביטוח בריאות ממלכתי (תיקון - החזר דמי נסיעה באמבולנס), התש""ף-2019")</f>
        <v>29089</v>
      </c>
      <c r="E15133" t="s">
        <v>29089</v>
      </c>
      <c r="F15133" t="s">
        <v>29090</v>
      </c>
      <c r="G15133" t="s">
        <v>14</v>
      </c>
      <c r="H15133">
             </c>
      <c r="I15133" t="s">
        <v>14</v>
      </c>
      <c r="J15133" t="s">
        <v>141</v>
      </c>
      <c r="K15133" t="s">
        <v>14</v>
      </c>
      <c r="L15133" t="s">
        <v>20</v>
      </c>
      <c r="M15133" t="s">
        <v>29075</v>
      </c>
      <c r="N15133" t="s">
        <v>14</v>
      </c>
    </row>
    <row r="15134" x14ac:dyDescent="0.25">
      <c r="A15134" t="n">
        <v>22</v>
      </c>
      <c r="B15134" t="s">
        <v>14</v>
      </c>
      <c r="C15134" t="s">
        <v>22</v>
      </c>
      <c r="D15134" s="2" t="s">
        <f>=HYPERLINK("https://main.knesset.gov.il/APPS/legislation/main/bills/2083656", "הצעת חוק התפלגות סיעה (תיקוני חקיקה), התש""ף-2019")</f>
        <v>29091</v>
      </c>
      <c r="E15134" t="s">
        <v>29091</v>
      </c>
      <c r="F15134" t="s">
        <v>29092</v>
      </c>
      <c r="G15134" t="s">
        <v>14</v>
      </c>
      <c r="H15134">
             </c>
      <c r="I15134" t="s">
        <v>14</v>
      </c>
      <c r="J15134" t="s">
        <v>141</v>
      </c>
      <c r="K15134" t="s">
        <v>14</v>
      </c>
      <c r="L15134" t="s">
        <v>20</v>
      </c>
      <c r="M15134" t="s">
        <v>29075</v>
      </c>
      <c r="N15134" t="s">
        <v>14</v>
      </c>
    </row>
    <row r="15135" x14ac:dyDescent="0.25">
      <c r="A15135" t="n">
        <v>22</v>
      </c>
      <c r="B15135" t="s">
        <v>14</v>
      </c>
      <c r="C15135" t="s">
        <v>22</v>
      </c>
      <c r="D15135" s="2" t="s">
        <f>=HYPERLINK("https://main.knesset.gov.il/APPS/legislation/main/bills/2081755", "הצעת חוק הביטוח הלאומי (תיקון - זכאות לתלוש מזון בעד ילד ממשפחה מעוטת יכולת), התש""ף-2019")</f>
        <v>29093</v>
      </c>
      <c r="E15135" t="s">
        <v>29093</v>
      </c>
      <c r="F15135" t="s">
        <v>29094</v>
      </c>
      <c r="G15135" t="s">
        <v>14</v>
      </c>
      <c r="H15135">
             </c>
      <c r="I15135" t="s">
        <v>14</v>
      </c>
      <c r="J15135" t="s">
        <v>141</v>
      </c>
      <c r="K15135" t="s">
        <v>14</v>
      </c>
      <c r="L15135" t="s">
        <v>20</v>
      </c>
      <c r="M15135" t="s">
        <v>29075</v>
      </c>
      <c r="N15135" t="s">
        <v>14</v>
      </c>
    </row>
    <row r="15136" x14ac:dyDescent="0.25">
      <c r="A15136" t="n">
        <v>22</v>
      </c>
      <c r="B15136" t="s">
        <v>14</v>
      </c>
      <c r="C15136" t="s">
        <v>22</v>
      </c>
      <c r="D15136" s="2" t="s">
        <f>=HYPERLINK("https://main.knesset.gov.il/APPS/legislation/main/bills/2081908", "הצעת חוק בנק ישראל (תיקון - אחריות בנק ישראל על תחרות בין הבנקים), התש""ף-2019")</f>
        <v>29095</v>
      </c>
      <c r="E15136" t="s">
        <v>29095</v>
      </c>
      <c r="F15136" t="s">
        <v>29096</v>
      </c>
      <c r="G15136" t="s">
        <v>14</v>
      </c>
      <c r="H15136">
             </c>
      <c r="I15136" t="s">
        <v>14</v>
      </c>
      <c r="J15136" t="s">
        <v>141</v>
      </c>
      <c r="K15136" t="s">
        <v>14</v>
      </c>
      <c r="L15136" t="s">
        <v>20</v>
      </c>
      <c r="M15136" t="s">
        <v>29075</v>
      </c>
      <c r="N15136" t="s">
        <v>14</v>
      </c>
    </row>
    <row r="15137" x14ac:dyDescent="0.25">
      <c r="A15137" t="n">
        <v>22</v>
      </c>
      <c r="B15137" t="s">
        <v>14</v>
      </c>
      <c r="C15137" t="s">
        <v>22</v>
      </c>
      <c r="D15137" s="2" t="s">
        <f>=HYPERLINK("https://main.knesset.gov.il/APPS/legislation/main/bills/2081937", "הצעת חוק סדר הדין הפלילי (סמכויות אכיפה - מעצרים) (תיקון - עבירת אלימות במשפחה), התש""ף-2019")</f>
        <v>29097</v>
      </c>
      <c r="E15137" t="s">
        <v>29097</v>
      </c>
      <c r="F15137" t="s">
        <v>29098</v>
      </c>
      <c r="G15137" t="s">
        <v>14</v>
      </c>
      <c r="H15137">
             </c>
      <c r="I15137" t="s">
        <v>14</v>
      </c>
      <c r="J15137" t="s">
        <v>141</v>
      </c>
      <c r="K15137" t="s">
        <v>14</v>
      </c>
      <c r="L15137" t="s">
        <v>20</v>
      </c>
      <c r="M15137" t="s">
        <v>29075</v>
      </c>
      <c r="N15137" t="s">
        <v>14</v>
      </c>
    </row>
    <row r="15138" x14ac:dyDescent="0.25">
      <c r="A15138" t="n">
        <v>22</v>
      </c>
      <c r="B15138" t="s">
        <v>14</v>
      </c>
      <c r="C15138" t="s">
        <v>22</v>
      </c>
      <c r="D15138" s="2" t="s">
        <f>=HYPERLINK("https://main.knesset.gov.il/APPS/legislation/main/bills/2082124", "הצעת חוק הגנה על עובדים בשעת חירום (תיקון - אובדן ימי עבודה בשל מצב מיוחד בעורף), התש""ף-2019")</f>
        <v>28462</v>
      </c>
      <c r="E15138" t="s">
        <v>28462</v>
      </c>
      <c r="F15138" t="s">
        <v>29099</v>
      </c>
      <c r="G15138" t="s">
        <v>14</v>
      </c>
      <c r="H15138">
             </c>
      <c r="I15138" t="s">
        <v>14</v>
      </c>
      <c r="J15138" t="s">
        <v>141</v>
      </c>
      <c r="K15138" t="s">
        <v>14</v>
      </c>
      <c r="L15138" t="s">
        <v>20</v>
      </c>
      <c r="M15138" t="s">
        <v>29075</v>
      </c>
      <c r="N15138" t="s">
        <v>14</v>
      </c>
    </row>
    <row r="15139" x14ac:dyDescent="0.25">
      <c r="A15139" t="n">
        <v>22</v>
      </c>
      <c r="B15139" t="s">
        <v>14</v>
      </c>
      <c r="C15139" t="s">
        <v>22</v>
      </c>
      <c r="D15139" s="2" t="s">
        <f>=HYPERLINK("https://main.knesset.gov.il/APPS/legislation/main/bills/2081823", "הצעת חוק בית המשפט לענייני משפחה (תיקון - פטור מתשלום אגרה למקבלי הבטחת הכנסה), התש""ף-2019 ")</f>
        <v>29100</v>
      </c>
      <c r="E15139" t="s">
        <v>29100</v>
      </c>
      <c r="F15139" t="s">
        <v>29101</v>
      </c>
      <c r="G15139" t="s">
        <v>14</v>
      </c>
      <c r="H15139">
             </c>
      <c r="I15139" t="s">
        <v>14</v>
      </c>
      <c r="J15139" t="s">
        <v>141</v>
      </c>
      <c r="K15139" t="s">
        <v>14</v>
      </c>
      <c r="L15139" t="s">
        <v>20</v>
      </c>
      <c r="M15139" t="s">
        <v>29075</v>
      </c>
      <c r="N15139" t="s">
        <v>14</v>
      </c>
    </row>
    <row r="15140" x14ac:dyDescent="0.25">
      <c r="A15140" t="n">
        <v>22</v>
      </c>
      <c r="B15140" t="s">
        <v>14</v>
      </c>
      <c r="C15140" t="s">
        <v>22</v>
      </c>
      <c r="D15140" s="2" t="s">
        <f>=HYPERLINK("https://main.knesset.gov.il/APPS/legislation/main/bills/2081414", "הצעת חוק הגנה כלכלית על חסרי ישע (איסור על העברת רכוש, הון ונכסים ממטופל למטפל) (תיקוני חקיקה), התש""ף-2019")</f>
        <v>29102</v>
      </c>
      <c r="E15140" t="s">
        <v>29102</v>
      </c>
      <c r="F15140" t="s">
        <v>29103</v>
      </c>
      <c r="G15140" t="s">
        <v>14</v>
      </c>
      <c r="H15140">
             </c>
      <c r="I15140" t="s">
        <v>14</v>
      </c>
      <c r="J15140" t="s">
        <v>141</v>
      </c>
      <c r="K15140" t="s">
        <v>14</v>
      </c>
      <c r="L15140" t="s">
        <v>20</v>
      </c>
      <c r="M15140" t="s">
        <v>29075</v>
      </c>
      <c r="N15140" t="s">
        <v>14</v>
      </c>
    </row>
    <row r="15141" x14ac:dyDescent="0.25">
      <c r="A15141" t="n">
        <v>22</v>
      </c>
      <c r="B15141" t="s">
        <v>14</v>
      </c>
      <c r="C15141" t="s">
        <v>22</v>
      </c>
      <c r="D15141" s="2" t="s">
        <f>=HYPERLINK("https://main.knesset.gov.il/APPS/legislation/main/bills/2082011", "הצעת חוק חובת המכרזים (תיקון - העדפת טובין בעלי תו תקן ירוק), התש""ף-2019")</f>
        <v>29104</v>
      </c>
      <c r="E15141" t="s">
        <v>29104</v>
      </c>
      <c r="F15141" t="s">
        <v>29105</v>
      </c>
      <c r="G15141" t="s">
        <v>14</v>
      </c>
      <c r="H15141">
             </c>
      <c r="I15141" t="s">
        <v>14</v>
      </c>
      <c r="J15141" t="s">
        <v>141</v>
      </c>
      <c r="K15141" t="s">
        <v>14</v>
      </c>
      <c r="L15141" t="s">
        <v>20</v>
      </c>
      <c r="M15141" t="s">
        <v>29075</v>
      </c>
      <c r="N15141" t="s">
        <v>14</v>
      </c>
    </row>
    <row r="15142" x14ac:dyDescent="0.25">
      <c r="A15142" t="n">
        <v>22</v>
      </c>
      <c r="B15142" t="s">
        <v>14</v>
      </c>
      <c r="C15142" t="s">
        <v>22</v>
      </c>
      <c r="D15142" s="2" t="s">
        <f>=HYPERLINK("https://main.knesset.gov.il/APPS/legislation/main/bills/2081360", "הצעת חוק הביטוח הלאומי (תיקון - שכר הוגן לחיילי מילואים שעובדים במשרה חלקית), התש""ף-2019 ")</f>
        <v>29106</v>
      </c>
      <c r="E15142" t="s">
        <v>29106</v>
      </c>
      <c r="F15142" t="s">
        <v>29107</v>
      </c>
      <c r="G15142" t="s">
        <v>14</v>
      </c>
      <c r="H15142">
             </c>
      <c r="I15142" t="s">
        <v>14</v>
      </c>
      <c r="J15142" t="s">
        <v>141</v>
      </c>
      <c r="K15142" t="s">
        <v>14</v>
      </c>
      <c r="L15142" t="s">
        <v>20</v>
      </c>
      <c r="M15142" t="s">
        <v>29075</v>
      </c>
      <c r="N15142" t="s">
        <v>14</v>
      </c>
    </row>
    <row r="15143" x14ac:dyDescent="0.25">
      <c r="A15143" t="n">
        <v>22</v>
      </c>
      <c r="B15143" t="s">
        <v>14</v>
      </c>
      <c r="C15143" t="s">
        <v>22</v>
      </c>
      <c r="D15143" s="2" t="s">
        <f>=HYPERLINK("https://main.knesset.gov.il/APPS/legislation/main/bills/2081694", "הצעת חוק ביטוח בריאות ממלכתי (תיקון - יצירת מדד לאומי לשוויון בשירותי בריאות), התש""ף-2019")</f>
        <v>29108</v>
      </c>
      <c r="E15143" t="s">
        <v>29108</v>
      </c>
      <c r="F15143" t="s">
        <v>29109</v>
      </c>
      <c r="G15143" t="s">
        <v>14</v>
      </c>
      <c r="H15143">
             </c>
      <c r="I15143" t="s">
        <v>14</v>
      </c>
      <c r="J15143" t="s">
        <v>141</v>
      </c>
      <c r="K15143" t="s">
        <v>14</v>
      </c>
      <c r="L15143" t="s">
        <v>20</v>
      </c>
      <c r="M15143" t="s">
        <v>29075</v>
      </c>
      <c r="N15143" t="s">
        <v>14</v>
      </c>
    </row>
    <row r="15144" x14ac:dyDescent="0.25">
      <c r="A15144" t="n">
        <v>22</v>
      </c>
      <c r="B15144" t="s">
        <v>14</v>
      </c>
      <c r="C15144" t="s">
        <v>22</v>
      </c>
      <c r="D15144" s="2" t="s">
        <f>=HYPERLINK("https://main.knesset.gov.il/APPS/legislation/main/bills/2081240", "הצעת חוק חובת תשלום בשוברים, התש""ף-2019")</f>
        <v>29110</v>
      </c>
      <c r="E15144" t="s">
        <v>29110</v>
      </c>
      <c r="F15144" t="s">
        <v>29111</v>
      </c>
      <c r="G15144" t="s">
        <v>14</v>
      </c>
      <c r="H15144">
             </c>
      <c r="I15144" t="s">
        <v>14</v>
      </c>
      <c r="J15144" t="s">
        <v>141</v>
      </c>
      <c r="K15144" t="s">
        <v>14</v>
      </c>
      <c r="L15144" t="s">
        <v>20</v>
      </c>
      <c r="M15144" t="s">
        <v>29075</v>
      </c>
      <c r="N15144" t="s">
        <v>14</v>
      </c>
    </row>
    <row r="15145" x14ac:dyDescent="0.25">
      <c r="A15145" t="n">
        <v>22</v>
      </c>
      <c r="B15145" t="s">
        <v>14</v>
      </c>
      <c r="C15145" t="s">
        <v>22</v>
      </c>
      <c r="D15145" s="2" t="s">
        <f>=HYPERLINK("https://main.knesset.gov.il/APPS/legislation/main/bills/2081323", "הצעת חוק הבטחת הכנסה (תיקון - החרגת הכנסתו של עובד בענף הסיעוד), התש""ף-2019")</f>
        <v>29112</v>
      </c>
      <c r="E15145" t="s">
        <v>29112</v>
      </c>
      <c r="F15145" t="s">
        <v>29113</v>
      </c>
      <c r="G15145" t="s">
        <v>14</v>
      </c>
      <c r="H15145">
             </c>
      <c r="I15145" t="s">
        <v>14</v>
      </c>
      <c r="J15145" t="s">
        <v>141</v>
      </c>
      <c r="K15145" t="s">
        <v>14</v>
      </c>
      <c r="L15145" t="s">
        <v>20</v>
      </c>
      <c r="M15145" t="s">
        <v>29075</v>
      </c>
      <c r="N15145" t="s">
        <v>14</v>
      </c>
    </row>
    <row r="15146" x14ac:dyDescent="0.25">
      <c r="A15146" t="n">
        <v>22</v>
      </c>
      <c r="B15146" t="s">
        <v>14</v>
      </c>
      <c r="C15146" t="s">
        <v>22</v>
      </c>
      <c r="D15146" s="2" t="s">
        <f>=HYPERLINK("https://main.knesset.gov.il/APPS/legislation/main/bills/2081760", "הצעת חוק מס ערך מוסף (תיקון - פטור בעת קניית דירה ראשונה לזוגות צעירים), התש""ף-2019")</f>
        <v>29114</v>
      </c>
      <c r="E15146" t="s">
        <v>29114</v>
      </c>
      <c r="F15146" t="s">
        <v>29115</v>
      </c>
      <c r="G15146" t="s">
        <v>14</v>
      </c>
      <c r="H15146">
             </c>
      <c r="I15146" t="s">
        <v>14</v>
      </c>
      <c r="J15146" t="s">
        <v>141</v>
      </c>
      <c r="K15146" t="s">
        <v>14</v>
      </c>
      <c r="L15146" t="s">
        <v>20</v>
      </c>
      <c r="M15146" t="s">
        <v>29075</v>
      </c>
      <c r="N15146" t="s">
        <v>14</v>
      </c>
    </row>
    <row r="15147" x14ac:dyDescent="0.25">
      <c r="A15147" t="n">
        <v>22</v>
      </c>
      <c r="B15147" t="s">
        <v>14</v>
      </c>
      <c r="C15147" t="s">
        <v>22</v>
      </c>
      <c r="D15147" s="2" t="s">
        <f>=HYPERLINK("https://main.knesset.gov.il/APPS/legislation/main/bills/2082045", "הצעת חוק לתיקון פקודת מס הכנסה (ניכוי תשלומים לביטוח בריאות לעצמאים), התש""ף-2019")</f>
        <v>29116</v>
      </c>
      <c r="E15147" t="s">
        <v>29116</v>
      </c>
      <c r="F15147" t="s">
        <v>29117</v>
      </c>
      <c r="G15147" t="s">
        <v>14</v>
      </c>
      <c r="H15147">
             </c>
      <c r="I15147" t="s">
        <v>14</v>
      </c>
      <c r="J15147" t="s">
        <v>141</v>
      </c>
      <c r="K15147" t="s">
        <v>14</v>
      </c>
      <c r="L15147" t="s">
        <v>20</v>
      </c>
      <c r="M15147" t="s">
        <v>29075</v>
      </c>
      <c r="N15147" t="s">
        <v>14</v>
      </c>
    </row>
    <row r="15148" x14ac:dyDescent="0.25">
      <c r="A15148" t="n">
        <v>22</v>
      </c>
      <c r="B15148" t="s">
        <v>14</v>
      </c>
      <c r="C15148" t="s">
        <v>22</v>
      </c>
      <c r="D15148" s="2" t="s">
        <f>=HYPERLINK("https://main.knesset.gov.il/APPS/legislation/main/bills/2082524", "הצעת חוק הביטוח הלאומי (תיקון - בדיקה מחדש של מידת התלות בזולת), התש""ף-2019")</f>
        <v>29118</v>
      </c>
      <c r="E15148" t="s">
        <v>29118</v>
      </c>
      <c r="F15148" t="s">
        <v>29119</v>
      </c>
      <c r="G15148" t="s">
        <v>14</v>
      </c>
      <c r="H15148">
             </c>
      <c r="I15148" t="s">
        <v>14</v>
      </c>
      <c r="J15148" t="s">
        <v>141</v>
      </c>
      <c r="K15148" t="s">
        <v>14</v>
      </c>
      <c r="L15148" t="s">
        <v>20</v>
      </c>
      <c r="M15148" t="s">
        <v>29075</v>
      </c>
      <c r="N15148" t="s">
        <v>14</v>
      </c>
    </row>
    <row r="15149" x14ac:dyDescent="0.25">
      <c r="A15149" t="n">
        <v>22</v>
      </c>
      <c r="B15149" t="s">
        <v>14</v>
      </c>
      <c r="C15149" t="s">
        <v>22</v>
      </c>
      <c r="D15149" s="2" t="s">
        <f>=HYPERLINK("https://main.knesset.gov.il/APPS/legislation/main/bills/2082536", "הצעת חוק הביטוח הלאומי (תיקון - אי שלילת זכאות לגמלת סיעוד מקשיש לאחר פטירת בן הזוג), התש""ף-2019")</f>
        <v>29120</v>
      </c>
      <c r="E15149" t="s">
        <v>29120</v>
      </c>
      <c r="F15149" t="s">
        <v>29121</v>
      </c>
      <c r="G15149" t="s">
        <v>14</v>
      </c>
      <c r="H15149">
             </c>
      <c r="I15149" t="s">
        <v>14</v>
      </c>
      <c r="J15149" t="s">
        <v>141</v>
      </c>
      <c r="K15149" t="s">
        <v>14</v>
      </c>
      <c r="L15149" t="s">
        <v>20</v>
      </c>
      <c r="M15149" t="s">
        <v>29075</v>
      </c>
      <c r="N15149" t="s">
        <v>14</v>
      </c>
    </row>
    <row r="15150" x14ac:dyDescent="0.25">
      <c r="A15150" t="n">
        <v>22</v>
      </c>
      <c r="B15150" t="s">
        <v>14</v>
      </c>
      <c r="C15150" t="s">
        <v>22</v>
      </c>
      <c r="D15150" s="2" t="s">
        <f>=HYPERLINK("https://main.knesset.gov.il/APPS/legislation/main/bills/2082521", "הצעת חוק-יסוד: זכויות חברתיות ")</f>
        <v>29122</v>
      </c>
      <c r="E15150" t="s">
        <v>29122</v>
      </c>
      <c r="F15150" t="s">
        <v>29123</v>
      </c>
      <c r="G15150" t="s">
        <v>14</v>
      </c>
      <c r="H15150">
             </c>
      <c r="I15150" t="s">
        <v>14</v>
      </c>
      <c r="J15150" t="s">
        <v>141</v>
      </c>
      <c r="K15150" t="s">
        <v>14</v>
      </c>
      <c r="L15150" t="s">
        <v>20</v>
      </c>
      <c r="M15150" t="s">
        <v>29075</v>
      </c>
      <c r="N15150" t="s">
        <v>14</v>
      </c>
    </row>
    <row r="15151" x14ac:dyDescent="0.25">
      <c r="A15151" t="n">
        <v>22</v>
      </c>
      <c r="B15151" t="s">
        <v>14</v>
      </c>
      <c r="C15151" t="s">
        <v>22</v>
      </c>
      <c r="D15151" s="2" t="s">
        <f>=HYPERLINK("https://main.knesset.gov.il/APPS/legislation/main/bills/2081577", "הצעת חוק חינוך ממלכתי (תיקון - חינוך לשוויון מגדרי חובה), התש""ף-2019")</f>
        <v>29124</v>
      </c>
      <c r="E15151" t="s">
        <v>29124</v>
      </c>
      <c r="F15151" t="s">
        <v>29125</v>
      </c>
      <c r="G15151" t="s">
        <v>14</v>
      </c>
      <c r="H15151">
             </c>
      <c r="I15151" t="s">
        <v>14</v>
      </c>
      <c r="J15151" t="s">
        <v>141</v>
      </c>
      <c r="K15151" t="s">
        <v>14</v>
      </c>
      <c r="L15151" t="s">
        <v>20</v>
      </c>
      <c r="M15151" t="s">
        <v>29075</v>
      </c>
      <c r="N15151" t="s">
        <v>14</v>
      </c>
    </row>
    <row r="15152" x14ac:dyDescent="0.25">
      <c r="A15152" t="n">
        <v>22</v>
      </c>
      <c r="B15152" t="s">
        <v>14</v>
      </c>
      <c r="C15152" t="s">
        <v>22</v>
      </c>
      <c r="D15152" s="2" t="s">
        <f>=HYPERLINK("https://main.knesset.gov.il/APPS/legislation/main/bills/2082518", "הצעת חוק שכר מינימום לחיילים בשירות סדיר, התש""ף-2019")</f>
        <v>29126</v>
      </c>
      <c r="E15152" t="s">
        <v>29126</v>
      </c>
      <c r="F15152" t="s">
        <v>29127</v>
      </c>
      <c r="G15152" t="s">
        <v>14</v>
      </c>
      <c r="H15152">
             </c>
      <c r="I15152" t="s">
        <v>14</v>
      </c>
      <c r="J15152" t="s">
        <v>141</v>
      </c>
      <c r="K15152" t="s">
        <v>14</v>
      </c>
      <c r="L15152" t="s">
        <v>20</v>
      </c>
      <c r="M15152" t="s">
        <v>29075</v>
      </c>
      <c r="N15152" t="s">
        <v>14</v>
      </c>
    </row>
    <row r="15153" x14ac:dyDescent="0.25">
      <c r="A15153" t="n">
        <v>22</v>
      </c>
      <c r="B15153" t="s">
        <v>14</v>
      </c>
      <c r="C15153" t="s">
        <v>22</v>
      </c>
      <c r="D15153" s="2" t="s">
        <f>=HYPERLINK("https://main.knesset.gov.il/APPS/legislation/main/bills/2081272", "הצעת חוק-יסוד: זכויות חברתיות")</f>
        <v>12991</v>
      </c>
      <c r="E15153" t="s">
        <v>12991</v>
      </c>
      <c r="F15153" t="s">
        <v>29128</v>
      </c>
      <c r="G15153" t="s">
        <v>14</v>
      </c>
      <c r="H15153">
             </c>
      <c r="I15153" t="s">
        <v>14</v>
      </c>
      <c r="J15153" t="s">
        <v>141</v>
      </c>
      <c r="K15153" t="s">
        <v>14</v>
      </c>
      <c r="L15153" t="s">
        <v>20</v>
      </c>
      <c r="M15153" t="s">
        <v>29075</v>
      </c>
      <c r="N15153" t="s">
        <v>14</v>
      </c>
    </row>
    <row r="15154" x14ac:dyDescent="0.25">
      <c r="A15154" t="n">
        <v>22</v>
      </c>
      <c r="B15154" t="s">
        <v>14</v>
      </c>
      <c r="C15154" t="s">
        <v>22</v>
      </c>
      <c r="D15154" s="2" t="s">
        <f>=HYPERLINK("https://main.knesset.gov.il/APPS/legislation/main/bills/2081911", "הצעת חוק-יסוד: השירות הציבורי")</f>
        <v>29129</v>
      </c>
      <c r="E15154" t="s">
        <v>29129</v>
      </c>
      <c r="F15154" t="s">
        <v>29130</v>
      </c>
      <c r="G15154" t="s">
        <v>14</v>
      </c>
      <c r="H15154">
             </c>
      <c r="I15154" t="s">
        <v>14</v>
      </c>
      <c r="J15154" t="s">
        <v>141</v>
      </c>
      <c r="K15154" t="s">
        <v>14</v>
      </c>
      <c r="L15154" t="s">
        <v>20</v>
      </c>
      <c r="M15154" t="s">
        <v>29075</v>
      </c>
      <c r="N15154" t="s">
        <v>14</v>
      </c>
    </row>
    <row r="15155" x14ac:dyDescent="0.25">
      <c r="A15155" t="n">
        <v>22</v>
      </c>
      <c r="B15155" t="s">
        <v>14</v>
      </c>
      <c r="C15155" t="s">
        <v>22</v>
      </c>
      <c r="D15155" s="2" t="s">
        <f>=HYPERLINK("https://main.knesset.gov.il/APPS/legislation/main/bills/2082494", "הצעת חוק הפיקוח על מצרכים ושירותים (תיקון - סייגים לעסקאות בציוד צבאי), התש""ף-2019")</f>
        <v>29131</v>
      </c>
      <c r="E15155" t="s">
        <v>29131</v>
      </c>
      <c r="F15155" t="s">
        <v>29132</v>
      </c>
      <c r="G15155" t="s">
        <v>14</v>
      </c>
      <c r="H15155">
             </c>
      <c r="I15155" t="s">
        <v>14</v>
      </c>
      <c r="J15155" t="s">
        <v>141</v>
      </c>
      <c r="K15155" t="s">
        <v>14</v>
      </c>
      <c r="L15155" t="s">
        <v>20</v>
      </c>
      <c r="M15155" t="s">
        <v>29075</v>
      </c>
      <c r="N15155" t="s">
        <v>14</v>
      </c>
    </row>
    <row r="15156" x14ac:dyDescent="0.25">
      <c r="A15156" t="n">
        <v>22</v>
      </c>
      <c r="B15156" t="s">
        <v>14</v>
      </c>
      <c r="C15156" t="s">
        <v>22</v>
      </c>
      <c r="D15156" s="2" t="s">
        <f>=HYPERLINK("https://main.knesset.gov.il/APPS/legislation/main/bills/2081385", "הצעת חוק השלכות חלוקתיות בחקיקה, התש""ף-2019")</f>
        <v>29133</v>
      </c>
      <c r="E15156" t="s">
        <v>29133</v>
      </c>
      <c r="F15156" t="s">
        <v>29134</v>
      </c>
      <c r="G15156" t="s">
        <v>14</v>
      </c>
      <c r="H15156">
             </c>
      <c r="I15156" t="s">
        <v>14</v>
      </c>
      <c r="J15156" t="s">
        <v>141</v>
      </c>
      <c r="K15156" t="s">
        <v>14</v>
      </c>
      <c r="L15156" t="s">
        <v>20</v>
      </c>
      <c r="M15156" t="s">
        <v>29075</v>
      </c>
      <c r="N15156" t="s">
        <v>14</v>
      </c>
    </row>
    <row r="15157" x14ac:dyDescent="0.25">
      <c r="A15157" t="n">
        <v>22</v>
      </c>
      <c r="B15157" t="s">
        <v>14</v>
      </c>
      <c r="C15157" t="s">
        <v>22</v>
      </c>
      <c r="D15157" s="2" t="s">
        <f>=HYPERLINK("https://main.knesset.gov.il/APPS/legislation/main/bills/2081699", "הצעת חוק הבחירות לכנסת (תיקון - אי זכאות ליום שבתון לעובדים זרים), התש""ף-2019")</f>
        <v>29135</v>
      </c>
      <c r="E15157" t="s">
        <v>29135</v>
      </c>
      <c r="F15157" t="s">
        <v>29136</v>
      </c>
      <c r="G15157" t="s">
        <v>14</v>
      </c>
      <c r="H15157">
             </c>
      <c r="I15157" t="s">
        <v>14</v>
      </c>
      <c r="J15157" t="s">
        <v>141</v>
      </c>
      <c r="K15157" t="s">
        <v>14</v>
      </c>
      <c r="L15157" t="s">
        <v>20</v>
      </c>
      <c r="M15157" t="s">
        <v>29075</v>
      </c>
      <c r="N15157" t="s">
        <v>14</v>
      </c>
    </row>
    <row r="15158" x14ac:dyDescent="0.25">
      <c r="A15158" t="n">
        <v>22</v>
      </c>
      <c r="B15158" t="s">
        <v>14</v>
      </c>
      <c r="C15158" t="s">
        <v>22</v>
      </c>
      <c r="D15158" s="2" t="s">
        <f>=HYPERLINK("https://main.knesset.gov.il/APPS/legislation/main/bills/2081172", "הצעת חוק רציפות הדיון בהצעות חוק (הוראת שעה - כנסת יוצאת וכנסת נכנסת שאינן ברציפות), התש""ף-2019")</f>
        <v>29137</v>
      </c>
      <c r="E15158" t="s">
        <v>29137</v>
      </c>
      <c r="F15158" t="s">
        <v>29138</v>
      </c>
      <c r="G15158" t="s">
        <v>14</v>
      </c>
      <c r="H15158">
             </c>
      <c r="I15158" t="s">
        <v>14</v>
      </c>
      <c r="J15158" t="s">
        <v>141</v>
      </c>
      <c r="K15158" t="s">
        <v>14</v>
      </c>
      <c r="L15158" t="s">
        <v>20</v>
      </c>
      <c r="M15158" t="s">
        <v>29075</v>
      </c>
      <c r="N15158" t="s">
        <v>14</v>
      </c>
    </row>
    <row r="15159" x14ac:dyDescent="0.25">
      <c r="A15159" t="n">
        <v>22</v>
      </c>
      <c r="B15159" t="s">
        <v>14</v>
      </c>
      <c r="C15159" t="s">
        <v>22</v>
      </c>
      <c r="D15159" s="2" t="s">
        <f>=HYPERLINK("https://main.knesset.gov.il/APPS/legislation/main/bills/2081916", "הצעת חוק שליחת יד בכספי לקוח (תיקוני חקיקה), התש""ף-2019")</f>
        <v>29139</v>
      </c>
      <c r="E15159" t="s">
        <v>29139</v>
      </c>
      <c r="F15159" t="s">
        <v>29140</v>
      </c>
      <c r="G15159" t="s">
        <v>14</v>
      </c>
      <c r="H15159">
             </c>
      <c r="I15159" t="s">
        <v>14</v>
      </c>
      <c r="J15159" t="s">
        <v>141</v>
      </c>
      <c r="K15159" t="s">
        <v>14</v>
      </c>
      <c r="L15159" t="s">
        <v>20</v>
      </c>
      <c r="M15159" t="s">
        <v>29075</v>
      </c>
      <c r="N15159" t="s">
        <v>14</v>
      </c>
    </row>
    <row r="15160" x14ac:dyDescent="0.25">
      <c r="A15160" t="n">
        <v>22</v>
      </c>
      <c r="B15160" t="s">
        <v>14</v>
      </c>
      <c r="C15160" t="s">
        <v>22</v>
      </c>
      <c r="D15160" s="2" t="s">
        <f>=HYPERLINK("https://main.knesset.gov.il/APPS/legislation/main/bills/2081913", "הצעת חוק חופש המידע (תיקון - פרסום מידע אודות מכרזים), התש""ף-2019")</f>
        <v>29141</v>
      </c>
      <c r="E15160" t="s">
        <v>29141</v>
      </c>
      <c r="F15160" t="s">
        <v>29142</v>
      </c>
      <c r="G15160" t="s">
        <v>14</v>
      </c>
      <c r="H15160">
             </c>
      <c r="I15160" t="s">
        <v>14</v>
      </c>
      <c r="J15160" t="s">
        <v>141</v>
      </c>
      <c r="K15160" t="s">
        <v>14</v>
      </c>
      <c r="L15160" t="s">
        <v>20</v>
      </c>
      <c r="M15160" t="s">
        <v>29075</v>
      </c>
      <c r="N15160" t="s">
        <v>14</v>
      </c>
    </row>
    <row r="15161" x14ac:dyDescent="0.25">
      <c r="A15161" t="n">
        <v>22</v>
      </c>
      <c r="B15161" t="s">
        <v>14</v>
      </c>
      <c r="C15161" t="s">
        <v>22</v>
      </c>
      <c r="D15161" s="2" t="s">
        <f>=HYPERLINK("https://main.knesset.gov.il/APPS/legislation/main/bills/2081649", "הצעת חוק כביש אגרה (כביש ארצי לישראל) (תיקון - הפחתת ריבית פיגורים על חוב חלוט), התש""ף-2019")</f>
        <v>29143</v>
      </c>
      <c r="E15161" t="s">
        <v>29143</v>
      </c>
      <c r="F15161" t="s">
        <v>29144</v>
      </c>
      <c r="G15161" t="s">
        <v>14</v>
      </c>
      <c r="H15161">
             </c>
      <c r="I15161" t="s">
        <v>14</v>
      </c>
      <c r="J15161" t="s">
        <v>141</v>
      </c>
      <c r="K15161" t="s">
        <v>14</v>
      </c>
      <c r="L15161" t="s">
        <v>20</v>
      </c>
      <c r="M15161" t="s">
        <v>29075</v>
      </c>
      <c r="N15161" t="s">
        <v>14</v>
      </c>
    </row>
    <row r="15162" x14ac:dyDescent="0.25">
      <c r="A15162" t="n">
        <v>22</v>
      </c>
      <c r="B15162" t="s">
        <v>14</v>
      </c>
      <c r="C15162" t="s">
        <v>22</v>
      </c>
      <c r="D15162" s="2" t="s">
        <f>=HYPERLINK("https://main.knesset.gov.il/APPS/legislation/main/bills/2081730", "הצעת חוק הקרן לעידוד הכשרה והעסקה של עובדים מהפריפריה בתעשיית ההיי-טק, התש""ף-2019")</f>
        <v>29145</v>
      </c>
      <c r="E15162" t="s">
        <v>29145</v>
      </c>
      <c r="F15162" t="s">
        <v>29146</v>
      </c>
      <c r="G15162" t="s">
        <v>14</v>
      </c>
      <c r="H15162">
             </c>
      <c r="I15162" t="s">
        <v>14</v>
      </c>
      <c r="J15162" t="s">
        <v>141</v>
      </c>
      <c r="K15162" t="s">
        <v>14</v>
      </c>
      <c r="L15162" t="s">
        <v>20</v>
      </c>
      <c r="M15162" t="s">
        <v>29075</v>
      </c>
      <c r="N15162" t="s">
        <v>14</v>
      </c>
    </row>
    <row r="15163" x14ac:dyDescent="0.25">
      <c r="A15163" t="n">
        <v>22</v>
      </c>
      <c r="B15163" t="s">
        <v>14</v>
      </c>
      <c r="C15163" t="s">
        <v>22</v>
      </c>
      <c r="D15163" s="2" t="s">
        <f>=HYPERLINK("https://main.knesset.gov.il/APPS/legislation/main/bills/2081608", "הצעת חוק לתיקון פקודת המכס (ביטול חיוב בעד בדיקת טובין), התש""ף-2019")</f>
        <v>29147</v>
      </c>
      <c r="E15163" t="s">
        <v>29147</v>
      </c>
      <c r="F15163" t="s">
        <v>29148</v>
      </c>
      <c r="G15163" t="s">
        <v>14</v>
      </c>
      <c r="H15163">
             </c>
      <c r="I15163" t="s">
        <v>14</v>
      </c>
      <c r="J15163" t="s">
        <v>141</v>
      </c>
      <c r="K15163" t="s">
        <v>14</v>
      </c>
      <c r="L15163" t="s">
        <v>20</v>
      </c>
      <c r="M15163" t="s">
        <v>29075</v>
      </c>
      <c r="N15163" t="s">
        <v>14</v>
      </c>
    </row>
    <row r="15164" x14ac:dyDescent="0.25">
      <c r="A15164" t="n">
        <v>22</v>
      </c>
      <c r="B15164" t="s">
        <v>14</v>
      </c>
      <c r="C15164" t="s">
        <v>22</v>
      </c>
      <c r="D15164" s="2" t="s">
        <f>=HYPERLINK("https://main.knesset.gov.il/APPS/legislation/main/bills/2082556", "הצעת חוק לתיקון פקודת מס הכנסה (ניכוי בגין הוצאות טיפול בילדים), התש""ף-2019")</f>
        <v>29149</v>
      </c>
      <c r="E15164" t="s">
        <v>29149</v>
      </c>
      <c r="F15164" t="s">
        <v>29150</v>
      </c>
      <c r="G15164" t="s">
        <v>14</v>
      </c>
      <c r="H15164">
             </c>
      <c r="I15164" t="s">
        <v>14</v>
      </c>
      <c r="J15164" t="s">
        <v>141</v>
      </c>
      <c r="K15164" t="s">
        <v>14</v>
      </c>
      <c r="L15164" t="s">
        <v>20</v>
      </c>
      <c r="M15164" t="s">
        <v>29075</v>
      </c>
      <c r="N15164" t="s">
        <v>14</v>
      </c>
    </row>
    <row r="15165" x14ac:dyDescent="0.25">
      <c r="A15165" t="n">
        <v>22</v>
      </c>
      <c r="B15165" t="s">
        <v>14</v>
      </c>
      <c r="C15165" t="s">
        <v>22</v>
      </c>
      <c r="D15165" s="2" t="s">
        <f>=HYPERLINK("https://main.knesset.gov.il/APPS/legislation/main/bills/2082383", "הצעת חוק יסודות התקציב (תיקון - ועדת ערר לתמיכה במוסד ציבור), התש""ף-2019")</f>
        <v>29151</v>
      </c>
      <c r="E15165" t="s">
        <v>29151</v>
      </c>
      <c r="F15165" t="s">
        <v>29152</v>
      </c>
      <c r="G15165" t="s">
        <v>14</v>
      </c>
      <c r="H15165">
             </c>
      <c r="I15165" t="s">
        <v>14</v>
      </c>
      <c r="J15165" t="s">
        <v>141</v>
      </c>
      <c r="K15165" t="s">
        <v>14</v>
      </c>
      <c r="L15165" t="s">
        <v>20</v>
      </c>
      <c r="M15165" t="s">
        <v>29075</v>
      </c>
      <c r="N15165" t="s">
        <v>14</v>
      </c>
    </row>
    <row r="15166" x14ac:dyDescent="0.25">
      <c r="A15166" t="n">
        <v>22</v>
      </c>
      <c r="B15166" t="s">
        <v>14</v>
      </c>
      <c r="C15166" t="s">
        <v>22</v>
      </c>
      <c r="D15166" s="2" t="s">
        <f>=HYPERLINK("https://main.knesset.gov.il/APPS/legislation/main/bills/2082492", "הצעת חוק הביטוח הלאומי (תיקון - בדיקה בשפה המובנת למבוטח), התש""ף-2019")</f>
        <v>29153</v>
      </c>
      <c r="E15166" t="s">
        <v>29153</v>
      </c>
      <c r="F15166" t="s">
        <v>29154</v>
      </c>
      <c r="G15166" t="s">
        <v>14</v>
      </c>
      <c r="H15166">
             </c>
      <c r="I15166" t="s">
        <v>14</v>
      </c>
      <c r="J15166" t="s">
        <v>141</v>
      </c>
      <c r="K15166" t="s">
        <v>14</v>
      </c>
      <c r="L15166" t="s">
        <v>20</v>
      </c>
      <c r="M15166" t="s">
        <v>29075</v>
      </c>
      <c r="N15166" t="s">
        <v>14</v>
      </c>
    </row>
    <row r="15167" x14ac:dyDescent="0.25">
      <c r="A15167" t="n">
        <v>22</v>
      </c>
      <c r="B15167" t="s">
        <v>14</v>
      </c>
      <c r="C15167" t="s">
        <v>22</v>
      </c>
      <c r="D15167" s="2" t="s">
        <f>=HYPERLINK("https://main.knesset.gov.il/APPS/legislation/main/bills/2082163", "הצעת חוק לצמצום רגולציה ושעורי אגרות לעסקים קטנים, התש""ף-2019")</f>
        <v>29155</v>
      </c>
      <c r="E15167" t="s">
        <v>29155</v>
      </c>
      <c r="F15167" t="s">
        <v>29156</v>
      </c>
      <c r="G15167" t="s">
        <v>14</v>
      </c>
      <c r="H15167">
             </c>
      <c r="I15167" t="s">
        <v>14</v>
      </c>
      <c r="J15167" t="s">
        <v>141</v>
      </c>
      <c r="K15167" t="s">
        <v>14</v>
      </c>
      <c r="L15167" t="s">
        <v>20</v>
      </c>
      <c r="M15167" t="s">
        <v>29075</v>
      </c>
      <c r="N15167" t="s">
        <v>14</v>
      </c>
    </row>
    <row r="15168" x14ac:dyDescent="0.25">
      <c r="A15168" t="n">
        <v>22</v>
      </c>
      <c r="B15168" t="s">
        <v>14</v>
      </c>
      <c r="C15168" t="s">
        <v>22</v>
      </c>
      <c r="D15168" s="2" t="s">
        <f>=HYPERLINK("https://main.knesset.gov.il/APPS/legislation/main/bills/2082399", "הצעת חוק לתיקון פקודת מסי העירייה ומסי הממשלה (פטורין) (פטור מארנונה למעון), התש""ף-2019")</f>
        <v>29157</v>
      </c>
      <c r="E15168" t="s">
        <v>29157</v>
      </c>
      <c r="F15168" t="s">
        <v>29158</v>
      </c>
      <c r="G15168" t="s">
        <v>14</v>
      </c>
      <c r="H15168">
             </c>
      <c r="I15168" t="s">
        <v>14</v>
      </c>
      <c r="J15168" t="s">
        <v>141</v>
      </c>
      <c r="K15168" t="s">
        <v>14</v>
      </c>
      <c r="L15168" t="s">
        <v>20</v>
      </c>
      <c r="M15168" t="s">
        <v>29075</v>
      </c>
      <c r="N15168" t="s">
        <v>14</v>
      </c>
    </row>
    <row r="15169" x14ac:dyDescent="0.25">
      <c r="A15169" t="n">
        <v>22</v>
      </c>
      <c r="B15169" t="s">
        <v>14</v>
      </c>
      <c r="C15169" t="s">
        <v>22</v>
      </c>
      <c r="D15169" s="2" t="s">
        <f>=HYPERLINK("https://main.knesset.gov.il/APPS/legislation/main/bills/2082083", "הצעת חוק מיסוי מקרקעין (שבח ורכישה) (תיקון - ביטול הפטור ממס שבח לתושב חוץ), התש""ף-2019 ")</f>
        <v>29159</v>
      </c>
      <c r="E15169" t="s">
        <v>29159</v>
      </c>
      <c r="F15169" t="s">
        <v>29160</v>
      </c>
      <c r="G15169" t="s">
        <v>14</v>
      </c>
      <c r="H15169">
             </c>
      <c r="I15169" t="s">
        <v>14</v>
      </c>
      <c r="J15169" t="s">
        <v>141</v>
      </c>
      <c r="K15169" t="s">
        <v>14</v>
      </c>
      <c r="L15169" t="s">
        <v>20</v>
      </c>
      <c r="M15169" t="s">
        <v>29075</v>
      </c>
      <c r="N15169" t="s">
        <v>14</v>
      </c>
    </row>
    <row r="15170" x14ac:dyDescent="0.25">
      <c r="A15170" t="n">
        <v>22</v>
      </c>
      <c r="B15170" t="s">
        <v>14</v>
      </c>
      <c r="C15170" t="s">
        <v>22</v>
      </c>
      <c r="D15170" s="2" t="s">
        <f>=HYPERLINK("https://main.knesset.gov.il/APPS/legislation/main/bills/2082401", "הצעת חוק מס ערך מוסף (תיקון - פטור ממס במכירת תרופות מצילות חיים שאינן כלולות בסל הבריאות), התש""ף-2019")</f>
        <v>28352</v>
      </c>
      <c r="E15170" t="s">
        <v>28352</v>
      </c>
      <c r="F15170" t="s">
        <v>29161</v>
      </c>
      <c r="G15170" t="s">
        <v>14</v>
      </c>
      <c r="H15170">
             </c>
      <c r="I15170" t="s">
        <v>14</v>
      </c>
      <c r="J15170" t="s">
        <v>141</v>
      </c>
      <c r="K15170" t="s">
        <v>14</v>
      </c>
      <c r="L15170" t="s">
        <v>20</v>
      </c>
      <c r="M15170" t="s">
        <v>29075</v>
      </c>
      <c r="N15170" t="s">
        <v>14</v>
      </c>
    </row>
    <row r="15171" x14ac:dyDescent="0.25">
      <c r="A15171" t="n">
        <v>22</v>
      </c>
      <c r="B15171" t="s">
        <v>14</v>
      </c>
      <c r="C15171" t="s">
        <v>22</v>
      </c>
      <c r="D15171" s="2" t="s">
        <f>=HYPERLINK("https://main.knesset.gov.il/APPS/legislation/main/bills/2082398", "הצעת חוק לתיקון פקודת מס הכנסה (פטור ממס להכנסות קשיש וניכוי הוצאות שכר דירה), התש""ף-2019")</f>
        <v>29162</v>
      </c>
      <c r="E15171" t="s">
        <v>29162</v>
      </c>
      <c r="F15171" t="s">
        <v>29163</v>
      </c>
      <c r="G15171" t="s">
        <v>14</v>
      </c>
      <c r="H15171">
             </c>
      <c r="I15171" t="s">
        <v>14</v>
      </c>
      <c r="J15171" t="s">
        <v>141</v>
      </c>
      <c r="K15171" t="s">
        <v>14</v>
      </c>
      <c r="L15171" t="s">
        <v>20</v>
      </c>
      <c r="M15171" t="s">
        <v>29075</v>
      </c>
      <c r="N15171" t="s">
        <v>14</v>
      </c>
    </row>
    <row r="15172" x14ac:dyDescent="0.25">
      <c r="A15172" t="n">
        <v>22</v>
      </c>
      <c r="B15172" t="s">
        <v>14</v>
      </c>
      <c r="C15172" t="s">
        <v>22</v>
      </c>
      <c r="D15172" s="2" t="s">
        <f>=HYPERLINK("https://main.knesset.gov.il/APPS/legislation/main/bills/2082411", "הצעת חוק שירות המדינה (גמלאות) (תיקון - ביטול שלילת גמלאות מאלמנים שנישאו), התש""ף-2019")</f>
        <v>29164</v>
      </c>
      <c r="E15172" t="s">
        <v>29164</v>
      </c>
      <c r="F15172" t="s">
        <v>29165</v>
      </c>
      <c r="G15172" t="s">
        <v>14</v>
      </c>
      <c r="H15172">
             </c>
      <c r="I15172" t="s">
        <v>14</v>
      </c>
      <c r="J15172" t="s">
        <v>141</v>
      </c>
      <c r="K15172" t="s">
        <v>14</v>
      </c>
      <c r="L15172" t="s">
        <v>20</v>
      </c>
      <c r="M15172" t="s">
        <v>29075</v>
      </c>
      <c r="N15172" t="s">
        <v>14</v>
      </c>
    </row>
    <row r="15173" x14ac:dyDescent="0.25">
      <c r="A15173" t="n">
        <v>22</v>
      </c>
      <c r="B15173" t="s">
        <v>14</v>
      </c>
      <c r="C15173" t="s">
        <v>22</v>
      </c>
      <c r="D15173" s="2" t="s">
        <f>=HYPERLINK("https://main.knesset.gov.il/APPS/legislation/main/bills/2082306", "הצעת חוק לימוד חובה (תיקון - חינוך חינם לפעוטות), התש""ף-2019")</f>
        <v>29166</v>
      </c>
      <c r="E15173" t="s">
        <v>29166</v>
      </c>
      <c r="F15173" t="s">
        <v>29167</v>
      </c>
      <c r="G15173" t="s">
        <v>14</v>
      </c>
      <c r="H15173">
             </c>
      <c r="I15173" t="s">
        <v>14</v>
      </c>
      <c r="J15173" t="s">
        <v>141</v>
      </c>
      <c r="K15173" t="s">
        <v>14</v>
      </c>
      <c r="L15173" t="s">
        <v>20</v>
      </c>
      <c r="M15173" t="s">
        <v>29075</v>
      </c>
      <c r="N15173" t="s">
        <v>14</v>
      </c>
    </row>
    <row r="15174" x14ac:dyDescent="0.25">
      <c r="A15174" t="n">
        <v>22</v>
      </c>
      <c r="B15174" t="s">
        <v>14</v>
      </c>
      <c r="C15174" t="s">
        <v>22</v>
      </c>
      <c r="D15174" s="2" t="s">
        <f>=HYPERLINK("https://main.knesset.gov.il/APPS/legislation/main/bills/2082018", "הצעת חוק חובת שימוש חוזר במי מזגנים, התש""ף-2019")</f>
        <v>29168</v>
      </c>
      <c r="E15174" t="s">
        <v>29168</v>
      </c>
      <c r="F15174" t="s">
        <v>29169</v>
      </c>
      <c r="G15174" t="s">
        <v>14</v>
      </c>
      <c r="H15174">
             </c>
      <c r="I15174" t="s">
        <v>14</v>
      </c>
      <c r="J15174" t="s">
        <v>141</v>
      </c>
      <c r="K15174" t="s">
        <v>14</v>
      </c>
      <c r="L15174" t="s">
        <v>20</v>
      </c>
      <c r="M15174" t="s">
        <v>29075</v>
      </c>
      <c r="N15174" t="s">
        <v>14</v>
      </c>
    </row>
    <row r="15175" x14ac:dyDescent="0.25">
      <c r="A15175" t="n">
        <v>22</v>
      </c>
      <c r="B15175" t="s">
        <v>14</v>
      </c>
      <c r="C15175" t="s">
        <v>22</v>
      </c>
      <c r="D15175" s="2" t="s">
        <f>=HYPERLINK("https://main.knesset.gov.il/APPS/legislation/main/bills/2082495", "הצעת חוק הטבות לניצולי שואה (תיקון - הסעות לניצולי שואה בודדים), התש""ף-2019")</f>
        <v>29170</v>
      </c>
      <c r="E15175" t="s">
        <v>29170</v>
      </c>
      <c r="F15175" t="s">
        <v>29171</v>
      </c>
      <c r="G15175" t="s">
        <v>14</v>
      </c>
      <c r="H15175">
             </c>
      <c r="I15175" t="s">
        <v>14</v>
      </c>
      <c r="J15175" t="s">
        <v>141</v>
      </c>
      <c r="K15175" t="s">
        <v>14</v>
      </c>
      <c r="L15175" t="s">
        <v>20</v>
      </c>
      <c r="M15175" t="s">
        <v>29075</v>
      </c>
      <c r="N15175" t="s">
        <v>14</v>
      </c>
    </row>
    <row r="15176" x14ac:dyDescent="0.25">
      <c r="A15176" t="n">
        <v>22</v>
      </c>
      <c r="B15176" t="s">
        <v>14</v>
      </c>
      <c r="C15176" t="s">
        <v>22</v>
      </c>
      <c r="D15176" s="2" t="s">
        <f>=HYPERLINK("https://main.knesset.gov.il/APPS/legislation/main/bills/2082400", "הצעת חוק מידע גנטי (תיקון - עריכת בדיקה גנטית לאיתור בן משפחה שעלתה בין השנים 1948 ו-1959), התש""ף-2019")</f>
        <v>29172</v>
      </c>
      <c r="E15176" t="s">
        <v>29172</v>
      </c>
      <c r="F15176" t="s">
        <v>29173</v>
      </c>
      <c r="G15176" t="s">
        <v>14</v>
      </c>
      <c r="H15176">
             </c>
      <c r="I15176" t="s">
        <v>14</v>
      </c>
      <c r="J15176" t="s">
        <v>141</v>
      </c>
      <c r="K15176" t="s">
        <v>14</v>
      </c>
      <c r="L15176" t="s">
        <v>20</v>
      </c>
      <c r="M15176" t="s">
        <v>29075</v>
      </c>
      <c r="N15176" t="s">
        <v>14</v>
      </c>
    </row>
    <row r="15177" x14ac:dyDescent="0.25">
      <c r="A15177" t="n">
        <v>22</v>
      </c>
      <c r="B15177" t="s">
        <v>14</v>
      </c>
      <c r="C15177" t="s">
        <v>22</v>
      </c>
      <c r="D15177" s="2" t="s">
        <f>=HYPERLINK("https://main.knesset.gov.il/APPS/legislation/main/bills/2081587", "הצעת חוק הביטוח הלאומי (תיקון - הארכת המועד לתביעת גמלת כסף), התש""ף-2019")</f>
        <v>29174</v>
      </c>
      <c r="E15177" t="s">
        <v>29174</v>
      </c>
      <c r="F15177" t="s">
        <v>29175</v>
      </c>
      <c r="G15177" t="s">
        <v>14</v>
      </c>
      <c r="H15177">
             </c>
      <c r="I15177" t="s">
        <v>14</v>
      </c>
      <c r="J15177" t="s">
        <v>141</v>
      </c>
      <c r="K15177" t="s">
        <v>14</v>
      </c>
      <c r="L15177" t="s">
        <v>20</v>
      </c>
      <c r="M15177" t="s">
        <v>29075</v>
      </c>
      <c r="N15177" t="s">
        <v>14</v>
      </c>
    </row>
    <row r="15178" x14ac:dyDescent="0.25">
      <c r="A15178" t="n">
        <v>22</v>
      </c>
      <c r="B15178" t="s">
        <v>14</v>
      </c>
      <c r="C15178" t="s">
        <v>22</v>
      </c>
      <c r="D15178" s="2" t="s">
        <f>=HYPERLINK("https://main.knesset.gov.il/APPS/legislation/main/bills/2081430", "הצעת חוק הביטוח הלאומי (תיקון - דמי אבטלה למתמחים), התש""ף-2019")</f>
        <v>29176</v>
      </c>
      <c r="E15178" t="s">
        <v>29176</v>
      </c>
      <c r="F15178" t="s">
        <v>29177</v>
      </c>
      <c r="G15178" t="s">
        <v>14</v>
      </c>
      <c r="H15178">
             </c>
      <c r="I15178" t="s">
        <v>14</v>
      </c>
      <c r="J15178" t="s">
        <v>141</v>
      </c>
      <c r="K15178" t="s">
        <v>14</v>
      </c>
      <c r="L15178" t="s">
        <v>20</v>
      </c>
      <c r="M15178" t="s">
        <v>29075</v>
      </c>
      <c r="N15178" t="s">
        <v>14</v>
      </c>
    </row>
    <row r="15179" x14ac:dyDescent="0.25">
      <c r="A15179" t="n">
        <v>22</v>
      </c>
      <c r="B15179" t="s">
        <v>14</v>
      </c>
      <c r="C15179" t="s">
        <v>22</v>
      </c>
      <c r="D15179" s="2" t="s">
        <f>=HYPERLINK("https://main.knesset.gov.il/APPS/legislation/main/bills/2082016", "הצעת חוק איסוף ופינוי פסולת למיחזור (תיקון - חובת מיחזור בבית עסק גדול), התש""ף-2019")</f>
        <v>29178</v>
      </c>
      <c r="E15179" t="s">
        <v>29178</v>
      </c>
      <c r="F15179" t="s">
        <v>29179</v>
      </c>
      <c r="G15179" t="s">
        <v>14</v>
      </c>
      <c r="H15179">
             </c>
      <c r="I15179" t="s">
        <v>14</v>
      </c>
      <c r="J15179" t="s">
        <v>141</v>
      </c>
      <c r="K15179" t="s">
        <v>14</v>
      </c>
      <c r="L15179" t="s">
        <v>20</v>
      </c>
      <c r="M15179" t="s">
        <v>29075</v>
      </c>
      <c r="N15179" t="s">
        <v>14</v>
      </c>
    </row>
    <row r="15180" x14ac:dyDescent="0.25">
      <c r="A15180" t="n">
        <v>22</v>
      </c>
      <c r="B15180" t="s">
        <v>14</v>
      </c>
      <c r="C15180" t="s">
        <v>22</v>
      </c>
      <c r="D15180" s="2" t="s">
        <f>=HYPERLINK("https://main.knesset.gov.il/APPS/legislation/main/bills/2082378", "הצעת חוק זכויות החולה (תיקון - הסדר חניה למאושפזים בבית חולים ולמבקריהם), התש""ף-2019")</f>
        <v>29180</v>
      </c>
      <c r="E15180" t="s">
        <v>29180</v>
      </c>
      <c r="F15180" t="s">
        <v>29181</v>
      </c>
      <c r="G15180" t="s">
        <v>14</v>
      </c>
      <c r="H15180">
             </c>
      <c r="I15180" t="s">
        <v>14</v>
      </c>
      <c r="J15180" t="s">
        <v>141</v>
      </c>
      <c r="K15180" t="s">
        <v>14</v>
      </c>
      <c r="L15180" t="s">
        <v>20</v>
      </c>
      <c r="M15180" t="s">
        <v>29075</v>
      </c>
      <c r="N15180" t="s">
        <v>14</v>
      </c>
    </row>
    <row r="15181" x14ac:dyDescent="0.25">
      <c r="A15181" t="n">
        <v>22</v>
      </c>
      <c r="B15181" t="s">
        <v>14</v>
      </c>
      <c r="C15181" t="s">
        <v>22</v>
      </c>
      <c r="D15181" s="2" t="s">
        <f>=HYPERLINK("https://main.knesset.gov.il/APPS/legislation/main/bills/2082178", "הצעת חוק הביטוח הלאומי (תיקון - תשלום קצבת שאירים בעד תקופה שקדמה להגשת התביעה), התש""ף-2019")</f>
        <v>29182</v>
      </c>
      <c r="E15181" t="s">
        <v>29182</v>
      </c>
      <c r="F15181" t="s">
        <v>29183</v>
      </c>
      <c r="G15181" t="s">
        <v>14</v>
      </c>
      <c r="H15181">
             </c>
      <c r="I15181" t="s">
        <v>14</v>
      </c>
      <c r="J15181" t="s">
        <v>141</v>
      </c>
      <c r="K15181" t="s">
        <v>14</v>
      </c>
      <c r="L15181" t="s">
        <v>20</v>
      </c>
      <c r="M15181" t="s">
        <v>29075</v>
      </c>
      <c r="N15181" t="s">
        <v>14</v>
      </c>
    </row>
    <row r="15182" x14ac:dyDescent="0.25">
      <c r="A15182" t="n">
        <v>22</v>
      </c>
      <c r="B15182" t="s">
        <v>14</v>
      </c>
      <c r="C15182" t="s">
        <v>22</v>
      </c>
      <c r="D15182" s="2" t="s">
        <f>=HYPERLINK("https://main.knesset.gov.il/APPS/legislation/main/bills/2082149", "הצעת חוק הביטוח הלאומי (תיקון - קצבת תלויים וקצבת אזרח ותיק), התש""ף-2019")</f>
        <v>28200</v>
      </c>
      <c r="E15182" t="s">
        <v>28200</v>
      </c>
      <c r="F15182" t="s">
        <v>29184</v>
      </c>
      <c r="G15182" t="s">
        <v>14</v>
      </c>
      <c r="H15182">
             </c>
      <c r="I15182" t="s">
        <v>14</v>
      </c>
      <c r="J15182" t="s">
        <v>141</v>
      </c>
      <c r="K15182" t="s">
        <v>14</v>
      </c>
      <c r="L15182" t="s">
        <v>20</v>
      </c>
      <c r="M15182" t="s">
        <v>29075</v>
      </c>
      <c r="N15182" t="s">
        <v>14</v>
      </c>
    </row>
    <row r="15183" x14ac:dyDescent="0.25">
      <c r="A15183" t="n">
        <v>22</v>
      </c>
      <c r="B15183" t="s">
        <v>14</v>
      </c>
      <c r="C15183" t="s">
        <v>22</v>
      </c>
      <c r="D15183" s="2" t="s">
        <f>=HYPERLINK("https://main.knesset.gov.il/APPS/legislation/main/bills/2081364", "הצעת חוק הביטוח הלאומי (תיקון - סיעוד על ידי בן משפחה), התש""ף-2019")</f>
        <v>29185</v>
      </c>
      <c r="E15183" t="s">
        <v>29185</v>
      </c>
      <c r="F15183" t="s">
        <v>29186</v>
      </c>
      <c r="G15183" t="s">
        <v>14</v>
      </c>
      <c r="H15183">
             </c>
      <c r="I15183" t="s">
        <v>14</v>
      </c>
      <c r="J15183" t="s">
        <v>141</v>
      </c>
      <c r="K15183" t="s">
        <v>14</v>
      </c>
      <c r="L15183" t="s">
        <v>20</v>
      </c>
      <c r="M15183" t="s">
        <v>29075</v>
      </c>
      <c r="N15183" t="s">
        <v>14</v>
      </c>
    </row>
    <row r="15184" x14ac:dyDescent="0.25">
      <c r="A15184" t="n">
        <v>22</v>
      </c>
      <c r="B15184" t="s">
        <v>14</v>
      </c>
      <c r="C15184" t="s">
        <v>22</v>
      </c>
      <c r="D15184" s="2" t="s">
        <f>=HYPERLINK("https://main.knesset.gov.il/APPS/legislation/main/bills/2082009", "הצעת חוק התכנון והבנייה (תיקון - היתר הניתן לפי תכניות ישנות), התש""ף-2019")</f>
        <v>29187</v>
      </c>
      <c r="E15184" t="s">
        <v>29187</v>
      </c>
      <c r="F15184" t="s">
        <v>29188</v>
      </c>
      <c r="G15184" t="s">
        <v>14</v>
      </c>
      <c r="H15184">
             </c>
      <c r="I15184" t="s">
        <v>14</v>
      </c>
      <c r="J15184" t="s">
        <v>141</v>
      </c>
      <c r="K15184" t="s">
        <v>14</v>
      </c>
      <c r="L15184" t="s">
        <v>20</v>
      </c>
      <c r="M15184" t="s">
        <v>29075</v>
      </c>
      <c r="N15184" t="s">
        <v>14</v>
      </c>
    </row>
    <row r="15185" x14ac:dyDescent="0.25">
      <c r="A15185" t="n">
        <v>22</v>
      </c>
      <c r="B15185" t="s">
        <v>14</v>
      </c>
      <c r="C15185" t="s">
        <v>22</v>
      </c>
      <c r="D15185" s="2" t="s">
        <f>=HYPERLINK("https://main.knesset.gov.il/APPS/legislation/main/bills/2081351", "הצעת חוק הביטוח הלאומי (תיקון - מימון סייעת לילדים שאינם יכולים לשהות במעון), התש""ף-2019")</f>
        <v>29189</v>
      </c>
      <c r="E15185" t="s">
        <v>29189</v>
      </c>
      <c r="F15185" t="s">
        <v>29190</v>
      </c>
      <c r="G15185" t="s">
        <v>14</v>
      </c>
      <c r="H15185">
             </c>
      <c r="I15185" t="s">
        <v>14</v>
      </c>
      <c r="J15185" t="s">
        <v>141</v>
      </c>
      <c r="K15185" t="s">
        <v>14</v>
      </c>
      <c r="L15185" t="s">
        <v>20</v>
      </c>
      <c r="M15185" t="s">
        <v>29075</v>
      </c>
      <c r="N15185" t="s">
        <v>14</v>
      </c>
    </row>
    <row r="15186" x14ac:dyDescent="0.25">
      <c r="A15186" t="n">
        <v>22</v>
      </c>
      <c r="B15186" t="s">
        <v>14</v>
      </c>
      <c r="C15186" t="s">
        <v>22</v>
      </c>
      <c r="D15186" s="2" t="s">
        <f>=HYPERLINK("https://main.knesset.gov.il/APPS/legislation/main/bills/2082179", "הצעת חוק אחריות לעבודות שיפוצים, התש""ף-2019")</f>
        <v>29191</v>
      </c>
      <c r="E15186" t="s">
        <v>29191</v>
      </c>
      <c r="F15186" t="s">
        <v>29192</v>
      </c>
      <c r="G15186" t="s">
        <v>14</v>
      </c>
      <c r="H15186">
             </c>
      <c r="I15186" t="s">
        <v>14</v>
      </c>
      <c r="J15186" t="s">
        <v>141</v>
      </c>
      <c r="K15186" t="s">
        <v>14</v>
      </c>
      <c r="L15186" t="s">
        <v>20</v>
      </c>
      <c r="M15186" t="s">
        <v>29075</v>
      </c>
      <c r="N15186" t="s">
        <v>14</v>
      </c>
    </row>
    <row r="15187" x14ac:dyDescent="0.25">
      <c r="A15187" t="n">
        <v>22</v>
      </c>
      <c r="B15187" t="s">
        <v>14</v>
      </c>
      <c r="C15187" t="s">
        <v>22</v>
      </c>
      <c r="D15187" s="2" t="s">
        <f>=HYPERLINK("https://main.knesset.gov.il/APPS/legislation/main/bills/2081451", "הצעת חוק הביטוח הלאומי (תיקון - מענק לידה אחיד מילד שני ואילך), התש""ף-2019")</f>
        <v>29193</v>
      </c>
      <c r="E15187" t="s">
        <v>29193</v>
      </c>
      <c r="F15187" t="s">
        <v>29194</v>
      </c>
      <c r="G15187" t="s">
        <v>14</v>
      </c>
      <c r="H15187">
             </c>
      <c r="I15187" t="s">
        <v>14</v>
      </c>
      <c r="J15187" t="s">
        <v>141</v>
      </c>
      <c r="K15187" t="s">
        <v>14</v>
      </c>
      <c r="L15187" t="s">
        <v>20</v>
      </c>
      <c r="M15187" t="s">
        <v>29075</v>
      </c>
      <c r="N15187" t="s">
        <v>14</v>
      </c>
    </row>
    <row r="15188" x14ac:dyDescent="0.25">
      <c r="A15188" t="n">
        <v>22</v>
      </c>
      <c r="B15188" t="s">
        <v>14</v>
      </c>
      <c r="C15188" t="s">
        <v>22</v>
      </c>
      <c r="D15188" s="2" t="s">
        <f>=HYPERLINK("https://main.knesset.gov.il/APPS/legislation/main/bills/2082096", "הצעת חוק אחריות לעבודות שיפוצים, התש""ף-2019")</f>
        <v>29191</v>
      </c>
      <c r="E15188" t="s">
        <v>29191</v>
      </c>
      <c r="F15188" t="s">
        <v>29195</v>
      </c>
      <c r="G15188" t="s">
        <v>14</v>
      </c>
      <c r="H15188">
             </c>
      <c r="I15188" t="s">
        <v>14</v>
      </c>
      <c r="J15188" t="s">
        <v>141</v>
      </c>
      <c r="K15188" t="s">
        <v>14</v>
      </c>
      <c r="L15188" t="s">
        <v>20</v>
      </c>
      <c r="M15188" t="s">
        <v>29075</v>
      </c>
      <c r="N15188" t="s">
        <v>14</v>
      </c>
    </row>
    <row r="15189" x14ac:dyDescent="0.25">
      <c r="A15189" t="n">
        <v>22</v>
      </c>
      <c r="B15189" t="s">
        <v>14</v>
      </c>
      <c r="C15189" t="s">
        <v>22</v>
      </c>
      <c r="D15189" s="2" t="s">
        <f>=HYPERLINK("https://main.knesset.gov.il/APPS/legislation/main/bills/2081249", "הצעת חוק שירות הקבע בצבא הגנה לישראל (הליכים לעניין החלטות הנוגעות לחיילים בשירות קבע) (תיקון - סמכות נגררת ומקום מושב), התש""ף-2019")</f>
        <v>29196</v>
      </c>
      <c r="E15189" t="s">
        <v>29196</v>
      </c>
      <c r="F15189" t="s">
        <v>29197</v>
      </c>
      <c r="G15189" t="s">
        <v>14</v>
      </c>
      <c r="H15189">
             </c>
      <c r="I15189" t="s">
        <v>14</v>
      </c>
      <c r="J15189" t="s">
        <v>141</v>
      </c>
      <c r="K15189" t="s">
        <v>14</v>
      </c>
      <c r="L15189" t="s">
        <v>20</v>
      </c>
      <c r="M15189" t="s">
        <v>29075</v>
      </c>
      <c r="N15189" t="s">
        <v>14</v>
      </c>
    </row>
    <row r="15190" x14ac:dyDescent="0.25">
      <c r="A15190" t="n">
        <v>22</v>
      </c>
      <c r="B15190" t="s">
        <v>14</v>
      </c>
      <c r="C15190" t="s">
        <v>22</v>
      </c>
      <c r="D15190" s="2" t="s">
        <f>=HYPERLINK("https://main.knesset.gov.il/APPS/legislation/main/bills/2081981", "הצעת חוק הפיקוח על מצרכים ושירותים (תיקון - סייגים לעסקאות בציוד צבאי), התש""ף-2019")</f>
        <v>29131</v>
      </c>
      <c r="E15190" t="s">
        <v>29131</v>
      </c>
      <c r="F15190" t="s">
        <v>29198</v>
      </c>
      <c r="G15190" t="s">
        <v>14</v>
      </c>
      <c r="H15190">
             </c>
      <c r="I15190" t="s">
        <v>14</v>
      </c>
      <c r="J15190" t="s">
        <v>141</v>
      </c>
      <c r="K15190" t="s">
        <v>14</v>
      </c>
      <c r="L15190" t="s">
        <v>20</v>
      </c>
      <c r="M15190" t="s">
        <v>29075</v>
      </c>
      <c r="N15190" t="s">
        <v>14</v>
      </c>
    </row>
    <row r="15191" x14ac:dyDescent="0.25">
      <c r="A15191" t="n">
        <v>22</v>
      </c>
      <c r="B15191" t="s">
        <v>14</v>
      </c>
      <c r="C15191" t="s">
        <v>22</v>
      </c>
      <c r="D15191" s="2" t="s">
        <f>=HYPERLINK("https://main.knesset.gov.il/APPS/legislation/main/bills/2082007", "הצעת חוק הסדרת מקומות רחצה (תיקון - איסור גביית דמי כניסה), התש""ף-2019")</f>
        <v>29199</v>
      </c>
      <c r="E15191" t="s">
        <v>29199</v>
      </c>
      <c r="F15191" t="s">
        <v>29200</v>
      </c>
      <c r="G15191" t="s">
        <v>14</v>
      </c>
      <c r="H15191">
             </c>
      <c r="I15191" t="s">
        <v>14</v>
      </c>
      <c r="J15191" t="s">
        <v>141</v>
      </c>
      <c r="K15191" t="s">
        <v>14</v>
      </c>
      <c r="L15191" t="s">
        <v>20</v>
      </c>
      <c r="M15191" t="s">
        <v>29075</v>
      </c>
      <c r="N15191" t="s">
        <v>14</v>
      </c>
    </row>
    <row r="15192" x14ac:dyDescent="0.25">
      <c r="A15192" t="n">
        <v>22</v>
      </c>
      <c r="B15192" t="s">
        <v>14</v>
      </c>
      <c r="C15192" t="s">
        <v>22</v>
      </c>
      <c r="D15192" s="2" t="s">
        <f>=HYPERLINK("https://main.knesset.gov.il/APPS/legislation/main/bills/2082207", "הצעת חוק חינוך ממלכתי (תיקון - שלילת תקצוב וקביעת אזורי רישום), התש""ף-2019")</f>
        <v>29201</v>
      </c>
      <c r="E15192" t="s">
        <v>29201</v>
      </c>
      <c r="F15192" t="s">
        <v>29202</v>
      </c>
      <c r="G15192" t="s">
        <v>14</v>
      </c>
      <c r="H15192">
             </c>
      <c r="I15192" t="s">
        <v>14</v>
      </c>
      <c r="J15192" t="s">
        <v>141</v>
      </c>
      <c r="K15192" t="s">
        <v>14</v>
      </c>
      <c r="L15192" t="s">
        <v>20</v>
      </c>
      <c r="M15192" t="s">
        <v>29075</v>
      </c>
      <c r="N15192" t="s">
        <v>14</v>
      </c>
    </row>
    <row r="15193" x14ac:dyDescent="0.25">
      <c r="A15193" t="n">
        <v>22</v>
      </c>
      <c r="B15193" t="s">
        <v>14</v>
      </c>
      <c r="C15193" t="s">
        <v>22</v>
      </c>
      <c r="D15193" s="2" t="s">
        <f>=HYPERLINK("https://main.knesset.gov.il/APPS/legislation/main/bills/2081758", "הצעת חוק לימוד חובה (תיקון - איסור על גביית תשלומי הורים), התש""ף-2019")</f>
        <v>29203</v>
      </c>
      <c r="E15193" t="s">
        <v>29203</v>
      </c>
      <c r="F15193" t="s">
        <v>29204</v>
      </c>
      <c r="G15193" t="s">
        <v>14</v>
      </c>
      <c r="H15193">
             </c>
      <c r="I15193" t="s">
        <v>14</v>
      </c>
      <c r="J15193" t="s">
        <v>141</v>
      </c>
      <c r="K15193" t="s">
        <v>14</v>
      </c>
      <c r="L15193" t="s">
        <v>20</v>
      </c>
      <c r="M15193" t="s">
        <v>29075</v>
      </c>
      <c r="N15193" t="s">
        <v>14</v>
      </c>
    </row>
    <row r="15194" x14ac:dyDescent="0.25">
      <c r="A15194" t="n">
        <v>22</v>
      </c>
      <c r="B15194" t="s">
        <v>14</v>
      </c>
      <c r="C15194" t="s">
        <v>22</v>
      </c>
      <c r="D15194" s="2" t="s">
        <f>=HYPERLINK("https://main.knesset.gov.il/APPS/legislation/main/bills/2082040", "הצעת חוק לקידום התחרות ולצמצום הריכוזיות (תיקון - קביעת תאגיד שאינו מדווח או שותפות כחברת שכבה), התש""ף-2019")</f>
        <v>27690</v>
      </c>
      <c r="E15194" t="s">
        <v>27690</v>
      </c>
      <c r="F15194" t="s">
        <v>29205</v>
      </c>
      <c r="G15194" t="s">
        <v>14</v>
      </c>
      <c r="H15194">
             </c>
      <c r="I15194" t="s">
        <v>14</v>
      </c>
      <c r="J15194" t="s">
        <v>141</v>
      </c>
      <c r="K15194" t="s">
        <v>14</v>
      </c>
      <c r="L15194" t="s">
        <v>20</v>
      </c>
      <c r="M15194" t="s">
        <v>29075</v>
      </c>
      <c r="N15194" t="s">
        <v>14</v>
      </c>
    </row>
    <row r="15195" x14ac:dyDescent="0.25">
      <c r="A15195" t="n">
        <v>22</v>
      </c>
      <c r="B15195" t="s">
        <v>14</v>
      </c>
      <c r="C15195" t="s">
        <v>22</v>
      </c>
      <c r="D15195" s="2" t="s">
        <f>=HYPERLINK("https://main.knesset.gov.il/APPS/legislation/main/bills/2081665", "הצעת חוק שיקים ללא כיסוי (תיקון - חשבון פרטי וחשבון עסקי), התש""ף-2019")</f>
        <v>29206</v>
      </c>
      <c r="E15195" t="s">
        <v>29206</v>
      </c>
      <c r="F15195" t="s">
        <v>29207</v>
      </c>
      <c r="G15195" t="s">
        <v>14</v>
      </c>
      <c r="H15195">
             </c>
      <c r="I15195" t="s">
        <v>14</v>
      </c>
      <c r="J15195" t="s">
        <v>141</v>
      </c>
      <c r="K15195" t="s">
        <v>14</v>
      </c>
      <c r="L15195" t="s">
        <v>20</v>
      </c>
      <c r="M15195" t="s">
        <v>29075</v>
      </c>
      <c r="N15195" t="s">
        <v>14</v>
      </c>
    </row>
    <row r="15196" x14ac:dyDescent="0.25">
      <c r="A15196" t="n">
        <v>22</v>
      </c>
      <c r="B15196" t="s">
        <v>14</v>
      </c>
      <c r="C15196" t="s">
        <v>22</v>
      </c>
      <c r="D15196" s="2" t="s">
        <f>=HYPERLINK("https://main.knesset.gov.il/APPS/legislation/main/bills/2082004", "הצעת חוק התכנון והבנייה (תיקון - הטמנת תשתיות בחוף הים), התש""ף-2019")</f>
        <v>29208</v>
      </c>
      <c r="E15196" t="s">
        <v>29208</v>
      </c>
      <c r="F15196" t="s">
        <v>29209</v>
      </c>
      <c r="G15196" t="s">
        <v>14</v>
      </c>
      <c r="H15196">
             </c>
      <c r="I15196" t="s">
        <v>14</v>
      </c>
      <c r="J15196" t="s">
        <v>141</v>
      </c>
      <c r="K15196" t="s">
        <v>14</v>
      </c>
      <c r="L15196" t="s">
        <v>20</v>
      </c>
      <c r="M15196" t="s">
        <v>29075</v>
      </c>
      <c r="N15196" t="s">
        <v>14</v>
      </c>
    </row>
    <row r="15197" x14ac:dyDescent="0.25">
      <c r="A15197" t="n">
        <v>22</v>
      </c>
      <c r="B15197" t="s">
        <v>14</v>
      </c>
      <c r="C15197" t="s">
        <v>22</v>
      </c>
      <c r="D15197" s="2" t="s">
        <f>=HYPERLINK("https://main.knesset.gov.il/APPS/legislation/main/bills/2081431", "הצעת חוק העונשין (תיקון - הגדרת אדם סיעודי כחסר ישע), התש""ף-2019 ")</f>
        <v>29210</v>
      </c>
      <c r="E15197" t="s">
        <v>29210</v>
      </c>
      <c r="F15197" t="s">
        <v>29211</v>
      </c>
      <c r="G15197" t="s">
        <v>14</v>
      </c>
      <c r="H15197">
             </c>
      <c r="I15197" t="s">
        <v>14</v>
      </c>
      <c r="J15197" t="s">
        <v>141</v>
      </c>
      <c r="K15197" t="s">
        <v>14</v>
      </c>
      <c r="L15197" t="s">
        <v>20</v>
      </c>
      <c r="M15197" t="s">
        <v>29075</v>
      </c>
      <c r="N15197" t="s">
        <v>14</v>
      </c>
    </row>
    <row r="15198" x14ac:dyDescent="0.25">
      <c r="A15198" t="n">
        <v>22</v>
      </c>
      <c r="B15198" t="s">
        <v>14</v>
      </c>
      <c r="C15198" t="s">
        <v>22</v>
      </c>
      <c r="D15198" s="2" t="s">
        <f>=HYPERLINK("https://main.knesset.gov.il/APPS/legislation/main/bills/2081982", "הצעת חוק לתיקון פקודת העיריות (שידור ישיבות מועצה), התש""ף-2019")</f>
        <v>29212</v>
      </c>
      <c r="E15198" t="s">
        <v>29212</v>
      </c>
      <c r="F15198" t="s">
        <v>29213</v>
      </c>
      <c r="G15198" t="s">
        <v>14</v>
      </c>
      <c r="H15198">
             </c>
      <c r="I15198" t="s">
        <v>14</v>
      </c>
      <c r="J15198" t="s">
        <v>141</v>
      </c>
      <c r="K15198" t="s">
        <v>14</v>
      </c>
      <c r="L15198" t="s">
        <v>20</v>
      </c>
      <c r="M15198" t="s">
        <v>29075</v>
      </c>
      <c r="N15198" t="s">
        <v>14</v>
      </c>
    </row>
    <row r="15199" x14ac:dyDescent="0.25">
      <c r="A15199" t="n">
        <v>22</v>
      </c>
      <c r="B15199" t="s">
        <v>14</v>
      </c>
      <c r="C15199" t="s">
        <v>22</v>
      </c>
      <c r="D15199" s="2" t="s">
        <f>=HYPERLINK("https://main.knesset.gov.il/APPS/legislation/main/bills/2081826", "הצעת חוק-יסוד: כבוד האדם וחירותו (תיקון - פסקת התגברות)")</f>
        <v>13607</v>
      </c>
      <c r="E15199" t="s">
        <v>13607</v>
      </c>
      <c r="F15199" t="s">
        <v>29214</v>
      </c>
      <c r="G15199" t="s">
        <v>14</v>
      </c>
      <c r="H15199">
             </c>
      <c r="I15199" t="s">
        <v>14</v>
      </c>
      <c r="J15199" t="s">
        <v>141</v>
      </c>
      <c r="K15199" t="s">
        <v>14</v>
      </c>
      <c r="L15199" t="s">
        <v>20</v>
      </c>
      <c r="M15199" t="s">
        <v>29075</v>
      </c>
      <c r="N15199" t="s">
        <v>14</v>
      </c>
    </row>
    <row r="15200" x14ac:dyDescent="0.25">
      <c r="A15200" t="n">
        <v>22</v>
      </c>
      <c r="B15200" t="s">
        <v>14</v>
      </c>
      <c r="C15200" t="s">
        <v>22</v>
      </c>
      <c r="D15200" s="2" t="s">
        <f>=HYPERLINK("https://main.knesset.gov.il/APPS/legislation/main/bills/2081998", "הצעת חוק התכנון והבנייה (תיקון - גודל האותיות בהודעות בענייני תכנון ובנייה), התש""ף-2019")</f>
        <v>29215</v>
      </c>
      <c r="E15200" t="s">
        <v>29215</v>
      </c>
      <c r="F15200" t="s">
        <v>29216</v>
      </c>
      <c r="G15200" t="s">
        <v>14</v>
      </c>
      <c r="H15200">
             </c>
      <c r="I15200" t="s">
        <v>14</v>
      </c>
      <c r="J15200" t="s">
        <v>141</v>
      </c>
      <c r="K15200" t="s">
        <v>14</v>
      </c>
      <c r="L15200" t="s">
        <v>20</v>
      </c>
      <c r="M15200" t="s">
        <v>29075</v>
      </c>
      <c r="N15200" t="s">
        <v>14</v>
      </c>
    </row>
    <row r="15201" x14ac:dyDescent="0.25">
      <c r="A15201" t="n">
        <v>22</v>
      </c>
      <c r="B15201" t="s">
        <v>14</v>
      </c>
      <c r="C15201" t="s">
        <v>22</v>
      </c>
      <c r="D15201" s="2" t="s">
        <f>=HYPERLINK("https://main.knesset.gov.il/APPS/legislation/main/bills/2082058", "הצעת חוק לתיקון פקודת מס הכנסה (קרן חברתית להשקעות במקרקעין), התש""ף-2019")</f>
        <v>29217</v>
      </c>
      <c r="E15201" t="s">
        <v>29217</v>
      </c>
      <c r="F15201" t="s">
        <v>29218</v>
      </c>
      <c r="G15201" t="s">
        <v>14</v>
      </c>
      <c r="H15201">
             </c>
      <c r="I15201" t="s">
        <v>14</v>
      </c>
      <c r="J15201" t="s">
        <v>141</v>
      </c>
      <c r="K15201" t="s">
        <v>14</v>
      </c>
      <c r="L15201" t="s">
        <v>20</v>
      </c>
      <c r="M15201" t="s">
        <v>29075</v>
      </c>
      <c r="N15201" t="s">
        <v>14</v>
      </c>
    </row>
    <row r="15202" x14ac:dyDescent="0.25">
      <c r="A15202" t="n">
        <v>22</v>
      </c>
      <c r="B15202" t="s">
        <v>14</v>
      </c>
      <c r="C15202" t="s">
        <v>22</v>
      </c>
      <c r="D15202" s="2" t="s">
        <f>=HYPERLINK("https://main.knesset.gov.il/APPS/legislation/main/bills/2081345", "הצעת חוק הביטוח הלאומי (תיקון - מימון הסעת יולדת באמבולנס), התש""ף-2019")</f>
        <v>29219</v>
      </c>
      <c r="E15202" t="s">
        <v>29219</v>
      </c>
      <c r="F15202" t="s">
        <v>29220</v>
      </c>
      <c r="G15202" t="s">
        <v>14</v>
      </c>
      <c r="H15202">
             </c>
      <c r="I15202" t="s">
        <v>14</v>
      </c>
      <c r="J15202" t="s">
        <v>141</v>
      </c>
      <c r="K15202" t="s">
        <v>14</v>
      </c>
      <c r="L15202" t="s">
        <v>20</v>
      </c>
      <c r="M15202" t="s">
        <v>29075</v>
      </c>
      <c r="N15202" t="s">
        <v>14</v>
      </c>
    </row>
    <row r="15203" x14ac:dyDescent="0.25">
      <c r="A15203" t="n">
        <v>22</v>
      </c>
      <c r="B15203" t="s">
        <v>14</v>
      </c>
      <c r="C15203" t="s">
        <v>22</v>
      </c>
      <c r="D15203" s="2" t="s">
        <f>=HYPERLINK("https://main.knesset.gov.il/APPS/legislation/main/bills/2082331", "הצעת חוק לתיקון פקודת מסי העירייה ומסי הממשלה (פטורין) (פטור מארנונה לבתי חיילים), התש""ף-2019")</f>
        <v>27836</v>
      </c>
      <c r="E15203" t="s">
        <v>27836</v>
      </c>
      <c r="F15203" t="s">
        <v>29221</v>
      </c>
      <c r="G15203" t="s">
        <v>14</v>
      </c>
      <c r="H15203">
             </c>
      <c r="I15203" t="s">
        <v>14</v>
      </c>
      <c r="J15203" t="s">
        <v>141</v>
      </c>
      <c r="K15203" t="s">
        <v>14</v>
      </c>
      <c r="L15203" t="s">
        <v>20</v>
      </c>
      <c r="M15203" t="s">
        <v>29075</v>
      </c>
      <c r="N15203" t="s">
        <v>14</v>
      </c>
    </row>
    <row r="15204" x14ac:dyDescent="0.25">
      <c r="A15204" t="n">
        <v>22</v>
      </c>
      <c r="B15204" t="s">
        <v>14</v>
      </c>
      <c r="C15204" t="s">
        <v>22</v>
      </c>
      <c r="D15204" s="2" t="s">
        <f>=HYPERLINK("https://main.knesset.gov.il/APPS/legislation/main/bills/2081407", "הצעת חוק לתיקון פקודת ביטוח רכב מנועי (פוליסה לשני כלי רכב של נהג יחיד), התש""ף-2019")</f>
        <v>29222</v>
      </c>
      <c r="E15204" t="s">
        <v>29222</v>
      </c>
      <c r="F15204" t="s">
        <v>29223</v>
      </c>
      <c r="G15204" t="s">
        <v>14</v>
      </c>
      <c r="H15204">
             </c>
      <c r="I15204" t="s">
        <v>14</v>
      </c>
      <c r="J15204" t="s">
        <v>141</v>
      </c>
      <c r="K15204" t="s">
        <v>14</v>
      </c>
      <c r="L15204" t="s">
        <v>20</v>
      </c>
      <c r="M15204" t="s">
        <v>29075</v>
      </c>
      <c r="N15204" t="s">
        <v>14</v>
      </c>
    </row>
    <row r="15205" x14ac:dyDescent="0.25">
      <c r="A15205" t="n">
        <v>22</v>
      </c>
      <c r="B15205" t="s">
        <v>14</v>
      </c>
      <c r="C15205" t="s">
        <v>22</v>
      </c>
      <c r="D15205" s="2" t="s">
        <f>=HYPERLINK("https://main.knesset.gov.il/APPS/legislation/main/bills/2081909", "הצעת חוק לתיקון פקודת הדיג (איכון ספינות דיג), התש""ף-2019")</f>
        <v>29224</v>
      </c>
      <c r="E15205" t="s">
        <v>29224</v>
      </c>
      <c r="F15205" t="s">
        <v>29225</v>
      </c>
      <c r="G15205" t="s">
        <v>14</v>
      </c>
      <c r="H15205">
             </c>
      <c r="I15205" t="s">
        <v>14</v>
      </c>
      <c r="J15205" t="s">
        <v>141</v>
      </c>
      <c r="K15205" t="s">
        <v>14</v>
      </c>
      <c r="L15205" t="s">
        <v>20</v>
      </c>
      <c r="M15205" t="s">
        <v>29075</v>
      </c>
      <c r="N15205" t="s">
        <v>14</v>
      </c>
    </row>
    <row r="15206" x14ac:dyDescent="0.25">
      <c r="A15206" t="n">
        <v>22</v>
      </c>
      <c r="B15206" t="s">
        <v>14</v>
      </c>
      <c r="C15206" t="s">
        <v>22</v>
      </c>
      <c r="D15206" s="2" t="s">
        <f>=HYPERLINK("https://main.knesset.gov.il/APPS/legislation/main/bills/2081988", "הצעת חוק תשלום שכר היועץ המשפטי ומבקר העירייה (תיקוני חקיקה), התש""ף-2019")</f>
        <v>29226</v>
      </c>
      <c r="E15206" t="s">
        <v>29226</v>
      </c>
      <c r="F15206" t="s">
        <v>29227</v>
      </c>
      <c r="G15206" t="s">
        <v>14</v>
      </c>
      <c r="H15206">
             </c>
      <c r="I15206" t="s">
        <v>14</v>
      </c>
      <c r="J15206" t="s">
        <v>141</v>
      </c>
      <c r="K15206" t="s">
        <v>14</v>
      </c>
      <c r="L15206" t="s">
        <v>20</v>
      </c>
      <c r="M15206" t="s">
        <v>29075</v>
      </c>
      <c r="N15206" t="s">
        <v>14</v>
      </c>
    </row>
    <row r="15207" x14ac:dyDescent="0.25">
      <c r="A15207" t="n">
        <v>22</v>
      </c>
      <c r="B15207" t="s">
        <v>14</v>
      </c>
      <c r="C15207" t="s">
        <v>22</v>
      </c>
      <c r="D15207" s="2" t="s">
        <f>=HYPERLINK("https://main.knesset.gov.il/APPS/legislation/main/bills/2081686", "הצעת חוק החזר דמי נסיעה במונית לבית החולים (תיקוני חקיקה), התש""ף-2019")</f>
        <v>29228</v>
      </c>
      <c r="E15207" t="s">
        <v>29228</v>
      </c>
      <c r="F15207" t="s">
        <v>29229</v>
      </c>
      <c r="G15207" t="s">
        <v>14</v>
      </c>
      <c r="H15207">
             </c>
      <c r="I15207" t="s">
        <v>14</v>
      </c>
      <c r="J15207" t="s">
        <v>141</v>
      </c>
      <c r="K15207" t="s">
        <v>14</v>
      </c>
      <c r="L15207" t="s">
        <v>20</v>
      </c>
      <c r="M15207" t="s">
        <v>29075</v>
      </c>
      <c r="N15207" t="s">
        <v>14</v>
      </c>
    </row>
    <row r="15208" x14ac:dyDescent="0.25">
      <c r="A15208" t="n">
        <v>22</v>
      </c>
      <c r="B15208" t="s">
        <v>14</v>
      </c>
      <c r="C15208" t="s">
        <v>22</v>
      </c>
      <c r="D15208" s="2" t="s">
        <f>=HYPERLINK("https://main.knesset.gov.il/APPS/legislation/main/bills/2081974", "הצעת חוק לתיקון פקודת העיריות (גמול השתתפות בישיבות והחזר הוצאות לחברי מועצה), התש""ף-2019")</f>
        <v>29230</v>
      </c>
      <c r="E15208" t="s">
        <v>29230</v>
      </c>
      <c r="F15208" t="s">
        <v>29231</v>
      </c>
      <c r="G15208" t="s">
        <v>14</v>
      </c>
      <c r="H15208">
             </c>
      <c r="I15208" t="s">
        <v>14</v>
      </c>
      <c r="J15208" t="s">
        <v>141</v>
      </c>
      <c r="K15208" t="s">
        <v>14</v>
      </c>
      <c r="L15208" t="s">
        <v>20</v>
      </c>
      <c r="M15208" t="s">
        <v>29075</v>
      </c>
      <c r="N15208" t="s">
        <v>14</v>
      </c>
    </row>
    <row r="15209" x14ac:dyDescent="0.25">
      <c r="A15209" t="n">
        <v>22</v>
      </c>
      <c r="B15209" t="s">
        <v>14</v>
      </c>
      <c r="C15209" t="s">
        <v>22</v>
      </c>
      <c r="D15209" s="2" t="s">
        <f>=HYPERLINK("https://main.knesset.gov.il/APPS/legislation/main/bills/2081563", "הצעת חוק הבנקאות (שירות ללקוח) (תיקון - שירות מקוון ללקוח), התש""ף-2019")</f>
        <v>29232</v>
      </c>
      <c r="E15209" t="s">
        <v>29232</v>
      </c>
      <c r="F15209" t="s">
        <v>29233</v>
      </c>
      <c r="G15209" t="s">
        <v>14</v>
      </c>
      <c r="H15209">
             </c>
      <c r="I15209" t="s">
        <v>14</v>
      </c>
      <c r="J15209" t="s">
        <v>141</v>
      </c>
      <c r="K15209" t="s">
        <v>14</v>
      </c>
      <c r="L15209" t="s">
        <v>20</v>
      </c>
      <c r="M15209" t="s">
        <v>29075</v>
      </c>
      <c r="N15209" t="s">
        <v>14</v>
      </c>
    </row>
    <row r="15210" x14ac:dyDescent="0.25">
      <c r="A15210" t="n">
        <v>22</v>
      </c>
      <c r="B15210" t="s">
        <v>14</v>
      </c>
      <c r="C15210" t="s">
        <v>22</v>
      </c>
      <c r="D15210" s="2" t="s">
        <f>=HYPERLINK("https://main.knesset.gov.il/APPS/legislation/main/bills/2081912", "הצעת חוק זכויות דיירים בקרקעות מוחכרות שנמכרו, התש""ף-2019")</f>
        <v>29234</v>
      </c>
      <c r="E15210" t="s">
        <v>29234</v>
      </c>
      <c r="F15210" t="s">
        <v>29235</v>
      </c>
      <c r="G15210" t="s">
        <v>14</v>
      </c>
      <c r="H15210">
             </c>
      <c r="I15210" t="s">
        <v>14</v>
      </c>
      <c r="J15210" t="s">
        <v>141</v>
      </c>
      <c r="K15210" t="s">
        <v>14</v>
      </c>
      <c r="L15210" t="s">
        <v>20</v>
      </c>
      <c r="M15210" t="s">
        <v>29075</v>
      </c>
      <c r="N15210" t="s">
        <v>14</v>
      </c>
    </row>
    <row r="15211" x14ac:dyDescent="0.25">
      <c r="A15211" t="n">
        <v>22</v>
      </c>
      <c r="B15211" t="s">
        <v>14</v>
      </c>
      <c r="C15211" t="s">
        <v>22</v>
      </c>
      <c r="D15211" s="2" t="s">
        <f>=HYPERLINK("https://main.knesset.gov.il/APPS/legislation/main/bills/2081975", "הצעת חוק הרשויות המקומיות (זכויות וחובות של חברי מועצה), התש""ף-2019")</f>
        <v>29236</v>
      </c>
      <c r="E15211" t="s">
        <v>29236</v>
      </c>
      <c r="F15211" t="s">
        <v>29237</v>
      </c>
      <c r="G15211" t="s">
        <v>14</v>
      </c>
      <c r="H15211">
             </c>
      <c r="I15211" t="s">
        <v>14</v>
      </c>
      <c r="J15211" t="s">
        <v>141</v>
      </c>
      <c r="K15211" t="s">
        <v>14</v>
      </c>
      <c r="L15211" t="s">
        <v>20</v>
      </c>
      <c r="M15211" t="s">
        <v>29075</v>
      </c>
      <c r="N15211" t="s">
        <v>14</v>
      </c>
    </row>
    <row r="15212" x14ac:dyDescent="0.25">
      <c r="A15212" t="n">
        <v>22</v>
      </c>
      <c r="B15212" t="s">
        <v>14</v>
      </c>
      <c r="C15212" t="s">
        <v>22</v>
      </c>
      <c r="D15212" s="2" t="s">
        <f>=HYPERLINK("https://main.knesset.gov.il/APPS/legislation/main/bills/2082204", "הצעת חוק החלת ריבונות ישראל בשטח בקעת הירדן, התש""ף-2019")</f>
        <v>29238</v>
      </c>
      <c r="E15212" t="s">
        <v>29238</v>
      </c>
      <c r="F15212" t="s">
        <v>29239</v>
      </c>
      <c r="G15212" t="s">
        <v>14</v>
      </c>
      <c r="H15212">
             </c>
      <c r="I15212" t="s">
        <v>14</v>
      </c>
      <c r="J15212" t="s">
        <v>141</v>
      </c>
      <c r="K15212" t="s">
        <v>14</v>
      </c>
      <c r="L15212" t="s">
        <v>20</v>
      </c>
      <c r="M15212" t="s">
        <v>29075</v>
      </c>
      <c r="N15212" t="s">
        <v>14</v>
      </c>
    </row>
    <row r="15213" x14ac:dyDescent="0.25">
      <c r="A15213" t="n">
        <v>22</v>
      </c>
      <c r="B15213" t="s">
        <v>14</v>
      </c>
      <c r="C15213" t="s">
        <v>22</v>
      </c>
      <c r="D15213" s="2" t="s">
        <f>=HYPERLINK("https://main.knesset.gov.il/APPS/legislation/main/bills/2082205", "הצעת חוק החלת הריבונות של מדינת ישראל בחבלי יהודה והשומרון, התש""ף-2019")</f>
        <v>28571</v>
      </c>
      <c r="E15213" t="s">
        <v>28571</v>
      </c>
      <c r="F15213" t="s">
        <v>29240</v>
      </c>
      <c r="G15213" t="s">
        <v>14</v>
      </c>
      <c r="H15213">
             </c>
      <c r="I15213" t="s">
        <v>14</v>
      </c>
      <c r="J15213" t="s">
        <v>141</v>
      </c>
      <c r="K15213" t="s">
        <v>14</v>
      </c>
      <c r="L15213" t="s">
        <v>20</v>
      </c>
      <c r="M15213" t="s">
        <v>29075</v>
      </c>
      <c r="N15213" t="s">
        <v>14</v>
      </c>
    </row>
    <row r="15214" x14ac:dyDescent="0.25">
      <c r="A15214" t="n">
        <v>22</v>
      </c>
      <c r="B15214" t="s">
        <v>14</v>
      </c>
      <c r="C15214" t="s">
        <v>22</v>
      </c>
      <c r="D15214" s="2" t="s">
        <f>=HYPERLINK("https://main.knesset.gov.il/APPS/legislation/main/bills/2082146", "הצעת חוק סיוע בקידום תעסוקתי למשפחות של עובדים מעוטי הכנסה, התש""ף-2019")</f>
        <v>29241</v>
      </c>
      <c r="E15214" t="s">
        <v>29241</v>
      </c>
      <c r="F15214" t="s">
        <v>29242</v>
      </c>
      <c r="G15214" t="s">
        <v>14</v>
      </c>
      <c r="H15214">
             </c>
      <c r="I15214" t="s">
        <v>14</v>
      </c>
      <c r="J15214" t="s">
        <v>141</v>
      </c>
      <c r="K15214" t="s">
        <v>14</v>
      </c>
      <c r="L15214" t="s">
        <v>20</v>
      </c>
      <c r="M15214" t="s">
        <v>29075</v>
      </c>
      <c r="N15214" t="s">
        <v>14</v>
      </c>
    </row>
    <row r="15215" x14ac:dyDescent="0.25">
      <c r="A15215" t="n">
        <v>22</v>
      </c>
      <c r="B15215" t="s">
        <v>14</v>
      </c>
      <c r="C15215" t="s">
        <v>22</v>
      </c>
      <c r="D15215" s="2" t="s">
        <f>=HYPERLINK("https://main.knesset.gov.il/APPS/legislation/main/bills/2082078", "הצעת חוק הכנסת (תיקון - איסור ייצוג גוף ממשלתי בידי שדלן בכנסת), התש""ף-2019")</f>
        <v>29243</v>
      </c>
      <c r="E15215" t="s">
        <v>29243</v>
      </c>
      <c r="F15215" t="s">
        <v>29244</v>
      </c>
      <c r="G15215" t="s">
        <v>14</v>
      </c>
      <c r="H15215">
             </c>
      <c r="I15215" t="s">
        <v>14</v>
      </c>
      <c r="J15215" t="s">
        <v>141</v>
      </c>
      <c r="K15215" t="s">
        <v>14</v>
      </c>
      <c r="L15215" t="s">
        <v>20</v>
      </c>
      <c r="M15215" t="s">
        <v>29075</v>
      </c>
      <c r="N15215" t="s">
        <v>14</v>
      </c>
    </row>
    <row r="15216" x14ac:dyDescent="0.25">
      <c r="A15216" t="n">
        <v>22</v>
      </c>
      <c r="B15216" t="s">
        <v>14</v>
      </c>
      <c r="C15216" t="s">
        <v>22</v>
      </c>
      <c r="D15216" s="2" t="s">
        <f>=HYPERLINK("https://main.knesset.gov.il/APPS/legislation/main/bills/2081970", "הצעת חוק הרשויות המקומיות (בחירת ראש הרשות וסגניו וכהונתם) (תיקון - בחירת חבר מועצה למילוי מקום ראש רשות וסגניו), התש""ף-2019")</f>
        <v>29245</v>
      </c>
      <c r="E15216" t="s">
        <v>29245</v>
      </c>
      <c r="F15216" t="s">
        <v>29246</v>
      </c>
      <c r="G15216" t="s">
        <v>14</v>
      </c>
      <c r="H15216">
             </c>
      <c r="I15216" t="s">
        <v>14</v>
      </c>
      <c r="J15216" t="s">
        <v>141</v>
      </c>
      <c r="K15216" t="s">
        <v>14</v>
      </c>
      <c r="L15216" t="s">
        <v>20</v>
      </c>
      <c r="M15216" t="s">
        <v>29075</v>
      </c>
      <c r="N15216" t="s">
        <v>14</v>
      </c>
    </row>
    <row r="15217" x14ac:dyDescent="0.25">
      <c r="A15217" t="n">
        <v>22</v>
      </c>
      <c r="B15217" t="s">
        <v>14</v>
      </c>
      <c r="C15217" t="s">
        <v>22</v>
      </c>
      <c r="D15217" s="2" t="s">
        <f>=HYPERLINK("https://main.knesset.gov.il/APPS/legislation/main/bills/2082522", "הצעת חוק החזר הוצאות כספיות בגין עריכת נישואין אזרחיים בחוץ לארץ למי שאינם רשאים או שאינם מעוניינים להינשא על פי הדין הדתי, התש""ף-2019")</f>
        <v>29247</v>
      </c>
      <c r="E15217" t="s">
        <v>29247</v>
      </c>
      <c r="F15217" t="s">
        <v>29248</v>
      </c>
      <c r="G15217" t="s">
        <v>14</v>
      </c>
      <c r="H15217">
             </c>
      <c r="I15217" t="s">
        <v>14</v>
      </c>
      <c r="J15217" t="s">
        <v>141</v>
      </c>
      <c r="K15217" t="s">
        <v>14</v>
      </c>
      <c r="L15217" t="s">
        <v>20</v>
      </c>
      <c r="M15217" t="s">
        <v>29075</v>
      </c>
      <c r="N15217" t="s">
        <v>14</v>
      </c>
    </row>
    <row r="15218" x14ac:dyDescent="0.25">
      <c r="A15218" t="n">
        <v>22</v>
      </c>
      <c r="B15218" t="s">
        <v>14</v>
      </c>
      <c r="C15218" t="s">
        <v>22</v>
      </c>
      <c r="D15218" s="2" t="s">
        <f>=HYPERLINK("https://main.knesset.gov.il/APPS/legislation/main/bills/2081795", "הצעת חוק מיסוי מקרקעין (שבח ורכישה) (תיקון - ייצוג נישום על ידי רואה חשבון), התש""ף-2019")</f>
        <v>29249</v>
      </c>
      <c r="E15218" t="s">
        <v>29249</v>
      </c>
      <c r="F15218" t="s">
        <v>29250</v>
      </c>
      <c r="G15218" t="s">
        <v>14</v>
      </c>
      <c r="H15218">
             </c>
      <c r="I15218" t="s">
        <v>14</v>
      </c>
      <c r="J15218" t="s">
        <v>141</v>
      </c>
      <c r="K15218" t="s">
        <v>14</v>
      </c>
      <c r="L15218" t="s">
        <v>20</v>
      </c>
      <c r="M15218" t="s">
        <v>29075</v>
      </c>
      <c r="N15218" t="s">
        <v>14</v>
      </c>
    </row>
    <row r="15219" x14ac:dyDescent="0.25">
      <c r="A15219" t="n">
        <v>22</v>
      </c>
      <c r="B15219" t="s">
        <v>14</v>
      </c>
      <c r="C15219" t="s">
        <v>22</v>
      </c>
      <c r="D15219" s="2" t="s">
        <f>=HYPERLINK("https://main.knesset.gov.il/APPS/legislation/main/bills/2081997", "הצעת חוק לקידום הבנייה במתחמים מועדפים לדיור (הוראת שעה) (תיקון - ביטול החוק), התש""ף-2019")</f>
        <v>29251</v>
      </c>
      <c r="E15219" t="s">
        <v>29251</v>
      </c>
      <c r="F15219" t="s">
        <v>29252</v>
      </c>
      <c r="G15219" t="s">
        <v>14</v>
      </c>
      <c r="H15219">
             </c>
      <c r="I15219" t="s">
        <v>14</v>
      </c>
      <c r="J15219" t="s">
        <v>141</v>
      </c>
      <c r="K15219" t="s">
        <v>14</v>
      </c>
      <c r="L15219" t="s">
        <v>20</v>
      </c>
      <c r="M15219" t="s">
        <v>29075</v>
      </c>
      <c r="N15219" t="s">
        <v>14</v>
      </c>
    </row>
    <row r="15220" x14ac:dyDescent="0.25">
      <c r="A15220" t="n">
        <v>22</v>
      </c>
      <c r="B15220" t="s">
        <v>14</v>
      </c>
      <c r="C15220" t="s">
        <v>22</v>
      </c>
      <c r="D15220" s="2" t="s">
        <f>=HYPERLINK("https://main.knesset.gov.il/APPS/legislation/main/bills/2081443", "הצעת חוק לתיקון פקודת התעבורה (מאגר מידע של ניקוד מסוכנות לעניין נהגים מקצועיים), התש""ף-2019")</f>
        <v>29253</v>
      </c>
      <c r="E15220" t="s">
        <v>29253</v>
      </c>
      <c r="F15220" t="s">
        <v>29254</v>
      </c>
      <c r="G15220" t="s">
        <v>14</v>
      </c>
      <c r="H15220">
             </c>
      <c r="I15220" t="s">
        <v>14</v>
      </c>
      <c r="J15220" t="s">
        <v>141</v>
      </c>
      <c r="K15220" t="s">
        <v>14</v>
      </c>
      <c r="L15220" t="s">
        <v>20</v>
      </c>
      <c r="M15220" t="s">
        <v>29075</v>
      </c>
      <c r="N15220" t="s">
        <v>14</v>
      </c>
    </row>
    <row r="15221" x14ac:dyDescent="0.25">
      <c r="A15221" t="n">
        <v>22</v>
      </c>
      <c r="B15221" t="s">
        <v>14</v>
      </c>
      <c r="C15221" t="s">
        <v>22</v>
      </c>
      <c r="D15221" s="2" t="s">
        <f>=HYPERLINK("https://main.knesset.gov.il/APPS/legislation/main/bills/2081297", "הצעות חוק תובענות ייצוגיות (תיקון - הוספת גביית קנס שלא כדין לעילות להגשת תובענה ייצוגית), התש""ף-2019")</f>
        <v>29255</v>
      </c>
      <c r="E15221" t="s">
        <v>29255</v>
      </c>
      <c r="F15221" t="s">
        <v>29256</v>
      </c>
      <c r="G15221" t="s">
        <v>14</v>
      </c>
      <c r="H15221">
             </c>
      <c r="I15221" t="s">
        <v>14</v>
      </c>
      <c r="J15221" t="s">
        <v>141</v>
      </c>
      <c r="K15221" t="s">
        <v>14</v>
      </c>
      <c r="L15221" t="s">
        <v>20</v>
      </c>
      <c r="M15221" t="s">
        <v>29075</v>
      </c>
      <c r="N15221" t="s">
        <v>14</v>
      </c>
    </row>
    <row r="15222" x14ac:dyDescent="0.25">
      <c r="A15222" t="n">
        <v>22</v>
      </c>
      <c r="B15222" t="s">
        <v>14</v>
      </c>
      <c r="C15222" t="s">
        <v>22</v>
      </c>
      <c r="D15222" s="2" t="s">
        <f>=HYPERLINK("https://main.knesset.gov.il/APPS/legislation/main/bills/2082143", "הצעת חוק כביש אגרה (כביש ארצי לישראל) (תיקון - פטור מאגרה בשל האטה ממהירות הנסיעה המותרת), התש""ף-2019")</f>
        <v>29257</v>
      </c>
      <c r="E15222" t="s">
        <v>29257</v>
      </c>
      <c r="F15222" t="s">
        <v>29258</v>
      </c>
      <c r="G15222" t="s">
        <v>14</v>
      </c>
      <c r="H15222">
             </c>
      <c r="I15222" t="s">
        <v>14</v>
      </c>
      <c r="J15222" t="s">
        <v>141</v>
      </c>
      <c r="K15222" t="s">
        <v>14</v>
      </c>
      <c r="L15222" t="s">
        <v>20</v>
      </c>
      <c r="M15222" t="s">
        <v>29075</v>
      </c>
      <c r="N15222" t="s">
        <v>14</v>
      </c>
    </row>
    <row r="15223" x14ac:dyDescent="0.25">
      <c r="A15223" t="n">
        <v>22</v>
      </c>
      <c r="B15223" t="s">
        <v>14</v>
      </c>
      <c r="C15223" t="s">
        <v>22</v>
      </c>
      <c r="D15223" s="2" t="s">
        <f>=HYPERLINK("https://main.knesset.gov.il/APPS/legislation/main/bills/2081467", "הצעת חוק להגדלת שיעור ההשתתפות בכוח העבודה ולצמצום פערים חברתיים (מענק עבודה) (תיקון - גיל עובד), התש""ף-2019 ")</f>
        <v>29259</v>
      </c>
      <c r="E15223" t="s">
        <v>29259</v>
      </c>
      <c r="F15223" t="s">
        <v>29260</v>
      </c>
      <c r="G15223" t="s">
        <v>14</v>
      </c>
      <c r="H15223">
             </c>
      <c r="I15223" t="s">
        <v>14</v>
      </c>
      <c r="J15223" t="s">
        <v>141</v>
      </c>
      <c r="K15223" t="s">
        <v>14</v>
      </c>
      <c r="L15223" t="s">
        <v>20</v>
      </c>
      <c r="M15223" t="s">
        <v>29075</v>
      </c>
      <c r="N15223" t="s">
        <v>14</v>
      </c>
    </row>
    <row r="15224" x14ac:dyDescent="0.25">
      <c r="A15224" t="n">
        <v>22</v>
      </c>
      <c r="B15224" t="s">
        <v>14</v>
      </c>
      <c r="C15224" t="s">
        <v>22</v>
      </c>
      <c r="D15224" s="2" t="s">
        <f>=HYPERLINK("https://main.knesset.gov.il/APPS/legislation/main/bills/2081819", "הצעת חוק העונשין (תיקון - עבירה כלפי קשיש או חסר ישע), התש""ף-2019")</f>
        <v>29261</v>
      </c>
      <c r="E15224" t="s">
        <v>29261</v>
      </c>
      <c r="F15224" t="s">
        <v>29262</v>
      </c>
      <c r="G15224" t="s">
        <v>14</v>
      </c>
      <c r="H15224">
             </c>
      <c r="I15224" t="s">
        <v>14</v>
      </c>
      <c r="J15224" t="s">
        <v>141</v>
      </c>
      <c r="K15224" t="s">
        <v>14</v>
      </c>
      <c r="L15224" t="s">
        <v>20</v>
      </c>
      <c r="M15224" t="s">
        <v>29075</v>
      </c>
      <c r="N15224" t="s">
        <v>14</v>
      </c>
    </row>
    <row r="15225" x14ac:dyDescent="0.25">
      <c r="A15225" t="n">
        <v>22</v>
      </c>
      <c r="B15225" t="s">
        <v>14</v>
      </c>
      <c r="C15225" t="s">
        <v>22</v>
      </c>
      <c r="D15225" s="2" t="s">
        <f>=HYPERLINK("https://main.knesset.gov.il/APPS/legislation/main/bills/2081320", "הצעת חוק בתי המשפט (תיקון - שופט משנה), התש""ף-2019")</f>
        <v>29263</v>
      </c>
      <c r="E15225" t="s">
        <v>29263</v>
      </c>
      <c r="F15225" t="s">
        <v>29264</v>
      </c>
      <c r="G15225" t="s">
        <v>14</v>
      </c>
      <c r="H15225">
             </c>
      <c r="I15225" t="s">
        <v>14</v>
      </c>
      <c r="J15225" t="s">
        <v>141</v>
      </c>
      <c r="K15225" t="s">
        <v>14</v>
      </c>
      <c r="L15225" t="s">
        <v>20</v>
      </c>
      <c r="M15225" t="s">
        <v>29075</v>
      </c>
      <c r="N15225" t="s">
        <v>14</v>
      </c>
    </row>
    <row r="15226" x14ac:dyDescent="0.25">
      <c r="A15226" t="n">
        <v>22</v>
      </c>
      <c r="B15226" t="s">
        <v>14</v>
      </c>
      <c r="C15226" t="s">
        <v>22</v>
      </c>
      <c r="D15226" s="2" t="s">
        <f>=HYPERLINK("https://main.knesset.gov.il/APPS/legislation/main/bills/2081531", "הצעת חוק הבחירות לכנסת (תיקון - התניית יום שבתון באזרחות ישראלית), התש""ף-2019")</f>
        <v>29265</v>
      </c>
      <c r="E15226" t="s">
        <v>29265</v>
      </c>
      <c r="F15226" t="s">
        <v>29266</v>
      </c>
      <c r="G15226" t="s">
        <v>14</v>
      </c>
      <c r="H15226">
             </c>
      <c r="I15226" t="s">
        <v>14</v>
      </c>
      <c r="J15226" t="s">
        <v>141</v>
      </c>
      <c r="K15226" t="s">
        <v>14</v>
      </c>
      <c r="L15226" t="s">
        <v>20</v>
      </c>
      <c r="M15226" t="s">
        <v>29075</v>
      </c>
      <c r="N15226" t="s">
        <v>14</v>
      </c>
    </row>
    <row r="15227" x14ac:dyDescent="0.25">
      <c r="A15227" t="n">
        <v>22</v>
      </c>
      <c r="B15227" t="s">
        <v>14</v>
      </c>
      <c r="C15227" t="s">
        <v>22</v>
      </c>
      <c r="D15227" s="2" t="s">
        <f>=HYPERLINK("https://main.knesset.gov.il/APPS/legislation/main/bills/2081923", "הצעת חוק למניעת הטרדה מינית (תיקון - הטלת חובות לשם מניעת הטרדה מינית במוסד חינוך), התש""ף-2019")</f>
        <v>29267</v>
      </c>
      <c r="E15227" t="s">
        <v>29267</v>
      </c>
      <c r="F15227" t="s">
        <v>29268</v>
      </c>
      <c r="G15227" t="s">
        <v>14</v>
      </c>
      <c r="H15227">
             </c>
      <c r="I15227" t="s">
        <v>14</v>
      </c>
      <c r="J15227" t="s">
        <v>141</v>
      </c>
      <c r="K15227" t="s">
        <v>14</v>
      </c>
      <c r="L15227" t="s">
        <v>20</v>
      </c>
      <c r="M15227" t="s">
        <v>29075</v>
      </c>
      <c r="N15227" t="s">
        <v>14</v>
      </c>
    </row>
    <row r="15228" x14ac:dyDescent="0.25">
      <c r="A15228" t="n">
        <v>22</v>
      </c>
      <c r="B15228" t="s">
        <v>14</v>
      </c>
      <c r="C15228" t="s">
        <v>22</v>
      </c>
      <c r="D15228" s="2" t="s">
        <f>=HYPERLINK("https://main.knesset.gov.il/APPS/legislation/main/bills/2081396", "הצעת חוק לשכת עורכי הדין (תיקון - ייצוג בפני בוררות המתנהלת על פי דין דתי), התש""ף-2019")</f>
        <v>29269</v>
      </c>
      <c r="E15228" t="s">
        <v>29269</v>
      </c>
      <c r="F15228" t="s">
        <v>29270</v>
      </c>
      <c r="G15228" t="s">
        <v>14</v>
      </c>
      <c r="H15228">
             </c>
      <c r="I15228" t="s">
        <v>14</v>
      </c>
      <c r="J15228" t="s">
        <v>141</v>
      </c>
      <c r="K15228" t="s">
        <v>14</v>
      </c>
      <c r="L15228" t="s">
        <v>20</v>
      </c>
      <c r="M15228" t="s">
        <v>29075</v>
      </c>
      <c r="N15228" t="s">
        <v>14</v>
      </c>
    </row>
    <row r="15229" x14ac:dyDescent="0.25">
      <c r="A15229" t="n">
        <v>22</v>
      </c>
      <c r="B15229" t="s">
        <v>14</v>
      </c>
      <c r="C15229" t="s">
        <v>22</v>
      </c>
      <c r="D15229" s="2" t="s">
        <f>=HYPERLINK("https://main.knesset.gov.il/APPS/legislation/main/bills/2081519", "הצעת חוק ההוצאה לפועל (תיקון - החרגת עיקול ביטוח רפואי בידי צד שלישי), התש""ף-2019")</f>
        <v>29271</v>
      </c>
      <c r="E15229" t="s">
        <v>29271</v>
      </c>
      <c r="F15229" t="s">
        <v>29272</v>
      </c>
      <c r="G15229" t="s">
        <v>14</v>
      </c>
      <c r="H15229">
             </c>
      <c r="I15229" t="s">
        <v>14</v>
      </c>
      <c r="J15229" t="s">
        <v>141</v>
      </c>
      <c r="K15229" t="s">
        <v>14</v>
      </c>
      <c r="L15229" t="s">
        <v>20</v>
      </c>
      <c r="M15229" t="s">
        <v>29075</v>
      </c>
      <c r="N15229" t="s">
        <v>14</v>
      </c>
    </row>
    <row r="15230" x14ac:dyDescent="0.25">
      <c r="A15230" t="n">
        <v>22</v>
      </c>
      <c r="B15230" t="s">
        <v>14</v>
      </c>
      <c r="C15230" t="s">
        <v>22</v>
      </c>
      <c r="D15230" s="2" t="s">
        <f>=HYPERLINK("https://main.knesset.gov.il/APPS/legislation/main/bills/2081809", "הצעת חוק לתיקון פקודת מסי העיריה ומסי הממשלה (פיטורין) (פטור מארנונה למעון), התש""ף-2019")</f>
        <v>29273</v>
      </c>
      <c r="E15230" t="s">
        <v>29273</v>
      </c>
      <c r="F15230" t="s">
        <v>29274</v>
      </c>
      <c r="G15230" t="s">
        <v>14</v>
      </c>
      <c r="H15230">
             </c>
      <c r="I15230" t="s">
        <v>14</v>
      </c>
      <c r="J15230" t="s">
        <v>141</v>
      </c>
      <c r="K15230" t="s">
        <v>14</v>
      </c>
      <c r="L15230" t="s">
        <v>20</v>
      </c>
      <c r="M15230" t="s">
        <v>29075</v>
      </c>
      <c r="N15230" t="s">
        <v>14</v>
      </c>
    </row>
    <row r="15231" x14ac:dyDescent="0.25">
      <c r="A15231" t="n">
        <v>22</v>
      </c>
      <c r="B15231" t="s">
        <v>14</v>
      </c>
      <c r="C15231" t="s">
        <v>22</v>
      </c>
      <c r="D15231" s="2" t="s">
        <f>=HYPERLINK("https://main.knesset.gov.il/APPS/legislation/main/bills/2081972", "הצעת חוק העונשין (תיקון - ביטול העבירה על העלבת עובד ציבור), התש""ף-2019")</f>
        <v>29275</v>
      </c>
      <c r="E15231" t="s">
        <v>29275</v>
      </c>
      <c r="F15231" t="s">
        <v>29276</v>
      </c>
      <c r="G15231" t="s">
        <v>14</v>
      </c>
      <c r="H15231">
             </c>
      <c r="I15231" t="s">
        <v>14</v>
      </c>
      <c r="J15231" t="s">
        <v>141</v>
      </c>
      <c r="K15231" t="s">
        <v>14</v>
      </c>
      <c r="L15231" t="s">
        <v>20</v>
      </c>
      <c r="M15231" t="s">
        <v>29075</v>
      </c>
      <c r="N15231" t="s">
        <v>14</v>
      </c>
    </row>
    <row r="15232" x14ac:dyDescent="0.25">
      <c r="A15232" t="n">
        <v>22</v>
      </c>
      <c r="B15232" t="s">
        <v>14</v>
      </c>
      <c r="C15232" t="s">
        <v>22</v>
      </c>
      <c r="D15232" s="2" t="s">
        <f>=HYPERLINK("https://main.knesset.gov.il/APPS/legislation/main/bills/2081930", "הצעת חוק ביטול עונש המוות (תיקוני חקיקה), התש""ף-2019")</f>
        <v>29277</v>
      </c>
      <c r="E15232" t="s">
        <v>29277</v>
      </c>
      <c r="F15232" t="s">
        <v>29278</v>
      </c>
      <c r="G15232" t="s">
        <v>14</v>
      </c>
      <c r="H15232">
             </c>
      <c r="I15232" t="s">
        <v>14</v>
      </c>
      <c r="J15232" t="s">
        <v>141</v>
      </c>
      <c r="K15232" t="s">
        <v>14</v>
      </c>
      <c r="L15232" t="s">
        <v>20</v>
      </c>
      <c r="M15232" t="s">
        <v>29075</v>
      </c>
      <c r="N15232" t="s">
        <v>14</v>
      </c>
    </row>
    <row r="15233" x14ac:dyDescent="0.25">
      <c r="A15233" t="n">
        <v>22</v>
      </c>
      <c r="B15233" t="s">
        <v>14</v>
      </c>
      <c r="C15233" t="s">
        <v>22</v>
      </c>
      <c r="D15233" s="2" t="s">
        <f>=HYPERLINK("https://main.knesset.gov.il/APPS/legislation/main/bills/2082139", "הצעת חוק כביש אגרה (כביש ארצי לישראל) (תיקון - פטור מאגרה לתחבורה ציבורית), התש""ף-2019")</f>
        <v>29279</v>
      </c>
      <c r="E15233" t="s">
        <v>29279</v>
      </c>
      <c r="F15233" t="s">
        <v>29280</v>
      </c>
      <c r="G15233" t="s">
        <v>14</v>
      </c>
      <c r="H15233">
             </c>
      <c r="I15233" t="s">
        <v>14</v>
      </c>
      <c r="J15233" t="s">
        <v>141</v>
      </c>
      <c r="K15233" t="s">
        <v>14</v>
      </c>
      <c r="L15233" t="s">
        <v>20</v>
      </c>
      <c r="M15233" t="s">
        <v>29075</v>
      </c>
      <c r="N15233" t="s">
        <v>14</v>
      </c>
    </row>
    <row r="15234" x14ac:dyDescent="0.25">
      <c r="A15234" t="n">
        <v>22</v>
      </c>
      <c r="B15234" t="s">
        <v>14</v>
      </c>
      <c r="C15234" t="s">
        <v>22</v>
      </c>
      <c r="D15234" s="2" t="s">
        <f>=HYPERLINK("https://main.knesset.gov.il/APPS/legislation/main/bills/2081928", "הצעת חוק אמנות ג'נבה, התש""ף-2019")</f>
        <v>28386</v>
      </c>
      <c r="E15234" t="s">
        <v>28386</v>
      </c>
      <c r="F15234" t="s">
        <v>29281</v>
      </c>
      <c r="G15234" t="s">
        <v>14</v>
      </c>
      <c r="H15234">
             </c>
      <c r="I15234" t="s">
        <v>14</v>
      </c>
      <c r="J15234" t="s">
        <v>141</v>
      </c>
      <c r="K15234" t="s">
        <v>14</v>
      </c>
      <c r="L15234" t="s">
        <v>20</v>
      </c>
      <c r="M15234" t="s">
        <v>29075</v>
      </c>
      <c r="N15234" t="s">
        <v>14</v>
      </c>
    </row>
    <row r="15235" x14ac:dyDescent="0.25">
      <c r="A15235" t="n">
        <v>22</v>
      </c>
      <c r="B15235" t="s">
        <v>14</v>
      </c>
      <c r="C15235" t="s">
        <v>22</v>
      </c>
      <c r="D15235" s="2" t="s">
        <f>=HYPERLINK("https://main.knesset.gov.il/APPS/legislation/main/bills/2081983", "הצעת חוק העונשין (תיקון - שימוש במידע בידי עובד הציבור), התש""ף-2019")</f>
        <v>29282</v>
      </c>
      <c r="E15235" t="s">
        <v>29282</v>
      </c>
      <c r="F15235" t="s">
        <v>29283</v>
      </c>
      <c r="G15235" t="s">
        <v>14</v>
      </c>
      <c r="H15235">
             </c>
      <c r="I15235" t="s">
        <v>14</v>
      </c>
      <c r="J15235" t="s">
        <v>141</v>
      </c>
      <c r="K15235" t="s">
        <v>14</v>
      </c>
      <c r="L15235" t="s">
        <v>20</v>
      </c>
      <c r="M15235" t="s">
        <v>29075</v>
      </c>
      <c r="N15235" t="s">
        <v>14</v>
      </c>
    </row>
    <row r="15236" x14ac:dyDescent="0.25">
      <c r="A15236" t="n">
        <v>22</v>
      </c>
      <c r="B15236" t="s">
        <v>14</v>
      </c>
      <c r="C15236" t="s">
        <v>22</v>
      </c>
      <c r="D15236" s="2" t="s">
        <f>=HYPERLINK("https://main.knesset.gov.il/APPS/legislation/main/bills/2081469", "הצעת חוק העונשין (תיקון - הרחבת הגדרת הגזענות), התש""ף-2019")</f>
        <v>29284</v>
      </c>
      <c r="E15236" t="s">
        <v>29284</v>
      </c>
      <c r="F15236" t="s">
        <v>29285</v>
      </c>
      <c r="G15236" t="s">
        <v>14</v>
      </c>
      <c r="H15236">
             </c>
      <c r="I15236" t="s">
        <v>14</v>
      </c>
      <c r="J15236" t="s">
        <v>141</v>
      </c>
      <c r="K15236" t="s">
        <v>14</v>
      </c>
      <c r="L15236" t="s">
        <v>20</v>
      </c>
      <c r="M15236" t="s">
        <v>29075</v>
      </c>
      <c r="N15236" t="s">
        <v>14</v>
      </c>
    </row>
    <row r="15237" x14ac:dyDescent="0.25">
      <c r="A15237" t="n">
        <v>22</v>
      </c>
      <c r="B15237" t="s">
        <v>14</v>
      </c>
      <c r="C15237" t="s">
        <v>22</v>
      </c>
      <c r="D15237" s="2" t="s">
        <f>=HYPERLINK("https://main.knesset.gov.il/APPS/legislation/main/bills/2081978", "הצעת חוק למניעת שימוש לרעה בהליך משפטי, התש""ף-2019")</f>
        <v>29286</v>
      </c>
      <c r="E15237" t="s">
        <v>29286</v>
      </c>
      <c r="F15237" t="s">
        <v>29287</v>
      </c>
      <c r="G15237" t="s">
        <v>14</v>
      </c>
      <c r="H15237">
             </c>
      <c r="I15237" t="s">
        <v>14</v>
      </c>
      <c r="J15237" t="s">
        <v>141</v>
      </c>
      <c r="K15237" t="s">
        <v>14</v>
      </c>
      <c r="L15237" t="s">
        <v>20</v>
      </c>
      <c r="M15237" t="s">
        <v>29075</v>
      </c>
      <c r="N15237" t="s">
        <v>14</v>
      </c>
    </row>
    <row r="15238" x14ac:dyDescent="0.25">
      <c r="A15238" t="n">
        <v>22</v>
      </c>
      <c r="B15238" t="s">
        <v>14</v>
      </c>
      <c r="C15238" t="s">
        <v>22</v>
      </c>
      <c r="D15238" s="2" t="s">
        <f>=HYPERLINK("https://main.knesset.gov.il/APPS/legislation/main/bills/2081255", "הצעת חוק חוזה הביטוח (תיקון - דרך תשלום תגמולי ביטוח), התש""ף-2019")</f>
        <v>29288</v>
      </c>
      <c r="E15238" t="s">
        <v>29288</v>
      </c>
      <c r="F15238" t="s">
        <v>29289</v>
      </c>
      <c r="G15238" t="s">
        <v>14</v>
      </c>
      <c r="H15238">
             </c>
      <c r="I15238" t="s">
        <v>14</v>
      </c>
      <c r="J15238" t="s">
        <v>141</v>
      </c>
      <c r="K15238" t="s">
        <v>14</v>
      </c>
      <c r="L15238" t="s">
        <v>20</v>
      </c>
      <c r="M15238" t="s">
        <v>29075</v>
      </c>
      <c r="N15238" t="s">
        <v>14</v>
      </c>
    </row>
    <row r="15239" x14ac:dyDescent="0.25">
      <c r="A15239" t="n">
        <v>22</v>
      </c>
      <c r="B15239" t="s">
        <v>14</v>
      </c>
      <c r="C15239" t="s">
        <v>22</v>
      </c>
      <c r="D15239" s="2" t="s">
        <f>=HYPERLINK("https://main.knesset.gov.il/APPS/legislation/main/bills/2081952", "הצעת חוק הביטוח הלאומי (תיקון - קצבת נכות לעקרת בית), התש""ף-2019")</f>
        <v>29290</v>
      </c>
      <c r="E15239" t="s">
        <v>29290</v>
      </c>
      <c r="F15239" t="s">
        <v>29291</v>
      </c>
      <c r="G15239" t="s">
        <v>14</v>
      </c>
      <c r="H15239">
             </c>
      <c r="I15239" t="s">
        <v>14</v>
      </c>
      <c r="J15239" t="s">
        <v>141</v>
      </c>
      <c r="K15239" t="s">
        <v>14</v>
      </c>
      <c r="L15239" t="s">
        <v>20</v>
      </c>
      <c r="M15239" t="s">
        <v>29075</v>
      </c>
      <c r="N15239" t="s">
        <v>14</v>
      </c>
    </row>
    <row r="15240" x14ac:dyDescent="0.25">
      <c r="A15240" t="n">
        <v>22</v>
      </c>
      <c r="B15240" t="s">
        <v>14</v>
      </c>
      <c r="C15240" t="s">
        <v>22</v>
      </c>
      <c r="D15240" s="2" t="s">
        <f>=HYPERLINK("https://main.knesset.gov.il/APPS/legislation/main/bills/2081939", "הצעת חוק ההתיישנות (תיקון - הרחבת הגדרת בן משפחה לעניין תקופת ההתיישנות של תביעה בשל תקיפה מינית או התעללות), התש""ף-2019")</f>
        <v>29292</v>
      </c>
      <c r="E15240" t="s">
        <v>29292</v>
      </c>
      <c r="F15240" t="s">
        <v>29293</v>
      </c>
      <c r="G15240" t="s">
        <v>14</v>
      </c>
      <c r="H15240">
             </c>
      <c r="I15240" t="s">
        <v>14</v>
      </c>
      <c r="J15240" t="s">
        <v>141</v>
      </c>
      <c r="K15240" t="s">
        <v>14</v>
      </c>
      <c r="L15240" t="s">
        <v>20</v>
      </c>
      <c r="M15240" t="s">
        <v>29075</v>
      </c>
      <c r="N15240" t="s">
        <v>14</v>
      </c>
    </row>
    <row r="15241" x14ac:dyDescent="0.25">
      <c r="A15241" t="n">
        <v>22</v>
      </c>
      <c r="B15241" t="s">
        <v>14</v>
      </c>
      <c r="C15241" t="s">
        <v>22</v>
      </c>
      <c r="D15241" s="2" t="s">
        <f>=HYPERLINK("https://main.knesset.gov.il/APPS/legislation/main/bills/2081953", "הצעת חוק ההתיישנות (תיקון - תביעה בגין אחריות לפגיעה מינית בקטין), התש""ף-2019")</f>
        <v>29294</v>
      </c>
      <c r="E15241" t="s">
        <v>29294</v>
      </c>
      <c r="F15241" t="s">
        <v>29295</v>
      </c>
      <c r="G15241" t="s">
        <v>14</v>
      </c>
      <c r="H15241">
             </c>
      <c r="I15241" t="s">
        <v>14</v>
      </c>
      <c r="J15241" t="s">
        <v>141</v>
      </c>
      <c r="K15241" t="s">
        <v>14</v>
      </c>
      <c r="L15241" t="s">
        <v>20</v>
      </c>
      <c r="M15241" t="s">
        <v>29075</v>
      </c>
      <c r="N15241" t="s">
        <v>14</v>
      </c>
    </row>
    <row r="15242" x14ac:dyDescent="0.25">
      <c r="A15242" t="n">
        <v>22</v>
      </c>
      <c r="B15242" t="s">
        <v>14</v>
      </c>
      <c r="C15242" t="s">
        <v>22</v>
      </c>
      <c r="D15242" s="2" t="s">
        <f>=HYPERLINK("https://main.knesset.gov.il/APPS/legislation/main/bills/2081976", "הצעת חוק לתיקון פקודת הנזיקין (חסינות חברי מועצה), התש""ף-2019")</f>
        <v>29296</v>
      </c>
      <c r="E15242" t="s">
        <v>29296</v>
      </c>
      <c r="F15242" t="s">
        <v>29297</v>
      </c>
      <c r="G15242" t="s">
        <v>14</v>
      </c>
      <c r="H15242">
             </c>
      <c r="I15242" t="s">
        <v>14</v>
      </c>
      <c r="J15242" t="s">
        <v>141</v>
      </c>
      <c r="K15242" t="s">
        <v>14</v>
      </c>
      <c r="L15242" t="s">
        <v>20</v>
      </c>
      <c r="M15242" t="s">
        <v>29075</v>
      </c>
      <c r="N15242" t="s">
        <v>14</v>
      </c>
    </row>
    <row r="15243" x14ac:dyDescent="0.25">
      <c r="A15243" t="n">
        <v>22</v>
      </c>
      <c r="B15243" t="s">
        <v>14</v>
      </c>
      <c r="C15243" t="s">
        <v>22</v>
      </c>
      <c r="D15243" s="2" t="s">
        <f>=HYPERLINK("https://main.knesset.gov.il/APPS/legislation/main/bills/2081950", "הצעת חוק להגברת האכיפה של דיני העבודה (תיקון - עיצום כספי בשל אי תשלום שכר שווה לעובדת ולעובד), התש""ף-2019 ")</f>
        <v>29298</v>
      </c>
      <c r="E15243" t="s">
        <v>29298</v>
      </c>
      <c r="F15243" t="s">
        <v>29299</v>
      </c>
      <c r="G15243" t="s">
        <v>14</v>
      </c>
      <c r="H15243">
             </c>
      <c r="I15243" t="s">
        <v>14</v>
      </c>
      <c r="J15243" t="s">
        <v>141</v>
      </c>
      <c r="K15243" t="s">
        <v>14</v>
      </c>
      <c r="L15243" t="s">
        <v>20</v>
      </c>
      <c r="M15243" t="s">
        <v>29075</v>
      </c>
      <c r="N15243" t="s">
        <v>14</v>
      </c>
    </row>
    <row r="15244" x14ac:dyDescent="0.25">
      <c r="A15244" t="n">
        <v>22</v>
      </c>
      <c r="B15244" t="s">
        <v>14</v>
      </c>
      <c r="C15244" t="s">
        <v>22</v>
      </c>
      <c r="D15244" s="2" t="s">
        <f>=HYPERLINK("https://main.knesset.gov.il/APPS/legislation/main/bills/2082132", "הצעת חוק מס הכנסה (פטור ממס על הכנסה מהשכרת דירת מגורים) (תיקון - פטור למוסד חינוך), התש""ף-2019")</f>
        <v>29300</v>
      </c>
      <c r="E15244" t="s">
        <v>29300</v>
      </c>
      <c r="F15244" t="s">
        <v>29301</v>
      </c>
      <c r="G15244" t="s">
        <v>14</v>
      </c>
      <c r="H15244">
             </c>
      <c r="I15244" t="s">
        <v>14</v>
      </c>
      <c r="J15244" t="s">
        <v>141</v>
      </c>
      <c r="K15244" t="s">
        <v>14</v>
      </c>
      <c r="L15244" t="s">
        <v>20</v>
      </c>
      <c r="M15244" t="s">
        <v>29075</v>
      </c>
      <c r="N15244" t="s">
        <v>14</v>
      </c>
    </row>
    <row r="15245" x14ac:dyDescent="0.25">
      <c r="A15245" t="n">
        <v>22</v>
      </c>
      <c r="B15245" t="s">
        <v>14</v>
      </c>
      <c r="C15245" t="s">
        <v>22</v>
      </c>
      <c r="D15245" s="2" t="s">
        <f>=HYPERLINK("https://main.knesset.gov.il/APPS/legislation/main/bills/2082005", "הצעת חוק היטל על דירת מגורים ריקה באזור היצע דירות מגורים נמוך, התש""ף-2019")</f>
        <v>29302</v>
      </c>
      <c r="E15245" t="s">
        <v>29302</v>
      </c>
      <c r="F15245" t="s">
        <v>29303</v>
      </c>
      <c r="G15245" t="s">
        <v>14</v>
      </c>
      <c r="H15245">
             </c>
      <c r="I15245" t="s">
        <v>14</v>
      </c>
      <c r="J15245" t="s">
        <v>141</v>
      </c>
      <c r="K15245" t="s">
        <v>14</v>
      </c>
      <c r="L15245" t="s">
        <v>20</v>
      </c>
      <c r="M15245" t="s">
        <v>29075</v>
      </c>
      <c r="N15245" t="s">
        <v>14</v>
      </c>
    </row>
    <row r="15246" x14ac:dyDescent="0.25">
      <c r="A15246" t="n">
        <v>22</v>
      </c>
      <c r="B15246" t="s">
        <v>14</v>
      </c>
      <c r="C15246" t="s">
        <v>22</v>
      </c>
      <c r="D15246" s="2" t="s">
        <f>=HYPERLINK("https://main.knesset.gov.il/APPS/legislation/main/bills/2081947", "הצעת חוק הסניגוריה הציבורית (תיקון - ליווי משפטי בשפת חשוד שהוא קטין), התש""ף-2019")</f>
        <v>29304</v>
      </c>
      <c r="E15246" t="s">
        <v>29304</v>
      </c>
      <c r="F15246" t="s">
        <v>29305</v>
      </c>
      <c r="G15246" t="s">
        <v>14</v>
      </c>
      <c r="H15246">
             </c>
      <c r="I15246" t="s">
        <v>14</v>
      </c>
      <c r="J15246" t="s">
        <v>141</v>
      </c>
      <c r="K15246" t="s">
        <v>14</v>
      </c>
      <c r="L15246" t="s">
        <v>20</v>
      </c>
      <c r="M15246" t="s">
        <v>29075</v>
      </c>
      <c r="N15246" t="s">
        <v>14</v>
      </c>
    </row>
    <row r="15247" x14ac:dyDescent="0.25">
      <c r="A15247" t="n">
        <v>22</v>
      </c>
      <c r="B15247" t="s">
        <v>14</v>
      </c>
      <c r="C15247" t="s">
        <v>22</v>
      </c>
      <c r="D15247" s="2" t="s">
        <f>=HYPERLINK("https://main.knesset.gov.il/APPS/legislation/main/bills/2082029", "הצעת חוק לתיקון פקודת הרוקחים (חובת איסוף סמי מרפא), התש""ף-2019")</f>
        <v>29306</v>
      </c>
      <c r="E15247" t="s">
        <v>29306</v>
      </c>
      <c r="F15247" t="s">
        <v>29307</v>
      </c>
      <c r="G15247" t="s">
        <v>14</v>
      </c>
      <c r="H15247">
             </c>
      <c r="I15247" t="s">
        <v>14</v>
      </c>
      <c r="J15247" t="s">
        <v>141</v>
      </c>
      <c r="K15247" t="s">
        <v>14</v>
      </c>
      <c r="L15247" t="s">
        <v>20</v>
      </c>
      <c r="M15247" t="s">
        <v>29075</v>
      </c>
      <c r="N15247" t="s">
        <v>14</v>
      </c>
    </row>
    <row r="15248" x14ac:dyDescent="0.25">
      <c r="A15248" t="n">
        <v>22</v>
      </c>
      <c r="B15248" t="s">
        <v>14</v>
      </c>
      <c r="C15248" t="s">
        <v>22</v>
      </c>
      <c r="D15248" s="2" t="s">
        <f>=HYPERLINK("https://main.knesset.gov.il/APPS/legislation/main/bills/2082002", "הצעת חוק לתיקון פקודת התעבורה (הוראות לעניין סככות המתנה בתחנות אוטובוס), התש""ף-2019")</f>
        <v>29308</v>
      </c>
      <c r="E15248" t="s">
        <v>29308</v>
      </c>
      <c r="F15248" t="s">
        <v>29309</v>
      </c>
      <c r="G15248" t="s">
        <v>14</v>
      </c>
      <c r="H15248">
             </c>
      <c r="I15248" t="s">
        <v>14</v>
      </c>
      <c r="J15248" t="s">
        <v>141</v>
      </c>
      <c r="K15248" t="s">
        <v>14</v>
      </c>
      <c r="L15248" t="s">
        <v>20</v>
      </c>
      <c r="M15248" t="s">
        <v>29075</v>
      </c>
      <c r="N15248" t="s">
        <v>14</v>
      </c>
    </row>
    <row r="15249" x14ac:dyDescent="0.25">
      <c r="A15249" t="n">
        <v>22</v>
      </c>
      <c r="B15249" t="s">
        <v>14</v>
      </c>
      <c r="C15249" t="s">
        <v>22</v>
      </c>
      <c r="D15249" s="2" t="s">
        <f>=HYPERLINK("https://main.knesset.gov.il/APPS/legislation/main/bills/2082034", "הצעת חוק לתיקון פקודת התעבורה (שמירת מרחק בעת עקיפת רוכבי אופניים), התש""ף-2019")</f>
        <v>29310</v>
      </c>
      <c r="E15249" t="s">
        <v>29310</v>
      </c>
      <c r="F15249" t="s">
        <v>29311</v>
      </c>
      <c r="G15249" t="s">
        <v>14</v>
      </c>
      <c r="H15249">
             </c>
      <c r="I15249" t="s">
        <v>14</v>
      </c>
      <c r="J15249" t="s">
        <v>141</v>
      </c>
      <c r="K15249" t="s">
        <v>14</v>
      </c>
      <c r="L15249" t="s">
        <v>20</v>
      </c>
      <c r="M15249" t="s">
        <v>29075</v>
      </c>
      <c r="N15249" t="s">
        <v>14</v>
      </c>
    </row>
    <row r="15250" x14ac:dyDescent="0.25">
      <c r="A15250" t="n">
        <v>22</v>
      </c>
      <c r="B15250" t="s">
        <v>14</v>
      </c>
      <c r="C15250" t="s">
        <v>22</v>
      </c>
      <c r="D15250" s="2" t="s">
        <f>=HYPERLINK("https://main.knesset.gov.il/APPS/legislation/main/bills/2081948", "הצעת חוק בתי המשפט (תיקון - מחלקות לעבירות מין), התש""ף-2019")</f>
        <v>29312</v>
      </c>
      <c r="E15250" t="s">
        <v>29312</v>
      </c>
      <c r="F15250" t="s">
        <v>29313</v>
      </c>
      <c r="G15250" t="s">
        <v>14</v>
      </c>
      <c r="H15250">
             </c>
      <c r="I15250" t="s">
        <v>14</v>
      </c>
      <c r="J15250" t="s">
        <v>141</v>
      </c>
      <c r="K15250" t="s">
        <v>14</v>
      </c>
      <c r="L15250" t="s">
        <v>20</v>
      </c>
      <c r="M15250" t="s">
        <v>29075</v>
      </c>
      <c r="N15250" t="s">
        <v>14</v>
      </c>
    </row>
    <row r="15251" x14ac:dyDescent="0.25">
      <c r="A15251" t="n">
        <v>22</v>
      </c>
      <c r="B15251" t="s">
        <v>14</v>
      </c>
      <c r="C15251" t="s">
        <v>22</v>
      </c>
      <c r="D15251" s="2" t="s">
        <f>=HYPERLINK("https://main.knesset.gov.il/APPS/legislation/main/bills/2081423", "הצעת חוק לתיקון פקודת מס הכנסה (פטור ממס על משיכה הונית מקופת גמל), התש""ף-2019")</f>
        <v>29314</v>
      </c>
      <c r="E15251" t="s">
        <v>29314</v>
      </c>
      <c r="F15251" t="s">
        <v>29315</v>
      </c>
      <c r="G15251" t="s">
        <v>14</v>
      </c>
      <c r="H15251">
             </c>
      <c r="I15251" t="s">
        <v>14</v>
      </c>
      <c r="J15251" t="s">
        <v>141</v>
      </c>
      <c r="K15251" t="s">
        <v>14</v>
      </c>
      <c r="L15251" t="s">
        <v>20</v>
      </c>
      <c r="M15251" t="s">
        <v>29075</v>
      </c>
      <c r="N15251" t="s">
        <v>14</v>
      </c>
    </row>
    <row r="15252" x14ac:dyDescent="0.25">
      <c r="A15252" t="n">
        <v>22</v>
      </c>
      <c r="B15252" t="s">
        <v>14</v>
      </c>
      <c r="C15252" t="s">
        <v>22</v>
      </c>
      <c r="D15252" s="2" t="s">
        <f>=HYPERLINK("https://main.knesset.gov.il/APPS/legislation/main/bills/2081934", "הצעת חוק פינוי ההתנחלות בחברון, התש""ף-2019")</f>
        <v>29316</v>
      </c>
      <c r="E15252" t="s">
        <v>29316</v>
      </c>
      <c r="F15252" t="s">
        <v>29317</v>
      </c>
      <c r="G15252" t="s">
        <v>14</v>
      </c>
      <c r="H15252">
             </c>
      <c r="I15252" t="s">
        <v>14</v>
      </c>
      <c r="J15252" t="s">
        <v>141</v>
      </c>
      <c r="K15252" t="s">
        <v>14</v>
      </c>
      <c r="L15252" t="s">
        <v>20</v>
      </c>
      <c r="M15252" t="s">
        <v>29075</v>
      </c>
      <c r="N15252" t="s">
        <v>14</v>
      </c>
    </row>
    <row r="15253" x14ac:dyDescent="0.25">
      <c r="A15253" t="n">
        <v>22</v>
      </c>
      <c r="B15253" t="s">
        <v>14</v>
      </c>
      <c r="C15253" t="s">
        <v>22</v>
      </c>
      <c r="D15253" s="2" t="s">
        <f>=HYPERLINK("https://main.knesset.gov.il/APPS/legislation/main/bills/2081942", "הצעת חוק העונשין (תיקון - חובת דיווח של איש דת או טוען רבני), התש""ף-2019")</f>
        <v>29318</v>
      </c>
      <c r="E15253" t="s">
        <v>29318</v>
      </c>
      <c r="F15253" t="s">
        <v>29319</v>
      </c>
      <c r="G15253" t="s">
        <v>14</v>
      </c>
      <c r="H15253">
             </c>
      <c r="I15253" t="s">
        <v>14</v>
      </c>
      <c r="J15253" t="s">
        <v>141</v>
      </c>
      <c r="K15253" t="s">
        <v>14</v>
      </c>
      <c r="L15253" t="s">
        <v>20</v>
      </c>
      <c r="M15253" t="s">
        <v>29075</v>
      </c>
      <c r="N15253" t="s">
        <v>14</v>
      </c>
    </row>
    <row r="15254" x14ac:dyDescent="0.25">
      <c r="A15254" t="n">
        <v>22</v>
      </c>
      <c r="B15254" t="s">
        <v>14</v>
      </c>
      <c r="C15254" t="s">
        <v>22</v>
      </c>
      <c r="D15254" s="2" t="s">
        <f>=HYPERLINK("https://main.knesset.gov.il/APPS/legislation/main/bills/2081710", "הצעת חוק למניעת העישון במקומות ציבוריים והחשיפה לעישון (תיקון - ייעול האכיפה וביטול חדרי העישון), התש""ף-2019")</f>
        <v>29320</v>
      </c>
      <c r="E15254" t="s">
        <v>29320</v>
      </c>
      <c r="F15254" t="s">
        <v>29321</v>
      </c>
      <c r="G15254" t="s">
        <v>14</v>
      </c>
      <c r="H15254">
             </c>
      <c r="I15254" t="s">
        <v>14</v>
      </c>
      <c r="J15254" t="s">
        <v>141</v>
      </c>
      <c r="K15254" t="s">
        <v>14</v>
      </c>
      <c r="L15254" t="s">
        <v>20</v>
      </c>
      <c r="M15254" t="s">
        <v>29075</v>
      </c>
      <c r="N15254" t="s">
        <v>14</v>
      </c>
    </row>
    <row r="15255" x14ac:dyDescent="0.25">
      <c r="A15255" t="n">
        <v>22</v>
      </c>
      <c r="B15255" t="s">
        <v>14</v>
      </c>
      <c r="C15255" t="s">
        <v>22</v>
      </c>
      <c r="D15255" s="2" t="s">
        <f>=HYPERLINK("https://main.knesset.gov.il/APPS/legislation/main/bills/2082019", "הצעת חוק לתיקון פקודת בריאות העם (טיפול בפסולת רפואית), התש""ף-2019")</f>
        <v>29322</v>
      </c>
      <c r="E15255" t="s">
        <v>29322</v>
      </c>
      <c r="F15255" t="s">
        <v>29323</v>
      </c>
      <c r="G15255" t="s">
        <v>14</v>
      </c>
      <c r="H15255">
             </c>
      <c r="I15255" t="s">
        <v>14</v>
      </c>
      <c r="J15255" t="s">
        <v>141</v>
      </c>
      <c r="K15255" t="s">
        <v>14</v>
      </c>
      <c r="L15255" t="s">
        <v>20</v>
      </c>
      <c r="M15255" t="s">
        <v>29075</v>
      </c>
      <c r="N15255" t="s">
        <v>14</v>
      </c>
    </row>
    <row r="15256" x14ac:dyDescent="0.25">
      <c r="A15256" t="n">
        <v>22</v>
      </c>
      <c r="B15256" t="s">
        <v>14</v>
      </c>
      <c r="C15256" t="s">
        <v>22</v>
      </c>
      <c r="D15256" s="2" t="s">
        <f>=HYPERLINK("https://main.knesset.gov.il/APPS/legislation/main/bills/2081949", "הצעת חוק למניעת הטרדה מינית (תיקון - נקיטת אמצעים למניעת הטרדה מינית במקומות בילוי), התש""ף-2019")</f>
        <v>29324</v>
      </c>
      <c r="E15256" t="s">
        <v>29324</v>
      </c>
      <c r="F15256" t="s">
        <v>29325</v>
      </c>
      <c r="G15256" t="s">
        <v>14</v>
      </c>
      <c r="H15256">
             </c>
      <c r="I15256" t="s">
        <v>14</v>
      </c>
      <c r="J15256" t="s">
        <v>141</v>
      </c>
      <c r="K15256" t="s">
        <v>14</v>
      </c>
      <c r="L15256" t="s">
        <v>20</v>
      </c>
      <c r="M15256" t="s">
        <v>29075</v>
      </c>
      <c r="N15256" t="s">
        <v>14</v>
      </c>
    </row>
    <row r="15257" x14ac:dyDescent="0.25">
      <c r="A15257" t="n">
        <v>22</v>
      </c>
      <c r="B15257" t="s">
        <v>14</v>
      </c>
      <c r="C15257" t="s">
        <v>22</v>
      </c>
      <c r="D15257" s="2" t="s">
        <f>=HYPERLINK("https://main.knesset.gov.il/APPS/legislation/main/bills/2081457", "הצעת חוק הביטוח הלאומי (תיקון - פטור מתשלום דמי ביטוח לתלמיד על יסודי), התש""ף-2019")</f>
        <v>29326</v>
      </c>
      <c r="E15257" t="s">
        <v>29326</v>
      </c>
      <c r="F15257" t="s">
        <v>29327</v>
      </c>
      <c r="G15257" t="s">
        <v>14</v>
      </c>
      <c r="H15257">
             </c>
      <c r="I15257" t="s">
        <v>14</v>
      </c>
      <c r="J15257" t="s">
        <v>141</v>
      </c>
      <c r="K15257" t="s">
        <v>14</v>
      </c>
      <c r="L15257" t="s">
        <v>20</v>
      </c>
      <c r="M15257" t="s">
        <v>29075</v>
      </c>
      <c r="N15257" t="s">
        <v>14</v>
      </c>
    </row>
    <row r="15258" x14ac:dyDescent="0.25">
      <c r="A15258" t="n">
        <v>22</v>
      </c>
      <c r="B15258" t="s">
        <v>14</v>
      </c>
      <c r="C15258" t="s">
        <v>22</v>
      </c>
      <c r="D15258" s="2" t="s">
        <f>=HYPERLINK("https://main.knesset.gov.il/APPS/legislation/main/bills/2081945", "הצעת חוק העונשין (תיקון - חובת פיצוי נפגע עבירה וחובת הנמקה), התש""ף-2019")</f>
        <v>29328</v>
      </c>
      <c r="E15258" t="s">
        <v>29328</v>
      </c>
      <c r="F15258" t="s">
        <v>29329</v>
      </c>
      <c r="G15258" t="s">
        <v>14</v>
      </c>
      <c r="H15258">
             </c>
      <c r="I15258" t="s">
        <v>14</v>
      </c>
      <c r="J15258" t="s">
        <v>141</v>
      </c>
      <c r="K15258" t="s">
        <v>14</v>
      </c>
      <c r="L15258" t="s">
        <v>20</v>
      </c>
      <c r="M15258" t="s">
        <v>29075</v>
      </c>
      <c r="N15258" t="s">
        <v>14</v>
      </c>
    </row>
    <row r="15259" x14ac:dyDescent="0.25">
      <c r="A15259" t="n">
        <v>22</v>
      </c>
      <c r="B15259" t="s">
        <v>14</v>
      </c>
      <c r="C15259" t="s">
        <v>22</v>
      </c>
      <c r="D15259" s="2" t="s">
        <f>=HYPERLINK("https://main.knesset.gov.il/APPS/legislation/main/bills/2082103", "הצעת חוק המקרקעין (תיקון - התקנת מעלית מטעמים מיוחדים), התש""ף-2019")</f>
        <v>29330</v>
      </c>
      <c r="E15259" t="s">
        <v>29330</v>
      </c>
      <c r="F15259" t="s">
        <v>29331</v>
      </c>
      <c r="G15259" t="s">
        <v>14</v>
      </c>
      <c r="H15259">
             </c>
      <c r="I15259" t="s">
        <v>14</v>
      </c>
      <c r="J15259" t="s">
        <v>141</v>
      </c>
      <c r="K15259" t="s">
        <v>14</v>
      </c>
      <c r="L15259" t="s">
        <v>20</v>
      </c>
      <c r="M15259" t="s">
        <v>29075</v>
      </c>
      <c r="N15259" t="s">
        <v>14</v>
      </c>
    </row>
    <row r="15260" x14ac:dyDescent="0.25">
      <c r="A15260" t="n">
        <v>22</v>
      </c>
      <c r="B15260" t="s">
        <v>14</v>
      </c>
      <c r="C15260" t="s">
        <v>22</v>
      </c>
      <c r="D15260" s="2" t="s">
        <f>=HYPERLINK("https://main.knesset.gov.il/APPS/legislation/main/bills/2081243", "הצעת חוק ביטוח בריאות ממלכתי (תיקון - תנאים להחלפת תרופה, טיפול, מטפל, נותן שירותים או מוסד רפואי), התש""ף-2019")</f>
        <v>29332</v>
      </c>
      <c r="E15260" t="s">
        <v>29332</v>
      </c>
      <c r="F15260" t="s">
        <v>29333</v>
      </c>
      <c r="G15260" t="s">
        <v>14</v>
      </c>
      <c r="H15260">
             </c>
      <c r="I15260" t="s">
        <v>14</v>
      </c>
      <c r="J15260" t="s">
        <v>141</v>
      </c>
      <c r="K15260" t="s">
        <v>14</v>
      </c>
      <c r="L15260" t="s">
        <v>20</v>
      </c>
      <c r="M15260" t="s">
        <v>29075</v>
      </c>
      <c r="N15260" t="s">
        <v>14</v>
      </c>
    </row>
    <row r="15261" x14ac:dyDescent="0.25">
      <c r="A15261" t="n">
        <v>22</v>
      </c>
      <c r="B15261" t="s">
        <v>14</v>
      </c>
      <c r="C15261" t="s">
        <v>22</v>
      </c>
      <c r="D15261" s="2" t="s">
        <f>=HYPERLINK("https://main.knesset.gov.il/APPS/legislation/main/bills/2081925", "הצעת חוק הביטוח הלאומי (תיקון - הכרה בפגיעה מינית בעבודה כתאונת עבודה), התש""ף-2019")</f>
        <v>29334</v>
      </c>
      <c r="E15261" t="s">
        <v>29334</v>
      </c>
      <c r="F15261" t="s">
        <v>29335</v>
      </c>
      <c r="G15261" t="s">
        <v>14</v>
      </c>
      <c r="H15261">
             </c>
      <c r="I15261" t="s">
        <v>14</v>
      </c>
      <c r="J15261" t="s">
        <v>141</v>
      </c>
      <c r="K15261" t="s">
        <v>14</v>
      </c>
      <c r="L15261" t="s">
        <v>20</v>
      </c>
      <c r="M15261" t="s">
        <v>29075</v>
      </c>
      <c r="N15261" t="s">
        <v>14</v>
      </c>
    </row>
    <row r="15262" x14ac:dyDescent="0.25">
      <c r="A15262" t="n">
        <v>22</v>
      </c>
      <c r="B15262" t="s">
        <v>14</v>
      </c>
      <c r="C15262" t="s">
        <v>22</v>
      </c>
      <c r="D15262" s="2" t="s">
        <f>=HYPERLINK("https://main.knesset.gov.il/APPS/legislation/main/bills/2081635", "הצעת חוק פיצוי לנפגעי פוליו (תיקון - הכרה באחוזי נכות של נפגע פוליו לצורך דינים אחרים), התש""ף-2019")</f>
        <v>29336</v>
      </c>
      <c r="E15262" t="s">
        <v>29336</v>
      </c>
      <c r="F15262" t="s">
        <v>29337</v>
      </c>
      <c r="G15262" t="s">
        <v>14</v>
      </c>
      <c r="H15262">
             </c>
      <c r="I15262" t="s">
        <v>14</v>
      </c>
      <c r="J15262" t="s">
        <v>141</v>
      </c>
      <c r="K15262" t="s">
        <v>14</v>
      </c>
      <c r="L15262" t="s">
        <v>20</v>
      </c>
      <c r="M15262" t="s">
        <v>29075</v>
      </c>
      <c r="N15262" t="s">
        <v>14</v>
      </c>
    </row>
    <row r="15263" x14ac:dyDescent="0.25">
      <c r="A15263" t="n">
        <v>22</v>
      </c>
      <c r="B15263" t="s">
        <v>14</v>
      </c>
      <c r="C15263" t="s">
        <v>22</v>
      </c>
      <c r="D15263" s="2" t="s">
        <f>=HYPERLINK("https://main.knesset.gov.il/APPS/legislation/main/bills/2081321", "הצעת חוק המקרקעין (תיקון - התקנת מעלית מטעמים מיוחדים), התש""ף-2019")</f>
        <v>29330</v>
      </c>
      <c r="E15263" t="s">
        <v>29330</v>
      </c>
      <c r="F15263" t="s">
        <v>29338</v>
      </c>
      <c r="G15263" t="s">
        <v>14</v>
      </c>
      <c r="H15263">
             </c>
      <c r="I15263" t="s">
        <v>14</v>
      </c>
      <c r="J15263" t="s">
        <v>141</v>
      </c>
      <c r="K15263" t="s">
        <v>14</v>
      </c>
      <c r="L15263" t="s">
        <v>20</v>
      </c>
      <c r="M15263" t="s">
        <v>29075</v>
      </c>
      <c r="N15263" t="s">
        <v>14</v>
      </c>
    </row>
    <row r="15264" x14ac:dyDescent="0.25">
      <c r="A15264" t="n">
        <v>22</v>
      </c>
      <c r="B15264" t="s">
        <v>14</v>
      </c>
      <c r="C15264" t="s">
        <v>22</v>
      </c>
      <c r="D15264" s="2" t="s">
        <f>=HYPERLINK("https://main.knesset.gov.il/APPS/legislation/main/bills/2081569", "הצעת חוק המקרקעין (תיקון - התקנת מעלית מטעמים מיוחדים), התש""ף-2019")</f>
        <v>29330</v>
      </c>
      <c r="E15264" t="s">
        <v>29330</v>
      </c>
      <c r="F15264" t="s">
        <v>29339</v>
      </c>
      <c r="G15264" t="s">
        <v>14</v>
      </c>
      <c r="H15264">
             </c>
      <c r="I15264" t="s">
        <v>14</v>
      </c>
      <c r="J15264" t="s">
        <v>141</v>
      </c>
      <c r="K15264" t="s">
        <v>14</v>
      </c>
      <c r="L15264" t="s">
        <v>20</v>
      </c>
      <c r="M15264" t="s">
        <v>29075</v>
      </c>
      <c r="N15264" t="s">
        <v>14</v>
      </c>
    </row>
    <row r="15265" x14ac:dyDescent="0.25">
      <c r="A15265" t="n">
        <v>22</v>
      </c>
      <c r="B15265" t="s">
        <v>14</v>
      </c>
      <c r="C15265" t="s">
        <v>22</v>
      </c>
      <c r="D15265" s="2" t="s">
        <f>=HYPERLINK("https://main.knesset.gov.il/APPS/legislation/main/bills/2082026", "הצעת חוק פדיון הטבת חניה לעובד לשם צמצום שימוש ברכב פרטי, התש""ף-2019")</f>
        <v>29340</v>
      </c>
      <c r="E15265" t="s">
        <v>29340</v>
      </c>
      <c r="F15265" t="s">
        <v>29341</v>
      </c>
      <c r="G15265" t="s">
        <v>14</v>
      </c>
      <c r="H15265">
             </c>
      <c r="I15265" t="s">
        <v>14</v>
      </c>
      <c r="J15265" t="s">
        <v>141</v>
      </c>
      <c r="K15265" t="s">
        <v>14</v>
      </c>
      <c r="L15265" t="s">
        <v>20</v>
      </c>
      <c r="M15265" t="s">
        <v>29075</v>
      </c>
      <c r="N15265" t="s">
        <v>14</v>
      </c>
    </row>
    <row r="15266" x14ac:dyDescent="0.25">
      <c r="A15266" t="n">
        <v>22</v>
      </c>
      <c r="B15266" t="s">
        <v>14</v>
      </c>
      <c r="C15266" t="s">
        <v>22</v>
      </c>
      <c r="D15266" s="2" t="s">
        <f>=HYPERLINK("https://main.knesset.gov.il/APPS/legislation/main/bills/2081294", "הצעת חוק דמי מחלה (היעדרות בשל מחלת ילד) (תיקון - היעדרות בשל אשפוז ממושך של ילד), התש""ף-2019")</f>
        <v>29342</v>
      </c>
      <c r="E15266" t="s">
        <v>29342</v>
      </c>
      <c r="F15266" t="s">
        <v>29343</v>
      </c>
      <c r="G15266" t="s">
        <v>14</v>
      </c>
      <c r="H15266">
             </c>
      <c r="I15266" t="s">
        <v>14</v>
      </c>
      <c r="J15266" t="s">
        <v>141</v>
      </c>
      <c r="K15266" t="s">
        <v>14</v>
      </c>
      <c r="L15266" t="s">
        <v>20</v>
      </c>
      <c r="M15266" t="s">
        <v>29075</v>
      </c>
      <c r="N15266" t="s">
        <v>14</v>
      </c>
    </row>
    <row r="15267" x14ac:dyDescent="0.25">
      <c r="A15267" t="n">
        <v>22</v>
      </c>
      <c r="B15267" t="s">
        <v>14</v>
      </c>
      <c r="C15267" t="s">
        <v>22</v>
      </c>
      <c r="D15267" s="2" t="s">
        <f>=HYPERLINK("https://main.knesset.gov.il/APPS/legislation/main/bills/2081933", "הצעת חוק למניעת התנכלות תעסוקתית, התש""ף-2019")</f>
        <v>29344</v>
      </c>
      <c r="E15267" t="s">
        <v>29344</v>
      </c>
      <c r="F15267" t="s">
        <v>29345</v>
      </c>
      <c r="G15267" t="s">
        <v>14</v>
      </c>
      <c r="H15267">
             </c>
      <c r="I15267" t="s">
        <v>14</v>
      </c>
      <c r="J15267" t="s">
        <v>141</v>
      </c>
      <c r="K15267" t="s">
        <v>14</v>
      </c>
      <c r="L15267" t="s">
        <v>20</v>
      </c>
      <c r="M15267" t="s">
        <v>29075</v>
      </c>
      <c r="N15267" t="s">
        <v>14</v>
      </c>
    </row>
    <row r="15268" x14ac:dyDescent="0.25">
      <c r="A15268" t="n">
        <v>22</v>
      </c>
      <c r="B15268" t="s">
        <v>14</v>
      </c>
      <c r="C15268" t="s">
        <v>22</v>
      </c>
      <c r="D15268" s="2" t="s">
        <f>=HYPERLINK("https://main.knesset.gov.il/APPS/legislation/main/bills/2082010", "הצעת חוק העונשין (תיקון - חילוט רווחי סרסרות), התש""ף-2019")</f>
        <v>29346</v>
      </c>
      <c r="E15268" t="s">
        <v>29346</v>
      </c>
      <c r="F15268" t="s">
        <v>29347</v>
      </c>
      <c r="G15268" t="s">
        <v>14</v>
      </c>
      <c r="H15268">
             </c>
      <c r="I15268" t="s">
        <v>14</v>
      </c>
      <c r="J15268" t="s">
        <v>141</v>
      </c>
      <c r="K15268" t="s">
        <v>14</v>
      </c>
      <c r="L15268" t="s">
        <v>20</v>
      </c>
      <c r="M15268" t="s">
        <v>29075</v>
      </c>
      <c r="N15268" t="s">
        <v>14</v>
      </c>
    </row>
    <row r="15269" x14ac:dyDescent="0.25">
      <c r="A15269" t="n">
        <v>22</v>
      </c>
      <c r="B15269" t="s">
        <v>14</v>
      </c>
      <c r="C15269" t="s">
        <v>22</v>
      </c>
      <c r="D15269" s="2" t="s">
        <f>=HYPERLINK("https://main.knesset.gov.il/APPS/legislation/main/bills/2081946", "הצעת חוק העונשין (תיקון - חילוט רווחי סרסרות), התש""ף-2019")</f>
        <v>29346</v>
      </c>
      <c r="E15269" t="s">
        <v>29346</v>
      </c>
      <c r="F15269" t="s">
        <v>29348</v>
      </c>
      <c r="G15269" t="s">
        <v>14</v>
      </c>
      <c r="H15269">
             </c>
      <c r="I15269" t="s">
        <v>14</v>
      </c>
      <c r="J15269" t="s">
        <v>141</v>
      </c>
      <c r="K15269" t="s">
        <v>14</v>
      </c>
      <c r="L15269" t="s">
        <v>20</v>
      </c>
      <c r="M15269" t="s">
        <v>29075</v>
      </c>
      <c r="N15269" t="s">
        <v>14</v>
      </c>
    </row>
    <row r="15270" x14ac:dyDescent="0.25">
      <c r="A15270" t="n">
        <v>22</v>
      </c>
      <c r="B15270" t="s">
        <v>14</v>
      </c>
      <c r="C15270" t="s">
        <v>22</v>
      </c>
      <c r="D15270" s="2" t="s">
        <f>=HYPERLINK("https://main.knesset.gov.il/APPS/legislation/main/bills/2081903", "הצעת חוק סדר הדין הפלילי (תיקון - ביטול האיסור המוטל על המשטרה למסור לפרקליטות עמדה בכתב לעניין מכלול התשתית הראייתית), התש""ף-2019")</f>
        <v>29349</v>
      </c>
      <c r="E15270" t="s">
        <v>29349</v>
      </c>
      <c r="F15270" t="s">
        <v>29350</v>
      </c>
      <c r="G15270" t="s">
        <v>14</v>
      </c>
      <c r="H15270">
             </c>
      <c r="I15270" t="s">
        <v>14</v>
      </c>
      <c r="J15270" t="s">
        <v>141</v>
      </c>
      <c r="K15270" t="s">
        <v>14</v>
      </c>
      <c r="L15270" t="s">
        <v>20</v>
      </c>
      <c r="M15270" t="s">
        <v>29075</v>
      </c>
      <c r="N15270" t="s">
        <v>14</v>
      </c>
    </row>
    <row r="15271" x14ac:dyDescent="0.25">
      <c r="A15271" t="n">
        <v>22</v>
      </c>
      <c r="B15271" t="s">
        <v>14</v>
      </c>
      <c r="C15271" t="s">
        <v>22</v>
      </c>
      <c r="D15271" s="2" t="s">
        <f>=HYPERLINK("https://main.knesset.gov.il/APPS/legislation/main/bills/2081557", "הצעת חוק פנייה לגופים ציבוריים באמצעי קשר דיגיטליים (תיקון - פנייה באמצעי קשר לא דיגיטליים), התש""ף-2019")</f>
        <v>29351</v>
      </c>
      <c r="E15271" t="s">
        <v>29351</v>
      </c>
      <c r="F15271" t="s">
        <v>29352</v>
      </c>
      <c r="G15271" t="s">
        <v>14</v>
      </c>
      <c r="H15271">
             </c>
      <c r="I15271" t="s">
        <v>14</v>
      </c>
      <c r="J15271" t="s">
        <v>141</v>
      </c>
      <c r="K15271" t="s">
        <v>14</v>
      </c>
      <c r="L15271" t="s">
        <v>20</v>
      </c>
      <c r="M15271" t="s">
        <v>29075</v>
      </c>
      <c r="N15271" t="s">
        <v>14</v>
      </c>
    </row>
    <row r="15272" x14ac:dyDescent="0.25">
      <c r="A15272" t="n">
        <v>22</v>
      </c>
      <c r="B15272" t="s">
        <v>14</v>
      </c>
      <c r="C15272" t="s">
        <v>22</v>
      </c>
      <c r="D15272" s="2" t="s">
        <f>=HYPERLINK("https://main.knesset.gov.il/APPS/legislation/main/bills/2081354", "הצעת חוק סדר הדין הפלילי (תיקון - ביטול האיסור המוטל על המשטרה למסור לפרקליטות עמדה בכתב לעניין מכלול התשתית הראייתית), התש""ף-2019")</f>
        <v>29349</v>
      </c>
      <c r="E15272" t="s">
        <v>29349</v>
      </c>
      <c r="F15272" t="s">
        <v>29353</v>
      </c>
      <c r="G15272" t="s">
        <v>14</v>
      </c>
      <c r="H15272">
             </c>
      <c r="I15272" t="s">
        <v>14</v>
      </c>
      <c r="J15272" t="s">
        <v>141</v>
      </c>
      <c r="K15272" t="s">
        <v>14</v>
      </c>
      <c r="L15272" t="s">
        <v>20</v>
      </c>
      <c r="M15272" t="s">
        <v>29075</v>
      </c>
      <c r="N15272" t="s">
        <v>14</v>
      </c>
    </row>
    <row r="15273" x14ac:dyDescent="0.25">
      <c r="A15273" t="n">
        <v>22</v>
      </c>
      <c r="B15273" t="s">
        <v>14</v>
      </c>
      <c r="C15273" t="s">
        <v>22</v>
      </c>
      <c r="D15273" s="2" t="s">
        <f>=HYPERLINK("https://main.knesset.gov.il/APPS/legislation/main/bills/2081298", "הצעת חוק סדר הדין הפלילי (תיקון - ביטול האיסור המוטל על המשטרה למסור לפרקליטות עמדה בכתב לעניין מכלול התשתית הראייתית לביסוס אשמה נגד חשודים בחקירה), התש""ף-2019 ")</f>
        <v>29354</v>
      </c>
      <c r="E15273" t="s">
        <v>29354</v>
      </c>
      <c r="F15273" t="s">
        <v>29355</v>
      </c>
      <c r="G15273" t="s">
        <v>14</v>
      </c>
      <c r="H15273">
             </c>
      <c r="I15273" t="s">
        <v>14</v>
      </c>
      <c r="J15273" t="s">
        <v>141</v>
      </c>
      <c r="K15273" t="s">
        <v>14</v>
      </c>
      <c r="L15273" t="s">
        <v>20</v>
      </c>
      <c r="M15273" t="s">
        <v>29075</v>
      </c>
      <c r="N15273" t="s">
        <v>14</v>
      </c>
    </row>
    <row r="15274" x14ac:dyDescent="0.25">
      <c r="A15274" t="n">
        <v>22</v>
      </c>
      <c r="B15274" t="s">
        <v>14</v>
      </c>
      <c r="C15274" t="s">
        <v>22</v>
      </c>
      <c r="D15274" s="2" t="s">
        <f>=HYPERLINK("https://main.knesset.gov.il/APPS/legislation/main/bills/2081348", "הצעת חוק הביטוח הלאומי (תיקון - ביטול מבחן הכנסה לצורך קביעת זכאות ניצול שואה לגמלת סיעוד), התש""ף-2019")</f>
        <v>29356</v>
      </c>
      <c r="E15274" t="s">
        <v>29356</v>
      </c>
      <c r="F15274" t="s">
        <v>29357</v>
      </c>
      <c r="G15274" t="s">
        <v>14</v>
      </c>
      <c r="H15274">
             </c>
      <c r="I15274" t="s">
        <v>14</v>
      </c>
      <c r="J15274" t="s">
        <v>141</v>
      </c>
      <c r="K15274" t="s">
        <v>14</v>
      </c>
      <c r="L15274" t="s">
        <v>20</v>
      </c>
      <c r="M15274" t="s">
        <v>29075</v>
      </c>
      <c r="N15274" t="s">
        <v>14</v>
      </c>
    </row>
    <row r="15275" x14ac:dyDescent="0.25">
      <c r="A15275" t="n">
        <v>22</v>
      </c>
      <c r="B15275" t="s">
        <v>14</v>
      </c>
      <c r="C15275" t="s">
        <v>22</v>
      </c>
      <c r="D15275" s="2" t="s">
        <f>=HYPERLINK("https://main.knesset.gov.il/APPS/legislation/main/bills/2081712", "הצעת חוק ציון יום לאומי לתרומתה ולפועלה של העדה הדרוזית (תיקון - עיגון מעמדה של העדה הדרוזית כשוות זכויות במדינת ישראל), התש""ף-2019")</f>
        <v>29358</v>
      </c>
      <c r="E15275" t="s">
        <v>29358</v>
      </c>
      <c r="F15275" t="s">
        <v>29359</v>
      </c>
      <c r="G15275" t="s">
        <v>14</v>
      </c>
      <c r="H15275">
             </c>
      <c r="I15275" t="s">
        <v>14</v>
      </c>
      <c r="J15275" t="s">
        <v>141</v>
      </c>
      <c r="K15275" t="s">
        <v>14</v>
      </c>
      <c r="L15275" t="s">
        <v>20</v>
      </c>
      <c r="M15275" t="s">
        <v>29075</v>
      </c>
      <c r="N15275" t="s">
        <v>14</v>
      </c>
    </row>
    <row r="15276" x14ac:dyDescent="0.25">
      <c r="A15276" t="n">
        <v>22</v>
      </c>
      <c r="B15276" t="s">
        <v>14</v>
      </c>
      <c r="C15276" t="s">
        <v>22</v>
      </c>
      <c r="D15276" s="2" t="s">
        <f>=HYPERLINK("https://main.knesset.gov.il/APPS/legislation/main/bills/2081843", "הצעת חוק איסור פרסום גזעני, הסתה לגזענות ורישום גזעני במסמכי תאגיד, התש""ף-2019")</f>
        <v>29360</v>
      </c>
      <c r="E15276" t="s">
        <v>29360</v>
      </c>
      <c r="F15276" t="s">
        <v>29361</v>
      </c>
      <c r="G15276" t="s">
        <v>14</v>
      </c>
      <c r="H15276">
             </c>
      <c r="I15276" t="s">
        <v>14</v>
      </c>
      <c r="J15276" t="s">
        <v>141</v>
      </c>
      <c r="K15276" t="s">
        <v>14</v>
      </c>
      <c r="L15276" t="s">
        <v>20</v>
      </c>
      <c r="M15276" t="s">
        <v>29075</v>
      </c>
      <c r="N15276" t="s">
        <v>14</v>
      </c>
    </row>
    <row r="15277" x14ac:dyDescent="0.25">
      <c r="A15277" t="n">
        <v>22</v>
      </c>
      <c r="B15277" t="s">
        <v>14</v>
      </c>
      <c r="C15277" t="s">
        <v>22</v>
      </c>
      <c r="D15277" s="2" t="s">
        <f>=HYPERLINK("https://main.knesset.gov.il/APPS/legislation/main/bills/2081318", "הצעת חוק-יסוד: הזכות לדיור")</f>
        <v>11919</v>
      </c>
      <c r="E15277" t="s">
        <v>11919</v>
      </c>
      <c r="F15277" t="s">
        <v>29362</v>
      </c>
      <c r="G15277" t="s">
        <v>14</v>
      </c>
      <c r="H15277">
             </c>
      <c r="I15277" t="s">
        <v>14</v>
      </c>
      <c r="J15277" t="s">
        <v>141</v>
      </c>
      <c r="K15277" t="s">
        <v>14</v>
      </c>
      <c r="L15277" t="s">
        <v>20</v>
      </c>
      <c r="M15277" t="s">
        <v>29075</v>
      </c>
      <c r="N15277" t="s">
        <v>14</v>
      </c>
    </row>
    <row r="15278" x14ac:dyDescent="0.25">
      <c r="A15278" t="n">
        <v>22</v>
      </c>
      <c r="B15278" t="s">
        <v>14</v>
      </c>
      <c r="C15278" t="s">
        <v>22</v>
      </c>
      <c r="D15278" s="2" t="s">
        <f>=HYPERLINK("https://main.knesset.gov.il/APPS/legislation/main/bills/2081931", "הצעת חוק להנצחת זכרו של רחבעם זאבי (תיקון - ביטול החוק), התש""ף-2019")</f>
        <v>29363</v>
      </c>
      <c r="E15278" t="s">
        <v>29363</v>
      </c>
      <c r="F15278" t="s">
        <v>29364</v>
      </c>
      <c r="G15278" t="s">
        <v>14</v>
      </c>
      <c r="H15278">
             </c>
      <c r="I15278" t="s">
        <v>14</v>
      </c>
      <c r="J15278" t="s">
        <v>141</v>
      </c>
      <c r="K15278" t="s">
        <v>14</v>
      </c>
      <c r="L15278" t="s">
        <v>20</v>
      </c>
      <c r="M15278" t="s">
        <v>29075</v>
      </c>
      <c r="N15278" t="s">
        <v>14</v>
      </c>
    </row>
    <row r="15279" x14ac:dyDescent="0.25">
      <c r="A15279" t="n">
        <v>22</v>
      </c>
      <c r="B15279" t="s">
        <v>14</v>
      </c>
      <c r="C15279" t="s">
        <v>22</v>
      </c>
      <c r="D15279" s="2" t="s">
        <f>=HYPERLINK("https://main.knesset.gov.il/APPS/legislation/main/bills/2081701", "הצעת חוק למניעת העישון במקומות ציבוריים והחשיפה לעישון (תיקון - הוספת מקומות ציבוריים שהעישון בהם אסור), התש""ף-2019")</f>
        <v>29365</v>
      </c>
      <c r="E15279" t="s">
        <v>29365</v>
      </c>
      <c r="F15279" t="s">
        <v>29366</v>
      </c>
      <c r="G15279" t="s">
        <v>14</v>
      </c>
      <c r="H15279">
             </c>
      <c r="I15279" t="s">
        <v>14</v>
      </c>
      <c r="J15279" t="s">
        <v>141</v>
      </c>
      <c r="K15279" t="s">
        <v>14</v>
      </c>
      <c r="L15279" t="s">
        <v>20</v>
      </c>
      <c r="M15279" t="s">
        <v>29075</v>
      </c>
      <c r="N15279" t="s">
        <v>14</v>
      </c>
    </row>
    <row r="15280" x14ac:dyDescent="0.25">
      <c r="A15280" t="n">
        <v>22</v>
      </c>
      <c r="B15280" t="s">
        <v>14</v>
      </c>
      <c r="C15280" t="s">
        <v>22</v>
      </c>
      <c r="D15280" s="2" t="s">
        <f>=HYPERLINK("https://main.knesset.gov.il/APPS/legislation/main/bills/2081769", "הצעת חוק החברה למתנ""סים, התש""ף-2019")</f>
        <v>29367</v>
      </c>
      <c r="E15280" t="s">
        <v>29367</v>
      </c>
      <c r="F15280" t="s">
        <v>29368</v>
      </c>
      <c r="G15280" t="s">
        <v>14</v>
      </c>
      <c r="H15280">
             </c>
      <c r="I15280" t="s">
        <v>14</v>
      </c>
      <c r="J15280" t="s">
        <v>141</v>
      </c>
      <c r="K15280" t="s">
        <v>14</v>
      </c>
      <c r="L15280" t="s">
        <v>20</v>
      </c>
      <c r="M15280" t="s">
        <v>29075</v>
      </c>
      <c r="N15280" t="s">
        <v>14</v>
      </c>
    </row>
    <row r="15281" x14ac:dyDescent="0.25">
      <c r="A15281" t="n">
        <v>22</v>
      </c>
      <c r="B15281" t="s">
        <v>14</v>
      </c>
      <c r="C15281" t="s">
        <v>22</v>
      </c>
      <c r="D15281" s="2" t="s">
        <f>=HYPERLINK("https://main.knesset.gov.il/APPS/legislation/main/bills/2081717", "הצעת חוק החובה למתן חינוך בלתי פורמאלי לילדים ולנוער, התש""ף-2019")</f>
        <v>29369</v>
      </c>
      <c r="E15281" t="s">
        <v>29369</v>
      </c>
      <c r="F15281" t="s">
        <v>29370</v>
      </c>
      <c r="G15281" t="s">
        <v>14</v>
      </c>
      <c r="H15281">
             </c>
      <c r="I15281" t="s">
        <v>14</v>
      </c>
      <c r="J15281" t="s">
        <v>141</v>
      </c>
      <c r="K15281" t="s">
        <v>14</v>
      </c>
      <c r="L15281" t="s">
        <v>20</v>
      </c>
      <c r="M15281" t="s">
        <v>29075</v>
      </c>
      <c r="N15281" t="s">
        <v>14</v>
      </c>
    </row>
    <row r="15282" x14ac:dyDescent="0.25">
      <c r="A15282" t="n">
        <v>22</v>
      </c>
      <c r="B15282" t="s">
        <v>14</v>
      </c>
      <c r="C15282" t="s">
        <v>22</v>
      </c>
      <c r="D15282" s="2" t="s">
        <f>=HYPERLINK("https://main.knesset.gov.il/APPS/legislation/main/bills/2081718", "הצעת חוק איסור פרסומת והגבלת השיווק של מוצרי טבק ועישון (תיקון - סימון רכיבי מוצר טבק על גבי חפיסות או אריזות), התש""ף-2019")</f>
        <v>29371</v>
      </c>
      <c r="E15282" t="s">
        <v>29371</v>
      </c>
      <c r="F15282" t="s">
        <v>29372</v>
      </c>
      <c r="G15282" t="s">
        <v>14</v>
      </c>
      <c r="H15282">
             </c>
      <c r="I15282" t="s">
        <v>14</v>
      </c>
      <c r="J15282" t="s">
        <v>141</v>
      </c>
      <c r="K15282" t="s">
        <v>14</v>
      </c>
      <c r="L15282" t="s">
        <v>20</v>
      </c>
      <c r="M15282" t="s">
        <v>29075</v>
      </c>
      <c r="N15282" t="s">
        <v>14</v>
      </c>
    </row>
    <row r="15283" x14ac:dyDescent="0.25">
      <c r="A15283" t="n">
        <v>22</v>
      </c>
      <c r="B15283" t="s">
        <v>14</v>
      </c>
      <c r="C15283" t="s">
        <v>22</v>
      </c>
      <c r="D15283" s="2" t="s">
        <f>=HYPERLINK("https://main.knesset.gov.il/APPS/legislation/main/bills/2081586", "הצעת חוק צער בעלי חיים (הגנה על בעלי חיים) (תיקון - איחוד סמכויות), התש""ף-2019 ")</f>
        <v>29373</v>
      </c>
      <c r="E15283" t="s">
        <v>29373</v>
      </c>
      <c r="F15283" t="s">
        <v>29374</v>
      </c>
      <c r="G15283" t="s">
        <v>14</v>
      </c>
      <c r="H15283">
             </c>
      <c r="I15283" t="s">
        <v>14</v>
      </c>
      <c r="J15283" t="s">
        <v>141</v>
      </c>
      <c r="K15283" t="s">
        <v>14</v>
      </c>
      <c r="L15283" t="s">
        <v>20</v>
      </c>
      <c r="M15283" t="s">
        <v>29075</v>
      </c>
      <c r="N15283" t="s">
        <v>14</v>
      </c>
    </row>
    <row r="15284" x14ac:dyDescent="0.25">
      <c r="A15284" t="n">
        <v>22</v>
      </c>
      <c r="B15284" t="s">
        <v>14</v>
      </c>
      <c r="C15284" t="s">
        <v>22</v>
      </c>
      <c r="D15284" s="2" t="s">
        <f>=HYPERLINK("https://main.knesset.gov.il/APPS/legislation/main/bills/2081763", "הצעת חוק המים (תיקון - הנחות לאוכלוסיות זכאיות), התש""ף-2019")</f>
        <v>28633</v>
      </c>
      <c r="E15284" t="s">
        <v>28633</v>
      </c>
      <c r="F15284" t="s">
        <v>29375</v>
      </c>
      <c r="G15284" t="s">
        <v>14</v>
      </c>
      <c r="H15284">
             </c>
      <c r="I15284" t="s">
        <v>14</v>
      </c>
      <c r="J15284" t="s">
        <v>141</v>
      </c>
      <c r="K15284" t="s">
        <v>14</v>
      </c>
      <c r="L15284" t="s">
        <v>20</v>
      </c>
      <c r="M15284" t="s">
        <v>29075</v>
      </c>
      <c r="N15284" t="s">
        <v>14</v>
      </c>
    </row>
    <row r="15285" x14ac:dyDescent="0.25">
      <c r="A15285" t="n">
        <v>22</v>
      </c>
      <c r="B15285" t="s">
        <v>14</v>
      </c>
      <c r="C15285" t="s">
        <v>22</v>
      </c>
      <c r="D15285" s="2" t="s">
        <f>=HYPERLINK("https://main.knesset.gov.il/APPS/legislation/main/bills/2081825", "הצעת חוק שכר מינימום לחיילים בשירות סדיר, התש""ף-2019")</f>
        <v>29126</v>
      </c>
      <c r="E15285" t="s">
        <v>29126</v>
      </c>
      <c r="F15285" t="s">
        <v>29376</v>
      </c>
      <c r="G15285" t="s">
        <v>14</v>
      </c>
      <c r="H15285">
             </c>
      <c r="I15285" t="s">
        <v>14</v>
      </c>
      <c r="J15285" t="s">
        <v>141</v>
      </c>
      <c r="K15285" t="s">
        <v>14</v>
      </c>
      <c r="L15285" t="s">
        <v>20</v>
      </c>
      <c r="M15285" t="s">
        <v>29075</v>
      </c>
      <c r="N15285" t="s">
        <v>14</v>
      </c>
    </row>
    <row r="15286" x14ac:dyDescent="0.25">
      <c r="A15286" t="n">
        <v>22</v>
      </c>
      <c r="B15286" t="s">
        <v>14</v>
      </c>
      <c r="C15286" t="s">
        <v>22</v>
      </c>
      <c r="D15286" s="2" t="s">
        <f>=HYPERLINK("https://main.knesset.gov.il/APPS/legislation/main/bills/2081624", "הצעת חוק חינוך מיוחד (תיקון - הרחבה לגבי מוסדות שאינם מוכרים), התש""ף-2019")</f>
        <v>29377</v>
      </c>
      <c r="E15286" t="s">
        <v>29377</v>
      </c>
      <c r="F15286" t="s">
        <v>29378</v>
      </c>
      <c r="G15286" t="s">
        <v>14</v>
      </c>
      <c r="H15286">
             </c>
      <c r="I15286" t="s">
        <v>14</v>
      </c>
      <c r="J15286" t="s">
        <v>141</v>
      </c>
      <c r="K15286" t="s">
        <v>14</v>
      </c>
      <c r="L15286" t="s">
        <v>20</v>
      </c>
      <c r="M15286" t="s">
        <v>29075</v>
      </c>
      <c r="N15286" t="s">
        <v>14</v>
      </c>
    </row>
    <row r="15287" x14ac:dyDescent="0.25">
      <c r="A15287" t="n">
        <v>22</v>
      </c>
      <c r="B15287" t="s">
        <v>14</v>
      </c>
      <c r="C15287" t="s">
        <v>22</v>
      </c>
      <c r="D15287" s="2" t="s">
        <f>=HYPERLINK("https://main.knesset.gov.il/APPS/legislation/main/bills/2081394", "הצעת חוק פיקוח על מחירי מצרכים ושירותים (תיקון - פיקוח על מוצרי מזון לתינוקות), התש""ף-2019")</f>
        <v>29379</v>
      </c>
      <c r="E15287" t="s">
        <v>29379</v>
      </c>
      <c r="F15287" t="s">
        <v>29380</v>
      </c>
      <c r="G15287" t="s">
        <v>14</v>
      </c>
      <c r="H15287">
             </c>
      <c r="I15287" t="s">
        <v>14</v>
      </c>
      <c r="J15287" t="s">
        <v>141</v>
      </c>
      <c r="K15287" t="s">
        <v>14</v>
      </c>
      <c r="L15287" t="s">
        <v>20</v>
      </c>
      <c r="M15287" t="s">
        <v>29075</v>
      </c>
      <c r="N15287" t="s">
        <v>14</v>
      </c>
    </row>
    <row r="15288" x14ac:dyDescent="0.25">
      <c r="A15288" t="n">
        <v>22</v>
      </c>
      <c r="B15288" t="s">
        <v>14</v>
      </c>
      <c r="C15288" t="s">
        <v>22</v>
      </c>
      <c r="D15288" s="2" t="s">
        <f>=HYPERLINK("https://main.knesset.gov.il/APPS/legislation/main/bills/2081358", "הצעת חוק לתיקון פקודת התעבורה (הקמת מערך מידע וניתוח נתונים לשיפור התחבורה הציבורית), התש""ף-2019")</f>
        <v>29381</v>
      </c>
      <c r="E15288" t="s">
        <v>29381</v>
      </c>
      <c r="F15288" t="s">
        <v>29382</v>
      </c>
      <c r="G15288" t="s">
        <v>14</v>
      </c>
      <c r="H15288">
             </c>
      <c r="I15288" t="s">
        <v>14</v>
      </c>
      <c r="J15288" t="s">
        <v>141</v>
      </c>
      <c r="K15288" t="s">
        <v>14</v>
      </c>
      <c r="L15288" t="s">
        <v>20</v>
      </c>
      <c r="M15288" t="s">
        <v>29075</v>
      </c>
      <c r="N15288" t="s">
        <v>14</v>
      </c>
    </row>
    <row r="15289" x14ac:dyDescent="0.25">
      <c r="A15289" t="n">
        <v>22</v>
      </c>
      <c r="B15289" t="s">
        <v>14</v>
      </c>
      <c r="C15289" t="s">
        <v>22</v>
      </c>
      <c r="D15289" s="2" t="s">
        <f>=HYPERLINK("https://main.knesset.gov.il/APPS/legislation/main/bills/2081663", "הצעת חוק דמי נסיעה לסטודנטים בתחבורה ציבורית (תיקוני חקיקה), התש""ף-2019")</f>
        <v>29383</v>
      </c>
      <c r="E15289" t="s">
        <v>29383</v>
      </c>
      <c r="F15289" t="s">
        <v>29384</v>
      </c>
      <c r="G15289" t="s">
        <v>14</v>
      </c>
      <c r="H15289">
             </c>
      <c r="I15289" t="s">
        <v>14</v>
      </c>
      <c r="J15289" t="s">
        <v>141</v>
      </c>
      <c r="K15289" t="s">
        <v>14</v>
      </c>
      <c r="L15289" t="s">
        <v>20</v>
      </c>
      <c r="M15289" t="s">
        <v>29075</v>
      </c>
      <c r="N15289" t="s">
        <v>14</v>
      </c>
    </row>
    <row r="15290" x14ac:dyDescent="0.25">
      <c r="A15290" t="n">
        <v>22</v>
      </c>
      <c r="B15290" t="s">
        <v>14</v>
      </c>
      <c r="C15290" t="s">
        <v>22</v>
      </c>
      <c r="D15290" s="2" t="s">
        <f>=HYPERLINK("https://main.knesset.gov.il/APPS/legislation/main/bills/2081723", "הצעת חוק לתיקון פקודת הבנקאות (עמלת פירעון מוקדם), התש""ף-2019")</f>
        <v>29385</v>
      </c>
      <c r="E15290" t="s">
        <v>29385</v>
      </c>
      <c r="F15290" t="s">
        <v>29386</v>
      </c>
      <c r="G15290" t="s">
        <v>14</v>
      </c>
      <c r="H15290">
             </c>
      <c r="I15290" t="s">
        <v>14</v>
      </c>
      <c r="J15290" t="s">
        <v>141</v>
      </c>
      <c r="K15290" t="s">
        <v>14</v>
      </c>
      <c r="L15290" t="s">
        <v>20</v>
      </c>
      <c r="M15290" t="s">
        <v>29075</v>
      </c>
      <c r="N15290" t="s">
        <v>14</v>
      </c>
    </row>
    <row r="15291" x14ac:dyDescent="0.25">
      <c r="A15291" t="n">
        <v>22</v>
      </c>
      <c r="B15291" t="s">
        <v>14</v>
      </c>
      <c r="C15291" t="s">
        <v>22</v>
      </c>
      <c r="D15291" s="2" t="s">
        <f>=HYPERLINK("https://main.knesset.gov.il/APPS/legislation/main/bills/2081782", "הצעת חוק לתיקון פקודת התעבורה (חובת נשיאת לוחית זיהוי באופניים ממונעים ובקורקינט ממונע), התש""ף-2019")</f>
        <v>29387</v>
      </c>
      <c r="E15291" t="s">
        <v>29387</v>
      </c>
      <c r="F15291" t="s">
        <v>29388</v>
      </c>
      <c r="G15291" t="s">
        <v>14</v>
      </c>
      <c r="H15291">
             </c>
      <c r="I15291" t="s">
        <v>14</v>
      </c>
      <c r="J15291" t="s">
        <v>141</v>
      </c>
      <c r="K15291" t="s">
        <v>14</v>
      </c>
      <c r="L15291" t="s">
        <v>20</v>
      </c>
      <c r="M15291" t="s">
        <v>29075</v>
      </c>
      <c r="N15291" t="s">
        <v>14</v>
      </c>
    </row>
    <row r="15292" x14ac:dyDescent="0.25">
      <c r="A15292" t="n">
        <v>22</v>
      </c>
      <c r="B15292" t="s">
        <v>14</v>
      </c>
      <c r="C15292" t="s">
        <v>22</v>
      </c>
      <c r="D15292" s="2" t="s">
        <f>=HYPERLINK("https://main.knesset.gov.il/APPS/legislation/main/bills/2081807", "הצעת חוק בינוי ופינוי של אזורי שיקום (כפר שלם), התש""ף-2019")</f>
        <v>29389</v>
      </c>
      <c r="E15292" t="s">
        <v>29389</v>
      </c>
      <c r="F15292" t="s">
        <v>29390</v>
      </c>
      <c r="G15292" t="s">
        <v>14</v>
      </c>
      <c r="H15292">
             </c>
      <c r="I15292" t="s">
        <v>14</v>
      </c>
      <c r="J15292" t="s">
        <v>141</v>
      </c>
      <c r="K15292" t="s">
        <v>14</v>
      </c>
      <c r="L15292" t="s">
        <v>20</v>
      </c>
      <c r="M15292" t="s">
        <v>29075</v>
      </c>
      <c r="N15292" t="s">
        <v>14</v>
      </c>
    </row>
    <row r="15293" x14ac:dyDescent="0.25">
      <c r="A15293" t="n">
        <v>22</v>
      </c>
      <c r="B15293" t="s">
        <v>14</v>
      </c>
      <c r="C15293" t="s">
        <v>22</v>
      </c>
      <c r="D15293" s="2" t="s">
        <f>=HYPERLINK("https://main.knesset.gov.il/APPS/legislation/main/bills/2081770", "הצעת חוק לתיקון פקודת התעבורה (הגבלת תשלום בעד חניה במוסד רפואי), התש""ף-2019")</f>
        <v>28509</v>
      </c>
      <c r="E15293" t="s">
        <v>28509</v>
      </c>
      <c r="F15293" t="s">
        <v>29391</v>
      </c>
      <c r="G15293" t="s">
        <v>14</v>
      </c>
      <c r="H15293">
             </c>
      <c r="I15293" t="s">
        <v>14</v>
      </c>
      <c r="J15293" t="s">
        <v>141</v>
      </c>
      <c r="K15293" t="s">
        <v>14</v>
      </c>
      <c r="L15293" t="s">
        <v>20</v>
      </c>
      <c r="M15293" t="s">
        <v>29075</v>
      </c>
      <c r="N15293" t="s">
        <v>14</v>
      </c>
    </row>
    <row r="15294" x14ac:dyDescent="0.25">
      <c r="A15294" t="n">
        <v>22</v>
      </c>
      <c r="B15294" t="s">
        <v>14</v>
      </c>
      <c r="C15294" t="s">
        <v>22</v>
      </c>
      <c r="D15294" s="2" t="s">
        <f>=HYPERLINK("https://main.knesset.gov.il/APPS/legislation/main/bills/2081830", "הצעת חוק-יסוד: כבוד האדם וחירותו (תיקון - שוויון וחופש ביטוי ומחשבה)")</f>
        <v>19931</v>
      </c>
      <c r="E15294" t="s">
        <v>19931</v>
      </c>
      <c r="F15294" t="s">
        <v>29392</v>
      </c>
      <c r="G15294" t="s">
        <v>14</v>
      </c>
      <c r="H15294">
             </c>
      <c r="I15294" t="s">
        <v>14</v>
      </c>
      <c r="J15294" t="s">
        <v>141</v>
      </c>
      <c r="K15294" t="s">
        <v>14</v>
      </c>
      <c r="L15294" t="s">
        <v>20</v>
      </c>
      <c r="M15294" t="s">
        <v>29075</v>
      </c>
      <c r="N15294" t="s">
        <v>14</v>
      </c>
    </row>
    <row r="15295" x14ac:dyDescent="0.25">
      <c r="A15295" t="n">
        <v>22</v>
      </c>
      <c r="B15295" t="s">
        <v>14</v>
      </c>
      <c r="C15295" t="s">
        <v>22</v>
      </c>
      <c r="D15295" s="2" t="s">
        <f>=HYPERLINK("https://main.knesset.gov.il/APPS/legislation/main/bills/2081393", "הצעת חוק לעידוד הקמת מרחבים מוגנים דירתיים, התש""ף-2019")</f>
        <v>29393</v>
      </c>
      <c r="E15295" t="s">
        <v>29393</v>
      </c>
      <c r="F15295" t="s">
        <v>29394</v>
      </c>
      <c r="G15295" t="s">
        <v>14</v>
      </c>
      <c r="H15295">
             </c>
      <c r="I15295" t="s">
        <v>14</v>
      </c>
      <c r="J15295" t="s">
        <v>141</v>
      </c>
      <c r="K15295" t="s">
        <v>14</v>
      </c>
      <c r="L15295" t="s">
        <v>20</v>
      </c>
      <c r="M15295" t="s">
        <v>29075</v>
      </c>
      <c r="N15295" t="s">
        <v>14</v>
      </c>
    </row>
    <row r="15296" x14ac:dyDescent="0.25">
      <c r="A15296" t="n">
        <v>22</v>
      </c>
      <c r="B15296" t="s">
        <v>14</v>
      </c>
      <c r="C15296" t="s">
        <v>22</v>
      </c>
      <c r="D15296" s="2" t="s">
        <f>=HYPERLINK("https://main.knesset.gov.il/APPS/legislation/main/bills/2081874", "הצעת חוק מס ערך מוסף (תיקון - עידוד פתיחת עסקים חדשים), התש""ף-2019")</f>
        <v>29395</v>
      </c>
      <c r="E15296" t="s">
        <v>29395</v>
      </c>
      <c r="F15296" t="s">
        <v>29396</v>
      </c>
      <c r="G15296" t="s">
        <v>14</v>
      </c>
      <c r="H15296">
             </c>
      <c r="I15296" t="s">
        <v>14</v>
      </c>
      <c r="J15296" t="s">
        <v>141</v>
      </c>
      <c r="K15296" t="s">
        <v>14</v>
      </c>
      <c r="L15296" t="s">
        <v>20</v>
      </c>
      <c r="M15296" t="s">
        <v>29075</v>
      </c>
      <c r="N15296" t="s">
        <v>14</v>
      </c>
    </row>
    <row r="15297" x14ac:dyDescent="0.25">
      <c r="A15297" t="n">
        <v>22</v>
      </c>
      <c r="B15297" t="s">
        <v>14</v>
      </c>
      <c r="C15297" t="s">
        <v>22</v>
      </c>
      <c r="D15297" s="2" t="s">
        <f>=HYPERLINK("https://main.knesset.gov.il/APPS/legislation/main/bills/2081762", "הצעת חוק להגדלת שיעור ההשתתפות בכוח העבודה ולצמצום פערים חברתיים (מענק עבודה) (תיקון - גיל העובד), התש""ף-2019")</f>
        <v>29397</v>
      </c>
      <c r="E15297" t="s">
        <v>29397</v>
      </c>
      <c r="F15297" t="s">
        <v>29398</v>
      </c>
      <c r="G15297" t="s">
        <v>14</v>
      </c>
      <c r="H15297">
             </c>
      <c r="I15297" t="s">
        <v>14</v>
      </c>
      <c r="J15297" t="s">
        <v>141</v>
      </c>
      <c r="K15297" t="s">
        <v>14</v>
      </c>
      <c r="L15297" t="s">
        <v>20</v>
      </c>
      <c r="M15297" t="s">
        <v>29075</v>
      </c>
      <c r="N15297" t="s">
        <v>14</v>
      </c>
    </row>
    <row r="15298" x14ac:dyDescent="0.25">
      <c r="A15298" t="n">
        <v>22</v>
      </c>
      <c r="B15298" t="s">
        <v>14</v>
      </c>
      <c r="C15298" t="s">
        <v>22</v>
      </c>
      <c r="D15298" s="2" t="s">
        <f>=HYPERLINK("https://main.knesset.gov.il/APPS/legislation/main/bills/2081794", "הצעת חוק מיסוי מקרקעין (שבח ורכישה) (תיקון - רכישת דירה על ידי ילד יתום), התש""ף-2019")</f>
        <v>29399</v>
      </c>
      <c r="E15298" t="s">
        <v>29399</v>
      </c>
      <c r="F15298" t="s">
        <v>29400</v>
      </c>
      <c r="G15298" t="s">
        <v>14</v>
      </c>
      <c r="H15298">
             </c>
      <c r="I15298" t="s">
        <v>14</v>
      </c>
      <c r="J15298" t="s">
        <v>141</v>
      </c>
      <c r="K15298" t="s">
        <v>14</v>
      </c>
      <c r="L15298" t="s">
        <v>20</v>
      </c>
      <c r="M15298" t="s">
        <v>29075</v>
      </c>
      <c r="N15298" t="s">
        <v>14</v>
      </c>
    </row>
    <row r="15299" x14ac:dyDescent="0.25">
      <c r="A15299" t="n">
        <v>22</v>
      </c>
      <c r="B15299" t="s">
        <v>14</v>
      </c>
      <c r="C15299" t="s">
        <v>22</v>
      </c>
      <c r="D15299" s="2" t="s">
        <f>=HYPERLINK("https://main.knesset.gov.il/APPS/legislation/main/bills/2081869", "הצעת חוק לתיקון פקודת מס הכנסה (חישוב שווי שימוש ברכב לשומרי שבת וחג), התש""ף-2019")</f>
        <v>29401</v>
      </c>
      <c r="E15299" t="s">
        <v>29401</v>
      </c>
      <c r="F15299" t="s">
        <v>29402</v>
      </c>
      <c r="G15299" t="s">
        <v>14</v>
      </c>
      <c r="H15299">
             </c>
      <c r="I15299" t="s">
        <v>14</v>
      </c>
      <c r="J15299" t="s">
        <v>141</v>
      </c>
      <c r="K15299" t="s">
        <v>14</v>
      </c>
      <c r="L15299" t="s">
        <v>20</v>
      </c>
      <c r="M15299" t="s">
        <v>29075</v>
      </c>
      <c r="N15299" t="s">
        <v>14</v>
      </c>
    </row>
    <row r="15300" x14ac:dyDescent="0.25">
      <c r="A15300" t="n">
        <v>22</v>
      </c>
      <c r="B15300" t="s">
        <v>14</v>
      </c>
      <c r="C15300" t="s">
        <v>22</v>
      </c>
      <c r="D15300" s="2" t="s">
        <f>=HYPERLINK("https://main.knesset.gov.il/APPS/legislation/main/bills/2081837", "הצעת חוק מיסוי מקרקעין (שבח ורכישה) (תיקון - חזקת דירה יחידה), התש""ף-2019")</f>
        <v>29403</v>
      </c>
      <c r="E15300" t="s">
        <v>29403</v>
      </c>
      <c r="F15300" t="s">
        <v>29404</v>
      </c>
      <c r="G15300" t="s">
        <v>14</v>
      </c>
      <c r="H15300">
             </c>
      <c r="I15300" t="s">
        <v>14</v>
      </c>
      <c r="J15300" t="s">
        <v>141</v>
      </c>
      <c r="K15300" t="s">
        <v>14</v>
      </c>
      <c r="L15300" t="s">
        <v>20</v>
      </c>
      <c r="M15300" t="s">
        <v>29075</v>
      </c>
      <c r="N15300" t="s">
        <v>14</v>
      </c>
    </row>
    <row r="15301" x14ac:dyDescent="0.25">
      <c r="A15301" t="n">
        <v>22</v>
      </c>
      <c r="B15301" t="s">
        <v>14</v>
      </c>
      <c r="C15301" t="s">
        <v>22</v>
      </c>
      <c r="D15301" s="2" t="s">
        <f>=HYPERLINK("https://main.knesset.gov.il/APPS/legislation/main/bills/2081817", "הצעת חוק מיסוי מקרקעין (שבח ורכישה) (תיקון - תשלום המס בתשלומים), התש""ף-2019")</f>
        <v>29405</v>
      </c>
      <c r="E15301" t="s">
        <v>29405</v>
      </c>
      <c r="F15301" t="s">
        <v>29406</v>
      </c>
      <c r="G15301" t="s">
        <v>14</v>
      </c>
      <c r="H15301">
             </c>
      <c r="I15301" t="s">
        <v>14</v>
      </c>
      <c r="J15301" t="s">
        <v>141</v>
      </c>
      <c r="K15301" t="s">
        <v>14</v>
      </c>
      <c r="L15301" t="s">
        <v>20</v>
      </c>
      <c r="M15301" t="s">
        <v>29075</v>
      </c>
      <c r="N15301" t="s">
        <v>14</v>
      </c>
    </row>
    <row r="15302" x14ac:dyDescent="0.25">
      <c r="A15302" t="n">
        <v>22</v>
      </c>
      <c r="B15302" t="s">
        <v>14</v>
      </c>
      <c r="C15302" t="s">
        <v>22</v>
      </c>
      <c r="D15302" s="2" t="s">
        <f>=HYPERLINK("https://main.knesset.gov.il/APPS/legislation/main/bills/2081868", "הצעת חוק הבטחת הכנסה (תיקון - הגדלת הסכום להשתכרות בנוסף לקיצבה), התש""ף-2019")</f>
        <v>29407</v>
      </c>
      <c r="E15302" t="s">
        <v>29407</v>
      </c>
      <c r="F15302" t="s">
        <v>29408</v>
      </c>
      <c r="G15302" t="s">
        <v>14</v>
      </c>
      <c r="H15302">
             </c>
      <c r="I15302" t="s">
        <v>14</v>
      </c>
      <c r="J15302" t="s">
        <v>141</v>
      </c>
      <c r="K15302" t="s">
        <v>14</v>
      </c>
      <c r="L15302" t="s">
        <v>20</v>
      </c>
      <c r="M15302" t="s">
        <v>29075</v>
      </c>
      <c r="N15302" t="s">
        <v>14</v>
      </c>
    </row>
    <row r="15303" x14ac:dyDescent="0.25">
      <c r="A15303" t="n">
        <v>22</v>
      </c>
      <c r="B15303" t="s">
        <v>14</v>
      </c>
      <c r="C15303" t="s">
        <v>22</v>
      </c>
      <c r="D15303" s="2" t="s">
        <f>=HYPERLINK("https://main.knesset.gov.il/APPS/legislation/main/bills/2081870", "הצעת חוק הבטחת הכנסה (תיקון - מענק קירור), התש""ף-2019")</f>
        <v>29409</v>
      </c>
      <c r="E15303" t="s">
        <v>29409</v>
      </c>
      <c r="F15303" t="s">
        <v>29410</v>
      </c>
      <c r="G15303" t="s">
        <v>14</v>
      </c>
      <c r="H15303">
             </c>
      <c r="I15303" t="s">
        <v>14</v>
      </c>
      <c r="J15303" t="s">
        <v>141</v>
      </c>
      <c r="K15303" t="s">
        <v>14</v>
      </c>
      <c r="L15303" t="s">
        <v>20</v>
      </c>
      <c r="M15303" t="s">
        <v>29075</v>
      </c>
      <c r="N15303" t="s">
        <v>14</v>
      </c>
    </row>
    <row r="15304" x14ac:dyDescent="0.25">
      <c r="A15304" t="n">
        <v>22</v>
      </c>
      <c r="B15304" t="s">
        <v>14</v>
      </c>
      <c r="C15304" t="s">
        <v>22</v>
      </c>
      <c r="D15304" s="2" t="s">
        <f>=HYPERLINK("https://main.knesset.gov.il/APPS/legislation/main/bills/2081878", "הצעת חוק לתיקון פקודת הבנקאות (תקופת צינון למפקח על הבנקים), התש""ף-2019")</f>
        <v>29411</v>
      </c>
      <c r="E15304" t="s">
        <v>29411</v>
      </c>
      <c r="F15304" t="s">
        <v>29412</v>
      </c>
      <c r="G15304" t="s">
        <v>14</v>
      </c>
      <c r="H15304">
             </c>
      <c r="I15304" t="s">
        <v>14</v>
      </c>
      <c r="J15304" t="s">
        <v>141</v>
      </c>
      <c r="K15304" t="s">
        <v>14</v>
      </c>
      <c r="L15304" t="s">
        <v>20</v>
      </c>
      <c r="M15304" t="s">
        <v>29075</v>
      </c>
      <c r="N15304" t="s">
        <v>14</v>
      </c>
    </row>
    <row r="15305" x14ac:dyDescent="0.25">
      <c r="A15305" t="n">
        <v>22</v>
      </c>
      <c r="B15305" t="s">
        <v>14</v>
      </c>
      <c r="C15305" t="s">
        <v>22</v>
      </c>
      <c r="D15305" s="2" t="s">
        <f>=HYPERLINK("https://main.knesset.gov.il/APPS/legislation/main/bills/2081852", "הצעת חוק לתיקון פקודת מס הכנסה (מס חברות דיפרנציאלי), התש""ף-2019")</f>
        <v>29413</v>
      </c>
      <c r="E15305" t="s">
        <v>29413</v>
      </c>
      <c r="F15305" t="s">
        <v>29414</v>
      </c>
      <c r="G15305" t="s">
        <v>14</v>
      </c>
      <c r="H15305">
             </c>
      <c r="I15305" t="s">
        <v>14</v>
      </c>
      <c r="J15305" t="s">
        <v>141</v>
      </c>
      <c r="K15305" t="s">
        <v>14</v>
      </c>
      <c r="L15305" t="s">
        <v>20</v>
      </c>
      <c r="M15305" t="s">
        <v>29075</v>
      </c>
      <c r="N15305" t="s">
        <v>14</v>
      </c>
    </row>
    <row r="15306" x14ac:dyDescent="0.25">
      <c r="A15306" t="n">
        <v>22</v>
      </c>
      <c r="B15306" t="s">
        <v>14</v>
      </c>
      <c r="C15306" t="s">
        <v>22</v>
      </c>
      <c r="D15306" s="2" t="s">
        <f>=HYPERLINK("https://main.knesset.gov.il/APPS/legislation/main/bills/2081835", "הצעת חוק לתיקון פקודת מס הכנסה (קביעת מדרגות מס נוספות), התש""ף-2019")</f>
        <v>29415</v>
      </c>
      <c r="E15306" t="s">
        <v>29415</v>
      </c>
      <c r="F15306" t="s">
        <v>29416</v>
      </c>
      <c r="G15306" t="s">
        <v>14</v>
      </c>
      <c r="H15306">
             </c>
      <c r="I15306" t="s">
        <v>14</v>
      </c>
      <c r="J15306" t="s">
        <v>141</v>
      </c>
      <c r="K15306" t="s">
        <v>14</v>
      </c>
      <c r="L15306" t="s">
        <v>20</v>
      </c>
      <c r="M15306" t="s">
        <v>29075</v>
      </c>
      <c r="N15306" t="s">
        <v>14</v>
      </c>
    </row>
    <row r="15307" x14ac:dyDescent="0.25">
      <c r="A15307" t="n">
        <v>22</v>
      </c>
      <c r="B15307" t="s">
        <v>14</v>
      </c>
      <c r="C15307" t="s">
        <v>22</v>
      </c>
      <c r="D15307" s="2" t="s">
        <f>=HYPERLINK("https://main.knesset.gov.il/APPS/legislation/main/bills/2081845", "הצעת חוק הביטוח הלאומי (תיקון - הגדלת קצבת הילדים), התש""ף-2019")</f>
        <v>29417</v>
      </c>
      <c r="E15307" t="s">
        <v>29417</v>
      </c>
      <c r="F15307" t="s">
        <v>29418</v>
      </c>
      <c r="G15307" t="s">
        <v>14</v>
      </c>
      <c r="H15307">
             </c>
      <c r="I15307" t="s">
        <v>14</v>
      </c>
      <c r="J15307" t="s">
        <v>141</v>
      </c>
      <c r="K15307" t="s">
        <v>14</v>
      </c>
      <c r="L15307" t="s">
        <v>20</v>
      </c>
      <c r="M15307" t="s">
        <v>29075</v>
      </c>
      <c r="N15307" t="s">
        <v>14</v>
      </c>
    </row>
    <row r="15308" x14ac:dyDescent="0.25">
      <c r="A15308" t="n">
        <v>22</v>
      </c>
      <c r="B15308" t="s">
        <v>14</v>
      </c>
      <c r="C15308" t="s">
        <v>22</v>
      </c>
      <c r="D15308" s="2" t="s">
        <f>=HYPERLINK("https://main.knesset.gov.il/APPS/legislation/main/bills/2081856", "הצעת חוק ביטוח בריאות ממלכתי (תיקון - החזר אגרת נסיעה באמבולנס), התש""ף-2019")</f>
        <v>29419</v>
      </c>
      <c r="E15308" t="s">
        <v>29419</v>
      </c>
      <c r="F15308" t="s">
        <v>29420</v>
      </c>
      <c r="G15308" t="s">
        <v>14</v>
      </c>
      <c r="H15308">
             </c>
      <c r="I15308" t="s">
        <v>14</v>
      </c>
      <c r="J15308" t="s">
        <v>141</v>
      </c>
      <c r="K15308" t="s">
        <v>14</v>
      </c>
      <c r="L15308" t="s">
        <v>20</v>
      </c>
      <c r="M15308" t="s">
        <v>29075</v>
      </c>
      <c r="N15308" t="s">
        <v>14</v>
      </c>
    </row>
    <row r="15309" x14ac:dyDescent="0.25">
      <c r="A15309" t="n">
        <v>22</v>
      </c>
      <c r="B15309" t="s">
        <v>14</v>
      </c>
      <c r="C15309" t="s">
        <v>22</v>
      </c>
      <c r="D15309" s="2" t="s">
        <f>=HYPERLINK("https://main.knesset.gov.il/APPS/legislation/main/bills/2081747", "הצעת חוק זכויות הדייר בדיור הציבורי (תיקון - סיוע ריאלי בשכר דירה), התש""ף-2019")</f>
        <v>29080</v>
      </c>
      <c r="E15309" t="s">
        <v>29080</v>
      </c>
      <c r="F15309" t="s">
        <v>29421</v>
      </c>
      <c r="G15309" t="s">
        <v>14</v>
      </c>
      <c r="H15309">
             </c>
      <c r="I15309" t="s">
        <v>14</v>
      </c>
      <c r="J15309" t="s">
        <v>141</v>
      </c>
      <c r="K15309" t="s">
        <v>14</v>
      </c>
      <c r="L15309" t="s">
        <v>20</v>
      </c>
      <c r="M15309" t="s">
        <v>29075</v>
      </c>
      <c r="N15309" t="s">
        <v>14</v>
      </c>
    </row>
    <row r="15310" x14ac:dyDescent="0.25">
      <c r="A15310" t="n">
        <v>22</v>
      </c>
      <c r="B15310" t="s">
        <v>14</v>
      </c>
      <c r="C15310" t="s">
        <v>22</v>
      </c>
      <c r="D15310" s="2" t="s">
        <f>=HYPERLINK("https://main.knesset.gov.il/APPS/legislation/main/bills/2081744", "הצעת חוק זכויות הדייר בדיור הציבורי (תיקון - סיוע ריאלי בשכר דירה), התש""ף-2019")</f>
        <v>29080</v>
      </c>
      <c r="E15310" t="s">
        <v>29080</v>
      </c>
      <c r="F15310" t="s">
        <v>29422</v>
      </c>
      <c r="G15310" t="s">
        <v>14</v>
      </c>
      <c r="H15310">
             </c>
      <c r="I15310" t="s">
        <v>14</v>
      </c>
      <c r="J15310" t="s">
        <v>141</v>
      </c>
      <c r="K15310" t="s">
        <v>14</v>
      </c>
      <c r="L15310" t="s">
        <v>20</v>
      </c>
      <c r="M15310" t="s">
        <v>29075</v>
      </c>
      <c r="N15310" t="s">
        <v>14</v>
      </c>
    </row>
    <row r="15311" x14ac:dyDescent="0.25">
      <c r="A15311" t="n">
        <v>22</v>
      </c>
      <c r="B15311" t="s">
        <v>14</v>
      </c>
      <c r="C15311" t="s">
        <v>22</v>
      </c>
      <c r="D15311" s="2" t="s">
        <f>=HYPERLINK("https://main.knesset.gov.il/APPS/legislation/main/bills/2081512", "הצעת חוק הביטוח הלאומי (תיקון - שינוי המונח נכה), התש""ף-2019")</f>
        <v>29423</v>
      </c>
      <c r="E15311" t="s">
        <v>29423</v>
      </c>
      <c r="F15311" t="s">
        <v>29424</v>
      </c>
      <c r="G15311" t="s">
        <v>14</v>
      </c>
      <c r="H15311">
             </c>
      <c r="I15311" t="s">
        <v>14</v>
      </c>
      <c r="J15311" t="s">
        <v>141</v>
      </c>
      <c r="K15311" t="s">
        <v>14</v>
      </c>
      <c r="L15311" t="s">
        <v>20</v>
      </c>
      <c r="M15311" t="s">
        <v>29075</v>
      </c>
      <c r="N15311" t="s">
        <v>14</v>
      </c>
    </row>
    <row r="15312" x14ac:dyDescent="0.25">
      <c r="A15312" t="n">
        <v>22</v>
      </c>
      <c r="B15312" t="s">
        <v>14</v>
      </c>
      <c r="C15312" t="s">
        <v>22</v>
      </c>
      <c r="D15312" s="2" t="s">
        <f>=HYPERLINK("https://main.knesset.gov.il/APPS/legislation/main/bills/2081884", "הצעת חוק שירות המילואים (תיקון - תוספת גמול לימי מילואים נוספים), התש""ף-2019")</f>
        <v>29425</v>
      </c>
      <c r="E15312" t="s">
        <v>29425</v>
      </c>
      <c r="F15312" t="s">
        <v>29426</v>
      </c>
      <c r="G15312" t="s">
        <v>14</v>
      </c>
      <c r="H15312">
             </c>
      <c r="I15312" t="s">
        <v>14</v>
      </c>
      <c r="J15312" t="s">
        <v>141</v>
      </c>
      <c r="K15312" t="s">
        <v>14</v>
      </c>
      <c r="L15312" t="s">
        <v>20</v>
      </c>
      <c r="M15312" t="s">
        <v>29075</v>
      </c>
      <c r="N15312" t="s">
        <v>14</v>
      </c>
    </row>
    <row r="15313" x14ac:dyDescent="0.25">
      <c r="A15313" t="n">
        <v>22</v>
      </c>
      <c r="B15313" t="s">
        <v>14</v>
      </c>
      <c r="C15313" t="s">
        <v>22</v>
      </c>
      <c r="D15313" s="2" t="s">
        <f>=HYPERLINK("https://main.knesset.gov.il/APPS/legislation/main/bills/2081695", "הצעת חוק שיפוט בתי דין רבניים (נישואין וגירושין) (תיקון - נישואין אזרחיים בשטח שגרירות בישראל), התש""ף-2019")</f>
        <v>29427</v>
      </c>
      <c r="E15313" t="s">
        <v>29427</v>
      </c>
      <c r="F15313" t="s">
        <v>29428</v>
      </c>
      <c r="G15313" t="s">
        <v>14</v>
      </c>
      <c r="H15313">
             </c>
      <c r="I15313" t="s">
        <v>14</v>
      </c>
      <c r="J15313" t="s">
        <v>141</v>
      </c>
      <c r="K15313" t="s">
        <v>14</v>
      </c>
      <c r="L15313" t="s">
        <v>20</v>
      </c>
      <c r="M15313" t="s">
        <v>29075</v>
      </c>
      <c r="N15313" t="s">
        <v>14</v>
      </c>
    </row>
    <row r="15314" x14ac:dyDescent="0.25">
      <c r="A15314" t="n">
        <v>22</v>
      </c>
      <c r="B15314" t="s">
        <v>14</v>
      </c>
      <c r="C15314" t="s">
        <v>22</v>
      </c>
      <c r="D15314" s="2" t="s">
        <f>=HYPERLINK("https://main.knesset.gov.il/APPS/legislation/main/bills/2081865", "הצעת חוק הביטוח הלאומי (תיקון - זכות המוסד לתביעה), התש""ף-2019")</f>
        <v>29429</v>
      </c>
      <c r="E15314" t="s">
        <v>29429</v>
      </c>
      <c r="F15314" t="s">
        <v>29430</v>
      </c>
      <c r="G15314" t="s">
        <v>14</v>
      </c>
      <c r="H15314">
             </c>
      <c r="I15314" t="s">
        <v>14</v>
      </c>
      <c r="J15314" t="s">
        <v>141</v>
      </c>
      <c r="K15314" t="s">
        <v>14</v>
      </c>
      <c r="L15314" t="s">
        <v>20</v>
      </c>
      <c r="M15314" t="s">
        <v>29075</v>
      </c>
      <c r="N15314" t="s">
        <v>14</v>
      </c>
    </row>
    <row r="15315" x14ac:dyDescent="0.25">
      <c r="A15315" t="n">
        <v>22</v>
      </c>
      <c r="B15315" t="s">
        <v>14</v>
      </c>
      <c r="C15315" t="s">
        <v>22</v>
      </c>
      <c r="D15315" s="2" t="s">
        <f>=HYPERLINK("https://main.knesset.gov.il/APPS/legislation/main/bills/2081871", "הצעת חוק הביטוח הלאומי (תיקון - דמי פגיעה לעצמאי), התש""ף-2019")</f>
        <v>28198</v>
      </c>
      <c r="E15315" t="s">
        <v>28198</v>
      </c>
      <c r="F15315" t="s">
        <v>29431</v>
      </c>
      <c r="G15315" t="s">
        <v>14</v>
      </c>
      <c r="H15315">
             </c>
      <c r="I15315" t="s">
        <v>14</v>
      </c>
      <c r="J15315" t="s">
        <v>141</v>
      </c>
      <c r="K15315" t="s">
        <v>14</v>
      </c>
      <c r="L15315" t="s">
        <v>20</v>
      </c>
      <c r="M15315" t="s">
        <v>29075</v>
      </c>
      <c r="N15315" t="s">
        <v>14</v>
      </c>
    </row>
    <row r="15316" x14ac:dyDescent="0.25">
      <c r="A15316" t="n">
        <v>22</v>
      </c>
      <c r="B15316" t="s">
        <v>14</v>
      </c>
      <c r="C15316" t="s">
        <v>22</v>
      </c>
      <c r="D15316" s="2" t="s">
        <f>=HYPERLINK("https://main.knesset.gov.il/APPS/legislation/main/bills/2081440", "הצעת חוק ביטוח בריאות ממלכתי (תיקון - תוספת שנתית לסל שירותי הבריאות), התש""ף-2019")</f>
        <v>28076</v>
      </c>
      <c r="E15316" t="s">
        <v>28076</v>
      </c>
      <c r="F15316" t="s">
        <v>29432</v>
      </c>
      <c r="G15316" t="s">
        <v>14</v>
      </c>
      <c r="H15316">
             </c>
      <c r="I15316" t="s">
        <v>14</v>
      </c>
      <c r="J15316" t="s">
        <v>141</v>
      </c>
      <c r="K15316" t="s">
        <v>14</v>
      </c>
      <c r="L15316" t="s">
        <v>20</v>
      </c>
      <c r="M15316" t="s">
        <v>29075</v>
      </c>
      <c r="N15316" t="s">
        <v>14</v>
      </c>
    </row>
    <row r="15317" x14ac:dyDescent="0.25">
      <c r="A15317" t="n">
        <v>22</v>
      </c>
      <c r="B15317" t="s">
        <v>14</v>
      </c>
      <c r="C15317" t="s">
        <v>22</v>
      </c>
      <c r="D15317" s="2" t="s">
        <f>=HYPERLINK("https://main.knesset.gov.il/APPS/legislation/main/bills/2082060", "הצעת חוק לתיקון פקודת המשטרה (אלימות שוטרים ושינויים ארגוניים), התש""ף-2019")</f>
        <v>29433</v>
      </c>
      <c r="E15317" t="s">
        <v>29433</v>
      </c>
      <c r="F15317" t="s">
        <v>29434</v>
      </c>
      <c r="G15317" t="s">
        <v>14</v>
      </c>
      <c r="H15317">
             </c>
      <c r="I15317" t="s">
        <v>14</v>
      </c>
      <c r="J15317" t="s">
        <v>141</v>
      </c>
      <c r="K15317" t="s">
        <v>14</v>
      </c>
      <c r="L15317" t="s">
        <v>20</v>
      </c>
      <c r="M15317" t="s">
        <v>29075</v>
      </c>
      <c r="N15317" t="s">
        <v>14</v>
      </c>
    </row>
    <row r="15318" x14ac:dyDescent="0.25">
      <c r="A15318" t="n">
        <v>22</v>
      </c>
      <c r="B15318" t="s">
        <v>14</v>
      </c>
      <c r="C15318" t="s">
        <v>22</v>
      </c>
      <c r="D15318" s="2" t="s">
        <f>=HYPERLINK("https://main.knesset.gov.il/APPS/legislation/main/bills/2081329", "הצעת חוק הביטוח הלאומי (תיקון - עדכון קצבת אזרח ותיק בהתאם לשכר המינימום), התש""ף-2019")</f>
        <v>29435</v>
      </c>
      <c r="E15318" t="s">
        <v>29435</v>
      </c>
      <c r="F15318" t="s">
        <v>29436</v>
      </c>
      <c r="G15318" t="s">
        <v>14</v>
      </c>
      <c r="H15318">
             </c>
      <c r="I15318" t="s">
        <v>14</v>
      </c>
      <c r="J15318" t="s">
        <v>141</v>
      </c>
      <c r="K15318" t="s">
        <v>14</v>
      </c>
      <c r="L15318" t="s">
        <v>20</v>
      </c>
      <c r="M15318" t="s">
        <v>29075</v>
      </c>
      <c r="N15318" t="s">
        <v>14</v>
      </c>
    </row>
    <row r="15319" x14ac:dyDescent="0.25">
      <c r="A15319" t="n">
        <v>22</v>
      </c>
      <c r="B15319" t="s">
        <v>14</v>
      </c>
      <c r="C15319" t="s">
        <v>22</v>
      </c>
      <c r="D15319" s="2" t="s">
        <f>=HYPERLINK("https://main.knesset.gov.il/APPS/legislation/main/bills/2081377", "הצעת חוק הביטוח הלאומי (תיקון - זכאות לגמלת ניידות לאחר גיל הפרישה), התש""ף-2019")</f>
        <v>29437</v>
      </c>
      <c r="E15319" t="s">
        <v>29437</v>
      </c>
      <c r="F15319" t="s">
        <v>29438</v>
      </c>
      <c r="G15319" t="s">
        <v>14</v>
      </c>
      <c r="H15319">
             </c>
      <c r="I15319" t="s">
        <v>14</v>
      </c>
      <c r="J15319" t="s">
        <v>141</v>
      </c>
      <c r="K15319" t="s">
        <v>14</v>
      </c>
      <c r="L15319" t="s">
        <v>20</v>
      </c>
      <c r="M15319" t="s">
        <v>29075</v>
      </c>
      <c r="N15319" t="s">
        <v>14</v>
      </c>
    </row>
    <row r="15320" x14ac:dyDescent="0.25">
      <c r="A15320" t="n">
        <v>22</v>
      </c>
      <c r="B15320" t="s">
        <v>14</v>
      </c>
      <c r="C15320" t="s">
        <v>22</v>
      </c>
      <c r="D15320" s="2" t="s">
        <f>=HYPERLINK("https://main.knesset.gov.il/APPS/legislation/main/bills/2081752", "הצעת חוק החברות הממשלתיות (תיקון - הבטחת זכויות הפנסיה של עובדים וגמלאים בהפרטה), התש""ף-2019")</f>
        <v>29439</v>
      </c>
      <c r="E15320" t="s">
        <v>29439</v>
      </c>
      <c r="F15320" t="s">
        <v>29440</v>
      </c>
      <c r="G15320" t="s">
        <v>14</v>
      </c>
      <c r="H15320">
             </c>
      <c r="I15320" t="s">
        <v>14</v>
      </c>
      <c r="J15320" t="s">
        <v>141</v>
      </c>
      <c r="K15320" t="s">
        <v>14</v>
      </c>
      <c r="L15320" t="s">
        <v>20</v>
      </c>
      <c r="M15320" t="s">
        <v>29075</v>
      </c>
      <c r="N15320" t="s">
        <v>14</v>
      </c>
    </row>
    <row r="15321" x14ac:dyDescent="0.25">
      <c r="A15321" t="n">
        <v>22</v>
      </c>
      <c r="B15321" t="s">
        <v>14</v>
      </c>
      <c r="C15321" t="s">
        <v>22</v>
      </c>
      <c r="D15321" s="2" t="s">
        <f>=HYPERLINK("https://main.knesset.gov.il/APPS/legislation/main/bills/2081429", "הצעת חוק עסקאות גופים ציבוריים (תיקון - מניעת העסקה במיקור חוץ בשירות הציבורי), התש""ף-2019")</f>
        <v>29441</v>
      </c>
      <c r="E15321" t="s">
        <v>29441</v>
      </c>
      <c r="F15321" t="s">
        <v>29442</v>
      </c>
      <c r="G15321" t="s">
        <v>14</v>
      </c>
      <c r="H15321">
             </c>
      <c r="I15321" t="s">
        <v>14</v>
      </c>
      <c r="J15321" t="s">
        <v>141</v>
      </c>
      <c r="K15321" t="s">
        <v>14</v>
      </c>
      <c r="L15321" t="s">
        <v>20</v>
      </c>
      <c r="M15321" t="s">
        <v>29075</v>
      </c>
      <c r="N15321" t="s">
        <v>14</v>
      </c>
    </row>
    <row r="15322" x14ac:dyDescent="0.25">
      <c r="A15322" t="n">
        <v>22</v>
      </c>
      <c r="B15322" t="s">
        <v>14</v>
      </c>
      <c r="C15322" t="s">
        <v>22</v>
      </c>
      <c r="D15322" s="2" t="s">
        <f>=HYPERLINK("https://main.knesset.gov.il/APPS/legislation/main/bills/2081378", "הצעת חוק ביטוח בריאות ממלכתי (תיקון - שירותי רפואת שיניים), התש""ף-2019")</f>
        <v>29443</v>
      </c>
      <c r="E15322" t="s">
        <v>29443</v>
      </c>
      <c r="F15322" t="s">
        <v>29444</v>
      </c>
      <c r="G15322" t="s">
        <v>14</v>
      </c>
      <c r="H15322">
             </c>
      <c r="I15322" t="s">
        <v>14</v>
      </c>
      <c r="J15322" t="s">
        <v>141</v>
      </c>
      <c r="K15322" t="s">
        <v>14</v>
      </c>
      <c r="L15322" t="s">
        <v>20</v>
      </c>
      <c r="M15322" t="s">
        <v>29075</v>
      </c>
      <c r="N15322" t="s">
        <v>14</v>
      </c>
    </row>
    <row r="15323" x14ac:dyDescent="0.25">
      <c r="A15323" t="n">
        <v>22</v>
      </c>
      <c r="B15323" t="s">
        <v>14</v>
      </c>
      <c r="C15323" t="s">
        <v>22</v>
      </c>
      <c r="D15323" s="2" t="s">
        <f>=HYPERLINK("https://main.knesset.gov.il/APPS/legislation/main/bills/2081516", "הצעת חוק ביטוח בריאות ממלכתי (תיקון - זכות למכשיר ניידות קלנועית), התש״ף-2019")</f>
        <v>29445</v>
      </c>
      <c r="E15323" t="s">
        <v>29445</v>
      </c>
      <c r="F15323" t="s">
        <v>29446</v>
      </c>
      <c r="G15323" t="s">
        <v>14</v>
      </c>
      <c r="H15323">
             </c>
      <c r="I15323" t="s">
        <v>14</v>
      </c>
      <c r="J15323" t="s">
        <v>141</v>
      </c>
      <c r="K15323" t="s">
        <v>14</v>
      </c>
      <c r="L15323" t="s">
        <v>20</v>
      </c>
      <c r="M15323" t="s">
        <v>29075</v>
      </c>
      <c r="N15323" t="s">
        <v>14</v>
      </c>
    </row>
    <row r="15324" x14ac:dyDescent="0.25">
      <c r="A15324" t="n">
        <v>22</v>
      </c>
      <c r="B15324" t="s">
        <v>14</v>
      </c>
      <c r="C15324" t="s">
        <v>22</v>
      </c>
      <c r="D15324" s="2" t="s">
        <f>=HYPERLINK("https://main.knesset.gov.il/APPS/legislation/main/bills/2082079", "הצעת חוק לתיקון סדרי המינהל (החלטות והנמקות) (תיקון - חובת מתן תשובה במועד), התש""ף-2019")</f>
        <v>29447</v>
      </c>
      <c r="E15324" t="s">
        <v>29447</v>
      </c>
      <c r="F15324" t="s">
        <v>29448</v>
      </c>
      <c r="G15324" t="s">
        <v>14</v>
      </c>
      <c r="H15324">
             </c>
      <c r="I15324" t="s">
        <v>14</v>
      </c>
      <c r="J15324" t="s">
        <v>141</v>
      </c>
      <c r="K15324" t="s">
        <v>14</v>
      </c>
      <c r="L15324" t="s">
        <v>20</v>
      </c>
      <c r="M15324" t="s">
        <v>29075</v>
      </c>
      <c r="N15324" t="s">
        <v>14</v>
      </c>
    </row>
    <row r="15325" x14ac:dyDescent="0.25">
      <c r="A15325" t="n">
        <v>22</v>
      </c>
      <c r="B15325" t="s">
        <v>14</v>
      </c>
      <c r="C15325" t="s">
        <v>22</v>
      </c>
      <c r="D15325" s="2" t="s">
        <f>=HYPERLINK("https://main.knesset.gov.il/APPS/legislation/main/bills/2081244", "הצעת חוק עבודת נשים (תיקון - תקופת לידה והורות להורה יחיד), התש""ף-2019")</f>
        <v>29449</v>
      </c>
      <c r="E15325" t="s">
        <v>29449</v>
      </c>
      <c r="F15325" t="s">
        <v>29450</v>
      </c>
      <c r="G15325" t="s">
        <v>14</v>
      </c>
      <c r="H15325">
             </c>
      <c r="I15325" t="s">
        <v>14</v>
      </c>
      <c r="J15325" t="s">
        <v>141</v>
      </c>
      <c r="K15325" t="s">
        <v>14</v>
      </c>
      <c r="L15325" t="s">
        <v>20</v>
      </c>
      <c r="M15325" t="s">
        <v>29075</v>
      </c>
      <c r="N15325" t="s">
        <v>14</v>
      </c>
    </row>
    <row r="15326" x14ac:dyDescent="0.25">
      <c r="A15326" t="n">
        <v>22</v>
      </c>
      <c r="B15326" t="s">
        <v>14</v>
      </c>
      <c r="C15326" t="s">
        <v>22</v>
      </c>
      <c r="D15326" s="2" t="s">
        <f>=HYPERLINK("https://main.knesset.gov.il/APPS/legislation/main/bills/2081296", "הצעת חוק הביטוח הלאומי (תיקון - תשלום גמלה לשמירת היריון עבור כל התקופה), התש""ף-2019")</f>
        <v>29451</v>
      </c>
      <c r="E15326" t="s">
        <v>29451</v>
      </c>
      <c r="F15326" t="s">
        <v>29452</v>
      </c>
      <c r="G15326" t="s">
        <v>14</v>
      </c>
      <c r="H15326">
             </c>
      <c r="I15326" t="s">
        <v>14</v>
      </c>
      <c r="J15326" t="s">
        <v>141</v>
      </c>
      <c r="K15326" t="s">
        <v>14</v>
      </c>
      <c r="L15326" t="s">
        <v>20</v>
      </c>
      <c r="M15326" t="s">
        <v>29075</v>
      </c>
      <c r="N15326" t="s">
        <v>14</v>
      </c>
    </row>
    <row r="15327" x14ac:dyDescent="0.25">
      <c r="A15327" t="n">
        <v>22</v>
      </c>
      <c r="B15327" t="s">
        <v>14</v>
      </c>
      <c r="C15327" t="s">
        <v>22</v>
      </c>
      <c r="D15327" s="2" t="s">
        <f>=HYPERLINK("https://main.knesset.gov.il/APPS/legislation/main/bills/2082076", "הצעת חוק חובת הצגת תג זיהוי והזדהות של עובד ציבור, התש""ף-2019")</f>
        <v>29453</v>
      </c>
      <c r="E15327" t="s">
        <v>29453</v>
      </c>
      <c r="F15327" t="s">
        <v>29454</v>
      </c>
      <c r="G15327" t="s">
        <v>14</v>
      </c>
      <c r="H15327">
             </c>
      <c r="I15327" t="s">
        <v>14</v>
      </c>
      <c r="J15327" t="s">
        <v>141</v>
      </c>
      <c r="K15327" t="s">
        <v>14</v>
      </c>
      <c r="L15327" t="s">
        <v>20</v>
      </c>
      <c r="M15327" t="s">
        <v>29075</v>
      </c>
      <c r="N15327" t="s">
        <v>14</v>
      </c>
    </row>
    <row r="15328" x14ac:dyDescent="0.25">
      <c r="A15328" t="n">
        <v>22</v>
      </c>
      <c r="B15328" t="s">
        <v>14</v>
      </c>
      <c r="C15328" t="s">
        <v>22</v>
      </c>
      <c r="D15328" s="2" t="s">
        <f>=HYPERLINK("https://main.knesset.gov.il/APPS/legislation/main/bills/2081702", "הצעת חוק שוויון זכויות לאנשים עם מוגבלות (תיקון - דיור בקהילה וסיוע אישי), התש""ף-2019")</f>
        <v>29455</v>
      </c>
      <c r="E15328" t="s">
        <v>29455</v>
      </c>
      <c r="F15328" t="s">
        <v>29456</v>
      </c>
      <c r="G15328" t="s">
        <v>14</v>
      </c>
      <c r="H15328">
             </c>
      <c r="I15328" t="s">
        <v>14</v>
      </c>
      <c r="J15328" t="s">
        <v>141</v>
      </c>
      <c r="K15328" t="s">
        <v>14</v>
      </c>
      <c r="L15328" t="s">
        <v>20</v>
      </c>
      <c r="M15328" t="s">
        <v>29075</v>
      </c>
      <c r="N15328" t="s">
        <v>14</v>
      </c>
    </row>
    <row r="15329" x14ac:dyDescent="0.25">
      <c r="A15329" t="n">
        <v>22</v>
      </c>
      <c r="B15329" t="s">
        <v>14</v>
      </c>
      <c r="C15329" t="s">
        <v>22</v>
      </c>
      <c r="D15329" s="2" t="s">
        <f>=HYPERLINK("https://main.knesset.gov.il/APPS/legislation/main/bills/2081774", "הצעת חוק העסקה ישירה של עובדי הוראה, התש""ף-2019")</f>
        <v>29457</v>
      </c>
      <c r="E15329" t="s">
        <v>29457</v>
      </c>
      <c r="F15329" t="s">
        <v>29458</v>
      </c>
      <c r="G15329" t="s">
        <v>14</v>
      </c>
      <c r="H15329">
             </c>
      <c r="I15329" t="s">
        <v>14</v>
      </c>
      <c r="J15329" t="s">
        <v>141</v>
      </c>
      <c r="K15329" t="s">
        <v>14</v>
      </c>
      <c r="L15329" t="s">
        <v>20</v>
      </c>
      <c r="M15329" t="s">
        <v>29075</v>
      </c>
      <c r="N15329" t="s">
        <v>14</v>
      </c>
    </row>
    <row r="15330" x14ac:dyDescent="0.25">
      <c r="A15330" t="n">
        <v>22</v>
      </c>
      <c r="B15330" t="s">
        <v>14</v>
      </c>
      <c r="C15330" t="s">
        <v>22</v>
      </c>
      <c r="D15330" s="2" t="s">
        <f>=HYPERLINK("https://main.knesset.gov.il/APPS/legislation/main/bills/2081745", "הצעת חוק הרשויות המקומיות (התאמת תקציב הרווחה), התש""ף-2019")</f>
        <v>29459</v>
      </c>
      <c r="E15330" t="s">
        <v>29459</v>
      </c>
      <c r="F15330" t="s">
        <v>29460</v>
      </c>
      <c r="G15330" t="s">
        <v>14</v>
      </c>
      <c r="H15330">
             </c>
      <c r="I15330" t="s">
        <v>14</v>
      </c>
      <c r="J15330" t="s">
        <v>141</v>
      </c>
      <c r="K15330" t="s">
        <v>14</v>
      </c>
      <c r="L15330" t="s">
        <v>20</v>
      </c>
      <c r="M15330" t="s">
        <v>29075</v>
      </c>
      <c r="N15330" t="s">
        <v>14</v>
      </c>
    </row>
    <row r="15331" x14ac:dyDescent="0.25">
      <c r="A15331" t="n">
        <v>22</v>
      </c>
      <c r="B15331" t="s">
        <v>14</v>
      </c>
      <c r="C15331" t="s">
        <v>22</v>
      </c>
      <c r="D15331" s="2" t="s">
        <f>=HYPERLINK("https://main.knesset.gov.il/APPS/legislation/main/bills/2081797", "הצעת חוק לתיקון פקודת התעבורה (המבקש להישפט על עבירות קנס), התש""ף-2019")</f>
        <v>29461</v>
      </c>
      <c r="E15331" t="s">
        <v>29461</v>
      </c>
      <c r="F15331" t="s">
        <v>29462</v>
      </c>
      <c r="G15331" t="s">
        <v>14</v>
      </c>
      <c r="H15331">
             </c>
      <c r="I15331" t="s">
        <v>14</v>
      </c>
      <c r="J15331" t="s">
        <v>141</v>
      </c>
      <c r="K15331" t="s">
        <v>14</v>
      </c>
      <c r="L15331" t="s">
        <v>20</v>
      </c>
      <c r="M15331" t="s">
        <v>29075</v>
      </c>
      <c r="N15331" t="s">
        <v>14</v>
      </c>
    </row>
    <row r="15332" x14ac:dyDescent="0.25">
      <c r="A15332" t="n">
        <v>22</v>
      </c>
      <c r="B15332" t="s">
        <v>14</v>
      </c>
      <c r="C15332" t="s">
        <v>22</v>
      </c>
      <c r="D15332" s="2" t="s">
        <f>=HYPERLINK("https://main.knesset.gov.il/APPS/legislation/main/bills/2082082", "הצעת חוק להגברת האכיפה של דיני העבודה (תיקון - הפרת הוראות צווי הרחבה לעניין החזר הוצאות נסיעה), התש""ף-2019")</f>
        <v>29463</v>
      </c>
      <c r="E15332" t="s">
        <v>29463</v>
      </c>
      <c r="F15332" t="s">
        <v>29464</v>
      </c>
      <c r="G15332" t="s">
        <v>14</v>
      </c>
      <c r="H15332">
             </c>
      <c r="I15332" t="s">
        <v>14</v>
      </c>
      <c r="J15332" t="s">
        <v>141</v>
      </c>
      <c r="K15332" t="s">
        <v>14</v>
      </c>
      <c r="L15332" t="s">
        <v>20</v>
      </c>
      <c r="M15332" t="s">
        <v>29075</v>
      </c>
      <c r="N15332" t="s">
        <v>14</v>
      </c>
    </row>
    <row r="15333" x14ac:dyDescent="0.25">
      <c r="A15333" t="n">
        <v>22</v>
      </c>
      <c r="B15333" t="s">
        <v>14</v>
      </c>
      <c r="C15333" t="s">
        <v>22</v>
      </c>
      <c r="D15333" s="2" t="s">
        <f>=HYPERLINK("https://main.knesset.gov.il/APPS/legislation/main/bills/2081670", "הצעת חוק הקמת חדרי מיון קדמיים, התש""ף-2019")</f>
        <v>29465</v>
      </c>
      <c r="E15333" t="s">
        <v>29465</v>
      </c>
      <c r="F15333" t="s">
        <v>29466</v>
      </c>
      <c r="G15333" t="s">
        <v>14</v>
      </c>
      <c r="H15333">
             </c>
      <c r="I15333" t="s">
        <v>14</v>
      </c>
      <c r="J15333" t="s">
        <v>141</v>
      </c>
      <c r="K15333" t="s">
        <v>14</v>
      </c>
      <c r="L15333" t="s">
        <v>20</v>
      </c>
      <c r="M15333" t="s">
        <v>29075</v>
      </c>
      <c r="N15333" t="s">
        <v>14</v>
      </c>
    </row>
    <row r="15334" x14ac:dyDescent="0.25">
      <c r="A15334" t="n">
        <v>22</v>
      </c>
      <c r="B15334" t="s">
        <v>14</v>
      </c>
      <c r="C15334" t="s">
        <v>22</v>
      </c>
      <c r="D15334" s="2" t="s">
        <f>=HYPERLINK("https://main.knesset.gov.il/APPS/legislation/main/bills/2081279", "הצעת חוק התכנון והבנייה (תיקון - חיבור לחשמל) (הוראת שעה), התש""ף-2019")</f>
        <v>27634</v>
      </c>
      <c r="E15334" t="s">
        <v>27634</v>
      </c>
      <c r="F15334" t="s">
        <v>29467</v>
      </c>
      <c r="G15334" t="s">
        <v>14</v>
      </c>
      <c r="H15334">
             </c>
      <c r="I15334" t="s">
        <v>14</v>
      </c>
      <c r="J15334" t="s">
        <v>141</v>
      </c>
      <c r="K15334" t="s">
        <v>14</v>
      </c>
      <c r="L15334" t="s">
        <v>20</v>
      </c>
      <c r="M15334" t="s">
        <v>29075</v>
      </c>
      <c r="N15334" t="s">
        <v>14</v>
      </c>
    </row>
    <row r="15335" x14ac:dyDescent="0.25">
      <c r="A15335" t="n">
        <v>22</v>
      </c>
      <c r="B15335" t="s">
        <v>14</v>
      </c>
      <c r="C15335" t="s">
        <v>22</v>
      </c>
      <c r="D15335" s="2" t="s">
        <f>=HYPERLINK("https://main.knesset.gov.il/APPS/legislation/main/bills/2081764", "הצעת חוק שירות המילואים (תיקון - תוספת גמול לימי מילואים נוספים), התש""ף-2019")</f>
        <v>29425</v>
      </c>
      <c r="E15335" t="s">
        <v>29425</v>
      </c>
      <c r="F15335" t="s">
        <v>29468</v>
      </c>
      <c r="G15335" t="s">
        <v>14</v>
      </c>
      <c r="H15335">
             </c>
      <c r="I15335" t="s">
        <v>14</v>
      </c>
      <c r="J15335" t="s">
        <v>141</v>
      </c>
      <c r="K15335" t="s">
        <v>14</v>
      </c>
      <c r="L15335" t="s">
        <v>20</v>
      </c>
      <c r="M15335" t="s">
        <v>29075</v>
      </c>
      <c r="N15335" t="s">
        <v>14</v>
      </c>
    </row>
    <row r="15336" x14ac:dyDescent="0.25">
      <c r="A15336" t="n">
        <v>22</v>
      </c>
      <c r="B15336" t="s">
        <v>14</v>
      </c>
      <c r="C15336" t="s">
        <v>22</v>
      </c>
      <c r="D15336" s="2" t="s">
        <f>=HYPERLINK("https://main.knesset.gov.il/APPS/legislation/main/bills/2082068", "הצעת חוק הגנה על עובדים בשעת חירום (תיקון - תשלום שכר בעד היעדרות בשל ביטול יום לימודים במוסד חינוך), התש""ף-2019")</f>
        <v>29469</v>
      </c>
      <c r="E15336" t="s">
        <v>29469</v>
      </c>
      <c r="F15336" t="s">
        <v>29470</v>
      </c>
      <c r="G15336" t="s">
        <v>14</v>
      </c>
      <c r="H15336">
             </c>
      <c r="I15336" t="s">
        <v>14</v>
      </c>
      <c r="J15336" t="s">
        <v>141</v>
      </c>
      <c r="K15336" t="s">
        <v>14</v>
      </c>
      <c r="L15336" t="s">
        <v>20</v>
      </c>
      <c r="M15336" t="s">
        <v>29075</v>
      </c>
      <c r="N15336" t="s">
        <v>14</v>
      </c>
    </row>
    <row r="15337" x14ac:dyDescent="0.25">
      <c r="A15337" t="n">
        <v>22</v>
      </c>
      <c r="B15337" t="s">
        <v>14</v>
      </c>
      <c r="C15337" t="s">
        <v>22</v>
      </c>
      <c r="D15337" s="2" t="s">
        <f>=HYPERLINK("https://main.knesset.gov.il/APPS/legislation/main/bills/2081788", "הצעת חוק ארגון הפיקוח על העבודה (תיקון - הודעה על נוכחות חומרים מזיקים במקום העבודה), התש""ף-2019")</f>
        <v>29471</v>
      </c>
      <c r="E15337" t="s">
        <v>29471</v>
      </c>
      <c r="F15337" t="s">
        <v>29472</v>
      </c>
      <c r="G15337" t="s">
        <v>14</v>
      </c>
      <c r="H15337">
             </c>
      <c r="I15337" t="s">
        <v>14</v>
      </c>
      <c r="J15337" t="s">
        <v>141</v>
      </c>
      <c r="K15337" t="s">
        <v>14</v>
      </c>
      <c r="L15337" t="s">
        <v>20</v>
      </c>
      <c r="M15337" t="s">
        <v>29075</v>
      </c>
      <c r="N15337" t="s">
        <v>14</v>
      </c>
    </row>
    <row r="15338" x14ac:dyDescent="0.25">
      <c r="A15338" t="n">
        <v>22</v>
      </c>
      <c r="B15338" t="s">
        <v>14</v>
      </c>
      <c r="C15338" t="s">
        <v>22</v>
      </c>
      <c r="D15338" s="2" t="s">
        <f>=HYPERLINK("https://main.knesset.gov.il/APPS/legislation/main/bills/2081757", "הצעת חוק לתיקון פקודת התעבורה (שילוט אלקטרוני ומערכת כריזה באוטובוס בשפה הערבית), התש""ף-2019")</f>
        <v>29473</v>
      </c>
      <c r="E15338" t="s">
        <v>29473</v>
      </c>
      <c r="F15338" t="s">
        <v>29474</v>
      </c>
      <c r="G15338" t="s">
        <v>14</v>
      </c>
      <c r="H15338">
             </c>
      <c r="I15338" t="s">
        <v>14</v>
      </c>
      <c r="J15338" t="s">
        <v>141</v>
      </c>
      <c r="K15338" t="s">
        <v>14</v>
      </c>
      <c r="L15338" t="s">
        <v>20</v>
      </c>
      <c r="M15338" t="s">
        <v>29075</v>
      </c>
      <c r="N15338" t="s">
        <v>14</v>
      </c>
    </row>
    <row r="15339" x14ac:dyDescent="0.25">
      <c r="A15339" t="n">
        <v>22</v>
      </c>
      <c r="B15339" t="s">
        <v>14</v>
      </c>
      <c r="C15339" t="s">
        <v>22</v>
      </c>
      <c r="D15339" s="2" t="s">
        <f>=HYPERLINK("https://main.knesset.gov.il/APPS/legislation/main/bills/2081532", "הצעת חוק להסדר התדיינויות בסכסוכי משפחה (הוראת שעה) (תיקון - הוספת גירושין בשיתוף פעולה), התש""ף-2019")</f>
        <v>29475</v>
      </c>
      <c r="E15339" t="s">
        <v>29475</v>
      </c>
      <c r="F15339" t="s">
        <v>29476</v>
      </c>
      <c r="G15339" t="s">
        <v>14</v>
      </c>
      <c r="H15339">
             </c>
      <c r="I15339" t="s">
        <v>14</v>
      </c>
      <c r="J15339" t="s">
        <v>141</v>
      </c>
      <c r="K15339" t="s">
        <v>14</v>
      </c>
      <c r="L15339" t="s">
        <v>20</v>
      </c>
      <c r="M15339" t="s">
        <v>29075</v>
      </c>
      <c r="N15339" t="s">
        <v>14</v>
      </c>
    </row>
    <row r="15340" x14ac:dyDescent="0.25">
      <c r="A15340" t="n">
        <v>22</v>
      </c>
      <c r="B15340" t="s">
        <v>14</v>
      </c>
      <c r="C15340" t="s">
        <v>22</v>
      </c>
      <c r="D15340" s="2" t="s">
        <f>=HYPERLINK("https://main.knesset.gov.il/APPS/legislation/main/bills/2082062", "הצעת חוק דמי ביטוח לאומי ודמי ביטוח בריאות מופחתים למי שיצא לפרישה מוקדמת (תיקוני חקיקה), התש""ף-2019")</f>
        <v>29477</v>
      </c>
      <c r="E15340" t="s">
        <v>29477</v>
      </c>
      <c r="F15340" t="s">
        <v>29478</v>
      </c>
      <c r="G15340" t="s">
        <v>14</v>
      </c>
      <c r="H15340">
             </c>
      <c r="I15340" t="s">
        <v>14</v>
      </c>
      <c r="J15340" t="s">
        <v>141</v>
      </c>
      <c r="K15340" t="s">
        <v>14</v>
      </c>
      <c r="L15340" t="s">
        <v>20</v>
      </c>
      <c r="M15340" t="s">
        <v>29075</v>
      </c>
      <c r="N15340" t="s">
        <v>14</v>
      </c>
    </row>
    <row r="15341" x14ac:dyDescent="0.25">
      <c r="A15341" t="n">
        <v>22</v>
      </c>
      <c r="B15341" t="s">
        <v>14</v>
      </c>
      <c r="C15341" t="s">
        <v>22</v>
      </c>
      <c r="D15341" s="2" t="s">
        <f>=HYPERLINK("https://main.knesset.gov.il/APPS/legislation/main/bills/2081390", "הצעת חוק ביטוח בריאות ממלכתי (תיקון - קביעת זמני המתנה ומרחקי נסיעה מרביים לקבלת טיפול רפואי), התש""ף-2019 ")</f>
        <v>29479</v>
      </c>
      <c r="E15341" t="s">
        <v>29479</v>
      </c>
      <c r="F15341" t="s">
        <v>29480</v>
      </c>
      <c r="G15341" t="s">
        <v>14</v>
      </c>
      <c r="H15341">
             </c>
      <c r="I15341" t="s">
        <v>14</v>
      </c>
      <c r="J15341" t="s">
        <v>141</v>
      </c>
      <c r="K15341" t="s">
        <v>14</v>
      </c>
      <c r="L15341" t="s">
        <v>20</v>
      </c>
      <c r="M15341" t="s">
        <v>29075</v>
      </c>
      <c r="N15341" t="s">
        <v>14</v>
      </c>
    </row>
    <row r="15342" x14ac:dyDescent="0.25">
      <c r="A15342" t="n">
        <v>22</v>
      </c>
      <c r="B15342" t="s">
        <v>14</v>
      </c>
      <c r="C15342" t="s">
        <v>22</v>
      </c>
      <c r="D15342" s="2" t="s">
        <f>=HYPERLINK("https://main.knesset.gov.il/APPS/legislation/main/bills/2081537", "הצעת חוק הגנת הצרכן (תיקון - פרסומת ודרכי שיווק אסורות במוסד חינוך), התש""ף-2019")</f>
        <v>29481</v>
      </c>
      <c r="E15342" t="s">
        <v>29481</v>
      </c>
      <c r="F15342" t="s">
        <v>29482</v>
      </c>
      <c r="G15342" t="s">
        <v>14</v>
      </c>
      <c r="H15342">
             </c>
      <c r="I15342" t="s">
        <v>14</v>
      </c>
      <c r="J15342" t="s">
        <v>141</v>
      </c>
      <c r="K15342" t="s">
        <v>14</v>
      </c>
      <c r="L15342" t="s">
        <v>20</v>
      </c>
      <c r="M15342" t="s">
        <v>29075</v>
      </c>
      <c r="N15342" t="s">
        <v>14</v>
      </c>
    </row>
    <row r="15343" x14ac:dyDescent="0.25">
      <c r="A15343" t="n">
        <v>22</v>
      </c>
      <c r="B15343" t="s">
        <v>14</v>
      </c>
      <c r="C15343" t="s">
        <v>22</v>
      </c>
      <c r="D15343" s="2" t="s">
        <f>=HYPERLINK("https://main.knesset.gov.il/APPS/legislation/main/bills/2082069", "הצעת חוק הליך טיפול מזורז על ידי גוף ציבורי בחולה הנוטה למות, התש""ף-2019")</f>
        <v>29483</v>
      </c>
      <c r="E15343" t="s">
        <v>29483</v>
      </c>
      <c r="F15343" t="s">
        <v>29484</v>
      </c>
      <c r="G15343" t="s">
        <v>14</v>
      </c>
      <c r="H15343">
             </c>
      <c r="I15343" t="s">
        <v>14</v>
      </c>
      <c r="J15343" t="s">
        <v>141</v>
      </c>
      <c r="K15343" t="s">
        <v>14</v>
      </c>
      <c r="L15343" t="s">
        <v>20</v>
      </c>
      <c r="M15343" t="s">
        <v>29075</v>
      </c>
      <c r="N15343" t="s">
        <v>14</v>
      </c>
    </row>
    <row r="15344" x14ac:dyDescent="0.25">
      <c r="A15344" t="n">
        <v>22</v>
      </c>
      <c r="B15344" t="s">
        <v>14</v>
      </c>
      <c r="C15344" t="s">
        <v>22</v>
      </c>
      <c r="D15344" s="2" t="s">
        <f>=HYPERLINK("https://main.knesset.gov.il/APPS/legislation/main/bills/2081836", "הצעת חוק הביטוח הלאומי (תיקון - נכה שהגיע לגיל פרישה), התש""ף-2019")</f>
        <v>29485</v>
      </c>
      <c r="E15344" t="s">
        <v>29485</v>
      </c>
      <c r="F15344" t="s">
        <v>29486</v>
      </c>
      <c r="G15344" t="s">
        <v>14</v>
      </c>
      <c r="H15344">
             </c>
      <c r="I15344" t="s">
        <v>14</v>
      </c>
      <c r="J15344" t="s">
        <v>141</v>
      </c>
      <c r="K15344" t="s">
        <v>14</v>
      </c>
      <c r="L15344" t="s">
        <v>20</v>
      </c>
      <c r="M15344" t="s">
        <v>29075</v>
      </c>
      <c r="N15344" t="s">
        <v>14</v>
      </c>
    </row>
    <row r="15345" x14ac:dyDescent="0.25">
      <c r="A15345" t="n">
        <v>22</v>
      </c>
      <c r="B15345" t="s">
        <v>14</v>
      </c>
      <c r="C15345" t="s">
        <v>22</v>
      </c>
      <c r="D15345" s="2" t="s">
        <f>=HYPERLINK("https://main.knesset.gov.il/APPS/legislation/main/bills/2081439", "הצעת חוק בית המשפט לענייני משפחה (תיקון - רשימת כונסי נכסים), התש""ף-2019")</f>
        <v>29487</v>
      </c>
      <c r="E15345" t="s">
        <v>29487</v>
      </c>
      <c r="F15345" t="s">
        <v>29488</v>
      </c>
      <c r="G15345" t="s">
        <v>14</v>
      </c>
      <c r="H15345">
             </c>
      <c r="I15345" t="s">
        <v>14</v>
      </c>
      <c r="J15345" t="s">
        <v>141</v>
      </c>
      <c r="K15345" t="s">
        <v>14</v>
      </c>
      <c r="L15345" t="s">
        <v>20</v>
      </c>
      <c r="M15345" t="s">
        <v>29075</v>
      </c>
      <c r="N15345" t="s">
        <v>14</v>
      </c>
    </row>
    <row r="15346" x14ac:dyDescent="0.25">
      <c r="A15346" t="n">
        <v>22</v>
      </c>
      <c r="B15346" t="s">
        <v>14</v>
      </c>
      <c r="C15346" t="s">
        <v>22</v>
      </c>
      <c r="D15346" s="2" t="s">
        <f>=HYPERLINK("https://main.knesset.gov.il/APPS/legislation/main/bills/2081801", "הצעת חוק הכניסה לישראל (תיקון - הסמכת מבקרים רשמיים לביקור במקום משמורת), התש""ף-2019")</f>
        <v>29489</v>
      </c>
      <c r="E15346" t="s">
        <v>29489</v>
      </c>
      <c r="F15346" t="s">
        <v>29490</v>
      </c>
      <c r="G15346" t="s">
        <v>14</v>
      </c>
      <c r="H15346">
             </c>
      <c r="I15346" t="s">
        <v>14</v>
      </c>
      <c r="J15346" t="s">
        <v>141</v>
      </c>
      <c r="K15346" t="s">
        <v>14</v>
      </c>
      <c r="L15346" t="s">
        <v>20</v>
      </c>
      <c r="M15346" t="s">
        <v>29075</v>
      </c>
      <c r="N15346" t="s">
        <v>14</v>
      </c>
    </row>
    <row r="15347" x14ac:dyDescent="0.25">
      <c r="A15347" t="n">
        <v>22</v>
      </c>
      <c r="B15347" t="s">
        <v>14</v>
      </c>
      <c r="C15347" t="s">
        <v>22</v>
      </c>
      <c r="D15347" s="2" t="s">
        <f>=HYPERLINK("https://main.knesset.gov.il/APPS/legislation/main/bills/2081850", "הצעת חוק הביטוח הלאומי (תיקון - תשלום רטרואקטיבי של גמלאות), התש""ף-2019")</f>
        <v>29491</v>
      </c>
      <c r="E15347" t="s">
        <v>29491</v>
      </c>
      <c r="F15347" t="s">
        <v>29492</v>
      </c>
      <c r="G15347" t="s">
        <v>14</v>
      </c>
      <c r="H15347">
             </c>
      <c r="I15347" t="s">
        <v>14</v>
      </c>
      <c r="J15347" t="s">
        <v>141</v>
      </c>
      <c r="K15347" t="s">
        <v>14</v>
      </c>
      <c r="L15347" t="s">
        <v>20</v>
      </c>
      <c r="M15347" t="s">
        <v>29075</v>
      </c>
      <c r="N15347" t="s">
        <v>14</v>
      </c>
    </row>
    <row r="15348" x14ac:dyDescent="0.25">
      <c r="A15348" t="n">
        <v>22</v>
      </c>
      <c r="B15348" t="s">
        <v>14</v>
      </c>
      <c r="C15348" t="s">
        <v>22</v>
      </c>
      <c r="D15348" s="2" t="s">
        <f>=HYPERLINK("https://main.knesset.gov.il/APPS/legislation/main/bills/2081842", "הצעת חוק הצבת מכשירי החייאה במקומות ציבוריים (תיקון - בדיקות תקינות שנתיות ותיעודן), התש""ף-2019")</f>
        <v>29493</v>
      </c>
      <c r="E15348" t="s">
        <v>29493</v>
      </c>
      <c r="F15348" t="s">
        <v>29494</v>
      </c>
      <c r="G15348" t="s">
        <v>14</v>
      </c>
      <c r="H15348">
             </c>
      <c r="I15348" t="s">
        <v>14</v>
      </c>
      <c r="J15348" t="s">
        <v>141</v>
      </c>
      <c r="K15348" t="s">
        <v>14</v>
      </c>
      <c r="L15348" t="s">
        <v>20</v>
      </c>
      <c r="M15348" t="s">
        <v>29075</v>
      </c>
      <c r="N15348" t="s">
        <v>14</v>
      </c>
    </row>
    <row r="15349" x14ac:dyDescent="0.25">
      <c r="A15349" t="n">
        <v>22</v>
      </c>
      <c r="B15349" t="s">
        <v>14</v>
      </c>
      <c r="C15349" t="s">
        <v>22</v>
      </c>
      <c r="D15349" s="2" t="s">
        <f>=HYPERLINK("https://main.knesset.gov.il/APPS/legislation/main/bills/2081389", "הצעת חוק מועצת הצמחים (ייצור ושיווק) (תיקון - ביטול מועצת הצמחים), התש""ף-2019")</f>
        <v>29495</v>
      </c>
      <c r="E15349" t="s">
        <v>29495</v>
      </c>
      <c r="F15349" t="s">
        <v>29496</v>
      </c>
      <c r="G15349" t="s">
        <v>14</v>
      </c>
      <c r="H15349">
             </c>
      <c r="I15349" t="s">
        <v>14</v>
      </c>
      <c r="J15349" t="s">
        <v>141</v>
      </c>
      <c r="K15349" t="s">
        <v>14</v>
      </c>
      <c r="L15349" t="s">
        <v>20</v>
      </c>
      <c r="M15349" t="s">
        <v>29075</v>
      </c>
      <c r="N15349" t="s">
        <v>14</v>
      </c>
    </row>
    <row r="15350" x14ac:dyDescent="0.25">
      <c r="A15350" t="n">
        <v>22</v>
      </c>
      <c r="B15350" t="s">
        <v>14</v>
      </c>
      <c r="C15350" t="s">
        <v>22</v>
      </c>
      <c r="D15350" s="2" t="s">
        <f>=HYPERLINK("https://main.knesset.gov.il/APPS/legislation/main/bills/2081565", "הצעת חוק הביטוח הלאומי (תיקון - דמי לידה לעצמאיות - מתן זכות לעבודה חלקית), התש""ף-2019")</f>
        <v>28174</v>
      </c>
      <c r="E15350" t="s">
        <v>28174</v>
      </c>
      <c r="F15350" t="s">
        <v>29497</v>
      </c>
      <c r="G15350" t="s">
        <v>14</v>
      </c>
      <c r="H15350">
             </c>
      <c r="I15350" t="s">
        <v>14</v>
      </c>
      <c r="J15350" t="s">
        <v>141</v>
      </c>
      <c r="K15350" t="s">
        <v>14</v>
      </c>
      <c r="L15350" t="s">
        <v>20</v>
      </c>
      <c r="M15350" t="s">
        <v>29075</v>
      </c>
      <c r="N15350" t="s">
        <v>14</v>
      </c>
    </row>
    <row r="15351" x14ac:dyDescent="0.25">
      <c r="A15351" t="n">
        <v>22</v>
      </c>
      <c r="B15351" t="s">
        <v>14</v>
      </c>
      <c r="C15351" t="s">
        <v>22</v>
      </c>
      <c r="D15351" s="2" t="s">
        <f>=HYPERLINK("https://main.knesset.gov.il/APPS/legislation/main/bills/2081805", "הצעת חוק מתן פטור מתשלום חשבונות עבור שירותים חיוניים לחיילים בודדים, התש""ף-2019")</f>
        <v>29498</v>
      </c>
      <c r="E15351" t="s">
        <v>29498</v>
      </c>
      <c r="F15351" t="s">
        <v>29499</v>
      </c>
      <c r="G15351" t="s">
        <v>14</v>
      </c>
      <c r="H15351">
             </c>
      <c r="I15351" t="s">
        <v>14</v>
      </c>
      <c r="J15351" t="s">
        <v>141</v>
      </c>
      <c r="K15351" t="s">
        <v>14</v>
      </c>
      <c r="L15351" t="s">
        <v>20</v>
      </c>
      <c r="M15351" t="s">
        <v>29075</v>
      </c>
      <c r="N15351" t="s">
        <v>14</v>
      </c>
    </row>
    <row r="15352" x14ac:dyDescent="0.25">
      <c r="A15352" t="n">
        <v>22</v>
      </c>
      <c r="B15352" t="s">
        <v>14</v>
      </c>
      <c r="C15352" t="s">
        <v>22</v>
      </c>
      <c r="D15352" s="2" t="s">
        <f>=HYPERLINK("https://main.knesset.gov.il/APPS/legislation/main/bills/2081995", "הצעת חוק האזרחים הוותיקים (תיקון - פטור מתשלום בתחבורה ציבורית), התש""ף-2019")</f>
        <v>29500</v>
      </c>
      <c r="E15352" t="s">
        <v>29500</v>
      </c>
      <c r="F15352" t="s">
        <v>29501</v>
      </c>
      <c r="G15352" t="s">
        <v>14</v>
      </c>
      <c r="H15352">
             </c>
      <c r="I15352" t="s">
        <v>14</v>
      </c>
      <c r="J15352" t="s">
        <v>141</v>
      </c>
      <c r="K15352" t="s">
        <v>14</v>
      </c>
      <c r="L15352" t="s">
        <v>20</v>
      </c>
      <c r="M15352" t="s">
        <v>29075</v>
      </c>
      <c r="N15352" t="s">
        <v>14</v>
      </c>
    </row>
    <row r="15353" x14ac:dyDescent="0.25">
      <c r="A15353" t="n">
        <v>22</v>
      </c>
      <c r="B15353" t="s">
        <v>14</v>
      </c>
      <c r="C15353" t="s">
        <v>22</v>
      </c>
      <c r="D15353" s="2" t="s">
        <f>=HYPERLINK("https://main.knesset.gov.il/APPS/legislation/main/bills/2081309", "הצעת חוק האזרחים הוותיקים (תיקון - פטור מתשלום בתחבורה ציבורית), התש""ף-2019")</f>
        <v>29500</v>
      </c>
      <c r="E15353" t="s">
        <v>29500</v>
      </c>
      <c r="F15353" t="s">
        <v>29502</v>
      </c>
      <c r="G15353" t="s">
        <v>14</v>
      </c>
      <c r="H15353">
             </c>
      <c r="I15353" t="s">
        <v>14</v>
      </c>
      <c r="J15353" t="s">
        <v>141</v>
      </c>
      <c r="K15353" t="s">
        <v>14</v>
      </c>
      <c r="L15353" t="s">
        <v>20</v>
      </c>
      <c r="M15353" t="s">
        <v>29075</v>
      </c>
      <c r="N15353" t="s">
        <v>14</v>
      </c>
    </row>
    <row r="15354" x14ac:dyDescent="0.25">
      <c r="A15354" t="n">
        <v>22</v>
      </c>
      <c r="B15354" t="s">
        <v>14</v>
      </c>
      <c r="C15354" t="s">
        <v>22</v>
      </c>
      <c r="D15354" s="2" t="s">
        <f>=HYPERLINK("https://main.knesset.gov.il/APPS/legislation/main/bills/2081689", "הצעת חוק שוויון זכויות לאנשים עם מוגבלות (תיקון - בירור תלונות ופיקוח על שמירת זכויות של אנשים עם מוגבלות במסגרות מגורים), התש""ף-2019")</f>
        <v>29503</v>
      </c>
      <c r="E15354" t="s">
        <v>29503</v>
      </c>
      <c r="F15354" t="s">
        <v>29504</v>
      </c>
      <c r="G15354" t="s">
        <v>14</v>
      </c>
      <c r="H15354">
             </c>
      <c r="I15354" t="s">
        <v>14</v>
      </c>
      <c r="J15354" t="s">
        <v>141</v>
      </c>
      <c r="K15354" t="s">
        <v>14</v>
      </c>
      <c r="L15354" t="s">
        <v>20</v>
      </c>
      <c r="M15354" t="s">
        <v>29075</v>
      </c>
      <c r="N15354" t="s">
        <v>14</v>
      </c>
    </row>
    <row r="15355" x14ac:dyDescent="0.25">
      <c r="A15355" t="n">
        <v>22</v>
      </c>
      <c r="B15355" t="s">
        <v>14</v>
      </c>
      <c r="C15355" t="s">
        <v>22</v>
      </c>
      <c r="D15355" s="2" t="s">
        <f>=HYPERLINK("https://main.knesset.gov.il/APPS/legislation/main/bills/2081526", "הצעת חוק הביטוח הלאומי (תיקון - אי שלילת זכאות לקצבת שאירים בשל הכנסה מפנסיה), התש""ף-2019")</f>
        <v>29505</v>
      </c>
      <c r="E15355" t="s">
        <v>29505</v>
      </c>
      <c r="F15355" t="s">
        <v>29506</v>
      </c>
      <c r="G15355" t="s">
        <v>14</v>
      </c>
      <c r="H15355">
             </c>
      <c r="I15355" t="s">
        <v>14</v>
      </c>
      <c r="J15355" t="s">
        <v>141</v>
      </c>
      <c r="K15355" t="s">
        <v>14</v>
      </c>
      <c r="L15355" t="s">
        <v>20</v>
      </c>
      <c r="M15355" t="s">
        <v>29075</v>
      </c>
      <c r="N15355" t="s">
        <v>14</v>
      </c>
    </row>
    <row r="15356" x14ac:dyDescent="0.25">
      <c r="A15356" t="n">
        <v>22</v>
      </c>
      <c r="B15356" t="s">
        <v>14</v>
      </c>
      <c r="C15356" t="s">
        <v>22</v>
      </c>
      <c r="D15356" s="2" t="s">
        <f>=HYPERLINK("https://main.knesset.gov.il/APPS/legislation/main/bills/2081693", "הצעת חוק ביטוח בריאות ממלכתי (תיקון - זמן סביר לעניין שירות רפואי), התש""ף-2019")</f>
        <v>29507</v>
      </c>
      <c r="E15356" t="s">
        <v>29507</v>
      </c>
      <c r="F15356" t="s">
        <v>29508</v>
      </c>
      <c r="G15356" t="s">
        <v>14</v>
      </c>
      <c r="H15356">
             </c>
      <c r="I15356" t="s">
        <v>14</v>
      </c>
      <c r="J15356" t="s">
        <v>141</v>
      </c>
      <c r="K15356" t="s">
        <v>14</v>
      </c>
      <c r="L15356" t="s">
        <v>20</v>
      </c>
      <c r="M15356" t="s">
        <v>29075</v>
      </c>
      <c r="N15356" t="s">
        <v>14</v>
      </c>
    </row>
    <row r="15357" x14ac:dyDescent="0.25">
      <c r="A15357" t="n">
        <v>22</v>
      </c>
      <c r="B15357" t="s">
        <v>14</v>
      </c>
      <c r="C15357" t="s">
        <v>22</v>
      </c>
      <c r="D15357" s="2" t="s">
        <f>=HYPERLINK("https://main.knesset.gov.il/APPS/legislation/main/bills/2081831", "הצעת חוק לימוד חובה (תיקון - תקופת שנת הלימודים וחופשות), התש""ף-2019")</f>
        <v>28542</v>
      </c>
      <c r="E15357" t="s">
        <v>28542</v>
      </c>
      <c r="F15357" t="s">
        <v>29509</v>
      </c>
      <c r="G15357" t="s">
        <v>14</v>
      </c>
      <c r="H15357">
             </c>
      <c r="I15357" t="s">
        <v>14</v>
      </c>
      <c r="J15357" t="s">
        <v>141</v>
      </c>
      <c r="K15357" t="s">
        <v>14</v>
      </c>
      <c r="L15357" t="s">
        <v>20</v>
      </c>
      <c r="M15357" t="s">
        <v>29075</v>
      </c>
      <c r="N15357" t="s">
        <v>14</v>
      </c>
    </row>
    <row r="15358" x14ac:dyDescent="0.25">
      <c r="A15358" t="n">
        <v>22</v>
      </c>
      <c r="B15358" t="s">
        <v>14</v>
      </c>
      <c r="C15358" t="s">
        <v>22</v>
      </c>
      <c r="D15358" s="2" t="s">
        <f>=HYPERLINK("https://main.knesset.gov.il/APPS/legislation/main/bills/2081877", "הצעת חוק לתיקון פקודת הבנקאות (הגבלת עמלת פירעון מוקדם של הלוואה לדיור), התש""ף-2019")</f>
        <v>29510</v>
      </c>
      <c r="E15358" t="s">
        <v>29510</v>
      </c>
      <c r="F15358" t="s">
        <v>29511</v>
      </c>
      <c r="G15358" t="s">
        <v>14</v>
      </c>
      <c r="H15358">
             </c>
      <c r="I15358" t="s">
        <v>14</v>
      </c>
      <c r="J15358" t="s">
        <v>141</v>
      </c>
      <c r="K15358" t="s">
        <v>14</v>
      </c>
      <c r="L15358" t="s">
        <v>20</v>
      </c>
      <c r="M15358" t="s">
        <v>29075</v>
      </c>
      <c r="N15358" t="s">
        <v>14</v>
      </c>
    </row>
    <row r="15359" x14ac:dyDescent="0.25">
      <c r="A15359" t="n">
        <v>22</v>
      </c>
      <c r="B15359" t="s">
        <v>14</v>
      </c>
      <c r="C15359" t="s">
        <v>22</v>
      </c>
      <c r="D15359" s="2" t="s">
        <f>=HYPERLINK("https://main.knesset.gov.il/APPS/legislation/main/bills/2082094", "הצעת חוק המזונות (הבטחת תשלום) (תיקון - סכום שלא יובא בחשבון במבחן ההכנסה), התש""ף-2019")</f>
        <v>27867</v>
      </c>
      <c r="E15359" t="s">
        <v>27867</v>
      </c>
      <c r="F15359" t="s">
        <v>29512</v>
      </c>
      <c r="G15359" t="s">
        <v>14</v>
      </c>
      <c r="H15359">
             </c>
      <c r="I15359" t="s">
        <v>14</v>
      </c>
      <c r="J15359" t="s">
        <v>141</v>
      </c>
      <c r="K15359" t="s">
        <v>14</v>
      </c>
      <c r="L15359" t="s">
        <v>20</v>
      </c>
      <c r="M15359" t="s">
        <v>29075</v>
      </c>
      <c r="N15359" t="s">
        <v>14</v>
      </c>
    </row>
    <row r="15360" x14ac:dyDescent="0.25">
      <c r="A15360" t="n">
        <v>22</v>
      </c>
      <c r="B15360" t="s">
        <v>14</v>
      </c>
      <c r="C15360" t="s">
        <v>22</v>
      </c>
      <c r="D15360" s="2" t="s">
        <f>=HYPERLINK("https://main.knesset.gov.il/APPS/legislation/main/bills/2081881", "הצעת חוק הבנקאות (שירות ללקוח) (תיקון - הפחתת יוקר תשלומי הלוואה לדיור), התש""ף-2019")</f>
        <v>29513</v>
      </c>
      <c r="E15360" t="s">
        <v>29513</v>
      </c>
      <c r="F15360" t="s">
        <v>29514</v>
      </c>
      <c r="G15360" t="s">
        <v>14</v>
      </c>
      <c r="H15360">
             </c>
      <c r="I15360" t="s">
        <v>14</v>
      </c>
      <c r="J15360" t="s">
        <v>141</v>
      </c>
      <c r="K15360" t="s">
        <v>14</v>
      </c>
      <c r="L15360" t="s">
        <v>20</v>
      </c>
      <c r="M15360" t="s">
        <v>29075</v>
      </c>
      <c r="N15360" t="s">
        <v>14</v>
      </c>
    </row>
    <row r="15361" x14ac:dyDescent="0.25">
      <c r="A15361" t="n">
        <v>22</v>
      </c>
      <c r="B15361" t="s">
        <v>14</v>
      </c>
      <c r="C15361" t="s">
        <v>22</v>
      </c>
      <c r="D15361" s="2" t="s">
        <f>=HYPERLINK("https://main.knesset.gov.il/APPS/legislation/main/bills/2081515", "הצעת חוק איסור הפליה של תלמידים במערכת החינוך (תיקוני חקיקה), התש""ף-2019")</f>
        <v>29515</v>
      </c>
      <c r="E15361" t="s">
        <v>29515</v>
      </c>
      <c r="F15361" t="s">
        <v>29516</v>
      </c>
      <c r="G15361" t="s">
        <v>14</v>
      </c>
      <c r="H15361">
             </c>
      <c r="I15361" t="s">
        <v>14</v>
      </c>
      <c r="J15361" t="s">
        <v>141</v>
      </c>
      <c r="K15361" t="s">
        <v>14</v>
      </c>
      <c r="L15361" t="s">
        <v>20</v>
      </c>
      <c r="M15361" t="s">
        <v>29075</v>
      </c>
      <c r="N15361" t="s">
        <v>14</v>
      </c>
    </row>
    <row r="15362" x14ac:dyDescent="0.25">
      <c r="A15362" t="n">
        <v>22</v>
      </c>
      <c r="B15362" t="s">
        <v>14</v>
      </c>
      <c r="C15362" t="s">
        <v>22</v>
      </c>
      <c r="D15362" s="2" t="s">
        <f>=HYPERLINK("https://main.knesset.gov.il/APPS/legislation/main/bills/2081810", "הצעת חוק המזונות (הבטחת תשלום) (תיקון - סכום שלא יובא בחשבון במבחן ההכנסה), התש""ף-2019")</f>
        <v>27867</v>
      </c>
      <c r="E15362" t="s">
        <v>27867</v>
      </c>
      <c r="F15362" t="s">
        <v>29517</v>
      </c>
      <c r="G15362" t="s">
        <v>14</v>
      </c>
      <c r="H15362">
             </c>
      <c r="I15362" t="s">
        <v>14</v>
      </c>
      <c r="J15362" t="s">
        <v>141</v>
      </c>
      <c r="K15362" t="s">
        <v>14</v>
      </c>
      <c r="L15362" t="s">
        <v>20</v>
      </c>
      <c r="M15362" t="s">
        <v>29075</v>
      </c>
      <c r="N15362" t="s">
        <v>14</v>
      </c>
    </row>
    <row r="15363" x14ac:dyDescent="0.25">
      <c r="A15363" t="n">
        <v>22</v>
      </c>
      <c r="B15363" t="s">
        <v>14</v>
      </c>
      <c r="C15363" t="s">
        <v>22</v>
      </c>
      <c r="D15363" s="2" t="s">
        <f>=HYPERLINK("https://main.knesset.gov.il/APPS/legislation/main/bills/2082064", "הצעת חוק הביטוח הלאומי (תיקון - הודעה לפני גביית חוב), התש""ף-2019")</f>
        <v>29518</v>
      </c>
      <c r="E15363" t="s">
        <v>29518</v>
      </c>
      <c r="F15363" t="s">
        <v>29519</v>
      </c>
      <c r="G15363" t="s">
        <v>14</v>
      </c>
      <c r="H15363">
             </c>
      <c r="I15363" t="s">
        <v>14</v>
      </c>
      <c r="J15363" t="s">
        <v>141</v>
      </c>
      <c r="K15363" t="s">
        <v>14</v>
      </c>
      <c r="L15363" t="s">
        <v>20</v>
      </c>
      <c r="M15363" t="s">
        <v>29075</v>
      </c>
      <c r="N15363" t="s">
        <v>14</v>
      </c>
    </row>
    <row r="15364" x14ac:dyDescent="0.25">
      <c r="A15364" t="n">
        <v>22</v>
      </c>
      <c r="B15364" t="s">
        <v>14</v>
      </c>
      <c r="C15364" t="s">
        <v>22</v>
      </c>
      <c r="D15364" s="2" t="s">
        <f>=HYPERLINK("https://main.knesset.gov.il/APPS/legislation/main/bills/2082073", "הצעת חוק זכויות הדייר בדיור הציבורי (תיקון - זכות למגורים בדירה ציבורית לנשים ששהו במקלט לנשים מוכות), התש""ף-2019")</f>
        <v>29520</v>
      </c>
      <c r="E15364" t="s">
        <v>29520</v>
      </c>
      <c r="F15364" t="s">
        <v>29521</v>
      </c>
      <c r="G15364" t="s">
        <v>14</v>
      </c>
      <c r="H15364">
             </c>
      <c r="I15364" t="s">
        <v>14</v>
      </c>
      <c r="J15364" t="s">
        <v>141</v>
      </c>
      <c r="K15364" t="s">
        <v>14</v>
      </c>
      <c r="L15364" t="s">
        <v>20</v>
      </c>
      <c r="M15364" t="s">
        <v>29075</v>
      </c>
      <c r="N15364" t="s">
        <v>14</v>
      </c>
    </row>
    <row r="15365" x14ac:dyDescent="0.25">
      <c r="A15365" t="n">
        <v>22</v>
      </c>
      <c r="B15365" t="s">
        <v>14</v>
      </c>
      <c r="C15365" t="s">
        <v>22</v>
      </c>
      <c r="D15365" s="2" t="s">
        <f>=HYPERLINK("https://main.knesset.gov.il/APPS/legislation/main/bills/2081206", "הצעת חוק לימוד חובה (תיקון - חינוך חינם לפעוטות ולילדים), התש""ף-2019")</f>
        <v>27720</v>
      </c>
      <c r="E15365" t="s">
        <v>27720</v>
      </c>
      <c r="F15365" t="s">
        <v>29522</v>
      </c>
      <c r="G15365" t="s">
        <v>14</v>
      </c>
      <c r="H15365">
             </c>
      <c r="I15365" t="s">
        <v>14</v>
      </c>
      <c r="J15365" t="s">
        <v>141</v>
      </c>
      <c r="K15365" t="s">
        <v>14</v>
      </c>
      <c r="L15365" t="s">
        <v>20</v>
      </c>
      <c r="M15365" t="s">
        <v>29075</v>
      </c>
      <c r="N15365" t="s">
        <v>14</v>
      </c>
    </row>
    <row r="15366" x14ac:dyDescent="0.25">
      <c r="A15366" t="n">
        <v>22</v>
      </c>
      <c r="B15366" t="s">
        <v>14</v>
      </c>
      <c r="C15366" t="s">
        <v>22</v>
      </c>
      <c r="D15366" s="2" t="s">
        <f>=HYPERLINK("https://main.knesset.gov.il/APPS/legislation/main/bills/2082081", "הצעת חוק סיוע לקטינים נפגעי עבירות מין או אלימות (תיקון - טיפול נפשי לילדים נפגעי אלימות במשפחה), התש""ף-2019")</f>
        <v>29523</v>
      </c>
      <c r="E15366" t="s">
        <v>29523</v>
      </c>
      <c r="F15366" t="s">
        <v>29524</v>
      </c>
      <c r="G15366" t="s">
        <v>14</v>
      </c>
      <c r="H15366">
             </c>
      <c r="I15366" t="s">
        <v>14</v>
      </c>
      <c r="J15366" t="s">
        <v>141</v>
      </c>
      <c r="K15366" t="s">
        <v>14</v>
      </c>
      <c r="L15366" t="s">
        <v>20</v>
      </c>
      <c r="M15366" t="s">
        <v>29075</v>
      </c>
      <c r="N15366" t="s">
        <v>14</v>
      </c>
    </row>
    <row r="15367" x14ac:dyDescent="0.25">
      <c r="A15367" t="n">
        <v>22</v>
      </c>
      <c r="B15367" t="s">
        <v>14</v>
      </c>
      <c r="C15367" t="s">
        <v>22</v>
      </c>
      <c r="D15367" s="2" t="s">
        <f>=HYPERLINK("https://main.knesset.gov.il/APPS/legislation/main/bills/2082061", "הצעת חוק לתיקון פקודת מס הכנסה (ביטול הפטור על רווח הון ממכירת איגרת חוב או מילווה של מדינת ישראל לתושב חוץ), התש""ף-2019")</f>
        <v>29525</v>
      </c>
      <c r="E15367" t="s">
        <v>29525</v>
      </c>
      <c r="F15367" t="s">
        <v>29526</v>
      </c>
      <c r="G15367" t="s">
        <v>14</v>
      </c>
      <c r="H15367">
             </c>
      <c r="I15367" t="s">
        <v>14</v>
      </c>
      <c r="J15367" t="s">
        <v>141</v>
      </c>
      <c r="K15367" t="s">
        <v>14</v>
      </c>
      <c r="L15367" t="s">
        <v>20</v>
      </c>
      <c r="M15367" t="s">
        <v>29075</v>
      </c>
      <c r="N15367" t="s">
        <v>14</v>
      </c>
    </row>
    <row r="15368" x14ac:dyDescent="0.25">
      <c r="A15368" t="n">
        <v>22</v>
      </c>
      <c r="B15368" t="s">
        <v>14</v>
      </c>
      <c r="C15368" t="s">
        <v>22</v>
      </c>
      <c r="D15368" s="2" t="s">
        <f>=HYPERLINK("https://main.knesset.gov.il/APPS/legislation/main/bills/2081435", "הצעת חוק הבחירות לכנסת (תיקון - הצבעת אזרחים מחוץ לישראל), התש""ף-2019")</f>
        <v>29527</v>
      </c>
      <c r="E15368" t="s">
        <v>29527</v>
      </c>
      <c r="F15368" t="s">
        <v>29528</v>
      </c>
      <c r="G15368" t="s">
        <v>14</v>
      </c>
      <c r="H15368">
             </c>
      <c r="I15368" t="s">
        <v>14</v>
      </c>
      <c r="J15368" t="s">
        <v>141</v>
      </c>
      <c r="K15368" t="s">
        <v>14</v>
      </c>
      <c r="L15368" t="s">
        <v>20</v>
      </c>
      <c r="M15368" t="s">
        <v>29075</v>
      </c>
      <c r="N15368" t="s">
        <v>14</v>
      </c>
    </row>
    <row r="15369" x14ac:dyDescent="0.25">
      <c r="A15369" t="n">
        <v>22</v>
      </c>
      <c r="B15369" t="s">
        <v>14</v>
      </c>
      <c r="C15369" t="s">
        <v>22</v>
      </c>
      <c r="D15369" s="2" t="s">
        <f>=HYPERLINK("https://main.knesset.gov.il/APPS/legislation/main/bills/2081387", "הצעת חוק הנחה לחיילי צה""ל בשירות סדיר בדמי נסיעה בתחבורה ציבורית, התש""ף-2019")</f>
        <v>29529</v>
      </c>
      <c r="E15369" t="s">
        <v>29529</v>
      </c>
      <c r="F15369" t="s">
        <v>29530</v>
      </c>
      <c r="G15369" t="s">
        <v>14</v>
      </c>
      <c r="H15369">
             </c>
      <c r="I15369" t="s">
        <v>14</v>
      </c>
      <c r="J15369" t="s">
        <v>141</v>
      </c>
      <c r="K15369" t="s">
        <v>14</v>
      </c>
      <c r="L15369" t="s">
        <v>20</v>
      </c>
      <c r="M15369" t="s">
        <v>29075</v>
      </c>
      <c r="N15369" t="s">
        <v>14</v>
      </c>
    </row>
    <row r="15370" x14ac:dyDescent="0.25">
      <c r="A15370" t="n">
        <v>22</v>
      </c>
      <c r="B15370" t="s">
        <v>14</v>
      </c>
      <c r="C15370" t="s">
        <v>22</v>
      </c>
      <c r="D15370" s="2" t="s">
        <f>=HYPERLINK("https://main.knesset.gov.il/APPS/legislation/main/bills/2081662", "הצעת חוק איסור ייבוא ומכירת כבד של בעלי חיים שעברו התעללות, התש""ף-2019")</f>
        <v>29531</v>
      </c>
      <c r="E15370" t="s">
        <v>29531</v>
      </c>
      <c r="F15370" t="s">
        <v>29532</v>
      </c>
      <c r="G15370" t="s">
        <v>14</v>
      </c>
      <c r="H15370">
             </c>
      <c r="I15370" t="s">
        <v>14</v>
      </c>
      <c r="J15370" t="s">
        <v>141</v>
      </c>
      <c r="K15370" t="s">
        <v>14</v>
      </c>
      <c r="L15370" t="s">
        <v>20</v>
      </c>
      <c r="M15370" t="s">
        <v>29075</v>
      </c>
      <c r="N15370" t="s">
        <v>14</v>
      </c>
    </row>
    <row r="15371" x14ac:dyDescent="0.25">
      <c r="A15371" t="n">
        <v>22</v>
      </c>
      <c r="B15371" t="s">
        <v>14</v>
      </c>
      <c r="C15371" t="s">
        <v>22</v>
      </c>
      <c r="D15371" s="2" t="s">
        <f>=HYPERLINK("https://main.knesset.gov.il/APPS/legislation/main/bills/2081403", "הצעת חוק נציבות הדורות הבאים, התש""ף-2019")</f>
        <v>29533</v>
      </c>
      <c r="E15371" t="s">
        <v>29533</v>
      </c>
      <c r="F15371" t="s">
        <v>29534</v>
      </c>
      <c r="G15371" t="s">
        <v>14</v>
      </c>
      <c r="H15371">
             </c>
      <c r="I15371" t="s">
        <v>14</v>
      </c>
      <c r="J15371" t="s">
        <v>141</v>
      </c>
      <c r="K15371" t="s">
        <v>14</v>
      </c>
      <c r="L15371" t="s">
        <v>20</v>
      </c>
      <c r="M15371" t="s">
        <v>29075</v>
      </c>
      <c r="N15371" t="s">
        <v>14</v>
      </c>
    </row>
    <row r="15372" x14ac:dyDescent="0.25">
      <c r="A15372" t="n">
        <v>22</v>
      </c>
      <c r="B15372" t="s">
        <v>14</v>
      </c>
      <c r="C15372" t="s">
        <v>22</v>
      </c>
      <c r="D15372" s="2" t="s">
        <f>=HYPERLINK("https://main.knesset.gov.il/APPS/legislation/main/bills/2081866", "הצעת חוק המשתתף החופשי, התש""ף-2019")</f>
        <v>29535</v>
      </c>
      <c r="E15372" t="s">
        <v>29535</v>
      </c>
      <c r="F15372" t="s">
        <v>29536</v>
      </c>
      <c r="G15372" t="s">
        <v>14</v>
      </c>
      <c r="H15372">
             </c>
      <c r="I15372" t="s">
        <v>14</v>
      </c>
      <c r="J15372" t="s">
        <v>141</v>
      </c>
      <c r="K15372" t="s">
        <v>14</v>
      </c>
      <c r="L15372" t="s">
        <v>20</v>
      </c>
      <c r="M15372" t="s">
        <v>29075</v>
      </c>
      <c r="N15372" t="s">
        <v>14</v>
      </c>
    </row>
    <row r="15373" x14ac:dyDescent="0.25">
      <c r="A15373" t="n">
        <v>22</v>
      </c>
      <c r="B15373" t="s">
        <v>14</v>
      </c>
      <c r="C15373" t="s">
        <v>22</v>
      </c>
      <c r="D15373" s="2" t="s">
        <f>=HYPERLINK("https://main.knesset.gov.il/APPS/legislation/main/bills/2081739", "הצעת חוק שכר מינימום (תיקון - עוולה נזיקית וקובלנה), התש""ף-2019")</f>
        <v>29537</v>
      </c>
      <c r="E15373" t="s">
        <v>29537</v>
      </c>
      <c r="F15373" t="s">
        <v>29538</v>
      </c>
      <c r="G15373" t="s">
        <v>14</v>
      </c>
      <c r="H15373">
             </c>
      <c r="I15373" t="s">
        <v>14</v>
      </c>
      <c r="J15373" t="s">
        <v>141</v>
      </c>
      <c r="K15373" t="s">
        <v>14</v>
      </c>
      <c r="L15373" t="s">
        <v>20</v>
      </c>
      <c r="M15373" t="s">
        <v>29075</v>
      </c>
      <c r="N15373" t="s">
        <v>14</v>
      </c>
    </row>
    <row r="15374" x14ac:dyDescent="0.25">
      <c r="A15374" t="n">
        <v>22</v>
      </c>
      <c r="B15374" t="s">
        <v>14</v>
      </c>
      <c r="C15374" t="s">
        <v>22</v>
      </c>
      <c r="D15374" s="2" t="s">
        <f>=HYPERLINK("https://main.knesset.gov.il/APPS/legislation/main/bills/2081735", "הצעת חוק הפנסיה (מועד תחילת הביטוח הפנסיוני), התש""ף-2019")</f>
        <v>29539</v>
      </c>
      <c r="E15374" t="s">
        <v>29539</v>
      </c>
      <c r="F15374" t="s">
        <v>29540</v>
      </c>
      <c r="G15374" t="s">
        <v>14</v>
      </c>
      <c r="H15374">
             </c>
      <c r="I15374" t="s">
        <v>14</v>
      </c>
      <c r="J15374" t="s">
        <v>141</v>
      </c>
      <c r="K15374" t="s">
        <v>14</v>
      </c>
      <c r="L15374" t="s">
        <v>20</v>
      </c>
      <c r="M15374" t="s">
        <v>29075</v>
      </c>
      <c r="N15374" t="s">
        <v>14</v>
      </c>
    </row>
    <row r="15375" x14ac:dyDescent="0.25">
      <c r="A15375" t="n">
        <v>22</v>
      </c>
      <c r="B15375" t="s">
        <v>14</v>
      </c>
      <c r="C15375" t="s">
        <v>22</v>
      </c>
      <c r="D15375" s="2" t="s">
        <f>=HYPERLINK("https://main.knesset.gov.il/APPS/legislation/main/bills/2081748", "הצעת חוק פיצויי פיטורים (תיקון - הזכות לפיצויי פיטורים בעת סיום יחסי עבודה), התש""ף-2019")</f>
        <v>29541</v>
      </c>
      <c r="E15375" t="s">
        <v>29541</v>
      </c>
      <c r="F15375" t="s">
        <v>29542</v>
      </c>
      <c r="G15375" t="s">
        <v>14</v>
      </c>
      <c r="H15375">
             </c>
      <c r="I15375" t="s">
        <v>14</v>
      </c>
      <c r="J15375" t="s">
        <v>141</v>
      </c>
      <c r="K15375" t="s">
        <v>14</v>
      </c>
      <c r="L15375" t="s">
        <v>20</v>
      </c>
      <c r="M15375" t="s">
        <v>29075</v>
      </c>
      <c r="N15375" t="s">
        <v>14</v>
      </c>
    </row>
    <row r="15376" x14ac:dyDescent="0.25">
      <c r="A15376" t="n">
        <v>22</v>
      </c>
      <c r="B15376" t="s">
        <v>14</v>
      </c>
      <c r="C15376" t="s">
        <v>22</v>
      </c>
      <c r="D15376" s="2" t="s">
        <f>=HYPERLINK("https://main.knesset.gov.il/APPS/legislation/main/bills/2081756", "הצעת חוק השוואת תנאי שכר לקבוצות שאסור להפלותן (תיקוני חקיקה), התש""ף-2019")</f>
        <v>29543</v>
      </c>
      <c r="E15376" t="s">
        <v>29543</v>
      </c>
      <c r="F15376" t="s">
        <v>29544</v>
      </c>
      <c r="G15376" t="s">
        <v>14</v>
      </c>
      <c r="H15376">
             </c>
      <c r="I15376" t="s">
        <v>14</v>
      </c>
      <c r="J15376" t="s">
        <v>141</v>
      </c>
      <c r="K15376" t="s">
        <v>14</v>
      </c>
      <c r="L15376" t="s">
        <v>20</v>
      </c>
      <c r="M15376" t="s">
        <v>29075</v>
      </c>
      <c r="N15376" t="s">
        <v>14</v>
      </c>
    </row>
    <row r="15377" x14ac:dyDescent="0.25">
      <c r="A15377" t="n">
        <v>22</v>
      </c>
      <c r="B15377" t="s">
        <v>14</v>
      </c>
      <c r="C15377" t="s">
        <v>22</v>
      </c>
      <c r="D15377" s="2" t="s">
        <f>=HYPERLINK("https://main.knesset.gov.il/APPS/legislation/main/bills/2081875", "הצעת חוק עבודת נשים (תיקון - תקופת לידה והורות לגבר), התש""ף-2019")</f>
        <v>28940</v>
      </c>
      <c r="E15377" t="s">
        <v>28940</v>
      </c>
      <c r="F15377" t="s">
        <v>29545</v>
      </c>
      <c r="G15377" t="s">
        <v>14</v>
      </c>
      <c r="H15377">
             </c>
      <c r="I15377" t="s">
        <v>14</v>
      </c>
      <c r="J15377" t="s">
        <v>141</v>
      </c>
      <c r="K15377" t="s">
        <v>14</v>
      </c>
      <c r="L15377" t="s">
        <v>20</v>
      </c>
      <c r="M15377" t="s">
        <v>29075</v>
      </c>
      <c r="N15377" t="s">
        <v>14</v>
      </c>
    </row>
    <row r="15378" x14ac:dyDescent="0.25">
      <c r="A15378" t="n">
        <v>22</v>
      </c>
      <c r="B15378" t="s">
        <v>14</v>
      </c>
      <c r="C15378" t="s">
        <v>22</v>
      </c>
      <c r="D15378" s="2" t="s">
        <f>=HYPERLINK("https://main.knesset.gov.il/APPS/legislation/main/bills/2081873", "הצעת חוק הרישום למוסדות להשכלה גבוהה, התש""ף-2019")</f>
        <v>29546</v>
      </c>
      <c r="E15378" t="s">
        <v>29546</v>
      </c>
      <c r="F15378" t="s">
        <v>29547</v>
      </c>
      <c r="G15378" t="s">
        <v>14</v>
      </c>
      <c r="H15378">
             </c>
      <c r="I15378" t="s">
        <v>14</v>
      </c>
      <c r="J15378" t="s">
        <v>141</v>
      </c>
      <c r="K15378" t="s">
        <v>14</v>
      </c>
      <c r="L15378" t="s">
        <v>20</v>
      </c>
      <c r="M15378" t="s">
        <v>29075</v>
      </c>
      <c r="N15378" t="s">
        <v>14</v>
      </c>
    </row>
    <row r="15379" x14ac:dyDescent="0.25">
      <c r="A15379" t="n">
        <v>22</v>
      </c>
      <c r="B15379" t="s">
        <v>14</v>
      </c>
      <c r="C15379" t="s">
        <v>22</v>
      </c>
      <c r="D15379" s="2" t="s">
        <f>=HYPERLINK("https://main.knesset.gov.il/APPS/legislation/main/bills/2081592", "הצעת חוק הסעה בטיחותית לילדים ולפעוטות עם מוגבלות (תיקון - הרחבת ההגדרה מוסד חינוך), התש""ף-2019")</f>
        <v>29548</v>
      </c>
      <c r="E15379" t="s">
        <v>29548</v>
      </c>
      <c r="F15379" t="s">
        <v>29549</v>
      </c>
      <c r="G15379" t="s">
        <v>14</v>
      </c>
      <c r="H15379">
             </c>
      <c r="I15379" t="s">
        <v>14</v>
      </c>
      <c r="J15379" t="s">
        <v>141</v>
      </c>
      <c r="K15379" t="s">
        <v>14</v>
      </c>
      <c r="L15379" t="s">
        <v>20</v>
      </c>
      <c r="M15379" t="s">
        <v>29075</v>
      </c>
      <c r="N15379" t="s">
        <v>14</v>
      </c>
    </row>
    <row r="15380" x14ac:dyDescent="0.25">
      <c r="A15380" t="n">
        <v>22</v>
      </c>
      <c r="B15380" t="s">
        <v>14</v>
      </c>
      <c r="C15380" t="s">
        <v>22</v>
      </c>
      <c r="D15380" s="2" t="s">
        <f>=HYPERLINK("https://main.knesset.gov.il/APPS/legislation/main/bills/2081466", "הצעת חוק להגנת חיית הבר (תיקון - איסור מכירת פרוות), התש""ף-2019 ")</f>
        <v>29550</v>
      </c>
      <c r="E15380" t="s">
        <v>29550</v>
      </c>
      <c r="F15380" t="s">
        <v>29551</v>
      </c>
      <c r="G15380" t="s">
        <v>14</v>
      </c>
      <c r="H15380">
             </c>
      <c r="I15380" t="s">
        <v>14</v>
      </c>
      <c r="J15380" t="s">
        <v>141</v>
      </c>
      <c r="K15380" t="s">
        <v>14</v>
      </c>
      <c r="L15380" t="s">
        <v>20</v>
      </c>
      <c r="M15380" t="s">
        <v>29075</v>
      </c>
      <c r="N15380" t="s">
        <v>14</v>
      </c>
    </row>
    <row r="15381" x14ac:dyDescent="0.25">
      <c r="A15381" t="n">
        <v>22</v>
      </c>
      <c r="B15381" t="s">
        <v>14</v>
      </c>
      <c r="C15381" t="s">
        <v>22</v>
      </c>
      <c r="D15381" s="2" t="s">
        <f>=HYPERLINK("https://main.knesset.gov.il/APPS/legislation/main/bills/2081382", "הצעת חוק חובת דיווח שנתי על מצב הטבע והמגוון הביולוגי בישראל, התש""ף-2019 ")</f>
        <v>29552</v>
      </c>
      <c r="E15381" t="s">
        <v>29552</v>
      </c>
      <c r="F15381" t="s">
        <v>29553</v>
      </c>
      <c r="G15381" t="s">
        <v>14</v>
      </c>
      <c r="H15381">
             </c>
      <c r="I15381" t="s">
        <v>14</v>
      </c>
      <c r="J15381" t="s">
        <v>141</v>
      </c>
      <c r="K15381" t="s">
        <v>14</v>
      </c>
      <c r="L15381" t="s">
        <v>20</v>
      </c>
      <c r="M15381" t="s">
        <v>29075</v>
      </c>
      <c r="N15381" t="s">
        <v>14</v>
      </c>
    </row>
    <row r="15382" x14ac:dyDescent="0.25">
      <c r="A15382" t="n">
        <v>22</v>
      </c>
      <c r="B15382" t="s">
        <v>14</v>
      </c>
      <c r="C15382" t="s">
        <v>22</v>
      </c>
      <c r="D15382" s="2" t="s">
        <f>=HYPERLINK("https://main.knesset.gov.il/APPS/legislation/main/bills/2081340", "הצעת חוק להגנת חיית הבר (תיקון - איסור שימוש ברעל ובחומרי הדברה), התש""ף-2019 ")</f>
        <v>29554</v>
      </c>
      <c r="E15382" t="s">
        <v>29554</v>
      </c>
      <c r="F15382" t="s">
        <v>29555</v>
      </c>
      <c r="G15382" t="s">
        <v>14</v>
      </c>
      <c r="H15382">
             </c>
      <c r="I15382" t="s">
        <v>14</v>
      </c>
      <c r="J15382" t="s">
        <v>141</v>
      </c>
      <c r="K15382" t="s">
        <v>14</v>
      </c>
      <c r="L15382" t="s">
        <v>20</v>
      </c>
      <c r="M15382" t="s">
        <v>29075</v>
      </c>
      <c r="N15382" t="s">
        <v>14</v>
      </c>
    </row>
    <row r="15383" x14ac:dyDescent="0.25">
      <c r="A15383" t="n">
        <v>22</v>
      </c>
      <c r="B15383" t="s">
        <v>14</v>
      </c>
      <c r="C15383" t="s">
        <v>22</v>
      </c>
      <c r="D15383" s="2" t="s">
        <f>=HYPERLINK("https://main.knesset.gov.il/APPS/legislation/main/bills/2081679", "הצעת חוק צער בעלי חיים (הגנה על בעלי חיים) (תיקון - ביטול כלובים בתעשיית הביצים), התש""ף-2019 ")</f>
        <v>29556</v>
      </c>
      <c r="E15383" t="s">
        <v>29556</v>
      </c>
      <c r="F15383" t="s">
        <v>29557</v>
      </c>
      <c r="G15383" t="s">
        <v>14</v>
      </c>
      <c r="H15383">
             </c>
      <c r="I15383" t="s">
        <v>14</v>
      </c>
      <c r="J15383" t="s">
        <v>141</v>
      </c>
      <c r="K15383" t="s">
        <v>14</v>
      </c>
      <c r="L15383" t="s">
        <v>20</v>
      </c>
      <c r="M15383" t="s">
        <v>29075</v>
      </c>
      <c r="N15383" t="s">
        <v>14</v>
      </c>
    </row>
    <row r="15384" x14ac:dyDescent="0.25">
      <c r="A15384" t="n">
        <v>22</v>
      </c>
      <c r="B15384" t="s">
        <v>14</v>
      </c>
      <c r="C15384" t="s">
        <v>22</v>
      </c>
      <c r="D15384" s="2" t="s">
        <f>=HYPERLINK("https://main.knesset.gov.il/APPS/legislation/main/bills/2081872", "הצעת חוק שכר ותנאי עבודה לנהגי תחבורה ציבורית, התש""ף-2019")</f>
        <v>29558</v>
      </c>
      <c r="E15384" t="s">
        <v>29558</v>
      </c>
      <c r="F15384" t="s">
        <v>29559</v>
      </c>
      <c r="G15384" t="s">
        <v>14</v>
      </c>
      <c r="H15384">
             </c>
      <c r="I15384" t="s">
        <v>14</v>
      </c>
      <c r="J15384" t="s">
        <v>141</v>
      </c>
      <c r="K15384" t="s">
        <v>14</v>
      </c>
      <c r="L15384" t="s">
        <v>20</v>
      </c>
      <c r="M15384" t="s">
        <v>29075</v>
      </c>
      <c r="N15384" t="s">
        <v>14</v>
      </c>
    </row>
    <row r="15385" x14ac:dyDescent="0.25">
      <c r="A15385" t="n">
        <v>22</v>
      </c>
      <c r="B15385" t="s">
        <v>14</v>
      </c>
      <c r="C15385" t="s">
        <v>22</v>
      </c>
      <c r="D15385" s="2" t="s">
        <f>=HYPERLINK("https://main.knesset.gov.il/APPS/legislation/main/bills/2083068", "הצעת חוק מס רכוש וקרן פיצויים (תיקון - פיצוי לענף המסעדות ואולמות האירועים בתחום ישוב ספר והוראת שעה), התש""ף-2019")</f>
        <v>29560</v>
      </c>
      <c r="E15385" t="s">
        <v>29560</v>
      </c>
      <c r="F15385" t="s">
        <v>29561</v>
      </c>
      <c r="G15385" t="s">
        <v>14</v>
      </c>
      <c r="H15385">
             </c>
      <c r="I15385" t="s">
        <v>14</v>
      </c>
      <c r="J15385" t="s">
        <v>141</v>
      </c>
      <c r="K15385" t="s">
        <v>14</v>
      </c>
      <c r="L15385" t="s">
        <v>20</v>
      </c>
      <c r="M15385" t="s">
        <v>29562</v>
      </c>
      <c r="N15385" t="s">
        <v>14</v>
      </c>
    </row>
    <row r="15386" x14ac:dyDescent="0.25">
      <c r="A15386" t="n">
        <v>22</v>
      </c>
      <c r="B15386" t="s">
        <v>14</v>
      </c>
      <c r="C15386" t="s">
        <v>22</v>
      </c>
      <c r="D15386" s="2" t="s">
        <f>=HYPERLINK("https://main.knesset.gov.il/APPS/legislation/main/bills/2081584", "הצעת חוק למניעת הטרדה מינית (תיקון - חיוב מוסדות חינוך להעביר לימודי מוגנות ומניעת הטרדה מינית), התש""ף-2019")</f>
        <v>29563</v>
      </c>
      <c r="E15386" t="s">
        <v>29563</v>
      </c>
      <c r="F15386" t="s">
        <v>29564</v>
      </c>
      <c r="G15386" t="s">
        <v>14</v>
      </c>
      <c r="H15386">
             </c>
      <c r="I15386" t="s">
        <v>14</v>
      </c>
      <c r="J15386" t="s">
        <v>141</v>
      </c>
      <c r="K15386" t="s">
        <v>14</v>
      </c>
      <c r="L15386" t="s">
        <v>20</v>
      </c>
      <c r="M15386" t="s">
        <v>29562</v>
      </c>
      <c r="N15386" t="s">
        <v>14</v>
      </c>
    </row>
    <row r="15387" x14ac:dyDescent="0.25">
      <c r="A15387" t="n">
        <v>22</v>
      </c>
      <c r="B15387" t="s">
        <v>14</v>
      </c>
      <c r="C15387" t="s">
        <v>22</v>
      </c>
      <c r="D15387" s="2" t="s">
        <f>=HYPERLINK("https://main.knesset.gov.il/APPS/legislation/main/bills/2083390", "הצעת חוק לתיקון פקודת הראיות (פסילת ראיה), התש""ף-2019")</f>
        <v>29565</v>
      </c>
      <c r="E15387" t="s">
        <v>29565</v>
      </c>
      <c r="F15387" t="s">
        <v>29566</v>
      </c>
      <c r="G15387" t="s">
        <v>14</v>
      </c>
      <c r="H15387">
             </c>
      <c r="I15387" t="s">
        <v>14</v>
      </c>
      <c r="J15387" t="s">
        <v>141</v>
      </c>
      <c r="K15387" t="s">
        <v>14</v>
      </c>
      <c r="L15387" t="s">
        <v>20</v>
      </c>
      <c r="M15387" t="s">
        <v>29562</v>
      </c>
      <c r="N15387" t="s">
        <v>14</v>
      </c>
    </row>
    <row r="15388" x14ac:dyDescent="0.25">
      <c r="A15388" t="n">
        <v>22</v>
      </c>
      <c r="B15388" t="s">
        <v>14</v>
      </c>
      <c r="C15388" t="s">
        <v>22</v>
      </c>
      <c r="D15388" s="2" t="s">
        <f>=HYPERLINK("https://main.knesset.gov.il/APPS/legislation/main/bills/2081676", "הצעת חוק זכויות החולה (תיקון - זכות מטופל לקבל רשומות רפואיות), התש""ף-2019")</f>
        <v>29567</v>
      </c>
      <c r="E15388" t="s">
        <v>29567</v>
      </c>
      <c r="F15388" t="s">
        <v>29568</v>
      </c>
      <c r="G15388" t="s">
        <v>14</v>
      </c>
      <c r="H15388">
             </c>
      <c r="I15388" t="s">
        <v>14</v>
      </c>
      <c r="J15388" t="s">
        <v>141</v>
      </c>
      <c r="K15388" t="s">
        <v>14</v>
      </c>
      <c r="L15388" t="s">
        <v>20</v>
      </c>
      <c r="M15388" t="s">
        <v>29562</v>
      </c>
      <c r="N15388" t="s">
        <v>14</v>
      </c>
    </row>
    <row r="15389" x14ac:dyDescent="0.25">
      <c r="A15389" t="n">
        <v>22</v>
      </c>
      <c r="B15389" t="s">
        <v>14</v>
      </c>
      <c r="C15389" t="s">
        <v>22</v>
      </c>
      <c r="D15389" s="2" t="s">
        <f>=HYPERLINK("https://main.knesset.gov.il/APPS/legislation/main/bills/2081666", "הצעת חוק ביטול איסור התארגנות במשטרה ובשירות בתי הסוהר (תיקוני חקיקה), התש""ף-2019")</f>
        <v>29569</v>
      </c>
      <c r="E15389" t="s">
        <v>29569</v>
      </c>
      <c r="F15389" t="s">
        <v>29570</v>
      </c>
      <c r="G15389" t="s">
        <v>14</v>
      </c>
      <c r="H15389">
             </c>
      <c r="I15389" t="s">
        <v>14</v>
      </c>
      <c r="J15389" t="s">
        <v>141</v>
      </c>
      <c r="K15389" t="s">
        <v>14</v>
      </c>
      <c r="L15389" t="s">
        <v>20</v>
      </c>
      <c r="M15389" t="s">
        <v>29562</v>
      </c>
      <c r="N15389" t="s">
        <v>14</v>
      </c>
    </row>
    <row r="15390" x14ac:dyDescent="0.25">
      <c r="A15390" t="n">
        <v>22</v>
      </c>
      <c r="B15390" t="s">
        <v>14</v>
      </c>
      <c r="C15390" t="s">
        <v>22</v>
      </c>
      <c r="D15390" s="2" t="s">
        <f>=HYPERLINK("https://main.knesset.gov.il/APPS/legislation/main/bills/2081841", "הצעת חוק האזרחים הוותיקים (תיקון - הנחה בארנונה לאזרח ותיק המתגורר בדירה שאינה בהחזקתו), התש""ף-2019")</f>
        <v>29571</v>
      </c>
      <c r="E15390" t="s">
        <v>29571</v>
      </c>
      <c r="F15390" t="s">
        <v>29572</v>
      </c>
      <c r="G15390" t="s">
        <v>14</v>
      </c>
      <c r="H15390">
             </c>
      <c r="I15390" t="s">
        <v>14</v>
      </c>
      <c r="J15390" t="s">
        <v>141</v>
      </c>
      <c r="K15390" t="s">
        <v>14</v>
      </c>
      <c r="L15390" t="s">
        <v>20</v>
      </c>
      <c r="M15390" t="s">
        <v>29562</v>
      </c>
      <c r="N15390" t="s">
        <v>14</v>
      </c>
    </row>
    <row r="15391" x14ac:dyDescent="0.25">
      <c r="A15391" t="n">
        <v>22</v>
      </c>
      <c r="B15391" t="s">
        <v>14</v>
      </c>
      <c r="C15391" t="s">
        <v>22</v>
      </c>
      <c r="D15391" s="2" t="s">
        <f>=HYPERLINK("https://main.knesset.gov.il/APPS/legislation/main/bills/2081654", "הצעת חוק שוויון זכויות לאנשים עם מוגבלות (תיקון - חובת נגישות באוטובוסים בין-עירוניים), התש""ף-2019")</f>
        <v>29573</v>
      </c>
      <c r="E15391" t="s">
        <v>29573</v>
      </c>
      <c r="F15391" t="s">
        <v>29574</v>
      </c>
      <c r="G15391" t="s">
        <v>14</v>
      </c>
      <c r="H15391">
             </c>
      <c r="I15391" t="s">
        <v>14</v>
      </c>
      <c r="J15391" t="s">
        <v>141</v>
      </c>
      <c r="K15391" t="s">
        <v>14</v>
      </c>
      <c r="L15391" t="s">
        <v>20</v>
      </c>
      <c r="M15391" t="s">
        <v>29562</v>
      </c>
      <c r="N15391" t="s">
        <v>14</v>
      </c>
    </row>
    <row r="15392" x14ac:dyDescent="0.25">
      <c r="A15392" t="n">
        <v>22</v>
      </c>
      <c r="B15392" t="s">
        <v>14</v>
      </c>
      <c r="C15392" t="s">
        <v>22</v>
      </c>
      <c r="D15392" s="2" t="s">
        <f>=HYPERLINK("https://main.knesset.gov.il/APPS/legislation/main/bills/2081820", "הצעת חוק הביטוח הלאומי (תיקון - דמי אבטלה למי שנמצא בהכשרה מקצועית), התש""ף-2019")</f>
        <v>29575</v>
      </c>
      <c r="E15392" t="s">
        <v>29575</v>
      </c>
      <c r="F15392" t="s">
        <v>29576</v>
      </c>
      <c r="G15392" t="s">
        <v>14</v>
      </c>
      <c r="H15392">
             </c>
      <c r="I15392" t="s">
        <v>14</v>
      </c>
      <c r="J15392" t="s">
        <v>141</v>
      </c>
      <c r="K15392" t="s">
        <v>14</v>
      </c>
      <c r="L15392" t="s">
        <v>20</v>
      </c>
      <c r="M15392" t="s">
        <v>29562</v>
      </c>
      <c r="N15392" t="s">
        <v>14</v>
      </c>
    </row>
    <row r="15393" x14ac:dyDescent="0.25">
      <c r="A15393" t="n">
        <v>22</v>
      </c>
      <c r="B15393" t="s">
        <v>14</v>
      </c>
      <c r="C15393" t="s">
        <v>22</v>
      </c>
      <c r="D15393" s="2" t="s">
        <f>=HYPERLINK("https://main.knesset.gov.il/APPS/legislation/main/bills/2081644", "הצעת חוק לתיקון פקודת מס הכנסה (זיכוי וניכוי בגין הוצאות טיפול בילדים), התש""ף-2019")</f>
        <v>29577</v>
      </c>
      <c r="E15393" t="s">
        <v>29577</v>
      </c>
      <c r="F15393" t="s">
        <v>29578</v>
      </c>
      <c r="G15393" t="s">
        <v>14</v>
      </c>
      <c r="H15393">
             </c>
      <c r="I15393" t="s">
        <v>14</v>
      </c>
      <c r="J15393" t="s">
        <v>141</v>
      </c>
      <c r="K15393" t="s">
        <v>14</v>
      </c>
      <c r="L15393" t="s">
        <v>20</v>
      </c>
      <c r="M15393" t="s">
        <v>29562</v>
      </c>
      <c r="N15393" t="s">
        <v>14</v>
      </c>
    </row>
    <row r="15394" x14ac:dyDescent="0.25">
      <c r="A15394" t="n">
        <v>22</v>
      </c>
      <c r="B15394" t="s">
        <v>14</v>
      </c>
      <c r="C15394" t="s">
        <v>22</v>
      </c>
      <c r="D15394" s="2" t="s">
        <f>=HYPERLINK("https://main.knesset.gov.il/APPS/legislation/main/bills/2081779", "הצעת חוק הבחירות לכנסת (תיקון - שלילת הזכות לשכר ביום הבחירות ממי שאינו מצביע), התש""ף-2019")</f>
        <v>29579</v>
      </c>
      <c r="E15394" t="s">
        <v>29579</v>
      </c>
      <c r="F15394" t="s">
        <v>29580</v>
      </c>
      <c r="G15394" t="s">
        <v>14</v>
      </c>
      <c r="H15394">
             </c>
      <c r="I15394" t="s">
        <v>14</v>
      </c>
      <c r="J15394" t="s">
        <v>141</v>
      </c>
      <c r="K15394" t="s">
        <v>14</v>
      </c>
      <c r="L15394" t="s">
        <v>20</v>
      </c>
      <c r="M15394" t="s">
        <v>29562</v>
      </c>
      <c r="N15394" t="s">
        <v>14</v>
      </c>
    </row>
    <row r="15395" x14ac:dyDescent="0.25">
      <c r="A15395" t="n">
        <v>22</v>
      </c>
      <c r="B15395" t="s">
        <v>14</v>
      </c>
      <c r="C15395" t="s">
        <v>22</v>
      </c>
      <c r="D15395" s="2" t="s">
        <f>=HYPERLINK("https://main.knesset.gov.il/APPS/legislation/main/bills/2081882", "הצעת חוק האזרחים הוותיקים (תיקון - סבסוד מלא של נסיעות בתחבורה ציבורית לניצולי שואה ולאסירי ציון), התש""ף-2019")</f>
        <v>29581</v>
      </c>
      <c r="E15395" t="s">
        <v>29581</v>
      </c>
      <c r="F15395" t="s">
        <v>29582</v>
      </c>
      <c r="G15395" t="s">
        <v>14</v>
      </c>
      <c r="H15395">
             </c>
      <c r="I15395" t="s">
        <v>14</v>
      </c>
      <c r="J15395" t="s">
        <v>141</v>
      </c>
      <c r="K15395" t="s">
        <v>14</v>
      </c>
      <c r="L15395" t="s">
        <v>20</v>
      </c>
      <c r="M15395" t="s">
        <v>29562</v>
      </c>
      <c r="N15395" t="s">
        <v>14</v>
      </c>
    </row>
    <row r="15396" x14ac:dyDescent="0.25">
      <c r="A15396" t="n">
        <v>22</v>
      </c>
      <c r="B15396" t="s">
        <v>14</v>
      </c>
      <c r="C15396" t="s">
        <v>22</v>
      </c>
      <c r="D15396" s="2" t="s">
        <f>=HYPERLINK("https://main.knesset.gov.il/APPS/legislation/main/bills/2081642", "הצעת חוק חופש המידע (תיקון - מידע על נגישות), התש""ף-2019")</f>
        <v>29583</v>
      </c>
      <c r="E15396" t="s">
        <v>29583</v>
      </c>
      <c r="F15396" t="s">
        <v>29584</v>
      </c>
      <c r="G15396" t="s">
        <v>14</v>
      </c>
      <c r="H15396">
             </c>
      <c r="I15396" t="s">
        <v>14</v>
      </c>
      <c r="J15396" t="s">
        <v>141</v>
      </c>
      <c r="K15396" t="s">
        <v>14</v>
      </c>
      <c r="L15396" t="s">
        <v>20</v>
      </c>
      <c r="M15396" t="s">
        <v>29562</v>
      </c>
      <c r="N15396" t="s">
        <v>14</v>
      </c>
    </row>
    <row r="15397" x14ac:dyDescent="0.25">
      <c r="A15397" t="n">
        <v>22</v>
      </c>
      <c r="B15397" t="s">
        <v>14</v>
      </c>
      <c r="C15397" t="s">
        <v>22</v>
      </c>
      <c r="D15397" s="2" t="s">
        <f>=HYPERLINK("https://main.knesset.gov.il/APPS/legislation/main/bills/2081775", "הצעת חוק האזרחים הוותיקים (תיקון - סבסוד מלא של נסיעות בתחבורה ציבורית לניצולי שואה ולאסירי ציון), התש""ף-2019")</f>
        <v>29581</v>
      </c>
      <c r="E15397" t="s">
        <v>29581</v>
      </c>
      <c r="F15397" t="s">
        <v>29585</v>
      </c>
      <c r="G15397" t="s">
        <v>14</v>
      </c>
      <c r="H15397">
             </c>
      <c r="I15397" t="s">
        <v>14</v>
      </c>
      <c r="J15397" t="s">
        <v>141</v>
      </c>
      <c r="K15397" t="s">
        <v>14</v>
      </c>
      <c r="L15397" t="s">
        <v>20</v>
      </c>
      <c r="M15397" t="s">
        <v>29562</v>
      </c>
      <c r="N15397" t="s">
        <v>14</v>
      </c>
    </row>
    <row r="15398" x14ac:dyDescent="0.25">
      <c r="A15398" t="n">
        <v>22</v>
      </c>
      <c r="B15398" t="s">
        <v>14</v>
      </c>
      <c r="C15398" t="s">
        <v>22</v>
      </c>
      <c r="D15398" s="2" t="s">
        <f>=HYPERLINK("https://main.knesset.gov.il/APPS/legislation/main/bills/2081636", "הצעת חוק ההוצאה לפועל (תיקון - הגבלת עיקול מיטלטליו של קשיש), התש""ף-2019")</f>
        <v>27667</v>
      </c>
      <c r="E15398" t="s">
        <v>27667</v>
      </c>
      <c r="F15398" t="s">
        <v>29586</v>
      </c>
      <c r="G15398" t="s">
        <v>14</v>
      </c>
      <c r="H15398">
             </c>
      <c r="I15398" t="s">
        <v>14</v>
      </c>
      <c r="J15398" t="s">
        <v>141</v>
      </c>
      <c r="K15398" t="s">
        <v>14</v>
      </c>
      <c r="L15398" t="s">
        <v>20</v>
      </c>
      <c r="M15398" t="s">
        <v>29562</v>
      </c>
      <c r="N15398" t="s">
        <v>14</v>
      </c>
    </row>
    <row r="15399" x14ac:dyDescent="0.25">
      <c r="A15399" t="n">
        <v>22</v>
      </c>
      <c r="B15399" t="s">
        <v>14</v>
      </c>
      <c r="C15399" t="s">
        <v>22</v>
      </c>
      <c r="D15399" s="2" t="s">
        <f>=HYPERLINK("https://main.knesset.gov.il/APPS/legislation/main/bills/2081486", "הצעת חוק הקלות במס על רכישת מכשיר ניידות מסוג קלנועית (תיקוני חקיקה), התש""ף-2019")</f>
        <v>29587</v>
      </c>
      <c r="E15399" t="s">
        <v>29587</v>
      </c>
      <c r="F15399" t="s">
        <v>29588</v>
      </c>
      <c r="G15399" t="s">
        <v>14</v>
      </c>
      <c r="H15399">
             </c>
      <c r="I15399" t="s">
        <v>14</v>
      </c>
      <c r="J15399" t="s">
        <v>141</v>
      </c>
      <c r="K15399" t="s">
        <v>14</v>
      </c>
      <c r="L15399" t="s">
        <v>20</v>
      </c>
      <c r="M15399" t="s">
        <v>29562</v>
      </c>
      <c r="N15399" t="s">
        <v>14</v>
      </c>
    </row>
    <row r="15400" x14ac:dyDescent="0.25">
      <c r="A15400" t="n">
        <v>22</v>
      </c>
      <c r="B15400" t="s">
        <v>14</v>
      </c>
      <c r="C15400" t="s">
        <v>22</v>
      </c>
      <c r="D15400" s="2" t="s">
        <f>=HYPERLINK("https://main.knesset.gov.il/APPS/legislation/main/bills/2081658", "הצעת חוק-יסוד: מגילת העצמאות ")</f>
        <v>29589</v>
      </c>
      <c r="E15400" t="s">
        <v>29589</v>
      </c>
      <c r="F15400" t="s">
        <v>29590</v>
      </c>
      <c r="G15400" t="s">
        <v>14</v>
      </c>
      <c r="H15400">
             </c>
      <c r="I15400" t="s">
        <v>14</v>
      </c>
      <c r="J15400" t="s">
        <v>141</v>
      </c>
      <c r="K15400" t="s">
        <v>14</v>
      </c>
      <c r="L15400" t="s">
        <v>20</v>
      </c>
      <c r="M15400" t="s">
        <v>29562</v>
      </c>
      <c r="N15400" t="s">
        <v>14</v>
      </c>
    </row>
    <row r="15401" x14ac:dyDescent="0.25">
      <c r="A15401" t="n">
        <v>22</v>
      </c>
      <c r="B15401" t="s">
        <v>14</v>
      </c>
      <c r="C15401" t="s">
        <v>22</v>
      </c>
      <c r="D15401" s="2" t="s">
        <f>=HYPERLINK("https://main.knesset.gov.il/APPS/legislation/main/bills/2081485", "הצעת חוק ביטוח בריאות ממלכתי (תיקון - שירותי רפואה מונעת ושירותי בריאות לתלמיד), התש""ף-2019")</f>
        <v>29591</v>
      </c>
      <c r="E15401" t="s">
        <v>29591</v>
      </c>
      <c r="F15401" t="s">
        <v>29592</v>
      </c>
      <c r="G15401" t="s">
        <v>14</v>
      </c>
      <c r="H15401">
             </c>
      <c r="I15401" t="s">
        <v>14</v>
      </c>
      <c r="J15401" t="s">
        <v>141</v>
      </c>
      <c r="K15401" t="s">
        <v>14</v>
      </c>
      <c r="L15401" t="s">
        <v>20</v>
      </c>
      <c r="M15401" t="s">
        <v>29562</v>
      </c>
      <c r="N15401" t="s">
        <v>14</v>
      </c>
    </row>
    <row r="15402" x14ac:dyDescent="0.25">
      <c r="A15402" t="n">
        <v>22</v>
      </c>
      <c r="B15402" t="s">
        <v>14</v>
      </c>
      <c r="C15402" t="s">
        <v>22</v>
      </c>
      <c r="D15402" s="2" t="s">
        <f>=HYPERLINK("https://main.knesset.gov.il/APPS/legislation/main/bills/2081738", "הצעת חוק מס ערך מוסף (תיקון - מועד הוצאת חשבונית מס), התש""ף-2019")</f>
        <v>28963</v>
      </c>
      <c r="E15402" t="s">
        <v>28963</v>
      </c>
      <c r="F15402" t="s">
        <v>29593</v>
      </c>
      <c r="G15402" t="s">
        <v>14</v>
      </c>
      <c r="H15402">
             </c>
      <c r="I15402" t="s">
        <v>14</v>
      </c>
      <c r="J15402" t="s">
        <v>141</v>
      </c>
      <c r="K15402" t="s">
        <v>14</v>
      </c>
      <c r="L15402" t="s">
        <v>20</v>
      </c>
      <c r="M15402" t="s">
        <v>29562</v>
      </c>
      <c r="N15402" t="s">
        <v>14</v>
      </c>
    </row>
    <row r="15403" x14ac:dyDescent="0.25">
      <c r="A15403" t="n">
        <v>22</v>
      </c>
      <c r="B15403" t="s">
        <v>14</v>
      </c>
      <c r="C15403" t="s">
        <v>22</v>
      </c>
      <c r="D15403" s="2" t="s">
        <f>=HYPERLINK("https://main.knesset.gov.il/APPS/legislation/main/bills/2081772", "הצעת חוק זכויות נפגעי עבירה (תיקון - חובת מסירת הודעה בדבר כניסה, יציאה ושחרור של נידון ממעון נעול), התש""ף-2019 ")</f>
        <v>29594</v>
      </c>
      <c r="E15403" t="s">
        <v>29594</v>
      </c>
      <c r="F15403" t="s">
        <v>29595</v>
      </c>
      <c r="G15403" t="s">
        <v>14</v>
      </c>
      <c r="H15403">
             </c>
      <c r="I15403" t="s">
        <v>14</v>
      </c>
      <c r="J15403" t="s">
        <v>141</v>
      </c>
      <c r="K15403" t="s">
        <v>14</v>
      </c>
      <c r="L15403" t="s">
        <v>20</v>
      </c>
      <c r="M15403" t="s">
        <v>29562</v>
      </c>
      <c r="N15403" t="s">
        <v>14</v>
      </c>
    </row>
    <row r="15404" x14ac:dyDescent="0.25">
      <c r="A15404" t="n">
        <v>22</v>
      </c>
      <c r="B15404" t="s">
        <v>14</v>
      </c>
      <c r="C15404" t="s">
        <v>22</v>
      </c>
      <c r="D15404" s="2" t="s">
        <f>=HYPERLINK("https://main.knesset.gov.il/APPS/legislation/main/bills/2081480", "הצעת חוק ההוצאה לפועל (תיקון - סיוע לחסרי דירה), התש""ף-2019")</f>
        <v>29596</v>
      </c>
      <c r="E15404" t="s">
        <v>29596</v>
      </c>
      <c r="F15404" t="s">
        <v>29597</v>
      </c>
      <c r="G15404" t="s">
        <v>14</v>
      </c>
      <c r="H15404">
             </c>
      <c r="I15404" t="s">
        <v>14</v>
      </c>
      <c r="J15404" t="s">
        <v>141</v>
      </c>
      <c r="K15404" t="s">
        <v>14</v>
      </c>
      <c r="L15404" t="s">
        <v>20</v>
      </c>
      <c r="M15404" t="s">
        <v>29562</v>
      </c>
      <c r="N15404" t="s">
        <v>14</v>
      </c>
    </row>
    <row r="15405" x14ac:dyDescent="0.25">
      <c r="A15405" t="n">
        <v>22</v>
      </c>
      <c r="B15405" t="s">
        <v>14</v>
      </c>
      <c r="C15405" t="s">
        <v>22</v>
      </c>
      <c r="D15405" s="2" t="s">
        <f>=HYPERLINK("https://main.knesset.gov.il/APPS/legislation/main/bills/2081715", "הצעת חוק יחסי ממון בין בני זוג (תיקון - הפקעת זכות האיזון מבן זוג שהורשע ברצח בן הזוג השני), התש""ף-2019")</f>
        <v>28153</v>
      </c>
      <c r="E15405" t="s">
        <v>28153</v>
      </c>
      <c r="F15405" t="s">
        <v>29598</v>
      </c>
      <c r="G15405" t="s">
        <v>14</v>
      </c>
      <c r="H15405">
             </c>
      <c r="I15405" t="s">
        <v>14</v>
      </c>
      <c r="J15405" t="s">
        <v>141</v>
      </c>
      <c r="K15405" t="s">
        <v>14</v>
      </c>
      <c r="L15405" t="s">
        <v>20</v>
      </c>
      <c r="M15405" t="s">
        <v>29562</v>
      </c>
      <c r="N15405" t="s">
        <v>14</v>
      </c>
    </row>
    <row r="15406" x14ac:dyDescent="0.25">
      <c r="A15406" t="n">
        <v>22</v>
      </c>
      <c r="B15406" t="s">
        <v>14</v>
      </c>
      <c r="C15406" t="s">
        <v>22</v>
      </c>
      <c r="D15406" s="2" t="s">
        <f>=HYPERLINK("https://main.knesset.gov.il/APPS/legislation/main/bills/2081734", "הצעת חוק לתיקון פקודת מס הכנסה (ניכוי תשלומים לעצמאים), התש""ף-2019")</f>
        <v>28176</v>
      </c>
      <c r="E15406" t="s">
        <v>28176</v>
      </c>
      <c r="F15406" t="s">
        <v>29599</v>
      </c>
      <c r="G15406" t="s">
        <v>14</v>
      </c>
      <c r="H15406">
             </c>
      <c r="I15406" t="s">
        <v>14</v>
      </c>
      <c r="J15406" t="s">
        <v>141</v>
      </c>
      <c r="K15406" t="s">
        <v>14</v>
      </c>
      <c r="L15406" t="s">
        <v>20</v>
      </c>
      <c r="M15406" t="s">
        <v>29562</v>
      </c>
      <c r="N15406" t="s">
        <v>14</v>
      </c>
    </row>
    <row r="15407" x14ac:dyDescent="0.25">
      <c r="A15407" t="n">
        <v>22</v>
      </c>
      <c r="B15407" t="s">
        <v>14</v>
      </c>
      <c r="C15407" t="s">
        <v>22</v>
      </c>
      <c r="D15407" s="2" t="s">
        <f>=HYPERLINK("https://main.knesset.gov.il/APPS/legislation/main/bills/2081479", "הצעת חוק בית המשפט לענייני משפחה (תיקון - מימון ניהול ההליך המשפטי), התש""ף-2019")</f>
        <v>29600</v>
      </c>
      <c r="E15407" t="s">
        <v>29600</v>
      </c>
      <c r="F15407" t="s">
        <v>29601</v>
      </c>
      <c r="G15407" t="s">
        <v>14</v>
      </c>
      <c r="H15407">
             </c>
      <c r="I15407" t="s">
        <v>14</v>
      </c>
      <c r="J15407" t="s">
        <v>141</v>
      </c>
      <c r="K15407" t="s">
        <v>14</v>
      </c>
      <c r="L15407" t="s">
        <v>20</v>
      </c>
      <c r="M15407" t="s">
        <v>29562</v>
      </c>
      <c r="N15407" t="s">
        <v>14</v>
      </c>
    </row>
    <row r="15408" x14ac:dyDescent="0.25">
      <c r="A15408" t="n">
        <v>22</v>
      </c>
      <c r="B15408" t="s">
        <v>14</v>
      </c>
      <c r="C15408" t="s">
        <v>22</v>
      </c>
      <c r="D15408" s="2" t="s">
        <f>=HYPERLINK("https://main.knesset.gov.il/APPS/legislation/main/bills/2081728", "הצעת חוק הביטוח הלאומי (תיקון - הצמדת קצבאות הביטוח הלאומי לשכר הממוצע במשק), התש""ף-2019")</f>
        <v>29602</v>
      </c>
      <c r="E15408" t="s">
        <v>29602</v>
      </c>
      <c r="F15408" t="s">
        <v>29603</v>
      </c>
      <c r="G15408" t="s">
        <v>14</v>
      </c>
      <c r="H15408">
             </c>
      <c r="I15408" t="s">
        <v>14</v>
      </c>
      <c r="J15408" t="s">
        <v>141</v>
      </c>
      <c r="K15408" t="s">
        <v>14</v>
      </c>
      <c r="L15408" t="s">
        <v>20</v>
      </c>
      <c r="M15408" t="s">
        <v>29562</v>
      </c>
      <c r="N15408" t="s">
        <v>14</v>
      </c>
    </row>
    <row r="15409" x14ac:dyDescent="0.25">
      <c r="A15409" t="n">
        <v>22</v>
      </c>
      <c r="B15409" t="s">
        <v>14</v>
      </c>
      <c r="C15409" t="s">
        <v>22</v>
      </c>
      <c r="D15409" s="2" t="s">
        <f>=HYPERLINK("https://main.knesset.gov.il/APPS/legislation/main/bills/2081647", "הצעת חוק בית המשפט לענייני משפחה (תיקון - בני זוג מאותו המין), התש""ף-2019")</f>
        <v>27884</v>
      </c>
      <c r="E15409" t="s">
        <v>27884</v>
      </c>
      <c r="F15409" t="s">
        <v>29604</v>
      </c>
      <c r="G15409" t="s">
        <v>14</v>
      </c>
      <c r="H15409">
             </c>
      <c r="I15409" t="s">
        <v>14</v>
      </c>
      <c r="J15409" t="s">
        <v>141</v>
      </c>
      <c r="K15409" t="s">
        <v>14</v>
      </c>
      <c r="L15409" t="s">
        <v>20</v>
      </c>
      <c r="M15409" t="s">
        <v>29562</v>
      </c>
      <c r="N15409" t="s">
        <v>14</v>
      </c>
    </row>
    <row r="15410" x14ac:dyDescent="0.25">
      <c r="A15410" t="n">
        <v>22</v>
      </c>
      <c r="B15410" t="s">
        <v>14</v>
      </c>
      <c r="C15410" t="s">
        <v>22</v>
      </c>
      <c r="D15410" s="2" t="s">
        <f>=HYPERLINK("https://main.knesset.gov.il/APPS/legislation/main/bills/2081724", "הצעת חוק לצמצום רגולציה ושעורי אגרות לעסקים קטנים, התש""ף-2019")</f>
        <v>29155</v>
      </c>
      <c r="E15410" t="s">
        <v>29155</v>
      </c>
      <c r="F15410" t="s">
        <v>29605</v>
      </c>
      <c r="G15410" t="s">
        <v>14</v>
      </c>
      <c r="H15410">
             </c>
      <c r="I15410" t="s">
        <v>14</v>
      </c>
      <c r="J15410" t="s">
        <v>141</v>
      </c>
      <c r="K15410" t="s">
        <v>14</v>
      </c>
      <c r="L15410" t="s">
        <v>20</v>
      </c>
      <c r="M15410" t="s">
        <v>29562</v>
      </c>
      <c r="N15410" t="s">
        <v>14</v>
      </c>
    </row>
    <row r="15411" x14ac:dyDescent="0.25">
      <c r="A15411" t="n">
        <v>22</v>
      </c>
      <c r="B15411" t="s">
        <v>14</v>
      </c>
      <c r="C15411" t="s">
        <v>22</v>
      </c>
      <c r="D15411" s="2" t="s">
        <f>=HYPERLINK("https://main.knesset.gov.il/APPS/legislation/main/bills/2081476", "הצעת חוק בית המשפט לענייני משפחה (תיקון - בני זוג מאותו המין), התש""ף-2019")</f>
        <v>27884</v>
      </c>
      <c r="E15411" t="s">
        <v>27884</v>
      </c>
      <c r="F15411" t="s">
        <v>29606</v>
      </c>
      <c r="G15411" t="s">
        <v>14</v>
      </c>
      <c r="H15411">
             </c>
      <c r="I15411" t="s">
        <v>14</v>
      </c>
      <c r="J15411" t="s">
        <v>141</v>
      </c>
      <c r="K15411" t="s">
        <v>14</v>
      </c>
      <c r="L15411" t="s">
        <v>20</v>
      </c>
      <c r="M15411" t="s">
        <v>29562</v>
      </c>
      <c r="N15411" t="s">
        <v>14</v>
      </c>
    </row>
    <row r="15412" x14ac:dyDescent="0.25">
      <c r="A15412" t="n">
        <v>22</v>
      </c>
      <c r="B15412" t="s">
        <v>14</v>
      </c>
      <c r="C15412" t="s">
        <v>22</v>
      </c>
      <c r="D15412" s="2" t="s">
        <f>=HYPERLINK("https://main.knesset.gov.il/APPS/legislation/main/bills/2081350", "הצעת חוק-יסוד: חופש הביטוי וההתאגדות")</f>
        <v>19964</v>
      </c>
      <c r="E15412" t="s">
        <v>19964</v>
      </c>
      <c r="F15412" t="s">
        <v>29607</v>
      </c>
      <c r="G15412" t="s">
        <v>14</v>
      </c>
      <c r="H15412">
             </c>
      <c r="I15412" t="s">
        <v>14</v>
      </c>
      <c r="J15412" t="s">
        <v>141</v>
      </c>
      <c r="K15412" t="s">
        <v>14</v>
      </c>
      <c r="L15412" t="s">
        <v>20</v>
      </c>
      <c r="M15412" t="s">
        <v>29562</v>
      </c>
      <c r="N15412" t="s">
        <v>14</v>
      </c>
    </row>
    <row r="15413" x14ac:dyDescent="0.25">
      <c r="A15413" t="n">
        <v>22</v>
      </c>
      <c r="B15413" t="s">
        <v>14</v>
      </c>
      <c r="C15413" t="s">
        <v>22</v>
      </c>
      <c r="D15413" s="2" t="s">
        <f>=HYPERLINK("https://main.knesset.gov.il/APPS/legislation/main/bills/2081473", "הצעת חוק הביטוח הלאומי (תיקון - עבודה בחינוך וסיוע להוראה או בטיפול בילדים כעבודה מועדפת), התש""ף-2019")</f>
        <v>29608</v>
      </c>
      <c r="E15413" t="s">
        <v>29608</v>
      </c>
      <c r="F15413" t="s">
        <v>29609</v>
      </c>
      <c r="G15413" t="s">
        <v>14</v>
      </c>
      <c r="H15413">
             </c>
      <c r="I15413" t="s">
        <v>14</v>
      </c>
      <c r="J15413" t="s">
        <v>141</v>
      </c>
      <c r="K15413" t="s">
        <v>14</v>
      </c>
      <c r="L15413" t="s">
        <v>20</v>
      </c>
      <c r="M15413" t="s">
        <v>29562</v>
      </c>
      <c r="N15413" t="s">
        <v>14</v>
      </c>
    </row>
    <row r="15414" x14ac:dyDescent="0.25">
      <c r="A15414" t="n">
        <v>22</v>
      </c>
      <c r="B15414" t="s">
        <v>14</v>
      </c>
      <c r="C15414" t="s">
        <v>22</v>
      </c>
      <c r="D15414" s="2" t="s">
        <f>=HYPERLINK("https://main.knesset.gov.il/APPS/legislation/main/bills/2081287", "הצעת חוק הביטוח הלאומי (תיקון - השלמת סכום קצבת אזרח ותיק לנכה), התש""ף-2019")</f>
        <v>29610</v>
      </c>
      <c r="E15414" t="s">
        <v>29610</v>
      </c>
      <c r="F15414" t="s">
        <v>29611</v>
      </c>
      <c r="G15414" t="s">
        <v>14</v>
      </c>
      <c r="H15414">
             </c>
      <c r="I15414" t="s">
        <v>14</v>
      </c>
      <c r="J15414" t="s">
        <v>141</v>
      </c>
      <c r="K15414" t="s">
        <v>14</v>
      </c>
      <c r="L15414" t="s">
        <v>20</v>
      </c>
      <c r="M15414" t="s">
        <v>29562</v>
      </c>
      <c r="N15414" t="s">
        <v>14</v>
      </c>
    </row>
    <row r="15415" x14ac:dyDescent="0.25">
      <c r="A15415" t="n">
        <v>22</v>
      </c>
      <c r="B15415" t="s">
        <v>14</v>
      </c>
      <c r="C15415" t="s">
        <v>22</v>
      </c>
      <c r="D15415" s="2" t="s">
        <f>=HYPERLINK("https://main.knesset.gov.il/APPS/legislation/main/bills/2081721", "הצעת חוק למניעת הטרדה מינית (תיקון - הטרדת קטין), התש""ף-2019")</f>
        <v>29612</v>
      </c>
      <c r="E15415" t="s">
        <v>29612</v>
      </c>
      <c r="F15415" t="s">
        <v>29613</v>
      </c>
      <c r="G15415" t="s">
        <v>14</v>
      </c>
      <c r="H15415">
             </c>
      <c r="I15415" t="s">
        <v>14</v>
      </c>
      <c r="J15415" t="s">
        <v>141</v>
      </c>
      <c r="K15415" t="s">
        <v>14</v>
      </c>
      <c r="L15415" t="s">
        <v>20</v>
      </c>
      <c r="M15415" t="s">
        <v>29562</v>
      </c>
      <c r="N15415" t="s">
        <v>14</v>
      </c>
    </row>
    <row r="15416" x14ac:dyDescent="0.25">
      <c r="A15416" t="n">
        <v>22</v>
      </c>
      <c r="B15416" t="s">
        <v>14</v>
      </c>
      <c r="C15416" t="s">
        <v>22</v>
      </c>
      <c r="D15416" s="2" t="s">
        <f>=HYPERLINK("https://main.knesset.gov.il/APPS/legislation/main/bills/2081462", "הצעת חוק שימור השליטה הישראלית בתאגידים מרכזיים במשק, התש""ף-2019")</f>
        <v>29614</v>
      </c>
      <c r="E15416" t="s">
        <v>29614</v>
      </c>
      <c r="F15416" t="s">
        <v>29615</v>
      </c>
      <c r="G15416" t="s">
        <v>14</v>
      </c>
      <c r="H15416">
             </c>
      <c r="I15416" t="s">
        <v>14</v>
      </c>
      <c r="J15416" t="s">
        <v>141</v>
      </c>
      <c r="K15416" t="s">
        <v>14</v>
      </c>
      <c r="L15416" t="s">
        <v>20</v>
      </c>
      <c r="M15416" t="s">
        <v>29562</v>
      </c>
      <c r="N15416" t="s">
        <v>14</v>
      </c>
    </row>
    <row r="15417" x14ac:dyDescent="0.25">
      <c r="A15417" t="n">
        <v>22</v>
      </c>
      <c r="B15417" t="s">
        <v>14</v>
      </c>
      <c r="C15417" t="s">
        <v>22</v>
      </c>
      <c r="D15417" s="2" t="s">
        <f>=HYPERLINK("https://main.knesset.gov.il/APPS/legislation/main/bills/2081405", "הצעת חוק הביטוח הלאומי (תיקון - דמי מחלה לעובד עצמאי), התש""ף-2019")</f>
        <v>28487</v>
      </c>
      <c r="E15417" t="s">
        <v>28487</v>
      </c>
      <c r="F15417" t="s">
        <v>29616</v>
      </c>
      <c r="G15417" t="s">
        <v>14</v>
      </c>
      <c r="H15417">
             </c>
      <c r="I15417" t="s">
        <v>14</v>
      </c>
      <c r="J15417" t="s">
        <v>141</v>
      </c>
      <c r="K15417" t="s">
        <v>14</v>
      </c>
      <c r="L15417" t="s">
        <v>20</v>
      </c>
      <c r="M15417" t="s">
        <v>29562</v>
      </c>
      <c r="N15417" t="s">
        <v>14</v>
      </c>
    </row>
    <row r="15418" x14ac:dyDescent="0.25">
      <c r="A15418" t="n">
        <v>22</v>
      </c>
      <c r="B15418" t="s">
        <v>14</v>
      </c>
      <c r="C15418" t="s">
        <v>22</v>
      </c>
      <c r="D15418" s="2" t="s">
        <f>=HYPERLINK("https://main.knesset.gov.il/APPS/legislation/main/bills/2081239", "הצעת חוק הגנה על עובדים (חשיפת עבירות ופגיעה בטוהר המידות או במינהל התקין) (תיקון - הארכת תקופת ההתיישנות בתביעה של חושף שחיתות נגד מעסיקו), התש""ף-2019")</f>
        <v>29617</v>
      </c>
      <c r="E15418" t="s">
        <v>29617</v>
      </c>
      <c r="F15418" t="s">
        <v>29618</v>
      </c>
      <c r="G15418" t="s">
        <v>14</v>
      </c>
      <c r="H15418">
             </c>
      <c r="I15418" t="s">
        <v>14</v>
      </c>
      <c r="J15418" t="s">
        <v>141</v>
      </c>
      <c r="K15418" t="s">
        <v>14</v>
      </c>
      <c r="L15418" t="s">
        <v>20</v>
      </c>
      <c r="M15418" t="s">
        <v>29562</v>
      </c>
      <c r="N15418" t="s">
        <v>14</v>
      </c>
    </row>
    <row r="15419" x14ac:dyDescent="0.25">
      <c r="A15419" t="n">
        <v>22</v>
      </c>
      <c r="B15419" t="s">
        <v>14</v>
      </c>
      <c r="C15419" t="s">
        <v>22</v>
      </c>
      <c r="D15419" s="2" t="s">
        <f>=HYPERLINK("https://main.knesset.gov.il/APPS/legislation/main/bills/2081720", "הצעת חוק שוויון זכויות לאנשים עם מוגבלות (תיקון - נגישות להורה ולתלמיד במוסד חינוך), התש""ף-2019")</f>
        <v>29619</v>
      </c>
      <c r="E15419" t="s">
        <v>29619</v>
      </c>
      <c r="F15419" t="s">
        <v>29620</v>
      </c>
      <c r="G15419" t="s">
        <v>14</v>
      </c>
      <c r="H15419">
             </c>
      <c r="I15419" t="s">
        <v>14</v>
      </c>
      <c r="J15419" t="s">
        <v>141</v>
      </c>
      <c r="K15419" t="s">
        <v>14</v>
      </c>
      <c r="L15419" t="s">
        <v>20</v>
      </c>
      <c r="M15419" t="s">
        <v>29562</v>
      </c>
      <c r="N15419" t="s">
        <v>14</v>
      </c>
    </row>
    <row r="15420" x14ac:dyDescent="0.25">
      <c r="A15420" t="n">
        <v>22</v>
      </c>
      <c r="B15420" t="s">
        <v>14</v>
      </c>
      <c r="C15420" t="s">
        <v>22</v>
      </c>
      <c r="D15420" s="2" t="s">
        <f>=HYPERLINK("https://main.knesset.gov.il/APPS/legislation/main/bills/2081293", "הצעת חוק הפרשנות (תיקון - הגדרת הפליה על רקע זהות מגדרית או נטייה מינית), התש""ף-2019")</f>
        <v>29621</v>
      </c>
      <c r="E15420" t="s">
        <v>29621</v>
      </c>
      <c r="F15420" t="s">
        <v>29622</v>
      </c>
      <c r="G15420" t="s">
        <v>14</v>
      </c>
      <c r="H15420">
             </c>
      <c r="I15420" t="s">
        <v>14</v>
      </c>
      <c r="J15420" t="s">
        <v>141</v>
      </c>
      <c r="K15420" t="s">
        <v>14</v>
      </c>
      <c r="L15420" t="s">
        <v>20</v>
      </c>
      <c r="M15420" t="s">
        <v>29562</v>
      </c>
      <c r="N15420" t="s">
        <v>14</v>
      </c>
    </row>
    <row r="15421" x14ac:dyDescent="0.25">
      <c r="A15421" t="n">
        <v>22</v>
      </c>
      <c r="B15421" t="s">
        <v>14</v>
      </c>
      <c r="C15421" t="s">
        <v>22</v>
      </c>
      <c r="D15421" s="2" t="s">
        <f>=HYPERLINK("https://main.knesset.gov.il/APPS/legislation/main/bills/2081708", "הצעת חוק הביטוח הלאומי (תיקון - הדרכה בתנועת נוער וארגון נוער כעבודה מועדפת), התש""ף-2019")</f>
        <v>29623</v>
      </c>
      <c r="E15421" t="s">
        <v>29623</v>
      </c>
      <c r="F15421" t="s">
        <v>29624</v>
      </c>
      <c r="G15421" t="s">
        <v>14</v>
      </c>
      <c r="H15421">
             </c>
      <c r="I15421" t="s">
        <v>14</v>
      </c>
      <c r="J15421" t="s">
        <v>141</v>
      </c>
      <c r="K15421" t="s">
        <v>14</v>
      </c>
      <c r="L15421" t="s">
        <v>20</v>
      </c>
      <c r="M15421" t="s">
        <v>29562</v>
      </c>
      <c r="N15421" t="s">
        <v>14</v>
      </c>
    </row>
    <row r="15422" x14ac:dyDescent="0.25">
      <c r="A15422" t="n">
        <v>22</v>
      </c>
      <c r="B15422" t="s">
        <v>14</v>
      </c>
      <c r="C15422" t="s">
        <v>22</v>
      </c>
      <c r="D15422" s="2" t="s">
        <f>=HYPERLINK("https://main.knesset.gov.il/APPS/legislation/main/bills/2081683", "הצעת חוק הביטוח הלאומי (תיקון - שינוי תקופת אכשרה לקבלת דמי לידה לסטודנטיות), התש""ף-2019")</f>
        <v>29625</v>
      </c>
      <c r="E15422" t="s">
        <v>29625</v>
      </c>
      <c r="F15422" t="s">
        <v>29626</v>
      </c>
      <c r="G15422" t="s">
        <v>14</v>
      </c>
      <c r="H15422">
             </c>
      <c r="I15422" t="s">
        <v>14</v>
      </c>
      <c r="J15422" t="s">
        <v>141</v>
      </c>
      <c r="K15422" t="s">
        <v>14</v>
      </c>
      <c r="L15422" t="s">
        <v>20</v>
      </c>
      <c r="M15422" t="s">
        <v>29562</v>
      </c>
      <c r="N15422" t="s">
        <v>14</v>
      </c>
    </row>
    <row r="15423" x14ac:dyDescent="0.25">
      <c r="A15423" t="n">
        <v>22</v>
      </c>
      <c r="B15423" t="s">
        <v>14</v>
      </c>
      <c r="C15423" t="s">
        <v>22</v>
      </c>
      <c r="D15423" s="2" t="s">
        <f>=HYPERLINK("https://main.knesset.gov.il/APPS/legislation/main/bills/2081496", "הצעת חוק הפעלת תחבורה ציבורית בשבת, התש""ף-2019")</f>
        <v>29627</v>
      </c>
      <c r="E15423" t="s">
        <v>29627</v>
      </c>
      <c r="F15423" t="s">
        <v>29628</v>
      </c>
      <c r="G15423" t="s">
        <v>14</v>
      </c>
      <c r="H15423">
             </c>
      <c r="I15423" t="s">
        <v>14</v>
      </c>
      <c r="J15423" t="s">
        <v>141</v>
      </c>
      <c r="K15423" t="s">
        <v>14</v>
      </c>
      <c r="L15423" t="s">
        <v>20</v>
      </c>
      <c r="M15423" t="s">
        <v>29562</v>
      </c>
      <c r="N15423" t="s">
        <v>14</v>
      </c>
    </row>
    <row r="15424" x14ac:dyDescent="0.25">
      <c r="A15424" t="n">
        <v>22</v>
      </c>
      <c r="B15424" t="s">
        <v>14</v>
      </c>
      <c r="C15424" t="s">
        <v>22</v>
      </c>
      <c r="D15424" s="2" t="s">
        <f>=HYPERLINK("https://main.knesset.gov.il/APPS/legislation/main/bills/2081604", "הצעת חוק הביטוח לאומי (תיקון - ביטוח זכויות עצמאי שעיקר הכנסתו מעסק שמצוי בפשיטת רגל או בפירוק), התש""ף-2019")</f>
        <v>28457</v>
      </c>
      <c r="E15424" t="s">
        <v>28457</v>
      </c>
      <c r="F15424" t="s">
        <v>29629</v>
      </c>
      <c r="G15424" t="s">
        <v>14</v>
      </c>
      <c r="H15424">
             </c>
      <c r="I15424" t="s">
        <v>14</v>
      </c>
      <c r="J15424" t="s">
        <v>141</v>
      </c>
      <c r="K15424" t="s">
        <v>14</v>
      </c>
      <c r="L15424" t="s">
        <v>20</v>
      </c>
      <c r="M15424" t="s">
        <v>29562</v>
      </c>
      <c r="N15424" t="s">
        <v>14</v>
      </c>
    </row>
    <row r="15425" x14ac:dyDescent="0.25">
      <c r="A15425" t="n">
        <v>22</v>
      </c>
      <c r="B15425" t="s">
        <v>14</v>
      </c>
      <c r="C15425" t="s">
        <v>22</v>
      </c>
      <c r="D15425" s="2" t="s">
        <f>=HYPERLINK("https://main.knesset.gov.il/APPS/legislation/main/bills/2081199", "הצעת חוק הביטוח לאומי (תיקון - ביטוח זכויות עצמאי שעיקר הכנסתו מעסק שמצוי בפשיטת רגל או בפירוק), התש""ף-2019")</f>
        <v>28457</v>
      </c>
      <c r="E15425" t="s">
        <v>28457</v>
      </c>
      <c r="F15425" t="s">
        <v>29630</v>
      </c>
      <c r="G15425" t="s">
        <v>14</v>
      </c>
      <c r="H15425">
             </c>
      <c r="I15425" t="s">
        <v>14</v>
      </c>
      <c r="J15425" t="s">
        <v>141</v>
      </c>
      <c r="K15425" t="s">
        <v>14</v>
      </c>
      <c r="L15425" t="s">
        <v>20</v>
      </c>
      <c r="M15425" t="s">
        <v>29562</v>
      </c>
      <c r="N15425" t="s">
        <v>14</v>
      </c>
    </row>
    <row r="15426" x14ac:dyDescent="0.25">
      <c r="A15426" t="n">
        <v>22</v>
      </c>
      <c r="B15426" t="s">
        <v>14</v>
      </c>
      <c r="C15426" t="s">
        <v>22</v>
      </c>
      <c r="D15426" s="2" t="s">
        <f>=HYPERLINK("https://main.knesset.gov.il/APPS/legislation/main/bills/2081214", "הצעת חוק ההוצאה לפועל (תיקון - חייבים מוגנים), התש""ף-2019")</f>
        <v>29631</v>
      </c>
      <c r="E15426" t="s">
        <v>29631</v>
      </c>
      <c r="F15426" t="s">
        <v>29632</v>
      </c>
      <c r="G15426" t="s">
        <v>14</v>
      </c>
      <c r="H15426">
             </c>
      <c r="I15426" t="s">
        <v>14</v>
      </c>
      <c r="J15426" t="s">
        <v>141</v>
      </c>
      <c r="K15426" t="s">
        <v>14</v>
      </c>
      <c r="L15426" t="s">
        <v>20</v>
      </c>
      <c r="M15426" t="s">
        <v>29562</v>
      </c>
      <c r="N15426" t="s">
        <v>14</v>
      </c>
    </row>
    <row r="15427" x14ac:dyDescent="0.25">
      <c r="A15427" t="n">
        <v>22</v>
      </c>
      <c r="B15427" t="s">
        <v>14</v>
      </c>
      <c r="C15427" t="s">
        <v>22</v>
      </c>
      <c r="D15427" s="2" t="s">
        <f>=HYPERLINK("https://main.knesset.gov.il/APPS/legislation/main/bills/2081437", "הצעת חוק התרת נישואין אזרחיים (תיקוני חקיקה), התש""ף-2019")</f>
        <v>29633</v>
      </c>
      <c r="E15427" t="s">
        <v>29633</v>
      </c>
      <c r="F15427" t="s">
        <v>29634</v>
      </c>
      <c r="G15427" t="s">
        <v>14</v>
      </c>
      <c r="H15427">
             </c>
      <c r="I15427" t="s">
        <v>14</v>
      </c>
      <c r="J15427" t="s">
        <v>141</v>
      </c>
      <c r="K15427" t="s">
        <v>14</v>
      </c>
      <c r="L15427" t="s">
        <v>20</v>
      </c>
      <c r="M15427" t="s">
        <v>29562</v>
      </c>
      <c r="N15427" t="s">
        <v>14</v>
      </c>
    </row>
    <row r="15428" x14ac:dyDescent="0.25">
      <c r="A15428" t="n">
        <v>22</v>
      </c>
      <c r="B15428" t="s">
        <v>14</v>
      </c>
      <c r="C15428" t="s">
        <v>22</v>
      </c>
      <c r="D15428" s="2" t="s">
        <f>=HYPERLINK("https://main.knesset.gov.il/APPS/legislation/main/bills/2081361", "הצעת חוק התרת נישואין אזרחיים (תיקוני חקיקה), התש""ף-2019")</f>
        <v>29633</v>
      </c>
      <c r="E15428" t="s">
        <v>29633</v>
      </c>
      <c r="F15428" t="s">
        <v>29635</v>
      </c>
      <c r="G15428" t="s">
        <v>14</v>
      </c>
      <c r="H15428">
             </c>
      <c r="I15428" t="s">
        <v>14</v>
      </c>
      <c r="J15428" t="s">
        <v>141</v>
      </c>
      <c r="K15428" t="s">
        <v>14</v>
      </c>
      <c r="L15428" t="s">
        <v>20</v>
      </c>
      <c r="M15428" t="s">
        <v>29562</v>
      </c>
      <c r="N15428" t="s">
        <v>14</v>
      </c>
    </row>
    <row r="15429" x14ac:dyDescent="0.25">
      <c r="A15429" t="n">
        <v>22</v>
      </c>
      <c r="B15429" t="s">
        <v>14</v>
      </c>
      <c r="C15429" t="s">
        <v>22</v>
      </c>
      <c r="D15429" s="2" t="s">
        <f>=HYPERLINK("https://main.knesset.gov.il/APPS/legislation/main/bills/2081487", "הצעת חוק שמירת הסביבה החופית (בחינה ועדכון של תכניות), התש""ף-2019")</f>
        <v>29636</v>
      </c>
      <c r="E15429" t="s">
        <v>29636</v>
      </c>
      <c r="F15429" t="s">
        <v>29637</v>
      </c>
      <c r="G15429" t="s">
        <v>14</v>
      </c>
      <c r="H15429">
             </c>
      <c r="I15429" t="s">
        <v>14</v>
      </c>
      <c r="J15429" t="s">
        <v>141</v>
      </c>
      <c r="K15429" t="s">
        <v>14</v>
      </c>
      <c r="L15429" t="s">
        <v>20</v>
      </c>
      <c r="M15429" t="s">
        <v>29562</v>
      </c>
      <c r="N15429" t="s">
        <v>14</v>
      </c>
    </row>
    <row r="15430" x14ac:dyDescent="0.25">
      <c r="A15430" t="n">
        <v>22</v>
      </c>
      <c r="B15430" t="s">
        <v>14</v>
      </c>
      <c r="C15430" t="s">
        <v>22</v>
      </c>
      <c r="D15430" s="2" t="s">
        <f>=HYPERLINK("https://main.knesset.gov.il/APPS/legislation/main/bills/2081632", "הצעת חוק החולה הנוטה למות (תיקון - מוות במרשם רופא), התש""ף-2019")</f>
        <v>29638</v>
      </c>
      <c r="E15430" t="s">
        <v>29638</v>
      </c>
      <c r="F15430" t="s">
        <v>29639</v>
      </c>
      <c r="G15430" t="s">
        <v>14</v>
      </c>
      <c r="H15430">
             </c>
      <c r="I15430" t="s">
        <v>14</v>
      </c>
      <c r="J15430" t="s">
        <v>141</v>
      </c>
      <c r="K15430" t="s">
        <v>14</v>
      </c>
      <c r="L15430" t="s">
        <v>20</v>
      </c>
      <c r="M15430" t="s">
        <v>29562</v>
      </c>
      <c r="N15430" t="s">
        <v>14</v>
      </c>
    </row>
    <row r="15431" x14ac:dyDescent="0.25">
      <c r="A15431" t="n">
        <v>22</v>
      </c>
      <c r="B15431" t="s">
        <v>14</v>
      </c>
      <c r="C15431" t="s">
        <v>22</v>
      </c>
      <c r="D15431" s="2" t="s">
        <f>=HYPERLINK("https://main.knesset.gov.il/APPS/legislation/main/bills/2081926", "הצעת חוק הכשרות לאנשי מקצוע בנושא זיהוי ודיווח על התעללות בילדים, התש""ף-2019")</f>
        <v>29640</v>
      </c>
      <c r="E15431" t="s">
        <v>29640</v>
      </c>
      <c r="F15431" t="s">
        <v>29641</v>
      </c>
      <c r="G15431" t="s">
        <v>14</v>
      </c>
      <c r="H15431">
             </c>
      <c r="I15431" t="s">
        <v>14</v>
      </c>
      <c r="J15431" t="s">
        <v>141</v>
      </c>
      <c r="K15431" t="s">
        <v>14</v>
      </c>
      <c r="L15431" t="s">
        <v>20</v>
      </c>
      <c r="M15431" t="s">
        <v>29562</v>
      </c>
      <c r="N15431" t="s">
        <v>14</v>
      </c>
    </row>
    <row r="15432" x14ac:dyDescent="0.25">
      <c r="A15432" t="n">
        <v>22</v>
      </c>
      <c r="B15432" t="s">
        <v>14</v>
      </c>
      <c r="C15432" t="s">
        <v>22</v>
      </c>
      <c r="D15432" s="2" t="s">
        <f>=HYPERLINK("https://main.knesset.gov.il/APPS/legislation/main/bills/2081619", "הצעת חוק הכשרות לאנשי מקצוע בנושא זיהוי ודיווח על התעללות בילדים, התש""ף-2019")</f>
        <v>29640</v>
      </c>
      <c r="E15432" t="s">
        <v>29640</v>
      </c>
      <c r="F15432" t="s">
        <v>29642</v>
      </c>
      <c r="G15432" t="s">
        <v>14</v>
      </c>
      <c r="H15432">
             </c>
      <c r="I15432" t="s">
        <v>14</v>
      </c>
      <c r="J15432" t="s">
        <v>141</v>
      </c>
      <c r="K15432" t="s">
        <v>14</v>
      </c>
      <c r="L15432" t="s">
        <v>20</v>
      </c>
      <c r="M15432" t="s">
        <v>29562</v>
      </c>
      <c r="N15432" t="s">
        <v>14</v>
      </c>
    </row>
    <row r="15433" x14ac:dyDescent="0.25">
      <c r="A15433" t="n">
        <v>22</v>
      </c>
      <c r="B15433" t="s">
        <v>14</v>
      </c>
      <c r="C15433" t="s">
        <v>22</v>
      </c>
      <c r="D15433" s="2" t="s">
        <f>=HYPERLINK("https://main.knesset.gov.il/APPS/legislation/main/bills/2081601", "הצעת חוק ביטוח בריאות ממלכתי (תיקון - שירותי בריאות לתלמיד), התש""ף-2019")</f>
        <v>29643</v>
      </c>
      <c r="E15433" t="s">
        <v>29643</v>
      </c>
      <c r="F15433" t="s">
        <v>29644</v>
      </c>
      <c r="G15433" t="s">
        <v>14</v>
      </c>
      <c r="H15433">
             </c>
      <c r="I15433" t="s">
        <v>14</v>
      </c>
      <c r="J15433" t="s">
        <v>141</v>
      </c>
      <c r="K15433" t="s">
        <v>14</v>
      </c>
      <c r="L15433" t="s">
        <v>20</v>
      </c>
      <c r="M15433" t="s">
        <v>29562</v>
      </c>
      <c r="N15433" t="s">
        <v>14</v>
      </c>
    </row>
    <row r="15434" x14ac:dyDescent="0.25">
      <c r="A15434" t="n">
        <v>22</v>
      </c>
      <c r="B15434" t="s">
        <v>14</v>
      </c>
      <c r="C15434" t="s">
        <v>22</v>
      </c>
      <c r="D15434" s="2" t="s">
        <f>=HYPERLINK("https://main.knesset.gov.il/APPS/legislation/main/bills/2081558", "הצעת חוק הכנסת (תיקון - שמירת מעמדה של הכנסת כמפקחת על עבודת הממשלה והבטחת מסירת מידע לכנסת על ידי הממשלה), התש""ף-2019")</f>
        <v>29645</v>
      </c>
      <c r="E15434" t="s">
        <v>29645</v>
      </c>
      <c r="F15434" t="s">
        <v>29646</v>
      </c>
      <c r="G15434" t="s">
        <v>14</v>
      </c>
      <c r="H15434">
             </c>
      <c r="I15434" t="s">
        <v>14</v>
      </c>
      <c r="J15434" t="s">
        <v>141</v>
      </c>
      <c r="K15434" t="s">
        <v>14</v>
      </c>
      <c r="L15434" t="s">
        <v>20</v>
      </c>
      <c r="M15434" t="s">
        <v>29562</v>
      </c>
      <c r="N15434" t="s">
        <v>14</v>
      </c>
    </row>
    <row r="15435" x14ac:dyDescent="0.25">
      <c r="A15435" t="n">
        <v>22</v>
      </c>
      <c r="B15435" t="s">
        <v>14</v>
      </c>
      <c r="C15435" t="s">
        <v>22</v>
      </c>
      <c r="D15435" s="2" t="s">
        <f>=HYPERLINK("https://main.knesset.gov.il/APPS/legislation/main/bills/2081585", "הצעת חוק ביטוח בריאות ממלכתי (תיקון - צמצום הפערים בין הפריפריה למרכז), התש""ף-2019")</f>
        <v>28397</v>
      </c>
      <c r="E15435" t="s">
        <v>28397</v>
      </c>
      <c r="F15435" t="s">
        <v>29647</v>
      </c>
      <c r="G15435" t="s">
        <v>14</v>
      </c>
      <c r="H15435">
             </c>
      <c r="I15435" t="s">
        <v>14</v>
      </c>
      <c r="J15435" t="s">
        <v>141</v>
      </c>
      <c r="K15435" t="s">
        <v>14</v>
      </c>
      <c r="L15435" t="s">
        <v>20</v>
      </c>
      <c r="M15435" t="s">
        <v>29562</v>
      </c>
      <c r="N15435" t="s">
        <v>14</v>
      </c>
    </row>
    <row r="15436" x14ac:dyDescent="0.25">
      <c r="A15436" t="n">
        <v>22</v>
      </c>
      <c r="B15436" t="s">
        <v>14</v>
      </c>
      <c r="C15436" t="s">
        <v>22</v>
      </c>
      <c r="D15436" s="2" t="s">
        <f>=HYPERLINK("https://main.knesset.gov.il/APPS/legislation/main/bills/2081581", "הצעת חוק ביטוח בריאות ממלכתי (תיקון - ביטול תשלומי השתתפות), התש""ף-2019")</f>
        <v>29648</v>
      </c>
      <c r="E15436" t="s">
        <v>29648</v>
      </c>
      <c r="F15436" t="s">
        <v>29649</v>
      </c>
      <c r="G15436" t="s">
        <v>14</v>
      </c>
      <c r="H15436">
             </c>
      <c r="I15436" t="s">
        <v>14</v>
      </c>
      <c r="J15436" t="s">
        <v>141</v>
      </c>
      <c r="K15436" t="s">
        <v>14</v>
      </c>
      <c r="L15436" t="s">
        <v>20</v>
      </c>
      <c r="M15436" t="s">
        <v>29562</v>
      </c>
      <c r="N15436" t="s">
        <v>14</v>
      </c>
    </row>
    <row r="15437" x14ac:dyDescent="0.25">
      <c r="A15437" t="n">
        <v>22</v>
      </c>
      <c r="B15437" t="s">
        <v>14</v>
      </c>
      <c r="C15437" t="s">
        <v>22</v>
      </c>
      <c r="D15437" s="2" t="s">
        <f>=HYPERLINK("https://main.knesset.gov.il/APPS/legislation/main/bills/2081648", "הצעת חוק ציון שם ההורה בטופס, התש""ף-2019")</f>
        <v>29650</v>
      </c>
      <c r="E15437" t="s">
        <v>29650</v>
      </c>
      <c r="F15437" t="s">
        <v>29651</v>
      </c>
      <c r="G15437" t="s">
        <v>14</v>
      </c>
      <c r="H15437">
             </c>
      <c r="I15437" t="s">
        <v>14</v>
      </c>
      <c r="J15437" t="s">
        <v>141</v>
      </c>
      <c r="K15437" t="s">
        <v>14</v>
      </c>
      <c r="L15437" t="s">
        <v>20</v>
      </c>
      <c r="M15437" t="s">
        <v>29562</v>
      </c>
      <c r="N15437" t="s">
        <v>14</v>
      </c>
    </row>
    <row r="15438" x14ac:dyDescent="0.25">
      <c r="A15438" t="n">
        <v>22</v>
      </c>
      <c r="B15438" t="s">
        <v>14</v>
      </c>
      <c r="C15438" t="s">
        <v>22</v>
      </c>
      <c r="D15438" s="2" t="s">
        <f>=HYPERLINK("https://main.knesset.gov.il/APPS/legislation/main/bills/2081432", "הצעת חוק צער בעלי חיים (הגנה על בעלי חיים) (תיקון - איסור מכירת פרוות), התש""ף-2019")</f>
        <v>27718</v>
      </c>
      <c r="E15438" t="s">
        <v>27718</v>
      </c>
      <c r="F15438" t="s">
        <v>29652</v>
      </c>
      <c r="G15438" t="s">
        <v>14</v>
      </c>
      <c r="H15438">
             </c>
      <c r="I15438" t="s">
        <v>14</v>
      </c>
      <c r="J15438" t="s">
        <v>141</v>
      </c>
      <c r="K15438" t="s">
        <v>14</v>
      </c>
      <c r="L15438" t="s">
        <v>20</v>
      </c>
      <c r="M15438" t="s">
        <v>29562</v>
      </c>
      <c r="N15438" t="s">
        <v>14</v>
      </c>
    </row>
    <row r="15439" x14ac:dyDescent="0.25">
      <c r="A15439" t="n">
        <v>22</v>
      </c>
      <c r="B15439" t="s">
        <v>14</v>
      </c>
      <c r="C15439" t="s">
        <v>22</v>
      </c>
      <c r="D15439" s="2" t="s">
        <f>=HYPERLINK("https://main.knesset.gov.il/APPS/legislation/main/bills/2081546", "הצעת חוק דמי מחלה (תיקון - סייג לחריג לאיסור פיטורים), התש""ף-2019")</f>
        <v>29653</v>
      </c>
      <c r="E15439" t="s">
        <v>29653</v>
      </c>
      <c r="F15439" t="s">
        <v>29654</v>
      </c>
      <c r="G15439" t="s">
        <v>14</v>
      </c>
      <c r="H15439">
             </c>
      <c r="I15439" t="s">
        <v>14</v>
      </c>
      <c r="J15439" t="s">
        <v>141</v>
      </c>
      <c r="K15439" t="s">
        <v>14</v>
      </c>
      <c r="L15439" t="s">
        <v>20</v>
      </c>
      <c r="M15439" t="s">
        <v>29562</v>
      </c>
      <c r="N15439" t="s">
        <v>14</v>
      </c>
    </row>
    <row r="15440" x14ac:dyDescent="0.25">
      <c r="A15440" t="n">
        <v>22</v>
      </c>
      <c r="B15440" t="s">
        <v>14</v>
      </c>
      <c r="C15440" t="s">
        <v>22</v>
      </c>
      <c r="D15440" s="2" t="s">
        <f>=HYPERLINK("https://main.knesset.gov.il/APPS/legislation/main/bills/2081543", "הצעת חוק הביטוח הלאומי (תיקון - הרחבת הגדרת קרוב משפחה לעניין ההסכם בדבר גמלת ניידות), התש""ף-2019")</f>
        <v>29655</v>
      </c>
      <c r="E15440" t="s">
        <v>29655</v>
      </c>
      <c r="F15440" t="s">
        <v>29656</v>
      </c>
      <c r="G15440" t="s">
        <v>14</v>
      </c>
      <c r="H15440">
             </c>
      <c r="I15440" t="s">
        <v>14</v>
      </c>
      <c r="J15440" t="s">
        <v>141</v>
      </c>
      <c r="K15440" t="s">
        <v>14</v>
      </c>
      <c r="L15440" t="s">
        <v>20</v>
      </c>
      <c r="M15440" t="s">
        <v>29562</v>
      </c>
      <c r="N15440" t="s">
        <v>14</v>
      </c>
    </row>
    <row r="15441" x14ac:dyDescent="0.25">
      <c r="A15441" t="n">
        <v>22</v>
      </c>
      <c r="B15441" t="s">
        <v>14</v>
      </c>
      <c r="C15441" t="s">
        <v>22</v>
      </c>
      <c r="D15441" s="2" t="s">
        <f>=HYPERLINK("https://main.knesset.gov.il/APPS/legislation/main/bills/2081535", "הצעת חוק לתיקון פקודת העיריות (שקיפות פיננסית), התש""ף-2019")</f>
        <v>29657</v>
      </c>
      <c r="E15441" t="s">
        <v>29657</v>
      </c>
      <c r="F15441" t="s">
        <v>29658</v>
      </c>
      <c r="G15441" t="s">
        <v>14</v>
      </c>
      <c r="H15441">
             </c>
      <c r="I15441" t="s">
        <v>14</v>
      </c>
      <c r="J15441" t="s">
        <v>141</v>
      </c>
      <c r="K15441" t="s">
        <v>14</v>
      </c>
      <c r="L15441" t="s">
        <v>20</v>
      </c>
      <c r="M15441" t="s">
        <v>29562</v>
      </c>
      <c r="N15441" t="s">
        <v>14</v>
      </c>
    </row>
    <row r="15442" x14ac:dyDescent="0.25">
      <c r="A15442" t="n">
        <v>22</v>
      </c>
      <c r="B15442" t="s">
        <v>14</v>
      </c>
      <c r="C15442" t="s">
        <v>22</v>
      </c>
      <c r="D15442" s="2" t="s">
        <f>=HYPERLINK("https://main.knesset.gov.il/APPS/legislation/main/bills/2081520", "הצעת חוק המועצה להשכלה גבוהה (תיקון - איסור דרישת בחינות כניסה וציון פסיכומטרי), התש""ף-2019")</f>
        <v>29659</v>
      </c>
      <c r="E15442" t="s">
        <v>29659</v>
      </c>
      <c r="F15442" t="s">
        <v>29660</v>
      </c>
      <c r="G15442" t="s">
        <v>14</v>
      </c>
      <c r="H15442">
             </c>
      <c r="I15442" t="s">
        <v>14</v>
      </c>
      <c r="J15442" t="s">
        <v>141</v>
      </c>
      <c r="K15442" t="s">
        <v>14</v>
      </c>
      <c r="L15442" t="s">
        <v>20</v>
      </c>
      <c r="M15442" t="s">
        <v>29562</v>
      </c>
      <c r="N15442" t="s">
        <v>14</v>
      </c>
    </row>
    <row r="15443" x14ac:dyDescent="0.25">
      <c r="A15443" t="n">
        <v>22</v>
      </c>
      <c r="B15443" t="s">
        <v>14</v>
      </c>
      <c r="C15443" t="s">
        <v>22</v>
      </c>
      <c r="D15443" s="2" t="s">
        <f>=HYPERLINK("https://main.knesset.gov.il/APPS/legislation/main/bills/2081509", "הצעת חוק רישוי עסקים (תיקון - ביטול האיסור על מכירת אלכוהול בשעות הלילה), התש""ף-2019")</f>
        <v>29661</v>
      </c>
      <c r="E15443" t="s">
        <v>29661</v>
      </c>
      <c r="F15443" t="s">
        <v>29662</v>
      </c>
      <c r="G15443" t="s">
        <v>14</v>
      </c>
      <c r="H15443">
             </c>
      <c r="I15443" t="s">
        <v>14</v>
      </c>
      <c r="J15443" t="s">
        <v>141</v>
      </c>
      <c r="K15443" t="s">
        <v>14</v>
      </c>
      <c r="L15443" t="s">
        <v>20</v>
      </c>
      <c r="M15443" t="s">
        <v>29562</v>
      </c>
      <c r="N15443" t="s">
        <v>14</v>
      </c>
    </row>
    <row r="15444" x14ac:dyDescent="0.25">
      <c r="A15444" t="n">
        <v>22</v>
      </c>
      <c r="B15444" t="s">
        <v>14</v>
      </c>
      <c r="C15444" t="s">
        <v>22</v>
      </c>
      <c r="D15444" s="2" t="s">
        <f>=HYPERLINK("https://main.knesset.gov.il/APPS/legislation/main/bills/2081422", "הצעת חוק לשינוי סדרי עדיפויות לאומיים (תיקוני חקיקה להשגת יעדי התקציב לשנים 2013 ו-2014) (תיקון - ביטול פרק הרשויות המקומיות), התש""ף-2019")</f>
        <v>29663</v>
      </c>
      <c r="E15444" t="s">
        <v>29663</v>
      </c>
      <c r="F15444" t="s">
        <v>29664</v>
      </c>
      <c r="G15444" t="s">
        <v>14</v>
      </c>
      <c r="H15444">
             </c>
      <c r="I15444" t="s">
        <v>14</v>
      </c>
      <c r="J15444" t="s">
        <v>141</v>
      </c>
      <c r="K15444" t="s">
        <v>14</v>
      </c>
      <c r="L15444" t="s">
        <v>20</v>
      </c>
      <c r="M15444" t="s">
        <v>29562</v>
      </c>
      <c r="N15444" t="s">
        <v>14</v>
      </c>
    </row>
    <row r="15445" x14ac:dyDescent="0.25">
      <c r="A15445" t="n">
        <v>22</v>
      </c>
      <c r="B15445" t="s">
        <v>14</v>
      </c>
      <c r="C15445" t="s">
        <v>22</v>
      </c>
      <c r="D15445" s="2" t="s">
        <f>=HYPERLINK("https://main.knesset.gov.il/APPS/legislation/main/bills/2081410", "הצעת חוק הגנה כלכלית על חסרי ישע (תעודת יושר) (תיקוני חקיקה), התש""ף-2019")</f>
        <v>29665</v>
      </c>
      <c r="E15445" t="s">
        <v>29665</v>
      </c>
      <c r="F15445" t="s">
        <v>29666</v>
      </c>
      <c r="G15445" t="s">
        <v>14</v>
      </c>
      <c r="H15445">
             </c>
      <c r="I15445" t="s">
        <v>14</v>
      </c>
      <c r="J15445" t="s">
        <v>141</v>
      </c>
      <c r="K15445" t="s">
        <v>14</v>
      </c>
      <c r="L15445" t="s">
        <v>20</v>
      </c>
      <c r="M15445" t="s">
        <v>29562</v>
      </c>
      <c r="N15445" t="s">
        <v>14</v>
      </c>
    </row>
    <row r="15446" x14ac:dyDescent="0.25">
      <c r="A15446" t="n">
        <v>22</v>
      </c>
      <c r="B15446" t="s">
        <v>14</v>
      </c>
      <c r="C15446" t="s">
        <v>22</v>
      </c>
      <c r="D15446" s="2" t="s">
        <f>=HYPERLINK("https://main.knesset.gov.il/APPS/legislation/main/bills/2081552", "הצעת חוק הסכמים לנשיאת עוברים (אישור הסכם ומעמד היילוד) (תיקון - הרחבת הגדרת הורים מיועדים), התש""ף-2019")</f>
        <v>29667</v>
      </c>
      <c r="E15446" t="s">
        <v>29667</v>
      </c>
      <c r="F15446" t="s">
        <v>29668</v>
      </c>
      <c r="G15446" t="s">
        <v>14</v>
      </c>
      <c r="H15446">
             </c>
      <c r="I15446" t="s">
        <v>14</v>
      </c>
      <c r="J15446" t="s">
        <v>141</v>
      </c>
      <c r="K15446" t="s">
        <v>14</v>
      </c>
      <c r="L15446" t="s">
        <v>20</v>
      </c>
      <c r="M15446" t="s">
        <v>29562</v>
      </c>
      <c r="N15446" t="s">
        <v>14</v>
      </c>
    </row>
    <row r="15447" x14ac:dyDescent="0.25">
      <c r="A15447" t="n">
        <v>22</v>
      </c>
      <c r="B15447" t="s">
        <v>14</v>
      </c>
      <c r="C15447" t="s">
        <v>22</v>
      </c>
      <c r="D15447" s="2" t="s">
        <f>=HYPERLINK("https://main.knesset.gov.il/APPS/legislation/main/bills/2081612", "הצעת חוק השתלת אברים (תיקון - שינוי ברירת המחדל), התש""ף-2019")</f>
        <v>29669</v>
      </c>
      <c r="E15447" t="s">
        <v>29669</v>
      </c>
      <c r="F15447" t="s">
        <v>29670</v>
      </c>
      <c r="G15447" t="s">
        <v>14</v>
      </c>
      <c r="H15447">
             </c>
      <c r="I15447" t="s">
        <v>14</v>
      </c>
      <c r="J15447" t="s">
        <v>141</v>
      </c>
      <c r="K15447" t="s">
        <v>14</v>
      </c>
      <c r="L15447" t="s">
        <v>20</v>
      </c>
      <c r="M15447" t="s">
        <v>29562</v>
      </c>
      <c r="N15447" t="s">
        <v>14</v>
      </c>
    </row>
    <row r="15448" x14ac:dyDescent="0.25">
      <c r="A15448" t="n">
        <v>22</v>
      </c>
      <c r="B15448" t="s">
        <v>14</v>
      </c>
      <c r="C15448" t="s">
        <v>22</v>
      </c>
      <c r="D15448" s="2" t="s">
        <f>=HYPERLINK("https://main.knesset.gov.il/APPS/legislation/main/bills/2081575", "הצעת חוק הגנה על עובדים בשעת חירום (תיקון - הגנת שכר בעת מצב מיוחד בעורף), התש""ף-2019")</f>
        <v>29671</v>
      </c>
      <c r="E15448" t="s">
        <v>29671</v>
      </c>
      <c r="F15448" t="s">
        <v>29672</v>
      </c>
      <c r="G15448" t="s">
        <v>14</v>
      </c>
      <c r="H15448">
             </c>
      <c r="I15448" t="s">
        <v>14</v>
      </c>
      <c r="J15448" t="s">
        <v>141</v>
      </c>
      <c r="K15448" t="s">
        <v>14</v>
      </c>
      <c r="L15448" t="s">
        <v>20</v>
      </c>
      <c r="M15448" t="s">
        <v>29562</v>
      </c>
      <c r="N15448" t="s">
        <v>14</v>
      </c>
    </row>
    <row r="15449" x14ac:dyDescent="0.25">
      <c r="A15449" t="n">
        <v>22</v>
      </c>
      <c r="B15449" t="s">
        <v>14</v>
      </c>
      <c r="C15449" t="s">
        <v>22</v>
      </c>
      <c r="D15449" s="2" t="s">
        <f>=HYPERLINK("https://main.knesset.gov.il/APPS/legislation/main/bills/2081401", "הצעת חוק מס ערך מוסף (תיקון - מס בשיעור אפס על תרופות), התש""ף-2019")</f>
        <v>29673</v>
      </c>
      <c r="E15449" t="s">
        <v>29673</v>
      </c>
      <c r="F15449" t="s">
        <v>29674</v>
      </c>
      <c r="G15449" t="s">
        <v>14</v>
      </c>
      <c r="H15449">
             </c>
      <c r="I15449" t="s">
        <v>14</v>
      </c>
      <c r="J15449" t="s">
        <v>141</v>
      </c>
      <c r="K15449" t="s">
        <v>14</v>
      </c>
      <c r="L15449" t="s">
        <v>20</v>
      </c>
      <c r="M15449" t="s">
        <v>29562</v>
      </c>
      <c r="N15449" t="s">
        <v>14</v>
      </c>
    </row>
    <row r="15450" x14ac:dyDescent="0.25">
      <c r="A15450" t="n">
        <v>22</v>
      </c>
      <c r="B15450" t="s">
        <v>14</v>
      </c>
      <c r="C15450" t="s">
        <v>22</v>
      </c>
      <c r="D15450" s="2" t="s">
        <f>=HYPERLINK("https://main.knesset.gov.il/APPS/legislation/main/bills/2081568", "הצעת חוק הביטוח הלאומי (תיקון - קצבת שאירים למי שמנהל משק בית משותף), התש""ף-2019 ")</f>
        <v>29675</v>
      </c>
      <c r="E15450" t="s">
        <v>29675</v>
      </c>
      <c r="F15450" t="s">
        <v>29676</v>
      </c>
      <c r="G15450" t="s">
        <v>14</v>
      </c>
      <c r="H15450">
             </c>
      <c r="I15450" t="s">
        <v>14</v>
      </c>
      <c r="J15450" t="s">
        <v>141</v>
      </c>
      <c r="K15450" t="s">
        <v>14</v>
      </c>
      <c r="L15450" t="s">
        <v>20</v>
      </c>
      <c r="M15450" t="s">
        <v>29562</v>
      </c>
      <c r="N15450" t="s">
        <v>14</v>
      </c>
    </row>
    <row r="15451" x14ac:dyDescent="0.25">
      <c r="A15451" t="n">
        <v>22</v>
      </c>
      <c r="B15451" t="s">
        <v>14</v>
      </c>
      <c r="C15451" t="s">
        <v>22</v>
      </c>
      <c r="D15451" s="2" t="s">
        <f>=HYPERLINK("https://main.knesset.gov.il/APPS/legislation/main/bills/2081553", "הצעת חוק בתי המשפט (תיקון - פרסום פסיקה בענייני משפחה), התש""ף-2019")</f>
        <v>29677</v>
      </c>
      <c r="E15451" t="s">
        <v>29677</v>
      </c>
      <c r="F15451" t="s">
        <v>29678</v>
      </c>
      <c r="G15451" t="s">
        <v>14</v>
      </c>
      <c r="H15451">
             </c>
      <c r="I15451" t="s">
        <v>14</v>
      </c>
      <c r="J15451" t="s">
        <v>141</v>
      </c>
      <c r="K15451" t="s">
        <v>14</v>
      </c>
      <c r="L15451" t="s">
        <v>20</v>
      </c>
      <c r="M15451" t="s">
        <v>29562</v>
      </c>
      <c r="N15451" t="s">
        <v>14</v>
      </c>
    </row>
    <row r="15452" x14ac:dyDescent="0.25">
      <c r="A15452" t="n">
        <v>22</v>
      </c>
      <c r="B15452" t="s">
        <v>14</v>
      </c>
      <c r="C15452" t="s">
        <v>22</v>
      </c>
      <c r="D15452" s="2" t="s">
        <f>=HYPERLINK("https://main.knesset.gov.il/APPS/legislation/main/bills/2081505", "הצעת חוק זכויות החולה (תיקון - טיפול בזמן סביר), התש""ף-2019")</f>
        <v>29679</v>
      </c>
      <c r="E15452" t="s">
        <v>29679</v>
      </c>
      <c r="F15452" t="s">
        <v>29680</v>
      </c>
      <c r="G15452" t="s">
        <v>14</v>
      </c>
      <c r="H15452">
             </c>
      <c r="I15452" t="s">
        <v>14</v>
      </c>
      <c r="J15452" t="s">
        <v>141</v>
      </c>
      <c r="K15452" t="s">
        <v>14</v>
      </c>
      <c r="L15452" t="s">
        <v>20</v>
      </c>
      <c r="M15452" t="s">
        <v>29562</v>
      </c>
      <c r="N15452" t="s">
        <v>14</v>
      </c>
    </row>
    <row r="15453" x14ac:dyDescent="0.25">
      <c r="A15453" t="n">
        <v>22</v>
      </c>
      <c r="B15453" t="s">
        <v>14</v>
      </c>
      <c r="C15453" t="s">
        <v>22</v>
      </c>
      <c r="D15453" s="2" t="s">
        <f>=HYPERLINK("https://main.knesset.gov.il/APPS/legislation/main/bills/2081400", "הצעת חוק הביטוח הלאומי (תיקון - הכרה בלקות שמיעה באחת האוזניים), התש""ף-2019")</f>
        <v>29681</v>
      </c>
      <c r="E15453" t="s">
        <v>29681</v>
      </c>
      <c r="F15453" t="s">
        <v>29682</v>
      </c>
      <c r="G15453" t="s">
        <v>14</v>
      </c>
      <c r="H15453">
             </c>
      <c r="I15453" t="s">
        <v>14</v>
      </c>
      <c r="J15453" t="s">
        <v>141</v>
      </c>
      <c r="K15453" t="s">
        <v>14</v>
      </c>
      <c r="L15453" t="s">
        <v>20</v>
      </c>
      <c r="M15453" t="s">
        <v>29562</v>
      </c>
      <c r="N15453" t="s">
        <v>14</v>
      </c>
    </row>
    <row r="15454" x14ac:dyDescent="0.25">
      <c r="A15454" t="n">
        <v>22</v>
      </c>
      <c r="B15454" t="s">
        <v>14</v>
      </c>
      <c r="C15454" t="s">
        <v>22</v>
      </c>
      <c r="D15454" s="2" t="s">
        <f>=HYPERLINK("https://main.knesset.gov.il/APPS/legislation/main/bills/2081495", "הצעת חוק הפחתת הגירעון והגבלת ההוצאה התקציבית (תיקון - ביטול הגבלת ההוצאה התקציבית), התש""ף-2019")</f>
        <v>29683</v>
      </c>
      <c r="E15454" t="s">
        <v>29683</v>
      </c>
      <c r="F15454" t="s">
        <v>29684</v>
      </c>
      <c r="G15454" t="s">
        <v>14</v>
      </c>
      <c r="H15454">
             </c>
      <c r="I15454" t="s">
        <v>14</v>
      </c>
      <c r="J15454" t="s">
        <v>141</v>
      </c>
      <c r="K15454" t="s">
        <v>14</v>
      </c>
      <c r="L15454" t="s">
        <v>20</v>
      </c>
      <c r="M15454" t="s">
        <v>29562</v>
      </c>
      <c r="N15454" t="s">
        <v>14</v>
      </c>
    </row>
    <row r="15455" x14ac:dyDescent="0.25">
      <c r="A15455" t="n">
        <v>22</v>
      </c>
      <c r="B15455" t="s">
        <v>14</v>
      </c>
      <c r="C15455" t="s">
        <v>22</v>
      </c>
      <c r="D15455" s="2" t="s">
        <f>=HYPERLINK("https://main.knesset.gov.il/APPS/legislation/main/bills/2081397", "הצעת חוק הביטוח הלאומי (תיקון - הכרה במחלת כולסטאטומה אצל ילדים), התש""ף-2019")</f>
        <v>29685</v>
      </c>
      <c r="E15455" t="s">
        <v>29685</v>
      </c>
      <c r="F15455" t="s">
        <v>29686</v>
      </c>
      <c r="G15455" t="s">
        <v>14</v>
      </c>
      <c r="H15455">
             </c>
      <c r="I15455" t="s">
        <v>14</v>
      </c>
      <c r="J15455" t="s">
        <v>141</v>
      </c>
      <c r="K15455" t="s">
        <v>14</v>
      </c>
      <c r="L15455" t="s">
        <v>20</v>
      </c>
      <c r="M15455" t="s">
        <v>29562</v>
      </c>
      <c r="N15455" t="s">
        <v>14</v>
      </c>
    </row>
    <row r="15456" x14ac:dyDescent="0.25">
      <c r="A15456" t="n">
        <v>22</v>
      </c>
      <c r="B15456" t="s">
        <v>14</v>
      </c>
      <c r="C15456" t="s">
        <v>22</v>
      </c>
      <c r="D15456" s="2" t="s">
        <f>=HYPERLINK("https://main.knesset.gov.il/APPS/legislation/main/bills/2081494", "הצעת חוק הביטוח הלאומי (תיקון - תשלום ריבית על גמלאות המשולמות באיחור), התש""ף-2019")</f>
        <v>29687</v>
      </c>
      <c r="E15456" t="s">
        <v>29687</v>
      </c>
      <c r="F15456" t="s">
        <v>29688</v>
      </c>
      <c r="G15456" t="s">
        <v>14</v>
      </c>
      <c r="H15456">
             </c>
      <c r="I15456" t="s">
        <v>14</v>
      </c>
      <c r="J15456" t="s">
        <v>141</v>
      </c>
      <c r="K15456" t="s">
        <v>14</v>
      </c>
      <c r="L15456" t="s">
        <v>20</v>
      </c>
      <c r="M15456" t="s">
        <v>29562</v>
      </c>
      <c r="N15456" t="s">
        <v>14</v>
      </c>
    </row>
    <row r="15457" x14ac:dyDescent="0.25">
      <c r="A15457" t="n">
        <v>22</v>
      </c>
      <c r="B15457" t="s">
        <v>14</v>
      </c>
      <c r="C15457" t="s">
        <v>22</v>
      </c>
      <c r="D15457" s="2" t="s">
        <f>=HYPERLINK("https://main.knesset.gov.il/APPS/legislation/main/bills/2081384", "הצעת חוק הרחבת טווח חובת מיגון ביישובי קו עימות בעוטף עזה, התש""ף-2019")</f>
        <v>29689</v>
      </c>
      <c r="E15457" t="s">
        <v>29689</v>
      </c>
      <c r="F15457" t="s">
        <v>29690</v>
      </c>
      <c r="G15457" t="s">
        <v>14</v>
      </c>
      <c r="H15457">
             </c>
      <c r="I15457" t="s">
        <v>14</v>
      </c>
      <c r="J15457" t="s">
        <v>141</v>
      </c>
      <c r="K15457" t="s">
        <v>14</v>
      </c>
      <c r="L15457" t="s">
        <v>20</v>
      </c>
      <c r="M15457" t="s">
        <v>29562</v>
      </c>
      <c r="N15457" t="s">
        <v>14</v>
      </c>
    </row>
    <row r="15458" x14ac:dyDescent="0.25">
      <c r="A15458" t="n">
        <v>22</v>
      </c>
      <c r="B15458" t="s">
        <v>14</v>
      </c>
      <c r="C15458" t="s">
        <v>22</v>
      </c>
      <c r="D15458" s="2" t="s">
        <f>=HYPERLINK("https://main.knesset.gov.il/APPS/legislation/main/bills/2081450", "הצעת חוק עסקאות גופים ציבוריים (תיקון - מניעת העסקה במיקור חוץ בשירות הציבורי), התש""ף-2019")</f>
        <v>29441</v>
      </c>
      <c r="E15458" t="s">
        <v>29441</v>
      </c>
      <c r="F15458" t="s">
        <v>29691</v>
      </c>
      <c r="G15458" t="s">
        <v>14</v>
      </c>
      <c r="H15458">
             </c>
      <c r="I15458" t="s">
        <v>14</v>
      </c>
      <c r="J15458" t="s">
        <v>141</v>
      </c>
      <c r="K15458" t="s">
        <v>14</v>
      </c>
      <c r="L15458" t="s">
        <v>20</v>
      </c>
      <c r="M15458" t="s">
        <v>29562</v>
      </c>
      <c r="N15458" t="s">
        <v>14</v>
      </c>
    </row>
    <row r="15459" x14ac:dyDescent="0.25">
      <c r="A15459" t="n">
        <v>22</v>
      </c>
      <c r="B15459" t="s">
        <v>14</v>
      </c>
      <c r="C15459" t="s">
        <v>22</v>
      </c>
      <c r="D15459" s="2" t="s">
        <f>=HYPERLINK("https://main.knesset.gov.il/APPS/legislation/main/bills/2081380", "הצעת חוק העונשין (תיקון - החמרת הענישה בשל תקיפת עובדים סוציאליים), התש""ף-2019")</f>
        <v>29692</v>
      </c>
      <c r="E15459" t="s">
        <v>29692</v>
      </c>
      <c r="F15459" t="s">
        <v>29693</v>
      </c>
      <c r="G15459" t="s">
        <v>14</v>
      </c>
      <c r="H15459">
             </c>
      <c r="I15459" t="s">
        <v>14</v>
      </c>
      <c r="J15459" t="s">
        <v>141</v>
      </c>
      <c r="K15459" t="s">
        <v>14</v>
      </c>
      <c r="L15459" t="s">
        <v>20</v>
      </c>
      <c r="M15459" t="s">
        <v>29562</v>
      </c>
      <c r="N15459" t="s">
        <v>14</v>
      </c>
    </row>
    <row r="15460" x14ac:dyDescent="0.25">
      <c r="A15460" t="n">
        <v>22</v>
      </c>
      <c r="B15460" t="s">
        <v>14</v>
      </c>
      <c r="C15460" t="s">
        <v>22</v>
      </c>
      <c r="D15460" s="2" t="s">
        <f>=HYPERLINK("https://main.knesset.gov.il/APPS/legislation/main/bills/2081444", "הצעת חוק התפזרות הכנסת העשרים ושתיים, התש""ף-2019")</f>
        <v>28151</v>
      </c>
      <c r="E15460" t="s">
        <v>28151</v>
      </c>
      <c r="F15460" t="s">
        <v>29694</v>
      </c>
      <c r="G15460" t="s">
        <v>14</v>
      </c>
      <c r="H15460">
             </c>
      <c r="I15460" t="s">
        <v>14</v>
      </c>
      <c r="J15460" t="s">
        <v>141</v>
      </c>
      <c r="K15460" t="s">
        <v>14</v>
      </c>
      <c r="L15460" t="s">
        <v>20</v>
      </c>
      <c r="M15460" t="s">
        <v>29562</v>
      </c>
      <c r="N15460" t="s">
        <v>14</v>
      </c>
    </row>
    <row r="15461" x14ac:dyDescent="0.25">
      <c r="A15461" t="n">
        <v>22</v>
      </c>
      <c r="B15461" t="s">
        <v>14</v>
      </c>
      <c r="C15461" t="s">
        <v>22</v>
      </c>
      <c r="D15461" s="2" t="s">
        <f>=HYPERLINK("https://main.knesset.gov.il/APPS/legislation/main/bills/2081465", "הצעת חוק הפיקוח על יצוא ביטחוני (תיקון - הגבלות על יצוא ביטחוני לכוחות ביטחון שביצעו הפרות חמורות של זכויות אדם), התש""ף-2019")</f>
        <v>28403</v>
      </c>
      <c r="E15461" t="s">
        <v>28403</v>
      </c>
      <c r="F15461" t="s">
        <v>29695</v>
      </c>
      <c r="G15461" t="s">
        <v>14</v>
      </c>
      <c r="H15461">
             </c>
      <c r="I15461" t="s">
        <v>14</v>
      </c>
      <c r="J15461" t="s">
        <v>141</v>
      </c>
      <c r="K15461" t="s">
        <v>14</v>
      </c>
      <c r="L15461" t="s">
        <v>20</v>
      </c>
      <c r="M15461" t="s">
        <v>29562</v>
      </c>
      <c r="N15461" t="s">
        <v>14</v>
      </c>
    </row>
    <row r="15462" x14ac:dyDescent="0.25">
      <c r="A15462" t="n">
        <v>22</v>
      </c>
      <c r="B15462" t="s">
        <v>14</v>
      </c>
      <c r="C15462" t="s">
        <v>22</v>
      </c>
      <c r="D15462" s="2" t="s">
        <f>=HYPERLINK("https://main.knesset.gov.il/APPS/legislation/main/bills/2081190", "הצעת חוק הממשלה (תיקון - ועדת שרים לענייני ביטחון לאומי), התש""ף-2019")</f>
        <v>29696</v>
      </c>
      <c r="E15462" t="s">
        <v>29696</v>
      </c>
      <c r="F15462" t="s">
        <v>29697</v>
      </c>
      <c r="G15462" t="s">
        <v>14</v>
      </c>
      <c r="H15462">
             </c>
      <c r="I15462" t="s">
        <v>14</v>
      </c>
      <c r="J15462" t="s">
        <v>141</v>
      </c>
      <c r="K15462" t="s">
        <v>14</v>
      </c>
      <c r="L15462" t="s">
        <v>20</v>
      </c>
      <c r="M15462" t="s">
        <v>29562</v>
      </c>
      <c r="N15462" t="s">
        <v>14</v>
      </c>
    </row>
    <row r="15463" x14ac:dyDescent="0.25">
      <c r="A15463" t="n">
        <v>22</v>
      </c>
      <c r="B15463" t="s">
        <v>14</v>
      </c>
      <c r="C15463" t="s">
        <v>22</v>
      </c>
      <c r="D15463" s="2" t="s">
        <f>=HYPERLINK("https://main.knesset.gov.il/APPS/legislation/main/bills/2081369", "הצעת חוק הביטוח הלאומי (תיקון - ערעור על החלטת הוועדה הרפואית לעררים), התש""ף-2019")</f>
        <v>29698</v>
      </c>
      <c r="E15463" t="s">
        <v>29698</v>
      </c>
      <c r="F15463" t="s">
        <v>29699</v>
      </c>
      <c r="G15463" t="s">
        <v>14</v>
      </c>
      <c r="H15463">
             </c>
      <c r="I15463" t="s">
        <v>14</v>
      </c>
      <c r="J15463" t="s">
        <v>141</v>
      </c>
      <c r="K15463" t="s">
        <v>14</v>
      </c>
      <c r="L15463" t="s">
        <v>20</v>
      </c>
      <c r="M15463" t="s">
        <v>29562</v>
      </c>
      <c r="N15463" t="s">
        <v>14</v>
      </c>
    </row>
    <row r="15464" x14ac:dyDescent="0.25">
      <c r="A15464" t="n">
        <v>22</v>
      </c>
      <c r="B15464" t="s">
        <v>14</v>
      </c>
      <c r="C15464" t="s">
        <v>22</v>
      </c>
      <c r="D15464" s="2" t="s">
        <f>=HYPERLINK("https://main.knesset.gov.il/APPS/legislation/main/bills/2081851", "הצעת חוק תגמולים לחיילים ולבני משפחותיהם (חבלה שלא בעת מילוי תפקיד) (תיקון - חבלה או מחלה של לוחם), התש""ף-2019")</f>
        <v>29700</v>
      </c>
      <c r="E15464" t="s">
        <v>29700</v>
      </c>
      <c r="F15464" t="s">
        <v>29701</v>
      </c>
      <c r="G15464" t="s">
        <v>14</v>
      </c>
      <c r="H15464">
             </c>
      <c r="I15464" t="s">
        <v>14</v>
      </c>
      <c r="J15464" t="s">
        <v>141</v>
      </c>
      <c r="K15464" t="s">
        <v>14</v>
      </c>
      <c r="L15464" t="s">
        <v>20</v>
      </c>
      <c r="M15464" t="s">
        <v>29562</v>
      </c>
      <c r="N15464" t="s">
        <v>14</v>
      </c>
    </row>
    <row r="15465" x14ac:dyDescent="0.25">
      <c r="A15465" t="n">
        <v>22</v>
      </c>
      <c r="B15465" t="s">
        <v>14</v>
      </c>
      <c r="C15465" t="s">
        <v>22</v>
      </c>
      <c r="D15465" s="2" t="s">
        <f>=HYPERLINK("https://main.knesset.gov.il/APPS/legislation/main/bills/2081428", "הצעת חוק איסור הפליה בדיור, התש""ף-2019")</f>
        <v>29702</v>
      </c>
      <c r="E15465" t="s">
        <v>29702</v>
      </c>
      <c r="F15465" t="s">
        <v>29703</v>
      </c>
      <c r="G15465" t="s">
        <v>14</v>
      </c>
      <c r="H15465">
             </c>
      <c r="I15465" t="s">
        <v>14</v>
      </c>
      <c r="J15465" t="s">
        <v>141</v>
      </c>
      <c r="K15465" t="s">
        <v>14</v>
      </c>
      <c r="L15465" t="s">
        <v>20</v>
      </c>
      <c r="M15465" t="s">
        <v>29562</v>
      </c>
      <c r="N15465" t="s">
        <v>14</v>
      </c>
    </row>
    <row r="15466" x14ac:dyDescent="0.25">
      <c r="A15466" t="n">
        <v>22</v>
      </c>
      <c r="B15466" t="s">
        <v>14</v>
      </c>
      <c r="C15466" t="s">
        <v>22</v>
      </c>
      <c r="D15466" s="2" t="s">
        <f>=HYPERLINK("https://main.knesset.gov.il/APPS/legislation/main/bills/2081373", "הצעת חוק הגנת השכר (תיקון - הגבלת ניכוי דמי חבר ודמי טיפול מקצועי ארגוני), התש""ף-2019")</f>
        <v>29704</v>
      </c>
      <c r="E15466" t="s">
        <v>29704</v>
      </c>
      <c r="F15466" t="s">
        <v>29705</v>
      </c>
      <c r="G15466" t="s">
        <v>14</v>
      </c>
      <c r="H15466">
             </c>
      <c r="I15466" t="s">
        <v>14</v>
      </c>
      <c r="J15466" t="s">
        <v>141</v>
      </c>
      <c r="K15466" t="s">
        <v>14</v>
      </c>
      <c r="L15466" t="s">
        <v>20</v>
      </c>
      <c r="M15466" t="s">
        <v>29562</v>
      </c>
      <c r="N15466" t="s">
        <v>14</v>
      </c>
    </row>
    <row r="15467" x14ac:dyDescent="0.25">
      <c r="A15467" t="n">
        <v>22</v>
      </c>
      <c r="B15467" t="s">
        <v>14</v>
      </c>
      <c r="C15467" t="s">
        <v>22</v>
      </c>
      <c r="D15467" s="2" t="s">
        <f>=HYPERLINK("https://main.knesset.gov.il/APPS/legislation/main/bills/2081365", "הצעת חוק לתיקון פקודת הרוקחים (איסור תגמול בגין מכירת תרופות), התש""ף-2019")</f>
        <v>29706</v>
      </c>
      <c r="E15467" t="s">
        <v>29706</v>
      </c>
      <c r="F15467" t="s">
        <v>29707</v>
      </c>
      <c r="G15467" t="s">
        <v>14</v>
      </c>
      <c r="H15467">
             </c>
      <c r="I15467" t="s">
        <v>14</v>
      </c>
      <c r="J15467" t="s">
        <v>141</v>
      </c>
      <c r="K15467" t="s">
        <v>14</v>
      </c>
      <c r="L15467" t="s">
        <v>20</v>
      </c>
      <c r="M15467" t="s">
        <v>29562</v>
      </c>
      <c r="N15467" t="s">
        <v>14</v>
      </c>
    </row>
    <row r="15468" x14ac:dyDescent="0.25">
      <c r="A15468" t="n">
        <v>22</v>
      </c>
      <c r="B15468" t="s">
        <v>14</v>
      </c>
      <c r="C15468" t="s">
        <v>22</v>
      </c>
      <c r="D15468" s="2" t="s">
        <f>=HYPERLINK("https://main.knesset.gov.il/APPS/legislation/main/bills/2081482", "הצעת חוק הכללת אמצעי זיהוי ביומטריים ונתוני זיהוי ביומטריים במסמכי זיהוי ובמאגר מידע (תיקון - ביטול המאגר הביומטרי), התש""ף-2019")</f>
        <v>29708</v>
      </c>
      <c r="E15468" t="s">
        <v>29708</v>
      </c>
      <c r="F15468" t="s">
        <v>29709</v>
      </c>
      <c r="G15468" t="s">
        <v>14</v>
      </c>
      <c r="H15468">
             </c>
      <c r="I15468" t="s">
        <v>14</v>
      </c>
      <c r="J15468" t="s">
        <v>141</v>
      </c>
      <c r="K15468" t="s">
        <v>14</v>
      </c>
      <c r="L15468" t="s">
        <v>20</v>
      </c>
      <c r="M15468" t="s">
        <v>29562</v>
      </c>
      <c r="N15468" t="s">
        <v>14</v>
      </c>
    </row>
    <row r="15469" x14ac:dyDescent="0.25">
      <c r="A15469" t="n">
        <v>22</v>
      </c>
      <c r="B15469" t="s">
        <v>14</v>
      </c>
      <c r="C15469" t="s">
        <v>22</v>
      </c>
      <c r="D15469" s="2" t="s">
        <f>=HYPERLINK("https://main.knesset.gov.il/APPS/legislation/main/bills/2081359", "הצעת חוק מס ערך מוסף (תיקון - מס בשיעור אפס על מוצרי מזון בסיסיים), התש""ף-2019")</f>
        <v>29710</v>
      </c>
      <c r="E15469" t="s">
        <v>29710</v>
      </c>
      <c r="F15469" t="s">
        <v>29711</v>
      </c>
      <c r="G15469" t="s">
        <v>14</v>
      </c>
      <c r="H15469">
             </c>
      <c r="I15469" t="s">
        <v>14</v>
      </c>
      <c r="J15469" t="s">
        <v>141</v>
      </c>
      <c r="K15469" t="s">
        <v>14</v>
      </c>
      <c r="L15469" t="s">
        <v>20</v>
      </c>
      <c r="M15469" t="s">
        <v>29562</v>
      </c>
      <c r="N15469" t="s">
        <v>14</v>
      </c>
    </row>
    <row r="15470" x14ac:dyDescent="0.25">
      <c r="A15470" t="n">
        <v>22</v>
      </c>
      <c r="B15470" t="s">
        <v>14</v>
      </c>
      <c r="C15470" t="s">
        <v>22</v>
      </c>
      <c r="D15470" s="2" t="s">
        <f>=HYPERLINK("https://main.knesset.gov.il/APPS/legislation/main/bills/2081349", "הצעת חוק הסכמים לנשיאת עוברים (אישור הסכם ומעמד היילוד) (תיקון - הרחבת הזכאות להליכי נשיאת עוברים והרחבת ההגנה על האם הנושאת), התש""ף-2019")</f>
        <v>29712</v>
      </c>
      <c r="E15470" t="s">
        <v>29712</v>
      </c>
      <c r="F15470" t="s">
        <v>29713</v>
      </c>
      <c r="G15470" t="s">
        <v>14</v>
      </c>
      <c r="H15470">
             </c>
      <c r="I15470" t="s">
        <v>14</v>
      </c>
      <c r="J15470" t="s">
        <v>141</v>
      </c>
      <c r="K15470" t="s">
        <v>14</v>
      </c>
      <c r="L15470" t="s">
        <v>20</v>
      </c>
      <c r="M15470" t="s">
        <v>29562</v>
      </c>
      <c r="N15470" t="s">
        <v>14</v>
      </c>
    </row>
    <row r="15471" x14ac:dyDescent="0.25">
      <c r="A15471" t="n">
        <v>22</v>
      </c>
      <c r="B15471" t="s">
        <v>14</v>
      </c>
      <c r="C15471" t="s">
        <v>22</v>
      </c>
      <c r="D15471" s="2" t="s">
        <f>=HYPERLINK("https://main.knesset.gov.il/APPS/legislation/main/bills/2081426", "הצעת חוק למניעת אלימות במשפחה (תיקון - פיקוח אלקטרוני על אדם שהוצא כנגדו צו הגנה), התש""ף-2019")</f>
        <v>29714</v>
      </c>
      <c r="E15471" t="s">
        <v>29714</v>
      </c>
      <c r="F15471" t="s">
        <v>29715</v>
      </c>
      <c r="G15471" t="s">
        <v>14</v>
      </c>
      <c r="H15471">
             </c>
      <c r="I15471" t="s">
        <v>14</v>
      </c>
      <c r="J15471" t="s">
        <v>141</v>
      </c>
      <c r="K15471" t="s">
        <v>14</v>
      </c>
      <c r="L15471" t="s">
        <v>20</v>
      </c>
      <c r="M15471" t="s">
        <v>29562</v>
      </c>
      <c r="N15471" t="s">
        <v>14</v>
      </c>
    </row>
    <row r="15472" x14ac:dyDescent="0.25">
      <c r="A15472" t="n">
        <v>22</v>
      </c>
      <c r="B15472" t="s">
        <v>14</v>
      </c>
      <c r="C15472" t="s">
        <v>22</v>
      </c>
      <c r="D15472" s="2" t="s">
        <f>=HYPERLINK("https://main.knesset.gov.il/APPS/legislation/main/bills/2081503", "הצעת חוק הביטוח הלאומי (תיקון - הגדלת קצבת אזרח ותיק), התש""ף-2019")</f>
        <v>29716</v>
      </c>
      <c r="E15472" t="s">
        <v>29716</v>
      </c>
      <c r="F15472" t="s">
        <v>29717</v>
      </c>
      <c r="G15472" t="s">
        <v>14</v>
      </c>
      <c r="H15472">
             </c>
      <c r="I15472" t="s">
        <v>14</v>
      </c>
      <c r="J15472" t="s">
        <v>141</v>
      </c>
      <c r="K15472" t="s">
        <v>14</v>
      </c>
      <c r="L15472" t="s">
        <v>20</v>
      </c>
      <c r="M15472" t="s">
        <v>29562</v>
      </c>
      <c r="N15472" t="s">
        <v>14</v>
      </c>
    </row>
    <row r="15473" x14ac:dyDescent="0.25">
      <c r="A15473" t="n">
        <v>22</v>
      </c>
      <c r="B15473" t="s">
        <v>14</v>
      </c>
      <c r="C15473" t="s">
        <v>22</v>
      </c>
      <c r="D15473" s="2" t="s">
        <f>=HYPERLINK("https://main.knesset.gov.il/APPS/legislation/main/bills/2081517", "הצעת חוק זכויות הסטודנט (תיקון - איסור הפליית מועמדים או סטודנטים), התש""ף-2019")</f>
        <v>29718</v>
      </c>
      <c r="E15473" t="s">
        <v>29718</v>
      </c>
      <c r="F15473" t="s">
        <v>29719</v>
      </c>
      <c r="G15473" t="s">
        <v>14</v>
      </c>
      <c r="H15473">
             </c>
      <c r="I15473" t="s">
        <v>14</v>
      </c>
      <c r="J15473" t="s">
        <v>141</v>
      </c>
      <c r="K15473" t="s">
        <v>14</v>
      </c>
      <c r="L15473" t="s">
        <v>20</v>
      </c>
      <c r="M15473" t="s">
        <v>29562</v>
      </c>
      <c r="N15473" t="s">
        <v>14</v>
      </c>
    </row>
    <row r="15474" x14ac:dyDescent="0.25">
      <c r="A15474" t="n">
        <v>22</v>
      </c>
      <c r="B15474" t="s">
        <v>14</v>
      </c>
      <c r="C15474" t="s">
        <v>22</v>
      </c>
      <c r="D15474" s="2" t="s">
        <f>=HYPERLINK("https://main.knesset.gov.il/APPS/legislation/main/bills/2081187", "הצעת חוק איסור אלימות בספורט (תיקון - איסור התבטאות גזענית מטעמים של זהות מגדרית או נטייה מינית), התש""ף-2019")</f>
        <v>29720</v>
      </c>
      <c r="E15474" t="s">
        <v>29720</v>
      </c>
      <c r="F15474" t="s">
        <v>29721</v>
      </c>
      <c r="G15474" t="s">
        <v>14</v>
      </c>
      <c r="H15474">
             </c>
      <c r="I15474" t="s">
        <v>14</v>
      </c>
      <c r="J15474" t="s">
        <v>141</v>
      </c>
      <c r="K15474" t="s">
        <v>14</v>
      </c>
      <c r="L15474" t="s">
        <v>20</v>
      </c>
      <c r="M15474" t="s">
        <v>29562</v>
      </c>
      <c r="N15474" t="s">
        <v>14</v>
      </c>
    </row>
    <row r="15475" x14ac:dyDescent="0.25">
      <c r="A15475" t="n">
        <v>22</v>
      </c>
      <c r="B15475" t="s">
        <v>14</v>
      </c>
      <c r="C15475" t="s">
        <v>22</v>
      </c>
      <c r="D15475" s="2" t="s">
        <f>=HYPERLINK("https://main.knesset.gov.il/APPS/legislation/main/bills/2081425", "הצעת חוק מס ערך מוסף (תיקון - פטור ממס במכירת תרופות מצילות חיים שאינן כלולות בסל הבריאות), התש""ף-2019")</f>
        <v>28352</v>
      </c>
      <c r="E15475" t="s">
        <v>28352</v>
      </c>
      <c r="F15475" t="s">
        <v>29722</v>
      </c>
      <c r="G15475" t="s">
        <v>14</v>
      </c>
      <c r="H15475">
             </c>
      <c r="I15475" t="s">
        <v>14</v>
      </c>
      <c r="J15475" t="s">
        <v>141</v>
      </c>
      <c r="K15475" t="s">
        <v>14</v>
      </c>
      <c r="L15475" t="s">
        <v>20</v>
      </c>
      <c r="M15475" t="s">
        <v>29562</v>
      </c>
      <c r="N15475" t="s">
        <v>14</v>
      </c>
    </row>
    <row r="15476" x14ac:dyDescent="0.25">
      <c r="A15476" t="n">
        <v>22</v>
      </c>
      <c r="B15476" t="s">
        <v>14</v>
      </c>
      <c r="C15476" t="s">
        <v>22</v>
      </c>
      <c r="D15476" s="2" t="s">
        <f>=HYPERLINK("https://main.knesset.gov.il/APPS/legislation/main/bills/2081342", "הצעת חוק חופשה שנתית (תיקון - קביעת יום פתיחת שנת הלימודים כיום בחירה), התש""ף-2019")</f>
        <v>28915</v>
      </c>
      <c r="E15476" t="s">
        <v>28915</v>
      </c>
      <c r="F15476" t="s">
        <v>29723</v>
      </c>
      <c r="G15476" t="s">
        <v>14</v>
      </c>
      <c r="H15476">
             </c>
      <c r="I15476" t="s">
        <v>14</v>
      </c>
      <c r="J15476" t="s">
        <v>141</v>
      </c>
      <c r="K15476" t="s">
        <v>14</v>
      </c>
      <c r="L15476" t="s">
        <v>20</v>
      </c>
      <c r="M15476" t="s">
        <v>29562</v>
      </c>
      <c r="N15476" t="s">
        <v>14</v>
      </c>
    </row>
    <row r="15477" x14ac:dyDescent="0.25">
      <c r="A15477" t="n">
        <v>22</v>
      </c>
      <c r="B15477" t="s">
        <v>14</v>
      </c>
      <c r="C15477" t="s">
        <v>22</v>
      </c>
      <c r="D15477" s="2" t="s">
        <f>=HYPERLINK("https://main.knesset.gov.il/APPS/legislation/main/bills/2081490", "הצעת חוק חינוך ממלכתי (תיקון - חובת לימוד עברית וערבית במוסדות חינוך תיכוניים), התש""ף-2019")</f>
        <v>29724</v>
      </c>
      <c r="E15477" t="s">
        <v>29724</v>
      </c>
      <c r="F15477" t="s">
        <v>29725</v>
      </c>
      <c r="G15477" t="s">
        <v>14</v>
      </c>
      <c r="H15477">
             </c>
      <c r="I15477" t="s">
        <v>14</v>
      </c>
      <c r="J15477" t="s">
        <v>141</v>
      </c>
      <c r="K15477" t="s">
        <v>14</v>
      </c>
      <c r="L15477" t="s">
        <v>20</v>
      </c>
      <c r="M15477" t="s">
        <v>29562</v>
      </c>
      <c r="N15477" t="s">
        <v>14</v>
      </c>
    </row>
    <row r="15478" x14ac:dyDescent="0.25">
      <c r="A15478" t="n">
        <v>22</v>
      </c>
      <c r="B15478" t="s">
        <v>14</v>
      </c>
      <c r="C15478" t="s">
        <v>22</v>
      </c>
      <c r="D15478" s="2" t="s">
        <f>=HYPERLINK("https://main.knesset.gov.il/APPS/legislation/main/bills/2081502", "הצעת חוק חינוך פיננסי, התש""ף-2019")</f>
        <v>28178</v>
      </c>
      <c r="E15478" t="s">
        <v>28178</v>
      </c>
      <c r="F15478" t="s">
        <v>29726</v>
      </c>
      <c r="G15478" t="s">
        <v>14</v>
      </c>
      <c r="H15478">
             </c>
      <c r="I15478" t="s">
        <v>14</v>
      </c>
      <c r="J15478" t="s">
        <v>141</v>
      </c>
      <c r="K15478" t="s">
        <v>14</v>
      </c>
      <c r="L15478" t="s">
        <v>20</v>
      </c>
      <c r="M15478" t="s">
        <v>29562</v>
      </c>
      <c r="N15478" t="s">
        <v>14</v>
      </c>
    </row>
    <row r="15479" x14ac:dyDescent="0.25">
      <c r="A15479" t="n">
        <v>22</v>
      </c>
      <c r="B15479" t="s">
        <v>14</v>
      </c>
      <c r="C15479" t="s">
        <v>22</v>
      </c>
      <c r="D15479" s="2" t="s">
        <f>=HYPERLINK("https://main.knesset.gov.il/APPS/legislation/main/bills/2081497", "הצעת חוק חינוך ממלכתי (תיקון - חובת לימוד עברית וערבית), התש""ף-2019")</f>
        <v>29727</v>
      </c>
      <c r="E15479" t="s">
        <v>29727</v>
      </c>
      <c r="F15479" t="s">
        <v>29728</v>
      </c>
      <c r="G15479" t="s">
        <v>14</v>
      </c>
      <c r="H15479">
             </c>
      <c r="I15479" t="s">
        <v>14</v>
      </c>
      <c r="J15479" t="s">
        <v>141</v>
      </c>
      <c r="K15479" t="s">
        <v>14</v>
      </c>
      <c r="L15479" t="s">
        <v>20</v>
      </c>
      <c r="M15479" t="s">
        <v>29562</v>
      </c>
      <c r="N15479" t="s">
        <v>14</v>
      </c>
    </row>
    <row r="15480" x14ac:dyDescent="0.25">
      <c r="A15480" t="n">
        <v>22</v>
      </c>
      <c r="B15480" t="s">
        <v>14</v>
      </c>
      <c r="C15480" t="s">
        <v>22</v>
      </c>
      <c r="D15480" s="2" t="s">
        <f>=HYPERLINK("https://main.knesset.gov.il/APPS/legislation/main/bills/2081338", "הצעת חוק ביטוח בריאות ממלכתי (תיקון - החזר דמי נסיעות והסעות לטיפולי אונקולוגיה ודיאליזה), התש""ף-2019")</f>
        <v>29729</v>
      </c>
      <c r="E15480" t="s">
        <v>29729</v>
      </c>
      <c r="F15480" t="s">
        <v>29730</v>
      </c>
      <c r="G15480" t="s">
        <v>14</v>
      </c>
      <c r="H15480">
             </c>
      <c r="I15480" t="s">
        <v>14</v>
      </c>
      <c r="J15480" t="s">
        <v>141</v>
      </c>
      <c r="K15480" t="s">
        <v>14</v>
      </c>
      <c r="L15480" t="s">
        <v>20</v>
      </c>
      <c r="M15480" t="s">
        <v>29562</v>
      </c>
      <c r="N15480" t="s">
        <v>14</v>
      </c>
    </row>
    <row r="15481" x14ac:dyDescent="0.25">
      <c r="A15481" t="n">
        <v>22</v>
      </c>
      <c r="B15481" t="s">
        <v>14</v>
      </c>
      <c r="C15481" t="s">
        <v>22</v>
      </c>
      <c r="D15481" s="2" t="s">
        <f>=HYPERLINK("https://main.knesset.gov.il/APPS/legislation/main/bills/2081327", "הצעת חוק הביטוח הלאומי (תיקון - הגדרת ילד נכה), התש""ף-2019")</f>
        <v>29731</v>
      </c>
      <c r="E15481" t="s">
        <v>29731</v>
      </c>
      <c r="F15481" t="s">
        <v>29732</v>
      </c>
      <c r="G15481" t="s">
        <v>14</v>
      </c>
      <c r="H15481">
             </c>
      <c r="I15481" t="s">
        <v>14</v>
      </c>
      <c r="J15481" t="s">
        <v>141</v>
      </c>
      <c r="K15481" t="s">
        <v>14</v>
      </c>
      <c r="L15481" t="s">
        <v>20</v>
      </c>
      <c r="M15481" t="s">
        <v>29562</v>
      </c>
      <c r="N15481" t="s">
        <v>14</v>
      </c>
    </row>
    <row r="15482" x14ac:dyDescent="0.25">
      <c r="A15482" t="n">
        <v>22</v>
      </c>
      <c r="B15482" t="s">
        <v>14</v>
      </c>
      <c r="C15482" t="s">
        <v>22</v>
      </c>
      <c r="D15482" s="2" t="s">
        <f>=HYPERLINK("https://main.knesset.gov.il/APPS/legislation/main/bills/2081325", "הצעת חוק הביטוח הלאומי (תיקון - שמירה חקלאית כעבודה מועדפת), התש""ף-2019")</f>
        <v>28896</v>
      </c>
      <c r="E15482" t="s">
        <v>28896</v>
      </c>
      <c r="F15482" t="s">
        <v>29733</v>
      </c>
      <c r="G15482" t="s">
        <v>14</v>
      </c>
      <c r="H15482">
             </c>
      <c r="I15482" t="s">
        <v>14</v>
      </c>
      <c r="J15482" t="s">
        <v>141</v>
      </c>
      <c r="K15482" t="s">
        <v>14</v>
      </c>
      <c r="L15482" t="s">
        <v>20</v>
      </c>
      <c r="M15482" t="s">
        <v>29562</v>
      </c>
      <c r="N15482" t="s">
        <v>14</v>
      </c>
    </row>
    <row r="15483" x14ac:dyDescent="0.25">
      <c r="A15483" t="n">
        <v>22</v>
      </c>
      <c r="B15483" t="s">
        <v>14</v>
      </c>
      <c r="C15483" t="s">
        <v>22</v>
      </c>
      <c r="D15483" s="2" t="s">
        <f>=HYPERLINK("https://main.knesset.gov.il/APPS/legislation/main/bills/2081269", "הצעת חוק חובת שקיפות להסדר ניגוד עניינים של שר או ראש הממשלה, התש""ף-2019")</f>
        <v>29734</v>
      </c>
      <c r="E15483" t="s">
        <v>29734</v>
      </c>
      <c r="F15483" t="s">
        <v>29735</v>
      </c>
      <c r="G15483" t="s">
        <v>14</v>
      </c>
      <c r="H15483">
             </c>
      <c r="I15483" t="s">
        <v>14</v>
      </c>
      <c r="J15483" t="s">
        <v>141</v>
      </c>
      <c r="K15483" t="s">
        <v>14</v>
      </c>
      <c r="L15483" t="s">
        <v>20</v>
      </c>
      <c r="M15483" t="s">
        <v>29562</v>
      </c>
      <c r="N15483" t="s">
        <v>14</v>
      </c>
    </row>
    <row r="15484" x14ac:dyDescent="0.25">
      <c r="A15484" t="n">
        <v>22</v>
      </c>
      <c r="B15484" t="s">
        <v>14</v>
      </c>
      <c r="C15484" t="s">
        <v>22</v>
      </c>
      <c r="D15484" s="2" t="s">
        <f>=HYPERLINK("https://main.knesset.gov.il/APPS/legislation/main/bills/2081231", "הצעת חוק לתיקון פקודת הסמים המסוכנים (הגדרת צמח הקנבוס, מדרוג עבירות ועונשים בסם קנבוס), התש""ף-2019")</f>
        <v>29736</v>
      </c>
      <c r="E15484" t="s">
        <v>29736</v>
      </c>
      <c r="F15484" t="s">
        <v>29737</v>
      </c>
      <c r="G15484" t="s">
        <v>14</v>
      </c>
      <c r="H15484">
             </c>
      <c r="I15484" t="s">
        <v>14</v>
      </c>
      <c r="J15484" t="s">
        <v>141</v>
      </c>
      <c r="K15484" t="s">
        <v>14</v>
      </c>
      <c r="L15484" t="s">
        <v>20</v>
      </c>
      <c r="M15484" t="s">
        <v>29562</v>
      </c>
      <c r="N15484" t="s">
        <v>14</v>
      </c>
    </row>
    <row r="15485" x14ac:dyDescent="0.25">
      <c r="A15485" t="n">
        <v>22</v>
      </c>
      <c r="B15485" t="s">
        <v>14</v>
      </c>
      <c r="C15485" t="s">
        <v>22</v>
      </c>
      <c r="D15485" s="2" t="s">
        <f>=HYPERLINK("https://main.knesset.gov.il/APPS/legislation/main/bills/2081273", "הצעת חוק הבטחת הכנסה (תיקון - זכאות להטבות הניתנות לזכאים לגמלת הבטחת הכנסה), התש""ף-2019")</f>
        <v>29738</v>
      </c>
      <c r="E15485" t="s">
        <v>29738</v>
      </c>
      <c r="F15485" t="s">
        <v>29739</v>
      </c>
      <c r="G15485" t="s">
        <v>14</v>
      </c>
      <c r="H15485">
             </c>
      <c r="I15485" t="s">
        <v>14</v>
      </c>
      <c r="J15485" t="s">
        <v>141</v>
      </c>
      <c r="K15485" t="s">
        <v>14</v>
      </c>
      <c r="L15485" t="s">
        <v>20</v>
      </c>
      <c r="M15485" t="s">
        <v>29562</v>
      </c>
      <c r="N15485" t="s">
        <v>14</v>
      </c>
    </row>
    <row r="15486" x14ac:dyDescent="0.25">
      <c r="A15486" t="n">
        <v>22</v>
      </c>
      <c r="B15486" t="s">
        <v>14</v>
      </c>
      <c r="C15486" t="s">
        <v>22</v>
      </c>
      <c r="D15486" s="2" t="s">
        <f>=HYPERLINK("https://main.knesset.gov.il/APPS/legislation/main/bills/2082072", "הצעת חוק זכויות הדייר בדיור הציבורי (תיקון - התקנת דוד שמש), התש""ף-2019")</f>
        <v>29740</v>
      </c>
      <c r="E15486" t="s">
        <v>29740</v>
      </c>
      <c r="F15486" t="s">
        <v>29741</v>
      </c>
      <c r="G15486" t="s">
        <v>14</v>
      </c>
      <c r="H15486">
             </c>
      <c r="I15486" t="s">
        <v>14</v>
      </c>
      <c r="J15486" t="s">
        <v>141</v>
      </c>
      <c r="K15486" t="s">
        <v>14</v>
      </c>
      <c r="L15486" t="s">
        <v>20</v>
      </c>
      <c r="M15486" t="s">
        <v>29562</v>
      </c>
      <c r="N15486" t="s">
        <v>14</v>
      </c>
    </row>
    <row r="15487" x14ac:dyDescent="0.25">
      <c r="A15487" t="n">
        <v>22</v>
      </c>
      <c r="B15487" t="s">
        <v>14</v>
      </c>
      <c r="C15487" t="s">
        <v>22</v>
      </c>
      <c r="D15487" s="2" t="s">
        <f>=HYPERLINK("https://main.knesset.gov.il/APPS/legislation/main/bills/2081268", "הצעת חוק נכי רדיפות הנאצים (תיקון - ביטול התלות בין בעיה רפואית להכרה במחלה בגין המלחמה), התש""ף-2019")</f>
        <v>29742</v>
      </c>
      <c r="E15487" t="s">
        <v>29742</v>
      </c>
      <c r="F15487" t="s">
        <v>29743</v>
      </c>
      <c r="G15487" t="s">
        <v>14</v>
      </c>
      <c r="H15487">
             </c>
      <c r="I15487" t="s">
        <v>14</v>
      </c>
      <c r="J15487" t="s">
        <v>141</v>
      </c>
      <c r="K15487" t="s">
        <v>14</v>
      </c>
      <c r="L15487" t="s">
        <v>20</v>
      </c>
      <c r="M15487" t="s">
        <v>29562</v>
      </c>
      <c r="N15487" t="s">
        <v>14</v>
      </c>
    </row>
    <row r="15488" x14ac:dyDescent="0.25">
      <c r="A15488" t="n">
        <v>22</v>
      </c>
      <c r="B15488" t="s">
        <v>14</v>
      </c>
      <c r="C15488" t="s">
        <v>22</v>
      </c>
      <c r="D15488" s="2" t="s">
        <f>=HYPERLINK("https://main.knesset.gov.il/APPS/legislation/main/bills/2081310", "הצעת חוק הביטוח הלאומי (תיקון - הארכת המועד לתביעת גמלת כסף והתקופה שבעדה תשולם), התש""ף-2019")</f>
        <v>29744</v>
      </c>
      <c r="E15488" t="s">
        <v>29744</v>
      </c>
      <c r="F15488" t="s">
        <v>29745</v>
      </c>
      <c r="G15488" t="s">
        <v>14</v>
      </c>
      <c r="H15488">
             </c>
      <c r="I15488" t="s">
        <v>14</v>
      </c>
      <c r="J15488" t="s">
        <v>141</v>
      </c>
      <c r="K15488" t="s">
        <v>14</v>
      </c>
      <c r="L15488" t="s">
        <v>20</v>
      </c>
      <c r="M15488" t="s">
        <v>29562</v>
      </c>
      <c r="N15488" t="s">
        <v>14</v>
      </c>
    </row>
    <row r="15489" x14ac:dyDescent="0.25">
      <c r="A15489" t="n">
        <v>22</v>
      </c>
      <c r="B15489" t="s">
        <v>14</v>
      </c>
      <c r="C15489" t="s">
        <v>22</v>
      </c>
      <c r="D15489" s="2" t="s">
        <f>=HYPERLINK("https://main.knesset.gov.il/APPS/legislation/main/bills/2081500", "הצעת חוק לחינוך נגד גזענות, התש""ף-2019")</f>
        <v>29746</v>
      </c>
      <c r="E15489" t="s">
        <v>29746</v>
      </c>
      <c r="F15489" t="s">
        <v>29747</v>
      </c>
      <c r="G15489" t="s">
        <v>14</v>
      </c>
      <c r="H15489">
             </c>
      <c r="I15489" t="s">
        <v>14</v>
      </c>
      <c r="J15489" t="s">
        <v>141</v>
      </c>
      <c r="K15489" t="s">
        <v>14</v>
      </c>
      <c r="L15489" t="s">
        <v>20</v>
      </c>
      <c r="M15489" t="s">
        <v>29562</v>
      </c>
      <c r="N15489" t="s">
        <v>14</v>
      </c>
    </row>
    <row r="15490" x14ac:dyDescent="0.25">
      <c r="A15490" t="n">
        <v>22</v>
      </c>
      <c r="B15490" t="s">
        <v>14</v>
      </c>
      <c r="C15490" t="s">
        <v>22</v>
      </c>
      <c r="D15490" s="2" t="s">
        <f>=HYPERLINK("https://main.knesset.gov.il/APPS/legislation/main/bills/2081197", "הצעת חוק הביטוח הלאומי (תיקון - קצבת תלויים וקצבת אזרח ותיק), התש""ף-2019")</f>
        <v>28200</v>
      </c>
      <c r="E15490" t="s">
        <v>28200</v>
      </c>
      <c r="F15490" t="s">
        <v>29748</v>
      </c>
      <c r="G15490" t="s">
        <v>14</v>
      </c>
      <c r="H15490">
             </c>
      <c r="I15490" t="s">
        <v>14</v>
      </c>
      <c r="J15490" t="s">
        <v>141</v>
      </c>
      <c r="K15490" t="s">
        <v>14</v>
      </c>
      <c r="L15490" t="s">
        <v>20</v>
      </c>
      <c r="M15490" t="s">
        <v>29562</v>
      </c>
      <c r="N15490" t="s">
        <v>14</v>
      </c>
    </row>
    <row r="15491" x14ac:dyDescent="0.25">
      <c r="A15491" t="n">
        <v>22</v>
      </c>
      <c r="B15491" t="s">
        <v>14</v>
      </c>
      <c r="C15491" t="s">
        <v>22</v>
      </c>
      <c r="D15491" s="2" t="s">
        <f>=HYPERLINK("https://main.knesset.gov.il/APPS/legislation/main/bills/2081402", "הצעת חוק חובת מכרזים (תיקון - עידוד העסקת עובדים מאוכלוסיות ייחודיות), התש""ף-2019")</f>
        <v>29749</v>
      </c>
      <c r="E15491" t="s">
        <v>29749</v>
      </c>
      <c r="F15491" t="s">
        <v>29750</v>
      </c>
      <c r="G15491" t="s">
        <v>14</v>
      </c>
      <c r="H15491">
             </c>
      <c r="I15491" t="s">
        <v>14</v>
      </c>
      <c r="J15491" t="s">
        <v>141</v>
      </c>
      <c r="K15491" t="s">
        <v>14</v>
      </c>
      <c r="L15491" t="s">
        <v>20</v>
      </c>
      <c r="M15491" t="s">
        <v>29562</v>
      </c>
      <c r="N15491" t="s">
        <v>14</v>
      </c>
    </row>
    <row r="15492" x14ac:dyDescent="0.25">
      <c r="A15492" t="n">
        <v>22</v>
      </c>
      <c r="B15492" t="s">
        <v>14</v>
      </c>
      <c r="C15492" t="s">
        <v>22</v>
      </c>
      <c r="D15492" s="2" t="s">
        <f>=HYPERLINK("https://main.knesset.gov.il/APPS/legislation/main/bills/2081696", "הצעת חוק איסור פרסומת והגבלת השיווק של מוצרי טבק ועישון (תיקון - הגבלת כמויות חומרים רעילים בסיגריות), התש""ף-2019")</f>
        <v>29751</v>
      </c>
      <c r="E15492" t="s">
        <v>29751</v>
      </c>
      <c r="F15492" t="s">
        <v>29752</v>
      </c>
      <c r="G15492" t="s">
        <v>14</v>
      </c>
      <c r="H15492">
             </c>
      <c r="I15492" t="s">
        <v>14</v>
      </c>
      <c r="J15492" t="s">
        <v>141</v>
      </c>
      <c r="K15492" t="s">
        <v>14</v>
      </c>
      <c r="L15492" t="s">
        <v>20</v>
      </c>
      <c r="M15492" t="s">
        <v>29562</v>
      </c>
      <c r="N15492" t="s">
        <v>14</v>
      </c>
    </row>
    <row r="15493" x14ac:dyDescent="0.25">
      <c r="A15493" t="n">
        <v>22</v>
      </c>
      <c r="B15493" t="s">
        <v>14</v>
      </c>
      <c r="C15493" t="s">
        <v>22</v>
      </c>
      <c r="D15493" s="2" t="s">
        <f>=HYPERLINK("https://main.knesset.gov.il/APPS/legislation/main/bills/2083005", "הצעת חוק זכויות הסטודנט (תיקון - ביטול ארגון סטודנטים יציג), התש""ף-2019")</f>
        <v>29753</v>
      </c>
      <c r="E15493" t="s">
        <v>29753</v>
      </c>
      <c r="F15493" t="s">
        <v>29754</v>
      </c>
      <c r="G15493" t="s">
        <v>14</v>
      </c>
      <c r="H15493">
             </c>
      <c r="I15493" t="s">
        <v>14</v>
      </c>
      <c r="J15493" t="s">
        <v>141</v>
      </c>
      <c r="K15493" t="s">
        <v>14</v>
      </c>
      <c r="L15493" t="s">
        <v>20</v>
      </c>
      <c r="M15493" t="s">
        <v>29562</v>
      </c>
      <c r="N15493" t="s">
        <v>14</v>
      </c>
    </row>
    <row r="15494" x14ac:dyDescent="0.25">
      <c r="A15494" t="n">
        <v>22</v>
      </c>
      <c r="B15494" t="s">
        <v>14</v>
      </c>
      <c r="C15494" t="s">
        <v>22</v>
      </c>
      <c r="D15494" s="2" t="s">
        <f>=HYPERLINK("https://main.knesset.gov.il/APPS/legislation/main/bills/2081590", "הצעת חוק איסור הפליה במוצרים, בשירותים ובכניסה למקומות בידור ולמקומות ציבוריים (תיקון - איסור הפרעה להנקה בציבור), התש""ף-2019")</f>
        <v>29755</v>
      </c>
      <c r="E15494" t="s">
        <v>29755</v>
      </c>
      <c r="F15494" t="s">
        <v>29756</v>
      </c>
      <c r="G15494" t="s">
        <v>14</v>
      </c>
      <c r="H15494">
             </c>
      <c r="I15494" t="s">
        <v>14</v>
      </c>
      <c r="J15494" t="s">
        <v>141</v>
      </c>
      <c r="K15494" t="s">
        <v>14</v>
      </c>
      <c r="L15494" t="s">
        <v>20</v>
      </c>
      <c r="M15494" t="s">
        <v>29562</v>
      </c>
      <c r="N15494" t="s">
        <v>14</v>
      </c>
    </row>
    <row r="15495" x14ac:dyDescent="0.25">
      <c r="A15495" t="n">
        <v>22</v>
      </c>
      <c r="B15495" t="s">
        <v>14</v>
      </c>
      <c r="C15495" t="s">
        <v>22</v>
      </c>
      <c r="D15495" s="2" t="s">
        <f>=HYPERLINK("https://main.knesset.gov.il/APPS/legislation/main/bills/2081251", "הצעת חוק זכויות הסטודנט (תיקון - ביטול ארגון סטודנטים יציג), התש""ף-2019")</f>
        <v>29753</v>
      </c>
      <c r="E15495" t="s">
        <v>29753</v>
      </c>
      <c r="F15495" t="s">
        <v>29757</v>
      </c>
      <c r="G15495" t="s">
        <v>14</v>
      </c>
      <c r="H15495">
             </c>
      <c r="I15495" t="s">
        <v>14</v>
      </c>
      <c r="J15495" t="s">
        <v>141</v>
      </c>
      <c r="K15495" t="s">
        <v>14</v>
      </c>
      <c r="L15495" t="s">
        <v>20</v>
      </c>
      <c r="M15495" t="s">
        <v>29562</v>
      </c>
      <c r="N15495" t="s">
        <v>14</v>
      </c>
    </row>
    <row r="15496" x14ac:dyDescent="0.25">
      <c r="A15496" t="n">
        <v>22</v>
      </c>
      <c r="B15496" t="s">
        <v>14</v>
      </c>
      <c r="C15496" t="s">
        <v>22</v>
      </c>
      <c r="D15496" s="2" t="s">
        <f>=HYPERLINK("https://main.knesset.gov.il/APPS/legislation/main/bills/2081347", "הצעת חוק הגנת הצרכן (תיקון - מאגר צרכנים להגבלת שיחות שיווק מרחוק), התש""ף-2019")</f>
        <v>29758</v>
      </c>
      <c r="E15496" t="s">
        <v>29758</v>
      </c>
      <c r="F15496" t="s">
        <v>29759</v>
      </c>
      <c r="G15496" t="s">
        <v>14</v>
      </c>
      <c r="H15496">
             </c>
      <c r="I15496" t="s">
        <v>14</v>
      </c>
      <c r="J15496" t="s">
        <v>141</v>
      </c>
      <c r="K15496" t="s">
        <v>14</v>
      </c>
      <c r="L15496" t="s">
        <v>20</v>
      </c>
      <c r="M15496" t="s">
        <v>29562</v>
      </c>
      <c r="N15496" t="s">
        <v>14</v>
      </c>
    </row>
    <row r="15497" x14ac:dyDescent="0.25">
      <c r="A15497" t="n">
        <v>22</v>
      </c>
      <c r="B15497" t="s">
        <v>14</v>
      </c>
      <c r="C15497" t="s">
        <v>22</v>
      </c>
      <c r="D15497" s="2" t="s">
        <f>=HYPERLINK("https://main.knesset.gov.il/APPS/legislation/main/bills/2081181", "הצעת חוק איסור פרסומת והגבלת השיווק של מוצרי טבק ועישון (תיקון - ביטול החרגת העיתונות המודפסת), התש""ף-2019 ")</f>
        <v>29760</v>
      </c>
      <c r="E15497" t="s">
        <v>29760</v>
      </c>
      <c r="F15497" t="s">
        <v>29761</v>
      </c>
      <c r="G15497" t="s">
        <v>14</v>
      </c>
      <c r="H15497">
             </c>
      <c r="I15497" t="s">
        <v>14</v>
      </c>
      <c r="J15497" t="s">
        <v>141</v>
      </c>
      <c r="K15497" t="s">
        <v>14</v>
      </c>
      <c r="L15497" t="s">
        <v>20</v>
      </c>
      <c r="M15497" t="s">
        <v>29562</v>
      </c>
      <c r="N15497" t="s">
        <v>14</v>
      </c>
    </row>
    <row r="15498" x14ac:dyDescent="0.25">
      <c r="A15498" t="n">
        <v>22</v>
      </c>
      <c r="B15498" t="s">
        <v>14</v>
      </c>
      <c r="C15498" t="s">
        <v>22</v>
      </c>
      <c r="D15498" s="2" t="s">
        <f>=HYPERLINK("https://main.knesset.gov.il/APPS/legislation/main/bills/2081525", "הצעת חוק תכנית למוגנות ולמניעת הטרדות מיניות (תיקוני חקיקה), התש""ף-2019")</f>
        <v>29762</v>
      </c>
      <c r="E15498" t="s">
        <v>29762</v>
      </c>
      <c r="F15498" t="s">
        <v>29763</v>
      </c>
      <c r="G15498" t="s">
        <v>14</v>
      </c>
      <c r="H15498">
             </c>
      <c r="I15498" t="s">
        <v>14</v>
      </c>
      <c r="J15498" t="s">
        <v>141</v>
      </c>
      <c r="K15498" t="s">
        <v>14</v>
      </c>
      <c r="L15498" t="s">
        <v>20</v>
      </c>
      <c r="M15498" t="s">
        <v>29562</v>
      </c>
      <c r="N15498" t="s">
        <v>14</v>
      </c>
    </row>
    <row r="15499" x14ac:dyDescent="0.25">
      <c r="A15499" t="n">
        <v>22</v>
      </c>
      <c r="B15499" t="s">
        <v>14</v>
      </c>
      <c r="C15499" t="s">
        <v>22</v>
      </c>
      <c r="D15499" s="2" t="s">
        <f>=HYPERLINK("https://main.knesset.gov.il/APPS/legislation/main/bills/2081808", "הצעת חוק לביטול ולהארכת ההתיישנות בעבירות מין והטרדה מינית (תיקוני חקיקה), התש""ף-2019")</f>
        <v>29764</v>
      </c>
      <c r="E15499" t="s">
        <v>29764</v>
      </c>
      <c r="F15499" t="s">
        <v>29765</v>
      </c>
      <c r="G15499" t="s">
        <v>14</v>
      </c>
      <c r="H15499">
             </c>
      <c r="I15499" t="s">
        <v>14</v>
      </c>
      <c r="J15499" t="s">
        <v>141</v>
      </c>
      <c r="K15499" t="s">
        <v>14</v>
      </c>
      <c r="L15499" t="s">
        <v>20</v>
      </c>
      <c r="M15499" t="s">
        <v>29562</v>
      </c>
      <c r="N15499" t="s">
        <v>14</v>
      </c>
    </row>
    <row r="15500" x14ac:dyDescent="0.25">
      <c r="A15500" t="n">
        <v>22</v>
      </c>
      <c r="B15500" t="s">
        <v>14</v>
      </c>
      <c r="C15500" t="s">
        <v>22</v>
      </c>
      <c r="D15500" s="2" t="s">
        <f>=HYPERLINK("https://main.knesset.gov.il/APPS/legislation/main/bills/2081859", "הצעת חוק חופשה שנתית (תיקון - היעדרות בשל פטירת סב), התש""ף-2019")</f>
        <v>29766</v>
      </c>
      <c r="E15500" t="s">
        <v>29766</v>
      </c>
      <c r="F15500" t="s">
        <v>29767</v>
      </c>
      <c r="G15500" t="s">
        <v>14</v>
      </c>
      <c r="H15500">
             </c>
      <c r="I15500" t="s">
        <v>14</v>
      </c>
      <c r="J15500" t="s">
        <v>141</v>
      </c>
      <c r="K15500" t="s">
        <v>14</v>
      </c>
      <c r="L15500" t="s">
        <v>20</v>
      </c>
      <c r="M15500" t="s">
        <v>29562</v>
      </c>
      <c r="N15500" t="s">
        <v>14</v>
      </c>
    </row>
    <row r="15501" x14ac:dyDescent="0.25">
      <c r="A15501" t="n">
        <v>22</v>
      </c>
      <c r="B15501" t="s">
        <v>14</v>
      </c>
      <c r="C15501" t="s">
        <v>22</v>
      </c>
      <c r="D15501" s="2" t="s">
        <f>=HYPERLINK("https://main.knesset.gov.il/APPS/legislation/main/bills/2081861", "הצעת חוק יום אבל במות קרוב מדרגה שנייה, התש""ף-2019")</f>
        <v>29768</v>
      </c>
      <c r="E15501" t="s">
        <v>29768</v>
      </c>
      <c r="F15501" t="s">
        <v>29769</v>
      </c>
      <c r="G15501" t="s">
        <v>14</v>
      </c>
      <c r="H15501">
             </c>
      <c r="I15501" t="s">
        <v>14</v>
      </c>
      <c r="J15501" t="s">
        <v>141</v>
      </c>
      <c r="K15501" t="s">
        <v>14</v>
      </c>
      <c r="L15501" t="s">
        <v>20</v>
      </c>
      <c r="M15501" t="s">
        <v>29562</v>
      </c>
      <c r="N15501" t="s">
        <v>14</v>
      </c>
    </row>
    <row r="15502" x14ac:dyDescent="0.25">
      <c r="A15502" t="n">
        <v>22</v>
      </c>
      <c r="B15502" t="s">
        <v>14</v>
      </c>
      <c r="C15502" t="s">
        <v>22</v>
      </c>
      <c r="D15502" s="2" t="s">
        <f>=HYPERLINK("https://main.knesset.gov.il/APPS/legislation/main/bills/2081688", "הצעת חוק איסור פרסומת והגבלת השיווק של מוצרי טבק ועישון (תיקון - דור ללא עישון), התש""ף-2019")</f>
        <v>29770</v>
      </c>
      <c r="E15502" t="s">
        <v>29770</v>
      </c>
      <c r="F15502" t="s">
        <v>29771</v>
      </c>
      <c r="G15502" t="s">
        <v>14</v>
      </c>
      <c r="H15502">
             </c>
      <c r="I15502" t="s">
        <v>14</v>
      </c>
      <c r="J15502" t="s">
        <v>141</v>
      </c>
      <c r="K15502" t="s">
        <v>14</v>
      </c>
      <c r="L15502" t="s">
        <v>20</v>
      </c>
      <c r="M15502" t="s">
        <v>29562</v>
      </c>
      <c r="N15502" t="s">
        <v>14</v>
      </c>
    </row>
    <row r="15503" x14ac:dyDescent="0.25">
      <c r="A15503" t="n">
        <v>22</v>
      </c>
      <c r="B15503" t="s">
        <v>14</v>
      </c>
      <c r="C15503" t="s">
        <v>22</v>
      </c>
      <c r="D15503" s="2" t="s">
        <f>=HYPERLINK("https://main.knesset.gov.il/APPS/legislation/main/bills/2081796", "הצעת חוק העונשין (תיקון - איסור על עבירות נלוות לחשפנות לצורך גירוי מיני), התש""ף-2019")</f>
        <v>29772</v>
      </c>
      <c r="E15503" t="s">
        <v>29772</v>
      </c>
      <c r="F15503" t="s">
        <v>29773</v>
      </c>
      <c r="G15503" t="s">
        <v>14</v>
      </c>
      <c r="H15503">
             </c>
      <c r="I15503" t="s">
        <v>14</v>
      </c>
      <c r="J15503" t="s">
        <v>141</v>
      </c>
      <c r="K15503" t="s">
        <v>14</v>
      </c>
      <c r="L15503" t="s">
        <v>20</v>
      </c>
      <c r="M15503" t="s">
        <v>29562</v>
      </c>
      <c r="N15503" t="s">
        <v>14</v>
      </c>
    </row>
    <row r="15504" x14ac:dyDescent="0.25">
      <c r="A15504" t="n">
        <v>22</v>
      </c>
      <c r="B15504" t="s">
        <v>14</v>
      </c>
      <c r="C15504" t="s">
        <v>22</v>
      </c>
      <c r="D15504" s="2" t="s">
        <f>=HYPERLINK("https://main.knesset.gov.il/APPS/legislation/main/bills/2081821", "הצעת חוק קליטת חיילים משוחררים (תיקון - מימון שכר לימוד), התש""ף-2019")</f>
        <v>29774</v>
      </c>
      <c r="E15504" t="s">
        <v>29774</v>
      </c>
      <c r="F15504" t="s">
        <v>29775</v>
      </c>
      <c r="G15504" t="s">
        <v>14</v>
      </c>
      <c r="H15504">
             </c>
      <c r="I15504" t="s">
        <v>14</v>
      </c>
      <c r="J15504" t="s">
        <v>141</v>
      </c>
      <c r="K15504" t="s">
        <v>14</v>
      </c>
      <c r="L15504" t="s">
        <v>20</v>
      </c>
      <c r="M15504" t="s">
        <v>29562</v>
      </c>
      <c r="N15504" t="s">
        <v>14</v>
      </c>
    </row>
    <row r="15505" x14ac:dyDescent="0.25">
      <c r="A15505" t="n">
        <v>22</v>
      </c>
      <c r="B15505" t="s">
        <v>14</v>
      </c>
      <c r="C15505" t="s">
        <v>22</v>
      </c>
      <c r="D15505" s="2" t="s">
        <f>=HYPERLINK("https://main.knesset.gov.il/APPS/legislation/main/bills/2081697", "הצעת חוק שוויון זכויות לאנשים עם מוגבלות (תיקון - חובת נגישות באוטובוסים בין-עירוניים), התש""ף-2019")</f>
        <v>29573</v>
      </c>
      <c r="E15505" t="s">
        <v>29573</v>
      </c>
      <c r="F15505" t="s">
        <v>29776</v>
      </c>
      <c r="G15505" t="s">
        <v>14</v>
      </c>
      <c r="H15505">
             </c>
      <c r="I15505" t="s">
        <v>14</v>
      </c>
      <c r="J15505" t="s">
        <v>141</v>
      </c>
      <c r="K15505" t="s">
        <v>14</v>
      </c>
      <c r="L15505" t="s">
        <v>20</v>
      </c>
      <c r="M15505" t="s">
        <v>29562</v>
      </c>
      <c r="N15505" t="s">
        <v>14</v>
      </c>
    </row>
    <row r="15506" x14ac:dyDescent="0.25">
      <c r="A15506" t="n">
        <v>22</v>
      </c>
      <c r="B15506" t="s">
        <v>14</v>
      </c>
      <c r="C15506" t="s">
        <v>22</v>
      </c>
      <c r="D15506" s="2" t="s">
        <f>=HYPERLINK("https://main.knesset.gov.il/APPS/legislation/main/bills/2081643", "הצעת חוק לתיקון פקודת הכלבת (בידוד בעלי חיים), התש""ף-2019")</f>
        <v>29032</v>
      </c>
      <c r="E15506" t="s">
        <v>29032</v>
      </c>
      <c r="F15506" t="s">
        <v>29777</v>
      </c>
      <c r="G15506" t="s">
        <v>14</v>
      </c>
      <c r="H15506">
             </c>
      <c r="I15506" t="s">
        <v>14</v>
      </c>
      <c r="J15506" t="s">
        <v>141</v>
      </c>
      <c r="K15506" t="s">
        <v>14</v>
      </c>
      <c r="L15506" t="s">
        <v>20</v>
      </c>
      <c r="M15506" t="s">
        <v>29562</v>
      </c>
      <c r="N15506" t="s">
        <v>14</v>
      </c>
    </row>
    <row r="15507" x14ac:dyDescent="0.25">
      <c r="A15507" t="n">
        <v>22</v>
      </c>
      <c r="B15507" t="s">
        <v>14</v>
      </c>
      <c r="C15507" t="s">
        <v>22</v>
      </c>
      <c r="D15507" s="2" t="s">
        <f>=HYPERLINK("https://main.knesset.gov.il/APPS/legislation/main/bills/2081527", "הצעת חוק זכויות החולה (תיקון - איסור הפליה על בסיס מצב כלכלי), התש""ף-2019")</f>
        <v>29778</v>
      </c>
      <c r="E15507" t="s">
        <v>29778</v>
      </c>
      <c r="F15507" t="s">
        <v>29779</v>
      </c>
      <c r="G15507" t="s">
        <v>14</v>
      </c>
      <c r="H15507">
             </c>
      <c r="I15507" t="s">
        <v>14</v>
      </c>
      <c r="J15507" t="s">
        <v>141</v>
      </c>
      <c r="K15507" t="s">
        <v>14</v>
      </c>
      <c r="L15507" t="s">
        <v>20</v>
      </c>
      <c r="M15507" t="s">
        <v>29562</v>
      </c>
      <c r="N15507" t="s">
        <v>14</v>
      </c>
    </row>
    <row r="15508" x14ac:dyDescent="0.25">
      <c r="A15508" t="n">
        <v>22</v>
      </c>
      <c r="B15508" t="s">
        <v>14</v>
      </c>
      <c r="C15508" t="s">
        <v>22</v>
      </c>
      <c r="D15508" s="2" t="s">
        <f>=HYPERLINK("https://main.knesset.gov.il/APPS/legislation/main/bills/2081573", "הצעת חוק העמותות (תיקון - שקיפות במימון ממשלתי או עירוני), התש""ף-2019")</f>
        <v>29780</v>
      </c>
      <c r="E15508" t="s">
        <v>29780</v>
      </c>
      <c r="F15508" t="s">
        <v>29781</v>
      </c>
      <c r="G15508" t="s">
        <v>14</v>
      </c>
      <c r="H15508">
             </c>
      <c r="I15508" t="s">
        <v>14</v>
      </c>
      <c r="J15508" t="s">
        <v>141</v>
      </c>
      <c r="K15508" t="s">
        <v>14</v>
      </c>
      <c r="L15508" t="s">
        <v>20</v>
      </c>
      <c r="M15508" t="s">
        <v>29562</v>
      </c>
      <c r="N15508" t="s">
        <v>14</v>
      </c>
    </row>
    <row r="15509" x14ac:dyDescent="0.25">
      <c r="A15509" t="n">
        <v>22</v>
      </c>
      <c r="B15509" t="s">
        <v>14</v>
      </c>
      <c r="C15509" t="s">
        <v>22</v>
      </c>
      <c r="D15509" s="2" t="s">
        <f>=HYPERLINK("https://main.knesset.gov.il/APPS/legislation/main/bills/2081629", "הצעת חוק סדנאות הכשרה לשוויון מגדרי בגיל הרך, התש""ף-2019")</f>
        <v>29782</v>
      </c>
      <c r="E15509" t="s">
        <v>29782</v>
      </c>
      <c r="F15509" t="s">
        <v>29783</v>
      </c>
      <c r="G15509" t="s">
        <v>14</v>
      </c>
      <c r="H15509">
             </c>
      <c r="I15509" t="s">
        <v>14</v>
      </c>
      <c r="J15509" t="s">
        <v>141</v>
      </c>
      <c r="K15509" t="s">
        <v>14</v>
      </c>
      <c r="L15509" t="s">
        <v>20</v>
      </c>
      <c r="M15509" t="s">
        <v>29562</v>
      </c>
      <c r="N15509" t="s">
        <v>14</v>
      </c>
    </row>
    <row r="15510" x14ac:dyDescent="0.25">
      <c r="A15510" t="n">
        <v>22</v>
      </c>
      <c r="B15510" t="s">
        <v>14</v>
      </c>
      <c r="C15510" t="s">
        <v>22</v>
      </c>
      <c r="D15510" s="2" t="s">
        <f>=HYPERLINK("https://main.knesset.gov.il/APPS/legislation/main/bills/2081743", "הצעת חוק זכויות הסטודנט (תיקון - פעילות ציבורית), התש""ף-2019")</f>
        <v>27808</v>
      </c>
      <c r="E15510" t="s">
        <v>27808</v>
      </c>
      <c r="F15510" t="s">
        <v>29784</v>
      </c>
      <c r="G15510" t="s">
        <v>14</v>
      </c>
      <c r="H15510">
             </c>
      <c r="I15510" t="s">
        <v>14</v>
      </c>
      <c r="J15510" t="s">
        <v>141</v>
      </c>
      <c r="K15510" t="s">
        <v>14</v>
      </c>
      <c r="L15510" t="s">
        <v>20</v>
      </c>
      <c r="M15510" t="s">
        <v>29562</v>
      </c>
      <c r="N15510" t="s">
        <v>14</v>
      </c>
    </row>
    <row r="15511" x14ac:dyDescent="0.25">
      <c r="A15511" t="n">
        <v>22</v>
      </c>
      <c r="B15511" t="s">
        <v>14</v>
      </c>
      <c r="C15511" t="s">
        <v>22</v>
      </c>
      <c r="D15511" s="2" t="s">
        <f>=HYPERLINK("https://main.knesset.gov.il/APPS/legislation/main/bills/2081751", "הצעת חוק זכויות הסטודנט (תיקון - חופש הביטוי וההתארגנות של סטודנטים), התש""ף-2019")</f>
        <v>29785</v>
      </c>
      <c r="E15511" t="s">
        <v>29785</v>
      </c>
      <c r="F15511" t="s">
        <v>29786</v>
      </c>
      <c r="G15511" t="s">
        <v>14</v>
      </c>
      <c r="H15511">
             </c>
      <c r="I15511" t="s">
        <v>14</v>
      </c>
      <c r="J15511" t="s">
        <v>141</v>
      </c>
      <c r="K15511" t="s">
        <v>14</v>
      </c>
      <c r="L15511" t="s">
        <v>20</v>
      </c>
      <c r="M15511" t="s">
        <v>29562</v>
      </c>
      <c r="N15511" t="s">
        <v>14</v>
      </c>
    </row>
    <row r="15512" x14ac:dyDescent="0.25">
      <c r="A15512" t="n">
        <v>22</v>
      </c>
      <c r="B15512" t="s">
        <v>14</v>
      </c>
      <c r="C15512" t="s">
        <v>22</v>
      </c>
      <c r="D15512" s="2" t="s">
        <f>=HYPERLINK("https://main.knesset.gov.il/APPS/legislation/main/bills/2081783", "הצעת חוק המוזיאונים (תיקון - מוזיאונים להנצחה והנחלה של זכר השואה והגבורה), התש""ף-2019 ")</f>
        <v>29787</v>
      </c>
      <c r="E15512" t="s">
        <v>29787</v>
      </c>
      <c r="F15512" t="s">
        <v>29788</v>
      </c>
      <c r="G15512" t="s">
        <v>14</v>
      </c>
      <c r="H15512">
             </c>
      <c r="I15512" t="s">
        <v>14</v>
      </c>
      <c r="J15512" t="s">
        <v>141</v>
      </c>
      <c r="K15512" t="s">
        <v>14</v>
      </c>
      <c r="L15512" t="s">
        <v>20</v>
      </c>
      <c r="M15512" t="s">
        <v>29562</v>
      </c>
      <c r="N15512" t="s">
        <v>14</v>
      </c>
    </row>
    <row r="15513" x14ac:dyDescent="0.25">
      <c r="A15513" t="n">
        <v>22</v>
      </c>
      <c r="B15513" t="s">
        <v>14</v>
      </c>
      <c r="C15513" t="s">
        <v>22</v>
      </c>
      <c r="D15513" s="2" t="s">
        <f>=HYPERLINK("https://main.knesset.gov.il/APPS/legislation/main/bills/2081534", "הצעת חוק הצמדת תשלומים לחיילים בודדים למדד המחירים לצרכן, התש""ף-2019")</f>
        <v>28961</v>
      </c>
      <c r="E15513" t="s">
        <v>28961</v>
      </c>
      <c r="F15513" t="s">
        <v>29789</v>
      </c>
      <c r="G15513" t="s">
        <v>14</v>
      </c>
      <c r="H15513">
             </c>
      <c r="I15513" t="s">
        <v>14</v>
      </c>
      <c r="J15513" t="s">
        <v>141</v>
      </c>
      <c r="K15513" t="s">
        <v>14</v>
      </c>
      <c r="L15513" t="s">
        <v>20</v>
      </c>
      <c r="M15513" t="s">
        <v>29562</v>
      </c>
      <c r="N15513" t="s">
        <v>14</v>
      </c>
    </row>
    <row r="15514" x14ac:dyDescent="0.25">
      <c r="A15514" t="n">
        <v>22</v>
      </c>
      <c r="B15514" t="s">
        <v>14</v>
      </c>
      <c r="C15514" t="s">
        <v>22</v>
      </c>
      <c r="D15514" s="2" t="s">
        <f>=HYPERLINK("https://main.knesset.gov.il/APPS/legislation/main/bills/2081828", "הצעת חוק שינוי תקופת הצינון לבכירי מערכת הביטחון (תיקוני חקיקה), התש""ף-2019")</f>
        <v>29790</v>
      </c>
      <c r="E15514" t="s">
        <v>29790</v>
      </c>
      <c r="F15514" t="s">
        <v>29791</v>
      </c>
      <c r="G15514" t="s">
        <v>14</v>
      </c>
      <c r="H15514">
             </c>
      <c r="I15514" t="s">
        <v>14</v>
      </c>
      <c r="J15514" t="s">
        <v>141</v>
      </c>
      <c r="K15514" t="s">
        <v>14</v>
      </c>
      <c r="L15514" t="s">
        <v>20</v>
      </c>
      <c r="M15514" t="s">
        <v>29562</v>
      </c>
      <c r="N15514" t="s">
        <v>14</v>
      </c>
    </row>
    <row r="15515" x14ac:dyDescent="0.25">
      <c r="A15515" t="n">
        <v>22</v>
      </c>
      <c r="B15515" t="s">
        <v>14</v>
      </c>
      <c r="C15515" t="s">
        <v>22</v>
      </c>
      <c r="D15515" s="2" t="s">
        <f>=HYPERLINK("https://main.knesset.gov.il/APPS/legislation/main/bills/2081767", "הצעת חוק המכינות הקדם-צבאיות (תיקון - שלילת הכרה ממכינות המעודדות סירוב פקודה והסתה), התש""ף-2019")</f>
        <v>29078</v>
      </c>
      <c r="E15515" t="s">
        <v>29078</v>
      </c>
      <c r="F15515" t="s">
        <v>29792</v>
      </c>
      <c r="G15515" t="s">
        <v>14</v>
      </c>
      <c r="H15515">
             </c>
      <c r="I15515" t="s">
        <v>14</v>
      </c>
      <c r="J15515" t="s">
        <v>141</v>
      </c>
      <c r="K15515" t="s">
        <v>14</v>
      </c>
      <c r="L15515" t="s">
        <v>20</v>
      </c>
      <c r="M15515" t="s">
        <v>29562</v>
      </c>
      <c r="N15515" t="s">
        <v>14</v>
      </c>
    </row>
    <row r="15516" x14ac:dyDescent="0.25">
      <c r="A15516" t="n">
        <v>22</v>
      </c>
      <c r="B15516" t="s">
        <v>14</v>
      </c>
      <c r="C15516" t="s">
        <v>22</v>
      </c>
      <c r="D15516" s="2" t="s">
        <f>=HYPERLINK("https://main.knesset.gov.il/APPS/legislation/main/bills/2081605", "הצעת חוק המועצה להשכלה גבוהה (תיקון - ביטול דרישת מבחני כניסה וציון פסיכומטרי), התש""ף-2019")</f>
        <v>29793</v>
      </c>
      <c r="E15516" t="s">
        <v>29793</v>
      </c>
      <c r="F15516" t="s">
        <v>29794</v>
      </c>
      <c r="G15516" t="s">
        <v>14</v>
      </c>
      <c r="H15516">
             </c>
      <c r="I15516" t="s">
        <v>14</v>
      </c>
      <c r="J15516" t="s">
        <v>141</v>
      </c>
      <c r="K15516" t="s">
        <v>14</v>
      </c>
      <c r="L15516" t="s">
        <v>20</v>
      </c>
      <c r="M15516" t="s">
        <v>29562</v>
      </c>
      <c r="N15516" t="s">
        <v>14</v>
      </c>
    </row>
    <row r="15517" x14ac:dyDescent="0.25">
      <c r="A15517" t="n">
        <v>22</v>
      </c>
      <c r="B15517" t="s">
        <v>14</v>
      </c>
      <c r="C15517" t="s">
        <v>22</v>
      </c>
      <c r="D15517" s="2" t="s">
        <f>=HYPERLINK("https://main.knesset.gov.il/APPS/legislation/main/bills/2081680", "הצעת חוק מתן סמכויות פיקוח והסמכת מפקחים ופקחים (תיקוני חקיקה), התש""ף-2019")</f>
        <v>29795</v>
      </c>
      <c r="E15517" t="s">
        <v>29795</v>
      </c>
      <c r="F15517" t="s">
        <v>29796</v>
      </c>
      <c r="G15517" t="s">
        <v>14</v>
      </c>
      <c r="H15517">
             </c>
      <c r="I15517" t="s">
        <v>14</v>
      </c>
      <c r="J15517" t="s">
        <v>141</v>
      </c>
      <c r="K15517" t="s">
        <v>14</v>
      </c>
      <c r="L15517" t="s">
        <v>20</v>
      </c>
      <c r="M15517" t="s">
        <v>29562</v>
      </c>
      <c r="N15517" t="s">
        <v>14</v>
      </c>
    </row>
    <row r="15518" x14ac:dyDescent="0.25">
      <c r="A15518" t="n">
        <v>22</v>
      </c>
      <c r="B15518" t="s">
        <v>14</v>
      </c>
      <c r="C15518" t="s">
        <v>22</v>
      </c>
      <c r="D15518" s="2" t="s">
        <f>=HYPERLINK("https://main.knesset.gov.il/APPS/legislation/main/bills/2081610", "הצעת חוק לימוד חובה (תיקון - תקופת שנת הלימודים וחופשות), התש""ף-2019")</f>
        <v>28542</v>
      </c>
      <c r="E15518" t="s">
        <v>28542</v>
      </c>
      <c r="F15518" t="s">
        <v>29797</v>
      </c>
      <c r="G15518" t="s">
        <v>14</v>
      </c>
      <c r="H15518">
             </c>
      <c r="I15518" t="s">
        <v>14</v>
      </c>
      <c r="J15518" t="s">
        <v>141</v>
      </c>
      <c r="K15518" t="s">
        <v>14</v>
      </c>
      <c r="L15518" t="s">
        <v>20</v>
      </c>
      <c r="M15518" t="s">
        <v>29562</v>
      </c>
      <c r="N15518" t="s">
        <v>14</v>
      </c>
    </row>
    <row r="15519" x14ac:dyDescent="0.25">
      <c r="A15519" t="n">
        <v>22</v>
      </c>
      <c r="B15519" t="s">
        <v>14</v>
      </c>
      <c r="C15519" t="s">
        <v>22</v>
      </c>
      <c r="D15519" s="2" t="s">
        <f>=HYPERLINK("https://main.knesset.gov.il/APPS/legislation/main/bills/2081857", "הצעת חוק המכינות הקדם-צבאיות (תיקון - ביטול הכרה במכינות הפועלות נגד צבא הגנה לישראל), התש""ף-2019")</f>
        <v>29798</v>
      </c>
      <c r="E15519" t="s">
        <v>29798</v>
      </c>
      <c r="F15519" t="s">
        <v>29799</v>
      </c>
      <c r="G15519" t="s">
        <v>14</v>
      </c>
      <c r="H15519">
             </c>
      <c r="I15519" t="s">
        <v>14</v>
      </c>
      <c r="J15519" t="s">
        <v>141</v>
      </c>
      <c r="K15519" t="s">
        <v>14</v>
      </c>
      <c r="L15519" t="s">
        <v>20</v>
      </c>
      <c r="M15519" t="s">
        <v>29562</v>
      </c>
      <c r="N15519" t="s">
        <v>14</v>
      </c>
    </row>
    <row r="15520" x14ac:dyDescent="0.25">
      <c r="A15520" t="n">
        <v>22</v>
      </c>
      <c r="B15520" t="s">
        <v>14</v>
      </c>
      <c r="C15520" t="s">
        <v>22</v>
      </c>
      <c r="D15520" s="2" t="s">
        <f>=HYPERLINK("https://main.knesset.gov.il/APPS/legislation/main/bills/2081566", "הצעת חוק להנצחת הרב עובדיה יוסף (ציון זכרו ופועלו), התש""ף-2019")</f>
        <v>29800</v>
      </c>
      <c r="E15520" t="s">
        <v>29800</v>
      </c>
      <c r="F15520" t="s">
        <v>29801</v>
      </c>
      <c r="G15520" t="s">
        <v>14</v>
      </c>
      <c r="H15520">
             </c>
      <c r="I15520" t="s">
        <v>14</v>
      </c>
      <c r="J15520" t="s">
        <v>141</v>
      </c>
      <c r="K15520" t="s">
        <v>14</v>
      </c>
      <c r="L15520" t="s">
        <v>20</v>
      </c>
      <c r="M15520" t="s">
        <v>29562</v>
      </c>
      <c r="N15520" t="s">
        <v>14</v>
      </c>
    </row>
    <row r="15521" x14ac:dyDescent="0.25">
      <c r="A15521" t="n">
        <v>22</v>
      </c>
      <c r="B15521" t="s">
        <v>14</v>
      </c>
      <c r="C15521" t="s">
        <v>22</v>
      </c>
      <c r="D15521" s="2" t="s">
        <f>=HYPERLINK("https://main.knesset.gov.il/APPS/legislation/main/bills/2081867", "הצעת חוק שיווי זכויות האישה (תיקון - ייצוג לנשים בוועדות איתור), התש""ף-2019")</f>
        <v>28359</v>
      </c>
      <c r="E15521" t="s">
        <v>28359</v>
      </c>
      <c r="F15521" t="s">
        <v>29802</v>
      </c>
      <c r="G15521" t="s">
        <v>14</v>
      </c>
      <c r="H15521">
             </c>
      <c r="I15521" t="s">
        <v>14</v>
      </c>
      <c r="J15521" t="s">
        <v>141</v>
      </c>
      <c r="K15521" t="s">
        <v>14</v>
      </c>
      <c r="L15521" t="s">
        <v>20</v>
      </c>
      <c r="M15521" t="s">
        <v>29562</v>
      </c>
      <c r="N15521" t="s">
        <v>14</v>
      </c>
    </row>
    <row r="15522" x14ac:dyDescent="0.25">
      <c r="A15522" t="n">
        <v>22</v>
      </c>
      <c r="B15522" t="s">
        <v>14</v>
      </c>
      <c r="C15522" t="s">
        <v>22</v>
      </c>
      <c r="D15522" s="2" t="s">
        <f>=HYPERLINK("https://main.knesset.gov.il/APPS/legislation/main/bills/2081203", "הצעת חוק המועצה להשכלה גבוהה (תיקון - עידוד הנגשה להשכלה גבוהה), התש""ף-2019")</f>
        <v>28303</v>
      </c>
      <c r="E15522" t="s">
        <v>28303</v>
      </c>
      <c r="F15522" t="s">
        <v>29803</v>
      </c>
      <c r="G15522" t="s">
        <v>14</v>
      </c>
      <c r="H15522">
             </c>
      <c r="I15522" t="s">
        <v>14</v>
      </c>
      <c r="J15522" t="s">
        <v>141</v>
      </c>
      <c r="K15522" t="s">
        <v>14</v>
      </c>
      <c r="L15522" t="s">
        <v>20</v>
      </c>
      <c r="M15522" t="s">
        <v>29562</v>
      </c>
      <c r="N15522" t="s">
        <v>14</v>
      </c>
    </row>
    <row r="15523" x14ac:dyDescent="0.25">
      <c r="A15523" t="n">
        <v>22</v>
      </c>
      <c r="B15523" t="s">
        <v>14</v>
      </c>
      <c r="C15523" t="s">
        <v>22</v>
      </c>
      <c r="D15523" s="2" t="s">
        <f>=HYPERLINK("https://main.knesset.gov.il/APPS/legislation/main/bills/2081785", "הצעת חוק זיכרון השואה (תמיכה במוסדות הנצחה), התש""ף-2019")</f>
        <v>29804</v>
      </c>
      <c r="E15523" t="s">
        <v>29804</v>
      </c>
      <c r="F15523" t="s">
        <v>29805</v>
      </c>
      <c r="G15523" t="s">
        <v>14</v>
      </c>
      <c r="H15523">
             </c>
      <c r="I15523" t="s">
        <v>14</v>
      </c>
      <c r="J15523" t="s">
        <v>141</v>
      </c>
      <c r="K15523" t="s">
        <v>14</v>
      </c>
      <c r="L15523" t="s">
        <v>20</v>
      </c>
      <c r="M15523" t="s">
        <v>29562</v>
      </c>
      <c r="N15523" t="s">
        <v>14</v>
      </c>
    </row>
    <row r="15524" x14ac:dyDescent="0.25">
      <c r="A15524" t="n">
        <v>22</v>
      </c>
      <c r="B15524" t="s">
        <v>14</v>
      </c>
      <c r="C15524" t="s">
        <v>22</v>
      </c>
      <c r="D15524" s="2" t="s">
        <f>=HYPERLINK("https://main.knesset.gov.il/APPS/legislation/main/bills/2081538", "הצעת חוק המוסד העליון ללשון העברית (תיקון - הנגשת מאגרים), התש""ף-2019")</f>
        <v>29806</v>
      </c>
      <c r="E15524" t="s">
        <v>29806</v>
      </c>
      <c r="F15524" t="s">
        <v>29807</v>
      </c>
      <c r="G15524" t="s">
        <v>14</v>
      </c>
      <c r="H15524">
             </c>
      <c r="I15524" t="s">
        <v>14</v>
      </c>
      <c r="J15524" t="s">
        <v>141</v>
      </c>
      <c r="K15524" t="s">
        <v>14</v>
      </c>
      <c r="L15524" t="s">
        <v>20</v>
      </c>
      <c r="M15524" t="s">
        <v>29562</v>
      </c>
      <c r="N15524" t="s">
        <v>14</v>
      </c>
    </row>
    <row r="15525" x14ac:dyDescent="0.25">
      <c r="A15525" t="n">
        <v>22</v>
      </c>
      <c r="B15525" t="s">
        <v>14</v>
      </c>
      <c r="C15525" t="s">
        <v>22</v>
      </c>
      <c r="D15525" s="2" t="s">
        <f>=HYPERLINK("https://main.knesset.gov.il/APPS/legislation/main/bills/2081398", "הצעת חוק ביטוח בריאות ממלכתי (תיקון - ביטול הגבלת זכותו של תושב גלמוד ששהה מחוץ לישראל), התש""ף-2019")</f>
        <v>29808</v>
      </c>
      <c r="E15525" t="s">
        <v>29808</v>
      </c>
      <c r="F15525" t="s">
        <v>29809</v>
      </c>
      <c r="G15525" t="s">
        <v>14</v>
      </c>
      <c r="H15525">
             </c>
      <c r="I15525" t="s">
        <v>14</v>
      </c>
      <c r="J15525" t="s">
        <v>141</v>
      </c>
      <c r="K15525" t="s">
        <v>14</v>
      </c>
      <c r="L15525" t="s">
        <v>20</v>
      </c>
      <c r="M15525" t="s">
        <v>29562</v>
      </c>
      <c r="N15525" t="s">
        <v>14</v>
      </c>
    </row>
    <row r="15526" x14ac:dyDescent="0.25">
      <c r="A15526" t="n">
        <v>22</v>
      </c>
      <c r="B15526" t="s">
        <v>14</v>
      </c>
      <c r="C15526" t="s">
        <v>22</v>
      </c>
      <c r="D15526" s="2" t="s">
        <f>=HYPERLINK("https://main.knesset.gov.il/APPS/legislation/main/bills/2081593", "הצעת חוק הביטוח הלאומי (תיקון - פטור מתשלום דמי ביטוח לסטודנטים בשל הכנסות הוריהם), התש""ף-2019")</f>
        <v>29810</v>
      </c>
      <c r="E15526" t="s">
        <v>29810</v>
      </c>
      <c r="F15526" t="s">
        <v>29811</v>
      </c>
      <c r="G15526" t="s">
        <v>14</v>
      </c>
      <c r="H15526">
             </c>
      <c r="I15526" t="s">
        <v>14</v>
      </c>
      <c r="J15526" t="s">
        <v>141</v>
      </c>
      <c r="K15526" t="s">
        <v>14</v>
      </c>
      <c r="L15526" t="s">
        <v>20</v>
      </c>
      <c r="M15526" t="s">
        <v>29562</v>
      </c>
      <c r="N15526" t="s">
        <v>14</v>
      </c>
    </row>
    <row r="15527" x14ac:dyDescent="0.25">
      <c r="A15527" t="n">
        <v>22</v>
      </c>
      <c r="B15527" t="s">
        <v>14</v>
      </c>
      <c r="C15527" t="s">
        <v>22</v>
      </c>
      <c r="D15527" s="2" t="s">
        <f>=HYPERLINK("https://main.knesset.gov.il/APPS/legislation/main/bills/2081576", "הצעת חוק הרשות לטקסים וסמלים ממלכתיים, התש""ף-2019")</f>
        <v>29812</v>
      </c>
      <c r="E15527" t="s">
        <v>29812</v>
      </c>
      <c r="F15527" t="s">
        <v>29813</v>
      </c>
      <c r="G15527" t="s">
        <v>14</v>
      </c>
      <c r="H15527">
             </c>
      <c r="I15527" t="s">
        <v>14</v>
      </c>
      <c r="J15527" t="s">
        <v>141</v>
      </c>
      <c r="K15527" t="s">
        <v>14</v>
      </c>
      <c r="L15527" t="s">
        <v>20</v>
      </c>
      <c r="M15527" t="s">
        <v>29562</v>
      </c>
      <c r="N15527" t="s">
        <v>14</v>
      </c>
    </row>
    <row r="15528" x14ac:dyDescent="0.25">
      <c r="A15528" t="n">
        <v>22</v>
      </c>
      <c r="B15528" t="s">
        <v>14</v>
      </c>
      <c r="C15528" t="s">
        <v>22</v>
      </c>
      <c r="D15528" s="2" t="s">
        <f>=HYPERLINK("https://main.knesset.gov.il/APPS/legislation/main/bills/2081583", "הצעת חוק זכויות הדייר בדיור הציבורי (תיקון - הארכת תוקף זכאות לדירה ציבורית), התש""ף-2019")</f>
        <v>29015</v>
      </c>
      <c r="E15528" t="s">
        <v>29015</v>
      </c>
      <c r="F15528" t="s">
        <v>29814</v>
      </c>
      <c r="G15528" t="s">
        <v>14</v>
      </c>
      <c r="H15528">
             </c>
      <c r="I15528" t="s">
        <v>14</v>
      </c>
      <c r="J15528" t="s">
        <v>141</v>
      </c>
      <c r="K15528" t="s">
        <v>14</v>
      </c>
      <c r="L15528" t="s">
        <v>20</v>
      </c>
      <c r="M15528" t="s">
        <v>29562</v>
      </c>
      <c r="N15528" t="s">
        <v>14</v>
      </c>
    </row>
    <row r="15529" x14ac:dyDescent="0.25">
      <c r="A15529" t="n">
        <v>22</v>
      </c>
      <c r="B15529" t="s">
        <v>14</v>
      </c>
      <c r="C15529" t="s">
        <v>22</v>
      </c>
      <c r="D15529" s="2" t="s">
        <f>=HYPERLINK("https://main.knesset.gov.il/APPS/legislation/main/bills/2081507", "הצעת חוק הביטוח הלאומי (תיקון - פטור מתשלום דמי ביטוח לסטודנטים בשל הכנסות הוריהם), התש""ף-2019")</f>
        <v>29810</v>
      </c>
      <c r="E15529" t="s">
        <v>29810</v>
      </c>
      <c r="F15529" t="s">
        <v>29815</v>
      </c>
      <c r="G15529" t="s">
        <v>14</v>
      </c>
      <c r="H15529">
             </c>
      <c r="I15529" t="s">
        <v>14</v>
      </c>
      <c r="J15529" t="s">
        <v>141</v>
      </c>
      <c r="K15529" t="s">
        <v>14</v>
      </c>
      <c r="L15529" t="s">
        <v>20</v>
      </c>
      <c r="M15529" t="s">
        <v>29562</v>
      </c>
      <c r="N15529" t="s">
        <v>14</v>
      </c>
    </row>
    <row r="15530" x14ac:dyDescent="0.25">
      <c r="A15530" t="n">
        <v>22</v>
      </c>
      <c r="B15530" t="s">
        <v>14</v>
      </c>
      <c r="C15530" t="s">
        <v>22</v>
      </c>
      <c r="D15530" s="2" t="s">
        <f>=HYPERLINK("https://main.knesset.gov.il/APPS/legislation/main/bills/2081554", "הצעת חוק המועצה להשכלה גבוהה (תיקון - איסור הגבלת גיל בהרשמה למוסד להשכלה גבוהה), התש""ף-2019")</f>
        <v>29816</v>
      </c>
      <c r="E15530" t="s">
        <v>29816</v>
      </c>
      <c r="F15530" t="s">
        <v>29817</v>
      </c>
      <c r="G15530" t="s">
        <v>14</v>
      </c>
      <c r="H15530">
             </c>
      <c r="I15530" t="s">
        <v>14</v>
      </c>
      <c r="J15530" t="s">
        <v>141</v>
      </c>
      <c r="K15530" t="s">
        <v>14</v>
      </c>
      <c r="L15530" t="s">
        <v>20</v>
      </c>
      <c r="M15530" t="s">
        <v>29562</v>
      </c>
      <c r="N15530" t="s">
        <v>14</v>
      </c>
    </row>
    <row r="15531" x14ac:dyDescent="0.25">
      <c r="A15531" t="n">
        <v>22</v>
      </c>
      <c r="B15531" t="s">
        <v>14</v>
      </c>
      <c r="C15531" t="s">
        <v>22</v>
      </c>
      <c r="D15531" s="2" t="s">
        <f>=HYPERLINK("https://main.knesset.gov.il/APPS/legislation/main/bills/2081548", "הצעת חוק איסור הפליה במוצרים, בשרותים ובכניסה למקומות בידור ולמקומות ציבוריים (תיקון - איסור הפליה במוסדות חינוך, החלת אחריות אישית על מנהלי בתי ספר והגדלת סכום הפיצוי ללא הוכחת נזק), התש""ף-2019")</f>
        <v>29818</v>
      </c>
      <c r="E15531" t="s">
        <v>29818</v>
      </c>
      <c r="F15531" t="s">
        <v>29819</v>
      </c>
      <c r="G15531" t="s">
        <v>14</v>
      </c>
      <c r="H15531">
             </c>
      <c r="I15531" t="s">
        <v>14</v>
      </c>
      <c r="J15531" t="s">
        <v>141</v>
      </c>
      <c r="K15531" t="s">
        <v>14</v>
      </c>
      <c r="L15531" t="s">
        <v>20</v>
      </c>
      <c r="M15531" t="s">
        <v>29562</v>
      </c>
      <c r="N15531" t="s">
        <v>14</v>
      </c>
    </row>
    <row r="15532" x14ac:dyDescent="0.25">
      <c r="A15532" t="n">
        <v>22</v>
      </c>
      <c r="B15532" t="s">
        <v>14</v>
      </c>
      <c r="C15532" t="s">
        <v>22</v>
      </c>
      <c r="D15532" s="2" t="s">
        <f>=HYPERLINK("https://main.knesset.gov.il/APPS/legislation/main/bills/2081578", "הצעת חוק איסור הפליה במוצרים, בשירותים ובכניסה למקומות בידור ולמקומות ציבוריים (תיקון - איסור הפרדה), התש""ף-2019")</f>
        <v>29820</v>
      </c>
      <c r="E15532" t="s">
        <v>29820</v>
      </c>
      <c r="F15532" t="s">
        <v>29821</v>
      </c>
      <c r="G15532" t="s">
        <v>14</v>
      </c>
      <c r="H15532">
             </c>
      <c r="I15532" t="s">
        <v>14</v>
      </c>
      <c r="J15532" t="s">
        <v>141</v>
      </c>
      <c r="K15532" t="s">
        <v>14</v>
      </c>
      <c r="L15532" t="s">
        <v>20</v>
      </c>
      <c r="M15532" t="s">
        <v>29562</v>
      </c>
      <c r="N15532" t="s">
        <v>14</v>
      </c>
    </row>
    <row r="15533" x14ac:dyDescent="0.25">
      <c r="A15533" t="n">
        <v>22</v>
      </c>
      <c r="B15533" t="s">
        <v>14</v>
      </c>
      <c r="C15533" t="s">
        <v>22</v>
      </c>
      <c r="D15533" s="2" t="s">
        <f>=HYPERLINK("https://main.knesset.gov.il/APPS/legislation/main/bills/2081541", "הצעת חוק איסור הפליה במוצרים, בשירותים ובכניסה למקומות בידור ולמקומות ציבוריים (תיקון - הפליה מחמת מראה והתניית רישיון עסק באיסור הפליה), התש""ף-2019")</f>
        <v>29822</v>
      </c>
      <c r="E15533" t="s">
        <v>29822</v>
      </c>
      <c r="F15533" t="s">
        <v>29823</v>
      </c>
      <c r="G15533" t="s">
        <v>14</v>
      </c>
      <c r="H15533">
             </c>
      <c r="I15533" t="s">
        <v>14</v>
      </c>
      <c r="J15533" t="s">
        <v>141</v>
      </c>
      <c r="K15533" t="s">
        <v>14</v>
      </c>
      <c r="L15533" t="s">
        <v>20</v>
      </c>
      <c r="M15533" t="s">
        <v>29562</v>
      </c>
      <c r="N15533" t="s">
        <v>14</v>
      </c>
    </row>
    <row r="15534" x14ac:dyDescent="0.25">
      <c r="A15534" t="n">
        <v>22</v>
      </c>
      <c r="B15534" t="s">
        <v>14</v>
      </c>
      <c r="C15534" t="s">
        <v>22</v>
      </c>
      <c r="D15534" s="2" t="s">
        <f>=HYPERLINK("https://main.knesset.gov.il/APPS/legislation/main/bills/2081560", "הצעת חוק איסור הפליה במוצרים, בשירותים ובכניסה למקומות בידור ולמקומות ציבוריים (תיקון - איסור הפליה בשל אי מסירת מידע אישי), התש""ף-2019")</f>
        <v>29824</v>
      </c>
      <c r="E15534" t="s">
        <v>29824</v>
      </c>
      <c r="F15534" t="s">
        <v>29825</v>
      </c>
      <c r="G15534" t="s">
        <v>14</v>
      </c>
      <c r="H15534">
             </c>
      <c r="I15534" t="s">
        <v>14</v>
      </c>
      <c r="J15534" t="s">
        <v>141</v>
      </c>
      <c r="K15534" t="s">
        <v>14</v>
      </c>
      <c r="L15534" t="s">
        <v>20</v>
      </c>
      <c r="M15534" t="s">
        <v>29562</v>
      </c>
      <c r="N15534" t="s">
        <v>14</v>
      </c>
    </row>
    <row r="15535" x14ac:dyDescent="0.25">
      <c r="A15535" t="n">
        <v>22</v>
      </c>
      <c r="B15535" t="s">
        <v>14</v>
      </c>
      <c r="C15535" t="s">
        <v>22</v>
      </c>
      <c r="D15535" s="2" t="s">
        <f>=HYPERLINK("https://main.knesset.gov.il/APPS/legislation/main/bills/2081336", "הצעת חוק פיצויי פיטורים (תיקון - מתן פיצויי פיטורים עקב העתקת מקום מגורים לבני זוג ידועים בציבור), התש""ף-2019")</f>
        <v>28690</v>
      </c>
      <c r="E15535" t="s">
        <v>28690</v>
      </c>
      <c r="F15535" t="s">
        <v>29826</v>
      </c>
      <c r="G15535" t="s">
        <v>14</v>
      </c>
      <c r="H15535">
             </c>
      <c r="I15535" t="s">
        <v>14</v>
      </c>
      <c r="J15535" t="s">
        <v>141</v>
      </c>
      <c r="K15535" t="s">
        <v>14</v>
      </c>
      <c r="L15535" t="s">
        <v>20</v>
      </c>
      <c r="M15535" t="s">
        <v>29562</v>
      </c>
      <c r="N15535" t="s">
        <v>14</v>
      </c>
    </row>
    <row r="15536" x14ac:dyDescent="0.25">
      <c r="A15536" t="n">
        <v>22</v>
      </c>
      <c r="B15536" t="s">
        <v>14</v>
      </c>
      <c r="C15536" t="s">
        <v>22</v>
      </c>
      <c r="D15536" s="2" t="s">
        <f>=HYPERLINK("https://main.knesset.gov.il/APPS/legislation/main/bills/2081328", "הצעת חוק העונשין (תיקון - איסור שידול קטינים לחזרה בתשובה), התש""ף-2019")</f>
        <v>29827</v>
      </c>
      <c r="E15536" t="s">
        <v>29827</v>
      </c>
      <c r="F15536" t="s">
        <v>29828</v>
      </c>
      <c r="G15536" t="s">
        <v>14</v>
      </c>
      <c r="H15536">
             </c>
      <c r="I15536" t="s">
        <v>14</v>
      </c>
      <c r="J15536" t="s">
        <v>141</v>
      </c>
      <c r="K15536" t="s">
        <v>14</v>
      </c>
      <c r="L15536" t="s">
        <v>20</v>
      </c>
      <c r="M15536" t="s">
        <v>29562</v>
      </c>
      <c r="N15536" t="s">
        <v>14</v>
      </c>
    </row>
    <row r="15537" x14ac:dyDescent="0.25">
      <c r="A15537" t="n">
        <v>22</v>
      </c>
      <c r="B15537" t="s">
        <v>14</v>
      </c>
      <c r="C15537" t="s">
        <v>22</v>
      </c>
      <c r="D15537" s="2" t="s">
        <f>=HYPERLINK("https://main.knesset.gov.il/APPS/legislation/main/bills/2081858", "הצעת חוק הרבנות הראשית לישראל (תיקון - הסרת הרב הצבאי הראשי וסגנו מהאסיפה הבוחרת), התש""ף-2019")</f>
        <v>29829</v>
      </c>
      <c r="E15537" t="s">
        <v>29829</v>
      </c>
      <c r="F15537" t="s">
        <v>29830</v>
      </c>
      <c r="G15537" t="s">
        <v>14</v>
      </c>
      <c r="H15537">
             </c>
      <c r="I15537" t="s">
        <v>14</v>
      </c>
      <c r="J15537" t="s">
        <v>141</v>
      </c>
      <c r="K15537" t="s">
        <v>14</v>
      </c>
      <c r="L15537" t="s">
        <v>20</v>
      </c>
      <c r="M15537" t="s">
        <v>29562</v>
      </c>
      <c r="N15537" t="s">
        <v>14</v>
      </c>
    </row>
    <row r="15538" x14ac:dyDescent="0.25">
      <c r="A15538" t="n">
        <v>22</v>
      </c>
      <c r="B15538" t="s">
        <v>14</v>
      </c>
      <c r="C15538" t="s">
        <v>22</v>
      </c>
      <c r="D15538" s="2" t="s">
        <f>=HYPERLINK("https://main.knesset.gov.il/APPS/legislation/main/bills/2081226", "הצעת חוק הביטוח הלאומי (תיקון - תשלום גמלה בעד תקופה שקדמה להגשת התביעה), התש""ף-2019")</f>
        <v>29831</v>
      </c>
      <c r="E15538" t="s">
        <v>29831</v>
      </c>
      <c r="F15538" t="s">
        <v>29832</v>
      </c>
      <c r="G15538" t="s">
        <v>14</v>
      </c>
      <c r="H15538">
             </c>
      <c r="I15538" t="s">
        <v>14</v>
      </c>
      <c r="J15538" t="s">
        <v>141</v>
      </c>
      <c r="K15538" t="s">
        <v>14</v>
      </c>
      <c r="L15538" t="s">
        <v>20</v>
      </c>
      <c r="M15538" t="s">
        <v>29562</v>
      </c>
      <c r="N15538" t="s">
        <v>14</v>
      </c>
    </row>
    <row r="15539" x14ac:dyDescent="0.25">
      <c r="A15539" t="n">
        <v>22</v>
      </c>
      <c r="B15539" t="s">
        <v>14</v>
      </c>
      <c r="C15539" t="s">
        <v>22</v>
      </c>
      <c r="D15539" s="2" t="s">
        <f>=HYPERLINK("https://main.knesset.gov.il/APPS/legislation/main/bills/2081475", "הצעת חוק שוויון ההזדמנויות בעבודה (תיקון - איסור דרישת מידע ביומטרי מעובד או מדורש עבודה), התש""ף-2019")</f>
        <v>29833</v>
      </c>
      <c r="E15539" t="s">
        <v>29833</v>
      </c>
      <c r="F15539" t="s">
        <v>29834</v>
      </c>
      <c r="G15539" t="s">
        <v>14</v>
      </c>
      <c r="H15539">
             </c>
      <c r="I15539" t="s">
        <v>14</v>
      </c>
      <c r="J15539" t="s">
        <v>141</v>
      </c>
      <c r="K15539" t="s">
        <v>14</v>
      </c>
      <c r="L15539" t="s">
        <v>20</v>
      </c>
      <c r="M15539" t="s">
        <v>29562</v>
      </c>
      <c r="N15539" t="s">
        <v>14</v>
      </c>
    </row>
    <row r="15540" x14ac:dyDescent="0.25">
      <c r="A15540" t="n">
        <v>22</v>
      </c>
      <c r="B15540" t="s">
        <v>14</v>
      </c>
      <c r="C15540" t="s">
        <v>22</v>
      </c>
      <c r="D15540" s="2" t="s">
        <f>=HYPERLINK("https://main.knesset.gov.il/APPS/legislation/main/bills/2081258", "הצעת חוק עבודת נשים (תיקון - חלוקת תקופת הלידה וההורות בין סטודנטית לבן זוגה), התש""ף-2019")</f>
        <v>29835</v>
      </c>
      <c r="E15540" t="s">
        <v>29835</v>
      </c>
      <c r="F15540" t="s">
        <v>29836</v>
      </c>
      <c r="G15540" t="s">
        <v>14</v>
      </c>
      <c r="H15540">
             </c>
      <c r="I15540" t="s">
        <v>14</v>
      </c>
      <c r="J15540" t="s">
        <v>141</v>
      </c>
      <c r="K15540" t="s">
        <v>14</v>
      </c>
      <c r="L15540" t="s">
        <v>20</v>
      </c>
      <c r="M15540" t="s">
        <v>29562</v>
      </c>
      <c r="N15540" t="s">
        <v>14</v>
      </c>
    </row>
    <row r="15541" x14ac:dyDescent="0.25">
      <c r="A15541" t="n">
        <v>22</v>
      </c>
      <c r="B15541" t="s">
        <v>14</v>
      </c>
      <c r="C15541" t="s">
        <v>22</v>
      </c>
      <c r="D15541" s="2" t="s">
        <f>=HYPERLINK("https://main.knesset.gov.il/APPS/legislation/main/bills/2081299", "הצעת חוק ביטוח בריאות ממלכתי (תיקון - הרחבת הסדרי הבחירה), התש""ף-2019")</f>
        <v>29837</v>
      </c>
      <c r="E15541" t="s">
        <v>29837</v>
      </c>
      <c r="F15541" t="s">
        <v>29838</v>
      </c>
      <c r="G15541" t="s">
        <v>14</v>
      </c>
      <c r="H15541">
             </c>
      <c r="I15541" t="s">
        <v>14</v>
      </c>
      <c r="J15541" t="s">
        <v>141</v>
      </c>
      <c r="K15541" t="s">
        <v>14</v>
      </c>
      <c r="L15541" t="s">
        <v>20</v>
      </c>
      <c r="M15541" t="s">
        <v>29562</v>
      </c>
      <c r="N15541" t="s">
        <v>14</v>
      </c>
    </row>
    <row r="15542" x14ac:dyDescent="0.25">
      <c r="A15542" t="n">
        <v>22</v>
      </c>
      <c r="B15542" t="s">
        <v>14</v>
      </c>
      <c r="C15542" t="s">
        <v>22</v>
      </c>
      <c r="D15542" s="2" t="s">
        <f>=HYPERLINK("https://main.knesset.gov.il/APPS/legislation/main/bills/2081295", "הצעת חוק למניעת העישון במקומות ציבוריים והחשיפה לעישון (תיקון - ביטול חדרי העישון ואזורי העישון), התש""ף-2019")</f>
        <v>29839</v>
      </c>
      <c r="E15542" t="s">
        <v>29839</v>
      </c>
      <c r="F15542" t="s">
        <v>29840</v>
      </c>
      <c r="G15542" t="s">
        <v>14</v>
      </c>
      <c r="H15542">
             </c>
      <c r="I15542" t="s">
        <v>14</v>
      </c>
      <c r="J15542" t="s">
        <v>141</v>
      </c>
      <c r="K15542" t="s">
        <v>14</v>
      </c>
      <c r="L15542" t="s">
        <v>20</v>
      </c>
      <c r="M15542" t="s">
        <v>29562</v>
      </c>
      <c r="N15542" t="s">
        <v>14</v>
      </c>
    </row>
    <row r="15543" x14ac:dyDescent="0.25">
      <c r="A15543" t="n">
        <v>22</v>
      </c>
      <c r="B15543" t="s">
        <v>14</v>
      </c>
      <c r="C15543" t="s">
        <v>22</v>
      </c>
      <c r="D15543" s="2" t="s">
        <f>=HYPERLINK("https://main.knesset.gov.il/APPS/legislation/main/bills/2081263", "הצעת חוק לתיקון פקודת הסמים המסוכנים (זנים תעשייתיים של קנבוס), התש""ף-2019")</f>
        <v>29841</v>
      </c>
      <c r="E15543" t="s">
        <v>29841</v>
      </c>
      <c r="F15543" t="s">
        <v>29842</v>
      </c>
      <c r="G15543" t="s">
        <v>14</v>
      </c>
      <c r="H15543">
             </c>
      <c r="I15543" t="s">
        <v>14</v>
      </c>
      <c r="J15543" t="s">
        <v>141</v>
      </c>
      <c r="K15543" t="s">
        <v>14</v>
      </c>
      <c r="L15543" t="s">
        <v>20</v>
      </c>
      <c r="M15543" t="s">
        <v>29562</v>
      </c>
      <c r="N15543" t="s">
        <v>14</v>
      </c>
    </row>
    <row r="15544" x14ac:dyDescent="0.25">
      <c r="A15544" t="n">
        <v>22</v>
      </c>
      <c r="B15544" t="s">
        <v>14</v>
      </c>
      <c r="C15544" t="s">
        <v>22</v>
      </c>
      <c r="D15544" s="2" t="s">
        <f>=HYPERLINK("https://main.knesset.gov.il/APPS/legislation/main/bills/2081622", "הצעת חוק שיווי זכויות האישה (תיקון - ייצוג הולם לנשים בוועדות ציבוריות ברשויות המקומיות), התש""ף-2019")</f>
        <v>28111</v>
      </c>
      <c r="E15544" t="s">
        <v>28111</v>
      </c>
      <c r="F15544" t="s">
        <v>29843</v>
      </c>
      <c r="G15544" t="s">
        <v>14</v>
      </c>
      <c r="H15544">
             </c>
      <c r="I15544" t="s">
        <v>14</v>
      </c>
      <c r="J15544" t="s">
        <v>141</v>
      </c>
      <c r="K15544" t="s">
        <v>14</v>
      </c>
      <c r="L15544" t="s">
        <v>20</v>
      </c>
      <c r="M15544" t="s">
        <v>29562</v>
      </c>
      <c r="N15544" t="s">
        <v>14</v>
      </c>
    </row>
    <row r="15545" x14ac:dyDescent="0.25">
      <c r="A15545" t="n">
        <v>22</v>
      </c>
      <c r="B15545" t="s">
        <v>14</v>
      </c>
      <c r="C15545" t="s">
        <v>22</v>
      </c>
      <c r="D15545" s="2" t="s">
        <f>=HYPERLINK("https://main.knesset.gov.il/APPS/legislation/main/bills/2081639", "הצעת חוק שיווי זכויות האישה (תיקון - פנייה שוויונית בשילוט במקום ציבורי), התש""ף-2019")</f>
        <v>29844</v>
      </c>
      <c r="E15545" t="s">
        <v>29844</v>
      </c>
      <c r="F15545" t="s">
        <v>29845</v>
      </c>
      <c r="G15545" t="s">
        <v>14</v>
      </c>
      <c r="H15545">
             </c>
      <c r="I15545" t="s">
        <v>14</v>
      </c>
      <c r="J15545" t="s">
        <v>141</v>
      </c>
      <c r="K15545" t="s">
        <v>14</v>
      </c>
      <c r="L15545" t="s">
        <v>20</v>
      </c>
      <c r="M15545" t="s">
        <v>29562</v>
      </c>
      <c r="N15545" t="s">
        <v>14</v>
      </c>
    </row>
    <row r="15546" x14ac:dyDescent="0.25">
      <c r="A15546" t="n">
        <v>22</v>
      </c>
      <c r="B15546" t="s">
        <v>14</v>
      </c>
      <c r="C15546" t="s">
        <v>22</v>
      </c>
      <c r="D15546" s="2" t="s">
        <f>=HYPERLINK("https://main.knesset.gov.il/APPS/legislation/main/bills/2081854", "הצעת חוק הגנה על עובדים בעת אירוע חירום אזרחי, התש""ף-2019")</f>
        <v>29846</v>
      </c>
      <c r="E15546" t="s">
        <v>29846</v>
      </c>
      <c r="F15546" t="s">
        <v>29847</v>
      </c>
      <c r="G15546" t="s">
        <v>14</v>
      </c>
      <c r="H15546">
             </c>
      <c r="I15546" t="s">
        <v>14</v>
      </c>
      <c r="J15546" t="s">
        <v>141</v>
      </c>
      <c r="K15546" t="s">
        <v>14</v>
      </c>
      <c r="L15546" t="s">
        <v>20</v>
      </c>
      <c r="M15546" t="s">
        <v>29562</v>
      </c>
      <c r="N15546" t="s">
        <v>14</v>
      </c>
    </row>
    <row r="15547" x14ac:dyDescent="0.25">
      <c r="A15547" t="n">
        <v>22</v>
      </c>
      <c r="B15547" t="s">
        <v>14</v>
      </c>
      <c r="C15547" t="s">
        <v>22</v>
      </c>
      <c r="D15547" s="2" t="s">
        <f>=HYPERLINK("https://main.knesset.gov.il/APPS/legislation/main/bills/2081641", "הצעת חוק עבודת נשים (תיקון - תקופת לידה והורות לגבר), התש""ף-2019")</f>
        <v>28940</v>
      </c>
      <c r="E15547" t="s">
        <v>28940</v>
      </c>
      <c r="F15547" t="s">
        <v>29848</v>
      </c>
      <c r="G15547" t="s">
        <v>14</v>
      </c>
      <c r="H15547">
             </c>
      <c r="I15547" t="s">
        <v>14</v>
      </c>
      <c r="J15547" t="s">
        <v>141</v>
      </c>
      <c r="K15547" t="s">
        <v>14</v>
      </c>
      <c r="L15547" t="s">
        <v>20</v>
      </c>
      <c r="M15547" t="s">
        <v>29562</v>
      </c>
      <c r="N15547" t="s">
        <v>14</v>
      </c>
    </row>
    <row r="15548" x14ac:dyDescent="0.25">
      <c r="A15548" t="n">
        <v>22</v>
      </c>
      <c r="B15548" t="s">
        <v>14</v>
      </c>
      <c r="C15548" t="s">
        <v>22</v>
      </c>
      <c r="D15548" s="2" t="s">
        <f>=HYPERLINK("https://main.knesset.gov.il/APPS/legislation/main/bills/2081633", "הצעת חוק עבודת נשים (תיקון - הוספת חלקו של חודש במניין), התש""ף-2019")</f>
        <v>29849</v>
      </c>
      <c r="E15548" t="s">
        <v>29849</v>
      </c>
      <c r="F15548" t="s">
        <v>29850</v>
      </c>
      <c r="G15548" t="s">
        <v>14</v>
      </c>
      <c r="H15548">
             </c>
      <c r="I15548" t="s">
        <v>14</v>
      </c>
      <c r="J15548" t="s">
        <v>141</v>
      </c>
      <c r="K15548" t="s">
        <v>14</v>
      </c>
      <c r="L15548" t="s">
        <v>20</v>
      </c>
      <c r="M15548" t="s">
        <v>29562</v>
      </c>
      <c r="N15548" t="s">
        <v>14</v>
      </c>
    </row>
    <row r="15549" x14ac:dyDescent="0.25">
      <c r="A15549" t="n">
        <v>22</v>
      </c>
      <c r="B15549" t="s">
        <v>14</v>
      </c>
      <c r="C15549" t="s">
        <v>22</v>
      </c>
      <c r="D15549" s="2" t="s">
        <f>=HYPERLINK("https://main.knesset.gov.il/APPS/legislation/main/bills/2081615", "הצעת חוק האזרחים הוותיקים (תיקון - חניה חינם לאזרח ותיק שמלאו לו 70 שנים), התש""ף-2019")</f>
        <v>29851</v>
      </c>
      <c r="E15549" t="s">
        <v>29851</v>
      </c>
      <c r="F15549" t="s">
        <v>29852</v>
      </c>
      <c r="G15549" t="s">
        <v>14</v>
      </c>
      <c r="H15549">
             </c>
      <c r="I15549" t="s">
        <v>14</v>
      </c>
      <c r="J15549" t="s">
        <v>141</v>
      </c>
      <c r="K15549" t="s">
        <v>14</v>
      </c>
      <c r="L15549" t="s">
        <v>20</v>
      </c>
      <c r="M15549" t="s">
        <v>29562</v>
      </c>
      <c r="N15549" t="s">
        <v>14</v>
      </c>
    </row>
    <row r="15550" x14ac:dyDescent="0.25">
      <c r="A15550" t="n">
        <v>22</v>
      </c>
      <c r="B15550" t="s">
        <v>14</v>
      </c>
      <c r="C15550" t="s">
        <v>22</v>
      </c>
      <c r="D15550" s="2" t="s">
        <f>=HYPERLINK("https://main.knesset.gov.il/APPS/legislation/main/bills/2081616", "הצעת חוק עבודת נשים (תיקון - חזרה לעבודה מתקופת לידה והורות), התש""ף-2019")</f>
        <v>29853</v>
      </c>
      <c r="E15550" t="s">
        <v>29853</v>
      </c>
      <c r="F15550" t="s">
        <v>29854</v>
      </c>
      <c r="G15550" t="s">
        <v>14</v>
      </c>
      <c r="H15550">
             </c>
      <c r="I15550" t="s">
        <v>14</v>
      </c>
      <c r="J15550" t="s">
        <v>141</v>
      </c>
      <c r="K15550" t="s">
        <v>14</v>
      </c>
      <c r="L15550" t="s">
        <v>20</v>
      </c>
      <c r="M15550" t="s">
        <v>29562</v>
      </c>
      <c r="N15550" t="s">
        <v>14</v>
      </c>
    </row>
    <row r="15551" x14ac:dyDescent="0.25">
      <c r="A15551" t="n">
        <v>22</v>
      </c>
      <c r="B15551" t="s">
        <v>14</v>
      </c>
      <c r="C15551" t="s">
        <v>22</v>
      </c>
      <c r="D15551" s="2" t="s">
        <f>=HYPERLINK("https://main.knesset.gov.il/APPS/legislation/main/bills/2081804", "הצעת חוק עבודת נשים (תיקון - איסור פגיעה בתנאי עבודה של עובד שחלה הגבלה על פיטוריו), התש""ף-2019")</f>
        <v>29855</v>
      </c>
      <c r="E15551" t="s">
        <v>29855</v>
      </c>
      <c r="F15551" t="s">
        <v>29856</v>
      </c>
      <c r="G15551" t="s">
        <v>14</v>
      </c>
      <c r="H15551">
             </c>
      <c r="I15551" t="s">
        <v>14</v>
      </c>
      <c r="J15551" t="s">
        <v>141</v>
      </c>
      <c r="K15551" t="s">
        <v>14</v>
      </c>
      <c r="L15551" t="s">
        <v>20</v>
      </c>
      <c r="M15551" t="s">
        <v>29562</v>
      </c>
      <c r="N15551" t="s">
        <v>14</v>
      </c>
    </row>
    <row r="15552" x14ac:dyDescent="0.25">
      <c r="A15552" t="n">
        <v>22</v>
      </c>
      <c r="B15552" t="s">
        <v>14</v>
      </c>
      <c r="C15552" t="s">
        <v>22</v>
      </c>
      <c r="D15552" s="2" t="s">
        <f>=HYPERLINK("https://main.knesset.gov.il/APPS/legislation/main/bills/2081822", "הצעת חוק עבודת נשים (תיקון - הגבלת פיטורים של אישה השוהה במקלט לנשים מוכות), התש""ף-2019")</f>
        <v>29857</v>
      </c>
      <c r="E15552" t="s">
        <v>29857</v>
      </c>
      <c r="F15552" t="s">
        <v>29858</v>
      </c>
      <c r="G15552" t="s">
        <v>14</v>
      </c>
      <c r="H15552">
             </c>
      <c r="I15552" t="s">
        <v>14</v>
      </c>
      <c r="J15552" t="s">
        <v>141</v>
      </c>
      <c r="K15552" t="s">
        <v>14</v>
      </c>
      <c r="L15552" t="s">
        <v>20</v>
      </c>
      <c r="M15552" t="s">
        <v>29562</v>
      </c>
      <c r="N15552" t="s">
        <v>14</v>
      </c>
    </row>
    <row r="15553" x14ac:dyDescent="0.25">
      <c r="A15553" t="n">
        <v>22</v>
      </c>
      <c r="B15553" t="s">
        <v>14</v>
      </c>
      <c r="C15553" t="s">
        <v>22</v>
      </c>
      <c r="D15553" s="2" t="s">
        <f>=HYPERLINK("https://main.knesset.gov.il/APPS/legislation/main/bills/2081459", "הצעת חוק שירות הציבור (הגבלות לאחר פרישה) (תיקון - איסור על מתן היתרים או פטורים למשרתים בכוחות הביטחון ובמשרד הביטחון), התש""ף-2019")</f>
        <v>29859</v>
      </c>
      <c r="E15553" t="s">
        <v>29859</v>
      </c>
      <c r="F15553" t="s">
        <v>29860</v>
      </c>
      <c r="G15553" t="s">
        <v>14</v>
      </c>
      <c r="H15553">
             </c>
      <c r="I15553" t="s">
        <v>14</v>
      </c>
      <c r="J15553" t="s">
        <v>141</v>
      </c>
      <c r="K15553" t="s">
        <v>14</v>
      </c>
      <c r="L15553" t="s">
        <v>20</v>
      </c>
      <c r="M15553" t="s">
        <v>29562</v>
      </c>
      <c r="N15553" t="s">
        <v>14</v>
      </c>
    </row>
    <row r="15554" x14ac:dyDescent="0.25">
      <c r="A15554" t="n">
        <v>22</v>
      </c>
      <c r="B15554" t="s">
        <v>14</v>
      </c>
      <c r="C15554" t="s">
        <v>22</v>
      </c>
      <c r="D15554" s="2" t="s">
        <f>=HYPERLINK("https://main.knesset.gov.il/APPS/legislation/main/bills/2081550", "הצעת חוק הביטוח הלאומי (תיקון - הכרה בפגיעה מינית בעבודה כפגיעה בעבודה), התש""ף-2019")</f>
        <v>28370</v>
      </c>
      <c r="E15554" t="s">
        <v>28370</v>
      </c>
      <c r="F15554" t="s">
        <v>29861</v>
      </c>
      <c r="G15554" t="s">
        <v>14</v>
      </c>
      <c r="H15554">
             </c>
      <c r="I15554" t="s">
        <v>14</v>
      </c>
      <c r="J15554" t="s">
        <v>141</v>
      </c>
      <c r="K15554" t="s">
        <v>14</v>
      </c>
      <c r="L15554" t="s">
        <v>20</v>
      </c>
      <c r="M15554" t="s">
        <v>29562</v>
      </c>
      <c r="N15554" t="s">
        <v>14</v>
      </c>
    </row>
    <row r="15555" x14ac:dyDescent="0.25">
      <c r="A15555" t="n">
        <v>22</v>
      </c>
      <c r="B15555" t="s">
        <v>14</v>
      </c>
      <c r="C15555" t="s">
        <v>22</v>
      </c>
      <c r="D15555" s="2" t="s">
        <f>=HYPERLINK("https://main.knesset.gov.il/APPS/legislation/main/bills/2081674", "הצעת חוק הביטוח הלאומי (תיקון - תנאי זכאות לדמי לידה), התש""ף-2019")</f>
        <v>29862</v>
      </c>
      <c r="E15555" t="s">
        <v>29862</v>
      </c>
      <c r="F15555" t="s">
        <v>29863</v>
      </c>
      <c r="G15555" t="s">
        <v>14</v>
      </c>
      <c r="H15555">
             </c>
      <c r="I15555" t="s">
        <v>14</v>
      </c>
      <c r="J15555" t="s">
        <v>141</v>
      </c>
      <c r="K15555" t="s">
        <v>14</v>
      </c>
      <c r="L15555" t="s">
        <v>20</v>
      </c>
      <c r="M15555" t="s">
        <v>29562</v>
      </c>
      <c r="N15555" t="s">
        <v>14</v>
      </c>
    </row>
    <row r="15556" x14ac:dyDescent="0.25">
      <c r="A15556" t="n">
        <v>22</v>
      </c>
      <c r="B15556" t="s">
        <v>14</v>
      </c>
      <c r="C15556" t="s">
        <v>22</v>
      </c>
      <c r="D15556" s="2" t="s">
        <f>=HYPERLINK("https://main.knesset.gov.il/APPS/legislation/main/bills/2081664", "הצעת חוק הביטוח הלאומי (תיקון - תנאי זכאות לדמי לידה), התש""ף-2019")</f>
        <v>29862</v>
      </c>
      <c r="E15556" t="s">
        <v>29862</v>
      </c>
      <c r="F15556" t="s">
        <v>29864</v>
      </c>
      <c r="G15556" t="s">
        <v>14</v>
      </c>
      <c r="H15556">
             </c>
      <c r="I15556" t="s">
        <v>14</v>
      </c>
      <c r="J15556" t="s">
        <v>141</v>
      </c>
      <c r="K15556" t="s">
        <v>14</v>
      </c>
      <c r="L15556" t="s">
        <v>20</v>
      </c>
      <c r="M15556" t="s">
        <v>29562</v>
      </c>
      <c r="N15556" t="s">
        <v>14</v>
      </c>
    </row>
    <row r="15557" x14ac:dyDescent="0.25">
      <c r="A15557" t="n">
        <v>22</v>
      </c>
      <c r="B15557" t="s">
        <v>14</v>
      </c>
      <c r="C15557" t="s">
        <v>22</v>
      </c>
      <c r="D15557" s="2" t="s">
        <f>=HYPERLINK("https://main.knesset.gov.il/APPS/legislation/main/bills/2081375", "הצעת חוק הביטוח הלאומי (תיקון - דמי אבטלה למי שנמצא בהכשרה מקצועית), התש""ף-2019")</f>
        <v>29575</v>
      </c>
      <c r="E15557" t="s">
        <v>29575</v>
      </c>
      <c r="F15557" t="s">
        <v>29865</v>
      </c>
      <c r="G15557" t="s">
        <v>14</v>
      </c>
      <c r="H15557">
             </c>
      <c r="I15557" t="s">
        <v>14</v>
      </c>
      <c r="J15557" t="s">
        <v>141</v>
      </c>
      <c r="K15557" t="s">
        <v>14</v>
      </c>
      <c r="L15557" t="s">
        <v>20</v>
      </c>
      <c r="M15557" t="s">
        <v>29562</v>
      </c>
      <c r="N15557" t="s">
        <v>14</v>
      </c>
    </row>
    <row r="15558" x14ac:dyDescent="0.25">
      <c r="A15558" t="n">
        <v>22</v>
      </c>
      <c r="B15558" t="s">
        <v>14</v>
      </c>
      <c r="C15558" t="s">
        <v>22</v>
      </c>
      <c r="D15558" s="2" t="s">
        <f>=HYPERLINK("https://main.knesset.gov.il/APPS/legislation/main/bills/2081646", "הצעת חוק עבודת נשים (תיקון - תקופת לידה והורות להורה יחיד), התש""ף-2019")</f>
        <v>29449</v>
      </c>
      <c r="E15558" t="s">
        <v>29449</v>
      </c>
      <c r="F15558" t="s">
        <v>29866</v>
      </c>
      <c r="G15558" t="s">
        <v>14</v>
      </c>
      <c r="H15558">
             </c>
      <c r="I15558" t="s">
        <v>14</v>
      </c>
      <c r="J15558" t="s">
        <v>141</v>
      </c>
      <c r="K15558" t="s">
        <v>14</v>
      </c>
      <c r="L15558" t="s">
        <v>20</v>
      </c>
      <c r="M15558" t="s">
        <v>29562</v>
      </c>
      <c r="N15558" t="s">
        <v>14</v>
      </c>
    </row>
    <row r="15559" x14ac:dyDescent="0.25">
      <c r="A15559" t="n">
        <v>22</v>
      </c>
      <c r="B15559" t="s">
        <v>14</v>
      </c>
      <c r="C15559" t="s">
        <v>22</v>
      </c>
      <c r="D15559" s="2" t="s">
        <f>=HYPERLINK("https://main.knesset.gov.il/APPS/legislation/main/bills/2081529", "הצעת חוק הביטוח הלאומי (תיקון - דמי פגיעה לעצמאי), התש""ף-2019")</f>
        <v>28198</v>
      </c>
      <c r="E15559" t="s">
        <v>28198</v>
      </c>
      <c r="F15559" t="s">
        <v>29867</v>
      </c>
      <c r="G15559" t="s">
        <v>14</v>
      </c>
      <c r="H15559">
             </c>
      <c r="I15559" t="s">
        <v>14</v>
      </c>
      <c r="J15559" t="s">
        <v>141</v>
      </c>
      <c r="K15559" t="s">
        <v>14</v>
      </c>
      <c r="L15559" t="s">
        <v>20</v>
      </c>
      <c r="M15559" t="s">
        <v>29562</v>
      </c>
      <c r="N15559" t="s">
        <v>14</v>
      </c>
    </row>
    <row r="15560" x14ac:dyDescent="0.25">
      <c r="A15560" t="n">
        <v>22</v>
      </c>
      <c r="B15560" t="s">
        <v>14</v>
      </c>
      <c r="C15560" t="s">
        <v>22</v>
      </c>
      <c r="D15560" s="2" t="s">
        <f>=HYPERLINK("https://main.knesset.gov.il/APPS/legislation/main/bills/2081653", "הצעת חוק לתיקון פקודת התעבורה (החרגת בעלי רישיון שימוש בקנבוס רפואי), התש""ף-2019")</f>
        <v>29868</v>
      </c>
      <c r="E15560" t="s">
        <v>29868</v>
      </c>
      <c r="F15560" t="s">
        <v>29869</v>
      </c>
      <c r="G15560" t="s">
        <v>14</v>
      </c>
      <c r="H15560">
             </c>
      <c r="I15560" t="s">
        <v>14</v>
      </c>
      <c r="J15560" t="s">
        <v>141</v>
      </c>
      <c r="K15560" t="s">
        <v>14</v>
      </c>
      <c r="L15560" t="s">
        <v>20</v>
      </c>
      <c r="M15560" t="s">
        <v>29562</v>
      </c>
      <c r="N15560" t="s">
        <v>14</v>
      </c>
    </row>
    <row r="15561" x14ac:dyDescent="0.25">
      <c r="A15561" t="n">
        <v>22</v>
      </c>
      <c r="B15561" t="s">
        <v>14</v>
      </c>
      <c r="C15561" t="s">
        <v>22</v>
      </c>
      <c r="D15561" s="2" t="s">
        <f>=HYPERLINK("https://main.knesset.gov.il/APPS/legislation/main/bills/2081561", "הצעת חוק הממשלה (תיקון - ועדת שרים לענייני חקיקה), התש""ף-2019")</f>
        <v>27855</v>
      </c>
      <c r="E15561" t="s">
        <v>27855</v>
      </c>
      <c r="F15561" t="s">
        <v>29870</v>
      </c>
      <c r="G15561" t="s">
        <v>14</v>
      </c>
      <c r="H15561">
             </c>
      <c r="I15561" t="s">
        <v>14</v>
      </c>
      <c r="J15561" t="s">
        <v>141</v>
      </c>
      <c r="K15561" t="s">
        <v>14</v>
      </c>
      <c r="L15561" t="s">
        <v>20</v>
      </c>
      <c r="M15561" t="s">
        <v>29562</v>
      </c>
      <c r="N15561" t="s">
        <v>14</v>
      </c>
    </row>
    <row r="15562" x14ac:dyDescent="0.25">
      <c r="A15562" t="n">
        <v>22</v>
      </c>
      <c r="B15562" t="s">
        <v>14</v>
      </c>
      <c r="C15562" t="s">
        <v>22</v>
      </c>
      <c r="D15562" s="2" t="s">
        <f>=HYPERLINK("https://main.knesset.gov.il/APPS/legislation/main/bills/2081834", "הצעת חוק שיפוט בתי דין רבניים (נישואין וגירושין) (תיקון - קציבת זמן לכריכת ענייני ממון ומשמורת), התש""ף-2019")</f>
        <v>29871</v>
      </c>
      <c r="E15562" t="s">
        <v>29871</v>
      </c>
      <c r="F15562" t="s">
        <v>29872</v>
      </c>
      <c r="G15562" t="s">
        <v>14</v>
      </c>
      <c r="H15562">
             </c>
      <c r="I15562" t="s">
        <v>14</v>
      </c>
      <c r="J15562" t="s">
        <v>141</v>
      </c>
      <c r="K15562" t="s">
        <v>14</v>
      </c>
      <c r="L15562" t="s">
        <v>20</v>
      </c>
      <c r="M15562" t="s">
        <v>29562</v>
      </c>
      <c r="N15562" t="s">
        <v>14</v>
      </c>
    </row>
    <row r="15563" x14ac:dyDescent="0.25">
      <c r="A15563" t="n">
        <v>22</v>
      </c>
      <c r="B15563" t="s">
        <v>14</v>
      </c>
      <c r="C15563" t="s">
        <v>22</v>
      </c>
      <c r="D15563" s="2" t="s">
        <f>=HYPERLINK("https://main.knesset.gov.il/APPS/legislation/main/bills/2081634", "הצעת חוק להסדרת רעיית דבורים וייצור דבש, התש""ף-2019")</f>
        <v>29873</v>
      </c>
      <c r="E15563" t="s">
        <v>29873</v>
      </c>
      <c r="F15563" t="s">
        <v>29874</v>
      </c>
      <c r="G15563" t="s">
        <v>14</v>
      </c>
      <c r="H15563">
             </c>
      <c r="I15563" t="s">
        <v>14</v>
      </c>
      <c r="J15563" t="s">
        <v>141</v>
      </c>
      <c r="K15563" t="s">
        <v>14</v>
      </c>
      <c r="L15563" t="s">
        <v>20</v>
      </c>
      <c r="M15563" t="s">
        <v>29562</v>
      </c>
      <c r="N15563" t="s">
        <v>14</v>
      </c>
    </row>
    <row r="15564" x14ac:dyDescent="0.25">
      <c r="A15564" t="n">
        <v>22</v>
      </c>
      <c r="B15564" t="s">
        <v>14</v>
      </c>
      <c r="C15564" t="s">
        <v>22</v>
      </c>
      <c r="D15564" s="2" t="s">
        <f>=HYPERLINK("https://main.knesset.gov.il/APPS/legislation/main/bills/2081262", "הצעת חוק למניעת העסקה של עברייני מין במוסדות מסוימים (תיקון - קביעת חובה לחדש אישור המשטרה), התש""ף-2019")</f>
        <v>29875</v>
      </c>
      <c r="E15564" t="s">
        <v>29875</v>
      </c>
      <c r="F15564" t="s">
        <v>29876</v>
      </c>
      <c r="G15564" t="s">
        <v>14</v>
      </c>
      <c r="H15564">
             </c>
      <c r="I15564" t="s">
        <v>14</v>
      </c>
      <c r="J15564" t="s">
        <v>141</v>
      </c>
      <c r="K15564" t="s">
        <v>14</v>
      </c>
      <c r="L15564" t="s">
        <v>20</v>
      </c>
      <c r="M15564" t="s">
        <v>29562</v>
      </c>
      <c r="N15564" t="s">
        <v>14</v>
      </c>
    </row>
    <row r="15565" x14ac:dyDescent="0.25">
      <c r="A15565" t="n">
        <v>22</v>
      </c>
      <c r="B15565" t="s">
        <v>14</v>
      </c>
      <c r="C15565" t="s">
        <v>22</v>
      </c>
      <c r="D15565" s="2" t="s">
        <f>=HYPERLINK("https://main.knesset.gov.il/APPS/legislation/main/bills/2081277", "הצעת חוק לתיקון פקודת הסמים המסוכנים (הוספת חומר קנבוס כחומר בעל תועלת רפואית), התש""ף-2019")</f>
        <v>29877</v>
      </c>
      <c r="E15565" t="s">
        <v>29877</v>
      </c>
      <c r="F15565" t="s">
        <v>29878</v>
      </c>
      <c r="G15565" t="s">
        <v>14</v>
      </c>
      <c r="H15565">
             </c>
      <c r="I15565" t="s">
        <v>14</v>
      </c>
      <c r="J15565" t="s">
        <v>141</v>
      </c>
      <c r="K15565" t="s">
        <v>14</v>
      </c>
      <c r="L15565" t="s">
        <v>20</v>
      </c>
      <c r="M15565" t="s">
        <v>29562</v>
      </c>
      <c r="N15565" t="s">
        <v>14</v>
      </c>
    </row>
    <row r="15566" x14ac:dyDescent="0.25">
      <c r="A15566" t="n">
        <v>22</v>
      </c>
      <c r="B15566" t="s">
        <v>14</v>
      </c>
      <c r="C15566" t="s">
        <v>22</v>
      </c>
      <c r="D15566" s="2" t="s">
        <f>=HYPERLINK("https://main.knesset.gov.il/APPS/legislation/main/bills/2081370", "הצעת חוק הגנת הפרטיות (תיקון - הזכות להישכח), התש""ף-2019")</f>
        <v>29879</v>
      </c>
      <c r="E15566" t="s">
        <v>29879</v>
      </c>
      <c r="F15566" t="s">
        <v>29880</v>
      </c>
      <c r="G15566" t="s">
        <v>14</v>
      </c>
      <c r="H15566">
             </c>
      <c r="I15566" t="s">
        <v>14</v>
      </c>
      <c r="J15566" t="s">
        <v>141</v>
      </c>
      <c r="K15566" t="s">
        <v>14</v>
      </c>
      <c r="L15566" t="s">
        <v>20</v>
      </c>
      <c r="M15566" t="s">
        <v>29562</v>
      </c>
      <c r="N15566" t="s">
        <v>14</v>
      </c>
    </row>
    <row r="15567" x14ac:dyDescent="0.25">
      <c r="A15567" t="n">
        <v>22</v>
      </c>
      <c r="B15567" t="s">
        <v>14</v>
      </c>
      <c r="C15567" t="s">
        <v>22</v>
      </c>
      <c r="D15567" s="2" t="s">
        <f>=HYPERLINK("https://main.knesset.gov.il/APPS/legislation/main/bills/2081631", "הצעת חוק העונשין (תיקון - איסור מתן טיפול המרה לקטין), התש""ף-2019")</f>
        <v>29881</v>
      </c>
      <c r="E15567" t="s">
        <v>29881</v>
      </c>
      <c r="F15567" t="s">
        <v>29882</v>
      </c>
      <c r="G15567" t="s">
        <v>14</v>
      </c>
      <c r="H15567">
             </c>
      <c r="I15567" t="s">
        <v>14</v>
      </c>
      <c r="J15567" t="s">
        <v>141</v>
      </c>
      <c r="K15567" t="s">
        <v>14</v>
      </c>
      <c r="L15567" t="s">
        <v>20</v>
      </c>
      <c r="M15567" t="s">
        <v>29562</v>
      </c>
      <c r="N15567" t="s">
        <v>14</v>
      </c>
    </row>
    <row r="15568" x14ac:dyDescent="0.25">
      <c r="A15568" t="n">
        <v>22</v>
      </c>
      <c r="B15568" t="s">
        <v>14</v>
      </c>
      <c r="C15568" t="s">
        <v>22</v>
      </c>
      <c r="D15568" s="2" t="s">
        <f>=HYPERLINK("https://main.knesset.gov.il/APPS/legislation/main/bills/2081182", "הצעת חוק איסור טיפול המרה לקטין, התש""ף-2019")</f>
        <v>29883</v>
      </c>
      <c r="E15568" t="s">
        <v>29883</v>
      </c>
      <c r="F15568" t="s">
        <v>29884</v>
      </c>
      <c r="G15568" t="s">
        <v>14</v>
      </c>
      <c r="H15568">
             </c>
      <c r="I15568" t="s">
        <v>14</v>
      </c>
      <c r="J15568" t="s">
        <v>141</v>
      </c>
      <c r="K15568" t="s">
        <v>14</v>
      </c>
      <c r="L15568" t="s">
        <v>20</v>
      </c>
      <c r="M15568" t="s">
        <v>29562</v>
      </c>
      <c r="N15568" t="s">
        <v>14</v>
      </c>
    </row>
    <row r="15569" x14ac:dyDescent="0.25">
      <c r="A15569" t="n">
        <v>22</v>
      </c>
      <c r="B15569" t="s">
        <v>14</v>
      </c>
      <c r="C15569" t="s">
        <v>22</v>
      </c>
      <c r="D15569" s="2" t="s">
        <f>=HYPERLINK("https://main.knesset.gov.il/APPS/legislation/main/bills/2081179", "הצעת חוק הבטחת הכנסה (תיקון - הצמדת הגמלה בגיל פרישה לשכר הממוצע במשק), התש""ף-2019")</f>
        <v>28639</v>
      </c>
      <c r="E15569" t="s">
        <v>28639</v>
      </c>
      <c r="F15569" t="s">
        <v>29885</v>
      </c>
      <c r="G15569" t="s">
        <v>14</v>
      </c>
      <c r="H15569">
             </c>
      <c r="I15569" t="s">
        <v>14</v>
      </c>
      <c r="J15569" t="s">
        <v>141</v>
      </c>
      <c r="K15569" t="s">
        <v>14</v>
      </c>
      <c r="L15569" t="s">
        <v>20</v>
      </c>
      <c r="M15569" t="s">
        <v>29562</v>
      </c>
      <c r="N15569" t="s">
        <v>14</v>
      </c>
    </row>
    <row r="15570" x14ac:dyDescent="0.25">
      <c r="A15570" t="n">
        <v>22</v>
      </c>
      <c r="B15570" t="s">
        <v>14</v>
      </c>
      <c r="C15570" t="s">
        <v>22</v>
      </c>
      <c r="D15570" s="2" t="s">
        <f>=HYPERLINK("https://main.knesset.gov.il/APPS/legislation/main/bills/2081307", "הצעת חוק חובת המכרזים (תיקון - עידוד עסקים קטנים ובינוניים באזור פריפריה במכרז), התש""ף-2019")</f>
        <v>29886</v>
      </c>
      <c r="E15570" t="s">
        <v>29886</v>
      </c>
      <c r="F15570" t="s">
        <v>29887</v>
      </c>
      <c r="G15570" t="s">
        <v>14</v>
      </c>
      <c r="H15570">
             </c>
      <c r="I15570" t="s">
        <v>14</v>
      </c>
      <c r="J15570" t="s">
        <v>141</v>
      </c>
      <c r="K15570" t="s">
        <v>14</v>
      </c>
      <c r="L15570" t="s">
        <v>20</v>
      </c>
      <c r="M15570" t="s">
        <v>29562</v>
      </c>
      <c r="N15570" t="s">
        <v>14</v>
      </c>
    </row>
    <row r="15571" x14ac:dyDescent="0.25">
      <c r="A15571" t="n">
        <v>22</v>
      </c>
      <c r="B15571" t="s">
        <v>14</v>
      </c>
      <c r="C15571" t="s">
        <v>22</v>
      </c>
      <c r="D15571" s="2" t="s">
        <f>=HYPERLINK("https://main.knesset.gov.il/APPS/legislation/main/bills/2081198", "הצעת חוק-יסוד: ישראל - מדינת הלאום של העם היהודי (תיקון - ביטול החוק)")</f>
        <v>4732</v>
      </c>
      <c r="E15571" t="s">
        <v>4732</v>
      </c>
      <c r="F15571" t="s">
        <v>29888</v>
      </c>
      <c r="G15571" t="s">
        <v>14</v>
      </c>
      <c r="H15571">
             </c>
      <c r="I15571" t="s">
        <v>14</v>
      </c>
      <c r="J15571" t="s">
        <v>141</v>
      </c>
      <c r="K15571" t="s">
        <v>14</v>
      </c>
      <c r="L15571" t="s">
        <v>20</v>
      </c>
      <c r="M15571" t="s">
        <v>29562</v>
      </c>
      <c r="N15571" t="s">
        <v>14</v>
      </c>
    </row>
    <row r="15572" x14ac:dyDescent="0.25">
      <c r="A15572" t="n">
        <v>22</v>
      </c>
      <c r="B15572" t="s">
        <v>14</v>
      </c>
      <c r="C15572" t="s">
        <v>22</v>
      </c>
      <c r="D15572" s="2" t="s">
        <f>=HYPERLINK("https://main.knesset.gov.il/APPS/legislation/main/bills/2081264", "הצעת חוק למניעת העישון במקומות ציבוריים והחשיפה לעישון (תיקון - הקמת מערך נאמני מניעת עישון), התש""ף-2019")</f>
        <v>29889</v>
      </c>
      <c r="E15572" t="s">
        <v>29889</v>
      </c>
      <c r="F15572" t="s">
        <v>29890</v>
      </c>
      <c r="G15572" t="s">
        <v>14</v>
      </c>
      <c r="H15572">
             </c>
      <c r="I15572" t="s">
        <v>14</v>
      </c>
      <c r="J15572" t="s">
        <v>141</v>
      </c>
      <c r="K15572" t="s">
        <v>14</v>
      </c>
      <c r="L15572" t="s">
        <v>20</v>
      </c>
      <c r="M15572" t="s">
        <v>29562</v>
      </c>
      <c r="N15572" t="s">
        <v>14</v>
      </c>
    </row>
    <row r="15573" x14ac:dyDescent="0.25">
      <c r="A15573" t="n">
        <v>22</v>
      </c>
      <c r="B15573" t="s">
        <v>14</v>
      </c>
      <c r="C15573" t="s">
        <v>22</v>
      </c>
      <c r="D15573" s="2" t="s">
        <f>=HYPERLINK("https://main.knesset.gov.il/APPS/legislation/main/bills/2081180", "הצעת חוק לקידום שירותי הרפואה בעיר אילת (תיקוני חקיקה), התש""ף-2019")</f>
        <v>29891</v>
      </c>
      <c r="E15573" t="s">
        <v>29891</v>
      </c>
      <c r="F15573" t="s">
        <v>29892</v>
      </c>
      <c r="G15573" t="s">
        <v>14</v>
      </c>
      <c r="H15573">
             </c>
      <c r="I15573" t="s">
        <v>14</v>
      </c>
      <c r="J15573" t="s">
        <v>141</v>
      </c>
      <c r="K15573" t="s">
        <v>14</v>
      </c>
      <c r="L15573" t="s">
        <v>20</v>
      </c>
      <c r="M15573" t="s">
        <v>29562</v>
      </c>
      <c r="N15573" t="s">
        <v>14</v>
      </c>
    </row>
    <row r="15574" x14ac:dyDescent="0.25">
      <c r="A15574" t="n">
        <v>22</v>
      </c>
      <c r="B15574" t="s">
        <v>14</v>
      </c>
      <c r="C15574" t="s">
        <v>22</v>
      </c>
      <c r="D15574" s="2" t="s">
        <f>=HYPERLINK("https://main.knesset.gov.il/APPS/legislation/main/bills/2082975", "הצעת חוק יסודות התקציב (תיקון - שימוש בעודפי תקציב הכנסת) (הוראת שעה), התש""ף-2019")</f>
        <v>29893</v>
      </c>
      <c r="E15574" t="s">
        <v>29893</v>
      </c>
      <c r="F15574" t="s">
        <v>29894</v>
      </c>
      <c r="G15574" t="s">
        <v>14</v>
      </c>
      <c r="H15574">
             </c>
      <c r="I15574" t="s">
        <v>14</v>
      </c>
      <c r="J15574" t="s">
        <v>141</v>
      </c>
      <c r="K15574" t="s">
        <v>14</v>
      </c>
      <c r="L15574" t="s">
        <v>20</v>
      </c>
      <c r="M15574" t="s">
        <v>29895</v>
      </c>
      <c r="N15574" t="s">
        <v>14</v>
      </c>
    </row>
    <row r="15575" x14ac:dyDescent="0.25">
      <c r="A15575" t="n">
        <v>22</v>
      </c>
      <c r="B15575" t="s">
        <v>14</v>
      </c>
      <c r="C15575" t="s">
        <v>22</v>
      </c>
      <c r="D15575" s="2" t="s">
        <f>=HYPERLINK("https://main.knesset.gov.il/APPS/legislation/main/bills/2081301", "הצעת חוק הביטוח הלאומי (תיקון - עבודה מועדפת בתחום החינוך), התש""ף-2019")</f>
        <v>29896</v>
      </c>
      <c r="E15575" t="s">
        <v>29896</v>
      </c>
      <c r="F15575" t="s">
        <v>29897</v>
      </c>
      <c r="G15575" t="s">
        <v>14</v>
      </c>
      <c r="H15575">
             </c>
      <c r="I15575" t="s">
        <v>14</v>
      </c>
      <c r="J15575" t="s">
        <v>141</v>
      </c>
      <c r="K15575" t="s">
        <v>14</v>
      </c>
      <c r="L15575" t="s">
        <v>20</v>
      </c>
      <c r="M15575" t="s">
        <v>29895</v>
      </c>
      <c r="N15575" t="s">
        <v>14</v>
      </c>
    </row>
    <row r="15576" x14ac:dyDescent="0.25">
      <c r="A15576" t="n">
        <v>22</v>
      </c>
      <c r="B15576" t="s">
        <v>14</v>
      </c>
      <c r="C15576" t="s">
        <v>22</v>
      </c>
      <c r="D15576" s="2" t="s">
        <f>=HYPERLINK("https://main.knesset.gov.il/APPS/legislation/main/bills/2081962", "הצעת חוק-יסוד: הממשלה (תיקון - הפסקת כהונת ראש הממשלה או שר עקב הגשת כתב אישום)")</f>
        <v>29898</v>
      </c>
      <c r="E15576" t="s">
        <v>29898</v>
      </c>
      <c r="F15576" t="s">
        <v>29899</v>
      </c>
      <c r="G15576" t="s">
        <v>14</v>
      </c>
      <c r="H15576">
             </c>
      <c r="I15576" t="s">
        <v>14</v>
      </c>
      <c r="J15576" t="s">
        <v>141</v>
      </c>
      <c r="K15576" t="s">
        <v>14</v>
      </c>
      <c r="L15576" t="s">
        <v>20</v>
      </c>
      <c r="M15576" t="s">
        <v>29895</v>
      </c>
      <c r="N15576" t="s">
        <v>14</v>
      </c>
    </row>
    <row r="15577" x14ac:dyDescent="0.25">
      <c r="A15577" t="n">
        <v>22</v>
      </c>
      <c r="B15577" t="s">
        <v>14</v>
      </c>
      <c r="C15577" t="s">
        <v>22</v>
      </c>
      <c r="D15577" s="2" t="s">
        <f>=HYPERLINK("https://main.knesset.gov.il/APPS/legislation/main/bills/2081193", "הצעת חוק דמי מחלה (היעדרות בשל מחלת ילד) (תיקון - היעדרות בשל מחלת ילדו של בן זוג), התש""ף-2019")</f>
        <v>29900</v>
      </c>
      <c r="E15577" t="s">
        <v>29900</v>
      </c>
      <c r="F15577" t="s">
        <v>29901</v>
      </c>
      <c r="G15577" t="s">
        <v>14</v>
      </c>
      <c r="H15577">
             </c>
      <c r="I15577" t="s">
        <v>14</v>
      </c>
      <c r="J15577" t="s">
        <v>141</v>
      </c>
      <c r="K15577" t="s">
        <v>14</v>
      </c>
      <c r="L15577" t="s">
        <v>20</v>
      </c>
      <c r="M15577" t="s">
        <v>29895</v>
      </c>
      <c r="N15577" t="s">
        <v>14</v>
      </c>
    </row>
    <row r="15578" x14ac:dyDescent="0.25">
      <c r="A15578" t="n">
        <v>22</v>
      </c>
      <c r="B15578" t="s">
        <v>14</v>
      </c>
      <c r="C15578" t="s">
        <v>22</v>
      </c>
      <c r="D15578" s="2" t="s">
        <f>=HYPERLINK("https://main.knesset.gov.il/APPS/legislation/main/bills/2081853", "הצעת חוק בתי קברות צבאיים (תיקון - חיילים זכאי חוק השבות), התש""ף-2019")</f>
        <v>28409</v>
      </c>
      <c r="E15578" t="s">
        <v>28409</v>
      </c>
      <c r="F15578" t="s">
        <v>29902</v>
      </c>
      <c r="G15578" t="s">
        <v>14</v>
      </c>
      <c r="H15578">
             </c>
      <c r="I15578" t="s">
        <v>14</v>
      </c>
      <c r="J15578" t="s">
        <v>141</v>
      </c>
      <c r="K15578" t="s">
        <v>14</v>
      </c>
      <c r="L15578" t="s">
        <v>20</v>
      </c>
      <c r="M15578" t="s">
        <v>29895</v>
      </c>
      <c r="N15578" t="s">
        <v>14</v>
      </c>
    </row>
    <row r="15579" x14ac:dyDescent="0.25">
      <c r="A15579" t="n">
        <v>22</v>
      </c>
      <c r="B15579" t="s">
        <v>14</v>
      </c>
      <c r="C15579" t="s">
        <v>22</v>
      </c>
      <c r="D15579" s="2" t="s">
        <f>=HYPERLINK("https://main.knesset.gov.il/APPS/legislation/main/bills/2081849", "הצעת חוק שירותי הדת היהודיים (תיקון – דין משמעתי לרבני ערים), התש""ף–2019")</f>
        <v>29903</v>
      </c>
      <c r="E15579" t="s">
        <v>29903</v>
      </c>
      <c r="F15579" t="s">
        <v>29904</v>
      </c>
      <c r="G15579" t="s">
        <v>14</v>
      </c>
      <c r="H15579">
             </c>
      <c r="I15579" t="s">
        <v>14</v>
      </c>
      <c r="J15579" t="s">
        <v>141</v>
      </c>
      <c r="K15579" t="s">
        <v>14</v>
      </c>
      <c r="L15579" t="s">
        <v>20</v>
      </c>
      <c r="M15579" t="s">
        <v>29895</v>
      </c>
      <c r="N15579" t="s">
        <v>14</v>
      </c>
    </row>
    <row r="15580" x14ac:dyDescent="0.25">
      <c r="A15580" t="n">
        <v>22</v>
      </c>
      <c r="B15580" t="s">
        <v>14</v>
      </c>
      <c r="C15580" t="s">
        <v>22</v>
      </c>
      <c r="D15580" s="2" t="s">
        <f>=HYPERLINK("https://main.knesset.gov.il/APPS/legislation/main/bills/2081659", "הצעת חוק הודעה לעובד ולמועמד לעבודה (תנאי עבודה והליכי מיון וקבלה לעבודה) (תיקון - הגברת השקיפות בעניין הפרשות לפנסיה), התש""ף-2019")</f>
        <v>29905</v>
      </c>
      <c r="E15580" t="s">
        <v>29905</v>
      </c>
      <c r="F15580" t="s">
        <v>29906</v>
      </c>
      <c r="G15580" t="s">
        <v>14</v>
      </c>
      <c r="H15580">
             </c>
      <c r="I15580" t="s">
        <v>14</v>
      </c>
      <c r="J15580" t="s">
        <v>141</v>
      </c>
      <c r="K15580" t="s">
        <v>14</v>
      </c>
      <c r="L15580" t="s">
        <v>20</v>
      </c>
      <c r="M15580" t="s">
        <v>29895</v>
      </c>
      <c r="N15580" t="s">
        <v>14</v>
      </c>
    </row>
    <row r="15581" x14ac:dyDescent="0.25">
      <c r="A15581" t="n">
        <v>22</v>
      </c>
      <c r="B15581" t="s">
        <v>14</v>
      </c>
      <c r="C15581" t="s">
        <v>22</v>
      </c>
      <c r="D15581" s="2" t="s">
        <f>=HYPERLINK("https://main.knesset.gov.il/APPS/legislation/main/bills/2081477", "הצעת חוק-יסוד: הממשלה (תיקון - הפסקת כהונה של ראש הממשלה או שר מחמת הגשת כתב אישום)")</f>
        <v>5300</v>
      </c>
      <c r="E15581" t="s">
        <v>5300</v>
      </c>
      <c r="F15581" t="s">
        <v>29907</v>
      </c>
      <c r="G15581" t="s">
        <v>14</v>
      </c>
      <c r="H15581">
             </c>
      <c r="I15581" t="s">
        <v>14</v>
      </c>
      <c r="J15581" t="s">
        <v>141</v>
      </c>
      <c r="K15581" t="s">
        <v>14</v>
      </c>
      <c r="L15581" t="s">
        <v>20</v>
      </c>
      <c r="M15581" t="s">
        <v>29895</v>
      </c>
      <c r="N15581" t="s">
        <v>14</v>
      </c>
    </row>
    <row r="15582" x14ac:dyDescent="0.25">
      <c r="A15582" t="n">
        <v>22</v>
      </c>
      <c r="B15582" t="s">
        <v>14</v>
      </c>
      <c r="C15582" t="s">
        <v>22</v>
      </c>
      <c r="D15582" s="2" t="s">
        <f>=HYPERLINK("https://main.knesset.gov.il/APPS/legislation/main/bills/2082039", "הצעת חוק כהונתם של ראשי גופים ביטחוניים, התש""ף-2019")</f>
        <v>29908</v>
      </c>
      <c r="E15582" t="s">
        <v>29908</v>
      </c>
      <c r="F15582" t="s">
        <v>29909</v>
      </c>
      <c r="G15582" t="s">
        <v>14</v>
      </c>
      <c r="H15582">
             </c>
      <c r="I15582" t="s">
        <v>14</v>
      </c>
      <c r="J15582" t="s">
        <v>141</v>
      </c>
      <c r="K15582" t="s">
        <v>14</v>
      </c>
      <c r="L15582" t="s">
        <v>20</v>
      </c>
      <c r="M15582" t="s">
        <v>29895</v>
      </c>
      <c r="N15582" t="s">
        <v>14</v>
      </c>
    </row>
    <row r="15583" x14ac:dyDescent="0.25">
      <c r="A15583" t="n">
        <v>22</v>
      </c>
      <c r="B15583" t="s">
        <v>14</v>
      </c>
      <c r="C15583" t="s">
        <v>22</v>
      </c>
      <c r="D15583" s="2" t="s">
        <f>=HYPERLINK("https://main.knesset.gov.il/APPS/legislation/main/bills/2081790", "הצעת חוק כהונתם של ראשי גופים ביטחוניים, התש""ף-2019")</f>
        <v>29908</v>
      </c>
      <c r="E15583" t="s">
        <v>29908</v>
      </c>
      <c r="F15583" t="s">
        <v>29910</v>
      </c>
      <c r="G15583" t="s">
        <v>14</v>
      </c>
      <c r="H15583">
             </c>
      <c r="I15583" t="s">
        <v>14</v>
      </c>
      <c r="J15583" t="s">
        <v>141</v>
      </c>
      <c r="K15583" t="s">
        <v>14</v>
      </c>
      <c r="L15583" t="s">
        <v>20</v>
      </c>
      <c r="M15583" t="s">
        <v>29895</v>
      </c>
      <c r="N15583" t="s">
        <v>14</v>
      </c>
    </row>
    <row r="15584" x14ac:dyDescent="0.25">
      <c r="A15584" t="n">
        <v>22</v>
      </c>
      <c r="B15584" t="s">
        <v>14</v>
      </c>
      <c r="C15584" t="s">
        <v>22</v>
      </c>
      <c r="D15584" s="2" t="s">
        <f>=HYPERLINK("https://main.knesset.gov.il/APPS/legislation/main/bills/2081655", "הצעת חוק רישוי עסקים (תיקון - עסק של אבזרי מין), התש""ף-2019")</f>
        <v>29911</v>
      </c>
      <c r="E15584" t="s">
        <v>29911</v>
      </c>
      <c r="F15584" t="s">
        <v>29912</v>
      </c>
      <c r="G15584" t="s">
        <v>14</v>
      </c>
      <c r="H15584">
             </c>
      <c r="I15584" t="s">
        <v>14</v>
      </c>
      <c r="J15584" t="s">
        <v>141</v>
      </c>
      <c r="K15584" t="s">
        <v>14</v>
      </c>
      <c r="L15584" t="s">
        <v>20</v>
      </c>
      <c r="M15584" t="s">
        <v>29895</v>
      </c>
      <c r="N15584" t="s">
        <v>14</v>
      </c>
    </row>
    <row r="15585" x14ac:dyDescent="0.25">
      <c r="A15585" t="n">
        <v>22</v>
      </c>
      <c r="B15585" t="s">
        <v>14</v>
      </c>
      <c r="C15585" t="s">
        <v>22</v>
      </c>
      <c r="D15585" s="2" t="s">
        <f>=HYPERLINK("https://main.knesset.gov.il/APPS/legislation/main/bills/2081832", "הצעת חוק העונשין (תיקון - הגנה עצמית בנסיבות של אלימות במשפחה), התש""ף-2019")</f>
        <v>29913</v>
      </c>
      <c r="E15585" t="s">
        <v>29913</v>
      </c>
      <c r="F15585" t="s">
        <v>29914</v>
      </c>
      <c r="G15585" t="s">
        <v>14</v>
      </c>
      <c r="H15585">
             </c>
      <c r="I15585" t="s">
        <v>14</v>
      </c>
      <c r="J15585" t="s">
        <v>141</v>
      </c>
      <c r="K15585" t="s">
        <v>14</v>
      </c>
      <c r="L15585" t="s">
        <v>20</v>
      </c>
      <c r="M15585" t="s">
        <v>29895</v>
      </c>
      <c r="N15585" t="s">
        <v>14</v>
      </c>
    </row>
    <row r="15586" x14ac:dyDescent="0.25">
      <c r="A15586" t="n">
        <v>22</v>
      </c>
      <c r="B15586" t="s">
        <v>14</v>
      </c>
      <c r="C15586" t="s">
        <v>22</v>
      </c>
      <c r="D15586" s="2" t="s">
        <f>=HYPERLINK("https://main.knesset.gov.il/APPS/legislation/main/bills/2081651", "הצעת חוק משק החשמל (תיקון - מניעה של הפסקת אספקת חשמל לצרכן נזקק), התש""ף-2019")</f>
        <v>29915</v>
      </c>
      <c r="E15586" t="s">
        <v>29915</v>
      </c>
      <c r="F15586" t="s">
        <v>29916</v>
      </c>
      <c r="G15586" t="s">
        <v>14</v>
      </c>
      <c r="H15586">
             </c>
      <c r="I15586" t="s">
        <v>14</v>
      </c>
      <c r="J15586" t="s">
        <v>141</v>
      </c>
      <c r="K15586" t="s">
        <v>14</v>
      </c>
      <c r="L15586" t="s">
        <v>20</v>
      </c>
      <c r="M15586" t="s">
        <v>29895</v>
      </c>
      <c r="N15586" t="s">
        <v>14</v>
      </c>
    </row>
    <row r="15587" x14ac:dyDescent="0.25">
      <c r="A15587" t="n">
        <v>22</v>
      </c>
      <c r="B15587" t="s">
        <v>14</v>
      </c>
      <c r="C15587" t="s">
        <v>22</v>
      </c>
      <c r="D15587" s="2" t="s">
        <f>=HYPERLINK("https://main.knesset.gov.il/APPS/legislation/main/bills/2081638", "הצעת חוק איסור הונאה בכשרות (תיקון - קיצור משך זמן ההחלטה בערעור), התש""ף-2019")</f>
        <v>29917</v>
      </c>
      <c r="E15587" t="s">
        <v>29917</v>
      </c>
      <c r="F15587" t="s">
        <v>29918</v>
      </c>
      <c r="G15587" t="s">
        <v>14</v>
      </c>
      <c r="H15587">
             </c>
      <c r="I15587" t="s">
        <v>14</v>
      </c>
      <c r="J15587" t="s">
        <v>141</v>
      </c>
      <c r="K15587" t="s">
        <v>14</v>
      </c>
      <c r="L15587" t="s">
        <v>20</v>
      </c>
      <c r="M15587" t="s">
        <v>29895</v>
      </c>
      <c r="N15587" t="s">
        <v>14</v>
      </c>
    </row>
    <row r="15588" x14ac:dyDescent="0.25">
      <c r="A15588" t="n">
        <v>22</v>
      </c>
      <c r="B15588" t="s">
        <v>14</v>
      </c>
      <c r="C15588" t="s">
        <v>22</v>
      </c>
      <c r="D15588" s="2" t="s">
        <f>=HYPERLINK("https://main.knesset.gov.il/APPS/legislation/main/bills/2081630", "הצעת חוק השוואת תשלומים לחיילים בודדים ילידי ישראל וחיילים בודדים שנולדו מחוץ לישראל, התש""ף-2019")</f>
        <v>29919</v>
      </c>
      <c r="E15588" t="s">
        <v>29919</v>
      </c>
      <c r="F15588" t="s">
        <v>29920</v>
      </c>
      <c r="G15588" t="s">
        <v>14</v>
      </c>
      <c r="H15588">
             </c>
      <c r="I15588" t="s">
        <v>14</v>
      </c>
      <c r="J15588" t="s">
        <v>141</v>
      </c>
      <c r="K15588" t="s">
        <v>14</v>
      </c>
      <c r="L15588" t="s">
        <v>20</v>
      </c>
      <c r="M15588" t="s">
        <v>29895</v>
      </c>
      <c r="N15588" t="s">
        <v>14</v>
      </c>
    </row>
    <row r="15589" x14ac:dyDescent="0.25">
      <c r="A15589" t="n">
        <v>22</v>
      </c>
      <c r="B15589" t="s">
        <v>14</v>
      </c>
      <c r="C15589" t="s">
        <v>22</v>
      </c>
      <c r="D15589" s="2" t="s">
        <f>=HYPERLINK("https://main.knesset.gov.il/APPS/legislation/main/bills/2081765", "הצעת חוק הרבנות הראשית לישראל (תיקון - כשירות רב ראשי והרכב האסיפה הבוחרת), התש""ף-2019")</f>
        <v>29921</v>
      </c>
      <c r="E15589" t="s">
        <v>29921</v>
      </c>
      <c r="F15589" t="s">
        <v>29922</v>
      </c>
      <c r="G15589" t="s">
        <v>14</v>
      </c>
      <c r="H15589">
             </c>
      <c r="I15589" t="s">
        <v>14</v>
      </c>
      <c r="J15589" t="s">
        <v>141</v>
      </c>
      <c r="K15589" t="s">
        <v>14</v>
      </c>
      <c r="L15589" t="s">
        <v>20</v>
      </c>
      <c r="M15589" t="s">
        <v>29895</v>
      </c>
      <c r="N15589" t="s">
        <v>14</v>
      </c>
    </row>
    <row r="15590" x14ac:dyDescent="0.25">
      <c r="A15590" t="n">
        <v>22</v>
      </c>
      <c r="B15590" t="s">
        <v>14</v>
      </c>
      <c r="C15590" t="s">
        <v>22</v>
      </c>
      <c r="D15590" s="2" t="s">
        <f>=HYPERLINK("https://main.knesset.gov.il/APPS/legislation/main/bills/2081600", "הצעת חוק מרשם האוכלוסין (תיקון - ביטול סעיף המין בתעודת הזהות), התש""ף-2019")</f>
        <v>29923</v>
      </c>
      <c r="E15590" t="s">
        <v>29923</v>
      </c>
      <c r="F15590" t="s">
        <v>29924</v>
      </c>
      <c r="G15590" t="s">
        <v>14</v>
      </c>
      <c r="H15590">
             </c>
      <c r="I15590" t="s">
        <v>14</v>
      </c>
      <c r="J15590" t="s">
        <v>141</v>
      </c>
      <c r="K15590" t="s">
        <v>14</v>
      </c>
      <c r="L15590" t="s">
        <v>20</v>
      </c>
      <c r="M15590" t="s">
        <v>29895</v>
      </c>
      <c r="N15590" t="s">
        <v>14</v>
      </c>
    </row>
    <row r="15591" x14ac:dyDescent="0.25">
      <c r="A15591" t="n">
        <v>22</v>
      </c>
      <c r="B15591" t="s">
        <v>14</v>
      </c>
      <c r="C15591" t="s">
        <v>22</v>
      </c>
      <c r="D15591" s="2" t="s">
        <f>=HYPERLINK("https://main.knesset.gov.il/APPS/legislation/main/bills/2081685", "הצעת חוק הכשרות המשפטית והאפוטרופסות (תיקון - תשלום שכר והוצאות של אפוטרופוס מאוצר המדינה), התש""ף-2019")</f>
        <v>27889</v>
      </c>
      <c r="E15591" t="s">
        <v>27889</v>
      </c>
      <c r="F15591" t="s">
        <v>29925</v>
      </c>
      <c r="G15591" t="s">
        <v>14</v>
      </c>
      <c r="H15591">
             </c>
      <c r="I15591" t="s">
        <v>14</v>
      </c>
      <c r="J15591" t="s">
        <v>141</v>
      </c>
      <c r="K15591" t="s">
        <v>14</v>
      </c>
      <c r="L15591" t="s">
        <v>20</v>
      </c>
      <c r="M15591" t="s">
        <v>29895</v>
      </c>
      <c r="N15591" t="s">
        <v>14</v>
      </c>
    </row>
    <row r="15592" x14ac:dyDescent="0.25">
      <c r="A15592" t="n">
        <v>22</v>
      </c>
      <c r="B15592" t="s">
        <v>14</v>
      </c>
      <c r="C15592" t="s">
        <v>22</v>
      </c>
      <c r="D15592" s="2" t="s">
        <f>=HYPERLINK("https://main.knesset.gov.il/APPS/legislation/main/bills/2081596", "הצעת חוק הכשרות המשפטית והאפוטרופסות (תיקון - זכות קטין לקשר עם הורי הוריו), התש""ף-2019")</f>
        <v>29926</v>
      </c>
      <c r="E15592" t="s">
        <v>29926</v>
      </c>
      <c r="F15592" t="s">
        <v>29927</v>
      </c>
      <c r="G15592" t="s">
        <v>14</v>
      </c>
      <c r="H15592">
             </c>
      <c r="I15592" t="s">
        <v>14</v>
      </c>
      <c r="J15592" t="s">
        <v>141</v>
      </c>
      <c r="K15592" t="s">
        <v>14</v>
      </c>
      <c r="L15592" t="s">
        <v>20</v>
      </c>
      <c r="M15592" t="s">
        <v>29895</v>
      </c>
      <c r="N15592" t="s">
        <v>14</v>
      </c>
    </row>
    <row r="15593" x14ac:dyDescent="0.25">
      <c r="A15593" t="n">
        <v>22</v>
      </c>
      <c r="B15593" t="s">
        <v>14</v>
      </c>
      <c r="C15593" t="s">
        <v>22</v>
      </c>
      <c r="D15593" s="2" t="s">
        <f>=HYPERLINK("https://main.knesset.gov.il/APPS/legislation/main/bills/2081667", "הצעת חוק בתי המשפט (תיקון - קביעת מועד למתן פסק דין בערעור בתביעת קשיש), התש""ף-2019")</f>
        <v>29928</v>
      </c>
      <c r="E15593" t="s">
        <v>29928</v>
      </c>
      <c r="F15593" t="s">
        <v>29929</v>
      </c>
      <c r="G15593" t="s">
        <v>14</v>
      </c>
      <c r="H15593">
             </c>
      <c r="I15593" t="s">
        <v>14</v>
      </c>
      <c r="J15593" t="s">
        <v>141</v>
      </c>
      <c r="K15593" t="s">
        <v>14</v>
      </c>
      <c r="L15593" t="s">
        <v>20</v>
      </c>
      <c r="M15593" t="s">
        <v>29895</v>
      </c>
      <c r="N15593" t="s">
        <v>14</v>
      </c>
    </row>
    <row r="15594" x14ac:dyDescent="0.25">
      <c r="A15594" t="n">
        <v>22</v>
      </c>
      <c r="B15594" t="s">
        <v>14</v>
      </c>
      <c r="C15594" t="s">
        <v>22</v>
      </c>
      <c r="D15594" s="2" t="s">
        <f>=HYPERLINK("https://main.knesset.gov.il/APPS/legislation/main/bills/2081591", "הצעת חוק איסור הונאה בכשרות (תיקון - כשרות בלבד ובית אוכל הפתוח בשבת), התש""ף-2019")</f>
        <v>29930</v>
      </c>
      <c r="E15594" t="s">
        <v>29930</v>
      </c>
      <c r="F15594" t="s">
        <v>29931</v>
      </c>
      <c r="G15594" t="s">
        <v>14</v>
      </c>
      <c r="H15594">
             </c>
      <c r="I15594" t="s">
        <v>14</v>
      </c>
      <c r="J15594" t="s">
        <v>141</v>
      </c>
      <c r="K15594" t="s">
        <v>14</v>
      </c>
      <c r="L15594" t="s">
        <v>20</v>
      </c>
      <c r="M15594" t="s">
        <v>29895</v>
      </c>
      <c r="N15594" t="s">
        <v>14</v>
      </c>
    </row>
    <row r="15595" x14ac:dyDescent="0.25">
      <c r="A15595" t="n">
        <v>22</v>
      </c>
      <c r="B15595" t="s">
        <v>14</v>
      </c>
      <c r="C15595" t="s">
        <v>22</v>
      </c>
      <c r="D15595" s="2" t="s">
        <f>=HYPERLINK("https://main.knesset.gov.il/APPS/legislation/main/bills/2081381", "הצעת חוק קביעת הזמן (תיקון - ביטול שעון חורף), התש""ף-2019")</f>
        <v>29932</v>
      </c>
      <c r="E15595" t="s">
        <v>29932</v>
      </c>
      <c r="F15595" t="s">
        <v>29933</v>
      </c>
      <c r="G15595" t="s">
        <v>14</v>
      </c>
      <c r="H15595">
             </c>
      <c r="I15595" t="s">
        <v>14</v>
      </c>
      <c r="J15595" t="s">
        <v>141</v>
      </c>
      <c r="K15595" t="s">
        <v>14</v>
      </c>
      <c r="L15595" t="s">
        <v>20</v>
      </c>
      <c r="M15595" t="s">
        <v>29895</v>
      </c>
      <c r="N15595" t="s">
        <v>14</v>
      </c>
    </row>
    <row r="15596" x14ac:dyDescent="0.25">
      <c r="A15596" t="n">
        <v>22</v>
      </c>
      <c r="B15596" t="s">
        <v>14</v>
      </c>
      <c r="C15596" t="s">
        <v>22</v>
      </c>
      <c r="D15596" s="2" t="s">
        <f>=HYPERLINK("https://main.knesset.gov.il/APPS/legislation/main/bills/2081876", "הצעת חוק הטבות לניצולי שואה (תיקון - הגדלת מענק שנתי), התש""ף-2019")</f>
        <v>29934</v>
      </c>
      <c r="E15596" t="s">
        <v>29934</v>
      </c>
      <c r="F15596" t="s">
        <v>29935</v>
      </c>
      <c r="G15596" t="s">
        <v>14</v>
      </c>
      <c r="H15596">
             </c>
      <c r="I15596" t="s">
        <v>14</v>
      </c>
      <c r="J15596" t="s">
        <v>141</v>
      </c>
      <c r="K15596" t="s">
        <v>14</v>
      </c>
      <c r="L15596" t="s">
        <v>20</v>
      </c>
      <c r="M15596" t="s">
        <v>29895</v>
      </c>
      <c r="N15596" t="s">
        <v>14</v>
      </c>
    </row>
    <row r="15597" x14ac:dyDescent="0.25">
      <c r="A15597" t="n">
        <v>22</v>
      </c>
      <c r="B15597" t="s">
        <v>14</v>
      </c>
      <c r="C15597" t="s">
        <v>22</v>
      </c>
      <c r="D15597" s="2" t="s">
        <f>=HYPERLINK("https://main.knesset.gov.il/APPS/legislation/main/bills/2081862", "הצעת חוק סדרי השלטון והמשפט (ביטול החלת המשפט, השיפוט והמינהל) (תיקון - יום משאל עם - יום שבתון), התש""ף-2019")</f>
        <v>29936</v>
      </c>
      <c r="E15597" t="s">
        <v>29936</v>
      </c>
      <c r="F15597" t="s">
        <v>29937</v>
      </c>
      <c r="G15597" t="s">
        <v>14</v>
      </c>
      <c r="H15597">
             </c>
      <c r="I15597" t="s">
        <v>14</v>
      </c>
      <c r="J15597" t="s">
        <v>141</v>
      </c>
      <c r="K15597" t="s">
        <v>14</v>
      </c>
      <c r="L15597" t="s">
        <v>20</v>
      </c>
      <c r="M15597" t="s">
        <v>29895</v>
      </c>
      <c r="N15597" t="s">
        <v>14</v>
      </c>
    </row>
    <row r="15598" x14ac:dyDescent="0.25">
      <c r="A15598" t="n">
        <v>22</v>
      </c>
      <c r="B15598" t="s">
        <v>14</v>
      </c>
      <c r="C15598" t="s">
        <v>22</v>
      </c>
      <c r="D15598" s="2" t="s">
        <f>=HYPERLINK("https://main.knesset.gov.il/APPS/legislation/main/bills/2081846", "הצעת חוק שירותי הדת היהודיים (תיקון - ביטול אגרות רישום לנישואין), התש""ף-2019")</f>
        <v>29938</v>
      </c>
      <c r="E15598" t="s">
        <v>29938</v>
      </c>
      <c r="F15598" t="s">
        <v>29939</v>
      </c>
      <c r="G15598" t="s">
        <v>14</v>
      </c>
      <c r="H15598">
             </c>
      <c r="I15598" t="s">
        <v>14</v>
      </c>
      <c r="J15598" t="s">
        <v>141</v>
      </c>
      <c r="K15598" t="s">
        <v>14</v>
      </c>
      <c r="L15598" t="s">
        <v>20</v>
      </c>
      <c r="M15598" t="s">
        <v>29895</v>
      </c>
      <c r="N15598" t="s">
        <v>14</v>
      </c>
    </row>
    <row r="15599" x14ac:dyDescent="0.25">
      <c r="A15599" t="n">
        <v>22</v>
      </c>
      <c r="B15599" t="s">
        <v>14</v>
      </c>
      <c r="C15599" t="s">
        <v>22</v>
      </c>
      <c r="D15599" s="2" t="s">
        <f>=HYPERLINK("https://main.knesset.gov.il/APPS/legislation/main/bills/2081657", "הצעת חוק תרומת ביציות (תיקון - תרומת ביציות בין בנות זוג), התש""ף-2019")</f>
        <v>29940</v>
      </c>
      <c r="E15599" t="s">
        <v>29940</v>
      </c>
      <c r="F15599" t="s">
        <v>29941</v>
      </c>
      <c r="G15599" t="s">
        <v>14</v>
      </c>
      <c r="H15599">
             </c>
      <c r="I15599" t="s">
        <v>14</v>
      </c>
      <c r="J15599" t="s">
        <v>141</v>
      </c>
      <c r="K15599" t="s">
        <v>14</v>
      </c>
      <c r="L15599" t="s">
        <v>20</v>
      </c>
      <c r="M15599" t="s">
        <v>29895</v>
      </c>
      <c r="N15599" t="s">
        <v>14</v>
      </c>
    </row>
    <row r="15600" x14ac:dyDescent="0.25">
      <c r="A15600" t="n">
        <v>22</v>
      </c>
      <c r="B15600" t="s">
        <v>14</v>
      </c>
      <c r="C15600" t="s">
        <v>22</v>
      </c>
      <c r="D15600" s="2" t="s">
        <f>=HYPERLINK("https://main.knesset.gov.il/APPS/legislation/main/bills/2081514", "הצעת חוק המאבק בשחיתות הציבורית (הרשעה בעבירה שיש עמה קלון) (תיקוני חקיקה), התש""ף-2019")</f>
        <v>29942</v>
      </c>
      <c r="E15600" t="s">
        <v>29942</v>
      </c>
      <c r="F15600" t="s">
        <v>29943</v>
      </c>
      <c r="G15600" t="s">
        <v>14</v>
      </c>
      <c r="H15600">
             </c>
      <c r="I15600" t="s">
        <v>14</v>
      </c>
      <c r="J15600" t="s">
        <v>141</v>
      </c>
      <c r="K15600" t="s">
        <v>14</v>
      </c>
      <c r="L15600" t="s">
        <v>20</v>
      </c>
      <c r="M15600" t="s">
        <v>29895</v>
      </c>
      <c r="N15600" t="s">
        <v>14</v>
      </c>
    </row>
    <row r="15601" x14ac:dyDescent="0.25">
      <c r="A15601" t="n">
        <v>22</v>
      </c>
      <c r="B15601" t="s">
        <v>14</v>
      </c>
      <c r="C15601" t="s">
        <v>22</v>
      </c>
      <c r="D15601" s="2" t="s">
        <f>=HYPERLINK("https://main.knesset.gov.il/APPS/legislation/main/bills/2081844", "הצעת חוק שירותי הדת היהודיים (תיקון - בחירת רבני עיר), התש""ף-2019 ")</f>
        <v>29944</v>
      </c>
      <c r="E15601" t="s">
        <v>29944</v>
      </c>
      <c r="F15601" t="s">
        <v>29945</v>
      </c>
      <c r="G15601" t="s">
        <v>14</v>
      </c>
      <c r="H15601">
             </c>
      <c r="I15601" t="s">
        <v>14</v>
      </c>
      <c r="J15601" t="s">
        <v>141</v>
      </c>
      <c r="K15601" t="s">
        <v>14</v>
      </c>
      <c r="L15601" t="s">
        <v>20</v>
      </c>
      <c r="M15601" t="s">
        <v>29895</v>
      </c>
      <c r="N15601" t="s">
        <v>14</v>
      </c>
    </row>
    <row r="15602" x14ac:dyDescent="0.25">
      <c r="A15602" t="n">
        <v>22</v>
      </c>
      <c r="B15602" t="s">
        <v>14</v>
      </c>
      <c r="C15602" t="s">
        <v>22</v>
      </c>
      <c r="D15602" s="2" t="s">
        <f>=HYPERLINK("https://main.knesset.gov.il/APPS/legislation/main/bills/2081791", "הצעת חוק לתיקון פקודת העדה הדתית (המרה) (גיור על ידי רב מקומי), התש""ף-2019")</f>
        <v>29946</v>
      </c>
      <c r="E15602" t="s">
        <v>29946</v>
      </c>
      <c r="F15602" t="s">
        <v>29947</v>
      </c>
      <c r="G15602" t="s">
        <v>14</v>
      </c>
      <c r="H15602">
             </c>
      <c r="I15602" t="s">
        <v>14</v>
      </c>
      <c r="J15602" t="s">
        <v>141</v>
      </c>
      <c r="K15602" t="s">
        <v>14</v>
      </c>
      <c r="L15602" t="s">
        <v>20</v>
      </c>
      <c r="M15602" t="s">
        <v>29895</v>
      </c>
      <c r="N15602" t="s">
        <v>14</v>
      </c>
    </row>
    <row r="15603" x14ac:dyDescent="0.25">
      <c r="A15603" t="n">
        <v>22</v>
      </c>
      <c r="B15603" t="s">
        <v>14</v>
      </c>
      <c r="C15603" t="s">
        <v>22</v>
      </c>
      <c r="D15603" s="2" t="s">
        <f>=HYPERLINK("https://main.knesset.gov.il/APPS/legislation/main/bills/2081789", "הצעת חוק מרשם האוכלוסין (תיקון - אי חובת ציון שם הורה בתעודת זהות), התש""ף-2019")</f>
        <v>29948</v>
      </c>
      <c r="E15603" t="s">
        <v>29948</v>
      </c>
      <c r="F15603" t="s">
        <v>29949</v>
      </c>
      <c r="G15603" t="s">
        <v>14</v>
      </c>
      <c r="H15603">
             </c>
      <c r="I15603" t="s">
        <v>14</v>
      </c>
      <c r="J15603" t="s">
        <v>141</v>
      </c>
      <c r="K15603" t="s">
        <v>14</v>
      </c>
      <c r="L15603" t="s">
        <v>20</v>
      </c>
      <c r="M15603" t="s">
        <v>29895</v>
      </c>
      <c r="N15603" t="s">
        <v>14</v>
      </c>
    </row>
    <row r="15604" x14ac:dyDescent="0.25">
      <c r="A15604" t="n">
        <v>22</v>
      </c>
      <c r="B15604" t="s">
        <v>14</v>
      </c>
      <c r="C15604" t="s">
        <v>22</v>
      </c>
      <c r="D15604" s="2" t="s">
        <f>=HYPERLINK("https://main.knesset.gov.il/APPS/legislation/main/bills/2081778", "הצעת חוק העונשין (תיקון - אחראי על קטין או חסר ישע לעניין חובת הדיווח), התש""ף-2019")</f>
        <v>29950</v>
      </c>
      <c r="E15604" t="s">
        <v>29950</v>
      </c>
      <c r="F15604" t="s">
        <v>29951</v>
      </c>
      <c r="G15604" t="s">
        <v>14</v>
      </c>
      <c r="H15604">
             </c>
      <c r="I15604" t="s">
        <v>14</v>
      </c>
      <c r="J15604" t="s">
        <v>141</v>
      </c>
      <c r="K15604" t="s">
        <v>14</v>
      </c>
      <c r="L15604" t="s">
        <v>20</v>
      </c>
      <c r="M15604" t="s">
        <v>29895</v>
      </c>
      <c r="N15604" t="s">
        <v>14</v>
      </c>
    </row>
    <row r="15605" x14ac:dyDescent="0.25">
      <c r="A15605" t="n">
        <v>22</v>
      </c>
      <c r="B15605" t="s">
        <v>14</v>
      </c>
      <c r="C15605" t="s">
        <v>22</v>
      </c>
      <c r="D15605" s="2" t="s">
        <f>=HYPERLINK("https://main.knesset.gov.il/APPS/legislation/main/bills/2081418", "הצעת חוק צער בעלי חיים (הגנה על בעלי חיים) (תיקון - איסור משלוחים חיים לשחיטה), התש""ף-2019")</f>
        <v>29952</v>
      </c>
      <c r="E15605" t="s">
        <v>29952</v>
      </c>
      <c r="F15605" t="s">
        <v>29953</v>
      </c>
      <c r="G15605" t="s">
        <v>14</v>
      </c>
      <c r="H15605">
             </c>
      <c r="I15605" t="s">
        <v>14</v>
      </c>
      <c r="J15605" t="s">
        <v>141</v>
      </c>
      <c r="K15605" t="s">
        <v>14</v>
      </c>
      <c r="L15605" t="s">
        <v>20</v>
      </c>
      <c r="M15605" t="s">
        <v>29895</v>
      </c>
      <c r="N15605" t="s">
        <v>14</v>
      </c>
    </row>
    <row r="15606" x14ac:dyDescent="0.25">
      <c r="A15606" t="n">
        <v>22</v>
      </c>
      <c r="B15606" t="s">
        <v>14</v>
      </c>
      <c r="C15606" t="s">
        <v>22</v>
      </c>
      <c r="D15606" s="2" t="s">
        <f>=HYPERLINK("https://main.knesset.gov.il/APPS/legislation/main/bills/2081652", "הצעת חוק עובדים זרים (תיקון - ביטול הצורך בהיתר להעסקת עובד זר מומחה לתקופה קצרה), התש""ף-2019")</f>
        <v>28908</v>
      </c>
      <c r="E15606" t="s">
        <v>28908</v>
      </c>
      <c r="F15606" t="s">
        <v>29954</v>
      </c>
      <c r="G15606" t="s">
        <v>14</v>
      </c>
      <c r="H15606">
             </c>
      <c r="I15606" t="s">
        <v>14</v>
      </c>
      <c r="J15606" t="s">
        <v>141</v>
      </c>
      <c r="K15606" t="s">
        <v>14</v>
      </c>
      <c r="L15606" t="s">
        <v>20</v>
      </c>
      <c r="M15606" t="s">
        <v>29895</v>
      </c>
      <c r="N15606" t="s">
        <v>14</v>
      </c>
    </row>
    <row r="15607" x14ac:dyDescent="0.25">
      <c r="A15607" t="n">
        <v>22</v>
      </c>
      <c r="B15607" t="s">
        <v>14</v>
      </c>
      <c r="C15607" t="s">
        <v>22</v>
      </c>
      <c r="D15607" s="2" t="s">
        <f>=HYPERLINK("https://main.knesset.gov.il/APPS/legislation/main/bills/2081713", "הצעת חוק הטבות לניצולי שואה (תיקון - הטבות לניצולים שעלו לאחר שנת 1953), התש""ף-2019")</f>
        <v>29955</v>
      </c>
      <c r="E15607" t="s">
        <v>29955</v>
      </c>
      <c r="F15607" t="s">
        <v>29956</v>
      </c>
      <c r="G15607" t="s">
        <v>14</v>
      </c>
      <c r="H15607">
             </c>
      <c r="I15607" t="s">
        <v>14</v>
      </c>
      <c r="J15607" t="s">
        <v>141</v>
      </c>
      <c r="K15607" t="s">
        <v>14</v>
      </c>
      <c r="L15607" t="s">
        <v>20</v>
      </c>
      <c r="M15607" t="s">
        <v>29895</v>
      </c>
      <c r="N15607" t="s">
        <v>14</v>
      </c>
    </row>
    <row r="15608" x14ac:dyDescent="0.25">
      <c r="A15608" t="n">
        <v>22</v>
      </c>
      <c r="B15608" t="s">
        <v>14</v>
      </c>
      <c r="C15608" t="s">
        <v>22</v>
      </c>
      <c r="D15608" s="2" t="s">
        <f>=HYPERLINK("https://main.knesset.gov.il/APPS/legislation/main/bills/2081637", "הצעת חוק הביטוח הלאומי (תיקון - תוספת קצבה לנכים מונשמים), התש""ף-2019")</f>
        <v>28420</v>
      </c>
      <c r="E15608" t="s">
        <v>28420</v>
      </c>
      <c r="F15608" t="s">
        <v>29957</v>
      </c>
      <c r="G15608" t="s">
        <v>14</v>
      </c>
      <c r="H15608">
             </c>
      <c r="I15608" t="s">
        <v>14</v>
      </c>
      <c r="J15608" t="s">
        <v>141</v>
      </c>
      <c r="K15608" t="s">
        <v>14</v>
      </c>
      <c r="L15608" t="s">
        <v>20</v>
      </c>
      <c r="M15608" t="s">
        <v>29895</v>
      </c>
      <c r="N15608" t="s">
        <v>14</v>
      </c>
    </row>
    <row r="15609" x14ac:dyDescent="0.25">
      <c r="A15609" t="n">
        <v>22</v>
      </c>
      <c r="B15609" t="s">
        <v>14</v>
      </c>
      <c r="C15609" t="s">
        <v>22</v>
      </c>
      <c r="D15609" s="2" t="s">
        <f>=HYPERLINK("https://main.knesset.gov.il/APPS/legislation/main/bills/2081628", "הצעת חוק משפחות חיילים שנספו במערכה (תגמולים ושיקום) (תיקון - הגדרת אלמן ושכול), התש""ף-2019")</f>
        <v>27759</v>
      </c>
      <c r="E15609" t="s">
        <v>27759</v>
      </c>
      <c r="F15609" t="s">
        <v>29958</v>
      </c>
      <c r="G15609" t="s">
        <v>14</v>
      </c>
      <c r="H15609">
             </c>
      <c r="I15609" t="s">
        <v>14</v>
      </c>
      <c r="J15609" t="s">
        <v>141</v>
      </c>
      <c r="K15609" t="s">
        <v>14</v>
      </c>
      <c r="L15609" t="s">
        <v>20</v>
      </c>
      <c r="M15609" t="s">
        <v>29895</v>
      </c>
      <c r="N15609" t="s">
        <v>14</v>
      </c>
    </row>
    <row r="15610" x14ac:dyDescent="0.25">
      <c r="A15610" t="n">
        <v>22</v>
      </c>
      <c r="B15610" t="s">
        <v>14</v>
      </c>
      <c r="C15610" t="s">
        <v>22</v>
      </c>
      <c r="D15610" s="2" t="s">
        <f>=HYPERLINK("https://main.knesset.gov.il/APPS/legislation/main/bills/2081690", "הצעת חוק צער בעלי חיים (הגנה על בעלי חיים) (תיקון - איסור משלוחים חיים לשחיטה), התש""ף-2019")</f>
        <v>29952</v>
      </c>
      <c r="E15610" t="s">
        <v>29952</v>
      </c>
      <c r="F15610" t="s">
        <v>29959</v>
      </c>
      <c r="G15610" t="s">
        <v>14</v>
      </c>
      <c r="H15610">
             </c>
      <c r="I15610" t="s">
        <v>14</v>
      </c>
      <c r="J15610" t="s">
        <v>141</v>
      </c>
      <c r="K15610" t="s">
        <v>14</v>
      </c>
      <c r="L15610" t="s">
        <v>20</v>
      </c>
      <c r="M15610" t="s">
        <v>29895</v>
      </c>
      <c r="N15610" t="s">
        <v>14</v>
      </c>
    </row>
    <row r="15611" x14ac:dyDescent="0.25">
      <c r="A15611" t="n">
        <v>22</v>
      </c>
      <c r="B15611" t="s">
        <v>14</v>
      </c>
      <c r="C15611" t="s">
        <v>22</v>
      </c>
      <c r="D15611" s="2" t="s">
        <f>=HYPERLINK("https://main.knesset.gov.il/APPS/legislation/main/bills/2081257", "הצעת חוק צער בעלי חיים (הגנה על בעלי חיים) (תיקון - איסור משלוחים חיים לשחיטה), התש""ף-2019")</f>
        <v>29952</v>
      </c>
      <c r="E15611" t="s">
        <v>29952</v>
      </c>
      <c r="F15611" t="s">
        <v>29960</v>
      </c>
      <c r="G15611" t="s">
        <v>14</v>
      </c>
      <c r="H15611">
             </c>
      <c r="I15611" t="s">
        <v>14</v>
      </c>
      <c r="J15611" t="s">
        <v>141</v>
      </c>
      <c r="K15611" t="s">
        <v>14</v>
      </c>
      <c r="L15611" t="s">
        <v>20</v>
      </c>
      <c r="M15611" t="s">
        <v>29895</v>
      </c>
      <c r="N15611" t="s">
        <v>14</v>
      </c>
    </row>
    <row r="15612" x14ac:dyDescent="0.25">
      <c r="A15612" t="n">
        <v>22</v>
      </c>
      <c r="B15612" t="s">
        <v>14</v>
      </c>
      <c r="C15612" t="s">
        <v>22</v>
      </c>
      <c r="D15612" s="2" t="s">
        <f>=HYPERLINK("https://main.knesset.gov.il/APPS/legislation/main/bills/2081626", "הצעת חוק להסדרת הפיקוח על כלבים (תיקון - איסור המתת כלבים בריאים), התש""ף-2019")</f>
        <v>29961</v>
      </c>
      <c r="E15612" t="s">
        <v>29961</v>
      </c>
      <c r="F15612" t="s">
        <v>29962</v>
      </c>
      <c r="G15612" t="s">
        <v>14</v>
      </c>
      <c r="H15612">
             </c>
      <c r="I15612" t="s">
        <v>14</v>
      </c>
      <c r="J15612" t="s">
        <v>141</v>
      </c>
      <c r="K15612" t="s">
        <v>14</v>
      </c>
      <c r="L15612" t="s">
        <v>20</v>
      </c>
      <c r="M15612" t="s">
        <v>29895</v>
      </c>
      <c r="N15612" t="s">
        <v>14</v>
      </c>
    </row>
    <row r="15613" x14ac:dyDescent="0.25">
      <c r="A15613" t="n">
        <v>22</v>
      </c>
      <c r="B15613" t="s">
        <v>14</v>
      </c>
      <c r="C15613" t="s">
        <v>22</v>
      </c>
      <c r="D15613" s="2" t="s">
        <f>=HYPERLINK("https://main.knesset.gov.il/APPS/legislation/main/bills/2081366", "הצעת חוק צער בעלי חיים (הגנה על בעלי חיים) (תיקון - איסור משלוחים חיים לשחיטה), התש""ף-2019")</f>
        <v>29952</v>
      </c>
      <c r="E15613" t="s">
        <v>29952</v>
      </c>
      <c r="F15613" t="s">
        <v>29963</v>
      </c>
      <c r="G15613" t="s">
        <v>14</v>
      </c>
      <c r="H15613">
             </c>
      <c r="I15613" t="s">
        <v>14</v>
      </c>
      <c r="J15613" t="s">
        <v>141</v>
      </c>
      <c r="K15613" t="s">
        <v>14</v>
      </c>
      <c r="L15613" t="s">
        <v>20</v>
      </c>
      <c r="M15613" t="s">
        <v>29895</v>
      </c>
      <c r="N15613" t="s">
        <v>14</v>
      </c>
    </row>
    <row r="15614" x14ac:dyDescent="0.25">
      <c r="A15614" t="n">
        <v>22</v>
      </c>
      <c r="B15614" t="s">
        <v>14</v>
      </c>
      <c r="C15614" t="s">
        <v>22</v>
      </c>
      <c r="D15614" s="2" t="s">
        <f>=HYPERLINK("https://main.knesset.gov.il/APPS/legislation/main/bills/2081456", "הצעת חוק המוזיאונים (תיקון - מוזיאונים להנצחה והנחלה של זכר השואה והגבורה), התש""ף-2019")</f>
        <v>29964</v>
      </c>
      <c r="E15614" t="s">
        <v>29964</v>
      </c>
      <c r="F15614" t="s">
        <v>29965</v>
      </c>
      <c r="G15614" t="s">
        <v>14</v>
      </c>
      <c r="H15614">
             </c>
      <c r="I15614" t="s">
        <v>14</v>
      </c>
      <c r="J15614" t="s">
        <v>141</v>
      </c>
      <c r="K15614" t="s">
        <v>14</v>
      </c>
      <c r="L15614" t="s">
        <v>20</v>
      </c>
      <c r="M15614" t="s">
        <v>29895</v>
      </c>
      <c r="N15614" t="s">
        <v>14</v>
      </c>
    </row>
    <row r="15615" x14ac:dyDescent="0.25">
      <c r="A15615" t="n">
        <v>22</v>
      </c>
      <c r="B15615" t="s">
        <v>14</v>
      </c>
      <c r="C15615" t="s">
        <v>22</v>
      </c>
      <c r="D15615" s="2" t="s">
        <f>=HYPERLINK("https://main.knesset.gov.il/APPS/legislation/main/bills/2081618", "הצעת חוק הכשרות לאנשי מקצוע בנושא זיהוי ודיווח על התעללות בילדים, התש""ף-2019")</f>
        <v>29640</v>
      </c>
      <c r="E15615" t="s">
        <v>29640</v>
      </c>
      <c r="F15615" t="s">
        <v>29966</v>
      </c>
      <c r="G15615" t="s">
        <v>14</v>
      </c>
      <c r="H15615">
             </c>
      <c r="I15615" t="s">
        <v>14</v>
      </c>
      <c r="J15615" t="s">
        <v>141</v>
      </c>
      <c r="K15615" t="s">
        <v>14</v>
      </c>
      <c r="L15615" t="s">
        <v>20</v>
      </c>
      <c r="M15615" t="s">
        <v>29895</v>
      </c>
      <c r="N15615" t="s">
        <v>14</v>
      </c>
    </row>
    <row r="15616" x14ac:dyDescent="0.25">
      <c r="A15616" t="n">
        <v>22</v>
      </c>
      <c r="B15616" t="s">
        <v>14</v>
      </c>
      <c r="C15616" t="s">
        <v>22</v>
      </c>
      <c r="D15616" s="2" t="s">
        <f>=HYPERLINK("https://main.knesset.gov.il/APPS/legislation/main/bills/2081406", "הצעת חוק צער בעלי חיים (הגנה על בעלי חיים) (תיקון - איסור משלוחים חיים לשחיטה), התש""ף-2019")</f>
        <v>29952</v>
      </c>
      <c r="E15616" t="s">
        <v>29952</v>
      </c>
      <c r="F15616" t="s">
        <v>29967</v>
      </c>
      <c r="G15616" t="s">
        <v>14</v>
      </c>
      <c r="H15616">
             </c>
      <c r="I15616" t="s">
        <v>14</v>
      </c>
      <c r="J15616" t="s">
        <v>141</v>
      </c>
      <c r="K15616" t="s">
        <v>14</v>
      </c>
      <c r="L15616" t="s">
        <v>20</v>
      </c>
      <c r="M15616" t="s">
        <v>29895</v>
      </c>
      <c r="N15616" t="s">
        <v>14</v>
      </c>
    </row>
    <row r="15617" x14ac:dyDescent="0.25">
      <c r="A15617" t="n">
        <v>22</v>
      </c>
      <c r="B15617" t="s">
        <v>14</v>
      </c>
      <c r="C15617" t="s">
        <v>22</v>
      </c>
      <c r="D15617" s="2" t="s">
        <f>=HYPERLINK("https://main.knesset.gov.il/APPS/legislation/main/bills/2081319", "הצעת חוק איסור רוכלות רוחנית במוסדות חינוך ובקרבתם, התש""ף-2019")</f>
        <v>29968</v>
      </c>
      <c r="E15617" t="s">
        <v>29968</v>
      </c>
      <c r="F15617" t="s">
        <v>29969</v>
      </c>
      <c r="G15617" t="s">
        <v>14</v>
      </c>
      <c r="H15617">
             </c>
      <c r="I15617" t="s">
        <v>14</v>
      </c>
      <c r="J15617" t="s">
        <v>141</v>
      </c>
      <c r="K15617" t="s">
        <v>14</v>
      </c>
      <c r="L15617" t="s">
        <v>20</v>
      </c>
      <c r="M15617" t="s">
        <v>29895</v>
      </c>
      <c r="N15617" t="s">
        <v>14</v>
      </c>
    </row>
    <row r="15618" x14ac:dyDescent="0.25">
      <c r="A15618" t="n">
        <v>22</v>
      </c>
      <c r="B15618" t="s">
        <v>14</v>
      </c>
      <c r="C15618" t="s">
        <v>22</v>
      </c>
      <c r="D15618" s="2" t="s">
        <f>=HYPERLINK("https://main.knesset.gov.il/APPS/legislation/main/bills/2081611", "הצעת חוק התכנון והבנייה (תיקון - חדרי הנקה בבניינים ציבוריים), התש""ף-2019")</f>
        <v>29970</v>
      </c>
      <c r="E15618" t="s">
        <v>29970</v>
      </c>
      <c r="F15618" t="s">
        <v>29971</v>
      </c>
      <c r="G15618" t="s">
        <v>14</v>
      </c>
      <c r="H15618">
             </c>
      <c r="I15618" t="s">
        <v>14</v>
      </c>
      <c r="J15618" t="s">
        <v>141</v>
      </c>
      <c r="K15618" t="s">
        <v>14</v>
      </c>
      <c r="L15618" t="s">
        <v>20</v>
      </c>
      <c r="M15618" t="s">
        <v>29895</v>
      </c>
      <c r="N15618" t="s">
        <v>14</v>
      </c>
    </row>
    <row r="15619" x14ac:dyDescent="0.25">
      <c r="A15619" t="n">
        <v>22</v>
      </c>
      <c r="B15619" t="s">
        <v>14</v>
      </c>
      <c r="C15619" t="s">
        <v>22</v>
      </c>
      <c r="D15619" s="2" t="s">
        <f>=HYPERLINK("https://main.knesset.gov.il/APPS/legislation/main/bills/2082488", "הצעת חוק יום לציון רצח העם הארמני, התש""ף-2019")</f>
        <v>29972</v>
      </c>
      <c r="E15619" t="s">
        <v>29972</v>
      </c>
      <c r="F15619" t="s">
        <v>29973</v>
      </c>
      <c r="G15619" t="s">
        <v>14</v>
      </c>
      <c r="H15619">
             </c>
      <c r="I15619" t="s">
        <v>14</v>
      </c>
      <c r="J15619" t="s">
        <v>141</v>
      </c>
      <c r="K15619" t="s">
        <v>14</v>
      </c>
      <c r="L15619" t="s">
        <v>20</v>
      </c>
      <c r="M15619" t="s">
        <v>29895</v>
      </c>
      <c r="N15619" t="s">
        <v>14</v>
      </c>
    </row>
    <row r="15620" x14ac:dyDescent="0.25">
      <c r="A15620" t="n">
        <v>22</v>
      </c>
      <c r="B15620" t="s">
        <v>14</v>
      </c>
      <c r="C15620" t="s">
        <v>22</v>
      </c>
      <c r="D15620" s="2" t="s">
        <f>=HYPERLINK("https://main.knesset.gov.il/APPS/legislation/main/bills/2081343", "הצעת חוק יום לציון רצח העם הארמני, התש""ף-2019")</f>
        <v>29972</v>
      </c>
      <c r="E15620" t="s">
        <v>29972</v>
      </c>
      <c r="F15620" t="s">
        <v>29974</v>
      </c>
      <c r="G15620" t="s">
        <v>14</v>
      </c>
      <c r="H15620">
             </c>
      <c r="I15620" t="s">
        <v>14</v>
      </c>
      <c r="J15620" t="s">
        <v>141</v>
      </c>
      <c r="K15620" t="s">
        <v>14</v>
      </c>
      <c r="L15620" t="s">
        <v>20</v>
      </c>
      <c r="M15620" t="s">
        <v>29895</v>
      </c>
      <c r="N15620" t="s">
        <v>14</v>
      </c>
    </row>
    <row r="15621" x14ac:dyDescent="0.25">
      <c r="A15621" t="n">
        <v>22</v>
      </c>
      <c r="B15621" t="s">
        <v>14</v>
      </c>
      <c r="C15621" t="s">
        <v>22</v>
      </c>
      <c r="D15621" s="2" t="s">
        <f>=HYPERLINK("https://main.knesset.gov.il/APPS/legislation/main/bills/2081595", "הצעת חוק יישוב סכסוכי עבודה (תיקון - בוררות חובה בשירותים חיוניים), התש""ף-2019")</f>
        <v>29975</v>
      </c>
      <c r="E15621" t="s">
        <v>29975</v>
      </c>
      <c r="F15621" t="s">
        <v>29976</v>
      </c>
      <c r="G15621" t="s">
        <v>14</v>
      </c>
      <c r="H15621">
             </c>
      <c r="I15621" t="s">
        <v>14</v>
      </c>
      <c r="J15621" t="s">
        <v>141</v>
      </c>
      <c r="K15621" t="s">
        <v>14</v>
      </c>
      <c r="L15621" t="s">
        <v>20</v>
      </c>
      <c r="M15621" t="s">
        <v>29895</v>
      </c>
      <c r="N15621" t="s">
        <v>14</v>
      </c>
    </row>
    <row r="15622" x14ac:dyDescent="0.25">
      <c r="A15622" t="n">
        <v>22</v>
      </c>
      <c r="B15622" t="s">
        <v>14</v>
      </c>
      <c r="C15622" t="s">
        <v>22</v>
      </c>
      <c r="D15622" s="2" t="s">
        <f>=HYPERLINK("https://main.knesset.gov.il/APPS/legislation/main/bills/2081536", "הצעת חוק איסור הפליה מחמת משקל (תיקוני חקיקה), התש""ף-2019")</f>
        <v>29977</v>
      </c>
      <c r="E15622" t="s">
        <v>29977</v>
      </c>
      <c r="F15622" t="s">
        <v>29978</v>
      </c>
      <c r="G15622" t="s">
        <v>14</v>
      </c>
      <c r="H15622">
             </c>
      <c r="I15622" t="s">
        <v>14</v>
      </c>
      <c r="J15622" t="s">
        <v>141</v>
      </c>
      <c r="K15622" t="s">
        <v>14</v>
      </c>
      <c r="L15622" t="s">
        <v>20</v>
      </c>
      <c r="M15622" t="s">
        <v>29895</v>
      </c>
      <c r="N15622" t="s">
        <v>14</v>
      </c>
    </row>
    <row r="15623" x14ac:dyDescent="0.25">
      <c r="A15623" t="n">
        <v>22</v>
      </c>
      <c r="B15623" t="s">
        <v>14</v>
      </c>
      <c r="C15623" t="s">
        <v>22</v>
      </c>
      <c r="D15623" s="2" t="s">
        <f>=HYPERLINK("https://main.knesset.gov.il/APPS/legislation/main/bills/2081205", "הצעת חוק למניעת העישון במקומות ציבוריים והחשיפה לעישון (תיקון - ייעול האכיפה), התש""ף-2019")</f>
        <v>29979</v>
      </c>
      <c r="E15623" t="s">
        <v>29979</v>
      </c>
      <c r="F15623" t="s">
        <v>29980</v>
      </c>
      <c r="G15623" t="s">
        <v>14</v>
      </c>
      <c r="H15623">
             </c>
      <c r="I15623" t="s">
        <v>14</v>
      </c>
      <c r="J15623" t="s">
        <v>141</v>
      </c>
      <c r="K15623" t="s">
        <v>14</v>
      </c>
      <c r="L15623" t="s">
        <v>20</v>
      </c>
      <c r="M15623" t="s">
        <v>29895</v>
      </c>
      <c r="N15623" t="s">
        <v>14</v>
      </c>
    </row>
    <row r="15624" x14ac:dyDescent="0.25">
      <c r="A15624" t="n">
        <v>22</v>
      </c>
      <c r="B15624" t="s">
        <v>14</v>
      </c>
      <c r="C15624" t="s">
        <v>22</v>
      </c>
      <c r="D15624" s="2" t="s">
        <f>=HYPERLINK("https://main.knesset.gov.il/APPS/legislation/main/bills/2081289", "הצעת חוק יום לציון רצח העם הארמני, התש""ף-2019")</f>
        <v>29972</v>
      </c>
      <c r="E15624" t="s">
        <v>29972</v>
      </c>
      <c r="F15624" t="s">
        <v>29981</v>
      </c>
      <c r="G15624" t="s">
        <v>14</v>
      </c>
      <c r="H15624">
             </c>
      <c r="I15624" t="s">
        <v>14</v>
      </c>
      <c r="J15624" t="s">
        <v>141</v>
      </c>
      <c r="K15624" t="s">
        <v>14</v>
      </c>
      <c r="L15624" t="s">
        <v>20</v>
      </c>
      <c r="M15624" t="s">
        <v>29895</v>
      </c>
      <c r="N15624" t="s">
        <v>14</v>
      </c>
    </row>
    <row r="15625" x14ac:dyDescent="0.25">
      <c r="A15625" t="n">
        <v>22</v>
      </c>
      <c r="B15625" t="s">
        <v>14</v>
      </c>
      <c r="C15625" t="s">
        <v>22</v>
      </c>
      <c r="D15625" s="2" t="s">
        <f>=HYPERLINK("https://main.knesset.gov.il/APPS/legislation/main/bills/2081308", "הצעת חוק הכרה ברצח העם הארמני וציון יום זיכרון, התש""ף-2019")</f>
        <v>29982</v>
      </c>
      <c r="E15625" t="s">
        <v>29982</v>
      </c>
      <c r="F15625" t="s">
        <v>29983</v>
      </c>
      <c r="G15625" t="s">
        <v>14</v>
      </c>
      <c r="H15625">
             </c>
      <c r="I15625" t="s">
        <v>14</v>
      </c>
      <c r="J15625" t="s">
        <v>141</v>
      </c>
      <c r="K15625" t="s">
        <v>14</v>
      </c>
      <c r="L15625" t="s">
        <v>20</v>
      </c>
      <c r="M15625" t="s">
        <v>29895</v>
      </c>
      <c r="N15625" t="s">
        <v>14</v>
      </c>
    </row>
    <row r="15626" x14ac:dyDescent="0.25">
      <c r="A15626" t="n">
        <v>22</v>
      </c>
      <c r="B15626" t="s">
        <v>14</v>
      </c>
      <c r="C15626" t="s">
        <v>22</v>
      </c>
      <c r="D15626" s="2" t="s">
        <f>=HYPERLINK("https://main.knesset.gov.il/APPS/legislation/main/bills/2081733", "הצעת חוק-יסוד: הממשלה (תיקון - חובת מינוי ממלא מקום ראש הממשלה)")</f>
        <v>2485</v>
      </c>
      <c r="E15626" t="s">
        <v>2485</v>
      </c>
      <c r="F15626" t="s">
        <v>29984</v>
      </c>
      <c r="G15626" t="s">
        <v>14</v>
      </c>
      <c r="H15626">
             </c>
      <c r="I15626" t="s">
        <v>14</v>
      </c>
      <c r="J15626" t="s">
        <v>141</v>
      </c>
      <c r="K15626" t="s">
        <v>14</v>
      </c>
      <c r="L15626" t="s">
        <v>20</v>
      </c>
      <c r="M15626" t="s">
        <v>29895</v>
      </c>
      <c r="N15626" t="s">
        <v>14</v>
      </c>
    </row>
    <row r="15627" x14ac:dyDescent="0.25">
      <c r="A15627" t="n">
        <v>22</v>
      </c>
      <c r="B15627" t="s">
        <v>14</v>
      </c>
      <c r="C15627" t="s">
        <v>22</v>
      </c>
      <c r="D15627" s="2" t="s">
        <f>=HYPERLINK("https://main.knesset.gov.il/APPS/legislation/main/bills/2081669", "הצעת חוק-יסוד: הממשלה (תיקון - חובת מינוי ממלא מקום ראש הממשלה)")</f>
        <v>2485</v>
      </c>
      <c r="E15627" t="s">
        <v>2485</v>
      </c>
      <c r="F15627" t="s">
        <v>29985</v>
      </c>
      <c r="G15627" t="s">
        <v>14</v>
      </c>
      <c r="H15627">
             </c>
      <c r="I15627" t="s">
        <v>14</v>
      </c>
      <c r="J15627" t="s">
        <v>141</v>
      </c>
      <c r="K15627" t="s">
        <v>14</v>
      </c>
      <c r="L15627" t="s">
        <v>20</v>
      </c>
      <c r="M15627" t="s">
        <v>29895</v>
      </c>
      <c r="N15627" t="s">
        <v>14</v>
      </c>
    </row>
    <row r="15628" x14ac:dyDescent="0.25">
      <c r="A15628" t="n">
        <v>22</v>
      </c>
      <c r="B15628" t="s">
        <v>14</v>
      </c>
      <c r="C15628" t="s">
        <v>22</v>
      </c>
      <c r="D15628" s="2" t="s">
        <f>=HYPERLINK("https://main.knesset.gov.il/APPS/legislation/main/bills/2081491", "הצעת חוק לקביעת מעמדם של בני זוג שבאו בהסכם הזוגיות, התש""ף-2019")</f>
        <v>29986</v>
      </c>
      <c r="E15628" t="s">
        <v>29986</v>
      </c>
      <c r="F15628" t="s">
        <v>29987</v>
      </c>
      <c r="G15628" t="s">
        <v>14</v>
      </c>
      <c r="H15628">
             </c>
      <c r="I15628" t="s">
        <v>14</v>
      </c>
      <c r="J15628" t="s">
        <v>141</v>
      </c>
      <c r="K15628" t="s">
        <v>14</v>
      </c>
      <c r="L15628" t="s">
        <v>20</v>
      </c>
      <c r="M15628" t="s">
        <v>29895</v>
      </c>
      <c r="N15628" t="s">
        <v>14</v>
      </c>
    </row>
    <row r="15629" x14ac:dyDescent="0.25">
      <c r="A15629" t="n">
        <v>22</v>
      </c>
      <c r="B15629" t="s">
        <v>14</v>
      </c>
      <c r="C15629" t="s">
        <v>22</v>
      </c>
      <c r="D15629" s="2" t="s">
        <f>=HYPERLINK("https://main.knesset.gov.il/APPS/legislation/main/bills/2081175", "הצעת חוק ברית הזוגיות האזרחית, התש""ף-2019")</f>
        <v>29988</v>
      </c>
      <c r="E15629" t="s">
        <v>29988</v>
      </c>
      <c r="F15629" t="s">
        <v>29989</v>
      </c>
      <c r="G15629" t="s">
        <v>14</v>
      </c>
      <c r="H15629">
             </c>
      <c r="I15629" t="s">
        <v>14</v>
      </c>
      <c r="J15629" t="s">
        <v>141</v>
      </c>
      <c r="K15629" t="s">
        <v>14</v>
      </c>
      <c r="L15629" t="s">
        <v>20</v>
      </c>
      <c r="M15629" t="s">
        <v>29895</v>
      </c>
      <c r="N15629" t="s">
        <v>14</v>
      </c>
    </row>
    <row r="15630" x14ac:dyDescent="0.25">
      <c r="A15630" t="n">
        <v>22</v>
      </c>
      <c r="B15630" t="s">
        <v>14</v>
      </c>
      <c r="C15630" t="s">
        <v>22</v>
      </c>
      <c r="D15630" s="2" t="s">
        <f>=HYPERLINK("https://main.knesset.gov.il/APPS/legislation/main/bills/2082936", "הצעת חוק-יסוד: הממשלה (תיקון - הגבלת כהונת ראש הממשלה לשתי תקופות כהונה רצופות)")</f>
        <v>1247</v>
      </c>
      <c r="E15630" t="s">
        <v>1247</v>
      </c>
      <c r="F15630" t="s">
        <v>29990</v>
      </c>
      <c r="G15630" t="s">
        <v>14</v>
      </c>
      <c r="H15630">
             </c>
      <c r="I15630" t="s">
        <v>14</v>
      </c>
      <c r="J15630" t="s">
        <v>141</v>
      </c>
      <c r="K15630" t="s">
        <v>14</v>
      </c>
      <c r="L15630" t="s">
        <v>20</v>
      </c>
      <c r="M15630" t="s">
        <v>29895</v>
      </c>
      <c r="N15630" t="s">
        <v>14</v>
      </c>
    </row>
    <row r="15631" x14ac:dyDescent="0.25">
      <c r="A15631" t="n">
        <v>22</v>
      </c>
      <c r="B15631" t="s">
        <v>14</v>
      </c>
      <c r="C15631" t="s">
        <v>22</v>
      </c>
      <c r="D15631" s="2" t="s">
        <f>=HYPERLINK("https://main.knesset.gov.il/APPS/legislation/main/bills/2082597", "הצעת חוק-יסוד: הממשלה (תיקון - הגבלת כהונת ראש הממשלה לשתי תקופות כהונה רצופות) ")</f>
        <v>29991</v>
      </c>
      <c r="E15631" t="s">
        <v>29991</v>
      </c>
      <c r="F15631" t="s">
        <v>29992</v>
      </c>
      <c r="G15631" t="s">
        <v>14</v>
      </c>
      <c r="H15631">
             </c>
      <c r="I15631" t="s">
        <v>14</v>
      </c>
      <c r="J15631" t="s">
        <v>141</v>
      </c>
      <c r="K15631" t="s">
        <v>14</v>
      </c>
      <c r="L15631" t="s">
        <v>20</v>
      </c>
      <c r="M15631" t="s">
        <v>29895</v>
      </c>
      <c r="N15631" t="s">
        <v>14</v>
      </c>
    </row>
    <row r="15632" x14ac:dyDescent="0.25">
      <c r="A15632" t="n">
        <v>22</v>
      </c>
      <c r="B15632" t="s">
        <v>14</v>
      </c>
      <c r="C15632" t="s">
        <v>22</v>
      </c>
      <c r="D15632" s="2" t="s">
        <f>=HYPERLINK("https://main.knesset.gov.il/APPS/legislation/main/bills/2081201", "הצעת חוק-יסוד: הממשלה (תיקון - הגבלת כהונת ראש הממשלה)")</f>
        <v>19405</v>
      </c>
      <c r="E15632" t="s">
        <v>19405</v>
      </c>
      <c r="F15632" t="s">
        <v>29993</v>
      </c>
      <c r="G15632" t="s">
        <v>14</v>
      </c>
      <c r="H15632">
             </c>
      <c r="I15632" t="s">
        <v>14</v>
      </c>
      <c r="J15632" t="s">
        <v>141</v>
      </c>
      <c r="K15632" t="s">
        <v>14</v>
      </c>
      <c r="L15632" t="s">
        <v>20</v>
      </c>
      <c r="M15632" t="s">
        <v>29895</v>
      </c>
      <c r="N15632" t="s">
        <v>14</v>
      </c>
    </row>
    <row r="15633" x14ac:dyDescent="0.25">
      <c r="A15633" t="n">
        <v>22</v>
      </c>
      <c r="B15633" t="s">
        <v>14</v>
      </c>
      <c r="C15633" t="s">
        <v>22</v>
      </c>
      <c r="D15633" s="2" t="s">
        <f>=HYPERLINK("https://main.knesset.gov.il/APPS/legislation/main/bills/2081863", "הצעת חוק רשות מקרקעי ישראל (תיקון - העדפת בני המקום בשיווק קרקעות), התש""ף-2019")</f>
        <v>29994</v>
      </c>
      <c r="E15633" t="s">
        <v>29994</v>
      </c>
      <c r="F15633" t="s">
        <v>29995</v>
      </c>
      <c r="G15633" t="s">
        <v>14</v>
      </c>
      <c r="H15633">
             </c>
      <c r="I15633" t="s">
        <v>14</v>
      </c>
      <c r="J15633" t="s">
        <v>141</v>
      </c>
      <c r="K15633" t="s">
        <v>14</v>
      </c>
      <c r="L15633" t="s">
        <v>20</v>
      </c>
      <c r="M15633" t="s">
        <v>29895</v>
      </c>
      <c r="N15633" t="s">
        <v>14</v>
      </c>
    </row>
    <row r="15634" x14ac:dyDescent="0.25">
      <c r="A15634" t="n">
        <v>22</v>
      </c>
      <c r="B15634" t="s">
        <v>14</v>
      </c>
      <c r="C15634" t="s">
        <v>22</v>
      </c>
      <c r="D15634" s="2" t="s">
        <f>=HYPERLINK("https://main.knesset.gov.il/APPS/legislation/main/bills/2081855", "הצעת חוק הדיור המוגן (תיקון - קבלת דייר הזקוק לסיוע), התש""ף-2019")</f>
        <v>29996</v>
      </c>
      <c r="E15634" t="s">
        <v>29996</v>
      </c>
      <c r="F15634" t="s">
        <v>29997</v>
      </c>
      <c r="G15634" t="s">
        <v>14</v>
      </c>
      <c r="H15634">
             </c>
      <c r="I15634" t="s">
        <v>14</v>
      </c>
      <c r="J15634" t="s">
        <v>141</v>
      </c>
      <c r="K15634" t="s">
        <v>14</v>
      </c>
      <c r="L15634" t="s">
        <v>20</v>
      </c>
      <c r="M15634" t="s">
        <v>29895</v>
      </c>
      <c r="N15634" t="s">
        <v>14</v>
      </c>
    </row>
    <row r="15635" x14ac:dyDescent="0.25">
      <c r="A15635" t="n">
        <v>22</v>
      </c>
      <c r="B15635" t="s">
        <v>14</v>
      </c>
      <c r="C15635" t="s">
        <v>22</v>
      </c>
      <c r="D15635" s="2" t="s">
        <f>=HYPERLINK("https://main.knesset.gov.il/APPS/legislation/main/bills/2081818", "הצעת חוק חסינות חברי הכנסת, זכויותיהם וחובותיהם (תיקון - חובת גילוי של מסחר בניירות ערך לחבר בוועדת הכספים או הכלכלה של הכנסת), התש""ף-2019")</f>
        <v>29998</v>
      </c>
      <c r="E15635" t="s">
        <v>29998</v>
      </c>
      <c r="F15635" t="s">
        <v>29999</v>
      </c>
      <c r="G15635" t="s">
        <v>14</v>
      </c>
      <c r="H15635">
             </c>
      <c r="I15635" t="s">
        <v>14</v>
      </c>
      <c r="J15635" t="s">
        <v>141</v>
      </c>
      <c r="K15635" t="s">
        <v>14</v>
      </c>
      <c r="L15635" t="s">
        <v>20</v>
      </c>
      <c r="M15635" t="s">
        <v>29895</v>
      </c>
      <c r="N15635" t="s">
        <v>14</v>
      </c>
    </row>
    <row r="15636" x14ac:dyDescent="0.25">
      <c r="A15636" t="n">
        <v>22</v>
      </c>
      <c r="B15636" t="s">
        <v>14</v>
      </c>
      <c r="C15636" t="s">
        <v>22</v>
      </c>
      <c r="D15636" s="2" t="s">
        <f>=HYPERLINK("https://main.knesset.gov.il/APPS/legislation/main/bills/2081692", "הצעת חוק לתיקון פקודת מסי העיריה ומסי הממשלה (פטורין) (החלת חובת תשלום ארנונה על נכסי ממשלה המצויים באזור), התש""ף-2019")</f>
        <v>30000</v>
      </c>
      <c r="E15636" t="s">
        <v>30000</v>
      </c>
      <c r="F15636" t="s">
        <v>30001</v>
      </c>
      <c r="G15636" t="s">
        <v>14</v>
      </c>
      <c r="H15636">
             </c>
      <c r="I15636" t="s">
        <v>14</v>
      </c>
      <c r="J15636" t="s">
        <v>141</v>
      </c>
      <c r="K15636" t="s">
        <v>14</v>
      </c>
      <c r="L15636" t="s">
        <v>20</v>
      </c>
      <c r="M15636" t="s">
        <v>29895</v>
      </c>
      <c r="N15636" t="s">
        <v>14</v>
      </c>
    </row>
    <row r="15637" x14ac:dyDescent="0.25">
      <c r="A15637" t="n">
        <v>22</v>
      </c>
      <c r="B15637" t="s">
        <v>14</v>
      </c>
      <c r="C15637" t="s">
        <v>22</v>
      </c>
      <c r="D15637" s="2" t="s">
        <f>=HYPERLINK("https://main.knesset.gov.il/APPS/legislation/main/bills/2081684", "הצעת חוק למניעת העישון במקומות ציבוריים והחשיפה לעישון (תיקון - איסור עישון במקומות ציבוריים פתוחים), התש""ף-2019")</f>
        <v>30002</v>
      </c>
      <c r="E15637" t="s">
        <v>30002</v>
      </c>
      <c r="F15637" t="s">
        <v>30003</v>
      </c>
      <c r="G15637" t="s">
        <v>14</v>
      </c>
      <c r="H15637">
             </c>
      <c r="I15637" t="s">
        <v>14</v>
      </c>
      <c r="J15637" t="s">
        <v>141</v>
      </c>
      <c r="K15637" t="s">
        <v>14</v>
      </c>
      <c r="L15637" t="s">
        <v>20</v>
      </c>
      <c r="M15637" t="s">
        <v>29895</v>
      </c>
      <c r="N15637" t="s">
        <v>14</v>
      </c>
    </row>
    <row r="15638" x14ac:dyDescent="0.25">
      <c r="A15638" t="n">
        <v>22</v>
      </c>
      <c r="B15638" t="s">
        <v>14</v>
      </c>
      <c r="C15638" t="s">
        <v>22</v>
      </c>
      <c r="D15638" s="2" t="s">
        <f>=HYPERLINK("https://main.knesset.gov.il/APPS/legislation/main/bills/2081677", "הצעת חוק מס ערך מוסף (תיקון - פטור ממס על תשר), התש""ף-2019")</f>
        <v>30004</v>
      </c>
      <c r="E15638" t="s">
        <v>30004</v>
      </c>
      <c r="F15638" t="s">
        <v>30005</v>
      </c>
      <c r="G15638" t="s">
        <v>14</v>
      </c>
      <c r="H15638">
             </c>
      <c r="I15638" t="s">
        <v>14</v>
      </c>
      <c r="J15638" t="s">
        <v>141</v>
      </c>
      <c r="K15638" t="s">
        <v>14</v>
      </c>
      <c r="L15638" t="s">
        <v>20</v>
      </c>
      <c r="M15638" t="s">
        <v>29895</v>
      </c>
      <c r="N15638" t="s">
        <v>14</v>
      </c>
    </row>
    <row r="15639" x14ac:dyDescent="0.25">
      <c r="A15639" t="n">
        <v>22</v>
      </c>
      <c r="B15639" t="s">
        <v>14</v>
      </c>
      <c r="C15639" t="s">
        <v>22</v>
      </c>
      <c r="D15639" s="2" t="s">
        <f>=HYPERLINK("https://main.knesset.gov.il/APPS/legislation/main/bills/2081880", "הצעת חוק משק החשמל (תיקון - איסור ניתוק חשמל), התש""ף-2019")</f>
        <v>30006</v>
      </c>
      <c r="E15639" t="s">
        <v>30006</v>
      </c>
      <c r="F15639" t="s">
        <v>30007</v>
      </c>
      <c r="G15639" t="s">
        <v>14</v>
      </c>
      <c r="H15639">
             </c>
      <c r="I15639" t="s">
        <v>14</v>
      </c>
      <c r="J15639" t="s">
        <v>141</v>
      </c>
      <c r="K15639" t="s">
        <v>14</v>
      </c>
      <c r="L15639" t="s">
        <v>20</v>
      </c>
      <c r="M15639" t="s">
        <v>29895</v>
      </c>
      <c r="N15639" t="s">
        <v>14</v>
      </c>
    </row>
    <row r="15640" x14ac:dyDescent="0.25">
      <c r="A15640" t="n">
        <v>22</v>
      </c>
      <c r="B15640" t="s">
        <v>14</v>
      </c>
      <c r="C15640" t="s">
        <v>22</v>
      </c>
      <c r="D15640" s="2" t="s">
        <f>=HYPERLINK("https://main.knesset.gov.il/APPS/legislation/main/bills/2081656", "הצעת חוק משק החשמל (תיקון - איסור ניתוק חשמל), התש""ף-2019")</f>
        <v>30006</v>
      </c>
      <c r="E15640" t="s">
        <v>30006</v>
      </c>
      <c r="F15640" t="s">
        <v>30008</v>
      </c>
      <c r="G15640" t="s">
        <v>14</v>
      </c>
      <c r="H15640">
             </c>
      <c r="I15640" t="s">
        <v>14</v>
      </c>
      <c r="J15640" t="s">
        <v>141</v>
      </c>
      <c r="K15640" t="s">
        <v>14</v>
      </c>
      <c r="L15640" t="s">
        <v>20</v>
      </c>
      <c r="M15640" t="s">
        <v>29895</v>
      </c>
      <c r="N15640" t="s">
        <v>14</v>
      </c>
    </row>
    <row r="15641" x14ac:dyDescent="0.25">
      <c r="A15641" t="n">
        <v>22</v>
      </c>
      <c r="B15641" t="s">
        <v>14</v>
      </c>
      <c r="C15641" t="s">
        <v>22</v>
      </c>
      <c r="D15641" s="2" t="s">
        <f>=HYPERLINK("https://main.knesset.gov.il/APPS/legislation/main/bills/2081812", "הצעת חוק עקרונות לפדיון שבויים ונעדרים, התש""ף-2019")</f>
        <v>30009</v>
      </c>
      <c r="E15641" t="s">
        <v>30009</v>
      </c>
      <c r="F15641" t="s">
        <v>30010</v>
      </c>
      <c r="G15641" t="s">
        <v>14</v>
      </c>
      <c r="H15641">
             </c>
      <c r="I15641" t="s">
        <v>14</v>
      </c>
      <c r="J15641" t="s">
        <v>141</v>
      </c>
      <c r="K15641" t="s">
        <v>14</v>
      </c>
      <c r="L15641" t="s">
        <v>20</v>
      </c>
      <c r="M15641" t="s">
        <v>29895</v>
      </c>
      <c r="N15641" t="s">
        <v>14</v>
      </c>
    </row>
    <row r="15642" x14ac:dyDescent="0.25">
      <c r="A15642" t="n">
        <v>22</v>
      </c>
      <c r="B15642" t="s">
        <v>14</v>
      </c>
      <c r="C15642" t="s">
        <v>22</v>
      </c>
      <c r="D15642" s="2" t="s">
        <f>=HYPERLINK("https://main.knesset.gov.il/APPS/legislation/main/bills/2081800", "הצעת חוק לתיקון פקודת תעריף המכס והפטורים (העלאת רף הפטור ממכס על חפצים ל-400 דולר), התש""ף-2019 ")</f>
        <v>30011</v>
      </c>
      <c r="E15642" t="s">
        <v>30011</v>
      </c>
      <c r="F15642" t="s">
        <v>30012</v>
      </c>
      <c r="G15642" t="s">
        <v>14</v>
      </c>
      <c r="H15642">
             </c>
      <c r="I15642" t="s">
        <v>14</v>
      </c>
      <c r="J15642" t="s">
        <v>141</v>
      </c>
      <c r="K15642" t="s">
        <v>14</v>
      </c>
      <c r="L15642" t="s">
        <v>20</v>
      </c>
      <c r="M15642" t="s">
        <v>29895</v>
      </c>
      <c r="N15642" t="s">
        <v>14</v>
      </c>
    </row>
    <row r="15643" x14ac:dyDescent="0.25">
      <c r="A15643" t="n">
        <v>22</v>
      </c>
      <c r="B15643" t="s">
        <v>14</v>
      </c>
      <c r="C15643" t="s">
        <v>22</v>
      </c>
      <c r="D15643" s="2" t="s">
        <f>=HYPERLINK("https://main.knesset.gov.il/APPS/legislation/main/bills/2081705", "הצעת חוק הדיינים (תיקון - כשירות דיינים), התש""ף-2019")</f>
        <v>30013</v>
      </c>
      <c r="E15643" t="s">
        <v>30013</v>
      </c>
      <c r="F15643" t="s">
        <v>30014</v>
      </c>
      <c r="G15643" t="s">
        <v>14</v>
      </c>
      <c r="H15643">
             </c>
      <c r="I15643" t="s">
        <v>14</v>
      </c>
      <c r="J15643" t="s">
        <v>141</v>
      </c>
      <c r="K15643" t="s">
        <v>14</v>
      </c>
      <c r="L15643" t="s">
        <v>20</v>
      </c>
      <c r="M15643" t="s">
        <v>29895</v>
      </c>
      <c r="N15643" t="s">
        <v>14</v>
      </c>
    </row>
    <row r="15644" x14ac:dyDescent="0.25">
      <c r="A15644" t="n">
        <v>22</v>
      </c>
      <c r="B15644" t="s">
        <v>14</v>
      </c>
      <c r="C15644" t="s">
        <v>22</v>
      </c>
      <c r="D15644" s="2" t="s">
        <f>=HYPERLINK("https://main.knesset.gov.il/APPS/legislation/main/bills/2081673", "הצעת חוק הגנת השכר (תיקון - פיצויי פיטורים בזמן אמת), התש""ף-2019")</f>
        <v>30015</v>
      </c>
      <c r="E15644" t="s">
        <v>30015</v>
      </c>
      <c r="F15644" t="s">
        <v>30016</v>
      </c>
      <c r="G15644" t="s">
        <v>14</v>
      </c>
      <c r="H15644">
             </c>
      <c r="I15644" t="s">
        <v>14</v>
      </c>
      <c r="J15644" t="s">
        <v>141</v>
      </c>
      <c r="K15644" t="s">
        <v>14</v>
      </c>
      <c r="L15644" t="s">
        <v>20</v>
      </c>
      <c r="M15644" t="s">
        <v>29895</v>
      </c>
      <c r="N15644" t="s">
        <v>14</v>
      </c>
    </row>
    <row r="15645" x14ac:dyDescent="0.25">
      <c r="A15645" t="n">
        <v>22</v>
      </c>
      <c r="B15645" t="s">
        <v>14</v>
      </c>
      <c r="C15645" t="s">
        <v>22</v>
      </c>
      <c r="D15645" s="2" t="s">
        <f>=HYPERLINK("https://main.knesset.gov.il/APPS/legislation/main/bills/2081672", "הצעת חוק מכר סיטונאי חקלאי, התש""ף-2019")</f>
        <v>30017</v>
      </c>
      <c r="E15645" t="s">
        <v>30017</v>
      </c>
      <c r="F15645" t="s">
        <v>30018</v>
      </c>
      <c r="G15645" t="s">
        <v>14</v>
      </c>
      <c r="H15645">
             </c>
      <c r="I15645" t="s">
        <v>14</v>
      </c>
      <c r="J15645" t="s">
        <v>141</v>
      </c>
      <c r="K15645" t="s">
        <v>14</v>
      </c>
      <c r="L15645" t="s">
        <v>20</v>
      </c>
      <c r="M15645" t="s">
        <v>29895</v>
      </c>
      <c r="N15645" t="s">
        <v>14</v>
      </c>
    </row>
    <row r="15646" x14ac:dyDescent="0.25">
      <c r="A15646" t="n">
        <v>22</v>
      </c>
      <c r="B15646" t="s">
        <v>14</v>
      </c>
      <c r="C15646" t="s">
        <v>22</v>
      </c>
      <c r="D15646" s="2" t="s">
        <f>=HYPERLINK("https://main.knesset.gov.il/APPS/legislation/main/bills/2081668", "הצעת חוק ביטוח בריאות ממלכתי (תיקון-שירותי בריאות נוספים לשוהים במוסדות לילדים ונוער בסיכון), התש""ף-2019")</f>
        <v>30019</v>
      </c>
      <c r="E15646" t="s">
        <v>30019</v>
      </c>
      <c r="F15646" t="s">
        <v>30020</v>
      </c>
      <c r="G15646" t="s">
        <v>14</v>
      </c>
      <c r="H15646">
             </c>
      <c r="I15646" t="s">
        <v>14</v>
      </c>
      <c r="J15646" t="s">
        <v>141</v>
      </c>
      <c r="K15646" t="s">
        <v>14</v>
      </c>
      <c r="L15646" t="s">
        <v>20</v>
      </c>
      <c r="M15646" t="s">
        <v>29895</v>
      </c>
      <c r="N15646" t="s">
        <v>14</v>
      </c>
    </row>
    <row r="15647" x14ac:dyDescent="0.25">
      <c r="A15647" t="n">
        <v>22</v>
      </c>
      <c r="B15647" t="s">
        <v>14</v>
      </c>
      <c r="C15647" t="s">
        <v>22</v>
      </c>
      <c r="D15647" s="2" t="s">
        <f>=HYPERLINK("https://main.knesset.gov.il/APPS/legislation/main/bills/2081623", "הצעת חוק מרשם האוכלוסין (תיקון - רישום הורה נוסף), התש""ף-2019")</f>
        <v>30021</v>
      </c>
      <c r="E15647" t="s">
        <v>30021</v>
      </c>
      <c r="F15647" t="s">
        <v>30022</v>
      </c>
      <c r="G15647" t="s">
        <v>14</v>
      </c>
      <c r="H15647">
             </c>
      <c r="I15647" t="s">
        <v>14</v>
      </c>
      <c r="J15647" t="s">
        <v>141</v>
      </c>
      <c r="K15647" t="s">
        <v>14</v>
      </c>
      <c r="L15647" t="s">
        <v>20</v>
      </c>
      <c r="M15647" t="s">
        <v>29895</v>
      </c>
      <c r="N15647" t="s">
        <v>14</v>
      </c>
    </row>
    <row r="15648" x14ac:dyDescent="0.25">
      <c r="A15648" t="n">
        <v>22</v>
      </c>
      <c r="B15648" t="s">
        <v>14</v>
      </c>
      <c r="C15648" t="s">
        <v>22</v>
      </c>
      <c r="D15648" s="2" t="s">
        <f>=HYPERLINK("https://main.knesset.gov.il/APPS/legislation/main/bills/2081621", "הצעת חוק לתיקון פקודת מס הכנסה (השוואת תנאים בין שכיר לעצמאי בחיסכון ארוך טווח), התש""ף-2019")</f>
        <v>30023</v>
      </c>
      <c r="E15648" t="s">
        <v>30023</v>
      </c>
      <c r="F15648" t="s">
        <v>30024</v>
      </c>
      <c r="G15648" t="s">
        <v>14</v>
      </c>
      <c r="H15648">
             </c>
      <c r="I15648" t="s">
        <v>14</v>
      </c>
      <c r="J15648" t="s">
        <v>141</v>
      </c>
      <c r="K15648" t="s">
        <v>14</v>
      </c>
      <c r="L15648" t="s">
        <v>20</v>
      </c>
      <c r="M15648" t="s">
        <v>29895</v>
      </c>
      <c r="N15648" t="s">
        <v>14</v>
      </c>
    </row>
    <row r="15649" x14ac:dyDescent="0.25">
      <c r="A15649" t="n">
        <v>22</v>
      </c>
      <c r="B15649" t="s">
        <v>14</v>
      </c>
      <c r="C15649" t="s">
        <v>22</v>
      </c>
      <c r="D15649" s="2" t="s">
        <f>=HYPERLINK("https://main.knesset.gov.il/APPS/legislation/main/bills/2081607", "הצעת חוק יישוב סכסוכי עבודה (תיקון - סכסוך עבודה פוליטי), התש""ף-2019")</f>
        <v>30025</v>
      </c>
      <c r="E15649" t="s">
        <v>30025</v>
      </c>
      <c r="F15649" t="s">
        <v>30026</v>
      </c>
      <c r="G15649" t="s">
        <v>14</v>
      </c>
      <c r="H15649">
             </c>
      <c r="I15649" t="s">
        <v>14</v>
      </c>
      <c r="J15649" t="s">
        <v>141</v>
      </c>
      <c r="K15649" t="s">
        <v>14</v>
      </c>
      <c r="L15649" t="s">
        <v>20</v>
      </c>
      <c r="M15649" t="s">
        <v>29895</v>
      </c>
      <c r="N15649" t="s">
        <v>14</v>
      </c>
    </row>
    <row r="15650" x14ac:dyDescent="0.25">
      <c r="A15650" t="n">
        <v>22</v>
      </c>
      <c r="B15650" t="s">
        <v>14</v>
      </c>
      <c r="C15650" t="s">
        <v>22</v>
      </c>
      <c r="D15650" s="2" t="s">
        <f>=HYPERLINK("https://main.knesset.gov.il/APPS/legislation/main/bills/2081606", "הצעת חוק דמי מחלה (היעדרות בשל מחלת ילד) (תיקון - היעדרות בשל אשפוז ילד), התש""ף-2019")</f>
        <v>30027</v>
      </c>
      <c r="E15650" t="s">
        <v>30027</v>
      </c>
      <c r="F15650" t="s">
        <v>30028</v>
      </c>
      <c r="G15650" t="s">
        <v>14</v>
      </c>
      <c r="H15650">
             </c>
      <c r="I15650" t="s">
        <v>14</v>
      </c>
      <c r="J15650" t="s">
        <v>141</v>
      </c>
      <c r="K15650" t="s">
        <v>14</v>
      </c>
      <c r="L15650" t="s">
        <v>20</v>
      </c>
      <c r="M15650" t="s">
        <v>29895</v>
      </c>
      <c r="N15650" t="s">
        <v>14</v>
      </c>
    </row>
    <row r="15651" x14ac:dyDescent="0.25">
      <c r="A15651" t="n">
        <v>22</v>
      </c>
      <c r="B15651" t="s">
        <v>14</v>
      </c>
      <c r="C15651" t="s">
        <v>22</v>
      </c>
      <c r="D15651" s="2" t="s">
        <f>=HYPERLINK("https://main.knesset.gov.il/APPS/legislation/main/bills/2081703", "הצעת חוק-יסוד: הכנסת (תיקון - מניין חברי הכנסת במליאה)")</f>
        <v>3333</v>
      </c>
      <c r="E15651" t="s">
        <v>3333</v>
      </c>
      <c r="F15651" t="s">
        <v>30029</v>
      </c>
      <c r="G15651" t="s">
        <v>14</v>
      </c>
      <c r="H15651">
             </c>
      <c r="I15651" t="s">
        <v>14</v>
      </c>
      <c r="J15651" t="s">
        <v>141</v>
      </c>
      <c r="K15651" t="s">
        <v>14</v>
      </c>
      <c r="L15651" t="s">
        <v>20</v>
      </c>
      <c r="M15651" t="s">
        <v>29895</v>
      </c>
      <c r="N15651" t="s">
        <v>14</v>
      </c>
    </row>
    <row r="15652" x14ac:dyDescent="0.25">
      <c r="A15652" t="n">
        <v>22</v>
      </c>
      <c r="B15652" t="s">
        <v>14</v>
      </c>
      <c r="C15652" t="s">
        <v>22</v>
      </c>
      <c r="D15652" s="2" t="s">
        <f>=HYPERLINK("https://main.knesset.gov.il/APPS/legislation/main/bills/2081602", "הצעת חוק-יסוד: הכנסת (תיקון - קבלת סעיף בחוק-יסוד שדרוש לביטולו או לשינויו רוב מיוחס) ")</f>
        <v>30030</v>
      </c>
      <c r="E15652" t="s">
        <v>30030</v>
      </c>
      <c r="F15652" t="s">
        <v>30031</v>
      </c>
      <c r="G15652" t="s">
        <v>14</v>
      </c>
      <c r="H15652">
             </c>
      <c r="I15652" t="s">
        <v>14</v>
      </c>
      <c r="J15652" t="s">
        <v>141</v>
      </c>
      <c r="K15652" t="s">
        <v>14</v>
      </c>
      <c r="L15652" t="s">
        <v>20</v>
      </c>
      <c r="M15652" t="s">
        <v>29895</v>
      </c>
      <c r="N15652" t="s">
        <v>14</v>
      </c>
    </row>
    <row r="15653" x14ac:dyDescent="0.25">
      <c r="A15653" t="n">
        <v>22</v>
      </c>
      <c r="B15653" t="s">
        <v>14</v>
      </c>
      <c r="C15653" t="s">
        <v>22</v>
      </c>
      <c r="D15653" s="2" t="s">
        <f>=HYPERLINK("https://main.knesset.gov.il/APPS/legislation/main/bills/2081860", "הצעת חוק חסינות חברי הכנסת, זכויותיהם וחובותיהם (תיקון - ועדה ציבורית לבחינת הצהרות ההון של חברי הכנסת), התש""ף-2019")</f>
        <v>30032</v>
      </c>
      <c r="E15653" t="s">
        <v>30032</v>
      </c>
      <c r="F15653" t="s">
        <v>30033</v>
      </c>
      <c r="G15653" t="s">
        <v>14</v>
      </c>
      <c r="H15653">
             </c>
      <c r="I15653" t="s">
        <v>14</v>
      </c>
      <c r="J15653" t="s">
        <v>141</v>
      </c>
      <c r="K15653" t="s">
        <v>14</v>
      </c>
      <c r="L15653" t="s">
        <v>20</v>
      </c>
      <c r="M15653" t="s">
        <v>29895</v>
      </c>
      <c r="N15653" t="s">
        <v>14</v>
      </c>
    </row>
    <row r="15654" x14ac:dyDescent="0.25">
      <c r="A15654" t="n">
        <v>22</v>
      </c>
      <c r="B15654" t="s">
        <v>14</v>
      </c>
      <c r="C15654" t="s">
        <v>22</v>
      </c>
      <c r="D15654" s="2" t="s">
        <f>=HYPERLINK("https://main.knesset.gov.il/APPS/legislation/main/bills/2081235", "הצעת חוק לתיקון פקודת הסמים המסוכנים (החזקה או שימוש לצריכה עצמית של סם מסוג קנבוס או שרף של קנבוס), התש""ף-2019")</f>
        <v>30034</v>
      </c>
      <c r="E15654" t="s">
        <v>30034</v>
      </c>
      <c r="F15654" t="s">
        <v>30035</v>
      </c>
      <c r="G15654" t="s">
        <v>14</v>
      </c>
      <c r="H15654">
             </c>
      <c r="I15654" t="s">
        <v>14</v>
      </c>
      <c r="J15654" t="s">
        <v>141</v>
      </c>
      <c r="K15654" t="s">
        <v>14</v>
      </c>
      <c r="L15654" t="s">
        <v>20</v>
      </c>
      <c r="M15654" t="s">
        <v>29895</v>
      </c>
      <c r="N15654" t="s">
        <v>14</v>
      </c>
    </row>
    <row r="15655" x14ac:dyDescent="0.25">
      <c r="A15655" t="n">
        <v>22</v>
      </c>
      <c r="B15655" t="s">
        <v>14</v>
      </c>
      <c r="C15655" t="s">
        <v>22</v>
      </c>
      <c r="D15655" s="2" t="s">
        <f>=HYPERLINK("https://main.knesset.gov.il/APPS/legislation/main/bills/2081681", "הצעת חוק דמי מחלה (תיקון - הצהרת מחלה), התש""ף-2019")</f>
        <v>30036</v>
      </c>
      <c r="E15655" t="s">
        <v>30036</v>
      </c>
      <c r="F15655" t="s">
        <v>30037</v>
      </c>
      <c r="G15655" t="s">
        <v>14</v>
      </c>
      <c r="H15655">
             </c>
      <c r="I15655" t="s">
        <v>14</v>
      </c>
      <c r="J15655" t="s">
        <v>141</v>
      </c>
      <c r="K15655" t="s">
        <v>14</v>
      </c>
      <c r="L15655" t="s">
        <v>20</v>
      </c>
      <c r="M15655" t="s">
        <v>29895</v>
      </c>
      <c r="N15655" t="s">
        <v>14</v>
      </c>
    </row>
    <row r="15656" x14ac:dyDescent="0.25">
      <c r="A15656" t="n">
        <v>22</v>
      </c>
      <c r="B15656" t="s">
        <v>14</v>
      </c>
      <c r="C15656" t="s">
        <v>22</v>
      </c>
      <c r="D15656" s="2" t="s">
        <f>=HYPERLINK("https://main.knesset.gov.il/APPS/legislation/main/bills/2081474", "הצעת חוק לתיקון פקודת העיריות (השבת הסמכות למועצת העיריה לעניין חוקי עזר בדבר פתיחתם וסגירתם של עסקים בימי מנוחה), התש""ף-2019")</f>
        <v>30038</v>
      </c>
      <c r="E15656" t="s">
        <v>30038</v>
      </c>
      <c r="F15656" t="s">
        <v>30039</v>
      </c>
      <c r="G15656" t="s">
        <v>14</v>
      </c>
      <c r="H15656">
             </c>
      <c r="I15656" t="s">
        <v>14</v>
      </c>
      <c r="J15656" t="s">
        <v>141</v>
      </c>
      <c r="K15656" t="s">
        <v>14</v>
      </c>
      <c r="L15656" t="s">
        <v>20</v>
      </c>
      <c r="M15656" t="s">
        <v>29895</v>
      </c>
      <c r="N15656" t="s">
        <v>14</v>
      </c>
    </row>
    <row r="15657" x14ac:dyDescent="0.25">
      <c r="A15657" t="n">
        <v>22</v>
      </c>
      <c r="B15657" t="s">
        <v>14</v>
      </c>
      <c r="C15657" t="s">
        <v>22</v>
      </c>
      <c r="D15657" s="2" t="s">
        <f>=HYPERLINK("https://main.knesset.gov.il/APPS/legislation/main/bills/2081464", "הצעת חוק הגנת הצרכן (תיקון - אחריות מנהל כללי ונושא משרה בשל הפרת הוראות החוק), התש""ף-2019 ")</f>
        <v>30040</v>
      </c>
      <c r="E15657" t="s">
        <v>30040</v>
      </c>
      <c r="F15657" t="s">
        <v>30041</v>
      </c>
      <c r="G15657" t="s">
        <v>14</v>
      </c>
      <c r="H15657">
             </c>
      <c r="I15657" t="s">
        <v>14</v>
      </c>
      <c r="J15657" t="s">
        <v>141</v>
      </c>
      <c r="K15657" t="s">
        <v>14</v>
      </c>
      <c r="L15657" t="s">
        <v>20</v>
      </c>
      <c r="M15657" t="s">
        <v>29895</v>
      </c>
      <c r="N15657" t="s">
        <v>14</v>
      </c>
    </row>
    <row r="15658" x14ac:dyDescent="0.25">
      <c r="A15658" t="n">
        <v>22</v>
      </c>
      <c r="B15658" t="s">
        <v>14</v>
      </c>
      <c r="C15658" t="s">
        <v>22</v>
      </c>
      <c r="D15658" s="2" t="s">
        <f>=HYPERLINK("https://main.knesset.gov.il/APPS/legislation/main/bills/2081518", "הצעת חוק הביטוח הלאומי (תיקון - גמלת אבל), התש""ף-2019")</f>
        <v>30042</v>
      </c>
      <c r="E15658" t="s">
        <v>30042</v>
      </c>
      <c r="F15658" t="s">
        <v>30043</v>
      </c>
      <c r="G15658" t="s">
        <v>14</v>
      </c>
      <c r="H15658">
             </c>
      <c r="I15658" t="s">
        <v>14</v>
      </c>
      <c r="J15658" t="s">
        <v>141</v>
      </c>
      <c r="K15658" t="s">
        <v>14</v>
      </c>
      <c r="L15658" t="s">
        <v>20</v>
      </c>
      <c r="M15658" t="s">
        <v>29895</v>
      </c>
      <c r="N15658" t="s">
        <v>14</v>
      </c>
    </row>
    <row r="15659" x14ac:dyDescent="0.25">
      <c r="A15659" t="n">
        <v>22</v>
      </c>
      <c r="B15659" t="s">
        <v>14</v>
      </c>
      <c r="C15659" t="s">
        <v>22</v>
      </c>
      <c r="D15659" s="2" t="s">
        <f>=HYPERLINK("https://main.knesset.gov.il/APPS/legislation/main/bills/2081493", "הצעת חוק הביטוח הלאומי (תיקון - גמלת אבל), התש""ף-2019")</f>
        <v>30042</v>
      </c>
      <c r="E15659" t="s">
        <v>30042</v>
      </c>
      <c r="F15659" t="s">
        <v>30044</v>
      </c>
      <c r="G15659" t="s">
        <v>14</v>
      </c>
      <c r="H15659">
             </c>
      <c r="I15659" t="s">
        <v>14</v>
      </c>
      <c r="J15659" t="s">
        <v>141</v>
      </c>
      <c r="K15659" t="s">
        <v>14</v>
      </c>
      <c r="L15659" t="s">
        <v>20</v>
      </c>
      <c r="M15659" t="s">
        <v>29895</v>
      </c>
      <c r="N15659" t="s">
        <v>14</v>
      </c>
    </row>
    <row r="15660" x14ac:dyDescent="0.25">
      <c r="A15660" t="n">
        <v>22</v>
      </c>
      <c r="B15660" t="s">
        <v>14</v>
      </c>
      <c r="C15660" t="s">
        <v>22</v>
      </c>
      <c r="D15660" s="2" t="s">
        <f>=HYPERLINK("https://main.knesset.gov.il/APPS/legislation/main/bills/2081454", "הצעת חוק להסדרת הפיקוח על כלבים (תיקון - קנס מוגדל בשל כלב משוטט שאינו מסורס או מעוקר), התש""ף-2019")</f>
        <v>30045</v>
      </c>
      <c r="E15660" t="s">
        <v>30045</v>
      </c>
      <c r="F15660" t="s">
        <v>30046</v>
      </c>
      <c r="G15660" t="s">
        <v>14</v>
      </c>
      <c r="H15660">
             </c>
      <c r="I15660" t="s">
        <v>14</v>
      </c>
      <c r="J15660" t="s">
        <v>141</v>
      </c>
      <c r="K15660" t="s">
        <v>14</v>
      </c>
      <c r="L15660" t="s">
        <v>20</v>
      </c>
      <c r="M15660" t="s">
        <v>29895</v>
      </c>
      <c r="N15660" t="s">
        <v>14</v>
      </c>
    </row>
    <row r="15661" x14ac:dyDescent="0.25">
      <c r="A15661" t="n">
        <v>22</v>
      </c>
      <c r="B15661" t="s">
        <v>14</v>
      </c>
      <c r="C15661" t="s">
        <v>22</v>
      </c>
      <c r="D15661" s="2" t="s">
        <f>=HYPERLINK("https://main.knesset.gov.il/APPS/legislation/main/bills/2081761", "הצעת חוק הענקת אזרחות כבוד לחללי מלחמת הקוממיות (תיקון - הענקת אזרחות ישראלית), התש""ף-2019")</f>
        <v>30047</v>
      </c>
      <c r="E15661" t="s">
        <v>30047</v>
      </c>
      <c r="F15661" t="s">
        <v>30048</v>
      </c>
      <c r="G15661" t="s">
        <v>14</v>
      </c>
      <c r="H15661">
             </c>
      <c r="I15661" t="s">
        <v>14</v>
      </c>
      <c r="J15661" t="s">
        <v>141</v>
      </c>
      <c r="K15661" t="s">
        <v>14</v>
      </c>
      <c r="L15661" t="s">
        <v>20</v>
      </c>
      <c r="M15661" t="s">
        <v>29895</v>
      </c>
      <c r="N15661" t="s">
        <v>14</v>
      </c>
    </row>
    <row r="15662" x14ac:dyDescent="0.25">
      <c r="A15662" t="n">
        <v>22</v>
      </c>
      <c r="B15662" t="s">
        <v>14</v>
      </c>
      <c r="C15662" t="s">
        <v>22</v>
      </c>
      <c r="D15662" s="2" t="s">
        <f>=HYPERLINK("https://main.knesset.gov.il/APPS/legislation/main/bills/2081374", "הצעת חוק השמות (תיקון - בחירה או שינוי שם), התש""ף-2019")</f>
        <v>30049</v>
      </c>
      <c r="E15662" t="s">
        <v>30049</v>
      </c>
      <c r="F15662" t="s">
        <v>30050</v>
      </c>
      <c r="G15662" t="s">
        <v>14</v>
      </c>
      <c r="H15662">
             </c>
      <c r="I15662" t="s">
        <v>14</v>
      </c>
      <c r="J15662" t="s">
        <v>141</v>
      </c>
      <c r="K15662" t="s">
        <v>14</v>
      </c>
      <c r="L15662" t="s">
        <v>20</v>
      </c>
      <c r="M15662" t="s">
        <v>29895</v>
      </c>
      <c r="N15662" t="s">
        <v>14</v>
      </c>
    </row>
    <row r="15663" x14ac:dyDescent="0.25">
      <c r="A15663" t="n">
        <v>22</v>
      </c>
      <c r="B15663" t="s">
        <v>14</v>
      </c>
      <c r="C15663" t="s">
        <v>22</v>
      </c>
      <c r="D15663" s="2" t="s">
        <f>=HYPERLINK("https://main.knesset.gov.il/APPS/legislation/main/bills/2081749", "הצעת חוק הטבות לניצולי שואה (תיקון - מענק שנתי למקבלי קצבאות מחוץ לארץ), התש""ף-2019")</f>
        <v>30051</v>
      </c>
      <c r="E15663" t="s">
        <v>30051</v>
      </c>
      <c r="F15663" t="s">
        <v>30052</v>
      </c>
      <c r="G15663" t="s">
        <v>14</v>
      </c>
      <c r="H15663">
             </c>
      <c r="I15663" t="s">
        <v>14</v>
      </c>
      <c r="J15663" t="s">
        <v>141</v>
      </c>
      <c r="K15663" t="s">
        <v>14</v>
      </c>
      <c r="L15663" t="s">
        <v>20</v>
      </c>
      <c r="M15663" t="s">
        <v>29895</v>
      </c>
      <c r="N15663" t="s">
        <v>14</v>
      </c>
    </row>
    <row r="15664" x14ac:dyDescent="0.25">
      <c r="A15664" t="n">
        <v>22</v>
      </c>
      <c r="B15664" t="s">
        <v>14</v>
      </c>
      <c r="C15664" t="s">
        <v>22</v>
      </c>
      <c r="D15664" s="2" t="s">
        <f>=HYPERLINK("https://main.knesset.gov.il/APPS/legislation/main/bills/2081737", "הצעת חוק הכניסה לישראל (תיקון - ביטול האיסור על מתן אשרה ורישיון ישיבה לקורא לחרם על ישראל), התש""ף-2019")</f>
        <v>30053</v>
      </c>
      <c r="E15664" t="s">
        <v>30053</v>
      </c>
      <c r="F15664" t="s">
        <v>30054</v>
      </c>
      <c r="G15664" t="s">
        <v>14</v>
      </c>
      <c r="H15664">
             </c>
      <c r="I15664" t="s">
        <v>14</v>
      </c>
      <c r="J15664" t="s">
        <v>141</v>
      </c>
      <c r="K15664" t="s">
        <v>14</v>
      </c>
      <c r="L15664" t="s">
        <v>20</v>
      </c>
      <c r="M15664" t="s">
        <v>29895</v>
      </c>
      <c r="N15664" t="s">
        <v>14</v>
      </c>
    </row>
    <row r="15665" x14ac:dyDescent="0.25">
      <c r="A15665" t="n">
        <v>22</v>
      </c>
      <c r="B15665" t="s">
        <v>14</v>
      </c>
      <c r="C15665" t="s">
        <v>22</v>
      </c>
      <c r="D15665" s="2" t="s">
        <f>=HYPERLINK("https://main.knesset.gov.il/APPS/legislation/main/bills/2081222", "הצעת חוק ביטוח בריאות ממלכתי (תיקון - רפואת ילדים דחופה בפרירפיה בשעות הלילה), התש""ף-2019")</f>
        <v>30055</v>
      </c>
      <c r="E15665" t="s">
        <v>30055</v>
      </c>
      <c r="F15665" t="s">
        <v>30056</v>
      </c>
      <c r="G15665" t="s">
        <v>14</v>
      </c>
      <c r="H15665">
             </c>
      <c r="I15665" t="s">
        <v>14</v>
      </c>
      <c r="J15665" t="s">
        <v>141</v>
      </c>
      <c r="K15665" t="s">
        <v>14</v>
      </c>
      <c r="L15665" t="s">
        <v>20</v>
      </c>
      <c r="M15665" t="s">
        <v>29895</v>
      </c>
      <c r="N15665" t="s">
        <v>14</v>
      </c>
    </row>
    <row r="15666" x14ac:dyDescent="0.25">
      <c r="A15666" t="n">
        <v>22</v>
      </c>
      <c r="B15666" t="s">
        <v>14</v>
      </c>
      <c r="C15666" t="s">
        <v>22</v>
      </c>
      <c r="D15666" s="2" t="s">
        <f>=HYPERLINK("https://main.knesset.gov.il/APPS/legislation/main/bills/2081362", "הצעת חוק החזר גביית יתר (תיקוני חקיקה), התש""ף-2019")</f>
        <v>28157</v>
      </c>
      <c r="E15666" t="s">
        <v>28157</v>
      </c>
      <c r="F15666" t="s">
        <v>30057</v>
      </c>
      <c r="G15666" t="s">
        <v>14</v>
      </c>
      <c r="H15666">
             </c>
      <c r="I15666" t="s">
        <v>14</v>
      </c>
      <c r="J15666" t="s">
        <v>141</v>
      </c>
      <c r="K15666" t="s">
        <v>14</v>
      </c>
      <c r="L15666" t="s">
        <v>20</v>
      </c>
      <c r="M15666" t="s">
        <v>29895</v>
      </c>
      <c r="N15666" t="s">
        <v>14</v>
      </c>
    </row>
    <row r="15667" x14ac:dyDescent="0.25">
      <c r="A15667" t="n">
        <v>22</v>
      </c>
      <c r="B15667" t="s">
        <v>14</v>
      </c>
      <c r="C15667" t="s">
        <v>22</v>
      </c>
      <c r="D15667" s="2" t="s">
        <f>=HYPERLINK("https://main.knesset.gov.il/APPS/legislation/main/bills/2081453", "הצעת חוק להגבלת שכר טרחת כונסי נכסים (תיקוני חקיקה), התש""ף-2019")</f>
        <v>30058</v>
      </c>
      <c r="E15667" t="s">
        <v>30058</v>
      </c>
      <c r="F15667" t="s">
        <v>30059</v>
      </c>
      <c r="G15667" t="s">
        <v>14</v>
      </c>
      <c r="H15667">
             </c>
      <c r="I15667" t="s">
        <v>14</v>
      </c>
      <c r="J15667" t="s">
        <v>141</v>
      </c>
      <c r="K15667" t="s">
        <v>14</v>
      </c>
      <c r="L15667" t="s">
        <v>20</v>
      </c>
      <c r="M15667" t="s">
        <v>29895</v>
      </c>
      <c r="N15667" t="s">
        <v>14</v>
      </c>
    </row>
    <row r="15668" x14ac:dyDescent="0.25">
      <c r="A15668" t="n">
        <v>22</v>
      </c>
      <c r="B15668" t="s">
        <v>14</v>
      </c>
      <c r="C15668" t="s">
        <v>22</v>
      </c>
      <c r="D15668" s="2" t="s">
        <f>=HYPERLINK("https://main.knesset.gov.il/APPS/legislation/main/bills/2081452", "הצעת חוק הביטוח הלאומי (תיקון - קצבת אזרח ותיק ראויה), התש""ף-2019")</f>
        <v>27853</v>
      </c>
      <c r="E15668" t="s">
        <v>27853</v>
      </c>
      <c r="F15668" t="s">
        <v>30060</v>
      </c>
      <c r="G15668" t="s">
        <v>14</v>
      </c>
      <c r="H15668">
             </c>
      <c r="I15668" t="s">
        <v>14</v>
      </c>
      <c r="J15668" t="s">
        <v>141</v>
      </c>
      <c r="K15668" t="s">
        <v>14</v>
      </c>
      <c r="L15668" t="s">
        <v>20</v>
      </c>
      <c r="M15668" t="s">
        <v>29895</v>
      </c>
      <c r="N15668" t="s">
        <v>14</v>
      </c>
    </row>
    <row r="15669" x14ac:dyDescent="0.25">
      <c r="A15669" t="n">
        <v>22</v>
      </c>
      <c r="B15669" t="s">
        <v>14</v>
      </c>
      <c r="C15669" t="s">
        <v>22</v>
      </c>
      <c r="D15669" s="2" t="s">
        <f>=HYPERLINK("https://main.knesset.gov.il/APPS/legislation/main/bills/2081286", "הצעת חוק החזר גביית יתר (תיקוני חקיקה), התש""ף-2019")</f>
        <v>28157</v>
      </c>
      <c r="E15669" t="s">
        <v>28157</v>
      </c>
      <c r="F15669" t="s">
        <v>30061</v>
      </c>
      <c r="G15669" t="s">
        <v>14</v>
      </c>
      <c r="H15669">
             </c>
      <c r="I15669" t="s">
        <v>14</v>
      </c>
      <c r="J15669" t="s">
        <v>141</v>
      </c>
      <c r="K15669" t="s">
        <v>14</v>
      </c>
      <c r="L15669" t="s">
        <v>20</v>
      </c>
      <c r="M15669" t="s">
        <v>29895</v>
      </c>
      <c r="N15669" t="s">
        <v>14</v>
      </c>
    </row>
    <row r="15670" x14ac:dyDescent="0.25">
      <c r="A15670" t="n">
        <v>22</v>
      </c>
      <c r="B15670" t="s">
        <v>14</v>
      </c>
      <c r="C15670" t="s">
        <v>22</v>
      </c>
      <c r="D15670" s="2" t="s">
        <f>=HYPERLINK("https://main.knesset.gov.il/APPS/legislation/main/bills/2081614", "הצעת חוק הפעלת תחבורה ציבורית ביום המנוחה השבועי, התש""ף-2019")</f>
        <v>30062</v>
      </c>
      <c r="E15670" t="s">
        <v>30062</v>
      </c>
      <c r="F15670" t="s">
        <v>30063</v>
      </c>
      <c r="G15670" t="s">
        <v>14</v>
      </c>
      <c r="H15670">
             </c>
      <c r="I15670" t="s">
        <v>14</v>
      </c>
      <c r="J15670" t="s">
        <v>141</v>
      </c>
      <c r="K15670" t="s">
        <v>14</v>
      </c>
      <c r="L15670" t="s">
        <v>20</v>
      </c>
      <c r="M15670" t="s">
        <v>29895</v>
      </c>
      <c r="N15670" t="s">
        <v>14</v>
      </c>
    </row>
    <row r="15671" x14ac:dyDescent="0.25">
      <c r="A15671" t="n">
        <v>22</v>
      </c>
      <c r="B15671" t="s">
        <v>14</v>
      </c>
      <c r="C15671" t="s">
        <v>22</v>
      </c>
      <c r="D15671" s="2" t="s">
        <f>=HYPERLINK("https://main.knesset.gov.il/APPS/legislation/main/bills/2081280", "הצעת חוק זכויות לעובד עצמאי, התש""ף-2019")</f>
        <v>30064</v>
      </c>
      <c r="E15671" t="s">
        <v>30064</v>
      </c>
      <c r="F15671" t="s">
        <v>30065</v>
      </c>
      <c r="G15671" t="s">
        <v>14</v>
      </c>
      <c r="H15671">
             </c>
      <c r="I15671" t="s">
        <v>14</v>
      </c>
      <c r="J15671" t="s">
        <v>141</v>
      </c>
      <c r="K15671" t="s">
        <v>14</v>
      </c>
      <c r="L15671" t="s">
        <v>20</v>
      </c>
      <c r="M15671" t="s">
        <v>29895</v>
      </c>
      <c r="N15671" t="s">
        <v>14</v>
      </c>
    </row>
    <row r="15672" x14ac:dyDescent="0.25">
      <c r="A15672" t="n">
        <v>22</v>
      </c>
      <c r="B15672" t="s">
        <v>14</v>
      </c>
      <c r="C15672" t="s">
        <v>22</v>
      </c>
      <c r="D15672" s="2" t="s">
        <f>=HYPERLINK("https://main.knesset.gov.il/APPS/legislation/main/bills/2081212", "הצעת חוק הפעלת תחבורה ציבורית ביום המנוחה השבועי, התש""ף-2019")</f>
        <v>30062</v>
      </c>
      <c r="E15672" t="s">
        <v>30062</v>
      </c>
      <c r="F15672" t="s">
        <v>30066</v>
      </c>
      <c r="G15672" t="s">
        <v>14</v>
      </c>
      <c r="H15672">
             </c>
      <c r="I15672" t="s">
        <v>14</v>
      </c>
      <c r="J15672" t="s">
        <v>141</v>
      </c>
      <c r="K15672" t="s">
        <v>14</v>
      </c>
      <c r="L15672" t="s">
        <v>20</v>
      </c>
      <c r="M15672" t="s">
        <v>29895</v>
      </c>
      <c r="N15672" t="s">
        <v>14</v>
      </c>
    </row>
    <row r="15673" x14ac:dyDescent="0.25">
      <c r="A15673" t="n">
        <v>22</v>
      </c>
      <c r="B15673" t="s">
        <v>14</v>
      </c>
      <c r="C15673" t="s">
        <v>22</v>
      </c>
      <c r="D15673" s="2" t="s">
        <f>=HYPERLINK("https://main.knesset.gov.il/APPS/legislation/main/bills/2081780", "הצעת חוק ביטוח בריאות ממלכתי (תיקון - תוספת קבועה לסל שירותי הבריאות לעדכון טכנולוגיות רפואיות חדשות, תרופות, מכשור ושיטות טיפול), התש""ף-2019")</f>
        <v>30067</v>
      </c>
      <c r="E15673" t="s">
        <v>30067</v>
      </c>
      <c r="F15673" t="s">
        <v>30068</v>
      </c>
      <c r="G15673" t="s">
        <v>14</v>
      </c>
      <c r="H15673">
             </c>
      <c r="I15673" t="s">
        <v>14</v>
      </c>
      <c r="J15673" t="s">
        <v>141</v>
      </c>
      <c r="K15673" t="s">
        <v>14</v>
      </c>
      <c r="L15673" t="s">
        <v>20</v>
      </c>
      <c r="M15673" t="s">
        <v>29895</v>
      </c>
      <c r="N15673" t="s">
        <v>14</v>
      </c>
    </row>
    <row r="15674" x14ac:dyDescent="0.25">
      <c r="A15674" t="n">
        <v>22</v>
      </c>
      <c r="B15674" t="s">
        <v>14</v>
      </c>
      <c r="C15674" t="s">
        <v>22</v>
      </c>
      <c r="D15674" s="2" t="s">
        <f>=HYPERLINK("https://main.knesset.gov.il/APPS/legislation/main/bills/2081427", "הצעת חוק ביטוח בריאות ממלכתי (תיקון - תוספת קבועה לסל שירותי הבריאות לעדכון טכנולוגיות רפואיות חדשות, תרופות, מכשור ושיטות טיפול), התש""ף-2019")</f>
        <v>30067</v>
      </c>
      <c r="E15674" t="s">
        <v>30067</v>
      </c>
      <c r="F15674" t="s">
        <v>30069</v>
      </c>
      <c r="G15674" t="s">
        <v>14</v>
      </c>
      <c r="H15674">
             </c>
      <c r="I15674" t="s">
        <v>14</v>
      </c>
      <c r="J15674" t="s">
        <v>141</v>
      </c>
      <c r="K15674" t="s">
        <v>14</v>
      </c>
      <c r="L15674" t="s">
        <v>20</v>
      </c>
      <c r="M15674" t="s">
        <v>29895</v>
      </c>
      <c r="N15674" t="s">
        <v>14</v>
      </c>
    </row>
    <row r="15675" x14ac:dyDescent="0.25">
      <c r="A15675" t="n">
        <v>22</v>
      </c>
      <c r="B15675" t="s">
        <v>14</v>
      </c>
      <c r="C15675" t="s">
        <v>22</v>
      </c>
      <c r="D15675" s="2" t="s">
        <f>=HYPERLINK("https://main.knesset.gov.il/APPS/legislation/main/bills/2081292", "הצעת חוק להטבת נזקים והשבת עלויות טיפול רפואי בשל שימוש בטבק, התש""ף-2019")</f>
        <v>30070</v>
      </c>
      <c r="E15675" t="s">
        <v>30070</v>
      </c>
      <c r="F15675" t="s">
        <v>30071</v>
      </c>
      <c r="G15675" t="s">
        <v>14</v>
      </c>
      <c r="H15675">
             </c>
      <c r="I15675" t="s">
        <v>14</v>
      </c>
      <c r="J15675" t="s">
        <v>141</v>
      </c>
      <c r="K15675" t="s">
        <v>14</v>
      </c>
      <c r="L15675" t="s">
        <v>20</v>
      </c>
      <c r="M15675" t="s">
        <v>29895</v>
      </c>
      <c r="N15675" t="s">
        <v>14</v>
      </c>
    </row>
    <row r="15676" x14ac:dyDescent="0.25">
      <c r="A15676" t="n">
        <v>22</v>
      </c>
      <c r="B15676" t="s">
        <v>14</v>
      </c>
      <c r="C15676" t="s">
        <v>22</v>
      </c>
      <c r="D15676" s="2" t="s">
        <f>=HYPERLINK("https://main.knesset.gov.il/APPS/legislation/main/bills/2081282", "הצעת חוק המועצה לענף הלול (ייצור ושיווק) (תיקון - סימון ביצים), התש""ף-2019")</f>
        <v>30072</v>
      </c>
      <c r="E15676" t="s">
        <v>30072</v>
      </c>
      <c r="F15676" t="s">
        <v>30073</v>
      </c>
      <c r="G15676" t="s">
        <v>14</v>
      </c>
      <c r="H15676">
             </c>
      <c r="I15676" t="s">
        <v>14</v>
      </c>
      <c r="J15676" t="s">
        <v>141</v>
      </c>
      <c r="K15676" t="s">
        <v>14</v>
      </c>
      <c r="L15676" t="s">
        <v>20</v>
      </c>
      <c r="M15676" t="s">
        <v>29895</v>
      </c>
      <c r="N15676" t="s">
        <v>14</v>
      </c>
    </row>
    <row r="15677" x14ac:dyDescent="0.25">
      <c r="A15677" t="n">
        <v>22</v>
      </c>
      <c r="B15677" t="s">
        <v>14</v>
      </c>
      <c r="C15677" t="s">
        <v>22</v>
      </c>
      <c r="D15677" s="2" t="s">
        <f>=HYPERLINK("https://main.knesset.gov.il/APPS/legislation/main/bills/2081424", "הצעת חוק חופש הבחירה במזון מן הצומח, התש""ף-2019")</f>
        <v>30074</v>
      </c>
      <c r="E15677" t="s">
        <v>30074</v>
      </c>
      <c r="F15677" t="s">
        <v>30075</v>
      </c>
      <c r="G15677" t="s">
        <v>14</v>
      </c>
      <c r="H15677">
             </c>
      <c r="I15677" t="s">
        <v>14</v>
      </c>
      <c r="J15677" t="s">
        <v>141</v>
      </c>
      <c r="K15677" t="s">
        <v>14</v>
      </c>
      <c r="L15677" t="s">
        <v>20</v>
      </c>
      <c r="M15677" t="s">
        <v>29895</v>
      </c>
      <c r="N15677" t="s">
        <v>14</v>
      </c>
    </row>
    <row r="15678" x14ac:dyDescent="0.25">
      <c r="A15678" t="n">
        <v>22</v>
      </c>
      <c r="B15678" t="s">
        <v>14</v>
      </c>
      <c r="C15678" t="s">
        <v>22</v>
      </c>
      <c r="D15678" s="2" t="s">
        <f>=HYPERLINK("https://main.knesset.gov.il/APPS/legislation/main/bills/2081417", "הצעת חוק הביטוח הלאומי (תיקון - הרחבת הזכאות למענק פטירה), התש""ף-2019")</f>
        <v>30076</v>
      </c>
      <c r="E15678" t="s">
        <v>30076</v>
      </c>
      <c r="F15678" t="s">
        <v>30077</v>
      </c>
      <c r="G15678" t="s">
        <v>14</v>
      </c>
      <c r="H15678">
             </c>
      <c r="I15678" t="s">
        <v>14</v>
      </c>
      <c r="J15678" t="s">
        <v>141</v>
      </c>
      <c r="K15678" t="s">
        <v>14</v>
      </c>
      <c r="L15678" t="s">
        <v>20</v>
      </c>
      <c r="M15678" t="s">
        <v>29895</v>
      </c>
      <c r="N15678" t="s">
        <v>14</v>
      </c>
    </row>
    <row r="15679" x14ac:dyDescent="0.25">
      <c r="A15679" t="n">
        <v>22</v>
      </c>
      <c r="B15679" t="s">
        <v>14</v>
      </c>
      <c r="C15679" t="s">
        <v>22</v>
      </c>
      <c r="D15679" s="2" t="s">
        <f>=HYPERLINK("https://main.knesset.gov.il/APPS/legislation/main/bills/2081415", "הצעת חוק העונשין (תיקון - החרגת טורניר מהגדרת משחק אסור), התש""ף-2019")</f>
        <v>30078</v>
      </c>
      <c r="E15679" t="s">
        <v>30078</v>
      </c>
      <c r="F15679" t="s">
        <v>30079</v>
      </c>
      <c r="G15679" t="s">
        <v>14</v>
      </c>
      <c r="H15679">
             </c>
      <c r="I15679" t="s">
        <v>14</v>
      </c>
      <c r="J15679" t="s">
        <v>141</v>
      </c>
      <c r="K15679" t="s">
        <v>14</v>
      </c>
      <c r="L15679" t="s">
        <v>20</v>
      </c>
      <c r="M15679" t="s">
        <v>29895</v>
      </c>
      <c r="N15679" t="s">
        <v>14</v>
      </c>
    </row>
    <row r="15680" x14ac:dyDescent="0.25">
      <c r="A15680" t="n">
        <v>22</v>
      </c>
      <c r="B15680" t="s">
        <v>14</v>
      </c>
      <c r="C15680" t="s">
        <v>22</v>
      </c>
      <c r="D15680" s="2" t="s">
        <f>=HYPERLINK("https://main.knesset.gov.il/APPS/legislation/main/bills/2081186", "הצעת חוק הפעלת תחבורה ציבורית מצומצמת ביום המנוחה השבועי, התש""ף-2019")</f>
        <v>30080</v>
      </c>
      <c r="E15680" t="s">
        <v>30080</v>
      </c>
      <c r="F15680" t="s">
        <v>30081</v>
      </c>
      <c r="G15680" t="s">
        <v>14</v>
      </c>
      <c r="H15680">
             </c>
      <c r="I15680" t="s">
        <v>14</v>
      </c>
      <c r="J15680" t="s">
        <v>141</v>
      </c>
      <c r="K15680" t="s">
        <v>14</v>
      </c>
      <c r="L15680" t="s">
        <v>20</v>
      </c>
      <c r="M15680" t="s">
        <v>29895</v>
      </c>
      <c r="N15680" t="s">
        <v>14</v>
      </c>
    </row>
    <row r="15681" x14ac:dyDescent="0.25">
      <c r="A15681" t="n">
        <v>22</v>
      </c>
      <c r="B15681" t="s">
        <v>14</v>
      </c>
      <c r="C15681" t="s">
        <v>22</v>
      </c>
      <c r="D15681" s="2" t="s">
        <f>=HYPERLINK("https://main.knesset.gov.il/APPS/legislation/main/bills/2081499", "הצעת חוק דמי מחלה (תיקון - הצהרת מחלה), התש""ף-2019")</f>
        <v>30036</v>
      </c>
      <c r="E15681" t="s">
        <v>30036</v>
      </c>
      <c r="F15681" t="s">
        <v>30082</v>
      </c>
      <c r="G15681" t="s">
        <v>14</v>
      </c>
      <c r="H15681">
             </c>
      <c r="I15681" t="s">
        <v>14</v>
      </c>
      <c r="J15681" t="s">
        <v>141</v>
      </c>
      <c r="K15681" t="s">
        <v>14</v>
      </c>
      <c r="L15681" t="s">
        <v>20</v>
      </c>
      <c r="M15681" t="s">
        <v>29895</v>
      </c>
      <c r="N15681" t="s">
        <v>14</v>
      </c>
    </row>
    <row r="15682" x14ac:dyDescent="0.25">
      <c r="A15682" t="n">
        <v>22</v>
      </c>
      <c r="B15682" t="s">
        <v>14</v>
      </c>
      <c r="C15682" t="s">
        <v>22</v>
      </c>
      <c r="D15682" s="2" t="s">
        <f>=HYPERLINK("https://main.knesset.gov.il/APPS/legislation/main/bills/2081185", "הצעת חוק הביטוח הלאומי (תיקון - השוואת קצבת הנכות לשכר מינימום), התש""ף-2019")</f>
        <v>30083</v>
      </c>
      <c r="E15682" t="s">
        <v>30083</v>
      </c>
      <c r="F15682" t="s">
        <v>30084</v>
      </c>
      <c r="G15682" t="s">
        <v>14</v>
      </c>
      <c r="H15682">
             </c>
      <c r="I15682" t="s">
        <v>14</v>
      </c>
      <c r="J15682" t="s">
        <v>141</v>
      </c>
      <c r="K15682" t="s">
        <v>14</v>
      </c>
      <c r="L15682" t="s">
        <v>20</v>
      </c>
      <c r="M15682" t="s">
        <v>29895</v>
      </c>
      <c r="N15682" t="s">
        <v>14</v>
      </c>
    </row>
    <row r="15683" x14ac:dyDescent="0.25">
      <c r="A15683" t="n">
        <v>22</v>
      </c>
      <c r="B15683" t="s">
        <v>14</v>
      </c>
      <c r="C15683" t="s">
        <v>22</v>
      </c>
      <c r="D15683" s="2" t="s">
        <f>=HYPERLINK("https://main.knesset.gov.il/APPS/legislation/main/bills/2081177", "הצעת חוק אימוץ ילדים (תיקון - כשירות המאמץ), התש""ף-2019")</f>
        <v>30085</v>
      </c>
      <c r="E15683" t="s">
        <v>30085</v>
      </c>
      <c r="F15683" t="s">
        <v>30086</v>
      </c>
      <c r="G15683" t="s">
        <v>14</v>
      </c>
      <c r="H15683">
             </c>
      <c r="I15683" t="s">
        <v>14</v>
      </c>
      <c r="J15683" t="s">
        <v>141</v>
      </c>
      <c r="K15683" t="s">
        <v>14</v>
      </c>
      <c r="L15683" t="s">
        <v>20</v>
      </c>
      <c r="M15683" t="s">
        <v>29895</v>
      </c>
      <c r="N15683" t="s">
        <v>14</v>
      </c>
    </row>
    <row r="15684" x14ac:dyDescent="0.25">
      <c r="A15684" t="n">
        <v>22</v>
      </c>
      <c r="B15684" t="s">
        <v>14</v>
      </c>
      <c r="C15684" t="s">
        <v>22</v>
      </c>
      <c r="D15684" s="2" t="s">
        <f>=HYPERLINK("https://main.knesset.gov.il/APPS/legislation/main/bills/2081594", "הצעת חוק חסינות חברי הכנסת, זכויותיהם וחובותיהם (תיקון - הרוב הדרוש לנטילת חסינות או זכות), התש""ף-2019")</f>
        <v>30087</v>
      </c>
      <c r="E15684" t="s">
        <v>30087</v>
      </c>
      <c r="F15684" t="s">
        <v>30088</v>
      </c>
      <c r="G15684" t="s">
        <v>14</v>
      </c>
      <c r="H15684">
             </c>
      <c r="I15684" t="s">
        <v>14</v>
      </c>
      <c r="J15684" t="s">
        <v>141</v>
      </c>
      <c r="K15684" t="s">
        <v>14</v>
      </c>
      <c r="L15684" t="s">
        <v>20</v>
      </c>
      <c r="M15684" t="s">
        <v>29895</v>
      </c>
      <c r="N15684" t="s">
        <v>14</v>
      </c>
    </row>
    <row r="15685" x14ac:dyDescent="0.25">
      <c r="A15685" t="n">
        <v>22</v>
      </c>
      <c r="B15685" t="s">
        <v>14</v>
      </c>
      <c r="C15685" t="s">
        <v>22</v>
      </c>
      <c r="D15685" s="2" t="s">
        <f>=HYPERLINK("https://main.knesset.gov.il/APPS/legislation/main/bills/2081589", "הצעת חוק לתיקון פקודת המסים (גבייה) (ביטול החוק), התש""ף-2019")</f>
        <v>27800</v>
      </c>
      <c r="E15685" t="s">
        <v>27800</v>
      </c>
      <c r="F15685" t="s">
        <v>30089</v>
      </c>
      <c r="G15685" t="s">
        <v>14</v>
      </c>
      <c r="H15685">
             </c>
      <c r="I15685" t="s">
        <v>14</v>
      </c>
      <c r="J15685" t="s">
        <v>141</v>
      </c>
      <c r="K15685" t="s">
        <v>14</v>
      </c>
      <c r="L15685" t="s">
        <v>20</v>
      </c>
      <c r="M15685" t="s">
        <v>29895</v>
      </c>
      <c r="N15685" t="s">
        <v>14</v>
      </c>
    </row>
    <row r="15686" x14ac:dyDescent="0.25">
      <c r="A15686" t="n">
        <v>22</v>
      </c>
      <c r="B15686" t="s">
        <v>14</v>
      </c>
      <c r="C15686" t="s">
        <v>22</v>
      </c>
      <c r="D15686" s="2" t="s">
        <f>=HYPERLINK("https://main.knesset.gov.il/APPS/legislation/main/bills/2081582", "הצעת חוק השוואת תשלומים לחיילים בודדים ילידי ישראל וחיילים בודדים שנולדו מחוץ לישראל, התש""ף-2019")</f>
        <v>29919</v>
      </c>
      <c r="E15686" t="s">
        <v>29919</v>
      </c>
      <c r="F15686" t="s">
        <v>30090</v>
      </c>
      <c r="G15686" t="s">
        <v>14</v>
      </c>
      <c r="H15686">
             </c>
      <c r="I15686" t="s">
        <v>14</v>
      </c>
      <c r="J15686" t="s">
        <v>141</v>
      </c>
      <c r="K15686" t="s">
        <v>14</v>
      </c>
      <c r="L15686" t="s">
        <v>20</v>
      </c>
      <c r="M15686" t="s">
        <v>29895</v>
      </c>
      <c r="N15686" t="s">
        <v>14</v>
      </c>
    </row>
    <row r="15687" x14ac:dyDescent="0.25">
      <c r="A15687" t="n">
        <v>22</v>
      </c>
      <c r="B15687" t="s">
        <v>14</v>
      </c>
      <c r="C15687" t="s">
        <v>22</v>
      </c>
      <c r="D15687" s="2" t="s">
        <f>=HYPERLINK("https://main.knesset.gov.il/APPS/legislation/main/bills/2081579", "הצעת חוק חוזה הביטוח (תיקון - בחינת סבירות פעולות מבטח, העברת נטל ועיצום כספי), התש""ף-2019")</f>
        <v>30091</v>
      </c>
      <c r="E15687" t="s">
        <v>30091</v>
      </c>
      <c r="F15687" t="s">
        <v>30092</v>
      </c>
      <c r="G15687" t="s">
        <v>14</v>
      </c>
      <c r="H15687">
             </c>
      <c r="I15687" t="s">
        <v>14</v>
      </c>
      <c r="J15687" t="s">
        <v>141</v>
      </c>
      <c r="K15687" t="s">
        <v>14</v>
      </c>
      <c r="L15687" t="s">
        <v>20</v>
      </c>
      <c r="M15687" t="s">
        <v>29895</v>
      </c>
      <c r="N15687" t="s">
        <v>14</v>
      </c>
    </row>
    <row r="15688" x14ac:dyDescent="0.25">
      <c r="A15688" t="n">
        <v>22</v>
      </c>
      <c r="B15688" t="s">
        <v>14</v>
      </c>
      <c r="C15688" t="s">
        <v>22</v>
      </c>
      <c r="D15688" s="2" t="s">
        <f>=HYPERLINK("https://main.knesset.gov.il/APPS/legislation/main/bills/2081571", "הצעת חוק להגברת האכיפה של דיני העבודה (תיקון - הפרות בטיחות בעבודה בתחום הבנייה), התש""ף-2019")</f>
        <v>30093</v>
      </c>
      <c r="E15688" t="s">
        <v>30093</v>
      </c>
      <c r="F15688" t="s">
        <v>30094</v>
      </c>
      <c r="G15688" t="s">
        <v>14</v>
      </c>
      <c r="H15688">
             </c>
      <c r="I15688" t="s">
        <v>14</v>
      </c>
      <c r="J15688" t="s">
        <v>141</v>
      </c>
      <c r="K15688" t="s">
        <v>14</v>
      </c>
      <c r="L15688" t="s">
        <v>20</v>
      </c>
      <c r="M15688" t="s">
        <v>29895</v>
      </c>
      <c r="N15688" t="s">
        <v>14</v>
      </c>
    </row>
    <row r="15689" x14ac:dyDescent="0.25">
      <c r="A15689" t="n">
        <v>22</v>
      </c>
      <c r="B15689" t="s">
        <v>14</v>
      </c>
      <c r="C15689" t="s">
        <v>22</v>
      </c>
      <c r="D15689" s="2" t="s">
        <f>=HYPERLINK("https://main.knesset.gov.il/APPS/legislation/main/bills/2081492", "הצעת חוק שוויון זכויות לאנשים עם מוגבלות (תיקון - הכשרה מתאימה לממונה תעסוקה), התש""ף-2019")</f>
        <v>30095</v>
      </c>
      <c r="E15689" t="s">
        <v>30095</v>
      </c>
      <c r="F15689" t="s">
        <v>30096</v>
      </c>
      <c r="G15689" t="s">
        <v>14</v>
      </c>
      <c r="H15689">
             </c>
      <c r="I15689" t="s">
        <v>14</v>
      </c>
      <c r="J15689" t="s">
        <v>141</v>
      </c>
      <c r="K15689" t="s">
        <v>14</v>
      </c>
      <c r="L15689" t="s">
        <v>20</v>
      </c>
      <c r="M15689" t="s">
        <v>29895</v>
      </c>
      <c r="N15689" t="s">
        <v>14</v>
      </c>
    </row>
    <row r="15690" x14ac:dyDescent="0.25">
      <c r="A15690" t="n">
        <v>22</v>
      </c>
      <c r="B15690" t="s">
        <v>14</v>
      </c>
      <c r="C15690" t="s">
        <v>22</v>
      </c>
      <c r="D15690" s="2" t="s">
        <f>=HYPERLINK("https://main.knesset.gov.il/APPS/legislation/main/bills/2081570", "הצעת חוק הרשות לטיפול בנפגעי הלם קרב, התש""ף-2019")</f>
        <v>30097</v>
      </c>
      <c r="E15690" t="s">
        <v>30097</v>
      </c>
      <c r="F15690" t="s">
        <v>30098</v>
      </c>
      <c r="G15690" t="s">
        <v>14</v>
      </c>
      <c r="H15690">
             </c>
      <c r="I15690" t="s">
        <v>14</v>
      </c>
      <c r="J15690" t="s">
        <v>141</v>
      </c>
      <c r="K15690" t="s">
        <v>14</v>
      </c>
      <c r="L15690" t="s">
        <v>20</v>
      </c>
      <c r="M15690" t="s">
        <v>29895</v>
      </c>
      <c r="N15690" t="s">
        <v>14</v>
      </c>
    </row>
    <row r="15691" x14ac:dyDescent="0.25">
      <c r="A15691" t="n">
        <v>22</v>
      </c>
      <c r="B15691" t="s">
        <v>14</v>
      </c>
      <c r="C15691" t="s">
        <v>22</v>
      </c>
      <c r="D15691" s="2" t="s">
        <f>=HYPERLINK("https://main.knesset.gov.il/APPS/legislation/main/bills/2081483", "הצעת חוק ביטוח בריאות ממלכתי (תיקון - מחלה יתומה), התש""ף-2019")</f>
        <v>30099</v>
      </c>
      <c r="E15691" t="s">
        <v>30099</v>
      </c>
      <c r="F15691" t="s">
        <v>30100</v>
      </c>
      <c r="G15691" t="s">
        <v>14</v>
      </c>
      <c r="H15691">
             </c>
      <c r="I15691" t="s">
        <v>14</v>
      </c>
      <c r="J15691" t="s">
        <v>141</v>
      </c>
      <c r="K15691" t="s">
        <v>14</v>
      </c>
      <c r="L15691" t="s">
        <v>20</v>
      </c>
      <c r="M15691" t="s">
        <v>29895</v>
      </c>
      <c r="N15691" t="s">
        <v>14</v>
      </c>
    </row>
    <row r="15692" x14ac:dyDescent="0.25">
      <c r="A15692" t="n">
        <v>22</v>
      </c>
      <c r="B15692" t="s">
        <v>14</v>
      </c>
      <c r="C15692" t="s">
        <v>22</v>
      </c>
      <c r="D15692" s="2" t="s">
        <f>=HYPERLINK("https://main.knesset.gov.il/APPS/legislation/main/bills/2081562", "הצעת חוק עבודת נשים (תיקון - שעות היעדרות מעבודה לאישה בהיריון בר-סיכון), התש""ף-2019")</f>
        <v>30101</v>
      </c>
      <c r="E15692" t="s">
        <v>30101</v>
      </c>
      <c r="F15692" t="s">
        <v>30102</v>
      </c>
      <c r="G15692" t="s">
        <v>14</v>
      </c>
      <c r="H15692">
             </c>
      <c r="I15692" t="s">
        <v>14</v>
      </c>
      <c r="J15692" t="s">
        <v>141</v>
      </c>
      <c r="K15692" t="s">
        <v>14</v>
      </c>
      <c r="L15692" t="s">
        <v>20</v>
      </c>
      <c r="M15692" t="s">
        <v>29895</v>
      </c>
      <c r="N15692" t="s">
        <v>14</v>
      </c>
    </row>
    <row r="15693" x14ac:dyDescent="0.25">
      <c r="A15693" t="n">
        <v>22</v>
      </c>
      <c r="B15693" t="s">
        <v>14</v>
      </c>
      <c r="C15693" t="s">
        <v>22</v>
      </c>
      <c r="D15693" s="2" t="s">
        <f>=HYPERLINK("https://main.knesset.gov.il/APPS/legislation/main/bills/2081556", "הצעת חוק העונשין (תיקון - החמרת הענישה בפשיעה החקלאית), התש""ף-2019")</f>
        <v>30103</v>
      </c>
      <c r="E15693" t="s">
        <v>30103</v>
      </c>
      <c r="F15693" t="s">
        <v>30104</v>
      </c>
      <c r="G15693" t="s">
        <v>14</v>
      </c>
      <c r="H15693">
             </c>
      <c r="I15693" t="s">
        <v>14</v>
      </c>
      <c r="J15693" t="s">
        <v>141</v>
      </c>
      <c r="K15693" t="s">
        <v>14</v>
      </c>
      <c r="L15693" t="s">
        <v>20</v>
      </c>
      <c r="M15693" t="s">
        <v>29895</v>
      </c>
      <c r="N15693" t="s">
        <v>14</v>
      </c>
    </row>
    <row r="15694" x14ac:dyDescent="0.25">
      <c r="A15694" t="n">
        <v>22</v>
      </c>
      <c r="B15694" t="s">
        <v>14</v>
      </c>
      <c r="C15694" t="s">
        <v>22</v>
      </c>
      <c r="D15694" s="2" t="s">
        <f>=HYPERLINK("https://main.knesset.gov.il/APPS/legislation/main/bills/2081472", "הצעת חוק החולה הנוטה למות (תיקון - מוות במרשם רופא), התש""ף-2019")</f>
        <v>29638</v>
      </c>
      <c r="E15694" t="s">
        <v>29638</v>
      </c>
      <c r="F15694" t="s">
        <v>30105</v>
      </c>
      <c r="G15694" t="s">
        <v>14</v>
      </c>
      <c r="H15694">
             </c>
      <c r="I15694" t="s">
        <v>14</v>
      </c>
      <c r="J15694" t="s">
        <v>141</v>
      </c>
      <c r="K15694" t="s">
        <v>14</v>
      </c>
      <c r="L15694" t="s">
        <v>20</v>
      </c>
      <c r="M15694" t="s">
        <v>29895</v>
      </c>
      <c r="N15694" t="s">
        <v>14</v>
      </c>
    </row>
    <row r="15695" x14ac:dyDescent="0.25">
      <c r="A15695" t="n">
        <v>22</v>
      </c>
      <c r="B15695" t="s">
        <v>14</v>
      </c>
      <c r="C15695" t="s">
        <v>22</v>
      </c>
      <c r="D15695" s="2" t="s">
        <f>=HYPERLINK("https://main.knesset.gov.il/APPS/legislation/main/bills/2081551", "הצעת חוק עבודת נשים (תיקון - שעות היעדרות מעבודה לאישה בהיריון בר-סיכון), התש""ף-2019")</f>
        <v>30101</v>
      </c>
      <c r="E15695" t="s">
        <v>30101</v>
      </c>
      <c r="F15695" t="s">
        <v>30106</v>
      </c>
      <c r="G15695" t="s">
        <v>14</v>
      </c>
      <c r="H15695">
             </c>
      <c r="I15695" t="s">
        <v>14</v>
      </c>
      <c r="J15695" t="s">
        <v>141</v>
      </c>
      <c r="K15695" t="s">
        <v>14</v>
      </c>
      <c r="L15695" t="s">
        <v>20</v>
      </c>
      <c r="M15695" t="s">
        <v>29895</v>
      </c>
      <c r="N15695" t="s">
        <v>14</v>
      </c>
    </row>
    <row r="15696" x14ac:dyDescent="0.25">
      <c r="A15696" t="n">
        <v>22</v>
      </c>
      <c r="B15696" t="s">
        <v>14</v>
      </c>
      <c r="C15696" t="s">
        <v>22</v>
      </c>
      <c r="D15696" s="2" t="s">
        <f>=HYPERLINK("https://main.knesset.gov.il/APPS/legislation/main/bills/2081468", "הצעת חוק רציפות הדיון בהצעות חוק (תיקון - כנסת שלא כוננה בה ממשלה), התש""ף-2019")</f>
        <v>30107</v>
      </c>
      <c r="E15696" t="s">
        <v>30107</v>
      </c>
      <c r="F15696" t="s">
        <v>30108</v>
      </c>
      <c r="G15696" t="s">
        <v>14</v>
      </c>
      <c r="H15696">
             </c>
      <c r="I15696" t="s">
        <v>14</v>
      </c>
      <c r="J15696" t="s">
        <v>141</v>
      </c>
      <c r="K15696" t="s">
        <v>14</v>
      </c>
      <c r="L15696" t="s">
        <v>20</v>
      </c>
      <c r="M15696" t="s">
        <v>29895</v>
      </c>
      <c r="N15696" t="s">
        <v>14</v>
      </c>
    </row>
    <row r="15697" x14ac:dyDescent="0.25">
      <c r="A15697" t="n">
        <v>22</v>
      </c>
      <c r="B15697" t="s">
        <v>14</v>
      </c>
      <c r="C15697" t="s">
        <v>22</v>
      </c>
      <c r="D15697" s="2" t="s">
        <f>=HYPERLINK("https://main.knesset.gov.il/APPS/legislation/main/bills/2081567", "הצעת חוק העמותות (תיקון - חובת גילוי תרומה אנונימית), התש""ף-2019")</f>
        <v>30109</v>
      </c>
      <c r="E15697" t="s">
        <v>30109</v>
      </c>
      <c r="F15697" t="s">
        <v>30110</v>
      </c>
      <c r="G15697" t="s">
        <v>14</v>
      </c>
      <c r="H15697">
             </c>
      <c r="I15697" t="s">
        <v>14</v>
      </c>
      <c r="J15697" t="s">
        <v>141</v>
      </c>
      <c r="K15697" t="s">
        <v>14</v>
      </c>
      <c r="L15697" t="s">
        <v>20</v>
      </c>
      <c r="M15697" t="s">
        <v>29895</v>
      </c>
      <c r="N15697" t="s">
        <v>14</v>
      </c>
    </row>
    <row r="15698" x14ac:dyDescent="0.25">
      <c r="A15698" t="n">
        <v>22</v>
      </c>
      <c r="B15698" t="s">
        <v>14</v>
      </c>
      <c r="C15698" t="s">
        <v>22</v>
      </c>
      <c r="D15698" s="2" t="s">
        <f>=HYPERLINK("https://main.knesset.gov.il/APPS/legislation/main/bills/2081559", "הצעת חוק ההוצאה לפועל (תיקון - ביטול שלילת רישיונות נהיגה לחייבים), התש""ף-2019")</f>
        <v>30111</v>
      </c>
      <c r="E15698" t="s">
        <v>30111</v>
      </c>
      <c r="F15698" t="s">
        <v>30112</v>
      </c>
      <c r="G15698" t="s">
        <v>14</v>
      </c>
      <c r="H15698">
             </c>
      <c r="I15698" t="s">
        <v>14</v>
      </c>
      <c r="J15698" t="s">
        <v>141</v>
      </c>
      <c r="K15698" t="s">
        <v>14</v>
      </c>
      <c r="L15698" t="s">
        <v>20</v>
      </c>
      <c r="M15698" t="s">
        <v>29895</v>
      </c>
      <c r="N15698" t="s">
        <v>14</v>
      </c>
    </row>
    <row r="15699" x14ac:dyDescent="0.25">
      <c r="A15699" t="n">
        <v>22</v>
      </c>
      <c r="B15699" t="s">
        <v>14</v>
      </c>
      <c r="C15699" t="s">
        <v>22</v>
      </c>
      <c r="D15699" s="2" t="s">
        <f>=HYPERLINK("https://main.knesset.gov.il/APPS/legislation/main/bills/2081461", "הצעת חוק שוויון זכויות לאנשים עם מוגבלות (תיקון - פטור מהמתנה בתור לנכי גפיים), התש""ף-2019")</f>
        <v>30113</v>
      </c>
      <c r="E15699" t="s">
        <v>30113</v>
      </c>
      <c r="F15699" t="s">
        <v>30114</v>
      </c>
      <c r="G15699" t="s">
        <v>14</v>
      </c>
      <c r="H15699">
             </c>
      <c r="I15699" t="s">
        <v>14</v>
      </c>
      <c r="J15699" t="s">
        <v>141</v>
      </c>
      <c r="K15699" t="s">
        <v>14</v>
      </c>
      <c r="L15699" t="s">
        <v>20</v>
      </c>
      <c r="M15699" t="s">
        <v>29895</v>
      </c>
      <c r="N15699" t="s">
        <v>14</v>
      </c>
    </row>
    <row r="15700" x14ac:dyDescent="0.25">
      <c r="A15700" t="n">
        <v>22</v>
      </c>
      <c r="B15700" t="s">
        <v>14</v>
      </c>
      <c r="C15700" t="s">
        <v>22</v>
      </c>
      <c r="D15700" s="2" t="s">
        <f>=HYPERLINK("https://main.knesset.gov.il/APPS/legislation/main/bills/2081528", "הצעת חוק ההוצאה לפועל (תיקון - ביטול הגבלת רישיון נהיגה), התש""ף-2019")</f>
        <v>28131</v>
      </c>
      <c r="E15700" t="s">
        <v>28131</v>
      </c>
      <c r="F15700" t="s">
        <v>30115</v>
      </c>
      <c r="G15700" t="s">
        <v>14</v>
      </c>
      <c r="H15700">
             </c>
      <c r="I15700" t="s">
        <v>14</v>
      </c>
      <c r="J15700" t="s">
        <v>141</v>
      </c>
      <c r="K15700" t="s">
        <v>14</v>
      </c>
      <c r="L15700" t="s">
        <v>20</v>
      </c>
      <c r="M15700" t="s">
        <v>29895</v>
      </c>
      <c r="N15700" t="s">
        <v>14</v>
      </c>
    </row>
    <row r="15701" x14ac:dyDescent="0.25">
      <c r="A15701" t="n">
        <v>22</v>
      </c>
      <c r="B15701" t="s">
        <v>14</v>
      </c>
      <c r="C15701" t="s">
        <v>22</v>
      </c>
      <c r="D15701" s="2" t="s">
        <f>=HYPERLINK("https://main.knesset.gov.il/APPS/legislation/main/bills/2081617", "הצעת חוק לימודי יסוד במערכת החינוך, התש""ף-2019")</f>
        <v>27677</v>
      </c>
      <c r="E15701" t="s">
        <v>27677</v>
      </c>
      <c r="F15701" t="s">
        <v>30116</v>
      </c>
      <c r="G15701" t="s">
        <v>14</v>
      </c>
      <c r="H15701">
             </c>
      <c r="I15701" t="s">
        <v>14</v>
      </c>
      <c r="J15701" t="s">
        <v>141</v>
      </c>
      <c r="K15701" t="s">
        <v>14</v>
      </c>
      <c r="L15701" t="s">
        <v>20</v>
      </c>
      <c r="M15701" t="s">
        <v>29895</v>
      </c>
      <c r="N15701" t="s">
        <v>14</v>
      </c>
    </row>
    <row r="15702" x14ac:dyDescent="0.25">
      <c r="A15702" t="n">
        <v>22</v>
      </c>
      <c r="B15702" t="s">
        <v>14</v>
      </c>
      <c r="C15702" t="s">
        <v>22</v>
      </c>
      <c r="D15702" s="2" t="s">
        <f>=HYPERLINK("https://main.knesset.gov.il/APPS/legislation/main/bills/2081460", "הצעת חוק לימוד חובה (תיקון - חובת לימודי ליבה), התש""ף-2019")</f>
        <v>30117</v>
      </c>
      <c r="E15702" t="s">
        <v>30117</v>
      </c>
      <c r="F15702" t="s">
        <v>30118</v>
      </c>
      <c r="G15702" t="s">
        <v>14</v>
      </c>
      <c r="H15702">
             </c>
      <c r="I15702" t="s">
        <v>14</v>
      </c>
      <c r="J15702" t="s">
        <v>141</v>
      </c>
      <c r="K15702" t="s">
        <v>14</v>
      </c>
      <c r="L15702" t="s">
        <v>20</v>
      </c>
      <c r="M15702" t="s">
        <v>29895</v>
      </c>
      <c r="N15702" t="s">
        <v>14</v>
      </c>
    </row>
    <row r="15703" x14ac:dyDescent="0.25">
      <c r="A15703" t="n">
        <v>22</v>
      </c>
      <c r="B15703" t="s">
        <v>14</v>
      </c>
      <c r="C15703" t="s">
        <v>22</v>
      </c>
      <c r="D15703" s="2" t="s">
        <f>=HYPERLINK("https://main.knesset.gov.il/APPS/legislation/main/bills/2081449", "הצעת חוק איסור הונאה בכשרות (תיקון - מתן תעודת הכשר על ידי רב מקומי), התש""ף-2019")</f>
        <v>30119</v>
      </c>
      <c r="E15703" t="s">
        <v>30119</v>
      </c>
      <c r="F15703" t="s">
        <v>30120</v>
      </c>
      <c r="G15703" t="s">
        <v>14</v>
      </c>
      <c r="H15703">
             </c>
      <c r="I15703" t="s">
        <v>14</v>
      </c>
      <c r="J15703" t="s">
        <v>141</v>
      </c>
      <c r="K15703" t="s">
        <v>14</v>
      </c>
      <c r="L15703" t="s">
        <v>20</v>
      </c>
      <c r="M15703" t="s">
        <v>29895</v>
      </c>
      <c r="N15703" t="s">
        <v>14</v>
      </c>
    </row>
    <row r="15704" x14ac:dyDescent="0.25">
      <c r="A15704" t="n">
        <v>22</v>
      </c>
      <c r="B15704" t="s">
        <v>14</v>
      </c>
      <c r="C15704" t="s">
        <v>22</v>
      </c>
      <c r="D15704" s="2" t="s">
        <f>=HYPERLINK("https://main.knesset.gov.il/APPS/legislation/main/bills/2081547", "הצעת חוק המועצות האזוריות (בחירת ראש המועצה) (תיקון - הגשת רשימה על ידי סיעה או מפלגה), התש""ף-2019")</f>
        <v>30121</v>
      </c>
      <c r="E15704" t="s">
        <v>30121</v>
      </c>
      <c r="F15704" t="s">
        <v>30122</v>
      </c>
      <c r="G15704" t="s">
        <v>14</v>
      </c>
      <c r="H15704">
             </c>
      <c r="I15704" t="s">
        <v>14</v>
      </c>
      <c r="J15704" t="s">
        <v>141</v>
      </c>
      <c r="K15704" t="s">
        <v>14</v>
      </c>
      <c r="L15704" t="s">
        <v>20</v>
      </c>
      <c r="M15704" t="s">
        <v>29895</v>
      </c>
      <c r="N15704" t="s">
        <v>14</v>
      </c>
    </row>
    <row r="15705" x14ac:dyDescent="0.25">
      <c r="A15705" t="n">
        <v>22</v>
      </c>
      <c r="B15705" t="s">
        <v>14</v>
      </c>
      <c r="C15705" t="s">
        <v>22</v>
      </c>
      <c r="D15705" s="2" t="s">
        <f>=HYPERLINK("https://main.knesset.gov.il/APPS/legislation/main/bills/2081544", "הצעת חוק הגנת הצרכן (תיקון - שינוי פרטים בכרטיס טיסה או בכרטיס לשיט), התש""ף-2019")</f>
        <v>28886</v>
      </c>
      <c r="E15705" t="s">
        <v>28886</v>
      </c>
      <c r="F15705" t="s">
        <v>30123</v>
      </c>
      <c r="G15705" t="s">
        <v>14</v>
      </c>
      <c r="H15705">
             </c>
      <c r="I15705" t="s">
        <v>14</v>
      </c>
      <c r="J15705" t="s">
        <v>141</v>
      </c>
      <c r="K15705" t="s">
        <v>14</v>
      </c>
      <c r="L15705" t="s">
        <v>20</v>
      </c>
      <c r="M15705" t="s">
        <v>29895</v>
      </c>
      <c r="N15705" t="s">
        <v>14</v>
      </c>
    </row>
    <row r="15706" x14ac:dyDescent="0.25">
      <c r="A15706" t="n">
        <v>22</v>
      </c>
      <c r="B15706" t="s">
        <v>14</v>
      </c>
      <c r="C15706" t="s">
        <v>22</v>
      </c>
      <c r="D15706" s="2" t="s">
        <f>=HYPERLINK("https://main.knesset.gov.il/APPS/legislation/main/bills/2081448", "הצעת חוק הפיקדון על מכלי משקה (תיקון - החלת החוק על מכלי משקה גדולים), התש""ף-2019")</f>
        <v>30124</v>
      </c>
      <c r="E15706" t="s">
        <v>30124</v>
      </c>
      <c r="F15706" t="s">
        <v>30125</v>
      </c>
      <c r="G15706" t="s">
        <v>14</v>
      </c>
      <c r="H15706">
             </c>
      <c r="I15706" t="s">
        <v>14</v>
      </c>
      <c r="J15706" t="s">
        <v>141</v>
      </c>
      <c r="K15706" t="s">
        <v>14</v>
      </c>
      <c r="L15706" t="s">
        <v>20</v>
      </c>
      <c r="M15706" t="s">
        <v>29895</v>
      </c>
      <c r="N15706" t="s">
        <v>14</v>
      </c>
    </row>
    <row r="15707" x14ac:dyDescent="0.25">
      <c r="A15707" t="n">
        <v>22</v>
      </c>
      <c r="B15707" t="s">
        <v>14</v>
      </c>
      <c r="C15707" t="s">
        <v>22</v>
      </c>
      <c r="D15707" s="2" t="s">
        <f>=HYPERLINK("https://main.knesset.gov.il/APPS/legislation/main/bills/2081539", "הצעת חוק האזרחים הוותיקים (תיקון - הנחה בארנונה לאזרח ותיק המתגורר בדירה שאינה בהחזקתו), התש""ף-2019")</f>
        <v>29571</v>
      </c>
      <c r="E15707" t="s">
        <v>29571</v>
      </c>
      <c r="F15707" t="s">
        <v>30126</v>
      </c>
      <c r="G15707" t="s">
        <v>14</v>
      </c>
      <c r="H15707">
             </c>
      <c r="I15707" t="s">
        <v>14</v>
      </c>
      <c r="J15707" t="s">
        <v>141</v>
      </c>
      <c r="K15707" t="s">
        <v>14</v>
      </c>
      <c r="L15707" t="s">
        <v>20</v>
      </c>
      <c r="M15707" t="s">
        <v>29895</v>
      </c>
      <c r="N15707" t="s">
        <v>14</v>
      </c>
    </row>
    <row r="15708" x14ac:dyDescent="0.25">
      <c r="A15708" t="n">
        <v>22</v>
      </c>
      <c r="B15708" t="s">
        <v>14</v>
      </c>
      <c r="C15708" t="s">
        <v>22</v>
      </c>
      <c r="D15708" s="2" t="s">
        <f>=HYPERLINK("https://main.knesset.gov.il/APPS/legislation/main/bills/2081441", "הצעת חוק להסדרת הפיקוח על כלבים (תיקון - איסור המתת כלבים בריאים), התש""ף-2019")</f>
        <v>29961</v>
      </c>
      <c r="E15708" t="s">
        <v>29961</v>
      </c>
      <c r="F15708" t="s">
        <v>30127</v>
      </c>
      <c r="G15708" t="s">
        <v>14</v>
      </c>
      <c r="H15708">
             </c>
      <c r="I15708" t="s">
        <v>14</v>
      </c>
      <c r="J15708" t="s">
        <v>141</v>
      </c>
      <c r="K15708" t="s">
        <v>14</v>
      </c>
      <c r="L15708" t="s">
        <v>20</v>
      </c>
      <c r="M15708" t="s">
        <v>29895</v>
      </c>
      <c r="N15708" t="s">
        <v>14</v>
      </c>
    </row>
    <row r="15709" x14ac:dyDescent="0.25">
      <c r="A15709" t="n">
        <v>22</v>
      </c>
      <c r="B15709" t="s">
        <v>14</v>
      </c>
      <c r="C15709" t="s">
        <v>22</v>
      </c>
      <c r="D15709" s="2" t="s">
        <f>=HYPERLINK("https://main.knesset.gov.il/APPS/legislation/main/bills/2081540", "הצעת חוק לתיקון פקודת מס הכנסה (פטור ממס על משיכה הונית מקופת גמל), התש""ף-2019")</f>
        <v>29314</v>
      </c>
      <c r="E15709" t="s">
        <v>29314</v>
      </c>
      <c r="F15709" t="s">
        <v>30128</v>
      </c>
      <c r="G15709" t="s">
        <v>14</v>
      </c>
      <c r="H15709">
             </c>
      <c r="I15709" t="s">
        <v>14</v>
      </c>
      <c r="J15709" t="s">
        <v>141</v>
      </c>
      <c r="K15709" t="s">
        <v>14</v>
      </c>
      <c r="L15709" t="s">
        <v>20</v>
      </c>
      <c r="M15709" t="s">
        <v>29895</v>
      </c>
      <c r="N15709" t="s">
        <v>14</v>
      </c>
    </row>
    <row r="15710" x14ac:dyDescent="0.25">
      <c r="A15710" t="n">
        <v>22</v>
      </c>
      <c r="B15710" t="s">
        <v>14</v>
      </c>
      <c r="C15710" t="s">
        <v>22</v>
      </c>
      <c r="D15710" s="2" t="s">
        <f>=HYPERLINK("https://main.knesset.gov.il/APPS/legislation/main/bills/2081524", "הצעת חוק להגדלת שיעור ההשתתפות בכוח העבודה ולצמצום פערים חברתיים (מענק עבודה) (תיקון - זכאות להטבות נלוות), התש""ף-2019")</f>
        <v>30129</v>
      </c>
      <c r="E15710" t="s">
        <v>30129</v>
      </c>
      <c r="F15710" t="s">
        <v>30130</v>
      </c>
      <c r="G15710" t="s">
        <v>14</v>
      </c>
      <c r="H15710">
             </c>
      <c r="I15710" t="s">
        <v>14</v>
      </c>
      <c r="J15710" t="s">
        <v>141</v>
      </c>
      <c r="K15710" t="s">
        <v>14</v>
      </c>
      <c r="L15710" t="s">
        <v>20</v>
      </c>
      <c r="M15710" t="s">
        <v>29895</v>
      </c>
      <c r="N15710" t="s">
        <v>14</v>
      </c>
    </row>
    <row r="15711" x14ac:dyDescent="0.25">
      <c r="A15711" t="n">
        <v>22</v>
      </c>
      <c r="B15711" t="s">
        <v>14</v>
      </c>
      <c r="C15711" t="s">
        <v>22</v>
      </c>
      <c r="D15711" s="2" t="s">
        <f>=HYPERLINK("https://main.knesset.gov.il/APPS/legislation/main/bills/2081523", "הצעת חוק זכויות החולה (תיקון - איסור הפליה), התש""ף-2019")</f>
        <v>30131</v>
      </c>
      <c r="E15711" t="s">
        <v>30131</v>
      </c>
      <c r="F15711" t="s">
        <v>30132</v>
      </c>
      <c r="G15711" t="s">
        <v>14</v>
      </c>
      <c r="H15711">
             </c>
      <c r="I15711" t="s">
        <v>14</v>
      </c>
      <c r="J15711" t="s">
        <v>141</v>
      </c>
      <c r="K15711" t="s">
        <v>14</v>
      </c>
      <c r="L15711" t="s">
        <v>20</v>
      </c>
      <c r="M15711" t="s">
        <v>29895</v>
      </c>
      <c r="N15711" t="s">
        <v>14</v>
      </c>
    </row>
    <row r="15712" x14ac:dyDescent="0.25">
      <c r="A15712" t="n">
        <v>22</v>
      </c>
      <c r="B15712" t="s">
        <v>14</v>
      </c>
      <c r="C15712" t="s">
        <v>22</v>
      </c>
      <c r="D15712" s="2" t="s">
        <f>=HYPERLINK("https://main.knesset.gov.il/APPS/legislation/main/bills/2081522", "הצעת חוק הביטוח הלאומי (תיקון - דמי אבטלה למי שנמצא בהכשרה מקצועית), התש""ף-2019")</f>
        <v>29575</v>
      </c>
      <c r="E15712" t="s">
        <v>29575</v>
      </c>
      <c r="F15712" t="s">
        <v>30133</v>
      </c>
      <c r="G15712" t="s">
        <v>14</v>
      </c>
      <c r="H15712">
             </c>
      <c r="I15712" t="s">
        <v>14</v>
      </c>
      <c r="J15712" t="s">
        <v>141</v>
      </c>
      <c r="K15712" t="s">
        <v>14</v>
      </c>
      <c r="L15712" t="s">
        <v>20</v>
      </c>
      <c r="M15712" t="s">
        <v>29895</v>
      </c>
      <c r="N15712" t="s">
        <v>14</v>
      </c>
    </row>
    <row r="15713" x14ac:dyDescent="0.25">
      <c r="A15713" t="n">
        <v>22</v>
      </c>
      <c r="B15713" t="s">
        <v>14</v>
      </c>
      <c r="C15713" t="s">
        <v>22</v>
      </c>
      <c r="D15713" s="2" t="s">
        <f>=HYPERLINK("https://main.knesset.gov.il/APPS/legislation/main/bills/2081421", "הצעת חוק ביטוח בריאות ממלכתי (תיקון - צמצום הפערים בין הפריפריה למרכז), התש""ף-2019")</f>
        <v>28397</v>
      </c>
      <c r="E15713" t="s">
        <v>28397</v>
      </c>
      <c r="F15713" t="s">
        <v>30134</v>
      </c>
      <c r="G15713" t="s">
        <v>14</v>
      </c>
      <c r="H15713">
             </c>
      <c r="I15713" t="s">
        <v>14</v>
      </c>
      <c r="J15713" t="s">
        <v>141</v>
      </c>
      <c r="K15713" t="s">
        <v>14</v>
      </c>
      <c r="L15713" t="s">
        <v>20</v>
      </c>
      <c r="M15713" t="s">
        <v>29895</v>
      </c>
      <c r="N15713" t="s">
        <v>14</v>
      </c>
    </row>
    <row r="15714" x14ac:dyDescent="0.25">
      <c r="A15714" t="n">
        <v>22</v>
      </c>
      <c r="B15714" t="s">
        <v>14</v>
      </c>
      <c r="C15714" t="s">
        <v>22</v>
      </c>
      <c r="D15714" s="2" t="s">
        <f>=HYPERLINK("https://main.knesset.gov.il/APPS/legislation/main/bills/2081412", "הצעת חוק לתיקון פקודת העדה הדתית (המרה) (גיור על ידי רב עיר ומועצה מקומית), התש""ף-2019")</f>
        <v>30135</v>
      </c>
      <c r="E15714" t="s">
        <v>30135</v>
      </c>
      <c r="F15714" t="s">
        <v>30136</v>
      </c>
      <c r="G15714" t="s">
        <v>14</v>
      </c>
      <c r="H15714">
             </c>
      <c r="I15714" t="s">
        <v>14</v>
      </c>
      <c r="J15714" t="s">
        <v>141</v>
      </c>
      <c r="K15714" t="s">
        <v>14</v>
      </c>
      <c r="L15714" t="s">
        <v>20</v>
      </c>
      <c r="M15714" t="s">
        <v>29895</v>
      </c>
      <c r="N15714" t="s">
        <v>14</v>
      </c>
    </row>
    <row r="15715" x14ac:dyDescent="0.25">
      <c r="A15715" t="n">
        <v>22</v>
      </c>
      <c r="B15715" t="s">
        <v>14</v>
      </c>
      <c r="C15715" t="s">
        <v>22</v>
      </c>
      <c r="D15715" s="2" t="s">
        <f>=HYPERLINK("https://main.knesset.gov.il/APPS/legislation/main/bills/2081513", "הצעת חוק איסור לשון הרע (תיקון - ביזוי אדם מחמת משקל), התש""ף-2019")</f>
        <v>30137</v>
      </c>
      <c r="E15715" t="s">
        <v>30137</v>
      </c>
      <c r="F15715" t="s">
        <v>30138</v>
      </c>
      <c r="G15715" t="s">
        <v>14</v>
      </c>
      <c r="H15715">
             </c>
      <c r="I15715" t="s">
        <v>14</v>
      </c>
      <c r="J15715" t="s">
        <v>141</v>
      </c>
      <c r="K15715" t="s">
        <v>14</v>
      </c>
      <c r="L15715" t="s">
        <v>20</v>
      </c>
      <c r="M15715" t="s">
        <v>29895</v>
      </c>
      <c r="N15715" t="s">
        <v>14</v>
      </c>
    </row>
    <row r="15716" x14ac:dyDescent="0.25">
      <c r="A15716" t="n">
        <v>22</v>
      </c>
      <c r="B15716" t="s">
        <v>14</v>
      </c>
      <c r="C15716" t="s">
        <v>22</v>
      </c>
      <c r="D15716" s="2" t="s">
        <f>=HYPERLINK("https://main.knesset.gov.il/APPS/legislation/main/bills/2081411", "הצעת חוק איסור הונאה בכשרות (תיקון - כשרות לבית אוכל שאינו מחלל שבת), התש""ף-2019")</f>
        <v>30139</v>
      </c>
      <c r="E15716" t="s">
        <v>30139</v>
      </c>
      <c r="F15716" t="s">
        <v>30140</v>
      </c>
      <c r="G15716" t="s">
        <v>14</v>
      </c>
      <c r="H15716">
             </c>
      <c r="I15716" t="s">
        <v>14</v>
      </c>
      <c r="J15716" t="s">
        <v>141</v>
      </c>
      <c r="K15716" t="s">
        <v>14</v>
      </c>
      <c r="L15716" t="s">
        <v>20</v>
      </c>
      <c r="M15716" t="s">
        <v>29895</v>
      </c>
      <c r="N15716" t="s">
        <v>14</v>
      </c>
    </row>
    <row r="15717" x14ac:dyDescent="0.25">
      <c r="A15717" t="n">
        <v>22</v>
      </c>
      <c r="B15717" t="s">
        <v>14</v>
      </c>
      <c r="C15717" t="s">
        <v>22</v>
      </c>
      <c r="D15717" s="2" t="s">
        <f>=HYPERLINK("https://main.knesset.gov.il/APPS/legislation/main/bills/2081511", "הצעת חוק הבטחת הכנסה (תיקון - תשלום רטרואקטיבי של גמלת הבטחת הכנסה למקבלי קצבת אזרח ותיק), התש""ף-2019")</f>
        <v>28989</v>
      </c>
      <c r="E15717" t="s">
        <v>28989</v>
      </c>
      <c r="F15717" t="s">
        <v>30141</v>
      </c>
      <c r="G15717" t="s">
        <v>14</v>
      </c>
      <c r="H15717">
             </c>
      <c r="I15717" t="s">
        <v>14</v>
      </c>
      <c r="J15717" t="s">
        <v>141</v>
      </c>
      <c r="K15717" t="s">
        <v>14</v>
      </c>
      <c r="L15717" t="s">
        <v>20</v>
      </c>
      <c r="M15717" t="s">
        <v>29895</v>
      </c>
      <c r="N15717" t="s">
        <v>14</v>
      </c>
    </row>
    <row r="15718" x14ac:dyDescent="0.25">
      <c r="A15718" t="n">
        <v>22</v>
      </c>
      <c r="B15718" t="s">
        <v>14</v>
      </c>
      <c r="C15718" t="s">
        <v>22</v>
      </c>
      <c r="D15718" s="2" t="s">
        <f>=HYPERLINK("https://main.knesset.gov.il/APPS/legislation/main/bills/2081408", "הצעת חוק הביטוח הלאומי (תיקון - הארכת המועד להגשת תביעות ליקוי שמיעה), התש""ף-2019 ")</f>
        <v>30142</v>
      </c>
      <c r="E15718" t="s">
        <v>30142</v>
      </c>
      <c r="F15718" t="s">
        <v>30143</v>
      </c>
      <c r="G15718" t="s">
        <v>14</v>
      </c>
      <c r="H15718">
             </c>
      <c r="I15718" t="s">
        <v>14</v>
      </c>
      <c r="J15718" t="s">
        <v>141</v>
      </c>
      <c r="K15718" t="s">
        <v>14</v>
      </c>
      <c r="L15718" t="s">
        <v>20</v>
      </c>
      <c r="M15718" t="s">
        <v>29895</v>
      </c>
      <c r="N15718" t="s">
        <v>14</v>
      </c>
    </row>
    <row r="15719" x14ac:dyDescent="0.25">
      <c r="A15719" t="n">
        <v>22</v>
      </c>
      <c r="B15719" t="s">
        <v>14</v>
      </c>
      <c r="C15719" t="s">
        <v>22</v>
      </c>
      <c r="D15719" s="2" t="s">
        <f>=HYPERLINK("https://main.knesset.gov.il/APPS/legislation/main/bills/2081504", "הצעת חוק הבטחת הכנסה (תיקון - תשלום רטרואקטיבי של גמלת הבטחת הכנסה למקבלי קצבת אזרח ותיק), התש""ף-2019")</f>
        <v>28989</v>
      </c>
      <c r="E15719" t="s">
        <v>28989</v>
      </c>
      <c r="F15719" t="s">
        <v>30144</v>
      </c>
      <c r="G15719" t="s">
        <v>14</v>
      </c>
      <c r="H15719">
             </c>
      <c r="I15719" t="s">
        <v>14</v>
      </c>
      <c r="J15719" t="s">
        <v>141</v>
      </c>
      <c r="K15719" t="s">
        <v>14</v>
      </c>
      <c r="L15719" t="s">
        <v>20</v>
      </c>
      <c r="M15719" t="s">
        <v>29895</v>
      </c>
      <c r="N15719" t="s">
        <v>14</v>
      </c>
    </row>
    <row r="15720" x14ac:dyDescent="0.25">
      <c r="A15720" t="n">
        <v>22</v>
      </c>
      <c r="B15720" t="s">
        <v>14</v>
      </c>
      <c r="C15720" t="s">
        <v>22</v>
      </c>
      <c r="D15720" s="2" t="s">
        <f>=HYPERLINK("https://main.knesset.gov.il/APPS/legislation/main/bills/2081315", "הצעת חוק הביטוח הלאומי (תיקון - ביטול מבחן ההכנסה לצורך קבלת גמלת סיעוד), התש""ף-2019")</f>
        <v>30145</v>
      </c>
      <c r="E15720" t="s">
        <v>30145</v>
      </c>
      <c r="F15720" t="s">
        <v>30146</v>
      </c>
      <c r="G15720" t="s">
        <v>14</v>
      </c>
      <c r="H15720">
             </c>
      <c r="I15720" t="s">
        <v>14</v>
      </c>
      <c r="J15720" t="s">
        <v>141</v>
      </c>
      <c r="K15720" t="s">
        <v>14</v>
      </c>
      <c r="L15720" t="s">
        <v>20</v>
      </c>
      <c r="M15720" t="s">
        <v>29895</v>
      </c>
      <c r="N15720" t="s">
        <v>14</v>
      </c>
    </row>
    <row r="15721" x14ac:dyDescent="0.25">
      <c r="A15721" t="n">
        <v>22</v>
      </c>
      <c r="B15721" t="s">
        <v>14</v>
      </c>
      <c r="C15721" t="s">
        <v>22</v>
      </c>
      <c r="D15721" s="2" t="s">
        <f>=HYPERLINK("https://main.knesset.gov.il/APPS/legislation/main/bills/2081399", "הצעת חוק החלת החוק הישראלי בשטח בקעת הירדן (הליך קבלת אזרחות), התש""ף-2019")</f>
        <v>30147</v>
      </c>
      <c r="E15721" t="s">
        <v>30147</v>
      </c>
      <c r="F15721" t="s">
        <v>30148</v>
      </c>
      <c r="G15721" t="s">
        <v>14</v>
      </c>
      <c r="H15721">
             </c>
      <c r="I15721" t="s">
        <v>14</v>
      </c>
      <c r="J15721" t="s">
        <v>141</v>
      </c>
      <c r="K15721" t="s">
        <v>14</v>
      </c>
      <c r="L15721" t="s">
        <v>20</v>
      </c>
      <c r="M15721" t="s">
        <v>29895</v>
      </c>
      <c r="N15721" t="s">
        <v>14</v>
      </c>
    </row>
    <row r="15722" x14ac:dyDescent="0.25">
      <c r="A15722" t="n">
        <v>22</v>
      </c>
      <c r="B15722" t="s">
        <v>14</v>
      </c>
      <c r="C15722" t="s">
        <v>22</v>
      </c>
      <c r="D15722" s="2" t="s">
        <f>=HYPERLINK("https://main.knesset.gov.il/APPS/legislation/main/bills/2081395", "הצעת חוק איסור שימוש ברכב ממשלתי לשר וסגן שר ביום המנוחה השבועי ובחג, התש""ף-2019")</f>
        <v>30149</v>
      </c>
      <c r="E15722" t="s">
        <v>30149</v>
      </c>
      <c r="F15722" t="s">
        <v>30150</v>
      </c>
      <c r="G15722" t="s">
        <v>14</v>
      </c>
      <c r="H15722">
             </c>
      <c r="I15722" t="s">
        <v>14</v>
      </c>
      <c r="J15722" t="s">
        <v>141</v>
      </c>
      <c r="K15722" t="s">
        <v>14</v>
      </c>
      <c r="L15722" t="s">
        <v>20</v>
      </c>
      <c r="M15722" t="s">
        <v>29895</v>
      </c>
      <c r="N15722" t="s">
        <v>14</v>
      </c>
    </row>
    <row r="15723" x14ac:dyDescent="0.25">
      <c r="A15723" t="n">
        <v>22</v>
      </c>
      <c r="B15723" t="s">
        <v>14</v>
      </c>
      <c r="C15723" t="s">
        <v>22</v>
      </c>
      <c r="D15723" s="2" t="s">
        <f>=HYPERLINK("https://main.knesset.gov.il/APPS/legislation/main/bills/2081392", "הצעת חוק הגנת הצרכן (תיקון - חובת הקלטה של עסקה טלפונית), התש""ף-2019")</f>
        <v>27638</v>
      </c>
      <c r="E15723" t="s">
        <v>27638</v>
      </c>
      <c r="F15723" t="s">
        <v>30151</v>
      </c>
      <c r="G15723" t="s">
        <v>14</v>
      </c>
      <c r="H15723">
             </c>
      <c r="I15723" t="s">
        <v>14</v>
      </c>
      <c r="J15723" t="s">
        <v>141</v>
      </c>
      <c r="K15723" t="s">
        <v>14</v>
      </c>
      <c r="L15723" t="s">
        <v>20</v>
      </c>
      <c r="M15723" t="s">
        <v>29895</v>
      </c>
      <c r="N15723" t="s">
        <v>14</v>
      </c>
    </row>
    <row r="15724" x14ac:dyDescent="0.25">
      <c r="A15724" t="n">
        <v>22</v>
      </c>
      <c r="B15724" t="s">
        <v>14</v>
      </c>
      <c r="C15724" t="s">
        <v>22</v>
      </c>
      <c r="D15724" s="2" t="s">
        <f>=HYPERLINK("https://main.knesset.gov.il/APPS/legislation/main/bills/2081313", "הצעת חוק המכינות הקדם-צבאיות (תיקון - שלילת הכרה ממכינות המעודדות סירוב פקודה והסתה), התש""ף-2019")</f>
        <v>29078</v>
      </c>
      <c r="E15724" t="s">
        <v>29078</v>
      </c>
      <c r="F15724" t="s">
        <v>30152</v>
      </c>
      <c r="G15724" t="s">
        <v>14</v>
      </c>
      <c r="H15724">
             </c>
      <c r="I15724" t="s">
        <v>14</v>
      </c>
      <c r="J15724" t="s">
        <v>141</v>
      </c>
      <c r="K15724" t="s">
        <v>14</v>
      </c>
      <c r="L15724" t="s">
        <v>20</v>
      </c>
      <c r="M15724" t="s">
        <v>29895</v>
      </c>
      <c r="N15724" t="s">
        <v>14</v>
      </c>
    </row>
    <row r="15725" x14ac:dyDescent="0.25">
      <c r="A15725" t="n">
        <v>22</v>
      </c>
      <c r="B15725" t="s">
        <v>14</v>
      </c>
      <c r="C15725" t="s">
        <v>22</v>
      </c>
      <c r="D15725" s="2" t="s">
        <f>=HYPERLINK("https://main.knesset.gov.il/APPS/legislation/main/bills/2081312", "הצעת חוק הכנסת (תיקון - קביעת קוד התנהגות לייצוג לקוחות בעלי אינטרסים מנוגדים על ידי שדלן), התש""ף-2019")</f>
        <v>30153</v>
      </c>
      <c r="E15725" t="s">
        <v>30153</v>
      </c>
      <c r="F15725" t="s">
        <v>30154</v>
      </c>
      <c r="G15725" t="s">
        <v>14</v>
      </c>
      <c r="H15725">
             </c>
      <c r="I15725" t="s">
        <v>14</v>
      </c>
      <c r="J15725" t="s">
        <v>141</v>
      </c>
      <c r="K15725" t="s">
        <v>14</v>
      </c>
      <c r="L15725" t="s">
        <v>20</v>
      </c>
      <c r="M15725" t="s">
        <v>29895</v>
      </c>
      <c r="N15725" t="s">
        <v>14</v>
      </c>
    </row>
    <row r="15726" x14ac:dyDescent="0.25">
      <c r="A15726" t="n">
        <v>22</v>
      </c>
      <c r="B15726" t="s">
        <v>14</v>
      </c>
      <c r="C15726" t="s">
        <v>22</v>
      </c>
      <c r="D15726" s="2" t="s">
        <f>=HYPERLINK("https://main.knesset.gov.il/APPS/legislation/main/bills/2081386", "הצעת חוק העונשין (תיקון - גזענות נגד קבוצה דתית), התש""ף-2019")</f>
        <v>30155</v>
      </c>
      <c r="E15726" t="s">
        <v>30155</v>
      </c>
      <c r="F15726" t="s">
        <v>30156</v>
      </c>
      <c r="G15726" t="s">
        <v>14</v>
      </c>
      <c r="H15726">
             </c>
      <c r="I15726" t="s">
        <v>14</v>
      </c>
      <c r="J15726" t="s">
        <v>141</v>
      </c>
      <c r="K15726" t="s">
        <v>14</v>
      </c>
      <c r="L15726" t="s">
        <v>20</v>
      </c>
      <c r="M15726" t="s">
        <v>29895</v>
      </c>
      <c r="N15726" t="s">
        <v>14</v>
      </c>
    </row>
    <row r="15727" x14ac:dyDescent="0.25">
      <c r="A15727" t="n">
        <v>22</v>
      </c>
      <c r="B15727" t="s">
        <v>14</v>
      </c>
      <c r="C15727" t="s">
        <v>22</v>
      </c>
      <c r="D15727" s="2" t="s">
        <f>=HYPERLINK("https://main.knesset.gov.il/APPS/legislation/main/bills/2081388", "הצעת חוק חג המצות (איסורי חמץ) (תיקון - ביטול החוק), התש""ף-2019")</f>
        <v>27566</v>
      </c>
      <c r="E15727" t="s">
        <v>27566</v>
      </c>
      <c r="F15727" t="s">
        <v>30157</v>
      </c>
      <c r="G15727" t="s">
        <v>14</v>
      </c>
      <c r="H15727">
             </c>
      <c r="I15727" t="s">
        <v>14</v>
      </c>
      <c r="J15727" t="s">
        <v>141</v>
      </c>
      <c r="K15727" t="s">
        <v>14</v>
      </c>
      <c r="L15727" t="s">
        <v>20</v>
      </c>
      <c r="M15727" t="s">
        <v>29895</v>
      </c>
      <c r="N15727" t="s">
        <v>14</v>
      </c>
    </row>
    <row r="15728" x14ac:dyDescent="0.25">
      <c r="A15728" t="n">
        <v>22</v>
      </c>
      <c r="B15728" t="s">
        <v>14</v>
      </c>
      <c r="C15728" t="s">
        <v>22</v>
      </c>
      <c r="D15728" s="2" t="s">
        <f>=HYPERLINK("https://main.knesset.gov.il/APPS/legislation/main/bills/2081379", "הצעת חוק בתי קברות צבאיים (תיקון - כיתוב על מצבה צבאית), התש""ף-2019")</f>
        <v>30158</v>
      </c>
      <c r="E15728" t="s">
        <v>30158</v>
      </c>
      <c r="F15728" t="s">
        <v>30159</v>
      </c>
      <c r="G15728" t="s">
        <v>14</v>
      </c>
      <c r="H15728">
             </c>
      <c r="I15728" t="s">
        <v>14</v>
      </c>
      <c r="J15728" t="s">
        <v>141</v>
      </c>
      <c r="K15728" t="s">
        <v>14</v>
      </c>
      <c r="L15728" t="s">
        <v>20</v>
      </c>
      <c r="M15728" t="s">
        <v>29895</v>
      </c>
      <c r="N15728" t="s">
        <v>14</v>
      </c>
    </row>
    <row r="15729" x14ac:dyDescent="0.25">
      <c r="A15729" t="n">
        <v>22</v>
      </c>
      <c r="B15729" t="s">
        <v>14</v>
      </c>
      <c r="C15729" t="s">
        <v>22</v>
      </c>
      <c r="D15729" s="2" t="s">
        <f>=HYPERLINK("https://main.knesset.gov.il/APPS/legislation/main/bills/2081371", "הצעת חוק לעידוד מחקר, פיתוח וחדשנות טכנולוגית בתעשייה (תיקון - תקציב הרשות הלאומית לחדשנות טכנולוגית), התש""ף-2019")</f>
        <v>28884</v>
      </c>
      <c r="E15729" t="s">
        <v>28884</v>
      </c>
      <c r="F15729" t="s">
        <v>30160</v>
      </c>
      <c r="G15729" t="s">
        <v>14</v>
      </c>
      <c r="H15729">
             </c>
      <c r="I15729" t="s">
        <v>14</v>
      </c>
      <c r="J15729" t="s">
        <v>141</v>
      </c>
      <c r="K15729" t="s">
        <v>14</v>
      </c>
      <c r="L15729" t="s">
        <v>20</v>
      </c>
      <c r="M15729" t="s">
        <v>29895</v>
      </c>
      <c r="N15729" t="s">
        <v>14</v>
      </c>
    </row>
    <row r="15730" x14ac:dyDescent="0.25">
      <c r="A15730" t="n">
        <v>22</v>
      </c>
      <c r="B15730" t="s">
        <v>14</v>
      </c>
      <c r="C15730" t="s">
        <v>22</v>
      </c>
      <c r="D15730" s="2" t="s">
        <f>=HYPERLINK("https://main.knesset.gov.il/APPS/legislation/main/bills/2081367", "הצעת חוק השמירה על המקומות הקדושים (תיקון - הבטחת פלורליזם דתי), התש""ף-2019")</f>
        <v>27630</v>
      </c>
      <c r="E15730" t="s">
        <v>27630</v>
      </c>
      <c r="F15730" t="s">
        <v>30161</v>
      </c>
      <c r="G15730" t="s">
        <v>14</v>
      </c>
      <c r="H15730">
             </c>
      <c r="I15730" t="s">
        <v>14</v>
      </c>
      <c r="J15730" t="s">
        <v>141</v>
      </c>
      <c r="K15730" t="s">
        <v>14</v>
      </c>
      <c r="L15730" t="s">
        <v>20</v>
      </c>
      <c r="M15730" t="s">
        <v>29895</v>
      </c>
      <c r="N15730" t="s">
        <v>14</v>
      </c>
    </row>
    <row r="15731" x14ac:dyDescent="0.25">
      <c r="A15731" t="n">
        <v>22</v>
      </c>
      <c r="B15731" t="s">
        <v>14</v>
      </c>
      <c r="C15731" t="s">
        <v>22</v>
      </c>
      <c r="D15731" s="2" t="s">
        <f>=HYPERLINK("https://main.knesset.gov.il/APPS/legislation/main/bills/2081363", "הצעת חוק הלוואות לדיור (תיקון - הצמדת סכום ההלוואה למדד), התש""ף-2019")</f>
        <v>30162</v>
      </c>
      <c r="E15731" t="s">
        <v>30162</v>
      </c>
      <c r="F15731" t="s">
        <v>30163</v>
      </c>
      <c r="G15731" t="s">
        <v>14</v>
      </c>
      <c r="H15731">
             </c>
      <c r="I15731" t="s">
        <v>14</v>
      </c>
      <c r="J15731" t="s">
        <v>141</v>
      </c>
      <c r="K15731" t="s">
        <v>14</v>
      </c>
      <c r="L15731" t="s">
        <v>20</v>
      </c>
      <c r="M15731" t="s">
        <v>29895</v>
      </c>
      <c r="N15731" t="s">
        <v>14</v>
      </c>
    </row>
    <row r="15732" x14ac:dyDescent="0.25">
      <c r="A15732" t="n">
        <v>22</v>
      </c>
      <c r="B15732" t="s">
        <v>14</v>
      </c>
      <c r="C15732" t="s">
        <v>22</v>
      </c>
      <c r="D15732" s="2" t="s">
        <f>=HYPERLINK("https://main.knesset.gov.il/APPS/legislation/main/bills/2081353", "הצעת חוק זכויות נפגעי מערכות ישראל ופעולות איבה בהליכי חקירה, התש""ף-2019")</f>
        <v>30164</v>
      </c>
      <c r="E15732" t="s">
        <v>30164</v>
      </c>
      <c r="F15732" t="s">
        <v>30165</v>
      </c>
      <c r="G15732" t="s">
        <v>14</v>
      </c>
      <c r="H15732">
             </c>
      <c r="I15732" t="s">
        <v>14</v>
      </c>
      <c r="J15732" t="s">
        <v>141</v>
      </c>
      <c r="K15732" t="s">
        <v>14</v>
      </c>
      <c r="L15732" t="s">
        <v>20</v>
      </c>
      <c r="M15732" t="s">
        <v>29895</v>
      </c>
      <c r="N15732" t="s">
        <v>14</v>
      </c>
    </row>
    <row r="15733" x14ac:dyDescent="0.25">
      <c r="A15733" t="n">
        <v>22</v>
      </c>
      <c r="B15733" t="s">
        <v>14</v>
      </c>
      <c r="C15733" t="s">
        <v>22</v>
      </c>
      <c r="D15733" s="2" t="s">
        <f>=HYPERLINK("https://main.knesset.gov.il/APPS/legislation/main/bills/2081352", "הצעת חוק לתיקון פקודת מס הכנסה (זיכוי במס לגרושים ידועים בציבור), התש""ף-2019")</f>
        <v>30166</v>
      </c>
      <c r="E15733" t="s">
        <v>30166</v>
      </c>
      <c r="F15733" t="s">
        <v>30167</v>
      </c>
      <c r="G15733" t="s">
        <v>14</v>
      </c>
      <c r="H15733">
             </c>
      <c r="I15733" t="s">
        <v>14</v>
      </c>
      <c r="J15733" t="s">
        <v>141</v>
      </c>
      <c r="K15733" t="s">
        <v>14</v>
      </c>
      <c r="L15733" t="s">
        <v>20</v>
      </c>
      <c r="M15733" t="s">
        <v>29895</v>
      </c>
      <c r="N15733" t="s">
        <v>14</v>
      </c>
    </row>
    <row r="15734" x14ac:dyDescent="0.25">
      <c r="A15734" t="n">
        <v>22</v>
      </c>
      <c r="B15734" t="s">
        <v>14</v>
      </c>
      <c r="C15734" t="s">
        <v>22</v>
      </c>
      <c r="D15734" s="2" t="s">
        <f>=HYPERLINK("https://main.knesset.gov.il/APPS/legislation/main/bills/2081346", "הצעת חוק התרבות והאמנות (תיקון - תקציב התרבות), התש""ף-2019")</f>
        <v>30168</v>
      </c>
      <c r="E15734" t="s">
        <v>30168</v>
      </c>
      <c r="F15734" t="s">
        <v>30169</v>
      </c>
      <c r="G15734" t="s">
        <v>14</v>
      </c>
      <c r="H15734">
             </c>
      <c r="I15734" t="s">
        <v>14</v>
      </c>
      <c r="J15734" t="s">
        <v>141</v>
      </c>
      <c r="K15734" t="s">
        <v>14</v>
      </c>
      <c r="L15734" t="s">
        <v>20</v>
      </c>
      <c r="M15734" t="s">
        <v>29895</v>
      </c>
      <c r="N15734" t="s">
        <v>14</v>
      </c>
    </row>
    <row r="15735" x14ac:dyDescent="0.25">
      <c r="A15735" t="n">
        <v>22</v>
      </c>
      <c r="B15735" t="s">
        <v>14</v>
      </c>
      <c r="C15735" t="s">
        <v>22</v>
      </c>
      <c r="D15735" s="2" t="s">
        <f>=HYPERLINK("https://main.knesset.gov.il/APPS/legislation/main/bills/2081344", "הצעת חוק סל הקליטה (תיקון - זכאות יוצאים לשאלה), התש""ף-2019")</f>
        <v>30170</v>
      </c>
      <c r="E15735" t="s">
        <v>30170</v>
      </c>
      <c r="F15735" t="s">
        <v>30171</v>
      </c>
      <c r="G15735" t="s">
        <v>14</v>
      </c>
      <c r="H15735">
             </c>
      <c r="I15735" t="s">
        <v>14</v>
      </c>
      <c r="J15735" t="s">
        <v>141</v>
      </c>
      <c r="K15735" t="s">
        <v>14</v>
      </c>
      <c r="L15735" t="s">
        <v>20</v>
      </c>
      <c r="M15735" t="s">
        <v>29895</v>
      </c>
      <c r="N15735" t="s">
        <v>14</v>
      </c>
    </row>
    <row r="15736" x14ac:dyDescent="0.25">
      <c r="A15736" t="n">
        <v>22</v>
      </c>
      <c r="B15736" t="s">
        <v>14</v>
      </c>
      <c r="C15736" t="s">
        <v>22</v>
      </c>
      <c r="D15736" s="2" t="s">
        <f>=HYPERLINK("https://main.knesset.gov.il/APPS/legislation/main/bills/2081335", "הצעת חוק פנייה לגופים ציבוריים באמצעי קשר דיגיטליים (תיקון - קביעת תור באמצעות האינטרנט), התש""ף-2019")</f>
        <v>30172</v>
      </c>
      <c r="E15736" t="s">
        <v>30172</v>
      </c>
      <c r="F15736" t="s">
        <v>30173</v>
      </c>
      <c r="G15736" t="s">
        <v>14</v>
      </c>
      <c r="H15736">
             </c>
      <c r="I15736" t="s">
        <v>14</v>
      </c>
      <c r="J15736" t="s">
        <v>141</v>
      </c>
      <c r="K15736" t="s">
        <v>14</v>
      </c>
      <c r="L15736" t="s">
        <v>20</v>
      </c>
      <c r="M15736" t="s">
        <v>29895</v>
      </c>
      <c r="N15736" t="s">
        <v>14</v>
      </c>
    </row>
    <row r="15737" x14ac:dyDescent="0.25">
      <c r="A15737" t="n">
        <v>22</v>
      </c>
      <c r="B15737" t="s">
        <v>14</v>
      </c>
      <c r="C15737" t="s">
        <v>22</v>
      </c>
      <c r="D15737" s="2" t="s">
        <f>=HYPERLINK("https://main.knesset.gov.il/APPS/legislation/main/bills/2081333", "הצעת חוק להקפאת כספים ששילמה הרשות הפלסטינית בזיקה לטרור מהכספים המועברים אליה מממשלת ישראל (תיקון - הקפאת כספי תגמולים לתושבי האזור מכוח חוק התגמולים לנפגעי פעולות איבה), התש""ף-2019")</f>
        <v>30174</v>
      </c>
      <c r="E15737" t="s">
        <v>30174</v>
      </c>
      <c r="F15737" t="s">
        <v>30175</v>
      </c>
      <c r="G15737" t="s">
        <v>14</v>
      </c>
      <c r="H15737">
             </c>
      <c r="I15737" t="s">
        <v>14</v>
      </c>
      <c r="J15737" t="s">
        <v>141</v>
      </c>
      <c r="K15737" t="s">
        <v>14</v>
      </c>
      <c r="L15737" t="s">
        <v>20</v>
      </c>
      <c r="M15737" t="s">
        <v>29895</v>
      </c>
      <c r="N15737" t="s">
        <v>14</v>
      </c>
    </row>
    <row r="15738" x14ac:dyDescent="0.25">
      <c r="A15738" t="n">
        <v>22</v>
      </c>
      <c r="B15738" t="s">
        <v>14</v>
      </c>
      <c r="C15738" t="s">
        <v>22</v>
      </c>
      <c r="D15738" s="2" t="s">
        <f>=HYPERLINK("https://main.knesset.gov.il/APPS/legislation/main/bills/2081332", "הצעת חוק שירות ביטחון (תיקון - עיון חוזר בפטור מטעמי הכרה דתית שהושג במרמה), התש""ף-2019")</f>
        <v>30176</v>
      </c>
      <c r="E15738" t="s">
        <v>30176</v>
      </c>
      <c r="F15738" t="s">
        <v>30177</v>
      </c>
      <c r="G15738" t="s">
        <v>14</v>
      </c>
      <c r="H15738">
             </c>
      <c r="I15738" t="s">
        <v>14</v>
      </c>
      <c r="J15738" t="s">
        <v>141</v>
      </c>
      <c r="K15738" t="s">
        <v>14</v>
      </c>
      <c r="L15738" t="s">
        <v>20</v>
      </c>
      <c r="M15738" t="s">
        <v>29895</v>
      </c>
      <c r="N15738" t="s">
        <v>14</v>
      </c>
    </row>
    <row r="15739" x14ac:dyDescent="0.25">
      <c r="A15739" t="n">
        <v>22</v>
      </c>
      <c r="B15739" t="s">
        <v>14</v>
      </c>
      <c r="C15739" t="s">
        <v>22</v>
      </c>
      <c r="D15739" s="2" t="s">
        <f>=HYPERLINK("https://main.knesset.gov.il/APPS/legislation/main/bills/2081481", "הצעת חוק שירות ביטחון (תיקוני חקיקה), התש""ף-2019")</f>
        <v>30178</v>
      </c>
      <c r="E15739" t="s">
        <v>30178</v>
      </c>
      <c r="F15739" t="s">
        <v>30179</v>
      </c>
      <c r="G15739" t="s">
        <v>14</v>
      </c>
      <c r="H15739">
             </c>
      <c r="I15739" t="s">
        <v>14</v>
      </c>
      <c r="J15739" t="s">
        <v>141</v>
      </c>
      <c r="K15739" t="s">
        <v>14</v>
      </c>
      <c r="L15739" t="s">
        <v>20</v>
      </c>
      <c r="M15739" t="s">
        <v>29895</v>
      </c>
      <c r="N15739" t="s">
        <v>14</v>
      </c>
    </row>
    <row r="15740" x14ac:dyDescent="0.25">
      <c r="A15740" t="n">
        <v>22</v>
      </c>
      <c r="B15740" t="s">
        <v>14</v>
      </c>
      <c r="C15740" t="s">
        <v>22</v>
      </c>
      <c r="D15740" s="2" t="s">
        <f>=HYPERLINK("https://main.knesset.gov.il/APPS/legislation/main/bills/2081324", "הצעת חוק הרשויות המקומיות (מנהל מחלקת תרבות), התש""ף-2019")</f>
        <v>30180</v>
      </c>
      <c r="E15740" t="s">
        <v>30180</v>
      </c>
      <c r="F15740" t="s">
        <v>30181</v>
      </c>
      <c r="G15740" t="s">
        <v>14</v>
      </c>
      <c r="H15740">
             </c>
      <c r="I15740" t="s">
        <v>14</v>
      </c>
      <c r="J15740" t="s">
        <v>141</v>
      </c>
      <c r="K15740" t="s">
        <v>14</v>
      </c>
      <c r="L15740" t="s">
        <v>20</v>
      </c>
      <c r="M15740" t="s">
        <v>29895</v>
      </c>
      <c r="N15740" t="s">
        <v>14</v>
      </c>
    </row>
    <row r="15741" x14ac:dyDescent="0.25">
      <c r="A15741" t="n">
        <v>22</v>
      </c>
      <c r="B15741" t="s">
        <v>14</v>
      </c>
      <c r="C15741" t="s">
        <v>22</v>
      </c>
      <c r="D15741" s="2" t="s">
        <f>=HYPERLINK("https://main.knesset.gov.il/APPS/legislation/main/bills/2081316", "הצעת חוק חובת הדיווח של מוסדות פיננסים על כספים ללא דורש, התש""ף-2019")</f>
        <v>30182</v>
      </c>
      <c r="E15741" t="s">
        <v>30182</v>
      </c>
      <c r="F15741" t="s">
        <v>30183</v>
      </c>
      <c r="G15741" t="s">
        <v>14</v>
      </c>
      <c r="H15741">
             </c>
      <c r="I15741" t="s">
        <v>14</v>
      </c>
      <c r="J15741" t="s">
        <v>141</v>
      </c>
      <c r="K15741" t="s">
        <v>14</v>
      </c>
      <c r="L15741" t="s">
        <v>20</v>
      </c>
      <c r="M15741" t="s">
        <v>29895</v>
      </c>
      <c r="N15741" t="s">
        <v>14</v>
      </c>
    </row>
    <row r="15742" x14ac:dyDescent="0.25">
      <c r="A15742" t="n">
        <v>22</v>
      </c>
      <c r="B15742" t="s">
        <v>14</v>
      </c>
      <c r="C15742" t="s">
        <v>22</v>
      </c>
      <c r="D15742" s="2" t="s">
        <f>=HYPERLINK("https://main.knesset.gov.il/APPS/legislation/main/bills/2081305", "הצעת חוק זכויות נפגעי עבירה (תיקון - זכות עיון בתסקיר), התש""ף-2019")</f>
        <v>30184</v>
      </c>
      <c r="E15742" t="s">
        <v>30184</v>
      </c>
      <c r="F15742" t="s">
        <v>30185</v>
      </c>
      <c r="G15742" t="s">
        <v>14</v>
      </c>
      <c r="H15742">
             </c>
      <c r="I15742" t="s">
        <v>14</v>
      </c>
      <c r="J15742" t="s">
        <v>141</v>
      </c>
      <c r="K15742" t="s">
        <v>14</v>
      </c>
      <c r="L15742" t="s">
        <v>20</v>
      </c>
      <c r="M15742" t="s">
        <v>29895</v>
      </c>
      <c r="N15742" t="s">
        <v>14</v>
      </c>
    </row>
    <row r="15743" x14ac:dyDescent="0.25">
      <c r="A15743" t="n">
        <v>22</v>
      </c>
      <c r="B15743" t="s">
        <v>14</v>
      </c>
      <c r="C15743" t="s">
        <v>22</v>
      </c>
      <c r="D15743" s="2" t="s">
        <f>=HYPERLINK("https://main.knesset.gov.il/APPS/legislation/main/bills/2081290", "הצעת חוק לימוד חובה (תיקון - חינוך חינם לפעוטות ולילדים), התש""ף-2019")</f>
        <v>27720</v>
      </c>
      <c r="E15743" t="s">
        <v>27720</v>
      </c>
      <c r="F15743" t="s">
        <v>30186</v>
      </c>
      <c r="G15743" t="s">
        <v>14</v>
      </c>
      <c r="H15743">
             </c>
      <c r="I15743" t="s">
        <v>14</v>
      </c>
      <c r="J15743" t="s">
        <v>141</v>
      </c>
      <c r="K15743" t="s">
        <v>14</v>
      </c>
      <c r="L15743" t="s">
        <v>20</v>
      </c>
      <c r="M15743" t="s">
        <v>29895</v>
      </c>
      <c r="N15743" t="s">
        <v>14</v>
      </c>
    </row>
    <row r="15744" x14ac:dyDescent="0.25">
      <c r="A15744" t="n">
        <v>22</v>
      </c>
      <c r="B15744" t="s">
        <v>14</v>
      </c>
      <c r="C15744" t="s">
        <v>22</v>
      </c>
      <c r="D15744" s="2" t="s">
        <f>=HYPERLINK("https://main.knesset.gov.il/APPS/legislation/main/bills/2081304", "הצעת חוק מערך החוץ וההסברה, התש""ף-2019")</f>
        <v>27735</v>
      </c>
      <c r="E15744" t="s">
        <v>27735</v>
      </c>
      <c r="F15744" t="s">
        <v>30187</v>
      </c>
      <c r="G15744" t="s">
        <v>14</v>
      </c>
      <c r="H15744">
             </c>
      <c r="I15744" t="s">
        <v>14</v>
      </c>
      <c r="J15744" t="s">
        <v>141</v>
      </c>
      <c r="K15744" t="s">
        <v>14</v>
      </c>
      <c r="L15744" t="s">
        <v>20</v>
      </c>
      <c r="M15744" t="s">
        <v>29895</v>
      </c>
      <c r="N15744" t="s">
        <v>14</v>
      </c>
    </row>
    <row r="15745" x14ac:dyDescent="0.25">
      <c r="A15745" t="n">
        <v>22</v>
      </c>
      <c r="B15745" t="s">
        <v>14</v>
      </c>
      <c r="C15745" t="s">
        <v>22</v>
      </c>
      <c r="D15745" s="2" t="s">
        <f>=HYPERLINK("https://main.knesset.gov.il/APPS/legislation/main/bills/2081288", "הצעת חוק לתיקון פקודת היערות (הגברת ההגנה על עצים בוגרים), התש""ף-2019")</f>
        <v>30188</v>
      </c>
      <c r="E15745" t="s">
        <v>30188</v>
      </c>
      <c r="F15745" t="s">
        <v>30189</v>
      </c>
      <c r="G15745" t="s">
        <v>14</v>
      </c>
      <c r="H15745">
             </c>
      <c r="I15745" t="s">
        <v>14</v>
      </c>
      <c r="J15745" t="s">
        <v>141</v>
      </c>
      <c r="K15745" t="s">
        <v>14</v>
      </c>
      <c r="L15745" t="s">
        <v>20</v>
      </c>
      <c r="M15745" t="s">
        <v>29895</v>
      </c>
      <c r="N15745" t="s">
        <v>14</v>
      </c>
    </row>
    <row r="15746" x14ac:dyDescent="0.25">
      <c r="A15746" t="n">
        <v>22</v>
      </c>
      <c r="B15746" t="s">
        <v>14</v>
      </c>
      <c r="C15746" t="s">
        <v>22</v>
      </c>
      <c r="D15746" s="2" t="s">
        <f>=HYPERLINK("https://main.knesset.gov.il/APPS/legislation/main/bills/2081261", "הצעת חוק התכנון והבנייה (תיקון - ניגוד עניינים של חוקר), התש""ף-2019")</f>
        <v>30190</v>
      </c>
      <c r="E15746" t="s">
        <v>30190</v>
      </c>
      <c r="F15746" t="s">
        <v>30191</v>
      </c>
      <c r="G15746" t="s">
        <v>14</v>
      </c>
      <c r="H15746">
             </c>
      <c r="I15746" t="s">
        <v>14</v>
      </c>
      <c r="J15746" t="s">
        <v>141</v>
      </c>
      <c r="K15746" t="s">
        <v>14</v>
      </c>
      <c r="L15746" t="s">
        <v>20</v>
      </c>
      <c r="M15746" t="s">
        <v>29895</v>
      </c>
      <c r="N15746" t="s">
        <v>14</v>
      </c>
    </row>
    <row r="15747" x14ac:dyDescent="0.25">
      <c r="A15747" t="n">
        <v>22</v>
      </c>
      <c r="B15747" t="s">
        <v>14</v>
      </c>
      <c r="C15747" t="s">
        <v>22</v>
      </c>
      <c r="D15747" s="2" t="s">
        <f>=HYPERLINK("https://main.knesset.gov.il/APPS/legislation/main/bills/2081281", "הצעת חוק הגנת הפרטיות (תיקון - פרטיות קטינים), התש""ף-2019")</f>
        <v>30192</v>
      </c>
      <c r="E15747" t="s">
        <v>30192</v>
      </c>
      <c r="F15747" t="s">
        <v>30193</v>
      </c>
      <c r="G15747" t="s">
        <v>14</v>
      </c>
      <c r="H15747">
             </c>
      <c r="I15747" t="s">
        <v>14</v>
      </c>
      <c r="J15747" t="s">
        <v>141</v>
      </c>
      <c r="K15747" t="s">
        <v>14</v>
      </c>
      <c r="L15747" t="s">
        <v>20</v>
      </c>
      <c r="M15747" t="s">
        <v>29895</v>
      </c>
      <c r="N15747" t="s">
        <v>14</v>
      </c>
    </row>
    <row r="15748" x14ac:dyDescent="0.25">
      <c r="A15748" t="n">
        <v>22</v>
      </c>
      <c r="B15748" t="s">
        <v>14</v>
      </c>
      <c r="C15748" t="s">
        <v>22</v>
      </c>
      <c r="D15748" s="2" t="s">
        <f>=HYPERLINK("https://main.knesset.gov.il/APPS/legislation/main/bills/2081260", "הצעת חוק ביטוח בריאות ממלכתי (תיקון - ייצוג גוף העוסק בתחום הבריאות על ידי שדלן), התש""ף-2019 ")</f>
        <v>30194</v>
      </c>
      <c r="E15748" t="s">
        <v>30194</v>
      </c>
      <c r="F15748" t="s">
        <v>30195</v>
      </c>
      <c r="G15748" t="s">
        <v>14</v>
      </c>
      <c r="H15748">
             </c>
      <c r="I15748" t="s">
        <v>14</v>
      </c>
      <c r="J15748" t="s">
        <v>141</v>
      </c>
      <c r="K15748" t="s">
        <v>14</v>
      </c>
      <c r="L15748" t="s">
        <v>20</v>
      </c>
      <c r="M15748" t="s">
        <v>29895</v>
      </c>
      <c r="N15748" t="s">
        <v>14</v>
      </c>
    </row>
    <row r="15749" x14ac:dyDescent="0.25">
      <c r="A15749" t="n">
        <v>22</v>
      </c>
      <c r="B15749" t="s">
        <v>14</v>
      </c>
      <c r="C15749" t="s">
        <v>22</v>
      </c>
      <c r="D15749" s="2" t="s">
        <f>=HYPERLINK("https://main.knesset.gov.il/APPS/legislation/main/bills/2081256", "הצעת חוק זכויות, שירותים והתאמות בחינוך לילדים עם צרכים מיוחדים, התש""ף-2019")</f>
        <v>27650</v>
      </c>
      <c r="E15749" t="s">
        <v>27650</v>
      </c>
      <c r="F15749" t="s">
        <v>30196</v>
      </c>
      <c r="G15749" t="s">
        <v>14</v>
      </c>
      <c r="H15749">
             </c>
      <c r="I15749" t="s">
        <v>14</v>
      </c>
      <c r="J15749" t="s">
        <v>141</v>
      </c>
      <c r="K15749" t="s">
        <v>14</v>
      </c>
      <c r="L15749" t="s">
        <v>20</v>
      </c>
      <c r="M15749" t="s">
        <v>29895</v>
      </c>
      <c r="N15749" t="s">
        <v>14</v>
      </c>
    </row>
    <row r="15750" x14ac:dyDescent="0.25">
      <c r="A15750" t="n">
        <v>22</v>
      </c>
      <c r="B15750" t="s">
        <v>14</v>
      </c>
      <c r="C15750" t="s">
        <v>22</v>
      </c>
      <c r="D15750" s="2" t="s">
        <f>=HYPERLINK("https://main.knesset.gov.il/APPS/legislation/main/bills/2081254", "הצעת חוק ביטוח בריאות ממלכתי (תיקון - צמצום פערים בין הפריפריה למרכז), התש""ף-2019")</f>
        <v>28399</v>
      </c>
      <c r="E15750" t="s">
        <v>28399</v>
      </c>
      <c r="F15750" t="s">
        <v>30197</v>
      </c>
      <c r="G15750" t="s">
        <v>14</v>
      </c>
      <c r="H15750">
             </c>
      <c r="I15750" t="s">
        <v>14</v>
      </c>
      <c r="J15750" t="s">
        <v>141</v>
      </c>
      <c r="K15750" t="s">
        <v>14</v>
      </c>
      <c r="L15750" t="s">
        <v>20</v>
      </c>
      <c r="M15750" t="s">
        <v>29895</v>
      </c>
      <c r="N15750" t="s">
        <v>14</v>
      </c>
    </row>
    <row r="15751" x14ac:dyDescent="0.25">
      <c r="A15751" t="n">
        <v>22</v>
      </c>
      <c r="B15751" t="s">
        <v>14</v>
      </c>
      <c r="C15751" t="s">
        <v>22</v>
      </c>
      <c r="D15751" s="2" t="s">
        <f>=HYPERLINK("https://main.knesset.gov.il/APPS/legislation/main/bills/2081276", "הצעת חוק להסדרת שירותי ההשגחה על הכשרות, התש""ף-2019")</f>
        <v>30198</v>
      </c>
      <c r="E15751" t="s">
        <v>30198</v>
      </c>
      <c r="F15751" t="s">
        <v>30199</v>
      </c>
      <c r="G15751" t="s">
        <v>14</v>
      </c>
      <c r="H15751">
             </c>
      <c r="I15751" t="s">
        <v>14</v>
      </c>
      <c r="J15751" t="s">
        <v>141</v>
      </c>
      <c r="K15751" t="s">
        <v>14</v>
      </c>
      <c r="L15751" t="s">
        <v>20</v>
      </c>
      <c r="M15751" t="s">
        <v>29895</v>
      </c>
      <c r="N15751" t="s">
        <v>14</v>
      </c>
    </row>
    <row r="15752" x14ac:dyDescent="0.25">
      <c r="A15752" t="n">
        <v>22</v>
      </c>
      <c r="B15752" t="s">
        <v>14</v>
      </c>
      <c r="C15752" t="s">
        <v>22</v>
      </c>
      <c r="D15752" s="2" t="s">
        <f>=HYPERLINK("https://main.knesset.gov.il/APPS/legislation/main/bills/2081253", "הצעת חוק ביטוח בריאות ממלכתי (תיקון - זכאות למימון טיפול על ידי רופא שאינו כלול בהסדר הבחירה של קופת החולים), התש""ף-2019")</f>
        <v>30200</v>
      </c>
      <c r="E15752" t="s">
        <v>30200</v>
      </c>
      <c r="F15752" t="s">
        <v>30201</v>
      </c>
      <c r="G15752" t="s">
        <v>14</v>
      </c>
      <c r="H15752">
             </c>
      <c r="I15752" t="s">
        <v>14</v>
      </c>
      <c r="J15752" t="s">
        <v>141</v>
      </c>
      <c r="K15752" t="s">
        <v>14</v>
      </c>
      <c r="L15752" t="s">
        <v>20</v>
      </c>
      <c r="M15752" t="s">
        <v>29895</v>
      </c>
      <c r="N15752" t="s">
        <v>14</v>
      </c>
    </row>
    <row r="15753" x14ac:dyDescent="0.25">
      <c r="A15753" t="n">
        <v>22</v>
      </c>
      <c r="B15753" t="s">
        <v>14</v>
      </c>
      <c r="C15753" t="s">
        <v>22</v>
      </c>
      <c r="D15753" s="2" t="s">
        <f>=HYPERLINK("https://main.knesset.gov.il/APPS/legislation/main/bills/2081250", "הצעת חוק לתיקון פקודת העיריות (החזר הוצאות והשתלמויות לחברי מועצה), התש""ף-2019")</f>
        <v>30202</v>
      </c>
      <c r="E15753" t="s">
        <v>30202</v>
      </c>
      <c r="F15753" t="s">
        <v>30203</v>
      </c>
      <c r="G15753" t="s">
        <v>14</v>
      </c>
      <c r="H15753">
             </c>
      <c r="I15753" t="s">
        <v>14</v>
      </c>
      <c r="J15753" t="s">
        <v>141</v>
      </c>
      <c r="K15753" t="s">
        <v>14</v>
      </c>
      <c r="L15753" t="s">
        <v>20</v>
      </c>
      <c r="M15753" t="s">
        <v>29895</v>
      </c>
      <c r="N15753" t="s">
        <v>14</v>
      </c>
    </row>
    <row r="15754" x14ac:dyDescent="0.25">
      <c r="A15754" t="n">
        <v>22</v>
      </c>
      <c r="B15754" t="s">
        <v>14</v>
      </c>
      <c r="C15754" t="s">
        <v>22</v>
      </c>
      <c r="D15754" s="2" t="s">
        <f>=HYPERLINK("https://main.knesset.gov.il/APPS/legislation/main/bills/2081248", "הצעת חוק בתי המשפט (תיקון - איסור פרסום לשם הגנה על ביטחון תעסוקתי), התש""ף-2019")</f>
        <v>30204</v>
      </c>
      <c r="E15754" t="s">
        <v>30204</v>
      </c>
      <c r="F15754" t="s">
        <v>30205</v>
      </c>
      <c r="G15754" t="s">
        <v>14</v>
      </c>
      <c r="H15754">
             </c>
      <c r="I15754" t="s">
        <v>14</v>
      </c>
      <c r="J15754" t="s">
        <v>141</v>
      </c>
      <c r="K15754" t="s">
        <v>14</v>
      </c>
      <c r="L15754" t="s">
        <v>20</v>
      </c>
      <c r="M15754" t="s">
        <v>29895</v>
      </c>
      <c r="N15754" t="s">
        <v>14</v>
      </c>
    </row>
    <row r="15755" x14ac:dyDescent="0.25">
      <c r="A15755" t="n">
        <v>22</v>
      </c>
      <c r="B15755" t="s">
        <v>14</v>
      </c>
      <c r="C15755" t="s">
        <v>22</v>
      </c>
      <c r="D15755" s="2" t="s">
        <f>=HYPERLINK("https://main.knesset.gov.il/APPS/legislation/main/bills/2081274", "הצעת חוק התכנון והבנייה (תיקון - שילוב נציגי משרד הבריאות וחובת תסקיר השפעה על הבריאות), התש""ף-2019")</f>
        <v>30206</v>
      </c>
      <c r="E15755" t="s">
        <v>30206</v>
      </c>
      <c r="F15755" t="s">
        <v>30207</v>
      </c>
      <c r="G15755" t="s">
        <v>14</v>
      </c>
      <c r="H15755">
             </c>
      <c r="I15755" t="s">
        <v>14</v>
      </c>
      <c r="J15755" t="s">
        <v>141</v>
      </c>
      <c r="K15755" t="s">
        <v>14</v>
      </c>
      <c r="L15755" t="s">
        <v>20</v>
      </c>
      <c r="M15755" t="s">
        <v>29895</v>
      </c>
      <c r="N15755" t="s">
        <v>14</v>
      </c>
    </row>
    <row r="15756" x14ac:dyDescent="0.25">
      <c r="A15756" t="n">
        <v>22</v>
      </c>
      <c r="B15756" t="s">
        <v>14</v>
      </c>
      <c r="C15756" t="s">
        <v>22</v>
      </c>
      <c r="D15756" s="2" t="s">
        <f>=HYPERLINK("https://main.knesset.gov.il/APPS/legislation/main/bills/2081246", "הצעת חוק הסדרת שוק הקנאביס, התש""ף-2019")</f>
        <v>30208</v>
      </c>
      <c r="E15756" t="s">
        <v>30208</v>
      </c>
      <c r="F15756" t="s">
        <v>30209</v>
      </c>
      <c r="G15756" t="s">
        <v>14</v>
      </c>
      <c r="H15756">
             </c>
      <c r="I15756" t="s">
        <v>14</v>
      </c>
      <c r="J15756" t="s">
        <v>141</v>
      </c>
      <c r="K15756" t="s">
        <v>14</v>
      </c>
      <c r="L15756" t="s">
        <v>20</v>
      </c>
      <c r="M15756" t="s">
        <v>29895</v>
      </c>
      <c r="N15756" t="s">
        <v>14</v>
      </c>
    </row>
    <row r="15757" x14ac:dyDescent="0.25">
      <c r="A15757" t="n">
        <v>22</v>
      </c>
      <c r="B15757" t="s">
        <v>14</v>
      </c>
      <c r="C15757" t="s">
        <v>22</v>
      </c>
      <c r="D15757" s="2" t="s">
        <f>=HYPERLINK("https://main.knesset.gov.il/APPS/legislation/main/bills/2081242", "הצעת חוק החלת הריבונות הישראלית על בקעת הירדן, התש""ף-2019")</f>
        <v>28495</v>
      </c>
      <c r="E15757" t="s">
        <v>28495</v>
      </c>
      <c r="F15757" t="s">
        <v>30210</v>
      </c>
      <c r="G15757" t="s">
        <v>14</v>
      </c>
      <c r="H15757">
             </c>
      <c r="I15757" t="s">
        <v>14</v>
      </c>
      <c r="J15757" t="s">
        <v>141</v>
      </c>
      <c r="K15757" t="s">
        <v>14</v>
      </c>
      <c r="L15757" t="s">
        <v>20</v>
      </c>
      <c r="M15757" t="s">
        <v>29895</v>
      </c>
      <c r="N15757" t="s">
        <v>14</v>
      </c>
    </row>
    <row r="15758" x14ac:dyDescent="0.25">
      <c r="A15758" t="n">
        <v>22</v>
      </c>
      <c r="B15758" t="s">
        <v>14</v>
      </c>
      <c r="C15758" t="s">
        <v>22</v>
      </c>
      <c r="D15758" s="2" t="s">
        <f>=HYPERLINK("https://main.knesset.gov.il/APPS/legislation/main/bills/2081241", "הצעת חוק הביטוח הלאומי (תיקון - דמי פגיעה לעצמאי), התש""ף-2019")</f>
        <v>28198</v>
      </c>
      <c r="E15758" t="s">
        <v>28198</v>
      </c>
      <c r="F15758" t="s">
        <v>30211</v>
      </c>
      <c r="G15758" t="s">
        <v>14</v>
      </c>
      <c r="H15758">
             </c>
      <c r="I15758" t="s">
        <v>14</v>
      </c>
      <c r="J15758" t="s">
        <v>141</v>
      </c>
      <c r="K15758" t="s">
        <v>14</v>
      </c>
      <c r="L15758" t="s">
        <v>20</v>
      </c>
      <c r="M15758" t="s">
        <v>29895</v>
      </c>
      <c r="N15758" t="s">
        <v>14</v>
      </c>
    </row>
    <row r="15759" x14ac:dyDescent="0.25">
      <c r="A15759" t="n">
        <v>22</v>
      </c>
      <c r="B15759" t="s">
        <v>14</v>
      </c>
      <c r="C15759" t="s">
        <v>22</v>
      </c>
      <c r="D15759" s="2" t="s">
        <f>=HYPERLINK("https://main.knesset.gov.il/APPS/legislation/main/bills/2081238", "הצעת חוק הביטוח הלאומי (תיקון - השוואת קצבת נכות לשכר המינימום), התש""ף-2019")</f>
        <v>27840</v>
      </c>
      <c r="E15759" t="s">
        <v>27840</v>
      </c>
      <c r="F15759" t="s">
        <v>30212</v>
      </c>
      <c r="G15759" t="s">
        <v>14</v>
      </c>
      <c r="H15759">
             </c>
      <c r="I15759" t="s">
        <v>14</v>
      </c>
      <c r="J15759" t="s">
        <v>141</v>
      </c>
      <c r="K15759" t="s">
        <v>14</v>
      </c>
      <c r="L15759" t="s">
        <v>20</v>
      </c>
      <c r="M15759" t="s">
        <v>29895</v>
      </c>
      <c r="N15759" t="s">
        <v>14</v>
      </c>
    </row>
    <row r="15760" x14ac:dyDescent="0.25">
      <c r="A15760" t="n">
        <v>22</v>
      </c>
      <c r="B15760" t="s">
        <v>14</v>
      </c>
      <c r="C15760" t="s">
        <v>22</v>
      </c>
      <c r="D15760" s="2" t="s">
        <f>=HYPERLINK("https://main.knesset.gov.il/APPS/legislation/main/bills/2081271", "הצעת חוק התכנון והבנייה (תיקון - שטח ציבורי פתוח בתכנית למגורים), התש""ף-2019")</f>
        <v>30213</v>
      </c>
      <c r="E15760" t="s">
        <v>30213</v>
      </c>
      <c r="F15760" t="s">
        <v>30214</v>
      </c>
      <c r="G15760" t="s">
        <v>14</v>
      </c>
      <c r="H15760">
             </c>
      <c r="I15760" t="s">
        <v>14</v>
      </c>
      <c r="J15760" t="s">
        <v>141</v>
      </c>
      <c r="K15760" t="s">
        <v>14</v>
      </c>
      <c r="L15760" t="s">
        <v>20</v>
      </c>
      <c r="M15760" t="s">
        <v>29895</v>
      </c>
      <c r="N15760" t="s">
        <v>14</v>
      </c>
    </row>
    <row r="15761" x14ac:dyDescent="0.25">
      <c r="A15761" t="n">
        <v>22</v>
      </c>
      <c r="B15761" t="s">
        <v>14</v>
      </c>
      <c r="C15761" t="s">
        <v>22</v>
      </c>
      <c r="D15761" s="2" t="s">
        <f>=HYPERLINK("https://main.knesset.gov.il/APPS/legislation/main/bills/2081237", "הצעת חוק שינויים בהסדר תקופת הלידה וההורות (תיקוני חקיקה), התש""ף-2019")</f>
        <v>30215</v>
      </c>
      <c r="E15761" t="s">
        <v>30215</v>
      </c>
      <c r="F15761" t="s">
        <v>30216</v>
      </c>
      <c r="G15761" t="s">
        <v>14</v>
      </c>
      <c r="H15761">
             </c>
      <c r="I15761" t="s">
        <v>14</v>
      </c>
      <c r="J15761" t="s">
        <v>141</v>
      </c>
      <c r="K15761" t="s">
        <v>14</v>
      </c>
      <c r="L15761" t="s">
        <v>20</v>
      </c>
      <c r="M15761" t="s">
        <v>29895</v>
      </c>
      <c r="N15761" t="s">
        <v>14</v>
      </c>
    </row>
    <row r="15762" x14ac:dyDescent="0.25">
      <c r="A15762" t="n">
        <v>22</v>
      </c>
      <c r="B15762" t="s">
        <v>14</v>
      </c>
      <c r="C15762" t="s">
        <v>22</v>
      </c>
      <c r="D15762" s="2" t="s">
        <f>=HYPERLINK("https://main.knesset.gov.il/APPS/legislation/main/bills/2081236", "הצעת חוק משפחות חיילים שנספו במערכה (תגמולים ושיקום) (תיקון - גמול לאח הנספה), התש""ף-2019")</f>
        <v>30217</v>
      </c>
      <c r="E15762" t="s">
        <v>30217</v>
      </c>
      <c r="F15762" t="s">
        <v>30218</v>
      </c>
      <c r="G15762" t="s">
        <v>14</v>
      </c>
      <c r="H15762">
             </c>
      <c r="I15762" t="s">
        <v>14</v>
      </c>
      <c r="J15762" t="s">
        <v>141</v>
      </c>
      <c r="K15762" t="s">
        <v>14</v>
      </c>
      <c r="L15762" t="s">
        <v>20</v>
      </c>
      <c r="M15762" t="s">
        <v>29895</v>
      </c>
      <c r="N15762" t="s">
        <v>14</v>
      </c>
    </row>
    <row r="15763" x14ac:dyDescent="0.25">
      <c r="A15763" t="n">
        <v>22</v>
      </c>
      <c r="B15763" t="s">
        <v>14</v>
      </c>
      <c r="C15763" t="s">
        <v>22</v>
      </c>
      <c r="D15763" s="2" t="s">
        <f>=HYPERLINK("https://main.knesset.gov.il/APPS/legislation/main/bills/2081267", "הצעת חוק העונשין (תיקון - ענישה על עבירה חוזרת כנגד קטין וחסר ישע), התש""ף-2019")</f>
        <v>30219</v>
      </c>
      <c r="E15763" t="s">
        <v>30219</v>
      </c>
      <c r="F15763" t="s">
        <v>30220</v>
      </c>
      <c r="G15763" t="s">
        <v>14</v>
      </c>
      <c r="H15763">
             </c>
      <c r="I15763" t="s">
        <v>14</v>
      </c>
      <c r="J15763" t="s">
        <v>141</v>
      </c>
      <c r="K15763" t="s">
        <v>14</v>
      </c>
      <c r="L15763" t="s">
        <v>20</v>
      </c>
      <c r="M15763" t="s">
        <v>29895</v>
      </c>
      <c r="N15763" t="s">
        <v>14</v>
      </c>
    </row>
    <row r="15764" x14ac:dyDescent="0.25">
      <c r="A15764" t="n">
        <v>22</v>
      </c>
      <c r="B15764" t="s">
        <v>14</v>
      </c>
      <c r="C15764" t="s">
        <v>22</v>
      </c>
      <c r="D15764" s="2" t="s">
        <f>=HYPERLINK("https://main.knesset.gov.il/APPS/legislation/main/bills/2081232", "הצעת חוק הרחבת ההגדרה ""חבלת שירות"" לעניין תגמולים ושיקום (תיקוני חקיקה), התש""ף-2019")</f>
        <v>30221</v>
      </c>
      <c r="E15764" t="s">
        <v>30221</v>
      </c>
      <c r="F15764" t="s">
        <v>30222</v>
      </c>
      <c r="G15764" t="s">
        <v>14</v>
      </c>
      <c r="H15764">
             </c>
      <c r="I15764" t="s">
        <v>14</v>
      </c>
      <c r="J15764" t="s">
        <v>141</v>
      </c>
      <c r="K15764" t="s">
        <v>14</v>
      </c>
      <c r="L15764" t="s">
        <v>20</v>
      </c>
      <c r="M15764" t="s">
        <v>29895</v>
      </c>
      <c r="N15764" t="s">
        <v>14</v>
      </c>
    </row>
    <row r="15765" x14ac:dyDescent="0.25">
      <c r="A15765" t="n">
        <v>22</v>
      </c>
      <c r="B15765" t="s">
        <v>14</v>
      </c>
      <c r="C15765" t="s">
        <v>22</v>
      </c>
      <c r="D15765" s="2" t="s">
        <f>=HYPERLINK("https://main.knesset.gov.il/APPS/legislation/main/bills/2081266", "הצעת חוק הפקדות וזכויות סוציאליות לעצמאיים (תיקוני חקיקה), התש""ף-2019")</f>
        <v>30223</v>
      </c>
      <c r="E15765" t="s">
        <v>30223</v>
      </c>
      <c r="F15765" t="s">
        <v>30224</v>
      </c>
      <c r="G15765" t="s">
        <v>14</v>
      </c>
      <c r="H15765">
             </c>
      <c r="I15765" t="s">
        <v>14</v>
      </c>
      <c r="J15765" t="s">
        <v>141</v>
      </c>
      <c r="K15765" t="s">
        <v>14</v>
      </c>
      <c r="L15765" t="s">
        <v>20</v>
      </c>
      <c r="M15765" t="s">
        <v>29895</v>
      </c>
      <c r="N15765" t="s">
        <v>14</v>
      </c>
    </row>
    <row r="15766" x14ac:dyDescent="0.25">
      <c r="A15766" t="n">
        <v>22</v>
      </c>
      <c r="B15766" t="s">
        <v>14</v>
      </c>
      <c r="C15766" t="s">
        <v>22</v>
      </c>
      <c r="D15766" s="2" t="s">
        <f>=HYPERLINK("https://main.knesset.gov.il/APPS/legislation/main/bills/2081229", "הצעת חוק הסדרים במשק המדינה (תיקוני חקיקה להשגת יעדי התקציב) (תיקון - חישוב עליית מחירי הארנונה), התש""ף-2019")</f>
        <v>30225</v>
      </c>
      <c r="E15766" t="s">
        <v>30225</v>
      </c>
      <c r="F15766" t="s">
        <v>30226</v>
      </c>
      <c r="G15766" t="s">
        <v>14</v>
      </c>
      <c r="H15766">
             </c>
      <c r="I15766" t="s">
        <v>14</v>
      </c>
      <c r="J15766" t="s">
        <v>141</v>
      </c>
      <c r="K15766" t="s">
        <v>14</v>
      </c>
      <c r="L15766" t="s">
        <v>20</v>
      </c>
      <c r="M15766" t="s">
        <v>29895</v>
      </c>
      <c r="N15766" t="s">
        <v>14</v>
      </c>
    </row>
    <row r="15767" x14ac:dyDescent="0.25">
      <c r="A15767" t="n">
        <v>22</v>
      </c>
      <c r="B15767" t="s">
        <v>14</v>
      </c>
      <c r="C15767" t="s">
        <v>22</v>
      </c>
      <c r="D15767" s="2" t="s">
        <f>=HYPERLINK("https://main.knesset.gov.il/APPS/legislation/main/bills/2081225", "הצעת חוק הביטוח הלאומי (תיקון - תגמול למשרתים במילואים), התש""ף-2019")</f>
        <v>30227</v>
      </c>
      <c r="E15767" t="s">
        <v>30227</v>
      </c>
      <c r="F15767" t="s">
        <v>30228</v>
      </c>
      <c r="G15767" t="s">
        <v>14</v>
      </c>
      <c r="H15767">
             </c>
      <c r="I15767" t="s">
        <v>14</v>
      </c>
      <c r="J15767" t="s">
        <v>141</v>
      </c>
      <c r="K15767" t="s">
        <v>14</v>
      </c>
      <c r="L15767" t="s">
        <v>20</v>
      </c>
      <c r="M15767" t="s">
        <v>29895</v>
      </c>
      <c r="N15767" t="s">
        <v>14</v>
      </c>
    </row>
    <row r="15768" x14ac:dyDescent="0.25">
      <c r="A15768" t="n">
        <v>22</v>
      </c>
      <c r="B15768" t="s">
        <v>14</v>
      </c>
      <c r="C15768" t="s">
        <v>22</v>
      </c>
      <c r="D15768" s="2" t="s">
        <f>=HYPERLINK("https://main.knesset.gov.il/APPS/legislation/main/bills/2081221", "הצעת חוק שוויון זכויות לאנשים עם מוגבלות (תיקון - מניעת הפליה במחיר של שירות ציבורי או מוצר שהם נגישים), התש""ף-2019")</f>
        <v>30229</v>
      </c>
      <c r="E15768" t="s">
        <v>30229</v>
      </c>
      <c r="F15768" t="s">
        <v>30230</v>
      </c>
      <c r="G15768" t="s">
        <v>14</v>
      </c>
      <c r="H15768">
             </c>
      <c r="I15768" t="s">
        <v>14</v>
      </c>
      <c r="J15768" t="s">
        <v>141</v>
      </c>
      <c r="K15768" t="s">
        <v>14</v>
      </c>
      <c r="L15768" t="s">
        <v>20</v>
      </c>
      <c r="M15768" t="s">
        <v>29895</v>
      </c>
      <c r="N15768" t="s">
        <v>14</v>
      </c>
    </row>
    <row r="15769" x14ac:dyDescent="0.25">
      <c r="A15769" t="n">
        <v>22</v>
      </c>
      <c r="B15769" t="s">
        <v>14</v>
      </c>
      <c r="C15769" t="s">
        <v>22</v>
      </c>
      <c r="D15769" s="2" t="s">
        <f>=HYPERLINK("https://main.knesset.gov.il/APPS/legislation/main/bills/2081220", "הצעת חוק החלת הריבונות של מדינת ישראל על אזור יהודה והשומרון, התש""ף-2019")</f>
        <v>30231</v>
      </c>
      <c r="E15769" t="s">
        <v>30231</v>
      </c>
      <c r="F15769" t="s">
        <v>30232</v>
      </c>
      <c r="G15769" t="s">
        <v>14</v>
      </c>
      <c r="H15769">
             </c>
      <c r="I15769" t="s">
        <v>14</v>
      </c>
      <c r="J15769" t="s">
        <v>141</v>
      </c>
      <c r="K15769" t="s">
        <v>14</v>
      </c>
      <c r="L15769" t="s">
        <v>20</v>
      </c>
      <c r="M15769" t="s">
        <v>29895</v>
      </c>
      <c r="N15769" t="s">
        <v>14</v>
      </c>
    </row>
    <row r="15770" x14ac:dyDescent="0.25">
      <c r="A15770" t="n">
        <v>22</v>
      </c>
      <c r="B15770" t="s">
        <v>14</v>
      </c>
      <c r="C15770" t="s">
        <v>22</v>
      </c>
      <c r="D15770" s="2" t="s">
        <f>=HYPERLINK("https://main.knesset.gov.il/APPS/legislation/main/bills/2081215", "הצעת חוק הבנקאות (שירות ללקוח) (תיקון - פרסום מדד עמלות למשקי בית), התש""ף-2019")</f>
        <v>30233</v>
      </c>
      <c r="E15770" t="s">
        <v>30233</v>
      </c>
      <c r="F15770" t="s">
        <v>30234</v>
      </c>
      <c r="G15770" t="s">
        <v>14</v>
      </c>
      <c r="H15770">
             </c>
      <c r="I15770" t="s">
        <v>14</v>
      </c>
      <c r="J15770" t="s">
        <v>141</v>
      </c>
      <c r="K15770" t="s">
        <v>14</v>
      </c>
      <c r="L15770" t="s">
        <v>20</v>
      </c>
      <c r="M15770" t="s">
        <v>29895</v>
      </c>
      <c r="N15770" t="s">
        <v>14</v>
      </c>
    </row>
    <row r="15771" x14ac:dyDescent="0.25">
      <c r="A15771" t="n">
        <v>22</v>
      </c>
      <c r="B15771" t="s">
        <v>14</v>
      </c>
      <c r="C15771" t="s">
        <v>22</v>
      </c>
      <c r="D15771" s="2" t="s">
        <f>=HYPERLINK("https://main.knesset.gov.il/APPS/legislation/main/bills/2081213", "הצעת חוק שירות המילואים (תיקון - מטרת שירות המילואים), התש""ף-2019")</f>
        <v>30235</v>
      </c>
      <c r="E15771" t="s">
        <v>30235</v>
      </c>
      <c r="F15771" t="s">
        <v>30236</v>
      </c>
      <c r="G15771" t="s">
        <v>14</v>
      </c>
      <c r="H15771">
             </c>
      <c r="I15771" t="s">
        <v>14</v>
      </c>
      <c r="J15771" t="s">
        <v>141</v>
      </c>
      <c r="K15771" t="s">
        <v>14</v>
      </c>
      <c r="L15771" t="s">
        <v>20</v>
      </c>
      <c r="M15771" t="s">
        <v>29895</v>
      </c>
      <c r="N15771" t="s">
        <v>14</v>
      </c>
    </row>
    <row r="15772" x14ac:dyDescent="0.25">
      <c r="A15772" t="n">
        <v>22</v>
      </c>
      <c r="B15772" t="s">
        <v>14</v>
      </c>
      <c r="C15772" t="s">
        <v>22</v>
      </c>
      <c r="D15772" s="2" t="s">
        <f>=HYPERLINK("https://main.knesset.gov.il/APPS/legislation/main/bills/2081208", "הצעת חוק לתיקון דיני הרשויות המקומיות (ביטול סמכות שר הפנים לעניין חוקי עזר בדבר פתיחתם וסגירתם של עסקים בימי מנוחה), התש""ף-2019")</f>
        <v>28604</v>
      </c>
      <c r="E15772" t="s">
        <v>28604</v>
      </c>
      <c r="F15772" t="s">
        <v>30237</v>
      </c>
      <c r="G15772" t="s">
        <v>14</v>
      </c>
      <c r="H15772">
             </c>
      <c r="I15772" t="s">
        <v>14</v>
      </c>
      <c r="J15772" t="s">
        <v>141</v>
      </c>
      <c r="K15772" t="s">
        <v>14</v>
      </c>
      <c r="L15772" t="s">
        <v>20</v>
      </c>
      <c r="M15772" t="s">
        <v>29895</v>
      </c>
      <c r="N15772" t="s">
        <v>14</v>
      </c>
    </row>
    <row r="15773" x14ac:dyDescent="0.25">
      <c r="A15773" t="n">
        <v>22</v>
      </c>
      <c r="B15773" t="s">
        <v>14</v>
      </c>
      <c r="C15773" t="s">
        <v>22</v>
      </c>
      <c r="D15773" s="2" t="s">
        <f>=HYPERLINK("https://main.knesset.gov.il/APPS/legislation/main/bills/2081207", "הצעת חוק זכויות נפגעי עבירה (תיקון - שמירת דגימה פורנזית של נפגעי עבירת מין לצורך הפקת דנ""א ללא הגבלת זמן), התש""ף-2019")</f>
        <v>30238</v>
      </c>
      <c r="E15773" t="s">
        <v>30238</v>
      </c>
      <c r="F15773" t="s">
        <v>30239</v>
      </c>
      <c r="G15773" t="s">
        <v>14</v>
      </c>
      <c r="H15773">
             </c>
      <c r="I15773" t="s">
        <v>14</v>
      </c>
      <c r="J15773" t="s">
        <v>141</v>
      </c>
      <c r="K15773" t="s">
        <v>14</v>
      </c>
      <c r="L15773" t="s">
        <v>20</v>
      </c>
      <c r="M15773" t="s">
        <v>29895</v>
      </c>
      <c r="N15773" t="s">
        <v>14</v>
      </c>
    </row>
    <row r="15774" x14ac:dyDescent="0.25">
      <c r="A15774" t="n">
        <v>22</v>
      </c>
      <c r="B15774" t="s">
        <v>14</v>
      </c>
      <c r="C15774" t="s">
        <v>22</v>
      </c>
      <c r="D15774" s="2" t="s">
        <f>=HYPERLINK("https://main.knesset.gov.il/APPS/legislation/main/bills/2081204", "הצעת חוק זכויות התלמיד (תיקון - פיצוי בשל הפליית תלמידים), התש""ף-2019")</f>
        <v>30240</v>
      </c>
      <c r="E15774" t="s">
        <v>30240</v>
      </c>
      <c r="F15774" t="s">
        <v>30241</v>
      </c>
      <c r="G15774" t="s">
        <v>14</v>
      </c>
      <c r="H15774">
             </c>
      <c r="I15774" t="s">
        <v>14</v>
      </c>
      <c r="J15774" t="s">
        <v>141</v>
      </c>
      <c r="K15774" t="s">
        <v>14</v>
      </c>
      <c r="L15774" t="s">
        <v>20</v>
      </c>
      <c r="M15774" t="s">
        <v>29895</v>
      </c>
      <c r="N15774" t="s">
        <v>14</v>
      </c>
    </row>
    <row r="15775" x14ac:dyDescent="0.25">
      <c r="A15775" t="n">
        <v>22</v>
      </c>
      <c r="B15775" t="s">
        <v>14</v>
      </c>
      <c r="C15775" t="s">
        <v>22</v>
      </c>
      <c r="D15775" s="2" t="s">
        <f>=HYPERLINK("https://main.knesset.gov.il/APPS/legislation/main/bills/2081202", "הצעת חוק שירות המילואים (תיקון - משרת מילואים פעיל), התש""ף-2019")</f>
        <v>30242</v>
      </c>
      <c r="E15775" t="s">
        <v>30242</v>
      </c>
      <c r="F15775" t="s">
        <v>30243</v>
      </c>
      <c r="G15775" t="s">
        <v>14</v>
      </c>
      <c r="H15775">
             </c>
      <c r="I15775" t="s">
        <v>14</v>
      </c>
      <c r="J15775" t="s">
        <v>141</v>
      </c>
      <c r="K15775" t="s">
        <v>14</v>
      </c>
      <c r="L15775" t="s">
        <v>20</v>
      </c>
      <c r="M15775" t="s">
        <v>29895</v>
      </c>
      <c r="N15775" t="s">
        <v>14</v>
      </c>
    </row>
    <row r="15776" x14ac:dyDescent="0.25">
      <c r="A15776" t="n">
        <v>22</v>
      </c>
      <c r="B15776" t="s">
        <v>14</v>
      </c>
      <c r="C15776" t="s">
        <v>22</v>
      </c>
      <c r="D15776" s="2" t="s">
        <f>=HYPERLINK("https://main.knesset.gov.il/APPS/legislation/main/bills/2081291", "הצעת חוק האגודות העותומניות (רישום ופיקוח), התש""ף-2019")</f>
        <v>29083</v>
      </c>
      <c r="E15776" t="s">
        <v>29083</v>
      </c>
      <c r="F15776" t="s">
        <v>30244</v>
      </c>
      <c r="G15776" t="s">
        <v>14</v>
      </c>
      <c r="H15776">
             </c>
      <c r="I15776" t="s">
        <v>14</v>
      </c>
      <c r="J15776" t="s">
        <v>141</v>
      </c>
      <c r="K15776" t="s">
        <v>14</v>
      </c>
      <c r="L15776" t="s">
        <v>20</v>
      </c>
      <c r="M15776" t="s">
        <v>29895</v>
      </c>
      <c r="N15776" t="s">
        <v>14</v>
      </c>
    </row>
    <row r="15777" x14ac:dyDescent="0.25">
      <c r="A15777" t="n">
        <v>22</v>
      </c>
      <c r="B15777" t="s">
        <v>14</v>
      </c>
      <c r="C15777" t="s">
        <v>22</v>
      </c>
      <c r="D15777" s="2" t="s">
        <f>=HYPERLINK("https://main.knesset.gov.il/APPS/legislation/main/bills/2081196", "הצעת חוק האגודות העותומניות (רישום ופיקוח), התש""ף-2019")</f>
        <v>29083</v>
      </c>
      <c r="E15777" t="s">
        <v>29083</v>
      </c>
      <c r="F15777" t="s">
        <v>30245</v>
      </c>
      <c r="G15777" t="s">
        <v>14</v>
      </c>
      <c r="H15777">
             </c>
      <c r="I15777" t="s">
        <v>14</v>
      </c>
      <c r="J15777" t="s">
        <v>141</v>
      </c>
      <c r="K15777" t="s">
        <v>14</v>
      </c>
      <c r="L15777" t="s">
        <v>20</v>
      </c>
      <c r="M15777" t="s">
        <v>29895</v>
      </c>
      <c r="N15777" t="s">
        <v>14</v>
      </c>
    </row>
    <row r="15778" x14ac:dyDescent="0.25">
      <c r="A15778" t="n">
        <v>22</v>
      </c>
      <c r="B15778" t="s">
        <v>14</v>
      </c>
      <c r="C15778" t="s">
        <v>22</v>
      </c>
      <c r="D15778" s="2" t="s">
        <f>=HYPERLINK("https://main.knesset.gov.il/APPS/legislation/main/bills/2081195", "הצעת חוק שלילת תקצוב מוסדות חינוך המפלים תלמידים ברישום אליהם (תיקוני חקיקה), התש""ף-2019 ")</f>
        <v>30246</v>
      </c>
      <c r="E15778" t="s">
        <v>30246</v>
      </c>
      <c r="F15778" t="s">
        <v>30247</v>
      </c>
      <c r="G15778" t="s">
        <v>14</v>
      </c>
      <c r="H15778">
             </c>
      <c r="I15778" t="s">
        <v>14</v>
      </c>
      <c r="J15778" t="s">
        <v>141</v>
      </c>
      <c r="K15778" t="s">
        <v>14</v>
      </c>
      <c r="L15778" t="s">
        <v>20</v>
      </c>
      <c r="M15778" t="s">
        <v>29895</v>
      </c>
      <c r="N15778" t="s">
        <v>14</v>
      </c>
    </row>
    <row r="15779" x14ac:dyDescent="0.25">
      <c r="A15779" t="n">
        <v>22</v>
      </c>
      <c r="B15779" t="s">
        <v>14</v>
      </c>
      <c r="C15779" t="s">
        <v>22</v>
      </c>
      <c r="D15779" s="2" t="s">
        <f>=HYPERLINK("https://main.knesset.gov.il/APPS/legislation/main/bills/2081191", "הצעת חוק סיוע לצעירים חסרי עורף משפחתי, התש""ף-2019")</f>
        <v>30248</v>
      </c>
      <c r="E15779" t="s">
        <v>30248</v>
      </c>
      <c r="F15779" t="s">
        <v>30249</v>
      </c>
      <c r="G15779" t="s">
        <v>14</v>
      </c>
      <c r="H15779">
             </c>
      <c r="I15779" t="s">
        <v>14</v>
      </c>
      <c r="J15779" t="s">
        <v>141</v>
      </c>
      <c r="K15779" t="s">
        <v>14</v>
      </c>
      <c r="L15779" t="s">
        <v>20</v>
      </c>
      <c r="M15779" t="s">
        <v>29895</v>
      </c>
      <c r="N15779" t="s">
        <v>14</v>
      </c>
    </row>
    <row r="15780" x14ac:dyDescent="0.25">
      <c r="A15780" t="n">
        <v>22</v>
      </c>
      <c r="B15780" t="s">
        <v>14</v>
      </c>
      <c r="C15780" t="s">
        <v>22</v>
      </c>
      <c r="D15780" s="2" t="s">
        <f>=HYPERLINK("https://main.knesset.gov.il/APPS/legislation/main/bills/2081189", "הצעת חוק הכנסת (תיקון - קביעת שכר חברי הכנסת בידי ועדה ציבורית), התש""ף-2019")</f>
        <v>30250</v>
      </c>
      <c r="E15780" t="s">
        <v>30250</v>
      </c>
      <c r="F15780" t="s">
        <v>30251</v>
      </c>
      <c r="G15780" t="s">
        <v>14</v>
      </c>
      <c r="H15780">
             </c>
      <c r="I15780" t="s">
        <v>14</v>
      </c>
      <c r="J15780" t="s">
        <v>141</v>
      </c>
      <c r="K15780" t="s">
        <v>14</v>
      </c>
      <c r="L15780" t="s">
        <v>20</v>
      </c>
      <c r="M15780" t="s">
        <v>29895</v>
      </c>
      <c r="N15780" t="s">
        <v>14</v>
      </c>
    </row>
    <row r="15781" x14ac:dyDescent="0.25">
      <c r="A15781" t="n">
        <v>22</v>
      </c>
      <c r="B15781" t="s">
        <v>14</v>
      </c>
      <c r="C15781" t="s">
        <v>22</v>
      </c>
      <c r="D15781" s="2" t="s">
        <f>=HYPERLINK("https://main.knesset.gov.il/APPS/legislation/main/bills/2081184", "הצעת חוק הסדרים במשק המדינה (תיקוני חקיקה להשגת יעדי התקציב) (תיקון - הנחה בארנונה לרופאים מתמחים בפריפריה), התש""ף-2019")</f>
        <v>30252</v>
      </c>
      <c r="E15781" t="s">
        <v>30252</v>
      </c>
      <c r="F15781" t="s">
        <v>30253</v>
      </c>
      <c r="G15781" t="s">
        <v>14</v>
      </c>
      <c r="H15781">
             </c>
      <c r="I15781" t="s">
        <v>14</v>
      </c>
      <c r="J15781" t="s">
        <v>141</v>
      </c>
      <c r="K15781" t="s">
        <v>14</v>
      </c>
      <c r="L15781" t="s">
        <v>20</v>
      </c>
      <c r="M15781" t="s">
        <v>29895</v>
      </c>
      <c r="N15781" t="s">
        <v>14</v>
      </c>
    </row>
    <row r="15782" x14ac:dyDescent="0.25">
      <c r="A15782" t="n">
        <v>22</v>
      </c>
      <c r="B15782" t="s">
        <v>14</v>
      </c>
      <c r="C15782" t="s">
        <v>22</v>
      </c>
      <c r="D15782" s="2" t="s">
        <f>=HYPERLINK("https://main.knesset.gov.il/APPS/legislation/main/bills/2081183", "הצעת חוק הרשות הלאומית למאבק בעוני, התש""ף-2019")</f>
        <v>30254</v>
      </c>
      <c r="E15782" t="s">
        <v>30254</v>
      </c>
      <c r="F15782" t="s">
        <v>30255</v>
      </c>
      <c r="G15782" t="s">
        <v>14</v>
      </c>
      <c r="H15782">
             </c>
      <c r="I15782" t="s">
        <v>14</v>
      </c>
      <c r="J15782" t="s">
        <v>141</v>
      </c>
      <c r="K15782" t="s">
        <v>14</v>
      </c>
      <c r="L15782" t="s">
        <v>20</v>
      </c>
      <c r="M15782" t="s">
        <v>29895</v>
      </c>
      <c r="N15782" t="s">
        <v>14</v>
      </c>
    </row>
    <row r="15783" x14ac:dyDescent="0.25">
      <c r="A15783" t="n">
        <v>22</v>
      </c>
      <c r="B15783" t="s">
        <v>14</v>
      </c>
      <c r="C15783" t="s">
        <v>22</v>
      </c>
      <c r="D15783" s="2" t="s">
        <f>=HYPERLINK("https://main.knesset.gov.il/APPS/legislation/main/bills/2081176", "הצעת חוק התפזרות הכנסת העשרים ושתיים, התש""ף-2019")</f>
        <v>28151</v>
      </c>
      <c r="E15783" t="s">
        <v>28151</v>
      </c>
      <c r="F15783" t="s">
        <v>30256</v>
      </c>
      <c r="G15783" t="s">
        <v>14</v>
      </c>
      <c r="H15783">
             </c>
      <c r="I15783" t="s">
        <v>14</v>
      </c>
      <c r="J15783" t="s">
        <v>141</v>
      </c>
      <c r="K15783" t="s">
        <v>14</v>
      </c>
      <c r="L15783" t="s">
        <v>20</v>
      </c>
      <c r="M15783" t="s">
        <v>29895</v>
      </c>
      <c r="N15783" t="s">
        <v>14</v>
      </c>
    </row>
    <row r="15784" x14ac:dyDescent="0.25">
      <c r="A15784" t="n">
        <v>22</v>
      </c>
      <c r="B15784" t="s">
        <v>14</v>
      </c>
      <c r="C15784" t="s">
        <v>22</v>
      </c>
      <c r="D15784" s="2" t="s">
        <f>=HYPERLINK("https://main.knesset.gov.il/APPS/legislation/main/bills/2081174", "הצעת חוק הסכמים לנשיאת עוברים (אישור הסכם ומעמד היילוד) (תיקון - הרחבת הזכאות להליכי נשיאת עוברים), התש""ף-2019")</f>
        <v>30257</v>
      </c>
      <c r="E15784" t="s">
        <v>30257</v>
      </c>
      <c r="F15784" t="s">
        <v>30258</v>
      </c>
      <c r="G15784" t="s">
        <v>14</v>
      </c>
      <c r="H15784">
             </c>
      <c r="I15784" t="s">
        <v>14</v>
      </c>
      <c r="J15784" t="s">
        <v>141</v>
      </c>
      <c r="K15784" t="s">
        <v>14</v>
      </c>
      <c r="L15784" t="s">
        <v>20</v>
      </c>
      <c r="M15784" t="s">
        <v>29895</v>
      </c>
      <c r="N15784" t="s">
        <v>14</v>
      </c>
    </row>
    <row r="15785" x14ac:dyDescent="0.25">
      <c r="A15785" t="n">
        <v>21</v>
      </c>
      <c r="B15785" t="s">
        <v>14</v>
      </c>
      <c r="C15785" t="s">
        <v>15</v>
      </c>
      <c r="D15785" s="2" t="s">
        <f>=HYPERLINK("https://main.knesset.gov.il/APPS/legislation/main/bills/2081148", "הצעת חוק הבחירות לכנסת (תיקון מס' 73) (תיעוד חזותי או קולי בקלפיות), התשע""ט-2019")</f>
        <v>30259</v>
      </c>
      <c r="E15785" t="s">
        <v>30259</v>
      </c>
      <c r="F15785" t="s">
        <v>14</v>
      </c>
      <c r="G15785" t="s">
        <v>30260</v>
      </c>
      <c r="H15785">
             </c>
      <c r="I15785" t="s">
        <v>14</v>
      </c>
      <c r="J15785" t="s">
        <v>1141</v>
      </c>
      <c r="K15785" t="s">
        <v>14</v>
      </c>
      <c r="L15785" t="s">
        <v>20</v>
      </c>
      <c r="M15785" t="s">
        <v>30261</v>
      </c>
      <c r="N15785" t="s">
        <v>14</v>
      </c>
    </row>
    <row r="15786" x14ac:dyDescent="0.25">
      <c r="A15786" t="n">
        <v>21</v>
      </c>
      <c r="B15786" t="s">
        <v>14</v>
      </c>
      <c r="C15786" t="s">
        <v>15</v>
      </c>
      <c r="D15786" s="2" t="s">
        <f>=HYPERLINK("https://main.knesset.gov.il/APPS/legislation/main/bills/2080902", "חוק חדלות פירעון ושיקום כלכלי (תיקון מס' 2), התשע""ט-2019")</f>
        <v>30262</v>
      </c>
      <c r="E15786" t="s">
        <v>30262</v>
      </c>
      <c r="F15786" t="s">
        <v>14</v>
      </c>
      <c r="G15786" t="s">
        <v>30263</v>
      </c>
      <c r="H15786" t="n">
        <v>2786</v>
      </c>
      <c r="I15786" t="s">
        <v>14</v>
      </c>
      <c r="J15786" t="s">
        <v>91</v>
      </c>
      <c r="K15786" t="s">
        <v>30264</v>
      </c>
      <c r="L15786" t="s">
        <v>20</v>
      </c>
      <c r="M15786" t="s">
        <v>30265</v>
      </c>
      <c r="N15786" t="s">
        <v>14</v>
      </c>
    </row>
    <row r="15787" x14ac:dyDescent="0.25">
      <c r="A15787" t="n">
        <v>21</v>
      </c>
      <c r="B15787" t="s">
        <v>14</v>
      </c>
      <c r="C15787" t="s">
        <v>22</v>
      </c>
      <c r="D15787" s="2" t="s">
        <f>=HYPERLINK("https://main.knesset.gov.il/APPS/legislation/main/bills/2080751", "חוק הבחירות לכנסת העשרים ושתיים (הוראות מיוחדות לעניין ועדת הבחירות), התשע""ט-2019")</f>
        <v>30266</v>
      </c>
      <c r="E15787" t="s">
        <v>30266</v>
      </c>
      <c r="F15787" t="s">
        <v>30267</v>
      </c>
      <c r="G15787" t="s">
        <v>30268</v>
      </c>
      <c r="H15787" t="n">
        <v>2785</v>
      </c>
      <c r="I15787" t="s">
        <v>14</v>
      </c>
      <c r="J15787" t="s">
        <v>91</v>
      </c>
      <c r="K15787" t="s">
        <v>30269</v>
      </c>
      <c r="L15787" t="s">
        <v>20</v>
      </c>
      <c r="M15787" t="s">
        <v>30270</v>
      </c>
      <c r="N15787" t="s">
        <v>14</v>
      </c>
    </row>
    <row r="15788" x14ac:dyDescent="0.25">
      <c r="A15788" t="n">
        <v>21</v>
      </c>
      <c r="B15788" t="s">
        <v>14</v>
      </c>
      <c r="C15788" t="s">
        <v>22</v>
      </c>
      <c r="D15788" s="2" t="s">
        <f>=HYPERLINK("https://main.knesset.gov.il/APPS/legislation/main/bills/2080650", "חוק התפזרות הכנסת העשרים ואחת, התשע""ט-2019")</f>
        <v>30271</v>
      </c>
      <c r="E15788" t="s">
        <v>30271</v>
      </c>
      <c r="F15788" t="s">
        <v>30272</v>
      </c>
      <c r="G15788" t="s">
        <v>30273</v>
      </c>
      <c r="H15788" t="n">
        <v>2784</v>
      </c>
      <c r="I15788" t="s">
        <v>14</v>
      </c>
      <c r="J15788" t="s">
        <v>91</v>
      </c>
      <c r="K15788" t="s">
        <v>30274</v>
      </c>
      <c r="L15788" t="s">
        <v>20</v>
      </c>
      <c r="M15788" t="s">
        <v>30275</v>
      </c>
      <c r="N15788" t="s">
        <v>14</v>
      </c>
    </row>
    <row r="15789" x14ac:dyDescent="0.25">
      <c r="A15789" t="n">
        <v>21</v>
      </c>
      <c r="B15789" t="s">
        <v>14</v>
      </c>
      <c r="C15789" t="s">
        <v>22</v>
      </c>
      <c r="D15789" s="2" t="s">
        <f>=HYPERLINK("https://main.knesset.gov.il/APPS/legislation/main/bills/2080207", "הצעת חוק התפזרות הכנסת העשרים ואחת, התשע""ט-2019")</f>
        <v>30276</v>
      </c>
      <c r="E15789" t="s">
        <v>30276</v>
      </c>
      <c r="F15789" t="s">
        <v>30277</v>
      </c>
      <c r="G15789" t="s">
        <v>14</v>
      </c>
      <c r="H15789">
             </c>
      <c r="I15789" t="s">
        <v>14</v>
      </c>
      <c r="J15789" t="s">
        <v>141</v>
      </c>
      <c r="K15789" t="s">
        <v>14</v>
      </c>
      <c r="L15789" t="s">
        <v>20</v>
      </c>
      <c r="M15789" t="s">
        <v>30278</v>
      </c>
      <c r="N15789" t="s">
        <v>14</v>
      </c>
    </row>
    <row r="15790" x14ac:dyDescent="0.25">
      <c r="A15790" t="n">
        <v>21</v>
      </c>
      <c r="B15790" t="s">
        <v>14</v>
      </c>
      <c r="C15790" t="s">
        <v>22</v>
      </c>
      <c r="D15790" s="2" t="s">
        <f>=HYPERLINK("https://main.knesset.gov.il/APPS/legislation/main/bills/2079191", "הצעת חוק התפזרות הכנסת העשרים ואחת, התשע""ט-2019")</f>
        <v>30276</v>
      </c>
      <c r="E15790" t="s">
        <v>30276</v>
      </c>
      <c r="F15790" t="s">
        <v>30279</v>
      </c>
      <c r="G15790" t="s">
        <v>14</v>
      </c>
      <c r="H15790">
             </c>
      <c r="I15790" t="s">
        <v>14</v>
      </c>
      <c r="J15790" t="s">
        <v>141</v>
      </c>
      <c r="K15790" t="s">
        <v>14</v>
      </c>
      <c r="L15790" t="s">
        <v>20</v>
      </c>
      <c r="M15790" t="s">
        <v>30278</v>
      </c>
      <c r="N15790" t="s">
        <v>14</v>
      </c>
    </row>
    <row r="15791" x14ac:dyDescent="0.25">
      <c r="A15791" t="n">
        <v>21</v>
      </c>
      <c r="B15791" t="s">
        <v>14</v>
      </c>
      <c r="C15791" t="s">
        <v>22</v>
      </c>
      <c r="D15791" s="2" t="s">
        <f>=HYPERLINK("https://main.knesset.gov.il/APPS/legislation/main/bills/2079019", "הצעת חוק התפזרות הכנסת העשרים ואחת, התשע""ט-2019")</f>
        <v>30276</v>
      </c>
      <c r="E15791" t="s">
        <v>30276</v>
      </c>
      <c r="F15791" t="s">
        <v>30280</v>
      </c>
      <c r="G15791" t="s">
        <v>14</v>
      </c>
      <c r="H15791">
             </c>
      <c r="I15791" t="s">
        <v>14</v>
      </c>
      <c r="J15791" t="s">
        <v>141</v>
      </c>
      <c r="K15791" t="s">
        <v>14</v>
      </c>
      <c r="L15791" t="s">
        <v>20</v>
      </c>
      <c r="M15791" t="s">
        <v>30278</v>
      </c>
      <c r="N15791" t="s">
        <v>14</v>
      </c>
    </row>
    <row r="15792" x14ac:dyDescent="0.25">
      <c r="A15792" t="n">
        <v>21</v>
      </c>
      <c r="B15792" t="s">
        <v>14</v>
      </c>
      <c r="C15792" t="s">
        <v>22</v>
      </c>
      <c r="D15792" s="2" t="s">
        <f>=HYPERLINK("https://main.knesset.gov.il/APPS/legislation/main/bills/2078787", "הצעת חוק התפזרות הכנסת העשרים ואחת, התשע""ט-2019")</f>
        <v>30276</v>
      </c>
      <c r="E15792" t="s">
        <v>30276</v>
      </c>
      <c r="F15792" t="s">
        <v>30281</v>
      </c>
      <c r="G15792" t="s">
        <v>14</v>
      </c>
      <c r="H15792">
             </c>
      <c r="I15792" t="s">
        <v>14</v>
      </c>
      <c r="J15792" t="s">
        <v>141</v>
      </c>
      <c r="K15792" t="s">
        <v>14</v>
      </c>
      <c r="L15792" t="s">
        <v>20</v>
      </c>
      <c r="M15792" t="s">
        <v>30278</v>
      </c>
      <c r="N15792" t="s">
        <v>14</v>
      </c>
    </row>
    <row r="15793" x14ac:dyDescent="0.25">
      <c r="A15793" t="n">
        <v>21</v>
      </c>
      <c r="B15793" t="s">
        <v>14</v>
      </c>
      <c r="C15793" t="s">
        <v>22</v>
      </c>
      <c r="D15793" s="2" t="s">
        <f>=HYPERLINK("https://main.knesset.gov.il/APPS/legislation/main/bills/2078742", "הצעת חוק התפזרות הכנסת העשרים ואחת, התשע""ט-2019")</f>
        <v>30276</v>
      </c>
      <c r="E15793" t="s">
        <v>30276</v>
      </c>
      <c r="F15793" t="s">
        <v>30282</v>
      </c>
      <c r="G15793" t="s">
        <v>14</v>
      </c>
      <c r="H15793">
             </c>
      <c r="I15793" t="s">
        <v>14</v>
      </c>
      <c r="J15793" t="s">
        <v>141</v>
      </c>
      <c r="K15793" t="s">
        <v>14</v>
      </c>
      <c r="L15793" t="s">
        <v>20</v>
      </c>
      <c r="M15793" t="s">
        <v>30278</v>
      </c>
      <c r="N15793" t="s">
        <v>14</v>
      </c>
    </row>
    <row r="15794" x14ac:dyDescent="0.25">
      <c r="A15794" t="n">
        <v>21</v>
      </c>
      <c r="B15794" t="s">
        <v>14</v>
      </c>
      <c r="C15794" t="s">
        <v>22</v>
      </c>
      <c r="D15794" s="2" t="s">
        <f>=HYPERLINK("https://main.knesset.gov.il/APPS/legislation/main/bills/2078610", "הצעת חוק התפזרות הכנסת העשרים ואחת, התשע""ט-2019")</f>
        <v>30276</v>
      </c>
      <c r="E15794" t="s">
        <v>30276</v>
      </c>
      <c r="F15794" t="s">
        <v>30283</v>
      </c>
      <c r="G15794" t="s">
        <v>14</v>
      </c>
      <c r="H15794">
             </c>
      <c r="I15794" t="s">
        <v>14</v>
      </c>
      <c r="J15794" t="s">
        <v>141</v>
      </c>
      <c r="K15794" t="s">
        <v>14</v>
      </c>
      <c r="L15794" t="s">
        <v>20</v>
      </c>
      <c r="M15794" t="s">
        <v>30278</v>
      </c>
      <c r="N15794" t="s">
        <v>14</v>
      </c>
    </row>
    <row r="15795" x14ac:dyDescent="0.25">
      <c r="A15795" t="n">
        <v>21</v>
      </c>
      <c r="B15795" t="s">
        <v>14</v>
      </c>
      <c r="C15795" t="s">
        <v>22</v>
      </c>
      <c r="D15795" s="2" t="s">
        <f>=HYPERLINK("https://main.knesset.gov.il/APPS/legislation/main/bills/2080028", "הצעת חוק הפיקוח על מעונות (תיקון - חובת פיקוח של מנהל מעון), התשע""ט-2019")</f>
        <v>30284</v>
      </c>
      <c r="E15795" t="s">
        <v>30284</v>
      </c>
      <c r="F15795" t="s">
        <v>30285</v>
      </c>
      <c r="G15795" t="s">
        <v>14</v>
      </c>
      <c r="H15795">
             </c>
      <c r="I15795" t="s">
        <v>14</v>
      </c>
      <c r="J15795" t="s">
        <v>141</v>
      </c>
      <c r="K15795" t="s">
        <v>14</v>
      </c>
      <c r="L15795" t="s">
        <v>20</v>
      </c>
      <c r="M15795" t="s">
        <v>30278</v>
      </c>
      <c r="N15795" t="s">
        <v>14</v>
      </c>
    </row>
    <row r="15796" x14ac:dyDescent="0.25">
      <c r="A15796" t="n">
        <v>21</v>
      </c>
      <c r="B15796" t="s">
        <v>14</v>
      </c>
      <c r="C15796" t="s">
        <v>22</v>
      </c>
      <c r="D15796" s="2" t="s">
        <f>=HYPERLINK("https://main.knesset.gov.il/APPS/legislation/main/bills/2079151", "הצעת חוק אימוץ ילדים (תיקון - איסור הפרדה בין אחים בהליך אימוץ), התשע""ט-2019 ")</f>
        <v>30286</v>
      </c>
      <c r="E15796" t="s">
        <v>30286</v>
      </c>
      <c r="F15796" t="s">
        <v>30287</v>
      </c>
      <c r="G15796" t="s">
        <v>14</v>
      </c>
      <c r="H15796">
             </c>
      <c r="I15796" t="s">
        <v>14</v>
      </c>
      <c r="J15796" t="s">
        <v>141</v>
      </c>
      <c r="K15796" t="s">
        <v>14</v>
      </c>
      <c r="L15796" t="s">
        <v>20</v>
      </c>
      <c r="M15796" t="s">
        <v>30278</v>
      </c>
      <c r="N15796" t="s">
        <v>14</v>
      </c>
    </row>
    <row r="15797" x14ac:dyDescent="0.25">
      <c r="A15797" t="n">
        <v>21</v>
      </c>
      <c r="B15797" t="s">
        <v>14</v>
      </c>
      <c r="C15797" t="s">
        <v>22</v>
      </c>
      <c r="D15797" s="2" t="s">
        <f>=HYPERLINK("https://main.knesset.gov.il/APPS/legislation/main/bills/2079698", "הצעת חוק הביטוח הלאומי (תיקון - קצבת אזרח ותיק ראויה), התשע""ט-2019")</f>
        <v>30288</v>
      </c>
      <c r="E15797" t="s">
        <v>30288</v>
      </c>
      <c r="F15797" t="s">
        <v>30289</v>
      </c>
      <c r="G15797" t="s">
        <v>14</v>
      </c>
      <c r="H15797">
             </c>
      <c r="I15797" t="s">
        <v>14</v>
      </c>
      <c r="J15797" t="s">
        <v>141</v>
      </c>
      <c r="K15797" t="s">
        <v>14</v>
      </c>
      <c r="L15797" t="s">
        <v>20</v>
      </c>
      <c r="M15797" t="s">
        <v>30278</v>
      </c>
      <c r="N15797" t="s">
        <v>14</v>
      </c>
    </row>
    <row r="15798" x14ac:dyDescent="0.25">
      <c r="A15798" t="n">
        <v>21</v>
      </c>
      <c r="B15798" t="s">
        <v>14</v>
      </c>
      <c r="C15798" t="s">
        <v>22</v>
      </c>
      <c r="D15798" s="2" t="s">
        <f>=HYPERLINK("https://main.knesset.gov.il/APPS/legislation/main/bills/2079776", "הצעת חוק מרשם האוכלוסין (תיקון - רישום הורה נוסף), התשע""ט-2019")</f>
        <v>30290</v>
      </c>
      <c r="E15798" t="s">
        <v>30290</v>
      </c>
      <c r="F15798" t="s">
        <v>30291</v>
      </c>
      <c r="G15798" t="s">
        <v>14</v>
      </c>
      <c r="H15798">
             </c>
      <c r="I15798" t="s">
        <v>14</v>
      </c>
      <c r="J15798" t="s">
        <v>141</v>
      </c>
      <c r="K15798" t="s">
        <v>14</v>
      </c>
      <c r="L15798" t="s">
        <v>20</v>
      </c>
      <c r="M15798" t="s">
        <v>30278</v>
      </c>
      <c r="N15798" t="s">
        <v>14</v>
      </c>
    </row>
    <row r="15799" x14ac:dyDescent="0.25">
      <c r="A15799" t="n">
        <v>21</v>
      </c>
      <c r="B15799" t="s">
        <v>14</v>
      </c>
      <c r="C15799" t="s">
        <v>22</v>
      </c>
      <c r="D15799" s="2" t="s">
        <f>=HYPERLINK("https://main.knesset.gov.il/APPS/legislation/main/bills/2080059", "הצעת חוק מידע גנטי (תיקון - איסור שימוש בתוצאות בדיקה גנטית לקביעת השתייכות לעדה דתית), התשע""ט-2019")</f>
        <v>30292</v>
      </c>
      <c r="E15799" t="s">
        <v>30292</v>
      </c>
      <c r="F15799" t="s">
        <v>30293</v>
      </c>
      <c r="G15799" t="s">
        <v>14</v>
      </c>
      <c r="H15799">
             </c>
      <c r="I15799" t="s">
        <v>14</v>
      </c>
      <c r="J15799" t="s">
        <v>141</v>
      </c>
      <c r="K15799" t="s">
        <v>14</v>
      </c>
      <c r="L15799" t="s">
        <v>20</v>
      </c>
      <c r="M15799" t="s">
        <v>30278</v>
      </c>
      <c r="N15799" t="s">
        <v>14</v>
      </c>
    </row>
    <row r="15800" x14ac:dyDescent="0.25">
      <c r="A15800" t="n">
        <v>21</v>
      </c>
      <c r="B15800" t="s">
        <v>14</v>
      </c>
      <c r="C15800" t="s">
        <v>22</v>
      </c>
      <c r="D15800" s="2" t="s">
        <f>=HYPERLINK("https://main.knesset.gov.il/APPS/legislation/main/bills/2079682", "הצעת חוק הביטוח הלאומי (תיקון - הכרה בפגיעה מינית בעבודה כפגיעה בעבודה), התשע""ט-2019")</f>
        <v>30294</v>
      </c>
      <c r="E15800" t="s">
        <v>30294</v>
      </c>
      <c r="F15800" t="s">
        <v>30295</v>
      </c>
      <c r="G15800" t="s">
        <v>14</v>
      </c>
      <c r="H15800">
             </c>
      <c r="I15800" t="s">
        <v>14</v>
      </c>
      <c r="J15800" t="s">
        <v>141</v>
      </c>
      <c r="K15800" t="s">
        <v>14</v>
      </c>
      <c r="L15800" t="s">
        <v>20</v>
      </c>
      <c r="M15800" t="s">
        <v>30278</v>
      </c>
      <c r="N15800" t="s">
        <v>14</v>
      </c>
    </row>
    <row r="15801" x14ac:dyDescent="0.25">
      <c r="A15801" t="n">
        <v>21</v>
      </c>
      <c r="B15801" t="s">
        <v>14</v>
      </c>
      <c r="C15801" t="s">
        <v>22</v>
      </c>
      <c r="D15801" s="2" t="s">
        <f>=HYPERLINK("https://main.knesset.gov.il/APPS/legislation/main/bills/2079690", "הצעת חוק הביטוח הלאומי (תיקון - זכאות לקבלת קצבת אזרח ותיק מלאה), התשע""ט-2019")</f>
        <v>30296</v>
      </c>
      <c r="E15801" t="s">
        <v>30296</v>
      </c>
      <c r="F15801" t="s">
        <v>30297</v>
      </c>
      <c r="G15801" t="s">
        <v>14</v>
      </c>
      <c r="H15801">
             </c>
      <c r="I15801" t="s">
        <v>14</v>
      </c>
      <c r="J15801" t="s">
        <v>141</v>
      </c>
      <c r="K15801" t="s">
        <v>14</v>
      </c>
      <c r="L15801" t="s">
        <v>20</v>
      </c>
      <c r="M15801" t="s">
        <v>30278</v>
      </c>
      <c r="N15801" t="s">
        <v>14</v>
      </c>
    </row>
    <row r="15802" x14ac:dyDescent="0.25">
      <c r="A15802" t="n">
        <v>21</v>
      </c>
      <c r="B15802" t="s">
        <v>14</v>
      </c>
      <c r="C15802" t="s">
        <v>22</v>
      </c>
      <c r="D15802" s="2" t="s">
        <f>=HYPERLINK("https://main.knesset.gov.il/APPS/legislation/main/bills/2079700", "הצעת חוק ביטוח בריאות ממלכתי (תיקון - פטור מתשלום דמי ביטוח לעקר בית), התשע""ט-2019")</f>
        <v>30298</v>
      </c>
      <c r="E15802" t="s">
        <v>30298</v>
      </c>
      <c r="F15802" t="s">
        <v>30299</v>
      </c>
      <c r="G15802" t="s">
        <v>14</v>
      </c>
      <c r="H15802">
             </c>
      <c r="I15802" t="s">
        <v>14</v>
      </c>
      <c r="J15802" t="s">
        <v>141</v>
      </c>
      <c r="K15802" t="s">
        <v>14</v>
      </c>
      <c r="L15802" t="s">
        <v>20</v>
      </c>
      <c r="M15802" t="s">
        <v>30278</v>
      </c>
      <c r="N15802" t="s">
        <v>14</v>
      </c>
    </row>
    <row r="15803" x14ac:dyDescent="0.25">
      <c r="A15803" t="n">
        <v>21</v>
      </c>
      <c r="B15803" t="s">
        <v>14</v>
      </c>
      <c r="C15803" t="s">
        <v>22</v>
      </c>
      <c r="D15803" s="2" t="s">
        <f>=HYPERLINK("https://main.knesset.gov.il/APPS/legislation/main/bills/2080188", "הצעת חוק לעידוד מחקר, פיתוח וחדשנות טכנולוגית בתעשייה (תיקון - תקציב הרשות הלאומית לחדשנות טכנולוגית), התשע""ט-2019")</f>
        <v>30300</v>
      </c>
      <c r="E15803" t="s">
        <v>30300</v>
      </c>
      <c r="F15803" t="s">
        <v>30301</v>
      </c>
      <c r="G15803" t="s">
        <v>14</v>
      </c>
      <c r="H15803">
             </c>
      <c r="I15803" t="s">
        <v>14</v>
      </c>
      <c r="J15803" t="s">
        <v>141</v>
      </c>
      <c r="K15803" t="s">
        <v>14</v>
      </c>
      <c r="L15803" t="s">
        <v>20</v>
      </c>
      <c r="M15803" t="s">
        <v>30278</v>
      </c>
      <c r="N15803" t="s">
        <v>14</v>
      </c>
    </row>
    <row r="15804" x14ac:dyDescent="0.25">
      <c r="A15804" t="n">
        <v>21</v>
      </c>
      <c r="B15804" t="s">
        <v>14</v>
      </c>
      <c r="C15804" t="s">
        <v>22</v>
      </c>
      <c r="D15804" s="2" t="s">
        <f>=HYPERLINK("https://main.knesset.gov.il/APPS/legislation/main/bills/2079759", "הצעת חוק לתיקון פקודת הרוקחים (כתב ברייל), התשע""ט-2019")</f>
        <v>30302</v>
      </c>
      <c r="E15804" t="s">
        <v>30302</v>
      </c>
      <c r="F15804" t="s">
        <v>30303</v>
      </c>
      <c r="G15804" t="s">
        <v>14</v>
      </c>
      <c r="H15804">
             </c>
      <c r="I15804" t="s">
        <v>14</v>
      </c>
      <c r="J15804" t="s">
        <v>141</v>
      </c>
      <c r="K15804" t="s">
        <v>14</v>
      </c>
      <c r="L15804" t="s">
        <v>20</v>
      </c>
      <c r="M15804" t="s">
        <v>30278</v>
      </c>
      <c r="N15804" t="s">
        <v>14</v>
      </c>
    </row>
    <row r="15805" x14ac:dyDescent="0.25">
      <c r="A15805" t="n">
        <v>21</v>
      </c>
      <c r="B15805" t="s">
        <v>14</v>
      </c>
      <c r="C15805" t="s">
        <v>22</v>
      </c>
      <c r="D15805" s="2" t="s">
        <f>=HYPERLINK("https://main.knesset.gov.il/APPS/legislation/main/bills/2079774", "הצעת חוק איסור קיום מתקני חקירה סודיים, התשע""ט-2019")</f>
        <v>30304</v>
      </c>
      <c r="E15805" t="s">
        <v>30304</v>
      </c>
      <c r="F15805" t="s">
        <v>30305</v>
      </c>
      <c r="G15805" t="s">
        <v>14</v>
      </c>
      <c r="H15805">
             </c>
      <c r="I15805" t="s">
        <v>14</v>
      </c>
      <c r="J15805" t="s">
        <v>141</v>
      </c>
      <c r="K15805" t="s">
        <v>14</v>
      </c>
      <c r="L15805" t="s">
        <v>20</v>
      </c>
      <c r="M15805" t="s">
        <v>30278</v>
      </c>
      <c r="N15805" t="s">
        <v>14</v>
      </c>
    </row>
    <row r="15806" x14ac:dyDescent="0.25">
      <c r="A15806" t="n">
        <v>21</v>
      </c>
      <c r="B15806" t="s">
        <v>14</v>
      </c>
      <c r="C15806" t="s">
        <v>22</v>
      </c>
      <c r="D15806" s="2" t="s">
        <f>=HYPERLINK("https://main.knesset.gov.il/APPS/legislation/main/bills/2079642", "הצעת חוק שירות הביטחון (תיקון - חובת תשלום מס למי שאינו משרת שירות צבאי או שירות אזרחי), התשע""ט-2019")</f>
        <v>30306</v>
      </c>
      <c r="E15806" t="s">
        <v>30306</v>
      </c>
      <c r="F15806" t="s">
        <v>30307</v>
      </c>
      <c r="G15806" t="s">
        <v>14</v>
      </c>
      <c r="H15806">
             </c>
      <c r="I15806" t="s">
        <v>14</v>
      </c>
      <c r="J15806" t="s">
        <v>141</v>
      </c>
      <c r="K15806" t="s">
        <v>14</v>
      </c>
      <c r="L15806" t="s">
        <v>20</v>
      </c>
      <c r="M15806" t="s">
        <v>30278</v>
      </c>
      <c r="N15806" t="s">
        <v>14</v>
      </c>
    </row>
    <row r="15807" x14ac:dyDescent="0.25">
      <c r="A15807" t="n">
        <v>21</v>
      </c>
      <c r="B15807" t="s">
        <v>14</v>
      </c>
      <c r="C15807" t="s">
        <v>22</v>
      </c>
      <c r="D15807" s="2" t="s">
        <f>=HYPERLINK("https://main.knesset.gov.il/APPS/legislation/main/bills/2080052", "הצעת חוק לתיקון פקודת הבנקאות (בדיקה ודיווח לבקשת ועדת הכספים של הכנסת), התשע""ט-2019")</f>
        <v>30308</v>
      </c>
      <c r="E15807" t="s">
        <v>30308</v>
      </c>
      <c r="F15807" t="s">
        <v>30309</v>
      </c>
      <c r="G15807" t="s">
        <v>14</v>
      </c>
      <c r="H15807">
             </c>
      <c r="I15807" t="s">
        <v>14</v>
      </c>
      <c r="J15807" t="s">
        <v>141</v>
      </c>
      <c r="K15807" t="s">
        <v>14</v>
      </c>
      <c r="L15807" t="s">
        <v>20</v>
      </c>
      <c r="M15807" t="s">
        <v>30278</v>
      </c>
      <c r="N15807" t="s">
        <v>14</v>
      </c>
    </row>
    <row r="15808" x14ac:dyDescent="0.25">
      <c r="A15808" t="n">
        <v>21</v>
      </c>
      <c r="B15808" t="s">
        <v>14</v>
      </c>
      <c r="C15808" t="s">
        <v>22</v>
      </c>
      <c r="D15808" s="2" t="s">
        <f>=HYPERLINK("https://main.knesset.gov.il/APPS/legislation/main/bills/2079650", "הצעת חוק האזרחות והכניסה לישראל (הוראת שעה) (תיקון - מניעת ריבוי נישואין), התשע""ט-2019")</f>
        <v>30310</v>
      </c>
      <c r="E15808" t="s">
        <v>30310</v>
      </c>
      <c r="F15808" t="s">
        <v>30311</v>
      </c>
      <c r="G15808" t="s">
        <v>14</v>
      </c>
      <c r="H15808">
             </c>
      <c r="I15808" t="s">
        <v>14</v>
      </c>
      <c r="J15808" t="s">
        <v>141</v>
      </c>
      <c r="K15808" t="s">
        <v>14</v>
      </c>
      <c r="L15808" t="s">
        <v>20</v>
      </c>
      <c r="M15808" t="s">
        <v>30278</v>
      </c>
      <c r="N15808" t="s">
        <v>14</v>
      </c>
    </row>
    <row r="15809" x14ac:dyDescent="0.25">
      <c r="A15809" t="n">
        <v>21</v>
      </c>
      <c r="B15809" t="s">
        <v>14</v>
      </c>
      <c r="C15809" t="s">
        <v>22</v>
      </c>
      <c r="D15809" s="2" t="s">
        <f>=HYPERLINK("https://main.knesset.gov.il/APPS/legislation/main/bills/2080186", "הצעת חוק ציון יום הזיכרון לחללי מערכות ישראל ויום הזיכרון לשואה ולגבורה במוסדות חינוך (תיקוני חקיקה), התשע""ט-2019")</f>
        <v>30312</v>
      </c>
      <c r="E15809" t="s">
        <v>30312</v>
      </c>
      <c r="F15809" t="s">
        <v>30313</v>
      </c>
      <c r="G15809" t="s">
        <v>14</v>
      </c>
      <c r="H15809">
             </c>
      <c r="I15809" t="s">
        <v>14</v>
      </c>
      <c r="J15809" t="s">
        <v>141</v>
      </c>
      <c r="K15809" t="s">
        <v>14</v>
      </c>
      <c r="L15809" t="s">
        <v>20</v>
      </c>
      <c r="M15809" t="s">
        <v>30278</v>
      </c>
      <c r="N15809" t="s">
        <v>14</v>
      </c>
    </row>
    <row r="15810" x14ac:dyDescent="0.25">
      <c r="A15810" t="n">
        <v>21</v>
      </c>
      <c r="B15810" t="s">
        <v>14</v>
      </c>
      <c r="C15810" t="s">
        <v>22</v>
      </c>
      <c r="D15810" s="2" t="s">
        <f>=HYPERLINK("https://main.knesset.gov.il/APPS/legislation/main/bills/2079657", "הצעת חוק שירותי הדת היהודיים (תיקון - העברת סמכויות מועצה דתית לרשות מקומית), התשע""ט-2019")</f>
        <v>30314</v>
      </c>
      <c r="E15810" t="s">
        <v>30314</v>
      </c>
      <c r="F15810" t="s">
        <v>30315</v>
      </c>
      <c r="G15810" t="s">
        <v>14</v>
      </c>
      <c r="H15810">
             </c>
      <c r="I15810" t="s">
        <v>14</v>
      </c>
      <c r="J15810" t="s">
        <v>141</v>
      </c>
      <c r="K15810" t="s">
        <v>14</v>
      </c>
      <c r="L15810" t="s">
        <v>20</v>
      </c>
      <c r="M15810" t="s">
        <v>30278</v>
      </c>
      <c r="N15810" t="s">
        <v>14</v>
      </c>
    </row>
    <row r="15811" x14ac:dyDescent="0.25">
      <c r="A15811" t="n">
        <v>21</v>
      </c>
      <c r="B15811" t="s">
        <v>14</v>
      </c>
      <c r="C15811" t="s">
        <v>22</v>
      </c>
      <c r="D15811" s="2" t="s">
        <f>=HYPERLINK("https://main.knesset.gov.il/APPS/legislation/main/bills/2079631", "הצעת חוק-יסוד: ההתגברות (תיקוני חקיקה)")</f>
        <v>13726</v>
      </c>
      <c r="E15811" t="s">
        <v>13726</v>
      </c>
      <c r="F15811" t="s">
        <v>30316</v>
      </c>
      <c r="G15811" t="s">
        <v>14</v>
      </c>
      <c r="H15811">
             </c>
      <c r="I15811" t="s">
        <v>14</v>
      </c>
      <c r="J15811" t="s">
        <v>141</v>
      </c>
      <c r="K15811" t="s">
        <v>14</v>
      </c>
      <c r="L15811" t="s">
        <v>20</v>
      </c>
      <c r="M15811" t="s">
        <v>30278</v>
      </c>
      <c r="N15811" t="s">
        <v>14</v>
      </c>
    </row>
    <row r="15812" x14ac:dyDescent="0.25">
      <c r="A15812" t="n">
        <v>21</v>
      </c>
      <c r="B15812" t="s">
        <v>14</v>
      </c>
      <c r="C15812" t="s">
        <v>22</v>
      </c>
      <c r="D15812" s="2" t="s">
        <f>=HYPERLINK("https://main.knesset.gov.il/APPS/legislation/main/bills/2079667", "הצעת חוק איסור הונאה בכשרות (תיקון - פתיחת אזורי הכשרות), התשע""ט-2019")</f>
        <v>30317</v>
      </c>
      <c r="E15812" t="s">
        <v>30317</v>
      </c>
      <c r="F15812" t="s">
        <v>30318</v>
      </c>
      <c r="G15812" t="s">
        <v>14</v>
      </c>
      <c r="H15812">
             </c>
      <c r="I15812" t="s">
        <v>14</v>
      </c>
      <c r="J15812" t="s">
        <v>141</v>
      </c>
      <c r="K15812" t="s">
        <v>14</v>
      </c>
      <c r="L15812" t="s">
        <v>20</v>
      </c>
      <c r="M15812" t="s">
        <v>30278</v>
      </c>
      <c r="N15812" t="s">
        <v>14</v>
      </c>
    </row>
    <row r="15813" x14ac:dyDescent="0.25">
      <c r="A15813" t="n">
        <v>21</v>
      </c>
      <c r="B15813" t="s">
        <v>14</v>
      </c>
      <c r="C15813" t="s">
        <v>22</v>
      </c>
      <c r="D15813" s="2" t="s">
        <f>=HYPERLINK("https://main.knesset.gov.il/APPS/legislation/main/bills/2079846", "הצעת חוק הגנת הצרכן (תיקון - סימון תאריך ייצור ומועד תפוגה עברי), התשע""ט-2019")</f>
        <v>30319</v>
      </c>
      <c r="E15813" t="s">
        <v>30319</v>
      </c>
      <c r="F15813" t="s">
        <v>30320</v>
      </c>
      <c r="G15813" t="s">
        <v>14</v>
      </c>
      <c r="H15813">
             </c>
      <c r="I15813" t="s">
        <v>14</v>
      </c>
      <c r="J15813" t="s">
        <v>141</v>
      </c>
      <c r="K15813" t="s">
        <v>14</v>
      </c>
      <c r="L15813" t="s">
        <v>20</v>
      </c>
      <c r="M15813" t="s">
        <v>30278</v>
      </c>
      <c r="N15813" t="s">
        <v>14</v>
      </c>
    </row>
    <row r="15814" x14ac:dyDescent="0.25">
      <c r="A15814" t="n">
        <v>21</v>
      </c>
      <c r="B15814" t="s">
        <v>14</v>
      </c>
      <c r="C15814" t="s">
        <v>22</v>
      </c>
      <c r="D15814" s="2" t="s">
        <f>=HYPERLINK("https://main.knesset.gov.il/APPS/legislation/main/bills/2078930", "הצעת חוק איסור פרסום והפצת שמות נפגעים, התשע""ט-2019")</f>
        <v>30321</v>
      </c>
      <c r="E15814" t="s">
        <v>30321</v>
      </c>
      <c r="F15814" t="s">
        <v>30322</v>
      </c>
      <c r="G15814" t="s">
        <v>14</v>
      </c>
      <c r="H15814">
             </c>
      <c r="I15814" t="s">
        <v>14</v>
      </c>
      <c r="J15814" t="s">
        <v>141</v>
      </c>
      <c r="K15814" t="s">
        <v>14</v>
      </c>
      <c r="L15814" t="s">
        <v>20</v>
      </c>
      <c r="M15814" t="s">
        <v>30278</v>
      </c>
      <c r="N15814" t="s">
        <v>14</v>
      </c>
    </row>
    <row r="15815" x14ac:dyDescent="0.25">
      <c r="A15815" t="n">
        <v>21</v>
      </c>
      <c r="B15815" t="s">
        <v>14</v>
      </c>
      <c r="C15815" t="s">
        <v>22</v>
      </c>
      <c r="D15815" s="2" t="s">
        <f>=HYPERLINK("https://main.knesset.gov.il/APPS/legislation/main/bills/2079895", "הצעת חוק הכרה, שיקום וטיפול בפדויי שבי, התשע""ט-2019")</f>
        <v>30323</v>
      </c>
      <c r="E15815" t="s">
        <v>30323</v>
      </c>
      <c r="F15815" t="s">
        <v>30324</v>
      </c>
      <c r="G15815" t="s">
        <v>14</v>
      </c>
      <c r="H15815">
             </c>
      <c r="I15815" t="s">
        <v>14</v>
      </c>
      <c r="J15815" t="s">
        <v>141</v>
      </c>
      <c r="K15815" t="s">
        <v>14</v>
      </c>
      <c r="L15815" t="s">
        <v>20</v>
      </c>
      <c r="M15815" t="s">
        <v>30278</v>
      </c>
      <c r="N15815" t="s">
        <v>14</v>
      </c>
    </row>
    <row r="15816" x14ac:dyDescent="0.25">
      <c r="A15816" t="n">
        <v>21</v>
      </c>
      <c r="B15816" t="s">
        <v>14</v>
      </c>
      <c r="C15816" t="s">
        <v>22</v>
      </c>
      <c r="D15816" s="2" t="s">
        <f>=HYPERLINK("https://main.knesset.gov.il/APPS/legislation/main/bills/2080011", "הצעת חוק לעידוד השקעה באנרגיות מתחדשות (הטבות מס בשל הפקת חשמל מאנרגיה מתחדשת) (תיקון - פרסום לעידוד ההשקעה באנרגיות מתחדשות על ידי צרכנים ביתיים) (הוראת שעה), התשע""ט-2019")</f>
        <v>30325</v>
      </c>
      <c r="E15816" t="s">
        <v>30325</v>
      </c>
      <c r="F15816" t="s">
        <v>30326</v>
      </c>
      <c r="G15816" t="s">
        <v>14</v>
      </c>
      <c r="H15816">
             </c>
      <c r="I15816" t="s">
        <v>14</v>
      </c>
      <c r="J15816" t="s">
        <v>141</v>
      </c>
      <c r="K15816" t="s">
        <v>14</v>
      </c>
      <c r="L15816" t="s">
        <v>20</v>
      </c>
      <c r="M15816" t="s">
        <v>30278</v>
      </c>
      <c r="N15816" t="s">
        <v>14</v>
      </c>
    </row>
    <row r="15817" x14ac:dyDescent="0.25">
      <c r="A15817" t="n">
        <v>21</v>
      </c>
      <c r="B15817" t="s">
        <v>14</v>
      </c>
      <c r="C15817" t="s">
        <v>22</v>
      </c>
      <c r="D15817" s="2" t="s">
        <f>=HYPERLINK("https://main.knesset.gov.il/APPS/legislation/main/bills/2079078", "הצעת חוק יחסי ממון בין בני זוג (תיקון - הפקעת זכות האיזון מבן זוג שהורשע ברצח בן הזוג השני), התשע""ט-2019")</f>
        <v>30327</v>
      </c>
      <c r="E15817" t="s">
        <v>30327</v>
      </c>
      <c r="F15817" t="s">
        <v>30328</v>
      </c>
      <c r="G15817" t="s">
        <v>14</v>
      </c>
      <c r="H15817">
             </c>
      <c r="I15817" t="s">
        <v>14</v>
      </c>
      <c r="J15817" t="s">
        <v>141</v>
      </c>
      <c r="K15817" t="s">
        <v>14</v>
      </c>
      <c r="L15817" t="s">
        <v>20</v>
      </c>
      <c r="M15817" t="s">
        <v>30278</v>
      </c>
      <c r="N15817" t="s">
        <v>14</v>
      </c>
    </row>
    <row r="15818" x14ac:dyDescent="0.25">
      <c r="A15818" t="n">
        <v>21</v>
      </c>
      <c r="B15818" t="s">
        <v>14</v>
      </c>
      <c r="C15818" t="s">
        <v>22</v>
      </c>
      <c r="D15818" s="2" t="s">
        <f>=HYPERLINK("https://main.knesset.gov.il/APPS/legislation/main/bills/2079439", "הצעת חוק הטבות לניצולי שואה (תיקון - מענק שנתי למקבלי קצבאות מחוץ לארץ), התשע""ט-2019")</f>
        <v>30329</v>
      </c>
      <c r="E15818" t="s">
        <v>30329</v>
      </c>
      <c r="F15818" t="s">
        <v>30330</v>
      </c>
      <c r="G15818" t="s">
        <v>14</v>
      </c>
      <c r="H15818">
             </c>
      <c r="I15818" t="s">
        <v>14</v>
      </c>
      <c r="J15818" t="s">
        <v>141</v>
      </c>
      <c r="K15818" t="s">
        <v>14</v>
      </c>
      <c r="L15818" t="s">
        <v>20</v>
      </c>
      <c r="M15818" t="s">
        <v>30278</v>
      </c>
      <c r="N15818" t="s">
        <v>14</v>
      </c>
    </row>
    <row r="15819" x14ac:dyDescent="0.25">
      <c r="A15819" t="n">
        <v>21</v>
      </c>
      <c r="B15819" t="s">
        <v>14</v>
      </c>
      <c r="C15819" t="s">
        <v>22</v>
      </c>
      <c r="D15819" s="2" t="s">
        <f>=HYPERLINK("https://main.knesset.gov.il/APPS/legislation/main/bills/2079411", "הצעת חוק לתיקון פקודת תעריף המכס והפטורים (העלאת רף הפטור ממכס על חפצים ל-400 דולר), התשע""ט-2019")</f>
        <v>30331</v>
      </c>
      <c r="E15819" t="s">
        <v>30331</v>
      </c>
      <c r="F15819" t="s">
        <v>30332</v>
      </c>
      <c r="G15819" t="s">
        <v>14</v>
      </c>
      <c r="H15819">
             </c>
      <c r="I15819" t="s">
        <v>14</v>
      </c>
      <c r="J15819" t="s">
        <v>141</v>
      </c>
      <c r="K15819" t="s">
        <v>14</v>
      </c>
      <c r="L15819" t="s">
        <v>20</v>
      </c>
      <c r="M15819" t="s">
        <v>30278</v>
      </c>
      <c r="N15819" t="s">
        <v>14</v>
      </c>
    </row>
    <row r="15820" x14ac:dyDescent="0.25">
      <c r="A15820" t="n">
        <v>21</v>
      </c>
      <c r="B15820" t="s">
        <v>14</v>
      </c>
      <c r="C15820" t="s">
        <v>22</v>
      </c>
      <c r="D15820" s="2" t="s">
        <f>=HYPERLINK("https://main.knesset.gov.il/APPS/legislation/main/bills/2079953", "הצעת חוק קליטת חיילים משוחררים (תיקון - תקצוב על פי מספר חיילים משוחררים הנרשמים ללימודים), התשע""ט-2019")</f>
        <v>30333</v>
      </c>
      <c r="E15820" t="s">
        <v>30333</v>
      </c>
      <c r="F15820" t="s">
        <v>30334</v>
      </c>
      <c r="G15820" t="s">
        <v>14</v>
      </c>
      <c r="H15820">
             </c>
      <c r="I15820" t="s">
        <v>14</v>
      </c>
      <c r="J15820" t="s">
        <v>141</v>
      </c>
      <c r="K15820" t="s">
        <v>14</v>
      </c>
      <c r="L15820" t="s">
        <v>20</v>
      </c>
      <c r="M15820" t="s">
        <v>30278</v>
      </c>
      <c r="N15820" t="s">
        <v>14</v>
      </c>
    </row>
    <row r="15821" x14ac:dyDescent="0.25">
      <c r="A15821" t="n">
        <v>21</v>
      </c>
      <c r="B15821" t="s">
        <v>14</v>
      </c>
      <c r="C15821" t="s">
        <v>22</v>
      </c>
      <c r="D15821" s="2" t="s">
        <f>=HYPERLINK("https://main.knesset.gov.il/APPS/legislation/main/bills/2079704", "הצעת חוק לתיקון פקודת רופאי השיניים (איסור גביית תשלום בעד תקופת התמחות), התשע""ט-2019 ")</f>
        <v>30335</v>
      </c>
      <c r="E15821" t="s">
        <v>30335</v>
      </c>
      <c r="F15821" t="s">
        <v>30336</v>
      </c>
      <c r="G15821" t="s">
        <v>14</v>
      </c>
      <c r="H15821">
             </c>
      <c r="I15821" t="s">
        <v>14</v>
      </c>
      <c r="J15821" t="s">
        <v>141</v>
      </c>
      <c r="K15821" t="s">
        <v>14</v>
      </c>
      <c r="L15821" t="s">
        <v>20</v>
      </c>
      <c r="M15821" t="s">
        <v>30278</v>
      </c>
      <c r="N15821" t="s">
        <v>14</v>
      </c>
    </row>
    <row r="15822" x14ac:dyDescent="0.25">
      <c r="A15822" t="n">
        <v>21</v>
      </c>
      <c r="B15822" t="s">
        <v>14</v>
      </c>
      <c r="C15822" t="s">
        <v>22</v>
      </c>
      <c r="D15822" s="2" t="s">
        <f>=HYPERLINK("https://main.knesset.gov.il/APPS/legislation/main/bills/2079995", "הצעת חוק החלת תקצוב מגדרי על תקציבים ציבוריים בישראל, התשע""ט-2019 ")</f>
        <v>30337</v>
      </c>
      <c r="E15822" t="s">
        <v>30337</v>
      </c>
      <c r="F15822" t="s">
        <v>30338</v>
      </c>
      <c r="G15822" t="s">
        <v>14</v>
      </c>
      <c r="H15822">
             </c>
      <c r="I15822" t="s">
        <v>14</v>
      </c>
      <c r="J15822" t="s">
        <v>141</v>
      </c>
      <c r="K15822" t="s">
        <v>14</v>
      </c>
      <c r="L15822" t="s">
        <v>20</v>
      </c>
      <c r="M15822" t="s">
        <v>30278</v>
      </c>
      <c r="N15822" t="s">
        <v>14</v>
      </c>
    </row>
    <row r="15823" x14ac:dyDescent="0.25">
      <c r="A15823" t="n">
        <v>21</v>
      </c>
      <c r="B15823" t="s">
        <v>14</v>
      </c>
      <c r="C15823" t="s">
        <v>22</v>
      </c>
      <c r="D15823" s="2" t="s">
        <f>=HYPERLINK("https://main.knesset.gov.il/APPS/legislation/main/bills/2079961", "הצעת חוק תקצוב מיוחד לרשויות חינוך מקומיות מרוחקות, התשע""ט-2019")</f>
        <v>30339</v>
      </c>
      <c r="E15823" t="s">
        <v>30339</v>
      </c>
      <c r="F15823" t="s">
        <v>30340</v>
      </c>
      <c r="G15823" t="s">
        <v>14</v>
      </c>
      <c r="H15823">
             </c>
      <c r="I15823" t="s">
        <v>14</v>
      </c>
      <c r="J15823" t="s">
        <v>141</v>
      </c>
      <c r="K15823" t="s">
        <v>14</v>
      </c>
      <c r="L15823" t="s">
        <v>20</v>
      </c>
      <c r="M15823" t="s">
        <v>30278</v>
      </c>
      <c r="N15823" t="s">
        <v>14</v>
      </c>
    </row>
    <row r="15824" x14ac:dyDescent="0.25">
      <c r="A15824" t="n">
        <v>21</v>
      </c>
      <c r="B15824" t="s">
        <v>14</v>
      </c>
      <c r="C15824" t="s">
        <v>22</v>
      </c>
      <c r="D15824" s="2" t="s">
        <f>=HYPERLINK("https://main.knesset.gov.il/APPS/legislation/main/bills/2080015", "הצעת חוק לתיקון פקודת מס הכנסה (צמצום הטבות מס לתושב חוזר ותיק), התשע""ט-2019")</f>
        <v>30341</v>
      </c>
      <c r="E15824" t="s">
        <v>30341</v>
      </c>
      <c r="F15824" t="s">
        <v>30342</v>
      </c>
      <c r="G15824" t="s">
        <v>14</v>
      </c>
      <c r="H15824">
             </c>
      <c r="I15824" t="s">
        <v>14</v>
      </c>
      <c r="J15824" t="s">
        <v>141</v>
      </c>
      <c r="K15824" t="s">
        <v>14</v>
      </c>
      <c r="L15824" t="s">
        <v>20</v>
      </c>
      <c r="M15824" t="s">
        <v>30278</v>
      </c>
      <c r="N15824" t="s">
        <v>14</v>
      </c>
    </row>
    <row r="15825" x14ac:dyDescent="0.25">
      <c r="A15825" t="n">
        <v>21</v>
      </c>
      <c r="B15825" t="s">
        <v>14</v>
      </c>
      <c r="C15825" t="s">
        <v>22</v>
      </c>
      <c r="D15825" s="2" t="s">
        <f>=HYPERLINK("https://main.knesset.gov.il/APPS/legislation/main/bills/2079636", "הצעת חוק לתיקון פקודת המכס (ביטול חיוב בעד בדיקת טובין), התשע""ט-2019")</f>
        <v>30343</v>
      </c>
      <c r="E15825" t="s">
        <v>30343</v>
      </c>
      <c r="F15825" t="s">
        <v>30344</v>
      </c>
      <c r="G15825" t="s">
        <v>14</v>
      </c>
      <c r="H15825">
             </c>
      <c r="I15825" t="s">
        <v>14</v>
      </c>
      <c r="J15825" t="s">
        <v>141</v>
      </c>
      <c r="K15825" t="s">
        <v>14</v>
      </c>
      <c r="L15825" t="s">
        <v>20</v>
      </c>
      <c r="M15825" t="s">
        <v>30278</v>
      </c>
      <c r="N15825" t="s">
        <v>14</v>
      </c>
    </row>
    <row r="15826" x14ac:dyDescent="0.25">
      <c r="A15826" t="n">
        <v>21</v>
      </c>
      <c r="B15826" t="s">
        <v>14</v>
      </c>
      <c r="C15826" t="s">
        <v>22</v>
      </c>
      <c r="D15826" s="2" t="s">
        <f>=HYPERLINK("https://main.knesset.gov.il/APPS/legislation/main/bills/2080068", "הצעת חוק המרכז למורשת הערבית, התשע""ט-2019")</f>
        <v>30345</v>
      </c>
      <c r="E15826" t="s">
        <v>30345</v>
      </c>
      <c r="F15826" t="s">
        <v>30346</v>
      </c>
      <c r="G15826" t="s">
        <v>14</v>
      </c>
      <c r="H15826">
             </c>
      <c r="I15826" t="s">
        <v>14</v>
      </c>
      <c r="J15826" t="s">
        <v>141</v>
      </c>
      <c r="K15826" t="s">
        <v>14</v>
      </c>
      <c r="L15826" t="s">
        <v>20</v>
      </c>
      <c r="M15826" t="s">
        <v>30278</v>
      </c>
      <c r="N15826" t="s">
        <v>14</v>
      </c>
    </row>
    <row r="15827" x14ac:dyDescent="0.25">
      <c r="A15827" t="n">
        <v>21</v>
      </c>
      <c r="B15827" t="s">
        <v>14</v>
      </c>
      <c r="C15827" t="s">
        <v>22</v>
      </c>
      <c r="D15827" s="2" t="s">
        <f>=HYPERLINK("https://main.knesset.gov.il/APPS/legislation/main/bills/2079959", "הצעת חוק הקמת האקדמיה הלאומית לשפת הסימנים, התשע""ט-2019")</f>
        <v>30347</v>
      </c>
      <c r="E15827" t="s">
        <v>30347</v>
      </c>
      <c r="F15827" t="s">
        <v>30348</v>
      </c>
      <c r="G15827" t="s">
        <v>14</v>
      </c>
      <c r="H15827">
             </c>
      <c r="I15827" t="s">
        <v>14</v>
      </c>
      <c r="J15827" t="s">
        <v>141</v>
      </c>
      <c r="K15827" t="s">
        <v>14</v>
      </c>
      <c r="L15827" t="s">
        <v>20</v>
      </c>
      <c r="M15827" t="s">
        <v>30278</v>
      </c>
      <c r="N15827" t="s">
        <v>14</v>
      </c>
    </row>
    <row r="15828" x14ac:dyDescent="0.25">
      <c r="A15828" t="n">
        <v>21</v>
      </c>
      <c r="B15828" t="s">
        <v>14</v>
      </c>
      <c r="C15828" t="s">
        <v>22</v>
      </c>
      <c r="D15828" s="2" t="s">
        <f>=HYPERLINK("https://main.knesset.gov.il/APPS/legislation/main/bills/2080191", "הצעת חוק חינוך ממלכתי (תיקון - ביטול השתתפות רשות מקומית בתקציבי מוסדות חינוך מוכרים לא רשמיים), התשע""ט-2019")</f>
        <v>30349</v>
      </c>
      <c r="E15828" t="s">
        <v>30349</v>
      </c>
      <c r="F15828" t="s">
        <v>30350</v>
      </c>
      <c r="G15828" t="s">
        <v>14</v>
      </c>
      <c r="H15828">
             </c>
      <c r="I15828" t="s">
        <v>14</v>
      </c>
      <c r="J15828" t="s">
        <v>141</v>
      </c>
      <c r="K15828" t="s">
        <v>14</v>
      </c>
      <c r="L15828" t="s">
        <v>20</v>
      </c>
      <c r="M15828" t="s">
        <v>30278</v>
      </c>
      <c r="N15828" t="s">
        <v>14</v>
      </c>
    </row>
    <row r="15829" x14ac:dyDescent="0.25">
      <c r="A15829" t="n">
        <v>21</v>
      </c>
      <c r="B15829" t="s">
        <v>14</v>
      </c>
      <c r="C15829" t="s">
        <v>22</v>
      </c>
      <c r="D15829" s="2" t="s">
        <f>=HYPERLINK("https://main.knesset.gov.il/APPS/legislation/main/bills/2080198", "הצעת חוק חינוך ממלכתי (תיקון - שלילת תקצוב וקביעת אזורי רישום), התשע""ט-2019")</f>
        <v>30351</v>
      </c>
      <c r="E15829" t="s">
        <v>30351</v>
      </c>
      <c r="F15829" t="s">
        <v>30352</v>
      </c>
      <c r="G15829" t="s">
        <v>14</v>
      </c>
      <c r="H15829">
             </c>
      <c r="I15829" t="s">
        <v>14</v>
      </c>
      <c r="J15829" t="s">
        <v>141</v>
      </c>
      <c r="K15829" t="s">
        <v>14</v>
      </c>
      <c r="L15829" t="s">
        <v>20</v>
      </c>
      <c r="M15829" t="s">
        <v>30278</v>
      </c>
      <c r="N15829" t="s">
        <v>14</v>
      </c>
    </row>
    <row r="15830" x14ac:dyDescent="0.25">
      <c r="A15830" t="n">
        <v>21</v>
      </c>
      <c r="B15830" t="s">
        <v>14</v>
      </c>
      <c r="C15830" t="s">
        <v>22</v>
      </c>
      <c r="D15830" s="2" t="s">
        <f>=HYPERLINK("https://main.knesset.gov.il/APPS/legislation/main/bills/2080184", "הצעת חוק הפיקוח על מצרכים ושירותים (תיקון - סייגים לעסקאות בציוד צבאי), התשע""ט-2019")</f>
        <v>30353</v>
      </c>
      <c r="E15830" t="s">
        <v>30353</v>
      </c>
      <c r="F15830" t="s">
        <v>30354</v>
      </c>
      <c r="G15830" t="s">
        <v>14</v>
      </c>
      <c r="H15830">
             </c>
      <c r="I15830" t="s">
        <v>14</v>
      </c>
      <c r="J15830" t="s">
        <v>141</v>
      </c>
      <c r="K15830" t="s">
        <v>14</v>
      </c>
      <c r="L15830" t="s">
        <v>20</v>
      </c>
      <c r="M15830" t="s">
        <v>30278</v>
      </c>
      <c r="N15830" t="s">
        <v>14</v>
      </c>
    </row>
    <row r="15831" x14ac:dyDescent="0.25">
      <c r="A15831" t="n">
        <v>21</v>
      </c>
      <c r="B15831" t="s">
        <v>14</v>
      </c>
      <c r="C15831" t="s">
        <v>22</v>
      </c>
      <c r="D15831" s="2" t="s">
        <f>=HYPERLINK("https://main.knesset.gov.il/APPS/legislation/main/bills/2080079", "הצעת חוק המרכז למורשת הערבים, התשע""ט-2019")</f>
        <v>30355</v>
      </c>
      <c r="E15831" t="s">
        <v>30355</v>
      </c>
      <c r="F15831" t="s">
        <v>30356</v>
      </c>
      <c r="G15831" t="s">
        <v>14</v>
      </c>
      <c r="H15831">
             </c>
      <c r="I15831" t="s">
        <v>14</v>
      </c>
      <c r="J15831" t="s">
        <v>141</v>
      </c>
      <c r="K15831" t="s">
        <v>14</v>
      </c>
      <c r="L15831" t="s">
        <v>20</v>
      </c>
      <c r="M15831" t="s">
        <v>30278</v>
      </c>
      <c r="N15831" t="s">
        <v>14</v>
      </c>
    </row>
    <row r="15832" x14ac:dyDescent="0.25">
      <c r="A15832" t="n">
        <v>21</v>
      </c>
      <c r="B15832" t="s">
        <v>14</v>
      </c>
      <c r="C15832" t="s">
        <v>22</v>
      </c>
      <c r="D15832" s="2" t="s">
        <f>=HYPERLINK("https://main.knesset.gov.il/APPS/legislation/main/bills/2079893", "הצעת חוק יסודות התקציב (תיקון - שימוש בעודפי תקציב לתוכניות בהן נכללו במקור), התשע""ט-2019")</f>
        <v>30357</v>
      </c>
      <c r="E15832" t="s">
        <v>30357</v>
      </c>
      <c r="F15832" t="s">
        <v>30358</v>
      </c>
      <c r="G15832" t="s">
        <v>14</v>
      </c>
      <c r="H15832">
             </c>
      <c r="I15832" t="s">
        <v>14</v>
      </c>
      <c r="J15832" t="s">
        <v>141</v>
      </c>
      <c r="K15832" t="s">
        <v>14</v>
      </c>
      <c r="L15832" t="s">
        <v>20</v>
      </c>
      <c r="M15832" t="s">
        <v>30278</v>
      </c>
      <c r="N15832" t="s">
        <v>14</v>
      </c>
    </row>
    <row r="15833" x14ac:dyDescent="0.25">
      <c r="A15833" t="n">
        <v>21</v>
      </c>
      <c r="B15833" t="s">
        <v>14</v>
      </c>
      <c r="C15833" t="s">
        <v>22</v>
      </c>
      <c r="D15833" s="2" t="s">
        <f>=HYPERLINK("https://main.knesset.gov.il/APPS/legislation/main/bills/2079896", "הצעת חוק מעלה אדומים, התשע""ט-2019")</f>
        <v>30359</v>
      </c>
      <c r="E15833" t="s">
        <v>30359</v>
      </c>
      <c r="F15833" t="s">
        <v>30360</v>
      </c>
      <c r="G15833" t="s">
        <v>14</v>
      </c>
      <c r="H15833">
             </c>
      <c r="I15833" t="s">
        <v>14</v>
      </c>
      <c r="J15833" t="s">
        <v>141</v>
      </c>
      <c r="K15833" t="s">
        <v>14</v>
      </c>
      <c r="L15833" t="s">
        <v>20</v>
      </c>
      <c r="M15833" t="s">
        <v>30278</v>
      </c>
      <c r="N15833" t="s">
        <v>14</v>
      </c>
    </row>
    <row r="15834" x14ac:dyDescent="0.25">
      <c r="A15834" t="n">
        <v>21</v>
      </c>
      <c r="B15834" t="s">
        <v>14</v>
      </c>
      <c r="C15834" t="s">
        <v>22</v>
      </c>
      <c r="D15834" s="2" t="s">
        <f>=HYPERLINK("https://main.knesset.gov.il/APPS/legislation/main/bills/2078936", "הצעת חוק הביטוח הלאומי (תיקון - תגמולים למתנדב בצוות חירום יישובי או שכונתי), התשע""ט-2019")</f>
        <v>30361</v>
      </c>
      <c r="E15834" t="s">
        <v>30361</v>
      </c>
      <c r="F15834" t="s">
        <v>30362</v>
      </c>
      <c r="G15834" t="s">
        <v>14</v>
      </c>
      <c r="H15834">
             </c>
      <c r="I15834" t="s">
        <v>14</v>
      </c>
      <c r="J15834" t="s">
        <v>141</v>
      </c>
      <c r="K15834" t="s">
        <v>14</v>
      </c>
      <c r="L15834" t="s">
        <v>20</v>
      </c>
      <c r="M15834" t="s">
        <v>30278</v>
      </c>
      <c r="N15834" t="s">
        <v>14</v>
      </c>
    </row>
    <row r="15835" x14ac:dyDescent="0.25">
      <c r="A15835" t="n">
        <v>21</v>
      </c>
      <c r="B15835" t="s">
        <v>14</v>
      </c>
      <c r="C15835" t="s">
        <v>22</v>
      </c>
      <c r="D15835" s="2" t="s">
        <f>=HYPERLINK("https://main.knesset.gov.il/APPS/legislation/main/bills/2079903", "הצעת חוק קליטת חיילים משוחררים (תיקון - הקרן להעצמת המשרתים בשירות צבאי), התשע""ט-2019")</f>
        <v>30363</v>
      </c>
      <c r="E15835" t="s">
        <v>30363</v>
      </c>
      <c r="F15835" t="s">
        <v>30364</v>
      </c>
      <c r="G15835" t="s">
        <v>14</v>
      </c>
      <c r="H15835">
             </c>
      <c r="I15835" t="s">
        <v>14</v>
      </c>
      <c r="J15835" t="s">
        <v>141</v>
      </c>
      <c r="K15835" t="s">
        <v>14</v>
      </c>
      <c r="L15835" t="s">
        <v>20</v>
      </c>
      <c r="M15835" t="s">
        <v>30278</v>
      </c>
      <c r="N15835" t="s">
        <v>14</v>
      </c>
    </row>
    <row r="15836" x14ac:dyDescent="0.25">
      <c r="A15836" t="n">
        <v>21</v>
      </c>
      <c r="B15836" t="s">
        <v>14</v>
      </c>
      <c r="C15836" t="s">
        <v>22</v>
      </c>
      <c r="D15836" s="2" t="s">
        <f>=HYPERLINK("https://main.knesset.gov.il/APPS/legislation/main/bills/2078699", "הצעת חוק הביטוח הלאומי (תיקון - קצבת ילדים בעד ילד הנמצא בחוץ לארץ), התשע""ט-2019")</f>
        <v>30365</v>
      </c>
      <c r="E15836" t="s">
        <v>30365</v>
      </c>
      <c r="F15836" t="s">
        <v>30366</v>
      </c>
      <c r="G15836" t="s">
        <v>14</v>
      </c>
      <c r="H15836">
             </c>
      <c r="I15836" t="s">
        <v>14</v>
      </c>
      <c r="J15836" t="s">
        <v>141</v>
      </c>
      <c r="K15836" t="s">
        <v>14</v>
      </c>
      <c r="L15836" t="s">
        <v>20</v>
      </c>
      <c r="M15836" t="s">
        <v>30278</v>
      </c>
      <c r="N15836" t="s">
        <v>14</v>
      </c>
    </row>
    <row r="15837" x14ac:dyDescent="0.25">
      <c r="A15837" t="n">
        <v>21</v>
      </c>
      <c r="B15837" t="s">
        <v>14</v>
      </c>
      <c r="C15837" t="s">
        <v>22</v>
      </c>
      <c r="D15837" s="2" t="s">
        <f>=HYPERLINK("https://main.knesset.gov.il/APPS/legislation/main/bills/2079564", "הצעת חוק אמנות ג'נבה, התשע""ט-2019")</f>
        <v>30367</v>
      </c>
      <c r="E15837" t="s">
        <v>30367</v>
      </c>
      <c r="F15837" t="s">
        <v>30368</v>
      </c>
      <c r="G15837" t="s">
        <v>14</v>
      </c>
      <c r="H15837">
             </c>
      <c r="I15837" t="s">
        <v>14</v>
      </c>
      <c r="J15837" t="s">
        <v>141</v>
      </c>
      <c r="K15837" t="s">
        <v>14</v>
      </c>
      <c r="L15837" t="s">
        <v>20</v>
      </c>
      <c r="M15837" t="s">
        <v>30278</v>
      </c>
      <c r="N15837" t="s">
        <v>14</v>
      </c>
    </row>
    <row r="15838" x14ac:dyDescent="0.25">
      <c r="A15838" t="n">
        <v>21</v>
      </c>
      <c r="B15838" t="s">
        <v>14</v>
      </c>
      <c r="C15838" t="s">
        <v>22</v>
      </c>
      <c r="D15838" s="2" t="s">
        <f>=HYPERLINK("https://main.knesset.gov.il/APPS/legislation/main/bills/2079907", "הצעת חוק החלת הריבונות של מדינת ישראל בחבלי יהודה והשומרון, התשע""ט-2019")</f>
        <v>30369</v>
      </c>
      <c r="E15838" t="s">
        <v>30369</v>
      </c>
      <c r="F15838" t="s">
        <v>30370</v>
      </c>
      <c r="G15838" t="s">
        <v>14</v>
      </c>
      <c r="H15838">
             </c>
      <c r="I15838" t="s">
        <v>14</v>
      </c>
      <c r="J15838" t="s">
        <v>141</v>
      </c>
      <c r="K15838" t="s">
        <v>14</v>
      </c>
      <c r="L15838" t="s">
        <v>20</v>
      </c>
      <c r="M15838" t="s">
        <v>30278</v>
      </c>
      <c r="N15838" t="s">
        <v>14</v>
      </c>
    </row>
    <row r="15839" x14ac:dyDescent="0.25">
      <c r="A15839" t="n">
        <v>21</v>
      </c>
      <c r="B15839" t="s">
        <v>14</v>
      </c>
      <c r="C15839" t="s">
        <v>22</v>
      </c>
      <c r="D15839" s="2" t="s">
        <f>=HYPERLINK("https://main.knesset.gov.il/APPS/legislation/main/bills/2079361", "הצעת חוק ביטוח בריאות ממלכתי (תיקון - החזר אגרת נסיעה באמבולנס), התשע""ט-2019")</f>
        <v>30371</v>
      </c>
      <c r="E15839" t="s">
        <v>30371</v>
      </c>
      <c r="F15839" t="s">
        <v>30372</v>
      </c>
      <c r="G15839" t="s">
        <v>14</v>
      </c>
      <c r="H15839">
             </c>
      <c r="I15839" t="s">
        <v>14</v>
      </c>
      <c r="J15839" t="s">
        <v>141</v>
      </c>
      <c r="K15839" t="s">
        <v>14</v>
      </c>
      <c r="L15839" t="s">
        <v>20</v>
      </c>
      <c r="M15839" t="s">
        <v>30278</v>
      </c>
      <c r="N15839" t="s">
        <v>14</v>
      </c>
    </row>
    <row r="15840" x14ac:dyDescent="0.25">
      <c r="A15840" t="n">
        <v>21</v>
      </c>
      <c r="B15840" t="s">
        <v>14</v>
      </c>
      <c r="C15840" t="s">
        <v>22</v>
      </c>
      <c r="D15840" s="2" t="s">
        <f>=HYPERLINK("https://main.knesset.gov.il/APPS/legislation/main/bills/2079901", "הצעת חוק גוש עציון, התשע""ט-2019")</f>
        <v>30373</v>
      </c>
      <c r="E15840" t="s">
        <v>30373</v>
      </c>
      <c r="F15840" t="s">
        <v>30374</v>
      </c>
      <c r="G15840" t="s">
        <v>14</v>
      </c>
      <c r="H15840">
             </c>
      <c r="I15840" t="s">
        <v>14</v>
      </c>
      <c r="J15840" t="s">
        <v>141</v>
      </c>
      <c r="K15840" t="s">
        <v>14</v>
      </c>
      <c r="L15840" t="s">
        <v>20</v>
      </c>
      <c r="M15840" t="s">
        <v>30278</v>
      </c>
      <c r="N15840" t="s">
        <v>14</v>
      </c>
    </row>
    <row r="15841" x14ac:dyDescent="0.25">
      <c r="A15841" t="n">
        <v>21</v>
      </c>
      <c r="B15841" t="s">
        <v>14</v>
      </c>
      <c r="C15841" t="s">
        <v>22</v>
      </c>
      <c r="D15841" s="2" t="s">
        <f>=HYPERLINK("https://main.knesset.gov.il/APPS/legislation/main/bills/2079046", "הצעת חוק למניעת העסקה של עברייני מין במוסדות מסוימים (תיקון - הגדרת עבירת מין), התשע""ט-2019")</f>
        <v>30375</v>
      </c>
      <c r="E15841" t="s">
        <v>30375</v>
      </c>
      <c r="F15841" t="s">
        <v>30376</v>
      </c>
      <c r="G15841" t="s">
        <v>14</v>
      </c>
      <c r="H15841">
             </c>
      <c r="I15841" t="s">
        <v>14</v>
      </c>
      <c r="J15841" t="s">
        <v>141</v>
      </c>
      <c r="K15841" t="s">
        <v>14</v>
      </c>
      <c r="L15841" t="s">
        <v>20</v>
      </c>
      <c r="M15841" t="s">
        <v>30278</v>
      </c>
      <c r="N15841" t="s">
        <v>14</v>
      </c>
    </row>
    <row r="15842" x14ac:dyDescent="0.25">
      <c r="A15842" t="n">
        <v>21</v>
      </c>
      <c r="B15842" t="s">
        <v>14</v>
      </c>
      <c r="C15842" t="s">
        <v>22</v>
      </c>
      <c r="D15842" s="2" t="s">
        <f>=HYPERLINK("https://main.knesset.gov.il/APPS/legislation/main/bills/2079900", "הצעת חוק גוש אריאל, התשע""ט-2019")</f>
        <v>30377</v>
      </c>
      <c r="E15842" t="s">
        <v>30377</v>
      </c>
      <c r="F15842" t="s">
        <v>30378</v>
      </c>
      <c r="G15842" t="s">
        <v>14</v>
      </c>
      <c r="H15842">
             </c>
      <c r="I15842" t="s">
        <v>14</v>
      </c>
      <c r="J15842" t="s">
        <v>141</v>
      </c>
      <c r="K15842" t="s">
        <v>14</v>
      </c>
      <c r="L15842" t="s">
        <v>20</v>
      </c>
      <c r="M15842" t="s">
        <v>30278</v>
      </c>
      <c r="N15842" t="s">
        <v>14</v>
      </c>
    </row>
    <row r="15843" x14ac:dyDescent="0.25">
      <c r="A15843" t="n">
        <v>21</v>
      </c>
      <c r="B15843" t="s">
        <v>14</v>
      </c>
      <c r="C15843" t="s">
        <v>22</v>
      </c>
      <c r="D15843" s="2" t="s">
        <f>=HYPERLINK("https://main.knesset.gov.il/APPS/legislation/main/bills/2079844", "הצעות חוק תובענות ייצוגיות (תיקון - הוספת גביית קנס שלא כדין לעילות התביעה), התשע""ט-2019")</f>
        <v>30379</v>
      </c>
      <c r="E15843" t="s">
        <v>30379</v>
      </c>
      <c r="F15843" t="s">
        <v>30380</v>
      </c>
      <c r="G15843" t="s">
        <v>14</v>
      </c>
      <c r="H15843">
             </c>
      <c r="I15843" t="s">
        <v>14</v>
      </c>
      <c r="J15843" t="s">
        <v>141</v>
      </c>
      <c r="K15843" t="s">
        <v>14</v>
      </c>
      <c r="L15843" t="s">
        <v>20</v>
      </c>
      <c r="M15843" t="s">
        <v>30278</v>
      </c>
      <c r="N15843" t="s">
        <v>14</v>
      </c>
    </row>
    <row r="15844" x14ac:dyDescent="0.25">
      <c r="A15844" t="n">
        <v>21</v>
      </c>
      <c r="B15844" t="s">
        <v>14</v>
      </c>
      <c r="C15844" t="s">
        <v>22</v>
      </c>
      <c r="D15844" s="2" t="s">
        <f>=HYPERLINK("https://main.knesset.gov.il/APPS/legislation/main/bills/2079578", "הצעת חוק לתיקון פקודת העיריות (מענק הבירה), התשע""ט-2019")</f>
        <v>30381</v>
      </c>
      <c r="E15844" t="s">
        <v>30381</v>
      </c>
      <c r="F15844" t="s">
        <v>30382</v>
      </c>
      <c r="G15844" t="s">
        <v>14</v>
      </c>
      <c r="H15844">
             </c>
      <c r="I15844" t="s">
        <v>14</v>
      </c>
      <c r="J15844" t="s">
        <v>141</v>
      </c>
      <c r="K15844" t="s">
        <v>14</v>
      </c>
      <c r="L15844" t="s">
        <v>20</v>
      </c>
      <c r="M15844" t="s">
        <v>30278</v>
      </c>
      <c r="N15844" t="s">
        <v>14</v>
      </c>
    </row>
    <row r="15845" x14ac:dyDescent="0.25">
      <c r="A15845" t="n">
        <v>21</v>
      </c>
      <c r="B15845" t="s">
        <v>14</v>
      </c>
      <c r="C15845" t="s">
        <v>22</v>
      </c>
      <c r="D15845" s="2" t="s">
        <f>=HYPERLINK("https://main.knesset.gov.il/APPS/legislation/main/bills/2079812", "הצעת חוק עובדים זרים (תיקון - ביטול הצורך בהיתר להעסקת עובד זר מומחה לתקופה קצרה), התשע""ט-2019")</f>
        <v>30383</v>
      </c>
      <c r="E15845" t="s">
        <v>30383</v>
      </c>
      <c r="F15845" t="s">
        <v>30384</v>
      </c>
      <c r="G15845" t="s">
        <v>14</v>
      </c>
      <c r="H15845">
             </c>
      <c r="I15845" t="s">
        <v>14</v>
      </c>
      <c r="J15845" t="s">
        <v>141</v>
      </c>
      <c r="K15845" t="s">
        <v>14</v>
      </c>
      <c r="L15845" t="s">
        <v>20</v>
      </c>
      <c r="M15845" t="s">
        <v>30278</v>
      </c>
      <c r="N15845" t="s">
        <v>14</v>
      </c>
    </row>
    <row r="15846" x14ac:dyDescent="0.25">
      <c r="A15846" t="n">
        <v>21</v>
      </c>
      <c r="B15846" t="s">
        <v>14</v>
      </c>
      <c r="C15846" t="s">
        <v>22</v>
      </c>
      <c r="D15846" s="2" t="s">
        <f>=HYPERLINK("https://main.knesset.gov.il/APPS/legislation/main/bills/2079764", "הצעת חוק זכויות החולה (תיקון - קביעת זכות לטיפול מקל והסמכת בא כוחו של מטופל לסרב לטיפול רפואי), התשע""ט-2019")</f>
        <v>30385</v>
      </c>
      <c r="E15846" t="s">
        <v>30385</v>
      </c>
      <c r="F15846" t="s">
        <v>30386</v>
      </c>
      <c r="G15846" t="s">
        <v>14</v>
      </c>
      <c r="H15846">
             </c>
      <c r="I15846" t="s">
        <v>14</v>
      </c>
      <c r="J15846" t="s">
        <v>141</v>
      </c>
      <c r="K15846" t="s">
        <v>14</v>
      </c>
      <c r="L15846" t="s">
        <v>20</v>
      </c>
      <c r="M15846" t="s">
        <v>30278</v>
      </c>
      <c r="N15846" t="s">
        <v>14</v>
      </c>
    </row>
    <row r="15847" x14ac:dyDescent="0.25">
      <c r="A15847" t="n">
        <v>21</v>
      </c>
      <c r="B15847" t="s">
        <v>14</v>
      </c>
      <c r="C15847" t="s">
        <v>22</v>
      </c>
      <c r="D15847" s="2" t="s">
        <f>=HYPERLINK("https://main.knesset.gov.il/APPS/legislation/main/bills/2079898", "הצעת חוק בקעת הירדן, התשע""ט-2019")</f>
        <v>30387</v>
      </c>
      <c r="E15847" t="s">
        <v>30387</v>
      </c>
      <c r="F15847" t="s">
        <v>30388</v>
      </c>
      <c r="G15847" t="s">
        <v>14</v>
      </c>
      <c r="H15847">
             </c>
      <c r="I15847" t="s">
        <v>14</v>
      </c>
      <c r="J15847" t="s">
        <v>141</v>
      </c>
      <c r="K15847" t="s">
        <v>14</v>
      </c>
      <c r="L15847" t="s">
        <v>20</v>
      </c>
      <c r="M15847" t="s">
        <v>30278</v>
      </c>
      <c r="N15847" t="s">
        <v>14</v>
      </c>
    </row>
    <row r="15848" x14ac:dyDescent="0.25">
      <c r="A15848" t="n">
        <v>21</v>
      </c>
      <c r="B15848" t="s">
        <v>14</v>
      </c>
      <c r="C15848" t="s">
        <v>22</v>
      </c>
      <c r="D15848" s="2" t="s">
        <f>=HYPERLINK("https://main.knesset.gov.il/APPS/legislation/main/bills/2079841", "הצעת חוק המזונות (הבטחת תשלום) (תיקון - סכום שלא יובא בחשבון במבחן ההכנסה), התשע""ט-2019")</f>
        <v>30389</v>
      </c>
      <c r="E15848" t="s">
        <v>30389</v>
      </c>
      <c r="F15848" t="s">
        <v>30390</v>
      </c>
      <c r="G15848" t="s">
        <v>14</v>
      </c>
      <c r="H15848">
             </c>
      <c r="I15848" t="s">
        <v>14</v>
      </c>
      <c r="J15848" t="s">
        <v>141</v>
      </c>
      <c r="K15848" t="s">
        <v>14</v>
      </c>
      <c r="L15848" t="s">
        <v>20</v>
      </c>
      <c r="M15848" t="s">
        <v>30278</v>
      </c>
      <c r="N15848" t="s">
        <v>14</v>
      </c>
    </row>
    <row r="15849" x14ac:dyDescent="0.25">
      <c r="A15849" t="n">
        <v>21</v>
      </c>
      <c r="B15849" t="s">
        <v>14</v>
      </c>
      <c r="C15849" t="s">
        <v>22</v>
      </c>
      <c r="D15849" s="2" t="s">
        <f>=HYPERLINK("https://main.knesset.gov.il/APPS/legislation/main/bills/2079823", "הצעת חוק קליטת חיילים משוחררים (תיקון - לימודים אקדמיים לחיילים משוחררים ששירתו כלוחמים במימון המדינה), התשע""ט-2019")</f>
        <v>30391</v>
      </c>
      <c r="E15849" t="s">
        <v>30391</v>
      </c>
      <c r="F15849" t="s">
        <v>30392</v>
      </c>
      <c r="G15849" t="s">
        <v>14</v>
      </c>
      <c r="H15849">
             </c>
      <c r="I15849" t="s">
        <v>14</v>
      </c>
      <c r="J15849" t="s">
        <v>141</v>
      </c>
      <c r="K15849" t="s">
        <v>14</v>
      </c>
      <c r="L15849" t="s">
        <v>20</v>
      </c>
      <c r="M15849" t="s">
        <v>30278</v>
      </c>
      <c r="N15849" t="s">
        <v>14</v>
      </c>
    </row>
    <row r="15850" x14ac:dyDescent="0.25">
      <c r="A15850" t="n">
        <v>21</v>
      </c>
      <c r="B15850" t="s">
        <v>14</v>
      </c>
      <c r="C15850" t="s">
        <v>22</v>
      </c>
      <c r="D15850" s="2" t="s">
        <f>=HYPERLINK("https://main.knesset.gov.il/APPS/legislation/main/bills/2079664", "הצעת חוק הביטוח הלאומי (תיקון - החרגת כספי פנסיה ממדינת חוץ בחישוב הכנסה), התשע""ט-2019")</f>
        <v>30393</v>
      </c>
      <c r="E15850" t="s">
        <v>30393</v>
      </c>
      <c r="F15850" t="s">
        <v>30394</v>
      </c>
      <c r="G15850" t="s">
        <v>14</v>
      </c>
      <c r="H15850">
             </c>
      <c r="I15850" t="s">
        <v>14</v>
      </c>
      <c r="J15850" t="s">
        <v>141</v>
      </c>
      <c r="K15850" t="s">
        <v>14</v>
      </c>
      <c r="L15850" t="s">
        <v>20</v>
      </c>
      <c r="M15850" t="s">
        <v>30278</v>
      </c>
      <c r="N15850" t="s">
        <v>14</v>
      </c>
    </row>
    <row r="15851" x14ac:dyDescent="0.25">
      <c r="A15851" t="n">
        <v>21</v>
      </c>
      <c r="B15851" t="s">
        <v>14</v>
      </c>
      <c r="C15851" t="s">
        <v>22</v>
      </c>
      <c r="D15851" s="2" t="s">
        <f>=HYPERLINK("https://main.knesset.gov.il/APPS/legislation/main/bills/2079830", "הצעת חוק הביטוח הלאומי (תיקון - דמי אבטלה למי שנמצא בהכשרה מקצועית), התשע""ט-2019")</f>
        <v>30395</v>
      </c>
      <c r="E15851" t="s">
        <v>30395</v>
      </c>
      <c r="F15851" t="s">
        <v>30396</v>
      </c>
      <c r="G15851" t="s">
        <v>14</v>
      </c>
      <c r="H15851">
             </c>
      <c r="I15851" t="s">
        <v>14</v>
      </c>
      <c r="J15851" t="s">
        <v>141</v>
      </c>
      <c r="K15851" t="s">
        <v>14</v>
      </c>
      <c r="L15851" t="s">
        <v>20</v>
      </c>
      <c r="M15851" t="s">
        <v>30278</v>
      </c>
      <c r="N15851" t="s">
        <v>14</v>
      </c>
    </row>
    <row r="15852" x14ac:dyDescent="0.25">
      <c r="A15852" t="n">
        <v>21</v>
      </c>
      <c r="B15852" t="s">
        <v>14</v>
      </c>
      <c r="C15852" t="s">
        <v>22</v>
      </c>
      <c r="D15852" s="2" t="s">
        <f>=HYPERLINK("https://main.knesset.gov.il/APPS/legislation/main/bills/2079588", "הצעת חוק המועצה להשכלה גבוהה (תיקון - עידוד הנגשה להשכלה גבוהה), התשע""ט-2019")</f>
        <v>30397</v>
      </c>
      <c r="E15852" t="s">
        <v>30397</v>
      </c>
      <c r="F15852" t="s">
        <v>30398</v>
      </c>
      <c r="G15852" t="s">
        <v>14</v>
      </c>
      <c r="H15852">
             </c>
      <c r="I15852" t="s">
        <v>14</v>
      </c>
      <c r="J15852" t="s">
        <v>141</v>
      </c>
      <c r="K15852" t="s">
        <v>14</v>
      </c>
      <c r="L15852" t="s">
        <v>20</v>
      </c>
      <c r="M15852" t="s">
        <v>30278</v>
      </c>
      <c r="N15852" t="s">
        <v>14</v>
      </c>
    </row>
    <row r="15853" x14ac:dyDescent="0.25">
      <c r="A15853" t="n">
        <v>21</v>
      </c>
      <c r="B15853" t="s">
        <v>14</v>
      </c>
      <c r="C15853" t="s">
        <v>22</v>
      </c>
      <c r="D15853" s="2" t="s">
        <f>=HYPERLINK("https://main.knesset.gov.il/APPS/legislation/main/bills/2078755", "הצעת חוק אימוץ ילדים (תיקון - אימוץ על ידי הורה יחיד), התשע""ט-2019")</f>
        <v>30399</v>
      </c>
      <c r="E15853" t="s">
        <v>30399</v>
      </c>
      <c r="F15853" t="s">
        <v>30400</v>
      </c>
      <c r="G15853" t="s">
        <v>14</v>
      </c>
      <c r="H15853">
             </c>
      <c r="I15853" t="s">
        <v>14</v>
      </c>
      <c r="J15853" t="s">
        <v>141</v>
      </c>
      <c r="K15853" t="s">
        <v>14</v>
      </c>
      <c r="L15853" t="s">
        <v>20</v>
      </c>
      <c r="M15853" t="s">
        <v>30278</v>
      </c>
      <c r="N15853" t="s">
        <v>14</v>
      </c>
    </row>
    <row r="15854" x14ac:dyDescent="0.25">
      <c r="A15854" t="n">
        <v>21</v>
      </c>
      <c r="B15854" t="s">
        <v>14</v>
      </c>
      <c r="C15854" t="s">
        <v>22</v>
      </c>
      <c r="D15854" s="2" t="s">
        <f>=HYPERLINK("https://main.knesset.gov.il/APPS/legislation/main/bills/2079575", "הצעת חוק עבודת נשים (תיקון - חופשת לידה לבנות זוג מאותו המין), התשע""ט-2019")</f>
        <v>30401</v>
      </c>
      <c r="E15854" t="s">
        <v>30401</v>
      </c>
      <c r="F15854" t="s">
        <v>30402</v>
      </c>
      <c r="G15854" t="s">
        <v>14</v>
      </c>
      <c r="H15854">
             </c>
      <c r="I15854" t="s">
        <v>14</v>
      </c>
      <c r="J15854" t="s">
        <v>141</v>
      </c>
      <c r="K15854" t="s">
        <v>14</v>
      </c>
      <c r="L15854" t="s">
        <v>20</v>
      </c>
      <c r="M15854" t="s">
        <v>30278</v>
      </c>
      <c r="N15854" t="s">
        <v>14</v>
      </c>
    </row>
    <row r="15855" x14ac:dyDescent="0.25">
      <c r="A15855" t="n">
        <v>21</v>
      </c>
      <c r="B15855" t="s">
        <v>14</v>
      </c>
      <c r="C15855" t="s">
        <v>22</v>
      </c>
      <c r="D15855" s="2" t="s">
        <f>=HYPERLINK("https://main.knesset.gov.il/APPS/legislation/main/bills/2078688", "הצעת חוק-יסוד: השפיטה (תיקון - הגנה על סמכויות בית המשפט העליון)")</f>
        <v>24836</v>
      </c>
      <c r="E15855" t="s">
        <v>24836</v>
      </c>
      <c r="F15855" t="s">
        <v>30403</v>
      </c>
      <c r="G15855" t="s">
        <v>14</v>
      </c>
      <c r="H15855">
             </c>
      <c r="I15855" t="s">
        <v>14</v>
      </c>
      <c r="J15855" t="s">
        <v>141</v>
      </c>
      <c r="K15855" t="s">
        <v>14</v>
      </c>
      <c r="L15855" t="s">
        <v>20</v>
      </c>
      <c r="M15855" t="s">
        <v>30278</v>
      </c>
      <c r="N15855" t="s">
        <v>14</v>
      </c>
    </row>
    <row r="15856" x14ac:dyDescent="0.25">
      <c r="A15856" t="n">
        <v>21</v>
      </c>
      <c r="B15856" t="s">
        <v>14</v>
      </c>
      <c r="C15856" t="s">
        <v>22</v>
      </c>
      <c r="D15856" s="2" t="s">
        <f>=HYPERLINK("https://main.knesset.gov.il/APPS/legislation/main/bills/2079854", "הצעת חוק הביטוח הלאומי (תיקון - דמי אבטלה למתמחים), התשע""ט-2019")</f>
        <v>30404</v>
      </c>
      <c r="E15856" t="s">
        <v>30404</v>
      </c>
      <c r="F15856" t="s">
        <v>30405</v>
      </c>
      <c r="G15856" t="s">
        <v>14</v>
      </c>
      <c r="H15856">
             </c>
      <c r="I15856" t="s">
        <v>14</v>
      </c>
      <c r="J15856" t="s">
        <v>141</v>
      </c>
      <c r="K15856" t="s">
        <v>14</v>
      </c>
      <c r="L15856" t="s">
        <v>20</v>
      </c>
      <c r="M15856" t="s">
        <v>30278</v>
      </c>
      <c r="N15856" t="s">
        <v>14</v>
      </c>
    </row>
    <row r="15857" x14ac:dyDescent="0.25">
      <c r="A15857" t="n">
        <v>21</v>
      </c>
      <c r="B15857" t="s">
        <v>14</v>
      </c>
      <c r="C15857" t="s">
        <v>22</v>
      </c>
      <c r="D15857" s="2" t="s">
        <f>=HYPERLINK("https://main.knesset.gov.il/APPS/legislation/main/bills/2079885", "הצעת חוק פיצוי לנפגעי פוליו (תיקון - הכרה באחוזי נכות של נפגע פוליו לצורך דינים אחרים), התשע""ט-2019")</f>
        <v>30406</v>
      </c>
      <c r="E15857" t="s">
        <v>30406</v>
      </c>
      <c r="F15857" t="s">
        <v>30407</v>
      </c>
      <c r="G15857" t="s">
        <v>14</v>
      </c>
      <c r="H15857">
             </c>
      <c r="I15857" t="s">
        <v>14</v>
      </c>
      <c r="J15857" t="s">
        <v>141</v>
      </c>
      <c r="K15857" t="s">
        <v>14</v>
      </c>
      <c r="L15857" t="s">
        <v>20</v>
      </c>
      <c r="M15857" t="s">
        <v>30278</v>
      </c>
      <c r="N15857" t="s">
        <v>14</v>
      </c>
    </row>
    <row r="15858" x14ac:dyDescent="0.25">
      <c r="A15858" t="n">
        <v>21</v>
      </c>
      <c r="B15858" t="s">
        <v>14</v>
      </c>
      <c r="C15858" t="s">
        <v>22</v>
      </c>
      <c r="D15858" s="2" t="s">
        <f>=HYPERLINK("https://main.knesset.gov.il/APPS/legislation/main/bills/2080030", "הצעת חוק זכות ייצוג לקטין המתנגד לאשפוז פסיכיאטרי (תיקוני חקיקה), התשע""ט-2019")</f>
        <v>30408</v>
      </c>
      <c r="E15858" t="s">
        <v>30408</v>
      </c>
      <c r="F15858" t="s">
        <v>30409</v>
      </c>
      <c r="G15858" t="s">
        <v>14</v>
      </c>
      <c r="H15858">
             </c>
      <c r="I15858" t="s">
        <v>14</v>
      </c>
      <c r="J15858" t="s">
        <v>141</v>
      </c>
      <c r="K15858" t="s">
        <v>14</v>
      </c>
      <c r="L15858" t="s">
        <v>20</v>
      </c>
      <c r="M15858" t="s">
        <v>30278</v>
      </c>
      <c r="N15858" t="s">
        <v>14</v>
      </c>
    </row>
    <row r="15859" x14ac:dyDescent="0.25">
      <c r="A15859" t="n">
        <v>21</v>
      </c>
      <c r="B15859" t="s">
        <v>14</v>
      </c>
      <c r="C15859" t="s">
        <v>22</v>
      </c>
      <c r="D15859" s="2" t="s">
        <f>=HYPERLINK("https://main.knesset.gov.il/APPS/legislation/main/bills/2079803", "הצעת חוק מגן דוד אדום (תיקון - אגרה בעד פינוי חירום שהסתיים בטיפול בשירותי רפואה מרחוק), התשע""ט-2019")</f>
        <v>30410</v>
      </c>
      <c r="E15859" t="s">
        <v>30410</v>
      </c>
      <c r="F15859" t="s">
        <v>30411</v>
      </c>
      <c r="G15859" t="s">
        <v>14</v>
      </c>
      <c r="H15859">
             </c>
      <c r="I15859" t="s">
        <v>14</v>
      </c>
      <c r="J15859" t="s">
        <v>141</v>
      </c>
      <c r="K15859" t="s">
        <v>14</v>
      </c>
      <c r="L15859" t="s">
        <v>20</v>
      </c>
      <c r="M15859" t="s">
        <v>30278</v>
      </c>
      <c r="N15859" t="s">
        <v>14</v>
      </c>
    </row>
    <row r="15860" x14ac:dyDescent="0.25">
      <c r="A15860" t="n">
        <v>21</v>
      </c>
      <c r="B15860" t="s">
        <v>14</v>
      </c>
      <c r="C15860" t="s">
        <v>22</v>
      </c>
      <c r="D15860" s="2" t="s">
        <f>=HYPERLINK("https://main.knesset.gov.il/APPS/legislation/main/bills/2079485", "הצעת חוק למניעת הטרדה מינית (תיקון - הטלת חובות לשם מניעת הטרדה מינית במוסד חינוך), התשע""ט-2019")</f>
        <v>30412</v>
      </c>
      <c r="E15860" t="s">
        <v>30412</v>
      </c>
      <c r="F15860" t="s">
        <v>30413</v>
      </c>
      <c r="G15860" t="s">
        <v>14</v>
      </c>
      <c r="H15860">
             </c>
      <c r="I15860" t="s">
        <v>14</v>
      </c>
      <c r="J15860" t="s">
        <v>141</v>
      </c>
      <c r="K15860" t="s">
        <v>14</v>
      </c>
      <c r="L15860" t="s">
        <v>20</v>
      </c>
      <c r="M15860" t="s">
        <v>30278</v>
      </c>
      <c r="N15860" t="s">
        <v>14</v>
      </c>
    </row>
    <row r="15861" x14ac:dyDescent="0.25">
      <c r="A15861" t="n">
        <v>21</v>
      </c>
      <c r="B15861" t="s">
        <v>14</v>
      </c>
      <c r="C15861" t="s">
        <v>22</v>
      </c>
      <c r="D15861" s="2" t="s">
        <f>=HYPERLINK("https://main.knesset.gov.il/APPS/legislation/main/bills/2079498", "הצעת חוק המועצות האזוריות (בחירת ראש המועצה) (תיקון - הגשת רשימה על ידי סיעה או מפלגה), התשע""ט-2019")</f>
        <v>30414</v>
      </c>
      <c r="E15861" t="s">
        <v>30414</v>
      </c>
      <c r="F15861" t="s">
        <v>30415</v>
      </c>
      <c r="G15861" t="s">
        <v>14</v>
      </c>
      <c r="H15861">
             </c>
      <c r="I15861" t="s">
        <v>14</v>
      </c>
      <c r="J15861" t="s">
        <v>141</v>
      </c>
      <c r="K15861" t="s">
        <v>14</v>
      </c>
      <c r="L15861" t="s">
        <v>20</v>
      </c>
      <c r="M15861" t="s">
        <v>30278</v>
      </c>
      <c r="N15861" t="s">
        <v>14</v>
      </c>
    </row>
    <row r="15862" x14ac:dyDescent="0.25">
      <c r="A15862" t="n">
        <v>21</v>
      </c>
      <c r="B15862" t="s">
        <v>14</v>
      </c>
      <c r="C15862" t="s">
        <v>22</v>
      </c>
      <c r="D15862" s="2" t="s">
        <f>=HYPERLINK("https://main.knesset.gov.il/APPS/legislation/main/bills/2079553", "הצעת חוק הביטוח הלאומי (תיקון - מענק לידה אחיד בעד ילד שני ואילך), התשע""ט-2019")</f>
        <v>30416</v>
      </c>
      <c r="E15862" t="s">
        <v>30416</v>
      </c>
      <c r="F15862" t="s">
        <v>30417</v>
      </c>
      <c r="G15862" t="s">
        <v>14</v>
      </c>
      <c r="H15862">
             </c>
      <c r="I15862" t="s">
        <v>14</v>
      </c>
      <c r="J15862" t="s">
        <v>141</v>
      </c>
      <c r="K15862" t="s">
        <v>14</v>
      </c>
      <c r="L15862" t="s">
        <v>20</v>
      </c>
      <c r="M15862" t="s">
        <v>30278</v>
      </c>
      <c r="N15862" t="s">
        <v>14</v>
      </c>
    </row>
    <row r="15863" x14ac:dyDescent="0.25">
      <c r="A15863" t="n">
        <v>21</v>
      </c>
      <c r="B15863" t="s">
        <v>14</v>
      </c>
      <c r="C15863" t="s">
        <v>22</v>
      </c>
      <c r="D15863" s="2" t="s">
        <f>=HYPERLINK("https://main.knesset.gov.il/APPS/legislation/main/bills/2079552", "הצעת חוק לתיקון פקודת העיריות (הוספת ועדה לקידום מעמד האישה), התשע""ט-2019")</f>
        <v>30418</v>
      </c>
      <c r="E15863" t="s">
        <v>30418</v>
      </c>
      <c r="F15863" t="s">
        <v>30419</v>
      </c>
      <c r="G15863" t="s">
        <v>14</v>
      </c>
      <c r="H15863">
             </c>
      <c r="I15863" t="s">
        <v>14</v>
      </c>
      <c r="J15863" t="s">
        <v>141</v>
      </c>
      <c r="K15863" t="s">
        <v>14</v>
      </c>
      <c r="L15863" t="s">
        <v>20</v>
      </c>
      <c r="M15863" t="s">
        <v>30278</v>
      </c>
      <c r="N15863" t="s">
        <v>14</v>
      </c>
    </row>
    <row r="15864" x14ac:dyDescent="0.25">
      <c r="A15864" t="n">
        <v>21</v>
      </c>
      <c r="B15864" t="s">
        <v>14</v>
      </c>
      <c r="C15864" t="s">
        <v>22</v>
      </c>
      <c r="D15864" s="2" t="s">
        <f>=HYPERLINK("https://main.knesset.gov.il/APPS/legislation/main/bills/2078843", "הצעת חוק זכות ייצוג לקטין המתנגד לאשפוז פסיכיאטרי (תיקוני חקיקה), התשע""ט-2019")</f>
        <v>30408</v>
      </c>
      <c r="E15864" t="s">
        <v>30408</v>
      </c>
      <c r="F15864" t="s">
        <v>30420</v>
      </c>
      <c r="G15864" t="s">
        <v>14</v>
      </c>
      <c r="H15864">
             </c>
      <c r="I15864" t="s">
        <v>14</v>
      </c>
      <c r="J15864" t="s">
        <v>141</v>
      </c>
      <c r="K15864" t="s">
        <v>14</v>
      </c>
      <c r="L15864" t="s">
        <v>20</v>
      </c>
      <c r="M15864" t="s">
        <v>30278</v>
      </c>
      <c r="N15864" t="s">
        <v>14</v>
      </c>
    </row>
    <row r="15865" x14ac:dyDescent="0.25">
      <c r="A15865" t="n">
        <v>21</v>
      </c>
      <c r="B15865" t="s">
        <v>14</v>
      </c>
      <c r="C15865" t="s">
        <v>22</v>
      </c>
      <c r="D15865" s="2" t="s">
        <f>=HYPERLINK("https://main.knesset.gov.il/APPS/legislation/main/bills/2079544", "הצעת חוק עסקאות גופים ציבוריים (תיקון - איסור על התקשרות קבלנית להעסקת עובדים), התשע""ט-2019")</f>
        <v>30421</v>
      </c>
      <c r="E15865" t="s">
        <v>30421</v>
      </c>
      <c r="F15865" t="s">
        <v>30422</v>
      </c>
      <c r="G15865" t="s">
        <v>14</v>
      </c>
      <c r="H15865">
             </c>
      <c r="I15865" t="s">
        <v>14</v>
      </c>
      <c r="J15865" t="s">
        <v>141</v>
      </c>
      <c r="K15865" t="s">
        <v>14</v>
      </c>
      <c r="L15865" t="s">
        <v>20</v>
      </c>
      <c r="M15865" t="s">
        <v>30278</v>
      </c>
      <c r="N15865" t="s">
        <v>14</v>
      </c>
    </row>
    <row r="15866" x14ac:dyDescent="0.25">
      <c r="A15866" t="n">
        <v>21</v>
      </c>
      <c r="B15866" t="s">
        <v>14</v>
      </c>
      <c r="C15866" t="s">
        <v>22</v>
      </c>
      <c r="D15866" s="2" t="s">
        <f>=HYPERLINK("https://main.knesset.gov.il/APPS/legislation/main/bills/2078888", "הצעת חוק שירות ביטחון (תיקון - עיון חוזר בפטור מטעמי הכרה דתית שהושג במרמה), התשע""ט-2019")</f>
        <v>30423</v>
      </c>
      <c r="E15866" t="s">
        <v>30423</v>
      </c>
      <c r="F15866" t="s">
        <v>30424</v>
      </c>
      <c r="G15866" t="s">
        <v>14</v>
      </c>
      <c r="H15866">
             </c>
      <c r="I15866" t="s">
        <v>14</v>
      </c>
      <c r="J15866" t="s">
        <v>141</v>
      </c>
      <c r="K15866" t="s">
        <v>14</v>
      </c>
      <c r="L15866" t="s">
        <v>20</v>
      </c>
      <c r="M15866" t="s">
        <v>30278</v>
      </c>
      <c r="N15866" t="s">
        <v>14</v>
      </c>
    </row>
    <row r="15867" x14ac:dyDescent="0.25">
      <c r="A15867" t="n">
        <v>21</v>
      </c>
      <c r="B15867" t="s">
        <v>14</v>
      </c>
      <c r="C15867" t="s">
        <v>22</v>
      </c>
      <c r="D15867" s="2" t="s">
        <f>=HYPERLINK("https://main.knesset.gov.il/APPS/legislation/main/bills/2079549", "הצעת חוק שוויון ההזדמנויות בעבודה (תיקון - איסור הפליה על רקע זהות מגדרית), התשע""ט-2019")</f>
        <v>30425</v>
      </c>
      <c r="E15867" t="s">
        <v>30425</v>
      </c>
      <c r="F15867" t="s">
        <v>30426</v>
      </c>
      <c r="G15867" t="s">
        <v>14</v>
      </c>
      <c r="H15867">
             </c>
      <c r="I15867" t="s">
        <v>14</v>
      </c>
      <c r="J15867" t="s">
        <v>141</v>
      </c>
      <c r="K15867" t="s">
        <v>14</v>
      </c>
      <c r="L15867" t="s">
        <v>20</v>
      </c>
      <c r="M15867" t="s">
        <v>30278</v>
      </c>
      <c r="N15867" t="s">
        <v>14</v>
      </c>
    </row>
    <row r="15868" x14ac:dyDescent="0.25">
      <c r="A15868" t="n">
        <v>21</v>
      </c>
      <c r="B15868" t="s">
        <v>14</v>
      </c>
      <c r="C15868" t="s">
        <v>22</v>
      </c>
      <c r="D15868" s="2" t="s">
        <f>=HYPERLINK("https://main.knesset.gov.il/APPS/legislation/main/bills/2079548", "הצעת חוק שירות ביטחון (תיקון - מקדמת גיוס לחיילים בשירות חובה), התשע""ט-2019")</f>
        <v>30427</v>
      </c>
      <c r="E15868" t="s">
        <v>30427</v>
      </c>
      <c r="F15868" t="s">
        <v>30428</v>
      </c>
      <c r="G15868" t="s">
        <v>14</v>
      </c>
      <c r="H15868">
             </c>
      <c r="I15868" t="s">
        <v>14</v>
      </c>
      <c r="J15868" t="s">
        <v>141</v>
      </c>
      <c r="K15868" t="s">
        <v>14</v>
      </c>
      <c r="L15868" t="s">
        <v>20</v>
      </c>
      <c r="M15868" t="s">
        <v>30278</v>
      </c>
      <c r="N15868" t="s">
        <v>14</v>
      </c>
    </row>
    <row r="15869" x14ac:dyDescent="0.25">
      <c r="A15869" t="n">
        <v>21</v>
      </c>
      <c r="B15869" t="s">
        <v>14</v>
      </c>
      <c r="C15869" t="s">
        <v>22</v>
      </c>
      <c r="D15869" s="2" t="s">
        <f>=HYPERLINK("https://main.knesset.gov.il/APPS/legislation/main/bills/2079547", "הצעת חוק שירות ביטחון (תיקון - ביטול הצבת חיילים בשירות חובה ביחידות אחרות של משטרת ישראל ובשירות בתי הסוהר), התשע""ט-2019")</f>
        <v>30429</v>
      </c>
      <c r="E15869" t="s">
        <v>30429</v>
      </c>
      <c r="F15869" t="s">
        <v>30430</v>
      </c>
      <c r="G15869" t="s">
        <v>14</v>
      </c>
      <c r="H15869">
             </c>
      <c r="I15869" t="s">
        <v>14</v>
      </c>
      <c r="J15869" t="s">
        <v>141</v>
      </c>
      <c r="K15869" t="s">
        <v>14</v>
      </c>
      <c r="L15869" t="s">
        <v>20</v>
      </c>
      <c r="M15869" t="s">
        <v>30278</v>
      </c>
      <c r="N15869" t="s">
        <v>14</v>
      </c>
    </row>
    <row r="15870" x14ac:dyDescent="0.25">
      <c r="A15870" t="n">
        <v>21</v>
      </c>
      <c r="B15870" t="s">
        <v>14</v>
      </c>
      <c r="C15870" t="s">
        <v>22</v>
      </c>
      <c r="D15870" s="2" t="s">
        <f>=HYPERLINK("https://main.knesset.gov.il/APPS/legislation/main/bills/2078929", "הצעת חוק שירות אזרחי-ביטחוני (תיקוני חקיקה), התשע""ט-2019")</f>
        <v>30431</v>
      </c>
      <c r="E15870" t="s">
        <v>30431</v>
      </c>
      <c r="F15870" t="s">
        <v>30432</v>
      </c>
      <c r="G15870" t="s">
        <v>14</v>
      </c>
      <c r="H15870">
             </c>
      <c r="I15870" t="s">
        <v>14</v>
      </c>
      <c r="J15870" t="s">
        <v>141</v>
      </c>
      <c r="K15870" t="s">
        <v>14</v>
      </c>
      <c r="L15870" t="s">
        <v>20</v>
      </c>
      <c r="M15870" t="s">
        <v>30278</v>
      </c>
      <c r="N15870" t="s">
        <v>14</v>
      </c>
    </row>
    <row r="15871" x14ac:dyDescent="0.25">
      <c r="A15871" t="n">
        <v>21</v>
      </c>
      <c r="B15871" t="s">
        <v>14</v>
      </c>
      <c r="C15871" t="s">
        <v>22</v>
      </c>
      <c r="D15871" s="2" t="s">
        <f>=HYPERLINK("https://main.knesset.gov.il/APPS/legislation/main/bills/2079546", "הצעת חוק הביטוח הלאומי (תיקון - פטור מתשלום דמי ביטוח לתלמיד על יסודי), התשע""ט-2019")</f>
        <v>30433</v>
      </c>
      <c r="E15871" t="s">
        <v>30433</v>
      </c>
      <c r="F15871" t="s">
        <v>30434</v>
      </c>
      <c r="G15871" t="s">
        <v>14</v>
      </c>
      <c r="H15871">
             </c>
      <c r="I15871" t="s">
        <v>14</v>
      </c>
      <c r="J15871" t="s">
        <v>141</v>
      </c>
      <c r="K15871" t="s">
        <v>14</v>
      </c>
      <c r="L15871" t="s">
        <v>20</v>
      </c>
      <c r="M15871" t="s">
        <v>30278</v>
      </c>
      <c r="N15871" t="s">
        <v>14</v>
      </c>
    </row>
    <row r="15872" x14ac:dyDescent="0.25">
      <c r="A15872" t="n">
        <v>21</v>
      </c>
      <c r="B15872" t="s">
        <v>14</v>
      </c>
      <c r="C15872" t="s">
        <v>22</v>
      </c>
      <c r="D15872" s="2" t="s">
        <f>=HYPERLINK("https://main.knesset.gov.il/APPS/legislation/main/bills/2079322", "הצעת חוק לתיקון פקודת המשטרה (התאגדות שוטרים), התשע""ט-2019")</f>
        <v>30435</v>
      </c>
      <c r="E15872" t="s">
        <v>30435</v>
      </c>
      <c r="F15872" t="s">
        <v>30436</v>
      </c>
      <c r="G15872" t="s">
        <v>14</v>
      </c>
      <c r="H15872">
             </c>
      <c r="I15872" t="s">
        <v>14</v>
      </c>
      <c r="J15872" t="s">
        <v>141</v>
      </c>
      <c r="K15872" t="s">
        <v>14</v>
      </c>
      <c r="L15872" t="s">
        <v>20</v>
      </c>
      <c r="M15872" t="s">
        <v>30278</v>
      </c>
      <c r="N15872" t="s">
        <v>14</v>
      </c>
    </row>
    <row r="15873" x14ac:dyDescent="0.25">
      <c r="A15873" t="n">
        <v>21</v>
      </c>
      <c r="B15873" t="s">
        <v>14</v>
      </c>
      <c r="C15873" t="s">
        <v>22</v>
      </c>
      <c r="D15873" s="2" t="s">
        <f>=HYPERLINK("https://main.knesset.gov.il/APPS/legislation/main/bills/2079541", "הצעת חוק הרשויות המקומיות (משמעת) (תיקון - תחולה על עובדי תאגיד עירוני), התשע""ט-2019")</f>
        <v>30437</v>
      </c>
      <c r="E15873" t="s">
        <v>30437</v>
      </c>
      <c r="F15873" t="s">
        <v>30438</v>
      </c>
      <c r="G15873" t="s">
        <v>14</v>
      </c>
      <c r="H15873">
             </c>
      <c r="I15873" t="s">
        <v>14</v>
      </c>
      <c r="J15873" t="s">
        <v>141</v>
      </c>
      <c r="K15873" t="s">
        <v>14</v>
      </c>
      <c r="L15873" t="s">
        <v>20</v>
      </c>
      <c r="M15873" t="s">
        <v>30278</v>
      </c>
      <c r="N15873" t="s">
        <v>14</v>
      </c>
    </row>
    <row r="15874" x14ac:dyDescent="0.25">
      <c r="A15874" t="n">
        <v>21</v>
      </c>
      <c r="B15874" t="s">
        <v>14</v>
      </c>
      <c r="C15874" t="s">
        <v>22</v>
      </c>
      <c r="D15874" s="2" t="s">
        <f>=HYPERLINK("https://main.knesset.gov.il/APPS/legislation/main/bills/2079127", "הצעת חוק הוועדה להשקעות זרות, התשע""ט-2019")</f>
        <v>30439</v>
      </c>
      <c r="E15874" t="s">
        <v>30439</v>
      </c>
      <c r="F15874" t="s">
        <v>30440</v>
      </c>
      <c r="G15874" t="s">
        <v>14</v>
      </c>
      <c r="H15874">
             </c>
      <c r="I15874" t="s">
        <v>14</v>
      </c>
      <c r="J15874" t="s">
        <v>141</v>
      </c>
      <c r="K15874" t="s">
        <v>14</v>
      </c>
      <c r="L15874" t="s">
        <v>20</v>
      </c>
      <c r="M15874" t="s">
        <v>30278</v>
      </c>
      <c r="N15874" t="s">
        <v>14</v>
      </c>
    </row>
    <row r="15875" x14ac:dyDescent="0.25">
      <c r="A15875" t="n">
        <v>21</v>
      </c>
      <c r="B15875" t="s">
        <v>14</v>
      </c>
      <c r="C15875" t="s">
        <v>22</v>
      </c>
      <c r="D15875" s="2" t="s">
        <f>=HYPERLINK("https://main.knesset.gov.il/APPS/legislation/main/bills/2078636", "הצעת חוק הסכמים לנשיאת עוברים (אישור הסכם ומעמד היילוד) (תיקון - הרחבת הזכאות להליכי נשיאת עוברים), התשע""ט-2019")</f>
        <v>30441</v>
      </c>
      <c r="E15875" t="s">
        <v>30441</v>
      </c>
      <c r="F15875" t="s">
        <v>30442</v>
      </c>
      <c r="G15875" t="s">
        <v>14</v>
      </c>
      <c r="H15875">
             </c>
      <c r="I15875" t="s">
        <v>14</v>
      </c>
      <c r="J15875" t="s">
        <v>141</v>
      </c>
      <c r="K15875" t="s">
        <v>14</v>
      </c>
      <c r="L15875" t="s">
        <v>20</v>
      </c>
      <c r="M15875" t="s">
        <v>30278</v>
      </c>
      <c r="N15875" t="s">
        <v>14</v>
      </c>
    </row>
    <row r="15876" x14ac:dyDescent="0.25">
      <c r="A15876" t="n">
        <v>21</v>
      </c>
      <c r="B15876" t="s">
        <v>14</v>
      </c>
      <c r="C15876" t="s">
        <v>22</v>
      </c>
      <c r="D15876" s="2" t="s">
        <f>=HYPERLINK("https://main.knesset.gov.il/APPS/legislation/main/bills/2079539", "הצעת חוק הרשויות המקומיות (בחירות) (תיקון - הגבלת הזכות להיבחר בשל כתב אישום), התשע""ט-2019")</f>
        <v>30443</v>
      </c>
      <c r="E15876" t="s">
        <v>30443</v>
      </c>
      <c r="F15876" t="s">
        <v>30444</v>
      </c>
      <c r="G15876" t="s">
        <v>14</v>
      </c>
      <c r="H15876">
             </c>
      <c r="I15876" t="s">
        <v>14</v>
      </c>
      <c r="J15876" t="s">
        <v>141</v>
      </c>
      <c r="K15876" t="s">
        <v>14</v>
      </c>
      <c r="L15876" t="s">
        <v>20</v>
      </c>
      <c r="M15876" t="s">
        <v>30278</v>
      </c>
      <c r="N15876" t="s">
        <v>14</v>
      </c>
    </row>
    <row r="15877" x14ac:dyDescent="0.25">
      <c r="A15877" t="n">
        <v>21</v>
      </c>
      <c r="B15877" t="s">
        <v>14</v>
      </c>
      <c r="C15877" t="s">
        <v>22</v>
      </c>
      <c r="D15877" s="2" t="s">
        <f>=HYPERLINK("https://main.knesset.gov.il/APPS/legislation/main/bills/2079252", "הצעת חוק הביטוח הלאומי (תיקון - זכאות לדמי אבטלה לעובד שהתפטר לשם טיפול בילדו), התשע""ט-2019")</f>
        <v>30445</v>
      </c>
      <c r="E15877" t="s">
        <v>30445</v>
      </c>
      <c r="F15877" t="s">
        <v>30446</v>
      </c>
      <c r="G15877" t="s">
        <v>14</v>
      </c>
      <c r="H15877">
             </c>
      <c r="I15877" t="s">
        <v>14</v>
      </c>
      <c r="J15877" t="s">
        <v>141</v>
      </c>
      <c r="K15877" t="s">
        <v>14</v>
      </c>
      <c r="L15877" t="s">
        <v>20</v>
      </c>
      <c r="M15877" t="s">
        <v>30278</v>
      </c>
      <c r="N15877" t="s">
        <v>14</v>
      </c>
    </row>
    <row r="15878" x14ac:dyDescent="0.25">
      <c r="A15878" t="n">
        <v>21</v>
      </c>
      <c r="B15878" t="s">
        <v>14</v>
      </c>
      <c r="C15878" t="s">
        <v>22</v>
      </c>
      <c r="D15878" s="2" t="s">
        <f>=HYPERLINK("https://main.knesset.gov.il/APPS/legislation/main/bills/2079531", "הצעת חוק שוויון ההזדמנויות בעבודה (תיקון - נקיטת אמצעים בידי מעסיק), התשע""ט-2019")</f>
        <v>30447</v>
      </c>
      <c r="E15878" t="s">
        <v>30447</v>
      </c>
      <c r="F15878" t="s">
        <v>30448</v>
      </c>
      <c r="G15878" t="s">
        <v>14</v>
      </c>
      <c r="H15878">
             </c>
      <c r="I15878" t="s">
        <v>14</v>
      </c>
      <c r="J15878" t="s">
        <v>141</v>
      </c>
      <c r="K15878" t="s">
        <v>14</v>
      </c>
      <c r="L15878" t="s">
        <v>20</v>
      </c>
      <c r="M15878" t="s">
        <v>30278</v>
      </c>
      <c r="N15878" t="s">
        <v>14</v>
      </c>
    </row>
    <row r="15879" x14ac:dyDescent="0.25">
      <c r="A15879" t="n">
        <v>21</v>
      </c>
      <c r="B15879" t="s">
        <v>14</v>
      </c>
      <c r="C15879" t="s">
        <v>22</v>
      </c>
      <c r="D15879" s="2" t="s">
        <f>=HYPERLINK("https://main.knesset.gov.il/APPS/legislation/main/bills/2079529", "הצעת חוק העסקת עובדים על ידי קבלני כוח אדם (תיקון - ביטול החוק), התשע""ט-2019")</f>
        <v>30449</v>
      </c>
      <c r="E15879" t="s">
        <v>30449</v>
      </c>
      <c r="F15879" t="s">
        <v>30450</v>
      </c>
      <c r="G15879" t="s">
        <v>14</v>
      </c>
      <c r="H15879">
             </c>
      <c r="I15879" t="s">
        <v>14</v>
      </c>
      <c r="J15879" t="s">
        <v>141</v>
      </c>
      <c r="K15879" t="s">
        <v>14</v>
      </c>
      <c r="L15879" t="s">
        <v>20</v>
      </c>
      <c r="M15879" t="s">
        <v>30278</v>
      </c>
      <c r="N15879" t="s">
        <v>14</v>
      </c>
    </row>
    <row r="15880" x14ac:dyDescent="0.25">
      <c r="A15880" t="n">
        <v>21</v>
      </c>
      <c r="B15880" t="s">
        <v>14</v>
      </c>
      <c r="C15880" t="s">
        <v>22</v>
      </c>
      <c r="D15880" s="2" t="s">
        <f>=HYPERLINK("https://main.knesset.gov.il/APPS/legislation/main/bills/2079526", "הצעת חוק הבטחת הכנסה (תיקון - מסגרת שיקומית מזנות), התשע""ט-2019")</f>
        <v>30451</v>
      </c>
      <c r="E15880" t="s">
        <v>30451</v>
      </c>
      <c r="F15880" t="s">
        <v>30452</v>
      </c>
      <c r="G15880" t="s">
        <v>14</v>
      </c>
      <c r="H15880">
             </c>
      <c r="I15880" t="s">
        <v>14</v>
      </c>
      <c r="J15880" t="s">
        <v>141</v>
      </c>
      <c r="K15880" t="s">
        <v>14</v>
      </c>
      <c r="L15880" t="s">
        <v>20</v>
      </c>
      <c r="M15880" t="s">
        <v>30278</v>
      </c>
      <c r="N15880" t="s">
        <v>14</v>
      </c>
    </row>
    <row r="15881" x14ac:dyDescent="0.25">
      <c r="A15881" t="n">
        <v>21</v>
      </c>
      <c r="B15881" t="s">
        <v>14</v>
      </c>
      <c r="C15881" t="s">
        <v>22</v>
      </c>
      <c r="D15881" s="2" t="s">
        <f>=HYPERLINK("https://main.knesset.gov.il/APPS/legislation/main/bills/2079517", "הצעת חוק עבודת נשים (תיקון - תקופת לידה והורות מדורגת), התשע""ט-2019")</f>
        <v>30453</v>
      </c>
      <c r="E15881" t="s">
        <v>30453</v>
      </c>
      <c r="F15881" t="s">
        <v>30454</v>
      </c>
      <c r="G15881" t="s">
        <v>14</v>
      </c>
      <c r="H15881">
             </c>
      <c r="I15881" t="s">
        <v>14</v>
      </c>
      <c r="J15881" t="s">
        <v>141</v>
      </c>
      <c r="K15881" t="s">
        <v>14</v>
      </c>
      <c r="L15881" t="s">
        <v>20</v>
      </c>
      <c r="M15881" t="s">
        <v>30278</v>
      </c>
      <c r="N15881" t="s">
        <v>14</v>
      </c>
    </row>
    <row r="15882" x14ac:dyDescent="0.25">
      <c r="A15882" t="n">
        <v>21</v>
      </c>
      <c r="B15882" t="s">
        <v>14</v>
      </c>
      <c r="C15882" t="s">
        <v>22</v>
      </c>
      <c r="D15882" s="2" t="s">
        <f>=HYPERLINK("https://main.knesset.gov.il/APPS/legislation/main/bills/2079513", "הצעת חוק השתלת אברים (תיקון - שינוי ברירת המחדל), התשע""ט-2019")</f>
        <v>30455</v>
      </c>
      <c r="E15882" t="s">
        <v>30455</v>
      </c>
      <c r="F15882" t="s">
        <v>30456</v>
      </c>
      <c r="G15882" t="s">
        <v>14</v>
      </c>
      <c r="H15882">
             </c>
      <c r="I15882" t="s">
        <v>14</v>
      </c>
      <c r="J15882" t="s">
        <v>141</v>
      </c>
      <c r="K15882" t="s">
        <v>14</v>
      </c>
      <c r="L15882" t="s">
        <v>20</v>
      </c>
      <c r="M15882" t="s">
        <v>30278</v>
      </c>
      <c r="N15882" t="s">
        <v>14</v>
      </c>
    </row>
    <row r="15883" x14ac:dyDescent="0.25">
      <c r="A15883" t="n">
        <v>21</v>
      </c>
      <c r="B15883" t="s">
        <v>14</v>
      </c>
      <c r="C15883" t="s">
        <v>22</v>
      </c>
      <c r="D15883" s="2" t="s">
        <f>=HYPERLINK("https://main.knesset.gov.il/APPS/legislation/main/bills/2079492", "הצעת חוק האגודות העותומניות (רישום ופיקוח), התשע""ט-2019")</f>
        <v>30457</v>
      </c>
      <c r="E15883" t="s">
        <v>30457</v>
      </c>
      <c r="F15883" t="s">
        <v>30458</v>
      </c>
      <c r="G15883" t="s">
        <v>14</v>
      </c>
      <c r="H15883">
             </c>
      <c r="I15883" t="s">
        <v>14</v>
      </c>
      <c r="J15883" t="s">
        <v>141</v>
      </c>
      <c r="K15883" t="s">
        <v>14</v>
      </c>
      <c r="L15883" t="s">
        <v>20</v>
      </c>
      <c r="M15883" t="s">
        <v>30278</v>
      </c>
      <c r="N15883" t="s">
        <v>14</v>
      </c>
    </row>
    <row r="15884" x14ac:dyDescent="0.25">
      <c r="A15884" t="n">
        <v>21</v>
      </c>
      <c r="B15884" t="s">
        <v>14</v>
      </c>
      <c r="C15884" t="s">
        <v>22</v>
      </c>
      <c r="D15884" s="2" t="s">
        <f>=HYPERLINK("https://main.knesset.gov.il/APPS/legislation/main/bills/2078972", "הצעת חוק הפסיכולוגים (תיקון - איסור טיפולי המרה), התשע""ט-2019")</f>
        <v>30459</v>
      </c>
      <c r="E15884" t="s">
        <v>30459</v>
      </c>
      <c r="F15884" t="s">
        <v>30460</v>
      </c>
      <c r="G15884" t="s">
        <v>14</v>
      </c>
      <c r="H15884">
             </c>
      <c r="I15884" t="s">
        <v>14</v>
      </c>
      <c r="J15884" t="s">
        <v>141</v>
      </c>
      <c r="K15884" t="s">
        <v>14</v>
      </c>
      <c r="L15884" t="s">
        <v>20</v>
      </c>
      <c r="M15884" t="s">
        <v>30278</v>
      </c>
      <c r="N15884" t="s">
        <v>14</v>
      </c>
    </row>
    <row r="15885" x14ac:dyDescent="0.25">
      <c r="A15885" t="n">
        <v>21</v>
      </c>
      <c r="B15885" t="s">
        <v>14</v>
      </c>
      <c r="C15885" t="s">
        <v>22</v>
      </c>
      <c r="D15885" s="2" t="s">
        <f>=HYPERLINK("https://main.knesset.gov.il/APPS/legislation/main/bills/2078913", "הצעת חוק עבודת נשים (תיקון - הארכת הגנה מפני פיטורים לעובדות לאחר לידה), התשע""ט-2019")</f>
        <v>30461</v>
      </c>
      <c r="E15885" t="s">
        <v>30461</v>
      </c>
      <c r="F15885" t="s">
        <v>30462</v>
      </c>
      <c r="G15885" t="s">
        <v>14</v>
      </c>
      <c r="H15885">
             </c>
      <c r="I15885" t="s">
        <v>14</v>
      </c>
      <c r="J15885" t="s">
        <v>141</v>
      </c>
      <c r="K15885" t="s">
        <v>14</v>
      </c>
      <c r="L15885" t="s">
        <v>20</v>
      </c>
      <c r="M15885" t="s">
        <v>30278</v>
      </c>
      <c r="N15885" t="s">
        <v>14</v>
      </c>
    </row>
    <row r="15886" x14ac:dyDescent="0.25">
      <c r="A15886" t="n">
        <v>21</v>
      </c>
      <c r="B15886" t="s">
        <v>14</v>
      </c>
      <c r="C15886" t="s">
        <v>22</v>
      </c>
      <c r="D15886" s="2" t="s">
        <f>=HYPERLINK("https://main.knesset.gov.il/APPS/legislation/main/bills/2078649", "הצעת חוק שכר מינימום (תיקון - שכר מינימום לשעה), התשע""ט-2019")</f>
        <v>30463</v>
      </c>
      <c r="E15886" t="s">
        <v>30463</v>
      </c>
      <c r="F15886" t="s">
        <v>30464</v>
      </c>
      <c r="G15886" t="s">
        <v>14</v>
      </c>
      <c r="H15886">
             </c>
      <c r="I15886" t="s">
        <v>14</v>
      </c>
      <c r="J15886" t="s">
        <v>141</v>
      </c>
      <c r="K15886" t="s">
        <v>14</v>
      </c>
      <c r="L15886" t="s">
        <v>20</v>
      </c>
      <c r="M15886" t="s">
        <v>30278</v>
      </c>
      <c r="N15886" t="s">
        <v>14</v>
      </c>
    </row>
    <row r="15887" x14ac:dyDescent="0.25">
      <c r="A15887" t="n">
        <v>21</v>
      </c>
      <c r="B15887" t="s">
        <v>14</v>
      </c>
      <c r="C15887" t="s">
        <v>22</v>
      </c>
      <c r="D15887" s="2" t="s">
        <f>=HYPERLINK("https://main.knesset.gov.il/APPS/legislation/main/bills/2079454", "הצעת חוק האגודות העותומניות (רישום ופיקוח), התשע""ט-2019")</f>
        <v>30457</v>
      </c>
      <c r="E15887" t="s">
        <v>30457</v>
      </c>
      <c r="F15887" t="s">
        <v>30465</v>
      </c>
      <c r="G15887" t="s">
        <v>14</v>
      </c>
      <c r="H15887">
             </c>
      <c r="I15887" t="s">
        <v>14</v>
      </c>
      <c r="J15887" t="s">
        <v>141</v>
      </c>
      <c r="K15887" t="s">
        <v>14</v>
      </c>
      <c r="L15887" t="s">
        <v>20</v>
      </c>
      <c r="M15887" t="s">
        <v>30278</v>
      </c>
      <c r="N15887" t="s">
        <v>14</v>
      </c>
    </row>
    <row r="15888" x14ac:dyDescent="0.25">
      <c r="A15888" t="n">
        <v>21</v>
      </c>
      <c r="B15888" t="s">
        <v>14</v>
      </c>
      <c r="C15888" t="s">
        <v>22</v>
      </c>
      <c r="D15888" s="2" t="s">
        <f>=HYPERLINK("https://main.knesset.gov.il/APPS/legislation/main/bills/2079497", "הצעת חוק זכויות הסטודנט (תיקון - התאמות לסטודנטית לאחר לידה), התשע""ט-2019")</f>
        <v>30466</v>
      </c>
      <c r="E15888" t="s">
        <v>30466</v>
      </c>
      <c r="F15888" t="s">
        <v>30467</v>
      </c>
      <c r="G15888" t="s">
        <v>14</v>
      </c>
      <c r="H15888">
             </c>
      <c r="I15888" t="s">
        <v>14</v>
      </c>
      <c r="J15888" t="s">
        <v>141</v>
      </c>
      <c r="K15888" t="s">
        <v>14</v>
      </c>
      <c r="L15888" t="s">
        <v>20</v>
      </c>
      <c r="M15888" t="s">
        <v>30278</v>
      </c>
      <c r="N15888" t="s">
        <v>14</v>
      </c>
    </row>
    <row r="15889" x14ac:dyDescent="0.25">
      <c r="A15889" t="n">
        <v>21</v>
      </c>
      <c r="B15889" t="s">
        <v>14</v>
      </c>
      <c r="C15889" t="s">
        <v>22</v>
      </c>
      <c r="D15889" s="2" t="s">
        <f>=HYPERLINK("https://main.knesset.gov.il/APPS/legislation/main/bills/2079115", "הצעת חוק האגודות העותומניות (רישום ופיקוח), התשע""ט-2019")</f>
        <v>30457</v>
      </c>
      <c r="E15889" t="s">
        <v>30457</v>
      </c>
      <c r="F15889" t="s">
        <v>30468</v>
      </c>
      <c r="G15889" t="s">
        <v>14</v>
      </c>
      <c r="H15889">
             </c>
      <c r="I15889" t="s">
        <v>14</v>
      </c>
      <c r="J15889" t="s">
        <v>141</v>
      </c>
      <c r="K15889" t="s">
        <v>14</v>
      </c>
      <c r="L15889" t="s">
        <v>20</v>
      </c>
      <c r="M15889" t="s">
        <v>30278</v>
      </c>
      <c r="N15889" t="s">
        <v>14</v>
      </c>
    </row>
    <row r="15890" x14ac:dyDescent="0.25">
      <c r="A15890" t="n">
        <v>21</v>
      </c>
      <c r="B15890" t="s">
        <v>14</v>
      </c>
      <c r="C15890" t="s">
        <v>22</v>
      </c>
      <c r="D15890" s="2" t="s">
        <f>=HYPERLINK("https://main.knesset.gov.il/APPS/legislation/main/bills/2078607", "הצעת חוק האגודות העותומניות (רישום ופיקוח), התשע""ט-2019")</f>
        <v>30457</v>
      </c>
      <c r="E15890" t="s">
        <v>30457</v>
      </c>
      <c r="F15890" t="s">
        <v>30469</v>
      </c>
      <c r="G15890" t="s">
        <v>14</v>
      </c>
      <c r="H15890">
             </c>
      <c r="I15890" t="s">
        <v>14</v>
      </c>
      <c r="J15890" t="s">
        <v>141</v>
      </c>
      <c r="K15890" t="s">
        <v>14</v>
      </c>
      <c r="L15890" t="s">
        <v>20</v>
      </c>
      <c r="M15890" t="s">
        <v>30278</v>
      </c>
      <c r="N15890" t="s">
        <v>14</v>
      </c>
    </row>
    <row r="15891" x14ac:dyDescent="0.25">
      <c r="A15891" t="n">
        <v>21</v>
      </c>
      <c r="B15891" t="s">
        <v>14</v>
      </c>
      <c r="C15891" t="s">
        <v>22</v>
      </c>
      <c r="D15891" s="2" t="s">
        <f>=HYPERLINK("https://main.knesset.gov.il/APPS/legislation/main/bills/2079491", "הצעת חוק לתיקון פקודת הכלבת (בידוד בעלי חיים), התשע""ט-2019")</f>
        <v>30470</v>
      </c>
      <c r="E15891" t="s">
        <v>30470</v>
      </c>
      <c r="F15891" t="s">
        <v>30471</v>
      </c>
      <c r="G15891" t="s">
        <v>14</v>
      </c>
      <c r="H15891">
             </c>
      <c r="I15891" t="s">
        <v>14</v>
      </c>
      <c r="J15891" t="s">
        <v>141</v>
      </c>
      <c r="K15891" t="s">
        <v>14</v>
      </c>
      <c r="L15891" t="s">
        <v>20</v>
      </c>
      <c r="M15891" t="s">
        <v>30278</v>
      </c>
      <c r="N15891" t="s">
        <v>14</v>
      </c>
    </row>
    <row r="15892" x14ac:dyDescent="0.25">
      <c r="A15892" t="n">
        <v>21</v>
      </c>
      <c r="B15892" t="s">
        <v>14</v>
      </c>
      <c r="C15892" t="s">
        <v>22</v>
      </c>
      <c r="D15892" s="2" t="s">
        <f>=HYPERLINK("https://main.knesset.gov.il/APPS/legislation/main/bills/2078631", "הצעת חוק הפיקוח על שירותים פיננסיים (ביטוח) (תיקון - התאמת כיסוי הגרעון לגיל הפרישה לאישה), התשע""ט-2019")</f>
        <v>30472</v>
      </c>
      <c r="E15892" t="s">
        <v>30472</v>
      </c>
      <c r="F15892" t="s">
        <v>30473</v>
      </c>
      <c r="G15892" t="s">
        <v>14</v>
      </c>
      <c r="H15892">
             </c>
      <c r="I15892" t="s">
        <v>14</v>
      </c>
      <c r="J15892" t="s">
        <v>141</v>
      </c>
      <c r="K15892" t="s">
        <v>14</v>
      </c>
      <c r="L15892" t="s">
        <v>20</v>
      </c>
      <c r="M15892" t="s">
        <v>30278</v>
      </c>
      <c r="N15892" t="s">
        <v>14</v>
      </c>
    </row>
    <row r="15893" x14ac:dyDescent="0.25">
      <c r="A15893" t="n">
        <v>21</v>
      </c>
      <c r="B15893" t="s">
        <v>14</v>
      </c>
      <c r="C15893" t="s">
        <v>22</v>
      </c>
      <c r="D15893" s="2" t="s">
        <f>=HYPERLINK("https://main.knesset.gov.il/APPS/legislation/main/bills/2079488", "הצעת חוק לתיקון פקודת מס הכנסה (הפקדות לקרן השתלמות לעצמאי), התשע""ט-2019")</f>
        <v>30474</v>
      </c>
      <c r="E15893" t="s">
        <v>30474</v>
      </c>
      <c r="F15893" t="s">
        <v>30475</v>
      </c>
      <c r="G15893" t="s">
        <v>14</v>
      </c>
      <c r="H15893">
             </c>
      <c r="I15893" t="s">
        <v>14</v>
      </c>
      <c r="J15893" t="s">
        <v>141</v>
      </c>
      <c r="K15893" t="s">
        <v>14</v>
      </c>
      <c r="L15893" t="s">
        <v>20</v>
      </c>
      <c r="M15893" t="s">
        <v>30278</v>
      </c>
      <c r="N15893" t="s">
        <v>14</v>
      </c>
    </row>
    <row r="15894" x14ac:dyDescent="0.25">
      <c r="A15894" t="n">
        <v>21</v>
      </c>
      <c r="B15894" t="s">
        <v>14</v>
      </c>
      <c r="C15894" t="s">
        <v>22</v>
      </c>
      <c r="D15894" s="2" t="s">
        <f>=HYPERLINK("https://main.knesset.gov.il/APPS/legislation/main/bills/2078925", "הצעת חוק חלוקת עודפי מזון הראוי למאכל אדם שלא נמכר, התשע""ט-2019")</f>
        <v>30476</v>
      </c>
      <c r="E15894" t="s">
        <v>30476</v>
      </c>
      <c r="F15894" t="s">
        <v>30477</v>
      </c>
      <c r="G15894" t="s">
        <v>14</v>
      </c>
      <c r="H15894">
             </c>
      <c r="I15894" t="s">
        <v>14</v>
      </c>
      <c r="J15894" t="s">
        <v>141</v>
      </c>
      <c r="K15894" t="s">
        <v>14</v>
      </c>
      <c r="L15894" t="s">
        <v>20</v>
      </c>
      <c r="M15894" t="s">
        <v>30278</v>
      </c>
      <c r="N15894" t="s">
        <v>14</v>
      </c>
    </row>
    <row r="15895" x14ac:dyDescent="0.25">
      <c r="A15895" t="n">
        <v>21</v>
      </c>
      <c r="B15895" t="s">
        <v>14</v>
      </c>
      <c r="C15895" t="s">
        <v>22</v>
      </c>
      <c r="D15895" s="2" t="s">
        <f>=HYPERLINK("https://main.knesset.gov.il/APPS/legislation/main/bills/2079560", "הצעת חוק הכשרות לאנשי מקצוע בנושא זיהוי ודיווח על התעללות בילדים, התשע""ט-2019")</f>
        <v>30478</v>
      </c>
      <c r="E15895" t="s">
        <v>30478</v>
      </c>
      <c r="F15895" t="s">
        <v>30479</v>
      </c>
      <c r="G15895" t="s">
        <v>14</v>
      </c>
      <c r="H15895">
             </c>
      <c r="I15895" t="s">
        <v>14</v>
      </c>
      <c r="J15895" t="s">
        <v>141</v>
      </c>
      <c r="K15895" t="s">
        <v>14</v>
      </c>
      <c r="L15895" t="s">
        <v>20</v>
      </c>
      <c r="M15895" t="s">
        <v>30278</v>
      </c>
      <c r="N15895" t="s">
        <v>14</v>
      </c>
    </row>
    <row r="15896" x14ac:dyDescent="0.25">
      <c r="A15896" t="n">
        <v>21</v>
      </c>
      <c r="B15896" t="s">
        <v>14</v>
      </c>
      <c r="C15896" t="s">
        <v>22</v>
      </c>
      <c r="D15896" s="2" t="s">
        <f>=HYPERLINK("https://main.knesset.gov.il/APPS/legislation/main/bills/2079482", "הצעת חוק עובדים זרים (תיקון - מגורים הולמים), התשע""ט-2019")</f>
        <v>30480</v>
      </c>
      <c r="E15896" t="s">
        <v>30480</v>
      </c>
      <c r="F15896" t="s">
        <v>30481</v>
      </c>
      <c r="G15896" t="s">
        <v>14</v>
      </c>
      <c r="H15896">
             </c>
      <c r="I15896" t="s">
        <v>14</v>
      </c>
      <c r="J15896" t="s">
        <v>141</v>
      </c>
      <c r="K15896" t="s">
        <v>14</v>
      </c>
      <c r="L15896" t="s">
        <v>20</v>
      </c>
      <c r="M15896" t="s">
        <v>30278</v>
      </c>
      <c r="N15896" t="s">
        <v>14</v>
      </c>
    </row>
    <row r="15897" x14ac:dyDescent="0.25">
      <c r="A15897" t="n">
        <v>21</v>
      </c>
      <c r="B15897" t="s">
        <v>14</v>
      </c>
      <c r="C15897" t="s">
        <v>22</v>
      </c>
      <c r="D15897" s="2" t="s">
        <f>=HYPERLINK("https://main.knesset.gov.il/APPS/legislation/main/bills/2079558", "הצעת חוק לתיקון פקודת ביטוח רכב מנועי (פוליסה לשני כלי רכב של נהג יחיד), התשע""ט-2019")</f>
        <v>30482</v>
      </c>
      <c r="E15897" t="s">
        <v>30482</v>
      </c>
      <c r="F15897" t="s">
        <v>30483</v>
      </c>
      <c r="G15897" t="s">
        <v>14</v>
      </c>
      <c r="H15897">
             </c>
      <c r="I15897" t="s">
        <v>14</v>
      </c>
      <c r="J15897" t="s">
        <v>141</v>
      </c>
      <c r="K15897" t="s">
        <v>14</v>
      </c>
      <c r="L15897" t="s">
        <v>20</v>
      </c>
      <c r="M15897" t="s">
        <v>30278</v>
      </c>
      <c r="N15897" t="s">
        <v>14</v>
      </c>
    </row>
    <row r="15898" x14ac:dyDescent="0.25">
      <c r="A15898" t="n">
        <v>21</v>
      </c>
      <c r="B15898" t="s">
        <v>14</v>
      </c>
      <c r="C15898" t="s">
        <v>22</v>
      </c>
      <c r="D15898" s="2" t="s">
        <f>=HYPERLINK("https://main.knesset.gov.il/APPS/legislation/main/bills/2079378", "הצעת חוק ביטוח בריאות ממלכתי (תיקון - מתן שירותי הבריאות לתלמיד בידי משרד הבריאות בלבד), התשע""ט-2019")</f>
        <v>30484</v>
      </c>
      <c r="E15898" t="s">
        <v>30484</v>
      </c>
      <c r="F15898" t="s">
        <v>30485</v>
      </c>
      <c r="G15898" t="s">
        <v>14</v>
      </c>
      <c r="H15898">
             </c>
      <c r="I15898" t="s">
        <v>14</v>
      </c>
      <c r="J15898" t="s">
        <v>141</v>
      </c>
      <c r="K15898" t="s">
        <v>14</v>
      </c>
      <c r="L15898" t="s">
        <v>20</v>
      </c>
      <c r="M15898" t="s">
        <v>30278</v>
      </c>
      <c r="N15898" t="s">
        <v>14</v>
      </c>
    </row>
    <row r="15899" x14ac:dyDescent="0.25">
      <c r="A15899" t="n">
        <v>21</v>
      </c>
      <c r="B15899" t="s">
        <v>14</v>
      </c>
      <c r="C15899" t="s">
        <v>22</v>
      </c>
      <c r="D15899" s="2" t="s">
        <f>=HYPERLINK("https://main.knesset.gov.il/APPS/legislation/main/bills/2079557", "הצעת חוק זכויות הסטודנט (תיקון - ביטול ארגון סטודנטים יציג), התשע""ט-2019")</f>
        <v>30486</v>
      </c>
      <c r="E15899" t="s">
        <v>30486</v>
      </c>
      <c r="F15899" t="s">
        <v>30487</v>
      </c>
      <c r="G15899" t="s">
        <v>14</v>
      </c>
      <c r="H15899">
             </c>
      <c r="I15899" t="s">
        <v>14</v>
      </c>
      <c r="J15899" t="s">
        <v>141</v>
      </c>
      <c r="K15899" t="s">
        <v>14</v>
      </c>
      <c r="L15899" t="s">
        <v>20</v>
      </c>
      <c r="M15899" t="s">
        <v>30278</v>
      </c>
      <c r="N15899" t="s">
        <v>14</v>
      </c>
    </row>
    <row r="15900" x14ac:dyDescent="0.25">
      <c r="A15900" t="n">
        <v>21</v>
      </c>
      <c r="B15900" t="s">
        <v>14</v>
      </c>
      <c r="C15900" t="s">
        <v>22</v>
      </c>
      <c r="D15900" s="2" t="s">
        <f>=HYPERLINK("https://main.knesset.gov.il/APPS/legislation/main/bills/2079330", "הצעת חוק הגנת השכר (תיקון - תשלום שכר עבודה בעת הליכי מיון והשמה), התשע""ט-2019")</f>
        <v>30488</v>
      </c>
      <c r="E15900" t="s">
        <v>30488</v>
      </c>
      <c r="F15900" t="s">
        <v>30489</v>
      </c>
      <c r="G15900" t="s">
        <v>14</v>
      </c>
      <c r="H15900">
             </c>
      <c r="I15900" t="s">
        <v>14</v>
      </c>
      <c r="J15900" t="s">
        <v>141</v>
      </c>
      <c r="K15900" t="s">
        <v>14</v>
      </c>
      <c r="L15900" t="s">
        <v>20</v>
      </c>
      <c r="M15900" t="s">
        <v>30278</v>
      </c>
      <c r="N15900" t="s">
        <v>14</v>
      </c>
    </row>
    <row r="15901" x14ac:dyDescent="0.25">
      <c r="A15901" t="n">
        <v>21</v>
      </c>
      <c r="B15901" t="s">
        <v>14</v>
      </c>
      <c r="C15901" t="s">
        <v>22</v>
      </c>
      <c r="D15901" s="2" t="s">
        <f>=HYPERLINK("https://main.knesset.gov.il/APPS/legislation/main/bills/2079562", "הצעת חוק למניעת הטרדה מינית (תיקון - נקיטת אמצעים למניעת הטרדה מינית במקומות ציבוריים), התשע""ט-2019")</f>
        <v>30490</v>
      </c>
      <c r="E15901" t="s">
        <v>30490</v>
      </c>
      <c r="F15901" t="s">
        <v>30491</v>
      </c>
      <c r="G15901" t="s">
        <v>14</v>
      </c>
      <c r="H15901">
             </c>
      <c r="I15901" t="s">
        <v>14</v>
      </c>
      <c r="J15901" t="s">
        <v>141</v>
      </c>
      <c r="K15901" t="s">
        <v>14</v>
      </c>
      <c r="L15901" t="s">
        <v>20</v>
      </c>
      <c r="M15901" t="s">
        <v>30278</v>
      </c>
      <c r="N15901" t="s">
        <v>14</v>
      </c>
    </row>
    <row r="15902" x14ac:dyDescent="0.25">
      <c r="A15902" t="n">
        <v>21</v>
      </c>
      <c r="B15902" t="s">
        <v>14</v>
      </c>
      <c r="C15902" t="s">
        <v>22</v>
      </c>
      <c r="D15902" s="2" t="s">
        <f>=HYPERLINK("https://main.knesset.gov.il/APPS/legislation/main/bills/2079421", "הצעת חוק תרומת ביציות (תיקון - תרומת ביציות בין בנות זוג), התשע""ט-2019")</f>
        <v>30492</v>
      </c>
      <c r="E15902" t="s">
        <v>30492</v>
      </c>
      <c r="F15902" t="s">
        <v>30493</v>
      </c>
      <c r="G15902" t="s">
        <v>14</v>
      </c>
      <c r="H15902">
             </c>
      <c r="I15902" t="s">
        <v>14</v>
      </c>
      <c r="J15902" t="s">
        <v>141</v>
      </c>
      <c r="K15902" t="s">
        <v>14</v>
      </c>
      <c r="L15902" t="s">
        <v>20</v>
      </c>
      <c r="M15902" t="s">
        <v>30278</v>
      </c>
      <c r="N15902" t="s">
        <v>14</v>
      </c>
    </row>
    <row r="15903" x14ac:dyDescent="0.25">
      <c r="A15903" t="n">
        <v>21</v>
      </c>
      <c r="B15903" t="s">
        <v>14</v>
      </c>
      <c r="C15903" t="s">
        <v>22</v>
      </c>
      <c r="D15903" s="2" t="s">
        <f>=HYPERLINK("https://main.knesset.gov.il/APPS/legislation/main/bills/2079573", "הצעת חוק שיווי זכויות האישה (תיקון - ייצוג הולם לנשים בכנסים במימון ציבורי), התשע""ט-2019")</f>
        <v>30494</v>
      </c>
      <c r="E15903" t="s">
        <v>30494</v>
      </c>
      <c r="F15903" t="s">
        <v>30495</v>
      </c>
      <c r="G15903" t="s">
        <v>14</v>
      </c>
      <c r="H15903">
             </c>
      <c r="I15903" t="s">
        <v>14</v>
      </c>
      <c r="J15903" t="s">
        <v>141</v>
      </c>
      <c r="K15903" t="s">
        <v>14</v>
      </c>
      <c r="L15903" t="s">
        <v>20</v>
      </c>
      <c r="M15903" t="s">
        <v>30278</v>
      </c>
      <c r="N15903" t="s">
        <v>14</v>
      </c>
    </row>
    <row r="15904" x14ac:dyDescent="0.25">
      <c r="A15904" t="n">
        <v>21</v>
      </c>
      <c r="B15904" t="s">
        <v>14</v>
      </c>
      <c r="C15904" t="s">
        <v>22</v>
      </c>
      <c r="D15904" s="2" t="s">
        <f>=HYPERLINK("https://main.knesset.gov.il/APPS/legislation/main/bills/2078618", "הצעת חוק למניעת הטרדה מינית (תיקון - הטרדת קטין), התשע""ט-2019")</f>
        <v>30496</v>
      </c>
      <c r="E15904" t="s">
        <v>30496</v>
      </c>
      <c r="F15904" t="s">
        <v>30497</v>
      </c>
      <c r="G15904" t="s">
        <v>14</v>
      </c>
      <c r="H15904">
             </c>
      <c r="I15904" t="s">
        <v>14</v>
      </c>
      <c r="J15904" t="s">
        <v>141</v>
      </c>
      <c r="K15904" t="s">
        <v>14</v>
      </c>
      <c r="L15904" t="s">
        <v>20</v>
      </c>
      <c r="M15904" t="s">
        <v>30278</v>
      </c>
      <c r="N15904" t="s">
        <v>14</v>
      </c>
    </row>
    <row r="15905" x14ac:dyDescent="0.25">
      <c r="A15905" t="n">
        <v>21</v>
      </c>
      <c r="B15905" t="s">
        <v>14</v>
      </c>
      <c r="C15905" t="s">
        <v>22</v>
      </c>
      <c r="D15905" s="2" t="s">
        <f>=HYPERLINK("https://main.knesset.gov.il/APPS/legislation/main/bills/2079364", "הצעת חוק קליטת חיילים משוחררים (תיקון - ביטול הפיקדון והגדלת המענק), התשע""ט-2019")</f>
        <v>30498</v>
      </c>
      <c r="E15905" t="s">
        <v>30498</v>
      </c>
      <c r="F15905" t="s">
        <v>30499</v>
      </c>
      <c r="G15905" t="s">
        <v>14</v>
      </c>
      <c r="H15905">
             </c>
      <c r="I15905" t="s">
        <v>14</v>
      </c>
      <c r="J15905" t="s">
        <v>141</v>
      </c>
      <c r="K15905" t="s">
        <v>14</v>
      </c>
      <c r="L15905" t="s">
        <v>20</v>
      </c>
      <c r="M15905" t="s">
        <v>30278</v>
      </c>
      <c r="N15905" t="s">
        <v>14</v>
      </c>
    </row>
    <row r="15906" x14ac:dyDescent="0.25">
      <c r="A15906" t="n">
        <v>21</v>
      </c>
      <c r="B15906" t="s">
        <v>14</v>
      </c>
      <c r="C15906" t="s">
        <v>22</v>
      </c>
      <c r="D15906" s="2" t="s">
        <f>=HYPERLINK("https://main.knesset.gov.il/APPS/legislation/main/bills/2079433", "הצעת חוק ביטוח בריאות ממלכתי (תיקון - ביטול איסור הכללת תרופות מצילות חיים בשב""ן), התשע""ט-2019")</f>
        <v>30500</v>
      </c>
      <c r="E15906" t="s">
        <v>30500</v>
      </c>
      <c r="F15906" t="s">
        <v>30501</v>
      </c>
      <c r="G15906" t="s">
        <v>14</v>
      </c>
      <c r="H15906">
             </c>
      <c r="I15906" t="s">
        <v>14</v>
      </c>
      <c r="J15906" t="s">
        <v>141</v>
      </c>
      <c r="K15906" t="s">
        <v>14</v>
      </c>
      <c r="L15906" t="s">
        <v>20</v>
      </c>
      <c r="M15906" t="s">
        <v>30278</v>
      </c>
      <c r="N15906" t="s">
        <v>14</v>
      </c>
    </row>
    <row r="15907" x14ac:dyDescent="0.25">
      <c r="A15907" t="n">
        <v>21</v>
      </c>
      <c r="B15907" t="s">
        <v>14</v>
      </c>
      <c r="C15907" t="s">
        <v>22</v>
      </c>
      <c r="D15907" s="2" t="s">
        <f>=HYPERLINK("https://main.knesset.gov.il/APPS/legislation/main/bills/2079367", "הצעת חוק הביטוח הלאומי (תיקון - זכות המוסד לתביעה), התשע""ט-2019")</f>
        <v>30502</v>
      </c>
      <c r="E15907" t="s">
        <v>30502</v>
      </c>
      <c r="F15907" t="s">
        <v>30503</v>
      </c>
      <c r="G15907" t="s">
        <v>14</v>
      </c>
      <c r="H15907">
             </c>
      <c r="I15907" t="s">
        <v>14</v>
      </c>
      <c r="J15907" t="s">
        <v>141</v>
      </c>
      <c r="K15907" t="s">
        <v>14</v>
      </c>
      <c r="L15907" t="s">
        <v>20</v>
      </c>
      <c r="M15907" t="s">
        <v>30278</v>
      </c>
      <c r="N15907" t="s">
        <v>14</v>
      </c>
    </row>
    <row r="15908" x14ac:dyDescent="0.25">
      <c r="A15908" t="n">
        <v>21</v>
      </c>
      <c r="B15908" t="s">
        <v>14</v>
      </c>
      <c r="C15908" t="s">
        <v>22</v>
      </c>
      <c r="D15908" s="2" t="s">
        <f>=HYPERLINK("https://main.knesset.gov.il/APPS/legislation/main/bills/2078839", "הצעת חוק הממשלה (תיקון - ועדת שרים לענייני חקיקה), התשע""ט-2019")</f>
        <v>30504</v>
      </c>
      <c r="E15908" t="s">
        <v>30504</v>
      </c>
      <c r="F15908" t="s">
        <v>30505</v>
      </c>
      <c r="G15908" t="s">
        <v>14</v>
      </c>
      <c r="H15908">
             </c>
      <c r="I15908" t="s">
        <v>14</v>
      </c>
      <c r="J15908" t="s">
        <v>141</v>
      </c>
      <c r="K15908" t="s">
        <v>14</v>
      </c>
      <c r="L15908" t="s">
        <v>20</v>
      </c>
      <c r="M15908" t="s">
        <v>30278</v>
      </c>
      <c r="N15908" t="s">
        <v>14</v>
      </c>
    </row>
    <row r="15909" x14ac:dyDescent="0.25">
      <c r="A15909" t="n">
        <v>21</v>
      </c>
      <c r="B15909" t="s">
        <v>14</v>
      </c>
      <c r="C15909" t="s">
        <v>22</v>
      </c>
      <c r="D15909" s="2" t="s">
        <f>=HYPERLINK("https://main.knesset.gov.il/APPS/legislation/main/bills/2079415", "הצעת חוק ביטוח בריאות ממלכתי (תיקון - השתתפות עצמית ברכישת תכשיר מרשם מבית מרקחת שאינו בהסדר עם קופת החולים), התשע""ט-2019")</f>
        <v>30506</v>
      </c>
      <c r="E15909" t="s">
        <v>30506</v>
      </c>
      <c r="F15909" t="s">
        <v>30507</v>
      </c>
      <c r="G15909" t="s">
        <v>14</v>
      </c>
      <c r="H15909">
             </c>
      <c r="I15909" t="s">
        <v>14</v>
      </c>
      <c r="J15909" t="s">
        <v>141</v>
      </c>
      <c r="K15909" t="s">
        <v>14</v>
      </c>
      <c r="L15909" t="s">
        <v>20</v>
      </c>
      <c r="M15909" t="s">
        <v>30278</v>
      </c>
      <c r="N15909" t="s">
        <v>14</v>
      </c>
    </row>
    <row r="15910" x14ac:dyDescent="0.25">
      <c r="A15910" t="n">
        <v>21</v>
      </c>
      <c r="B15910" t="s">
        <v>14</v>
      </c>
      <c r="C15910" t="s">
        <v>22</v>
      </c>
      <c r="D15910" s="2" t="s">
        <f>=HYPERLINK("https://main.knesset.gov.il/APPS/legislation/main/bills/2079058", "הצעת חוק-יסוד: הממשלה (תיקון - הגבלת כהונת ראש הממשלה)")</f>
        <v>19405</v>
      </c>
      <c r="E15910" t="s">
        <v>19405</v>
      </c>
      <c r="F15910" t="s">
        <v>30508</v>
      </c>
      <c r="G15910" t="s">
        <v>14</v>
      </c>
      <c r="H15910">
             </c>
      <c r="I15910" t="s">
        <v>14</v>
      </c>
      <c r="J15910" t="s">
        <v>141</v>
      </c>
      <c r="K15910" t="s">
        <v>14</v>
      </c>
      <c r="L15910" t="s">
        <v>20</v>
      </c>
      <c r="M15910" t="s">
        <v>30278</v>
      </c>
      <c r="N15910" t="s">
        <v>14</v>
      </c>
    </row>
    <row r="15911" x14ac:dyDescent="0.25">
      <c r="A15911" t="n">
        <v>21</v>
      </c>
      <c r="B15911" t="s">
        <v>14</v>
      </c>
      <c r="C15911" t="s">
        <v>22</v>
      </c>
      <c r="D15911" s="2" t="s">
        <f>=HYPERLINK("https://main.knesset.gov.il/APPS/legislation/main/bills/2079474", "הצעת חוק העונשין (תיקון - החרגת טורניר מהגדרת משחק אסור), התשע""ט-2019")</f>
        <v>30509</v>
      </c>
      <c r="E15911" t="s">
        <v>30509</v>
      </c>
      <c r="F15911" t="s">
        <v>30510</v>
      </c>
      <c r="G15911" t="s">
        <v>14</v>
      </c>
      <c r="H15911">
             </c>
      <c r="I15911" t="s">
        <v>14</v>
      </c>
      <c r="J15911" t="s">
        <v>141</v>
      </c>
      <c r="K15911" t="s">
        <v>14</v>
      </c>
      <c r="L15911" t="s">
        <v>20</v>
      </c>
      <c r="M15911" t="s">
        <v>30278</v>
      </c>
      <c r="N15911" t="s">
        <v>14</v>
      </c>
    </row>
    <row r="15912" x14ac:dyDescent="0.25">
      <c r="A15912" t="n">
        <v>21</v>
      </c>
      <c r="B15912" t="s">
        <v>14</v>
      </c>
      <c r="C15912" t="s">
        <v>22</v>
      </c>
      <c r="D15912" s="2" t="s">
        <f>=HYPERLINK("https://main.knesset.gov.il/APPS/legislation/main/bills/2079460", "הצעת חוק עבודת נשים (תיקון - תקופת לידה והורות להורה יחיד), התשע""ט-2019")</f>
        <v>30511</v>
      </c>
      <c r="E15912" t="s">
        <v>30511</v>
      </c>
      <c r="F15912" t="s">
        <v>30512</v>
      </c>
      <c r="G15912" t="s">
        <v>14</v>
      </c>
      <c r="H15912">
             </c>
      <c r="I15912" t="s">
        <v>14</v>
      </c>
      <c r="J15912" t="s">
        <v>141</v>
      </c>
      <c r="K15912" t="s">
        <v>14</v>
      </c>
      <c r="L15912" t="s">
        <v>20</v>
      </c>
      <c r="M15912" t="s">
        <v>30278</v>
      </c>
      <c r="N15912" t="s">
        <v>14</v>
      </c>
    </row>
    <row r="15913" x14ac:dyDescent="0.25">
      <c r="A15913" t="n">
        <v>21</v>
      </c>
      <c r="B15913" t="s">
        <v>14</v>
      </c>
      <c r="C15913" t="s">
        <v>22</v>
      </c>
      <c r="D15913" s="2" t="s">
        <f>=HYPERLINK("https://main.knesset.gov.il/APPS/legislation/main/bills/2079231", "הצעת חוק המקרקעין (תיקון - התקנת מעלית מטעמים מיוחדים), התשע""ט-2019")</f>
        <v>30513</v>
      </c>
      <c r="E15913" t="s">
        <v>30513</v>
      </c>
      <c r="F15913" t="s">
        <v>30514</v>
      </c>
      <c r="G15913" t="s">
        <v>14</v>
      </c>
      <c r="H15913">
             </c>
      <c r="I15913" t="s">
        <v>14</v>
      </c>
      <c r="J15913" t="s">
        <v>141</v>
      </c>
      <c r="K15913" t="s">
        <v>14</v>
      </c>
      <c r="L15913" t="s">
        <v>20</v>
      </c>
      <c r="M15913" t="s">
        <v>30278</v>
      </c>
      <c r="N15913" t="s">
        <v>14</v>
      </c>
    </row>
    <row r="15914" x14ac:dyDescent="0.25">
      <c r="A15914" t="n">
        <v>21</v>
      </c>
      <c r="B15914" t="s">
        <v>14</v>
      </c>
      <c r="C15914" t="s">
        <v>22</v>
      </c>
      <c r="D15914" s="2" t="s">
        <f>=HYPERLINK("https://main.knesset.gov.il/APPS/legislation/main/bills/2079325", "הצעת חוק הבטחת הכנסה (תיקון - הגדלת הסכום להשתכרות בנוסף לקיצבה), התשע""ט-2019")</f>
        <v>30515</v>
      </c>
      <c r="E15914" t="s">
        <v>30515</v>
      </c>
      <c r="F15914" t="s">
        <v>30516</v>
      </c>
      <c r="G15914" t="s">
        <v>14</v>
      </c>
      <c r="H15914">
             </c>
      <c r="I15914" t="s">
        <v>14</v>
      </c>
      <c r="J15914" t="s">
        <v>141</v>
      </c>
      <c r="K15914" t="s">
        <v>14</v>
      </c>
      <c r="L15914" t="s">
        <v>20</v>
      </c>
      <c r="M15914" t="s">
        <v>30278</v>
      </c>
      <c r="N15914" t="s">
        <v>14</v>
      </c>
    </row>
    <row r="15915" x14ac:dyDescent="0.25">
      <c r="A15915" t="n">
        <v>21</v>
      </c>
      <c r="B15915" t="s">
        <v>14</v>
      </c>
      <c r="C15915" t="s">
        <v>22</v>
      </c>
      <c r="D15915" s="2" t="s">
        <f>=HYPERLINK("https://main.knesset.gov.il/APPS/legislation/main/bills/2078737", "הצעת חוק המקרקעין (תיקון - התקנת מעלית מטעמים מיוחדים), התשע""ט-2019")</f>
        <v>30513</v>
      </c>
      <c r="E15915" t="s">
        <v>30513</v>
      </c>
      <c r="F15915" t="s">
        <v>30517</v>
      </c>
      <c r="G15915" t="s">
        <v>14</v>
      </c>
      <c r="H15915">
             </c>
      <c r="I15915" t="s">
        <v>14</v>
      </c>
      <c r="J15915" t="s">
        <v>141</v>
      </c>
      <c r="K15915" t="s">
        <v>14</v>
      </c>
      <c r="L15915" t="s">
        <v>20</v>
      </c>
      <c r="M15915" t="s">
        <v>30278</v>
      </c>
      <c r="N15915" t="s">
        <v>14</v>
      </c>
    </row>
    <row r="15916" x14ac:dyDescent="0.25">
      <c r="A15916" t="n">
        <v>21</v>
      </c>
      <c r="B15916" t="s">
        <v>14</v>
      </c>
      <c r="C15916" t="s">
        <v>22</v>
      </c>
      <c r="D15916" s="2" t="s">
        <f>=HYPERLINK("https://main.knesset.gov.il/APPS/legislation/main/bills/2079098", "הצעת חוק לתיקון פקודת הנמלים (פרק הזמן המרבי למתן שירות מקדים לפריקת אוניות), התשע""ט-2019")</f>
        <v>30518</v>
      </c>
      <c r="E15916" t="s">
        <v>30518</v>
      </c>
      <c r="F15916" t="s">
        <v>30519</v>
      </c>
      <c r="G15916" t="s">
        <v>14</v>
      </c>
      <c r="H15916">
             </c>
      <c r="I15916" t="s">
        <v>14</v>
      </c>
      <c r="J15916" t="s">
        <v>141</v>
      </c>
      <c r="K15916" t="s">
        <v>14</v>
      </c>
      <c r="L15916" t="s">
        <v>20</v>
      </c>
      <c r="M15916" t="s">
        <v>30278</v>
      </c>
      <c r="N15916" t="s">
        <v>14</v>
      </c>
    </row>
    <row r="15917" x14ac:dyDescent="0.25">
      <c r="A15917" t="n">
        <v>21</v>
      </c>
      <c r="B15917" t="s">
        <v>14</v>
      </c>
      <c r="C15917" t="s">
        <v>22</v>
      </c>
      <c r="D15917" s="2" t="s">
        <f>=HYPERLINK("https://main.knesset.gov.il/APPS/legislation/main/bills/2078612", "הצעת חוק-יסוד: הממשלה (תיקון - חובת מינוי ממלא מקום ראש הממשלה) ")</f>
        <v>7813</v>
      </c>
      <c r="E15917" t="s">
        <v>7813</v>
      </c>
      <c r="F15917" t="s">
        <v>30520</v>
      </c>
      <c r="G15917" t="s">
        <v>14</v>
      </c>
      <c r="H15917">
             </c>
      <c r="I15917" t="s">
        <v>14</v>
      </c>
      <c r="J15917" t="s">
        <v>141</v>
      </c>
      <c r="K15917" t="s">
        <v>14</v>
      </c>
      <c r="L15917" t="s">
        <v>20</v>
      </c>
      <c r="M15917" t="s">
        <v>30278</v>
      </c>
      <c r="N15917" t="s">
        <v>14</v>
      </c>
    </row>
    <row r="15918" x14ac:dyDescent="0.25">
      <c r="A15918" t="n">
        <v>21</v>
      </c>
      <c r="B15918" t="s">
        <v>14</v>
      </c>
      <c r="C15918" t="s">
        <v>22</v>
      </c>
      <c r="D15918" s="2" t="s">
        <f>=HYPERLINK("https://main.knesset.gov.il/APPS/legislation/main/bills/2078844", "הצעת חוק הגבלת כהונה (תיקוני חקיקה), התשע""ט-2019")</f>
        <v>30521</v>
      </c>
      <c r="E15918" t="s">
        <v>30521</v>
      </c>
      <c r="F15918" t="s">
        <v>30522</v>
      </c>
      <c r="G15918" t="s">
        <v>14</v>
      </c>
      <c r="H15918">
             </c>
      <c r="I15918" t="s">
        <v>14</v>
      </c>
      <c r="J15918" t="s">
        <v>141</v>
      </c>
      <c r="K15918" t="s">
        <v>14</v>
      </c>
      <c r="L15918" t="s">
        <v>20</v>
      </c>
      <c r="M15918" t="s">
        <v>30278</v>
      </c>
      <c r="N15918" t="s">
        <v>14</v>
      </c>
    </row>
    <row r="15919" x14ac:dyDescent="0.25">
      <c r="A15919" t="n">
        <v>21</v>
      </c>
      <c r="B15919" t="s">
        <v>14</v>
      </c>
      <c r="C15919" t="s">
        <v>22</v>
      </c>
      <c r="D15919" s="2" t="s">
        <f>=HYPERLINK("https://main.knesset.gov.il/APPS/legislation/main/bills/2079376", "הצעת חוק העונשין (תיקון - תקיפת עובדי מערכת הבריאות), התשע""ט-2019")</f>
        <v>30523</v>
      </c>
      <c r="E15919" t="s">
        <v>30523</v>
      </c>
      <c r="F15919" t="s">
        <v>30524</v>
      </c>
      <c r="G15919" t="s">
        <v>14</v>
      </c>
      <c r="H15919">
             </c>
      <c r="I15919" t="s">
        <v>14</v>
      </c>
      <c r="J15919" t="s">
        <v>141</v>
      </c>
      <c r="K15919" t="s">
        <v>14</v>
      </c>
      <c r="L15919" t="s">
        <v>20</v>
      </c>
      <c r="M15919" t="s">
        <v>30278</v>
      </c>
      <c r="N15919" t="s">
        <v>14</v>
      </c>
    </row>
    <row r="15920" x14ac:dyDescent="0.25">
      <c r="A15920" t="n">
        <v>21</v>
      </c>
      <c r="B15920" t="s">
        <v>14</v>
      </c>
      <c r="C15920" t="s">
        <v>22</v>
      </c>
      <c r="D15920" s="2" t="s">
        <f>=HYPERLINK("https://main.knesset.gov.il/APPS/legislation/main/bills/2079410", "הצעת חוק הביטוח הלאומי (תיקון - דמי מחלה לעובד עצמאי), התשע""ט-2019")</f>
        <v>30525</v>
      </c>
      <c r="E15920" t="s">
        <v>30525</v>
      </c>
      <c r="F15920" t="s">
        <v>30526</v>
      </c>
      <c r="G15920" t="s">
        <v>14</v>
      </c>
      <c r="H15920">
             </c>
      <c r="I15920" t="s">
        <v>14</v>
      </c>
      <c r="J15920" t="s">
        <v>141</v>
      </c>
      <c r="K15920" t="s">
        <v>14</v>
      </c>
      <c r="L15920" t="s">
        <v>20</v>
      </c>
      <c r="M15920" t="s">
        <v>30278</v>
      </c>
      <c r="N15920" t="s">
        <v>14</v>
      </c>
    </row>
    <row r="15921" x14ac:dyDescent="0.25">
      <c r="A15921" t="n">
        <v>21</v>
      </c>
      <c r="B15921" t="s">
        <v>14</v>
      </c>
      <c r="C15921" t="s">
        <v>22</v>
      </c>
      <c r="D15921" s="2" t="s">
        <f>=HYPERLINK("https://main.knesset.gov.il/APPS/legislation/main/bills/2078596", "הצעת חוק הממשלה (תיקון - ועדת שרים לענייני חקיקה), התשע""ט-2019")</f>
        <v>30504</v>
      </c>
      <c r="E15921" t="s">
        <v>30504</v>
      </c>
      <c r="F15921" t="s">
        <v>30527</v>
      </c>
      <c r="G15921" t="s">
        <v>14</v>
      </c>
      <c r="H15921">
             </c>
      <c r="I15921" t="s">
        <v>14</v>
      </c>
      <c r="J15921" t="s">
        <v>141</v>
      </c>
      <c r="K15921" t="s">
        <v>14</v>
      </c>
      <c r="L15921" t="s">
        <v>20</v>
      </c>
      <c r="M15921" t="s">
        <v>30278</v>
      </c>
      <c r="N15921" t="s">
        <v>14</v>
      </c>
    </row>
    <row r="15922" x14ac:dyDescent="0.25">
      <c r="A15922" t="n">
        <v>21</v>
      </c>
      <c r="B15922" t="s">
        <v>14</v>
      </c>
      <c r="C15922" t="s">
        <v>22</v>
      </c>
      <c r="D15922" s="2" t="s">
        <f>=HYPERLINK("https://main.knesset.gov.il/APPS/legislation/main/bills/2079565", "הצעת חוק הביטוח הלאומי (תיקון - התפטרות הורה על מנת לטפל בילדו), התשע""ט-2019")</f>
        <v>30528</v>
      </c>
      <c r="E15922" t="s">
        <v>30528</v>
      </c>
      <c r="F15922" t="s">
        <v>30529</v>
      </c>
      <c r="G15922" t="s">
        <v>14</v>
      </c>
      <c r="H15922">
             </c>
      <c r="I15922" t="s">
        <v>14</v>
      </c>
      <c r="J15922" t="s">
        <v>141</v>
      </c>
      <c r="K15922" t="s">
        <v>14</v>
      </c>
      <c r="L15922" t="s">
        <v>20</v>
      </c>
      <c r="M15922" t="s">
        <v>30278</v>
      </c>
      <c r="N15922" t="s">
        <v>14</v>
      </c>
    </row>
    <row r="15923" x14ac:dyDescent="0.25">
      <c r="A15923" t="n">
        <v>21</v>
      </c>
      <c r="B15923" t="s">
        <v>14</v>
      </c>
      <c r="C15923" t="s">
        <v>22</v>
      </c>
      <c r="D15923" s="2" t="s">
        <f>=HYPERLINK("https://main.knesset.gov.il/APPS/legislation/main/bills/2079242", "הצעת חוק הטבות לניצולי שואה (תיקון - הגדלת מענק שנתי), התשע""ט-2019")</f>
        <v>30530</v>
      </c>
      <c r="E15923" t="s">
        <v>30530</v>
      </c>
      <c r="F15923" t="s">
        <v>30531</v>
      </c>
      <c r="G15923" t="s">
        <v>14</v>
      </c>
      <c r="H15923">
             </c>
      <c r="I15923" t="s">
        <v>14</v>
      </c>
      <c r="J15923" t="s">
        <v>141</v>
      </c>
      <c r="K15923" t="s">
        <v>14</v>
      </c>
      <c r="L15923" t="s">
        <v>20</v>
      </c>
      <c r="M15923" t="s">
        <v>30278</v>
      </c>
      <c r="N15923" t="s">
        <v>14</v>
      </c>
    </row>
    <row r="15924" x14ac:dyDescent="0.25">
      <c r="A15924" t="n">
        <v>21</v>
      </c>
      <c r="B15924" t="s">
        <v>14</v>
      </c>
      <c r="C15924" t="s">
        <v>22</v>
      </c>
      <c r="D15924" s="2" t="s">
        <f>=HYPERLINK("https://main.knesset.gov.il/APPS/legislation/main/bills/2079264", "הצעת חוק הסדרים במשק המדינה (תיקוני חקיקה להשגת יעדי התקציב) (תיקון - שינוי חישוב הנחה בארנונה לסטודנט), התשע""ט-2019")</f>
        <v>30532</v>
      </c>
      <c r="E15924" t="s">
        <v>30532</v>
      </c>
      <c r="F15924" t="s">
        <v>30533</v>
      </c>
      <c r="G15924" t="s">
        <v>14</v>
      </c>
      <c r="H15924">
             </c>
      <c r="I15924" t="s">
        <v>14</v>
      </c>
      <c r="J15924" t="s">
        <v>141</v>
      </c>
      <c r="K15924" t="s">
        <v>14</v>
      </c>
      <c r="L15924" t="s">
        <v>20</v>
      </c>
      <c r="M15924" t="s">
        <v>30278</v>
      </c>
      <c r="N15924" t="s">
        <v>14</v>
      </c>
    </row>
    <row r="15925" x14ac:dyDescent="0.25">
      <c r="A15925" t="n">
        <v>21</v>
      </c>
      <c r="B15925" t="s">
        <v>14</v>
      </c>
      <c r="C15925" t="s">
        <v>22</v>
      </c>
      <c r="D15925" s="2" t="s">
        <f>=HYPERLINK("https://main.knesset.gov.il/APPS/legislation/main/bills/2079516", "הצעת חוק הביטוח הלאומי (תיקון - ביטול מענק עבודה מועדפת), התשע""ט-2019")</f>
        <v>30534</v>
      </c>
      <c r="E15925" t="s">
        <v>30534</v>
      </c>
      <c r="F15925" t="s">
        <v>30535</v>
      </c>
      <c r="G15925" t="s">
        <v>14</v>
      </c>
      <c r="H15925">
             </c>
      <c r="I15925" t="s">
        <v>14</v>
      </c>
      <c r="J15925" t="s">
        <v>141</v>
      </c>
      <c r="K15925" t="s">
        <v>14</v>
      </c>
      <c r="L15925" t="s">
        <v>20</v>
      </c>
      <c r="M15925" t="s">
        <v>30278</v>
      </c>
      <c r="N15925" t="s">
        <v>14</v>
      </c>
    </row>
    <row r="15926" x14ac:dyDescent="0.25">
      <c r="A15926" t="n">
        <v>21</v>
      </c>
      <c r="B15926" t="s">
        <v>14</v>
      </c>
      <c r="C15926" t="s">
        <v>22</v>
      </c>
      <c r="D15926" s="2" t="s">
        <f>=HYPERLINK("https://main.knesset.gov.il/APPS/legislation/main/bills/2079515", "הצעת חוק מתן סמכויות פיקוח והסמכת מפקחים ופקחים (תיקוני חקיקה), התשע""ט-2019")</f>
        <v>30536</v>
      </c>
      <c r="E15926" t="s">
        <v>30536</v>
      </c>
      <c r="F15926" t="s">
        <v>30537</v>
      </c>
      <c r="G15926" t="s">
        <v>14</v>
      </c>
      <c r="H15926">
             </c>
      <c r="I15926" t="s">
        <v>14</v>
      </c>
      <c r="J15926" t="s">
        <v>141</v>
      </c>
      <c r="K15926" t="s">
        <v>14</v>
      </c>
      <c r="L15926" t="s">
        <v>20</v>
      </c>
      <c r="M15926" t="s">
        <v>30278</v>
      </c>
      <c r="N15926" t="s">
        <v>14</v>
      </c>
    </row>
    <row r="15927" x14ac:dyDescent="0.25">
      <c r="A15927" t="n">
        <v>21</v>
      </c>
      <c r="B15927" t="s">
        <v>14</v>
      </c>
      <c r="C15927" t="s">
        <v>22</v>
      </c>
      <c r="D15927" s="2" t="s">
        <f>=HYPERLINK("https://main.knesset.gov.il/APPS/legislation/main/bills/2079057", "הצעת חוק שירות אזרחי (תיקון - שירות אזרחי במוסד רפואי ציבורי), התשע""ט-2019")</f>
        <v>30538</v>
      </c>
      <c r="E15927" t="s">
        <v>30538</v>
      </c>
      <c r="F15927" t="s">
        <v>30539</v>
      </c>
      <c r="G15927" t="s">
        <v>14</v>
      </c>
      <c r="H15927">
             </c>
      <c r="I15927" t="s">
        <v>14</v>
      </c>
      <c r="J15927" t="s">
        <v>141</v>
      </c>
      <c r="K15927" t="s">
        <v>14</v>
      </c>
      <c r="L15927" t="s">
        <v>20</v>
      </c>
      <c r="M15927" t="s">
        <v>30278</v>
      </c>
      <c r="N15927" t="s">
        <v>14</v>
      </c>
    </row>
    <row r="15928" x14ac:dyDescent="0.25">
      <c r="A15928" t="n">
        <v>21</v>
      </c>
      <c r="B15928" t="s">
        <v>14</v>
      </c>
      <c r="C15928" t="s">
        <v>22</v>
      </c>
      <c r="D15928" s="2" t="s">
        <f>=HYPERLINK("https://main.knesset.gov.il/APPS/legislation/main/bills/2078757", "הצעת חוק הטבות ברכישת דירה יד שנייה לזכאים לרכישת דירה בתכנית מחיר למשתכן שלא זכו בהגרלה, התשע""ט-2019")</f>
        <v>30540</v>
      </c>
      <c r="E15928" t="s">
        <v>30540</v>
      </c>
      <c r="F15928" t="s">
        <v>30541</v>
      </c>
      <c r="G15928" t="s">
        <v>14</v>
      </c>
      <c r="H15928">
             </c>
      <c r="I15928" t="s">
        <v>14</v>
      </c>
      <c r="J15928" t="s">
        <v>141</v>
      </c>
      <c r="K15928" t="s">
        <v>14</v>
      </c>
      <c r="L15928" t="s">
        <v>20</v>
      </c>
      <c r="M15928" t="s">
        <v>30278</v>
      </c>
      <c r="N15928" t="s">
        <v>14</v>
      </c>
    </row>
    <row r="15929" x14ac:dyDescent="0.25">
      <c r="A15929" t="n">
        <v>21</v>
      </c>
      <c r="B15929" t="s">
        <v>14</v>
      </c>
      <c r="C15929" t="s">
        <v>22</v>
      </c>
      <c r="D15929" s="2" t="s">
        <f>=HYPERLINK("https://main.knesset.gov.il/APPS/legislation/main/bills/2079509", "הצעת חוק שירות ביטחון (תיקון - השוואת תהליכי המיון, השיבוץ, התקינה וההכשרה, המסלולים המקצועיים ואופקי הקידום לנשים וגברים), התשע""ט-2019")</f>
        <v>30542</v>
      </c>
      <c r="E15929" t="s">
        <v>30542</v>
      </c>
      <c r="F15929" t="s">
        <v>30543</v>
      </c>
      <c r="G15929" t="s">
        <v>14</v>
      </c>
      <c r="H15929">
             </c>
      <c r="I15929" t="s">
        <v>14</v>
      </c>
      <c r="J15929" t="s">
        <v>141</v>
      </c>
      <c r="K15929" t="s">
        <v>14</v>
      </c>
      <c r="L15929" t="s">
        <v>20</v>
      </c>
      <c r="M15929" t="s">
        <v>30278</v>
      </c>
      <c r="N15929" t="s">
        <v>14</v>
      </c>
    </row>
    <row r="15930" x14ac:dyDescent="0.25">
      <c r="A15930" t="n">
        <v>21</v>
      </c>
      <c r="B15930" t="s">
        <v>14</v>
      </c>
      <c r="C15930" t="s">
        <v>22</v>
      </c>
      <c r="D15930" s="2" t="s">
        <f>=HYPERLINK("https://main.knesset.gov.il/APPS/legislation/main/bills/2079508", "הצעת חוק הממשלה (תיקון - ועדת שרים לענייני חקיקה), התשע""ט-2019")</f>
        <v>30504</v>
      </c>
      <c r="E15930" t="s">
        <v>30504</v>
      </c>
      <c r="F15930" t="s">
        <v>30544</v>
      </c>
      <c r="G15930" t="s">
        <v>14</v>
      </c>
      <c r="H15930">
             </c>
      <c r="I15930" t="s">
        <v>14</v>
      </c>
      <c r="J15930" t="s">
        <v>141</v>
      </c>
      <c r="K15930" t="s">
        <v>14</v>
      </c>
      <c r="L15930" t="s">
        <v>20</v>
      </c>
      <c r="M15930" t="s">
        <v>30278</v>
      </c>
      <c r="N15930" t="s">
        <v>14</v>
      </c>
    </row>
    <row r="15931" x14ac:dyDescent="0.25">
      <c r="A15931" t="n">
        <v>21</v>
      </c>
      <c r="B15931" t="s">
        <v>14</v>
      </c>
      <c r="C15931" t="s">
        <v>22</v>
      </c>
      <c r="D15931" s="2" t="s">
        <f>=HYPERLINK("https://main.knesset.gov.il/APPS/legislation/main/bills/2079507", "הצעת חוק מיסוי מקרקעין (שבח ורכישה) (תיקון - ביטול הפטור ממס שבח לתושב חוץ), התשע""ט-2019")</f>
        <v>30545</v>
      </c>
      <c r="E15931" t="s">
        <v>30545</v>
      </c>
      <c r="F15931" t="s">
        <v>30546</v>
      </c>
      <c r="G15931" t="s">
        <v>14</v>
      </c>
      <c r="H15931">
             </c>
      <c r="I15931" t="s">
        <v>14</v>
      </c>
      <c r="J15931" t="s">
        <v>141</v>
      </c>
      <c r="K15931" t="s">
        <v>14</v>
      </c>
      <c r="L15931" t="s">
        <v>20</v>
      </c>
      <c r="M15931" t="s">
        <v>30278</v>
      </c>
      <c r="N15931" t="s">
        <v>14</v>
      </c>
    </row>
    <row r="15932" x14ac:dyDescent="0.25">
      <c r="A15932" t="n">
        <v>21</v>
      </c>
      <c r="B15932" t="s">
        <v>14</v>
      </c>
      <c r="C15932" t="s">
        <v>22</v>
      </c>
      <c r="D15932" s="2" t="s">
        <f>=HYPERLINK("https://main.knesset.gov.il/APPS/legislation/main/bills/2079471", "הצעת חוק שירות אזרחי (תיקון - צמצום יכולת ההשפעה של חשודים על התנהלות גוף מוכר), התשע""ט-2019")</f>
        <v>30547</v>
      </c>
      <c r="E15932" t="s">
        <v>30547</v>
      </c>
      <c r="F15932" t="s">
        <v>30548</v>
      </c>
      <c r="G15932" t="s">
        <v>14</v>
      </c>
      <c r="H15932">
             </c>
      <c r="I15932" t="s">
        <v>14</v>
      </c>
      <c r="J15932" t="s">
        <v>141</v>
      </c>
      <c r="K15932" t="s">
        <v>14</v>
      </c>
      <c r="L15932" t="s">
        <v>20</v>
      </c>
      <c r="M15932" t="s">
        <v>30278</v>
      </c>
      <c r="N15932" t="s">
        <v>14</v>
      </c>
    </row>
    <row r="15933" x14ac:dyDescent="0.25">
      <c r="A15933" t="n">
        <v>21</v>
      </c>
      <c r="B15933" t="s">
        <v>14</v>
      </c>
      <c r="C15933" t="s">
        <v>22</v>
      </c>
      <c r="D15933" s="2" t="s">
        <f>=HYPERLINK("https://main.knesset.gov.il/APPS/legislation/main/bills/2079505", "הצעת חוק הרשות לטיפול בנפגעי הלם קרב, התשע""ט-2019")</f>
        <v>30549</v>
      </c>
      <c r="E15933" t="s">
        <v>30549</v>
      </c>
      <c r="F15933" t="s">
        <v>30550</v>
      </c>
      <c r="G15933" t="s">
        <v>14</v>
      </c>
      <c r="H15933">
             </c>
      <c r="I15933" t="s">
        <v>14</v>
      </c>
      <c r="J15933" t="s">
        <v>141</v>
      </c>
      <c r="K15933" t="s">
        <v>14</v>
      </c>
      <c r="L15933" t="s">
        <v>20</v>
      </c>
      <c r="M15933" t="s">
        <v>30278</v>
      </c>
      <c r="N15933" t="s">
        <v>14</v>
      </c>
    </row>
    <row r="15934" x14ac:dyDescent="0.25">
      <c r="A15934" t="n">
        <v>21</v>
      </c>
      <c r="B15934" t="s">
        <v>14</v>
      </c>
      <c r="C15934" t="s">
        <v>22</v>
      </c>
      <c r="D15934" s="2" t="s">
        <f>=HYPERLINK("https://main.knesset.gov.il/APPS/legislation/main/bills/2079469", "הצעת חוק לעידוד השקעות הון (תיקון - תחולה על מפעל תעשייתי ביישובים הסמוכים לגבול עימות בצפון, שדרות ויישובי עוטף עזה), התשע""ט-2019")</f>
        <v>30551</v>
      </c>
      <c r="E15934" t="s">
        <v>30551</v>
      </c>
      <c r="F15934" t="s">
        <v>30552</v>
      </c>
      <c r="G15934" t="s">
        <v>14</v>
      </c>
      <c r="H15934">
             </c>
      <c r="I15934" t="s">
        <v>14</v>
      </c>
      <c r="J15934" t="s">
        <v>141</v>
      </c>
      <c r="K15934" t="s">
        <v>14</v>
      </c>
      <c r="L15934" t="s">
        <v>20</v>
      </c>
      <c r="M15934" t="s">
        <v>30278</v>
      </c>
      <c r="N15934" t="s">
        <v>14</v>
      </c>
    </row>
    <row r="15935" x14ac:dyDescent="0.25">
      <c r="A15935" t="n">
        <v>21</v>
      </c>
      <c r="B15935" t="s">
        <v>14</v>
      </c>
      <c r="C15935" t="s">
        <v>22</v>
      </c>
      <c r="D15935" s="2" t="s">
        <f>=HYPERLINK("https://main.knesset.gov.il/APPS/legislation/main/bills/2079502", "הצעת חוק לתיקון פקודת מס הכנסה (אישור זיכוי מס), התשע""ט-2019")</f>
        <v>30553</v>
      </c>
      <c r="E15935" t="s">
        <v>30553</v>
      </c>
      <c r="F15935" t="s">
        <v>30554</v>
      </c>
      <c r="G15935" t="s">
        <v>14</v>
      </c>
      <c r="H15935">
             </c>
      <c r="I15935" t="s">
        <v>14</v>
      </c>
      <c r="J15935" t="s">
        <v>141</v>
      </c>
      <c r="K15935" t="s">
        <v>14</v>
      </c>
      <c r="L15935" t="s">
        <v>20</v>
      </c>
      <c r="M15935" t="s">
        <v>30278</v>
      </c>
      <c r="N15935" t="s">
        <v>14</v>
      </c>
    </row>
    <row r="15936" x14ac:dyDescent="0.25">
      <c r="A15936" t="n">
        <v>21</v>
      </c>
      <c r="B15936" t="s">
        <v>14</v>
      </c>
      <c r="C15936" t="s">
        <v>22</v>
      </c>
      <c r="D15936" s="2" t="s">
        <f>=HYPERLINK("https://main.knesset.gov.il/APPS/legislation/main/bills/2079467", "הצעת חוק לתיקון פקודת בתי הסוהר (שלילת זכויות יתר מאסיר ביטחוני המשתייך לארגון טרור), התשע""ט-2019")</f>
        <v>30555</v>
      </c>
      <c r="E15936" t="s">
        <v>30555</v>
      </c>
      <c r="F15936" t="s">
        <v>30556</v>
      </c>
      <c r="G15936" t="s">
        <v>14</v>
      </c>
      <c r="H15936">
             </c>
      <c r="I15936" t="s">
        <v>14</v>
      </c>
      <c r="J15936" t="s">
        <v>141</v>
      </c>
      <c r="K15936" t="s">
        <v>14</v>
      </c>
      <c r="L15936" t="s">
        <v>20</v>
      </c>
      <c r="M15936" t="s">
        <v>30278</v>
      </c>
      <c r="N15936" t="s">
        <v>14</v>
      </c>
    </row>
    <row r="15937" x14ac:dyDescent="0.25">
      <c r="A15937" t="n">
        <v>21</v>
      </c>
      <c r="B15937" t="s">
        <v>14</v>
      </c>
      <c r="C15937" t="s">
        <v>22</v>
      </c>
      <c r="D15937" s="2" t="s">
        <f>=HYPERLINK("https://main.knesset.gov.il/APPS/legislation/main/bills/2079465", "הצעת חוק לתיקון פקודת מס הכנסה (פטור ממס למענק כספי בשל הישג בתחרות ספורט), התשע""ט-2019")</f>
        <v>30557</v>
      </c>
      <c r="E15937" t="s">
        <v>30557</v>
      </c>
      <c r="F15937" t="s">
        <v>30558</v>
      </c>
      <c r="G15937" t="s">
        <v>14</v>
      </c>
      <c r="H15937">
             </c>
      <c r="I15937" t="s">
        <v>14</v>
      </c>
      <c r="J15937" t="s">
        <v>141</v>
      </c>
      <c r="K15937" t="s">
        <v>14</v>
      </c>
      <c r="L15937" t="s">
        <v>20</v>
      </c>
      <c r="M15937" t="s">
        <v>30278</v>
      </c>
      <c r="N15937" t="s">
        <v>14</v>
      </c>
    </row>
    <row r="15938" x14ac:dyDescent="0.25">
      <c r="A15938" t="n">
        <v>21</v>
      </c>
      <c r="B15938" t="s">
        <v>14</v>
      </c>
      <c r="C15938" t="s">
        <v>22</v>
      </c>
      <c r="D15938" s="2" t="s">
        <f>=HYPERLINK("https://main.knesset.gov.il/APPS/legislation/main/bills/2079464", "הצעת חוק שירות אזרחי (תיקון - הפסקת פעילותו של גוף מוכר שדיווח דיווחים כוזבים), התשע""ט-2019")</f>
        <v>30559</v>
      </c>
      <c r="E15938" t="s">
        <v>30559</v>
      </c>
      <c r="F15938" t="s">
        <v>30560</v>
      </c>
      <c r="G15938" t="s">
        <v>14</v>
      </c>
      <c r="H15938">
             </c>
      <c r="I15938" t="s">
        <v>14</v>
      </c>
      <c r="J15938" t="s">
        <v>141</v>
      </c>
      <c r="K15938" t="s">
        <v>14</v>
      </c>
      <c r="L15938" t="s">
        <v>20</v>
      </c>
      <c r="M15938" t="s">
        <v>30278</v>
      </c>
      <c r="N15938" t="s">
        <v>14</v>
      </c>
    </row>
    <row r="15939" x14ac:dyDescent="0.25">
      <c r="A15939" t="n">
        <v>21</v>
      </c>
      <c r="B15939" t="s">
        <v>14</v>
      </c>
      <c r="C15939" t="s">
        <v>22</v>
      </c>
      <c r="D15939" s="2" t="s">
        <f>=HYPERLINK("https://main.knesset.gov.il/APPS/legislation/main/bills/2079500", "הצעת חוק הפיקוח על שירותים פיננסיים (עיסוק בייעוץ מימון דיור), התשע""ט-2019")</f>
        <v>30561</v>
      </c>
      <c r="E15939" t="s">
        <v>30561</v>
      </c>
      <c r="F15939" t="s">
        <v>30562</v>
      </c>
      <c r="G15939" t="s">
        <v>14</v>
      </c>
      <c r="H15939">
             </c>
      <c r="I15939" t="s">
        <v>14</v>
      </c>
      <c r="J15939" t="s">
        <v>141</v>
      </c>
      <c r="K15939" t="s">
        <v>14</v>
      </c>
      <c r="L15939" t="s">
        <v>20</v>
      </c>
      <c r="M15939" t="s">
        <v>30278</v>
      </c>
      <c r="N15939" t="s">
        <v>14</v>
      </c>
    </row>
    <row r="15940" x14ac:dyDescent="0.25">
      <c r="A15940" t="n">
        <v>21</v>
      </c>
      <c r="B15940" t="s">
        <v>14</v>
      </c>
      <c r="C15940" t="s">
        <v>22</v>
      </c>
      <c r="D15940" s="2" t="s">
        <f>=HYPERLINK("https://main.knesset.gov.il/APPS/legislation/main/bills/2079499", "הצעת חוק המוסד העליון ללשון העברית (תיקון - הנגשת מאגרים), התשע""ט-2019")</f>
        <v>30563</v>
      </c>
      <c r="E15940" t="s">
        <v>30563</v>
      </c>
      <c r="F15940" t="s">
        <v>30564</v>
      </c>
      <c r="G15940" t="s">
        <v>14</v>
      </c>
      <c r="H15940">
             </c>
      <c r="I15940" t="s">
        <v>14</v>
      </c>
      <c r="J15940" t="s">
        <v>141</v>
      </c>
      <c r="K15940" t="s">
        <v>14</v>
      </c>
      <c r="L15940" t="s">
        <v>20</v>
      </c>
      <c r="M15940" t="s">
        <v>30278</v>
      </c>
      <c r="N15940" t="s">
        <v>14</v>
      </c>
    </row>
    <row r="15941" x14ac:dyDescent="0.25">
      <c r="A15941" t="n">
        <v>21</v>
      </c>
      <c r="B15941" t="s">
        <v>14</v>
      </c>
      <c r="C15941" t="s">
        <v>22</v>
      </c>
      <c r="D15941" s="2" t="s">
        <f>=HYPERLINK("https://main.knesset.gov.il/APPS/legislation/main/bills/2079462", "הצעת חוק למניעת התנכלות תעסוקתית, התשע""ט-2019")</f>
        <v>30565</v>
      </c>
      <c r="E15941" t="s">
        <v>30565</v>
      </c>
      <c r="F15941" t="s">
        <v>30566</v>
      </c>
      <c r="G15941" t="s">
        <v>14</v>
      </c>
      <c r="H15941">
             </c>
      <c r="I15941" t="s">
        <v>14</v>
      </c>
      <c r="J15941" t="s">
        <v>141</v>
      </c>
      <c r="K15941" t="s">
        <v>14</v>
      </c>
      <c r="L15941" t="s">
        <v>20</v>
      </c>
      <c r="M15941" t="s">
        <v>30278</v>
      </c>
      <c r="N15941" t="s">
        <v>14</v>
      </c>
    </row>
    <row r="15942" x14ac:dyDescent="0.25">
      <c r="A15942" t="n">
        <v>21</v>
      </c>
      <c r="B15942" t="s">
        <v>14</v>
      </c>
      <c r="C15942" t="s">
        <v>22</v>
      </c>
      <c r="D15942" s="2" t="s">
        <f>=HYPERLINK("https://main.knesset.gov.il/APPS/legislation/main/bills/2079455", "הצעת חוק מיסוי מקרקעין (שבח ורכישה) (תיקון - אי תחולת פטור ממס שבח על מי שהשכיר דירת מגורים לשוהה שלא כדין), התשע""ט-2019")</f>
        <v>30567</v>
      </c>
      <c r="E15942" t="s">
        <v>30567</v>
      </c>
      <c r="F15942" t="s">
        <v>30568</v>
      </c>
      <c r="G15942" t="s">
        <v>14</v>
      </c>
      <c r="H15942">
             </c>
      <c r="I15942" t="s">
        <v>14</v>
      </c>
      <c r="J15942" t="s">
        <v>141</v>
      </c>
      <c r="K15942" t="s">
        <v>14</v>
      </c>
      <c r="L15942" t="s">
        <v>20</v>
      </c>
      <c r="M15942" t="s">
        <v>30278</v>
      </c>
      <c r="N15942" t="s">
        <v>14</v>
      </c>
    </row>
    <row r="15943" x14ac:dyDescent="0.25">
      <c r="A15943" t="n">
        <v>21</v>
      </c>
      <c r="B15943" t="s">
        <v>14</v>
      </c>
      <c r="C15943" t="s">
        <v>22</v>
      </c>
      <c r="D15943" s="2" t="s">
        <f>=HYPERLINK("https://main.knesset.gov.il/APPS/legislation/main/bills/2079329", "הצעת חוק צער בעלי חיים (הגנה על בעלי חיים) (תיקון - איסור משלוחים חיים לשחיטה), התשע""ט-2019")</f>
        <v>30569</v>
      </c>
      <c r="E15943" t="s">
        <v>30569</v>
      </c>
      <c r="F15943" t="s">
        <v>30570</v>
      </c>
      <c r="G15943" t="s">
        <v>14</v>
      </c>
      <c r="H15943">
             </c>
      <c r="I15943" t="s">
        <v>14</v>
      </c>
      <c r="J15943" t="s">
        <v>141</v>
      </c>
      <c r="K15943" t="s">
        <v>14</v>
      </c>
      <c r="L15943" t="s">
        <v>20</v>
      </c>
      <c r="M15943" t="s">
        <v>30278</v>
      </c>
      <c r="N15943" t="s">
        <v>14</v>
      </c>
    </row>
    <row r="15944" x14ac:dyDescent="0.25">
      <c r="A15944" t="n">
        <v>21</v>
      </c>
      <c r="B15944" t="s">
        <v>14</v>
      </c>
      <c r="C15944" t="s">
        <v>22</v>
      </c>
      <c r="D15944" s="2" t="s">
        <f>=HYPERLINK("https://main.knesset.gov.il/APPS/legislation/main/bills/2079447", "הצעת חוק הביטוח הלאומי (תיקון - שמירה חקלאית כעבודה מועדפת), התשע""ט-2019")</f>
        <v>30571</v>
      </c>
      <c r="E15944" t="s">
        <v>30571</v>
      </c>
      <c r="F15944" t="s">
        <v>30572</v>
      </c>
      <c r="G15944" t="s">
        <v>14</v>
      </c>
      <c r="H15944">
             </c>
      <c r="I15944" t="s">
        <v>14</v>
      </c>
      <c r="J15944" t="s">
        <v>141</v>
      </c>
      <c r="K15944" t="s">
        <v>14</v>
      </c>
      <c r="L15944" t="s">
        <v>20</v>
      </c>
      <c r="M15944" t="s">
        <v>30278</v>
      </c>
      <c r="N15944" t="s">
        <v>14</v>
      </c>
    </row>
    <row r="15945" x14ac:dyDescent="0.25">
      <c r="A15945" t="n">
        <v>21</v>
      </c>
      <c r="B15945" t="s">
        <v>14</v>
      </c>
      <c r="C15945" t="s">
        <v>22</v>
      </c>
      <c r="D15945" s="2" t="s">
        <f>=HYPERLINK("https://main.knesset.gov.il/APPS/legislation/main/bills/2079440", "הצעת חוק הביטוח הלאומי (תיקון - עבודות טבחות, תחזוקה וניקיון במסעדות ובתי אוכל כעבודה מועדפת), התשע""ט-2019")</f>
        <v>30573</v>
      </c>
      <c r="E15945" t="s">
        <v>30573</v>
      </c>
      <c r="F15945" t="s">
        <v>30574</v>
      </c>
      <c r="G15945" t="s">
        <v>14</v>
      </c>
      <c r="H15945">
             </c>
      <c r="I15945" t="s">
        <v>14</v>
      </c>
      <c r="J15945" t="s">
        <v>141</v>
      </c>
      <c r="K15945" t="s">
        <v>14</v>
      </c>
      <c r="L15945" t="s">
        <v>20</v>
      </c>
      <c r="M15945" t="s">
        <v>30278</v>
      </c>
      <c r="N15945" t="s">
        <v>14</v>
      </c>
    </row>
    <row r="15946" x14ac:dyDescent="0.25">
      <c r="A15946" t="n">
        <v>21</v>
      </c>
      <c r="B15946" t="s">
        <v>14</v>
      </c>
      <c r="C15946" t="s">
        <v>22</v>
      </c>
      <c r="D15946" s="2" t="s">
        <f>=HYPERLINK("https://main.knesset.gov.il/APPS/legislation/main/bills/2079982", "הצעת חוק צער בעלי חיים (הגנה על בעלי חיים) (תיקון - איסור משלוחים חיים לשחיטה), התשע""ט-2019")</f>
        <v>30569</v>
      </c>
      <c r="E15946" t="s">
        <v>30569</v>
      </c>
      <c r="F15946" t="s">
        <v>30575</v>
      </c>
      <c r="G15946" t="s">
        <v>14</v>
      </c>
      <c r="H15946">
             </c>
      <c r="I15946" t="s">
        <v>14</v>
      </c>
      <c r="J15946" t="s">
        <v>141</v>
      </c>
      <c r="K15946" t="s">
        <v>14</v>
      </c>
      <c r="L15946" t="s">
        <v>20</v>
      </c>
      <c r="M15946" t="s">
        <v>30278</v>
      </c>
      <c r="N15946" t="s">
        <v>14</v>
      </c>
    </row>
    <row r="15947" x14ac:dyDescent="0.25">
      <c r="A15947" t="n">
        <v>21</v>
      </c>
      <c r="B15947" t="s">
        <v>14</v>
      </c>
      <c r="C15947" t="s">
        <v>22</v>
      </c>
      <c r="D15947" s="2" t="s">
        <f>=HYPERLINK("https://main.knesset.gov.il/APPS/legislation/main/bills/2079435", "הצעת חוק מס הכנסה (פטור ממס על הכנסה מהשכרת דירת מגורים) (תיקון - אי תחולת הפטור ממס על מי שהשכיר דירת מגורים לשוהים שלא כדין), התשע""ט-2019")</f>
        <v>30576</v>
      </c>
      <c r="E15947" t="s">
        <v>30576</v>
      </c>
      <c r="F15947" t="s">
        <v>30577</v>
      </c>
      <c r="G15947" t="s">
        <v>14</v>
      </c>
      <c r="H15947">
             </c>
      <c r="I15947" t="s">
        <v>14</v>
      </c>
      <c r="J15947" t="s">
        <v>141</v>
      </c>
      <c r="K15947" t="s">
        <v>14</v>
      </c>
      <c r="L15947" t="s">
        <v>20</v>
      </c>
      <c r="M15947" t="s">
        <v>30278</v>
      </c>
      <c r="N15947" t="s">
        <v>14</v>
      </c>
    </row>
    <row r="15948" x14ac:dyDescent="0.25">
      <c r="A15948" t="n">
        <v>21</v>
      </c>
      <c r="B15948" t="s">
        <v>14</v>
      </c>
      <c r="C15948" t="s">
        <v>22</v>
      </c>
      <c r="D15948" s="2" t="s">
        <f>=HYPERLINK("https://main.knesset.gov.il/APPS/legislation/main/bills/2078753", "הצעת חוק צער בעלי חיים (הגנה על בעלי חיים) (תיקון - איסור משלוחים חיים לשחיטה), התשע""ט-2019")</f>
        <v>30569</v>
      </c>
      <c r="E15948" t="s">
        <v>30569</v>
      </c>
      <c r="F15948" t="s">
        <v>30578</v>
      </c>
      <c r="G15948" t="s">
        <v>14</v>
      </c>
      <c r="H15948">
             </c>
      <c r="I15948" t="s">
        <v>14</v>
      </c>
      <c r="J15948" t="s">
        <v>141</v>
      </c>
      <c r="K15948" t="s">
        <v>14</v>
      </c>
      <c r="L15948" t="s">
        <v>20</v>
      </c>
      <c r="M15948" t="s">
        <v>30278</v>
      </c>
      <c r="N15948" t="s">
        <v>14</v>
      </c>
    </row>
    <row r="15949" x14ac:dyDescent="0.25">
      <c r="A15949" t="n">
        <v>21</v>
      </c>
      <c r="B15949" t="s">
        <v>14</v>
      </c>
      <c r="C15949" t="s">
        <v>22</v>
      </c>
      <c r="D15949" s="2" t="s">
        <f>=HYPERLINK("https://main.knesset.gov.il/APPS/legislation/main/bills/2079483", "הצעת חוק צער בעלי חיים (הגנה על בעלי חיים) (תיקון - איסור משלוחים חיים לשחיטה), התשע""ט-2019")</f>
        <v>30569</v>
      </c>
      <c r="E15949" t="s">
        <v>30569</v>
      </c>
      <c r="F15949" t="s">
        <v>30579</v>
      </c>
      <c r="G15949" t="s">
        <v>14</v>
      </c>
      <c r="H15949">
             </c>
      <c r="I15949" t="s">
        <v>14</v>
      </c>
      <c r="J15949" t="s">
        <v>141</v>
      </c>
      <c r="K15949" t="s">
        <v>14</v>
      </c>
      <c r="L15949" t="s">
        <v>20</v>
      </c>
      <c r="M15949" t="s">
        <v>30278</v>
      </c>
      <c r="N15949" t="s">
        <v>14</v>
      </c>
    </row>
    <row r="15950" x14ac:dyDescent="0.25">
      <c r="A15950" t="n">
        <v>21</v>
      </c>
      <c r="B15950" t="s">
        <v>14</v>
      </c>
      <c r="C15950" t="s">
        <v>22</v>
      </c>
      <c r="D15950" s="2" t="s">
        <f>=HYPERLINK("https://main.knesset.gov.il/APPS/legislation/main/bills/2079430", "הצעת חוק מיסוי מקרקעין (שבח ורכישה) (תיקון - חזקת דירה יחידה), התשע""ט-2019")</f>
        <v>30580</v>
      </c>
      <c r="E15950" t="s">
        <v>30580</v>
      </c>
      <c r="F15950" t="s">
        <v>30581</v>
      </c>
      <c r="G15950" t="s">
        <v>14</v>
      </c>
      <c r="H15950">
             </c>
      <c r="I15950" t="s">
        <v>14</v>
      </c>
      <c r="J15950" t="s">
        <v>141</v>
      </c>
      <c r="K15950" t="s">
        <v>14</v>
      </c>
      <c r="L15950" t="s">
        <v>20</v>
      </c>
      <c r="M15950" t="s">
        <v>30278</v>
      </c>
      <c r="N15950" t="s">
        <v>14</v>
      </c>
    </row>
    <row r="15951" x14ac:dyDescent="0.25">
      <c r="A15951" t="n">
        <v>21</v>
      </c>
      <c r="B15951" t="s">
        <v>14</v>
      </c>
      <c r="C15951" t="s">
        <v>22</v>
      </c>
      <c r="D15951" s="2" t="s">
        <f>=HYPERLINK("https://main.knesset.gov.il/APPS/legislation/main/bills/2079427", "הצעת חוק שכר מינימום (תיקון - שכר אחיד לעובד צעיר), התשע""ט-2019")</f>
        <v>30582</v>
      </c>
      <c r="E15951" t="s">
        <v>30582</v>
      </c>
      <c r="F15951" t="s">
        <v>30583</v>
      </c>
      <c r="G15951" t="s">
        <v>14</v>
      </c>
      <c r="H15951">
             </c>
      <c r="I15951" t="s">
        <v>14</v>
      </c>
      <c r="J15951" t="s">
        <v>141</v>
      </c>
      <c r="K15951" t="s">
        <v>14</v>
      </c>
      <c r="L15951" t="s">
        <v>20</v>
      </c>
      <c r="M15951" t="s">
        <v>30278</v>
      </c>
      <c r="N15951" t="s">
        <v>14</v>
      </c>
    </row>
    <row r="15952" x14ac:dyDescent="0.25">
      <c r="A15952" t="n">
        <v>21</v>
      </c>
      <c r="B15952" t="s">
        <v>14</v>
      </c>
      <c r="C15952" t="s">
        <v>22</v>
      </c>
      <c r="D15952" s="2" t="s">
        <f>=HYPERLINK("https://main.knesset.gov.il/APPS/legislation/main/bills/2078810", "הצעת חוק צער בעלי חיים (הגנה על בעלי חיים) (תיקון - איסור משלוחים חיים לשחיטה), התשע""ט-2019")</f>
        <v>30569</v>
      </c>
      <c r="E15952" t="s">
        <v>30569</v>
      </c>
      <c r="F15952" t="s">
        <v>30584</v>
      </c>
      <c r="G15952" t="s">
        <v>14</v>
      </c>
      <c r="H15952">
             </c>
      <c r="I15952" t="s">
        <v>14</v>
      </c>
      <c r="J15952" t="s">
        <v>141</v>
      </c>
      <c r="K15952" t="s">
        <v>14</v>
      </c>
      <c r="L15952" t="s">
        <v>20</v>
      </c>
      <c r="M15952" t="s">
        <v>30278</v>
      </c>
      <c r="N15952" t="s">
        <v>14</v>
      </c>
    </row>
    <row r="15953" x14ac:dyDescent="0.25">
      <c r="A15953" t="n">
        <v>21</v>
      </c>
      <c r="B15953" t="s">
        <v>14</v>
      </c>
      <c r="C15953" t="s">
        <v>22</v>
      </c>
      <c r="D15953" s="2" t="s">
        <f>=HYPERLINK("https://main.knesset.gov.il/APPS/legislation/main/bills/2079418", "הצעת חוק לתיקון פקודת מס הכנסה (חישוב שווי שימוש ברכב לשומרי שבת וחג), התשע""ט-2019")</f>
        <v>30585</v>
      </c>
      <c r="E15953" t="s">
        <v>30585</v>
      </c>
      <c r="F15953" t="s">
        <v>30586</v>
      </c>
      <c r="G15953" t="s">
        <v>14</v>
      </c>
      <c r="H15953">
             </c>
      <c r="I15953" t="s">
        <v>14</v>
      </c>
      <c r="J15953" t="s">
        <v>141</v>
      </c>
      <c r="K15953" t="s">
        <v>14</v>
      </c>
      <c r="L15953" t="s">
        <v>20</v>
      </c>
      <c r="M15953" t="s">
        <v>30278</v>
      </c>
      <c r="N15953" t="s">
        <v>14</v>
      </c>
    </row>
    <row r="15954" x14ac:dyDescent="0.25">
      <c r="A15954" t="n">
        <v>21</v>
      </c>
      <c r="B15954" t="s">
        <v>14</v>
      </c>
      <c r="C15954" t="s">
        <v>22</v>
      </c>
      <c r="D15954" s="2" t="s">
        <f>=HYPERLINK("https://main.knesset.gov.il/APPS/legislation/main/bills/2079408", "הצעת חוק החלת הריבונות של מדינת ישראל על אזור יהודה והשומרון, התשע""ט-2019")</f>
        <v>30587</v>
      </c>
      <c r="E15954" t="s">
        <v>30587</v>
      </c>
      <c r="F15954" t="s">
        <v>30588</v>
      </c>
      <c r="G15954" t="s">
        <v>14</v>
      </c>
      <c r="H15954">
             </c>
      <c r="I15954" t="s">
        <v>14</v>
      </c>
      <c r="J15954" t="s">
        <v>141</v>
      </c>
      <c r="K15954" t="s">
        <v>14</v>
      </c>
      <c r="L15954" t="s">
        <v>20</v>
      </c>
      <c r="M15954" t="s">
        <v>30278</v>
      </c>
      <c r="N15954" t="s">
        <v>14</v>
      </c>
    </row>
    <row r="15955" x14ac:dyDescent="0.25">
      <c r="A15955" t="n">
        <v>21</v>
      </c>
      <c r="B15955" t="s">
        <v>14</v>
      </c>
      <c r="C15955" t="s">
        <v>22</v>
      </c>
      <c r="D15955" s="2" t="s">
        <f>=HYPERLINK("https://main.knesset.gov.il/APPS/legislation/main/bills/2079404", "הצעת חוק לתיקון פקודת מס הכנסה (ניכוי תשלומים לביטוח בריאות לעצמאים), התשע""ט-2019")</f>
        <v>30589</v>
      </c>
      <c r="E15955" t="s">
        <v>30589</v>
      </c>
      <c r="F15955" t="s">
        <v>30590</v>
      </c>
      <c r="G15955" t="s">
        <v>14</v>
      </c>
      <c r="H15955">
             </c>
      <c r="I15955" t="s">
        <v>14</v>
      </c>
      <c r="J15955" t="s">
        <v>141</v>
      </c>
      <c r="K15955" t="s">
        <v>14</v>
      </c>
      <c r="L15955" t="s">
        <v>20</v>
      </c>
      <c r="M15955" t="s">
        <v>30278</v>
      </c>
      <c r="N15955" t="s">
        <v>14</v>
      </c>
    </row>
    <row r="15956" x14ac:dyDescent="0.25">
      <c r="A15956" t="n">
        <v>21</v>
      </c>
      <c r="B15956" t="s">
        <v>14</v>
      </c>
      <c r="C15956" t="s">
        <v>22</v>
      </c>
      <c r="D15956" s="2" t="s">
        <f>=HYPERLINK("https://main.knesset.gov.il/APPS/legislation/main/bills/2079400", "הצעת חוק פיצויי פיטורים (תיקון - התפטרות בשל לימודים במכינה קדם-צבאית), התשע""ט-2019")</f>
        <v>30591</v>
      </c>
      <c r="E15956" t="s">
        <v>30591</v>
      </c>
      <c r="F15956" t="s">
        <v>30592</v>
      </c>
      <c r="G15956" t="s">
        <v>14</v>
      </c>
      <c r="H15956">
             </c>
      <c r="I15956" t="s">
        <v>14</v>
      </c>
      <c r="J15956" t="s">
        <v>141</v>
      </c>
      <c r="K15956" t="s">
        <v>14</v>
      </c>
      <c r="L15956" t="s">
        <v>20</v>
      </c>
      <c r="M15956" t="s">
        <v>30278</v>
      </c>
      <c r="N15956" t="s">
        <v>14</v>
      </c>
    </row>
    <row r="15957" x14ac:dyDescent="0.25">
      <c r="A15957" t="n">
        <v>21</v>
      </c>
      <c r="B15957" t="s">
        <v>14</v>
      </c>
      <c r="C15957" t="s">
        <v>22</v>
      </c>
      <c r="D15957" s="2" t="s">
        <f>=HYPERLINK("https://main.knesset.gov.il/APPS/legislation/main/bills/2079819", "הצעת חוק לימוד חובה (תיקון - תקופת שנת הלימודים וחופשות), התשע""ט-2019")</f>
        <v>30593</v>
      </c>
      <c r="E15957" t="s">
        <v>30593</v>
      </c>
      <c r="F15957" t="s">
        <v>30594</v>
      </c>
      <c r="G15957" t="s">
        <v>14</v>
      </c>
      <c r="H15957">
             </c>
      <c r="I15957" t="s">
        <v>14</v>
      </c>
      <c r="J15957" t="s">
        <v>141</v>
      </c>
      <c r="K15957" t="s">
        <v>14</v>
      </c>
      <c r="L15957" t="s">
        <v>20</v>
      </c>
      <c r="M15957" t="s">
        <v>30278</v>
      </c>
      <c r="N15957" t="s">
        <v>14</v>
      </c>
    </row>
    <row r="15958" x14ac:dyDescent="0.25">
      <c r="A15958" t="n">
        <v>21</v>
      </c>
      <c r="B15958" t="s">
        <v>14</v>
      </c>
      <c r="C15958" t="s">
        <v>22</v>
      </c>
      <c r="D15958" s="2" t="s">
        <f>=HYPERLINK("https://main.knesset.gov.il/APPS/legislation/main/bills/2079397", "הצעת חוק הביטוח הלאומי (תיקון - הוספת ענפי ההסעדה והאבטחה ביישובי הגליל והנגב לרשימת העבודות המועדפות), התשע""ט-2019")</f>
        <v>30595</v>
      </c>
      <c r="E15958" t="s">
        <v>30595</v>
      </c>
      <c r="F15958" t="s">
        <v>30596</v>
      </c>
      <c r="G15958" t="s">
        <v>14</v>
      </c>
      <c r="H15958">
             </c>
      <c r="I15958" t="s">
        <v>14</v>
      </c>
      <c r="J15958" t="s">
        <v>141</v>
      </c>
      <c r="K15958" t="s">
        <v>14</v>
      </c>
      <c r="L15958" t="s">
        <v>20</v>
      </c>
      <c r="M15958" t="s">
        <v>30278</v>
      </c>
      <c r="N15958" t="s">
        <v>14</v>
      </c>
    </row>
    <row r="15959" x14ac:dyDescent="0.25">
      <c r="A15959" t="n">
        <v>21</v>
      </c>
      <c r="B15959" t="s">
        <v>14</v>
      </c>
      <c r="C15959" t="s">
        <v>22</v>
      </c>
      <c r="D15959" s="2" t="s">
        <f>=HYPERLINK("https://main.knesset.gov.il/APPS/legislation/main/bills/2079398", "הצעת חוק לתיקון פקודת מס הכנסה (קיזוז הפסדים), התשע""ט-2019")</f>
        <v>30597</v>
      </c>
      <c r="E15959" t="s">
        <v>30597</v>
      </c>
      <c r="F15959" t="s">
        <v>30598</v>
      </c>
      <c r="G15959" t="s">
        <v>14</v>
      </c>
      <c r="H15959">
             </c>
      <c r="I15959" t="s">
        <v>14</v>
      </c>
      <c r="J15959" t="s">
        <v>141</v>
      </c>
      <c r="K15959" t="s">
        <v>14</v>
      </c>
      <c r="L15959" t="s">
        <v>20</v>
      </c>
      <c r="M15959" t="s">
        <v>30278</v>
      </c>
      <c r="N15959" t="s">
        <v>14</v>
      </c>
    </row>
    <row r="15960" x14ac:dyDescent="0.25">
      <c r="A15960" t="n">
        <v>21</v>
      </c>
      <c r="B15960" t="s">
        <v>14</v>
      </c>
      <c r="C15960" t="s">
        <v>22</v>
      </c>
      <c r="D15960" s="2" t="s">
        <f>=HYPERLINK("https://main.knesset.gov.il/APPS/legislation/main/bills/2079394", "הצעת חוק לתיקון פקודת מס הכנסה (ניכוי תשלומים לעצמאים), התשע""ט-2019")</f>
        <v>30599</v>
      </c>
      <c r="E15960" t="s">
        <v>30599</v>
      </c>
      <c r="F15960" t="s">
        <v>30600</v>
      </c>
      <c r="G15960" t="s">
        <v>14</v>
      </c>
      <c r="H15960">
             </c>
      <c r="I15960" t="s">
        <v>14</v>
      </c>
      <c r="J15960" t="s">
        <v>141</v>
      </c>
      <c r="K15960" t="s">
        <v>14</v>
      </c>
      <c r="L15960" t="s">
        <v>20</v>
      </c>
      <c r="M15960" t="s">
        <v>30278</v>
      </c>
      <c r="N15960" t="s">
        <v>14</v>
      </c>
    </row>
    <row r="15961" x14ac:dyDescent="0.25">
      <c r="A15961" t="n">
        <v>21</v>
      </c>
      <c r="B15961" t="s">
        <v>14</v>
      </c>
      <c r="C15961" t="s">
        <v>22</v>
      </c>
      <c r="D15961" s="2" t="s">
        <f>=HYPERLINK("https://main.knesset.gov.il/APPS/legislation/main/bills/2079386", "הצעת חוק המשתתף החופשי, התשע""ט-2019")</f>
        <v>30601</v>
      </c>
      <c r="E15961" t="s">
        <v>30601</v>
      </c>
      <c r="F15961" t="s">
        <v>30602</v>
      </c>
      <c r="G15961" t="s">
        <v>14</v>
      </c>
      <c r="H15961">
             </c>
      <c r="I15961" t="s">
        <v>14</v>
      </c>
      <c r="J15961" t="s">
        <v>141</v>
      </c>
      <c r="K15961" t="s">
        <v>14</v>
      </c>
      <c r="L15961" t="s">
        <v>20</v>
      </c>
      <c r="M15961" t="s">
        <v>30278</v>
      </c>
      <c r="N15961" t="s">
        <v>14</v>
      </c>
    </row>
    <row r="15962" x14ac:dyDescent="0.25">
      <c r="A15962" t="n">
        <v>21</v>
      </c>
      <c r="B15962" t="s">
        <v>14</v>
      </c>
      <c r="C15962" t="s">
        <v>22</v>
      </c>
      <c r="D15962" s="2" t="s">
        <f>=HYPERLINK("https://main.knesset.gov.il/APPS/legislation/main/bills/2079377", "הצעת חוק עבודת נשים (תיקון - הארכת תקופת לידה והורות בתשלום), התשע""ט-2019")</f>
        <v>30603</v>
      </c>
      <c r="E15962" t="s">
        <v>30603</v>
      </c>
      <c r="F15962" t="s">
        <v>30604</v>
      </c>
      <c r="G15962" t="s">
        <v>14</v>
      </c>
      <c r="H15962">
             </c>
      <c r="I15962" t="s">
        <v>14</v>
      </c>
      <c r="J15962" t="s">
        <v>141</v>
      </c>
      <c r="K15962" t="s">
        <v>14</v>
      </c>
      <c r="L15962" t="s">
        <v>20</v>
      </c>
      <c r="M15962" t="s">
        <v>30278</v>
      </c>
      <c r="N15962" t="s">
        <v>14</v>
      </c>
    </row>
    <row r="15963" x14ac:dyDescent="0.25">
      <c r="A15963" t="n">
        <v>21</v>
      </c>
      <c r="B15963" t="s">
        <v>14</v>
      </c>
      <c r="C15963" t="s">
        <v>22</v>
      </c>
      <c r="D15963" s="2" t="s">
        <f>=HYPERLINK("https://main.knesset.gov.il/APPS/legislation/main/bills/2079374", "הצעת חוק להנצחת זכרו של רחבעם זאבי (תיקון - ביטול החוק), התשע""ט-2019")</f>
        <v>30605</v>
      </c>
      <c r="E15963" t="s">
        <v>30605</v>
      </c>
      <c r="F15963" t="s">
        <v>30606</v>
      </c>
      <c r="G15963" t="s">
        <v>14</v>
      </c>
      <c r="H15963">
             </c>
      <c r="I15963" t="s">
        <v>14</v>
      </c>
      <c r="J15963" t="s">
        <v>141</v>
      </c>
      <c r="K15963" t="s">
        <v>14</v>
      </c>
      <c r="L15963" t="s">
        <v>20</v>
      </c>
      <c r="M15963" t="s">
        <v>30278</v>
      </c>
      <c r="N15963" t="s">
        <v>14</v>
      </c>
    </row>
    <row r="15964" x14ac:dyDescent="0.25">
      <c r="A15964" t="n">
        <v>21</v>
      </c>
      <c r="B15964" t="s">
        <v>14</v>
      </c>
      <c r="C15964" t="s">
        <v>22</v>
      </c>
      <c r="D15964" s="2" t="s">
        <f>=HYPERLINK("https://main.knesset.gov.il/APPS/legislation/main/bills/2079383", "הצעת חוק יישוב סכסוכי עבודה (תיקון - סכסוך עבודה פוליטי), התשע""ט-2019")</f>
        <v>30607</v>
      </c>
      <c r="E15964" t="s">
        <v>30607</v>
      </c>
      <c r="F15964" t="s">
        <v>30608</v>
      </c>
      <c r="G15964" t="s">
        <v>14</v>
      </c>
      <c r="H15964">
             </c>
      <c r="I15964" t="s">
        <v>14</v>
      </c>
      <c r="J15964" t="s">
        <v>141</v>
      </c>
      <c r="K15964" t="s">
        <v>14</v>
      </c>
      <c r="L15964" t="s">
        <v>20</v>
      </c>
      <c r="M15964" t="s">
        <v>30278</v>
      </c>
      <c r="N15964" t="s">
        <v>14</v>
      </c>
    </row>
    <row r="15965" x14ac:dyDescent="0.25">
      <c r="A15965" t="n">
        <v>21</v>
      </c>
      <c r="B15965" t="s">
        <v>14</v>
      </c>
      <c r="C15965" t="s">
        <v>22</v>
      </c>
      <c r="D15965" s="2" t="s">
        <f>=HYPERLINK("https://main.knesset.gov.il/APPS/legislation/main/bills/2079321", "הצעת חוק הבטחת הכנסה (תיקון - מענק קירור), התשע""ט-2019")</f>
        <v>30609</v>
      </c>
      <c r="E15965" t="s">
        <v>30609</v>
      </c>
      <c r="F15965" t="s">
        <v>30610</v>
      </c>
      <c r="G15965" t="s">
        <v>14</v>
      </c>
      <c r="H15965">
             </c>
      <c r="I15965" t="s">
        <v>14</v>
      </c>
      <c r="J15965" t="s">
        <v>141</v>
      </c>
      <c r="K15965" t="s">
        <v>14</v>
      </c>
      <c r="L15965" t="s">
        <v>20</v>
      </c>
      <c r="M15965" t="s">
        <v>30278</v>
      </c>
      <c r="N15965" t="s">
        <v>14</v>
      </c>
    </row>
    <row r="15966" x14ac:dyDescent="0.25">
      <c r="A15966" t="n">
        <v>21</v>
      </c>
      <c r="B15966" t="s">
        <v>14</v>
      </c>
      <c r="C15966" t="s">
        <v>22</v>
      </c>
      <c r="D15966" s="2" t="s">
        <f>=HYPERLINK("https://main.knesset.gov.il/APPS/legislation/main/bills/2079203", "הצעת חוק לימוד חובה (תיקון - תקופת שנת הלימודים וחופשות), התשע""ט-2019")</f>
        <v>30593</v>
      </c>
      <c r="E15966" t="s">
        <v>30593</v>
      </c>
      <c r="F15966" t="s">
        <v>30611</v>
      </c>
      <c r="G15966" t="s">
        <v>14</v>
      </c>
      <c r="H15966">
             </c>
      <c r="I15966" t="s">
        <v>14</v>
      </c>
      <c r="J15966" t="s">
        <v>141</v>
      </c>
      <c r="K15966" t="s">
        <v>14</v>
      </c>
      <c r="L15966" t="s">
        <v>20</v>
      </c>
      <c r="M15966" t="s">
        <v>30278</v>
      </c>
      <c r="N15966" t="s">
        <v>14</v>
      </c>
    </row>
    <row r="15967" x14ac:dyDescent="0.25">
      <c r="A15967" t="n">
        <v>21</v>
      </c>
      <c r="B15967" t="s">
        <v>14</v>
      </c>
      <c r="C15967" t="s">
        <v>22</v>
      </c>
      <c r="D15967" s="2" t="s">
        <f>=HYPERLINK("https://main.knesset.gov.il/APPS/legislation/main/bills/2079320", "הצעת חוק הבטחת הכנסה (תיקון - תשלום רטרואקטיבי של גמלת הבטחת הכנסה למקבלי קצבת אזרח ותיק), התשע""ט-2019")</f>
        <v>30612</v>
      </c>
      <c r="E15967" t="s">
        <v>30612</v>
      </c>
      <c r="F15967" t="s">
        <v>30613</v>
      </c>
      <c r="G15967" t="s">
        <v>14</v>
      </c>
      <c r="H15967">
             </c>
      <c r="I15967" t="s">
        <v>14</v>
      </c>
      <c r="J15967" t="s">
        <v>141</v>
      </c>
      <c r="K15967" t="s">
        <v>14</v>
      </c>
      <c r="L15967" t="s">
        <v>20</v>
      </c>
      <c r="M15967" t="s">
        <v>30278</v>
      </c>
      <c r="N15967" t="s">
        <v>14</v>
      </c>
    </row>
    <row r="15968" x14ac:dyDescent="0.25">
      <c r="A15968" t="n">
        <v>21</v>
      </c>
      <c r="B15968" t="s">
        <v>14</v>
      </c>
      <c r="C15968" t="s">
        <v>22</v>
      </c>
      <c r="D15968" s="2" t="s">
        <f>=HYPERLINK("https://main.knesset.gov.il/APPS/legislation/main/bills/2079319", "הצעת חוק הספורט (תיקון - מועדונים שומרי שבת), התשע""ט-2019")</f>
        <v>30614</v>
      </c>
      <c r="E15968" t="s">
        <v>30614</v>
      </c>
      <c r="F15968" t="s">
        <v>30615</v>
      </c>
      <c r="G15968" t="s">
        <v>14</v>
      </c>
      <c r="H15968">
             </c>
      <c r="I15968" t="s">
        <v>14</v>
      </c>
      <c r="J15968" t="s">
        <v>141</v>
      </c>
      <c r="K15968" t="s">
        <v>14</v>
      </c>
      <c r="L15968" t="s">
        <v>20</v>
      </c>
      <c r="M15968" t="s">
        <v>30278</v>
      </c>
      <c r="N15968" t="s">
        <v>14</v>
      </c>
    </row>
    <row r="15969" x14ac:dyDescent="0.25">
      <c r="A15969" t="n">
        <v>21</v>
      </c>
      <c r="B15969" t="s">
        <v>14</v>
      </c>
      <c r="C15969" t="s">
        <v>22</v>
      </c>
      <c r="D15969" s="2" t="s">
        <f>=HYPERLINK("https://main.knesset.gov.il/APPS/legislation/main/bills/2079317", "הצעת חוק הביטוח הלאומי (תיקון - גמלת אבל), התשע""ט-2019")</f>
        <v>30616</v>
      </c>
      <c r="E15969" t="s">
        <v>30616</v>
      </c>
      <c r="F15969" t="s">
        <v>30617</v>
      </c>
      <c r="G15969" t="s">
        <v>14</v>
      </c>
      <c r="H15969">
             </c>
      <c r="I15969" t="s">
        <v>14</v>
      </c>
      <c r="J15969" t="s">
        <v>141</v>
      </c>
      <c r="K15969" t="s">
        <v>14</v>
      </c>
      <c r="L15969" t="s">
        <v>20</v>
      </c>
      <c r="M15969" t="s">
        <v>30278</v>
      </c>
      <c r="N15969" t="s">
        <v>14</v>
      </c>
    </row>
    <row r="15970" x14ac:dyDescent="0.25">
      <c r="A15970" t="n">
        <v>21</v>
      </c>
      <c r="B15970" t="s">
        <v>14</v>
      </c>
      <c r="C15970" t="s">
        <v>22</v>
      </c>
      <c r="D15970" s="2" t="s">
        <f>=HYPERLINK("https://main.knesset.gov.il/APPS/legislation/main/bills/2079316", "הצעת חוק יסודות התקציב (תיקון - חובת דיווח של גופים בשירות הציבורי על העסקת עובדי קבלן שירות), התשע""ט-2019")</f>
        <v>30618</v>
      </c>
      <c r="E15970" t="s">
        <v>30618</v>
      </c>
      <c r="F15970" t="s">
        <v>30619</v>
      </c>
      <c r="G15970" t="s">
        <v>14</v>
      </c>
      <c r="H15970">
             </c>
      <c r="I15970" t="s">
        <v>14</v>
      </c>
      <c r="J15970" t="s">
        <v>141</v>
      </c>
      <c r="K15970" t="s">
        <v>14</v>
      </c>
      <c r="L15970" t="s">
        <v>20</v>
      </c>
      <c r="M15970" t="s">
        <v>30278</v>
      </c>
      <c r="N15970" t="s">
        <v>14</v>
      </c>
    </row>
    <row r="15971" x14ac:dyDescent="0.25">
      <c r="A15971" t="n">
        <v>21</v>
      </c>
      <c r="B15971" t="s">
        <v>14</v>
      </c>
      <c r="C15971" t="s">
        <v>22</v>
      </c>
      <c r="D15971" s="2" t="s">
        <f>=HYPERLINK("https://main.knesset.gov.il/APPS/legislation/main/bills/2079314", "הצעת חוק הביטוח הלאומי (תיקון - דמי מחלה לעובד עצמאי), התשע""ט-2019")</f>
        <v>30525</v>
      </c>
      <c r="E15971" t="s">
        <v>30525</v>
      </c>
      <c r="F15971" t="s">
        <v>30620</v>
      </c>
      <c r="G15971" t="s">
        <v>14</v>
      </c>
      <c r="H15971">
             </c>
      <c r="I15971" t="s">
        <v>14</v>
      </c>
      <c r="J15971" t="s">
        <v>141</v>
      </c>
      <c r="K15971" t="s">
        <v>14</v>
      </c>
      <c r="L15971" t="s">
        <v>20</v>
      </c>
      <c r="M15971" t="s">
        <v>30278</v>
      </c>
      <c r="N15971" t="s">
        <v>14</v>
      </c>
    </row>
    <row r="15972" x14ac:dyDescent="0.25">
      <c r="A15972" t="n">
        <v>21</v>
      </c>
      <c r="B15972" t="s">
        <v>14</v>
      </c>
      <c r="C15972" t="s">
        <v>22</v>
      </c>
      <c r="D15972" s="2" t="s">
        <f>=HYPERLINK("https://main.knesset.gov.il/APPS/legislation/main/bills/2079312", "הצעת חוק הביטוח הלאומי (תיקון - דמי פגיעה לעצמאי), התשע""ט-2019")</f>
        <v>30621</v>
      </c>
      <c r="E15972" t="s">
        <v>30621</v>
      </c>
      <c r="F15972" t="s">
        <v>30622</v>
      </c>
      <c r="G15972" t="s">
        <v>14</v>
      </c>
      <c r="H15972">
             </c>
      <c r="I15972" t="s">
        <v>14</v>
      </c>
      <c r="J15972" t="s">
        <v>141</v>
      </c>
      <c r="K15972" t="s">
        <v>14</v>
      </c>
      <c r="L15972" t="s">
        <v>20</v>
      </c>
      <c r="M15972" t="s">
        <v>30278</v>
      </c>
      <c r="N15972" t="s">
        <v>14</v>
      </c>
    </row>
    <row r="15973" x14ac:dyDescent="0.25">
      <c r="A15973" t="n">
        <v>21</v>
      </c>
      <c r="B15973" t="s">
        <v>14</v>
      </c>
      <c r="C15973" t="s">
        <v>22</v>
      </c>
      <c r="D15973" s="2" t="s">
        <f>=HYPERLINK("https://main.knesset.gov.il/APPS/legislation/main/bills/2079299", "הצעת חוק הרישום למוסדות להשכלה גבוהה, התשע""ט-2019")</f>
        <v>30623</v>
      </c>
      <c r="E15973" t="s">
        <v>30623</v>
      </c>
      <c r="F15973" t="s">
        <v>30624</v>
      </c>
      <c r="G15973" t="s">
        <v>14</v>
      </c>
      <c r="H15973">
             </c>
      <c r="I15973" t="s">
        <v>14</v>
      </c>
      <c r="J15973" t="s">
        <v>141</v>
      </c>
      <c r="K15973" t="s">
        <v>14</v>
      </c>
      <c r="L15973" t="s">
        <v>20</v>
      </c>
      <c r="M15973" t="s">
        <v>30278</v>
      </c>
      <c r="N15973" t="s">
        <v>14</v>
      </c>
    </row>
    <row r="15974" x14ac:dyDescent="0.25">
      <c r="A15974" t="n">
        <v>21</v>
      </c>
      <c r="B15974" t="s">
        <v>14</v>
      </c>
      <c r="C15974" t="s">
        <v>22</v>
      </c>
      <c r="D15974" s="2" t="s">
        <f>=HYPERLINK("https://main.knesset.gov.il/APPS/legislation/main/bills/2079373", "הצעת חוק המועצה להשכלה גבוהה (תיקון - איסור דרישת בחינות כניסה וציון פסיכומטרי), התשע""ט-2019")</f>
        <v>30625</v>
      </c>
      <c r="E15974" t="s">
        <v>30625</v>
      </c>
      <c r="F15974" t="s">
        <v>30626</v>
      </c>
      <c r="G15974" t="s">
        <v>14</v>
      </c>
      <c r="H15974">
             </c>
      <c r="I15974" t="s">
        <v>14</v>
      </c>
      <c r="J15974" t="s">
        <v>141</v>
      </c>
      <c r="K15974" t="s">
        <v>14</v>
      </c>
      <c r="L15974" t="s">
        <v>20</v>
      </c>
      <c r="M15974" t="s">
        <v>30278</v>
      </c>
      <c r="N15974" t="s">
        <v>14</v>
      </c>
    </row>
    <row r="15975" x14ac:dyDescent="0.25">
      <c r="A15975" t="n">
        <v>21</v>
      </c>
      <c r="B15975" t="s">
        <v>14</v>
      </c>
      <c r="C15975" t="s">
        <v>22</v>
      </c>
      <c r="D15975" s="2" t="s">
        <f>=HYPERLINK("https://main.knesset.gov.il/APPS/legislation/main/bills/2079285", "הצעת חוק המועצה להשכלה גבוהה (תיקון - ביטול חובת דרישה למבחני כניסה), התשע""ט-2019")</f>
        <v>30627</v>
      </c>
      <c r="E15975" t="s">
        <v>30627</v>
      </c>
      <c r="F15975" t="s">
        <v>30628</v>
      </c>
      <c r="G15975" t="s">
        <v>14</v>
      </c>
      <c r="H15975">
             </c>
      <c r="I15975" t="s">
        <v>14</v>
      </c>
      <c r="J15975" t="s">
        <v>141</v>
      </c>
      <c r="K15975" t="s">
        <v>14</v>
      </c>
      <c r="L15975" t="s">
        <v>20</v>
      </c>
      <c r="M15975" t="s">
        <v>30278</v>
      </c>
      <c r="N15975" t="s">
        <v>14</v>
      </c>
    </row>
    <row r="15976" x14ac:dyDescent="0.25">
      <c r="A15976" t="n">
        <v>21</v>
      </c>
      <c r="B15976" t="s">
        <v>14</v>
      </c>
      <c r="C15976" t="s">
        <v>22</v>
      </c>
      <c r="D15976" s="2" t="s">
        <f>=HYPERLINK("https://main.knesset.gov.il/APPS/legislation/main/bills/2079363", "הצעת חוק עסקאות גופים ציבוריים (תיקון - אכיפת חוקי עבודה), התשע""ט-2019")</f>
        <v>30629</v>
      </c>
      <c r="E15976" t="s">
        <v>30629</v>
      </c>
      <c r="F15976" t="s">
        <v>30630</v>
      </c>
      <c r="G15976" t="s">
        <v>14</v>
      </c>
      <c r="H15976">
             </c>
      <c r="I15976" t="s">
        <v>14</v>
      </c>
      <c r="J15976" t="s">
        <v>141</v>
      </c>
      <c r="K15976" t="s">
        <v>14</v>
      </c>
      <c r="L15976" t="s">
        <v>20</v>
      </c>
      <c r="M15976" t="s">
        <v>30278</v>
      </c>
      <c r="N15976" t="s">
        <v>14</v>
      </c>
    </row>
    <row r="15977" x14ac:dyDescent="0.25">
      <c r="A15977" t="n">
        <v>21</v>
      </c>
      <c r="B15977" t="s">
        <v>14</v>
      </c>
      <c r="C15977" t="s">
        <v>22</v>
      </c>
      <c r="D15977" s="2" t="s">
        <f>=HYPERLINK("https://main.knesset.gov.il/APPS/legislation/main/bills/2079360", "הצעת חוק דמי מחלה (תיקון - סייג לחריג לאיסור פיטורים), התשע""ט-2019")</f>
        <v>30631</v>
      </c>
      <c r="E15977" t="s">
        <v>30631</v>
      </c>
      <c r="F15977" t="s">
        <v>30632</v>
      </c>
      <c r="G15977" t="s">
        <v>14</v>
      </c>
      <c r="H15977">
             </c>
      <c r="I15977" t="s">
        <v>14</v>
      </c>
      <c r="J15977" t="s">
        <v>141</v>
      </c>
      <c r="K15977" t="s">
        <v>14</v>
      </c>
      <c r="L15977" t="s">
        <v>20</v>
      </c>
      <c r="M15977" t="s">
        <v>30278</v>
      </c>
      <c r="N15977" t="s">
        <v>14</v>
      </c>
    </row>
    <row r="15978" x14ac:dyDescent="0.25">
      <c r="A15978" t="n">
        <v>21</v>
      </c>
      <c r="B15978" t="s">
        <v>14</v>
      </c>
      <c r="C15978" t="s">
        <v>22</v>
      </c>
      <c r="D15978" s="2" t="s">
        <f>=HYPERLINK("https://main.knesset.gov.il/APPS/legislation/main/bills/2079296", "הצעת חוק עבודת נשים (תיקון - תקופת לידה והורות לבן זוג של סטודנטית), התשע""ט-2019")</f>
        <v>30633</v>
      </c>
      <c r="E15978" t="s">
        <v>30633</v>
      </c>
      <c r="F15978" t="s">
        <v>30634</v>
      </c>
      <c r="G15978" t="s">
        <v>14</v>
      </c>
      <c r="H15978">
             </c>
      <c r="I15978" t="s">
        <v>14</v>
      </c>
      <c r="J15978" t="s">
        <v>141</v>
      </c>
      <c r="K15978" t="s">
        <v>14</v>
      </c>
      <c r="L15978" t="s">
        <v>20</v>
      </c>
      <c r="M15978" t="s">
        <v>30278</v>
      </c>
      <c r="N15978" t="s">
        <v>14</v>
      </c>
    </row>
    <row r="15979" x14ac:dyDescent="0.25">
      <c r="A15979" t="n">
        <v>21</v>
      </c>
      <c r="B15979" t="s">
        <v>14</v>
      </c>
      <c r="C15979" t="s">
        <v>22</v>
      </c>
      <c r="D15979" s="2" t="s">
        <f>=HYPERLINK("https://main.knesset.gov.il/APPS/legislation/main/bills/2079265", "הצעת חוק חינוך ממלכתי (תיקון - איסור פעילות שיש בה שנאה בשל נטייה מינית, גזענות והדרת נשים במוסדות חינוך רשמיים), התשע""ט-2019")</f>
        <v>30635</v>
      </c>
      <c r="E15979" t="s">
        <v>30635</v>
      </c>
      <c r="F15979" t="s">
        <v>30636</v>
      </c>
      <c r="G15979" t="s">
        <v>14</v>
      </c>
      <c r="H15979">
             </c>
      <c r="I15979" t="s">
        <v>14</v>
      </c>
      <c r="J15979" t="s">
        <v>141</v>
      </c>
      <c r="K15979" t="s">
        <v>14</v>
      </c>
      <c r="L15979" t="s">
        <v>20</v>
      </c>
      <c r="M15979" t="s">
        <v>30278</v>
      </c>
      <c r="N15979" t="s">
        <v>14</v>
      </c>
    </row>
    <row r="15980" x14ac:dyDescent="0.25">
      <c r="A15980" t="n">
        <v>21</v>
      </c>
      <c r="B15980" t="s">
        <v>14</v>
      </c>
      <c r="C15980" t="s">
        <v>22</v>
      </c>
      <c r="D15980" s="2" t="s">
        <f>=HYPERLINK("https://main.knesset.gov.il/APPS/legislation/main/bills/2079253", "הצעת חוק עבודת נשים (תיקון - תקופת לידה והורות לגבר), התשע""ט-2019")</f>
        <v>30637</v>
      </c>
      <c r="E15980" t="s">
        <v>30637</v>
      </c>
      <c r="F15980" t="s">
        <v>30638</v>
      </c>
      <c r="G15980" t="s">
        <v>14</v>
      </c>
      <c r="H15980">
             </c>
      <c r="I15980" t="s">
        <v>14</v>
      </c>
      <c r="J15980" t="s">
        <v>141</v>
      </c>
      <c r="K15980" t="s">
        <v>14</v>
      </c>
      <c r="L15980" t="s">
        <v>20</v>
      </c>
      <c r="M15980" t="s">
        <v>30278</v>
      </c>
      <c r="N15980" t="s">
        <v>14</v>
      </c>
    </row>
    <row r="15981" x14ac:dyDescent="0.25">
      <c r="A15981" t="n">
        <v>21</v>
      </c>
      <c r="B15981" t="s">
        <v>14</v>
      </c>
      <c r="C15981" t="s">
        <v>22</v>
      </c>
      <c r="D15981" s="2" t="s">
        <f>=HYPERLINK("https://main.knesset.gov.il/APPS/legislation/main/bills/2079358", "הצעת חוק בדיקות התאמה לעבודה, התשע""ט-2019")</f>
        <v>30639</v>
      </c>
      <c r="E15981" t="s">
        <v>30639</v>
      </c>
      <c r="F15981" t="s">
        <v>30640</v>
      </c>
      <c r="G15981" t="s">
        <v>14</v>
      </c>
      <c r="H15981">
             </c>
      <c r="I15981" t="s">
        <v>14</v>
      </c>
      <c r="J15981" t="s">
        <v>141</v>
      </c>
      <c r="K15981" t="s">
        <v>14</v>
      </c>
      <c r="L15981" t="s">
        <v>20</v>
      </c>
      <c r="M15981" t="s">
        <v>30278</v>
      </c>
      <c r="N15981" t="s">
        <v>14</v>
      </c>
    </row>
    <row r="15982" x14ac:dyDescent="0.25">
      <c r="A15982" t="n">
        <v>21</v>
      </c>
      <c r="B15982" t="s">
        <v>14</v>
      </c>
      <c r="C15982" t="s">
        <v>22</v>
      </c>
      <c r="D15982" s="2" t="s">
        <f>=HYPERLINK("https://main.knesset.gov.il/APPS/legislation/main/bills/2079277", "הצעת חוק הביטוח הלאומי (תיקון - שמירת היריון חלקית), התשע""ט-2019")</f>
        <v>30641</v>
      </c>
      <c r="E15982" t="s">
        <v>30641</v>
      </c>
      <c r="F15982" t="s">
        <v>30642</v>
      </c>
      <c r="G15982" t="s">
        <v>14</v>
      </c>
      <c r="H15982">
             </c>
      <c r="I15982" t="s">
        <v>14</v>
      </c>
      <c r="J15982" t="s">
        <v>141</v>
      </c>
      <c r="K15982" t="s">
        <v>14</v>
      </c>
      <c r="L15982" t="s">
        <v>20</v>
      </c>
      <c r="M15982" t="s">
        <v>30278</v>
      </c>
      <c r="N15982" t="s">
        <v>14</v>
      </c>
    </row>
    <row r="15983" x14ac:dyDescent="0.25">
      <c r="A15983" t="n">
        <v>21</v>
      </c>
      <c r="B15983" t="s">
        <v>14</v>
      </c>
      <c r="C15983" t="s">
        <v>22</v>
      </c>
      <c r="D15983" s="2" t="s">
        <f>=HYPERLINK("https://main.knesset.gov.il/APPS/legislation/main/bills/2079354", "הצעת חוק הבנקאות (רישוי) (תיקון - אישור ועדת הכספים של הכנסת לרכישת תאגיד בנקאי על ידי תאגיד בנקאי אחר), התשע""ט-2019")</f>
        <v>30643</v>
      </c>
      <c r="E15983" t="s">
        <v>30643</v>
      </c>
      <c r="F15983" t="s">
        <v>30644</v>
      </c>
      <c r="G15983" t="s">
        <v>14</v>
      </c>
      <c r="H15983">
             </c>
      <c r="I15983" t="s">
        <v>14</v>
      </c>
      <c r="J15983" t="s">
        <v>141</v>
      </c>
      <c r="K15983" t="s">
        <v>14</v>
      </c>
      <c r="L15983" t="s">
        <v>20</v>
      </c>
      <c r="M15983" t="s">
        <v>30278</v>
      </c>
      <c r="N15983" t="s">
        <v>14</v>
      </c>
    </row>
    <row r="15984" x14ac:dyDescent="0.25">
      <c r="A15984" t="n">
        <v>21</v>
      </c>
      <c r="B15984" t="s">
        <v>14</v>
      </c>
      <c r="C15984" t="s">
        <v>22</v>
      </c>
      <c r="D15984" s="2" t="s">
        <f>=HYPERLINK("https://main.knesset.gov.il/APPS/legislation/main/bills/2079248", "הצעת חוק לתיקון פקודת מס הכנסה (פטור ממס בגין משיכה הונית מקופת גמל), התשע""ט-2019")</f>
        <v>30645</v>
      </c>
      <c r="E15984" t="s">
        <v>30645</v>
      </c>
      <c r="F15984" t="s">
        <v>30646</v>
      </c>
      <c r="G15984" t="s">
        <v>14</v>
      </c>
      <c r="H15984">
             </c>
      <c r="I15984" t="s">
        <v>14</v>
      </c>
      <c r="J15984" t="s">
        <v>141</v>
      </c>
      <c r="K15984" t="s">
        <v>14</v>
      </c>
      <c r="L15984" t="s">
        <v>20</v>
      </c>
      <c r="M15984" t="s">
        <v>30278</v>
      </c>
      <c r="N15984" t="s">
        <v>14</v>
      </c>
    </row>
    <row r="15985" x14ac:dyDescent="0.25">
      <c r="A15985" t="n">
        <v>21</v>
      </c>
      <c r="B15985" t="s">
        <v>14</v>
      </c>
      <c r="C15985" t="s">
        <v>22</v>
      </c>
      <c r="D15985" s="2" t="s">
        <f>=HYPERLINK("https://main.knesset.gov.il/APPS/legislation/main/bills/2079352", "הצעת חוק המוזיאונים (תיקון - מוזיאונים להנצחה והנחלה של זכר השואה והגבורה), התשע""ט-2019")</f>
        <v>30647</v>
      </c>
      <c r="E15985" t="s">
        <v>30647</v>
      </c>
      <c r="F15985" t="s">
        <v>30648</v>
      </c>
      <c r="G15985" t="s">
        <v>14</v>
      </c>
      <c r="H15985">
             </c>
      <c r="I15985" t="s">
        <v>14</v>
      </c>
      <c r="J15985" t="s">
        <v>141</v>
      </c>
      <c r="K15985" t="s">
        <v>14</v>
      </c>
      <c r="L15985" t="s">
        <v>20</v>
      </c>
      <c r="M15985" t="s">
        <v>30278</v>
      </c>
      <c r="N15985" t="s">
        <v>14</v>
      </c>
    </row>
    <row r="15986" x14ac:dyDescent="0.25">
      <c r="A15986" t="n">
        <v>21</v>
      </c>
      <c r="B15986" t="s">
        <v>14</v>
      </c>
      <c r="C15986" t="s">
        <v>22</v>
      </c>
      <c r="D15986" s="2" t="s">
        <f>=HYPERLINK("https://main.knesset.gov.il/APPS/legislation/main/bills/2080021", "הצעת חוק משק החשמל (תיקון - איסור ניתוק חשמל), התשע""ט-2019")</f>
        <v>30649</v>
      </c>
      <c r="E15986" t="s">
        <v>30649</v>
      </c>
      <c r="F15986" t="s">
        <v>30650</v>
      </c>
      <c r="G15986" t="s">
        <v>14</v>
      </c>
      <c r="H15986">
             </c>
      <c r="I15986" t="s">
        <v>14</v>
      </c>
      <c r="J15986" t="s">
        <v>141</v>
      </c>
      <c r="K15986" t="s">
        <v>14</v>
      </c>
      <c r="L15986" t="s">
        <v>20</v>
      </c>
      <c r="M15986" t="s">
        <v>30278</v>
      </c>
      <c r="N15986" t="s">
        <v>14</v>
      </c>
    </row>
    <row r="15987" x14ac:dyDescent="0.25">
      <c r="A15987" t="n">
        <v>21</v>
      </c>
      <c r="B15987" t="s">
        <v>14</v>
      </c>
      <c r="C15987" t="s">
        <v>22</v>
      </c>
      <c r="D15987" s="2" t="s">
        <f>=HYPERLINK("https://main.knesset.gov.il/APPS/legislation/main/bills/2079350", "הצעת חוק הפיקוח על שירותים פיננסיים (ייעוץ, שיווק ומערכת סליקה פנסיוניים) (תיקון - ביטול הפרדת שירותי תפעול משירותי הייעוץ), התשע""ט-2019 ")</f>
        <v>30651</v>
      </c>
      <c r="E15987" t="s">
        <v>30651</v>
      </c>
      <c r="F15987" t="s">
        <v>30652</v>
      </c>
      <c r="G15987" t="s">
        <v>14</v>
      </c>
      <c r="H15987">
             </c>
      <c r="I15987" t="s">
        <v>14</v>
      </c>
      <c r="J15987" t="s">
        <v>141</v>
      </c>
      <c r="K15987" t="s">
        <v>14</v>
      </c>
      <c r="L15987" t="s">
        <v>20</v>
      </c>
      <c r="M15987" t="s">
        <v>30278</v>
      </c>
      <c r="N15987" t="s">
        <v>14</v>
      </c>
    </row>
    <row r="15988" x14ac:dyDescent="0.25">
      <c r="A15988" t="n">
        <v>21</v>
      </c>
      <c r="B15988" t="s">
        <v>14</v>
      </c>
      <c r="C15988" t="s">
        <v>22</v>
      </c>
      <c r="D15988" s="2" t="s">
        <f>=HYPERLINK("https://main.knesset.gov.il/APPS/legislation/main/bills/2079348", "הצעת חוק לתיקון פקודת מס הכנסה (ניכוי הוצאות החזקת רכב), התשע""ט-2019")</f>
        <v>30653</v>
      </c>
      <c r="E15988" t="s">
        <v>30653</v>
      </c>
      <c r="F15988" t="s">
        <v>30654</v>
      </c>
      <c r="G15988" t="s">
        <v>14</v>
      </c>
      <c r="H15988">
             </c>
      <c r="I15988" t="s">
        <v>14</v>
      </c>
      <c r="J15988" t="s">
        <v>141</v>
      </c>
      <c r="K15988" t="s">
        <v>14</v>
      </c>
      <c r="L15988" t="s">
        <v>20</v>
      </c>
      <c r="M15988" t="s">
        <v>30278</v>
      </c>
      <c r="N15988" t="s">
        <v>14</v>
      </c>
    </row>
    <row r="15989" x14ac:dyDescent="0.25">
      <c r="A15989" t="n">
        <v>21</v>
      </c>
      <c r="B15989" t="s">
        <v>14</v>
      </c>
      <c r="C15989" t="s">
        <v>22</v>
      </c>
      <c r="D15989" s="2" t="s">
        <f>=HYPERLINK("https://main.knesset.gov.il/APPS/legislation/main/bills/2079346", "הצעת חוק האזרחים הוותיקים (תיקון - הנחה בארנונה לאזרח ותיק המתגורר בדירה שאינה בהחזקתו), התשע""ט-2019")</f>
        <v>30655</v>
      </c>
      <c r="E15989" t="s">
        <v>30655</v>
      </c>
      <c r="F15989" t="s">
        <v>30656</v>
      </c>
      <c r="G15989" t="s">
        <v>14</v>
      </c>
      <c r="H15989">
             </c>
      <c r="I15989" t="s">
        <v>14</v>
      </c>
      <c r="J15989" t="s">
        <v>141</v>
      </c>
      <c r="K15989" t="s">
        <v>14</v>
      </c>
      <c r="L15989" t="s">
        <v>20</v>
      </c>
      <c r="M15989" t="s">
        <v>30278</v>
      </c>
      <c r="N15989" t="s">
        <v>14</v>
      </c>
    </row>
    <row r="15990" x14ac:dyDescent="0.25">
      <c r="A15990" t="n">
        <v>21</v>
      </c>
      <c r="B15990" t="s">
        <v>14</v>
      </c>
      <c r="C15990" t="s">
        <v>22</v>
      </c>
      <c r="D15990" s="2" t="s">
        <f>=HYPERLINK("https://main.knesset.gov.il/APPS/legislation/main/bills/2079235", "הצעת חוק משק החשמל (תיקון - איסור ניתוק חשמל), התשע""ט-2019")</f>
        <v>30649</v>
      </c>
      <c r="E15990" t="s">
        <v>30649</v>
      </c>
      <c r="F15990" t="s">
        <v>30657</v>
      </c>
      <c r="G15990" t="s">
        <v>14</v>
      </c>
      <c r="H15990">
             </c>
      <c r="I15990" t="s">
        <v>14</v>
      </c>
      <c r="J15990" t="s">
        <v>141</v>
      </c>
      <c r="K15990" t="s">
        <v>14</v>
      </c>
      <c r="L15990" t="s">
        <v>20</v>
      </c>
      <c r="M15990" t="s">
        <v>30278</v>
      </c>
      <c r="N15990" t="s">
        <v>14</v>
      </c>
    </row>
    <row r="15991" x14ac:dyDescent="0.25">
      <c r="A15991" t="n">
        <v>21</v>
      </c>
      <c r="B15991" t="s">
        <v>14</v>
      </c>
      <c r="C15991" t="s">
        <v>22</v>
      </c>
      <c r="D15991" s="2" t="s">
        <f>=HYPERLINK("https://main.knesset.gov.il/APPS/legislation/main/bills/2079345", "הצעת חוק הפיקוח על שירותים פיננסיים (ייעוץ, שיווק ומערכת סליקה פנסיוניים) (תיקון - עיסוק במתן שירותי תפעול), התשע""ט-2019")</f>
        <v>30658</v>
      </c>
      <c r="E15991" t="s">
        <v>30658</v>
      </c>
      <c r="F15991" t="s">
        <v>30659</v>
      </c>
      <c r="G15991" t="s">
        <v>14</v>
      </c>
      <c r="H15991">
             </c>
      <c r="I15991" t="s">
        <v>14</v>
      </c>
      <c r="J15991" t="s">
        <v>141</v>
      </c>
      <c r="K15991" t="s">
        <v>14</v>
      </c>
      <c r="L15991" t="s">
        <v>20</v>
      </c>
      <c r="M15991" t="s">
        <v>30278</v>
      </c>
      <c r="N15991" t="s">
        <v>14</v>
      </c>
    </row>
    <row r="15992" x14ac:dyDescent="0.25">
      <c r="A15992" t="n">
        <v>21</v>
      </c>
      <c r="B15992" t="s">
        <v>14</v>
      </c>
      <c r="C15992" t="s">
        <v>22</v>
      </c>
      <c r="D15992" s="2" t="s">
        <f>=HYPERLINK("https://main.knesset.gov.il/APPS/legislation/main/bills/2079240", "הצעת חוק משק החשמל (תיקון - גביית תשלומים), התשע""ט-2019")</f>
        <v>30660</v>
      </c>
      <c r="E15992" t="s">
        <v>30660</v>
      </c>
      <c r="F15992" t="s">
        <v>30661</v>
      </c>
      <c r="G15992" t="s">
        <v>14</v>
      </c>
      <c r="H15992">
             </c>
      <c r="I15992" t="s">
        <v>14</v>
      </c>
      <c r="J15992" t="s">
        <v>141</v>
      </c>
      <c r="K15992" t="s">
        <v>14</v>
      </c>
      <c r="L15992" t="s">
        <v>20</v>
      </c>
      <c r="M15992" t="s">
        <v>30278</v>
      </c>
      <c r="N15992" t="s">
        <v>14</v>
      </c>
    </row>
    <row r="15993" x14ac:dyDescent="0.25">
      <c r="A15993" t="n">
        <v>21</v>
      </c>
      <c r="B15993" t="s">
        <v>14</v>
      </c>
      <c r="C15993" t="s">
        <v>22</v>
      </c>
      <c r="D15993" s="2" t="s">
        <f>=HYPERLINK("https://main.knesset.gov.il/APPS/legislation/main/bills/2079339", "הצעת חוק האזרחים הוותיקים (תיקון - הקצאת מקומות חניה במקום ציבורי לאזרח ותיק שגילו עולה על 75), התשע""ט-2019")</f>
        <v>30662</v>
      </c>
      <c r="E15993" t="s">
        <v>30662</v>
      </c>
      <c r="F15993" t="s">
        <v>30663</v>
      </c>
      <c r="G15993" t="s">
        <v>14</v>
      </c>
      <c r="H15993">
             </c>
      <c r="I15993" t="s">
        <v>14</v>
      </c>
      <c r="J15993" t="s">
        <v>141</v>
      </c>
      <c r="K15993" t="s">
        <v>14</v>
      </c>
      <c r="L15993" t="s">
        <v>20</v>
      </c>
      <c r="M15993" t="s">
        <v>30278</v>
      </c>
      <c r="N15993" t="s">
        <v>14</v>
      </c>
    </row>
    <row r="15994" x14ac:dyDescent="0.25">
      <c r="A15994" t="n">
        <v>21</v>
      </c>
      <c r="B15994" t="s">
        <v>14</v>
      </c>
      <c r="C15994" t="s">
        <v>22</v>
      </c>
      <c r="D15994" s="2" t="s">
        <f>=HYPERLINK("https://main.knesset.gov.il/APPS/legislation/main/bills/2079336", "הצעת חוק משק החשמל (תיקון - מניעה של הפסקת אספקת חשמל לצרכן נזקק), התשע""ט-2019")</f>
        <v>30664</v>
      </c>
      <c r="E15994" t="s">
        <v>30664</v>
      </c>
      <c r="F15994" t="s">
        <v>30665</v>
      </c>
      <c r="G15994" t="s">
        <v>14</v>
      </c>
      <c r="H15994">
             </c>
      <c r="I15994" t="s">
        <v>14</v>
      </c>
      <c r="J15994" t="s">
        <v>141</v>
      </c>
      <c r="K15994" t="s">
        <v>14</v>
      </c>
      <c r="L15994" t="s">
        <v>20</v>
      </c>
      <c r="M15994" t="s">
        <v>30278</v>
      </c>
      <c r="N15994" t="s">
        <v>14</v>
      </c>
    </row>
    <row r="15995" x14ac:dyDescent="0.25">
      <c r="A15995" t="n">
        <v>21</v>
      </c>
      <c r="B15995" t="s">
        <v>14</v>
      </c>
      <c r="C15995" t="s">
        <v>22</v>
      </c>
      <c r="D15995" s="2" t="s">
        <f>=HYPERLINK("https://main.knesset.gov.il/APPS/legislation/main/bills/2079295", "הצעת חוק לקידום התחרות ולצמצום הריכוזיות (תיקון - קביעת תאגיד שאינו מדווח או שותפות כחברת שכבה), התשע""ט-2019")</f>
        <v>30666</v>
      </c>
      <c r="E15995" t="s">
        <v>30666</v>
      </c>
      <c r="F15995" t="s">
        <v>30667</v>
      </c>
      <c r="G15995" t="s">
        <v>14</v>
      </c>
      <c r="H15995">
             </c>
      <c r="I15995" t="s">
        <v>14</v>
      </c>
      <c r="J15995" t="s">
        <v>141</v>
      </c>
      <c r="K15995" t="s">
        <v>14</v>
      </c>
      <c r="L15995" t="s">
        <v>20</v>
      </c>
      <c r="M15995" t="s">
        <v>30278</v>
      </c>
      <c r="N15995" t="s">
        <v>14</v>
      </c>
    </row>
    <row r="15996" x14ac:dyDescent="0.25">
      <c r="A15996" t="n">
        <v>21</v>
      </c>
      <c r="B15996" t="s">
        <v>14</v>
      </c>
      <c r="C15996" t="s">
        <v>22</v>
      </c>
      <c r="D15996" s="2" t="s">
        <f>=HYPERLINK("https://main.knesset.gov.il/APPS/legislation/main/bills/2079335", "הצעת חוק פינוי ההתנחלות בחברון, התשע""ט-2019")</f>
        <v>30668</v>
      </c>
      <c r="E15996" t="s">
        <v>30668</v>
      </c>
      <c r="F15996" t="s">
        <v>30669</v>
      </c>
      <c r="G15996" t="s">
        <v>14</v>
      </c>
      <c r="H15996">
             </c>
      <c r="I15996" t="s">
        <v>14</v>
      </c>
      <c r="J15996" t="s">
        <v>141</v>
      </c>
      <c r="K15996" t="s">
        <v>14</v>
      </c>
      <c r="L15996" t="s">
        <v>20</v>
      </c>
      <c r="M15996" t="s">
        <v>30278</v>
      </c>
      <c r="N15996" t="s">
        <v>14</v>
      </c>
    </row>
    <row r="15997" x14ac:dyDescent="0.25">
      <c r="A15997" t="n">
        <v>21</v>
      </c>
      <c r="B15997" t="s">
        <v>14</v>
      </c>
      <c r="C15997" t="s">
        <v>22</v>
      </c>
      <c r="D15997" s="2" t="s">
        <f>=HYPERLINK("https://main.knesset.gov.il/APPS/legislation/main/bills/2079333", "הצעת חוק האזרחים הוותיקים (תיקון - סבסוד מלא של נסיעות בתחבורה ציבורית לניצולי שואה ולאסירי ציון), התשע""ט-2019")</f>
        <v>30670</v>
      </c>
      <c r="E15997" t="s">
        <v>30670</v>
      </c>
      <c r="F15997" t="s">
        <v>30671</v>
      </c>
      <c r="G15997" t="s">
        <v>14</v>
      </c>
      <c r="H15997">
             </c>
      <c r="I15997" t="s">
        <v>14</v>
      </c>
      <c r="J15997" t="s">
        <v>141</v>
      </c>
      <c r="K15997" t="s">
        <v>14</v>
      </c>
      <c r="L15997" t="s">
        <v>20</v>
      </c>
      <c r="M15997" t="s">
        <v>30278</v>
      </c>
      <c r="N15997" t="s">
        <v>14</v>
      </c>
    </row>
    <row r="15998" x14ac:dyDescent="0.25">
      <c r="A15998" t="n">
        <v>21</v>
      </c>
      <c r="B15998" t="s">
        <v>14</v>
      </c>
      <c r="C15998" t="s">
        <v>22</v>
      </c>
      <c r="D15998" s="2" t="s">
        <f>=HYPERLINK("https://main.knesset.gov.il/APPS/legislation/main/bills/2079217", "הצעת חוק לקידום התחרות ולצמצום הריכוזיות (תיקון - קביעת תאגיד שאינו מדווח או שותפות כחברת שכבה), התשע""ט-2019")</f>
        <v>30666</v>
      </c>
      <c r="E15998" t="s">
        <v>30666</v>
      </c>
      <c r="F15998" t="s">
        <v>30672</v>
      </c>
      <c r="G15998" t="s">
        <v>14</v>
      </c>
      <c r="H15998">
             </c>
      <c r="I15998" t="s">
        <v>14</v>
      </c>
      <c r="J15998" t="s">
        <v>141</v>
      </c>
      <c r="K15998" t="s">
        <v>14</v>
      </c>
      <c r="L15998" t="s">
        <v>20</v>
      </c>
      <c r="M15998" t="s">
        <v>30278</v>
      </c>
      <c r="N15998" t="s">
        <v>14</v>
      </c>
    </row>
    <row r="15999" x14ac:dyDescent="0.25">
      <c r="A15999" t="n">
        <v>21</v>
      </c>
      <c r="B15999" t="s">
        <v>14</v>
      </c>
      <c r="C15999" t="s">
        <v>22</v>
      </c>
      <c r="D15999" s="2" t="s">
        <f>=HYPERLINK("https://main.knesset.gov.il/APPS/legislation/main/bills/2079332", "הצעת חוק מיסוי מקרקעין (שבח ורכישה) (תיקון - תשלום המס בתשלומים), התשע""ט-2019")</f>
        <v>30673</v>
      </c>
      <c r="E15999" t="s">
        <v>30673</v>
      </c>
      <c r="F15999" t="s">
        <v>30674</v>
      </c>
      <c r="G15999" t="s">
        <v>14</v>
      </c>
      <c r="H15999">
             </c>
      <c r="I15999" t="s">
        <v>14</v>
      </c>
      <c r="J15999" t="s">
        <v>141</v>
      </c>
      <c r="K15999" t="s">
        <v>14</v>
      </c>
      <c r="L15999" t="s">
        <v>20</v>
      </c>
      <c r="M15999" t="s">
        <v>30278</v>
      </c>
      <c r="N15999" t="s">
        <v>14</v>
      </c>
    </row>
    <row r="16000" x14ac:dyDescent="0.25">
      <c r="A16000" t="n">
        <v>21</v>
      </c>
      <c r="B16000" t="s">
        <v>14</v>
      </c>
      <c r="C16000" t="s">
        <v>22</v>
      </c>
      <c r="D16000" s="2" t="s">
        <f>=HYPERLINK("https://main.knesset.gov.il/APPS/legislation/main/bills/2079331", "הצעת חוק לתיקון פקודת מס הכנסה (עידוד הגירה ליישובי הפריפריה), התשע""ט-2019")</f>
        <v>30675</v>
      </c>
      <c r="E16000" t="s">
        <v>30675</v>
      </c>
      <c r="F16000" t="s">
        <v>30676</v>
      </c>
      <c r="G16000" t="s">
        <v>14</v>
      </c>
      <c r="H16000">
             </c>
      <c r="I16000" t="s">
        <v>14</v>
      </c>
      <c r="J16000" t="s">
        <v>141</v>
      </c>
      <c r="K16000" t="s">
        <v>14</v>
      </c>
      <c r="L16000" t="s">
        <v>20</v>
      </c>
      <c r="M16000" t="s">
        <v>30278</v>
      </c>
      <c r="N16000" t="s">
        <v>14</v>
      </c>
    </row>
    <row r="16001" x14ac:dyDescent="0.25">
      <c r="A16001" t="n">
        <v>21</v>
      </c>
      <c r="B16001" t="s">
        <v>14</v>
      </c>
      <c r="C16001" t="s">
        <v>22</v>
      </c>
      <c r="D16001" s="2" t="s">
        <f>=HYPERLINK("https://main.knesset.gov.il/APPS/legislation/main/bills/2079251", "הצעת חוק הסכמים לנשיאת עוברים (אישור הסכם ומעמד היילוד) (תיקון - הרחבת הגדרת הורים מיועדים), התשע""ט-2019")</f>
        <v>30677</v>
      </c>
      <c r="E16001" t="s">
        <v>30677</v>
      </c>
      <c r="F16001" t="s">
        <v>30678</v>
      </c>
      <c r="G16001" t="s">
        <v>14</v>
      </c>
      <c r="H16001">
             </c>
      <c r="I16001" t="s">
        <v>14</v>
      </c>
      <c r="J16001" t="s">
        <v>141</v>
      </c>
      <c r="K16001" t="s">
        <v>14</v>
      </c>
      <c r="L16001" t="s">
        <v>20</v>
      </c>
      <c r="M16001" t="s">
        <v>30278</v>
      </c>
      <c r="N16001" t="s">
        <v>14</v>
      </c>
    </row>
    <row r="16002" x14ac:dyDescent="0.25">
      <c r="A16002" t="n">
        <v>21</v>
      </c>
      <c r="B16002" t="s">
        <v>14</v>
      </c>
      <c r="C16002" t="s">
        <v>22</v>
      </c>
      <c r="D16002" s="2" t="s">
        <f>=HYPERLINK("https://main.knesset.gov.il/APPS/legislation/main/bills/2079326", "הצעת חוק הבטחת הכנסה (תיקון - החרגת תוספת ותק מהכנסה), התשע""ט-2019")</f>
        <v>30679</v>
      </c>
      <c r="E16002" t="s">
        <v>30679</v>
      </c>
      <c r="F16002" t="s">
        <v>30680</v>
      </c>
      <c r="G16002" t="s">
        <v>14</v>
      </c>
      <c r="H16002">
             </c>
      <c r="I16002" t="s">
        <v>14</v>
      </c>
      <c r="J16002" t="s">
        <v>141</v>
      </c>
      <c r="K16002" t="s">
        <v>14</v>
      </c>
      <c r="L16002" t="s">
        <v>20</v>
      </c>
      <c r="M16002" t="s">
        <v>30278</v>
      </c>
      <c r="N16002" t="s">
        <v>14</v>
      </c>
    </row>
    <row r="16003" x14ac:dyDescent="0.25">
      <c r="A16003" t="n">
        <v>21</v>
      </c>
      <c r="B16003" t="s">
        <v>14</v>
      </c>
      <c r="C16003" t="s">
        <v>22</v>
      </c>
      <c r="D16003" s="2" t="s">
        <f>=HYPERLINK("https://main.knesset.gov.il/APPS/legislation/main/bills/2079207", "הצעת חוק מעמד ותיקי מלחמת העולם השנייה (תיקון - מענק הטבות לוותיק מלחמה), התשע""ט-2019")</f>
        <v>30681</v>
      </c>
      <c r="E16003" t="s">
        <v>30681</v>
      </c>
      <c r="F16003" t="s">
        <v>30682</v>
      </c>
      <c r="G16003" t="s">
        <v>14</v>
      </c>
      <c r="H16003">
             </c>
      <c r="I16003" t="s">
        <v>14</v>
      </c>
      <c r="J16003" t="s">
        <v>141</v>
      </c>
      <c r="K16003" t="s">
        <v>14</v>
      </c>
      <c r="L16003" t="s">
        <v>20</v>
      </c>
      <c r="M16003" t="s">
        <v>30278</v>
      </c>
      <c r="N16003" t="s">
        <v>14</v>
      </c>
    </row>
    <row r="16004" x14ac:dyDescent="0.25">
      <c r="A16004" t="n">
        <v>21</v>
      </c>
      <c r="B16004" t="s">
        <v>14</v>
      </c>
      <c r="C16004" t="s">
        <v>22</v>
      </c>
      <c r="D16004" s="2" t="s">
        <f>=HYPERLINK("https://main.knesset.gov.il/APPS/legislation/main/bills/2078865", "הצעת חוק הסכמים לנשיאת עוברים (אישור הסכם ומעמד היילוד) (תיקון - הרחבת הגדרת הורים מיועדים), התשע""ט-2019")</f>
        <v>30677</v>
      </c>
      <c r="E16004" t="s">
        <v>30677</v>
      </c>
      <c r="F16004" t="s">
        <v>30683</v>
      </c>
      <c r="G16004" t="s">
        <v>14</v>
      </c>
      <c r="H16004">
             </c>
      <c r="I16004" t="s">
        <v>14</v>
      </c>
      <c r="J16004" t="s">
        <v>141</v>
      </c>
      <c r="K16004" t="s">
        <v>14</v>
      </c>
      <c r="L16004" t="s">
        <v>20</v>
      </c>
      <c r="M16004" t="s">
        <v>30278</v>
      </c>
      <c r="N16004" t="s">
        <v>14</v>
      </c>
    </row>
    <row r="16005" x14ac:dyDescent="0.25">
      <c r="A16005" t="n">
        <v>21</v>
      </c>
      <c r="B16005" t="s">
        <v>14</v>
      </c>
      <c r="C16005" t="s">
        <v>22</v>
      </c>
      <c r="D16005" s="2" t="s">
        <f>=HYPERLINK("https://main.knesset.gov.il/APPS/legislation/main/bills/2078897", "הצעת חוק הכשרות לאנשי מקצוע בתחום החינוך בנושא מגדר ונטייה מינית, התשע""ט-2019")</f>
        <v>30684</v>
      </c>
      <c r="E16005" t="s">
        <v>30684</v>
      </c>
      <c r="F16005" t="s">
        <v>30685</v>
      </c>
      <c r="G16005" t="s">
        <v>14</v>
      </c>
      <c r="H16005">
             </c>
      <c r="I16005" t="s">
        <v>14</v>
      </c>
      <c r="J16005" t="s">
        <v>141</v>
      </c>
      <c r="K16005" t="s">
        <v>14</v>
      </c>
      <c r="L16005" t="s">
        <v>20</v>
      </c>
      <c r="M16005" t="s">
        <v>30278</v>
      </c>
      <c r="N16005" t="s">
        <v>14</v>
      </c>
    </row>
    <row r="16006" x14ac:dyDescent="0.25">
      <c r="A16006" t="n">
        <v>21</v>
      </c>
      <c r="B16006" t="s">
        <v>14</v>
      </c>
      <c r="C16006" t="s">
        <v>22</v>
      </c>
      <c r="D16006" s="2" t="s">
        <f>=HYPERLINK("https://main.knesset.gov.il/APPS/legislation/main/bills/2078988", "הצעת חוק הרב מנחם מענדל שניאורסון - הרבי מליובאוויטש (ציון זכרו ופועלו), התשע""ט-2019")</f>
        <v>30686</v>
      </c>
      <c r="E16006" t="s">
        <v>30686</v>
      </c>
      <c r="F16006" t="s">
        <v>30687</v>
      </c>
      <c r="G16006" t="s">
        <v>14</v>
      </c>
      <c r="H16006">
             </c>
      <c r="I16006" t="s">
        <v>14</v>
      </c>
      <c r="J16006" t="s">
        <v>141</v>
      </c>
      <c r="K16006" t="s">
        <v>14</v>
      </c>
      <c r="L16006" t="s">
        <v>20</v>
      </c>
      <c r="M16006" t="s">
        <v>30278</v>
      </c>
      <c r="N16006" t="s">
        <v>14</v>
      </c>
    </row>
    <row r="16007" x14ac:dyDescent="0.25">
      <c r="A16007" t="n">
        <v>21</v>
      </c>
      <c r="B16007" t="s">
        <v>14</v>
      </c>
      <c r="C16007" t="s">
        <v>22</v>
      </c>
      <c r="D16007" s="2" t="s">
        <f>=HYPERLINK("https://main.knesset.gov.il/APPS/legislation/main/bills/2079311", "הצעת חוק הפיקוח על שירותים פיננסיים (ביטוח) (תיקון - היתר לשיווק ומכירה של ביטוח נסיעות לחו""ל), התשע""ט-2019")</f>
        <v>30688</v>
      </c>
      <c r="E16007" t="s">
        <v>30688</v>
      </c>
      <c r="F16007" t="s">
        <v>30689</v>
      </c>
      <c r="G16007" t="s">
        <v>14</v>
      </c>
      <c r="H16007">
             </c>
      <c r="I16007" t="s">
        <v>14</v>
      </c>
      <c r="J16007" t="s">
        <v>141</v>
      </c>
      <c r="K16007" t="s">
        <v>14</v>
      </c>
      <c r="L16007" t="s">
        <v>20</v>
      </c>
      <c r="M16007" t="s">
        <v>30278</v>
      </c>
      <c r="N16007" t="s">
        <v>14</v>
      </c>
    </row>
    <row r="16008" x14ac:dyDescent="0.25">
      <c r="A16008" t="n">
        <v>21</v>
      </c>
      <c r="B16008" t="s">
        <v>14</v>
      </c>
      <c r="C16008" t="s">
        <v>22</v>
      </c>
      <c r="D16008" s="2" t="s">
        <f>=HYPERLINK("https://main.knesset.gov.il/APPS/legislation/main/bills/2079202", "הצעת חוק הנצחת זכרם של קורבנות הטבח בכפר קאסם, התשע""ט-2019")</f>
        <v>30690</v>
      </c>
      <c r="E16008" t="s">
        <v>30690</v>
      </c>
      <c r="F16008" t="s">
        <v>30691</v>
      </c>
      <c r="G16008" t="s">
        <v>14</v>
      </c>
      <c r="H16008">
             </c>
      <c r="I16008" t="s">
        <v>14</v>
      </c>
      <c r="J16008" t="s">
        <v>141</v>
      </c>
      <c r="K16008" t="s">
        <v>14</v>
      </c>
      <c r="L16008" t="s">
        <v>20</v>
      </c>
      <c r="M16008" t="s">
        <v>30278</v>
      </c>
      <c r="N16008" t="s">
        <v>14</v>
      </c>
    </row>
    <row r="16009" x14ac:dyDescent="0.25">
      <c r="A16009" t="n">
        <v>21</v>
      </c>
      <c r="B16009" t="s">
        <v>14</v>
      </c>
      <c r="C16009" t="s">
        <v>22</v>
      </c>
      <c r="D16009" s="2" t="s">
        <f>=HYPERLINK("https://main.knesset.gov.il/APPS/legislation/main/bills/2079184", "הצעת חוק זכויות הסטודנט (תיקון - התאמות לסטודנטית לאחר לידה), התשע""ט-2019")</f>
        <v>30466</v>
      </c>
      <c r="E16009" t="s">
        <v>30466</v>
      </c>
      <c r="F16009" t="s">
        <v>30692</v>
      </c>
      <c r="G16009" t="s">
        <v>14</v>
      </c>
      <c r="H16009">
             </c>
      <c r="I16009" t="s">
        <v>14</v>
      </c>
      <c r="J16009" t="s">
        <v>141</v>
      </c>
      <c r="K16009" t="s">
        <v>14</v>
      </c>
      <c r="L16009" t="s">
        <v>20</v>
      </c>
      <c r="M16009" t="s">
        <v>30278</v>
      </c>
      <c r="N16009" t="s">
        <v>14</v>
      </c>
    </row>
    <row r="16010" x14ac:dyDescent="0.25">
      <c r="A16010" t="n">
        <v>21</v>
      </c>
      <c r="B16010" t="s">
        <v>14</v>
      </c>
      <c r="C16010" t="s">
        <v>22</v>
      </c>
      <c r="D16010" s="2" t="s">
        <f>=HYPERLINK("https://main.knesset.gov.il/APPS/legislation/main/bills/2079185", "הצעת חוק הרשויות המקומיות (בחירת ראש הרשות וסגניו וכהונתם) (תיקון - הגבלת כהונה בשלטון המקומי), התשע""ט-2019")</f>
        <v>30693</v>
      </c>
      <c r="E16010" t="s">
        <v>30693</v>
      </c>
      <c r="F16010" t="s">
        <v>30694</v>
      </c>
      <c r="G16010" t="s">
        <v>14</v>
      </c>
      <c r="H16010">
             </c>
      <c r="I16010" t="s">
        <v>14</v>
      </c>
      <c r="J16010" t="s">
        <v>141</v>
      </c>
      <c r="K16010" t="s">
        <v>14</v>
      </c>
      <c r="L16010" t="s">
        <v>20</v>
      </c>
      <c r="M16010" t="s">
        <v>30278</v>
      </c>
      <c r="N16010" t="s">
        <v>14</v>
      </c>
    </row>
    <row r="16011" x14ac:dyDescent="0.25">
      <c r="A16011" t="n">
        <v>21</v>
      </c>
      <c r="B16011" t="s">
        <v>14</v>
      </c>
      <c r="C16011" t="s">
        <v>22</v>
      </c>
      <c r="D16011" s="2" t="s">
        <f>=HYPERLINK("https://main.knesset.gov.il/APPS/legislation/main/bills/2079310", "הצעת חוק ביטוח בריאות ממלכתי (תיקון - תוספת שנתית לסל שירותי הבריאות), התשע""ט-2019")</f>
        <v>30695</v>
      </c>
      <c r="E16011" t="s">
        <v>30695</v>
      </c>
      <c r="F16011" t="s">
        <v>30696</v>
      </c>
      <c r="G16011" t="s">
        <v>14</v>
      </c>
      <c r="H16011">
             </c>
      <c r="I16011" t="s">
        <v>14</v>
      </c>
      <c r="J16011" t="s">
        <v>141</v>
      </c>
      <c r="K16011" t="s">
        <v>14</v>
      </c>
      <c r="L16011" t="s">
        <v>20</v>
      </c>
      <c r="M16011" t="s">
        <v>30278</v>
      </c>
      <c r="N16011" t="s">
        <v>14</v>
      </c>
    </row>
    <row r="16012" x14ac:dyDescent="0.25">
      <c r="A16012" t="n">
        <v>21</v>
      </c>
      <c r="B16012" t="s">
        <v>14</v>
      </c>
      <c r="C16012" t="s">
        <v>22</v>
      </c>
      <c r="D16012" s="2" t="s">
        <f>=HYPERLINK("https://main.knesset.gov.il/APPS/legislation/main/bills/2079181", "הצעת חוק זכויות הדייר בדיור הציבורי (תיקון - שיפור מערכת החשמל הדירתית), התשע""ט-2019")</f>
        <v>30697</v>
      </c>
      <c r="E16012" t="s">
        <v>30697</v>
      </c>
      <c r="F16012" t="s">
        <v>30698</v>
      </c>
      <c r="G16012" t="s">
        <v>14</v>
      </c>
      <c r="H16012">
             </c>
      <c r="I16012" t="s">
        <v>14</v>
      </c>
      <c r="J16012" t="s">
        <v>141</v>
      </c>
      <c r="K16012" t="s">
        <v>14</v>
      </c>
      <c r="L16012" t="s">
        <v>20</v>
      </c>
      <c r="M16012" t="s">
        <v>30278</v>
      </c>
      <c r="N16012" t="s">
        <v>14</v>
      </c>
    </row>
    <row r="16013" x14ac:dyDescent="0.25">
      <c r="A16013" t="n">
        <v>21</v>
      </c>
      <c r="B16013" t="s">
        <v>14</v>
      </c>
      <c r="C16013" t="s">
        <v>22</v>
      </c>
      <c r="D16013" s="2" t="s">
        <f>=HYPERLINK("https://main.knesset.gov.il/APPS/legislation/main/bills/2079308", "הצעת חוק הספורט (תיקון - מחיר נקוב לכרטיס לפעילות ספורט מאורגנת), התשע""ט-2019")</f>
        <v>30699</v>
      </c>
      <c r="E16013" t="s">
        <v>30699</v>
      </c>
      <c r="F16013" t="s">
        <v>30700</v>
      </c>
      <c r="G16013" t="s">
        <v>14</v>
      </c>
      <c r="H16013">
             </c>
      <c r="I16013" t="s">
        <v>14</v>
      </c>
      <c r="J16013" t="s">
        <v>141</v>
      </c>
      <c r="K16013" t="s">
        <v>14</v>
      </c>
      <c r="L16013" t="s">
        <v>20</v>
      </c>
      <c r="M16013" t="s">
        <v>30278</v>
      </c>
      <c r="N16013" t="s">
        <v>14</v>
      </c>
    </row>
    <row r="16014" x14ac:dyDescent="0.25">
      <c r="A16014" t="n">
        <v>21</v>
      </c>
      <c r="B16014" t="s">
        <v>14</v>
      </c>
      <c r="C16014" t="s">
        <v>22</v>
      </c>
      <c r="D16014" s="2" t="s">
        <f>=HYPERLINK("https://main.knesset.gov.il/APPS/legislation/main/bills/2079133", "הצעת חוק המרכז למורשת הערבים בישראל, התשע""ט-2019")</f>
        <v>30701</v>
      </c>
      <c r="E16014" t="s">
        <v>30701</v>
      </c>
      <c r="F16014" t="s">
        <v>30702</v>
      </c>
      <c r="G16014" t="s">
        <v>14</v>
      </c>
      <c r="H16014">
             </c>
      <c r="I16014" t="s">
        <v>14</v>
      </c>
      <c r="J16014" t="s">
        <v>141</v>
      </c>
      <c r="K16014" t="s">
        <v>14</v>
      </c>
      <c r="L16014" t="s">
        <v>20</v>
      </c>
      <c r="M16014" t="s">
        <v>30278</v>
      </c>
      <c r="N16014" t="s">
        <v>14</v>
      </c>
    </row>
    <row r="16015" x14ac:dyDescent="0.25">
      <c r="A16015" t="n">
        <v>21</v>
      </c>
      <c r="B16015" t="s">
        <v>14</v>
      </c>
      <c r="C16015" t="s">
        <v>22</v>
      </c>
      <c r="D16015" s="2" t="s">
        <f>=HYPERLINK("https://main.knesset.gov.il/APPS/legislation/main/bills/2079130", "הצעת חוק מעונות סטודנטים, התשע""ט-2019")</f>
        <v>30703</v>
      </c>
      <c r="E16015" t="s">
        <v>30703</v>
      </c>
      <c r="F16015" t="s">
        <v>30704</v>
      </c>
      <c r="G16015" t="s">
        <v>14</v>
      </c>
      <c r="H16015">
             </c>
      <c r="I16015" t="s">
        <v>14</v>
      </c>
      <c r="J16015" t="s">
        <v>141</v>
      </c>
      <c r="K16015" t="s">
        <v>14</v>
      </c>
      <c r="L16015" t="s">
        <v>20</v>
      </c>
      <c r="M16015" t="s">
        <v>30278</v>
      </c>
      <c r="N16015" t="s">
        <v>14</v>
      </c>
    </row>
    <row r="16016" x14ac:dyDescent="0.25">
      <c r="A16016" t="n">
        <v>21</v>
      </c>
      <c r="B16016" t="s">
        <v>14</v>
      </c>
      <c r="C16016" t="s">
        <v>22</v>
      </c>
      <c r="D16016" s="2" t="s">
        <f>=HYPERLINK("https://main.knesset.gov.il/APPS/legislation/main/bills/2079123", "הצעת חוק מס ערך מוסף (תיקון - מועד הוצאת חשבונית מס), התשע''ט-2019")</f>
        <v>30705</v>
      </c>
      <c r="E16016" t="s">
        <v>30705</v>
      </c>
      <c r="F16016" t="s">
        <v>30706</v>
      </c>
      <c r="G16016" t="s">
        <v>14</v>
      </c>
      <c r="H16016">
             </c>
      <c r="I16016" t="s">
        <v>14</v>
      </c>
      <c r="J16016" t="s">
        <v>141</v>
      </c>
      <c r="K16016" t="s">
        <v>14</v>
      </c>
      <c r="L16016" t="s">
        <v>20</v>
      </c>
      <c r="M16016" t="s">
        <v>30278</v>
      </c>
      <c r="N16016" t="s">
        <v>14</v>
      </c>
    </row>
    <row r="16017" x14ac:dyDescent="0.25">
      <c r="A16017" t="n">
        <v>21</v>
      </c>
      <c r="B16017" t="s">
        <v>14</v>
      </c>
      <c r="C16017" t="s">
        <v>22</v>
      </c>
      <c r="D16017" s="2" t="s">
        <f>=HYPERLINK("https://main.knesset.gov.il/APPS/legislation/main/bills/2079304", "הצעת חוק הביטוח הלאומי (תיקון - עבודה בחינוך וסיוע להוראה או בטיפול בילדים כעבודה מועדפת), התשע""ט-2019")</f>
        <v>30707</v>
      </c>
      <c r="E16017" t="s">
        <v>30707</v>
      </c>
      <c r="F16017" t="s">
        <v>30708</v>
      </c>
      <c r="G16017" t="s">
        <v>14</v>
      </c>
      <c r="H16017">
             </c>
      <c r="I16017" t="s">
        <v>14</v>
      </c>
      <c r="J16017" t="s">
        <v>141</v>
      </c>
      <c r="K16017" t="s">
        <v>14</v>
      </c>
      <c r="L16017" t="s">
        <v>20</v>
      </c>
      <c r="M16017" t="s">
        <v>30278</v>
      </c>
      <c r="N16017" t="s">
        <v>14</v>
      </c>
    </row>
    <row r="16018" x14ac:dyDescent="0.25">
      <c r="A16018" t="n">
        <v>21</v>
      </c>
      <c r="B16018" t="s">
        <v>14</v>
      </c>
      <c r="C16018" t="s">
        <v>22</v>
      </c>
      <c r="D16018" s="2" t="s">
        <f>=HYPERLINK("https://main.knesset.gov.il/APPS/legislation/main/bills/2079117", "הצעת חוק מס הכנסה (פטור ממס על הכנסה מהשכרת דירת מגורים) (תיקון - העלאת תקרת הפטור למשכיר ששוכר), התשע""ט-2019")</f>
        <v>30709</v>
      </c>
      <c r="E16018" t="s">
        <v>30709</v>
      </c>
      <c r="F16018" t="s">
        <v>30710</v>
      </c>
      <c r="G16018" t="s">
        <v>14</v>
      </c>
      <c r="H16018">
             </c>
      <c r="I16018" t="s">
        <v>14</v>
      </c>
      <c r="J16018" t="s">
        <v>141</v>
      </c>
      <c r="K16018" t="s">
        <v>14</v>
      </c>
      <c r="L16018" t="s">
        <v>20</v>
      </c>
      <c r="M16018" t="s">
        <v>30278</v>
      </c>
      <c r="N16018" t="s">
        <v>14</v>
      </c>
    </row>
    <row r="16019" x14ac:dyDescent="0.25">
      <c r="A16019" t="n">
        <v>21</v>
      </c>
      <c r="B16019" t="s">
        <v>14</v>
      </c>
      <c r="C16019" t="s">
        <v>22</v>
      </c>
      <c r="D16019" s="2" t="s">
        <f>=HYPERLINK("https://main.knesset.gov.il/APPS/legislation/main/bills/2078957", "הצעת חוק החינוך המוסיקלי בישראל, התשע""ט-2019")</f>
        <v>30711</v>
      </c>
      <c r="E16019" t="s">
        <v>30711</v>
      </c>
      <c r="F16019" t="s">
        <v>30712</v>
      </c>
      <c r="G16019" t="s">
        <v>14</v>
      </c>
      <c r="H16019">
             </c>
      <c r="I16019" t="s">
        <v>14</v>
      </c>
      <c r="J16019" t="s">
        <v>141</v>
      </c>
      <c r="K16019" t="s">
        <v>14</v>
      </c>
      <c r="L16019" t="s">
        <v>20</v>
      </c>
      <c r="M16019" t="s">
        <v>30278</v>
      </c>
      <c r="N16019" t="s">
        <v>14</v>
      </c>
    </row>
    <row r="16020" x14ac:dyDescent="0.25">
      <c r="A16020" t="n">
        <v>21</v>
      </c>
      <c r="B16020" t="s">
        <v>14</v>
      </c>
      <c r="C16020" t="s">
        <v>22</v>
      </c>
      <c r="D16020" s="2" t="s">
        <f>=HYPERLINK("https://main.knesset.gov.il/APPS/legislation/main/bills/2079114", "הצעת חוק קביעת יום לציון הטבעת הספינה אלטלנה, התשע""ט-2019")</f>
        <v>30713</v>
      </c>
      <c r="E16020" t="s">
        <v>30713</v>
      </c>
      <c r="F16020" t="s">
        <v>30714</v>
      </c>
      <c r="G16020" t="s">
        <v>14</v>
      </c>
      <c r="H16020">
             </c>
      <c r="I16020" t="s">
        <v>14</v>
      </c>
      <c r="J16020" t="s">
        <v>141</v>
      </c>
      <c r="K16020" t="s">
        <v>14</v>
      </c>
      <c r="L16020" t="s">
        <v>20</v>
      </c>
      <c r="M16020" t="s">
        <v>30278</v>
      </c>
      <c r="N16020" t="s">
        <v>14</v>
      </c>
    </row>
    <row r="16021" x14ac:dyDescent="0.25">
      <c r="A16021" t="n">
        <v>21</v>
      </c>
      <c r="B16021" t="s">
        <v>14</v>
      </c>
      <c r="C16021" t="s">
        <v>22</v>
      </c>
      <c r="D16021" s="2" t="s">
        <f>=HYPERLINK("https://main.knesset.gov.il/APPS/legislation/main/bills/2079303", "הצעת חוק התכנון והבנייה (תיקון - חובת שידור והקלטת ישיבות, ניהול פרוטוקול ופרסומו), התשע""ט-2019")</f>
        <v>30715</v>
      </c>
      <c r="E16021" t="s">
        <v>30715</v>
      </c>
      <c r="F16021" t="s">
        <v>30716</v>
      </c>
      <c r="G16021" t="s">
        <v>14</v>
      </c>
      <c r="H16021">
             </c>
      <c r="I16021" t="s">
        <v>14</v>
      </c>
      <c r="J16021" t="s">
        <v>141</v>
      </c>
      <c r="K16021" t="s">
        <v>14</v>
      </c>
      <c r="L16021" t="s">
        <v>20</v>
      </c>
      <c r="M16021" t="s">
        <v>30278</v>
      </c>
      <c r="N16021" t="s">
        <v>14</v>
      </c>
    </row>
    <row r="16022" x14ac:dyDescent="0.25">
      <c r="A16022" t="n">
        <v>21</v>
      </c>
      <c r="B16022" t="s">
        <v>14</v>
      </c>
      <c r="C16022" t="s">
        <v>22</v>
      </c>
      <c r="D16022" s="2" t="s">
        <f>=HYPERLINK("https://main.knesset.gov.il/APPS/legislation/main/bills/2079301", "הצעת חוק הסדרת מעמדם של פליטים ומבקשי מקלט, התשע""ט-2019")</f>
        <v>30717</v>
      </c>
      <c r="E16022" t="s">
        <v>30717</v>
      </c>
      <c r="F16022" t="s">
        <v>30718</v>
      </c>
      <c r="G16022" t="s">
        <v>14</v>
      </c>
      <c r="H16022">
             </c>
      <c r="I16022" t="s">
        <v>14</v>
      </c>
      <c r="J16022" t="s">
        <v>141</v>
      </c>
      <c r="K16022" t="s">
        <v>14</v>
      </c>
      <c r="L16022" t="s">
        <v>20</v>
      </c>
      <c r="M16022" t="s">
        <v>30278</v>
      </c>
      <c r="N16022" t="s">
        <v>14</v>
      </c>
    </row>
    <row r="16023" x14ac:dyDescent="0.25">
      <c r="A16023" t="n">
        <v>21</v>
      </c>
      <c r="B16023" t="s">
        <v>14</v>
      </c>
      <c r="C16023" t="s">
        <v>22</v>
      </c>
      <c r="D16023" s="2" t="s">
        <f>=HYPERLINK("https://main.knesset.gov.il/APPS/legislation/main/bills/2079112", "הצעת חוק ביטוח בריאות ממלכתי (תיקון - תוספת קבועה לסל שירותי הבריאות לעדכון טכנולוגיות רפואיות חדשות, תרופות, מכשור ושיטות טיפול), התשע""ט-2019")</f>
        <v>30719</v>
      </c>
      <c r="E16023" t="s">
        <v>30719</v>
      </c>
      <c r="F16023" t="s">
        <v>30720</v>
      </c>
      <c r="G16023" t="s">
        <v>14</v>
      </c>
      <c r="H16023">
             </c>
      <c r="I16023" t="s">
        <v>14</v>
      </c>
      <c r="J16023" t="s">
        <v>141</v>
      </c>
      <c r="K16023" t="s">
        <v>14</v>
      </c>
      <c r="L16023" t="s">
        <v>20</v>
      </c>
      <c r="M16023" t="s">
        <v>30278</v>
      </c>
      <c r="N16023" t="s">
        <v>14</v>
      </c>
    </row>
    <row r="16024" x14ac:dyDescent="0.25">
      <c r="A16024" t="n">
        <v>21</v>
      </c>
      <c r="B16024" t="s">
        <v>14</v>
      </c>
      <c r="C16024" t="s">
        <v>22</v>
      </c>
      <c r="D16024" s="2" t="s">
        <f>=HYPERLINK("https://main.knesset.gov.il/APPS/legislation/main/bills/2078871", "הצעת חוק התרבות והאמנות (תיקון - תקציב התרבות), התשע""ט-2019")</f>
        <v>30721</v>
      </c>
      <c r="E16024" t="s">
        <v>30721</v>
      </c>
      <c r="F16024" t="s">
        <v>30722</v>
      </c>
      <c r="G16024" t="s">
        <v>14</v>
      </c>
      <c r="H16024">
             </c>
      <c r="I16024" t="s">
        <v>14</v>
      </c>
      <c r="J16024" t="s">
        <v>141</v>
      </c>
      <c r="K16024" t="s">
        <v>14</v>
      </c>
      <c r="L16024" t="s">
        <v>20</v>
      </c>
      <c r="M16024" t="s">
        <v>30278</v>
      </c>
      <c r="N16024" t="s">
        <v>14</v>
      </c>
    </row>
    <row r="16025" x14ac:dyDescent="0.25">
      <c r="A16025" t="n">
        <v>21</v>
      </c>
      <c r="B16025" t="s">
        <v>14</v>
      </c>
      <c r="C16025" t="s">
        <v>22</v>
      </c>
      <c r="D16025" s="2" t="s">
        <f>=HYPERLINK("https://main.knesset.gov.il/APPS/legislation/main/bills/2079300", "הצעת חוק הרשויות המקומיות (ייעוד כספי הקצבות למטרות רווחה), התשע""ט-2019")</f>
        <v>30723</v>
      </c>
      <c r="E16025" t="s">
        <v>30723</v>
      </c>
      <c r="F16025" t="s">
        <v>30724</v>
      </c>
      <c r="G16025" t="s">
        <v>14</v>
      </c>
      <c r="H16025">
             </c>
      <c r="I16025" t="s">
        <v>14</v>
      </c>
      <c r="J16025" t="s">
        <v>141</v>
      </c>
      <c r="K16025" t="s">
        <v>14</v>
      </c>
      <c r="L16025" t="s">
        <v>20</v>
      </c>
      <c r="M16025" t="s">
        <v>30278</v>
      </c>
      <c r="N16025" t="s">
        <v>14</v>
      </c>
    </row>
    <row r="16026" x14ac:dyDescent="0.25">
      <c r="A16026" t="n">
        <v>21</v>
      </c>
      <c r="B16026" t="s">
        <v>14</v>
      </c>
      <c r="C16026" t="s">
        <v>22</v>
      </c>
      <c r="D16026" s="2" t="s">
        <f>=HYPERLINK("https://main.knesset.gov.il/APPS/legislation/main/bills/2079106", "הצעת חוק לתיקון פקודת מס הכנסה (חשבון השקעה), התשע""ט-2019")</f>
        <v>30725</v>
      </c>
      <c r="E16026" t="s">
        <v>30725</v>
      </c>
      <c r="F16026" t="s">
        <v>30726</v>
      </c>
      <c r="G16026" t="s">
        <v>14</v>
      </c>
      <c r="H16026">
             </c>
      <c r="I16026" t="s">
        <v>14</v>
      </c>
      <c r="J16026" t="s">
        <v>141</v>
      </c>
      <c r="K16026" t="s">
        <v>14</v>
      </c>
      <c r="L16026" t="s">
        <v>20</v>
      </c>
      <c r="M16026" t="s">
        <v>30278</v>
      </c>
      <c r="N16026" t="s">
        <v>14</v>
      </c>
    </row>
    <row r="16027" x14ac:dyDescent="0.25">
      <c r="A16027" t="n">
        <v>21</v>
      </c>
      <c r="B16027" t="s">
        <v>14</v>
      </c>
      <c r="C16027" t="s">
        <v>22</v>
      </c>
      <c r="D16027" s="2" t="s">
        <f>=HYPERLINK("https://main.knesset.gov.il/APPS/legislation/main/bills/2078869", "הצעת חוק למניעת העישון במקומות ציבוריים והחשיפה לעישון (תיקון - ייעול האכיפה), התשע""ט-2019")</f>
        <v>30727</v>
      </c>
      <c r="E16027" t="s">
        <v>30727</v>
      </c>
      <c r="F16027" t="s">
        <v>30728</v>
      </c>
      <c r="G16027" t="s">
        <v>14</v>
      </c>
      <c r="H16027">
             </c>
      <c r="I16027" t="s">
        <v>14</v>
      </c>
      <c r="J16027" t="s">
        <v>141</v>
      </c>
      <c r="K16027" t="s">
        <v>14</v>
      </c>
      <c r="L16027" t="s">
        <v>20</v>
      </c>
      <c r="M16027" t="s">
        <v>30278</v>
      </c>
      <c r="N16027" t="s">
        <v>14</v>
      </c>
    </row>
    <row r="16028" x14ac:dyDescent="0.25">
      <c r="A16028" t="n">
        <v>21</v>
      </c>
      <c r="B16028" t="s">
        <v>14</v>
      </c>
      <c r="C16028" t="s">
        <v>22</v>
      </c>
      <c r="D16028" s="2" t="s">
        <f>=HYPERLINK("https://main.knesset.gov.il/APPS/legislation/main/bills/2079298", "הצעת חוק הודעה מוקדמת לפיטורים ולהתפטרות (תיקון - השוואה בין עובד בשכר חודשי לעובד בשכר לפי שעה), התשע""ט-2019")</f>
        <v>30729</v>
      </c>
      <c r="E16028" t="s">
        <v>30729</v>
      </c>
      <c r="F16028" t="s">
        <v>30730</v>
      </c>
      <c r="G16028" t="s">
        <v>14</v>
      </c>
      <c r="H16028">
             </c>
      <c r="I16028" t="s">
        <v>14</v>
      </c>
      <c r="J16028" t="s">
        <v>141</v>
      </c>
      <c r="K16028" t="s">
        <v>14</v>
      </c>
      <c r="L16028" t="s">
        <v>20</v>
      </c>
      <c r="M16028" t="s">
        <v>30278</v>
      </c>
      <c r="N16028" t="s">
        <v>14</v>
      </c>
    </row>
    <row r="16029" x14ac:dyDescent="0.25">
      <c r="A16029" t="n">
        <v>21</v>
      </c>
      <c r="B16029" t="s">
        <v>14</v>
      </c>
      <c r="C16029" t="s">
        <v>22</v>
      </c>
      <c r="D16029" s="2" t="s">
        <f>=HYPERLINK("https://main.knesset.gov.il/APPS/legislation/main/bills/2079100", "הצעת חוק עבודת נשים (תיקון - הארכת תקופת לידה והורות), התשע""ט-2019")</f>
        <v>30731</v>
      </c>
      <c r="E16029" t="s">
        <v>30731</v>
      </c>
      <c r="F16029" t="s">
        <v>30732</v>
      </c>
      <c r="G16029" t="s">
        <v>14</v>
      </c>
      <c r="H16029">
             </c>
      <c r="I16029" t="s">
        <v>14</v>
      </c>
      <c r="J16029" t="s">
        <v>141</v>
      </c>
      <c r="K16029" t="s">
        <v>14</v>
      </c>
      <c r="L16029" t="s">
        <v>20</v>
      </c>
      <c r="M16029" t="s">
        <v>30278</v>
      </c>
      <c r="N16029" t="s">
        <v>14</v>
      </c>
    </row>
    <row r="16030" x14ac:dyDescent="0.25">
      <c r="A16030" t="n">
        <v>21</v>
      </c>
      <c r="B16030" t="s">
        <v>14</v>
      </c>
      <c r="C16030" t="s">
        <v>22</v>
      </c>
      <c r="D16030" s="2" t="s">
        <f>=HYPERLINK("https://main.knesset.gov.il/APPS/legislation/main/bills/2079292", "הצעת חוק ביטול איסור התארגנות במשטרה ובשירות בתי הסוהר (תיקוני חקיקה), התשע""ט-2019")</f>
        <v>30733</v>
      </c>
      <c r="E16030" t="s">
        <v>30733</v>
      </c>
      <c r="F16030" t="s">
        <v>30734</v>
      </c>
      <c r="G16030" t="s">
        <v>14</v>
      </c>
      <c r="H16030">
             </c>
      <c r="I16030" t="s">
        <v>14</v>
      </c>
      <c r="J16030" t="s">
        <v>141</v>
      </c>
      <c r="K16030" t="s">
        <v>14</v>
      </c>
      <c r="L16030" t="s">
        <v>20</v>
      </c>
      <c r="M16030" t="s">
        <v>30278</v>
      </c>
      <c r="N16030" t="s">
        <v>14</v>
      </c>
    </row>
    <row r="16031" x14ac:dyDescent="0.25">
      <c r="A16031" t="n">
        <v>21</v>
      </c>
      <c r="B16031" t="s">
        <v>14</v>
      </c>
      <c r="C16031" t="s">
        <v>22</v>
      </c>
      <c r="D16031" s="2" t="s">
        <f>=HYPERLINK("https://main.knesset.gov.il/APPS/legislation/main/bills/2079082", "הצעת חוק הבטחת הכנסה (תיקון - החרגת תוספת ותק מהכנסה), התשע""ט-2019")</f>
        <v>30679</v>
      </c>
      <c r="E16031" t="s">
        <v>30679</v>
      </c>
      <c r="F16031" t="s">
        <v>30735</v>
      </c>
      <c r="G16031" t="s">
        <v>14</v>
      </c>
      <c r="H16031">
             </c>
      <c r="I16031" t="s">
        <v>14</v>
      </c>
      <c r="J16031" t="s">
        <v>141</v>
      </c>
      <c r="K16031" t="s">
        <v>14</v>
      </c>
      <c r="L16031" t="s">
        <v>20</v>
      </c>
      <c r="M16031" t="s">
        <v>30278</v>
      </c>
      <c r="N16031" t="s">
        <v>14</v>
      </c>
    </row>
    <row r="16032" x14ac:dyDescent="0.25">
      <c r="A16032" t="n">
        <v>21</v>
      </c>
      <c r="B16032" t="s">
        <v>14</v>
      </c>
      <c r="C16032" t="s">
        <v>22</v>
      </c>
      <c r="D16032" s="2" t="s">
        <f>=HYPERLINK("https://main.knesset.gov.il/APPS/legislation/main/bills/2078956", "הצעת חוק הביטוח הלאומי (תיקון - פטור לסטודנטים מתשלום דמי ביטוח לאומי), התשע""ט-2019")</f>
        <v>30736</v>
      </c>
      <c r="E16032" t="s">
        <v>30736</v>
      </c>
      <c r="F16032" t="s">
        <v>30737</v>
      </c>
      <c r="G16032" t="s">
        <v>14</v>
      </c>
      <c r="H16032">
             </c>
      <c r="I16032" t="s">
        <v>14</v>
      </c>
      <c r="J16032" t="s">
        <v>141</v>
      </c>
      <c r="K16032" t="s">
        <v>14</v>
      </c>
      <c r="L16032" t="s">
        <v>20</v>
      </c>
      <c r="M16032" t="s">
        <v>30278</v>
      </c>
      <c r="N16032" t="s">
        <v>14</v>
      </c>
    </row>
    <row r="16033" x14ac:dyDescent="0.25">
      <c r="A16033" t="n">
        <v>21</v>
      </c>
      <c r="B16033" t="s">
        <v>14</v>
      </c>
      <c r="C16033" t="s">
        <v>22</v>
      </c>
      <c r="D16033" s="2" t="s">
        <f>=HYPERLINK("https://main.knesset.gov.il/APPS/legislation/main/bills/2079289", "הצעת חוק צער בעלי חיים (הגנה על בעלי חיים) (תיקון - איסור שחיטת בעלי חיים זה לעיני זה או בחיפזון), התשע""ט-2019")</f>
        <v>30738</v>
      </c>
      <c r="E16033" t="s">
        <v>30738</v>
      </c>
      <c r="F16033" t="s">
        <v>30739</v>
      </c>
      <c r="G16033" t="s">
        <v>14</v>
      </c>
      <c r="H16033">
             </c>
      <c r="I16033" t="s">
        <v>14</v>
      </c>
      <c r="J16033" t="s">
        <v>141</v>
      </c>
      <c r="K16033" t="s">
        <v>14</v>
      </c>
      <c r="L16033" t="s">
        <v>20</v>
      </c>
      <c r="M16033" t="s">
        <v>30278</v>
      </c>
      <c r="N16033" t="s">
        <v>14</v>
      </c>
    </row>
    <row r="16034" x14ac:dyDescent="0.25">
      <c r="A16034" t="n">
        <v>21</v>
      </c>
      <c r="B16034" t="s">
        <v>14</v>
      </c>
      <c r="C16034" t="s">
        <v>22</v>
      </c>
      <c r="D16034" s="2" t="s">
        <f>=HYPERLINK("https://main.knesset.gov.il/APPS/legislation/main/bills/2079287", "הצעת חוק שירותי הדת היהודיים (תיקון - ייעוד תשלומים לרכישת חלקת קבר), התשע""ט-2019")</f>
        <v>30740</v>
      </c>
      <c r="E16034" t="s">
        <v>30740</v>
      </c>
      <c r="F16034" t="s">
        <v>30741</v>
      </c>
      <c r="G16034" t="s">
        <v>14</v>
      </c>
      <c r="H16034">
             </c>
      <c r="I16034" t="s">
        <v>14</v>
      </c>
      <c r="J16034" t="s">
        <v>141</v>
      </c>
      <c r="K16034" t="s">
        <v>14</v>
      </c>
      <c r="L16034" t="s">
        <v>20</v>
      </c>
      <c r="M16034" t="s">
        <v>30278</v>
      </c>
      <c r="N16034" t="s">
        <v>14</v>
      </c>
    </row>
    <row r="16035" x14ac:dyDescent="0.25">
      <c r="A16035" t="n">
        <v>21</v>
      </c>
      <c r="B16035" t="s">
        <v>14</v>
      </c>
      <c r="C16035" t="s">
        <v>22</v>
      </c>
      <c r="D16035" s="2" t="s">
        <f>=HYPERLINK("https://main.knesset.gov.il/APPS/legislation/main/bills/2079284", "הצעת חוק שכר ותנאי עבודה לנהגי תחבורה ציבורית, התשע""ט-2019")</f>
        <v>30742</v>
      </c>
      <c r="E16035" t="s">
        <v>30742</v>
      </c>
      <c r="F16035" t="s">
        <v>30743</v>
      </c>
      <c r="G16035" t="s">
        <v>14</v>
      </c>
      <c r="H16035">
             </c>
      <c r="I16035" t="s">
        <v>14</v>
      </c>
      <c r="J16035" t="s">
        <v>141</v>
      </c>
      <c r="K16035" t="s">
        <v>14</v>
      </c>
      <c r="L16035" t="s">
        <v>20</v>
      </c>
      <c r="M16035" t="s">
        <v>30278</v>
      </c>
      <c r="N16035" t="s">
        <v>14</v>
      </c>
    </row>
    <row r="16036" x14ac:dyDescent="0.25">
      <c r="A16036" t="n">
        <v>21</v>
      </c>
      <c r="B16036" t="s">
        <v>14</v>
      </c>
      <c r="C16036" t="s">
        <v>22</v>
      </c>
      <c r="D16036" s="2" t="s">
        <f>=HYPERLINK("https://main.knesset.gov.il/APPS/legislation/main/bills/2078802", "הצעת חוק למניעת העישון במקומות ציבוריים והחשיפה לעישון (תיקון - ביטול חדרי העישון), התשע""ט-2019")</f>
        <v>30744</v>
      </c>
      <c r="E16036" t="s">
        <v>30744</v>
      </c>
      <c r="F16036" t="s">
        <v>30745</v>
      </c>
      <c r="G16036" t="s">
        <v>14</v>
      </c>
      <c r="H16036">
             </c>
      <c r="I16036" t="s">
        <v>14</v>
      </c>
      <c r="J16036" t="s">
        <v>141</v>
      </c>
      <c r="K16036" t="s">
        <v>14</v>
      </c>
      <c r="L16036" t="s">
        <v>20</v>
      </c>
      <c r="M16036" t="s">
        <v>30278</v>
      </c>
      <c r="N16036" t="s">
        <v>14</v>
      </c>
    </row>
    <row r="16037" x14ac:dyDescent="0.25">
      <c r="A16037" t="n">
        <v>21</v>
      </c>
      <c r="B16037" t="s">
        <v>14</v>
      </c>
      <c r="C16037" t="s">
        <v>22</v>
      </c>
      <c r="D16037" s="2" t="s">
        <f>=HYPERLINK("https://main.knesset.gov.il/APPS/legislation/main/bills/2078831", "הצעת חוק לתיקון פקודת היערות (הגברת ההגנה על עצים בוגרים), התשע""ט-2019")</f>
        <v>30746</v>
      </c>
      <c r="E16037" t="s">
        <v>30746</v>
      </c>
      <c r="F16037" t="s">
        <v>30747</v>
      </c>
      <c r="G16037" t="s">
        <v>14</v>
      </c>
      <c r="H16037">
             </c>
      <c r="I16037" t="s">
        <v>14</v>
      </c>
      <c r="J16037" t="s">
        <v>141</v>
      </c>
      <c r="K16037" t="s">
        <v>14</v>
      </c>
      <c r="L16037" t="s">
        <v>20</v>
      </c>
      <c r="M16037" t="s">
        <v>30278</v>
      </c>
      <c r="N16037" t="s">
        <v>14</v>
      </c>
    </row>
    <row r="16038" x14ac:dyDescent="0.25">
      <c r="A16038" t="n">
        <v>21</v>
      </c>
      <c r="B16038" t="s">
        <v>14</v>
      </c>
      <c r="C16038" t="s">
        <v>22</v>
      </c>
      <c r="D16038" s="2" t="s">
        <f>=HYPERLINK("https://main.knesset.gov.il/APPS/legislation/main/bills/2079077", "הצעת חוק מס ערך מוסף (תיקון - מס בשיעור אפס על מוצרי מזון בסיסיים), התשע""ט-2019")</f>
        <v>30748</v>
      </c>
      <c r="E16038" t="s">
        <v>30748</v>
      </c>
      <c r="F16038" t="s">
        <v>30749</v>
      </c>
      <c r="G16038" t="s">
        <v>14</v>
      </c>
      <c r="H16038">
             </c>
      <c r="I16038" t="s">
        <v>14</v>
      </c>
      <c r="J16038" t="s">
        <v>141</v>
      </c>
      <c r="K16038" t="s">
        <v>14</v>
      </c>
      <c r="L16038" t="s">
        <v>20</v>
      </c>
      <c r="M16038" t="s">
        <v>30278</v>
      </c>
      <c r="N16038" t="s">
        <v>14</v>
      </c>
    </row>
    <row r="16039" x14ac:dyDescent="0.25">
      <c r="A16039" t="n">
        <v>21</v>
      </c>
      <c r="B16039" t="s">
        <v>14</v>
      </c>
      <c r="C16039" t="s">
        <v>22</v>
      </c>
      <c r="D16039" s="2" t="s">
        <f>=HYPERLINK("https://main.knesset.gov.il/APPS/legislation/main/bills/2078817", "הצעת חוק השאלת כלי נגינה, התשע""ט-2019")</f>
        <v>30750</v>
      </c>
      <c r="E16039" t="s">
        <v>30750</v>
      </c>
      <c r="F16039" t="s">
        <v>30751</v>
      </c>
      <c r="G16039" t="s">
        <v>14</v>
      </c>
      <c r="H16039">
             </c>
      <c r="I16039" t="s">
        <v>14</v>
      </c>
      <c r="J16039" t="s">
        <v>141</v>
      </c>
      <c r="K16039" t="s">
        <v>14</v>
      </c>
      <c r="L16039" t="s">
        <v>20</v>
      </c>
      <c r="M16039" t="s">
        <v>30278</v>
      </c>
      <c r="N16039" t="s">
        <v>14</v>
      </c>
    </row>
    <row r="16040" x14ac:dyDescent="0.25">
      <c r="A16040" t="n">
        <v>21</v>
      </c>
      <c r="B16040" t="s">
        <v>14</v>
      </c>
      <c r="C16040" t="s">
        <v>22</v>
      </c>
      <c r="D16040" s="2" t="s">
        <f>=HYPERLINK("https://main.knesset.gov.il/APPS/legislation/main/bills/2079282", "הצעת חוק הגנה על עובדים בשעת חירום (תיקון - הגנת שכר בעת מצב מיוחד בעורף), התשע""ט-2019")</f>
        <v>30752</v>
      </c>
      <c r="E16040" t="s">
        <v>30752</v>
      </c>
      <c r="F16040" t="s">
        <v>30753</v>
      </c>
      <c r="G16040" t="s">
        <v>14</v>
      </c>
      <c r="H16040">
             </c>
      <c r="I16040" t="s">
        <v>14</v>
      </c>
      <c r="J16040" t="s">
        <v>141</v>
      </c>
      <c r="K16040" t="s">
        <v>14</v>
      </c>
      <c r="L16040" t="s">
        <v>20</v>
      </c>
      <c r="M16040" t="s">
        <v>30278</v>
      </c>
      <c r="N16040" t="s">
        <v>14</v>
      </c>
    </row>
    <row r="16041" x14ac:dyDescent="0.25">
      <c r="A16041" t="n">
        <v>21</v>
      </c>
      <c r="B16041" t="s">
        <v>14</v>
      </c>
      <c r="C16041" t="s">
        <v>22</v>
      </c>
      <c r="D16041" s="2" t="s">
        <f>=HYPERLINK("https://main.knesset.gov.il/APPS/legislation/main/bills/2079280", "הצעת חוק הביטוח הלאומי (תיקון - הצמדת קצבת אזרח ותיק לשכר הממוצע לפחות), התשע""ט-2019")</f>
        <v>30754</v>
      </c>
      <c r="E16041" t="s">
        <v>30754</v>
      </c>
      <c r="F16041" t="s">
        <v>30755</v>
      </c>
      <c r="G16041" t="s">
        <v>14</v>
      </c>
      <c r="H16041">
             </c>
      <c r="I16041" t="s">
        <v>14</v>
      </c>
      <c r="J16041" t="s">
        <v>141</v>
      </c>
      <c r="K16041" t="s">
        <v>14</v>
      </c>
      <c r="L16041" t="s">
        <v>20</v>
      </c>
      <c r="M16041" t="s">
        <v>30278</v>
      </c>
      <c r="N16041" t="s">
        <v>14</v>
      </c>
    </row>
    <row r="16042" x14ac:dyDescent="0.25">
      <c r="A16042" t="n">
        <v>21</v>
      </c>
      <c r="B16042" t="s">
        <v>14</v>
      </c>
      <c r="C16042" t="s">
        <v>22</v>
      </c>
      <c r="D16042" s="2" t="s">
        <f>=HYPERLINK("https://main.knesset.gov.il/APPS/legislation/main/bills/2079826", "הצעת חוק לימוד חובה (תיקון - חינוך חינם לפעוטות ולילדים), התשע""ט-2019")</f>
        <v>30756</v>
      </c>
      <c r="E16042" t="s">
        <v>30756</v>
      </c>
      <c r="F16042" t="s">
        <v>30757</v>
      </c>
      <c r="G16042" t="s">
        <v>14</v>
      </c>
      <c r="H16042">
             </c>
      <c r="I16042" t="s">
        <v>14</v>
      </c>
      <c r="J16042" t="s">
        <v>141</v>
      </c>
      <c r="K16042" t="s">
        <v>14</v>
      </c>
      <c r="L16042" t="s">
        <v>20</v>
      </c>
      <c r="M16042" t="s">
        <v>30278</v>
      </c>
      <c r="N16042" t="s">
        <v>14</v>
      </c>
    </row>
    <row r="16043" x14ac:dyDescent="0.25">
      <c r="A16043" t="n">
        <v>21</v>
      </c>
      <c r="B16043" t="s">
        <v>14</v>
      </c>
      <c r="C16043" t="s">
        <v>22</v>
      </c>
      <c r="D16043" s="2" t="s">
        <f>=HYPERLINK("https://main.knesset.gov.il/APPS/legislation/main/bills/2079279", "הצעת חוק המועצה הארצית לביטחון תזונתי (תיקון - קרן לשמירה על ביטחון תזונתי), התשע""ט-2019")</f>
        <v>30758</v>
      </c>
      <c r="E16043" t="s">
        <v>30758</v>
      </c>
      <c r="F16043" t="s">
        <v>30759</v>
      </c>
      <c r="G16043" t="s">
        <v>14</v>
      </c>
      <c r="H16043">
             </c>
      <c r="I16043" t="s">
        <v>14</v>
      </c>
      <c r="J16043" t="s">
        <v>141</v>
      </c>
      <c r="K16043" t="s">
        <v>14</v>
      </c>
      <c r="L16043" t="s">
        <v>20</v>
      </c>
      <c r="M16043" t="s">
        <v>30278</v>
      </c>
      <c r="N16043" t="s">
        <v>14</v>
      </c>
    </row>
    <row r="16044" x14ac:dyDescent="0.25">
      <c r="A16044" t="n">
        <v>21</v>
      </c>
      <c r="B16044" t="s">
        <v>14</v>
      </c>
      <c r="C16044" t="s">
        <v>22</v>
      </c>
      <c r="D16044" s="2" t="s">
        <f>=HYPERLINK("https://main.knesset.gov.il/APPS/legislation/main/bills/2079056", "הצעת חוק לתיקון פקודת הבנקאות (הגשת דוחות לוועדת הכלכלה של הכנסת בקביעת הוראות בנושאים צרכניים), התשע""ט-2019")</f>
        <v>30760</v>
      </c>
      <c r="E16044" t="s">
        <v>30760</v>
      </c>
      <c r="F16044" t="s">
        <v>30761</v>
      </c>
      <c r="G16044" t="s">
        <v>14</v>
      </c>
      <c r="H16044">
             </c>
      <c r="I16044" t="s">
        <v>14</v>
      </c>
      <c r="J16044" t="s">
        <v>141</v>
      </c>
      <c r="K16044" t="s">
        <v>14</v>
      </c>
      <c r="L16044" t="s">
        <v>20</v>
      </c>
      <c r="M16044" t="s">
        <v>30278</v>
      </c>
      <c r="N16044" t="s">
        <v>14</v>
      </c>
    </row>
    <row r="16045" x14ac:dyDescent="0.25">
      <c r="A16045" t="n">
        <v>21</v>
      </c>
      <c r="B16045" t="s">
        <v>14</v>
      </c>
      <c r="C16045" t="s">
        <v>22</v>
      </c>
      <c r="D16045" s="2" t="s">
        <f>=HYPERLINK("https://main.knesset.gov.il/APPS/legislation/main/bills/2079994", "הצעת חוק החזר גביית יתר (תיקוני חקיקה), התשע""ט-2019")</f>
        <v>30762</v>
      </c>
      <c r="E16045" t="s">
        <v>30762</v>
      </c>
      <c r="F16045" t="s">
        <v>30763</v>
      </c>
      <c r="G16045" t="s">
        <v>14</v>
      </c>
      <c r="H16045">
             </c>
      <c r="I16045" t="s">
        <v>14</v>
      </c>
      <c r="J16045" t="s">
        <v>141</v>
      </c>
      <c r="K16045" t="s">
        <v>14</v>
      </c>
      <c r="L16045" t="s">
        <v>20</v>
      </c>
      <c r="M16045" t="s">
        <v>30278</v>
      </c>
      <c r="N16045" t="s">
        <v>14</v>
      </c>
    </row>
    <row r="16046" x14ac:dyDescent="0.25">
      <c r="A16046" t="n">
        <v>21</v>
      </c>
      <c r="B16046" t="s">
        <v>14</v>
      </c>
      <c r="C16046" t="s">
        <v>22</v>
      </c>
      <c r="D16046" s="2" t="s">
        <f>=HYPERLINK("https://main.knesset.gov.il/APPS/legislation/main/bills/2079051", "הצעת חוק מס ערך מוסף (תיקון - מס בשיעור אפס על תרופות), התשע""ט-2019")</f>
        <v>30764</v>
      </c>
      <c r="E16046" t="s">
        <v>30764</v>
      </c>
      <c r="F16046" t="s">
        <v>30765</v>
      </c>
      <c r="G16046" t="s">
        <v>14</v>
      </c>
      <c r="H16046">
             </c>
      <c r="I16046" t="s">
        <v>14</v>
      </c>
      <c r="J16046" t="s">
        <v>141</v>
      </c>
      <c r="K16046" t="s">
        <v>14</v>
      </c>
      <c r="L16046" t="s">
        <v>20</v>
      </c>
      <c r="M16046" t="s">
        <v>30278</v>
      </c>
      <c r="N16046" t="s">
        <v>14</v>
      </c>
    </row>
    <row r="16047" x14ac:dyDescent="0.25">
      <c r="A16047" t="n">
        <v>21</v>
      </c>
      <c r="B16047" t="s">
        <v>14</v>
      </c>
      <c r="C16047" t="s">
        <v>22</v>
      </c>
      <c r="D16047" s="2" t="s">
        <f>=HYPERLINK("https://main.knesset.gov.il/APPS/legislation/main/bills/2079677", "הצעת חוק לימוד חובה (תיקון - חינוך חינם לפעוטות), התשע""ט-2019")</f>
        <v>30766</v>
      </c>
      <c r="E16047" t="s">
        <v>30766</v>
      </c>
      <c r="F16047" t="s">
        <v>30767</v>
      </c>
      <c r="G16047" t="s">
        <v>14</v>
      </c>
      <c r="H16047">
             </c>
      <c r="I16047" t="s">
        <v>14</v>
      </c>
      <c r="J16047" t="s">
        <v>141</v>
      </c>
      <c r="K16047" t="s">
        <v>14</v>
      </c>
      <c r="L16047" t="s">
        <v>20</v>
      </c>
      <c r="M16047" t="s">
        <v>30278</v>
      </c>
      <c r="N16047" t="s">
        <v>14</v>
      </c>
    </row>
    <row r="16048" x14ac:dyDescent="0.25">
      <c r="A16048" t="n">
        <v>21</v>
      </c>
      <c r="B16048" t="s">
        <v>14</v>
      </c>
      <c r="C16048" t="s">
        <v>22</v>
      </c>
      <c r="D16048" s="2" t="s">
        <f>=HYPERLINK("https://main.knesset.gov.il/APPS/legislation/main/bills/2079267", "הצעת חוק הגנת הצרכן (תיקון - שינוי פרטים בכרטיס טיסה או בכרטיס לשיט), התשע""ט-2019")</f>
        <v>30768</v>
      </c>
      <c r="E16048" t="s">
        <v>30768</v>
      </c>
      <c r="F16048" t="s">
        <v>30769</v>
      </c>
      <c r="G16048" t="s">
        <v>14</v>
      </c>
      <c r="H16048">
             </c>
      <c r="I16048" t="s">
        <v>14</v>
      </c>
      <c r="J16048" t="s">
        <v>141</v>
      </c>
      <c r="K16048" t="s">
        <v>14</v>
      </c>
      <c r="L16048" t="s">
        <v>20</v>
      </c>
      <c r="M16048" t="s">
        <v>30278</v>
      </c>
      <c r="N16048" t="s">
        <v>14</v>
      </c>
    </row>
    <row r="16049" x14ac:dyDescent="0.25">
      <c r="A16049" t="n">
        <v>21</v>
      </c>
      <c r="B16049" t="s">
        <v>14</v>
      </c>
      <c r="C16049" t="s">
        <v>22</v>
      </c>
      <c r="D16049" s="2" t="s">
        <f>=HYPERLINK("https://main.knesset.gov.il/APPS/legislation/main/bills/2078992", "הצעת חוק הגנת הצרכן (תיקון - שינוי פרטים בכרטיס טיסה או בכרטיס לשיט), התשע""ט-2019")</f>
        <v>30768</v>
      </c>
      <c r="E16049" t="s">
        <v>30768</v>
      </c>
      <c r="F16049" t="s">
        <v>30770</v>
      </c>
      <c r="G16049" t="s">
        <v>14</v>
      </c>
      <c r="H16049">
             </c>
      <c r="I16049" t="s">
        <v>14</v>
      </c>
      <c r="J16049" t="s">
        <v>141</v>
      </c>
      <c r="K16049" t="s">
        <v>14</v>
      </c>
      <c r="L16049" t="s">
        <v>20</v>
      </c>
      <c r="M16049" t="s">
        <v>30278</v>
      </c>
      <c r="N16049" t="s">
        <v>14</v>
      </c>
    </row>
    <row r="16050" x14ac:dyDescent="0.25">
      <c r="A16050" t="n">
        <v>21</v>
      </c>
      <c r="B16050" t="s">
        <v>14</v>
      </c>
      <c r="C16050" t="s">
        <v>22</v>
      </c>
      <c r="D16050" s="2" t="s">
        <f>=HYPERLINK("https://main.knesset.gov.il/APPS/legislation/main/bills/2078771", "הצעת חוק הפיקוח על שירותים פיננסיים (קופות גמל) (תיקון - חישוב מקדם המרה לקצבה), התשע""ט-2019")</f>
        <v>30771</v>
      </c>
      <c r="E16050" t="s">
        <v>30771</v>
      </c>
      <c r="F16050" t="s">
        <v>30772</v>
      </c>
      <c r="G16050" t="s">
        <v>14</v>
      </c>
      <c r="H16050">
             </c>
      <c r="I16050" t="s">
        <v>14</v>
      </c>
      <c r="J16050" t="s">
        <v>141</v>
      </c>
      <c r="K16050" t="s">
        <v>14</v>
      </c>
      <c r="L16050" t="s">
        <v>20</v>
      </c>
      <c r="M16050" t="s">
        <v>30278</v>
      </c>
      <c r="N16050" t="s">
        <v>14</v>
      </c>
    </row>
    <row r="16051" x14ac:dyDescent="0.25">
      <c r="A16051" t="n">
        <v>21</v>
      </c>
      <c r="B16051" t="s">
        <v>14</v>
      </c>
      <c r="C16051" t="s">
        <v>22</v>
      </c>
      <c r="D16051" s="2" t="s">
        <f>=HYPERLINK("https://main.knesset.gov.il/APPS/legislation/main/bills/2079276", "הצעת חוק עסקאות גופים ציבוריים (תיקון - מניעת העסקה במיקור חוץ בשירות הציבורי), התשע""ט-2019")</f>
        <v>30773</v>
      </c>
      <c r="E16051" t="s">
        <v>30773</v>
      </c>
      <c r="F16051" t="s">
        <v>30774</v>
      </c>
      <c r="G16051" t="s">
        <v>14</v>
      </c>
      <c r="H16051">
             </c>
      <c r="I16051" t="s">
        <v>14</v>
      </c>
      <c r="J16051" t="s">
        <v>141</v>
      </c>
      <c r="K16051" t="s">
        <v>14</v>
      </c>
      <c r="L16051" t="s">
        <v>20</v>
      </c>
      <c r="M16051" t="s">
        <v>30278</v>
      </c>
      <c r="N16051" t="s">
        <v>14</v>
      </c>
    </row>
    <row r="16052" x14ac:dyDescent="0.25">
      <c r="A16052" t="n">
        <v>21</v>
      </c>
      <c r="B16052" t="s">
        <v>14</v>
      </c>
      <c r="C16052" t="s">
        <v>22</v>
      </c>
      <c r="D16052" s="2" t="s">
        <f>=HYPERLINK("https://main.knesset.gov.il/APPS/legislation/main/bills/2079274", "הצעת חוק דמי מחלה (היעדרות בשל מחלת ילד) (תיקון - התליית מספר ימי היעדרות במספר ילדי העובד), התשע""ט-2019")</f>
        <v>30775</v>
      </c>
      <c r="E16052" t="s">
        <v>30775</v>
      </c>
      <c r="F16052" t="s">
        <v>30776</v>
      </c>
      <c r="G16052" t="s">
        <v>14</v>
      </c>
      <c r="H16052">
             </c>
      <c r="I16052" t="s">
        <v>14</v>
      </c>
      <c r="J16052" t="s">
        <v>141</v>
      </c>
      <c r="K16052" t="s">
        <v>14</v>
      </c>
      <c r="L16052" t="s">
        <v>20</v>
      </c>
      <c r="M16052" t="s">
        <v>30278</v>
      </c>
      <c r="N16052" t="s">
        <v>14</v>
      </c>
    </row>
    <row r="16053" x14ac:dyDescent="0.25">
      <c r="A16053" t="n">
        <v>21</v>
      </c>
      <c r="B16053" t="s">
        <v>14</v>
      </c>
      <c r="C16053" t="s">
        <v>22</v>
      </c>
      <c r="D16053" s="2" t="s">
        <f>=HYPERLINK("https://main.knesset.gov.il/APPS/legislation/main/bills/2078733", "הצעת חוק הכרה ברצח העם הארמני וציון יום זיכרון, התשע""ט-2019")</f>
        <v>30777</v>
      </c>
      <c r="E16053" t="s">
        <v>30777</v>
      </c>
      <c r="F16053" t="s">
        <v>30778</v>
      </c>
      <c r="G16053" t="s">
        <v>14</v>
      </c>
      <c r="H16053">
             </c>
      <c r="I16053" t="s">
        <v>14</v>
      </c>
      <c r="J16053" t="s">
        <v>141</v>
      </c>
      <c r="K16053" t="s">
        <v>14</v>
      </c>
      <c r="L16053" t="s">
        <v>20</v>
      </c>
      <c r="M16053" t="s">
        <v>30278</v>
      </c>
      <c r="N16053" t="s">
        <v>14</v>
      </c>
    </row>
    <row r="16054" x14ac:dyDescent="0.25">
      <c r="A16054" t="n">
        <v>21</v>
      </c>
      <c r="B16054" t="s">
        <v>14</v>
      </c>
      <c r="C16054" t="s">
        <v>22</v>
      </c>
      <c r="D16054" s="2" t="s">
        <f>=HYPERLINK("https://main.knesset.gov.il/APPS/legislation/main/bills/2079273", "הצעת חוק הביטוח הלאומי (תיקון - זכאות לגמלת סיעוד להורה של מי שעלה לפי חוק השבות), התשע""ט-2019")</f>
        <v>30779</v>
      </c>
      <c r="E16054" t="s">
        <v>30779</v>
      </c>
      <c r="F16054" t="s">
        <v>30780</v>
      </c>
      <c r="G16054" t="s">
        <v>14</v>
      </c>
      <c r="H16054">
             </c>
      <c r="I16054" t="s">
        <v>14</v>
      </c>
      <c r="J16054" t="s">
        <v>141</v>
      </c>
      <c r="K16054" t="s">
        <v>14</v>
      </c>
      <c r="L16054" t="s">
        <v>20</v>
      </c>
      <c r="M16054" t="s">
        <v>30278</v>
      </c>
      <c r="N16054" t="s">
        <v>14</v>
      </c>
    </row>
    <row r="16055" x14ac:dyDescent="0.25">
      <c r="A16055" t="n">
        <v>21</v>
      </c>
      <c r="B16055" t="s">
        <v>14</v>
      </c>
      <c r="C16055" t="s">
        <v>22</v>
      </c>
      <c r="D16055" s="2" t="s">
        <f>=HYPERLINK("https://main.knesset.gov.il/APPS/legislation/main/bills/2078970", "הצעת חוק הסעה בטיחותית לילדים ולפעוטות עם מוגבלות (תיקון - הרחבת ההגדרה מוסד חינוך), התשע""ט-2019")</f>
        <v>30781</v>
      </c>
      <c r="E16055" t="s">
        <v>30781</v>
      </c>
      <c r="F16055" t="s">
        <v>30782</v>
      </c>
      <c r="G16055" t="s">
        <v>14</v>
      </c>
      <c r="H16055">
             </c>
      <c r="I16055" t="s">
        <v>14</v>
      </c>
      <c r="J16055" t="s">
        <v>141</v>
      </c>
      <c r="K16055" t="s">
        <v>14</v>
      </c>
      <c r="L16055" t="s">
        <v>20</v>
      </c>
      <c r="M16055" t="s">
        <v>30278</v>
      </c>
      <c r="N16055" t="s">
        <v>14</v>
      </c>
    </row>
    <row r="16056" x14ac:dyDescent="0.25">
      <c r="A16056" t="n">
        <v>21</v>
      </c>
      <c r="B16056" t="s">
        <v>14</v>
      </c>
      <c r="C16056" t="s">
        <v>22</v>
      </c>
      <c r="D16056" s="2" t="s">
        <f>=HYPERLINK("https://main.knesset.gov.il/APPS/legislation/main/bills/2079050", "הצעת חוק החזר גביית יתר (תיקוני חקיקה), התשע""ט-2019")</f>
        <v>30762</v>
      </c>
      <c r="E16056" t="s">
        <v>30762</v>
      </c>
      <c r="F16056" t="s">
        <v>30783</v>
      </c>
      <c r="G16056" t="s">
        <v>14</v>
      </c>
      <c r="H16056">
             </c>
      <c r="I16056" t="s">
        <v>14</v>
      </c>
      <c r="J16056" t="s">
        <v>141</v>
      </c>
      <c r="K16056" t="s">
        <v>14</v>
      </c>
      <c r="L16056" t="s">
        <v>20</v>
      </c>
      <c r="M16056" t="s">
        <v>30278</v>
      </c>
      <c r="N16056" t="s">
        <v>14</v>
      </c>
    </row>
    <row r="16057" x14ac:dyDescent="0.25">
      <c r="A16057" t="n">
        <v>21</v>
      </c>
      <c r="B16057" t="s">
        <v>14</v>
      </c>
      <c r="C16057" t="s">
        <v>22</v>
      </c>
      <c r="D16057" s="2" t="s">
        <f>=HYPERLINK("https://main.knesset.gov.il/APPS/legislation/main/bills/2079272", "הצעת חוק ביטוח בריאות ממלכתי (תיקון - ביטול תשלומי השתתפות), התשע""ט-2019")</f>
        <v>30784</v>
      </c>
      <c r="E16057" t="s">
        <v>30784</v>
      </c>
      <c r="F16057" t="s">
        <v>30785</v>
      </c>
      <c r="G16057" t="s">
        <v>14</v>
      </c>
      <c r="H16057">
             </c>
      <c r="I16057" t="s">
        <v>14</v>
      </c>
      <c r="J16057" t="s">
        <v>141</v>
      </c>
      <c r="K16057" t="s">
        <v>14</v>
      </c>
      <c r="L16057" t="s">
        <v>20</v>
      </c>
      <c r="M16057" t="s">
        <v>30278</v>
      </c>
      <c r="N16057" t="s">
        <v>14</v>
      </c>
    </row>
    <row r="16058" x14ac:dyDescent="0.25">
      <c r="A16058" t="n">
        <v>21</v>
      </c>
      <c r="B16058" t="s">
        <v>14</v>
      </c>
      <c r="C16058" t="s">
        <v>22</v>
      </c>
      <c r="D16058" s="2" t="s">
        <f>=HYPERLINK("https://main.knesset.gov.il/APPS/legislation/main/bills/2079268", "הצעת חוק שירות המילואים (תיקון - תוספת גמול לימי מילואים נוספים), התשע""ט-2019")</f>
        <v>30786</v>
      </c>
      <c r="E16058" t="s">
        <v>30786</v>
      </c>
      <c r="F16058" t="s">
        <v>30787</v>
      </c>
      <c r="G16058" t="s">
        <v>14</v>
      </c>
      <c r="H16058">
             </c>
      <c r="I16058" t="s">
        <v>14</v>
      </c>
      <c r="J16058" t="s">
        <v>141</v>
      </c>
      <c r="K16058" t="s">
        <v>14</v>
      </c>
      <c r="L16058" t="s">
        <v>20</v>
      </c>
      <c r="M16058" t="s">
        <v>30278</v>
      </c>
      <c r="N16058" t="s">
        <v>14</v>
      </c>
    </row>
    <row r="16059" x14ac:dyDescent="0.25">
      <c r="A16059" t="n">
        <v>21</v>
      </c>
      <c r="B16059" t="s">
        <v>14</v>
      </c>
      <c r="C16059" t="s">
        <v>22</v>
      </c>
      <c r="D16059" s="2" t="s">
        <f>=HYPERLINK("https://main.knesset.gov.il/APPS/legislation/main/bills/2078917", "הצעת חוק החולה הנוטה למות (תיקון - מוות במרשם רופא), התשע""ט-2019")</f>
        <v>30788</v>
      </c>
      <c r="E16059" t="s">
        <v>30788</v>
      </c>
      <c r="F16059" t="s">
        <v>30789</v>
      </c>
      <c r="G16059" t="s">
        <v>14</v>
      </c>
      <c r="H16059">
             </c>
      <c r="I16059" t="s">
        <v>14</v>
      </c>
      <c r="J16059" t="s">
        <v>141</v>
      </c>
      <c r="K16059" t="s">
        <v>14</v>
      </c>
      <c r="L16059" t="s">
        <v>20</v>
      </c>
      <c r="M16059" t="s">
        <v>30278</v>
      </c>
      <c r="N16059" t="s">
        <v>14</v>
      </c>
    </row>
    <row r="16060" x14ac:dyDescent="0.25">
      <c r="A16060" t="n">
        <v>21</v>
      </c>
      <c r="B16060" t="s">
        <v>14</v>
      </c>
      <c r="C16060" t="s">
        <v>22</v>
      </c>
      <c r="D16060" s="2" t="s">
        <f>=HYPERLINK("https://main.knesset.gov.il/APPS/legislation/main/bills/2078993", "הצעת חוק זכויות הדייר בדיור הציבורי (תיקון - הארכת תוקף זכאות לדירה ציבורית), התשע""ט-2019")</f>
        <v>30790</v>
      </c>
      <c r="E16060" t="s">
        <v>30790</v>
      </c>
      <c r="F16060" t="s">
        <v>30791</v>
      </c>
      <c r="G16060" t="s">
        <v>14</v>
      </c>
      <c r="H16060">
             </c>
      <c r="I16060" t="s">
        <v>14</v>
      </c>
      <c r="J16060" t="s">
        <v>141</v>
      </c>
      <c r="K16060" t="s">
        <v>14</v>
      </c>
      <c r="L16060" t="s">
        <v>20</v>
      </c>
      <c r="M16060" t="s">
        <v>30278</v>
      </c>
      <c r="N16060" t="s">
        <v>14</v>
      </c>
    </row>
    <row r="16061" x14ac:dyDescent="0.25">
      <c r="A16061" t="n">
        <v>21</v>
      </c>
      <c r="B16061" t="s">
        <v>14</v>
      </c>
      <c r="C16061" t="s">
        <v>22</v>
      </c>
      <c r="D16061" s="2" t="s">
        <f>=HYPERLINK("https://main.knesset.gov.il/APPS/legislation/main/bills/2078855", "הצעת חוק זכויות לעובד עצמאי, התשע""ט-2019")</f>
        <v>30792</v>
      </c>
      <c r="E16061" t="s">
        <v>30792</v>
      </c>
      <c r="F16061" t="s">
        <v>30793</v>
      </c>
      <c r="G16061" t="s">
        <v>14</v>
      </c>
      <c r="H16061">
             </c>
      <c r="I16061" t="s">
        <v>14</v>
      </c>
      <c r="J16061" t="s">
        <v>141</v>
      </c>
      <c r="K16061" t="s">
        <v>14</v>
      </c>
      <c r="L16061" t="s">
        <v>20</v>
      </c>
      <c r="M16061" t="s">
        <v>30278</v>
      </c>
      <c r="N16061" t="s">
        <v>14</v>
      </c>
    </row>
    <row r="16062" x14ac:dyDescent="0.25">
      <c r="A16062" t="n">
        <v>21</v>
      </c>
      <c r="B16062" t="s">
        <v>14</v>
      </c>
      <c r="C16062" t="s">
        <v>22</v>
      </c>
      <c r="D16062" s="2" t="s">
        <f>=HYPERLINK("https://main.knesset.gov.il/APPS/legislation/main/bills/2078686", "הצעת חוק המזונות (הבטחת תשלום) (תיקון - סכום שלא יובא בחשבון במבחן ההכנסה), התשע""ט-2019")</f>
        <v>30389</v>
      </c>
      <c r="E16062" t="s">
        <v>30389</v>
      </c>
      <c r="F16062" t="s">
        <v>30794</v>
      </c>
      <c r="G16062" t="s">
        <v>14</v>
      </c>
      <c r="H16062">
             </c>
      <c r="I16062" t="s">
        <v>14</v>
      </c>
      <c r="J16062" t="s">
        <v>141</v>
      </c>
      <c r="K16062" t="s">
        <v>14</v>
      </c>
      <c r="L16062" t="s">
        <v>20</v>
      </c>
      <c r="M16062" t="s">
        <v>30278</v>
      </c>
      <c r="N16062" t="s">
        <v>14</v>
      </c>
    </row>
    <row r="16063" x14ac:dyDescent="0.25">
      <c r="A16063" t="n">
        <v>21</v>
      </c>
      <c r="B16063" t="s">
        <v>14</v>
      </c>
      <c r="C16063" t="s">
        <v>22</v>
      </c>
      <c r="D16063" s="2" t="s">
        <f>=HYPERLINK("https://main.knesset.gov.il/APPS/legislation/main/bills/2079011", "הצעת חוק אזכור וציון מותם של הרוגים בענף הבנייה באתר התאונה, התשע""ט-2019")</f>
        <v>30795</v>
      </c>
      <c r="E16063" t="s">
        <v>30795</v>
      </c>
      <c r="F16063" t="s">
        <v>30796</v>
      </c>
      <c r="G16063" t="s">
        <v>14</v>
      </c>
      <c r="H16063">
             </c>
      <c r="I16063" t="s">
        <v>14</v>
      </c>
      <c r="J16063" t="s">
        <v>141</v>
      </c>
      <c r="K16063" t="s">
        <v>14</v>
      </c>
      <c r="L16063" t="s">
        <v>20</v>
      </c>
      <c r="M16063" t="s">
        <v>30278</v>
      </c>
      <c r="N16063" t="s">
        <v>14</v>
      </c>
    </row>
    <row r="16064" x14ac:dyDescent="0.25">
      <c r="A16064" t="n">
        <v>21</v>
      </c>
      <c r="B16064" t="s">
        <v>14</v>
      </c>
      <c r="C16064" t="s">
        <v>22</v>
      </c>
      <c r="D16064" s="2" t="s">
        <f>=HYPERLINK("https://main.knesset.gov.il/APPS/legislation/main/bills/2079139", "הצעת חוק לימוד חובה (תיקון - חינוך חינם לפעוטות ולילדים), התשע""ט-2019")</f>
        <v>30756</v>
      </c>
      <c r="E16064" t="s">
        <v>30756</v>
      </c>
      <c r="F16064" t="s">
        <v>30797</v>
      </c>
      <c r="G16064" t="s">
        <v>14</v>
      </c>
      <c r="H16064">
             </c>
      <c r="I16064" t="s">
        <v>14</v>
      </c>
      <c r="J16064" t="s">
        <v>141</v>
      </c>
      <c r="K16064" t="s">
        <v>14</v>
      </c>
      <c r="L16064" t="s">
        <v>20</v>
      </c>
      <c r="M16064" t="s">
        <v>30278</v>
      </c>
      <c r="N16064" t="s">
        <v>14</v>
      </c>
    </row>
    <row r="16065" x14ac:dyDescent="0.25">
      <c r="A16065" t="n">
        <v>21</v>
      </c>
      <c r="B16065" t="s">
        <v>14</v>
      </c>
      <c r="C16065" t="s">
        <v>22</v>
      </c>
      <c r="D16065" s="2" t="s">
        <f>=HYPERLINK("https://main.knesset.gov.il/APPS/legislation/main/bills/2079260", "הצעת חוק הפחתת הגירעון והגבלת ההוצאה התקציבית (תיקון - ביטול הגבלת ההוצאה התקציבית), התשע""ט-2019")</f>
        <v>30798</v>
      </c>
      <c r="E16065" t="s">
        <v>30798</v>
      </c>
      <c r="F16065" t="s">
        <v>30799</v>
      </c>
      <c r="G16065" t="s">
        <v>14</v>
      </c>
      <c r="H16065">
             </c>
      <c r="I16065" t="s">
        <v>14</v>
      </c>
      <c r="J16065" t="s">
        <v>141</v>
      </c>
      <c r="K16065" t="s">
        <v>14</v>
      </c>
      <c r="L16065" t="s">
        <v>20</v>
      </c>
      <c r="M16065" t="s">
        <v>30278</v>
      </c>
      <c r="N16065" t="s">
        <v>14</v>
      </c>
    </row>
    <row r="16066" x14ac:dyDescent="0.25">
      <c r="A16066" t="n">
        <v>21</v>
      </c>
      <c r="B16066" t="s">
        <v>14</v>
      </c>
      <c r="C16066" t="s">
        <v>22</v>
      </c>
      <c r="D16066" s="2" t="s">
        <f>=HYPERLINK("https://main.knesset.gov.il/APPS/legislation/main/bills/2079257", "הצעת חוק ערבות למשכנתאות (תיקון - ערבות מדינה לדירה יחידה), התשע""ט-2019")</f>
        <v>30800</v>
      </c>
      <c r="E16066" t="s">
        <v>30800</v>
      </c>
      <c r="F16066" t="s">
        <v>30801</v>
      </c>
      <c r="G16066" t="s">
        <v>14</v>
      </c>
      <c r="H16066">
             </c>
      <c r="I16066" t="s">
        <v>14</v>
      </c>
      <c r="J16066" t="s">
        <v>141</v>
      </c>
      <c r="K16066" t="s">
        <v>14</v>
      </c>
      <c r="L16066" t="s">
        <v>20</v>
      </c>
      <c r="M16066" t="s">
        <v>30278</v>
      </c>
      <c r="N16066" t="s">
        <v>14</v>
      </c>
    </row>
    <row r="16067" x14ac:dyDescent="0.25">
      <c r="A16067" t="n">
        <v>21</v>
      </c>
      <c r="B16067" t="s">
        <v>14</v>
      </c>
      <c r="C16067" t="s">
        <v>22</v>
      </c>
      <c r="D16067" s="2" t="s">
        <f>=HYPERLINK("https://main.knesset.gov.il/APPS/legislation/main/bills/2078661", "הצעת חוק לימוד חובה (תיקון - חינוך חינם לפעוטות), התשע""ט-2019")</f>
        <v>30766</v>
      </c>
      <c r="E16067" t="s">
        <v>30766</v>
      </c>
      <c r="F16067" t="s">
        <v>30802</v>
      </c>
      <c r="G16067" t="s">
        <v>14</v>
      </c>
      <c r="H16067">
             </c>
      <c r="I16067" t="s">
        <v>14</v>
      </c>
      <c r="J16067" t="s">
        <v>141</v>
      </c>
      <c r="K16067" t="s">
        <v>14</v>
      </c>
      <c r="L16067" t="s">
        <v>20</v>
      </c>
      <c r="M16067" t="s">
        <v>30278</v>
      </c>
      <c r="N16067" t="s">
        <v>14</v>
      </c>
    </row>
    <row r="16068" x14ac:dyDescent="0.25">
      <c r="A16068" t="n">
        <v>21</v>
      </c>
      <c r="B16068" t="s">
        <v>14</v>
      </c>
      <c r="C16068" t="s">
        <v>22</v>
      </c>
      <c r="D16068" s="2" t="s">
        <f>=HYPERLINK("https://main.knesset.gov.il/APPS/legislation/main/bills/2079256", "הצעת חוק כהונתם של ראשי גופים ביטחוניים, התשע""ט-2019")</f>
        <v>30803</v>
      </c>
      <c r="E16068" t="s">
        <v>30803</v>
      </c>
      <c r="F16068" t="s">
        <v>30804</v>
      </c>
      <c r="G16068" t="s">
        <v>14</v>
      </c>
      <c r="H16068">
             </c>
      <c r="I16068" t="s">
        <v>14</v>
      </c>
      <c r="J16068" t="s">
        <v>141</v>
      </c>
      <c r="K16068" t="s">
        <v>14</v>
      </c>
      <c r="L16068" t="s">
        <v>20</v>
      </c>
      <c r="M16068" t="s">
        <v>30278</v>
      </c>
      <c r="N16068" t="s">
        <v>14</v>
      </c>
    </row>
    <row r="16069" x14ac:dyDescent="0.25">
      <c r="A16069" t="n">
        <v>21</v>
      </c>
      <c r="B16069" t="s">
        <v>14</v>
      </c>
      <c r="C16069" t="s">
        <v>22</v>
      </c>
      <c r="D16069" s="2" t="s">
        <f>=HYPERLINK("https://main.knesset.gov.il/APPS/legislation/main/bills/2079255", "הצעת חוק עבודת נשים (תיקון - שעות היעדרות מעבודה לאישה בהיריון בר-סיכון), התשע""ט-2019")</f>
        <v>30805</v>
      </c>
      <c r="E16069" t="s">
        <v>30805</v>
      </c>
      <c r="F16069" t="s">
        <v>30806</v>
      </c>
      <c r="G16069" t="s">
        <v>14</v>
      </c>
      <c r="H16069">
             </c>
      <c r="I16069" t="s">
        <v>14</v>
      </c>
      <c r="J16069" t="s">
        <v>141</v>
      </c>
      <c r="K16069" t="s">
        <v>14</v>
      </c>
      <c r="L16069" t="s">
        <v>20</v>
      </c>
      <c r="M16069" t="s">
        <v>30278</v>
      </c>
      <c r="N16069" t="s">
        <v>14</v>
      </c>
    </row>
    <row r="16070" x14ac:dyDescent="0.25">
      <c r="A16070" t="n">
        <v>21</v>
      </c>
      <c r="B16070" t="s">
        <v>14</v>
      </c>
      <c r="C16070" t="s">
        <v>22</v>
      </c>
      <c r="D16070" s="2" t="s">
        <f>=HYPERLINK("https://main.knesset.gov.il/APPS/legislation/main/bills/2079266", "הצעת חוק אמנת הפליט להסדרת מעמד מבקשי מקלט ופליטים בישראל, התשע""ט-2019")</f>
        <v>30807</v>
      </c>
      <c r="E16070" t="s">
        <v>30807</v>
      </c>
      <c r="F16070" t="s">
        <v>30808</v>
      </c>
      <c r="G16070" t="s">
        <v>14</v>
      </c>
      <c r="H16070">
             </c>
      <c r="I16070" t="s">
        <v>14</v>
      </c>
      <c r="J16070" t="s">
        <v>141</v>
      </c>
      <c r="K16070" t="s">
        <v>14</v>
      </c>
      <c r="L16070" t="s">
        <v>20</v>
      </c>
      <c r="M16070" t="s">
        <v>30278</v>
      </c>
      <c r="N16070" t="s">
        <v>14</v>
      </c>
    </row>
    <row r="16071" x14ac:dyDescent="0.25">
      <c r="A16071" t="n">
        <v>21</v>
      </c>
      <c r="B16071" t="s">
        <v>14</v>
      </c>
      <c r="C16071" t="s">
        <v>22</v>
      </c>
      <c r="D16071" s="2" t="s">
        <f>=HYPERLINK("https://main.knesset.gov.il/APPS/legislation/main/bills/2078840", "הצעת חוק הפקדות וזכויות סוציאליות לעצמאים (תיקוני חקיקה), התשע""ט-2019")</f>
        <v>30809</v>
      </c>
      <c r="E16071" t="s">
        <v>30809</v>
      </c>
      <c r="F16071" t="s">
        <v>30810</v>
      </c>
      <c r="G16071" t="s">
        <v>14</v>
      </c>
      <c r="H16071">
             </c>
      <c r="I16071" t="s">
        <v>14</v>
      </c>
      <c r="J16071" t="s">
        <v>141</v>
      </c>
      <c r="K16071" t="s">
        <v>14</v>
      </c>
      <c r="L16071" t="s">
        <v>20</v>
      </c>
      <c r="M16071" t="s">
        <v>30278</v>
      </c>
      <c r="N16071" t="s">
        <v>14</v>
      </c>
    </row>
    <row r="16072" x14ac:dyDescent="0.25">
      <c r="A16072" t="n">
        <v>21</v>
      </c>
      <c r="B16072" t="s">
        <v>14</v>
      </c>
      <c r="C16072" t="s">
        <v>22</v>
      </c>
      <c r="D16072" s="2" t="s">
        <f>=HYPERLINK("https://main.knesset.gov.il/APPS/legislation/main/bills/2079250", "הצעת חוק הביטוח הלאומי (תיקון - פטור מתשלומים של דמי ביטוח בעד ימי מילואים), התשע""ט-2019")</f>
        <v>30811</v>
      </c>
      <c r="E16072" t="s">
        <v>30811</v>
      </c>
      <c r="F16072" t="s">
        <v>30812</v>
      </c>
      <c r="G16072" t="s">
        <v>14</v>
      </c>
      <c r="H16072">
             </c>
      <c r="I16072" t="s">
        <v>14</v>
      </c>
      <c r="J16072" t="s">
        <v>141</v>
      </c>
      <c r="K16072" t="s">
        <v>14</v>
      </c>
      <c r="L16072" t="s">
        <v>20</v>
      </c>
      <c r="M16072" t="s">
        <v>30278</v>
      </c>
      <c r="N16072" t="s">
        <v>14</v>
      </c>
    </row>
    <row r="16073" x14ac:dyDescent="0.25">
      <c r="A16073" t="n">
        <v>21</v>
      </c>
      <c r="B16073" t="s">
        <v>14</v>
      </c>
      <c r="C16073" t="s">
        <v>22</v>
      </c>
      <c r="D16073" s="2" t="s">
        <f>=HYPERLINK("https://main.knesset.gov.il/APPS/legislation/main/bills/2079246", "הצעת חוק הביטוח הלאומי (תיקון - הארכת המועד לתביעת גמלת כסף והתקופה שבעדה תשולם), התשע""ט-2019")</f>
        <v>30813</v>
      </c>
      <c r="E16073" t="s">
        <v>30813</v>
      </c>
      <c r="F16073" t="s">
        <v>30814</v>
      </c>
      <c r="G16073" t="s">
        <v>14</v>
      </c>
      <c r="H16073">
             </c>
      <c r="I16073" t="s">
        <v>14</v>
      </c>
      <c r="J16073" t="s">
        <v>141</v>
      </c>
      <c r="K16073" t="s">
        <v>14</v>
      </c>
      <c r="L16073" t="s">
        <v>20</v>
      </c>
      <c r="M16073" t="s">
        <v>30278</v>
      </c>
      <c r="N16073" t="s">
        <v>14</v>
      </c>
    </row>
    <row r="16074" x14ac:dyDescent="0.25">
      <c r="A16074" t="n">
        <v>21</v>
      </c>
      <c r="B16074" t="s">
        <v>14</v>
      </c>
      <c r="C16074" t="s">
        <v>22</v>
      </c>
      <c r="D16074" s="2" t="s">
        <f>=HYPERLINK("https://main.knesset.gov.il/APPS/legislation/main/bills/2078824", "הצעת חוק למניעת העישון במקומות ציבוריים והחשיפה לעישון (תיקון - ייעול האכיפה וביטול חדרי העישון), התשע""ט-2019")</f>
        <v>30815</v>
      </c>
      <c r="E16074" t="s">
        <v>30815</v>
      </c>
      <c r="F16074" t="s">
        <v>30816</v>
      </c>
      <c r="G16074" t="s">
        <v>14</v>
      </c>
      <c r="H16074">
             </c>
      <c r="I16074" t="s">
        <v>14</v>
      </c>
      <c r="J16074" t="s">
        <v>141</v>
      </c>
      <c r="K16074" t="s">
        <v>14</v>
      </c>
      <c r="L16074" t="s">
        <v>20</v>
      </c>
      <c r="M16074" t="s">
        <v>30278</v>
      </c>
      <c r="N16074" t="s">
        <v>14</v>
      </c>
    </row>
    <row r="16075" x14ac:dyDescent="0.25">
      <c r="A16075" t="n">
        <v>21</v>
      </c>
      <c r="B16075" t="s">
        <v>14</v>
      </c>
      <c r="C16075" t="s">
        <v>22</v>
      </c>
      <c r="D16075" s="2" t="s">
        <f>=HYPERLINK("https://main.knesset.gov.il/APPS/legislation/main/bills/2079245", "הצעת חוק עבודת נשים (תיקון - הוספת חלקו של חודש במניין), התשע''ט-2019")</f>
        <v>30817</v>
      </c>
      <c r="E16075" t="s">
        <v>30817</v>
      </c>
      <c r="F16075" t="s">
        <v>30818</v>
      </c>
      <c r="G16075" t="s">
        <v>14</v>
      </c>
      <c r="H16075">
             </c>
      <c r="I16075" t="s">
        <v>14</v>
      </c>
      <c r="J16075" t="s">
        <v>141</v>
      </c>
      <c r="K16075" t="s">
        <v>14</v>
      </c>
      <c r="L16075" t="s">
        <v>20</v>
      </c>
      <c r="M16075" t="s">
        <v>30278</v>
      </c>
      <c r="N16075" t="s">
        <v>14</v>
      </c>
    </row>
    <row r="16076" x14ac:dyDescent="0.25">
      <c r="A16076" t="n">
        <v>21</v>
      </c>
      <c r="B16076" t="s">
        <v>14</v>
      </c>
      <c r="C16076" t="s">
        <v>22</v>
      </c>
      <c r="D16076" s="2" t="s">
        <f>=HYPERLINK("https://main.knesset.gov.il/APPS/legislation/main/bills/2078634", "הצעת חוק לימודי יסוד במערכת החינוך, התשע""ט-2019")</f>
        <v>30819</v>
      </c>
      <c r="E16076" t="s">
        <v>30819</v>
      </c>
      <c r="F16076" t="s">
        <v>30820</v>
      </c>
      <c r="G16076" t="s">
        <v>14</v>
      </c>
      <c r="H16076">
             </c>
      <c r="I16076" t="s">
        <v>14</v>
      </c>
      <c r="J16076" t="s">
        <v>141</v>
      </c>
      <c r="K16076" t="s">
        <v>14</v>
      </c>
      <c r="L16076" t="s">
        <v>20</v>
      </c>
      <c r="M16076" t="s">
        <v>30278</v>
      </c>
      <c r="N16076" t="s">
        <v>14</v>
      </c>
    </row>
    <row r="16077" x14ac:dyDescent="0.25">
      <c r="A16077" t="n">
        <v>21</v>
      </c>
      <c r="B16077" t="s">
        <v>14</v>
      </c>
      <c r="C16077" t="s">
        <v>22</v>
      </c>
      <c r="D16077" s="2" t="s">
        <f>=HYPERLINK("https://main.knesset.gov.il/APPS/legislation/main/bills/2079081", "הצעת חוק הביטוח הלאומי (תיקון - הארכת מועד להגשת תביעה לניידות עד חצי שנה לאחר גיל הפרישה), התשע""ט-2019")</f>
        <v>30821</v>
      </c>
      <c r="E16077" t="s">
        <v>30821</v>
      </c>
      <c r="F16077" t="s">
        <v>30822</v>
      </c>
      <c r="G16077" t="s">
        <v>14</v>
      </c>
      <c r="H16077">
             </c>
      <c r="I16077" t="s">
        <v>14</v>
      </c>
      <c r="J16077" t="s">
        <v>141</v>
      </c>
      <c r="K16077" t="s">
        <v>14</v>
      </c>
      <c r="L16077" t="s">
        <v>20</v>
      </c>
      <c r="M16077" t="s">
        <v>30278</v>
      </c>
      <c r="N16077" t="s">
        <v>14</v>
      </c>
    </row>
    <row r="16078" x14ac:dyDescent="0.25">
      <c r="A16078" t="n">
        <v>21</v>
      </c>
      <c r="B16078" t="s">
        <v>14</v>
      </c>
      <c r="C16078" t="s">
        <v>22</v>
      </c>
      <c r="D16078" s="2" t="s">
        <f>=HYPERLINK("https://main.knesset.gov.il/APPS/legislation/main/bills/2079047", "הצעת חוק טיפול בחולי נפש (תיקון - הגבלת השימוש באמצעי כפיה), התשע""ט-2019")</f>
        <v>30823</v>
      </c>
      <c r="E16078" t="s">
        <v>30823</v>
      </c>
      <c r="F16078" t="s">
        <v>30824</v>
      </c>
      <c r="G16078" t="s">
        <v>14</v>
      </c>
      <c r="H16078">
             </c>
      <c r="I16078" t="s">
        <v>14</v>
      </c>
      <c r="J16078" t="s">
        <v>141</v>
      </c>
      <c r="K16078" t="s">
        <v>14</v>
      </c>
      <c r="L16078" t="s">
        <v>20</v>
      </c>
      <c r="M16078" t="s">
        <v>30278</v>
      </c>
      <c r="N16078" t="s">
        <v>14</v>
      </c>
    </row>
    <row r="16079" x14ac:dyDescent="0.25">
      <c r="A16079" t="n">
        <v>21</v>
      </c>
      <c r="B16079" t="s">
        <v>14</v>
      </c>
      <c r="C16079" t="s">
        <v>22</v>
      </c>
      <c r="D16079" s="2" t="s">
        <f>=HYPERLINK("https://main.knesset.gov.il/APPS/legislation/main/bills/2078602", "הצעת חוק המועצה להשכלה גבוהה (תיקון - איסור פעילות פוגענית), התשע""ט-2019")</f>
        <v>30825</v>
      </c>
      <c r="E16079" t="s">
        <v>30825</v>
      </c>
      <c r="F16079" t="s">
        <v>30826</v>
      </c>
      <c r="G16079" t="s">
        <v>14</v>
      </c>
      <c r="H16079">
             </c>
      <c r="I16079" t="s">
        <v>14</v>
      </c>
      <c r="J16079" t="s">
        <v>141</v>
      </c>
      <c r="K16079" t="s">
        <v>14</v>
      </c>
      <c r="L16079" t="s">
        <v>20</v>
      </c>
      <c r="M16079" t="s">
        <v>30278</v>
      </c>
      <c r="N16079" t="s">
        <v>14</v>
      </c>
    </row>
    <row r="16080" x14ac:dyDescent="0.25">
      <c r="A16080" t="n">
        <v>21</v>
      </c>
      <c r="B16080" t="s">
        <v>14</v>
      </c>
      <c r="C16080" t="s">
        <v>22</v>
      </c>
      <c r="D16080" s="2" t="s">
        <f>=HYPERLINK("https://main.knesset.gov.il/APPS/legislation/main/bills/2079241", "הצעת חוק מס ערך מוסף (תיקון - מס בשיעור אפס על מוצרי היגיינה נשית), התשע""ט-2019")</f>
        <v>30827</v>
      </c>
      <c r="E16080" t="s">
        <v>30827</v>
      </c>
      <c r="F16080" t="s">
        <v>30828</v>
      </c>
      <c r="G16080" t="s">
        <v>14</v>
      </c>
      <c r="H16080">
             </c>
      <c r="I16080" t="s">
        <v>14</v>
      </c>
      <c r="J16080" t="s">
        <v>141</v>
      </c>
      <c r="K16080" t="s">
        <v>14</v>
      </c>
      <c r="L16080" t="s">
        <v>20</v>
      </c>
      <c r="M16080" t="s">
        <v>30278</v>
      </c>
      <c r="N16080" t="s">
        <v>14</v>
      </c>
    </row>
    <row r="16081" x14ac:dyDescent="0.25">
      <c r="A16081" t="n">
        <v>21</v>
      </c>
      <c r="B16081" t="s">
        <v>14</v>
      </c>
      <c r="C16081" t="s">
        <v>22</v>
      </c>
      <c r="D16081" s="2" t="s">
        <f>=HYPERLINK("https://main.knesset.gov.il/APPS/legislation/main/bills/2079237", "הצעת חוק השתלת אברים (תיקון - שינוי ברירת המחדל), התשע""ט-2019")</f>
        <v>30455</v>
      </c>
      <c r="E16081" t="s">
        <v>30455</v>
      </c>
      <c r="F16081" t="s">
        <v>30829</v>
      </c>
      <c r="G16081" t="s">
        <v>14</v>
      </c>
      <c r="H16081">
             </c>
      <c r="I16081" t="s">
        <v>14</v>
      </c>
      <c r="J16081" t="s">
        <v>141</v>
      </c>
      <c r="K16081" t="s">
        <v>14</v>
      </c>
      <c r="L16081" t="s">
        <v>20</v>
      </c>
      <c r="M16081" t="s">
        <v>30278</v>
      </c>
      <c r="N16081" t="s">
        <v>14</v>
      </c>
    </row>
    <row r="16082" x14ac:dyDescent="0.25">
      <c r="A16082" t="n">
        <v>21</v>
      </c>
      <c r="B16082" t="s">
        <v>14</v>
      </c>
      <c r="C16082" t="s">
        <v>22</v>
      </c>
      <c r="D16082" s="2" t="s">
        <f>=HYPERLINK("https://main.knesset.gov.il/APPS/legislation/main/bills/2079244", "הצעת חוק המועצה להשכלה גבוהה (תיקון - קביעת שכר לימוד במוסדות מוכרים שהמדינה אינה משתתפת בתקציביהם), התשע""ט-2019")</f>
        <v>30830</v>
      </c>
      <c r="E16082" t="s">
        <v>30830</v>
      </c>
      <c r="F16082" t="s">
        <v>30831</v>
      </c>
      <c r="G16082" t="s">
        <v>14</v>
      </c>
      <c r="H16082">
             </c>
      <c r="I16082" t="s">
        <v>14</v>
      </c>
      <c r="J16082" t="s">
        <v>141</v>
      </c>
      <c r="K16082" t="s">
        <v>14</v>
      </c>
      <c r="L16082" t="s">
        <v>20</v>
      </c>
      <c r="M16082" t="s">
        <v>30278</v>
      </c>
      <c r="N16082" t="s">
        <v>14</v>
      </c>
    </row>
    <row r="16083" x14ac:dyDescent="0.25">
      <c r="A16083" t="n">
        <v>21</v>
      </c>
      <c r="B16083" t="s">
        <v>14</v>
      </c>
      <c r="C16083" t="s">
        <v>22</v>
      </c>
      <c r="D16083" s="2" t="s">
        <f>=HYPERLINK("https://main.knesset.gov.il/APPS/legislation/main/bills/2079223", "הצעת חוק לתיקון פקודת מס הכנסה (קביעת מדרגות מס נוספות), התשע""ט-2019")</f>
        <v>30832</v>
      </c>
      <c r="E16083" t="s">
        <v>30832</v>
      </c>
      <c r="F16083" t="s">
        <v>30833</v>
      </c>
      <c r="G16083" t="s">
        <v>14</v>
      </c>
      <c r="H16083">
             </c>
      <c r="I16083" t="s">
        <v>14</v>
      </c>
      <c r="J16083" t="s">
        <v>141</v>
      </c>
      <c r="K16083" t="s">
        <v>14</v>
      </c>
      <c r="L16083" t="s">
        <v>20</v>
      </c>
      <c r="M16083" t="s">
        <v>30278</v>
      </c>
      <c r="N16083" t="s">
        <v>14</v>
      </c>
    </row>
    <row r="16084" x14ac:dyDescent="0.25">
      <c r="A16084" t="n">
        <v>21</v>
      </c>
      <c r="B16084" t="s">
        <v>14</v>
      </c>
      <c r="C16084" t="s">
        <v>22</v>
      </c>
      <c r="D16084" s="2" t="s">
        <f>=HYPERLINK("https://main.knesset.gov.il/APPS/legislation/main/bills/2079222", "הצעת חוק מס ערך מוסף (תיקון - עידוד פתיחת עסקים חדשים), התשע""ט-2019")</f>
        <v>30834</v>
      </c>
      <c r="E16084" t="s">
        <v>30834</v>
      </c>
      <c r="F16084" t="s">
        <v>30835</v>
      </c>
      <c r="G16084" t="s">
        <v>14</v>
      </c>
      <c r="H16084">
             </c>
      <c r="I16084" t="s">
        <v>14</v>
      </c>
      <c r="J16084" t="s">
        <v>141</v>
      </c>
      <c r="K16084" t="s">
        <v>14</v>
      </c>
      <c r="L16084" t="s">
        <v>20</v>
      </c>
      <c r="M16084" t="s">
        <v>30278</v>
      </c>
      <c r="N16084" t="s">
        <v>14</v>
      </c>
    </row>
    <row r="16085" x14ac:dyDescent="0.25">
      <c r="A16085" t="n">
        <v>21</v>
      </c>
      <c r="B16085" t="s">
        <v>14</v>
      </c>
      <c r="C16085" t="s">
        <v>22</v>
      </c>
      <c r="D16085" s="2" t="s">
        <f>=HYPERLINK("https://main.knesset.gov.il/APPS/legislation/main/bills/2079221", "הצעת חוק לתיקון פקודת העיריות (הסדרת מבנים לתנועות נוער), התשע""ט-2019")</f>
        <v>30836</v>
      </c>
      <c r="E16085" t="s">
        <v>30836</v>
      </c>
      <c r="F16085" t="s">
        <v>30837</v>
      </c>
      <c r="G16085" t="s">
        <v>14</v>
      </c>
      <c r="H16085">
             </c>
      <c r="I16085" t="s">
        <v>14</v>
      </c>
      <c r="J16085" t="s">
        <v>141</v>
      </c>
      <c r="K16085" t="s">
        <v>14</v>
      </c>
      <c r="L16085" t="s">
        <v>20</v>
      </c>
      <c r="M16085" t="s">
        <v>30278</v>
      </c>
      <c r="N16085" t="s">
        <v>14</v>
      </c>
    </row>
    <row r="16086" x14ac:dyDescent="0.25">
      <c r="A16086" t="n">
        <v>21</v>
      </c>
      <c r="B16086" t="s">
        <v>14</v>
      </c>
      <c r="C16086" t="s">
        <v>22</v>
      </c>
      <c r="D16086" s="2" t="s">
        <f>=HYPERLINK("https://main.knesset.gov.il/APPS/legislation/main/bills/2079220", "הצעת חוק ביטוח בריאות ממלכתי (תיקון - שירותי רפואה מונעת ושירותי בריאות לתלמיד), התשע""ט-2019")</f>
        <v>30838</v>
      </c>
      <c r="E16086" t="s">
        <v>30838</v>
      </c>
      <c r="F16086" t="s">
        <v>30839</v>
      </c>
      <c r="G16086" t="s">
        <v>14</v>
      </c>
      <c r="H16086">
             </c>
      <c r="I16086" t="s">
        <v>14</v>
      </c>
      <c r="J16086" t="s">
        <v>141</v>
      </c>
      <c r="K16086" t="s">
        <v>14</v>
      </c>
      <c r="L16086" t="s">
        <v>20</v>
      </c>
      <c r="M16086" t="s">
        <v>30278</v>
      </c>
      <c r="N16086" t="s">
        <v>14</v>
      </c>
    </row>
    <row r="16087" x14ac:dyDescent="0.25">
      <c r="A16087" t="n">
        <v>21</v>
      </c>
      <c r="B16087" t="s">
        <v>14</v>
      </c>
      <c r="C16087" t="s">
        <v>22</v>
      </c>
      <c r="D16087" s="2" t="s">
        <f>=HYPERLINK("https://main.knesset.gov.il/APPS/legislation/main/bills/2079201", "הצעת חוק הביטוח הלאומי (תיקון - הגדרת ילד נכה), התשע""ט-2019")</f>
        <v>30840</v>
      </c>
      <c r="E16087" t="s">
        <v>30840</v>
      </c>
      <c r="F16087" t="s">
        <v>30841</v>
      </c>
      <c r="G16087" t="s">
        <v>14</v>
      </c>
      <c r="H16087">
             </c>
      <c r="I16087" t="s">
        <v>14</v>
      </c>
      <c r="J16087" t="s">
        <v>141</v>
      </c>
      <c r="K16087" t="s">
        <v>14</v>
      </c>
      <c r="L16087" t="s">
        <v>20</v>
      </c>
      <c r="M16087" t="s">
        <v>30278</v>
      </c>
      <c r="N16087" t="s">
        <v>14</v>
      </c>
    </row>
    <row r="16088" x14ac:dyDescent="0.25">
      <c r="A16088" t="n">
        <v>21</v>
      </c>
      <c r="B16088" t="s">
        <v>14</v>
      </c>
      <c r="C16088" t="s">
        <v>22</v>
      </c>
      <c r="D16088" s="2" t="s">
        <f>=HYPERLINK("https://main.knesset.gov.il/APPS/legislation/main/bills/2079199", "הצעת חוק גיל פרישה (תיקון - ביטול גיל פרישת חובה), התשע""ט-2019")</f>
        <v>30842</v>
      </c>
      <c r="E16088" t="s">
        <v>30842</v>
      </c>
      <c r="F16088" t="s">
        <v>30843</v>
      </c>
      <c r="G16088" t="s">
        <v>14</v>
      </c>
      <c r="H16088">
             </c>
      <c r="I16088" t="s">
        <v>14</v>
      </c>
      <c r="J16088" t="s">
        <v>141</v>
      </c>
      <c r="K16088" t="s">
        <v>14</v>
      </c>
      <c r="L16088" t="s">
        <v>20</v>
      </c>
      <c r="M16088" t="s">
        <v>30278</v>
      </c>
      <c r="N16088" t="s">
        <v>14</v>
      </c>
    </row>
    <row r="16089" x14ac:dyDescent="0.25">
      <c r="A16089" t="n">
        <v>21</v>
      </c>
      <c r="B16089" t="s">
        <v>14</v>
      </c>
      <c r="C16089" t="s">
        <v>22</v>
      </c>
      <c r="D16089" s="2" t="s">
        <f>=HYPERLINK("https://main.knesset.gov.il/APPS/legislation/main/bills/2079183", "הצעת חוק לתיקון פקודת מס הכנסה (מס חברות דיפרנציאלי), התשע""ט-2019")</f>
        <v>30844</v>
      </c>
      <c r="E16089" t="s">
        <v>30844</v>
      </c>
      <c r="F16089" t="s">
        <v>30845</v>
      </c>
      <c r="G16089" t="s">
        <v>14</v>
      </c>
      <c r="H16089">
             </c>
      <c r="I16089" t="s">
        <v>14</v>
      </c>
      <c r="J16089" t="s">
        <v>141</v>
      </c>
      <c r="K16089" t="s">
        <v>14</v>
      </c>
      <c r="L16089" t="s">
        <v>20</v>
      </c>
      <c r="M16089" t="s">
        <v>30278</v>
      </c>
      <c r="N16089" t="s">
        <v>14</v>
      </c>
    </row>
    <row r="16090" x14ac:dyDescent="0.25">
      <c r="A16090" t="n">
        <v>21</v>
      </c>
      <c r="B16090" t="s">
        <v>14</v>
      </c>
      <c r="C16090" t="s">
        <v>22</v>
      </c>
      <c r="D16090" s="2" t="s">
        <f>=HYPERLINK("https://main.knesset.gov.il/APPS/legislation/main/bills/2079176", "הצעת חוק חופשה שנתית (תיקון - קביעת יום פתיחת שנת הלימודים כיום בחירה), התשע""ט-2019")</f>
        <v>30846</v>
      </c>
      <c r="E16090" t="s">
        <v>30846</v>
      </c>
      <c r="F16090" t="s">
        <v>30847</v>
      </c>
      <c r="G16090" t="s">
        <v>14</v>
      </c>
      <c r="H16090">
             </c>
      <c r="I16090" t="s">
        <v>14</v>
      </c>
      <c r="J16090" t="s">
        <v>141</v>
      </c>
      <c r="K16090" t="s">
        <v>14</v>
      </c>
      <c r="L16090" t="s">
        <v>20</v>
      </c>
      <c r="M16090" t="s">
        <v>30278</v>
      </c>
      <c r="N16090" t="s">
        <v>14</v>
      </c>
    </row>
    <row r="16091" x14ac:dyDescent="0.25">
      <c r="A16091" t="n">
        <v>21</v>
      </c>
      <c r="B16091" t="s">
        <v>14</v>
      </c>
      <c r="C16091" t="s">
        <v>22</v>
      </c>
      <c r="D16091" s="2" t="s">
        <f>=HYPERLINK("https://main.knesset.gov.il/APPS/legislation/main/bills/2079166", "הצעת חוק תשלום תמלוגים לגורם גבייה יחיד (תיקוני חקיקה), התשע""ט-2019")</f>
        <v>30848</v>
      </c>
      <c r="E16091" t="s">
        <v>30848</v>
      </c>
      <c r="F16091" t="s">
        <v>30849</v>
      </c>
      <c r="G16091" t="s">
        <v>14</v>
      </c>
      <c r="H16091">
             </c>
      <c r="I16091" t="s">
        <v>14</v>
      </c>
      <c r="J16091" t="s">
        <v>141</v>
      </c>
      <c r="K16091" t="s">
        <v>14</v>
      </c>
      <c r="L16091" t="s">
        <v>20</v>
      </c>
      <c r="M16091" t="s">
        <v>30278</v>
      </c>
      <c r="N16091" t="s">
        <v>14</v>
      </c>
    </row>
    <row r="16092" x14ac:dyDescent="0.25">
      <c r="A16092" t="n">
        <v>21</v>
      </c>
      <c r="B16092" t="s">
        <v>14</v>
      </c>
      <c r="C16092" t="s">
        <v>22</v>
      </c>
      <c r="D16092" s="2" t="s">
        <f>=HYPERLINK("https://main.knesset.gov.il/APPS/legislation/main/bills/2079142", "הצעת חוק הביטוח הלאומי (תיקון - קצבת שאירים למי שמנהל משק בית משותף), התשע""ט-2019 ")</f>
        <v>30850</v>
      </c>
      <c r="E16092" t="s">
        <v>30850</v>
      </c>
      <c r="F16092" t="s">
        <v>30851</v>
      </c>
      <c r="G16092" t="s">
        <v>14</v>
      </c>
      <c r="H16092">
             </c>
      <c r="I16092" t="s">
        <v>14</v>
      </c>
      <c r="J16092" t="s">
        <v>141</v>
      </c>
      <c r="K16092" t="s">
        <v>14</v>
      </c>
      <c r="L16092" t="s">
        <v>20</v>
      </c>
      <c r="M16092" t="s">
        <v>30278</v>
      </c>
      <c r="N16092" t="s">
        <v>14</v>
      </c>
    </row>
    <row r="16093" x14ac:dyDescent="0.25">
      <c r="A16093" t="n">
        <v>21</v>
      </c>
      <c r="B16093" t="s">
        <v>14</v>
      </c>
      <c r="C16093" t="s">
        <v>22</v>
      </c>
      <c r="D16093" s="2" t="s">
        <f>=HYPERLINK("https://main.knesset.gov.il/APPS/legislation/main/bills/2079135", "הצעת חוק הגנת השכר (תיקון - הגבלת ניכוי דמי חבר ודמי טיפול מקצועי ארגוני), התשע""ט-2019")</f>
        <v>30852</v>
      </c>
      <c r="E16093" t="s">
        <v>30852</v>
      </c>
      <c r="F16093" t="s">
        <v>30853</v>
      </c>
      <c r="G16093" t="s">
        <v>14</v>
      </c>
      <c r="H16093">
             </c>
      <c r="I16093" t="s">
        <v>14</v>
      </c>
      <c r="J16093" t="s">
        <v>141</v>
      </c>
      <c r="K16093" t="s">
        <v>14</v>
      </c>
      <c r="L16093" t="s">
        <v>20</v>
      </c>
      <c r="M16093" t="s">
        <v>30278</v>
      </c>
      <c r="N16093" t="s">
        <v>14</v>
      </c>
    </row>
    <row r="16094" x14ac:dyDescent="0.25">
      <c r="A16094" t="n">
        <v>21</v>
      </c>
      <c r="B16094" t="s">
        <v>14</v>
      </c>
      <c r="C16094" t="s">
        <v>22</v>
      </c>
      <c r="D16094" s="2" t="s">
        <f>=HYPERLINK("https://main.knesset.gov.il/APPS/legislation/main/bills/2079120", "הצעת חוק הרחבת ההגדרה ""חבלת שירות"" לעניין תגמולים ושיקום (תיקוני חקיקה), התשע""ט-2019")</f>
        <v>30854</v>
      </c>
      <c r="E16094" t="s">
        <v>30854</v>
      </c>
      <c r="F16094" t="s">
        <v>30855</v>
      </c>
      <c r="G16094" t="s">
        <v>14</v>
      </c>
      <c r="H16094">
             </c>
      <c r="I16094" t="s">
        <v>14</v>
      </c>
      <c r="J16094" t="s">
        <v>141</v>
      </c>
      <c r="K16094" t="s">
        <v>14</v>
      </c>
      <c r="L16094" t="s">
        <v>20</v>
      </c>
      <c r="M16094" t="s">
        <v>30278</v>
      </c>
      <c r="N16094" t="s">
        <v>14</v>
      </c>
    </row>
    <row r="16095" x14ac:dyDescent="0.25">
      <c r="A16095" t="n">
        <v>21</v>
      </c>
      <c r="B16095" t="s">
        <v>14</v>
      </c>
      <c r="C16095" t="s">
        <v>22</v>
      </c>
      <c r="D16095" s="2" t="s">
        <f>=HYPERLINK("https://main.knesset.gov.il/APPS/legislation/main/bills/2079118", "הצעת חוק דמי מחלה (תיקון - תשלום דמי מחלה החל מהיום הראשון להיעדרות), התשע""ט-2019")</f>
        <v>30856</v>
      </c>
      <c r="E16095" t="s">
        <v>30856</v>
      </c>
      <c r="F16095" t="s">
        <v>30857</v>
      </c>
      <c r="G16095" t="s">
        <v>14</v>
      </c>
      <c r="H16095">
             </c>
      <c r="I16095" t="s">
        <v>14</v>
      </c>
      <c r="J16095" t="s">
        <v>141</v>
      </c>
      <c r="K16095" t="s">
        <v>14</v>
      </c>
      <c r="L16095" t="s">
        <v>20</v>
      </c>
      <c r="M16095" t="s">
        <v>30278</v>
      </c>
      <c r="N16095" t="s">
        <v>14</v>
      </c>
    </row>
    <row r="16096" x14ac:dyDescent="0.25">
      <c r="A16096" t="n">
        <v>21</v>
      </c>
      <c r="B16096" t="s">
        <v>14</v>
      </c>
      <c r="C16096" t="s">
        <v>22</v>
      </c>
      <c r="D16096" s="2" t="s">
        <f>=HYPERLINK("https://main.knesset.gov.il/APPS/legislation/main/bills/2079088", "הצעת חוק ביטוח בריאות ממלכתי (תיקון - צמצום הפערים בין הפריפריה למרכז), התשע""ט-2019")</f>
        <v>30858</v>
      </c>
      <c r="E16096" t="s">
        <v>30858</v>
      </c>
      <c r="F16096" t="s">
        <v>30859</v>
      </c>
      <c r="G16096" t="s">
        <v>14</v>
      </c>
      <c r="H16096">
             </c>
      <c r="I16096" t="s">
        <v>14</v>
      </c>
      <c r="J16096" t="s">
        <v>141</v>
      </c>
      <c r="K16096" t="s">
        <v>14</v>
      </c>
      <c r="L16096" t="s">
        <v>20</v>
      </c>
      <c r="M16096" t="s">
        <v>30278</v>
      </c>
      <c r="N16096" t="s">
        <v>14</v>
      </c>
    </row>
    <row r="16097" x14ac:dyDescent="0.25">
      <c r="A16097" t="n">
        <v>21</v>
      </c>
      <c r="B16097" t="s">
        <v>14</v>
      </c>
      <c r="C16097" t="s">
        <v>22</v>
      </c>
      <c r="D16097" s="2" t="s">
        <f>=HYPERLINK("https://main.knesset.gov.il/APPS/legislation/main/bills/2079071", "הצעת חוק ביטוח בריאות ממלכתי (תיקון - שירותי רפואת שיניים), התשע""ט-2019")</f>
        <v>30860</v>
      </c>
      <c r="E16097" t="s">
        <v>30860</v>
      </c>
      <c r="F16097" t="s">
        <v>30861</v>
      </c>
      <c r="G16097" t="s">
        <v>14</v>
      </c>
      <c r="H16097">
             </c>
      <c r="I16097" t="s">
        <v>14</v>
      </c>
      <c r="J16097" t="s">
        <v>141</v>
      </c>
      <c r="K16097" t="s">
        <v>14</v>
      </c>
      <c r="L16097" t="s">
        <v>20</v>
      </c>
      <c r="M16097" t="s">
        <v>30278</v>
      </c>
      <c r="N16097" t="s">
        <v>14</v>
      </c>
    </row>
    <row r="16098" x14ac:dyDescent="0.25">
      <c r="A16098" t="n">
        <v>21</v>
      </c>
      <c r="B16098" t="s">
        <v>14</v>
      </c>
      <c r="C16098" t="s">
        <v>22</v>
      </c>
      <c r="D16098" s="2" t="s">
        <f>=HYPERLINK("https://main.knesset.gov.il/APPS/legislation/main/bills/2078946", "הצעת חוק התכנון והבנייה (תיקון - שטח ציבורי פתוח בתכנית למגורים), התשע""ט-2019")</f>
        <v>30862</v>
      </c>
      <c r="E16098" t="s">
        <v>30862</v>
      </c>
      <c r="F16098" t="s">
        <v>30863</v>
      </c>
      <c r="G16098" t="s">
        <v>14</v>
      </c>
      <c r="H16098">
             </c>
      <c r="I16098" t="s">
        <v>14</v>
      </c>
      <c r="J16098" t="s">
        <v>141</v>
      </c>
      <c r="K16098" t="s">
        <v>14</v>
      </c>
      <c r="L16098" t="s">
        <v>20</v>
      </c>
      <c r="M16098" t="s">
        <v>30278</v>
      </c>
      <c r="N16098" t="s">
        <v>14</v>
      </c>
    </row>
    <row r="16099" x14ac:dyDescent="0.25">
      <c r="A16099" t="n">
        <v>21</v>
      </c>
      <c r="B16099" t="s">
        <v>14</v>
      </c>
      <c r="C16099" t="s">
        <v>22</v>
      </c>
      <c r="D16099" s="2" t="s">
        <f>=HYPERLINK("https://main.knesset.gov.il/APPS/legislation/main/bills/2079096", "הצעת חוק יישוב סכסוכי עבודה (תיקון - בוררות חובה בשירותים חיוניים), התשע""ט-2019")</f>
        <v>30864</v>
      </c>
      <c r="E16099" t="s">
        <v>30864</v>
      </c>
      <c r="F16099" t="s">
        <v>30865</v>
      </c>
      <c r="G16099" t="s">
        <v>14</v>
      </c>
      <c r="H16099">
             </c>
      <c r="I16099" t="s">
        <v>14</v>
      </c>
      <c r="J16099" t="s">
        <v>141</v>
      </c>
      <c r="K16099" t="s">
        <v>14</v>
      </c>
      <c r="L16099" t="s">
        <v>20</v>
      </c>
      <c r="M16099" t="s">
        <v>30278</v>
      </c>
      <c r="N16099" t="s">
        <v>14</v>
      </c>
    </row>
    <row r="16100" x14ac:dyDescent="0.25">
      <c r="A16100" t="n">
        <v>21</v>
      </c>
      <c r="B16100" t="s">
        <v>14</v>
      </c>
      <c r="C16100" t="s">
        <v>22</v>
      </c>
      <c r="D16100" s="2" t="s">
        <f>=HYPERLINK("https://main.knesset.gov.il/APPS/legislation/main/bills/2078940", "הצעת חוק הביטוח הלאומי (תיקון - נכה שהגיע לגיל פרישה), התשע""ט-2019")</f>
        <v>30866</v>
      </c>
      <c r="E16100" t="s">
        <v>30866</v>
      </c>
      <c r="F16100" t="s">
        <v>30867</v>
      </c>
      <c r="G16100" t="s">
        <v>14</v>
      </c>
      <c r="H16100">
             </c>
      <c r="I16100" t="s">
        <v>14</v>
      </c>
      <c r="J16100" t="s">
        <v>141</v>
      </c>
      <c r="K16100" t="s">
        <v>14</v>
      </c>
      <c r="L16100" t="s">
        <v>20</v>
      </c>
      <c r="M16100" t="s">
        <v>30278</v>
      </c>
      <c r="N16100" t="s">
        <v>14</v>
      </c>
    </row>
    <row r="16101" x14ac:dyDescent="0.25">
      <c r="A16101" t="n">
        <v>21</v>
      </c>
      <c r="B16101" t="s">
        <v>14</v>
      </c>
      <c r="C16101" t="s">
        <v>22</v>
      </c>
      <c r="D16101" s="2" t="s">
        <f>=HYPERLINK("https://main.knesset.gov.il/APPS/legislation/main/bills/2078937", "הצעת חוק הבנקאות (שירות ללקוח) (תיקון - שירות מקוון ללקוח), התשע""ט-2019")</f>
        <v>30868</v>
      </c>
      <c r="E16101" t="s">
        <v>30868</v>
      </c>
      <c r="F16101" t="s">
        <v>30869</v>
      </c>
      <c r="G16101" t="s">
        <v>14</v>
      </c>
      <c r="H16101">
             </c>
      <c r="I16101" t="s">
        <v>14</v>
      </c>
      <c r="J16101" t="s">
        <v>141</v>
      </c>
      <c r="K16101" t="s">
        <v>14</v>
      </c>
      <c r="L16101" t="s">
        <v>20</v>
      </c>
      <c r="M16101" t="s">
        <v>30278</v>
      </c>
      <c r="N16101" t="s">
        <v>14</v>
      </c>
    </row>
    <row r="16102" x14ac:dyDescent="0.25">
      <c r="A16102" t="n">
        <v>21</v>
      </c>
      <c r="B16102" t="s">
        <v>14</v>
      </c>
      <c r="C16102" t="s">
        <v>22</v>
      </c>
      <c r="D16102" s="2" t="s">
        <f>=HYPERLINK("https://main.knesset.gov.il/APPS/legislation/main/bills/2079061", "הצעת חוק לתיקון פקודת העיריות (חובת הקלטת דיונים, ניהול פרוטוקול ופרסומם), התשע""ט-2019")</f>
        <v>30870</v>
      </c>
      <c r="E16102" t="s">
        <v>30870</v>
      </c>
      <c r="F16102" t="s">
        <v>30871</v>
      </c>
      <c r="G16102" t="s">
        <v>14</v>
      </c>
      <c r="H16102">
             </c>
      <c r="I16102" t="s">
        <v>14</v>
      </c>
      <c r="J16102" t="s">
        <v>141</v>
      </c>
      <c r="K16102" t="s">
        <v>14</v>
      </c>
      <c r="L16102" t="s">
        <v>20</v>
      </c>
      <c r="M16102" t="s">
        <v>30278</v>
      </c>
      <c r="N16102" t="s">
        <v>14</v>
      </c>
    </row>
    <row r="16103" x14ac:dyDescent="0.25">
      <c r="A16103" t="n">
        <v>21</v>
      </c>
      <c r="B16103" t="s">
        <v>14</v>
      </c>
      <c r="C16103" t="s">
        <v>22</v>
      </c>
      <c r="D16103" s="2" t="s">
        <f>=HYPERLINK("https://main.knesset.gov.il/APPS/legislation/main/bills/2078909", "הצעת חוק לשינוי סדרי עדיפויות לאומיים (תיקוני חקיקה להשגת יעדי התקציב לשנים 2013 ו-2014) (תיקון - ביטול פרק הרשויות המקומיות), התשע""ט-2019")</f>
        <v>30872</v>
      </c>
      <c r="E16103" t="s">
        <v>30872</v>
      </c>
      <c r="F16103" t="s">
        <v>30873</v>
      </c>
      <c r="G16103" t="s">
        <v>14</v>
      </c>
      <c r="H16103">
             </c>
      <c r="I16103" t="s">
        <v>14</v>
      </c>
      <c r="J16103" t="s">
        <v>141</v>
      </c>
      <c r="K16103" t="s">
        <v>14</v>
      </c>
      <c r="L16103" t="s">
        <v>20</v>
      </c>
      <c r="M16103" t="s">
        <v>30278</v>
      </c>
      <c r="N16103" t="s">
        <v>14</v>
      </c>
    </row>
    <row r="16104" x14ac:dyDescent="0.25">
      <c r="A16104" t="n">
        <v>21</v>
      </c>
      <c r="B16104" t="s">
        <v>14</v>
      </c>
      <c r="C16104" t="s">
        <v>22</v>
      </c>
      <c r="D16104" s="2" t="s">
        <f>=HYPERLINK("https://main.knesset.gov.il/APPS/legislation/main/bills/2078893", "הצעת חוק ביטוח בריאות ממלכתי (תיקון - אישור הסדרי הבחירה), התשע""ט-2019")</f>
        <v>30874</v>
      </c>
      <c r="E16104" t="s">
        <v>30874</v>
      </c>
      <c r="F16104" t="s">
        <v>30875</v>
      </c>
      <c r="G16104" t="s">
        <v>14</v>
      </c>
      <c r="H16104">
             </c>
      <c r="I16104" t="s">
        <v>14</v>
      </c>
      <c r="J16104" t="s">
        <v>141</v>
      </c>
      <c r="K16104" t="s">
        <v>14</v>
      </c>
      <c r="L16104" t="s">
        <v>20</v>
      </c>
      <c r="M16104" t="s">
        <v>30278</v>
      </c>
      <c r="N16104" t="s">
        <v>14</v>
      </c>
    </row>
    <row r="16105" x14ac:dyDescent="0.25">
      <c r="A16105" t="n">
        <v>21</v>
      </c>
      <c r="B16105" t="s">
        <v>14</v>
      </c>
      <c r="C16105" t="s">
        <v>22</v>
      </c>
      <c r="D16105" s="2" t="s">
        <f>=HYPERLINK("https://main.knesset.gov.il/APPS/legislation/main/bills/2079053", "הצעת חוק זכויות, שירותים והתאמות בחינוך לילדים עם צרכים מיוחדים, התשע""ט-2019")</f>
        <v>30876</v>
      </c>
      <c r="E16105" t="s">
        <v>30876</v>
      </c>
      <c r="F16105" t="s">
        <v>30877</v>
      </c>
      <c r="G16105" t="s">
        <v>14</v>
      </c>
      <c r="H16105">
             </c>
      <c r="I16105" t="s">
        <v>14</v>
      </c>
      <c r="J16105" t="s">
        <v>141</v>
      </c>
      <c r="K16105" t="s">
        <v>14</v>
      </c>
      <c r="L16105" t="s">
        <v>20</v>
      </c>
      <c r="M16105" t="s">
        <v>30278</v>
      </c>
      <c r="N16105" t="s">
        <v>14</v>
      </c>
    </row>
    <row r="16106" x14ac:dyDescent="0.25">
      <c r="A16106" t="n">
        <v>21</v>
      </c>
      <c r="B16106" t="s">
        <v>14</v>
      </c>
      <c r="C16106" t="s">
        <v>22</v>
      </c>
      <c r="D16106" s="2" t="s">
        <f>=HYPERLINK("https://main.knesset.gov.il/APPS/legislation/main/bills/2078889", "הצעת חוק שעות עבודה ומנוחה (תיקון - הפסקה בין יום עבודה למשנהו שלא עולה על 8 שעות), התשע''ט-2019 ")</f>
        <v>30878</v>
      </c>
      <c r="E16106" t="s">
        <v>30878</v>
      </c>
      <c r="F16106" t="s">
        <v>30879</v>
      </c>
      <c r="G16106" t="s">
        <v>14</v>
      </c>
      <c r="H16106">
             </c>
      <c r="I16106" t="s">
        <v>14</v>
      </c>
      <c r="J16106" t="s">
        <v>141</v>
      </c>
      <c r="K16106" t="s">
        <v>14</v>
      </c>
      <c r="L16106" t="s">
        <v>20</v>
      </c>
      <c r="M16106" t="s">
        <v>30278</v>
      </c>
      <c r="N16106" t="s">
        <v>14</v>
      </c>
    </row>
    <row r="16107" x14ac:dyDescent="0.25">
      <c r="A16107" t="n">
        <v>21</v>
      </c>
      <c r="B16107" t="s">
        <v>14</v>
      </c>
      <c r="C16107" t="s">
        <v>22</v>
      </c>
      <c r="D16107" s="2" t="s">
        <f>=HYPERLINK("https://main.knesset.gov.il/APPS/legislation/main/bills/2079049", "הצעת חוק לצמצום רגולציה ושעורי אגרות לעסקים קטנים, התשע""ט-2019")</f>
        <v>30880</v>
      </c>
      <c r="E16107" t="s">
        <v>30880</v>
      </c>
      <c r="F16107" t="s">
        <v>30881</v>
      </c>
      <c r="G16107" t="s">
        <v>14</v>
      </c>
      <c r="H16107">
             </c>
      <c r="I16107" t="s">
        <v>14</v>
      </c>
      <c r="J16107" t="s">
        <v>141</v>
      </c>
      <c r="K16107" t="s">
        <v>14</v>
      </c>
      <c r="L16107" t="s">
        <v>20</v>
      </c>
      <c r="M16107" t="s">
        <v>30278</v>
      </c>
      <c r="N16107" t="s">
        <v>14</v>
      </c>
    </row>
    <row r="16108" x14ac:dyDescent="0.25">
      <c r="A16108" t="n">
        <v>21</v>
      </c>
      <c r="B16108" t="s">
        <v>14</v>
      </c>
      <c r="C16108" t="s">
        <v>22</v>
      </c>
      <c r="D16108" s="2" t="s">
        <f>=HYPERLINK("https://main.knesset.gov.il/APPS/legislation/main/bills/2078881", "הצעת חוק ביטוח בריאות ממלכתי (תיקון - ייצוג גוף העוסק בתחום הבריאות על ידי שדלן), התשע""ט-2019 ")</f>
        <v>30882</v>
      </c>
      <c r="E16108" t="s">
        <v>30882</v>
      </c>
      <c r="F16108" t="s">
        <v>30883</v>
      </c>
      <c r="G16108" t="s">
        <v>14</v>
      </c>
      <c r="H16108">
             </c>
      <c r="I16108" t="s">
        <v>14</v>
      </c>
      <c r="J16108" t="s">
        <v>141</v>
      </c>
      <c r="K16108" t="s">
        <v>14</v>
      </c>
      <c r="L16108" t="s">
        <v>20</v>
      </c>
      <c r="M16108" t="s">
        <v>30278</v>
      </c>
      <c r="N16108" t="s">
        <v>14</v>
      </c>
    </row>
    <row r="16109" x14ac:dyDescent="0.25">
      <c r="A16109" t="n">
        <v>21</v>
      </c>
      <c r="B16109" t="s">
        <v>14</v>
      </c>
      <c r="C16109" t="s">
        <v>22</v>
      </c>
      <c r="D16109" s="2" t="s">
        <f>=HYPERLINK("https://main.knesset.gov.il/APPS/legislation/main/bills/2078870", "הצעת חוק לתיקון פקודת הסמים המסוכנים (זנים תעשייתיים של קנבוס), התשע""ט-2019")</f>
        <v>30884</v>
      </c>
      <c r="E16109" t="s">
        <v>30884</v>
      </c>
      <c r="F16109" t="s">
        <v>30885</v>
      </c>
      <c r="G16109" t="s">
        <v>14</v>
      </c>
      <c r="H16109">
             </c>
      <c r="I16109" t="s">
        <v>14</v>
      </c>
      <c r="J16109" t="s">
        <v>141</v>
      </c>
      <c r="K16109" t="s">
        <v>14</v>
      </c>
      <c r="L16109" t="s">
        <v>20</v>
      </c>
      <c r="M16109" t="s">
        <v>30278</v>
      </c>
      <c r="N16109" t="s">
        <v>14</v>
      </c>
    </row>
    <row r="16110" x14ac:dyDescent="0.25">
      <c r="A16110" t="n">
        <v>21</v>
      </c>
      <c r="B16110" t="s">
        <v>14</v>
      </c>
      <c r="C16110" t="s">
        <v>22</v>
      </c>
      <c r="D16110" s="2" t="s">
        <f>=HYPERLINK("https://main.knesset.gov.il/APPS/legislation/main/bills/2078864", "הצעת חוק יישוב סכסוכי עבודה (תיקון - שביתה בבתי ספר יסודיים וגני ילדים ללא אישור בית הדין לעבודה), התשע""ט-2019")</f>
        <v>30886</v>
      </c>
      <c r="E16110" t="s">
        <v>30886</v>
      </c>
      <c r="F16110" t="s">
        <v>30887</v>
      </c>
      <c r="G16110" t="s">
        <v>14</v>
      </c>
      <c r="H16110">
             </c>
      <c r="I16110" t="s">
        <v>14</v>
      </c>
      <c r="J16110" t="s">
        <v>141</v>
      </c>
      <c r="K16110" t="s">
        <v>14</v>
      </c>
      <c r="L16110" t="s">
        <v>20</v>
      </c>
      <c r="M16110" t="s">
        <v>30278</v>
      </c>
      <c r="N16110" t="s">
        <v>14</v>
      </c>
    </row>
    <row r="16111" x14ac:dyDescent="0.25">
      <c r="A16111" t="n">
        <v>21</v>
      </c>
      <c r="B16111" t="s">
        <v>14</v>
      </c>
      <c r="C16111" t="s">
        <v>22</v>
      </c>
      <c r="D16111" s="2" t="s">
        <f>=HYPERLINK("https://main.knesset.gov.il/APPS/legislation/main/bills/2079091", "הצעת חוק לתיקון פקודת העיריות (חיזוק שלטון החוק וטוהר המידות בשלטון המקומי), התשע""ט-2019")</f>
        <v>30888</v>
      </c>
      <c r="E16111" t="s">
        <v>30888</v>
      </c>
      <c r="F16111" t="s">
        <v>30889</v>
      </c>
      <c r="G16111" t="s">
        <v>14</v>
      </c>
      <c r="H16111">
             </c>
      <c r="I16111" t="s">
        <v>14</v>
      </c>
      <c r="J16111" t="s">
        <v>141</v>
      </c>
      <c r="K16111" t="s">
        <v>14</v>
      </c>
      <c r="L16111" t="s">
        <v>20</v>
      </c>
      <c r="M16111" t="s">
        <v>30278</v>
      </c>
      <c r="N16111" t="s">
        <v>14</v>
      </c>
    </row>
    <row r="16112" x14ac:dyDescent="0.25">
      <c r="A16112" t="n">
        <v>21</v>
      </c>
      <c r="B16112" t="s">
        <v>14</v>
      </c>
      <c r="C16112" t="s">
        <v>22</v>
      </c>
      <c r="D16112" s="2" t="s">
        <f>=HYPERLINK("https://main.knesset.gov.il/APPS/legislation/main/bills/2079029", "הצעת חוק בתי קברות צבאיים (תיקון - כיתוב על מצבה צבאית), התשע""ט-2019")</f>
        <v>30890</v>
      </c>
      <c r="E16112" t="s">
        <v>30890</v>
      </c>
      <c r="F16112" t="s">
        <v>30891</v>
      </c>
      <c r="G16112" t="s">
        <v>14</v>
      </c>
      <c r="H16112">
             </c>
      <c r="I16112" t="s">
        <v>14</v>
      </c>
      <c r="J16112" t="s">
        <v>141</v>
      </c>
      <c r="K16112" t="s">
        <v>14</v>
      </c>
      <c r="L16112" t="s">
        <v>20</v>
      </c>
      <c r="M16112" t="s">
        <v>30278</v>
      </c>
      <c r="N16112" t="s">
        <v>14</v>
      </c>
    </row>
    <row r="16113" x14ac:dyDescent="0.25">
      <c r="A16113" t="n">
        <v>21</v>
      </c>
      <c r="B16113" t="s">
        <v>14</v>
      </c>
      <c r="C16113" t="s">
        <v>22</v>
      </c>
      <c r="D16113" s="2" t="s">
        <f>=HYPERLINK("https://main.knesset.gov.il/APPS/legislation/main/bills/2078859", "הצעת חוק חניה לנכים (תיקון - תג נכה אישי), התשע""ט-2019")</f>
        <v>30892</v>
      </c>
      <c r="E16113" t="s">
        <v>30892</v>
      </c>
      <c r="F16113" t="s">
        <v>30893</v>
      </c>
      <c r="G16113" t="s">
        <v>14</v>
      </c>
      <c r="H16113">
             </c>
      <c r="I16113" t="s">
        <v>14</v>
      </c>
      <c r="J16113" t="s">
        <v>141</v>
      </c>
      <c r="K16113" t="s">
        <v>14</v>
      </c>
      <c r="L16113" t="s">
        <v>20</v>
      </c>
      <c r="M16113" t="s">
        <v>30278</v>
      </c>
      <c r="N16113" t="s">
        <v>14</v>
      </c>
    </row>
    <row r="16114" x14ac:dyDescent="0.25">
      <c r="A16114" t="n">
        <v>21</v>
      </c>
      <c r="B16114" t="s">
        <v>14</v>
      </c>
      <c r="C16114" t="s">
        <v>22</v>
      </c>
      <c r="D16114" s="2" t="s">
        <f>=HYPERLINK("https://main.knesset.gov.il/APPS/legislation/main/bills/2078842", "הצעת חוק דמי מחלה (היעדרות בשל מחלת ילד) (תיקון - היעדרות בשל מחלת ילדו של בן זוג), התשע""ט-2019")</f>
        <v>30894</v>
      </c>
      <c r="E16114" t="s">
        <v>30894</v>
      </c>
      <c r="F16114" t="s">
        <v>30895</v>
      </c>
      <c r="G16114" t="s">
        <v>14</v>
      </c>
      <c r="H16114">
             </c>
      <c r="I16114" t="s">
        <v>14</v>
      </c>
      <c r="J16114" t="s">
        <v>141</v>
      </c>
      <c r="K16114" t="s">
        <v>14</v>
      </c>
      <c r="L16114" t="s">
        <v>20</v>
      </c>
      <c r="M16114" t="s">
        <v>30278</v>
      </c>
      <c r="N16114" t="s">
        <v>14</v>
      </c>
    </row>
    <row r="16115" x14ac:dyDescent="0.25">
      <c r="A16115" t="n">
        <v>21</v>
      </c>
      <c r="B16115" t="s">
        <v>14</v>
      </c>
      <c r="C16115" t="s">
        <v>22</v>
      </c>
      <c r="D16115" s="2" t="s">
        <f>=HYPERLINK("https://main.knesset.gov.il/APPS/legislation/main/bills/2078982", "הצעת חוק החזרתם של תושבי איקרית ובירעם לכפריהם, התשע""ט-2019")</f>
        <v>30896</v>
      </c>
      <c r="E16115" t="s">
        <v>30896</v>
      </c>
      <c r="F16115" t="s">
        <v>30897</v>
      </c>
      <c r="G16115" t="s">
        <v>14</v>
      </c>
      <c r="H16115">
             </c>
      <c r="I16115" t="s">
        <v>14</v>
      </c>
      <c r="J16115" t="s">
        <v>141</v>
      </c>
      <c r="K16115" t="s">
        <v>14</v>
      </c>
      <c r="L16115" t="s">
        <v>20</v>
      </c>
      <c r="M16115" t="s">
        <v>30278</v>
      </c>
      <c r="N16115" t="s">
        <v>14</v>
      </c>
    </row>
    <row r="16116" x14ac:dyDescent="0.25">
      <c r="A16116" t="n">
        <v>21</v>
      </c>
      <c r="B16116" t="s">
        <v>14</v>
      </c>
      <c r="C16116" t="s">
        <v>22</v>
      </c>
      <c r="D16116" s="2" t="s">
        <f>=HYPERLINK("https://main.knesset.gov.il/APPS/legislation/main/bills/2078841", "הצעת חוק הצבת מכשירי החייאה במקומות ציבוריים (תיקון - בדיקות תקינות שנתיות ותיעודן), התשע""ט-2019")</f>
        <v>30898</v>
      </c>
      <c r="E16116" t="s">
        <v>30898</v>
      </c>
      <c r="F16116" t="s">
        <v>30899</v>
      </c>
      <c r="G16116" t="s">
        <v>14</v>
      </c>
      <c r="H16116">
             </c>
      <c r="I16116" t="s">
        <v>14</v>
      </c>
      <c r="J16116" t="s">
        <v>141</v>
      </c>
      <c r="K16116" t="s">
        <v>14</v>
      </c>
      <c r="L16116" t="s">
        <v>20</v>
      </c>
      <c r="M16116" t="s">
        <v>30278</v>
      </c>
      <c r="N16116" t="s">
        <v>14</v>
      </c>
    </row>
    <row r="16117" x14ac:dyDescent="0.25">
      <c r="A16117" t="n">
        <v>21</v>
      </c>
      <c r="B16117" t="s">
        <v>14</v>
      </c>
      <c r="C16117" t="s">
        <v>22</v>
      </c>
      <c r="D16117" s="2" t="s">
        <f>=HYPERLINK("https://main.knesset.gov.il/APPS/legislation/main/bills/2078981", "הצעת חוק מוסר תשלומים לספקים (תיקון - מועדי תשלום שיחולו על מזמינים שונים והחלה על מוסדות בריאות), התשע""ט-2019")</f>
        <v>30900</v>
      </c>
      <c r="E16117" t="s">
        <v>30900</v>
      </c>
      <c r="F16117" t="s">
        <v>30901</v>
      </c>
      <c r="G16117" t="s">
        <v>14</v>
      </c>
      <c r="H16117">
             </c>
      <c r="I16117" t="s">
        <v>14</v>
      </c>
      <c r="J16117" t="s">
        <v>141</v>
      </c>
      <c r="K16117" t="s">
        <v>14</v>
      </c>
      <c r="L16117" t="s">
        <v>20</v>
      </c>
      <c r="M16117" t="s">
        <v>30278</v>
      </c>
      <c r="N16117" t="s">
        <v>14</v>
      </c>
    </row>
    <row r="16118" x14ac:dyDescent="0.25">
      <c r="A16118" t="n">
        <v>21</v>
      </c>
      <c r="B16118" t="s">
        <v>14</v>
      </c>
      <c r="C16118" t="s">
        <v>22</v>
      </c>
      <c r="D16118" s="2" t="s">
        <f>=HYPERLINK("https://main.knesset.gov.il/APPS/legislation/main/bills/2078834", "הצעת חוק הסדרים במשק המדינה (תיקוני חקיקה להשגת יעדי התקציב) (תיקון - פטור מארנונה לנשים ששהו במקלט לנשים מוכות), התשע""ט-2019")</f>
        <v>30902</v>
      </c>
      <c r="E16118" t="s">
        <v>30902</v>
      </c>
      <c r="F16118" t="s">
        <v>30903</v>
      </c>
      <c r="G16118" t="s">
        <v>14</v>
      </c>
      <c r="H16118">
             </c>
      <c r="I16118" t="s">
        <v>14</v>
      </c>
      <c r="J16118" t="s">
        <v>141</v>
      </c>
      <c r="K16118" t="s">
        <v>14</v>
      </c>
      <c r="L16118" t="s">
        <v>20</v>
      </c>
      <c r="M16118" t="s">
        <v>30278</v>
      </c>
      <c r="N16118" t="s">
        <v>14</v>
      </c>
    </row>
    <row r="16119" x14ac:dyDescent="0.25">
      <c r="A16119" t="n">
        <v>21</v>
      </c>
      <c r="B16119" t="s">
        <v>14</v>
      </c>
      <c r="C16119" t="s">
        <v>22</v>
      </c>
      <c r="D16119" s="2" t="s">
        <f>=HYPERLINK("https://main.knesset.gov.il/APPS/legislation/main/bills/2078822", "הצעת חוק התכנון והבנייה (תיקון - שילוב נציגי משרד הבריאות וחובת תסקיר השפעה על הבריאות), התשע""ט-2019")</f>
        <v>30904</v>
      </c>
      <c r="E16119" t="s">
        <v>30904</v>
      </c>
      <c r="F16119" t="s">
        <v>30905</v>
      </c>
      <c r="G16119" t="s">
        <v>14</v>
      </c>
      <c r="H16119">
             </c>
      <c r="I16119" t="s">
        <v>14</v>
      </c>
      <c r="J16119" t="s">
        <v>141</v>
      </c>
      <c r="K16119" t="s">
        <v>14</v>
      </c>
      <c r="L16119" t="s">
        <v>20</v>
      </c>
      <c r="M16119" t="s">
        <v>30278</v>
      </c>
      <c r="N16119" t="s">
        <v>14</v>
      </c>
    </row>
    <row r="16120" x14ac:dyDescent="0.25">
      <c r="A16120" t="n">
        <v>21</v>
      </c>
      <c r="B16120" t="s">
        <v>14</v>
      </c>
      <c r="C16120" t="s">
        <v>22</v>
      </c>
      <c r="D16120" s="2" t="s">
        <f>=HYPERLINK("https://main.knesset.gov.il/APPS/legislation/main/bills/2078976", "הצעת חוק שוויון זכויות לאנשים עם מוגבלות (תיקון - מניעת הפליה במחיר של שירות ציבורי או מוצר שהם נגישים), התשע""ט-2019")</f>
        <v>30906</v>
      </c>
      <c r="E16120" t="s">
        <v>30906</v>
      </c>
      <c r="F16120" t="s">
        <v>30907</v>
      </c>
      <c r="G16120" t="s">
        <v>14</v>
      </c>
      <c r="H16120">
             </c>
      <c r="I16120" t="s">
        <v>14</v>
      </c>
      <c r="J16120" t="s">
        <v>141</v>
      </c>
      <c r="K16120" t="s">
        <v>14</v>
      </c>
      <c r="L16120" t="s">
        <v>20</v>
      </c>
      <c r="M16120" t="s">
        <v>30278</v>
      </c>
      <c r="N16120" t="s">
        <v>14</v>
      </c>
    </row>
    <row r="16121" x14ac:dyDescent="0.25">
      <c r="A16121" t="n">
        <v>21</v>
      </c>
      <c r="B16121" t="s">
        <v>14</v>
      </c>
      <c r="C16121" t="s">
        <v>22</v>
      </c>
      <c r="D16121" s="2" t="s">
        <f>=HYPERLINK("https://main.knesset.gov.il/APPS/legislation/main/bills/2078811", "הצעת חוק למניעת העישון במקומות ציבוריים והחשיפה לעישון (תיקון - הקמת מערך נאמני עישון), התשע""ט-2019")</f>
        <v>30908</v>
      </c>
      <c r="E16121" t="s">
        <v>30908</v>
      </c>
      <c r="F16121" t="s">
        <v>30909</v>
      </c>
      <c r="G16121" t="s">
        <v>14</v>
      </c>
      <c r="H16121">
             </c>
      <c r="I16121" t="s">
        <v>14</v>
      </c>
      <c r="J16121" t="s">
        <v>141</v>
      </c>
      <c r="K16121" t="s">
        <v>14</v>
      </c>
      <c r="L16121" t="s">
        <v>20</v>
      </c>
      <c r="M16121" t="s">
        <v>30278</v>
      </c>
      <c r="N16121" t="s">
        <v>14</v>
      </c>
    </row>
    <row r="16122" x14ac:dyDescent="0.25">
      <c r="A16122" t="n">
        <v>21</v>
      </c>
      <c r="B16122" t="s">
        <v>14</v>
      </c>
      <c r="C16122" t="s">
        <v>22</v>
      </c>
      <c r="D16122" s="2" t="s">
        <f>=HYPERLINK("https://main.knesset.gov.il/APPS/legislation/main/bills/2078966", "הצעת חוק הפיקוח על שירותים פיננסיים (קופות גמל) (תיקון - הגבלה על השקעות בחברה שערכה הסדר חוב), התשע""ט-2019")</f>
        <v>30910</v>
      </c>
      <c r="E16122" t="s">
        <v>30910</v>
      </c>
      <c r="F16122" t="s">
        <v>30911</v>
      </c>
      <c r="G16122" t="s">
        <v>14</v>
      </c>
      <c r="H16122">
             </c>
      <c r="I16122" t="s">
        <v>14</v>
      </c>
      <c r="J16122" t="s">
        <v>141</v>
      </c>
      <c r="K16122" t="s">
        <v>14</v>
      </c>
      <c r="L16122" t="s">
        <v>20</v>
      </c>
      <c r="M16122" t="s">
        <v>30278</v>
      </c>
      <c r="N16122" t="s">
        <v>14</v>
      </c>
    </row>
    <row r="16123" x14ac:dyDescent="0.25">
      <c r="A16123" t="n">
        <v>21</v>
      </c>
      <c r="B16123" t="s">
        <v>14</v>
      </c>
      <c r="C16123" t="s">
        <v>22</v>
      </c>
      <c r="D16123" s="2" t="s">
        <f>=HYPERLINK("https://main.knesset.gov.il/APPS/legislation/main/bills/2078809", "הצעת חוק הביטוח הלאומי (תיקון - דמי פגיעה לעצמאי), התשע""ט-2019")</f>
        <v>30621</v>
      </c>
      <c r="E16123" t="s">
        <v>30621</v>
      </c>
      <c r="F16123" t="s">
        <v>30912</v>
      </c>
      <c r="G16123" t="s">
        <v>14</v>
      </c>
      <c r="H16123">
             </c>
      <c r="I16123" t="s">
        <v>14</v>
      </c>
      <c r="J16123" t="s">
        <v>141</v>
      </c>
      <c r="K16123" t="s">
        <v>14</v>
      </c>
      <c r="L16123" t="s">
        <v>20</v>
      </c>
      <c r="M16123" t="s">
        <v>30278</v>
      </c>
      <c r="N16123" t="s">
        <v>14</v>
      </c>
    </row>
    <row r="16124" x14ac:dyDescent="0.25">
      <c r="A16124" t="n">
        <v>21</v>
      </c>
      <c r="B16124" t="s">
        <v>14</v>
      </c>
      <c r="C16124" t="s">
        <v>22</v>
      </c>
      <c r="D16124" s="2" t="s">
        <f>=HYPERLINK("https://main.knesset.gov.il/APPS/legislation/main/bills/2078952", "הצעת חוק הרשויות המקומיות (פטור חיילים, נפגעי מלחמה ושוטרים מארנונה) (תיקון - פטור לחייל בודד בדירת שותפים), התשע""ט-2019")</f>
        <v>30913</v>
      </c>
      <c r="E16124" t="s">
        <v>30913</v>
      </c>
      <c r="F16124" t="s">
        <v>30914</v>
      </c>
      <c r="G16124" t="s">
        <v>14</v>
      </c>
      <c r="H16124">
             </c>
      <c r="I16124" t="s">
        <v>14</v>
      </c>
      <c r="J16124" t="s">
        <v>141</v>
      </c>
      <c r="K16124" t="s">
        <v>14</v>
      </c>
      <c r="L16124" t="s">
        <v>20</v>
      </c>
      <c r="M16124" t="s">
        <v>30278</v>
      </c>
      <c r="N16124" t="s">
        <v>14</v>
      </c>
    </row>
    <row r="16125" x14ac:dyDescent="0.25">
      <c r="A16125" t="n">
        <v>21</v>
      </c>
      <c r="B16125" t="s">
        <v>14</v>
      </c>
      <c r="C16125" t="s">
        <v>22</v>
      </c>
      <c r="D16125" s="2" t="s">
        <f>=HYPERLINK("https://main.knesset.gov.il/APPS/legislation/main/bills/2078768", "הצעת חוק הקלות במס על רכישת מכשיר ניידות מסוג קלנועית (תיקוני חקיקה), התשע""ט-2019")</f>
        <v>30915</v>
      </c>
      <c r="E16125" t="s">
        <v>30915</v>
      </c>
      <c r="F16125" t="s">
        <v>30916</v>
      </c>
      <c r="G16125" t="s">
        <v>14</v>
      </c>
      <c r="H16125">
             </c>
      <c r="I16125" t="s">
        <v>14</v>
      </c>
      <c r="J16125" t="s">
        <v>141</v>
      </c>
      <c r="K16125" t="s">
        <v>14</v>
      </c>
      <c r="L16125" t="s">
        <v>20</v>
      </c>
      <c r="M16125" t="s">
        <v>30278</v>
      </c>
      <c r="N16125" t="s">
        <v>14</v>
      </c>
    </row>
    <row r="16126" x14ac:dyDescent="0.25">
      <c r="A16126" t="n">
        <v>21</v>
      </c>
      <c r="B16126" t="s">
        <v>14</v>
      </c>
      <c r="C16126" t="s">
        <v>22</v>
      </c>
      <c r="D16126" s="2" t="s">
        <f>=HYPERLINK("https://main.knesset.gov.il/APPS/legislation/main/bills/2078744", "הצעת חוק המטה להיערכות הלאומית להזדקנות האוכלוסייה, התשע""ט-2019")</f>
        <v>30917</v>
      </c>
      <c r="E16126" t="s">
        <v>30917</v>
      </c>
      <c r="F16126" t="s">
        <v>30918</v>
      </c>
      <c r="G16126" t="s">
        <v>14</v>
      </c>
      <c r="H16126">
             </c>
      <c r="I16126" t="s">
        <v>14</v>
      </c>
      <c r="J16126" t="s">
        <v>141</v>
      </c>
      <c r="K16126" t="s">
        <v>14</v>
      </c>
      <c r="L16126" t="s">
        <v>20</v>
      </c>
      <c r="M16126" t="s">
        <v>30278</v>
      </c>
      <c r="N16126" t="s">
        <v>14</v>
      </c>
    </row>
    <row r="16127" x14ac:dyDescent="0.25">
      <c r="A16127" t="n">
        <v>21</v>
      </c>
      <c r="B16127" t="s">
        <v>14</v>
      </c>
      <c r="C16127" t="s">
        <v>22</v>
      </c>
      <c r="D16127" s="2" t="s">
        <f>=HYPERLINK("https://main.knesset.gov.il/APPS/legislation/main/bills/2078792", "הצעת חוק המהנדסים והאדריכלים (תיקון - ביטול תעודה ומחיקת רישום בשל הרשעה חלוטה בעבירה שגרמה למותו של אדם), התשע""ט-2019")</f>
        <v>30919</v>
      </c>
      <c r="E16127" t="s">
        <v>30919</v>
      </c>
      <c r="F16127" t="s">
        <v>30920</v>
      </c>
      <c r="G16127" t="s">
        <v>14</v>
      </c>
      <c r="H16127">
             </c>
      <c r="I16127" t="s">
        <v>14</v>
      </c>
      <c r="J16127" t="s">
        <v>141</v>
      </c>
      <c r="K16127" t="s">
        <v>14</v>
      </c>
      <c r="L16127" t="s">
        <v>20</v>
      </c>
      <c r="M16127" t="s">
        <v>30278</v>
      </c>
      <c r="N16127" t="s">
        <v>14</v>
      </c>
    </row>
    <row r="16128" x14ac:dyDescent="0.25">
      <c r="A16128" t="n">
        <v>21</v>
      </c>
      <c r="B16128" t="s">
        <v>14</v>
      </c>
      <c r="C16128" t="s">
        <v>22</v>
      </c>
      <c r="D16128" s="2" t="s">
        <f>=HYPERLINK("https://main.knesset.gov.il/APPS/legislation/main/bills/2078741", "הצעת חוק המכינות הקדם-צבאיות (תיקון - שלילת הכרה ממכינות המעודדות סירוב פקודה והסתה), התשע""ט-2019")</f>
        <v>30921</v>
      </c>
      <c r="E16128" t="s">
        <v>30921</v>
      </c>
      <c r="F16128" t="s">
        <v>30922</v>
      </c>
      <c r="G16128" t="s">
        <v>14</v>
      </c>
      <c r="H16128">
             </c>
      <c r="I16128" t="s">
        <v>14</v>
      </c>
      <c r="J16128" t="s">
        <v>141</v>
      </c>
      <c r="K16128" t="s">
        <v>14</v>
      </c>
      <c r="L16128" t="s">
        <v>20</v>
      </c>
      <c r="M16128" t="s">
        <v>30278</v>
      </c>
      <c r="N16128" t="s">
        <v>14</v>
      </c>
    </row>
    <row r="16129" x14ac:dyDescent="0.25">
      <c r="A16129" t="n">
        <v>21</v>
      </c>
      <c r="B16129" t="s">
        <v>14</v>
      </c>
      <c r="C16129" t="s">
        <v>22</v>
      </c>
      <c r="D16129" s="2" t="s">
        <f>=HYPERLINK("https://main.knesset.gov.il/APPS/legislation/main/bills/2078951", "הצעת חוק ארוחה יומית לתלמיד (תיקון - הרחבת תחולת החוק), התשע""ט-2019 ")</f>
        <v>30923</v>
      </c>
      <c r="E16129" t="s">
        <v>30923</v>
      </c>
      <c r="F16129" t="s">
        <v>30924</v>
      </c>
      <c r="G16129" t="s">
        <v>14</v>
      </c>
      <c r="H16129">
             </c>
      <c r="I16129" t="s">
        <v>14</v>
      </c>
      <c r="J16129" t="s">
        <v>141</v>
      </c>
      <c r="K16129" t="s">
        <v>14</v>
      </c>
      <c r="L16129" t="s">
        <v>20</v>
      </c>
      <c r="M16129" t="s">
        <v>30278</v>
      </c>
      <c r="N16129" t="s">
        <v>14</v>
      </c>
    </row>
    <row r="16130" x14ac:dyDescent="0.25">
      <c r="A16130" t="n">
        <v>21</v>
      </c>
      <c r="B16130" t="s">
        <v>14</v>
      </c>
      <c r="C16130" t="s">
        <v>22</v>
      </c>
      <c r="D16130" s="2" t="s">
        <f>=HYPERLINK("https://main.knesset.gov.il/APPS/legislation/main/bills/2078722", "הצעת חוק חג המצות (איסורי חמץ) (תיקון - ביטול החוק), התשע""ט-2019")</f>
        <v>30925</v>
      </c>
      <c r="E16130" t="s">
        <v>30925</v>
      </c>
      <c r="F16130" t="s">
        <v>30926</v>
      </c>
      <c r="G16130" t="s">
        <v>14</v>
      </c>
      <c r="H16130">
             </c>
      <c r="I16130" t="s">
        <v>14</v>
      </c>
      <c r="J16130" t="s">
        <v>141</v>
      </c>
      <c r="K16130" t="s">
        <v>14</v>
      </c>
      <c r="L16130" t="s">
        <v>20</v>
      </c>
      <c r="M16130" t="s">
        <v>30278</v>
      </c>
      <c r="N16130" t="s">
        <v>14</v>
      </c>
    </row>
    <row r="16131" x14ac:dyDescent="0.25">
      <c r="A16131" t="n">
        <v>21</v>
      </c>
      <c r="B16131" t="s">
        <v>14</v>
      </c>
      <c r="C16131" t="s">
        <v>22</v>
      </c>
      <c r="D16131" s="2" t="s">
        <f>=HYPERLINK("https://main.knesset.gov.il/APPS/legislation/main/bills/2078720", "הצעת חוק לעידוד השקעות הון (תיקון - הקלה בתנאי סף למפעל קטן) (הוראת שעה), התשע""ט-2019")</f>
        <v>30927</v>
      </c>
      <c r="E16131" t="s">
        <v>30927</v>
      </c>
      <c r="F16131" t="s">
        <v>30928</v>
      </c>
      <c r="G16131" t="s">
        <v>14</v>
      </c>
      <c r="H16131">
             </c>
      <c r="I16131" t="s">
        <v>14</v>
      </c>
      <c r="J16131" t="s">
        <v>141</v>
      </c>
      <c r="K16131" t="s">
        <v>14</v>
      </c>
      <c r="L16131" t="s">
        <v>20</v>
      </c>
      <c r="M16131" t="s">
        <v>30278</v>
      </c>
      <c r="N16131" t="s">
        <v>14</v>
      </c>
    </row>
    <row r="16132" x14ac:dyDescent="0.25">
      <c r="A16132" t="n">
        <v>21</v>
      </c>
      <c r="B16132" t="s">
        <v>14</v>
      </c>
      <c r="C16132" t="s">
        <v>22</v>
      </c>
      <c r="D16132" s="2" t="s">
        <f>=HYPERLINK("https://main.knesset.gov.il/APPS/legislation/main/bills/2078715", "הצעת חוק האזרחים הוותיקים (תיקון - הטבות למקבלי פנסיה מזערית), התשע""ט-2019")</f>
        <v>30929</v>
      </c>
      <c r="E16132" t="s">
        <v>30929</v>
      </c>
      <c r="F16132" t="s">
        <v>30930</v>
      </c>
      <c r="G16132" t="s">
        <v>14</v>
      </c>
      <c r="H16132">
             </c>
      <c r="I16132" t="s">
        <v>14</v>
      </c>
      <c r="J16132" t="s">
        <v>141</v>
      </c>
      <c r="K16132" t="s">
        <v>14</v>
      </c>
      <c r="L16132" t="s">
        <v>20</v>
      </c>
      <c r="M16132" t="s">
        <v>30278</v>
      </c>
      <c r="N16132" t="s">
        <v>14</v>
      </c>
    </row>
    <row r="16133" x14ac:dyDescent="0.25">
      <c r="A16133" t="n">
        <v>21</v>
      </c>
      <c r="B16133" t="s">
        <v>14</v>
      </c>
      <c r="C16133" t="s">
        <v>22</v>
      </c>
      <c r="D16133" s="2" t="s">
        <f>=HYPERLINK("https://main.knesset.gov.il/APPS/legislation/main/bills/2078630", "הצעת חוק עבודת נשים (תיקון - חלוקת תקופת הלידה וההורות בין סטודנטית לבן זוגה), התשע""ט-2019")</f>
        <v>30931</v>
      </c>
      <c r="E16133" t="s">
        <v>30931</v>
      </c>
      <c r="F16133" t="s">
        <v>30932</v>
      </c>
      <c r="G16133" t="s">
        <v>14</v>
      </c>
      <c r="H16133">
             </c>
      <c r="I16133" t="s">
        <v>14</v>
      </c>
      <c r="J16133" t="s">
        <v>141</v>
      </c>
      <c r="K16133" t="s">
        <v>14</v>
      </c>
      <c r="L16133" t="s">
        <v>20</v>
      </c>
      <c r="M16133" t="s">
        <v>30278</v>
      </c>
      <c r="N16133" t="s">
        <v>14</v>
      </c>
    </row>
    <row r="16134" x14ac:dyDescent="0.25">
      <c r="A16134" t="n">
        <v>21</v>
      </c>
      <c r="B16134" t="s">
        <v>14</v>
      </c>
      <c r="C16134" t="s">
        <v>22</v>
      </c>
      <c r="D16134" s="2" t="s">
        <f>=HYPERLINK("https://main.knesset.gov.il/APPS/legislation/main/bills/2078701", "הצעת חוק לתיקון פקודת מס הכנסה (ניכוי סכומים שהוצאו לצורך טיפול בילד), התשע""ט-2019")</f>
        <v>30933</v>
      </c>
      <c r="E16134" t="s">
        <v>30933</v>
      </c>
      <c r="F16134" t="s">
        <v>30934</v>
      </c>
      <c r="G16134" t="s">
        <v>14</v>
      </c>
      <c r="H16134">
             </c>
      <c r="I16134" t="s">
        <v>14</v>
      </c>
      <c r="J16134" t="s">
        <v>141</v>
      </c>
      <c r="K16134" t="s">
        <v>14</v>
      </c>
      <c r="L16134" t="s">
        <v>20</v>
      </c>
      <c r="M16134" t="s">
        <v>30278</v>
      </c>
      <c r="N16134" t="s">
        <v>14</v>
      </c>
    </row>
    <row r="16135" x14ac:dyDescent="0.25">
      <c r="A16135" t="n">
        <v>21</v>
      </c>
      <c r="B16135" t="s">
        <v>14</v>
      </c>
      <c r="C16135" t="s">
        <v>22</v>
      </c>
      <c r="D16135" s="2" t="s">
        <f>=HYPERLINK("https://main.knesset.gov.il/APPS/legislation/main/bills/2078670", "הצעת חוק הקרן לסיוע למפעלים במצוקה (הטלת אחריות כלכלית על בעלים ומנהלים והעברה לשליטת העובדים), התשע""ט-2019")</f>
        <v>30935</v>
      </c>
      <c r="E16135" t="s">
        <v>30935</v>
      </c>
      <c r="F16135" t="s">
        <v>30936</v>
      </c>
      <c r="G16135" t="s">
        <v>14</v>
      </c>
      <c r="H16135">
             </c>
      <c r="I16135" t="s">
        <v>14</v>
      </c>
      <c r="J16135" t="s">
        <v>141</v>
      </c>
      <c r="K16135" t="s">
        <v>14</v>
      </c>
      <c r="L16135" t="s">
        <v>20</v>
      </c>
      <c r="M16135" t="s">
        <v>30278</v>
      </c>
      <c r="N16135" t="s">
        <v>14</v>
      </c>
    </row>
    <row r="16136" x14ac:dyDescent="0.25">
      <c r="A16136" t="n">
        <v>21</v>
      </c>
      <c r="B16136" t="s">
        <v>14</v>
      </c>
      <c r="C16136" t="s">
        <v>22</v>
      </c>
      <c r="D16136" s="2" t="s">
        <f>=HYPERLINK("https://main.knesset.gov.il/APPS/legislation/main/bills/2078659", "הצעת חוק-יסוד: משק המדינה (תיקון - שקיפות תקציב הביטחון) ")</f>
        <v>30937</v>
      </c>
      <c r="E16136" t="s">
        <v>30937</v>
      </c>
      <c r="F16136" t="s">
        <v>30938</v>
      </c>
      <c r="G16136" t="s">
        <v>14</v>
      </c>
      <c r="H16136">
             </c>
      <c r="I16136" t="s">
        <v>14</v>
      </c>
      <c r="J16136" t="s">
        <v>141</v>
      </c>
      <c r="K16136" t="s">
        <v>14</v>
      </c>
      <c r="L16136" t="s">
        <v>20</v>
      </c>
      <c r="M16136" t="s">
        <v>30278</v>
      </c>
      <c r="N16136" t="s">
        <v>14</v>
      </c>
    </row>
    <row r="16137" x14ac:dyDescent="0.25">
      <c r="A16137" t="n">
        <v>21</v>
      </c>
      <c r="B16137" t="s">
        <v>14</v>
      </c>
      <c r="C16137" t="s">
        <v>22</v>
      </c>
      <c r="D16137" s="2" t="s">
        <f>=HYPERLINK("https://main.knesset.gov.il/APPS/legislation/main/bills/2078657", "הצעת חוק גיל פרישה (תיקון - העלאת גיל הפרישה לנשים וקביעת צעדים תומכים לנשים בגילאי העבודה), התשע""ט-2019")</f>
        <v>30939</v>
      </c>
      <c r="E16137" t="s">
        <v>30939</v>
      </c>
      <c r="F16137" t="s">
        <v>30940</v>
      </c>
      <c r="G16137" t="s">
        <v>14</v>
      </c>
      <c r="H16137">
             </c>
      <c r="I16137" t="s">
        <v>14</v>
      </c>
      <c r="J16137" t="s">
        <v>141</v>
      </c>
      <c r="K16137" t="s">
        <v>14</v>
      </c>
      <c r="L16137" t="s">
        <v>20</v>
      </c>
      <c r="M16137" t="s">
        <v>30278</v>
      </c>
      <c r="N16137" t="s">
        <v>14</v>
      </c>
    </row>
    <row r="16138" x14ac:dyDescent="0.25">
      <c r="A16138" t="n">
        <v>21</v>
      </c>
      <c r="B16138" t="s">
        <v>14</v>
      </c>
      <c r="C16138" t="s">
        <v>22</v>
      </c>
      <c r="D16138" s="2" t="s">
        <f>=HYPERLINK("https://main.knesset.gov.il/APPS/legislation/main/bills/2078861", "הצעת חוק הגנת הצרכן (תיקון - פרסומת ודרכי שיווק אסורים במוסד חינוך), התשע""ט-2019")</f>
        <v>30941</v>
      </c>
      <c r="E16138" t="s">
        <v>30941</v>
      </c>
      <c r="F16138" t="s">
        <v>30942</v>
      </c>
      <c r="G16138" t="s">
        <v>14</v>
      </c>
      <c r="H16138">
             </c>
      <c r="I16138" t="s">
        <v>14</v>
      </c>
      <c r="J16138" t="s">
        <v>141</v>
      </c>
      <c r="K16138" t="s">
        <v>14</v>
      </c>
      <c r="L16138" t="s">
        <v>20</v>
      </c>
      <c r="M16138" t="s">
        <v>30278</v>
      </c>
      <c r="N16138" t="s">
        <v>14</v>
      </c>
    </row>
    <row r="16139" x14ac:dyDescent="0.25">
      <c r="A16139" t="n">
        <v>21</v>
      </c>
      <c r="B16139" t="s">
        <v>14</v>
      </c>
      <c r="C16139" t="s">
        <v>22</v>
      </c>
      <c r="D16139" s="2" t="s">
        <f>=HYPERLINK("https://main.knesset.gov.il/APPS/legislation/main/bills/2078619", "הצעת חוק פיקוח על מחירי מצרכים ושירותים (תיקון - פיקוח על מוצרי מזון לתינוקות), התשע""ט-2019")</f>
        <v>30943</v>
      </c>
      <c r="E16139" t="s">
        <v>30943</v>
      </c>
      <c r="F16139" t="s">
        <v>30944</v>
      </c>
      <c r="G16139" t="s">
        <v>14</v>
      </c>
      <c r="H16139">
             </c>
      <c r="I16139" t="s">
        <v>14</v>
      </c>
      <c r="J16139" t="s">
        <v>141</v>
      </c>
      <c r="K16139" t="s">
        <v>14</v>
      </c>
      <c r="L16139" t="s">
        <v>20</v>
      </c>
      <c r="M16139" t="s">
        <v>30278</v>
      </c>
      <c r="N16139" t="s">
        <v>14</v>
      </c>
    </row>
    <row r="16140" x14ac:dyDescent="0.25">
      <c r="A16140" t="n">
        <v>21</v>
      </c>
      <c r="B16140" t="s">
        <v>14</v>
      </c>
      <c r="C16140" t="s">
        <v>15</v>
      </c>
      <c r="D16140" s="2" t="s">
        <f>=HYPERLINK("https://main.knesset.gov.il/APPS/legislation/main/bills/2080431", "הצעת חוק-יסוד: הממשלה (תיקון מס' 8) (ביטול המגבלה על מספרם המרבי של השרים וסגני השרים) ")</f>
        <v>30945</v>
      </c>
      <c r="E16140" t="s">
        <v>30945</v>
      </c>
      <c r="F16140" t="s">
        <v>14</v>
      </c>
      <c r="G16140" t="s">
        <v>30946</v>
      </c>
      <c r="H16140">
             </c>
      <c r="I16140" t="s">
        <v>14</v>
      </c>
      <c r="J16140" t="s">
        <v>41</v>
      </c>
      <c r="K16140" t="s">
        <v>30947</v>
      </c>
      <c r="L16140" t="s">
        <v>20</v>
      </c>
      <c r="M16140" t="s">
        <v>30948</v>
      </c>
      <c r="N16140" t="s">
        <v>14</v>
      </c>
    </row>
    <row r="16141" x14ac:dyDescent="0.25">
      <c r="A16141" t="n">
        <v>21</v>
      </c>
      <c r="B16141" t="s">
        <v>14</v>
      </c>
      <c r="C16141" t="s">
        <v>22</v>
      </c>
      <c r="D16141" s="2" t="s">
        <f>=HYPERLINK("https://main.knesset.gov.il/APPS/legislation/main/bills/2078907", "הצעת חוק חסינות חברי הכנסת, זכויותיהם וחובותיהם (תיקון - חסינות בפני דין פלילי), התשע""ט-2019")</f>
        <v>30949</v>
      </c>
      <c r="E16141" t="s">
        <v>30949</v>
      </c>
      <c r="F16141" t="s">
        <v>30950</v>
      </c>
      <c r="G16141" t="s">
        <v>14</v>
      </c>
      <c r="H16141">
             </c>
      <c r="I16141" t="s">
        <v>14</v>
      </c>
      <c r="J16141" t="s">
        <v>141</v>
      </c>
      <c r="K16141" t="s">
        <v>14</v>
      </c>
      <c r="L16141" t="s">
        <v>20</v>
      </c>
      <c r="M16141" t="s">
        <v>30951</v>
      </c>
      <c r="N16141" t="s">
        <v>14</v>
      </c>
    </row>
    <row r="16142" x14ac:dyDescent="0.25">
      <c r="A16142" t="n">
        <v>21</v>
      </c>
      <c r="B16142" t="s">
        <v>14</v>
      </c>
      <c r="C16142" t="s">
        <v>22</v>
      </c>
      <c r="D16142" s="2" t="s">
        <f>=HYPERLINK("https://main.knesset.gov.il/APPS/legislation/main/bills/2079233", "הצעת חוק לתיקון פקודת מס הכנסה (מיסוי ההכנסה מהשכרת יחידות דיור לטווח קצר), התשע""ט-2019")</f>
        <v>30952</v>
      </c>
      <c r="E16142" t="s">
        <v>30952</v>
      </c>
      <c r="F16142" t="s">
        <v>30953</v>
      </c>
      <c r="G16142" t="s">
        <v>14</v>
      </c>
      <c r="H16142">
             </c>
      <c r="I16142" t="s">
        <v>14</v>
      </c>
      <c r="J16142" t="s">
        <v>141</v>
      </c>
      <c r="K16142" t="s">
        <v>14</v>
      </c>
      <c r="L16142" t="s">
        <v>20</v>
      </c>
      <c r="M16142" t="s">
        <v>30951</v>
      </c>
      <c r="N16142" t="s">
        <v>14</v>
      </c>
    </row>
    <row r="16143" x14ac:dyDescent="0.25">
      <c r="A16143" t="n">
        <v>21</v>
      </c>
      <c r="B16143" t="s">
        <v>14</v>
      </c>
      <c r="C16143" t="s">
        <v>22</v>
      </c>
      <c r="D16143" s="2" t="s">
        <f>=HYPERLINK("https://main.knesset.gov.il/APPS/legislation/main/bills/2079239", "הצעת חוק מיסוי מקרקעין (שבח ורכישה) (תיקון - רכישת דירה על ידי ילד יתום), התשע""ט-2019")</f>
        <v>30954</v>
      </c>
      <c r="E16143" t="s">
        <v>30954</v>
      </c>
      <c r="F16143" t="s">
        <v>30955</v>
      </c>
      <c r="G16143" t="s">
        <v>14</v>
      </c>
      <c r="H16143">
             </c>
      <c r="I16143" t="s">
        <v>14</v>
      </c>
      <c r="J16143" t="s">
        <v>141</v>
      </c>
      <c r="K16143" t="s">
        <v>14</v>
      </c>
      <c r="L16143" t="s">
        <v>20</v>
      </c>
      <c r="M16143" t="s">
        <v>30951</v>
      </c>
      <c r="N16143" t="s">
        <v>14</v>
      </c>
    </row>
    <row r="16144" x14ac:dyDescent="0.25">
      <c r="A16144" t="n">
        <v>21</v>
      </c>
      <c r="B16144" t="s">
        <v>14</v>
      </c>
      <c r="C16144" t="s">
        <v>22</v>
      </c>
      <c r="D16144" s="2" t="s">
        <f>=HYPERLINK("https://main.knesset.gov.il/APPS/legislation/main/bills/2079232", "הצעת חוק ביטוח בריאות ממלכתי (תיקון - זכות למכשיר ניידות קלנועית), התשע״ט-2019")</f>
        <v>30956</v>
      </c>
      <c r="E16144" t="s">
        <v>30956</v>
      </c>
      <c r="F16144" t="s">
        <v>30957</v>
      </c>
      <c r="G16144" t="s">
        <v>14</v>
      </c>
      <c r="H16144">
             </c>
      <c r="I16144" t="s">
        <v>14</v>
      </c>
      <c r="J16144" t="s">
        <v>141</v>
      </c>
      <c r="K16144" t="s">
        <v>14</v>
      </c>
      <c r="L16144" t="s">
        <v>20</v>
      </c>
      <c r="M16144" t="s">
        <v>30951</v>
      </c>
      <c r="N16144" t="s">
        <v>14</v>
      </c>
    </row>
    <row r="16145" x14ac:dyDescent="0.25">
      <c r="A16145" t="n">
        <v>21</v>
      </c>
      <c r="B16145" t="s">
        <v>14</v>
      </c>
      <c r="C16145" t="s">
        <v>22</v>
      </c>
      <c r="D16145" s="2" t="s">
        <f>=HYPERLINK("https://main.knesset.gov.il/APPS/legislation/main/bills/2079238", "הצעת חוק הפיקוח על מצרכים ושירותים (תיקון - סייגים לעסקאות בציוד צבאי), התשע""ט-2019")</f>
        <v>30353</v>
      </c>
      <c r="E16145" t="s">
        <v>30353</v>
      </c>
      <c r="F16145" t="s">
        <v>30958</v>
      </c>
      <c r="G16145" t="s">
        <v>14</v>
      </c>
      <c r="H16145">
             </c>
      <c r="I16145" t="s">
        <v>14</v>
      </c>
      <c r="J16145" t="s">
        <v>141</v>
      </c>
      <c r="K16145" t="s">
        <v>14</v>
      </c>
      <c r="L16145" t="s">
        <v>20</v>
      </c>
      <c r="M16145" t="s">
        <v>30951</v>
      </c>
      <c r="N16145" t="s">
        <v>14</v>
      </c>
    </row>
    <row r="16146" x14ac:dyDescent="0.25">
      <c r="A16146" t="n">
        <v>21</v>
      </c>
      <c r="B16146" t="s">
        <v>14</v>
      </c>
      <c r="C16146" t="s">
        <v>22</v>
      </c>
      <c r="D16146" s="2" t="s">
        <f>=HYPERLINK("https://main.knesset.gov.il/APPS/legislation/main/bills/2079230", "הצעת חוק הביטוח הלאומי (תיקון - פטור מתשלום דמי ביטוח לסטודנטים על בסיס הכנסות ההורים), התשע""ט-2019")</f>
        <v>30959</v>
      </c>
      <c r="E16146" t="s">
        <v>30959</v>
      </c>
      <c r="F16146" t="s">
        <v>30960</v>
      </c>
      <c r="G16146" t="s">
        <v>14</v>
      </c>
      <c r="H16146">
             </c>
      <c r="I16146" t="s">
        <v>14</v>
      </c>
      <c r="J16146" t="s">
        <v>141</v>
      </c>
      <c r="K16146" t="s">
        <v>14</v>
      </c>
      <c r="L16146" t="s">
        <v>20</v>
      </c>
      <c r="M16146" t="s">
        <v>30951</v>
      </c>
      <c r="N16146" t="s">
        <v>14</v>
      </c>
    </row>
    <row r="16147" x14ac:dyDescent="0.25">
      <c r="A16147" t="n">
        <v>21</v>
      </c>
      <c r="B16147" t="s">
        <v>14</v>
      </c>
      <c r="C16147" t="s">
        <v>22</v>
      </c>
      <c r="D16147" s="2" t="s">
        <f>=HYPERLINK("https://main.knesset.gov.il/APPS/legislation/main/bills/2079218", "הצעת חוק הביטוח הלאומי (תיקון - אי שלילת זכאות לקצבת שאירים בשל הכנסה מפנסיה), התשע""ט-2019")</f>
        <v>30961</v>
      </c>
      <c r="E16147" t="s">
        <v>30961</v>
      </c>
      <c r="F16147" t="s">
        <v>30962</v>
      </c>
      <c r="G16147" t="s">
        <v>14</v>
      </c>
      <c r="H16147">
             </c>
      <c r="I16147" t="s">
        <v>14</v>
      </c>
      <c r="J16147" t="s">
        <v>141</v>
      </c>
      <c r="K16147" t="s">
        <v>14</v>
      </c>
      <c r="L16147" t="s">
        <v>20</v>
      </c>
      <c r="M16147" t="s">
        <v>30951</v>
      </c>
      <c r="N16147" t="s">
        <v>14</v>
      </c>
    </row>
    <row r="16148" x14ac:dyDescent="0.25">
      <c r="A16148" t="n">
        <v>21</v>
      </c>
      <c r="B16148" t="s">
        <v>14</v>
      </c>
      <c r="C16148" t="s">
        <v>22</v>
      </c>
      <c r="D16148" s="2" t="s">
        <f>=HYPERLINK("https://main.knesset.gov.il/APPS/legislation/main/bills/2079215", "הצעת חוק לתיקון פקודת מס הכנסה (תרומה למוסד ציבורי באזורי עדיפות לאומית), התשע""ט-2019")</f>
        <v>30963</v>
      </c>
      <c r="E16148" t="s">
        <v>30963</v>
      </c>
      <c r="F16148" t="s">
        <v>30964</v>
      </c>
      <c r="G16148" t="s">
        <v>14</v>
      </c>
      <c r="H16148">
             </c>
      <c r="I16148" t="s">
        <v>14</v>
      </c>
      <c r="J16148" t="s">
        <v>141</v>
      </c>
      <c r="K16148" t="s">
        <v>14</v>
      </c>
      <c r="L16148" t="s">
        <v>20</v>
      </c>
      <c r="M16148" t="s">
        <v>30951</v>
      </c>
      <c r="N16148" t="s">
        <v>14</v>
      </c>
    </row>
    <row r="16149" x14ac:dyDescent="0.25">
      <c r="A16149" t="n">
        <v>21</v>
      </c>
      <c r="B16149" t="s">
        <v>14</v>
      </c>
      <c r="C16149" t="s">
        <v>22</v>
      </c>
      <c r="D16149" s="2" t="s">
        <f>=HYPERLINK("https://main.knesset.gov.il/APPS/legislation/main/bills/2079212", "הצעת חוק הביטוח הלאומי (תיקון - עבודות מלצרות, טבחות, תחזוקה וניקיון במסעדות ובתי אוכל כעבודה מועדפת), התשע""ט-2019")</f>
        <v>30965</v>
      </c>
      <c r="E16149" t="s">
        <v>30965</v>
      </c>
      <c r="F16149" t="s">
        <v>30966</v>
      </c>
      <c r="G16149" t="s">
        <v>14</v>
      </c>
      <c r="H16149">
             </c>
      <c r="I16149" t="s">
        <v>14</v>
      </c>
      <c r="J16149" t="s">
        <v>141</v>
      </c>
      <c r="K16149" t="s">
        <v>14</v>
      </c>
      <c r="L16149" t="s">
        <v>20</v>
      </c>
      <c r="M16149" t="s">
        <v>30951</v>
      </c>
      <c r="N16149" t="s">
        <v>14</v>
      </c>
    </row>
    <row r="16150" x14ac:dyDescent="0.25">
      <c r="A16150" t="n">
        <v>21</v>
      </c>
      <c r="B16150" t="s">
        <v>14</v>
      </c>
      <c r="C16150" t="s">
        <v>22</v>
      </c>
      <c r="D16150" s="2" t="s">
        <f>=HYPERLINK("https://main.knesset.gov.il/APPS/legislation/main/bills/2079209", "הצעת חוק לעידוד השקעות הון (תיקון - הוספת מפעלי תעשייה חקלאית), התשע""ט-2019")</f>
        <v>30967</v>
      </c>
      <c r="E16150" t="s">
        <v>30967</v>
      </c>
      <c r="F16150" t="s">
        <v>30968</v>
      </c>
      <c r="G16150" t="s">
        <v>14</v>
      </c>
      <c r="H16150">
             </c>
      <c r="I16150" t="s">
        <v>14</v>
      </c>
      <c r="J16150" t="s">
        <v>141</v>
      </c>
      <c r="K16150" t="s">
        <v>14</v>
      </c>
      <c r="L16150" t="s">
        <v>20</v>
      </c>
      <c r="M16150" t="s">
        <v>30951</v>
      </c>
      <c r="N16150" t="s">
        <v>14</v>
      </c>
    </row>
    <row r="16151" x14ac:dyDescent="0.25">
      <c r="A16151" t="n">
        <v>21</v>
      </c>
      <c r="B16151" t="s">
        <v>14</v>
      </c>
      <c r="C16151" t="s">
        <v>22</v>
      </c>
      <c r="D16151" s="2" t="s">
        <f>=HYPERLINK("https://main.knesset.gov.il/APPS/legislation/main/bills/2079198", "הצעת חוק הקרן הקיימת לישראל (תחולת דיני המס), התשע""ט-2019")</f>
        <v>30969</v>
      </c>
      <c r="E16151" t="s">
        <v>30969</v>
      </c>
      <c r="F16151" t="s">
        <v>30970</v>
      </c>
      <c r="G16151" t="s">
        <v>14</v>
      </c>
      <c r="H16151">
             </c>
      <c r="I16151" t="s">
        <v>14</v>
      </c>
      <c r="J16151" t="s">
        <v>141</v>
      </c>
      <c r="K16151" t="s">
        <v>14</v>
      </c>
      <c r="L16151" t="s">
        <v>20</v>
      </c>
      <c r="M16151" t="s">
        <v>30951</v>
      </c>
      <c r="N16151" t="s">
        <v>14</v>
      </c>
    </row>
    <row r="16152" x14ac:dyDescent="0.25">
      <c r="A16152" t="n">
        <v>21</v>
      </c>
      <c r="B16152" t="s">
        <v>14</v>
      </c>
      <c r="C16152" t="s">
        <v>22</v>
      </c>
      <c r="D16152" s="2" t="s">
        <f>=HYPERLINK("https://main.knesset.gov.il/APPS/legislation/main/bills/2079196", "הצעת חוק הביטוח הלאומי (תיקון - הרחבת הגדרת קרוב משפחה לעניין ההסכם בדבר גמלת ניידות), התשע""ט-2019")</f>
        <v>30971</v>
      </c>
      <c r="E16152" t="s">
        <v>30971</v>
      </c>
      <c r="F16152" t="s">
        <v>30972</v>
      </c>
      <c r="G16152" t="s">
        <v>14</v>
      </c>
      <c r="H16152">
             </c>
      <c r="I16152" t="s">
        <v>14</v>
      </c>
      <c r="J16152" t="s">
        <v>141</v>
      </c>
      <c r="K16152" t="s">
        <v>14</v>
      </c>
      <c r="L16152" t="s">
        <v>20</v>
      </c>
      <c r="M16152" t="s">
        <v>30951</v>
      </c>
      <c r="N16152" t="s">
        <v>14</v>
      </c>
    </row>
    <row r="16153" x14ac:dyDescent="0.25">
      <c r="A16153" t="n">
        <v>21</v>
      </c>
      <c r="B16153" t="s">
        <v>14</v>
      </c>
      <c r="C16153" t="s">
        <v>22</v>
      </c>
      <c r="D16153" s="2" t="s">
        <f>=HYPERLINK("https://main.knesset.gov.il/APPS/legislation/main/bills/2079206", "הצעת חוק דמי מחלה (היעדרות בשל מחלת ילד) (תיקון - איסור פיטורים), התשע""ט-2019")</f>
        <v>30973</v>
      </c>
      <c r="E16153" t="s">
        <v>30973</v>
      </c>
      <c r="F16153" t="s">
        <v>30974</v>
      </c>
      <c r="G16153" t="s">
        <v>14</v>
      </c>
      <c r="H16153">
             </c>
      <c r="I16153" t="s">
        <v>14</v>
      </c>
      <c r="J16153" t="s">
        <v>141</v>
      </c>
      <c r="K16153" t="s">
        <v>14</v>
      </c>
      <c r="L16153" t="s">
        <v>20</v>
      </c>
      <c r="M16153" t="s">
        <v>30951</v>
      </c>
      <c r="N16153" t="s">
        <v>14</v>
      </c>
    </row>
    <row r="16154" x14ac:dyDescent="0.25">
      <c r="A16154" t="n">
        <v>21</v>
      </c>
      <c r="B16154" t="s">
        <v>14</v>
      </c>
      <c r="C16154" t="s">
        <v>22</v>
      </c>
      <c r="D16154" s="2" t="s">
        <f>=HYPERLINK("https://main.knesset.gov.il/APPS/legislation/main/bills/2078837", "הצעת חוק ביטוח בריאות ממלכתי (תיקון - חיוב קופות החולים לשלב את רופאי השיניים בין נותני השירותים לקופות), התשע""ט-2019")</f>
        <v>30975</v>
      </c>
      <c r="E16154" t="s">
        <v>30975</v>
      </c>
      <c r="F16154" t="s">
        <v>30976</v>
      </c>
      <c r="G16154" t="s">
        <v>14</v>
      </c>
      <c r="H16154">
             </c>
      <c r="I16154" t="s">
        <v>14</v>
      </c>
      <c r="J16154" t="s">
        <v>141</v>
      </c>
      <c r="K16154" t="s">
        <v>14</v>
      </c>
      <c r="L16154" t="s">
        <v>20</v>
      </c>
      <c r="M16154" t="s">
        <v>30951</v>
      </c>
      <c r="N16154" t="s">
        <v>14</v>
      </c>
    </row>
    <row r="16155" x14ac:dyDescent="0.25">
      <c r="A16155" t="n">
        <v>21</v>
      </c>
      <c r="B16155" t="s">
        <v>14</v>
      </c>
      <c r="C16155" t="s">
        <v>22</v>
      </c>
      <c r="D16155" s="2" t="s">
        <f>=HYPERLINK("https://main.knesset.gov.il/APPS/legislation/main/bills/2079195", "הצעת חוק הביטוח הלאומי (תיקון - קצבת נכות לעקרת בית), התשע""ט-2019")</f>
        <v>30977</v>
      </c>
      <c r="E16155" t="s">
        <v>30977</v>
      </c>
      <c r="F16155" t="s">
        <v>30978</v>
      </c>
      <c r="G16155" t="s">
        <v>14</v>
      </c>
      <c r="H16155">
             </c>
      <c r="I16155" t="s">
        <v>14</v>
      </c>
      <c r="J16155" t="s">
        <v>141</v>
      </c>
      <c r="K16155" t="s">
        <v>14</v>
      </c>
      <c r="L16155" t="s">
        <v>20</v>
      </c>
      <c r="M16155" t="s">
        <v>30951</v>
      </c>
      <c r="N16155" t="s">
        <v>14</v>
      </c>
    </row>
    <row r="16156" x14ac:dyDescent="0.25">
      <c r="A16156" t="n">
        <v>21</v>
      </c>
      <c r="B16156" t="s">
        <v>14</v>
      </c>
      <c r="C16156" t="s">
        <v>22</v>
      </c>
      <c r="D16156" s="2" t="s">
        <f>=HYPERLINK("https://main.knesset.gov.il/APPS/legislation/main/bills/2078853", "הצעת חוק לתיקון פקודת הסמים המסוכנים (הוספת חומר קנבוס כחומר בעל תועלת רפואית), התשע""ט-2019")</f>
        <v>30979</v>
      </c>
      <c r="E16156" t="s">
        <v>30979</v>
      </c>
      <c r="F16156" t="s">
        <v>30980</v>
      </c>
      <c r="G16156" t="s">
        <v>14</v>
      </c>
      <c r="H16156">
             </c>
      <c r="I16156" t="s">
        <v>14</v>
      </c>
      <c r="J16156" t="s">
        <v>141</v>
      </c>
      <c r="K16156" t="s">
        <v>14</v>
      </c>
      <c r="L16156" t="s">
        <v>20</v>
      </c>
      <c r="M16156" t="s">
        <v>30951</v>
      </c>
      <c r="N16156" t="s">
        <v>14</v>
      </c>
    </row>
    <row r="16157" x14ac:dyDescent="0.25">
      <c r="A16157" t="n">
        <v>21</v>
      </c>
      <c r="B16157" t="s">
        <v>14</v>
      </c>
      <c r="C16157" t="s">
        <v>22</v>
      </c>
      <c r="D16157" s="2" t="s">
        <f>=HYPERLINK("https://main.knesset.gov.il/APPS/legislation/main/bills/2079193", "הצעת חוק דמי הבראה, התשע""ט-2019")</f>
        <v>30981</v>
      </c>
      <c r="E16157" t="s">
        <v>30981</v>
      </c>
      <c r="F16157" t="s">
        <v>30982</v>
      </c>
      <c r="G16157" t="s">
        <v>14</v>
      </c>
      <c r="H16157">
             </c>
      <c r="I16157" t="s">
        <v>14</v>
      </c>
      <c r="J16157" t="s">
        <v>141</v>
      </c>
      <c r="K16157" t="s">
        <v>14</v>
      </c>
      <c r="L16157" t="s">
        <v>20</v>
      </c>
      <c r="M16157" t="s">
        <v>30951</v>
      </c>
      <c r="N16157" t="s">
        <v>14</v>
      </c>
    </row>
    <row r="16158" x14ac:dyDescent="0.25">
      <c r="A16158" t="n">
        <v>21</v>
      </c>
      <c r="B16158" t="s">
        <v>14</v>
      </c>
      <c r="C16158" t="s">
        <v>22</v>
      </c>
      <c r="D16158" s="2" t="s">
        <f>=HYPERLINK("https://main.knesset.gov.il/APPS/legislation/main/bills/2078973", "הצעת חוק הגנה על עובדים בשעת חירום (תיקון - תשלום שכר עבודה לעובד שנעדר עקב סגירת מוסד הלימוד של ילדו), התשע""ט-2019")</f>
        <v>30983</v>
      </c>
      <c r="E16158" t="s">
        <v>30983</v>
      </c>
      <c r="F16158" t="s">
        <v>30984</v>
      </c>
      <c r="G16158" t="s">
        <v>14</v>
      </c>
      <c r="H16158">
             </c>
      <c r="I16158" t="s">
        <v>14</v>
      </c>
      <c r="J16158" t="s">
        <v>141</v>
      </c>
      <c r="K16158" t="s">
        <v>14</v>
      </c>
      <c r="L16158" t="s">
        <v>20</v>
      </c>
      <c r="M16158" t="s">
        <v>30951</v>
      </c>
      <c r="N16158" t="s">
        <v>14</v>
      </c>
    </row>
    <row r="16159" x14ac:dyDescent="0.25">
      <c r="A16159" t="n">
        <v>21</v>
      </c>
      <c r="B16159" t="s">
        <v>14</v>
      </c>
      <c r="C16159" t="s">
        <v>22</v>
      </c>
      <c r="D16159" s="2" t="s">
        <f>=HYPERLINK("https://main.knesset.gov.il/APPS/legislation/main/bills/2079190", "הצעת חוק הפיקוח על שירותים פיננסיים (קופות גמל) (תיקון - השקעה של גוף מוסדי בתעשייה עתירת ידע בישראל), התשע""ט-2019")</f>
        <v>30985</v>
      </c>
      <c r="E16159" t="s">
        <v>30985</v>
      </c>
      <c r="F16159" t="s">
        <v>30986</v>
      </c>
      <c r="G16159" t="s">
        <v>14</v>
      </c>
      <c r="H16159">
             </c>
      <c r="I16159" t="s">
        <v>14</v>
      </c>
      <c r="J16159" t="s">
        <v>141</v>
      </c>
      <c r="K16159" t="s">
        <v>14</v>
      </c>
      <c r="L16159" t="s">
        <v>20</v>
      </c>
      <c r="M16159" t="s">
        <v>30951</v>
      </c>
      <c r="N16159" t="s">
        <v>14</v>
      </c>
    </row>
    <row r="16160" x14ac:dyDescent="0.25">
      <c r="A16160" t="n">
        <v>21</v>
      </c>
      <c r="B16160" t="s">
        <v>14</v>
      </c>
      <c r="C16160" t="s">
        <v>22</v>
      </c>
      <c r="D16160" s="2" t="s">
        <f>=HYPERLINK("https://main.knesset.gov.il/APPS/legislation/main/bills/2078663", "הצעת חוק זכויות החולה (תיקון - איסור הפליה על רקע מעמד חברתי-כלכלי), התשע""ט-2019")</f>
        <v>30987</v>
      </c>
      <c r="E16160" t="s">
        <v>30987</v>
      </c>
      <c r="F16160" t="s">
        <v>30988</v>
      </c>
      <c r="G16160" t="s">
        <v>14</v>
      </c>
      <c r="H16160">
             </c>
      <c r="I16160" t="s">
        <v>14</v>
      </c>
      <c r="J16160" t="s">
        <v>141</v>
      </c>
      <c r="K16160" t="s">
        <v>14</v>
      </c>
      <c r="L16160" t="s">
        <v>20</v>
      </c>
      <c r="M16160" t="s">
        <v>30951</v>
      </c>
      <c r="N16160" t="s">
        <v>14</v>
      </c>
    </row>
    <row r="16161" x14ac:dyDescent="0.25">
      <c r="A16161" t="n">
        <v>21</v>
      </c>
      <c r="B16161" t="s">
        <v>14</v>
      </c>
      <c r="C16161" t="s">
        <v>22</v>
      </c>
      <c r="D16161" s="2" t="s">
        <f>=HYPERLINK("https://main.knesset.gov.il/APPS/legislation/main/bills/2079189", "הצעת חוק קליטת חיילים משוחררים (תיקון - מימון שכר לימוד), התשע""ט-2019")</f>
        <v>30989</v>
      </c>
      <c r="E16161" t="s">
        <v>30989</v>
      </c>
      <c r="F16161" t="s">
        <v>30990</v>
      </c>
      <c r="G16161" t="s">
        <v>14</v>
      </c>
      <c r="H16161">
             </c>
      <c r="I16161" t="s">
        <v>14</v>
      </c>
      <c r="J16161" t="s">
        <v>141</v>
      </c>
      <c r="K16161" t="s">
        <v>14</v>
      </c>
      <c r="L16161" t="s">
        <v>20</v>
      </c>
      <c r="M16161" t="s">
        <v>30951</v>
      </c>
      <c r="N16161" t="s">
        <v>14</v>
      </c>
    </row>
    <row r="16162" x14ac:dyDescent="0.25">
      <c r="A16162" t="n">
        <v>21</v>
      </c>
      <c r="B16162" t="s">
        <v>14</v>
      </c>
      <c r="C16162" t="s">
        <v>22</v>
      </c>
      <c r="D16162" s="2" t="s">
        <f>=HYPERLINK("https://main.knesset.gov.il/APPS/legislation/main/bills/2078643", "הצעת חוק הביטוח הלאומי (תיקון - עדכון קצבת אזרח ותיק בהתאם לשכר המינימום), התשע""ט-2019")</f>
        <v>30991</v>
      </c>
      <c r="E16162" t="s">
        <v>30991</v>
      </c>
      <c r="F16162" t="s">
        <v>30992</v>
      </c>
      <c r="G16162" t="s">
        <v>14</v>
      </c>
      <c r="H16162">
             </c>
      <c r="I16162" t="s">
        <v>14</v>
      </c>
      <c r="J16162" t="s">
        <v>141</v>
      </c>
      <c r="K16162" t="s">
        <v>14</v>
      </c>
      <c r="L16162" t="s">
        <v>20</v>
      </c>
      <c r="M16162" t="s">
        <v>30951</v>
      </c>
      <c r="N16162" t="s">
        <v>14</v>
      </c>
    </row>
    <row r="16163" x14ac:dyDescent="0.25">
      <c r="A16163" t="n">
        <v>21</v>
      </c>
      <c r="B16163" t="s">
        <v>14</v>
      </c>
      <c r="C16163" t="s">
        <v>22</v>
      </c>
      <c r="D16163" s="2" t="s">
        <f>=HYPERLINK("https://main.knesset.gov.il/APPS/legislation/main/bills/2079180", "הצעת חוק קרן קיימת לישראל (תיקון - החברה החדשה - גוף מבוקר), התשע""ט-2019")</f>
        <v>30993</v>
      </c>
      <c r="E16163" t="s">
        <v>30993</v>
      </c>
      <c r="F16163" t="s">
        <v>30994</v>
      </c>
      <c r="G16163" t="s">
        <v>14</v>
      </c>
      <c r="H16163">
             </c>
      <c r="I16163" t="s">
        <v>14</v>
      </c>
      <c r="J16163" t="s">
        <v>141</v>
      </c>
      <c r="K16163" t="s">
        <v>14</v>
      </c>
      <c r="L16163" t="s">
        <v>20</v>
      </c>
      <c r="M16163" t="s">
        <v>30951</v>
      </c>
      <c r="N16163" t="s">
        <v>14</v>
      </c>
    </row>
    <row r="16164" x14ac:dyDescent="0.25">
      <c r="A16164" t="n">
        <v>21</v>
      </c>
      <c r="B16164" t="s">
        <v>14</v>
      </c>
      <c r="C16164" t="s">
        <v>22</v>
      </c>
      <c r="D16164" s="2" t="s">
        <f>=HYPERLINK("https://main.knesset.gov.il/APPS/legislation/main/bills/2078819", "הצעת חוק העסקת עובדים על ידי קבלני כוח אדם (תיקון - תחולת החוק על עובדי מחשוב), התשע""ט-2019")</f>
        <v>30995</v>
      </c>
      <c r="E16164" t="s">
        <v>30995</v>
      </c>
      <c r="F16164" t="s">
        <v>30996</v>
      </c>
      <c r="G16164" t="s">
        <v>14</v>
      </c>
      <c r="H16164">
             </c>
      <c r="I16164" t="s">
        <v>14</v>
      </c>
      <c r="J16164" t="s">
        <v>141</v>
      </c>
      <c r="K16164" t="s">
        <v>14</v>
      </c>
      <c r="L16164" t="s">
        <v>20</v>
      </c>
      <c r="M16164" t="s">
        <v>30951</v>
      </c>
      <c r="N16164" t="s">
        <v>14</v>
      </c>
    </row>
    <row r="16165" x14ac:dyDescent="0.25">
      <c r="A16165" t="n">
        <v>21</v>
      </c>
      <c r="B16165" t="s">
        <v>14</v>
      </c>
      <c r="C16165" t="s">
        <v>22</v>
      </c>
      <c r="D16165" s="2" t="s">
        <f>=HYPERLINK("https://main.knesset.gov.il/APPS/legislation/main/bills/2079179", "הצעת חוק לתיקון פקודת מס הכנסה (עידוד צמיחה לעסקים עצמאיים קטנים ובינוניים), התשע""ט-2019")</f>
        <v>30997</v>
      </c>
      <c r="E16165" t="s">
        <v>30997</v>
      </c>
      <c r="F16165" t="s">
        <v>30998</v>
      </c>
      <c r="G16165" t="s">
        <v>14</v>
      </c>
      <c r="H16165">
             </c>
      <c r="I16165" t="s">
        <v>14</v>
      </c>
      <c r="J16165" t="s">
        <v>141</v>
      </c>
      <c r="K16165" t="s">
        <v>14</v>
      </c>
      <c r="L16165" t="s">
        <v>20</v>
      </c>
      <c r="M16165" t="s">
        <v>30951</v>
      </c>
      <c r="N16165" t="s">
        <v>14</v>
      </c>
    </row>
    <row r="16166" x14ac:dyDescent="0.25">
      <c r="A16166" t="n">
        <v>21</v>
      </c>
      <c r="B16166" t="s">
        <v>14</v>
      </c>
      <c r="C16166" t="s">
        <v>22</v>
      </c>
      <c r="D16166" s="2" t="s">
        <f>=HYPERLINK("https://main.knesset.gov.il/APPS/legislation/main/bills/2079178", "הצעת חוק להגברת האכיפה של דיני העבודה (תיקון - עיצום כספי בשל אי תשלום שכר שווה לעובדת ולעובד), התשע""ט-2019 ")</f>
        <v>30999</v>
      </c>
      <c r="E16166" t="s">
        <v>30999</v>
      </c>
      <c r="F16166" t="s">
        <v>31000</v>
      </c>
      <c r="G16166" t="s">
        <v>14</v>
      </c>
      <c r="H16166">
             </c>
      <c r="I16166" t="s">
        <v>14</v>
      </c>
      <c r="J16166" t="s">
        <v>141</v>
      </c>
      <c r="K16166" t="s">
        <v>14</v>
      </c>
      <c r="L16166" t="s">
        <v>20</v>
      </c>
      <c r="M16166" t="s">
        <v>30951</v>
      </c>
      <c r="N16166" t="s">
        <v>14</v>
      </c>
    </row>
    <row r="16167" x14ac:dyDescent="0.25">
      <c r="A16167" t="n">
        <v>21</v>
      </c>
      <c r="B16167" t="s">
        <v>14</v>
      </c>
      <c r="C16167" t="s">
        <v>22</v>
      </c>
      <c r="D16167" s="2" t="s">
        <f>=HYPERLINK("https://main.knesset.gov.il/APPS/legislation/main/bills/2079175", "הצעת חוק התגמולים לנפגעי פעולות איבה (תיקון - פשעי שנאה), התשע""ט-2019")</f>
        <v>31001</v>
      </c>
      <c r="E16167" t="s">
        <v>31001</v>
      </c>
      <c r="F16167" t="s">
        <v>31002</v>
      </c>
      <c r="G16167" t="s">
        <v>14</v>
      </c>
      <c r="H16167">
             </c>
      <c r="I16167" t="s">
        <v>14</v>
      </c>
      <c r="J16167" t="s">
        <v>141</v>
      </c>
      <c r="K16167" t="s">
        <v>14</v>
      </c>
      <c r="L16167" t="s">
        <v>20</v>
      </c>
      <c r="M16167" t="s">
        <v>30951</v>
      </c>
      <c r="N16167" t="s">
        <v>14</v>
      </c>
    </row>
    <row r="16168" x14ac:dyDescent="0.25">
      <c r="A16168" t="n">
        <v>21</v>
      </c>
      <c r="B16168" t="s">
        <v>14</v>
      </c>
      <c r="C16168" t="s">
        <v>22</v>
      </c>
      <c r="D16168" s="2" t="s">
        <f>=HYPERLINK("https://main.knesset.gov.il/APPS/legislation/main/bills/2079165", "הצעת חוק לתיקון פקודת מס הכנסה (פעילות תאגידים זרים בישראל באמצעות האינטרנט), התשע""ט-2019")</f>
        <v>31003</v>
      </c>
      <c r="E16168" t="s">
        <v>31003</v>
      </c>
      <c r="F16168" t="s">
        <v>31004</v>
      </c>
      <c r="G16168" t="s">
        <v>14</v>
      </c>
      <c r="H16168">
             </c>
      <c r="I16168" t="s">
        <v>14</v>
      </c>
      <c r="J16168" t="s">
        <v>141</v>
      </c>
      <c r="K16168" t="s">
        <v>14</v>
      </c>
      <c r="L16168" t="s">
        <v>20</v>
      </c>
      <c r="M16168" t="s">
        <v>30951</v>
      </c>
      <c r="N16168" t="s">
        <v>14</v>
      </c>
    </row>
    <row r="16169" x14ac:dyDescent="0.25">
      <c r="A16169" t="n">
        <v>21</v>
      </c>
      <c r="B16169" t="s">
        <v>14</v>
      </c>
      <c r="C16169" t="s">
        <v>22</v>
      </c>
      <c r="D16169" s="2" t="s">
        <f>=HYPERLINK("https://main.knesset.gov.il/APPS/legislation/main/bills/2079163", "הצעת חוק יסודות התקציב (תיקון - הגבלה לסך השינויים התקציביים בשנת כספים), התשע""ט-2019")</f>
        <v>31005</v>
      </c>
      <c r="E16169" t="s">
        <v>31005</v>
      </c>
      <c r="F16169" t="s">
        <v>31006</v>
      </c>
      <c r="G16169" t="s">
        <v>14</v>
      </c>
      <c r="H16169">
             </c>
      <c r="I16169" t="s">
        <v>14</v>
      </c>
      <c r="J16169" t="s">
        <v>141</v>
      </c>
      <c r="K16169" t="s">
        <v>14</v>
      </c>
      <c r="L16169" t="s">
        <v>20</v>
      </c>
      <c r="M16169" t="s">
        <v>30951</v>
      </c>
      <c r="N16169" t="s">
        <v>14</v>
      </c>
    </row>
    <row r="16170" x14ac:dyDescent="0.25">
      <c r="A16170" t="n">
        <v>21</v>
      </c>
      <c r="B16170" t="s">
        <v>14</v>
      </c>
      <c r="C16170" t="s">
        <v>22</v>
      </c>
      <c r="D16170" s="2" t="s">
        <f>=HYPERLINK("https://main.knesset.gov.il/APPS/legislation/main/bills/2079160", "הצעת חוק האזרחים הוותיקים (תיקון - חניה חינם לאזרח ותיק שמלאו לו 70 שנים), התשע""ט-2019")</f>
        <v>31007</v>
      </c>
      <c r="E16170" t="s">
        <v>31007</v>
      </c>
      <c r="F16170" t="s">
        <v>31008</v>
      </c>
      <c r="G16170" t="s">
        <v>14</v>
      </c>
      <c r="H16170">
             </c>
      <c r="I16170" t="s">
        <v>14</v>
      </c>
      <c r="J16170" t="s">
        <v>141</v>
      </c>
      <c r="K16170" t="s">
        <v>14</v>
      </c>
      <c r="L16170" t="s">
        <v>20</v>
      </c>
      <c r="M16170" t="s">
        <v>30951</v>
      </c>
      <c r="N16170" t="s">
        <v>14</v>
      </c>
    </row>
    <row r="16171" x14ac:dyDescent="0.25">
      <c r="A16171" t="n">
        <v>21</v>
      </c>
      <c r="B16171" t="s">
        <v>14</v>
      </c>
      <c r="C16171" t="s">
        <v>22</v>
      </c>
      <c r="D16171" s="2" t="s">
        <f>=HYPERLINK("https://main.knesset.gov.il/APPS/legislation/main/bills/2079158", "הצעת חוק החולה הנוטה למות (תיקון - מוות במרשם רופא), התשע""ט-2019")</f>
        <v>30788</v>
      </c>
      <c r="E16171" t="s">
        <v>30788</v>
      </c>
      <c r="F16171" t="s">
        <v>31009</v>
      </c>
      <c r="G16171" t="s">
        <v>14</v>
      </c>
      <c r="H16171">
             </c>
      <c r="I16171" t="s">
        <v>14</v>
      </c>
      <c r="J16171" t="s">
        <v>141</v>
      </c>
      <c r="K16171" t="s">
        <v>14</v>
      </c>
      <c r="L16171" t="s">
        <v>20</v>
      </c>
      <c r="M16171" t="s">
        <v>30951</v>
      </c>
      <c r="N16171" t="s">
        <v>14</v>
      </c>
    </row>
    <row r="16172" x14ac:dyDescent="0.25">
      <c r="A16172" t="n">
        <v>21</v>
      </c>
      <c r="B16172" t="s">
        <v>14</v>
      </c>
      <c r="C16172" t="s">
        <v>22</v>
      </c>
      <c r="D16172" s="2" t="s">
        <f>=HYPERLINK("https://main.knesset.gov.il/APPS/legislation/main/bills/2079157", "הצעת חוק הרשויות המקומיות (ניהול סיכונים תאגידי), התשע""ט-2019 ")</f>
        <v>31010</v>
      </c>
      <c r="E16172" t="s">
        <v>31010</v>
      </c>
      <c r="F16172" t="s">
        <v>31011</v>
      </c>
      <c r="G16172" t="s">
        <v>14</v>
      </c>
      <c r="H16172">
             </c>
      <c r="I16172" t="s">
        <v>14</v>
      </c>
      <c r="J16172" t="s">
        <v>141</v>
      </c>
      <c r="K16172" t="s">
        <v>14</v>
      </c>
      <c r="L16172" t="s">
        <v>20</v>
      </c>
      <c r="M16172" t="s">
        <v>30951</v>
      </c>
      <c r="N16172" t="s">
        <v>14</v>
      </c>
    </row>
    <row r="16173" x14ac:dyDescent="0.25">
      <c r="A16173" t="n">
        <v>21</v>
      </c>
      <c r="B16173" t="s">
        <v>14</v>
      </c>
      <c r="C16173" t="s">
        <v>22</v>
      </c>
      <c r="D16173" s="2" t="s">
        <f>=HYPERLINK("https://main.knesset.gov.il/APPS/legislation/main/bills/2079152", "הצעת חוק פנייה לגופים ציבוריים באמצעי קשר דיגיטליים (תיקון - קביעת תור באמצעות האינטרנט), התשע""ט-2019")</f>
        <v>31012</v>
      </c>
      <c r="E16173" t="s">
        <v>31012</v>
      </c>
      <c r="F16173" t="s">
        <v>31013</v>
      </c>
      <c r="G16173" t="s">
        <v>14</v>
      </c>
      <c r="H16173">
             </c>
      <c r="I16173" t="s">
        <v>14</v>
      </c>
      <c r="J16173" t="s">
        <v>141</v>
      </c>
      <c r="K16173" t="s">
        <v>14</v>
      </c>
      <c r="L16173" t="s">
        <v>20</v>
      </c>
      <c r="M16173" t="s">
        <v>30951</v>
      </c>
      <c r="N16173" t="s">
        <v>14</v>
      </c>
    </row>
    <row r="16174" x14ac:dyDescent="0.25">
      <c r="A16174" t="n">
        <v>21</v>
      </c>
      <c r="B16174" t="s">
        <v>14</v>
      </c>
      <c r="C16174" t="s">
        <v>22</v>
      </c>
      <c r="D16174" s="2" t="s">
        <f>=HYPERLINK("https://main.knesset.gov.il/APPS/legislation/main/bills/2079150", "הצעת חוק שוויון זכויות לאנשים עם מוגבלות (תיקון - חובת נגישות באוטובוסים בין עירוניים), התשע""ט-2019")</f>
        <v>31014</v>
      </c>
      <c r="E16174" t="s">
        <v>31014</v>
      </c>
      <c r="F16174" t="s">
        <v>31015</v>
      </c>
      <c r="G16174" t="s">
        <v>14</v>
      </c>
      <c r="H16174">
             </c>
      <c r="I16174" t="s">
        <v>14</v>
      </c>
      <c r="J16174" t="s">
        <v>141</v>
      </c>
      <c r="K16174" t="s">
        <v>14</v>
      </c>
      <c r="L16174" t="s">
        <v>20</v>
      </c>
      <c r="M16174" t="s">
        <v>30951</v>
      </c>
      <c r="N16174" t="s">
        <v>14</v>
      </c>
    </row>
    <row r="16175" x14ac:dyDescent="0.25">
      <c r="A16175" t="n">
        <v>21</v>
      </c>
      <c r="B16175" t="s">
        <v>14</v>
      </c>
      <c r="C16175" t="s">
        <v>22</v>
      </c>
      <c r="D16175" s="2" t="s">
        <f>=HYPERLINK("https://main.knesset.gov.il/APPS/legislation/main/bills/2079147", "הצעת חוק עידוד השקעות הון (דיור בר השגה - תעודות מס), התשע""ט-2019 ")</f>
        <v>31016</v>
      </c>
      <c r="E16175" t="s">
        <v>31016</v>
      </c>
      <c r="F16175" t="s">
        <v>31017</v>
      </c>
      <c r="G16175" t="s">
        <v>14</v>
      </c>
      <c r="H16175">
             </c>
      <c r="I16175" t="s">
        <v>14</v>
      </c>
      <c r="J16175" t="s">
        <v>141</v>
      </c>
      <c r="K16175" t="s">
        <v>14</v>
      </c>
      <c r="L16175" t="s">
        <v>20</v>
      </c>
      <c r="M16175" t="s">
        <v>30951</v>
      </c>
      <c r="N16175" t="s">
        <v>14</v>
      </c>
    </row>
    <row r="16176" x14ac:dyDescent="0.25">
      <c r="A16176" t="n">
        <v>21</v>
      </c>
      <c r="B16176" t="s">
        <v>14</v>
      </c>
      <c r="C16176" t="s">
        <v>22</v>
      </c>
      <c r="D16176" s="2" t="s">
        <f>=HYPERLINK("https://main.knesset.gov.il/APPS/legislation/main/bills/2079171", "הצעת חוק לתיקון פקודת העיריות (כהונת חבר מועצה), התשע""ט-2019")</f>
        <v>31018</v>
      </c>
      <c r="E16176" t="s">
        <v>31018</v>
      </c>
      <c r="F16176" t="s">
        <v>31019</v>
      </c>
      <c r="G16176" t="s">
        <v>14</v>
      </c>
      <c r="H16176">
             </c>
      <c r="I16176" t="s">
        <v>14</v>
      </c>
      <c r="J16176" t="s">
        <v>141</v>
      </c>
      <c r="K16176" t="s">
        <v>14</v>
      </c>
      <c r="L16176" t="s">
        <v>20</v>
      </c>
      <c r="M16176" t="s">
        <v>30951</v>
      </c>
      <c r="N16176" t="s">
        <v>14</v>
      </c>
    </row>
    <row r="16177" x14ac:dyDescent="0.25">
      <c r="A16177" t="n">
        <v>21</v>
      </c>
      <c r="B16177" t="s">
        <v>14</v>
      </c>
      <c r="C16177" t="s">
        <v>22</v>
      </c>
      <c r="D16177" s="2" t="s">
        <f>=HYPERLINK("https://main.knesset.gov.il/APPS/legislation/main/bills/2079141", "הצעת חוק המועצה הארצית לביטחון תזונתי (תיקון - תקציב), התשע""ט-2019")</f>
        <v>31020</v>
      </c>
      <c r="E16177" t="s">
        <v>31020</v>
      </c>
      <c r="F16177" t="s">
        <v>31021</v>
      </c>
      <c r="G16177" t="s">
        <v>14</v>
      </c>
      <c r="H16177">
             </c>
      <c r="I16177" t="s">
        <v>14</v>
      </c>
      <c r="J16177" t="s">
        <v>141</v>
      </c>
      <c r="K16177" t="s">
        <v>14</v>
      </c>
      <c r="L16177" t="s">
        <v>20</v>
      </c>
      <c r="M16177" t="s">
        <v>30951</v>
      </c>
      <c r="N16177" t="s">
        <v>14</v>
      </c>
    </row>
    <row r="16178" x14ac:dyDescent="0.25">
      <c r="A16178" t="n">
        <v>21</v>
      </c>
      <c r="B16178" t="s">
        <v>14</v>
      </c>
      <c r="C16178" t="s">
        <v>22</v>
      </c>
      <c r="D16178" s="2" t="s">
        <f>=HYPERLINK("https://main.knesset.gov.il/APPS/legislation/main/bills/2079168", "הצעת חוק השיפוט הצבאי (תיקון - סייג לגרימת מוות בפעילות מבצעית), התשע""ט-2019")</f>
        <v>31022</v>
      </c>
      <c r="E16178" t="s">
        <v>31022</v>
      </c>
      <c r="F16178" t="s">
        <v>31023</v>
      </c>
      <c r="G16178" t="s">
        <v>14</v>
      </c>
      <c r="H16178">
             </c>
      <c r="I16178" t="s">
        <v>14</v>
      </c>
      <c r="J16178" t="s">
        <v>141</v>
      </c>
      <c r="K16178" t="s">
        <v>14</v>
      </c>
      <c r="L16178" t="s">
        <v>20</v>
      </c>
      <c r="M16178" t="s">
        <v>30951</v>
      </c>
      <c r="N16178" t="s">
        <v>14</v>
      </c>
    </row>
    <row r="16179" x14ac:dyDescent="0.25">
      <c r="A16179" t="n">
        <v>21</v>
      </c>
      <c r="B16179" t="s">
        <v>14</v>
      </c>
      <c r="C16179" t="s">
        <v>22</v>
      </c>
      <c r="D16179" s="2" t="s">
        <f>=HYPERLINK("https://main.knesset.gov.il/APPS/legislation/main/bills/2079140", "הצעת חוק זכויות החולה (תיקון - זכות מטופל לקבל רשומות רפואיות), התשע""ט-2019")</f>
        <v>31024</v>
      </c>
      <c r="E16179" t="s">
        <v>31024</v>
      </c>
      <c r="F16179" t="s">
        <v>31025</v>
      </c>
      <c r="G16179" t="s">
        <v>14</v>
      </c>
      <c r="H16179">
             </c>
      <c r="I16179" t="s">
        <v>14</v>
      </c>
      <c r="J16179" t="s">
        <v>141</v>
      </c>
      <c r="K16179" t="s">
        <v>14</v>
      </c>
      <c r="L16179" t="s">
        <v>20</v>
      </c>
      <c r="M16179" t="s">
        <v>30951</v>
      </c>
      <c r="N16179" t="s">
        <v>14</v>
      </c>
    </row>
    <row r="16180" x14ac:dyDescent="0.25">
      <c r="A16180" t="n">
        <v>21</v>
      </c>
      <c r="B16180" t="s">
        <v>14</v>
      </c>
      <c r="C16180" t="s">
        <v>22</v>
      </c>
      <c r="D16180" s="2" t="s">
        <f>=HYPERLINK("https://main.knesset.gov.il/APPS/legislation/main/bills/2079101", "הצעת חוק קרן פיצויים לנזקי הפשיעה החקלאית, התשע""ט-2019 ")</f>
        <v>31026</v>
      </c>
      <c r="E16180" t="s">
        <v>31026</v>
      </c>
      <c r="F16180" t="s">
        <v>31027</v>
      </c>
      <c r="G16180" t="s">
        <v>14</v>
      </c>
      <c r="H16180">
             </c>
      <c r="I16180" t="s">
        <v>14</v>
      </c>
      <c r="J16180" t="s">
        <v>141</v>
      </c>
      <c r="K16180" t="s">
        <v>14</v>
      </c>
      <c r="L16180" t="s">
        <v>20</v>
      </c>
      <c r="M16180" t="s">
        <v>30951</v>
      </c>
      <c r="N16180" t="s">
        <v>14</v>
      </c>
    </row>
    <row r="16181" x14ac:dyDescent="0.25">
      <c r="A16181" t="n">
        <v>21</v>
      </c>
      <c r="B16181" t="s">
        <v>14</v>
      </c>
      <c r="C16181" t="s">
        <v>22</v>
      </c>
      <c r="D16181" s="2" t="s">
        <f>=HYPERLINK("https://main.knesset.gov.il/APPS/legislation/main/bills/2079097", "הצעת חוק הביטוח הלאומי (תיקון - קצבת ילד נכה לילד החולה במחלה או בתסמונת נדירה), התשע""ט-2019")</f>
        <v>31028</v>
      </c>
      <c r="E16181" t="s">
        <v>31028</v>
      </c>
      <c r="F16181" t="s">
        <v>31029</v>
      </c>
      <c r="G16181" t="s">
        <v>14</v>
      </c>
      <c r="H16181">
             </c>
      <c r="I16181" t="s">
        <v>14</v>
      </c>
      <c r="J16181" t="s">
        <v>141</v>
      </c>
      <c r="K16181" t="s">
        <v>14</v>
      </c>
      <c r="L16181" t="s">
        <v>20</v>
      </c>
      <c r="M16181" t="s">
        <v>30951</v>
      </c>
      <c r="N16181" t="s">
        <v>14</v>
      </c>
    </row>
    <row r="16182" x14ac:dyDescent="0.25">
      <c r="A16182" t="n">
        <v>21</v>
      </c>
      <c r="B16182" t="s">
        <v>14</v>
      </c>
      <c r="C16182" t="s">
        <v>22</v>
      </c>
      <c r="D16182" s="2" t="s">
        <f>=HYPERLINK("https://main.knesset.gov.il/APPS/legislation/main/bills/2079132", "הצעת חוק הרשות לוועדות ערר רפואיות, התשע""ט-2019")</f>
        <v>31030</v>
      </c>
      <c r="E16182" t="s">
        <v>31030</v>
      </c>
      <c r="F16182" t="s">
        <v>31031</v>
      </c>
      <c r="G16182" t="s">
        <v>14</v>
      </c>
      <c r="H16182">
             </c>
      <c r="I16182" t="s">
        <v>14</v>
      </c>
      <c r="J16182" t="s">
        <v>141</v>
      </c>
      <c r="K16182" t="s">
        <v>14</v>
      </c>
      <c r="L16182" t="s">
        <v>20</v>
      </c>
      <c r="M16182" t="s">
        <v>30951</v>
      </c>
      <c r="N16182" t="s">
        <v>14</v>
      </c>
    </row>
    <row r="16183" x14ac:dyDescent="0.25">
      <c r="A16183" t="n">
        <v>21</v>
      </c>
      <c r="B16183" t="s">
        <v>14</v>
      </c>
      <c r="C16183" t="s">
        <v>22</v>
      </c>
      <c r="D16183" s="2" t="s">
        <f>=HYPERLINK("https://main.knesset.gov.il/APPS/legislation/main/bills/2079125", "הצעת חוק לתיקון פקודת בריאות הציבור (מזון) (הגבלת השימוש בחומצות שומן טראנס), התשע""ט-2019 ")</f>
        <v>31032</v>
      </c>
      <c r="E16183" t="s">
        <v>31032</v>
      </c>
      <c r="F16183" t="s">
        <v>31033</v>
      </c>
      <c r="G16183" t="s">
        <v>14</v>
      </c>
      <c r="H16183">
             </c>
      <c r="I16183" t="s">
        <v>14</v>
      </c>
      <c r="J16183" t="s">
        <v>141</v>
      </c>
      <c r="K16183" t="s">
        <v>14</v>
      </c>
      <c r="L16183" t="s">
        <v>20</v>
      </c>
      <c r="M16183" t="s">
        <v>30951</v>
      </c>
      <c r="N16183" t="s">
        <v>14</v>
      </c>
    </row>
    <row r="16184" x14ac:dyDescent="0.25">
      <c r="A16184" t="n">
        <v>21</v>
      </c>
      <c r="B16184" t="s">
        <v>14</v>
      </c>
      <c r="C16184" t="s">
        <v>22</v>
      </c>
      <c r="D16184" s="2" t="s">
        <f>=HYPERLINK("https://main.knesset.gov.il/APPS/legislation/main/bills/2079095", "הצעת חוק ביטוח בריאות ממלכתי (תיקון - קציבת מועדים לקבלת טיפול רפואי או פארא-רפואי), התשע""ט-2019")</f>
        <v>31034</v>
      </c>
      <c r="E16184" t="s">
        <v>31034</v>
      </c>
      <c r="F16184" t="s">
        <v>31035</v>
      </c>
      <c r="G16184" t="s">
        <v>14</v>
      </c>
      <c r="H16184">
             </c>
      <c r="I16184" t="s">
        <v>14</v>
      </c>
      <c r="J16184" t="s">
        <v>141</v>
      </c>
      <c r="K16184" t="s">
        <v>14</v>
      </c>
      <c r="L16184" t="s">
        <v>20</v>
      </c>
      <c r="M16184" t="s">
        <v>30951</v>
      </c>
      <c r="N16184" t="s">
        <v>14</v>
      </c>
    </row>
    <row r="16185" x14ac:dyDescent="0.25">
      <c r="A16185" t="n">
        <v>21</v>
      </c>
      <c r="B16185" t="s">
        <v>14</v>
      </c>
      <c r="C16185" t="s">
        <v>22</v>
      </c>
      <c r="D16185" s="2" t="s">
        <f>=HYPERLINK("https://main.knesset.gov.il/APPS/legislation/main/bills/2079090", "הצעת חוק הביטוח הלאומי (תיקון - קצבת נכות וקצבת שאירים), התשע""ט-2019")</f>
        <v>31036</v>
      </c>
      <c r="E16185" t="s">
        <v>31036</v>
      </c>
      <c r="F16185" t="s">
        <v>31037</v>
      </c>
      <c r="G16185" t="s">
        <v>14</v>
      </c>
      <c r="H16185">
             </c>
      <c r="I16185" t="s">
        <v>14</v>
      </c>
      <c r="J16185" t="s">
        <v>141</v>
      </c>
      <c r="K16185" t="s">
        <v>14</v>
      </c>
      <c r="L16185" t="s">
        <v>20</v>
      </c>
      <c r="M16185" t="s">
        <v>30951</v>
      </c>
      <c r="N16185" t="s">
        <v>14</v>
      </c>
    </row>
    <row r="16186" x14ac:dyDescent="0.25">
      <c r="A16186" t="n">
        <v>21</v>
      </c>
      <c r="B16186" t="s">
        <v>14</v>
      </c>
      <c r="C16186" t="s">
        <v>22</v>
      </c>
      <c r="D16186" s="2" t="s">
        <f>=HYPERLINK("https://main.knesset.gov.il/APPS/legislation/main/bills/2079113", "הצעת חוק לתיקון פקודת מס הכנסה (עידוד צמיחה לעסקים עצמאיים קטנים ובינוניים), התשע""ט-2019")</f>
        <v>30997</v>
      </c>
      <c r="E16186" t="s">
        <v>30997</v>
      </c>
      <c r="F16186" t="s">
        <v>31038</v>
      </c>
      <c r="G16186" t="s">
        <v>14</v>
      </c>
      <c r="H16186">
             </c>
      <c r="I16186" t="s">
        <v>14</v>
      </c>
      <c r="J16186" t="s">
        <v>141</v>
      </c>
      <c r="K16186" t="s">
        <v>14</v>
      </c>
      <c r="L16186" t="s">
        <v>20</v>
      </c>
      <c r="M16186" t="s">
        <v>30951</v>
      </c>
      <c r="N16186" t="s">
        <v>14</v>
      </c>
    </row>
    <row r="16187" x14ac:dyDescent="0.25">
      <c r="A16187" t="n">
        <v>21</v>
      </c>
      <c r="B16187" t="s">
        <v>14</v>
      </c>
      <c r="C16187" t="s">
        <v>22</v>
      </c>
      <c r="D16187" s="2" t="s">
        <f>=HYPERLINK("https://main.knesset.gov.il/APPS/legislation/main/bills/2079089", "הצעת חוק הביטוח הלאומי (תיקון - השוואת קצבת נכות לשכר המינימום), התשע""ט-2019")</f>
        <v>31039</v>
      </c>
      <c r="E16187" t="s">
        <v>31039</v>
      </c>
      <c r="F16187" t="s">
        <v>31040</v>
      </c>
      <c r="G16187" t="s">
        <v>14</v>
      </c>
      <c r="H16187">
             </c>
      <c r="I16187" t="s">
        <v>14</v>
      </c>
      <c r="J16187" t="s">
        <v>141</v>
      </c>
      <c r="K16187" t="s">
        <v>14</v>
      </c>
      <c r="L16187" t="s">
        <v>20</v>
      </c>
      <c r="M16187" t="s">
        <v>30951</v>
      </c>
      <c r="N16187" t="s">
        <v>14</v>
      </c>
    </row>
    <row r="16188" x14ac:dyDescent="0.25">
      <c r="A16188" t="n">
        <v>21</v>
      </c>
      <c r="B16188" t="s">
        <v>14</v>
      </c>
      <c r="C16188" t="s">
        <v>22</v>
      </c>
      <c r="D16188" s="2" t="s">
        <f>=HYPERLINK("https://main.knesset.gov.il/APPS/legislation/main/bills/2079108", "הצעת חוק לעידוד השקעות הון (תיקון - תנאים לזכאות להטבות במס לחברה מועדפת), התשע""ט-2019")</f>
        <v>31041</v>
      </c>
      <c r="E16188" t="s">
        <v>31041</v>
      </c>
      <c r="F16188" t="s">
        <v>31042</v>
      </c>
      <c r="G16188" t="s">
        <v>14</v>
      </c>
      <c r="H16188">
             </c>
      <c r="I16188" t="s">
        <v>14</v>
      </c>
      <c r="J16188" t="s">
        <v>141</v>
      </c>
      <c r="K16188" t="s">
        <v>14</v>
      </c>
      <c r="L16188" t="s">
        <v>20</v>
      </c>
      <c r="M16188" t="s">
        <v>30951</v>
      </c>
      <c r="N16188" t="s">
        <v>14</v>
      </c>
    </row>
    <row r="16189" x14ac:dyDescent="0.25">
      <c r="A16189" t="n">
        <v>21</v>
      </c>
      <c r="B16189" t="s">
        <v>14</v>
      </c>
      <c r="C16189" t="s">
        <v>22</v>
      </c>
      <c r="D16189" s="2" t="s">
        <f>=HYPERLINK("https://main.knesset.gov.il/APPS/legislation/main/bills/2079085", "הצעת חוק הביטוח הלאומי (תיקון - קצבת אזרח ותיק ראויה), התשע""ט-2019")</f>
        <v>30288</v>
      </c>
      <c r="E16189" t="s">
        <v>30288</v>
      </c>
      <c r="F16189" t="s">
        <v>31043</v>
      </c>
      <c r="G16189" t="s">
        <v>14</v>
      </c>
      <c r="H16189">
             </c>
      <c r="I16189" t="s">
        <v>14</v>
      </c>
      <c r="J16189" t="s">
        <v>141</v>
      </c>
      <c r="K16189" t="s">
        <v>14</v>
      </c>
      <c r="L16189" t="s">
        <v>20</v>
      </c>
      <c r="M16189" t="s">
        <v>30951</v>
      </c>
      <c r="N16189" t="s">
        <v>14</v>
      </c>
    </row>
    <row r="16190" x14ac:dyDescent="0.25">
      <c r="A16190" t="n">
        <v>21</v>
      </c>
      <c r="B16190" t="s">
        <v>14</v>
      </c>
      <c r="C16190" t="s">
        <v>22</v>
      </c>
      <c r="D16190" s="2" t="s">
        <f>=HYPERLINK("https://main.knesset.gov.il/APPS/legislation/main/bills/2079084", "הצעת חוק מס עיזבון, התשע""ט-2019")</f>
        <v>31044</v>
      </c>
      <c r="E16190" t="s">
        <v>31044</v>
      </c>
      <c r="F16190" t="s">
        <v>31045</v>
      </c>
      <c r="G16190" t="s">
        <v>14</v>
      </c>
      <c r="H16190">
             </c>
      <c r="I16190" t="s">
        <v>14</v>
      </c>
      <c r="J16190" t="s">
        <v>141</v>
      </c>
      <c r="K16190" t="s">
        <v>14</v>
      </c>
      <c r="L16190" t="s">
        <v>20</v>
      </c>
      <c r="M16190" t="s">
        <v>30951</v>
      </c>
      <c r="N16190" t="s">
        <v>14</v>
      </c>
    </row>
    <row r="16191" x14ac:dyDescent="0.25">
      <c r="A16191" t="n">
        <v>21</v>
      </c>
      <c r="B16191" t="s">
        <v>14</v>
      </c>
      <c r="C16191" t="s">
        <v>22</v>
      </c>
      <c r="D16191" s="2" t="s">
        <f>=HYPERLINK("https://main.knesset.gov.il/APPS/legislation/main/bills/2079083", "הצעת חוק הרשויות המקומיות (התאמת תקציב החינוך), התשע""ט-2019")</f>
        <v>31046</v>
      </c>
      <c r="E16191" t="s">
        <v>31046</v>
      </c>
      <c r="F16191" t="s">
        <v>31047</v>
      </c>
      <c r="G16191" t="s">
        <v>14</v>
      </c>
      <c r="H16191">
             </c>
      <c r="I16191" t="s">
        <v>14</v>
      </c>
      <c r="J16191" t="s">
        <v>141</v>
      </c>
      <c r="K16191" t="s">
        <v>14</v>
      </c>
      <c r="L16191" t="s">
        <v>20</v>
      </c>
      <c r="M16191" t="s">
        <v>30951</v>
      </c>
      <c r="N16191" t="s">
        <v>14</v>
      </c>
    </row>
    <row r="16192" x14ac:dyDescent="0.25">
      <c r="A16192" t="n">
        <v>21</v>
      </c>
      <c r="B16192" t="s">
        <v>14</v>
      </c>
      <c r="C16192" t="s">
        <v>22</v>
      </c>
      <c r="D16192" s="2" t="s">
        <f>=HYPERLINK("https://main.knesset.gov.il/APPS/legislation/main/bills/2079079", "הצעת חוק ביטוח בריאות ממלכתי (תיקון - צמצום הפערים בין הפריפריה למרכז), התשע""ט-2019")</f>
        <v>30858</v>
      </c>
      <c r="E16192" t="s">
        <v>30858</v>
      </c>
      <c r="F16192" t="s">
        <v>31048</v>
      </c>
      <c r="G16192" t="s">
        <v>14</v>
      </c>
      <c r="H16192">
             </c>
      <c r="I16192" t="s">
        <v>14</v>
      </c>
      <c r="J16192" t="s">
        <v>141</v>
      </c>
      <c r="K16192" t="s">
        <v>14</v>
      </c>
      <c r="L16192" t="s">
        <v>20</v>
      </c>
      <c r="M16192" t="s">
        <v>30951</v>
      </c>
      <c r="N16192" t="s">
        <v>14</v>
      </c>
    </row>
    <row r="16193" x14ac:dyDescent="0.25">
      <c r="A16193" t="n">
        <v>21</v>
      </c>
      <c r="B16193" t="s">
        <v>14</v>
      </c>
      <c r="C16193" t="s">
        <v>22</v>
      </c>
      <c r="D16193" s="2" t="s">
        <f>=HYPERLINK("https://main.knesset.gov.il/APPS/legislation/main/bills/2079075", "הצעת חוק הגנה על עובדים בשעת חירום (תיקון - צוותי חירום וחוסן יישוביים), התשע""ט-2019")</f>
        <v>31049</v>
      </c>
      <c r="E16193" t="s">
        <v>31049</v>
      </c>
      <c r="F16193" t="s">
        <v>31050</v>
      </c>
      <c r="G16193" t="s">
        <v>14</v>
      </c>
      <c r="H16193">
             </c>
      <c r="I16193" t="s">
        <v>14</v>
      </c>
      <c r="J16193" t="s">
        <v>141</v>
      </c>
      <c r="K16193" t="s">
        <v>14</v>
      </c>
      <c r="L16193" t="s">
        <v>20</v>
      </c>
      <c r="M16193" t="s">
        <v>30951</v>
      </c>
      <c r="N16193" t="s">
        <v>14</v>
      </c>
    </row>
    <row r="16194" x14ac:dyDescent="0.25">
      <c r="A16194" t="n">
        <v>21</v>
      </c>
      <c r="B16194" t="s">
        <v>14</v>
      </c>
      <c r="C16194" t="s">
        <v>22</v>
      </c>
      <c r="D16194" s="2" t="s">
        <f>=HYPERLINK("https://main.knesset.gov.il/APPS/legislation/main/bills/2079073", "הצעת חוק הרשויות המקומיות (התאמת תקציב הרווחה), התשע""ט-2019")</f>
        <v>31051</v>
      </c>
      <c r="E16194" t="s">
        <v>31051</v>
      </c>
      <c r="F16194" t="s">
        <v>31052</v>
      </c>
      <c r="G16194" t="s">
        <v>14</v>
      </c>
      <c r="H16194">
             </c>
      <c r="I16194" t="s">
        <v>14</v>
      </c>
      <c r="J16194" t="s">
        <v>141</v>
      </c>
      <c r="K16194" t="s">
        <v>14</v>
      </c>
      <c r="L16194" t="s">
        <v>20</v>
      </c>
      <c r="M16194" t="s">
        <v>30951</v>
      </c>
      <c r="N16194" t="s">
        <v>14</v>
      </c>
    </row>
    <row r="16195" x14ac:dyDescent="0.25">
      <c r="A16195" t="n">
        <v>21</v>
      </c>
      <c r="B16195" t="s">
        <v>14</v>
      </c>
      <c r="C16195" t="s">
        <v>22</v>
      </c>
      <c r="D16195" s="2" t="s">
        <f>=HYPERLINK("https://main.knesset.gov.il/APPS/legislation/main/bills/2079068", "הצעת חוק הגנת הצרכן (תיקון - פרסום פרטי עוסק באינטרנט), התשע""ט-2019")</f>
        <v>31053</v>
      </c>
      <c r="E16195" t="s">
        <v>31053</v>
      </c>
      <c r="F16195" t="s">
        <v>31054</v>
      </c>
      <c r="G16195" t="s">
        <v>14</v>
      </c>
      <c r="H16195">
             </c>
      <c r="I16195" t="s">
        <v>14</v>
      </c>
      <c r="J16195" t="s">
        <v>141</v>
      </c>
      <c r="K16195" t="s">
        <v>14</v>
      </c>
      <c r="L16195" t="s">
        <v>20</v>
      </c>
      <c r="M16195" t="s">
        <v>30951</v>
      </c>
      <c r="N16195" t="s">
        <v>14</v>
      </c>
    </row>
    <row r="16196" x14ac:dyDescent="0.25">
      <c r="A16196" t="n">
        <v>21</v>
      </c>
      <c r="B16196" t="s">
        <v>14</v>
      </c>
      <c r="C16196" t="s">
        <v>22</v>
      </c>
      <c r="D16196" s="2" t="s">
        <f>=HYPERLINK("https://main.knesset.gov.il/APPS/legislation/main/bills/2079066", "הצעת חוק בתי משפט לעניינים מינהליים (תיקון - החזרת סמכות השיפוט לבית המשפט הגבוה לצדק בהחלטות מינהליות), התשע""ט-2019")</f>
        <v>31055</v>
      </c>
      <c r="E16196" t="s">
        <v>31055</v>
      </c>
      <c r="F16196" t="s">
        <v>31056</v>
      </c>
      <c r="G16196" t="s">
        <v>14</v>
      </c>
      <c r="H16196">
             </c>
      <c r="I16196" t="s">
        <v>14</v>
      </c>
      <c r="J16196" t="s">
        <v>141</v>
      </c>
      <c r="K16196" t="s">
        <v>14</v>
      </c>
      <c r="L16196" t="s">
        <v>20</v>
      </c>
      <c r="M16196" t="s">
        <v>30951</v>
      </c>
      <c r="N16196" t="s">
        <v>14</v>
      </c>
    </row>
    <row r="16197" x14ac:dyDescent="0.25">
      <c r="A16197" t="n">
        <v>21</v>
      </c>
      <c r="B16197" t="s">
        <v>14</v>
      </c>
      <c r="C16197" t="s">
        <v>22</v>
      </c>
      <c r="D16197" s="2" t="s">
        <f>=HYPERLINK("https://main.knesset.gov.il/APPS/legislation/main/bills/2079063", "הצעת חוק זכויות למשפחות של אנשים עם מוגבלות, התשע""ט-2019")</f>
        <v>31057</v>
      </c>
      <c r="E16197" t="s">
        <v>31057</v>
      </c>
      <c r="F16197" t="s">
        <v>31058</v>
      </c>
      <c r="G16197" t="s">
        <v>14</v>
      </c>
      <c r="H16197">
             </c>
      <c r="I16197" t="s">
        <v>14</v>
      </c>
      <c r="J16197" t="s">
        <v>141</v>
      </c>
      <c r="K16197" t="s">
        <v>14</v>
      </c>
      <c r="L16197" t="s">
        <v>20</v>
      </c>
      <c r="M16197" t="s">
        <v>30951</v>
      </c>
      <c r="N16197" t="s">
        <v>14</v>
      </c>
    </row>
    <row r="16198" x14ac:dyDescent="0.25">
      <c r="A16198" t="n">
        <v>21</v>
      </c>
      <c r="B16198" t="s">
        <v>14</v>
      </c>
      <c r="C16198" t="s">
        <v>22</v>
      </c>
      <c r="D16198" s="2" t="s">
        <f>=HYPERLINK("https://main.knesset.gov.il/APPS/legislation/main/bills/2079060", "הצעת חוק שירותי הדת היהודיים (תיקון - פרסום מחירון לרכישת קבר), התשע""ט-2019")</f>
        <v>31059</v>
      </c>
      <c r="E16198" t="s">
        <v>31059</v>
      </c>
      <c r="F16198" t="s">
        <v>31060</v>
      </c>
      <c r="G16198" t="s">
        <v>14</v>
      </c>
      <c r="H16198">
             </c>
      <c r="I16198" t="s">
        <v>14</v>
      </c>
      <c r="J16198" t="s">
        <v>141</v>
      </c>
      <c r="K16198" t="s">
        <v>14</v>
      </c>
      <c r="L16198" t="s">
        <v>20</v>
      </c>
      <c r="M16198" t="s">
        <v>30951</v>
      </c>
      <c r="N16198" t="s">
        <v>14</v>
      </c>
    </row>
    <row r="16199" x14ac:dyDescent="0.25">
      <c r="A16199" t="n">
        <v>21</v>
      </c>
      <c r="B16199" t="s">
        <v>14</v>
      </c>
      <c r="C16199" t="s">
        <v>22</v>
      </c>
      <c r="D16199" s="2" t="s">
        <f>=HYPERLINK("https://main.knesset.gov.il/APPS/legislation/main/bills/2079059", "הצעת חוק גיל פרישה (תיקון - ביטול גיל פרישת חובה), התשע""ט-2019")</f>
        <v>30842</v>
      </c>
      <c r="E16199" t="s">
        <v>30842</v>
      </c>
      <c r="F16199" t="s">
        <v>31061</v>
      </c>
      <c r="G16199" t="s">
        <v>14</v>
      </c>
      <c r="H16199">
             </c>
      <c r="I16199" t="s">
        <v>14</v>
      </c>
      <c r="J16199" t="s">
        <v>141</v>
      </c>
      <c r="K16199" t="s">
        <v>14</v>
      </c>
      <c r="L16199" t="s">
        <v>20</v>
      </c>
      <c r="M16199" t="s">
        <v>30951</v>
      </c>
      <c r="N16199" t="s">
        <v>14</v>
      </c>
    </row>
    <row r="16200" x14ac:dyDescent="0.25">
      <c r="A16200" t="n">
        <v>21</v>
      </c>
      <c r="B16200" t="s">
        <v>14</v>
      </c>
      <c r="C16200" t="s">
        <v>22</v>
      </c>
      <c r="D16200" s="2" t="s">
        <f>=HYPERLINK("https://main.knesset.gov.il/APPS/legislation/main/bills/2079055", "הצעת חוק שוויון זכויות לאנשים עם מוגבלות (תיקון - בירור תלונות ופיקוח על שמירת זכויות של אנשים עם מוגבלות במסגרות מגורים), התשע""ט-2019")</f>
        <v>31062</v>
      </c>
      <c r="E16200" t="s">
        <v>31062</v>
      </c>
      <c r="F16200" t="s">
        <v>31063</v>
      </c>
      <c r="G16200" t="s">
        <v>14</v>
      </c>
      <c r="H16200">
             </c>
      <c r="I16200" t="s">
        <v>14</v>
      </c>
      <c r="J16200" t="s">
        <v>141</v>
      </c>
      <c r="K16200" t="s">
        <v>14</v>
      </c>
      <c r="L16200" t="s">
        <v>20</v>
      </c>
      <c r="M16200" t="s">
        <v>30951</v>
      </c>
      <c r="N16200" t="s">
        <v>14</v>
      </c>
    </row>
    <row r="16201" x14ac:dyDescent="0.25">
      <c r="A16201" t="n">
        <v>21</v>
      </c>
      <c r="B16201" t="s">
        <v>14</v>
      </c>
      <c r="C16201" t="s">
        <v>22</v>
      </c>
      <c r="D16201" s="2" t="s">
        <f>=HYPERLINK("https://main.knesset.gov.il/APPS/legislation/main/bills/2079105", "הצעת חוק-יסוד: משק המדינה (תיקון - סעיף נוקשות) ")</f>
        <v>31064</v>
      </c>
      <c r="E16201" t="s">
        <v>31064</v>
      </c>
      <c r="F16201" t="s">
        <v>31065</v>
      </c>
      <c r="G16201" t="s">
        <v>14</v>
      </c>
      <c r="H16201">
             </c>
      <c r="I16201" t="s">
        <v>14</v>
      </c>
      <c r="J16201" t="s">
        <v>141</v>
      </c>
      <c r="K16201" t="s">
        <v>14</v>
      </c>
      <c r="L16201" t="s">
        <v>20</v>
      </c>
      <c r="M16201" t="s">
        <v>30951</v>
      </c>
      <c r="N16201" t="s">
        <v>14</v>
      </c>
    </row>
    <row r="16202" x14ac:dyDescent="0.25">
      <c r="A16202" t="n">
        <v>21</v>
      </c>
      <c r="B16202" t="s">
        <v>14</v>
      </c>
      <c r="C16202" t="s">
        <v>22</v>
      </c>
      <c r="D16202" s="2" t="s">
        <f>=HYPERLINK("https://main.knesset.gov.il/APPS/legislation/main/bills/2079054", "הצעת חוק הבנקאות (שירות ללקוח) (תיקון - פרסום מדד עמלות למשקי בית), התשע""ט-2019")</f>
        <v>31066</v>
      </c>
      <c r="E16202" t="s">
        <v>31066</v>
      </c>
      <c r="F16202" t="s">
        <v>31067</v>
      </c>
      <c r="G16202" t="s">
        <v>14</v>
      </c>
      <c r="H16202">
             </c>
      <c r="I16202" t="s">
        <v>14</v>
      </c>
      <c r="J16202" t="s">
        <v>141</v>
      </c>
      <c r="K16202" t="s">
        <v>14</v>
      </c>
      <c r="L16202" t="s">
        <v>20</v>
      </c>
      <c r="M16202" t="s">
        <v>30951</v>
      </c>
      <c r="N16202" t="s">
        <v>14</v>
      </c>
    </row>
    <row r="16203" x14ac:dyDescent="0.25">
      <c r="A16203" t="n">
        <v>21</v>
      </c>
      <c r="B16203" t="s">
        <v>14</v>
      </c>
      <c r="C16203" t="s">
        <v>22</v>
      </c>
      <c r="D16203" s="2" t="s">
        <f>=HYPERLINK("https://main.knesset.gov.il/APPS/legislation/main/bills/2079045", "הצעת חוק לתיקון פקודת התעבורה (פסילת רישיון לנהיגה ברכב מקצועי), התשע""ט-2019")</f>
        <v>31068</v>
      </c>
      <c r="E16203" t="s">
        <v>31068</v>
      </c>
      <c r="F16203" t="s">
        <v>31069</v>
      </c>
      <c r="G16203" t="s">
        <v>14</v>
      </c>
      <c r="H16203">
             </c>
      <c r="I16203" t="s">
        <v>14</v>
      </c>
      <c r="J16203" t="s">
        <v>141</v>
      </c>
      <c r="K16203" t="s">
        <v>14</v>
      </c>
      <c r="L16203" t="s">
        <v>20</v>
      </c>
      <c r="M16203" t="s">
        <v>30951</v>
      </c>
      <c r="N16203" t="s">
        <v>14</v>
      </c>
    </row>
    <row r="16204" x14ac:dyDescent="0.25">
      <c r="A16204" t="n">
        <v>21</v>
      </c>
      <c r="B16204" t="s">
        <v>14</v>
      </c>
      <c r="C16204" t="s">
        <v>22</v>
      </c>
      <c r="D16204" s="2" t="s">
        <f>=HYPERLINK("https://main.knesset.gov.il/APPS/legislation/main/bills/2079043", "הצעת חוק הביקורת הפנימית (תיקון - ישום המלצות הוועדה הציבורית לבחינת חוק הביקורת הפנימית), התשע""ט-2019")</f>
        <v>31070</v>
      </c>
      <c r="E16204" t="s">
        <v>31070</v>
      </c>
      <c r="F16204" t="s">
        <v>31071</v>
      </c>
      <c r="G16204" t="s">
        <v>14</v>
      </c>
      <c r="H16204">
             </c>
      <c r="I16204" t="s">
        <v>14</v>
      </c>
      <c r="J16204" t="s">
        <v>141</v>
      </c>
      <c r="K16204" t="s">
        <v>14</v>
      </c>
      <c r="L16204" t="s">
        <v>20</v>
      </c>
      <c r="M16204" t="s">
        <v>30951</v>
      </c>
      <c r="N16204" t="s">
        <v>14</v>
      </c>
    </row>
    <row r="16205" x14ac:dyDescent="0.25">
      <c r="A16205" t="n">
        <v>21</v>
      </c>
      <c r="B16205" t="s">
        <v>14</v>
      </c>
      <c r="C16205" t="s">
        <v>22</v>
      </c>
      <c r="D16205" s="2" t="s">
        <f>=HYPERLINK("https://main.knesset.gov.il/APPS/legislation/main/bills/2079028", "הצעת חוק הביטוח הלאומי (תיקון - אי-הפליה בשל שירות צבאי או שירות לאומי), התשע""ט-2019")</f>
        <v>31072</v>
      </c>
      <c r="E16205" t="s">
        <v>31072</v>
      </c>
      <c r="F16205" t="s">
        <v>31073</v>
      </c>
      <c r="G16205" t="s">
        <v>14</v>
      </c>
      <c r="H16205">
             </c>
      <c r="I16205" t="s">
        <v>14</v>
      </c>
      <c r="J16205" t="s">
        <v>141</v>
      </c>
      <c r="K16205" t="s">
        <v>14</v>
      </c>
      <c r="L16205" t="s">
        <v>20</v>
      </c>
      <c r="M16205" t="s">
        <v>30951</v>
      </c>
      <c r="N16205" t="s">
        <v>14</v>
      </c>
    </row>
    <row r="16206" x14ac:dyDescent="0.25">
      <c r="A16206" t="n">
        <v>21</v>
      </c>
      <c r="B16206" t="s">
        <v>14</v>
      </c>
      <c r="C16206" t="s">
        <v>22</v>
      </c>
      <c r="D16206" s="2" t="s">
        <f>=HYPERLINK("https://main.knesset.gov.il/APPS/legislation/main/bills/2079026", "הצעת חוק הבנקאות (שירות ללקוח) (תיקון - פיקוח על סוגי עמלות ושיעוריהן), התשע""ט-2019")</f>
        <v>31074</v>
      </c>
      <c r="E16206" t="s">
        <v>31074</v>
      </c>
      <c r="F16206" t="s">
        <v>31075</v>
      </c>
      <c r="G16206" t="s">
        <v>14</v>
      </c>
      <c r="H16206">
             </c>
      <c r="I16206" t="s">
        <v>14</v>
      </c>
      <c r="J16206" t="s">
        <v>141</v>
      </c>
      <c r="K16206" t="s">
        <v>14</v>
      </c>
      <c r="L16206" t="s">
        <v>20</v>
      </c>
      <c r="M16206" t="s">
        <v>30951</v>
      </c>
      <c r="N16206" t="s">
        <v>14</v>
      </c>
    </row>
    <row r="16207" x14ac:dyDescent="0.25">
      <c r="A16207" t="n">
        <v>21</v>
      </c>
      <c r="B16207" t="s">
        <v>14</v>
      </c>
      <c r="C16207" t="s">
        <v>22</v>
      </c>
      <c r="D16207" s="2" t="s">
        <f>=HYPERLINK("https://main.knesset.gov.il/APPS/legislation/main/bills/2079022", "הצעת חוק שוויון זכויות לאנשים עם מוגבלות (תיקון - דיור בקהילה וסיוע אישי), התשע""ט-2019")</f>
        <v>31076</v>
      </c>
      <c r="E16207" t="s">
        <v>31076</v>
      </c>
      <c r="F16207" t="s">
        <v>31077</v>
      </c>
      <c r="G16207" t="s">
        <v>14</v>
      </c>
      <c r="H16207">
             </c>
      <c r="I16207" t="s">
        <v>14</v>
      </c>
      <c r="J16207" t="s">
        <v>141</v>
      </c>
      <c r="K16207" t="s">
        <v>14</v>
      </c>
      <c r="L16207" t="s">
        <v>20</v>
      </c>
      <c r="M16207" t="s">
        <v>30951</v>
      </c>
      <c r="N16207" t="s">
        <v>14</v>
      </c>
    </row>
    <row r="16208" x14ac:dyDescent="0.25">
      <c r="A16208" t="n">
        <v>21</v>
      </c>
      <c r="B16208" t="s">
        <v>14</v>
      </c>
      <c r="C16208" t="s">
        <v>22</v>
      </c>
      <c r="D16208" s="2" t="s">
        <f>=HYPERLINK("https://main.knesset.gov.il/APPS/legislation/main/bills/2079017", "הצעת חוק זכויות התלמיד (תיקון - פיצוי בשל הפליית תלמידים), התשע""ט-2019")</f>
        <v>31078</v>
      </c>
      <c r="E16208" t="s">
        <v>31078</v>
      </c>
      <c r="F16208" t="s">
        <v>31079</v>
      </c>
      <c r="G16208" t="s">
        <v>14</v>
      </c>
      <c r="H16208">
             </c>
      <c r="I16208" t="s">
        <v>14</v>
      </c>
      <c r="J16208" t="s">
        <v>141</v>
      </c>
      <c r="K16208" t="s">
        <v>14</v>
      </c>
      <c r="L16208" t="s">
        <v>20</v>
      </c>
      <c r="M16208" t="s">
        <v>30951</v>
      </c>
      <c r="N16208" t="s">
        <v>14</v>
      </c>
    </row>
    <row r="16209" x14ac:dyDescent="0.25">
      <c r="A16209" t="n">
        <v>21</v>
      </c>
      <c r="B16209" t="s">
        <v>14</v>
      </c>
      <c r="C16209" t="s">
        <v>22</v>
      </c>
      <c r="D16209" s="2" t="s">
        <f>=HYPERLINK("https://main.knesset.gov.il/APPS/legislation/main/bills/2079014", "הצעת חוק לתיקון פקודת התעבורה (חובת נשיאת לוחית זיהוי באופניים ממונעים ובקורקינט ממונע), התשע""ט-2019")</f>
        <v>31080</v>
      </c>
      <c r="E16209" t="s">
        <v>31080</v>
      </c>
      <c r="F16209" t="s">
        <v>31081</v>
      </c>
      <c r="G16209" t="s">
        <v>14</v>
      </c>
      <c r="H16209">
             </c>
      <c r="I16209" t="s">
        <v>14</v>
      </c>
      <c r="J16209" t="s">
        <v>141</v>
      </c>
      <c r="K16209" t="s">
        <v>14</v>
      </c>
      <c r="L16209" t="s">
        <v>20</v>
      </c>
      <c r="M16209" t="s">
        <v>30951</v>
      </c>
      <c r="N16209" t="s">
        <v>14</v>
      </c>
    </row>
    <row r="16210" x14ac:dyDescent="0.25">
      <c r="A16210" t="n">
        <v>21</v>
      </c>
      <c r="B16210" t="s">
        <v>14</v>
      </c>
      <c r="C16210" t="s">
        <v>22</v>
      </c>
      <c r="D16210" s="2" t="s">
        <f>=HYPERLINK("https://main.knesset.gov.il/APPS/legislation/main/bills/2079009", "הצעת חוק עבודת נשים (תיקון - הגבלת פיטורים של אישה השוהה במקלט לנשים מוכות), התשע""ט-2019")</f>
        <v>31082</v>
      </c>
      <c r="E16210" t="s">
        <v>31082</v>
      </c>
      <c r="F16210" t="s">
        <v>31083</v>
      </c>
      <c r="G16210" t="s">
        <v>14</v>
      </c>
      <c r="H16210">
             </c>
      <c r="I16210" t="s">
        <v>14</v>
      </c>
      <c r="J16210" t="s">
        <v>141</v>
      </c>
      <c r="K16210" t="s">
        <v>14</v>
      </c>
      <c r="L16210" t="s">
        <v>20</v>
      </c>
      <c r="M16210" t="s">
        <v>30951</v>
      </c>
      <c r="N16210" t="s">
        <v>14</v>
      </c>
    </row>
    <row r="16211" x14ac:dyDescent="0.25">
      <c r="A16211" t="n">
        <v>21</v>
      </c>
      <c r="B16211" t="s">
        <v>14</v>
      </c>
      <c r="C16211" t="s">
        <v>22</v>
      </c>
      <c r="D16211" s="2" t="s">
        <f>=HYPERLINK("https://main.knesset.gov.il/APPS/legislation/main/bills/2079008", "הצעת חוק סיוע לצעירים חסרי עורף משפחתי, התשע""ט-2019")</f>
        <v>31084</v>
      </c>
      <c r="E16211" t="s">
        <v>31084</v>
      </c>
      <c r="F16211" t="s">
        <v>31085</v>
      </c>
      <c r="G16211" t="s">
        <v>14</v>
      </c>
      <c r="H16211">
             </c>
      <c r="I16211" t="s">
        <v>14</v>
      </c>
      <c r="J16211" t="s">
        <v>141</v>
      </c>
      <c r="K16211" t="s">
        <v>14</v>
      </c>
      <c r="L16211" t="s">
        <v>20</v>
      </c>
      <c r="M16211" t="s">
        <v>30951</v>
      </c>
      <c r="N16211" t="s">
        <v>14</v>
      </c>
    </row>
    <row r="16212" x14ac:dyDescent="0.25">
      <c r="A16212" t="n">
        <v>21</v>
      </c>
      <c r="B16212" t="s">
        <v>14</v>
      </c>
      <c r="C16212" t="s">
        <v>22</v>
      </c>
      <c r="D16212" s="2" t="s">
        <f>=HYPERLINK("https://main.knesset.gov.il/APPS/legislation/main/bills/2079007", "הצעת חוק לתיקון פקודת מס הכנסה (הכרה בניכוי הפקדות לביטוח סיעודי), התשע""ט-2019")</f>
        <v>31086</v>
      </c>
      <c r="E16212" t="s">
        <v>31086</v>
      </c>
      <c r="F16212" t="s">
        <v>31087</v>
      </c>
      <c r="G16212" t="s">
        <v>14</v>
      </c>
      <c r="H16212">
             </c>
      <c r="I16212" t="s">
        <v>14</v>
      </c>
      <c r="J16212" t="s">
        <v>141</v>
      </c>
      <c r="K16212" t="s">
        <v>14</v>
      </c>
      <c r="L16212" t="s">
        <v>20</v>
      </c>
      <c r="M16212" t="s">
        <v>30951</v>
      </c>
      <c r="N16212" t="s">
        <v>14</v>
      </c>
    </row>
    <row r="16213" x14ac:dyDescent="0.25">
      <c r="A16213" t="n">
        <v>21</v>
      </c>
      <c r="B16213" t="s">
        <v>14</v>
      </c>
      <c r="C16213" t="s">
        <v>22</v>
      </c>
      <c r="D16213" s="2" t="s">
        <f>=HYPERLINK("https://main.knesset.gov.il/APPS/legislation/main/bills/2079005", "הצעת חוק מערך החוץ וההסברה, התשע""ט-2019")</f>
        <v>31088</v>
      </c>
      <c r="E16213" t="s">
        <v>31088</v>
      </c>
      <c r="F16213" t="s">
        <v>31089</v>
      </c>
      <c r="G16213" t="s">
        <v>14</v>
      </c>
      <c r="H16213">
             </c>
      <c r="I16213" t="s">
        <v>14</v>
      </c>
      <c r="J16213" t="s">
        <v>141</v>
      </c>
      <c r="K16213" t="s">
        <v>14</v>
      </c>
      <c r="L16213" t="s">
        <v>20</v>
      </c>
      <c r="M16213" t="s">
        <v>30951</v>
      </c>
      <c r="N16213" t="s">
        <v>14</v>
      </c>
    </row>
    <row r="16214" x14ac:dyDescent="0.25">
      <c r="A16214" t="n">
        <v>21</v>
      </c>
      <c r="B16214" t="s">
        <v>14</v>
      </c>
      <c r="C16214" t="s">
        <v>22</v>
      </c>
      <c r="D16214" s="2" t="s">
        <f>=HYPERLINK("https://main.knesset.gov.il/APPS/legislation/main/bills/2079002", "הצעת חוק הביטוח הלאומי (תיקון - ניכוי הכנסה חודשית שלא מעבודה או ממשלח יד), התשע""ט-2019")</f>
        <v>31090</v>
      </c>
      <c r="E16214" t="s">
        <v>31090</v>
      </c>
      <c r="F16214" t="s">
        <v>31091</v>
      </c>
      <c r="G16214" t="s">
        <v>14</v>
      </c>
      <c r="H16214">
             </c>
      <c r="I16214" t="s">
        <v>14</v>
      </c>
      <c r="J16214" t="s">
        <v>141</v>
      </c>
      <c r="K16214" t="s">
        <v>14</v>
      </c>
      <c r="L16214" t="s">
        <v>20</v>
      </c>
      <c r="M16214" t="s">
        <v>30951</v>
      </c>
      <c r="N16214" t="s">
        <v>14</v>
      </c>
    </row>
    <row r="16215" x14ac:dyDescent="0.25">
      <c r="A16215" t="n">
        <v>21</v>
      </c>
      <c r="B16215" t="s">
        <v>14</v>
      </c>
      <c r="C16215" t="s">
        <v>22</v>
      </c>
      <c r="D16215" s="2" t="s">
        <f>=HYPERLINK("https://main.knesset.gov.il/APPS/legislation/main/bills/2079173", "הצעת חוק להגדלת שיעור ההשתתפות בכוח העבודה ולצמצום פערים חברתיים (מענק עבודה) (תיקון - גיל העובד), התשע""ט-2019")</f>
        <v>31092</v>
      </c>
      <c r="E16215" t="s">
        <v>31092</v>
      </c>
      <c r="F16215" t="s">
        <v>31093</v>
      </c>
      <c r="G16215" t="s">
        <v>14</v>
      </c>
      <c r="H16215">
             </c>
      <c r="I16215" t="s">
        <v>14</v>
      </c>
      <c r="J16215" t="s">
        <v>141</v>
      </c>
      <c r="K16215" t="s">
        <v>14</v>
      </c>
      <c r="L16215" t="s">
        <v>20</v>
      </c>
      <c r="M16215" t="s">
        <v>30951</v>
      </c>
      <c r="N16215" t="s">
        <v>14</v>
      </c>
    </row>
    <row r="16216" x14ac:dyDescent="0.25">
      <c r="A16216" t="n">
        <v>21</v>
      </c>
      <c r="B16216" t="s">
        <v>14</v>
      </c>
      <c r="C16216" t="s">
        <v>22</v>
      </c>
      <c r="D16216" s="2" t="s">
        <f>=HYPERLINK("https://main.knesset.gov.il/APPS/legislation/main/bills/2078998", "הצעת חוק הגנה על כספי ציבור (איסור מימון ומתן שירותים למאחזים בלתי מורשים), התשע""ט-2019")</f>
        <v>31094</v>
      </c>
      <c r="E16216" t="s">
        <v>31094</v>
      </c>
      <c r="F16216" t="s">
        <v>31095</v>
      </c>
      <c r="G16216" t="s">
        <v>14</v>
      </c>
      <c r="H16216">
             </c>
      <c r="I16216" t="s">
        <v>14</v>
      </c>
      <c r="J16216" t="s">
        <v>141</v>
      </c>
      <c r="K16216" t="s">
        <v>14</v>
      </c>
      <c r="L16216" t="s">
        <v>20</v>
      </c>
      <c r="M16216" t="s">
        <v>30951</v>
      </c>
      <c r="N16216" t="s">
        <v>14</v>
      </c>
    </row>
    <row r="16217" x14ac:dyDescent="0.25">
      <c r="A16217" t="n">
        <v>21</v>
      </c>
      <c r="B16217" t="s">
        <v>14</v>
      </c>
      <c r="C16217" t="s">
        <v>22</v>
      </c>
      <c r="D16217" s="2" t="s">
        <f>=HYPERLINK("https://main.knesset.gov.il/APPS/legislation/main/bills/2078700", "הצעת חוק להגדלת שיעור ההשתתפות בכוח העבודה ולצמצום פערים חברתיים (מענק עבודה) (תיקון - גיל העובד), התשע""ט-2019")</f>
        <v>31092</v>
      </c>
      <c r="E16217" t="s">
        <v>31092</v>
      </c>
      <c r="F16217" t="s">
        <v>31096</v>
      </c>
      <c r="G16217" t="s">
        <v>14</v>
      </c>
      <c r="H16217">
             </c>
      <c r="I16217" t="s">
        <v>14</v>
      </c>
      <c r="J16217" t="s">
        <v>141</v>
      </c>
      <c r="K16217" t="s">
        <v>14</v>
      </c>
      <c r="L16217" t="s">
        <v>20</v>
      </c>
      <c r="M16217" t="s">
        <v>30951</v>
      </c>
      <c r="N16217" t="s">
        <v>14</v>
      </c>
    </row>
    <row r="16218" x14ac:dyDescent="0.25">
      <c r="A16218" t="n">
        <v>21</v>
      </c>
      <c r="B16218" t="s">
        <v>14</v>
      </c>
      <c r="C16218" t="s">
        <v>22</v>
      </c>
      <c r="D16218" s="2" t="s">
        <f>=HYPERLINK("https://main.knesset.gov.il/APPS/legislation/main/bills/2078983", "הצעת חוק הודעה מוקדמת לפני סגירת עסק באזורים מוכי אבטלה, התשע""ט-2019")</f>
        <v>31097</v>
      </c>
      <c r="E16218" t="s">
        <v>31097</v>
      </c>
      <c r="F16218" t="s">
        <v>31098</v>
      </c>
      <c r="G16218" t="s">
        <v>14</v>
      </c>
      <c r="H16218">
             </c>
      <c r="I16218" t="s">
        <v>14</v>
      </c>
      <c r="J16218" t="s">
        <v>141</v>
      </c>
      <c r="K16218" t="s">
        <v>14</v>
      </c>
      <c r="L16218" t="s">
        <v>20</v>
      </c>
      <c r="M16218" t="s">
        <v>30951</v>
      </c>
      <c r="N16218" t="s">
        <v>14</v>
      </c>
    </row>
    <row r="16219" x14ac:dyDescent="0.25">
      <c r="A16219" t="n">
        <v>21</v>
      </c>
      <c r="B16219" t="s">
        <v>14</v>
      </c>
      <c r="C16219" t="s">
        <v>22</v>
      </c>
      <c r="D16219" s="2" t="s">
        <f>=HYPERLINK("https://main.knesset.gov.il/APPS/legislation/main/bills/2078997", "הצעת חוק שירות המילואים (תיקון - מטרת שירות המילואים), התשע""ט-2019")</f>
        <v>31099</v>
      </c>
      <c r="E16219" t="s">
        <v>31099</v>
      </c>
      <c r="F16219" t="s">
        <v>31100</v>
      </c>
      <c r="G16219" t="s">
        <v>14</v>
      </c>
      <c r="H16219">
             </c>
      <c r="I16219" t="s">
        <v>14</v>
      </c>
      <c r="J16219" t="s">
        <v>141</v>
      </c>
      <c r="K16219" t="s">
        <v>14</v>
      </c>
      <c r="L16219" t="s">
        <v>20</v>
      </c>
      <c r="M16219" t="s">
        <v>30951</v>
      </c>
      <c r="N16219" t="s">
        <v>14</v>
      </c>
    </row>
    <row r="16220" x14ac:dyDescent="0.25">
      <c r="A16220" t="n">
        <v>21</v>
      </c>
      <c r="B16220" t="s">
        <v>14</v>
      </c>
      <c r="C16220" t="s">
        <v>22</v>
      </c>
      <c r="D16220" s="2" t="s">
        <f>=HYPERLINK("https://main.knesset.gov.il/APPS/legislation/main/bills/2078980", "הצעת חוק לתיקון פקודת העיריות (קבלת חוות דעת היועץ המשפטי לממשלה לעניין טוהר המידות ברשות מקומית טרם הכרזתה כרשות איתנה), התשע""ט-2019")</f>
        <v>31101</v>
      </c>
      <c r="E16220" t="s">
        <v>31101</v>
      </c>
      <c r="F16220" t="s">
        <v>31102</v>
      </c>
      <c r="G16220" t="s">
        <v>14</v>
      </c>
      <c r="H16220">
             </c>
      <c r="I16220" t="s">
        <v>14</v>
      </c>
      <c r="J16220" t="s">
        <v>141</v>
      </c>
      <c r="K16220" t="s">
        <v>14</v>
      </c>
      <c r="L16220" t="s">
        <v>20</v>
      </c>
      <c r="M16220" t="s">
        <v>30951</v>
      </c>
      <c r="N16220" t="s">
        <v>14</v>
      </c>
    </row>
    <row r="16221" x14ac:dyDescent="0.25">
      <c r="A16221" t="n">
        <v>21</v>
      </c>
      <c r="B16221" t="s">
        <v>14</v>
      </c>
      <c r="C16221" t="s">
        <v>22</v>
      </c>
      <c r="D16221" s="2" t="s">
        <f>=HYPERLINK("https://main.knesset.gov.il/APPS/legislation/main/bills/2078994", "הצעת חוק לימוד חובה (תיקון - סיוע לתלמידים במימון טיולים שנתיים), התשע""ט-2019")</f>
        <v>31103</v>
      </c>
      <c r="E16221" t="s">
        <v>31103</v>
      </c>
      <c r="F16221" t="s">
        <v>31104</v>
      </c>
      <c r="G16221" t="s">
        <v>14</v>
      </c>
      <c r="H16221">
             </c>
      <c r="I16221" t="s">
        <v>14</v>
      </c>
      <c r="J16221" t="s">
        <v>141</v>
      </c>
      <c r="K16221" t="s">
        <v>14</v>
      </c>
      <c r="L16221" t="s">
        <v>20</v>
      </c>
      <c r="M16221" t="s">
        <v>30951</v>
      </c>
      <c r="N16221" t="s">
        <v>14</v>
      </c>
    </row>
    <row r="16222" x14ac:dyDescent="0.25">
      <c r="A16222" t="n">
        <v>21</v>
      </c>
      <c r="B16222" t="s">
        <v>14</v>
      </c>
      <c r="C16222" t="s">
        <v>22</v>
      </c>
      <c r="D16222" s="2" t="s">
        <f>=HYPERLINK("https://main.knesset.gov.il/APPS/legislation/main/bills/2078978", "הצעת חוק ביטוח בריאות ממלכתי (תיקון - ביטוח עבור קטינים חסרי מעמד), התשע""ט-2019")</f>
        <v>31105</v>
      </c>
      <c r="E16222" t="s">
        <v>31105</v>
      </c>
      <c r="F16222" t="s">
        <v>31106</v>
      </c>
      <c r="G16222" t="s">
        <v>14</v>
      </c>
      <c r="H16222">
             </c>
      <c r="I16222" t="s">
        <v>14</v>
      </c>
      <c r="J16222" t="s">
        <v>141</v>
      </c>
      <c r="K16222" t="s">
        <v>14</v>
      </c>
      <c r="L16222" t="s">
        <v>20</v>
      </c>
      <c r="M16222" t="s">
        <v>30951</v>
      </c>
      <c r="N16222" t="s">
        <v>14</v>
      </c>
    </row>
    <row r="16223" x14ac:dyDescent="0.25">
      <c r="A16223" t="n">
        <v>21</v>
      </c>
      <c r="B16223" t="s">
        <v>14</v>
      </c>
      <c r="C16223" t="s">
        <v>22</v>
      </c>
      <c r="D16223" s="2" t="s">
        <f>=HYPERLINK("https://main.knesset.gov.il/APPS/legislation/main/bills/2078986", "הצעת חוק החזר דמי נסיעה במונית לבית החולים (תיקוני חקיקה), התשע""ט-2019")</f>
        <v>31107</v>
      </c>
      <c r="E16223" t="s">
        <v>31107</v>
      </c>
      <c r="F16223" t="s">
        <v>31108</v>
      </c>
      <c r="G16223" t="s">
        <v>14</v>
      </c>
      <c r="H16223">
             </c>
      <c r="I16223" t="s">
        <v>14</v>
      </c>
      <c r="J16223" t="s">
        <v>141</v>
      </c>
      <c r="K16223" t="s">
        <v>14</v>
      </c>
      <c r="L16223" t="s">
        <v>20</v>
      </c>
      <c r="M16223" t="s">
        <v>30951</v>
      </c>
      <c r="N16223" t="s">
        <v>14</v>
      </c>
    </row>
    <row r="16224" x14ac:dyDescent="0.25">
      <c r="A16224" t="n">
        <v>21</v>
      </c>
      <c r="B16224" t="s">
        <v>14</v>
      </c>
      <c r="C16224" t="s">
        <v>22</v>
      </c>
      <c r="D16224" s="2" t="s">
        <f>=HYPERLINK("https://main.knesset.gov.il/APPS/legislation/main/bills/2078977", "הצעת חוק שוויון זכויות לאנשים עם מוגבלות (תיקון - נגישות להורה ולתלמיד במוסד חינוך), התשע""ט-2019")</f>
        <v>31109</v>
      </c>
      <c r="E16224" t="s">
        <v>31109</v>
      </c>
      <c r="F16224" t="s">
        <v>31110</v>
      </c>
      <c r="G16224" t="s">
        <v>14</v>
      </c>
      <c r="H16224">
             </c>
      <c r="I16224" t="s">
        <v>14</v>
      </c>
      <c r="J16224" t="s">
        <v>141</v>
      </c>
      <c r="K16224" t="s">
        <v>14</v>
      </c>
      <c r="L16224" t="s">
        <v>20</v>
      </c>
      <c r="M16224" t="s">
        <v>30951</v>
      </c>
      <c r="N16224" t="s">
        <v>14</v>
      </c>
    </row>
    <row r="16225" x14ac:dyDescent="0.25">
      <c r="A16225" t="n">
        <v>21</v>
      </c>
      <c r="B16225" t="s">
        <v>14</v>
      </c>
      <c r="C16225" t="s">
        <v>22</v>
      </c>
      <c r="D16225" s="2" t="s">
        <f>=HYPERLINK("https://main.knesset.gov.il/APPS/legislation/main/bills/2078974", "הצעת חוק התכנון והבנייה (תיקון - חילוט כלי עבודה על ידי רשות מקומית), התשע""ט-2019")</f>
        <v>31111</v>
      </c>
      <c r="E16225" t="s">
        <v>31111</v>
      </c>
      <c r="F16225" t="s">
        <v>31112</v>
      </c>
      <c r="G16225" t="s">
        <v>14</v>
      </c>
      <c r="H16225">
             </c>
      <c r="I16225" t="s">
        <v>14</v>
      </c>
      <c r="J16225" t="s">
        <v>141</v>
      </c>
      <c r="K16225" t="s">
        <v>14</v>
      </c>
      <c r="L16225" t="s">
        <v>20</v>
      </c>
      <c r="M16225" t="s">
        <v>30951</v>
      </c>
      <c r="N16225" t="s">
        <v>14</v>
      </c>
    </row>
    <row r="16226" x14ac:dyDescent="0.25">
      <c r="A16226" t="n">
        <v>21</v>
      </c>
      <c r="B16226" t="s">
        <v>14</v>
      </c>
      <c r="C16226" t="s">
        <v>22</v>
      </c>
      <c r="D16226" s="2" t="s">
        <f>=HYPERLINK("https://main.knesset.gov.il/APPS/legislation/main/bills/2078939", "הצעת חוק הצמדת תשלומים לחיילים בודדים למדד המחירים לצרכן, התשע""ט-2019")</f>
        <v>31113</v>
      </c>
      <c r="E16226" t="s">
        <v>31113</v>
      </c>
      <c r="F16226" t="s">
        <v>31114</v>
      </c>
      <c r="G16226" t="s">
        <v>14</v>
      </c>
      <c r="H16226">
             </c>
      <c r="I16226" t="s">
        <v>14</v>
      </c>
      <c r="J16226" t="s">
        <v>141</v>
      </c>
      <c r="K16226" t="s">
        <v>14</v>
      </c>
      <c r="L16226" t="s">
        <v>20</v>
      </c>
      <c r="M16226" t="s">
        <v>30951</v>
      </c>
      <c r="N16226" t="s">
        <v>14</v>
      </c>
    </row>
    <row r="16227" x14ac:dyDescent="0.25">
      <c r="A16227" t="n">
        <v>21</v>
      </c>
      <c r="B16227" t="s">
        <v>14</v>
      </c>
      <c r="C16227" t="s">
        <v>22</v>
      </c>
      <c r="D16227" s="2" t="s">
        <f>=HYPERLINK("https://main.knesset.gov.il/APPS/legislation/main/bills/2078968", "הצעת חוק כביש אגרה (כביש ארצי לישראל) (תיקון - מידע על עומס תנועה), התשע""ט-2019")</f>
        <v>31115</v>
      </c>
      <c r="E16227" t="s">
        <v>31115</v>
      </c>
      <c r="F16227" t="s">
        <v>31116</v>
      </c>
      <c r="G16227" t="s">
        <v>14</v>
      </c>
      <c r="H16227">
             </c>
      <c r="I16227" t="s">
        <v>14</v>
      </c>
      <c r="J16227" t="s">
        <v>141</v>
      </c>
      <c r="K16227" t="s">
        <v>14</v>
      </c>
      <c r="L16227" t="s">
        <v>20</v>
      </c>
      <c r="M16227" t="s">
        <v>30951</v>
      </c>
      <c r="N16227" t="s">
        <v>14</v>
      </c>
    </row>
    <row r="16228" x14ac:dyDescent="0.25">
      <c r="A16228" t="n">
        <v>21</v>
      </c>
      <c r="B16228" t="s">
        <v>14</v>
      </c>
      <c r="C16228" t="s">
        <v>22</v>
      </c>
      <c r="D16228" s="2" t="s">
        <f>=HYPERLINK("https://main.knesset.gov.il/APPS/legislation/main/bills/2078935", "הצעת חוק זכויות הסטודנט (תיקון - הגבלת דמי רישום), התשע""ט-2019")</f>
        <v>31117</v>
      </c>
      <c r="E16228" t="s">
        <v>31117</v>
      </c>
      <c r="F16228" t="s">
        <v>31118</v>
      </c>
      <c r="G16228" t="s">
        <v>14</v>
      </c>
      <c r="H16228">
             </c>
      <c r="I16228" t="s">
        <v>14</v>
      </c>
      <c r="J16228" t="s">
        <v>141</v>
      </c>
      <c r="K16228" t="s">
        <v>14</v>
      </c>
      <c r="L16228" t="s">
        <v>20</v>
      </c>
      <c r="M16228" t="s">
        <v>30951</v>
      </c>
      <c r="N16228" t="s">
        <v>14</v>
      </c>
    </row>
    <row r="16229" x14ac:dyDescent="0.25">
      <c r="A16229" t="n">
        <v>21</v>
      </c>
      <c r="B16229" t="s">
        <v>14</v>
      </c>
      <c r="C16229" t="s">
        <v>22</v>
      </c>
      <c r="D16229" s="2" t="s">
        <f>=HYPERLINK("https://main.knesset.gov.il/APPS/legislation/main/bills/2078967", "הצעת חוק התכנון והבנייה (תיקון - הסמכת אדריכלים רשויים לשמש כמורשים להיתר), התשע""ט-2019")</f>
        <v>31119</v>
      </c>
      <c r="E16229" t="s">
        <v>31119</v>
      </c>
      <c r="F16229" t="s">
        <v>31120</v>
      </c>
      <c r="G16229" t="s">
        <v>14</v>
      </c>
      <c r="H16229">
             </c>
      <c r="I16229" t="s">
        <v>14</v>
      </c>
      <c r="J16229" t="s">
        <v>141</v>
      </c>
      <c r="K16229" t="s">
        <v>14</v>
      </c>
      <c r="L16229" t="s">
        <v>20</v>
      </c>
      <c r="M16229" t="s">
        <v>30951</v>
      </c>
      <c r="N16229" t="s">
        <v>14</v>
      </c>
    </row>
    <row r="16230" x14ac:dyDescent="0.25">
      <c r="A16230" t="n">
        <v>21</v>
      </c>
      <c r="B16230" t="s">
        <v>14</v>
      </c>
      <c r="C16230" t="s">
        <v>22</v>
      </c>
      <c r="D16230" s="2" t="s">
        <f>=HYPERLINK("https://main.knesset.gov.il/APPS/legislation/main/bills/2078934", "הצעת חוק תגמול לנושאי משרה בתאגידים פיננסיים (אישור מיוחד ואי-התרת הוצאה לצורכי מס בשל תגמול חריג) (תיקון - הרחבת התחולה על חברות ציבוריות), התשע""ט-2019")</f>
        <v>31121</v>
      </c>
      <c r="E16230" t="s">
        <v>31121</v>
      </c>
      <c r="F16230" t="s">
        <v>31122</v>
      </c>
      <c r="G16230" t="s">
        <v>14</v>
      </c>
      <c r="H16230">
             </c>
      <c r="I16230" t="s">
        <v>14</v>
      </c>
      <c r="J16230" t="s">
        <v>141</v>
      </c>
      <c r="K16230" t="s">
        <v>14</v>
      </c>
      <c r="L16230" t="s">
        <v>20</v>
      </c>
      <c r="M16230" t="s">
        <v>30951</v>
      </c>
      <c r="N16230" t="s">
        <v>14</v>
      </c>
    </row>
    <row r="16231" x14ac:dyDescent="0.25">
      <c r="A16231" t="n">
        <v>21</v>
      </c>
      <c r="B16231" t="s">
        <v>14</v>
      </c>
      <c r="C16231" t="s">
        <v>22</v>
      </c>
      <c r="D16231" s="2" t="s">
        <f>=HYPERLINK("https://main.knesset.gov.il/APPS/legislation/main/bills/2078965", "הצעת חוק פיצוי לנפגעי פוליו (תיקון - הכרה באחוזי נכות של נפגע פוליו לצורך דינים אחרים), התשע""ט-2019")</f>
        <v>30406</v>
      </c>
      <c r="E16231" t="s">
        <v>30406</v>
      </c>
      <c r="F16231" t="s">
        <v>31123</v>
      </c>
      <c r="G16231" t="s">
        <v>14</v>
      </c>
      <c r="H16231">
             </c>
      <c r="I16231" t="s">
        <v>14</v>
      </c>
      <c r="J16231" t="s">
        <v>141</v>
      </c>
      <c r="K16231" t="s">
        <v>14</v>
      </c>
      <c r="L16231" t="s">
        <v>20</v>
      </c>
      <c r="M16231" t="s">
        <v>30951</v>
      </c>
      <c r="N16231" t="s">
        <v>14</v>
      </c>
    </row>
    <row r="16232" x14ac:dyDescent="0.25">
      <c r="A16232" t="n">
        <v>21</v>
      </c>
      <c r="B16232" t="s">
        <v>14</v>
      </c>
      <c r="C16232" t="s">
        <v>22</v>
      </c>
      <c r="D16232" s="2" t="s">
        <f>=HYPERLINK("https://main.knesset.gov.il/APPS/legislation/main/bills/2078933", "הצעת חוק הפיקוח על שירותים פיננסיים (עיסוק בייעוץ מימון דיור), התשע""ט-2019")</f>
        <v>30561</v>
      </c>
      <c r="E16232" t="s">
        <v>30561</v>
      </c>
      <c r="F16232" t="s">
        <v>31124</v>
      </c>
      <c r="G16232" t="s">
        <v>14</v>
      </c>
      <c r="H16232">
             </c>
      <c r="I16232" t="s">
        <v>14</v>
      </c>
      <c r="J16232" t="s">
        <v>141</v>
      </c>
      <c r="K16232" t="s">
        <v>14</v>
      </c>
      <c r="L16232" t="s">
        <v>20</v>
      </c>
      <c r="M16232" t="s">
        <v>30951</v>
      </c>
      <c r="N16232" t="s">
        <v>14</v>
      </c>
    </row>
    <row r="16233" x14ac:dyDescent="0.25">
      <c r="A16233" t="n">
        <v>21</v>
      </c>
      <c r="B16233" t="s">
        <v>14</v>
      </c>
      <c r="C16233" t="s">
        <v>22</v>
      </c>
      <c r="D16233" s="2" t="s">
        <f>=HYPERLINK("https://main.knesset.gov.il/APPS/legislation/main/bills/2078927", "הצעת חוק זכויות הדייר בדיור הציבורי (תיקון - זכאות לדיור ציבורי להורה עצמאי המקבל מהמוסד לביטוח לאומי תשלום מזונות ואינו זכאי להבטחת הכנסה או השלמת הכנסה), התשע""ט-2019")</f>
        <v>31125</v>
      </c>
      <c r="E16233" t="s">
        <v>31125</v>
      </c>
      <c r="F16233" t="s">
        <v>31126</v>
      </c>
      <c r="G16233" t="s">
        <v>14</v>
      </c>
      <c r="H16233">
             </c>
      <c r="I16233" t="s">
        <v>14</v>
      </c>
      <c r="J16233" t="s">
        <v>141</v>
      </c>
      <c r="K16233" t="s">
        <v>14</v>
      </c>
      <c r="L16233" t="s">
        <v>20</v>
      </c>
      <c r="M16233" t="s">
        <v>30951</v>
      </c>
      <c r="N16233" t="s">
        <v>14</v>
      </c>
    </row>
    <row r="16234" x14ac:dyDescent="0.25">
      <c r="A16234" t="n">
        <v>21</v>
      </c>
      <c r="B16234" t="s">
        <v>14</v>
      </c>
      <c r="C16234" t="s">
        <v>22</v>
      </c>
      <c r="D16234" s="2" t="s">
        <f>=HYPERLINK("https://main.knesset.gov.il/APPS/legislation/main/bills/2078963", "הצעת חוק הביטוח הלאומי (תיקון - הכפלת קצבת נכות בהגעה לגיל הזכאות לקצבת זקנה), התשע""ט-2019")</f>
        <v>31127</v>
      </c>
      <c r="E16234" t="s">
        <v>31127</v>
      </c>
      <c r="F16234" t="s">
        <v>31128</v>
      </c>
      <c r="G16234" t="s">
        <v>14</v>
      </c>
      <c r="H16234">
             </c>
      <c r="I16234" t="s">
        <v>14</v>
      </c>
      <c r="J16234" t="s">
        <v>141</v>
      </c>
      <c r="K16234" t="s">
        <v>14</v>
      </c>
      <c r="L16234" t="s">
        <v>20</v>
      </c>
      <c r="M16234" t="s">
        <v>30951</v>
      </c>
      <c r="N16234" t="s">
        <v>14</v>
      </c>
    </row>
    <row r="16235" x14ac:dyDescent="0.25">
      <c r="A16235" t="n">
        <v>21</v>
      </c>
      <c r="B16235" t="s">
        <v>14</v>
      </c>
      <c r="C16235" t="s">
        <v>22</v>
      </c>
      <c r="D16235" s="2" t="s">
        <f>=HYPERLINK("https://main.knesset.gov.il/APPS/legislation/main/bills/2078924", "הצעת חוק הביטוח הלאומי (תיקון - הצמדת קצבאות הביטוח הלאומי לשכר הממוצע במשק), התשע""ט-2019")</f>
        <v>31129</v>
      </c>
      <c r="E16235" t="s">
        <v>31129</v>
      </c>
      <c r="F16235" t="s">
        <v>31130</v>
      </c>
      <c r="G16235" t="s">
        <v>14</v>
      </c>
      <c r="H16235">
             </c>
      <c r="I16235" t="s">
        <v>14</v>
      </c>
      <c r="J16235" t="s">
        <v>141</v>
      </c>
      <c r="K16235" t="s">
        <v>14</v>
      </c>
      <c r="L16235" t="s">
        <v>20</v>
      </c>
      <c r="M16235" t="s">
        <v>30951</v>
      </c>
      <c r="N16235" t="s">
        <v>14</v>
      </c>
    </row>
    <row r="16236" x14ac:dyDescent="0.25">
      <c r="A16236" t="n">
        <v>21</v>
      </c>
      <c r="B16236" t="s">
        <v>14</v>
      </c>
      <c r="C16236" t="s">
        <v>22</v>
      </c>
      <c r="D16236" s="2" t="s">
        <f>=HYPERLINK("https://main.knesset.gov.il/APPS/legislation/main/bills/2078961", "הצעת חוק לתיקון פקודת הבנקאות (עמלת פירעון מוקדם), התשע""ט-2019")</f>
        <v>31131</v>
      </c>
      <c r="E16236" t="s">
        <v>31131</v>
      </c>
      <c r="F16236" t="s">
        <v>31132</v>
      </c>
      <c r="G16236" t="s">
        <v>14</v>
      </c>
      <c r="H16236">
             </c>
      <c r="I16236" t="s">
        <v>14</v>
      </c>
      <c r="J16236" t="s">
        <v>141</v>
      </c>
      <c r="K16236" t="s">
        <v>14</v>
      </c>
      <c r="L16236" t="s">
        <v>20</v>
      </c>
      <c r="M16236" t="s">
        <v>30951</v>
      </c>
      <c r="N16236" t="s">
        <v>14</v>
      </c>
    </row>
    <row r="16237" x14ac:dyDescent="0.25">
      <c r="A16237" t="n">
        <v>21</v>
      </c>
      <c r="B16237" t="s">
        <v>14</v>
      </c>
      <c r="C16237" t="s">
        <v>22</v>
      </c>
      <c r="D16237" s="2" t="s">
        <f>=HYPERLINK("https://main.knesset.gov.il/APPS/legislation/main/bills/2078922", "הצעת חוק הפנסיה (מועד תחילת הביטוח הפנסיוני), התשע""ט-2019")</f>
        <v>31133</v>
      </c>
      <c r="E16237" t="s">
        <v>31133</v>
      </c>
      <c r="F16237" t="s">
        <v>31134</v>
      </c>
      <c r="G16237" t="s">
        <v>14</v>
      </c>
      <c r="H16237">
             </c>
      <c r="I16237" t="s">
        <v>14</v>
      </c>
      <c r="J16237" t="s">
        <v>141</v>
      </c>
      <c r="K16237" t="s">
        <v>14</v>
      </c>
      <c r="L16237" t="s">
        <v>20</v>
      </c>
      <c r="M16237" t="s">
        <v>30951</v>
      </c>
      <c r="N16237" t="s">
        <v>14</v>
      </c>
    </row>
    <row r="16238" x14ac:dyDescent="0.25">
      <c r="A16238" t="n">
        <v>21</v>
      </c>
      <c r="B16238" t="s">
        <v>14</v>
      </c>
      <c r="C16238" t="s">
        <v>22</v>
      </c>
      <c r="D16238" s="2" t="s">
        <f>=HYPERLINK("https://main.knesset.gov.il/APPS/legislation/main/bills/2078959", "הצעת חוק השוואת תשלומים לחיילים בודדים ילידי ישראל וחיילים בודדים שנולדו מחוץ לישראל, התשע""ט-2019")</f>
        <v>31135</v>
      </c>
      <c r="E16238" t="s">
        <v>31135</v>
      </c>
      <c r="F16238" t="s">
        <v>31136</v>
      </c>
      <c r="G16238" t="s">
        <v>14</v>
      </c>
      <c r="H16238">
             </c>
      <c r="I16238" t="s">
        <v>14</v>
      </c>
      <c r="J16238" t="s">
        <v>141</v>
      </c>
      <c r="K16238" t="s">
        <v>14</v>
      </c>
      <c r="L16238" t="s">
        <v>20</v>
      </c>
      <c r="M16238" t="s">
        <v>30951</v>
      </c>
      <c r="N16238" t="s">
        <v>14</v>
      </c>
    </row>
    <row r="16239" x14ac:dyDescent="0.25">
      <c r="A16239" t="n">
        <v>21</v>
      </c>
      <c r="B16239" t="s">
        <v>14</v>
      </c>
      <c r="C16239" t="s">
        <v>22</v>
      </c>
      <c r="D16239" s="2" t="s">
        <f>=HYPERLINK("https://main.knesset.gov.il/APPS/legislation/main/bills/2078920", "הצעת חוק לתיקון פקודת הבנקאות (תקופת צינון למפקח על הבנקים), התשע""ט-2019")</f>
        <v>31137</v>
      </c>
      <c r="E16239" t="s">
        <v>31137</v>
      </c>
      <c r="F16239" t="s">
        <v>31138</v>
      </c>
      <c r="G16239" t="s">
        <v>14</v>
      </c>
      <c r="H16239">
             </c>
      <c r="I16239" t="s">
        <v>14</v>
      </c>
      <c r="J16239" t="s">
        <v>141</v>
      </c>
      <c r="K16239" t="s">
        <v>14</v>
      </c>
      <c r="L16239" t="s">
        <v>20</v>
      </c>
      <c r="M16239" t="s">
        <v>30951</v>
      </c>
      <c r="N16239" t="s">
        <v>14</v>
      </c>
    </row>
    <row r="16240" x14ac:dyDescent="0.25">
      <c r="A16240" t="n">
        <v>21</v>
      </c>
      <c r="B16240" t="s">
        <v>14</v>
      </c>
      <c r="C16240" t="s">
        <v>22</v>
      </c>
      <c r="D16240" s="2" t="s">
        <f>=HYPERLINK("https://main.knesset.gov.il/APPS/legislation/main/bills/2078919", "הצעת חוק הביטוח הלאומי (תיקון - חובת יידוע מבוטחים), התשע""ט-2019")</f>
        <v>31139</v>
      </c>
      <c r="E16240" t="s">
        <v>31139</v>
      </c>
      <c r="F16240" t="s">
        <v>31140</v>
      </c>
      <c r="G16240" t="s">
        <v>14</v>
      </c>
      <c r="H16240">
             </c>
      <c r="I16240" t="s">
        <v>14</v>
      </c>
      <c r="J16240" t="s">
        <v>141</v>
      </c>
      <c r="K16240" t="s">
        <v>14</v>
      </c>
      <c r="L16240" t="s">
        <v>20</v>
      </c>
      <c r="M16240" t="s">
        <v>30951</v>
      </c>
      <c r="N16240" t="s">
        <v>14</v>
      </c>
    </row>
    <row r="16241" x14ac:dyDescent="0.25">
      <c r="A16241" t="n">
        <v>21</v>
      </c>
      <c r="B16241" t="s">
        <v>14</v>
      </c>
      <c r="C16241" t="s">
        <v>22</v>
      </c>
      <c r="D16241" s="2" t="s">
        <f>=HYPERLINK("https://main.knesset.gov.il/APPS/legislation/main/bills/2078914", "הצעת חוק הסדרים במשק המדינה (תיקוני חקיקה להשגת יעדי התקציב) (תיקון - ארנונה על מבנה מגורים שאינו בשימוש) (הוראת שעה), התשע""ט-2019")</f>
        <v>31141</v>
      </c>
      <c r="E16241" t="s">
        <v>31141</v>
      </c>
      <c r="F16241" t="s">
        <v>31142</v>
      </c>
      <c r="G16241" t="s">
        <v>14</v>
      </c>
      <c r="H16241">
             </c>
      <c r="I16241" t="s">
        <v>14</v>
      </c>
      <c r="J16241" t="s">
        <v>141</v>
      </c>
      <c r="K16241" t="s">
        <v>14</v>
      </c>
      <c r="L16241" t="s">
        <v>20</v>
      </c>
      <c r="M16241" t="s">
        <v>30951</v>
      </c>
      <c r="N16241" t="s">
        <v>14</v>
      </c>
    </row>
    <row r="16242" x14ac:dyDescent="0.25">
      <c r="A16242" t="n">
        <v>21</v>
      </c>
      <c r="B16242" t="s">
        <v>14</v>
      </c>
      <c r="C16242" t="s">
        <v>22</v>
      </c>
      <c r="D16242" s="2" t="s">
        <f>=HYPERLINK("https://main.knesset.gov.il/APPS/legislation/main/bills/2078955", "הצעת חוק חובת הדיווח של מוסדות פיננסים על כספים ללא דורש, התשע""ט-2019")</f>
        <v>31143</v>
      </c>
      <c r="E16242" t="s">
        <v>31143</v>
      </c>
      <c r="F16242" t="s">
        <v>31144</v>
      </c>
      <c r="G16242" t="s">
        <v>14</v>
      </c>
      <c r="H16242">
             </c>
      <c r="I16242" t="s">
        <v>14</v>
      </c>
      <c r="J16242" t="s">
        <v>141</v>
      </c>
      <c r="K16242" t="s">
        <v>14</v>
      </c>
      <c r="L16242" t="s">
        <v>20</v>
      </c>
      <c r="M16242" t="s">
        <v>30951</v>
      </c>
      <c r="N16242" t="s">
        <v>14</v>
      </c>
    </row>
    <row r="16243" x14ac:dyDescent="0.25">
      <c r="A16243" t="n">
        <v>21</v>
      </c>
      <c r="B16243" t="s">
        <v>14</v>
      </c>
      <c r="C16243" t="s">
        <v>22</v>
      </c>
      <c r="D16243" s="2" t="s">
        <f>=HYPERLINK("https://main.knesset.gov.il/APPS/legislation/main/bills/2078901", "הצעת חוק דמי נסיעה לסטודנטים בתחבורה ציבורית (תיקוני חקיקה), התשע""ט-2019")</f>
        <v>31145</v>
      </c>
      <c r="E16243" t="s">
        <v>31145</v>
      </c>
      <c r="F16243" t="s">
        <v>31146</v>
      </c>
      <c r="G16243" t="s">
        <v>14</v>
      </c>
      <c r="H16243">
             </c>
      <c r="I16243" t="s">
        <v>14</v>
      </c>
      <c r="J16243" t="s">
        <v>141</v>
      </c>
      <c r="K16243" t="s">
        <v>14</v>
      </c>
      <c r="L16243" t="s">
        <v>20</v>
      </c>
      <c r="M16243" t="s">
        <v>30951</v>
      </c>
      <c r="N16243" t="s">
        <v>14</v>
      </c>
    </row>
    <row r="16244" x14ac:dyDescent="0.25">
      <c r="A16244" t="n">
        <v>21</v>
      </c>
      <c r="B16244" t="s">
        <v>14</v>
      </c>
      <c r="C16244" t="s">
        <v>22</v>
      </c>
      <c r="D16244" s="2" t="s">
        <f>=HYPERLINK("https://main.knesset.gov.il/APPS/legislation/main/bills/2078953", "הצעת חוק הביטוח הלאומי (תיקון - שינוי המונח נכה), התשע""ט-2019")</f>
        <v>31147</v>
      </c>
      <c r="E16244" t="s">
        <v>31147</v>
      </c>
      <c r="F16244" t="s">
        <v>31148</v>
      </c>
      <c r="G16244" t="s">
        <v>14</v>
      </c>
      <c r="H16244">
             </c>
      <c r="I16244" t="s">
        <v>14</v>
      </c>
      <c r="J16244" t="s">
        <v>141</v>
      </c>
      <c r="K16244" t="s">
        <v>14</v>
      </c>
      <c r="L16244" t="s">
        <v>20</v>
      </c>
      <c r="M16244" t="s">
        <v>30951</v>
      </c>
      <c r="N16244" t="s">
        <v>14</v>
      </c>
    </row>
    <row r="16245" x14ac:dyDescent="0.25">
      <c r="A16245" t="n">
        <v>21</v>
      </c>
      <c r="B16245" t="s">
        <v>14</v>
      </c>
      <c r="C16245" t="s">
        <v>22</v>
      </c>
      <c r="D16245" s="2" t="s">
        <f>=HYPERLINK("https://main.knesset.gov.il/APPS/legislation/main/bills/2078900", "הצעת חוק הסדרים במשק המדינה (תיקוני חקיקה להשגת יעדי התקציב) (תיקון - הנחה מארנונה לעסק חדש בשנת פעילותו הראשונה), התשע""ט-2019")</f>
        <v>31149</v>
      </c>
      <c r="E16245" t="s">
        <v>31149</v>
      </c>
      <c r="F16245" t="s">
        <v>31150</v>
      </c>
      <c r="G16245" t="s">
        <v>14</v>
      </c>
      <c r="H16245">
             </c>
      <c r="I16245" t="s">
        <v>14</v>
      </c>
      <c r="J16245" t="s">
        <v>141</v>
      </c>
      <c r="K16245" t="s">
        <v>14</v>
      </c>
      <c r="L16245" t="s">
        <v>20</v>
      </c>
      <c r="M16245" t="s">
        <v>30951</v>
      </c>
      <c r="N16245" t="s">
        <v>14</v>
      </c>
    </row>
    <row r="16246" x14ac:dyDescent="0.25">
      <c r="A16246" t="n">
        <v>21</v>
      </c>
      <c r="B16246" t="s">
        <v>14</v>
      </c>
      <c r="C16246" t="s">
        <v>22</v>
      </c>
      <c r="D16246" s="2" t="s">
        <f>=HYPERLINK("https://main.knesset.gov.il/APPS/legislation/main/bills/2078948", "הצעת חוק ביטוח בריאות ממלכתי (תיקון - העברת תיק רפואי במעבר בין קופות חולים), התשע""ט-2019")</f>
        <v>31151</v>
      </c>
      <c r="E16246" t="s">
        <v>31151</v>
      </c>
      <c r="F16246" t="s">
        <v>31152</v>
      </c>
      <c r="G16246" t="s">
        <v>14</v>
      </c>
      <c r="H16246">
             </c>
      <c r="I16246" t="s">
        <v>14</v>
      </c>
      <c r="J16246" t="s">
        <v>141</v>
      </c>
      <c r="K16246" t="s">
        <v>14</v>
      </c>
      <c r="L16246" t="s">
        <v>20</v>
      </c>
      <c r="M16246" t="s">
        <v>30951</v>
      </c>
      <c r="N16246" t="s">
        <v>14</v>
      </c>
    </row>
    <row r="16247" x14ac:dyDescent="0.25">
      <c r="A16247" t="n">
        <v>21</v>
      </c>
      <c r="B16247" t="s">
        <v>14</v>
      </c>
      <c r="C16247" t="s">
        <v>22</v>
      </c>
      <c r="D16247" s="2" t="s">
        <f>=HYPERLINK("https://main.knesset.gov.il/APPS/legislation/main/bills/2078898", "הצעת חוק מעונות יום שיקומיים (תיקון - פעוטות עם צרכים רפואיים וחלופה ביתית), התשע""ט-2019")</f>
        <v>31153</v>
      </c>
      <c r="E16247" t="s">
        <v>31153</v>
      </c>
      <c r="F16247" t="s">
        <v>31154</v>
      </c>
      <c r="G16247" t="s">
        <v>14</v>
      </c>
      <c r="H16247">
             </c>
      <c r="I16247" t="s">
        <v>14</v>
      </c>
      <c r="J16247" t="s">
        <v>141</v>
      </c>
      <c r="K16247" t="s">
        <v>14</v>
      </c>
      <c r="L16247" t="s">
        <v>20</v>
      </c>
      <c r="M16247" t="s">
        <v>30951</v>
      </c>
      <c r="N16247" t="s">
        <v>14</v>
      </c>
    </row>
    <row r="16248" x14ac:dyDescent="0.25">
      <c r="A16248" t="n">
        <v>21</v>
      </c>
      <c r="B16248" t="s">
        <v>14</v>
      </c>
      <c r="C16248" t="s">
        <v>22</v>
      </c>
      <c r="D16248" s="2" t="s">
        <f>=HYPERLINK("https://main.knesset.gov.il/APPS/legislation/main/bills/2078947", "הצעת חוק הביטוח הלאומי (תיקון - ביטול תקופת אכשרה), התשע""ט-2019")</f>
        <v>31155</v>
      </c>
      <c r="E16248" t="s">
        <v>31155</v>
      </c>
      <c r="F16248" t="s">
        <v>31156</v>
      </c>
      <c r="G16248" t="s">
        <v>14</v>
      </c>
      <c r="H16248">
             </c>
      <c r="I16248" t="s">
        <v>14</v>
      </c>
      <c r="J16248" t="s">
        <v>141</v>
      </c>
      <c r="K16248" t="s">
        <v>14</v>
      </c>
      <c r="L16248" t="s">
        <v>20</v>
      </c>
      <c r="M16248" t="s">
        <v>30951</v>
      </c>
      <c r="N16248" t="s">
        <v>14</v>
      </c>
    </row>
    <row r="16249" x14ac:dyDescent="0.25">
      <c r="A16249" t="n">
        <v>21</v>
      </c>
      <c r="B16249" t="s">
        <v>14</v>
      </c>
      <c r="C16249" t="s">
        <v>22</v>
      </c>
      <c r="D16249" s="2" t="s">
        <f>=HYPERLINK("https://main.knesset.gov.il/APPS/legislation/main/bills/2078945", "הצעת חוק הרשויות המקומיות (בחירת ראש הרשות וסגניו וכהונתם) (תיקון - מילוי מקום ראש רשות שהושעה מכהונה בשל הגשת כתב אישום ושב ונבחר), התשע""ט-2019")</f>
        <v>31157</v>
      </c>
      <c r="E16249" t="s">
        <v>31157</v>
      </c>
      <c r="F16249" t="s">
        <v>31158</v>
      </c>
      <c r="G16249" t="s">
        <v>14</v>
      </c>
      <c r="H16249">
             </c>
      <c r="I16249" t="s">
        <v>14</v>
      </c>
      <c r="J16249" t="s">
        <v>141</v>
      </c>
      <c r="K16249" t="s">
        <v>14</v>
      </c>
      <c r="L16249" t="s">
        <v>20</v>
      </c>
      <c r="M16249" t="s">
        <v>30951</v>
      </c>
      <c r="N16249" t="s">
        <v>14</v>
      </c>
    </row>
    <row r="16250" x14ac:dyDescent="0.25">
      <c r="A16250" t="n">
        <v>21</v>
      </c>
      <c r="B16250" t="s">
        <v>14</v>
      </c>
      <c r="C16250" t="s">
        <v>22</v>
      </c>
      <c r="D16250" s="2" t="s">
        <f>=HYPERLINK("https://main.knesset.gov.il/APPS/legislation/main/bills/2078648", "הצעת חוק שעות עבודה ומנוחה (תיקון - עסקים בתחום ההסעדה והבילוי), התשע""ט-2019")</f>
        <v>31159</v>
      </c>
      <c r="E16250" t="s">
        <v>31159</v>
      </c>
      <c r="F16250" t="s">
        <v>31160</v>
      </c>
      <c r="G16250" t="s">
        <v>14</v>
      </c>
      <c r="H16250">
             </c>
      <c r="I16250" t="s">
        <v>14</v>
      </c>
      <c r="J16250" t="s">
        <v>141</v>
      </c>
      <c r="K16250" t="s">
        <v>14</v>
      </c>
      <c r="L16250" t="s">
        <v>20</v>
      </c>
      <c r="M16250" t="s">
        <v>30951</v>
      </c>
      <c r="N16250" t="s">
        <v>14</v>
      </c>
    </row>
    <row r="16251" x14ac:dyDescent="0.25">
      <c r="A16251" t="n">
        <v>21</v>
      </c>
      <c r="B16251" t="s">
        <v>14</v>
      </c>
      <c r="C16251" t="s">
        <v>22</v>
      </c>
      <c r="D16251" s="2" t="s">
        <f>=HYPERLINK("https://main.knesset.gov.il/APPS/legislation/main/bills/2078941", "הצעת חוק הביטוח הלאומי (תיקון - זכאות לקצבת נכות למי שמשתלמת לו קצבת אזרח ותיק), התשע""ט-2019")</f>
        <v>31161</v>
      </c>
      <c r="E16251" t="s">
        <v>31161</v>
      </c>
      <c r="F16251" t="s">
        <v>31162</v>
      </c>
      <c r="G16251" t="s">
        <v>14</v>
      </c>
      <c r="H16251">
             </c>
      <c r="I16251" t="s">
        <v>14</v>
      </c>
      <c r="J16251" t="s">
        <v>141</v>
      </c>
      <c r="K16251" t="s">
        <v>14</v>
      </c>
      <c r="L16251" t="s">
        <v>20</v>
      </c>
      <c r="M16251" t="s">
        <v>30951</v>
      </c>
      <c r="N16251" t="s">
        <v>14</v>
      </c>
    </row>
    <row r="16252" x14ac:dyDescent="0.25">
      <c r="A16252" t="n">
        <v>21</v>
      </c>
      <c r="B16252" t="s">
        <v>14</v>
      </c>
      <c r="C16252" t="s">
        <v>22</v>
      </c>
      <c r="D16252" s="2" t="s">
        <f>=HYPERLINK("https://main.knesset.gov.il/APPS/legislation/main/bills/2078896", "הצעת חוק מס ערך מוסף (תיקון - פטור ממס במכירת תרופות מאריכות חיים שאינן כלולות בסל הבריאות), התשע""ט-2019")</f>
        <v>31163</v>
      </c>
      <c r="E16252" t="s">
        <v>31163</v>
      </c>
      <c r="F16252" t="s">
        <v>31164</v>
      </c>
      <c r="G16252" t="s">
        <v>14</v>
      </c>
      <c r="H16252">
             </c>
      <c r="I16252" t="s">
        <v>14</v>
      </c>
      <c r="J16252" t="s">
        <v>141</v>
      </c>
      <c r="K16252" t="s">
        <v>14</v>
      </c>
      <c r="L16252" t="s">
        <v>20</v>
      </c>
      <c r="M16252" t="s">
        <v>30951</v>
      </c>
      <c r="N16252" t="s">
        <v>14</v>
      </c>
    </row>
    <row r="16253" x14ac:dyDescent="0.25">
      <c r="A16253" t="n">
        <v>21</v>
      </c>
      <c r="B16253" t="s">
        <v>14</v>
      </c>
      <c r="C16253" t="s">
        <v>22</v>
      </c>
      <c r="D16253" s="2" t="s">
        <f>=HYPERLINK("https://main.knesset.gov.il/APPS/legislation/main/bills/2078886", "הצעת חוק זכויות ושירותים לילדים ובני נוער עם קשיים נפשיים, התשע""ט-2019")</f>
        <v>31165</v>
      </c>
      <c r="E16253" t="s">
        <v>31165</v>
      </c>
      <c r="F16253" t="s">
        <v>31166</v>
      </c>
      <c r="G16253" t="s">
        <v>14</v>
      </c>
      <c r="H16253">
             </c>
      <c r="I16253" t="s">
        <v>14</v>
      </c>
      <c r="J16253" t="s">
        <v>141</v>
      </c>
      <c r="K16253" t="s">
        <v>14</v>
      </c>
      <c r="L16253" t="s">
        <v>20</v>
      </c>
      <c r="M16253" t="s">
        <v>30951</v>
      </c>
      <c r="N16253" t="s">
        <v>14</v>
      </c>
    </row>
    <row r="16254" x14ac:dyDescent="0.25">
      <c r="A16254" t="n">
        <v>21</v>
      </c>
      <c r="B16254" t="s">
        <v>14</v>
      </c>
      <c r="C16254" t="s">
        <v>22</v>
      </c>
      <c r="D16254" s="2" t="s">
        <f>=HYPERLINK("https://main.knesset.gov.il/APPS/legislation/main/bills/2078883", "הצעת חוק הגנת הצרכן (תיקון - מתן שירות טלפוני חינם על ידי מבטח), התשע""ט-2019")</f>
        <v>31167</v>
      </c>
      <c r="E16254" t="s">
        <v>31167</v>
      </c>
      <c r="F16254" t="s">
        <v>31168</v>
      </c>
      <c r="G16254" t="s">
        <v>14</v>
      </c>
      <c r="H16254">
             </c>
      <c r="I16254" t="s">
        <v>14</v>
      </c>
      <c r="J16254" t="s">
        <v>141</v>
      </c>
      <c r="K16254" t="s">
        <v>14</v>
      </c>
      <c r="L16254" t="s">
        <v>20</v>
      </c>
      <c r="M16254" t="s">
        <v>30951</v>
      </c>
      <c r="N16254" t="s">
        <v>14</v>
      </c>
    </row>
    <row r="16255" x14ac:dyDescent="0.25">
      <c r="A16255" t="n">
        <v>21</v>
      </c>
      <c r="B16255" t="s">
        <v>14</v>
      </c>
      <c r="C16255" t="s">
        <v>22</v>
      </c>
      <c r="D16255" s="2" t="s">
        <f>=HYPERLINK("https://main.knesset.gov.il/APPS/legislation/main/bills/2078880", "הצעת חוק לעידוד מחקר, פיתוח וחדשנות טכנולוגית בתעשייה (תיקון - תקציב הרשות הלאומית לחדשנות טכנולוגית), התשע""ט-2019")</f>
        <v>30300</v>
      </c>
      <c r="E16255" t="s">
        <v>30300</v>
      </c>
      <c r="F16255" t="s">
        <v>31169</v>
      </c>
      <c r="G16255" t="s">
        <v>14</v>
      </c>
      <c r="H16255">
             </c>
      <c r="I16255" t="s">
        <v>14</v>
      </c>
      <c r="J16255" t="s">
        <v>141</v>
      </c>
      <c r="K16255" t="s">
        <v>14</v>
      </c>
      <c r="L16255" t="s">
        <v>20</v>
      </c>
      <c r="M16255" t="s">
        <v>30951</v>
      </c>
      <c r="N16255" t="s">
        <v>14</v>
      </c>
    </row>
    <row r="16256" x14ac:dyDescent="0.25">
      <c r="A16256" t="n">
        <v>21</v>
      </c>
      <c r="B16256" t="s">
        <v>14</v>
      </c>
      <c r="C16256" t="s">
        <v>22</v>
      </c>
      <c r="D16256" s="2" t="s">
        <f>=HYPERLINK("https://main.knesset.gov.il/APPS/legislation/main/bills/2078882", "הצעת חוק האזרחות והכניסה לישראל (הוראת שעה) (תיקון - ביטול החוק), התשע""ט-2019")</f>
        <v>31170</v>
      </c>
      <c r="E16256" t="s">
        <v>31170</v>
      </c>
      <c r="F16256" t="s">
        <v>31171</v>
      </c>
      <c r="G16256" t="s">
        <v>14</v>
      </c>
      <c r="H16256">
             </c>
      <c r="I16256" t="s">
        <v>14</v>
      </c>
      <c r="J16256" t="s">
        <v>141</v>
      </c>
      <c r="K16256" t="s">
        <v>14</v>
      </c>
      <c r="L16256" t="s">
        <v>20</v>
      </c>
      <c r="M16256" t="s">
        <v>30951</v>
      </c>
      <c r="N16256" t="s">
        <v>14</v>
      </c>
    </row>
    <row r="16257" x14ac:dyDescent="0.25">
      <c r="A16257" t="n">
        <v>21</v>
      </c>
      <c r="B16257" t="s">
        <v>14</v>
      </c>
      <c r="C16257" t="s">
        <v>22</v>
      </c>
      <c r="D16257" s="2" t="s">
        <f>=HYPERLINK("https://main.knesset.gov.il/APPS/legislation/main/bills/2078877", "הצעת חוק ביטוח בריאות ממלכתי (תיקון - זכאות למימון טיפול על ידי רופא שאינו כלול בהסדר הבחירה של קופת החולים), התשע""ט-2019")</f>
        <v>31172</v>
      </c>
      <c r="E16257" t="s">
        <v>31172</v>
      </c>
      <c r="F16257" t="s">
        <v>31173</v>
      </c>
      <c r="G16257" t="s">
        <v>14</v>
      </c>
      <c r="H16257">
             </c>
      <c r="I16257" t="s">
        <v>14</v>
      </c>
      <c r="J16257" t="s">
        <v>141</v>
      </c>
      <c r="K16257" t="s">
        <v>14</v>
      </c>
      <c r="L16257" t="s">
        <v>20</v>
      </c>
      <c r="M16257" t="s">
        <v>30951</v>
      </c>
      <c r="N16257" t="s">
        <v>14</v>
      </c>
    </row>
    <row r="16258" x14ac:dyDescent="0.25">
      <c r="A16258" t="n">
        <v>21</v>
      </c>
      <c r="B16258" t="s">
        <v>14</v>
      </c>
      <c r="C16258" t="s">
        <v>22</v>
      </c>
      <c r="D16258" s="2" t="s">
        <f>=HYPERLINK("https://main.knesset.gov.il/APPS/legislation/main/bills/2078876", "הצעת חוק שכר מינימום (תיקון - עוולה נזיקית וקובלנה), התשע""ט-2019")</f>
        <v>31174</v>
      </c>
      <c r="E16258" t="s">
        <v>31174</v>
      </c>
      <c r="F16258" t="s">
        <v>31175</v>
      </c>
      <c r="G16258" t="s">
        <v>14</v>
      </c>
      <c r="H16258">
             </c>
      <c r="I16258" t="s">
        <v>14</v>
      </c>
      <c r="J16258" t="s">
        <v>141</v>
      </c>
      <c r="K16258" t="s">
        <v>14</v>
      </c>
      <c r="L16258" t="s">
        <v>20</v>
      </c>
      <c r="M16258" t="s">
        <v>30951</v>
      </c>
      <c r="N16258" t="s">
        <v>14</v>
      </c>
    </row>
    <row r="16259" x14ac:dyDescent="0.25">
      <c r="A16259" t="n">
        <v>21</v>
      </c>
      <c r="B16259" t="s">
        <v>14</v>
      </c>
      <c r="C16259" t="s">
        <v>22</v>
      </c>
      <c r="D16259" s="2" t="s">
        <f>=HYPERLINK("https://main.knesset.gov.il/APPS/legislation/main/bills/2078872", "הצעת חוק הביטוח הלאומי (תיקון - עדכון הסכום הבסיסי לפי שכר המינימום לעניין קצבת שירותים מיוחדים), התשע""ט-2019")</f>
        <v>31176</v>
      </c>
      <c r="E16259" t="s">
        <v>31176</v>
      </c>
      <c r="F16259" t="s">
        <v>31177</v>
      </c>
      <c r="G16259" t="s">
        <v>14</v>
      </c>
      <c r="H16259">
             </c>
      <c r="I16259" t="s">
        <v>14</v>
      </c>
      <c r="J16259" t="s">
        <v>141</v>
      </c>
      <c r="K16259" t="s">
        <v>14</v>
      </c>
      <c r="L16259" t="s">
        <v>20</v>
      </c>
      <c r="M16259" t="s">
        <v>30951</v>
      </c>
      <c r="N16259" t="s">
        <v>14</v>
      </c>
    </row>
    <row r="16260" x14ac:dyDescent="0.25">
      <c r="A16260" t="n">
        <v>21</v>
      </c>
      <c r="B16260" t="s">
        <v>14</v>
      </c>
      <c r="C16260" t="s">
        <v>22</v>
      </c>
      <c r="D16260" s="2" t="s">
        <f>=HYPERLINK("https://main.knesset.gov.il/APPS/legislation/main/bills/2078868", "הצעת חוק הודעה לעובד ולמועמד לעבודה (תנאי עבודה והליכי מיון וקבלה לעבודה) (תיקון - הגברת השקיפות בעניין הפרשות לפנסיה), התשע""ט-2019")</f>
        <v>31178</v>
      </c>
      <c r="E16260" t="s">
        <v>31178</v>
      </c>
      <c r="F16260" t="s">
        <v>31179</v>
      </c>
      <c r="G16260" t="s">
        <v>14</v>
      </c>
      <c r="H16260">
             </c>
      <c r="I16260" t="s">
        <v>14</v>
      </c>
      <c r="J16260" t="s">
        <v>141</v>
      </c>
      <c r="K16260" t="s">
        <v>14</v>
      </c>
      <c r="L16260" t="s">
        <v>20</v>
      </c>
      <c r="M16260" t="s">
        <v>30951</v>
      </c>
      <c r="N16260" t="s">
        <v>14</v>
      </c>
    </row>
    <row r="16261" x14ac:dyDescent="0.25">
      <c r="A16261" t="n">
        <v>21</v>
      </c>
      <c r="B16261" t="s">
        <v>14</v>
      </c>
      <c r="C16261" t="s">
        <v>22</v>
      </c>
      <c r="D16261" s="2" t="s">
        <f>=HYPERLINK("https://main.knesset.gov.il/APPS/legislation/main/bills/2078862", "הצעת חוק המטה לביטחון לאומי (תיקון - פיקוח הכנסת על מינוי ראש המטה לביטחון לאומי), התשע""ט-2019")</f>
        <v>31180</v>
      </c>
      <c r="E16261" t="s">
        <v>31180</v>
      </c>
      <c r="F16261" t="s">
        <v>31181</v>
      </c>
      <c r="G16261" t="s">
        <v>14</v>
      </c>
      <c r="H16261">
             </c>
      <c r="I16261" t="s">
        <v>14</v>
      </c>
      <c r="J16261" t="s">
        <v>141</v>
      </c>
      <c r="K16261" t="s">
        <v>14</v>
      </c>
      <c r="L16261" t="s">
        <v>20</v>
      </c>
      <c r="M16261" t="s">
        <v>30951</v>
      </c>
      <c r="N16261" t="s">
        <v>14</v>
      </c>
    </row>
    <row r="16262" x14ac:dyDescent="0.25">
      <c r="A16262" t="n">
        <v>21</v>
      </c>
      <c r="B16262" t="s">
        <v>14</v>
      </c>
      <c r="C16262" t="s">
        <v>22</v>
      </c>
      <c r="D16262" s="2" t="s">
        <f>=HYPERLINK("https://main.knesset.gov.il/APPS/legislation/main/bills/2078857", "הצעת חוק עסקאות גופים ציבוריים (תיקון - מניעת העסקה במיקור חוץ בשירות הציבורי), התשע""ט-2019")</f>
        <v>30773</v>
      </c>
      <c r="E16262" t="s">
        <v>30773</v>
      </c>
      <c r="F16262" t="s">
        <v>31182</v>
      </c>
      <c r="G16262" t="s">
        <v>14</v>
      </c>
      <c r="H16262">
             </c>
      <c r="I16262" t="s">
        <v>14</v>
      </c>
      <c r="J16262" t="s">
        <v>141</v>
      </c>
      <c r="K16262" t="s">
        <v>14</v>
      </c>
      <c r="L16262" t="s">
        <v>20</v>
      </c>
      <c r="M16262" t="s">
        <v>30951</v>
      </c>
      <c r="N16262" t="s">
        <v>14</v>
      </c>
    </row>
    <row r="16263" x14ac:dyDescent="0.25">
      <c r="A16263" t="n">
        <v>21</v>
      </c>
      <c r="B16263" t="s">
        <v>14</v>
      </c>
      <c r="C16263" t="s">
        <v>22</v>
      </c>
      <c r="D16263" s="2" t="s">
        <f>=HYPERLINK("https://main.knesset.gov.il/APPS/legislation/main/bills/2078854", "הצעת חוק הבטחת הכנסה (תיקון - זכאות לגמלה למי שמצוי בהכשרה מקצועית), התשע""ט-2019")</f>
        <v>31183</v>
      </c>
      <c r="E16263" t="s">
        <v>31183</v>
      </c>
      <c r="F16263" t="s">
        <v>31184</v>
      </c>
      <c r="G16263" t="s">
        <v>14</v>
      </c>
      <c r="H16263">
             </c>
      <c r="I16263" t="s">
        <v>14</v>
      </c>
      <c r="J16263" t="s">
        <v>141</v>
      </c>
      <c r="K16263" t="s">
        <v>14</v>
      </c>
      <c r="L16263" t="s">
        <v>20</v>
      </c>
      <c r="M16263" t="s">
        <v>30951</v>
      </c>
      <c r="N16263" t="s">
        <v>14</v>
      </c>
    </row>
    <row r="16264" x14ac:dyDescent="0.25">
      <c r="A16264" t="n">
        <v>21</v>
      </c>
      <c r="B16264" t="s">
        <v>14</v>
      </c>
      <c r="C16264" t="s">
        <v>22</v>
      </c>
      <c r="D16264" s="2" t="s">
        <f>=HYPERLINK("https://main.knesset.gov.il/APPS/legislation/main/bills/2078850", "הצעת חוק הגנה על בריאות הציבור (מזון) (תיקון - סמכות שר הכלכלה והתעשייה לעניין משקאות משכרים), התשע""ט-2019")</f>
        <v>31185</v>
      </c>
      <c r="E16264" t="s">
        <v>31185</v>
      </c>
      <c r="F16264" t="s">
        <v>31186</v>
      </c>
      <c r="G16264" t="s">
        <v>14</v>
      </c>
      <c r="H16264">
             </c>
      <c r="I16264" t="s">
        <v>14</v>
      </c>
      <c r="J16264" t="s">
        <v>141</v>
      </c>
      <c r="K16264" t="s">
        <v>14</v>
      </c>
      <c r="L16264" t="s">
        <v>20</v>
      </c>
      <c r="M16264" t="s">
        <v>30951</v>
      </c>
      <c r="N16264" t="s">
        <v>14</v>
      </c>
    </row>
    <row r="16265" x14ac:dyDescent="0.25">
      <c r="A16265" t="n">
        <v>21</v>
      </c>
      <c r="B16265" t="s">
        <v>14</v>
      </c>
      <c r="C16265" t="s">
        <v>22</v>
      </c>
      <c r="D16265" s="2" t="s">
        <f>=HYPERLINK("https://main.knesset.gov.il/APPS/legislation/main/bills/2078847", "הצעת חוק זכאות לאבחון לקויות למידה לילדים ממשפחות מעוטות יכולת, התשע""ט-2019")</f>
        <v>31187</v>
      </c>
      <c r="E16265" t="s">
        <v>31187</v>
      </c>
      <c r="F16265" t="s">
        <v>31188</v>
      </c>
      <c r="G16265" t="s">
        <v>14</v>
      </c>
      <c r="H16265">
             </c>
      <c r="I16265" t="s">
        <v>14</v>
      </c>
      <c r="J16265" t="s">
        <v>141</v>
      </c>
      <c r="K16265" t="s">
        <v>14</v>
      </c>
      <c r="L16265" t="s">
        <v>20</v>
      </c>
      <c r="M16265" t="s">
        <v>30951</v>
      </c>
      <c r="N16265" t="s">
        <v>14</v>
      </c>
    </row>
    <row r="16266" x14ac:dyDescent="0.25">
      <c r="A16266" t="n">
        <v>21</v>
      </c>
      <c r="B16266" t="s">
        <v>14</v>
      </c>
      <c r="C16266" t="s">
        <v>22</v>
      </c>
      <c r="D16266" s="2" t="s">
        <f>=HYPERLINK("https://main.knesset.gov.il/APPS/legislation/main/bills/2078846", "הצעת חוק להנצחת מורשת המחתרות, התשע""ט-2019")</f>
        <v>31189</v>
      </c>
      <c r="E16266" t="s">
        <v>31189</v>
      </c>
      <c r="F16266" t="s">
        <v>31190</v>
      </c>
      <c r="G16266" t="s">
        <v>14</v>
      </c>
      <c r="H16266">
             </c>
      <c r="I16266" t="s">
        <v>14</v>
      </c>
      <c r="J16266" t="s">
        <v>141</v>
      </c>
      <c r="K16266" t="s">
        <v>14</v>
      </c>
      <c r="L16266" t="s">
        <v>20</v>
      </c>
      <c r="M16266" t="s">
        <v>30951</v>
      </c>
      <c r="N16266" t="s">
        <v>14</v>
      </c>
    </row>
    <row r="16267" x14ac:dyDescent="0.25">
      <c r="A16267" t="n">
        <v>21</v>
      </c>
      <c r="B16267" t="s">
        <v>14</v>
      </c>
      <c r="C16267" t="s">
        <v>22</v>
      </c>
      <c r="D16267" s="2" t="s">
        <f>=HYPERLINK("https://main.knesset.gov.il/APPS/legislation/main/bills/2078836", "הצעת חוק הבנקאות (רישוי) (תיקון - עידוד תחרות בשוק האשראי), התשע""ט-2019")</f>
        <v>31191</v>
      </c>
      <c r="E16267" t="s">
        <v>31191</v>
      </c>
      <c r="F16267" t="s">
        <v>31192</v>
      </c>
      <c r="G16267" t="s">
        <v>14</v>
      </c>
      <c r="H16267">
             </c>
      <c r="I16267" t="s">
        <v>14</v>
      </c>
      <c r="J16267" t="s">
        <v>141</v>
      </c>
      <c r="K16267" t="s">
        <v>14</v>
      </c>
      <c r="L16267" t="s">
        <v>20</v>
      </c>
      <c r="M16267" t="s">
        <v>30951</v>
      </c>
      <c r="N16267" t="s">
        <v>14</v>
      </c>
    </row>
    <row r="16268" x14ac:dyDescent="0.25">
      <c r="A16268" t="n">
        <v>21</v>
      </c>
      <c r="B16268" t="s">
        <v>14</v>
      </c>
      <c r="C16268" t="s">
        <v>22</v>
      </c>
      <c r="D16268" s="2" t="s">
        <f>=HYPERLINK("https://main.knesset.gov.il/APPS/legislation/main/bills/2078833", "הצעת חוק לתיקון פקודת מס הכנסה (פטור ממס על משיכה הונית מקופת גמל), התשע""ט-2019")</f>
        <v>31193</v>
      </c>
      <c r="E16268" t="s">
        <v>31193</v>
      </c>
      <c r="F16268" t="s">
        <v>31194</v>
      </c>
      <c r="G16268" t="s">
        <v>14</v>
      </c>
      <c r="H16268">
             </c>
      <c r="I16268" t="s">
        <v>14</v>
      </c>
      <c r="J16268" t="s">
        <v>141</v>
      </c>
      <c r="K16268" t="s">
        <v>14</v>
      </c>
      <c r="L16268" t="s">
        <v>20</v>
      </c>
      <c r="M16268" t="s">
        <v>30951</v>
      </c>
      <c r="N16268" t="s">
        <v>14</v>
      </c>
    </row>
    <row r="16269" x14ac:dyDescent="0.25">
      <c r="A16269" t="n">
        <v>21</v>
      </c>
      <c r="B16269" t="s">
        <v>14</v>
      </c>
      <c r="C16269" t="s">
        <v>22</v>
      </c>
      <c r="D16269" s="2" t="s">
        <f>=HYPERLINK("https://main.knesset.gov.il/APPS/legislation/main/bills/2078826", "הצעת חוק החברות (תיקון - ייצוג הולם לבני שני המינים בדירקטוריונים של חברות ציבוריות), התשע""ט-2019")</f>
        <v>31195</v>
      </c>
      <c r="E16269" t="s">
        <v>31195</v>
      </c>
      <c r="F16269" t="s">
        <v>31196</v>
      </c>
      <c r="G16269" t="s">
        <v>14</v>
      </c>
      <c r="H16269">
             </c>
      <c r="I16269" t="s">
        <v>14</v>
      </c>
      <c r="J16269" t="s">
        <v>141</v>
      </c>
      <c r="K16269" t="s">
        <v>14</v>
      </c>
      <c r="L16269" t="s">
        <v>20</v>
      </c>
      <c r="M16269" t="s">
        <v>30951</v>
      </c>
      <c r="N16269" t="s">
        <v>14</v>
      </c>
    </row>
    <row r="16270" x14ac:dyDescent="0.25">
      <c r="A16270" t="n">
        <v>21</v>
      </c>
      <c r="B16270" t="s">
        <v>14</v>
      </c>
      <c r="C16270" t="s">
        <v>22</v>
      </c>
      <c r="D16270" s="2" t="s">
        <f>=HYPERLINK("https://main.knesset.gov.il/APPS/legislation/main/bills/2078823", "הצעת חוק הבנקאות (רישוי) (תיקון - הנפקת אגרות חוב על ידי מי שאינו תאגיד בנקאי), התשע""ט-2019")</f>
        <v>31197</v>
      </c>
      <c r="E16270" t="s">
        <v>31197</v>
      </c>
      <c r="F16270" t="s">
        <v>31198</v>
      </c>
      <c r="G16270" t="s">
        <v>14</v>
      </c>
      <c r="H16270">
             </c>
      <c r="I16270" t="s">
        <v>14</v>
      </c>
      <c r="J16270" t="s">
        <v>141</v>
      </c>
      <c r="K16270" t="s">
        <v>14</v>
      </c>
      <c r="L16270" t="s">
        <v>20</v>
      </c>
      <c r="M16270" t="s">
        <v>30951</v>
      </c>
      <c r="N16270" t="s">
        <v>14</v>
      </c>
    </row>
    <row r="16271" x14ac:dyDescent="0.25">
      <c r="A16271" t="n">
        <v>21</v>
      </c>
      <c r="B16271" t="s">
        <v>14</v>
      </c>
      <c r="C16271" t="s">
        <v>22</v>
      </c>
      <c r="D16271" s="2" t="s">
        <f>=HYPERLINK("https://main.knesset.gov.il/APPS/legislation/main/bills/2078820", "הצעת חוק השירותים החשאיים, התשע""ט-2019")</f>
        <v>31199</v>
      </c>
      <c r="E16271" t="s">
        <v>31199</v>
      </c>
      <c r="F16271" t="s">
        <v>31200</v>
      </c>
      <c r="G16271" t="s">
        <v>14</v>
      </c>
      <c r="H16271">
             </c>
      <c r="I16271" t="s">
        <v>14</v>
      </c>
      <c r="J16271" t="s">
        <v>141</v>
      </c>
      <c r="K16271" t="s">
        <v>14</v>
      </c>
      <c r="L16271" t="s">
        <v>20</v>
      </c>
      <c r="M16271" t="s">
        <v>30951</v>
      </c>
      <c r="N16271" t="s">
        <v>14</v>
      </c>
    </row>
    <row r="16272" x14ac:dyDescent="0.25">
      <c r="A16272" t="n">
        <v>21</v>
      </c>
      <c r="B16272" t="s">
        <v>14</v>
      </c>
      <c r="C16272" t="s">
        <v>22</v>
      </c>
      <c r="D16272" s="2" t="s">
        <f>=HYPERLINK("https://main.knesset.gov.il/APPS/legislation/main/bills/2078818", "הצעת חוק הבנקאות (שירות ללקוח) (תיקון - איסור גביית עמלה בעד טיפול בירושות ובעזבונות), התשע""ט-2019")</f>
        <v>31201</v>
      </c>
      <c r="E16272" t="s">
        <v>31201</v>
      </c>
      <c r="F16272" t="s">
        <v>31202</v>
      </c>
      <c r="G16272" t="s">
        <v>14</v>
      </c>
      <c r="H16272">
             </c>
      <c r="I16272" t="s">
        <v>14</v>
      </c>
      <c r="J16272" t="s">
        <v>141</v>
      </c>
      <c r="K16272" t="s">
        <v>14</v>
      </c>
      <c r="L16272" t="s">
        <v>20</v>
      </c>
      <c r="M16272" t="s">
        <v>30951</v>
      </c>
      <c r="N16272" t="s">
        <v>14</v>
      </c>
    </row>
    <row r="16273" x14ac:dyDescent="0.25">
      <c r="A16273" t="n">
        <v>21</v>
      </c>
      <c r="B16273" t="s">
        <v>14</v>
      </c>
      <c r="C16273" t="s">
        <v>22</v>
      </c>
      <c r="D16273" s="2" t="s">
        <f>=HYPERLINK("https://main.knesset.gov.il/APPS/legislation/main/bills/2078815", "הצעת חוק הביטוח לאומי (תיקון - ביטוח זכויות עצמאי שעיקר הכנסתו מעסק שמצוי בפשיטת רגל או בפירוק), התשע""ט-2019")</f>
        <v>31203</v>
      </c>
      <c r="E16273" t="s">
        <v>31203</v>
      </c>
      <c r="F16273" t="s">
        <v>31204</v>
      </c>
      <c r="G16273" t="s">
        <v>14</v>
      </c>
      <c r="H16273">
             </c>
      <c r="I16273" t="s">
        <v>14</v>
      </c>
      <c r="J16273" t="s">
        <v>141</v>
      </c>
      <c r="K16273" t="s">
        <v>14</v>
      </c>
      <c r="L16273" t="s">
        <v>20</v>
      </c>
      <c r="M16273" t="s">
        <v>30951</v>
      </c>
      <c r="N16273" t="s">
        <v>14</v>
      </c>
    </row>
    <row r="16274" x14ac:dyDescent="0.25">
      <c r="A16274" t="n">
        <v>21</v>
      </c>
      <c r="B16274" t="s">
        <v>14</v>
      </c>
      <c r="C16274" t="s">
        <v>22</v>
      </c>
      <c r="D16274" s="2" t="s">
        <f>=HYPERLINK("https://main.knesset.gov.il/APPS/legislation/main/bills/2078807", "הצעת חוק הביטוח הלאומי (תיקון - שכר הוגן לחיילי מילואים שעובדים במשרה חלקית), התשע""ט-2019 ")</f>
        <v>31205</v>
      </c>
      <c r="E16274" t="s">
        <v>31205</v>
      </c>
      <c r="F16274" t="s">
        <v>31206</v>
      </c>
      <c r="G16274" t="s">
        <v>14</v>
      </c>
      <c r="H16274">
             </c>
      <c r="I16274" t="s">
        <v>14</v>
      </c>
      <c r="J16274" t="s">
        <v>141</v>
      </c>
      <c r="K16274" t="s">
        <v>14</v>
      </c>
      <c r="L16274" t="s">
        <v>20</v>
      </c>
      <c r="M16274" t="s">
        <v>30951</v>
      </c>
      <c r="N16274" t="s">
        <v>14</v>
      </c>
    </row>
    <row r="16275" x14ac:dyDescent="0.25">
      <c r="A16275" t="n">
        <v>21</v>
      </c>
      <c r="B16275" t="s">
        <v>14</v>
      </c>
      <c r="C16275" t="s">
        <v>22</v>
      </c>
      <c r="D16275" s="2" t="s">
        <f>=HYPERLINK("https://main.knesset.gov.il/APPS/legislation/main/bills/2078804", "הצעת חוק הקמת חדרי מיון בקרית שמונה ושדרות, התשע""ט-2019")</f>
        <v>31207</v>
      </c>
      <c r="E16275" t="s">
        <v>31207</v>
      </c>
      <c r="F16275" t="s">
        <v>31208</v>
      </c>
      <c r="G16275" t="s">
        <v>14</v>
      </c>
      <c r="H16275">
             </c>
      <c r="I16275" t="s">
        <v>14</v>
      </c>
      <c r="J16275" t="s">
        <v>141</v>
      </c>
      <c r="K16275" t="s">
        <v>14</v>
      </c>
      <c r="L16275" t="s">
        <v>20</v>
      </c>
      <c r="M16275" t="s">
        <v>30951</v>
      </c>
      <c r="N16275" t="s">
        <v>14</v>
      </c>
    </row>
    <row r="16276" x14ac:dyDescent="0.25">
      <c r="A16276" t="n">
        <v>21</v>
      </c>
      <c r="B16276" t="s">
        <v>14</v>
      </c>
      <c r="C16276" t="s">
        <v>22</v>
      </c>
      <c r="D16276" s="2" t="s">
        <f>=HYPERLINK("https://main.knesset.gov.il/APPS/legislation/main/bills/2078803", "הצעת חוק הפעלת תחבורה ציבורית ביום המנוחה השבועי, התשע""ט-2019")</f>
        <v>31209</v>
      </c>
      <c r="E16276" t="s">
        <v>31209</v>
      </c>
      <c r="F16276" t="s">
        <v>31210</v>
      </c>
      <c r="G16276" t="s">
        <v>14</v>
      </c>
      <c r="H16276">
             </c>
      <c r="I16276" t="s">
        <v>14</v>
      </c>
      <c r="J16276" t="s">
        <v>141</v>
      </c>
      <c r="K16276" t="s">
        <v>14</v>
      </c>
      <c r="L16276" t="s">
        <v>20</v>
      </c>
      <c r="M16276" t="s">
        <v>30951</v>
      </c>
      <c r="N16276" t="s">
        <v>14</v>
      </c>
    </row>
    <row r="16277" x14ac:dyDescent="0.25">
      <c r="A16277" t="n">
        <v>21</v>
      </c>
      <c r="B16277" t="s">
        <v>14</v>
      </c>
      <c r="C16277" t="s">
        <v>22</v>
      </c>
      <c r="D16277" s="2" t="s">
        <f>=HYPERLINK("https://main.knesset.gov.il/APPS/legislation/main/bills/2078800", "הצעת חוק המועצה הלאומית לחינוך, התשע""ט-2019 ")</f>
        <v>31211</v>
      </c>
      <c r="E16277" t="s">
        <v>31211</v>
      </c>
      <c r="F16277" t="s">
        <v>31212</v>
      </c>
      <c r="G16277" t="s">
        <v>14</v>
      </c>
      <c r="H16277">
             </c>
      <c r="I16277" t="s">
        <v>14</v>
      </c>
      <c r="J16277" t="s">
        <v>141</v>
      </c>
      <c r="K16277" t="s">
        <v>14</v>
      </c>
      <c r="L16277" t="s">
        <v>20</v>
      </c>
      <c r="M16277" t="s">
        <v>30951</v>
      </c>
      <c r="N16277" t="s">
        <v>14</v>
      </c>
    </row>
    <row r="16278" x14ac:dyDescent="0.25">
      <c r="A16278" t="n">
        <v>21</v>
      </c>
      <c r="B16278" t="s">
        <v>14</v>
      </c>
      <c r="C16278" t="s">
        <v>22</v>
      </c>
      <c r="D16278" s="2" t="s">
        <f>=HYPERLINK("https://main.knesset.gov.il/APPS/legislation/main/bills/2078798", "הצעת חוק הסדרים במשק המדינה (תיקוני חקיקה להשגת יעדי התקציב) (תיקון - הנחה בארנונה לרופאים מתמחים בפריפריה), התשע""ט-2019")</f>
        <v>31213</v>
      </c>
      <c r="E16278" t="s">
        <v>31213</v>
      </c>
      <c r="F16278" t="s">
        <v>31214</v>
      </c>
      <c r="G16278" t="s">
        <v>14</v>
      </c>
      <c r="H16278">
             </c>
      <c r="I16278" t="s">
        <v>14</v>
      </c>
      <c r="J16278" t="s">
        <v>141</v>
      </c>
      <c r="K16278" t="s">
        <v>14</v>
      </c>
      <c r="L16278" t="s">
        <v>20</v>
      </c>
      <c r="M16278" t="s">
        <v>30951</v>
      </c>
      <c r="N16278" t="s">
        <v>14</v>
      </c>
    </row>
    <row r="16279" x14ac:dyDescent="0.25">
      <c r="A16279" t="n">
        <v>21</v>
      </c>
      <c r="B16279" t="s">
        <v>14</v>
      </c>
      <c r="C16279" t="s">
        <v>22</v>
      </c>
      <c r="D16279" s="2" t="s">
        <f>=HYPERLINK("https://main.knesset.gov.il/APPS/legislation/main/bills/2078793", "הצעת חוק הגנת הצרכן (תיקון - ביטול החרגת תאגידים בנקאיים וביטוחיים), התשע""ט-2019")</f>
        <v>31215</v>
      </c>
      <c r="E16279" t="s">
        <v>31215</v>
      </c>
      <c r="F16279" t="s">
        <v>31216</v>
      </c>
      <c r="G16279" t="s">
        <v>14</v>
      </c>
      <c r="H16279">
             </c>
      <c r="I16279" t="s">
        <v>14</v>
      </c>
      <c r="J16279" t="s">
        <v>141</v>
      </c>
      <c r="K16279" t="s">
        <v>14</v>
      </c>
      <c r="L16279" t="s">
        <v>20</v>
      </c>
      <c r="M16279" t="s">
        <v>30951</v>
      </c>
      <c r="N16279" t="s">
        <v>14</v>
      </c>
    </row>
    <row r="16280" x14ac:dyDescent="0.25">
      <c r="A16280" t="n">
        <v>21</v>
      </c>
      <c r="B16280" t="s">
        <v>14</v>
      </c>
      <c r="C16280" t="s">
        <v>22</v>
      </c>
      <c r="D16280" s="2" t="s">
        <f>=HYPERLINK("https://main.knesset.gov.il/APPS/legislation/main/bills/2078789", "הצעת חוק הביטוח הלאומי (תיקון - הארכת זכאות רטרואקטיבית לקצבת שאירים), התשע""ט-2019")</f>
        <v>31217</v>
      </c>
      <c r="E16280" t="s">
        <v>31217</v>
      </c>
      <c r="F16280" t="s">
        <v>31218</v>
      </c>
      <c r="G16280" t="s">
        <v>14</v>
      </c>
      <c r="H16280">
             </c>
      <c r="I16280" t="s">
        <v>14</v>
      </c>
      <c r="J16280" t="s">
        <v>141</v>
      </c>
      <c r="K16280" t="s">
        <v>14</v>
      </c>
      <c r="L16280" t="s">
        <v>20</v>
      </c>
      <c r="M16280" t="s">
        <v>30951</v>
      </c>
      <c r="N16280" t="s">
        <v>14</v>
      </c>
    </row>
    <row r="16281" x14ac:dyDescent="0.25">
      <c r="A16281" t="n">
        <v>21</v>
      </c>
      <c r="B16281" t="s">
        <v>14</v>
      </c>
      <c r="C16281" t="s">
        <v>22</v>
      </c>
      <c r="D16281" s="2" t="s">
        <f>=HYPERLINK("https://main.knesset.gov.il/APPS/legislation/main/bills/2078784", "הצעת חוק הפיקוח על יצוא ביטחוני (תיקון - הגבלות על יצוא ביטחוני לכוחות ביטחון שביצעו הפרות חמורות של זכויות אדם), התשע""ט-2019")</f>
        <v>31219</v>
      </c>
      <c r="E16281" t="s">
        <v>31219</v>
      </c>
      <c r="F16281" t="s">
        <v>31220</v>
      </c>
      <c r="G16281" t="s">
        <v>14</v>
      </c>
      <c r="H16281">
             </c>
      <c r="I16281" t="s">
        <v>14</v>
      </c>
      <c r="J16281" t="s">
        <v>141</v>
      </c>
      <c r="K16281" t="s">
        <v>14</v>
      </c>
      <c r="L16281" t="s">
        <v>20</v>
      </c>
      <c r="M16281" t="s">
        <v>30951</v>
      </c>
      <c r="N16281" t="s">
        <v>14</v>
      </c>
    </row>
    <row r="16282" x14ac:dyDescent="0.25">
      <c r="A16282" t="n">
        <v>21</v>
      </c>
      <c r="B16282" t="s">
        <v>14</v>
      </c>
      <c r="C16282" t="s">
        <v>22</v>
      </c>
      <c r="D16282" s="2" t="s">
        <f>=HYPERLINK("https://main.knesset.gov.il/APPS/legislation/main/bills/2078782", "הצעת חוק אדמות נסיגת ים המלח, התשע""ט-2019")</f>
        <v>31221</v>
      </c>
      <c r="E16282" t="s">
        <v>31221</v>
      </c>
      <c r="F16282" t="s">
        <v>31222</v>
      </c>
      <c r="G16282" t="s">
        <v>14</v>
      </c>
      <c r="H16282">
             </c>
      <c r="I16282" t="s">
        <v>14</v>
      </c>
      <c r="J16282" t="s">
        <v>141</v>
      </c>
      <c r="K16282" t="s">
        <v>14</v>
      </c>
      <c r="L16282" t="s">
        <v>20</v>
      </c>
      <c r="M16282" t="s">
        <v>30951</v>
      </c>
      <c r="N16282" t="s">
        <v>14</v>
      </c>
    </row>
    <row r="16283" x14ac:dyDescent="0.25">
      <c r="A16283" t="n">
        <v>21</v>
      </c>
      <c r="B16283" t="s">
        <v>14</v>
      </c>
      <c r="C16283" t="s">
        <v>22</v>
      </c>
      <c r="D16283" s="2" t="s">
        <f>=HYPERLINK("https://main.knesset.gov.il/APPS/legislation/main/bills/2078781", "הצעת חוק הממשלה (תיקון - ועדת שרים לענייני ביטחון לאומי), התשע""ט-2019")</f>
        <v>31223</v>
      </c>
      <c r="E16283" t="s">
        <v>31223</v>
      </c>
      <c r="F16283" t="s">
        <v>31224</v>
      </c>
      <c r="G16283" t="s">
        <v>14</v>
      </c>
      <c r="H16283">
             </c>
      <c r="I16283" t="s">
        <v>14</v>
      </c>
      <c r="J16283" t="s">
        <v>141</v>
      </c>
      <c r="K16283" t="s">
        <v>14</v>
      </c>
      <c r="L16283" t="s">
        <v>20</v>
      </c>
      <c r="M16283" t="s">
        <v>30951</v>
      </c>
      <c r="N16283" t="s">
        <v>14</v>
      </c>
    </row>
    <row r="16284" x14ac:dyDescent="0.25">
      <c r="A16284" t="n">
        <v>21</v>
      </c>
      <c r="B16284" t="s">
        <v>14</v>
      </c>
      <c r="C16284" t="s">
        <v>22</v>
      </c>
      <c r="D16284" s="2" t="s">
        <f>=HYPERLINK("https://main.knesset.gov.il/APPS/legislation/main/bills/2078780", "הצעת חוק ביטוח בריאות ממלכתי (תיקון - הרחבת הסדרי הבחירה), התשע""ט-2019")</f>
        <v>31225</v>
      </c>
      <c r="E16284" t="s">
        <v>31225</v>
      </c>
      <c r="F16284" t="s">
        <v>31226</v>
      </c>
      <c r="G16284" t="s">
        <v>14</v>
      </c>
      <c r="H16284">
             </c>
      <c r="I16284" t="s">
        <v>14</v>
      </c>
      <c r="J16284" t="s">
        <v>141</v>
      </c>
      <c r="K16284" t="s">
        <v>14</v>
      </c>
      <c r="L16284" t="s">
        <v>20</v>
      </c>
      <c r="M16284" t="s">
        <v>30951</v>
      </c>
      <c r="N16284" t="s">
        <v>14</v>
      </c>
    </row>
    <row r="16285" x14ac:dyDescent="0.25">
      <c r="A16285" t="n">
        <v>21</v>
      </c>
      <c r="B16285" t="s">
        <v>14</v>
      </c>
      <c r="C16285" t="s">
        <v>22</v>
      </c>
      <c r="D16285" s="2" t="s">
        <f>=HYPERLINK("https://main.knesset.gov.il/APPS/legislation/main/bills/2078777", "הצעת חוק זכויות החולה (תיקון - טיפול בזמן סביר), התשע""ט-2019")</f>
        <v>31227</v>
      </c>
      <c r="E16285" t="s">
        <v>31227</v>
      </c>
      <c r="F16285" t="s">
        <v>31228</v>
      </c>
      <c r="G16285" t="s">
        <v>14</v>
      </c>
      <c r="H16285">
             </c>
      <c r="I16285" t="s">
        <v>14</v>
      </c>
      <c r="J16285" t="s">
        <v>141</v>
      </c>
      <c r="K16285" t="s">
        <v>14</v>
      </c>
      <c r="L16285" t="s">
        <v>20</v>
      </c>
      <c r="M16285" t="s">
        <v>30951</v>
      </c>
      <c r="N16285" t="s">
        <v>14</v>
      </c>
    </row>
    <row r="16286" x14ac:dyDescent="0.25">
      <c r="A16286" t="n">
        <v>21</v>
      </c>
      <c r="B16286" t="s">
        <v>14</v>
      </c>
      <c r="C16286" t="s">
        <v>22</v>
      </c>
      <c r="D16286" s="2" t="s">
        <f>=HYPERLINK("https://main.knesset.gov.il/APPS/legislation/main/bills/2078776", "הצעת חוק מס רכוש וקרן פיצויים (תיקון - תשלום פיצויים בעד תשלום שכר עבודה), התשע""ט-2019")</f>
        <v>31229</v>
      </c>
      <c r="E16286" t="s">
        <v>31229</v>
      </c>
      <c r="F16286" t="s">
        <v>31230</v>
      </c>
      <c r="G16286" t="s">
        <v>14</v>
      </c>
      <c r="H16286">
             </c>
      <c r="I16286" t="s">
        <v>14</v>
      </c>
      <c r="J16286" t="s">
        <v>141</v>
      </c>
      <c r="K16286" t="s">
        <v>14</v>
      </c>
      <c r="L16286" t="s">
        <v>20</v>
      </c>
      <c r="M16286" t="s">
        <v>30951</v>
      </c>
      <c r="N16286" t="s">
        <v>14</v>
      </c>
    </row>
    <row r="16287" x14ac:dyDescent="0.25">
      <c r="A16287" t="n">
        <v>21</v>
      </c>
      <c r="B16287" t="s">
        <v>14</v>
      </c>
      <c r="C16287" t="s">
        <v>22</v>
      </c>
      <c r="D16287" s="2" t="s">
        <f>=HYPERLINK("https://main.knesset.gov.il/APPS/legislation/main/bills/2078774", "הצעת חוק הגנת הצרכן (תיקון - חובת הקלטה של עסקה טלפונית), התשע""ט-2019")</f>
        <v>31231</v>
      </c>
      <c r="E16287" t="s">
        <v>31231</v>
      </c>
      <c r="F16287" t="s">
        <v>31232</v>
      </c>
      <c r="G16287" t="s">
        <v>14</v>
      </c>
      <c r="H16287">
             </c>
      <c r="I16287" t="s">
        <v>14</v>
      </c>
      <c r="J16287" t="s">
        <v>141</v>
      </c>
      <c r="K16287" t="s">
        <v>14</v>
      </c>
      <c r="L16287" t="s">
        <v>20</v>
      </c>
      <c r="M16287" t="s">
        <v>30951</v>
      </c>
      <c r="N16287" t="s">
        <v>14</v>
      </c>
    </row>
    <row r="16288" x14ac:dyDescent="0.25">
      <c r="A16288" t="n">
        <v>21</v>
      </c>
      <c r="B16288" t="s">
        <v>14</v>
      </c>
      <c r="C16288" t="s">
        <v>22</v>
      </c>
      <c r="D16288" s="2" t="s">
        <f>=HYPERLINK("https://main.knesset.gov.il/APPS/legislation/main/bills/2078772", "הצעת חוק הגנת הצרכן (תיקון - הנגשת שירותים ממשלתיים לאזרח), התשע""ט-2019")</f>
        <v>31233</v>
      </c>
      <c r="E16288" t="s">
        <v>31233</v>
      </c>
      <c r="F16288" t="s">
        <v>31234</v>
      </c>
      <c r="G16288" t="s">
        <v>14</v>
      </c>
      <c r="H16288">
             </c>
      <c r="I16288" t="s">
        <v>14</v>
      </c>
      <c r="J16288" t="s">
        <v>141</v>
      </c>
      <c r="K16288" t="s">
        <v>14</v>
      </c>
      <c r="L16288" t="s">
        <v>20</v>
      </c>
      <c r="M16288" t="s">
        <v>30951</v>
      </c>
      <c r="N16288" t="s">
        <v>14</v>
      </c>
    </row>
    <row r="16289" x14ac:dyDescent="0.25">
      <c r="A16289" t="n">
        <v>21</v>
      </c>
      <c r="B16289" t="s">
        <v>14</v>
      </c>
      <c r="C16289" t="s">
        <v>22</v>
      </c>
      <c r="D16289" s="2" t="s">
        <f>=HYPERLINK("https://main.knesset.gov.il/APPS/legislation/main/bills/2078767", "הצעת חוק ביטול עונש המוות (תיקוני חקיקה), התשע""ט-2019")</f>
        <v>31235</v>
      </c>
      <c r="E16289" t="s">
        <v>31235</v>
      </c>
      <c r="F16289" t="s">
        <v>31236</v>
      </c>
      <c r="G16289" t="s">
        <v>14</v>
      </c>
      <c r="H16289">
             </c>
      <c r="I16289" t="s">
        <v>14</v>
      </c>
      <c r="J16289" t="s">
        <v>141</v>
      </c>
      <c r="K16289" t="s">
        <v>14</v>
      </c>
      <c r="L16289" t="s">
        <v>20</v>
      </c>
      <c r="M16289" t="s">
        <v>30951</v>
      </c>
      <c r="N16289" t="s">
        <v>14</v>
      </c>
    </row>
    <row r="16290" x14ac:dyDescent="0.25">
      <c r="A16290" t="n">
        <v>21</v>
      </c>
      <c r="B16290" t="s">
        <v>14</v>
      </c>
      <c r="C16290" t="s">
        <v>22</v>
      </c>
      <c r="D16290" s="2" t="s">
        <f>=HYPERLINK("https://main.knesset.gov.il/APPS/legislation/main/bills/2078764", "הצעת חוק הביטוח הלאומי (תיקון - הטבות למי שמקבל גמלה לפי חוק הביטוח הלאומי וקיבל גמלת הבטחת הכנסה), התשע""ט-2019 ")</f>
        <v>31237</v>
      </c>
      <c r="E16290" t="s">
        <v>31237</v>
      </c>
      <c r="F16290" t="s">
        <v>31238</v>
      </c>
      <c r="G16290" t="s">
        <v>14</v>
      </c>
      <c r="H16290">
             </c>
      <c r="I16290" t="s">
        <v>14</v>
      </c>
      <c r="J16290" t="s">
        <v>141</v>
      </c>
      <c r="K16290" t="s">
        <v>14</v>
      </c>
      <c r="L16290" t="s">
        <v>20</v>
      </c>
      <c r="M16290" t="s">
        <v>30951</v>
      </c>
      <c r="N16290" t="s">
        <v>14</v>
      </c>
    </row>
    <row r="16291" x14ac:dyDescent="0.25">
      <c r="A16291" t="n">
        <v>21</v>
      </c>
      <c r="B16291" t="s">
        <v>14</v>
      </c>
      <c r="C16291" t="s">
        <v>22</v>
      </c>
      <c r="D16291" s="2" t="s">
        <f>=HYPERLINK("https://main.knesset.gov.il/APPS/legislation/main/bills/2078759", "הצעת חוק הגנת הצרכן (תיקון - מתן שירות טלפוני חינם למשתמשי רשת חברתית מקוונת), התשע""ט-2019")</f>
        <v>31239</v>
      </c>
      <c r="E16291" t="s">
        <v>31239</v>
      </c>
      <c r="F16291" t="s">
        <v>31240</v>
      </c>
      <c r="G16291" t="s">
        <v>14</v>
      </c>
      <c r="H16291">
             </c>
      <c r="I16291" t="s">
        <v>14</v>
      </c>
      <c r="J16291" t="s">
        <v>141</v>
      </c>
      <c r="K16291" t="s">
        <v>14</v>
      </c>
      <c r="L16291" t="s">
        <v>20</v>
      </c>
      <c r="M16291" t="s">
        <v>30951</v>
      </c>
      <c r="N16291" t="s">
        <v>14</v>
      </c>
    </row>
    <row r="16292" x14ac:dyDescent="0.25">
      <c r="A16292" t="n">
        <v>21</v>
      </c>
      <c r="B16292" t="s">
        <v>14</v>
      </c>
      <c r="C16292" t="s">
        <v>22</v>
      </c>
      <c r="D16292" s="2" t="s">
        <f>=HYPERLINK("https://main.knesset.gov.il/APPS/legislation/main/bills/2078754", "הצעת חוק זכויות הדייר בדיור הציבורי (תיקון - סיוע ריאלי בשכר דירה), התשע""ט-2019")</f>
        <v>31241</v>
      </c>
      <c r="E16292" t="s">
        <v>31241</v>
      </c>
      <c r="F16292" t="s">
        <v>31242</v>
      </c>
      <c r="G16292" t="s">
        <v>14</v>
      </c>
      <c r="H16292">
             </c>
      <c r="I16292" t="s">
        <v>14</v>
      </c>
      <c r="J16292" t="s">
        <v>141</v>
      </c>
      <c r="K16292" t="s">
        <v>14</v>
      </c>
      <c r="L16292" t="s">
        <v>20</v>
      </c>
      <c r="M16292" t="s">
        <v>30951</v>
      </c>
      <c r="N16292" t="s">
        <v>14</v>
      </c>
    </row>
    <row r="16293" x14ac:dyDescent="0.25">
      <c r="A16293" t="n">
        <v>21</v>
      </c>
      <c r="B16293" t="s">
        <v>14</v>
      </c>
      <c r="C16293" t="s">
        <v>22</v>
      </c>
      <c r="D16293" s="2" t="s">
        <f>=HYPERLINK("https://main.knesset.gov.il/APPS/legislation/main/bills/2078752", "הצעת חוק דמי מחלה (תיקון - הצהרת מחלה), התשע""ט-2019")</f>
        <v>31243</v>
      </c>
      <c r="E16293" t="s">
        <v>31243</v>
      </c>
      <c r="F16293" t="s">
        <v>31244</v>
      </c>
      <c r="G16293" t="s">
        <v>14</v>
      </c>
      <c r="H16293">
             </c>
      <c r="I16293" t="s">
        <v>14</v>
      </c>
      <c r="J16293" t="s">
        <v>141</v>
      </c>
      <c r="K16293" t="s">
        <v>14</v>
      </c>
      <c r="L16293" t="s">
        <v>20</v>
      </c>
      <c r="M16293" t="s">
        <v>30951</v>
      </c>
      <c r="N16293" t="s">
        <v>14</v>
      </c>
    </row>
    <row r="16294" x14ac:dyDescent="0.25">
      <c r="A16294" t="n">
        <v>21</v>
      </c>
      <c r="B16294" t="s">
        <v>14</v>
      </c>
      <c r="C16294" t="s">
        <v>22</v>
      </c>
      <c r="D16294" s="2" t="s">
        <f>=HYPERLINK("https://main.knesset.gov.il/APPS/legislation/main/bills/2078750", "הצעת חוק המזונות (הבטחת תשלום) (תיקון - החרגת הכנסה מעבודה או ממשלח יד ממבחן ההכנסה), התשע""ט-2019")</f>
        <v>31245</v>
      </c>
      <c r="E16294" t="s">
        <v>31245</v>
      </c>
      <c r="F16294" t="s">
        <v>31246</v>
      </c>
      <c r="G16294" t="s">
        <v>14</v>
      </c>
      <c r="H16294">
             </c>
      <c r="I16294" t="s">
        <v>14</v>
      </c>
      <c r="J16294" t="s">
        <v>141</v>
      </c>
      <c r="K16294" t="s">
        <v>14</v>
      </c>
      <c r="L16294" t="s">
        <v>20</v>
      </c>
      <c r="M16294" t="s">
        <v>30951</v>
      </c>
      <c r="N16294" t="s">
        <v>14</v>
      </c>
    </row>
    <row r="16295" x14ac:dyDescent="0.25">
      <c r="A16295" t="n">
        <v>21</v>
      </c>
      <c r="B16295" t="s">
        <v>14</v>
      </c>
      <c r="C16295" t="s">
        <v>22</v>
      </c>
      <c r="D16295" s="2" t="s">
        <f>=HYPERLINK("https://main.knesset.gov.il/APPS/legislation/main/bills/2078749", "הצעת חוק העונשין (תיקון - הוספת עילות לעבירות הסתה ופשע שנאה), התשע""ט-2019")</f>
        <v>31247</v>
      </c>
      <c r="E16295" t="s">
        <v>31247</v>
      </c>
      <c r="F16295" t="s">
        <v>31248</v>
      </c>
      <c r="G16295" t="s">
        <v>14</v>
      </c>
      <c r="H16295">
             </c>
      <c r="I16295" t="s">
        <v>14</v>
      </c>
      <c r="J16295" t="s">
        <v>141</v>
      </c>
      <c r="K16295" t="s">
        <v>14</v>
      </c>
      <c r="L16295" t="s">
        <v>20</v>
      </c>
      <c r="M16295" t="s">
        <v>30951</v>
      </c>
      <c r="N16295" t="s">
        <v>14</v>
      </c>
    </row>
    <row r="16296" x14ac:dyDescent="0.25">
      <c r="A16296" t="n">
        <v>21</v>
      </c>
      <c r="B16296" t="s">
        <v>14</v>
      </c>
      <c r="C16296" t="s">
        <v>22</v>
      </c>
      <c r="D16296" s="2" t="s">
        <f>=HYPERLINK("https://main.knesset.gov.il/APPS/legislation/main/bills/2078748", "הצעת חוק פיצויי פיטורים (תיקון - הזכות לפיצויי פיטורים בעת סיום יחסי עבודה), התשע""ט-2019")</f>
        <v>31249</v>
      </c>
      <c r="E16296" t="s">
        <v>31249</v>
      </c>
      <c r="F16296" t="s">
        <v>31250</v>
      </c>
      <c r="G16296" t="s">
        <v>14</v>
      </c>
      <c r="H16296">
             </c>
      <c r="I16296" t="s">
        <v>14</v>
      </c>
      <c r="J16296" t="s">
        <v>141</v>
      </c>
      <c r="K16296" t="s">
        <v>14</v>
      </c>
      <c r="L16296" t="s">
        <v>20</v>
      </c>
      <c r="M16296" t="s">
        <v>30951</v>
      </c>
      <c r="N16296" t="s">
        <v>14</v>
      </c>
    </row>
    <row r="16297" x14ac:dyDescent="0.25">
      <c r="A16297" t="n">
        <v>21</v>
      </c>
      <c r="B16297" t="s">
        <v>14</v>
      </c>
      <c r="C16297" t="s">
        <v>22</v>
      </c>
      <c r="D16297" s="2" t="s">
        <f>=HYPERLINK("https://main.knesset.gov.il/APPS/legislation/main/bills/2078746", "הצעת חוק מס ערך מוסף (תיקון - חוברת זכויות), התשע""ט-2019")</f>
        <v>31251</v>
      </c>
      <c r="E16297" t="s">
        <v>31251</v>
      </c>
      <c r="F16297" t="s">
        <v>31252</v>
      </c>
      <c r="G16297" t="s">
        <v>14</v>
      </c>
      <c r="H16297">
             </c>
      <c r="I16297" t="s">
        <v>14</v>
      </c>
      <c r="J16297" t="s">
        <v>141</v>
      </c>
      <c r="K16297" t="s">
        <v>14</v>
      </c>
      <c r="L16297" t="s">
        <v>20</v>
      </c>
      <c r="M16297" t="s">
        <v>30951</v>
      </c>
      <c r="N16297" t="s">
        <v>14</v>
      </c>
    </row>
    <row r="16298" x14ac:dyDescent="0.25">
      <c r="A16298" t="n">
        <v>21</v>
      </c>
      <c r="B16298" t="s">
        <v>14</v>
      </c>
      <c r="C16298" t="s">
        <v>22</v>
      </c>
      <c r="D16298" s="2" t="s">
        <f>=HYPERLINK("https://main.knesset.gov.il/APPS/legislation/main/bills/2078732", "הצעת חוק איסור הפליה במוצרים, בשירותים ובכניסה למקומות בידור ולמקומות ציבוריים (תיקון - איסור הפרדה), התשע""ט-2019")</f>
        <v>31253</v>
      </c>
      <c r="E16298" t="s">
        <v>31253</v>
      </c>
      <c r="F16298" t="s">
        <v>31254</v>
      </c>
      <c r="G16298" t="s">
        <v>14</v>
      </c>
      <c r="H16298">
             </c>
      <c r="I16298" t="s">
        <v>14</v>
      </c>
      <c r="J16298" t="s">
        <v>141</v>
      </c>
      <c r="K16298" t="s">
        <v>14</v>
      </c>
      <c r="L16298" t="s">
        <v>20</v>
      </c>
      <c r="M16298" t="s">
        <v>30951</v>
      </c>
      <c r="N16298" t="s">
        <v>14</v>
      </c>
    </row>
    <row r="16299" x14ac:dyDescent="0.25">
      <c r="A16299" t="n">
        <v>21</v>
      </c>
      <c r="B16299" t="s">
        <v>14</v>
      </c>
      <c r="C16299" t="s">
        <v>22</v>
      </c>
      <c r="D16299" s="2" t="s">
        <f>=HYPERLINK("https://main.knesset.gov.il/APPS/legislation/main/bills/2078731", "הצעת חוק זכויות נפגעי מערכות ישראל ופעולות איבה בהליכי חקירה, התשע""ט-2019")</f>
        <v>31255</v>
      </c>
      <c r="E16299" t="s">
        <v>31255</v>
      </c>
      <c r="F16299" t="s">
        <v>31256</v>
      </c>
      <c r="G16299" t="s">
        <v>14</v>
      </c>
      <c r="H16299">
             </c>
      <c r="I16299" t="s">
        <v>14</v>
      </c>
      <c r="J16299" t="s">
        <v>141</v>
      </c>
      <c r="K16299" t="s">
        <v>14</v>
      </c>
      <c r="L16299" t="s">
        <v>20</v>
      </c>
      <c r="M16299" t="s">
        <v>30951</v>
      </c>
      <c r="N16299" t="s">
        <v>14</v>
      </c>
    </row>
    <row r="16300" x14ac:dyDescent="0.25">
      <c r="A16300" t="n">
        <v>21</v>
      </c>
      <c r="B16300" t="s">
        <v>14</v>
      </c>
      <c r="C16300" t="s">
        <v>22</v>
      </c>
      <c r="D16300" s="2" t="s">
        <f>=HYPERLINK("https://main.knesset.gov.il/APPS/legislation/main/bills/2078730", "הצעת חוק הבטחת הכנסה (תיקון - זכאות להטבות הניתנות לזכאים לגמלת הבטחת הכנסה), התשע""ט-2019")</f>
        <v>31257</v>
      </c>
      <c r="E16300" t="s">
        <v>31257</v>
      </c>
      <c r="F16300" t="s">
        <v>31258</v>
      </c>
      <c r="G16300" t="s">
        <v>14</v>
      </c>
      <c r="H16300">
             </c>
      <c r="I16300" t="s">
        <v>14</v>
      </c>
      <c r="J16300" t="s">
        <v>141</v>
      </c>
      <c r="K16300" t="s">
        <v>14</v>
      </c>
      <c r="L16300" t="s">
        <v>20</v>
      </c>
      <c r="M16300" t="s">
        <v>30951</v>
      </c>
      <c r="N16300" t="s">
        <v>14</v>
      </c>
    </row>
    <row r="16301" x14ac:dyDescent="0.25">
      <c r="A16301" t="n">
        <v>21</v>
      </c>
      <c r="B16301" t="s">
        <v>14</v>
      </c>
      <c r="C16301" t="s">
        <v>22</v>
      </c>
      <c r="D16301" s="2" t="s">
        <f>=HYPERLINK("https://main.knesset.gov.il/APPS/legislation/main/bills/2078726", "הצעת חוק השוואת תנאי שכר לקבוצות שאסור להפלותן (תיקוני חקיקה), התשע""ט-2019")</f>
        <v>31259</v>
      </c>
      <c r="E16301" t="s">
        <v>31259</v>
      </c>
      <c r="F16301" t="s">
        <v>31260</v>
      </c>
      <c r="G16301" t="s">
        <v>14</v>
      </c>
      <c r="H16301">
             </c>
      <c r="I16301" t="s">
        <v>14</v>
      </c>
      <c r="J16301" t="s">
        <v>141</v>
      </c>
      <c r="K16301" t="s">
        <v>14</v>
      </c>
      <c r="L16301" t="s">
        <v>20</v>
      </c>
      <c r="M16301" t="s">
        <v>30951</v>
      </c>
      <c r="N16301" t="s">
        <v>14</v>
      </c>
    </row>
    <row r="16302" x14ac:dyDescent="0.25">
      <c r="A16302" t="n">
        <v>21</v>
      </c>
      <c r="B16302" t="s">
        <v>14</v>
      </c>
      <c r="C16302" t="s">
        <v>22</v>
      </c>
      <c r="D16302" s="2" t="s">
        <f>=HYPERLINK("https://main.knesset.gov.il/APPS/legislation/main/bills/2078725", "הצעת חוק הביטוח הלאומי (תיקון - הארכת המועד לתביעת גמלת כסף), התשע""ט-2019")</f>
        <v>31261</v>
      </c>
      <c r="E16302" t="s">
        <v>31261</v>
      </c>
      <c r="F16302" t="s">
        <v>31262</v>
      </c>
      <c r="G16302" t="s">
        <v>14</v>
      </c>
      <c r="H16302">
             </c>
      <c r="I16302" t="s">
        <v>14</v>
      </c>
      <c r="J16302" t="s">
        <v>141</v>
      </c>
      <c r="K16302" t="s">
        <v>14</v>
      </c>
      <c r="L16302" t="s">
        <v>20</v>
      </c>
      <c r="M16302" t="s">
        <v>30951</v>
      </c>
      <c r="N16302" t="s">
        <v>14</v>
      </c>
    </row>
    <row r="16303" x14ac:dyDescent="0.25">
      <c r="A16303" t="n">
        <v>21</v>
      </c>
      <c r="B16303" t="s">
        <v>14</v>
      </c>
      <c r="C16303" t="s">
        <v>22</v>
      </c>
      <c r="D16303" s="2" t="s">
        <f>=HYPERLINK("https://main.knesset.gov.il/APPS/legislation/main/bills/2078723", "הצעת חוק ביטוח בריאות ממלכתי (תיקון - החזר דמי נסיעה באמבולנס לקשישים), התשע""ט-2019")</f>
        <v>31263</v>
      </c>
      <c r="E16303" t="s">
        <v>31263</v>
      </c>
      <c r="F16303" t="s">
        <v>31264</v>
      </c>
      <c r="G16303" t="s">
        <v>14</v>
      </c>
      <c r="H16303">
             </c>
      <c r="I16303" t="s">
        <v>14</v>
      </c>
      <c r="J16303" t="s">
        <v>141</v>
      </c>
      <c r="K16303" t="s">
        <v>14</v>
      </c>
      <c r="L16303" t="s">
        <v>20</v>
      </c>
      <c r="M16303" t="s">
        <v>30951</v>
      </c>
      <c r="N16303" t="s">
        <v>14</v>
      </c>
    </row>
    <row r="16304" x14ac:dyDescent="0.25">
      <c r="A16304" t="n">
        <v>21</v>
      </c>
      <c r="B16304" t="s">
        <v>14</v>
      </c>
      <c r="C16304" t="s">
        <v>22</v>
      </c>
      <c r="D16304" s="2" t="s">
        <f>=HYPERLINK("https://main.knesset.gov.il/APPS/legislation/main/bills/2078717", "הצעת חוק לתיקון פקודת התעבורה (מאגר מידע של ניקוד מסוכנות לעניין נהגים מקצועיים), התשע""ט-2019")</f>
        <v>31265</v>
      </c>
      <c r="E16304" t="s">
        <v>31265</v>
      </c>
      <c r="F16304" t="s">
        <v>31266</v>
      </c>
      <c r="G16304" t="s">
        <v>14</v>
      </c>
      <c r="H16304">
             </c>
      <c r="I16304" t="s">
        <v>14</v>
      </c>
      <c r="J16304" t="s">
        <v>141</v>
      </c>
      <c r="K16304" t="s">
        <v>14</v>
      </c>
      <c r="L16304" t="s">
        <v>20</v>
      </c>
      <c r="M16304" t="s">
        <v>30951</v>
      </c>
      <c r="N16304" t="s">
        <v>14</v>
      </c>
    </row>
    <row r="16305" x14ac:dyDescent="0.25">
      <c r="A16305" t="n">
        <v>21</v>
      </c>
      <c r="B16305" t="s">
        <v>14</v>
      </c>
      <c r="C16305" t="s">
        <v>22</v>
      </c>
      <c r="D16305" s="2" t="s">
        <f>=HYPERLINK("https://main.knesset.gov.il/APPS/legislation/main/bills/2078714", "הצעת חוק זכויות מבצעים ומשדרים (תיקון - הגנה על זכויות מבצעים בשל יצירותיהם מקום המדינה), התשע""ט-2019")</f>
        <v>31267</v>
      </c>
      <c r="E16305" t="s">
        <v>31267</v>
      </c>
      <c r="F16305" t="s">
        <v>31268</v>
      </c>
      <c r="G16305" t="s">
        <v>14</v>
      </c>
      <c r="H16305">
             </c>
      <c r="I16305" t="s">
        <v>14</v>
      </c>
      <c r="J16305" t="s">
        <v>141</v>
      </c>
      <c r="K16305" t="s">
        <v>14</v>
      </c>
      <c r="L16305" t="s">
        <v>20</v>
      </c>
      <c r="M16305" t="s">
        <v>30951</v>
      </c>
      <c r="N16305" t="s">
        <v>14</v>
      </c>
    </row>
    <row r="16306" x14ac:dyDescent="0.25">
      <c r="A16306" t="n">
        <v>21</v>
      </c>
      <c r="B16306" t="s">
        <v>14</v>
      </c>
      <c r="C16306" t="s">
        <v>22</v>
      </c>
      <c r="D16306" s="2" t="s">
        <f>=HYPERLINK("https://main.knesset.gov.il/APPS/legislation/main/bills/2078710", "הצעת חוק הזכות לקבורה אזרחית חלופית (תיקון - קבורה דתית חלופית), התשע""ט-2019")</f>
        <v>31269</v>
      </c>
      <c r="E16306" t="s">
        <v>31269</v>
      </c>
      <c r="F16306" t="s">
        <v>31270</v>
      </c>
      <c r="G16306" t="s">
        <v>14</v>
      </c>
      <c r="H16306">
             </c>
      <c r="I16306" t="s">
        <v>14</v>
      </c>
      <c r="J16306" t="s">
        <v>141</v>
      </c>
      <c r="K16306" t="s">
        <v>14</v>
      </c>
      <c r="L16306" t="s">
        <v>20</v>
      </c>
      <c r="M16306" t="s">
        <v>30951</v>
      </c>
      <c r="N16306" t="s">
        <v>14</v>
      </c>
    </row>
    <row r="16307" x14ac:dyDescent="0.25">
      <c r="A16307" t="n">
        <v>21</v>
      </c>
      <c r="B16307" t="s">
        <v>14</v>
      </c>
      <c r="C16307" t="s">
        <v>22</v>
      </c>
      <c r="D16307" s="2" t="s">
        <f>=HYPERLINK("https://main.knesset.gov.il/APPS/legislation/main/bills/2078708", "הצעת חוק הגבלת פרסומות ושיווק של הלוואות (תיקוני חקיקה), התשע""ט-2019")</f>
        <v>31271</v>
      </c>
      <c r="E16307" t="s">
        <v>31271</v>
      </c>
      <c r="F16307" t="s">
        <v>31272</v>
      </c>
      <c r="G16307" t="s">
        <v>14</v>
      </c>
      <c r="H16307">
             </c>
      <c r="I16307" t="s">
        <v>14</v>
      </c>
      <c r="J16307" t="s">
        <v>141</v>
      </c>
      <c r="K16307" t="s">
        <v>14</v>
      </c>
      <c r="L16307" t="s">
        <v>20</v>
      </c>
      <c r="M16307" t="s">
        <v>30951</v>
      </c>
      <c r="N16307" t="s">
        <v>14</v>
      </c>
    </row>
    <row r="16308" x14ac:dyDescent="0.25">
      <c r="A16308" t="n">
        <v>21</v>
      </c>
      <c r="B16308" t="s">
        <v>14</v>
      </c>
      <c r="C16308" t="s">
        <v>22</v>
      </c>
      <c r="D16308" s="2" t="s">
        <f>=HYPERLINK("https://main.knesset.gov.il/APPS/legislation/main/bills/2078707", "הצעת חוק המים (תיקון - הנחות לאוכלוסיות זכאיות), התשע""ט-2019")</f>
        <v>31273</v>
      </c>
      <c r="E16308" t="s">
        <v>31273</v>
      </c>
      <c r="F16308" t="s">
        <v>31274</v>
      </c>
      <c r="G16308" t="s">
        <v>14</v>
      </c>
      <c r="H16308">
             </c>
      <c r="I16308" t="s">
        <v>14</v>
      </c>
      <c r="J16308" t="s">
        <v>141</v>
      </c>
      <c r="K16308" t="s">
        <v>14</v>
      </c>
      <c r="L16308" t="s">
        <v>20</v>
      </c>
      <c r="M16308" t="s">
        <v>30951</v>
      </c>
      <c r="N16308" t="s">
        <v>14</v>
      </c>
    </row>
    <row r="16309" x14ac:dyDescent="0.25">
      <c r="A16309" t="n">
        <v>21</v>
      </c>
      <c r="B16309" t="s">
        <v>14</v>
      </c>
      <c r="C16309" t="s">
        <v>22</v>
      </c>
      <c r="D16309" s="2" t="s">
        <f>=HYPERLINK("https://main.knesset.gov.il/APPS/legislation/main/bills/2078706", "הצעת חוק המועצה לענף הלול (ייצור ושיווק) (תיקון - סימון ביצים), התשע""ט-2019")</f>
        <v>31275</v>
      </c>
      <c r="E16309" t="s">
        <v>31275</v>
      </c>
      <c r="F16309" t="s">
        <v>31276</v>
      </c>
      <c r="G16309" t="s">
        <v>14</v>
      </c>
      <c r="H16309">
             </c>
      <c r="I16309" t="s">
        <v>14</v>
      </c>
      <c r="J16309" t="s">
        <v>141</v>
      </c>
      <c r="K16309" t="s">
        <v>14</v>
      </c>
      <c r="L16309" t="s">
        <v>20</v>
      </c>
      <c r="M16309" t="s">
        <v>30951</v>
      </c>
      <c r="N16309" t="s">
        <v>14</v>
      </c>
    </row>
    <row r="16310" x14ac:dyDescent="0.25">
      <c r="A16310" t="n">
        <v>21</v>
      </c>
      <c r="B16310" t="s">
        <v>14</v>
      </c>
      <c r="C16310" t="s">
        <v>22</v>
      </c>
      <c r="D16310" s="2" t="s">
        <f>=HYPERLINK("https://main.knesset.gov.il/APPS/legislation/main/bills/2078697", "הצעת חוק שירותי הסעד (תיקון - הגבלת מספר התיקים בטיפול עובד סוציאלי המטפל במשפחות), התשע""ט-2019")</f>
        <v>31277</v>
      </c>
      <c r="E16310" t="s">
        <v>31277</v>
      </c>
      <c r="F16310" t="s">
        <v>31278</v>
      </c>
      <c r="G16310" t="s">
        <v>14</v>
      </c>
      <c r="H16310">
             </c>
      <c r="I16310" t="s">
        <v>14</v>
      </c>
      <c r="J16310" t="s">
        <v>141</v>
      </c>
      <c r="K16310" t="s">
        <v>14</v>
      </c>
      <c r="L16310" t="s">
        <v>20</v>
      </c>
      <c r="M16310" t="s">
        <v>30951</v>
      </c>
      <c r="N16310" t="s">
        <v>14</v>
      </c>
    </row>
    <row r="16311" x14ac:dyDescent="0.25">
      <c r="A16311" t="n">
        <v>21</v>
      </c>
      <c r="B16311" t="s">
        <v>14</v>
      </c>
      <c r="C16311" t="s">
        <v>22</v>
      </c>
      <c r="D16311" s="2" t="s">
        <f>=HYPERLINK("https://main.knesset.gov.il/APPS/legislation/main/bills/2078687", "הצעת חוק הביטוח הלאומי (תיקון - תשלום קצבת ילדים לאחר גיל 18 בעד ילד המשרת בשירות צבאי, לאומי או אזרחי), התשע""ט-2019")</f>
        <v>31279</v>
      </c>
      <c r="E16311" t="s">
        <v>31279</v>
      </c>
      <c r="F16311" t="s">
        <v>31280</v>
      </c>
      <c r="G16311" t="s">
        <v>14</v>
      </c>
      <c r="H16311">
             </c>
      <c r="I16311" t="s">
        <v>14</v>
      </c>
      <c r="J16311" t="s">
        <v>141</v>
      </c>
      <c r="K16311" t="s">
        <v>14</v>
      </c>
      <c r="L16311" t="s">
        <v>20</v>
      </c>
      <c r="M16311" t="s">
        <v>30951</v>
      </c>
      <c r="N16311" t="s">
        <v>14</v>
      </c>
    </row>
    <row r="16312" x14ac:dyDescent="0.25">
      <c r="A16312" t="n">
        <v>21</v>
      </c>
      <c r="B16312" t="s">
        <v>14</v>
      </c>
      <c r="C16312" t="s">
        <v>22</v>
      </c>
      <c r="D16312" s="2" t="s">
        <f>=HYPERLINK("https://main.knesset.gov.il/APPS/legislation/main/bills/2078685", "הצעת חוק הגנה על עובדים (חשיפת עבירות ופגיעה בטוהר המידות או במינהל התקין) (תיקון - הארכת תקופת ההתיישנות), התשע""ט-2019")</f>
        <v>31281</v>
      </c>
      <c r="E16312" t="s">
        <v>31281</v>
      </c>
      <c r="F16312" t="s">
        <v>31282</v>
      </c>
      <c r="G16312" t="s">
        <v>14</v>
      </c>
      <c r="H16312">
             </c>
      <c r="I16312" t="s">
        <v>14</v>
      </c>
      <c r="J16312" t="s">
        <v>141</v>
      </c>
      <c r="K16312" t="s">
        <v>14</v>
      </c>
      <c r="L16312" t="s">
        <v>20</v>
      </c>
      <c r="M16312" t="s">
        <v>30951</v>
      </c>
      <c r="N16312" t="s">
        <v>14</v>
      </c>
    </row>
    <row r="16313" x14ac:dyDescent="0.25">
      <c r="A16313" t="n">
        <v>21</v>
      </c>
      <c r="B16313" t="s">
        <v>14</v>
      </c>
      <c r="C16313" t="s">
        <v>22</v>
      </c>
      <c r="D16313" s="2" t="s">
        <f>=HYPERLINK("https://main.knesset.gov.il/APPS/legislation/main/bills/2078684", "הצעת חוק אחריות לעבודות שיפוצים, התשע""ט-2019")</f>
        <v>31283</v>
      </c>
      <c r="E16313" t="s">
        <v>31283</v>
      </c>
      <c r="F16313" t="s">
        <v>31284</v>
      </c>
      <c r="G16313" t="s">
        <v>14</v>
      </c>
      <c r="H16313">
             </c>
      <c r="I16313" t="s">
        <v>14</v>
      </c>
      <c r="J16313" t="s">
        <v>141</v>
      </c>
      <c r="K16313" t="s">
        <v>14</v>
      </c>
      <c r="L16313" t="s">
        <v>20</v>
      </c>
      <c r="M16313" t="s">
        <v>30951</v>
      </c>
      <c r="N16313" t="s">
        <v>14</v>
      </c>
    </row>
    <row r="16314" x14ac:dyDescent="0.25">
      <c r="A16314" t="n">
        <v>21</v>
      </c>
      <c r="B16314" t="s">
        <v>14</v>
      </c>
      <c r="C16314" t="s">
        <v>22</v>
      </c>
      <c r="D16314" s="2" t="s">
        <f>=HYPERLINK("https://main.knesset.gov.il/APPS/legislation/main/bills/2078683", "הצעת חוק לתיקון פקודת התעבורה (הגבלת תשלום בעד חניה במוסד רפואי), התשע""ט-2019")</f>
        <v>31285</v>
      </c>
      <c r="E16314" t="s">
        <v>31285</v>
      </c>
      <c r="F16314" t="s">
        <v>31286</v>
      </c>
      <c r="G16314" t="s">
        <v>14</v>
      </c>
      <c r="H16314">
             </c>
      <c r="I16314" t="s">
        <v>14</v>
      </c>
      <c r="J16314" t="s">
        <v>141</v>
      </c>
      <c r="K16314" t="s">
        <v>14</v>
      </c>
      <c r="L16314" t="s">
        <v>20</v>
      </c>
      <c r="M16314" t="s">
        <v>30951</v>
      </c>
      <c r="N16314" t="s">
        <v>14</v>
      </c>
    </row>
    <row r="16315" x14ac:dyDescent="0.25">
      <c r="A16315" t="n">
        <v>21</v>
      </c>
      <c r="B16315" t="s">
        <v>14</v>
      </c>
      <c r="C16315" t="s">
        <v>22</v>
      </c>
      <c r="D16315" s="2" t="s">
        <f>=HYPERLINK("https://main.knesset.gov.il/APPS/legislation/main/bills/2078682", "הצעת חוק לתיקון פקודת התעבורה (הוראות לעניין סככות המתנה בתחנות אוטובוס), התשע""ט-2019")</f>
        <v>31287</v>
      </c>
      <c r="E16315" t="s">
        <v>31287</v>
      </c>
      <c r="F16315" t="s">
        <v>31288</v>
      </c>
      <c r="G16315" t="s">
        <v>14</v>
      </c>
      <c r="H16315">
             </c>
      <c r="I16315" t="s">
        <v>14</v>
      </c>
      <c r="J16315" t="s">
        <v>141</v>
      </c>
      <c r="K16315" t="s">
        <v>14</v>
      </c>
      <c r="L16315" t="s">
        <v>20</v>
      </c>
      <c r="M16315" t="s">
        <v>30951</v>
      </c>
      <c r="N16315" t="s">
        <v>14</v>
      </c>
    </row>
    <row r="16316" x14ac:dyDescent="0.25">
      <c r="A16316" t="n">
        <v>21</v>
      </c>
      <c r="B16316" t="s">
        <v>14</v>
      </c>
      <c r="C16316" t="s">
        <v>22</v>
      </c>
      <c r="D16316" s="2" t="s">
        <f>=HYPERLINK("https://main.knesset.gov.il/APPS/legislation/main/bills/2078679", "הצעת חוק הביטוח הלאומי (תיקון - דמי אבטלה לעצמאים), התשע""ט-2019")</f>
        <v>31289</v>
      </c>
      <c r="E16316" t="s">
        <v>31289</v>
      </c>
      <c r="F16316" t="s">
        <v>31290</v>
      </c>
      <c r="G16316" t="s">
        <v>14</v>
      </c>
      <c r="H16316">
             </c>
      <c r="I16316" t="s">
        <v>14</v>
      </c>
      <c r="J16316" t="s">
        <v>141</v>
      </c>
      <c r="K16316" t="s">
        <v>14</v>
      </c>
      <c r="L16316" t="s">
        <v>20</v>
      </c>
      <c r="M16316" t="s">
        <v>30951</v>
      </c>
      <c r="N16316" t="s">
        <v>14</v>
      </c>
    </row>
    <row r="16317" x14ac:dyDescent="0.25">
      <c r="A16317" t="n">
        <v>21</v>
      </c>
      <c r="B16317" t="s">
        <v>14</v>
      </c>
      <c r="C16317" t="s">
        <v>22</v>
      </c>
      <c r="D16317" s="2" t="s">
        <f>=HYPERLINK("https://main.knesset.gov.il/APPS/legislation/main/bills/2078675", "הצעת חוק הביטוח הלאומי (תיקון - תגמול למשרתים במילואים), התשע""ט-2019")</f>
        <v>31291</v>
      </c>
      <c r="E16317" t="s">
        <v>31291</v>
      </c>
      <c r="F16317" t="s">
        <v>31292</v>
      </c>
      <c r="G16317" t="s">
        <v>14</v>
      </c>
      <c r="H16317">
             </c>
      <c r="I16317" t="s">
        <v>14</v>
      </c>
      <c r="J16317" t="s">
        <v>141</v>
      </c>
      <c r="K16317" t="s">
        <v>14</v>
      </c>
      <c r="L16317" t="s">
        <v>20</v>
      </c>
      <c r="M16317" t="s">
        <v>30951</v>
      </c>
      <c r="N16317" t="s">
        <v>14</v>
      </c>
    </row>
    <row r="16318" x14ac:dyDescent="0.25">
      <c r="A16318" t="n">
        <v>21</v>
      </c>
      <c r="B16318" t="s">
        <v>14</v>
      </c>
      <c r="C16318" t="s">
        <v>22</v>
      </c>
      <c r="D16318" s="2" t="s">
        <f>=HYPERLINK("https://main.knesset.gov.il/APPS/legislation/main/bills/2078665", "הצעת חוק זכויות הדייר בדיור הציבורי (תיקון - זכאות לאימהות יחידניות המקבלות מזונות ילדים), התשע""ט-2019")</f>
        <v>31293</v>
      </c>
      <c r="E16318" t="s">
        <v>31293</v>
      </c>
      <c r="F16318" t="s">
        <v>31294</v>
      </c>
      <c r="G16318" t="s">
        <v>14</v>
      </c>
      <c r="H16318">
             </c>
      <c r="I16318" t="s">
        <v>14</v>
      </c>
      <c r="J16318" t="s">
        <v>141</v>
      </c>
      <c r="K16318" t="s">
        <v>14</v>
      </c>
      <c r="L16318" t="s">
        <v>20</v>
      </c>
      <c r="M16318" t="s">
        <v>30951</v>
      </c>
      <c r="N16318" t="s">
        <v>14</v>
      </c>
    </row>
    <row r="16319" x14ac:dyDescent="0.25">
      <c r="A16319" t="n">
        <v>21</v>
      </c>
      <c r="B16319" t="s">
        <v>14</v>
      </c>
      <c r="C16319" t="s">
        <v>22</v>
      </c>
      <c r="D16319" s="2" t="s">
        <f>=HYPERLINK("https://main.knesset.gov.il/APPS/legislation/main/bills/2078658", "הצעת חוק הביטוח הלאומי (תיקון - שמירה חקלאית כעבודה מועדפת), התשע""ט-2019")</f>
        <v>30571</v>
      </c>
      <c r="E16319" t="s">
        <v>30571</v>
      </c>
      <c r="F16319" t="s">
        <v>31295</v>
      </c>
      <c r="G16319" t="s">
        <v>14</v>
      </c>
      <c r="H16319">
             </c>
      <c r="I16319" t="s">
        <v>14</v>
      </c>
      <c r="J16319" t="s">
        <v>141</v>
      </c>
      <c r="K16319" t="s">
        <v>14</v>
      </c>
      <c r="L16319" t="s">
        <v>20</v>
      </c>
      <c r="M16319" t="s">
        <v>30951</v>
      </c>
      <c r="N16319" t="s">
        <v>14</v>
      </c>
    </row>
    <row r="16320" x14ac:dyDescent="0.25">
      <c r="A16320" t="n">
        <v>21</v>
      </c>
      <c r="B16320" t="s">
        <v>14</v>
      </c>
      <c r="C16320" t="s">
        <v>22</v>
      </c>
      <c r="D16320" s="2" t="s">
        <f>=HYPERLINK("https://main.knesset.gov.il/APPS/legislation/main/bills/2078656", "הצעת חוק הביטוח הלאומי (תיקון - תשלום ריבית על גמלאות המשולמות באיחור), התשע""ט-2019")</f>
        <v>31296</v>
      </c>
      <c r="E16320" t="s">
        <v>31296</v>
      </c>
      <c r="F16320" t="s">
        <v>31297</v>
      </c>
      <c r="G16320" t="s">
        <v>14</v>
      </c>
      <c r="H16320">
             </c>
      <c r="I16320" t="s">
        <v>14</v>
      </c>
      <c r="J16320" t="s">
        <v>141</v>
      </c>
      <c r="K16320" t="s">
        <v>14</v>
      </c>
      <c r="L16320" t="s">
        <v>20</v>
      </c>
      <c r="M16320" t="s">
        <v>30951</v>
      </c>
      <c r="N16320" t="s">
        <v>14</v>
      </c>
    </row>
    <row r="16321" x14ac:dyDescent="0.25">
      <c r="A16321" t="n">
        <v>21</v>
      </c>
      <c r="B16321" t="s">
        <v>14</v>
      </c>
      <c r="C16321" t="s">
        <v>22</v>
      </c>
      <c r="D16321" s="2" t="s">
        <f>=HYPERLINK("https://main.knesset.gov.il/APPS/legislation/main/bills/2078654", "הצעת חוק הגנת הצרכן (תיקון - ביטול עסקה מתמשכת), התשע""ט-2019")</f>
        <v>31298</v>
      </c>
      <c r="E16321" t="s">
        <v>31298</v>
      </c>
      <c r="F16321" t="s">
        <v>31299</v>
      </c>
      <c r="G16321" t="s">
        <v>14</v>
      </c>
      <c r="H16321">
             </c>
      <c r="I16321" t="s">
        <v>14</v>
      </c>
      <c r="J16321" t="s">
        <v>141</v>
      </c>
      <c r="K16321" t="s">
        <v>14</v>
      </c>
      <c r="L16321" t="s">
        <v>20</v>
      </c>
      <c r="M16321" t="s">
        <v>30951</v>
      </c>
      <c r="N16321" t="s">
        <v>14</v>
      </c>
    </row>
    <row r="16322" x14ac:dyDescent="0.25">
      <c r="A16322" t="n">
        <v>21</v>
      </c>
      <c r="B16322" t="s">
        <v>14</v>
      </c>
      <c r="C16322" t="s">
        <v>22</v>
      </c>
      <c r="D16322" s="2" t="s">
        <f>=HYPERLINK("https://main.knesset.gov.il/APPS/legislation/main/bills/2078652", "הצעת חוק לתיקון פקודת התעבורה (הגבלת תשלום בעד חניה במוסד רפואי), התשע""ט-2019")</f>
        <v>31285</v>
      </c>
      <c r="E16322" t="s">
        <v>31285</v>
      </c>
      <c r="F16322" t="s">
        <v>31300</v>
      </c>
      <c r="G16322" t="s">
        <v>14</v>
      </c>
      <c r="H16322">
             </c>
      <c r="I16322" t="s">
        <v>14</v>
      </c>
      <c r="J16322" t="s">
        <v>141</v>
      </c>
      <c r="K16322" t="s">
        <v>14</v>
      </c>
      <c r="L16322" t="s">
        <v>20</v>
      </c>
      <c r="M16322" t="s">
        <v>30951</v>
      </c>
      <c r="N16322" t="s">
        <v>14</v>
      </c>
    </row>
    <row r="16323" x14ac:dyDescent="0.25">
      <c r="A16323" t="n">
        <v>21</v>
      </c>
      <c r="B16323" t="s">
        <v>14</v>
      </c>
      <c r="C16323" t="s">
        <v>22</v>
      </c>
      <c r="D16323" s="2" t="s">
        <f>=HYPERLINK("https://main.knesset.gov.il/APPS/legislation/main/bills/2078651", "הצעת חוק הפעלת תחבורה ציבורית ביום המנוחה השבועי, התשע""ט-2019")</f>
        <v>31209</v>
      </c>
      <c r="E16323" t="s">
        <v>31209</v>
      </c>
      <c r="F16323" t="s">
        <v>31301</v>
      </c>
      <c r="G16323" t="s">
        <v>14</v>
      </c>
      <c r="H16323">
             </c>
      <c r="I16323" t="s">
        <v>14</v>
      </c>
      <c r="J16323" t="s">
        <v>141</v>
      </c>
      <c r="K16323" t="s">
        <v>14</v>
      </c>
      <c r="L16323" t="s">
        <v>20</v>
      </c>
      <c r="M16323" t="s">
        <v>30951</v>
      </c>
      <c r="N16323" t="s">
        <v>14</v>
      </c>
    </row>
    <row r="16324" x14ac:dyDescent="0.25">
      <c r="A16324" t="n">
        <v>21</v>
      </c>
      <c r="B16324" t="s">
        <v>14</v>
      </c>
      <c r="C16324" t="s">
        <v>22</v>
      </c>
      <c r="D16324" s="2" t="s">
        <f>=HYPERLINK("https://main.knesset.gov.il/APPS/legislation/main/bills/2078647", "הצעת חוק הסדרים במשק המדינה (תיקוני חקיקה להשגת יעדי התקציב) (תיקון - חישוב עליית מחירי הארנונה), התשע""ט-2019")</f>
        <v>31302</v>
      </c>
      <c r="E16324" t="s">
        <v>31302</v>
      </c>
      <c r="F16324" t="s">
        <v>31303</v>
      </c>
      <c r="G16324" t="s">
        <v>14</v>
      </c>
      <c r="H16324">
             </c>
      <c r="I16324" t="s">
        <v>14</v>
      </c>
      <c r="J16324" t="s">
        <v>141</v>
      </c>
      <c r="K16324" t="s">
        <v>14</v>
      </c>
      <c r="L16324" t="s">
        <v>20</v>
      </c>
      <c r="M16324" t="s">
        <v>30951</v>
      </c>
      <c r="N16324" t="s">
        <v>14</v>
      </c>
    </row>
    <row r="16325" x14ac:dyDescent="0.25">
      <c r="A16325" t="n">
        <v>21</v>
      </c>
      <c r="B16325" t="s">
        <v>14</v>
      </c>
      <c r="C16325" t="s">
        <v>22</v>
      </c>
      <c r="D16325" s="2" t="s">
        <f>=HYPERLINK("https://main.knesset.gov.il/APPS/legislation/main/bills/2078645", "הצעת חוק מיסוי מקרקעין (שבח ורכישה) (תיקון - ייצוג נישום על ידי רואה חשבון), התשע""ט-2019")</f>
        <v>31304</v>
      </c>
      <c r="E16325" t="s">
        <v>31304</v>
      </c>
      <c r="F16325" t="s">
        <v>31305</v>
      </c>
      <c r="G16325" t="s">
        <v>14</v>
      </c>
      <c r="H16325">
             </c>
      <c r="I16325" t="s">
        <v>14</v>
      </c>
      <c r="J16325" t="s">
        <v>141</v>
      </c>
      <c r="K16325" t="s">
        <v>14</v>
      </c>
      <c r="L16325" t="s">
        <v>20</v>
      </c>
      <c r="M16325" t="s">
        <v>30951</v>
      </c>
      <c r="N16325" t="s">
        <v>14</v>
      </c>
    </row>
    <row r="16326" x14ac:dyDescent="0.25">
      <c r="A16326" t="n">
        <v>21</v>
      </c>
      <c r="B16326" t="s">
        <v>14</v>
      </c>
      <c r="C16326" t="s">
        <v>22</v>
      </c>
      <c r="D16326" s="2" t="s">
        <f>=HYPERLINK("https://main.knesset.gov.il/APPS/legislation/main/bills/2078641", "הצעת חוק הביטוח הלאומי (תיקון - ביטוח שאירים לאלמן), התשע""ט-2019")</f>
        <v>31306</v>
      </c>
      <c r="E16326" t="s">
        <v>31306</v>
      </c>
      <c r="F16326" t="s">
        <v>31307</v>
      </c>
      <c r="G16326" t="s">
        <v>14</v>
      </c>
      <c r="H16326">
             </c>
      <c r="I16326" t="s">
        <v>14</v>
      </c>
      <c r="J16326" t="s">
        <v>141</v>
      </c>
      <c r="K16326" t="s">
        <v>14</v>
      </c>
      <c r="L16326" t="s">
        <v>20</v>
      </c>
      <c r="M16326" t="s">
        <v>30951</v>
      </c>
      <c r="N16326" t="s">
        <v>14</v>
      </c>
    </row>
    <row r="16327" x14ac:dyDescent="0.25">
      <c r="A16327" t="n">
        <v>21</v>
      </c>
      <c r="B16327" t="s">
        <v>14</v>
      </c>
      <c r="C16327" t="s">
        <v>22</v>
      </c>
      <c r="D16327" s="2" t="s">
        <f>=HYPERLINK("https://main.knesset.gov.il/APPS/legislation/main/bills/2078635", "הצעת חוק לתיקון פקודת התעבורה (הקמת מערך מידע וניתוח נתונים לשיפור התחבורה הציבורית), התשע""ט-2019")</f>
        <v>31308</v>
      </c>
      <c r="E16327" t="s">
        <v>31308</v>
      </c>
      <c r="F16327" t="s">
        <v>31309</v>
      </c>
      <c r="G16327" t="s">
        <v>14</v>
      </c>
      <c r="H16327">
             </c>
      <c r="I16327" t="s">
        <v>14</v>
      </c>
      <c r="J16327" t="s">
        <v>141</v>
      </c>
      <c r="K16327" t="s">
        <v>14</v>
      </c>
      <c r="L16327" t="s">
        <v>20</v>
      </c>
      <c r="M16327" t="s">
        <v>30951</v>
      </c>
      <c r="N16327" t="s">
        <v>14</v>
      </c>
    </row>
    <row r="16328" x14ac:dyDescent="0.25">
      <c r="A16328" t="n">
        <v>21</v>
      </c>
      <c r="B16328" t="s">
        <v>14</v>
      </c>
      <c r="C16328" t="s">
        <v>22</v>
      </c>
      <c r="D16328" s="2" t="s">
        <f>=HYPERLINK("https://main.knesset.gov.il/APPS/legislation/main/bills/2078633", "הצעת חוק הכניסה לישראל (תיקון - הסמכת מבקרים רשמיים לביקור במקום משמורת), התשע""ט-2019")</f>
        <v>31310</v>
      </c>
      <c r="E16328" t="s">
        <v>31310</v>
      </c>
      <c r="F16328" t="s">
        <v>31311</v>
      </c>
      <c r="G16328" t="s">
        <v>14</v>
      </c>
      <c r="H16328">
             </c>
      <c r="I16328" t="s">
        <v>14</v>
      </c>
      <c r="J16328" t="s">
        <v>141</v>
      </c>
      <c r="K16328" t="s">
        <v>14</v>
      </c>
      <c r="L16328" t="s">
        <v>20</v>
      </c>
      <c r="M16328" t="s">
        <v>30951</v>
      </c>
      <c r="N16328" t="s">
        <v>14</v>
      </c>
    </row>
    <row r="16329" x14ac:dyDescent="0.25">
      <c r="A16329" t="n">
        <v>21</v>
      </c>
      <c r="B16329" t="s">
        <v>14</v>
      </c>
      <c r="C16329" t="s">
        <v>22</v>
      </c>
      <c r="D16329" s="2" t="s">
        <f>=HYPERLINK("https://main.knesset.gov.il/APPS/legislation/main/bills/2078629", "הצעת חוק ביטוח בריאות ממלכתי (תיקון - שירותי בריאות לתלמיד), התשע""ט-2019")</f>
        <v>31312</v>
      </c>
      <c r="E16329" t="s">
        <v>31312</v>
      </c>
      <c r="F16329" t="s">
        <v>31313</v>
      </c>
      <c r="G16329" t="s">
        <v>14</v>
      </c>
      <c r="H16329">
             </c>
      <c r="I16329" t="s">
        <v>14</v>
      </c>
      <c r="J16329" t="s">
        <v>141</v>
      </c>
      <c r="K16329" t="s">
        <v>14</v>
      </c>
      <c r="L16329" t="s">
        <v>20</v>
      </c>
      <c r="M16329" t="s">
        <v>30951</v>
      </c>
      <c r="N16329" t="s">
        <v>14</v>
      </c>
    </row>
    <row r="16330" x14ac:dyDescent="0.25">
      <c r="A16330" t="n">
        <v>21</v>
      </c>
      <c r="B16330" t="s">
        <v>14</v>
      </c>
      <c r="C16330" t="s">
        <v>22</v>
      </c>
      <c r="D16330" s="2" t="s">
        <f>=HYPERLINK("https://main.knesset.gov.il/APPS/legislation/main/bills/2078628", "הצעת חוק עבודת נשים (תיקון - איסור פיטורים של עובד שהוא מפרנס יחיד ואשתו בהיריון), התשע""ט-2019")</f>
        <v>31314</v>
      </c>
      <c r="E16330" t="s">
        <v>31314</v>
      </c>
      <c r="F16330" t="s">
        <v>31315</v>
      </c>
      <c r="G16330" t="s">
        <v>14</v>
      </c>
      <c r="H16330">
             </c>
      <c r="I16330" t="s">
        <v>14</v>
      </c>
      <c r="J16330" t="s">
        <v>141</v>
      </c>
      <c r="K16330" t="s">
        <v>14</v>
      </c>
      <c r="L16330" t="s">
        <v>20</v>
      </c>
      <c r="M16330" t="s">
        <v>30951</v>
      </c>
      <c r="N16330" t="s">
        <v>14</v>
      </c>
    </row>
    <row r="16331" x14ac:dyDescent="0.25">
      <c r="A16331" t="n">
        <v>21</v>
      </c>
      <c r="B16331" t="s">
        <v>14</v>
      </c>
      <c r="C16331" t="s">
        <v>22</v>
      </c>
      <c r="D16331" s="2" t="s">
        <f>=HYPERLINK("https://main.knesset.gov.il/APPS/legislation/main/bills/2078622", "הצעת חוק הגבלת פעולות אנשי דת בלתי מורשים בצבא הגנה לישראל ובמשטרת ישראל, התשע""ט-2019")</f>
        <v>31316</v>
      </c>
      <c r="E16331" t="s">
        <v>31316</v>
      </c>
      <c r="F16331" t="s">
        <v>31317</v>
      </c>
      <c r="G16331" t="s">
        <v>14</v>
      </c>
      <c r="H16331">
             </c>
      <c r="I16331" t="s">
        <v>14</v>
      </c>
      <c r="J16331" t="s">
        <v>141</v>
      </c>
      <c r="K16331" t="s">
        <v>14</v>
      </c>
      <c r="L16331" t="s">
        <v>20</v>
      </c>
      <c r="M16331" t="s">
        <v>30951</v>
      </c>
      <c r="N16331" t="s">
        <v>14</v>
      </c>
    </row>
    <row r="16332" x14ac:dyDescent="0.25">
      <c r="A16332" t="n">
        <v>21</v>
      </c>
      <c r="B16332" t="s">
        <v>14</v>
      </c>
      <c r="C16332" t="s">
        <v>22</v>
      </c>
      <c r="D16332" s="2" t="s">
        <f>=HYPERLINK("https://main.knesset.gov.il/APPS/legislation/main/bills/2078613", "הצעת חוק הפעלת תחבורה ציבורית מצומצמת ביום המנוחה השבועי, התשע""ט-2019")</f>
        <v>31318</v>
      </c>
      <c r="E16332" t="s">
        <v>31318</v>
      </c>
      <c r="F16332" t="s">
        <v>31319</v>
      </c>
      <c r="G16332" t="s">
        <v>14</v>
      </c>
      <c r="H16332">
             </c>
      <c r="I16332" t="s">
        <v>14</v>
      </c>
      <c r="J16332" t="s">
        <v>141</v>
      </c>
      <c r="K16332" t="s">
        <v>14</v>
      </c>
      <c r="L16332" t="s">
        <v>20</v>
      </c>
      <c r="M16332" t="s">
        <v>30951</v>
      </c>
      <c r="N16332" t="s">
        <v>14</v>
      </c>
    </row>
    <row r="16333" x14ac:dyDescent="0.25">
      <c r="A16333" t="n">
        <v>21</v>
      </c>
      <c r="B16333" t="s">
        <v>14</v>
      </c>
      <c r="C16333" t="s">
        <v>22</v>
      </c>
      <c r="D16333" s="2" t="s">
        <f>=HYPERLINK("https://main.knesset.gov.il/APPS/legislation/main/bills/2078611", "הצעת חוק שלילת תקצוב מוסדות חינוך המפלים תלמידים ברישום אליהם (תיקוני חקיקה), התשע""ט-2019 ")</f>
        <v>31320</v>
      </c>
      <c r="E16333" t="s">
        <v>31320</v>
      </c>
      <c r="F16333" t="s">
        <v>31321</v>
      </c>
      <c r="G16333" t="s">
        <v>14</v>
      </c>
      <c r="H16333">
             </c>
      <c r="I16333" t="s">
        <v>14</v>
      </c>
      <c r="J16333" t="s">
        <v>141</v>
      </c>
      <c r="K16333" t="s">
        <v>14</v>
      </c>
      <c r="L16333" t="s">
        <v>20</v>
      </c>
      <c r="M16333" t="s">
        <v>30951</v>
      </c>
      <c r="N16333" t="s">
        <v>14</v>
      </c>
    </row>
    <row r="16334" x14ac:dyDescent="0.25">
      <c r="A16334" t="n">
        <v>21</v>
      </c>
      <c r="B16334" t="s">
        <v>14</v>
      </c>
      <c r="C16334" t="s">
        <v>22</v>
      </c>
      <c r="D16334" s="2" t="s">
        <f>=HYPERLINK("https://main.knesset.gov.il/APPS/legislation/main/bills/2078608", "הצעת חוק לקידום שירותי הרפואה בעיר אילת (תיקוני חקיקה), התשע""ט-2019")</f>
        <v>31322</v>
      </c>
      <c r="E16334" t="s">
        <v>31322</v>
      </c>
      <c r="F16334" t="s">
        <v>31323</v>
      </c>
      <c r="G16334" t="s">
        <v>14</v>
      </c>
      <c r="H16334">
             </c>
      <c r="I16334" t="s">
        <v>14</v>
      </c>
      <c r="J16334" t="s">
        <v>141</v>
      </c>
      <c r="K16334" t="s">
        <v>14</v>
      </c>
      <c r="L16334" t="s">
        <v>20</v>
      </c>
      <c r="M16334" t="s">
        <v>30951</v>
      </c>
      <c r="N16334" t="s">
        <v>14</v>
      </c>
    </row>
    <row r="16335" x14ac:dyDescent="0.25">
      <c r="A16335" t="n">
        <v>21</v>
      </c>
      <c r="B16335" t="s">
        <v>14</v>
      </c>
      <c r="C16335" t="s">
        <v>22</v>
      </c>
      <c r="D16335" s="2" t="s">
        <f>=HYPERLINK("https://main.knesset.gov.il/APPS/legislation/main/bills/2078606", "הצעת חוק חובת תשלום בשוברים, התשע""ט-2019")</f>
        <v>31324</v>
      </c>
      <c r="E16335" t="s">
        <v>31324</v>
      </c>
      <c r="F16335" t="s">
        <v>31325</v>
      </c>
      <c r="G16335" t="s">
        <v>14</v>
      </c>
      <c r="H16335">
             </c>
      <c r="I16335" t="s">
        <v>14</v>
      </c>
      <c r="J16335" t="s">
        <v>141</v>
      </c>
      <c r="K16335" t="s">
        <v>14</v>
      </c>
      <c r="L16335" t="s">
        <v>20</v>
      </c>
      <c r="M16335" t="s">
        <v>30951</v>
      </c>
      <c r="N16335" t="s">
        <v>14</v>
      </c>
    </row>
    <row r="16336" x14ac:dyDescent="0.25">
      <c r="A16336" t="n">
        <v>21</v>
      </c>
      <c r="B16336" t="s">
        <v>14</v>
      </c>
      <c r="C16336" t="s">
        <v>22</v>
      </c>
      <c r="D16336" s="2" t="s">
        <f>=HYPERLINK("https://main.knesset.gov.il/APPS/legislation/main/bills/2078604", "הצעת חוק משק החשמל (תיקון - גביית תשלומים), התשע""ט-2019")</f>
        <v>30660</v>
      </c>
      <c r="E16336" t="s">
        <v>30660</v>
      </c>
      <c r="F16336" t="s">
        <v>31326</v>
      </c>
      <c r="G16336" t="s">
        <v>14</v>
      </c>
      <c r="H16336">
             </c>
      <c r="I16336" t="s">
        <v>14</v>
      </c>
      <c r="J16336" t="s">
        <v>141</v>
      </c>
      <c r="K16336" t="s">
        <v>14</v>
      </c>
      <c r="L16336" t="s">
        <v>20</v>
      </c>
      <c r="M16336" t="s">
        <v>30951</v>
      </c>
      <c r="N16336" t="s">
        <v>14</v>
      </c>
    </row>
    <row r="16337" x14ac:dyDescent="0.25">
      <c r="A16337" t="n">
        <v>21</v>
      </c>
      <c r="B16337" t="s">
        <v>14</v>
      </c>
      <c r="C16337" t="s">
        <v>22</v>
      </c>
      <c r="D16337" s="2" t="s">
        <f>=HYPERLINK("https://main.knesset.gov.il/APPS/legislation/main/bills/2078601", "הצעת חוק זכויות החולה (תיקון - איסור הפליה בשל מקום מגורים), התשע""ט-2019")</f>
        <v>31327</v>
      </c>
      <c r="E16337" t="s">
        <v>31327</v>
      </c>
      <c r="F16337" t="s">
        <v>31328</v>
      </c>
      <c r="G16337" t="s">
        <v>14</v>
      </c>
      <c r="H16337">
             </c>
      <c r="I16337" t="s">
        <v>14</v>
      </c>
      <c r="J16337" t="s">
        <v>141</v>
      </c>
      <c r="K16337" t="s">
        <v>14</v>
      </c>
      <c r="L16337" t="s">
        <v>20</v>
      </c>
      <c r="M16337" t="s">
        <v>30951</v>
      </c>
      <c r="N16337" t="s">
        <v>14</v>
      </c>
    </row>
    <row r="16338" x14ac:dyDescent="0.25">
      <c r="A16338" t="n">
        <v>21</v>
      </c>
      <c r="B16338" t="s">
        <v>14</v>
      </c>
      <c r="C16338" t="s">
        <v>22</v>
      </c>
      <c r="D16338" s="2" t="s">
        <f>=HYPERLINK("https://main.knesset.gov.il/APPS/legislation/main/bills/2078600", "הצעת חוק רכש מערכת הביטחון ורכש גומלין ביטחוני, התשע""ט-2019")</f>
        <v>31329</v>
      </c>
      <c r="E16338" t="s">
        <v>31329</v>
      </c>
      <c r="F16338" t="s">
        <v>31330</v>
      </c>
      <c r="G16338" t="s">
        <v>14</v>
      </c>
      <c r="H16338">
             </c>
      <c r="I16338" t="s">
        <v>14</v>
      </c>
      <c r="J16338" t="s">
        <v>141</v>
      </c>
      <c r="K16338" t="s">
        <v>14</v>
      </c>
      <c r="L16338" t="s">
        <v>20</v>
      </c>
      <c r="M16338" t="s">
        <v>30951</v>
      </c>
      <c r="N16338" t="s">
        <v>14</v>
      </c>
    </row>
    <row r="16339" x14ac:dyDescent="0.25">
      <c r="A16339" t="n">
        <v>21</v>
      </c>
      <c r="B16339" t="s">
        <v>14</v>
      </c>
      <c r="C16339" t="s">
        <v>22</v>
      </c>
      <c r="D16339" s="2" t="s">
        <f>=HYPERLINK("https://main.knesset.gov.il/APPS/legislation/main/bills/2078598", "הצעת חוק הביטוח הלאומי (תיקון - הצמדת קצבת אזרח ותיק לשכר הממוצע במשק), התשע""ט-2019")</f>
        <v>31331</v>
      </c>
      <c r="E16339" t="s">
        <v>31331</v>
      </c>
      <c r="F16339" t="s">
        <v>31332</v>
      </c>
      <c r="G16339" t="s">
        <v>14</v>
      </c>
      <c r="H16339">
             </c>
      <c r="I16339" t="s">
        <v>14</v>
      </c>
      <c r="J16339" t="s">
        <v>141</v>
      </c>
      <c r="K16339" t="s">
        <v>14</v>
      </c>
      <c r="L16339" t="s">
        <v>20</v>
      </c>
      <c r="M16339" t="s">
        <v>30951</v>
      </c>
      <c r="N16339" t="s">
        <v>14</v>
      </c>
    </row>
    <row r="16340" x14ac:dyDescent="0.25">
      <c r="A16340" t="n">
        <v>21</v>
      </c>
      <c r="B16340" t="s">
        <v>14</v>
      </c>
      <c r="C16340" t="s">
        <v>22</v>
      </c>
      <c r="D16340" s="2" t="s">
        <f>=HYPERLINK("https://main.knesset.gov.il/APPS/legislation/main/bills/2078595", "הצעת חוק ביטוח בריאות ממלכתי (תיקון - שירותי בריאות נוספים לשוהים במוסדות לילדים ונוער בסיכון), התשע""ט-2019")</f>
        <v>31333</v>
      </c>
      <c r="E16340" t="s">
        <v>31333</v>
      </c>
      <c r="F16340" t="s">
        <v>31334</v>
      </c>
      <c r="G16340" t="s">
        <v>14</v>
      </c>
      <c r="H16340">
             </c>
      <c r="I16340" t="s">
        <v>14</v>
      </c>
      <c r="J16340" t="s">
        <v>141</v>
      </c>
      <c r="K16340" t="s">
        <v>14</v>
      </c>
      <c r="L16340" t="s">
        <v>20</v>
      </c>
      <c r="M16340" t="s">
        <v>30951</v>
      </c>
      <c r="N16340" t="s">
        <v>14</v>
      </c>
    </row>
    <row r="16341" x14ac:dyDescent="0.25">
      <c r="A16341" t="n">
        <v>21</v>
      </c>
      <c r="B16341" t="s">
        <v>14</v>
      </c>
      <c r="C16341" t="s">
        <v>22</v>
      </c>
      <c r="D16341" s="2" t="s">
        <f>=HYPERLINK("https://main.knesset.gov.il/APPS/legislation/main/bills/2078594", "הצעת חוק החזר גביית יתר (תיקוני חקיקה), התשע""ט-2019")</f>
        <v>30762</v>
      </c>
      <c r="E16341" t="s">
        <v>30762</v>
      </c>
      <c r="F16341" t="s">
        <v>31335</v>
      </c>
      <c r="G16341" t="s">
        <v>14</v>
      </c>
      <c r="H16341">
             </c>
      <c r="I16341" t="s">
        <v>14</v>
      </c>
      <c r="J16341" t="s">
        <v>141</v>
      </c>
      <c r="K16341" t="s">
        <v>14</v>
      </c>
      <c r="L16341" t="s">
        <v>20</v>
      </c>
      <c r="M16341" t="s">
        <v>30951</v>
      </c>
      <c r="N16341" t="s">
        <v>14</v>
      </c>
    </row>
    <row r="16342" x14ac:dyDescent="0.25">
      <c r="A16342" t="n">
        <v>25</v>
      </c>
      <c r="B16342" t="s">
        <v>14</v>
      </c>
      <c r="C16342" t="s">
        <v>22</v>
      </c>
      <c r="D16342" s="2" t="s">
        <f>=HYPERLINK("https://main.knesset.gov.il/APPS/legislation/main/bills/2229133", "הצעת חוק זכויות הסטודנט (תיקון - הרחקת סטודנטים תומכי טרור ממוסד לימוד ופירוק תאים תומכי טרור), התשפ""ג-2023 - החלק שנותר")</f>
        <v>31336</v>
      </c>
      <c r="E16342" t="s">
        <v>31336</v>
      </c>
      <c r="F16342" t="s">
        <v>2773</v>
      </c>
      <c r="G16342" t="s">
        <v>14</v>
      </c>
      <c r="H16342">
             </c>
      <c r="I16342" t="s">
        <v>14</v>
      </c>
      <c r="J16342" t="s">
        <v>31</v>
      </c>
      <c r="K16342" t="s">
        <v>34</v>
      </c>
      <c r="L16342" t="s">
        <v>20</v>
      </c>
      <c r="M16342" t="s">
        <v>14</v>
      </c>
      <c r="N16342" t="s">
        <v>14</v>
      </c>
    </row>
    <row r="16343" x14ac:dyDescent="0.25">
      <c r="A16343" t="n">
        <v>25</v>
      </c>
      <c r="B16343" t="s">
        <v>14</v>
      </c>
      <c r="C16343" t="s">
        <v>22</v>
      </c>
      <c r="D16343" s="2" t="s">
        <f>=HYPERLINK("https://main.knesset.gov.il/APPS/legislation/main/bills/2230676", "החלק שפוצל- הצעת חוק הרשויות המקומיות (בחירות) (תיקון - הגבלת הזכות להיבחר), התשפ""ג-2022")</f>
        <v>31337</v>
      </c>
      <c r="E16343" t="s">
        <v>31337</v>
      </c>
      <c r="F16343" t="s">
        <v>1337</v>
      </c>
      <c r="G16343" t="s">
        <v>14</v>
      </c>
      <c r="H16343">
             </c>
      <c r="I16343" t="s">
        <v>14</v>
      </c>
      <c r="J16343" t="s">
        <v>31</v>
      </c>
      <c r="K16343" t="s">
        <v>46</v>
      </c>
      <c r="L16343" t="s">
        <v>20</v>
      </c>
      <c r="M16343" t="s">
        <v>14</v>
      </c>
      <c r="N16343" t="s">
        <v>14</v>
      </c>
    </row>
    <row r="16344" x14ac:dyDescent="0.25">
      <c r="A16344" t="n">
        <v>25</v>
      </c>
      <c r="B16344" t="s">
        <v>14</v>
      </c>
      <c r="C16344" t="s">
        <v>22</v>
      </c>
      <c r="D16344" s="2" t="s">
        <f>=HYPERLINK("https://main.knesset.gov.il/APPS/legislation/main/bills/2226786", "הצעת חוק שימוש בזרע של נפטר לשם הולדה, התשפ""ג-2022 - החלק שנותר")</f>
        <v>31338</v>
      </c>
      <c r="E16344" t="s">
        <v>31338</v>
      </c>
      <c r="F16344" t="s">
        <v>4516</v>
      </c>
      <c r="G16344" t="s">
        <v>14</v>
      </c>
      <c r="H16344">
             </c>
      <c r="I16344" t="s">
        <v>14</v>
      </c>
      <c r="J16344" t="s">
        <v>31</v>
      </c>
      <c r="K16344" t="s">
        <v>121</v>
      </c>
      <c r="L16344" t="s">
        <v>20</v>
      </c>
      <c r="M16344" t="s">
        <v>14</v>
      </c>
      <c r="N16344" t="s">
        <v>14</v>
      </c>
    </row>
    <row r="16345" x14ac:dyDescent="0.25">
      <c r="A16345" t="n">
        <v>25</v>
      </c>
      <c r="B16345" t="s">
        <v>14</v>
      </c>
      <c r="C16345" t="s">
        <v>22</v>
      </c>
      <c r="D16345" s="2" t="s">
        <f>=HYPERLINK("https://main.knesset.gov.il/APPS/legislation/main/bills/2209512", "הצעת חוק ביטוח בריאות ממלכתי (תיקון מס' ...) (הגדרת אמבולנס לעניין החזר דמי נסיעה), התשפ""ב–2023")</f>
        <v>31339</v>
      </c>
      <c r="E16345" t="s">
        <v>31339</v>
      </c>
      <c r="F16345" t="s">
        <v>7989</v>
      </c>
      <c r="G16345" t="s">
        <v>7990</v>
      </c>
      <c r="H16345">
             </c>
      <c r="I16345" t="s">
        <v>14</v>
      </c>
      <c r="J16345" t="s">
        <v>18</v>
      </c>
      <c r="K16345" t="s">
        <v>480</v>
      </c>
      <c r="L16345" t="s">
        <v>20</v>
      </c>
      <c r="M16345" t="s">
        <v>14</v>
      </c>
      <c r="N16345" t="s">
        <v>14</v>
      </c>
    </row>
    <row r="16346" x14ac:dyDescent="0.25">
      <c r="A16346" t="n">
        <v>25</v>
      </c>
      <c r="B16346" t="s">
        <v>14</v>
      </c>
      <c r="C16346" t="s">
        <v>22</v>
      </c>
      <c r="D16346" s="2" t="s">
        <f>=HYPERLINK("https://main.knesset.gov.il/APPS/legislation/main/bills/2225744", "העדפה במתן שירותים ציבוריים מתוך הצעת חוק למתן הטבות למשרתים במילואים, התשפ""ה-2024")</f>
        <v>31340</v>
      </c>
      <c r="E16346" t="s">
        <v>31340</v>
      </c>
      <c r="F16346" t="s">
        <v>1554</v>
      </c>
      <c r="G16346" t="s">
        <v>14</v>
      </c>
      <c r="H16346">
             </c>
      <c r="I16346" t="s">
        <v>14</v>
      </c>
      <c r="J16346" t="s">
        <v>31</v>
      </c>
      <c r="K16346" t="s">
        <v>114</v>
      </c>
      <c r="L16346" t="s">
        <v>20</v>
      </c>
      <c r="M16346" t="s">
        <v>14</v>
      </c>
      <c r="N16346" t="s">
        <v>14</v>
      </c>
    </row>
    <row r="16347" x14ac:dyDescent="0.25">
      <c r="A16347" t="n">
        <v>25</v>
      </c>
      <c r="B16347" t="s">
        <v>14</v>
      </c>
      <c r="C16347" t="s">
        <v>22</v>
      </c>
      <c r="D16347" s="2" t="s">
        <f>=HYPERLINK("https://main.knesset.gov.il/APPS/legislation/main/bills/2225745", "קדימות בתור לחיילים ומשפחותיהם מתוך הצעת חוק למתן הטבות למשרתים במילואים, התשפ""ה-2024")</f>
        <v>31341</v>
      </c>
      <c r="E16347" t="s">
        <v>31341</v>
      </c>
      <c r="F16347" t="s">
        <v>1554</v>
      </c>
      <c r="G16347" t="s">
        <v>14</v>
      </c>
      <c r="H16347">
             </c>
      <c r="I16347" t="s">
        <v>14</v>
      </c>
      <c r="J16347" t="s">
        <v>31</v>
      </c>
      <c r="K16347" t="s">
        <v>127</v>
      </c>
      <c r="L16347" t="s">
        <v>20</v>
      </c>
      <c r="M16347" t="s">
        <v>14</v>
      </c>
      <c r="N16347" t="s">
        <v>14</v>
      </c>
    </row>
    <row r="16348" x14ac:dyDescent="0.25">
      <c r="A16348" t="n">
        <v>25</v>
      </c>
      <c r="B16348" t="s">
        <v>14</v>
      </c>
      <c r="C16348" t="s">
        <v>22</v>
      </c>
      <c r="D16348" s="2" t="s">
        <f>=HYPERLINK("https://main.knesset.gov.il/APPS/legislation/main/bills/2225747", "סבסוד מוסדות לימוד על-תיכוניים מתוך הצעת חוק למתן הטבות למשרתים במילואים, התשפ""ה-2024")</f>
        <v>31342</v>
      </c>
      <c r="E16348" t="s">
        <v>31342</v>
      </c>
      <c r="F16348" t="s">
        <v>1554</v>
      </c>
      <c r="G16348" t="s">
        <v>14</v>
      </c>
      <c r="H16348">
             </c>
      <c r="I16348" t="s">
        <v>14</v>
      </c>
      <c r="J16348" t="s">
        <v>31</v>
      </c>
      <c r="K16348" t="s">
        <v>121</v>
      </c>
      <c r="L16348" t="s">
        <v>20</v>
      </c>
      <c r="M16348" t="s">
        <v>14</v>
      </c>
      <c r="N16348" t="s">
        <v>14</v>
      </c>
    </row>
    <row r="16349" x14ac:dyDescent="0.25">
      <c r="A16349" t="n">
        <v>25</v>
      </c>
      <c r="B16349" t="s">
        <v>14</v>
      </c>
      <c r="C16349" t="s">
        <v>22</v>
      </c>
      <c r="D16349" s="2" t="s">
        <f>=HYPERLINK("https://main.knesset.gov.il/APPS/legislation/main/bills/2225751", "הקפאת תשלום משכנתה מתוך הצעת חוק למתן הטבות למשרתים במילואים, התשפ""ה-2024")</f>
        <v>31343</v>
      </c>
      <c r="E16349" t="s">
        <v>31343</v>
      </c>
      <c r="F16349" t="s">
        <v>1554</v>
      </c>
      <c r="G16349" t="s">
        <v>14</v>
      </c>
      <c r="H16349">
             </c>
      <c r="I16349" t="s">
        <v>14</v>
      </c>
      <c r="J16349" t="s">
        <v>31</v>
      </c>
      <c r="K16349" t="s">
        <v>114</v>
      </c>
      <c r="L16349" t="s">
        <v>20</v>
      </c>
      <c r="M16349" t="s">
        <v>14</v>
      </c>
      <c r="N16349" t="s">
        <v>14</v>
      </c>
    </row>
    <row r="16350" x14ac:dyDescent="0.25">
      <c r="A16350" t="n">
        <v>25</v>
      </c>
      <c r="B16350" t="s">
        <v>14</v>
      </c>
      <c r="C16350" t="s">
        <v>22</v>
      </c>
      <c r="D16350" s="2" t="s">
        <f>=HYPERLINK("https://main.knesset.gov.il/APPS/legislation/main/bills/2225737", "הגדרת זכאות והנפקת תעודת משרת מתוך הצעת חוק למתן הטבות למשרתים במילואים, התשפ""ה-2024")</f>
        <v>31344</v>
      </c>
      <c r="E16350" t="s">
        <v>31344</v>
      </c>
      <c r="F16350" t="s">
        <v>1554</v>
      </c>
      <c r="G16350" t="s">
        <v>14</v>
      </c>
      <c r="H16350">
             </c>
      <c r="I16350" t="s">
        <v>14</v>
      </c>
      <c r="J16350" t="s">
        <v>31</v>
      </c>
      <c r="K16350" t="s">
        <v>114</v>
      </c>
      <c r="L16350" t="s">
        <v>20</v>
      </c>
      <c r="M16350" t="s">
        <v>14</v>
      </c>
      <c r="N16350" t="s">
        <v>14</v>
      </c>
    </row>
    <row r="16351" x14ac:dyDescent="0.25">
      <c r="A16351" t="n">
        <v>25</v>
      </c>
      <c r="B16351" t="s">
        <v>14</v>
      </c>
      <c r="C16351" t="s">
        <v>22</v>
      </c>
      <c r="D16351" s="2" t="s">
        <f>=HYPERLINK("https://main.knesset.gov.il/APPS/legislation/main/bills/2225738", "משכורת ראשונה מוגדלת מתוך הצעת חוק למתן הטבות למשרתים במילואים, התשפ""ה-2024")</f>
        <v>31345</v>
      </c>
      <c r="E16351" t="s">
        <v>31345</v>
      </c>
      <c r="F16351" t="s">
        <v>1554</v>
      </c>
      <c r="G16351" t="s">
        <v>14</v>
      </c>
      <c r="H16351">
             </c>
      <c r="I16351" t="s">
        <v>14</v>
      </c>
      <c r="J16351" t="s">
        <v>31</v>
      </c>
      <c r="K16351" t="s">
        <v>114</v>
      </c>
      <c r="L16351" t="s">
        <v>20</v>
      </c>
      <c r="M16351" t="s">
        <v>14</v>
      </c>
      <c r="N16351" t="s">
        <v>14</v>
      </c>
    </row>
    <row r="16352" x14ac:dyDescent="0.25">
      <c r="A16352" t="n">
        <v>25</v>
      </c>
      <c r="B16352" t="s">
        <v>14</v>
      </c>
      <c r="C16352" t="s">
        <v>22</v>
      </c>
      <c r="D16352" s="2" t="s">
        <f>=HYPERLINK("https://main.knesset.gov.il/APPS/legislation/main/bills/2225739", "תשלום בעד ילד מתוך הצעת חוק למתן הטבות למשרתים במילואים, התשפ""ה-2024")</f>
        <v>31346</v>
      </c>
      <c r="E16352" t="s">
        <v>31346</v>
      </c>
      <c r="F16352" t="s">
        <v>1554</v>
      </c>
      <c r="G16352" t="s">
        <v>14</v>
      </c>
      <c r="H16352">
             </c>
      <c r="I16352" t="s">
        <v>14</v>
      </c>
      <c r="J16352" t="s">
        <v>31</v>
      </c>
      <c r="K16352" t="s">
        <v>114</v>
      </c>
      <c r="L16352" t="s">
        <v>20</v>
      </c>
      <c r="M16352" t="s">
        <v>14</v>
      </c>
      <c r="N16352" t="s">
        <v>14</v>
      </c>
    </row>
    <row r="16353" x14ac:dyDescent="0.25">
      <c r="A16353" t="n">
        <v>25</v>
      </c>
      <c r="B16353" t="s">
        <v>14</v>
      </c>
      <c r="C16353" t="s">
        <v>15</v>
      </c>
      <c r="D16353" s="2" t="s">
        <f>=HYPERLINK("https://main.knesset.gov.il/APPS/legislation/main/bills/2205649", "פרק כ""ג (השכרה ארוכת טווח) מתוך הצעת חוק התכנית הכלכלית (תיקוני חקיקה ליישום המדיניות הכלכלית לשנות התקציב 2023 ו-2024), התשפ""ג-2023")</f>
        <v>31347</v>
      </c>
      <c r="E16353" t="s">
        <v>31347</v>
      </c>
      <c r="F16353" t="s">
        <v>14</v>
      </c>
      <c r="G16353" t="s">
        <v>110</v>
      </c>
      <c r="H16353">
             </c>
      <c r="I16353" t="s">
        <v>14</v>
      </c>
      <c r="J16353" t="s">
        <v>18</v>
      </c>
      <c r="K16353" t="s">
        <v>46</v>
      </c>
      <c r="L16353" t="s">
        <v>20</v>
      </c>
      <c r="M16353" t="s">
        <v>14</v>
      </c>
      <c r="N16353" t="s">
        <v>14</v>
      </c>
    </row>
    <row r="16354" x14ac:dyDescent="0.25">
      <c r="A16354" t="n">
        <v>25</v>
      </c>
      <c r="B16354" t="s">
        <v>14</v>
      </c>
      <c r="C16354" t="s">
        <v>15</v>
      </c>
      <c r="D16354" s="2" t="s">
        <f>=HYPERLINK("https://main.knesset.gov.il/APPS/legislation/main/bills/2205651", "פרק כ""ד (קידום תשתיות לאומיות), רק סעיפים 62(2), (5), (6), (8), (15) ו-(20) שבתוך סעיף 94, מתוך הצעת חוק התכנית הכלכלית (תיקוני חקיקה ליישום המדיניות הכלכלית לשנות התקציב 2023 ו-2024), התשפ""ג-2023 [פוצלה לפי סעיף 84(ב) לתקנון הכנסת]")</f>
        <v>31348</v>
      </c>
      <c r="E16354" t="s">
        <v>31348</v>
      </c>
      <c r="F16354" t="s">
        <v>14</v>
      </c>
      <c r="G16354" t="s">
        <v>110</v>
      </c>
      <c r="H16354">
             </c>
      <c r="I16354" t="s">
        <v>14</v>
      </c>
      <c r="J16354" t="s">
        <v>18</v>
      </c>
      <c r="K16354" t="s">
        <v>46</v>
      </c>
      <c r="L16354" t="s">
        <v>20</v>
      </c>
      <c r="M16354" t="s">
        <v>14</v>
      </c>
      <c r="N16354" t="s">
        <v>14</v>
      </c>
    </row>
    <row r="16355" x14ac:dyDescent="0.25">
      <c r="A16355" t="n">
        <v>25</v>
      </c>
      <c r="B16355" t="s">
        <v>14</v>
      </c>
      <c r="C16355" t="s">
        <v>15</v>
      </c>
      <c r="D16355" s="2" t="s">
        <f>=HYPERLINK("https://main.knesset.gov.il/APPS/legislation/main/bills/2205653", "פרק כ""ד (קידום תשתיות לאומיות), רק סעיף 62(21) שבתוך סעיף 94, מתוך הצעת חוק התכנית הכלכלית לשנות התקציב 2023 ו-2024 [פוצלה לפי סעיף 84(ב) לתקנון הכנסת]")</f>
        <v>31349</v>
      </c>
      <c r="E16355" t="s">
        <v>31349</v>
      </c>
      <c r="F16355" t="s">
        <v>14</v>
      </c>
      <c r="G16355" t="s">
        <v>110</v>
      </c>
      <c r="H16355">
             </c>
      <c r="I16355" t="s">
        <v>14</v>
      </c>
      <c r="J16355" t="s">
        <v>18</v>
      </c>
      <c r="K16355" t="s">
        <v>46</v>
      </c>
      <c r="L16355" t="s">
        <v>20</v>
      </c>
      <c r="M16355" t="s">
        <v>14</v>
      </c>
      <c r="N16355" t="s">
        <v>14</v>
      </c>
    </row>
    <row r="16356" x14ac:dyDescent="0.25">
      <c r="A16356" t="n">
        <v>25</v>
      </c>
      <c r="B16356" t="s">
        <v>14</v>
      </c>
      <c r="C16356" t="s">
        <v>15</v>
      </c>
      <c r="D16356" s="2" t="s">
        <f>=HYPERLINK("https://main.knesset.gov.il/APPS/legislation/main/bills/2205752", "פרק י""ט (בריאות), רק סעיף 76(3) (בעניין גודל חדר תרופות) מתוך הצעת חוק התכנית הכלכלית (תיקוני חקיקה ליישום המדיניות הכלכלית לשנות התקציב 2023 ו-2024), התשפ""ג-2023")</f>
        <v>31350</v>
      </c>
      <c r="E16356" t="s">
        <v>31350</v>
      </c>
      <c r="F16356" t="s">
        <v>14</v>
      </c>
      <c r="G16356" t="s">
        <v>110</v>
      </c>
      <c r="H16356">
             </c>
      <c r="I16356" t="s">
        <v>14</v>
      </c>
      <c r="J16356" t="s">
        <v>18</v>
      </c>
      <c r="K16356" t="s">
        <v>480</v>
      </c>
      <c r="L16356" t="s">
        <v>20</v>
      </c>
      <c r="M16356" t="s">
        <v>14</v>
      </c>
      <c r="N16356" t="s">
        <v>14</v>
      </c>
    </row>
    <row r="16357" x14ac:dyDescent="0.25">
      <c r="A16357" t="n">
        <v>25</v>
      </c>
      <c r="B16357" t="s">
        <v>14</v>
      </c>
      <c r="C16357" t="s">
        <v>15</v>
      </c>
      <c r="D16357" s="2" t="s">
        <f>=HYPERLINK("https://main.knesset.gov.il/APPS/legislation/main/bills/2205753", "פרק ה' (ביטוח לאומי), סעיף 17 (בעניין מס הכנסה שלילי להורה עצמאי) מתוך הצעת חוק ההתייעלות הכלכלית (תיקוני חקיקה להשגת יעדי התקציב לשנות התקציב 2023 ו-2024), התשפ""ג-2023")</f>
        <v>31351</v>
      </c>
      <c r="E16357" t="s">
        <v>31351</v>
      </c>
      <c r="F16357" t="s">
        <v>14</v>
      </c>
      <c r="G16357" t="s">
        <v>110</v>
      </c>
      <c r="H16357">
             </c>
      <c r="I16357" t="s">
        <v>14</v>
      </c>
      <c r="J16357" t="s">
        <v>18</v>
      </c>
      <c r="K16357" t="s">
        <v>127</v>
      </c>
      <c r="L16357" t="s">
        <v>20</v>
      </c>
      <c r="M16357" t="s">
        <v>14</v>
      </c>
      <c r="N16357" t="s">
        <v>14</v>
      </c>
    </row>
    <row r="16358" x14ac:dyDescent="0.25">
      <c r="A16358" t="n">
        <v>25</v>
      </c>
      <c r="B16358" t="s">
        <v>14</v>
      </c>
      <c r="C16358" t="s">
        <v>15</v>
      </c>
      <c r="D16358" s="2" t="s">
        <f>=HYPERLINK("https://main.knesset.gov.il/APPS/legislation/main/bills/2205754", "פרק כ' (רשויות מקומיות), סעיף 80 (שינוי שיטת המדידה) מתוך הצעת חוק התכנית הכלכלית (תיקוני חקיקה ליישום המדיניות הכלכלית לשנות התקציב 2023 ו-2024), התשפ""ג-2023")</f>
        <v>31352</v>
      </c>
      <c r="E16358" t="s">
        <v>31352</v>
      </c>
      <c r="F16358" t="s">
        <v>14</v>
      </c>
      <c r="G16358" t="s">
        <v>110</v>
      </c>
      <c r="H16358">
             </c>
      <c r="I16358" t="s">
        <v>14</v>
      </c>
      <c r="J16358" t="s">
        <v>18</v>
      </c>
      <c r="K16358" t="s">
        <v>85</v>
      </c>
      <c r="L16358" t="s">
        <v>20</v>
      </c>
      <c r="M16358" t="s">
        <v>14</v>
      </c>
      <c r="N16358" t="s">
        <v>14</v>
      </c>
    </row>
    <row r="16359" x14ac:dyDescent="0.25">
      <c r="A16359" t="n">
        <v>25</v>
      </c>
      <c r="B16359" t="s">
        <v>14</v>
      </c>
      <c r="C16359" t="s">
        <v>15</v>
      </c>
      <c r="D16359" s="2" t="s">
        <f>=HYPERLINK("https://main.knesset.gov.il/APPS/legislation/main/bills/2205755", "פרק כ' (רשויות מקומיות), סעיפים 81-84 (נכס הרוס) מתוך הצעת חוק התכנית הכלכלית (תיקוני חקיקה ליישום המדיניות הכלכלית לשנות התקציב 2023 ו-2024), התשפ""ג-2023")</f>
        <v>31353</v>
      </c>
      <c r="E16359" t="s">
        <v>31353</v>
      </c>
      <c r="F16359" t="s">
        <v>14</v>
      </c>
      <c r="G16359" t="s">
        <v>110</v>
      </c>
      <c r="H16359">
             </c>
      <c r="I16359" t="s">
        <v>14</v>
      </c>
      <c r="J16359" t="s">
        <v>18</v>
      </c>
      <c r="K16359" t="s">
        <v>85</v>
      </c>
      <c r="L16359" t="s">
        <v>20</v>
      </c>
      <c r="M16359" t="s">
        <v>14</v>
      </c>
      <c r="N16359" t="s">
        <v>14</v>
      </c>
    </row>
    <row r="16360" x14ac:dyDescent="0.25">
      <c r="A16360" t="n">
        <v>25</v>
      </c>
      <c r="B16360" t="s">
        <v>14</v>
      </c>
      <c r="C16360" t="s">
        <v>15</v>
      </c>
      <c r="D16360" s="2" t="s">
        <f>=HYPERLINK("https://main.knesset.gov.il/APPS/legislation/main/bills/2205756", "פרק ד' (מיסוי בשוק הדיור), סעיפים 11(3), 12(ב), 12(ג) ו-13 (התחדשות עירונית) מתוך הצעת חוק ההתייעלות הכלכלית (תיקוני חקיקה להשגת יעדי התקציב לשנות התקציב 2023 ו-2024), התשפ""ג-2023")</f>
        <v>31354</v>
      </c>
      <c r="E16360" t="s">
        <v>31354</v>
      </c>
      <c r="F16360" t="s">
        <v>14</v>
      </c>
      <c r="G16360" t="s">
        <v>110</v>
      </c>
      <c r="H16360">
             </c>
      <c r="I16360" t="s">
        <v>14</v>
      </c>
      <c r="J16360" t="s">
        <v>18</v>
      </c>
      <c r="K16360" t="s">
        <v>85</v>
      </c>
      <c r="L16360" t="s">
        <v>20</v>
      </c>
      <c r="M16360" t="s">
        <v>14</v>
      </c>
      <c r="N16360" t="s">
        <v>14</v>
      </c>
    </row>
    <row r="16361" x14ac:dyDescent="0.25">
      <c r="A16361" t="n">
        <v>25</v>
      </c>
      <c r="B16361" t="s">
        <v>14</v>
      </c>
      <c r="C16361" t="s">
        <v>15</v>
      </c>
      <c r="D16361" s="2" t="s">
        <f>=HYPERLINK("https://main.knesset.gov.il/APPS/legislation/main/bills/2204186", "פרק י""ז (שמירה על מקרקעי ישראל), למעט סעיפים 66(1), 66(2) ו-67(ב) (בעניין שמירה על מקרקעי ישראל) וסעיף 69 (בעניין טיפול בפלישה למקרקעי ישראל) מתוך הצעת חוק התכנית הכלכלית (תיקוני חקיקה ליישום המדיניות הכלכלית לשנות התקציב 2023 ו-2024), התשפ""ג-2023")</f>
        <v>31355</v>
      </c>
      <c r="E16361" t="s">
        <v>31355</v>
      </c>
      <c r="F16361" t="s">
        <v>14</v>
      </c>
      <c r="G16361" t="s">
        <v>110</v>
      </c>
      <c r="H16361">
             </c>
      <c r="I16361" t="s">
        <v>14</v>
      </c>
      <c r="J16361" t="s">
        <v>18</v>
      </c>
      <c r="K16361" t="s">
        <v>46</v>
      </c>
      <c r="L16361" t="s">
        <v>20</v>
      </c>
      <c r="M16361" t="s">
        <v>14</v>
      </c>
      <c r="N16361" t="s">
        <v>14</v>
      </c>
    </row>
    <row r="16362" x14ac:dyDescent="0.25">
      <c r="A16362" t="n">
        <v>25</v>
      </c>
      <c r="B16362" t="s">
        <v>14</v>
      </c>
      <c r="C16362" t="s">
        <v>15</v>
      </c>
      <c r="D16362" s="2" t="s">
        <f>=HYPERLINK("https://main.knesset.gov.il/APPS/legislation/main/bills/2240465", "סעיף 2(1) (סמכות לדון בשינוי ייעוד) מתוך הצעת חוק התוכנית הכלכלית (תיקוני חקיקה ליישום המדיניות הכלכלית לשנת התקציב 2026), התשפ""ו-2026 [פוצלה לפי סעיף 84(ב) לתקנון]")</f>
        <v>31356</v>
      </c>
      <c r="E16362" t="s">
        <v>31356</v>
      </c>
      <c r="F16362" t="s">
        <v>14</v>
      </c>
      <c r="G16362" t="s">
        <v>49</v>
      </c>
      <c r="H16362">
             </c>
      <c r="I16362" t="s">
        <v>14</v>
      </c>
      <c r="J16362" t="s">
        <v>18</v>
      </c>
      <c r="K16362" t="s">
        <v>46</v>
      </c>
      <c r="L16362" t="s">
        <v>20</v>
      </c>
      <c r="M16362" t="s">
        <v>14</v>
      </c>
      <c r="N16362" t="s">
        <v>14</v>
      </c>
    </row>
    <row r="16363" x14ac:dyDescent="0.25">
      <c r="A16363" t="n">
        <v>25</v>
      </c>
      <c r="B16363" t="s">
        <v>14</v>
      </c>
      <c r="C16363" t="s">
        <v>15</v>
      </c>
      <c r="D16363" s="2" t="s">
        <f>=HYPERLINK("https://main.knesset.gov.il/APPS/legislation/main/bills/2204271", "פרק י""ט (בריאות), סעיף 77 (חוק ביטוח בריאות ממלכתי) מתוך הצעת חוק התכנית הכלכלית (תיקוני חקיקה ליישום המדיניות הכלכלית לשנות התקציב 2023 ו-2024), התשפ""ג-2023 [פוצלה לפי סעיף 84(ב) לתקנון]")</f>
        <v>31357</v>
      </c>
      <c r="E16363" t="s">
        <v>31357</v>
      </c>
      <c r="F16363" t="s">
        <v>14</v>
      </c>
      <c r="G16363" t="s">
        <v>110</v>
      </c>
      <c r="H16363">
             </c>
      <c r="I16363" t="s">
        <v>14</v>
      </c>
      <c r="J16363" t="s">
        <v>18</v>
      </c>
      <c r="K16363" t="s">
        <v>121</v>
      </c>
      <c r="L16363" t="s">
        <v>20</v>
      </c>
      <c r="M16363" t="s">
        <v>14</v>
      </c>
      <c r="N16363" t="s">
        <v>14</v>
      </c>
    </row>
    <row r="16364" x14ac:dyDescent="0.25">
      <c r="A16364" t="n">
        <v>25</v>
      </c>
      <c r="B16364" t="s">
        <v>14</v>
      </c>
      <c r="C16364" t="s">
        <v>15</v>
      </c>
      <c r="D16364" s="2" t="s">
        <f>=HYPERLINK("https://main.knesset.gov.il/APPS/legislation/main/bills/2204272", "פרק ט' (מסים), רק סעיפים 41-40 מתוך הצעת חוק ההתייעלות הכלכלית (תיקוני חקיקה להשגת יעדי התקציב לשנות התקציב 2023 ו-2024), התשפ""ג-2023 [פוצלה לפי סעיף 84(ב) לתקנון]")</f>
        <v>31358</v>
      </c>
      <c r="E16364" t="s">
        <v>31358</v>
      </c>
      <c r="F16364" t="s">
        <v>14</v>
      </c>
      <c r="G16364" t="s">
        <v>110</v>
      </c>
      <c r="H16364">
             </c>
      <c r="I16364" t="s">
        <v>14</v>
      </c>
      <c r="J16364" t="s">
        <v>18</v>
      </c>
      <c r="K16364" t="s">
        <v>121</v>
      </c>
      <c r="L16364" t="s">
        <v>20</v>
      </c>
      <c r="M16364" t="s">
        <v>14</v>
      </c>
      <c r="N16364" t="s">
        <v>14</v>
      </c>
    </row>
    <row r="16365" x14ac:dyDescent="0.25">
      <c r="A16365" t="n">
        <v>25</v>
      </c>
      <c r="B16365" t="s">
        <v>14</v>
      </c>
      <c r="C16365" t="s">
        <v>15</v>
      </c>
      <c r="D16365" s="2" t="s">
        <f>=HYPERLINK("https://main.knesset.gov.il/APPS/legislation/main/bills/2204255", "פרק כ""א (חקלאות), רק סעיף 85 (חוק מועצת הצמחים) מתוך הצעת חוק התכנית הכלכלית (תיקוני חקיקה ליישום המדיניות הכלכלית לשנות התקציב 2023 ו-2024), התשפ""ג-2023 [פוצלה לפי סעיף 84(ב) לתקנון]")</f>
        <v>31359</v>
      </c>
      <c r="E16365" t="s">
        <v>31359</v>
      </c>
      <c r="F16365" t="s">
        <v>14</v>
      </c>
      <c r="G16365" t="s">
        <v>110</v>
      </c>
      <c r="H16365">
             </c>
      <c r="I16365" t="s">
        <v>14</v>
      </c>
      <c r="J16365" t="s">
        <v>18</v>
      </c>
      <c r="K16365" t="s">
        <v>19</v>
      </c>
      <c r="L16365" t="s">
        <v>20</v>
      </c>
      <c r="M16365" t="s">
        <v>14</v>
      </c>
      <c r="N16365" t="s">
        <v>14</v>
      </c>
    </row>
    <row r="16366" x14ac:dyDescent="0.25">
      <c r="A16366" t="n">
        <v>25</v>
      </c>
      <c r="B16366" t="s">
        <v>14</v>
      </c>
      <c r="C16366" t="s">
        <v>15</v>
      </c>
      <c r="D16366" s="2" t="s">
        <f>=HYPERLINK("https://main.knesset.gov.il/APPS/legislation/main/bills/2204253", "פרק י' (תדרי רדיו) מתוך הצעת חוק התכנית הכלכלית (תיקוני חקיקה ליישום המדיניות הכלכלית לשנות התקציב 2023 ו-2024), התשפ""ג-2023 [פוצלה לפי סעיף 84(ב) לתקנון]")</f>
        <v>31360</v>
      </c>
      <c r="E16366" t="s">
        <v>31360</v>
      </c>
      <c r="F16366" t="s">
        <v>14</v>
      </c>
      <c r="G16366" t="s">
        <v>110</v>
      </c>
      <c r="H16366">
             </c>
      <c r="I16366" t="s">
        <v>14</v>
      </c>
      <c r="J16366" t="s">
        <v>18</v>
      </c>
      <c r="K16366" t="s">
        <v>19</v>
      </c>
      <c r="L16366" t="s">
        <v>20</v>
      </c>
      <c r="M16366" t="s">
        <v>14</v>
      </c>
      <c r="N16366" t="s">
        <v>14</v>
      </c>
    </row>
    <row r="16367" x14ac:dyDescent="0.25">
      <c r="A16367" t="n">
        <v>25</v>
      </c>
      <c r="B16367" t="s">
        <v>14</v>
      </c>
      <c r="C16367" t="s">
        <v>15</v>
      </c>
      <c r="D16367" s="2" t="s">
        <f>=HYPERLINK("https://main.knesset.gov.il/APPS/legislation/main/bills/2204245", "פרק י""ב (אנרגיה), רק סעיף 51 (חוק אוויר נקי) מתוך הצעת חוק התכנית הכלכלית (תיקוני חקיקה ליישום המדיניות הכלכלית לשנות התקציב 2023 ו-2024), התשפ""ג-2023 [פוצלה לפי סעיף 84(ב) לתקנון]")</f>
        <v>31361</v>
      </c>
      <c r="E16367" t="s">
        <v>31361</v>
      </c>
      <c r="F16367" t="s">
        <v>14</v>
      </c>
      <c r="G16367" t="s">
        <v>110</v>
      </c>
      <c r="H16367">
             </c>
      <c r="I16367" t="s">
        <v>14</v>
      </c>
      <c r="J16367" t="s">
        <v>18</v>
      </c>
      <c r="K16367" t="s">
        <v>46</v>
      </c>
      <c r="L16367" t="s">
        <v>20</v>
      </c>
      <c r="M16367" t="s">
        <v>14</v>
      </c>
      <c r="N16367" t="s">
        <v>14</v>
      </c>
    </row>
    <row r="16368" x14ac:dyDescent="0.25">
      <c r="A16368" t="n">
        <v>25</v>
      </c>
      <c r="B16368" t="s">
        <v>14</v>
      </c>
      <c r="C16368" t="s">
        <v>15</v>
      </c>
      <c r="D16368" s="2" t="s">
        <f>=HYPERLINK("https://main.knesset.gov.il/APPS/legislation/main/bills/2204195", "פרק ב' (מקרקעי הקרן הקיימת לישראל – היטל מימון פיתוח) מתוך הצעת חוק ההתייעלות הכלכלית (תיקוני חקיקה להשגת יעדי התקציב לשנות התקציב 2023 ו-2024), התשפ""ג-2023")</f>
        <v>31362</v>
      </c>
      <c r="E16368" t="s">
        <v>31362</v>
      </c>
      <c r="F16368" t="s">
        <v>14</v>
      </c>
      <c r="G16368" t="s">
        <v>110</v>
      </c>
      <c r="H16368">
             </c>
      <c r="I16368" t="s">
        <v>14</v>
      </c>
      <c r="J16368" t="s">
        <v>18</v>
      </c>
      <c r="K16368" t="s">
        <v>85</v>
      </c>
      <c r="L16368" t="s">
        <v>20</v>
      </c>
      <c r="M16368" t="s">
        <v>14</v>
      </c>
      <c r="N16368" t="s">
        <v>14</v>
      </c>
    </row>
    <row r="16369" x14ac:dyDescent="0.25">
      <c r="A16369" t="n">
        <v>25</v>
      </c>
      <c r="B16369" t="s">
        <v>14</v>
      </c>
      <c r="C16369" t="s">
        <v>15</v>
      </c>
      <c r="D16369" s="2" t="s">
        <f>=HYPERLINK("https://main.knesset.gov.il/APPS/legislation/main/bills/2211260", "הצעת חוק המאבק בטרור (תיקון מס' 9 והוראת שעה) (צריכת פרסומי טרור), התשפ""ד-2023 (פיצול תיקים בין פרקליטות לתביעה משטרתית)")</f>
        <v>31363</v>
      </c>
      <c r="E16369" t="s">
        <v>31363</v>
      </c>
      <c r="F16369" t="s">
        <v>14</v>
      </c>
      <c r="G16369" t="s">
        <v>7675</v>
      </c>
      <c r="H16369">
             </c>
      <c r="I16369" t="s">
        <v>14</v>
      </c>
      <c r="J16369" t="s">
        <v>18</v>
      </c>
      <c r="K16369" t="s">
        <v>27</v>
      </c>
      <c r="L16369" t="s">
        <v>20</v>
      </c>
      <c r="M16369" t="s">
        <v>14</v>
      </c>
      <c r="N16369" t="s">
        <v>14</v>
      </c>
    </row>
    <row r="16370" x14ac:dyDescent="0.25">
      <c r="A16370" t="n">
        <v>25</v>
      </c>
      <c r="B16370" t="s">
        <v>14</v>
      </c>
      <c r="C16370" t="s">
        <v>15</v>
      </c>
      <c r="D16370" s="2" t="s">
        <f>=HYPERLINK("https://main.knesset.gov.il/APPS/legislation/main/bills/2227215", "סעיפים 9(12), 10, 12 (ארנונה לנכס הרוס) מתוך הצעת חוק התוכנית הכלכלית (תיקוני חקיקה ליישום המדיניות הכלכלית לשנת התקציב 2025), התשפ""ה-2024 [פוצל לפי סעיף 84(ב) לתקנון] ")</f>
        <v>31364</v>
      </c>
      <c r="E16370" t="s">
        <v>31364</v>
      </c>
      <c r="F16370" t="s">
        <v>14</v>
      </c>
      <c r="G16370" t="s">
        <v>43</v>
      </c>
      <c r="H16370">
             </c>
      <c r="I16370" t="s">
        <v>14</v>
      </c>
      <c r="J16370" t="s">
        <v>18</v>
      </c>
      <c r="K16370" t="s">
        <v>85</v>
      </c>
      <c r="L16370" t="s">
        <v>20</v>
      </c>
      <c r="M16370" t="s">
        <v>14</v>
      </c>
      <c r="N16370" t="s">
        <v>14</v>
      </c>
    </row>
    <row r="16371" x14ac:dyDescent="0.25">
      <c r="A16371" t="n">
        <v>25</v>
      </c>
      <c r="B16371" t="s">
        <v>14</v>
      </c>
      <c r="C16371" t="s">
        <v>15</v>
      </c>
      <c r="D16371" s="2" t="s">
        <f>=HYPERLINK("https://main.knesset.gov.il/APPS/legislation/main/bills/2227216", "סעיף 15 (שינוי שיטת המדידה בארנונה) מתוך הצעת חוק התוכנית הכלכלית (תיקוני חקיקה ליישום המדיניות הכלכלית לשנת התקציב 2025), התשפ""ה-2024 [פוצל לפי סעיף 84(ב) לתקנון] ")</f>
        <v>31365</v>
      </c>
      <c r="E16371" t="s">
        <v>31365</v>
      </c>
      <c r="F16371" t="s">
        <v>14</v>
      </c>
      <c r="G16371" t="s">
        <v>43</v>
      </c>
      <c r="H16371">
             </c>
      <c r="I16371" t="s">
        <v>14</v>
      </c>
      <c r="J16371" t="s">
        <v>18</v>
      </c>
      <c r="K16371" t="s">
        <v>85</v>
      </c>
      <c r="L16371" t="s">
        <v>20</v>
      </c>
      <c r="M16371" t="s">
        <v>14</v>
      </c>
      <c r="N16371" t="s">
        <v>14</v>
      </c>
    </row>
    <row r="16372" x14ac:dyDescent="0.25">
      <c r="A16372" t="n">
        <v>23</v>
      </c>
      <c r="B16372" t="s">
        <v>14</v>
      </c>
      <c r="C16372" t="s">
        <v>15</v>
      </c>
      <c r="D16372" s="2" t="s">
        <f>=HYPERLINK("https://main.knesset.gov.il/APPS/legislation/main/bills/2155575", "הצעת חוק חדלות פירעון ושיקום כלכלי (תיקון מס' 4 – הוראת שעה) (נגיף הקורונה החדש) (עיכוב הליכים לשם גיבוש ואישור הסדר חוב), התשפ""א-2021 - החלק הנותר")</f>
        <v>31366</v>
      </c>
      <c r="E16372" t="s">
        <v>31366</v>
      </c>
      <c r="F16372" t="s">
        <v>14</v>
      </c>
      <c r="G16372" t="s">
        <v>22396</v>
      </c>
      <c r="H16372">
             </c>
      <c r="I16372" t="s">
        <v>14</v>
      </c>
      <c r="J16372" t="s">
        <v>18</v>
      </c>
      <c r="K16372" t="s">
        <v>27</v>
      </c>
      <c r="L16372" t="s">
        <v>20</v>
      </c>
      <c r="M16372" t="s">
        <v>14</v>
      </c>
      <c r="N16372" t="s">
        <v>14</v>
      </c>
    </row>
    <row r="16373" x14ac:dyDescent="0.25">
      <c r="A16373" t="n">
        <v>25</v>
      </c>
      <c r="B16373" t="s">
        <v>14</v>
      </c>
      <c r="C16373" t="s">
        <v>15</v>
      </c>
      <c r="D16373" s="2" t="s">
        <f>=HYPERLINK("https://main.knesset.gov.il/APPS/legislation/main/bills/2227233", "סעיף 20 - סעיף 15 המוצע בו (אגרת מיון פסיכיאטרי) מתוך הצעת חוק ההתייעלות הכלכלית (תיקוני חקיקה להשגת יעדי התקציב לשנת התקציב 2025), התשפ""ה-2024 [פוצל לפי סעיף 84(ב) לתקנון] ")</f>
        <v>31367</v>
      </c>
      <c r="E16373" t="s">
        <v>31367</v>
      </c>
      <c r="F16373" t="s">
        <v>14</v>
      </c>
      <c r="G16373" t="s">
        <v>43</v>
      </c>
      <c r="H16373">
             </c>
      <c r="I16373" t="s">
        <v>14</v>
      </c>
      <c r="J16373" t="s">
        <v>18</v>
      </c>
      <c r="K16373" t="s">
        <v>480</v>
      </c>
      <c r="L16373" t="s">
        <v>20</v>
      </c>
      <c r="M16373" t="s">
        <v>14</v>
      </c>
      <c r="N16373" t="s">
        <v>14</v>
      </c>
    </row>
    <row r="16374" x14ac:dyDescent="0.25">
      <c r="A16374" t="n">
        <v>25</v>
      </c>
      <c r="B16374" t="s">
        <v>14</v>
      </c>
      <c r="C16374" t="s">
        <v>15</v>
      </c>
      <c r="D16374" s="2" t="s">
        <f>=HYPERLINK("https://main.knesset.gov.il/APPS/legislation/main/bills/2227229", "פרק א' (מטרת החוק) מתוך הצעת חוק ההתייעלות הכלכלית (תיקוני חקיקה להשגת יעדי התקציב לשנת התקציב 2025), התשפ""ה-2024 ")</f>
        <v>31368</v>
      </c>
      <c r="E16374" t="s">
        <v>31368</v>
      </c>
      <c r="F16374" t="s">
        <v>14</v>
      </c>
      <c r="G16374" t="s">
        <v>43</v>
      </c>
      <c r="H16374">
             </c>
      <c r="I16374" t="s">
        <v>14</v>
      </c>
      <c r="J16374" t="s">
        <v>99</v>
      </c>
      <c r="K16374" t="s">
        <v>121</v>
      </c>
      <c r="L16374" t="s">
        <v>20</v>
      </c>
      <c r="M16374" t="s">
        <v>14</v>
      </c>
      <c r="N16374" t="s">
        <v>14</v>
      </c>
    </row>
    <row r="16375" x14ac:dyDescent="0.25">
      <c r="A16375" t="n">
        <v>25</v>
      </c>
      <c r="B16375" t="s">
        <v>14</v>
      </c>
      <c r="C16375" t="s">
        <v>15</v>
      </c>
      <c r="D16375" s="2" t="s">
        <f>=HYPERLINK("https://main.knesset.gov.il/APPS/legislation/main/bills/2227230", "פרק ט' (תחילה) מתוך הצעת חוק ההתייעלות הכלכלית (תיקוני חקיקה להשגת יעדי התקציב לשנת התקציב 2025), התשפ""ה-2024 ")</f>
        <v>31369</v>
      </c>
      <c r="E16375" t="s">
        <v>31369</v>
      </c>
      <c r="F16375" t="s">
        <v>14</v>
      </c>
      <c r="G16375" t="s">
        <v>43</v>
      </c>
      <c r="H16375">
             </c>
      <c r="I16375" t="s">
        <v>14</v>
      </c>
      <c r="J16375" t="s">
        <v>99</v>
      </c>
      <c r="K16375" t="s">
        <v>121</v>
      </c>
      <c r="L16375" t="s">
        <v>20</v>
      </c>
      <c r="M16375" t="s">
        <v>14</v>
      </c>
      <c r="N16375" t="s">
        <v>14</v>
      </c>
    </row>
    <row r="16376" x14ac:dyDescent="0.25">
      <c r="A16376" t="n">
        <v>25</v>
      </c>
      <c r="B16376" t="s">
        <v>14</v>
      </c>
      <c r="C16376" t="s">
        <v>15</v>
      </c>
      <c r="D16376" s="2" t="s">
        <f>=HYPERLINK("https://main.knesset.gov.il/APPS/legislation/main/bills/2227231", "סעיף 15 (ביטול איחוד עוסקים) מתוך הצעת חוק ההתייעלות הכלכלית (תיקוני חקיקה להשגת יעדי התקציב לשנת התקציב 2025), התשפ""ה-2024 [פוצל לפי סעיף 84(ב) לתקנון]")</f>
        <v>31370</v>
      </c>
      <c r="E16376" t="s">
        <v>31370</v>
      </c>
      <c r="F16376" t="s">
        <v>14</v>
      </c>
      <c r="G16376" t="s">
        <v>43</v>
      </c>
      <c r="H16376">
             </c>
      <c r="I16376" t="s">
        <v>14</v>
      </c>
      <c r="J16376" t="s">
        <v>18</v>
      </c>
      <c r="K16376" t="s">
        <v>85</v>
      </c>
      <c r="L16376" t="s">
        <v>20</v>
      </c>
      <c r="M16376" t="s">
        <v>14</v>
      </c>
      <c r="N16376" t="s">
        <v>14</v>
      </c>
    </row>
    <row r="16377" x14ac:dyDescent="0.25">
      <c r="A16377" t="n">
        <v>25</v>
      </c>
      <c r="B16377" t="s">
        <v>14</v>
      </c>
      <c r="C16377" t="s">
        <v>15</v>
      </c>
      <c r="D16377" s="2" t="s">
        <f>=HYPERLINK("https://main.knesset.gov.il/APPS/legislation/main/bills/2236181", "הצעת חוק שיפוט בתי דין רבניים (נישואין וגירושין) (תיקון מס' 6) (סמכות כריכת מזונות ילדים), התשפ""ה-2025 (החלק שנותר מהפיצול)")</f>
        <v>31371</v>
      </c>
      <c r="E16377" t="s">
        <v>31371</v>
      </c>
      <c r="F16377" t="s">
        <v>14</v>
      </c>
      <c r="G16377" t="s">
        <v>1986</v>
      </c>
      <c r="H16377">
             </c>
      <c r="I16377" t="s">
        <v>14</v>
      </c>
      <c r="J16377" t="s">
        <v>18</v>
      </c>
      <c r="K16377" t="s">
        <v>27</v>
      </c>
      <c r="L16377" t="s">
        <v>20</v>
      </c>
      <c r="M16377" t="s">
        <v>14</v>
      </c>
      <c r="N16377" t="s">
        <v>14</v>
      </c>
    </row>
    <row r="16378" x14ac:dyDescent="0.25">
      <c r="A16378" t="n">
        <v>25</v>
      </c>
      <c r="B16378" t="s">
        <v>14</v>
      </c>
      <c r="C16378" t="s">
        <v>15</v>
      </c>
      <c r="D16378" s="2" t="s">
        <f>=HYPERLINK("https://main.knesset.gov.il/APPS/legislation/main/bills/2242212", "הצעת חוק שיקום נזקי מלחמה בדרך של התחדשות עירונית, התשפ""ו-2025 - החלק שנותר מהפיצול")</f>
        <v>31372</v>
      </c>
      <c r="E16378" t="s">
        <v>31372</v>
      </c>
      <c r="F16378" t="s">
        <v>14</v>
      </c>
      <c r="G16378" t="s">
        <v>625</v>
      </c>
      <c r="H16378">
             </c>
      <c r="I16378" t="s">
        <v>14</v>
      </c>
      <c r="J16378" t="s">
        <v>18</v>
      </c>
      <c r="K16378" t="s">
        <v>46</v>
      </c>
      <c r="L16378" t="s">
        <v>20</v>
      </c>
      <c r="M16378" t="s">
        <v>14</v>
      </c>
      <c r="N16378" t="s">
        <v>14</v>
      </c>
    </row>
    <row r="16379" x14ac:dyDescent="0.25">
      <c r="A16379" t="n">
        <v>25</v>
      </c>
      <c r="B16379" t="s">
        <v>14</v>
      </c>
      <c r="C16379" t="s">
        <v>15</v>
      </c>
      <c r="D16379" s="2" t="s">
        <f>=HYPERLINK("https://main.knesset.gov.il/APPS/legislation/main/bills/2214563", "הצעת חוק לתיקון ולהארכת תוקפן של תקנות שעת חירום (חרבות ברזל) (הארכת מעצר לחשוד בעבירת ביטחון), התשפ""ד-2024 - החלק הנותר")</f>
        <v>31373</v>
      </c>
      <c r="E16379" t="s">
        <v>31373</v>
      </c>
      <c r="F16379" t="s">
        <v>14</v>
      </c>
      <c r="G16379" t="s">
        <v>7213</v>
      </c>
      <c r="H16379">
             </c>
      <c r="I16379" t="s">
        <v>14</v>
      </c>
      <c r="J16379" t="s">
        <v>18</v>
      </c>
      <c r="K16379" t="s">
        <v>27</v>
      </c>
      <c r="L16379" t="s">
        <v>20</v>
      </c>
      <c r="M16379" t="s">
        <v>14</v>
      </c>
      <c r="N16379" t="s">
        <v>14</v>
      </c>
    </row>
    <row r="16380" x14ac:dyDescent="0.25">
      <c r="A16380" t="n">
        <v>25</v>
      </c>
      <c r="B16380" t="s">
        <v>14</v>
      </c>
      <c r="C16380" t="s">
        <v>15</v>
      </c>
      <c r="D16380" s="2" t="s">
        <f>=HYPERLINK("https://main.knesset.gov.il/APPS/legislation/main/bills/2217192", "החלק שפוצל - הצעת חוק הגנת הסביבה (ייעול הליכי רישוי סביבתי) (תיקוני חקיקה), התשפ""ד-2024")</f>
        <v>31374</v>
      </c>
      <c r="E16380" t="s">
        <v>31374</v>
      </c>
      <c r="F16380" t="s">
        <v>14</v>
      </c>
      <c r="G16380" t="s">
        <v>110</v>
      </c>
      <c r="H16380">
             </c>
      <c r="I16380" t="s">
        <v>14</v>
      </c>
      <c r="J16380" t="s">
        <v>18</v>
      </c>
      <c r="K16380" t="s">
        <v>46</v>
      </c>
      <c r="L16380" t="s">
        <v>20</v>
      </c>
      <c r="M16380" t="s">
        <v>14</v>
      </c>
      <c r="N16380" t="s">
        <v>14</v>
      </c>
    </row>
    <row r="16381" x14ac:dyDescent="0.25">
      <c r="A16381" t="n">
        <v>25</v>
      </c>
      <c r="B16381" t="s">
        <v>14</v>
      </c>
      <c r="C16381" t="s">
        <v>15</v>
      </c>
      <c r="D16381" s="2" t="s">
        <f>=HYPERLINK("https://main.knesset.gov.il/APPS/legislation/main/bills/2240499", "סעיף 17(1) (סמכות רישוי תשתיות לאומיות) מתוך הצעת חוק התוכנית הכלכלית (תיקוני חקיקה ליישום המדיניות הכלכלית לשנת התקציב 2026), התשפ""ו-2026 [פוצלה לפי סעיף 84(ב) לתקנון]")</f>
        <v>31375</v>
      </c>
      <c r="E16381" t="s">
        <v>31375</v>
      </c>
      <c r="F16381" t="s">
        <v>14</v>
      </c>
      <c r="G16381" t="s">
        <v>49</v>
      </c>
      <c r="H16381">
             </c>
      <c r="I16381" t="s">
        <v>14</v>
      </c>
      <c r="J16381" t="s">
        <v>18</v>
      </c>
      <c r="K16381" t="s">
        <v>46</v>
      </c>
      <c r="L16381" t="s">
        <v>20</v>
      </c>
      <c r="M16381" t="s">
        <v>14</v>
      </c>
      <c r="N16381" t="s">
        <v>14</v>
      </c>
    </row>
    <row r="16382" x14ac:dyDescent="0.25">
      <c r="A16382" t="n">
        <v>25</v>
      </c>
      <c r="B16382" t="s">
        <v>14</v>
      </c>
      <c r="C16382" t="s">
        <v>15</v>
      </c>
      <c r="D16382" s="2" t="s">
        <f>=HYPERLINK("https://main.knesset.gov.il/APPS/legislation/main/bills/2240500", "סעיפים 18, 19, 20 (אזור חלוקת ארנונה כללית – תשתיות לאומיות מיוחדות) מתוך הצעת חוק התוכנית הכלכלית (תיקוני חקיקה ליישום המדיניות הכלכלית לשנת התקציב 2026), התשפ""ו-2026 [פוצלה לפי סעיף 84(ב) לתקנון]")</f>
        <v>31376</v>
      </c>
      <c r="E16382" t="s">
        <v>31376</v>
      </c>
      <c r="F16382" t="s">
        <v>14</v>
      </c>
      <c r="G16382" t="s">
        <v>49</v>
      </c>
      <c r="H16382">
             </c>
      <c r="I16382" t="s">
        <v>14</v>
      </c>
      <c r="J16382" t="s">
        <v>18</v>
      </c>
      <c r="K16382" t="s">
        <v>46</v>
      </c>
      <c r="L16382" t="s">
        <v>20</v>
      </c>
      <c r="M16382" t="s">
        <v>14</v>
      </c>
      <c r="N16382" t="s">
        <v>14</v>
      </c>
    </row>
    <row r="16383" x14ac:dyDescent="0.25">
      <c r="A16383" t="n">
        <v>25</v>
      </c>
      <c r="B16383" t="s">
        <v>14</v>
      </c>
      <c r="C16383" t="s">
        <v>15</v>
      </c>
      <c r="D16383" s="2" t="s">
        <f>=HYPERLINK("https://main.knesset.gov.il/APPS/legislation/main/bills/2240502", "סעיף 21 (חוק לקידום תשתיות לאומיות) מתוך הצעת חוק התוכנית הכלכלית (תיקוני חקיקה ליישום המדיניות הכלכלית לשנת התקציב 2026), התשפ""ו-2026 [פוצלה לפי סעיף 84(ב) לתקנון]")</f>
        <v>31377</v>
      </c>
      <c r="E16383" t="s">
        <v>31377</v>
      </c>
      <c r="F16383" t="s">
        <v>14</v>
      </c>
      <c r="G16383" t="s">
        <v>49</v>
      </c>
      <c r="H16383">
             </c>
      <c r="I16383" t="s">
        <v>14</v>
      </c>
      <c r="J16383" t="s">
        <v>18</v>
      </c>
      <c r="K16383" t="s">
        <v>46</v>
      </c>
      <c r="L16383" t="s">
        <v>20</v>
      </c>
      <c r="M16383" t="s">
        <v>14</v>
      </c>
      <c r="N16383" t="s">
        <v>14</v>
      </c>
    </row>
    <row r="16384" x14ac:dyDescent="0.25">
      <c r="A16384" t="n">
        <v>25</v>
      </c>
      <c r="B16384" t="s">
        <v>14</v>
      </c>
      <c r="C16384" t="s">
        <v>15</v>
      </c>
      <c r="D16384" s="2" t="s">
        <f>=HYPERLINK("https://main.knesset.gov.il/APPS/legislation/main/bills/2240487", "סעיף 2(2) (מותב ועדת ערר לפיצויים) מתוך הצעת חוק התוכנית הכלכלית (תיקוני חקיקה ליישום המדיניות הכלכלית לשנת התקציב 2026), התשפ""ו-2026 [פוצלה לפי סעיף 84(ב) לתקנון]")</f>
        <v>31378</v>
      </c>
      <c r="E16384" t="s">
        <v>31378</v>
      </c>
      <c r="F16384" t="s">
        <v>14</v>
      </c>
      <c r="G16384" t="s">
        <v>49</v>
      </c>
      <c r="H16384">
             </c>
      <c r="I16384" t="s">
        <v>14</v>
      </c>
      <c r="J16384" t="s">
        <v>18</v>
      </c>
      <c r="K16384" t="s">
        <v>46</v>
      </c>
      <c r="L16384" t="s">
        <v>20</v>
      </c>
      <c r="M16384" t="s">
        <v>14</v>
      </c>
      <c r="N16384" t="s">
        <v>14</v>
      </c>
    </row>
    <row r="16385" x14ac:dyDescent="0.25">
      <c r="A16385" t="n">
        <v>25</v>
      </c>
      <c r="B16385" t="s">
        <v>14</v>
      </c>
      <c r="C16385" t="s">
        <v>15</v>
      </c>
      <c r="D16385" s="2" t="s">
        <f>=HYPERLINK("https://main.knesset.gov.il/APPS/legislation/main/bills/2240488", "סעיף 2(3), (4), (5) (הסמכת המועצה הארצית להגביל היתרים) מתוך הצעת חוק התוכנית הכלכלית (תיקוני חקיקה ליישום המדיניות הכלכלית לשנת התקציב 2026), התשפ""ו-2026 [פוצלה לפי סעיף 84(ב) לתקנון] ")</f>
        <v>31379</v>
      </c>
      <c r="E16385" t="s">
        <v>31379</v>
      </c>
      <c r="F16385" t="s">
        <v>14</v>
      </c>
      <c r="G16385" t="s">
        <v>49</v>
      </c>
      <c r="H16385">
             </c>
      <c r="I16385" t="s">
        <v>14</v>
      </c>
      <c r="J16385" t="s">
        <v>18</v>
      </c>
      <c r="K16385" t="s">
        <v>46</v>
      </c>
      <c r="L16385" t="s">
        <v>20</v>
      </c>
      <c r="M16385" t="s">
        <v>14</v>
      </c>
      <c r="N16385" t="s">
        <v>14</v>
      </c>
    </row>
    <row r="16386" x14ac:dyDescent="0.25">
      <c r="A16386" t="n">
        <v>25</v>
      </c>
      <c r="B16386" t="s">
        <v>14</v>
      </c>
      <c r="C16386" t="s">
        <v>15</v>
      </c>
      <c r="D16386" s="2" t="s">
        <f>=HYPERLINK("https://main.knesset.gov.il/APPS/legislation/main/bills/2240489", "סעיפים 2(6), (7), (8), (9), 3 (איחוד וחלוקה בהסכמה בסמכות רשות הרישוי) מתוך הצעת חוק התוכנית הכלכלית (תיקוני חקיקה ליישום המדיניות הכלכלית לשנת התקציב 2026), התשפ""ו-2026 [פוצלה לפי סעיף 84(ב) לתקנון]")</f>
        <v>31380</v>
      </c>
      <c r="E16386" t="s">
        <v>31380</v>
      </c>
      <c r="F16386" t="s">
        <v>14</v>
      </c>
      <c r="G16386" t="s">
        <v>49</v>
      </c>
      <c r="H16386">
             </c>
      <c r="I16386" t="s">
        <v>14</v>
      </c>
      <c r="J16386" t="s">
        <v>18</v>
      </c>
      <c r="K16386" t="s">
        <v>46</v>
      </c>
      <c r="L16386" t="s">
        <v>20</v>
      </c>
      <c r="M16386" t="s">
        <v>14</v>
      </c>
      <c r="N16386" t="s">
        <v>14</v>
      </c>
    </row>
    <row r="16387" x14ac:dyDescent="0.25">
      <c r="A16387" t="n">
        <v>25</v>
      </c>
      <c r="B16387" t="s">
        <v>14</v>
      </c>
      <c r="C16387" t="s">
        <v>15</v>
      </c>
      <c r="D16387" s="2" t="s">
        <f>=HYPERLINK("https://main.knesset.gov.il/APPS/legislation/main/bills/2240490", "סעיף 2(10) (הרחבת מסלול רישוי מהיר) מתוך הצעת חוק התוכנית הכלכלית (תיקוני חקיקה ליישום המדיניות הכלכלית לשנת התקציב 2026), התשפ""ו-2026 [פוצלה לפי סעיף 84(ב) לתקנון]")</f>
        <v>31381</v>
      </c>
      <c r="E16387" t="s">
        <v>31381</v>
      </c>
      <c r="F16387" t="s">
        <v>14</v>
      </c>
      <c r="G16387" t="s">
        <v>49</v>
      </c>
      <c r="H16387">
             </c>
      <c r="I16387" t="s">
        <v>14</v>
      </c>
      <c r="J16387" t="s">
        <v>18</v>
      </c>
      <c r="K16387" t="s">
        <v>46</v>
      </c>
      <c r="L16387" t="s">
        <v>20</v>
      </c>
      <c r="M16387" t="s">
        <v>14</v>
      </c>
      <c r="N16387" t="s">
        <v>14</v>
      </c>
    </row>
    <row r="16388" x14ac:dyDescent="0.25">
      <c r="A16388" t="n">
        <v>25</v>
      </c>
      <c r="B16388" t="s">
        <v>14</v>
      </c>
      <c r="C16388" t="s">
        <v>15</v>
      </c>
      <c r="D16388" s="2" t="s">
        <f>=HYPERLINK("https://main.knesset.gov.il/APPS/legislation/main/bills/2240491", "סעיף 2(14) (הרחבת הפרטת הליך הרישוי) מתוך הצעת חוק התוכנית הכלכלית (תיקוני חקיקה ליישום המדיניות הכלכלית לשנת התקציב 2026), התשפ""ו-2026 [פוצלה לפי סעיף 84(ב) לתקנון]")</f>
        <v>31382</v>
      </c>
      <c r="E16388" t="s">
        <v>31382</v>
      </c>
      <c r="F16388" t="s">
        <v>14</v>
      </c>
      <c r="G16388" t="s">
        <v>49</v>
      </c>
      <c r="H16388">
             </c>
      <c r="I16388" t="s">
        <v>14</v>
      </c>
      <c r="J16388" t="s">
        <v>18</v>
      </c>
      <c r="K16388" t="s">
        <v>46</v>
      </c>
      <c r="L16388" t="s">
        <v>20</v>
      </c>
      <c r="M16388" t="s">
        <v>14</v>
      </c>
      <c r="N16388" t="s">
        <v>14</v>
      </c>
    </row>
    <row r="16389" x14ac:dyDescent="0.25">
      <c r="A16389" t="n">
        <v>25</v>
      </c>
      <c r="B16389" t="s">
        <v>14</v>
      </c>
      <c r="C16389" t="s">
        <v>15</v>
      </c>
      <c r="D16389" s="2" t="s">
        <f>=HYPERLINK("https://main.knesset.gov.il/APPS/legislation/main/bills/2240493", "סעיף 2(16)(ב) (סעיף 13 לתוספת השנייה לחוק התכנון והבנייה) מתוך הצעת חוק התוכנית הכלכלית (תיקוני חקיקה ליישום המדיניות הכלכלית לשנת התקציב 2026), התשפ""ו-2026 [פוצלה לפי סעיף 84(ב) לתקנון]")</f>
        <v>31383</v>
      </c>
      <c r="E16389" t="s">
        <v>31383</v>
      </c>
      <c r="F16389" t="s">
        <v>14</v>
      </c>
      <c r="G16389" t="s">
        <v>49</v>
      </c>
      <c r="H16389">
             </c>
      <c r="I16389" t="s">
        <v>14</v>
      </c>
      <c r="J16389" t="s">
        <v>18</v>
      </c>
      <c r="K16389" t="s">
        <v>46</v>
      </c>
      <c r="L16389" t="s">
        <v>20</v>
      </c>
      <c r="M16389" t="s">
        <v>14</v>
      </c>
      <c r="N16389" t="s">
        <v>14</v>
      </c>
    </row>
    <row r="16390" x14ac:dyDescent="0.25">
      <c r="A16390" t="n">
        <v>25</v>
      </c>
      <c r="B16390" t="s">
        <v>14</v>
      </c>
      <c r="C16390" t="s">
        <v>15</v>
      </c>
      <c r="D16390" s="2" t="s">
        <f>=HYPERLINK("https://main.knesset.gov.il/APPS/legislation/main/bills/2240494", "סעיף 4 (חוק לקידום הבנייה במתחמים מועדפים) מתוך הצעת חוק התוכנית הכלכלית (תיקוני חקיקה ליישום המדיניות הכלכלית לשנת התקציב 2026), התשפ""ו-2026 [פוצלה לפי סעיף 84(ב) לתקנון]")</f>
        <v>31384</v>
      </c>
      <c r="E16390" t="s">
        <v>31384</v>
      </c>
      <c r="F16390" t="s">
        <v>14</v>
      </c>
      <c r="G16390" t="s">
        <v>49</v>
      </c>
      <c r="H16390">
             </c>
      <c r="I16390" t="s">
        <v>14</v>
      </c>
      <c r="J16390" t="s">
        <v>18</v>
      </c>
      <c r="K16390" t="s">
        <v>46</v>
      </c>
      <c r="L16390" t="s">
        <v>20</v>
      </c>
      <c r="M16390" t="s">
        <v>14</v>
      </c>
      <c r="N16390" t="s">
        <v>14</v>
      </c>
    </row>
    <row r="16391" x14ac:dyDescent="0.25">
      <c r="A16391" t="n">
        <v>25</v>
      </c>
      <c r="B16391" t="s">
        <v>14</v>
      </c>
      <c r="C16391" t="s">
        <v>15</v>
      </c>
      <c r="D16391" s="2" t="s">
        <f>=HYPERLINK("https://main.knesset.gov.il/APPS/legislation/main/bills/2240496", "סעיפים 12, 13(1) (חוק גנים לאומיים) מתוך הצעת חוק התוכנית הכלכלית (תיקוני חקיקה ליישום המדיניות הכלכלית לשנת התקציב 2026), התשפ""ו-2026 [פוצלה לפי סעיף 84(ב) לתקנון]")</f>
        <v>31385</v>
      </c>
      <c r="E16391" t="s">
        <v>31385</v>
      </c>
      <c r="F16391" t="s">
        <v>14</v>
      </c>
      <c r="G16391" t="s">
        <v>49</v>
      </c>
      <c r="H16391">
             </c>
      <c r="I16391" t="s">
        <v>14</v>
      </c>
      <c r="J16391" t="s">
        <v>18</v>
      </c>
      <c r="K16391" t="s">
        <v>46</v>
      </c>
      <c r="L16391" t="s">
        <v>20</v>
      </c>
      <c r="M16391" t="s">
        <v>14</v>
      </c>
      <c r="N16391" t="s">
        <v>14</v>
      </c>
    </row>
    <row r="16392" x14ac:dyDescent="0.25">
      <c r="A16392" t="n">
        <v>25</v>
      </c>
      <c r="B16392" t="s">
        <v>14</v>
      </c>
      <c r="C16392" t="s">
        <v>15</v>
      </c>
      <c r="D16392" s="2" t="s">
        <f>=HYPERLINK("https://main.knesset.gov.il/APPS/legislation/main/bills/2240497", "סעיפים 14, 17(4), (5) (חוק אויר נקי) מתוך הצעת חוק התוכנית הכלכלית (תיקוני חקיקה ליישום המדיניות הכלכלית לשנת התקציב 2026), התשפ""ו-2026 [פוצלה לפי סעיף 84(ב) לתקנון]")</f>
        <v>31386</v>
      </c>
      <c r="E16392" t="s">
        <v>31386</v>
      </c>
      <c r="F16392" t="s">
        <v>14</v>
      </c>
      <c r="G16392" t="s">
        <v>49</v>
      </c>
      <c r="H16392">
             </c>
      <c r="I16392" t="s">
        <v>14</v>
      </c>
      <c r="J16392" t="s">
        <v>18</v>
      </c>
      <c r="K16392" t="s">
        <v>46</v>
      </c>
      <c r="L16392" t="s">
        <v>20</v>
      </c>
      <c r="M16392" t="s">
        <v>14</v>
      </c>
      <c r="N16392" t="s">
        <v>14</v>
      </c>
    </row>
    <row r="16393" x14ac:dyDescent="0.25">
      <c r="A16393" t="n">
        <v>24</v>
      </c>
      <c r="B16393" t="s">
        <v>14</v>
      </c>
      <c r="C16393" t="s">
        <v>15</v>
      </c>
      <c r="D16393" s="2" t="s">
        <f>=HYPERLINK("https://main.knesset.gov.il/APPS/legislation/main/bills/2163961", "פרק ד' (מסים) (מע""מ בשירות דיגיטלי) מתוך הצעת חוק ההתייעלות הכלכלית (תיקוני חקיקה להשגת יעדי התקציב לשנות התקציב 2021 ו-2022), התשפ""א-2021 [פוצלה לפי סעיף 84(ב) לתקנון הכנסת]")</f>
        <v>31387</v>
      </c>
      <c r="E16393" t="s">
        <v>31387</v>
      </c>
      <c r="F16393" t="s">
        <v>14</v>
      </c>
      <c r="G16393" t="s">
        <v>5568</v>
      </c>
      <c r="H16393">
             </c>
      <c r="I16393" t="s">
        <v>14</v>
      </c>
      <c r="J16393" t="s">
        <v>18</v>
      </c>
      <c r="K16393" t="s">
        <v>85</v>
      </c>
      <c r="L16393" t="s">
        <v>20</v>
      </c>
      <c r="M16393" t="s">
        <v>14</v>
      </c>
      <c r="N16393" t="s">
        <v>14</v>
      </c>
    </row>
    <row r="16394" x14ac:dyDescent="0.25">
      <c r="A16394" t="n">
        <v>24</v>
      </c>
      <c r="B16394" t="s">
        <v>14</v>
      </c>
      <c r="C16394" t="s">
        <v>15</v>
      </c>
      <c r="D16394" s="2" t="s">
        <f>=HYPERLINK("https://main.knesset.gov.il/APPS/legislation/main/bills/2163962", "פרק ח' (מיסוי שותפויות וקרנות השקעה) מתוך הצעת חוק ההתייעלות הכלכלית (תיקוני חקיקה להשגת יעדי התקציב לשנות התקציב 2021 ו-2022), התשפ""א-2021 [פוצלה לפי סעיף 84(ב) לתקנון הכנסת]")</f>
        <v>31388</v>
      </c>
      <c r="E16394" t="s">
        <v>31388</v>
      </c>
      <c r="F16394" t="s">
        <v>14</v>
      </c>
      <c r="G16394" t="s">
        <v>5568</v>
      </c>
      <c r="H16394">
             </c>
      <c r="I16394" t="s">
        <v>14</v>
      </c>
      <c r="J16394" t="s">
        <v>18</v>
      </c>
      <c r="K16394" t="s">
        <v>85</v>
      </c>
      <c r="L16394" t="s">
        <v>20</v>
      </c>
      <c r="M16394" t="s">
        <v>14</v>
      </c>
      <c r="N16394" t="s">
        <v>14</v>
      </c>
    </row>
    <row r="16395" x14ac:dyDescent="0.25">
      <c r="A16395" t="n">
        <v>23</v>
      </c>
      <c r="B16395" t="s">
        <v>14</v>
      </c>
      <c r="C16395" t="s">
        <v>15</v>
      </c>
      <c r="D16395" s="2" t="s">
        <f>=HYPERLINK("https://main.knesset.gov.il/APPS/legislation/main/bills/2145483", "הצעת חוק לתיקון פקודת בריאות העם (נגיף הקורונה החדש - הוראות שונות) (הוראת שעה), התש""ף-2020 - החלק שנותר")</f>
        <v>31389</v>
      </c>
      <c r="E16395" t="s">
        <v>31389</v>
      </c>
      <c r="F16395" t="s">
        <v>14</v>
      </c>
      <c r="G16395" t="s">
        <v>23892</v>
      </c>
      <c r="H16395">
             </c>
      <c r="I16395" t="s">
        <v>14</v>
      </c>
      <c r="J16395" t="s">
        <v>18</v>
      </c>
      <c r="K16395" t="s">
        <v>15147</v>
      </c>
      <c r="L16395" t="s">
        <v>20</v>
      </c>
      <c r="M16395" t="s">
        <v>14</v>
      </c>
      <c r="N16395" t="s">
        <v>14</v>
      </c>
    </row>
    <row r="16396" x14ac:dyDescent="0.25">
      <c r="A16396" t="n">
        <v>25</v>
      </c>
      <c r="B16396" t="s">
        <v>14</v>
      </c>
      <c r="C16396" t="s">
        <v>20</v>
      </c>
      <c r="D16396" s="2" t="s">
        <f>=HYPERLINK("https://main.knesset.gov.il/APPS/legislation/main/bills/2222221", "הצעת חוק משכן הכנסת, רחבתו ומשמר הכנסת (תיקון - סמכות קצין הכנסת לאבטח משלחת זרה), התשפ""ד-2024")</f>
        <v>31390</v>
      </c>
      <c r="E16396" t="s">
        <v>31390</v>
      </c>
      <c r="F16396" t="s">
        <v>14</v>
      </c>
      <c r="G16396" t="s">
        <v>14</v>
      </c>
      <c r="H16396">
             </c>
      <c r="I16396" t="s">
        <v>14</v>
      </c>
      <c r="J16396" t="s">
        <v>31</v>
      </c>
      <c r="K16396" t="s">
        <v>121</v>
      </c>
      <c r="L16396" t="s">
        <v>20</v>
      </c>
      <c r="M16396" t="s">
        <v>14</v>
      </c>
      <c r="N16396" t="s">
        <v>14</v>
      </c>
    </row>
    <row r="16397" x14ac:dyDescent="0.25">
      <c r="A16397" t="n">
        <v>25</v>
      </c>
      <c r="B16397" t="s">
        <v>14</v>
      </c>
      <c r="C16397" t="s">
        <v>15</v>
      </c>
      <c r="D16397" s="2" t="s">
        <f>=HYPERLINK("https://main.knesset.gov.il/APPS/legislation/main/bills/2227187", "סעיפים 5-4 (קרנות השקעה) מתוך הצעת חוק ההתייעלות הכלכלית (תיקוני חקיקה להשגת יעדי התקציב לשנת התקציב 2025), התשפ""ה-2024 [פוצל לפי סעיף 84(ב) לתקנון]")</f>
        <v>31391</v>
      </c>
      <c r="E16397" t="s">
        <v>31391</v>
      </c>
      <c r="F16397" t="s">
        <v>14</v>
      </c>
      <c r="G16397" t="s">
        <v>43</v>
      </c>
      <c r="H16397">
             </c>
      <c r="I16397" t="s">
        <v>14</v>
      </c>
      <c r="J16397" t="s">
        <v>18</v>
      </c>
      <c r="K16397" t="s">
        <v>85</v>
      </c>
      <c r="L16397" t="s">
        <v>20</v>
      </c>
      <c r="M16397" t="s">
        <v>14</v>
      </c>
      <c r="N16397" t="s">
        <v>14</v>
      </c>
    </row>
    <row r="16398" x14ac:dyDescent="0.25">
      <c r="A16398" t="n">
        <v>25</v>
      </c>
      <c r="B16398" t="s">
        <v>14</v>
      </c>
      <c r="C16398" t="s">
        <v>15</v>
      </c>
      <c r="D16398" s="2" t="s">
        <f>=HYPERLINK("https://main.knesset.gov.il/APPS/legislation/main/bills/2227188", "פרק ו' (שירות התעסוקה) מתוך הצעת חוק התוכנית הכלכלית (תיקוני חקיקה ליישום המדיניות הכלכלית לשנת התקציב 2025), התשפ""ה-2024 [פוצל לפי סעיף 84(ב) לתקנון]")</f>
        <v>31392</v>
      </c>
      <c r="E16398" t="s">
        <v>31392</v>
      </c>
      <c r="F16398" t="s">
        <v>14</v>
      </c>
      <c r="G16398" t="s">
        <v>43</v>
      </c>
      <c r="H16398">
             </c>
      <c r="I16398" t="s">
        <v>14</v>
      </c>
      <c r="J16398" t="s">
        <v>18</v>
      </c>
      <c r="K16398" t="s">
        <v>127</v>
      </c>
      <c r="L16398" t="s">
        <v>20</v>
      </c>
      <c r="M16398" t="s">
        <v>14</v>
      </c>
      <c r="N16398" t="s">
        <v>14</v>
      </c>
    </row>
    <row r="16399" x14ac:dyDescent="0.25">
      <c r="A16399" t="n">
        <v>25</v>
      </c>
      <c r="B16399" t="s">
        <v>14</v>
      </c>
      <c r="C16399" t="s">
        <v>15</v>
      </c>
      <c r="D16399" s="2" t="s">
        <f>=HYPERLINK("https://main.knesset.gov.il/APPS/legislation/main/bills/2227192", "פרק א' (מטרת החוק) מתוך הצעת חוק התוכנית הכלכלית (תיקוני חקיקה ליישום המדיניות הכלכלית לשנת התקציב 2025), התשפ""ה-2024 ")</f>
        <v>31393</v>
      </c>
      <c r="E16399" t="s">
        <v>31393</v>
      </c>
      <c r="F16399" t="s">
        <v>14</v>
      </c>
      <c r="G16399" t="s">
        <v>43</v>
      </c>
      <c r="H16399">
             </c>
      <c r="I16399" t="s">
        <v>14</v>
      </c>
      <c r="J16399" t="s">
        <v>99</v>
      </c>
      <c r="K16399" t="s">
        <v>121</v>
      </c>
      <c r="L16399" t="s">
        <v>20</v>
      </c>
      <c r="M16399" t="s">
        <v>14</v>
      </c>
      <c r="N16399" t="s">
        <v>14</v>
      </c>
    </row>
    <row r="16400" x14ac:dyDescent="0.25">
      <c r="A16400" t="n">
        <v>25</v>
      </c>
      <c r="B16400" t="s">
        <v>14</v>
      </c>
      <c r="C16400" t="s">
        <v>15</v>
      </c>
      <c r="D16400" s="2" t="s">
        <f>=HYPERLINK("https://main.knesset.gov.il/APPS/legislation/main/bills/2227193", "פרק י' (תחילה) מתוך הצעת חוק התוכנית הכלכלית (תיקוני חקיקה ליישום המדיניות הכלכלית לשנת התקציב 2025), התשפ""ה-2024 ")</f>
        <v>31394</v>
      </c>
      <c r="E16400" t="s">
        <v>31394</v>
      </c>
      <c r="F16400" t="s">
        <v>14</v>
      </c>
      <c r="G16400" t="s">
        <v>43</v>
      </c>
      <c r="H16400">
             </c>
      <c r="I16400" t="s">
        <v>14</v>
      </c>
      <c r="J16400" t="s">
        <v>99</v>
      </c>
      <c r="K16400" t="s">
        <v>121</v>
      </c>
      <c r="L16400" t="s">
        <v>20</v>
      </c>
      <c r="M16400" t="s">
        <v>14</v>
      </c>
      <c r="N16400" t="s">
        <v>14</v>
      </c>
    </row>
    <row r="16401" x14ac:dyDescent="0.25">
      <c r="A16401" t="n">
        <v>25</v>
      </c>
      <c r="B16401" t="s">
        <v>14</v>
      </c>
      <c r="C16401" t="s">
        <v>15</v>
      </c>
      <c r="D16401" s="2" t="s">
        <f>=HYPERLINK("https://main.knesset.gov.il/APPS/legislation/main/bills/2227195", "סעיף 3 (חוק חתימה אלקטרונית) מתוך הצעת חוק התוכנית הכלכלית (תיקוני חקיקה ליישום המדיניות הכלכלית לשנת התקציב 2025), התשפ""ה-2024 [פוצל לפי סעיף 84(ב) לתקנון]")</f>
        <v>31395</v>
      </c>
      <c r="E16401" t="s">
        <v>31395</v>
      </c>
      <c r="F16401" t="s">
        <v>14</v>
      </c>
      <c r="G16401" t="s">
        <v>43</v>
      </c>
      <c r="H16401">
             </c>
      <c r="I16401" t="s">
        <v>14</v>
      </c>
      <c r="J16401" t="s">
        <v>18</v>
      </c>
      <c r="K16401" t="s">
        <v>27</v>
      </c>
      <c r="L16401" t="s">
        <v>20</v>
      </c>
      <c r="M16401" t="s">
        <v>14</v>
      </c>
      <c r="N16401" t="s">
        <v>14</v>
      </c>
    </row>
    <row r="16402" x14ac:dyDescent="0.25">
      <c r="A16402" t="n">
        <v>25</v>
      </c>
      <c r="B16402" t="s">
        <v>14</v>
      </c>
      <c r="C16402" t="s">
        <v>15</v>
      </c>
      <c r="D16402" s="2" t="s">
        <f>=HYPERLINK("https://main.knesset.gov.il/APPS/legislation/main/bills/2215126", "פרק ז' (תחילה) מתוך הצעת חוק התוכנית המאזנת (תיקוני חקיקה להשגת יעדי התקציב לשנת התקציב 2024), התשפ""ד-2024 [פוצלה לפי סעיף 84(ב) לתקנון]")</f>
        <v>31396</v>
      </c>
      <c r="E16402" t="s">
        <v>31396</v>
      </c>
      <c r="F16402" t="s">
        <v>14</v>
      </c>
      <c r="G16402" t="s">
        <v>6850</v>
      </c>
      <c r="H16402">
             </c>
      <c r="I16402" t="s">
        <v>14</v>
      </c>
      <c r="J16402" t="s">
        <v>18</v>
      </c>
      <c r="K16402" t="s">
        <v>121</v>
      </c>
      <c r="L16402" t="s">
        <v>20</v>
      </c>
      <c r="M16402" t="s">
        <v>14</v>
      </c>
      <c r="N16402" t="s">
        <v>14</v>
      </c>
    </row>
    <row r="16403" x14ac:dyDescent="0.25">
      <c r="A16403" t="n">
        <v>24</v>
      </c>
      <c r="B16403" t="s">
        <v>14</v>
      </c>
      <c r="C16403" t="s">
        <v>15</v>
      </c>
      <c r="D16403" s="2" t="s">
        <f>=HYPERLINK("https://main.knesset.gov.il/APPS/legislation/main/bills/2166511", "הצעת חוק לתיקון פקודת בתי הסוהר (מס' 55 והוראות שעה), התשפ""א-2021")</f>
        <v>31397</v>
      </c>
      <c r="E16403" t="s">
        <v>31397</v>
      </c>
      <c r="F16403" t="s">
        <v>14</v>
      </c>
      <c r="G16403" t="s">
        <v>17705</v>
      </c>
      <c r="H16403">
             </c>
      <c r="I16403" t="s">
        <v>379</v>
      </c>
      <c r="J16403" t="s">
        <v>18</v>
      </c>
      <c r="K16403" t="s">
        <v>14336</v>
      </c>
      <c r="L16403" t="s">
        <v>20</v>
      </c>
      <c r="M16403" t="s">
        <v>14</v>
      </c>
      <c r="N16403" t="s">
        <v>14</v>
      </c>
    </row>
    <row r="16404" x14ac:dyDescent="0.25">
      <c r="A16404" t="n">
        <v>24</v>
      </c>
      <c r="B16404" t="s">
        <v>14</v>
      </c>
      <c r="C16404" t="s">
        <v>15</v>
      </c>
      <c r="D16404" s="2" t="s">
        <f>=HYPERLINK("https://main.knesset.gov.il/APPS/legislation/main/bills/2162981", "פרק י""ט (אסדרה) סעיפים 21, 28 ו-30 המוצעים בסעיף 92 להצעת החוק, מתוך הצעת חוק התכנית הכלכלית (תיקוני חקיקה ליישום המדיניות הכלכלית לשנות התקציב 2021 ו-2022), התשפ""א-2021 [פוצלה לפי סעיף 84(ב) לתקנון הכנסת]")</f>
        <v>31398</v>
      </c>
      <c r="E16404" t="s">
        <v>31398</v>
      </c>
      <c r="F16404" t="s">
        <v>14</v>
      </c>
      <c r="G16404" t="s">
        <v>5568</v>
      </c>
      <c r="H16404">
             </c>
      <c r="I16404" t="s">
        <v>14</v>
      </c>
      <c r="J16404" t="s">
        <v>18</v>
      </c>
      <c r="K16404" t="s">
        <v>27</v>
      </c>
      <c r="L16404" t="s">
        <v>20</v>
      </c>
      <c r="M16404" t="s">
        <v>14</v>
      </c>
      <c r="N16404" t="s">
        <v>14</v>
      </c>
    </row>
    <row r="16405" x14ac:dyDescent="0.25">
      <c r="A16405" t="n">
        <v>25</v>
      </c>
      <c r="B16405" t="s">
        <v>14</v>
      </c>
      <c r="C16405" t="s">
        <v>20</v>
      </c>
      <c r="D16405" s="2" t="s">
        <f>=HYPERLINK("https://main.knesset.gov.il/APPS/legislation/main/bills/2222215", "הצעת חוק חסינות חברי הכנסת, זכויותיהם וחובותיהם (אבטחת חברי הכנסת), התשפ""ד-2023")</f>
        <v>31399</v>
      </c>
      <c r="E16405" t="s">
        <v>31399</v>
      </c>
      <c r="F16405" t="s">
        <v>14</v>
      </c>
      <c r="G16405" t="s">
        <v>14</v>
      </c>
      <c r="H16405">
             </c>
      <c r="I16405" t="s">
        <v>14</v>
      </c>
      <c r="J16405" t="s">
        <v>31</v>
      </c>
      <c r="K16405" t="s">
        <v>121</v>
      </c>
      <c r="L16405" t="s">
        <v>20</v>
      </c>
      <c r="M16405" t="s">
        <v>14</v>
      </c>
      <c r="N16405" t="s">
        <v>14</v>
      </c>
    </row>
    <row r="16406" x14ac:dyDescent="0.25">
      <c r="A16406" t="n">
        <v>25</v>
      </c>
      <c r="B16406" t="s">
        <v>14</v>
      </c>
      <c r="C16406" t="s">
        <v>15</v>
      </c>
      <c r="D16406" s="2" t="s">
        <f>=HYPERLINK("https://main.knesset.gov.il/APPS/legislation/main/bills/2240515", "סעיף 6(2) (ועדת תמרור למיזמי תשתית) מתוך הצעת חוק התוכנית הכלכלית (תיקוני חקיקה ליישום המדיניות הכלכלית לשנת התקציב 2026), התשפ""ו-2026[פוצלה לפי סעיף 84(ב) לתקנון]")</f>
        <v>31400</v>
      </c>
      <c r="E16406" t="s">
        <v>31400</v>
      </c>
      <c r="F16406" t="s">
        <v>14</v>
      </c>
      <c r="G16406" t="s">
        <v>49</v>
      </c>
      <c r="H16406">
             </c>
      <c r="I16406" t="s">
        <v>14</v>
      </c>
      <c r="J16406" t="s">
        <v>18</v>
      </c>
      <c r="K16406" t="s">
        <v>121</v>
      </c>
      <c r="L16406" t="s">
        <v>20</v>
      </c>
      <c r="M16406" t="s">
        <v>14</v>
      </c>
      <c r="N16406" t="s">
        <v>14</v>
      </c>
    </row>
    <row r="16407" x14ac:dyDescent="0.25">
      <c r="A16407" t="n">
        <v>25</v>
      </c>
      <c r="B16407" t="s">
        <v>14</v>
      </c>
      <c r="C16407" t="s">
        <v>15</v>
      </c>
      <c r="D16407" s="2" t="s">
        <f>=HYPERLINK("https://main.knesset.gov.il/APPS/legislation/main/bills/2240516", "סעיף 8 (שימוש ארעי במגרשים ריקים) מתוך הצעת חוק התוכנית הכלכלית (תיקוני חקיקה ליישום המדיניות הכלכלית לשנת התקציב 2026), התשפ""ו-2026 [פוצלה לפי סעיף 84(ב) לתקנון]")</f>
        <v>31401</v>
      </c>
      <c r="E16407" t="s">
        <v>31401</v>
      </c>
      <c r="F16407" t="s">
        <v>14</v>
      </c>
      <c r="G16407" t="s">
        <v>49</v>
      </c>
      <c r="H16407">
             </c>
      <c r="I16407" t="s">
        <v>14</v>
      </c>
      <c r="J16407" t="s">
        <v>18</v>
      </c>
      <c r="K16407" t="s">
        <v>121</v>
      </c>
      <c r="L16407" t="s">
        <v>20</v>
      </c>
      <c r="M16407" t="s">
        <v>14</v>
      </c>
      <c r="N16407" t="s">
        <v>14</v>
      </c>
    </row>
    <row r="16408" x14ac:dyDescent="0.25">
      <c r="A16408" t="n">
        <v>25</v>
      </c>
      <c r="B16408" t="s">
        <v>14</v>
      </c>
      <c r="C16408" t="s">
        <v>15</v>
      </c>
      <c r="D16408" s="2" t="s">
        <f>=HYPERLINK("https://main.knesset.gov.il/APPS/legislation/main/bills/2240510", "פרק י""ט (שונות), סעיף 100 (חוק משק החשמל) מתוך הצעת חוק התוכנית הכלכלית (תיקוני חקיקה ליישום המדיניות הכלכלית לשנת התקציב 2026), התשפ""ו-2026[פוצלה לפי סעיף 84(ב) לתקנון]")</f>
        <v>31402</v>
      </c>
      <c r="E16408" t="s">
        <v>31402</v>
      </c>
      <c r="F16408" t="s">
        <v>14</v>
      </c>
      <c r="G16408" t="s">
        <v>49</v>
      </c>
      <c r="H16408">
             </c>
      <c r="I16408" t="s">
        <v>14</v>
      </c>
      <c r="J16408" t="s">
        <v>18</v>
      </c>
      <c r="K16408" t="s">
        <v>19</v>
      </c>
      <c r="L16408" t="s">
        <v>20</v>
      </c>
      <c r="M16408" t="s">
        <v>14</v>
      </c>
      <c r="N16408" t="s">
        <v>14</v>
      </c>
    </row>
    <row r="16409" x14ac:dyDescent="0.25">
      <c r="A16409" t="n">
        <v>25</v>
      </c>
      <c r="B16409" t="s">
        <v>14</v>
      </c>
      <c r="C16409" t="s">
        <v>15</v>
      </c>
      <c r="D16409" s="2" t="s">
        <f>=HYPERLINK("https://main.knesset.gov.il/APPS/legislation/main/bills/2240511", "פרק ט""ו (שיפור השירות לאזרח באמצעים דיגיטליים), סימן א' (תקשורת דיגיטלית עם גופים ציבוריים) מתוך הצעת חוק התוכנית הכלכלית (תיקוני חקיקה ליישום המדיניות הכלכלית לשנת התקציב 2026), התשפ""ו-2026 [פוצלה לפי סעיף 84(ב) לתקנון]")</f>
        <v>31403</v>
      </c>
      <c r="E16409" t="s">
        <v>31403</v>
      </c>
      <c r="F16409" t="s">
        <v>14</v>
      </c>
      <c r="G16409" t="s">
        <v>49</v>
      </c>
      <c r="H16409">
             </c>
      <c r="I16409" t="s">
        <v>14</v>
      </c>
      <c r="J16409" t="s">
        <v>18</v>
      </c>
      <c r="K16409" t="s">
        <v>27</v>
      </c>
      <c r="L16409" t="s">
        <v>20</v>
      </c>
      <c r="M16409" t="s">
        <v>14</v>
      </c>
      <c r="N16409" t="s">
        <v>14</v>
      </c>
    </row>
    <row r="16410" x14ac:dyDescent="0.25">
      <c r="A16410" t="n">
        <v>25</v>
      </c>
      <c r="B16410" t="s">
        <v>14</v>
      </c>
      <c r="C16410" t="s">
        <v>15</v>
      </c>
      <c r="D16410" s="2" t="s">
        <f>=HYPERLINK("https://main.knesset.gov.il/APPS/legislation/main/bills/2240512", "פרק ט""ו (שיפור השירות לאזרח באמצעים דיגיטליים),סימן ב' (דרכים חלופיות לנטילת אמצעי זיהוי ביומטריים והפקת נתוני זיהוי ביומטריים) מתוך הצ""ח התוכנית הכלכלית (תיקוני חקיקה ליישום המדיניות הכלכלית לשנת התקציב 2026),התשפ""ו-2026[פוצלה לפי סעיף 84(ב) לתקנון]")</f>
        <v>31404</v>
      </c>
      <c r="E16410" t="s">
        <v>31404</v>
      </c>
      <c r="F16410" t="s">
        <v>14</v>
      </c>
      <c r="G16410" t="s">
        <v>49</v>
      </c>
      <c r="H16410">
             </c>
      <c r="I16410" t="s">
        <v>14</v>
      </c>
      <c r="J16410" t="s">
        <v>18</v>
      </c>
      <c r="K16410" t="s">
        <v>14</v>
      </c>
      <c r="L16410" t="s">
        <v>20</v>
      </c>
      <c r="M16410" t="s">
        <v>14</v>
      </c>
      <c r="N16410" t="s">
        <v>14</v>
      </c>
    </row>
    <row r="16411" x14ac:dyDescent="0.25">
      <c r="A16411" t="n">
        <v>25</v>
      </c>
      <c r="B16411" t="s">
        <v>14</v>
      </c>
      <c r="C16411" t="s">
        <v>15</v>
      </c>
      <c r="D16411" s="2" t="s">
        <f>=HYPERLINK("https://main.knesset.gov.il/APPS/legislation/main/bills/2240528", "פרק ג' (צמצום ההון השחור), סימן א' (חובת דיווח של זירות מקוונות) מתוך הצעת חוק ההתייעלות הכלכלית (תיקוני חקיקה להשגת יעדי התקציב לשנת התקציב 2026), התשפ""ו-2026 [פוצלה לפי סעיף 84(ב) לתקנון]")</f>
        <v>31405</v>
      </c>
      <c r="E16411" t="s">
        <v>31405</v>
      </c>
      <c r="F16411" t="s">
        <v>14</v>
      </c>
      <c r="G16411" t="s">
        <v>49</v>
      </c>
      <c r="H16411">
             </c>
      <c r="I16411" t="s">
        <v>14</v>
      </c>
      <c r="J16411" t="s">
        <v>18</v>
      </c>
      <c r="K16411" t="s">
        <v>85</v>
      </c>
      <c r="L16411" t="s">
        <v>20</v>
      </c>
      <c r="M16411" t="s">
        <v>14</v>
      </c>
      <c r="N16411" t="s">
        <v>14</v>
      </c>
    </row>
    <row r="16412" x14ac:dyDescent="0.25">
      <c r="A16412" t="n">
        <v>25</v>
      </c>
      <c r="B16412" t="s">
        <v>14</v>
      </c>
      <c r="C16412" t="s">
        <v>15</v>
      </c>
      <c r="D16412" s="2" t="s">
        <f>=HYPERLINK("https://main.knesset.gov.il/APPS/legislation/main/bills/2243907", "הצעת חוק התקשורת (שידורים), התשפ""ו-2025 - החלק שנותר")</f>
        <v>31406</v>
      </c>
      <c r="E16412" t="s">
        <v>31406</v>
      </c>
      <c r="F16412" t="s">
        <v>14</v>
      </c>
      <c r="G16412" t="s">
        <v>36</v>
      </c>
      <c r="H16412">
             </c>
      <c r="I16412" t="s">
        <v>14</v>
      </c>
      <c r="J16412" t="s">
        <v>18</v>
      </c>
      <c r="K16412" t="s">
        <v>37</v>
      </c>
      <c r="L16412" t="s">
        <v>20</v>
      </c>
      <c r="M16412" t="s">
        <v>14</v>
      </c>
      <c r="N16412" t="s">
        <v>14</v>
      </c>
    </row>
    <row r="16413" x14ac:dyDescent="0.25">
      <c r="A16413" t="n">
        <v>25</v>
      </c>
      <c r="B16413" t="s">
        <v>14</v>
      </c>
      <c r="C16413" t="s">
        <v>15</v>
      </c>
      <c r="D16413" s="2" t="s">
        <f>=HYPERLINK("https://main.knesset.gov.il/APPS/legislation/main/bills/2241635", "פרק ח' (מס רכוש) מתוך הצעת חוק ההתייעלות הכלכלית (תיקוני חקיקה להשגת יעדי התקציב לשנת התקציב 2026), התשפ""ו-2026")</f>
        <v>803</v>
      </c>
      <c r="E16413" t="s">
        <v>803</v>
      </c>
      <c r="F16413" t="s">
        <v>14</v>
      </c>
      <c r="G16413" t="s">
        <v>49</v>
      </c>
      <c r="H16413">
             </c>
      <c r="I16413" t="s">
        <v>14</v>
      </c>
      <c r="J16413" t="s">
        <v>18</v>
      </c>
      <c r="K16413" t="s">
        <v>85</v>
      </c>
      <c r="L16413" t="s">
        <v>20</v>
      </c>
      <c r="M16413" t="s">
        <v>14</v>
      </c>
      <c r="N16413" t="s">
        <v>14</v>
      </c>
    </row>
    <row r="16414" x14ac:dyDescent="0.25">
      <c r="A16414" t="n">
        <v>25</v>
      </c>
      <c r="B16414" t="s">
        <v>14</v>
      </c>
      <c r="C16414" t="s">
        <v>15</v>
      </c>
      <c r="D16414" s="2" t="s">
        <f>=HYPERLINK("https://main.knesset.gov.il/APPS/legislation/main/bills/2241636", "פרק י""ב (פיקוח על מוצרי עישון לצורכי מס) מתוך הצעת חוק התוכנית הכלכלית (תיקוני חקיקה ליישום המדיניות הכלכלית לשנת התקציב 2026), התשפ""ו-2026")</f>
        <v>494</v>
      </c>
      <c r="E16414" t="s">
        <v>494</v>
      </c>
      <c r="F16414" t="s">
        <v>14</v>
      </c>
      <c r="G16414" t="s">
        <v>49</v>
      </c>
      <c r="H16414">
             </c>
      <c r="I16414" t="s">
        <v>14</v>
      </c>
      <c r="J16414" t="s">
        <v>18</v>
      </c>
      <c r="K16414" t="s">
        <v>85</v>
      </c>
      <c r="L16414" t="s">
        <v>20</v>
      </c>
      <c r="M16414" t="s">
        <v>14</v>
      </c>
      <c r="N16414"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2026-06-14T11:56:06.393Z</dcterms:created>
  <dcterms:modified xsi:type="dcterms:W3CDTF">2026-06-14T11:56:06.393Z</dcterms:modified>
</cp:coreProperties>
</file>